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D:\COURSE\MySkill\Bootcamp\MICROSOFT EXCEL BASIC TO ADVANCED FULLSTACK INTENSIVE BOOTCAMP\FinPro\"/>
    </mc:Choice>
  </mc:AlternateContent>
  <xr:revisionPtr revIDLastSave="0" documentId="13_ncr:1_{282BD4EC-1462-44EB-9798-C83B9B80158E}" xr6:coauthVersionLast="47" xr6:coauthVersionMax="47" xr10:uidLastSave="{00000000-0000-0000-0000-000000000000}"/>
  <bookViews>
    <workbookView xWindow="-120" yWindow="-120" windowWidth="29040" windowHeight="15840" tabRatio="599" activeTab="3" xr2:uid="{00000000-000D-0000-FFFF-FFFF00000000}"/>
  </bookViews>
  <sheets>
    <sheet name="Guide " sheetId="5" r:id="rId1"/>
    <sheet name="Pivot" sheetId="23" r:id="rId2"/>
    <sheet name="Data 2" sheetId="17" r:id="rId3"/>
    <sheet name="Dashboard" sheetId="25" r:id="rId4"/>
    <sheet name="Main Data" sheetId="9" state="hidden" r:id="rId5"/>
    <sheet name="Data 3" sheetId="19" state="hidden" r:id="rId6"/>
    <sheet name="Katalog" sheetId="8" r:id="rId7"/>
    <sheet name="Kode Diskon" sheetId="7" r:id="rId8"/>
    <sheet name="Helper" sheetId="10" r:id="rId9"/>
    <sheet name="Item (2)" sheetId="18" r:id="rId10"/>
    <sheet name="changes record" sheetId="22" r:id="rId11"/>
    <sheet name="Item" sheetId="15" state="hidden" r:id="rId12"/>
    <sheet name="Sheet5" sheetId="16" state="hidden" r:id="rId13"/>
    <sheet name="Question" sheetId="11" state="hidden" r:id="rId14"/>
  </sheets>
  <definedNames>
    <definedName name="_xlnm._FilterDatabase" localSheetId="4" hidden="1">'Main Data'!$A$1:$AH$1001</definedName>
    <definedName name="_xlnm.Print_Area" localSheetId="3">Dashboard!$A$1:$AS$105</definedName>
    <definedName name="Slicer_kategori">#N/A</definedName>
    <definedName name="Slicer_Marketplace1">#N/A</definedName>
    <definedName name="Slicer_Minggu_Terjual">#N/A</definedName>
    <definedName name="Z_722A6DE2_7F3B_4CD9_A859_89FEF70688C8_.wvu.FilterData" localSheetId="4" hidden="1">'Main Data'!$A$1:$AH$1001</definedName>
    <definedName name="Z_CBEAF7A2_551D_4E4D_98AB_DBDAE398B0D7_.wvu.FilterData" localSheetId="4" hidden="1">'Main Data'!$A$1:$AH$1001</definedName>
  </definedNames>
  <calcPr calcId="191029"/>
  <customWorkbookViews>
    <customWorkbookView name="Filter 1" guid="{CBEAF7A2-551D-4E4D-98AB-DBDAE398B0D7}" maximized="1" windowWidth="0" windowHeight="0" activeSheetId="0"/>
    <customWorkbookView name="Filter 3" guid="{FAF8D5D7-B080-47B0-9AD0-027ABA3A5E74}" maximized="1" windowWidth="0" windowHeight="0" activeSheetId="0"/>
    <customWorkbookView name="Filter 2" guid="{B73DC1C2-18D2-4E92-BD72-E0BBA1D76BE4}" maximized="1" windowWidth="0" windowHeight="0" activeSheetId="0"/>
    <customWorkbookView name="Adib" guid="{722A6DE2-7F3B-4CD9-A859-89FEF70688C8}" maximized="1" windowWidth="0" windowHeight="0" activeSheetId="0"/>
    <customWorkbookView name="Filter 4" guid="{DE660E18-AA2A-4C8D-BA94-C0D7908AE21D}" maximized="1" windowWidth="0" windowHeight="0" activeSheetId="0"/>
  </customWorkbookViews>
  <pivotCaches>
    <pivotCache cacheId="36" r:id="rId15"/>
    <pivotCache cacheId="39" r:id="rId16"/>
    <pivotCache cacheId="43" r:id="rId17"/>
    <pivotCache cacheId="47"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4" i="25" l="1"/>
  <c r="AR3" i="17"/>
  <c r="AR4" i="17"/>
  <c r="AR5" i="17"/>
  <c r="AR6" i="17"/>
  <c r="AR7" i="17"/>
  <c r="AR8" i="17"/>
  <c r="AR9" i="17"/>
  <c r="AR10" i="17"/>
  <c r="AR11" i="17"/>
  <c r="AR12" i="17"/>
  <c r="AR13" i="17"/>
  <c r="AR14" i="17"/>
  <c r="AR15" i="17"/>
  <c r="AR16" i="17"/>
  <c r="AR17" i="17"/>
  <c r="AR18" i="17"/>
  <c r="AR19" i="17"/>
  <c r="AR20" i="17"/>
  <c r="AR21" i="17"/>
  <c r="AR22" i="17"/>
  <c r="AR23" i="17"/>
  <c r="AR24" i="17"/>
  <c r="AR25" i="17"/>
  <c r="AR26" i="17"/>
  <c r="AR27" i="17"/>
  <c r="AR28" i="17"/>
  <c r="AR29" i="17"/>
  <c r="AR30" i="17"/>
  <c r="AR31" i="17"/>
  <c r="AR32" i="17"/>
  <c r="AR33" i="17"/>
  <c r="AR34" i="17"/>
  <c r="AR35" i="17"/>
  <c r="AR36" i="17"/>
  <c r="AR37" i="17"/>
  <c r="AR38" i="17"/>
  <c r="AR39" i="17"/>
  <c r="AR40" i="17"/>
  <c r="AR41" i="17"/>
  <c r="AR42" i="17"/>
  <c r="AR43" i="17"/>
  <c r="AR44" i="17"/>
  <c r="AR45" i="17"/>
  <c r="AR46" i="17"/>
  <c r="AR47" i="17"/>
  <c r="AR48" i="17"/>
  <c r="AR49" i="17"/>
  <c r="AR50" i="17"/>
  <c r="AR51" i="17"/>
  <c r="AR52" i="17"/>
  <c r="AR53" i="17"/>
  <c r="AR54" i="17"/>
  <c r="AR55" i="17"/>
  <c r="AR56" i="17"/>
  <c r="AR57" i="17"/>
  <c r="AR58" i="17"/>
  <c r="AR59" i="17"/>
  <c r="AR60" i="17"/>
  <c r="AR61" i="17"/>
  <c r="AR62" i="17"/>
  <c r="AR63" i="17"/>
  <c r="AR64" i="17"/>
  <c r="AR65" i="17"/>
  <c r="AR66" i="17"/>
  <c r="AR67" i="17"/>
  <c r="AR68" i="17"/>
  <c r="AR69" i="17"/>
  <c r="AR70" i="17"/>
  <c r="AR71" i="17"/>
  <c r="AR72" i="17"/>
  <c r="AR73" i="17"/>
  <c r="AR74" i="17"/>
  <c r="AR75" i="17"/>
  <c r="AR76" i="17"/>
  <c r="AR77" i="17"/>
  <c r="AR78" i="17"/>
  <c r="AR79" i="17"/>
  <c r="AR80" i="17"/>
  <c r="AR81" i="17"/>
  <c r="AR82" i="17"/>
  <c r="AR83" i="17"/>
  <c r="AR84" i="17"/>
  <c r="AR85" i="17"/>
  <c r="AR86" i="17"/>
  <c r="AR87" i="17"/>
  <c r="AR88" i="17"/>
  <c r="AR89" i="17"/>
  <c r="AR90" i="17"/>
  <c r="AR91" i="17"/>
  <c r="AR92" i="17"/>
  <c r="AR93" i="17"/>
  <c r="AR94" i="17"/>
  <c r="AR95" i="17"/>
  <c r="AR96" i="17"/>
  <c r="AR97" i="17"/>
  <c r="AR98" i="17"/>
  <c r="AR99" i="17"/>
  <c r="AR100" i="17"/>
  <c r="AR101" i="17"/>
  <c r="AR102" i="17"/>
  <c r="AR103" i="17"/>
  <c r="AR104" i="17"/>
  <c r="AR105" i="17"/>
  <c r="AR106" i="17"/>
  <c r="AR107" i="17"/>
  <c r="AR108" i="17"/>
  <c r="AR109" i="17"/>
  <c r="AR110" i="17"/>
  <c r="AR111" i="17"/>
  <c r="AR112" i="17"/>
  <c r="AR113" i="17"/>
  <c r="AR114" i="17"/>
  <c r="AR115" i="17"/>
  <c r="AR116" i="17"/>
  <c r="AR117" i="17"/>
  <c r="AR118" i="17"/>
  <c r="AR119" i="17"/>
  <c r="AR120" i="17"/>
  <c r="AR121" i="17"/>
  <c r="AR122" i="17"/>
  <c r="AR123" i="17"/>
  <c r="AR124" i="17"/>
  <c r="AR125" i="17"/>
  <c r="AR126" i="17"/>
  <c r="AR127" i="17"/>
  <c r="AR128" i="17"/>
  <c r="AR129" i="17"/>
  <c r="AR130" i="17"/>
  <c r="AR131" i="17"/>
  <c r="AR132" i="17"/>
  <c r="AR133" i="17"/>
  <c r="AR134" i="17"/>
  <c r="AR135" i="17"/>
  <c r="AR136" i="17"/>
  <c r="AR137" i="17"/>
  <c r="AR138" i="17"/>
  <c r="AR139" i="17"/>
  <c r="AR140" i="17"/>
  <c r="AR141" i="17"/>
  <c r="AR142" i="17"/>
  <c r="AR143" i="17"/>
  <c r="AR144" i="17"/>
  <c r="AR145" i="17"/>
  <c r="AR146" i="17"/>
  <c r="AR147" i="17"/>
  <c r="AR148" i="17"/>
  <c r="AR149" i="17"/>
  <c r="AR150" i="17"/>
  <c r="AR151" i="17"/>
  <c r="AR152" i="17"/>
  <c r="AR153" i="17"/>
  <c r="AR154" i="17"/>
  <c r="AR155" i="17"/>
  <c r="AR156" i="17"/>
  <c r="AR157" i="17"/>
  <c r="AR158" i="17"/>
  <c r="AR159" i="17"/>
  <c r="AR160" i="17"/>
  <c r="AR161" i="17"/>
  <c r="AR162" i="17"/>
  <c r="AR163" i="17"/>
  <c r="AR164" i="17"/>
  <c r="AR165" i="17"/>
  <c r="AR166" i="17"/>
  <c r="AR167" i="17"/>
  <c r="AR168" i="17"/>
  <c r="AR169" i="17"/>
  <c r="AR170" i="17"/>
  <c r="AR171" i="17"/>
  <c r="AR172" i="17"/>
  <c r="AR173" i="17"/>
  <c r="AR174" i="17"/>
  <c r="AR175" i="17"/>
  <c r="AR176" i="17"/>
  <c r="AR177" i="17"/>
  <c r="AR178" i="17"/>
  <c r="AR179" i="17"/>
  <c r="AR180" i="17"/>
  <c r="AR181" i="17"/>
  <c r="AR182" i="17"/>
  <c r="AR183" i="17"/>
  <c r="AR184" i="17"/>
  <c r="AR185" i="17"/>
  <c r="AR186" i="17"/>
  <c r="AR187" i="17"/>
  <c r="AR188" i="17"/>
  <c r="AR189" i="17"/>
  <c r="AR190" i="17"/>
  <c r="AR191" i="17"/>
  <c r="AR192" i="17"/>
  <c r="AR193" i="17"/>
  <c r="AR194" i="17"/>
  <c r="AR195" i="17"/>
  <c r="AR196" i="17"/>
  <c r="AR197" i="17"/>
  <c r="AR198" i="17"/>
  <c r="AR199" i="17"/>
  <c r="AR200" i="17"/>
  <c r="AR201" i="17"/>
  <c r="AR202" i="17"/>
  <c r="AR203" i="17"/>
  <c r="AR204" i="17"/>
  <c r="AR205" i="17"/>
  <c r="AR206" i="17"/>
  <c r="AR207" i="17"/>
  <c r="AR208" i="17"/>
  <c r="AR209" i="17"/>
  <c r="AR210" i="17"/>
  <c r="AR211" i="17"/>
  <c r="AR212" i="17"/>
  <c r="AR213" i="17"/>
  <c r="AR214" i="17"/>
  <c r="AR215" i="17"/>
  <c r="AR216" i="17"/>
  <c r="AR217" i="17"/>
  <c r="AR218" i="17"/>
  <c r="AR219" i="17"/>
  <c r="AR220" i="17"/>
  <c r="AR221" i="17"/>
  <c r="AR222" i="17"/>
  <c r="AR223" i="17"/>
  <c r="AR224" i="17"/>
  <c r="AR225" i="17"/>
  <c r="AR226" i="17"/>
  <c r="AR227" i="17"/>
  <c r="AR228" i="17"/>
  <c r="AR229" i="17"/>
  <c r="AR230" i="17"/>
  <c r="AR231" i="17"/>
  <c r="AR232" i="17"/>
  <c r="AR233" i="17"/>
  <c r="AR234" i="17"/>
  <c r="AR235" i="17"/>
  <c r="AR236" i="17"/>
  <c r="AR237" i="17"/>
  <c r="AR238" i="17"/>
  <c r="AR239" i="17"/>
  <c r="AR240" i="17"/>
  <c r="AR241" i="17"/>
  <c r="AR242" i="17"/>
  <c r="AR243" i="17"/>
  <c r="AR244" i="17"/>
  <c r="AR245" i="17"/>
  <c r="AR246" i="17"/>
  <c r="AR247" i="17"/>
  <c r="AR248" i="17"/>
  <c r="AR249" i="17"/>
  <c r="AR250" i="17"/>
  <c r="AR251" i="17"/>
  <c r="AR252" i="17"/>
  <c r="AR253" i="17"/>
  <c r="AR254" i="17"/>
  <c r="AR255" i="17"/>
  <c r="AR256" i="17"/>
  <c r="AR257" i="17"/>
  <c r="AR258" i="17"/>
  <c r="AR259" i="17"/>
  <c r="AR260" i="17"/>
  <c r="AR261" i="17"/>
  <c r="AR262" i="17"/>
  <c r="AR263" i="17"/>
  <c r="AR264" i="17"/>
  <c r="AR265" i="17"/>
  <c r="AR266" i="17"/>
  <c r="AR267" i="17"/>
  <c r="AR268" i="17"/>
  <c r="AR269" i="17"/>
  <c r="AR270" i="17"/>
  <c r="AR271" i="17"/>
  <c r="AR272" i="17"/>
  <c r="AR273" i="17"/>
  <c r="AR274" i="17"/>
  <c r="AR275" i="17"/>
  <c r="AR276" i="17"/>
  <c r="AR277" i="17"/>
  <c r="AR278" i="17"/>
  <c r="AR279" i="17"/>
  <c r="AR280" i="17"/>
  <c r="AR281" i="17"/>
  <c r="AR282" i="17"/>
  <c r="AR283" i="17"/>
  <c r="AR284" i="17"/>
  <c r="AR285" i="17"/>
  <c r="AR286" i="17"/>
  <c r="AR287" i="17"/>
  <c r="AR288" i="17"/>
  <c r="AR289" i="17"/>
  <c r="AR290" i="17"/>
  <c r="AR291" i="17"/>
  <c r="AR292" i="17"/>
  <c r="AR293" i="17"/>
  <c r="AR294" i="17"/>
  <c r="AR295" i="17"/>
  <c r="AR296" i="17"/>
  <c r="AR297" i="17"/>
  <c r="AR298" i="17"/>
  <c r="AR299" i="17"/>
  <c r="AR300" i="17"/>
  <c r="AR301" i="17"/>
  <c r="AR302" i="17"/>
  <c r="AR303" i="17"/>
  <c r="AR304" i="17"/>
  <c r="AR305" i="17"/>
  <c r="AR306" i="17"/>
  <c r="AR307" i="17"/>
  <c r="AR308" i="17"/>
  <c r="AR309" i="17"/>
  <c r="AR310" i="17"/>
  <c r="AR311" i="17"/>
  <c r="AR312" i="17"/>
  <c r="AR313" i="17"/>
  <c r="AR314" i="17"/>
  <c r="AR315" i="17"/>
  <c r="AR316" i="17"/>
  <c r="AR317" i="17"/>
  <c r="AR318" i="17"/>
  <c r="AR319" i="17"/>
  <c r="AR320" i="17"/>
  <c r="AR321" i="17"/>
  <c r="AR322" i="17"/>
  <c r="AR323" i="17"/>
  <c r="AR324" i="17"/>
  <c r="AR325" i="17"/>
  <c r="AR326" i="17"/>
  <c r="AR327" i="17"/>
  <c r="AR328" i="17"/>
  <c r="AR329" i="17"/>
  <c r="AR330" i="17"/>
  <c r="AR331" i="17"/>
  <c r="AR332" i="17"/>
  <c r="AR333" i="17"/>
  <c r="AR334" i="17"/>
  <c r="AR335" i="17"/>
  <c r="AR336" i="17"/>
  <c r="AR337" i="17"/>
  <c r="AR338" i="17"/>
  <c r="AR339" i="17"/>
  <c r="AR340" i="17"/>
  <c r="AR341" i="17"/>
  <c r="AR342" i="17"/>
  <c r="AR343" i="17"/>
  <c r="AR344" i="17"/>
  <c r="AR345" i="17"/>
  <c r="AR346" i="17"/>
  <c r="AR347" i="17"/>
  <c r="AR348" i="17"/>
  <c r="AR349" i="17"/>
  <c r="AR350" i="17"/>
  <c r="AR351" i="17"/>
  <c r="AR352" i="17"/>
  <c r="AR353" i="17"/>
  <c r="AR354" i="17"/>
  <c r="AR355" i="17"/>
  <c r="AR356" i="17"/>
  <c r="AR357" i="17"/>
  <c r="AR358" i="17"/>
  <c r="AR359" i="17"/>
  <c r="AR360" i="17"/>
  <c r="AR361" i="17"/>
  <c r="AR362" i="17"/>
  <c r="AR363" i="17"/>
  <c r="AR364" i="17"/>
  <c r="AR365" i="17"/>
  <c r="AR366" i="17"/>
  <c r="AR367" i="17"/>
  <c r="AR368" i="17"/>
  <c r="AR369" i="17"/>
  <c r="AR370" i="17"/>
  <c r="AR371" i="17"/>
  <c r="AR372" i="17"/>
  <c r="AR373" i="17"/>
  <c r="AR374" i="17"/>
  <c r="AR375" i="17"/>
  <c r="AR376" i="17"/>
  <c r="AR377" i="17"/>
  <c r="AR378" i="17"/>
  <c r="AR379" i="17"/>
  <c r="AR380" i="17"/>
  <c r="AR381" i="17"/>
  <c r="AR382" i="17"/>
  <c r="AR383" i="17"/>
  <c r="AR384" i="17"/>
  <c r="AR385" i="17"/>
  <c r="AR386" i="17"/>
  <c r="AR387" i="17"/>
  <c r="AR388" i="17"/>
  <c r="AR389" i="17"/>
  <c r="AR390" i="17"/>
  <c r="AR391" i="17"/>
  <c r="AR392" i="17"/>
  <c r="AR393" i="17"/>
  <c r="AR394" i="17"/>
  <c r="AR395" i="17"/>
  <c r="AR396" i="17"/>
  <c r="AR397" i="17"/>
  <c r="AR398" i="17"/>
  <c r="AR399" i="17"/>
  <c r="AR400" i="17"/>
  <c r="AR401" i="17"/>
  <c r="AR402" i="17"/>
  <c r="AR403" i="17"/>
  <c r="AR404" i="17"/>
  <c r="AR405" i="17"/>
  <c r="AR406" i="17"/>
  <c r="AR407" i="17"/>
  <c r="AR408" i="17"/>
  <c r="AR409" i="17"/>
  <c r="AR410" i="17"/>
  <c r="AR411" i="17"/>
  <c r="AR412" i="17"/>
  <c r="AR413" i="17"/>
  <c r="AR414" i="17"/>
  <c r="AR415" i="17"/>
  <c r="AR416" i="17"/>
  <c r="AR417" i="17"/>
  <c r="AR418" i="17"/>
  <c r="AR419" i="17"/>
  <c r="AR420" i="17"/>
  <c r="AR421" i="17"/>
  <c r="AR422" i="17"/>
  <c r="AR423" i="17"/>
  <c r="AR424" i="17"/>
  <c r="AR425" i="17"/>
  <c r="AR426" i="17"/>
  <c r="AR427" i="17"/>
  <c r="AR428" i="17"/>
  <c r="AR429" i="17"/>
  <c r="AR430" i="17"/>
  <c r="AR431" i="17"/>
  <c r="AR432" i="17"/>
  <c r="AR433" i="17"/>
  <c r="AR434" i="17"/>
  <c r="AR435" i="17"/>
  <c r="AR436" i="17"/>
  <c r="AR437" i="17"/>
  <c r="AR438" i="17"/>
  <c r="AR439" i="17"/>
  <c r="AR440" i="17"/>
  <c r="AR441" i="17"/>
  <c r="AR442" i="17"/>
  <c r="AR443" i="17"/>
  <c r="AR444" i="17"/>
  <c r="AR445" i="17"/>
  <c r="AR446" i="17"/>
  <c r="AR447" i="17"/>
  <c r="AR448" i="17"/>
  <c r="AR449" i="17"/>
  <c r="AR450" i="17"/>
  <c r="AR451" i="17"/>
  <c r="AR452" i="17"/>
  <c r="AR453" i="17"/>
  <c r="AR454" i="17"/>
  <c r="AR455" i="17"/>
  <c r="AR456" i="17"/>
  <c r="AR457" i="17"/>
  <c r="AR458" i="17"/>
  <c r="AR459" i="17"/>
  <c r="AR460" i="17"/>
  <c r="AR461" i="17"/>
  <c r="AR462" i="17"/>
  <c r="AR463" i="17"/>
  <c r="AR464" i="17"/>
  <c r="AR465" i="17"/>
  <c r="AR466" i="17"/>
  <c r="AR467" i="17"/>
  <c r="AR468" i="17"/>
  <c r="AR469" i="17"/>
  <c r="AR470" i="17"/>
  <c r="AR471" i="17"/>
  <c r="AR472" i="17"/>
  <c r="AR473" i="17"/>
  <c r="AR474" i="17"/>
  <c r="AR475" i="17"/>
  <c r="AR476" i="17"/>
  <c r="AR477" i="17"/>
  <c r="AR478" i="17"/>
  <c r="AR479" i="17"/>
  <c r="AR480" i="17"/>
  <c r="AR481" i="17"/>
  <c r="AR482" i="17"/>
  <c r="AR483" i="17"/>
  <c r="AR484" i="17"/>
  <c r="AR485" i="17"/>
  <c r="AR486" i="17"/>
  <c r="AR487" i="17"/>
  <c r="AR488" i="17"/>
  <c r="AR489" i="17"/>
  <c r="AR490" i="17"/>
  <c r="AR491" i="17"/>
  <c r="AR492" i="17"/>
  <c r="AR493" i="17"/>
  <c r="AR494" i="17"/>
  <c r="AR495" i="17"/>
  <c r="AR496" i="17"/>
  <c r="AR497" i="17"/>
  <c r="AR498" i="17"/>
  <c r="AR499" i="17"/>
  <c r="AR500" i="17"/>
  <c r="AR501" i="17"/>
  <c r="AR502" i="17"/>
  <c r="AR503" i="17"/>
  <c r="AR504" i="17"/>
  <c r="AR505" i="17"/>
  <c r="AR506" i="17"/>
  <c r="AR507" i="17"/>
  <c r="AR508" i="17"/>
  <c r="AR509" i="17"/>
  <c r="AR510" i="17"/>
  <c r="AR511" i="17"/>
  <c r="AR512" i="17"/>
  <c r="AR513" i="17"/>
  <c r="AR514" i="17"/>
  <c r="AR515" i="17"/>
  <c r="AR516" i="17"/>
  <c r="AR517" i="17"/>
  <c r="AR518" i="17"/>
  <c r="AR519" i="17"/>
  <c r="AR520" i="17"/>
  <c r="AR521" i="17"/>
  <c r="AR522" i="17"/>
  <c r="AR523" i="17"/>
  <c r="AR524" i="17"/>
  <c r="AR525" i="17"/>
  <c r="AR526" i="17"/>
  <c r="AR527" i="17"/>
  <c r="AR528" i="17"/>
  <c r="AR529" i="17"/>
  <c r="AR530" i="17"/>
  <c r="AR531" i="17"/>
  <c r="AR532" i="17"/>
  <c r="AR533" i="17"/>
  <c r="AR534" i="17"/>
  <c r="AR535" i="17"/>
  <c r="AR536" i="17"/>
  <c r="AR537" i="17"/>
  <c r="AR538" i="17"/>
  <c r="AR539" i="17"/>
  <c r="AR540" i="17"/>
  <c r="AR541" i="17"/>
  <c r="AR542" i="17"/>
  <c r="AR543" i="17"/>
  <c r="AR544" i="17"/>
  <c r="AR545" i="17"/>
  <c r="AR546" i="17"/>
  <c r="AR547" i="17"/>
  <c r="AR548" i="17"/>
  <c r="AR549" i="17"/>
  <c r="AR550" i="17"/>
  <c r="AR551" i="17"/>
  <c r="AR552" i="17"/>
  <c r="AR553" i="17"/>
  <c r="AR554" i="17"/>
  <c r="AR555" i="17"/>
  <c r="AR556" i="17"/>
  <c r="AR557" i="17"/>
  <c r="AR558" i="17"/>
  <c r="AR559" i="17"/>
  <c r="AR560" i="17"/>
  <c r="AR561" i="17"/>
  <c r="AR562" i="17"/>
  <c r="AR563" i="17"/>
  <c r="AR564" i="17"/>
  <c r="AR565" i="17"/>
  <c r="AR566" i="17"/>
  <c r="AR567" i="17"/>
  <c r="AR568" i="17"/>
  <c r="AR569" i="17"/>
  <c r="AR570" i="17"/>
  <c r="AR571" i="17"/>
  <c r="AR572" i="17"/>
  <c r="AR573" i="17"/>
  <c r="AR574" i="17"/>
  <c r="AR575" i="17"/>
  <c r="AR576" i="17"/>
  <c r="AR577" i="17"/>
  <c r="AR578" i="17"/>
  <c r="AR579" i="17"/>
  <c r="AR580" i="17"/>
  <c r="AR581" i="17"/>
  <c r="AR582" i="17"/>
  <c r="AR583" i="17"/>
  <c r="AR584" i="17"/>
  <c r="AR585" i="17"/>
  <c r="AR586" i="17"/>
  <c r="AR587" i="17"/>
  <c r="AR588" i="17"/>
  <c r="AR589" i="17"/>
  <c r="AR590" i="17"/>
  <c r="AR591" i="17"/>
  <c r="AR592" i="17"/>
  <c r="AR593" i="17"/>
  <c r="AR594" i="17"/>
  <c r="AR595" i="17"/>
  <c r="AR596" i="17"/>
  <c r="AR597" i="17"/>
  <c r="AR598" i="17"/>
  <c r="AR599" i="17"/>
  <c r="AR600" i="17"/>
  <c r="AR601" i="17"/>
  <c r="AR602" i="17"/>
  <c r="AR603" i="17"/>
  <c r="AR604" i="17"/>
  <c r="AR605" i="17"/>
  <c r="AR606" i="17"/>
  <c r="AR607" i="17"/>
  <c r="AR608" i="17"/>
  <c r="AR609" i="17"/>
  <c r="AR610" i="17"/>
  <c r="AR611" i="17"/>
  <c r="AR612" i="17"/>
  <c r="AR613" i="17"/>
  <c r="AR614" i="17"/>
  <c r="AR615" i="17"/>
  <c r="AR616" i="17"/>
  <c r="AR617" i="17"/>
  <c r="AR618" i="17"/>
  <c r="AR619" i="17"/>
  <c r="AR620" i="17"/>
  <c r="AR621" i="17"/>
  <c r="AR622" i="17"/>
  <c r="AR623" i="17"/>
  <c r="AR624" i="17"/>
  <c r="AR625" i="17"/>
  <c r="AR626" i="17"/>
  <c r="AR627" i="17"/>
  <c r="AR628" i="17"/>
  <c r="AR629" i="17"/>
  <c r="AR630" i="17"/>
  <c r="AR631" i="17"/>
  <c r="AR632" i="17"/>
  <c r="AR633" i="17"/>
  <c r="AR634" i="17"/>
  <c r="AR635" i="17"/>
  <c r="AR636" i="17"/>
  <c r="AR637" i="17"/>
  <c r="AR638" i="17"/>
  <c r="AR639" i="17"/>
  <c r="AR640" i="17"/>
  <c r="AR641" i="17"/>
  <c r="AR642" i="17"/>
  <c r="AR643" i="17"/>
  <c r="AR644" i="17"/>
  <c r="AR645" i="17"/>
  <c r="AR646" i="17"/>
  <c r="AR647" i="17"/>
  <c r="AR648" i="17"/>
  <c r="AR649" i="17"/>
  <c r="AR650" i="17"/>
  <c r="AR651" i="17"/>
  <c r="AR652" i="17"/>
  <c r="AR653" i="17"/>
  <c r="AR654" i="17"/>
  <c r="AR655" i="17"/>
  <c r="AR656" i="17"/>
  <c r="AR657" i="17"/>
  <c r="AR658" i="17"/>
  <c r="AR659" i="17"/>
  <c r="AR660" i="17"/>
  <c r="AR661" i="17"/>
  <c r="AR662" i="17"/>
  <c r="AR663" i="17"/>
  <c r="AR664" i="17"/>
  <c r="AR665" i="17"/>
  <c r="AR666" i="17"/>
  <c r="AR667" i="17"/>
  <c r="AR668" i="17"/>
  <c r="AR669" i="17"/>
  <c r="AR670" i="17"/>
  <c r="AR671" i="17"/>
  <c r="AR672" i="17"/>
  <c r="AR673" i="17"/>
  <c r="AR674" i="17"/>
  <c r="AR675" i="17"/>
  <c r="AR676" i="17"/>
  <c r="AR677" i="17"/>
  <c r="AR678" i="17"/>
  <c r="AR679" i="17"/>
  <c r="AR680" i="17"/>
  <c r="AR681" i="17"/>
  <c r="AR682" i="17"/>
  <c r="AR683" i="17"/>
  <c r="AR684" i="17"/>
  <c r="AR685" i="17"/>
  <c r="AR686" i="17"/>
  <c r="AR687" i="17"/>
  <c r="AR688" i="17"/>
  <c r="AR689" i="17"/>
  <c r="AR690" i="17"/>
  <c r="AR691" i="17"/>
  <c r="AR692" i="17"/>
  <c r="AR693" i="17"/>
  <c r="AR694" i="17"/>
  <c r="AR695" i="17"/>
  <c r="AR696" i="17"/>
  <c r="AR697" i="17"/>
  <c r="AR698" i="17"/>
  <c r="AR699" i="17"/>
  <c r="AR700" i="17"/>
  <c r="AR701" i="17"/>
  <c r="AR702" i="17"/>
  <c r="AR703" i="17"/>
  <c r="AR704" i="17"/>
  <c r="AR705" i="17"/>
  <c r="AR706" i="17"/>
  <c r="AR707" i="17"/>
  <c r="AR708" i="17"/>
  <c r="AR709" i="17"/>
  <c r="AR710" i="17"/>
  <c r="AR711" i="17"/>
  <c r="AR712" i="17"/>
  <c r="AR713" i="17"/>
  <c r="AR714" i="17"/>
  <c r="AR715" i="17"/>
  <c r="AR716" i="17"/>
  <c r="AR717" i="17"/>
  <c r="AR718" i="17"/>
  <c r="AR719" i="17"/>
  <c r="AR720" i="17"/>
  <c r="AR721" i="17"/>
  <c r="AR722" i="17"/>
  <c r="AR723" i="17"/>
  <c r="AR724" i="17"/>
  <c r="AR725" i="17"/>
  <c r="AR726" i="17"/>
  <c r="AR727" i="17"/>
  <c r="AR728" i="17"/>
  <c r="AR729" i="17"/>
  <c r="AR730" i="17"/>
  <c r="AR731" i="17"/>
  <c r="AR732" i="17"/>
  <c r="AR733" i="17"/>
  <c r="AR734" i="17"/>
  <c r="AR735" i="17"/>
  <c r="AR736" i="17"/>
  <c r="AR737" i="17"/>
  <c r="AR738" i="17"/>
  <c r="AR739" i="17"/>
  <c r="AR740" i="17"/>
  <c r="AR741" i="17"/>
  <c r="AR742" i="17"/>
  <c r="AR743" i="17"/>
  <c r="AR744" i="17"/>
  <c r="AR745" i="17"/>
  <c r="AR746" i="17"/>
  <c r="AR747" i="17"/>
  <c r="AR748" i="17"/>
  <c r="AR749" i="17"/>
  <c r="AR750" i="17"/>
  <c r="AR751" i="17"/>
  <c r="AR752" i="17"/>
  <c r="AR753" i="17"/>
  <c r="AR754" i="17"/>
  <c r="AR755" i="17"/>
  <c r="AR756" i="17"/>
  <c r="AR757" i="17"/>
  <c r="AR758" i="17"/>
  <c r="AR759" i="17"/>
  <c r="AR760" i="17"/>
  <c r="AR761" i="17"/>
  <c r="AR762" i="17"/>
  <c r="AR763" i="17"/>
  <c r="AR764" i="17"/>
  <c r="AR765" i="17"/>
  <c r="AR766" i="17"/>
  <c r="AR767" i="17"/>
  <c r="AR768" i="17"/>
  <c r="AR769" i="17"/>
  <c r="AR770" i="17"/>
  <c r="AR771" i="17"/>
  <c r="AR772" i="17"/>
  <c r="AR773" i="17"/>
  <c r="AR774" i="17"/>
  <c r="AR775" i="17"/>
  <c r="AR776" i="17"/>
  <c r="AR777" i="17"/>
  <c r="AR778" i="17"/>
  <c r="AR779" i="17"/>
  <c r="AR780" i="17"/>
  <c r="AR781" i="17"/>
  <c r="AR782" i="17"/>
  <c r="AR783" i="17"/>
  <c r="AR784" i="17"/>
  <c r="AR785" i="17"/>
  <c r="AR786" i="17"/>
  <c r="AR787" i="17"/>
  <c r="AR788" i="17"/>
  <c r="AR789" i="17"/>
  <c r="AR790" i="17"/>
  <c r="AR791" i="17"/>
  <c r="AR792" i="17"/>
  <c r="AR793" i="17"/>
  <c r="AR794" i="17"/>
  <c r="AR795" i="17"/>
  <c r="AR796" i="17"/>
  <c r="AR797" i="17"/>
  <c r="AR798" i="17"/>
  <c r="AR799" i="17"/>
  <c r="AR800" i="17"/>
  <c r="AR801" i="17"/>
  <c r="AR802" i="17"/>
  <c r="AR803" i="17"/>
  <c r="AR804" i="17"/>
  <c r="AR805" i="17"/>
  <c r="AR806" i="17"/>
  <c r="AR807" i="17"/>
  <c r="AR808" i="17"/>
  <c r="AR809" i="17"/>
  <c r="AR810" i="17"/>
  <c r="AR811" i="17"/>
  <c r="AR812" i="17"/>
  <c r="AR813" i="17"/>
  <c r="AR814" i="17"/>
  <c r="AR815" i="17"/>
  <c r="AR816" i="17"/>
  <c r="AR817" i="17"/>
  <c r="AR818" i="17"/>
  <c r="AR819" i="17"/>
  <c r="AR820" i="17"/>
  <c r="AR821" i="17"/>
  <c r="AR822" i="17"/>
  <c r="AR823" i="17"/>
  <c r="AR824" i="17"/>
  <c r="AR825" i="17"/>
  <c r="AR826" i="17"/>
  <c r="AR827" i="17"/>
  <c r="AR828" i="17"/>
  <c r="AR829" i="17"/>
  <c r="AR830" i="17"/>
  <c r="AR831" i="17"/>
  <c r="AR832" i="17"/>
  <c r="AR833" i="17"/>
  <c r="AR834" i="17"/>
  <c r="AR835" i="17"/>
  <c r="AR836" i="17"/>
  <c r="AR837" i="17"/>
  <c r="AR838" i="17"/>
  <c r="AR839" i="17"/>
  <c r="AR840" i="17"/>
  <c r="AR841" i="17"/>
  <c r="AR842" i="17"/>
  <c r="AR843" i="17"/>
  <c r="AR844" i="17"/>
  <c r="AR845" i="17"/>
  <c r="AR846" i="17"/>
  <c r="AR847" i="17"/>
  <c r="AR848" i="17"/>
  <c r="AR849" i="17"/>
  <c r="AR850" i="17"/>
  <c r="AR851" i="17"/>
  <c r="AR852" i="17"/>
  <c r="AR853" i="17"/>
  <c r="AR854" i="17"/>
  <c r="AR855" i="17"/>
  <c r="AR856" i="17"/>
  <c r="AR857" i="17"/>
  <c r="AR858" i="17"/>
  <c r="AR859" i="17"/>
  <c r="AR860" i="17"/>
  <c r="AR861" i="17"/>
  <c r="AR862" i="17"/>
  <c r="AR863" i="17"/>
  <c r="AR864" i="17"/>
  <c r="AR865" i="17"/>
  <c r="AR866" i="17"/>
  <c r="AR867" i="17"/>
  <c r="AR868" i="17"/>
  <c r="AR869" i="17"/>
  <c r="AR870" i="17"/>
  <c r="AR871" i="17"/>
  <c r="AR872" i="17"/>
  <c r="AR873" i="17"/>
  <c r="AR874" i="17"/>
  <c r="AR875" i="17"/>
  <c r="AR876" i="17"/>
  <c r="AR877" i="17"/>
  <c r="AR878" i="17"/>
  <c r="AR879" i="17"/>
  <c r="AR880" i="17"/>
  <c r="AR881" i="17"/>
  <c r="AR882" i="17"/>
  <c r="AR883" i="17"/>
  <c r="AR884" i="17"/>
  <c r="AR885" i="17"/>
  <c r="AR886" i="17"/>
  <c r="AR887" i="17"/>
  <c r="AR888" i="17"/>
  <c r="AR889" i="17"/>
  <c r="AR890" i="17"/>
  <c r="AR891" i="17"/>
  <c r="AR892" i="17"/>
  <c r="AR893" i="17"/>
  <c r="AR894" i="17"/>
  <c r="AR895" i="17"/>
  <c r="AR896" i="17"/>
  <c r="AR897" i="17"/>
  <c r="AR898" i="17"/>
  <c r="AR899" i="17"/>
  <c r="AR900" i="17"/>
  <c r="AR901" i="17"/>
  <c r="AR902" i="17"/>
  <c r="AR903" i="17"/>
  <c r="AR904" i="17"/>
  <c r="AR905" i="17"/>
  <c r="AR906" i="17"/>
  <c r="AR907" i="17"/>
  <c r="AR908" i="17"/>
  <c r="AR909" i="17"/>
  <c r="AR910" i="17"/>
  <c r="AR911" i="17"/>
  <c r="AR912" i="17"/>
  <c r="AR913" i="17"/>
  <c r="AR914" i="17"/>
  <c r="AR915" i="17"/>
  <c r="AR916" i="17"/>
  <c r="AR917" i="17"/>
  <c r="AR918" i="17"/>
  <c r="AR919" i="17"/>
  <c r="AR920" i="17"/>
  <c r="AR921" i="17"/>
  <c r="AR922" i="17"/>
  <c r="AR923" i="17"/>
  <c r="AR924" i="17"/>
  <c r="AR925" i="17"/>
  <c r="AR926" i="17"/>
  <c r="AR927" i="17"/>
  <c r="AR928" i="17"/>
  <c r="AR929" i="17"/>
  <c r="AR930" i="17"/>
  <c r="AR931" i="17"/>
  <c r="AR932" i="17"/>
  <c r="AR933" i="17"/>
  <c r="AR934" i="17"/>
  <c r="AR935" i="17"/>
  <c r="AR936" i="17"/>
  <c r="AR937" i="17"/>
  <c r="AR938" i="17"/>
  <c r="AR939" i="17"/>
  <c r="AR940" i="17"/>
  <c r="AR941" i="17"/>
  <c r="AR942" i="17"/>
  <c r="AR943" i="17"/>
  <c r="AR944" i="17"/>
  <c r="AR945" i="17"/>
  <c r="AR946" i="17"/>
  <c r="AR947" i="17"/>
  <c r="AR948" i="17"/>
  <c r="AR949" i="17"/>
  <c r="AR950" i="17"/>
  <c r="AR951" i="17"/>
  <c r="AR952" i="17"/>
  <c r="AR953" i="17"/>
  <c r="AR954" i="17"/>
  <c r="AR955" i="17"/>
  <c r="AR956" i="17"/>
  <c r="AR957" i="17"/>
  <c r="AR958" i="17"/>
  <c r="AR959" i="17"/>
  <c r="AR960" i="17"/>
  <c r="AR961" i="17"/>
  <c r="AR962" i="17"/>
  <c r="AR963" i="17"/>
  <c r="AR964" i="17"/>
  <c r="AR965" i="17"/>
  <c r="AR966" i="17"/>
  <c r="AR967" i="17"/>
  <c r="AR968" i="17"/>
  <c r="AR969" i="17"/>
  <c r="AR970" i="17"/>
  <c r="AR971" i="17"/>
  <c r="AR972" i="17"/>
  <c r="AR973" i="17"/>
  <c r="AR974" i="17"/>
  <c r="AR975" i="17"/>
  <c r="AR976" i="17"/>
  <c r="AR977" i="17"/>
  <c r="AR978" i="17"/>
  <c r="AR979" i="17"/>
  <c r="AR980" i="17"/>
  <c r="AR981" i="17"/>
  <c r="AR982" i="17"/>
  <c r="AR983" i="17"/>
  <c r="AR984" i="17"/>
  <c r="AR985" i="17"/>
  <c r="AR986" i="17"/>
  <c r="AR987" i="17"/>
  <c r="AR988" i="17"/>
  <c r="AR989" i="17"/>
  <c r="AR990" i="17"/>
  <c r="AR991" i="17"/>
  <c r="AR992" i="17"/>
  <c r="AR993" i="17"/>
  <c r="AR994" i="17"/>
  <c r="AR995" i="17"/>
  <c r="AR996" i="17"/>
  <c r="AR997" i="17"/>
  <c r="AR998" i="17"/>
  <c r="AR999" i="17"/>
  <c r="AR1000" i="17"/>
  <c r="AR1001" i="17"/>
  <c r="AR2" i="17"/>
  <c r="A19" i="5" a="1"/>
  <c r="A19" i="5" s="1"/>
  <c r="AO2" i="17" l="1"/>
  <c r="AQ2" i="17" s="1" a="1"/>
  <c r="AQ2" i="17" s="1"/>
  <c r="AO3" i="17"/>
  <c r="AQ3" i="17" s="1" a="1"/>
  <c r="AQ3" i="17" s="1"/>
  <c r="AO4" i="17"/>
  <c r="AQ4" i="17" s="1" a="1"/>
  <c r="AQ4" i="17" s="1"/>
  <c r="AO5" i="17"/>
  <c r="AQ5" i="17" s="1" a="1"/>
  <c r="AQ5" i="17" s="1"/>
  <c r="AO6" i="17"/>
  <c r="AQ6" i="17" s="1" a="1"/>
  <c r="AQ6" i="17" s="1"/>
  <c r="AO7" i="17"/>
  <c r="AQ7" i="17" s="1" a="1"/>
  <c r="AQ7" i="17" s="1"/>
  <c r="AO8" i="17"/>
  <c r="AQ8" i="17" s="1" a="1"/>
  <c r="AQ8" i="17" s="1"/>
  <c r="AO9" i="17"/>
  <c r="AQ9" i="17" s="1" a="1"/>
  <c r="AQ9" i="17" s="1"/>
  <c r="AO10" i="17"/>
  <c r="AQ10" i="17" s="1" a="1"/>
  <c r="AQ10" i="17" s="1"/>
  <c r="AO11" i="17"/>
  <c r="AQ11" i="17" s="1" a="1"/>
  <c r="AQ11" i="17" s="1"/>
  <c r="AO12" i="17"/>
  <c r="AQ12" i="17" s="1" a="1"/>
  <c r="AQ12" i="17" s="1"/>
  <c r="AO13" i="17"/>
  <c r="AQ13" i="17" s="1" a="1"/>
  <c r="AQ13" i="17" s="1"/>
  <c r="AO14" i="17"/>
  <c r="AQ14" i="17" s="1" a="1"/>
  <c r="AQ14" i="17" s="1"/>
  <c r="AO15" i="17"/>
  <c r="AQ15" i="17" s="1" a="1"/>
  <c r="AQ15" i="17" s="1"/>
  <c r="AO16" i="17"/>
  <c r="AQ16" i="17" s="1" a="1"/>
  <c r="AQ16" i="17" s="1"/>
  <c r="AO17" i="17"/>
  <c r="AQ17" i="17" s="1" a="1"/>
  <c r="AQ17" i="17" s="1"/>
  <c r="AO18" i="17"/>
  <c r="AQ18" i="17" s="1" a="1"/>
  <c r="AQ18" i="17" s="1"/>
  <c r="AO19" i="17"/>
  <c r="AQ19" i="17" s="1" a="1"/>
  <c r="AQ19" i="17" s="1"/>
  <c r="AO20" i="17"/>
  <c r="AQ20" i="17" s="1" a="1"/>
  <c r="AQ20" i="17" s="1"/>
  <c r="AO21" i="17"/>
  <c r="AQ21" i="17" s="1" a="1"/>
  <c r="AQ21" i="17" s="1"/>
  <c r="AO22" i="17"/>
  <c r="AQ22" i="17" s="1" a="1"/>
  <c r="AQ22" i="17" s="1"/>
  <c r="AO23" i="17"/>
  <c r="AQ23" i="17" s="1" a="1"/>
  <c r="AQ23" i="17" s="1"/>
  <c r="AO24" i="17"/>
  <c r="AQ24" i="17" s="1" a="1"/>
  <c r="AQ24" i="17" s="1"/>
  <c r="AO25" i="17"/>
  <c r="AQ25" i="17" s="1" a="1"/>
  <c r="AQ25" i="17" s="1"/>
  <c r="AO26" i="17"/>
  <c r="AQ26" i="17" s="1" a="1"/>
  <c r="AQ26" i="17" s="1"/>
  <c r="AO27" i="17"/>
  <c r="AQ27" i="17" s="1" a="1"/>
  <c r="AQ27" i="17" s="1"/>
  <c r="AO28" i="17"/>
  <c r="AQ28" i="17" s="1" a="1"/>
  <c r="AQ28" i="17" s="1"/>
  <c r="AO29" i="17"/>
  <c r="AQ29" i="17" s="1" a="1"/>
  <c r="AQ29" i="17" s="1"/>
  <c r="AO30" i="17"/>
  <c r="AQ30" i="17" s="1" a="1"/>
  <c r="AQ30" i="17" s="1"/>
  <c r="AO31" i="17"/>
  <c r="AQ31" i="17" s="1" a="1"/>
  <c r="AQ31" i="17" s="1"/>
  <c r="AO32" i="17"/>
  <c r="AQ32" i="17" s="1" a="1"/>
  <c r="AQ32" i="17" s="1"/>
  <c r="AO33" i="17"/>
  <c r="AQ33" i="17" s="1" a="1"/>
  <c r="AQ33" i="17" s="1"/>
  <c r="AO34" i="17"/>
  <c r="AQ34" i="17" s="1" a="1"/>
  <c r="AQ34" i="17" s="1"/>
  <c r="AO35" i="17"/>
  <c r="AQ35" i="17" s="1" a="1"/>
  <c r="AQ35" i="17" s="1"/>
  <c r="AO36" i="17"/>
  <c r="AQ36" i="17" s="1" a="1"/>
  <c r="AQ36" i="17" s="1"/>
  <c r="AO37" i="17"/>
  <c r="AQ37" i="17" s="1" a="1"/>
  <c r="AQ37" i="17" s="1"/>
  <c r="AO38" i="17"/>
  <c r="AQ38" i="17" s="1" a="1"/>
  <c r="AQ38" i="17" s="1"/>
  <c r="AO39" i="17"/>
  <c r="AQ39" i="17" s="1" a="1"/>
  <c r="AQ39" i="17" s="1"/>
  <c r="AO40" i="17"/>
  <c r="AQ40" i="17" s="1" a="1"/>
  <c r="AQ40" i="17" s="1"/>
  <c r="AO41" i="17"/>
  <c r="AQ41" i="17" s="1" a="1"/>
  <c r="AQ41" i="17" s="1"/>
  <c r="AO42" i="17"/>
  <c r="AQ42" i="17" s="1" a="1"/>
  <c r="AQ42" i="17" s="1"/>
  <c r="AO43" i="17"/>
  <c r="AQ43" i="17" s="1" a="1"/>
  <c r="AQ43" i="17" s="1"/>
  <c r="AO44" i="17"/>
  <c r="AQ44" i="17" s="1" a="1"/>
  <c r="AQ44" i="17" s="1"/>
  <c r="AO45" i="17"/>
  <c r="AQ45" i="17" s="1" a="1"/>
  <c r="AQ45" i="17" s="1"/>
  <c r="AO46" i="17"/>
  <c r="AQ46" i="17" s="1" a="1"/>
  <c r="AQ46" i="17" s="1"/>
  <c r="AO47" i="17"/>
  <c r="AQ47" i="17" s="1" a="1"/>
  <c r="AQ47" i="17" s="1"/>
  <c r="AO48" i="17"/>
  <c r="AQ48" i="17" s="1" a="1"/>
  <c r="AQ48" i="17" s="1"/>
  <c r="AO49" i="17"/>
  <c r="AQ49" i="17" s="1" a="1"/>
  <c r="AQ49" i="17" s="1"/>
  <c r="AO50" i="17"/>
  <c r="AQ50" i="17" s="1" a="1"/>
  <c r="AQ50" i="17" s="1"/>
  <c r="AO51" i="17"/>
  <c r="AQ51" i="17" s="1" a="1"/>
  <c r="AQ51" i="17" s="1"/>
  <c r="AO52" i="17"/>
  <c r="AQ52" i="17" s="1" a="1"/>
  <c r="AQ52" i="17" s="1"/>
  <c r="AO53" i="17"/>
  <c r="AQ53" i="17" s="1" a="1"/>
  <c r="AQ53" i="17" s="1"/>
  <c r="AO54" i="17"/>
  <c r="AQ54" i="17" s="1" a="1"/>
  <c r="AQ54" i="17" s="1"/>
  <c r="AO55" i="17"/>
  <c r="AQ55" i="17" s="1" a="1"/>
  <c r="AQ55" i="17" s="1"/>
  <c r="AO56" i="17"/>
  <c r="AQ56" i="17" s="1" a="1"/>
  <c r="AQ56" i="17" s="1"/>
  <c r="AO57" i="17"/>
  <c r="AQ57" i="17" s="1" a="1"/>
  <c r="AQ57" i="17" s="1"/>
  <c r="AO58" i="17"/>
  <c r="AQ58" i="17" s="1" a="1"/>
  <c r="AQ58" i="17" s="1"/>
  <c r="AO59" i="17"/>
  <c r="AQ59" i="17" s="1" a="1"/>
  <c r="AQ59" i="17" s="1"/>
  <c r="AO60" i="17"/>
  <c r="AQ60" i="17" s="1" a="1"/>
  <c r="AQ60" i="17" s="1"/>
  <c r="AO61" i="17"/>
  <c r="AQ61" i="17" s="1" a="1"/>
  <c r="AQ61" i="17" s="1"/>
  <c r="AO62" i="17"/>
  <c r="AQ62" i="17" s="1" a="1"/>
  <c r="AQ62" i="17" s="1"/>
  <c r="AO63" i="17"/>
  <c r="AQ63" i="17" s="1" a="1"/>
  <c r="AQ63" i="17" s="1"/>
  <c r="AO64" i="17"/>
  <c r="AQ64" i="17" s="1" a="1"/>
  <c r="AQ64" i="17" s="1"/>
  <c r="AO65" i="17"/>
  <c r="AQ65" i="17" s="1" a="1"/>
  <c r="AQ65" i="17" s="1"/>
  <c r="AO66" i="17"/>
  <c r="AQ66" i="17" s="1" a="1"/>
  <c r="AQ66" i="17" s="1"/>
  <c r="AO67" i="17"/>
  <c r="AQ67" i="17" s="1" a="1"/>
  <c r="AQ67" i="17" s="1"/>
  <c r="AO68" i="17"/>
  <c r="AQ68" i="17" s="1" a="1"/>
  <c r="AQ68" i="17" s="1"/>
  <c r="AO69" i="17"/>
  <c r="AQ69" i="17" s="1" a="1"/>
  <c r="AQ69" i="17" s="1"/>
  <c r="AO70" i="17"/>
  <c r="AQ70" i="17" s="1" a="1"/>
  <c r="AQ70" i="17" s="1"/>
  <c r="AO71" i="17"/>
  <c r="AQ71" i="17" s="1" a="1"/>
  <c r="AQ71" i="17" s="1"/>
  <c r="AO72" i="17"/>
  <c r="AQ72" i="17" s="1" a="1"/>
  <c r="AQ72" i="17" s="1"/>
  <c r="AO73" i="17"/>
  <c r="AQ73" i="17" s="1" a="1"/>
  <c r="AQ73" i="17" s="1"/>
  <c r="AO74" i="17"/>
  <c r="AQ74" i="17" s="1" a="1"/>
  <c r="AQ74" i="17" s="1"/>
  <c r="AO75" i="17"/>
  <c r="AQ75" i="17" s="1" a="1"/>
  <c r="AQ75" i="17" s="1"/>
  <c r="AO76" i="17"/>
  <c r="AQ76" i="17" s="1" a="1"/>
  <c r="AQ76" i="17" s="1"/>
  <c r="AO77" i="17"/>
  <c r="AQ77" i="17" s="1" a="1"/>
  <c r="AQ77" i="17" s="1"/>
  <c r="AO78" i="17"/>
  <c r="AQ78" i="17" s="1" a="1"/>
  <c r="AQ78" i="17" s="1"/>
  <c r="AO79" i="17"/>
  <c r="AQ79" i="17" s="1" a="1"/>
  <c r="AQ79" i="17" s="1"/>
  <c r="AO80" i="17"/>
  <c r="AQ80" i="17" s="1" a="1"/>
  <c r="AQ80" i="17" s="1"/>
  <c r="AO81" i="17"/>
  <c r="AQ81" i="17" s="1" a="1"/>
  <c r="AQ81" i="17" s="1"/>
  <c r="AO82" i="17"/>
  <c r="AQ82" i="17" s="1" a="1"/>
  <c r="AQ82" i="17" s="1"/>
  <c r="AO83" i="17"/>
  <c r="AQ83" i="17" s="1" a="1"/>
  <c r="AQ83" i="17" s="1"/>
  <c r="AO84" i="17"/>
  <c r="AQ84" i="17" s="1" a="1"/>
  <c r="AQ84" i="17" s="1"/>
  <c r="AO85" i="17"/>
  <c r="AQ85" i="17" s="1" a="1"/>
  <c r="AQ85" i="17" s="1"/>
  <c r="AO86" i="17"/>
  <c r="AQ86" i="17" s="1" a="1"/>
  <c r="AQ86" i="17" s="1"/>
  <c r="AO87" i="17"/>
  <c r="AQ87" i="17" s="1" a="1"/>
  <c r="AQ87" i="17" s="1"/>
  <c r="AO88" i="17"/>
  <c r="AQ88" i="17" s="1" a="1"/>
  <c r="AQ88" i="17" s="1"/>
  <c r="AO89" i="17"/>
  <c r="AQ89" i="17" s="1" a="1"/>
  <c r="AQ89" i="17" s="1"/>
  <c r="AO90" i="17"/>
  <c r="AQ90" i="17" s="1" a="1"/>
  <c r="AQ90" i="17" s="1"/>
  <c r="AO91" i="17"/>
  <c r="AQ91" i="17" s="1" a="1"/>
  <c r="AQ91" i="17" s="1"/>
  <c r="AO92" i="17"/>
  <c r="AQ92" i="17" s="1" a="1"/>
  <c r="AQ92" i="17" s="1"/>
  <c r="AO93" i="17"/>
  <c r="AQ93" i="17" s="1" a="1"/>
  <c r="AQ93" i="17" s="1"/>
  <c r="AO94" i="17"/>
  <c r="AQ94" i="17" s="1" a="1"/>
  <c r="AQ94" i="17" s="1"/>
  <c r="AO95" i="17"/>
  <c r="AQ95" i="17" s="1" a="1"/>
  <c r="AQ95" i="17" s="1"/>
  <c r="AO96" i="17"/>
  <c r="AQ96" i="17" s="1" a="1"/>
  <c r="AQ96" i="17" s="1"/>
  <c r="AO97" i="17"/>
  <c r="AQ97" i="17" s="1" a="1"/>
  <c r="AQ97" i="17" s="1"/>
  <c r="AO98" i="17"/>
  <c r="AQ98" i="17" s="1" a="1"/>
  <c r="AQ98" i="17" s="1"/>
  <c r="AO99" i="17"/>
  <c r="AQ99" i="17" s="1" a="1"/>
  <c r="AQ99" i="17" s="1"/>
  <c r="AO100" i="17"/>
  <c r="AQ100" i="17" s="1" a="1"/>
  <c r="AQ100" i="17" s="1"/>
  <c r="AO101" i="17"/>
  <c r="AQ101" i="17" s="1" a="1"/>
  <c r="AQ101" i="17" s="1"/>
  <c r="AO102" i="17"/>
  <c r="AQ102" i="17" s="1" a="1"/>
  <c r="AQ102" i="17" s="1"/>
  <c r="AO103" i="17"/>
  <c r="AQ103" i="17" s="1" a="1"/>
  <c r="AQ103" i="17" s="1"/>
  <c r="AO104" i="17"/>
  <c r="AQ104" i="17" s="1" a="1"/>
  <c r="AQ104" i="17" s="1"/>
  <c r="AO105" i="17"/>
  <c r="AQ105" i="17" s="1" a="1"/>
  <c r="AQ105" i="17" s="1"/>
  <c r="AO106" i="17"/>
  <c r="AQ106" i="17" s="1" a="1"/>
  <c r="AQ106" i="17" s="1"/>
  <c r="AO107" i="17"/>
  <c r="AQ107" i="17" s="1" a="1"/>
  <c r="AQ107" i="17" s="1"/>
  <c r="AO108" i="17"/>
  <c r="AQ108" i="17" s="1" a="1"/>
  <c r="AQ108" i="17" s="1"/>
  <c r="AO109" i="17"/>
  <c r="AQ109" i="17" s="1" a="1"/>
  <c r="AQ109" i="17" s="1"/>
  <c r="AO110" i="17"/>
  <c r="AQ110" i="17" s="1" a="1"/>
  <c r="AQ110" i="17" s="1"/>
  <c r="AO111" i="17"/>
  <c r="AQ111" i="17" s="1" a="1"/>
  <c r="AQ111" i="17" s="1"/>
  <c r="AO112" i="17"/>
  <c r="AQ112" i="17" s="1" a="1"/>
  <c r="AQ112" i="17" s="1"/>
  <c r="AO113" i="17"/>
  <c r="AQ113" i="17" s="1" a="1"/>
  <c r="AQ113" i="17" s="1"/>
  <c r="AO114" i="17"/>
  <c r="AQ114" i="17" s="1" a="1"/>
  <c r="AQ114" i="17" s="1"/>
  <c r="AO115" i="17"/>
  <c r="AQ115" i="17" s="1" a="1"/>
  <c r="AQ115" i="17" s="1"/>
  <c r="AO116" i="17"/>
  <c r="AQ116" i="17" s="1" a="1"/>
  <c r="AQ116" i="17" s="1"/>
  <c r="AO117" i="17"/>
  <c r="AQ117" i="17" s="1" a="1"/>
  <c r="AQ117" i="17" s="1"/>
  <c r="AO118" i="17"/>
  <c r="AQ118" i="17" s="1" a="1"/>
  <c r="AQ118" i="17" s="1"/>
  <c r="AO119" i="17"/>
  <c r="AQ119" i="17" s="1" a="1"/>
  <c r="AQ119" i="17" s="1"/>
  <c r="AO120" i="17"/>
  <c r="AQ120" i="17" s="1" a="1"/>
  <c r="AQ120" i="17" s="1"/>
  <c r="AO121" i="17"/>
  <c r="AQ121" i="17" s="1" a="1"/>
  <c r="AQ121" i="17" s="1"/>
  <c r="AO122" i="17"/>
  <c r="AQ122" i="17" s="1" a="1"/>
  <c r="AQ122" i="17" s="1"/>
  <c r="AO123" i="17"/>
  <c r="AQ123" i="17" s="1" a="1"/>
  <c r="AQ123" i="17" s="1"/>
  <c r="AO124" i="17"/>
  <c r="AQ124" i="17" s="1" a="1"/>
  <c r="AQ124" i="17" s="1"/>
  <c r="AO125" i="17"/>
  <c r="AQ125" i="17" s="1" a="1"/>
  <c r="AQ125" i="17" s="1"/>
  <c r="AO126" i="17"/>
  <c r="AQ126" i="17" s="1" a="1"/>
  <c r="AQ126" i="17" s="1"/>
  <c r="AO127" i="17"/>
  <c r="AQ127" i="17" s="1" a="1"/>
  <c r="AQ127" i="17" s="1"/>
  <c r="AO128" i="17"/>
  <c r="AQ128" i="17" s="1" a="1"/>
  <c r="AQ128" i="17" s="1"/>
  <c r="AO129" i="17"/>
  <c r="AQ129" i="17" s="1" a="1"/>
  <c r="AQ129" i="17" s="1"/>
  <c r="AO130" i="17"/>
  <c r="AQ130" i="17" s="1" a="1"/>
  <c r="AQ130" i="17" s="1"/>
  <c r="AO131" i="17"/>
  <c r="AQ131" i="17" s="1" a="1"/>
  <c r="AQ131" i="17" s="1"/>
  <c r="AO132" i="17"/>
  <c r="AQ132" i="17" s="1" a="1"/>
  <c r="AQ132" i="17" s="1"/>
  <c r="AO133" i="17"/>
  <c r="AQ133" i="17" s="1" a="1"/>
  <c r="AQ133" i="17" s="1"/>
  <c r="AO134" i="17"/>
  <c r="AQ134" i="17" s="1" a="1"/>
  <c r="AQ134" i="17" s="1"/>
  <c r="AO135" i="17"/>
  <c r="AQ135" i="17" s="1" a="1"/>
  <c r="AQ135" i="17" s="1"/>
  <c r="AO136" i="17"/>
  <c r="AQ136" i="17" s="1" a="1"/>
  <c r="AQ136" i="17" s="1"/>
  <c r="AO137" i="17"/>
  <c r="AQ137" i="17" s="1" a="1"/>
  <c r="AQ137" i="17" s="1"/>
  <c r="AO138" i="17"/>
  <c r="AQ138" i="17" s="1" a="1"/>
  <c r="AQ138" i="17" s="1"/>
  <c r="AO139" i="17"/>
  <c r="AQ139" i="17" s="1" a="1"/>
  <c r="AQ139" i="17" s="1"/>
  <c r="AO140" i="17"/>
  <c r="AQ140" i="17" s="1" a="1"/>
  <c r="AQ140" i="17" s="1"/>
  <c r="AO141" i="17"/>
  <c r="AQ141" i="17" s="1" a="1"/>
  <c r="AQ141" i="17" s="1"/>
  <c r="AO142" i="17"/>
  <c r="AQ142" i="17" s="1" a="1"/>
  <c r="AQ142" i="17" s="1"/>
  <c r="AO143" i="17"/>
  <c r="AQ143" i="17" s="1" a="1"/>
  <c r="AQ143" i="17" s="1"/>
  <c r="AO144" i="17"/>
  <c r="AQ144" i="17" s="1" a="1"/>
  <c r="AQ144" i="17" s="1"/>
  <c r="AO145" i="17"/>
  <c r="AQ145" i="17" s="1" a="1"/>
  <c r="AQ145" i="17" s="1"/>
  <c r="AO146" i="17"/>
  <c r="AQ146" i="17" s="1" a="1"/>
  <c r="AQ146" i="17" s="1"/>
  <c r="AO147" i="17"/>
  <c r="AQ147" i="17" s="1" a="1"/>
  <c r="AQ147" i="17" s="1"/>
  <c r="AO148" i="17"/>
  <c r="AQ148" i="17" s="1" a="1"/>
  <c r="AQ148" i="17" s="1"/>
  <c r="AO149" i="17"/>
  <c r="AQ149" i="17" s="1" a="1"/>
  <c r="AQ149" i="17" s="1"/>
  <c r="AO150" i="17"/>
  <c r="AQ150" i="17" s="1" a="1"/>
  <c r="AQ150" i="17" s="1"/>
  <c r="AO151" i="17"/>
  <c r="AQ151" i="17" s="1" a="1"/>
  <c r="AQ151" i="17" s="1"/>
  <c r="AO152" i="17"/>
  <c r="AQ152" i="17" s="1" a="1"/>
  <c r="AQ152" i="17" s="1"/>
  <c r="AO153" i="17"/>
  <c r="AQ153" i="17" s="1" a="1"/>
  <c r="AQ153" i="17" s="1"/>
  <c r="AO154" i="17"/>
  <c r="AQ154" i="17" s="1" a="1"/>
  <c r="AQ154" i="17" s="1"/>
  <c r="AO155" i="17"/>
  <c r="AQ155" i="17" s="1" a="1"/>
  <c r="AQ155" i="17" s="1"/>
  <c r="AO156" i="17"/>
  <c r="AQ156" i="17" s="1" a="1"/>
  <c r="AQ156" i="17" s="1"/>
  <c r="AO157" i="17"/>
  <c r="AQ157" i="17" s="1" a="1"/>
  <c r="AQ157" i="17" s="1"/>
  <c r="AO158" i="17"/>
  <c r="AQ158" i="17" s="1" a="1"/>
  <c r="AQ158" i="17" s="1"/>
  <c r="AO159" i="17"/>
  <c r="AQ159" i="17" s="1" a="1"/>
  <c r="AQ159" i="17" s="1"/>
  <c r="AO160" i="17"/>
  <c r="AQ160" i="17" s="1" a="1"/>
  <c r="AQ160" i="17" s="1"/>
  <c r="AO161" i="17"/>
  <c r="AQ161" i="17" s="1" a="1"/>
  <c r="AQ161" i="17" s="1"/>
  <c r="AO162" i="17"/>
  <c r="AQ162" i="17" s="1" a="1"/>
  <c r="AQ162" i="17" s="1"/>
  <c r="AO163" i="17"/>
  <c r="AQ163" i="17" s="1" a="1"/>
  <c r="AQ163" i="17" s="1"/>
  <c r="AO164" i="17"/>
  <c r="AQ164" i="17" s="1" a="1"/>
  <c r="AQ164" i="17" s="1"/>
  <c r="AO165" i="17"/>
  <c r="AQ165" i="17" s="1" a="1"/>
  <c r="AQ165" i="17" s="1"/>
  <c r="AO166" i="17"/>
  <c r="AQ166" i="17" s="1" a="1"/>
  <c r="AQ166" i="17" s="1"/>
  <c r="AO167" i="17"/>
  <c r="AQ167" i="17" s="1" a="1"/>
  <c r="AQ167" i="17" s="1"/>
  <c r="AO168" i="17"/>
  <c r="AQ168" i="17" s="1" a="1"/>
  <c r="AQ168" i="17" s="1"/>
  <c r="AO169" i="17"/>
  <c r="AQ169" i="17" s="1" a="1"/>
  <c r="AQ169" i="17" s="1"/>
  <c r="AO170" i="17"/>
  <c r="AQ170" i="17" s="1" a="1"/>
  <c r="AQ170" i="17" s="1"/>
  <c r="AO171" i="17"/>
  <c r="AQ171" i="17" s="1" a="1"/>
  <c r="AQ171" i="17" s="1"/>
  <c r="AO172" i="17"/>
  <c r="AQ172" i="17" s="1" a="1"/>
  <c r="AQ172" i="17" s="1"/>
  <c r="AO173" i="17"/>
  <c r="AQ173" i="17" s="1" a="1"/>
  <c r="AQ173" i="17" s="1"/>
  <c r="AO174" i="17"/>
  <c r="AQ174" i="17" s="1" a="1"/>
  <c r="AQ174" i="17" s="1"/>
  <c r="AO175" i="17"/>
  <c r="AQ175" i="17" s="1" a="1"/>
  <c r="AQ175" i="17" s="1"/>
  <c r="AO176" i="17"/>
  <c r="AQ176" i="17" s="1" a="1"/>
  <c r="AQ176" i="17" s="1"/>
  <c r="AO177" i="17"/>
  <c r="AQ177" i="17" s="1" a="1"/>
  <c r="AQ177" i="17" s="1"/>
  <c r="AO178" i="17"/>
  <c r="AQ178" i="17" s="1" a="1"/>
  <c r="AQ178" i="17" s="1"/>
  <c r="AO179" i="17"/>
  <c r="AQ179" i="17" s="1" a="1"/>
  <c r="AQ179" i="17" s="1"/>
  <c r="AO180" i="17"/>
  <c r="AQ180" i="17" s="1" a="1"/>
  <c r="AQ180" i="17" s="1"/>
  <c r="AO181" i="17"/>
  <c r="AQ181" i="17" s="1" a="1"/>
  <c r="AQ181" i="17" s="1"/>
  <c r="AO182" i="17"/>
  <c r="AQ182" i="17" s="1" a="1"/>
  <c r="AQ182" i="17" s="1"/>
  <c r="AO183" i="17"/>
  <c r="AQ183" i="17" s="1" a="1"/>
  <c r="AQ183" i="17" s="1"/>
  <c r="AO184" i="17"/>
  <c r="AQ184" i="17" s="1" a="1"/>
  <c r="AQ184" i="17" s="1"/>
  <c r="AO185" i="17"/>
  <c r="AQ185" i="17" s="1" a="1"/>
  <c r="AQ185" i="17" s="1"/>
  <c r="AO186" i="17"/>
  <c r="AQ186" i="17" s="1" a="1"/>
  <c r="AQ186" i="17" s="1"/>
  <c r="AO187" i="17"/>
  <c r="AQ187" i="17" s="1" a="1"/>
  <c r="AQ187" i="17" s="1"/>
  <c r="AO188" i="17"/>
  <c r="AQ188" i="17" s="1" a="1"/>
  <c r="AQ188" i="17" s="1"/>
  <c r="AO189" i="17"/>
  <c r="AQ189" i="17" s="1" a="1"/>
  <c r="AQ189" i="17" s="1"/>
  <c r="AO190" i="17"/>
  <c r="AQ190" i="17" s="1" a="1"/>
  <c r="AQ190" i="17" s="1"/>
  <c r="AO191" i="17"/>
  <c r="AQ191" i="17" s="1" a="1"/>
  <c r="AQ191" i="17" s="1"/>
  <c r="AO192" i="17"/>
  <c r="AQ192" i="17" s="1" a="1"/>
  <c r="AQ192" i="17" s="1"/>
  <c r="AO193" i="17"/>
  <c r="AQ193" i="17" s="1" a="1"/>
  <c r="AQ193" i="17" s="1"/>
  <c r="AO194" i="17"/>
  <c r="AQ194" i="17" s="1" a="1"/>
  <c r="AQ194" i="17" s="1"/>
  <c r="AO195" i="17"/>
  <c r="AQ195" i="17" s="1" a="1"/>
  <c r="AQ195" i="17" s="1"/>
  <c r="AO196" i="17"/>
  <c r="AQ196" i="17" s="1" a="1"/>
  <c r="AQ196" i="17" s="1"/>
  <c r="AO197" i="17"/>
  <c r="AQ197" i="17" s="1" a="1"/>
  <c r="AQ197" i="17" s="1"/>
  <c r="AO198" i="17"/>
  <c r="AQ198" i="17" s="1" a="1"/>
  <c r="AQ198" i="17" s="1"/>
  <c r="AO199" i="17"/>
  <c r="AQ199" i="17" s="1" a="1"/>
  <c r="AQ199" i="17" s="1"/>
  <c r="AO200" i="17"/>
  <c r="AQ200" i="17" s="1" a="1"/>
  <c r="AQ200" i="17" s="1"/>
  <c r="AO201" i="17"/>
  <c r="AQ201" i="17" s="1" a="1"/>
  <c r="AQ201" i="17" s="1"/>
  <c r="AO202" i="17"/>
  <c r="AQ202" i="17" s="1" a="1"/>
  <c r="AQ202" i="17" s="1"/>
  <c r="AO203" i="17"/>
  <c r="AQ203" i="17" s="1" a="1"/>
  <c r="AQ203" i="17" s="1"/>
  <c r="AO204" i="17"/>
  <c r="AQ204" i="17" s="1" a="1"/>
  <c r="AQ204" i="17" s="1"/>
  <c r="AO205" i="17"/>
  <c r="AQ205" i="17" s="1" a="1"/>
  <c r="AQ205" i="17" s="1"/>
  <c r="AO206" i="17"/>
  <c r="AQ206" i="17" s="1" a="1"/>
  <c r="AQ206" i="17" s="1"/>
  <c r="AO207" i="17"/>
  <c r="AQ207" i="17" s="1" a="1"/>
  <c r="AQ207" i="17" s="1"/>
  <c r="AO208" i="17"/>
  <c r="AQ208" i="17" s="1" a="1"/>
  <c r="AQ208" i="17" s="1"/>
  <c r="AO209" i="17"/>
  <c r="AQ209" i="17" s="1" a="1"/>
  <c r="AQ209" i="17" s="1"/>
  <c r="AO210" i="17"/>
  <c r="AQ210" i="17" s="1" a="1"/>
  <c r="AQ210" i="17" s="1"/>
  <c r="AO211" i="17"/>
  <c r="AQ211" i="17" s="1" a="1"/>
  <c r="AQ211" i="17" s="1"/>
  <c r="AO212" i="17"/>
  <c r="AQ212" i="17" s="1" a="1"/>
  <c r="AQ212" i="17" s="1"/>
  <c r="AO213" i="17"/>
  <c r="AQ213" i="17" s="1" a="1"/>
  <c r="AQ213" i="17" s="1"/>
  <c r="AO214" i="17"/>
  <c r="AQ214" i="17" s="1" a="1"/>
  <c r="AQ214" i="17" s="1"/>
  <c r="AO215" i="17"/>
  <c r="AQ215" i="17" s="1" a="1"/>
  <c r="AQ215" i="17" s="1"/>
  <c r="AO216" i="17"/>
  <c r="AQ216" i="17" s="1" a="1"/>
  <c r="AQ216" i="17" s="1"/>
  <c r="AO217" i="17"/>
  <c r="AQ217" i="17" s="1" a="1"/>
  <c r="AQ217" i="17" s="1"/>
  <c r="AO218" i="17"/>
  <c r="AQ218" i="17" s="1" a="1"/>
  <c r="AQ218" i="17" s="1"/>
  <c r="AO219" i="17"/>
  <c r="AQ219" i="17" s="1" a="1"/>
  <c r="AQ219" i="17" s="1"/>
  <c r="AO220" i="17"/>
  <c r="AQ220" i="17" s="1" a="1"/>
  <c r="AQ220" i="17" s="1"/>
  <c r="AO221" i="17"/>
  <c r="AQ221" i="17" s="1" a="1"/>
  <c r="AQ221" i="17" s="1"/>
  <c r="AO222" i="17"/>
  <c r="AQ222" i="17" s="1" a="1"/>
  <c r="AQ222" i="17" s="1"/>
  <c r="AO223" i="17"/>
  <c r="AQ223" i="17" s="1" a="1"/>
  <c r="AQ223" i="17" s="1"/>
  <c r="AO224" i="17"/>
  <c r="AQ224" i="17" s="1" a="1"/>
  <c r="AQ224" i="17" s="1"/>
  <c r="AO225" i="17"/>
  <c r="AQ225" i="17" s="1" a="1"/>
  <c r="AQ225" i="17" s="1"/>
  <c r="AO226" i="17"/>
  <c r="AQ226" i="17" s="1" a="1"/>
  <c r="AQ226" i="17" s="1"/>
  <c r="AO227" i="17"/>
  <c r="AQ227" i="17" s="1" a="1"/>
  <c r="AQ227" i="17" s="1"/>
  <c r="AO228" i="17"/>
  <c r="AQ228" i="17" s="1" a="1"/>
  <c r="AQ228" i="17" s="1"/>
  <c r="AO229" i="17"/>
  <c r="AQ229" i="17" s="1" a="1"/>
  <c r="AQ229" i="17" s="1"/>
  <c r="AO230" i="17"/>
  <c r="AQ230" i="17" s="1" a="1"/>
  <c r="AQ230" i="17" s="1"/>
  <c r="AO231" i="17"/>
  <c r="AQ231" i="17" s="1" a="1"/>
  <c r="AQ231" i="17" s="1"/>
  <c r="AO232" i="17"/>
  <c r="AQ232" i="17" s="1" a="1"/>
  <c r="AQ232" i="17" s="1"/>
  <c r="AO233" i="17"/>
  <c r="AQ233" i="17" s="1" a="1"/>
  <c r="AQ233" i="17" s="1"/>
  <c r="AO234" i="17"/>
  <c r="AQ234" i="17" s="1" a="1"/>
  <c r="AQ234" i="17" s="1"/>
  <c r="AO235" i="17"/>
  <c r="AQ235" i="17" s="1" a="1"/>
  <c r="AQ235" i="17" s="1"/>
  <c r="AO236" i="17"/>
  <c r="AQ236" i="17" s="1" a="1"/>
  <c r="AQ236" i="17" s="1"/>
  <c r="AO237" i="17"/>
  <c r="AQ237" i="17" s="1" a="1"/>
  <c r="AQ237" i="17" s="1"/>
  <c r="AO238" i="17"/>
  <c r="AQ238" i="17" s="1" a="1"/>
  <c r="AQ238" i="17" s="1"/>
  <c r="AO239" i="17"/>
  <c r="AQ239" i="17" s="1" a="1"/>
  <c r="AQ239" i="17" s="1"/>
  <c r="AO240" i="17"/>
  <c r="AQ240" i="17" s="1" a="1"/>
  <c r="AQ240" i="17" s="1"/>
  <c r="AO241" i="17"/>
  <c r="AQ241" i="17" s="1" a="1"/>
  <c r="AQ241" i="17" s="1"/>
  <c r="AO242" i="17"/>
  <c r="AQ242" i="17" s="1" a="1"/>
  <c r="AQ242" i="17" s="1"/>
  <c r="AO243" i="17"/>
  <c r="AQ243" i="17" s="1" a="1"/>
  <c r="AQ243" i="17" s="1"/>
  <c r="AO244" i="17"/>
  <c r="AQ244" i="17" s="1" a="1"/>
  <c r="AQ244" i="17" s="1"/>
  <c r="AO245" i="17"/>
  <c r="AQ245" i="17" s="1" a="1"/>
  <c r="AQ245" i="17" s="1"/>
  <c r="AO246" i="17"/>
  <c r="AQ246" i="17" s="1" a="1"/>
  <c r="AQ246" i="17" s="1"/>
  <c r="AO247" i="17"/>
  <c r="AQ247" i="17" s="1" a="1"/>
  <c r="AQ247" i="17" s="1"/>
  <c r="AO248" i="17"/>
  <c r="AQ248" i="17" s="1" a="1"/>
  <c r="AQ248" i="17" s="1"/>
  <c r="AO249" i="17"/>
  <c r="AQ249" i="17" s="1" a="1"/>
  <c r="AQ249" i="17" s="1"/>
  <c r="AO250" i="17"/>
  <c r="AQ250" i="17" s="1" a="1"/>
  <c r="AQ250" i="17" s="1"/>
  <c r="AO251" i="17"/>
  <c r="AQ251" i="17" s="1" a="1"/>
  <c r="AQ251" i="17" s="1"/>
  <c r="AO252" i="17"/>
  <c r="AQ252" i="17" s="1" a="1"/>
  <c r="AQ252" i="17" s="1"/>
  <c r="AO253" i="17"/>
  <c r="AQ253" i="17" s="1" a="1"/>
  <c r="AQ253" i="17" s="1"/>
  <c r="AO254" i="17"/>
  <c r="AQ254" i="17" s="1" a="1"/>
  <c r="AQ254" i="17" s="1"/>
  <c r="AO255" i="17"/>
  <c r="AQ255" i="17" s="1" a="1"/>
  <c r="AQ255" i="17" s="1"/>
  <c r="AO256" i="17"/>
  <c r="AQ256" i="17" s="1" a="1"/>
  <c r="AQ256" i="17" s="1"/>
  <c r="AO257" i="17"/>
  <c r="AQ257" i="17" s="1" a="1"/>
  <c r="AQ257" i="17" s="1"/>
  <c r="AO258" i="17"/>
  <c r="AQ258" i="17" s="1" a="1"/>
  <c r="AQ258" i="17" s="1"/>
  <c r="AO259" i="17"/>
  <c r="AQ259" i="17" s="1" a="1"/>
  <c r="AQ259" i="17" s="1"/>
  <c r="AO260" i="17"/>
  <c r="AQ260" i="17" s="1" a="1"/>
  <c r="AQ260" i="17" s="1"/>
  <c r="AO261" i="17"/>
  <c r="AQ261" i="17" s="1" a="1"/>
  <c r="AQ261" i="17" s="1"/>
  <c r="AO262" i="17"/>
  <c r="AQ262" i="17" s="1" a="1"/>
  <c r="AQ262" i="17" s="1"/>
  <c r="AO263" i="17"/>
  <c r="AQ263" i="17" s="1" a="1"/>
  <c r="AQ263" i="17" s="1"/>
  <c r="AO264" i="17"/>
  <c r="AQ264" i="17" s="1" a="1"/>
  <c r="AQ264" i="17" s="1"/>
  <c r="AO265" i="17"/>
  <c r="AQ265" i="17" s="1" a="1"/>
  <c r="AQ265" i="17" s="1"/>
  <c r="AO266" i="17"/>
  <c r="AQ266" i="17" s="1" a="1"/>
  <c r="AQ266" i="17" s="1"/>
  <c r="AO267" i="17"/>
  <c r="AQ267" i="17" s="1" a="1"/>
  <c r="AQ267" i="17" s="1"/>
  <c r="AO268" i="17"/>
  <c r="AQ268" i="17" s="1" a="1"/>
  <c r="AQ268" i="17" s="1"/>
  <c r="AO269" i="17"/>
  <c r="AQ269" i="17" s="1" a="1"/>
  <c r="AQ269" i="17" s="1"/>
  <c r="AO270" i="17"/>
  <c r="AQ270" i="17" s="1" a="1"/>
  <c r="AQ270" i="17" s="1"/>
  <c r="AO271" i="17"/>
  <c r="AQ271" i="17" s="1" a="1"/>
  <c r="AQ271" i="17" s="1"/>
  <c r="AO272" i="17"/>
  <c r="AQ272" i="17" s="1" a="1"/>
  <c r="AQ272" i="17" s="1"/>
  <c r="AO273" i="17"/>
  <c r="AQ273" i="17" s="1" a="1"/>
  <c r="AQ273" i="17" s="1"/>
  <c r="AO274" i="17"/>
  <c r="AQ274" i="17" s="1" a="1"/>
  <c r="AQ274" i="17" s="1"/>
  <c r="AO275" i="17"/>
  <c r="AQ275" i="17" s="1" a="1"/>
  <c r="AQ275" i="17" s="1"/>
  <c r="AO276" i="17"/>
  <c r="AQ276" i="17" s="1" a="1"/>
  <c r="AQ276" i="17" s="1"/>
  <c r="AO277" i="17"/>
  <c r="AQ277" i="17" s="1" a="1"/>
  <c r="AQ277" i="17" s="1"/>
  <c r="AO278" i="17"/>
  <c r="AQ278" i="17" s="1" a="1"/>
  <c r="AQ278" i="17" s="1"/>
  <c r="AO279" i="17"/>
  <c r="AQ279" i="17" s="1" a="1"/>
  <c r="AQ279" i="17" s="1"/>
  <c r="AO280" i="17"/>
  <c r="AQ280" i="17" s="1" a="1"/>
  <c r="AQ280" i="17" s="1"/>
  <c r="AO281" i="17"/>
  <c r="AQ281" i="17" s="1" a="1"/>
  <c r="AQ281" i="17" s="1"/>
  <c r="AO282" i="17"/>
  <c r="AQ282" i="17" s="1" a="1"/>
  <c r="AQ282" i="17" s="1"/>
  <c r="AO283" i="17"/>
  <c r="AQ283" i="17" s="1" a="1"/>
  <c r="AQ283" i="17" s="1"/>
  <c r="AO284" i="17"/>
  <c r="AQ284" i="17" s="1" a="1"/>
  <c r="AQ284" i="17" s="1"/>
  <c r="AO285" i="17"/>
  <c r="AQ285" i="17" s="1" a="1"/>
  <c r="AQ285" i="17" s="1"/>
  <c r="AO286" i="17"/>
  <c r="AQ286" i="17" s="1" a="1"/>
  <c r="AQ286" i="17" s="1"/>
  <c r="AO287" i="17"/>
  <c r="AQ287" i="17" s="1" a="1"/>
  <c r="AQ287" i="17" s="1"/>
  <c r="AO288" i="17"/>
  <c r="AQ288" i="17" s="1" a="1"/>
  <c r="AQ288" i="17" s="1"/>
  <c r="AO289" i="17"/>
  <c r="AQ289" i="17" s="1" a="1"/>
  <c r="AQ289" i="17" s="1"/>
  <c r="AO290" i="17"/>
  <c r="AQ290" i="17" s="1" a="1"/>
  <c r="AQ290" i="17" s="1"/>
  <c r="AO291" i="17"/>
  <c r="AQ291" i="17" s="1" a="1"/>
  <c r="AQ291" i="17" s="1"/>
  <c r="AO292" i="17"/>
  <c r="AQ292" i="17" s="1" a="1"/>
  <c r="AQ292" i="17" s="1"/>
  <c r="AO293" i="17"/>
  <c r="AQ293" i="17" s="1" a="1"/>
  <c r="AQ293" i="17" s="1"/>
  <c r="AO294" i="17"/>
  <c r="AQ294" i="17" s="1" a="1"/>
  <c r="AQ294" i="17" s="1"/>
  <c r="AO295" i="17"/>
  <c r="AQ295" i="17" s="1" a="1"/>
  <c r="AQ295" i="17" s="1"/>
  <c r="AO296" i="17"/>
  <c r="AQ296" i="17" s="1" a="1"/>
  <c r="AQ296" i="17" s="1"/>
  <c r="AO297" i="17"/>
  <c r="AQ297" i="17" s="1" a="1"/>
  <c r="AQ297" i="17" s="1"/>
  <c r="AO298" i="17"/>
  <c r="AQ298" i="17" s="1" a="1"/>
  <c r="AQ298" i="17" s="1"/>
  <c r="AO299" i="17"/>
  <c r="AQ299" i="17" s="1" a="1"/>
  <c r="AQ299" i="17" s="1"/>
  <c r="AO300" i="17"/>
  <c r="AQ300" i="17" s="1" a="1"/>
  <c r="AQ300" i="17" s="1"/>
  <c r="AO301" i="17"/>
  <c r="AQ301" i="17" s="1" a="1"/>
  <c r="AQ301" i="17" s="1"/>
  <c r="AO302" i="17"/>
  <c r="AQ302" i="17" s="1" a="1"/>
  <c r="AQ302" i="17" s="1"/>
  <c r="AO303" i="17"/>
  <c r="AQ303" i="17" s="1" a="1"/>
  <c r="AQ303" i="17" s="1"/>
  <c r="AO304" i="17"/>
  <c r="AQ304" i="17" s="1" a="1"/>
  <c r="AQ304" i="17" s="1"/>
  <c r="AO305" i="17"/>
  <c r="AQ305" i="17" s="1" a="1"/>
  <c r="AQ305" i="17" s="1"/>
  <c r="AO306" i="17"/>
  <c r="AQ306" i="17" s="1" a="1"/>
  <c r="AQ306" i="17" s="1"/>
  <c r="AO307" i="17"/>
  <c r="AQ307" i="17" s="1" a="1"/>
  <c r="AQ307" i="17" s="1"/>
  <c r="AO308" i="17"/>
  <c r="AQ308" i="17" s="1" a="1"/>
  <c r="AQ308" i="17" s="1"/>
  <c r="AO309" i="17"/>
  <c r="AQ309" i="17" s="1" a="1"/>
  <c r="AQ309" i="17" s="1"/>
  <c r="AO310" i="17"/>
  <c r="AQ310" i="17" s="1" a="1"/>
  <c r="AQ310" i="17" s="1"/>
  <c r="AO311" i="17"/>
  <c r="AQ311" i="17" s="1" a="1"/>
  <c r="AQ311" i="17" s="1"/>
  <c r="AO312" i="17"/>
  <c r="AQ312" i="17" s="1" a="1"/>
  <c r="AQ312" i="17" s="1"/>
  <c r="AO313" i="17"/>
  <c r="AQ313" i="17" s="1" a="1"/>
  <c r="AQ313" i="17" s="1"/>
  <c r="AO314" i="17"/>
  <c r="AQ314" i="17" s="1" a="1"/>
  <c r="AQ314" i="17" s="1"/>
  <c r="AO315" i="17"/>
  <c r="AQ315" i="17" s="1" a="1"/>
  <c r="AQ315" i="17" s="1"/>
  <c r="AO316" i="17"/>
  <c r="AQ316" i="17" s="1" a="1"/>
  <c r="AQ316" i="17" s="1"/>
  <c r="AO317" i="17"/>
  <c r="AQ317" i="17" s="1" a="1"/>
  <c r="AQ317" i="17" s="1"/>
  <c r="AO318" i="17"/>
  <c r="AQ318" i="17" s="1" a="1"/>
  <c r="AQ318" i="17" s="1"/>
  <c r="AO319" i="17"/>
  <c r="AQ319" i="17" s="1" a="1"/>
  <c r="AQ319" i="17" s="1"/>
  <c r="AO320" i="17"/>
  <c r="AQ320" i="17" s="1" a="1"/>
  <c r="AQ320" i="17" s="1"/>
  <c r="AO321" i="17"/>
  <c r="AQ321" i="17" s="1" a="1"/>
  <c r="AQ321" i="17" s="1"/>
  <c r="AO322" i="17"/>
  <c r="AQ322" i="17" s="1" a="1"/>
  <c r="AQ322" i="17" s="1"/>
  <c r="AO323" i="17"/>
  <c r="AQ323" i="17" s="1" a="1"/>
  <c r="AQ323" i="17" s="1"/>
  <c r="AO324" i="17"/>
  <c r="AQ324" i="17" s="1" a="1"/>
  <c r="AQ324" i="17" s="1"/>
  <c r="AO325" i="17"/>
  <c r="AQ325" i="17" s="1" a="1"/>
  <c r="AQ325" i="17" s="1"/>
  <c r="AO326" i="17"/>
  <c r="AQ326" i="17" s="1" a="1"/>
  <c r="AQ326" i="17" s="1"/>
  <c r="AO327" i="17"/>
  <c r="AQ327" i="17" s="1" a="1"/>
  <c r="AQ327" i="17" s="1"/>
  <c r="AO328" i="17"/>
  <c r="AQ328" i="17" s="1" a="1"/>
  <c r="AQ328" i="17" s="1"/>
  <c r="AO329" i="17"/>
  <c r="AQ329" i="17" s="1" a="1"/>
  <c r="AQ329" i="17" s="1"/>
  <c r="AO330" i="17"/>
  <c r="AQ330" i="17" s="1" a="1"/>
  <c r="AQ330" i="17" s="1"/>
  <c r="AO331" i="17"/>
  <c r="AQ331" i="17" s="1" a="1"/>
  <c r="AQ331" i="17" s="1"/>
  <c r="AO332" i="17"/>
  <c r="AQ332" i="17" s="1" a="1"/>
  <c r="AQ332" i="17" s="1"/>
  <c r="AO333" i="17"/>
  <c r="AQ333" i="17" s="1" a="1"/>
  <c r="AQ333" i="17" s="1"/>
  <c r="AO334" i="17"/>
  <c r="AQ334" i="17" s="1" a="1"/>
  <c r="AQ334" i="17" s="1"/>
  <c r="AO335" i="17"/>
  <c r="AQ335" i="17" s="1" a="1"/>
  <c r="AQ335" i="17" s="1"/>
  <c r="AO336" i="17"/>
  <c r="AQ336" i="17" s="1" a="1"/>
  <c r="AQ336" i="17" s="1"/>
  <c r="AO337" i="17"/>
  <c r="AQ337" i="17" s="1" a="1"/>
  <c r="AQ337" i="17" s="1"/>
  <c r="AO338" i="17"/>
  <c r="AQ338" i="17" s="1" a="1"/>
  <c r="AQ338" i="17" s="1"/>
  <c r="AO339" i="17"/>
  <c r="AQ339" i="17" s="1" a="1"/>
  <c r="AQ339" i="17" s="1"/>
  <c r="AO340" i="17"/>
  <c r="AQ340" i="17" s="1" a="1"/>
  <c r="AQ340" i="17" s="1"/>
  <c r="AO341" i="17"/>
  <c r="AQ341" i="17" s="1" a="1"/>
  <c r="AQ341" i="17" s="1"/>
  <c r="AO342" i="17"/>
  <c r="AQ342" i="17" s="1" a="1"/>
  <c r="AQ342" i="17" s="1"/>
  <c r="AO343" i="17"/>
  <c r="AQ343" i="17" s="1" a="1"/>
  <c r="AQ343" i="17" s="1"/>
  <c r="AO344" i="17"/>
  <c r="AQ344" i="17" s="1" a="1"/>
  <c r="AQ344" i="17" s="1"/>
  <c r="AO345" i="17"/>
  <c r="AQ345" i="17" s="1" a="1"/>
  <c r="AQ345" i="17" s="1"/>
  <c r="AO346" i="17"/>
  <c r="AQ346" i="17" s="1" a="1"/>
  <c r="AQ346" i="17" s="1"/>
  <c r="AO347" i="17"/>
  <c r="AQ347" i="17" s="1" a="1"/>
  <c r="AQ347" i="17" s="1"/>
  <c r="AO348" i="17"/>
  <c r="AQ348" i="17" s="1" a="1"/>
  <c r="AQ348" i="17" s="1"/>
  <c r="AO349" i="17"/>
  <c r="AQ349" i="17" s="1" a="1"/>
  <c r="AQ349" i="17" s="1"/>
  <c r="AO350" i="17"/>
  <c r="AQ350" i="17" s="1" a="1"/>
  <c r="AQ350" i="17" s="1"/>
  <c r="AO351" i="17"/>
  <c r="AQ351" i="17" s="1" a="1"/>
  <c r="AQ351" i="17" s="1"/>
  <c r="AO352" i="17"/>
  <c r="AQ352" i="17" s="1" a="1"/>
  <c r="AQ352" i="17" s="1"/>
  <c r="AO353" i="17"/>
  <c r="AQ353" i="17" s="1" a="1"/>
  <c r="AQ353" i="17" s="1"/>
  <c r="AO354" i="17"/>
  <c r="AQ354" i="17" s="1" a="1"/>
  <c r="AQ354" i="17" s="1"/>
  <c r="AO355" i="17"/>
  <c r="AQ355" i="17" s="1" a="1"/>
  <c r="AQ355" i="17" s="1"/>
  <c r="AO356" i="17"/>
  <c r="AQ356" i="17" s="1" a="1"/>
  <c r="AQ356" i="17" s="1"/>
  <c r="AO357" i="17"/>
  <c r="AQ357" i="17" s="1" a="1"/>
  <c r="AQ357" i="17" s="1"/>
  <c r="AO358" i="17"/>
  <c r="AQ358" i="17" s="1" a="1"/>
  <c r="AQ358" i="17" s="1"/>
  <c r="AO359" i="17"/>
  <c r="AQ359" i="17" s="1" a="1"/>
  <c r="AQ359" i="17" s="1"/>
  <c r="AO360" i="17"/>
  <c r="AQ360" i="17" s="1" a="1"/>
  <c r="AQ360" i="17" s="1"/>
  <c r="AO361" i="17"/>
  <c r="AQ361" i="17" s="1" a="1"/>
  <c r="AQ361" i="17" s="1"/>
  <c r="AO362" i="17"/>
  <c r="AQ362" i="17" s="1" a="1"/>
  <c r="AQ362" i="17" s="1"/>
  <c r="AO363" i="17"/>
  <c r="AQ363" i="17" s="1" a="1"/>
  <c r="AQ363" i="17" s="1"/>
  <c r="AO364" i="17"/>
  <c r="AQ364" i="17" s="1" a="1"/>
  <c r="AQ364" i="17" s="1"/>
  <c r="AO365" i="17"/>
  <c r="AQ365" i="17" s="1" a="1"/>
  <c r="AQ365" i="17" s="1"/>
  <c r="AO366" i="17"/>
  <c r="AQ366" i="17" s="1" a="1"/>
  <c r="AQ366" i="17" s="1"/>
  <c r="AO367" i="17"/>
  <c r="AQ367" i="17" s="1" a="1"/>
  <c r="AQ367" i="17" s="1"/>
  <c r="AO368" i="17"/>
  <c r="AQ368" i="17" s="1" a="1"/>
  <c r="AQ368" i="17" s="1"/>
  <c r="AO369" i="17"/>
  <c r="AQ369" i="17" s="1" a="1"/>
  <c r="AQ369" i="17" s="1"/>
  <c r="AO370" i="17"/>
  <c r="AQ370" i="17" s="1" a="1"/>
  <c r="AQ370" i="17" s="1"/>
  <c r="AO371" i="17"/>
  <c r="AQ371" i="17" s="1" a="1"/>
  <c r="AQ371" i="17" s="1"/>
  <c r="AO372" i="17"/>
  <c r="AQ372" i="17" s="1" a="1"/>
  <c r="AQ372" i="17" s="1"/>
  <c r="AO373" i="17"/>
  <c r="AQ373" i="17" s="1" a="1"/>
  <c r="AQ373" i="17" s="1"/>
  <c r="AO374" i="17"/>
  <c r="AQ374" i="17" s="1" a="1"/>
  <c r="AQ374" i="17" s="1"/>
  <c r="AO375" i="17"/>
  <c r="AQ375" i="17" s="1" a="1"/>
  <c r="AQ375" i="17" s="1"/>
  <c r="AO376" i="17"/>
  <c r="AQ376" i="17" s="1" a="1"/>
  <c r="AQ376" i="17" s="1"/>
  <c r="AO377" i="17"/>
  <c r="AQ377" i="17" s="1" a="1"/>
  <c r="AQ377" i="17" s="1"/>
  <c r="AO378" i="17"/>
  <c r="AQ378" i="17" s="1" a="1"/>
  <c r="AQ378" i="17" s="1"/>
  <c r="AO379" i="17"/>
  <c r="AQ379" i="17" s="1" a="1"/>
  <c r="AQ379" i="17" s="1"/>
  <c r="AO380" i="17"/>
  <c r="AQ380" i="17" s="1" a="1"/>
  <c r="AQ380" i="17" s="1"/>
  <c r="AO381" i="17"/>
  <c r="AQ381" i="17" s="1" a="1"/>
  <c r="AQ381" i="17" s="1"/>
  <c r="AO382" i="17"/>
  <c r="AQ382" i="17" s="1" a="1"/>
  <c r="AQ382" i="17" s="1"/>
  <c r="AO383" i="17"/>
  <c r="AQ383" i="17" s="1" a="1"/>
  <c r="AQ383" i="17" s="1"/>
  <c r="AO384" i="17"/>
  <c r="AQ384" i="17" s="1" a="1"/>
  <c r="AQ384" i="17" s="1"/>
  <c r="AO385" i="17"/>
  <c r="AQ385" i="17" s="1" a="1"/>
  <c r="AQ385" i="17" s="1"/>
  <c r="AO386" i="17"/>
  <c r="AQ386" i="17" s="1" a="1"/>
  <c r="AQ386" i="17" s="1"/>
  <c r="AO387" i="17"/>
  <c r="AQ387" i="17" s="1" a="1"/>
  <c r="AQ387" i="17" s="1"/>
  <c r="AO388" i="17"/>
  <c r="AQ388" i="17" s="1" a="1"/>
  <c r="AQ388" i="17" s="1"/>
  <c r="AO389" i="17"/>
  <c r="AQ389" i="17" s="1" a="1"/>
  <c r="AQ389" i="17" s="1"/>
  <c r="AO390" i="17"/>
  <c r="AQ390" i="17" s="1" a="1"/>
  <c r="AQ390" i="17" s="1"/>
  <c r="AO391" i="17"/>
  <c r="AQ391" i="17" s="1" a="1"/>
  <c r="AQ391" i="17" s="1"/>
  <c r="AO392" i="17"/>
  <c r="AQ392" i="17" s="1" a="1"/>
  <c r="AQ392" i="17" s="1"/>
  <c r="AO393" i="17"/>
  <c r="AQ393" i="17" s="1" a="1"/>
  <c r="AQ393" i="17" s="1"/>
  <c r="AO394" i="17"/>
  <c r="AQ394" i="17" s="1" a="1"/>
  <c r="AQ394" i="17" s="1"/>
  <c r="AO395" i="17"/>
  <c r="AQ395" i="17" s="1" a="1"/>
  <c r="AQ395" i="17" s="1"/>
  <c r="AO396" i="17"/>
  <c r="AQ396" i="17" s="1" a="1"/>
  <c r="AQ396" i="17" s="1"/>
  <c r="AO397" i="17"/>
  <c r="AQ397" i="17" s="1" a="1"/>
  <c r="AQ397" i="17" s="1"/>
  <c r="AO398" i="17"/>
  <c r="AQ398" i="17" s="1" a="1"/>
  <c r="AQ398" i="17" s="1"/>
  <c r="AO399" i="17"/>
  <c r="AQ399" i="17" s="1" a="1"/>
  <c r="AQ399" i="17" s="1"/>
  <c r="AO400" i="17"/>
  <c r="AQ400" i="17" s="1" a="1"/>
  <c r="AQ400" i="17" s="1"/>
  <c r="AO401" i="17"/>
  <c r="AQ401" i="17" s="1" a="1"/>
  <c r="AQ401" i="17" s="1"/>
  <c r="AO402" i="17"/>
  <c r="AQ402" i="17" s="1" a="1"/>
  <c r="AQ402" i="17" s="1"/>
  <c r="AO403" i="17"/>
  <c r="AQ403" i="17" s="1" a="1"/>
  <c r="AQ403" i="17" s="1"/>
  <c r="AO404" i="17"/>
  <c r="AQ404" i="17" s="1" a="1"/>
  <c r="AQ404" i="17" s="1"/>
  <c r="AO405" i="17"/>
  <c r="AQ405" i="17" s="1" a="1"/>
  <c r="AQ405" i="17" s="1"/>
  <c r="AO406" i="17"/>
  <c r="AQ406" i="17" s="1" a="1"/>
  <c r="AQ406" i="17" s="1"/>
  <c r="AO407" i="17"/>
  <c r="AQ407" i="17" s="1" a="1"/>
  <c r="AQ407" i="17" s="1"/>
  <c r="AO408" i="17"/>
  <c r="AQ408" i="17" s="1" a="1"/>
  <c r="AQ408" i="17" s="1"/>
  <c r="AO409" i="17"/>
  <c r="AQ409" i="17" s="1" a="1"/>
  <c r="AQ409" i="17" s="1"/>
  <c r="AO410" i="17"/>
  <c r="AQ410" i="17" s="1" a="1"/>
  <c r="AQ410" i="17" s="1"/>
  <c r="AO411" i="17"/>
  <c r="AQ411" i="17" s="1" a="1"/>
  <c r="AQ411" i="17" s="1"/>
  <c r="AO412" i="17"/>
  <c r="AQ412" i="17" s="1" a="1"/>
  <c r="AQ412" i="17" s="1"/>
  <c r="AO413" i="17"/>
  <c r="AQ413" i="17" s="1" a="1"/>
  <c r="AQ413" i="17" s="1"/>
  <c r="AO414" i="17"/>
  <c r="AQ414" i="17" s="1" a="1"/>
  <c r="AQ414" i="17" s="1"/>
  <c r="AO415" i="17"/>
  <c r="AQ415" i="17" s="1" a="1"/>
  <c r="AQ415" i="17" s="1"/>
  <c r="AO416" i="17"/>
  <c r="AQ416" i="17" s="1" a="1"/>
  <c r="AQ416" i="17" s="1"/>
  <c r="AO417" i="17"/>
  <c r="AQ417" i="17" s="1" a="1"/>
  <c r="AQ417" i="17" s="1"/>
  <c r="AO418" i="17"/>
  <c r="AQ418" i="17" s="1" a="1"/>
  <c r="AQ418" i="17" s="1"/>
  <c r="AO419" i="17"/>
  <c r="AQ419" i="17" s="1" a="1"/>
  <c r="AQ419" i="17" s="1"/>
  <c r="AO420" i="17"/>
  <c r="AQ420" i="17" s="1" a="1"/>
  <c r="AQ420" i="17" s="1"/>
  <c r="AO421" i="17"/>
  <c r="AQ421" i="17" s="1" a="1"/>
  <c r="AQ421" i="17" s="1"/>
  <c r="AO422" i="17"/>
  <c r="AQ422" i="17" s="1" a="1"/>
  <c r="AQ422" i="17" s="1"/>
  <c r="AO423" i="17"/>
  <c r="AQ423" i="17" s="1" a="1"/>
  <c r="AQ423" i="17" s="1"/>
  <c r="AO424" i="17"/>
  <c r="AQ424" i="17" s="1" a="1"/>
  <c r="AQ424" i="17" s="1"/>
  <c r="AO425" i="17"/>
  <c r="AQ425" i="17" s="1" a="1"/>
  <c r="AQ425" i="17" s="1"/>
  <c r="AO426" i="17"/>
  <c r="AQ426" i="17" s="1" a="1"/>
  <c r="AQ426" i="17" s="1"/>
  <c r="AO427" i="17"/>
  <c r="AQ427" i="17" s="1" a="1"/>
  <c r="AQ427" i="17" s="1"/>
  <c r="AO428" i="17"/>
  <c r="AQ428" i="17" s="1" a="1"/>
  <c r="AQ428" i="17" s="1"/>
  <c r="AO429" i="17"/>
  <c r="AQ429" i="17" s="1" a="1"/>
  <c r="AQ429" i="17" s="1"/>
  <c r="AO430" i="17"/>
  <c r="AQ430" i="17" s="1" a="1"/>
  <c r="AQ430" i="17" s="1"/>
  <c r="AO431" i="17"/>
  <c r="AQ431" i="17" s="1" a="1"/>
  <c r="AQ431" i="17" s="1"/>
  <c r="AO432" i="17"/>
  <c r="AQ432" i="17" s="1" a="1"/>
  <c r="AQ432" i="17" s="1"/>
  <c r="AO433" i="17"/>
  <c r="AQ433" i="17" s="1" a="1"/>
  <c r="AQ433" i="17" s="1"/>
  <c r="AO434" i="17"/>
  <c r="AQ434" i="17" s="1" a="1"/>
  <c r="AQ434" i="17" s="1"/>
  <c r="AO435" i="17"/>
  <c r="AQ435" i="17" s="1" a="1"/>
  <c r="AQ435" i="17" s="1"/>
  <c r="AO436" i="17"/>
  <c r="AQ436" i="17" s="1" a="1"/>
  <c r="AQ436" i="17" s="1"/>
  <c r="AO437" i="17"/>
  <c r="AQ437" i="17" s="1" a="1"/>
  <c r="AQ437" i="17" s="1"/>
  <c r="AO438" i="17"/>
  <c r="AQ438" i="17" s="1" a="1"/>
  <c r="AQ438" i="17" s="1"/>
  <c r="AO439" i="17"/>
  <c r="AQ439" i="17" s="1" a="1"/>
  <c r="AQ439" i="17" s="1"/>
  <c r="AO440" i="17"/>
  <c r="AQ440" i="17" s="1" a="1"/>
  <c r="AQ440" i="17" s="1"/>
  <c r="AO441" i="17"/>
  <c r="AQ441" i="17" s="1" a="1"/>
  <c r="AQ441" i="17" s="1"/>
  <c r="AO442" i="17"/>
  <c r="AQ442" i="17" s="1" a="1"/>
  <c r="AQ442" i="17" s="1"/>
  <c r="AO443" i="17"/>
  <c r="AQ443" i="17" s="1" a="1"/>
  <c r="AQ443" i="17" s="1"/>
  <c r="AO444" i="17"/>
  <c r="AQ444" i="17" s="1" a="1"/>
  <c r="AQ444" i="17" s="1"/>
  <c r="AO445" i="17"/>
  <c r="AQ445" i="17" s="1" a="1"/>
  <c r="AQ445" i="17" s="1"/>
  <c r="AO446" i="17"/>
  <c r="AQ446" i="17" s="1" a="1"/>
  <c r="AQ446" i="17" s="1"/>
  <c r="AO447" i="17"/>
  <c r="AQ447" i="17" s="1" a="1"/>
  <c r="AQ447" i="17" s="1"/>
  <c r="AO448" i="17"/>
  <c r="AQ448" i="17" s="1" a="1"/>
  <c r="AQ448" i="17" s="1"/>
  <c r="AO449" i="17"/>
  <c r="AQ449" i="17" s="1" a="1"/>
  <c r="AQ449" i="17" s="1"/>
  <c r="AO450" i="17"/>
  <c r="AQ450" i="17" s="1" a="1"/>
  <c r="AQ450" i="17" s="1"/>
  <c r="AO451" i="17"/>
  <c r="AQ451" i="17" s="1" a="1"/>
  <c r="AQ451" i="17" s="1"/>
  <c r="AO452" i="17"/>
  <c r="AQ452" i="17" s="1" a="1"/>
  <c r="AQ452" i="17" s="1"/>
  <c r="AO453" i="17"/>
  <c r="AQ453" i="17" s="1" a="1"/>
  <c r="AQ453" i="17" s="1"/>
  <c r="AO454" i="17"/>
  <c r="AQ454" i="17" s="1" a="1"/>
  <c r="AQ454" i="17" s="1"/>
  <c r="AO455" i="17"/>
  <c r="AQ455" i="17" s="1" a="1"/>
  <c r="AQ455" i="17" s="1"/>
  <c r="AO456" i="17"/>
  <c r="AQ456" i="17" s="1" a="1"/>
  <c r="AQ456" i="17" s="1"/>
  <c r="AO457" i="17"/>
  <c r="AQ457" i="17" s="1" a="1"/>
  <c r="AQ457" i="17" s="1"/>
  <c r="AO458" i="17"/>
  <c r="AQ458" i="17" s="1" a="1"/>
  <c r="AQ458" i="17" s="1"/>
  <c r="AO459" i="17"/>
  <c r="AQ459" i="17" s="1" a="1"/>
  <c r="AQ459" i="17" s="1"/>
  <c r="AO460" i="17"/>
  <c r="AQ460" i="17" s="1" a="1"/>
  <c r="AQ460" i="17" s="1"/>
  <c r="AO461" i="17"/>
  <c r="AQ461" i="17" s="1" a="1"/>
  <c r="AQ461" i="17" s="1"/>
  <c r="AO462" i="17"/>
  <c r="AQ462" i="17" s="1" a="1"/>
  <c r="AQ462" i="17" s="1"/>
  <c r="AO463" i="17"/>
  <c r="AQ463" i="17" s="1" a="1"/>
  <c r="AQ463" i="17" s="1"/>
  <c r="AO464" i="17"/>
  <c r="AQ464" i="17" s="1" a="1"/>
  <c r="AQ464" i="17" s="1"/>
  <c r="AO465" i="17"/>
  <c r="AQ465" i="17" s="1" a="1"/>
  <c r="AQ465" i="17" s="1"/>
  <c r="AO466" i="17"/>
  <c r="AQ466" i="17" s="1" a="1"/>
  <c r="AQ466" i="17" s="1"/>
  <c r="AO467" i="17"/>
  <c r="AQ467" i="17" s="1" a="1"/>
  <c r="AQ467" i="17" s="1"/>
  <c r="AO468" i="17"/>
  <c r="AQ468" i="17" s="1" a="1"/>
  <c r="AQ468" i="17" s="1"/>
  <c r="AO469" i="17"/>
  <c r="AQ469" i="17" s="1" a="1"/>
  <c r="AQ469" i="17" s="1"/>
  <c r="AO470" i="17"/>
  <c r="AQ470" i="17" s="1" a="1"/>
  <c r="AQ470" i="17" s="1"/>
  <c r="AO471" i="17"/>
  <c r="AQ471" i="17" s="1" a="1"/>
  <c r="AQ471" i="17" s="1"/>
  <c r="AO472" i="17"/>
  <c r="AQ472" i="17" s="1" a="1"/>
  <c r="AQ472" i="17" s="1"/>
  <c r="AO473" i="17"/>
  <c r="AQ473" i="17" s="1" a="1"/>
  <c r="AQ473" i="17" s="1"/>
  <c r="AO474" i="17"/>
  <c r="AQ474" i="17" s="1" a="1"/>
  <c r="AQ474" i="17" s="1"/>
  <c r="AO475" i="17"/>
  <c r="AQ475" i="17" s="1" a="1"/>
  <c r="AQ475" i="17" s="1"/>
  <c r="AO476" i="17"/>
  <c r="AQ476" i="17" s="1" a="1"/>
  <c r="AQ476" i="17" s="1"/>
  <c r="AO477" i="17"/>
  <c r="AQ477" i="17" s="1" a="1"/>
  <c r="AQ477" i="17" s="1"/>
  <c r="AO478" i="17"/>
  <c r="AQ478" i="17" s="1" a="1"/>
  <c r="AQ478" i="17" s="1"/>
  <c r="AO479" i="17"/>
  <c r="AQ479" i="17" s="1" a="1"/>
  <c r="AQ479" i="17" s="1"/>
  <c r="AO480" i="17"/>
  <c r="AQ480" i="17" s="1" a="1"/>
  <c r="AQ480" i="17" s="1"/>
  <c r="AO481" i="17"/>
  <c r="AQ481" i="17" s="1" a="1"/>
  <c r="AQ481" i="17" s="1"/>
  <c r="AO482" i="17"/>
  <c r="AQ482" i="17" s="1" a="1"/>
  <c r="AQ482" i="17" s="1"/>
  <c r="AO483" i="17"/>
  <c r="AQ483" i="17" s="1" a="1"/>
  <c r="AQ483" i="17" s="1"/>
  <c r="AO484" i="17"/>
  <c r="AQ484" i="17" s="1" a="1"/>
  <c r="AQ484" i="17" s="1"/>
  <c r="AO485" i="17"/>
  <c r="AQ485" i="17" s="1" a="1"/>
  <c r="AQ485" i="17" s="1"/>
  <c r="AO486" i="17"/>
  <c r="AQ486" i="17" s="1" a="1"/>
  <c r="AQ486" i="17" s="1"/>
  <c r="AO487" i="17"/>
  <c r="AQ487" i="17" s="1" a="1"/>
  <c r="AQ487" i="17" s="1"/>
  <c r="AO488" i="17"/>
  <c r="AQ488" i="17" s="1" a="1"/>
  <c r="AQ488" i="17" s="1"/>
  <c r="AO489" i="17"/>
  <c r="AQ489" i="17" s="1" a="1"/>
  <c r="AQ489" i="17" s="1"/>
  <c r="AO490" i="17"/>
  <c r="AQ490" i="17" s="1" a="1"/>
  <c r="AQ490" i="17" s="1"/>
  <c r="AO491" i="17"/>
  <c r="AQ491" i="17" s="1" a="1"/>
  <c r="AQ491" i="17" s="1"/>
  <c r="AO492" i="17"/>
  <c r="AQ492" i="17" s="1" a="1"/>
  <c r="AQ492" i="17" s="1"/>
  <c r="AO493" i="17"/>
  <c r="AQ493" i="17" s="1" a="1"/>
  <c r="AQ493" i="17" s="1"/>
  <c r="AO494" i="17"/>
  <c r="AQ494" i="17" s="1" a="1"/>
  <c r="AQ494" i="17" s="1"/>
  <c r="AO495" i="17"/>
  <c r="AQ495" i="17" s="1" a="1"/>
  <c r="AQ495" i="17" s="1"/>
  <c r="AO496" i="17"/>
  <c r="AQ496" i="17" s="1" a="1"/>
  <c r="AQ496" i="17" s="1"/>
  <c r="AO497" i="17"/>
  <c r="AQ497" i="17" s="1" a="1"/>
  <c r="AQ497" i="17" s="1"/>
  <c r="AO498" i="17"/>
  <c r="AQ498" i="17" s="1" a="1"/>
  <c r="AQ498" i="17" s="1"/>
  <c r="AO499" i="17"/>
  <c r="AQ499" i="17" s="1" a="1"/>
  <c r="AQ499" i="17" s="1"/>
  <c r="AO500" i="17"/>
  <c r="AQ500" i="17" s="1" a="1"/>
  <c r="AQ500" i="17" s="1"/>
  <c r="AO501" i="17"/>
  <c r="AQ501" i="17" s="1" a="1"/>
  <c r="AQ501" i="17" s="1"/>
  <c r="AO502" i="17"/>
  <c r="AQ502" i="17" s="1" a="1"/>
  <c r="AQ502" i="17" s="1"/>
  <c r="AO503" i="17"/>
  <c r="AQ503" i="17" s="1" a="1"/>
  <c r="AQ503" i="17" s="1"/>
  <c r="AO504" i="17"/>
  <c r="AQ504" i="17" s="1" a="1"/>
  <c r="AQ504" i="17" s="1"/>
  <c r="AO505" i="17"/>
  <c r="AQ505" i="17" s="1" a="1"/>
  <c r="AQ505" i="17" s="1"/>
  <c r="AO506" i="17"/>
  <c r="AQ506" i="17" s="1" a="1"/>
  <c r="AQ506" i="17" s="1"/>
  <c r="AO507" i="17"/>
  <c r="AQ507" i="17" s="1" a="1"/>
  <c r="AQ507" i="17" s="1"/>
  <c r="AO508" i="17"/>
  <c r="AQ508" i="17" s="1" a="1"/>
  <c r="AQ508" i="17" s="1"/>
  <c r="AO509" i="17"/>
  <c r="AQ509" i="17" s="1" a="1"/>
  <c r="AQ509" i="17" s="1"/>
  <c r="AO510" i="17"/>
  <c r="AQ510" i="17" s="1" a="1"/>
  <c r="AQ510" i="17" s="1"/>
  <c r="AO511" i="17"/>
  <c r="AQ511" i="17" s="1" a="1"/>
  <c r="AQ511" i="17" s="1"/>
  <c r="AO512" i="17"/>
  <c r="AQ512" i="17" s="1" a="1"/>
  <c r="AQ512" i="17" s="1"/>
  <c r="AO513" i="17"/>
  <c r="AQ513" i="17" s="1" a="1"/>
  <c r="AQ513" i="17" s="1"/>
  <c r="AO514" i="17"/>
  <c r="AQ514" i="17" s="1" a="1"/>
  <c r="AQ514" i="17" s="1"/>
  <c r="AO515" i="17"/>
  <c r="AQ515" i="17" s="1" a="1"/>
  <c r="AQ515" i="17" s="1"/>
  <c r="AO516" i="17"/>
  <c r="AQ516" i="17" s="1" a="1"/>
  <c r="AQ516" i="17" s="1"/>
  <c r="AO517" i="17"/>
  <c r="AQ517" i="17" s="1" a="1"/>
  <c r="AQ517" i="17" s="1"/>
  <c r="AO518" i="17"/>
  <c r="AQ518" i="17" s="1" a="1"/>
  <c r="AQ518" i="17" s="1"/>
  <c r="AO519" i="17"/>
  <c r="AQ519" i="17" s="1" a="1"/>
  <c r="AQ519" i="17" s="1"/>
  <c r="AO520" i="17"/>
  <c r="AQ520" i="17" s="1" a="1"/>
  <c r="AQ520" i="17" s="1"/>
  <c r="AO521" i="17"/>
  <c r="AQ521" i="17" s="1" a="1"/>
  <c r="AQ521" i="17" s="1"/>
  <c r="AO522" i="17"/>
  <c r="AQ522" i="17" s="1" a="1"/>
  <c r="AQ522" i="17" s="1"/>
  <c r="AO523" i="17"/>
  <c r="AQ523" i="17" s="1" a="1"/>
  <c r="AQ523" i="17" s="1"/>
  <c r="AO524" i="17"/>
  <c r="AQ524" i="17" s="1" a="1"/>
  <c r="AQ524" i="17" s="1"/>
  <c r="AO525" i="17"/>
  <c r="AQ525" i="17" s="1" a="1"/>
  <c r="AQ525" i="17" s="1"/>
  <c r="AO526" i="17"/>
  <c r="AQ526" i="17" s="1" a="1"/>
  <c r="AQ526" i="17" s="1"/>
  <c r="AO527" i="17"/>
  <c r="AQ527" i="17" s="1" a="1"/>
  <c r="AQ527" i="17" s="1"/>
  <c r="AO528" i="17"/>
  <c r="AQ528" i="17" s="1" a="1"/>
  <c r="AQ528" i="17" s="1"/>
  <c r="AO529" i="17"/>
  <c r="AQ529" i="17" s="1" a="1"/>
  <c r="AQ529" i="17" s="1"/>
  <c r="AO530" i="17"/>
  <c r="AQ530" i="17" s="1" a="1"/>
  <c r="AQ530" i="17" s="1"/>
  <c r="AO531" i="17"/>
  <c r="AQ531" i="17" s="1" a="1"/>
  <c r="AQ531" i="17" s="1"/>
  <c r="AO532" i="17"/>
  <c r="AQ532" i="17" s="1" a="1"/>
  <c r="AQ532" i="17" s="1"/>
  <c r="AO533" i="17"/>
  <c r="AQ533" i="17" s="1" a="1"/>
  <c r="AQ533" i="17" s="1"/>
  <c r="AO534" i="17"/>
  <c r="AQ534" i="17" s="1" a="1"/>
  <c r="AQ534" i="17" s="1"/>
  <c r="AO535" i="17"/>
  <c r="AQ535" i="17" s="1" a="1"/>
  <c r="AQ535" i="17" s="1"/>
  <c r="AO536" i="17"/>
  <c r="AQ536" i="17" s="1" a="1"/>
  <c r="AQ536" i="17" s="1"/>
  <c r="AO537" i="17"/>
  <c r="AQ537" i="17" s="1" a="1"/>
  <c r="AQ537" i="17" s="1"/>
  <c r="AO538" i="17"/>
  <c r="AQ538" i="17" s="1" a="1"/>
  <c r="AQ538" i="17" s="1"/>
  <c r="AO539" i="17"/>
  <c r="AQ539" i="17" s="1" a="1"/>
  <c r="AQ539" i="17" s="1"/>
  <c r="AO540" i="17"/>
  <c r="AQ540" i="17" s="1" a="1"/>
  <c r="AQ540" i="17" s="1"/>
  <c r="AO541" i="17"/>
  <c r="AQ541" i="17" s="1" a="1"/>
  <c r="AQ541" i="17" s="1"/>
  <c r="AO542" i="17"/>
  <c r="AQ542" i="17" s="1" a="1"/>
  <c r="AQ542" i="17" s="1"/>
  <c r="AO543" i="17"/>
  <c r="AQ543" i="17" s="1" a="1"/>
  <c r="AQ543" i="17" s="1"/>
  <c r="AO544" i="17"/>
  <c r="AQ544" i="17" s="1" a="1"/>
  <c r="AQ544" i="17" s="1"/>
  <c r="AO545" i="17"/>
  <c r="AQ545" i="17" s="1" a="1"/>
  <c r="AQ545" i="17" s="1"/>
  <c r="AO546" i="17"/>
  <c r="AQ546" i="17" s="1" a="1"/>
  <c r="AQ546" i="17" s="1"/>
  <c r="AO547" i="17"/>
  <c r="AQ547" i="17" s="1" a="1"/>
  <c r="AQ547" i="17" s="1"/>
  <c r="AO548" i="17"/>
  <c r="AQ548" i="17" s="1" a="1"/>
  <c r="AQ548" i="17" s="1"/>
  <c r="AO549" i="17"/>
  <c r="AQ549" i="17" s="1" a="1"/>
  <c r="AQ549" i="17" s="1"/>
  <c r="AO550" i="17"/>
  <c r="AQ550" i="17" s="1" a="1"/>
  <c r="AQ550" i="17" s="1"/>
  <c r="AO551" i="17"/>
  <c r="AQ551" i="17" s="1" a="1"/>
  <c r="AQ551" i="17" s="1"/>
  <c r="AO552" i="17"/>
  <c r="AQ552" i="17" s="1" a="1"/>
  <c r="AQ552" i="17" s="1"/>
  <c r="AO553" i="17"/>
  <c r="AQ553" i="17" s="1" a="1"/>
  <c r="AQ553" i="17" s="1"/>
  <c r="AO554" i="17"/>
  <c r="AQ554" i="17" s="1" a="1"/>
  <c r="AQ554" i="17" s="1"/>
  <c r="AO555" i="17"/>
  <c r="AQ555" i="17" s="1" a="1"/>
  <c r="AQ555" i="17" s="1"/>
  <c r="AO556" i="17"/>
  <c r="AQ556" i="17" s="1" a="1"/>
  <c r="AQ556" i="17" s="1"/>
  <c r="AO557" i="17"/>
  <c r="AQ557" i="17" s="1" a="1"/>
  <c r="AQ557" i="17" s="1"/>
  <c r="AO558" i="17"/>
  <c r="AQ558" i="17" s="1" a="1"/>
  <c r="AQ558" i="17" s="1"/>
  <c r="AO559" i="17"/>
  <c r="AQ559" i="17" s="1" a="1"/>
  <c r="AQ559" i="17" s="1"/>
  <c r="AO560" i="17"/>
  <c r="AQ560" i="17" s="1" a="1"/>
  <c r="AQ560" i="17" s="1"/>
  <c r="AO561" i="17"/>
  <c r="AQ561" i="17" s="1" a="1"/>
  <c r="AQ561" i="17" s="1"/>
  <c r="AO562" i="17"/>
  <c r="AQ562" i="17" s="1" a="1"/>
  <c r="AQ562" i="17" s="1"/>
  <c r="AO563" i="17"/>
  <c r="AQ563" i="17" s="1" a="1"/>
  <c r="AQ563" i="17" s="1"/>
  <c r="AO564" i="17"/>
  <c r="AQ564" i="17" s="1" a="1"/>
  <c r="AQ564" i="17" s="1"/>
  <c r="AO565" i="17"/>
  <c r="AQ565" i="17" s="1" a="1"/>
  <c r="AQ565" i="17" s="1"/>
  <c r="AO566" i="17"/>
  <c r="AQ566" i="17" s="1" a="1"/>
  <c r="AQ566" i="17" s="1"/>
  <c r="AO567" i="17"/>
  <c r="AQ567" i="17" s="1" a="1"/>
  <c r="AQ567" i="17" s="1"/>
  <c r="AO568" i="17"/>
  <c r="AQ568" i="17" s="1" a="1"/>
  <c r="AQ568" i="17" s="1"/>
  <c r="AO569" i="17"/>
  <c r="AQ569" i="17" s="1" a="1"/>
  <c r="AQ569" i="17" s="1"/>
  <c r="AO570" i="17"/>
  <c r="AQ570" i="17" s="1" a="1"/>
  <c r="AQ570" i="17" s="1"/>
  <c r="AO571" i="17"/>
  <c r="AQ571" i="17" s="1" a="1"/>
  <c r="AQ571" i="17" s="1"/>
  <c r="AO572" i="17"/>
  <c r="AQ572" i="17" s="1" a="1"/>
  <c r="AQ572" i="17" s="1"/>
  <c r="AO573" i="17"/>
  <c r="AQ573" i="17" s="1" a="1"/>
  <c r="AQ573" i="17" s="1"/>
  <c r="AO574" i="17"/>
  <c r="AQ574" i="17" s="1" a="1"/>
  <c r="AQ574" i="17" s="1"/>
  <c r="AO575" i="17"/>
  <c r="AQ575" i="17" s="1" a="1"/>
  <c r="AQ575" i="17" s="1"/>
  <c r="AO576" i="17"/>
  <c r="AQ576" i="17" s="1" a="1"/>
  <c r="AQ576" i="17" s="1"/>
  <c r="AO577" i="17"/>
  <c r="AQ577" i="17" s="1" a="1"/>
  <c r="AQ577" i="17" s="1"/>
  <c r="AO578" i="17"/>
  <c r="AQ578" i="17" s="1" a="1"/>
  <c r="AQ578" i="17" s="1"/>
  <c r="AO579" i="17"/>
  <c r="AQ579" i="17" s="1" a="1"/>
  <c r="AQ579" i="17" s="1"/>
  <c r="AO580" i="17"/>
  <c r="AQ580" i="17" s="1" a="1"/>
  <c r="AQ580" i="17" s="1"/>
  <c r="AO581" i="17"/>
  <c r="AQ581" i="17" s="1" a="1"/>
  <c r="AQ581" i="17" s="1"/>
  <c r="AO582" i="17"/>
  <c r="AQ582" i="17" s="1" a="1"/>
  <c r="AQ582" i="17" s="1"/>
  <c r="AO583" i="17"/>
  <c r="AQ583" i="17" s="1" a="1"/>
  <c r="AQ583" i="17" s="1"/>
  <c r="AO584" i="17"/>
  <c r="AQ584" i="17" s="1" a="1"/>
  <c r="AQ584" i="17" s="1"/>
  <c r="AO585" i="17"/>
  <c r="AQ585" i="17" s="1" a="1"/>
  <c r="AQ585" i="17" s="1"/>
  <c r="AO586" i="17"/>
  <c r="AQ586" i="17" s="1" a="1"/>
  <c r="AQ586" i="17" s="1"/>
  <c r="AO587" i="17"/>
  <c r="AQ587" i="17" s="1" a="1"/>
  <c r="AQ587" i="17" s="1"/>
  <c r="AO588" i="17"/>
  <c r="AQ588" i="17" s="1" a="1"/>
  <c r="AQ588" i="17" s="1"/>
  <c r="AO589" i="17"/>
  <c r="AQ589" i="17" s="1" a="1"/>
  <c r="AQ589" i="17" s="1"/>
  <c r="AO590" i="17"/>
  <c r="AQ590" i="17" s="1" a="1"/>
  <c r="AQ590" i="17" s="1"/>
  <c r="AO591" i="17"/>
  <c r="AQ591" i="17" s="1" a="1"/>
  <c r="AQ591" i="17" s="1"/>
  <c r="AO592" i="17"/>
  <c r="AQ592" i="17" s="1" a="1"/>
  <c r="AQ592" i="17" s="1"/>
  <c r="AO593" i="17"/>
  <c r="AQ593" i="17" s="1" a="1"/>
  <c r="AQ593" i="17" s="1"/>
  <c r="AO594" i="17"/>
  <c r="AQ594" i="17" s="1" a="1"/>
  <c r="AQ594" i="17" s="1"/>
  <c r="AO595" i="17"/>
  <c r="AQ595" i="17" s="1" a="1"/>
  <c r="AQ595" i="17" s="1"/>
  <c r="AO596" i="17"/>
  <c r="AQ596" i="17" s="1" a="1"/>
  <c r="AQ596" i="17" s="1"/>
  <c r="AO597" i="17"/>
  <c r="AQ597" i="17" s="1" a="1"/>
  <c r="AQ597" i="17" s="1"/>
  <c r="AO598" i="17"/>
  <c r="AQ598" i="17" s="1" a="1"/>
  <c r="AQ598" i="17" s="1"/>
  <c r="AO599" i="17"/>
  <c r="AQ599" i="17" s="1" a="1"/>
  <c r="AQ599" i="17" s="1"/>
  <c r="AO600" i="17"/>
  <c r="AQ600" i="17" s="1" a="1"/>
  <c r="AQ600" i="17" s="1"/>
  <c r="AO601" i="17"/>
  <c r="AQ601" i="17" s="1" a="1"/>
  <c r="AQ601" i="17" s="1"/>
  <c r="AO602" i="17"/>
  <c r="AQ602" i="17" s="1" a="1"/>
  <c r="AQ602" i="17" s="1"/>
  <c r="AO603" i="17"/>
  <c r="AQ603" i="17" s="1" a="1"/>
  <c r="AQ603" i="17" s="1"/>
  <c r="AO604" i="17"/>
  <c r="AQ604" i="17" s="1" a="1"/>
  <c r="AQ604" i="17" s="1"/>
  <c r="AO605" i="17"/>
  <c r="AQ605" i="17" s="1" a="1"/>
  <c r="AQ605" i="17" s="1"/>
  <c r="AO606" i="17"/>
  <c r="AQ606" i="17" s="1" a="1"/>
  <c r="AQ606" i="17" s="1"/>
  <c r="AO607" i="17"/>
  <c r="AQ607" i="17" s="1" a="1"/>
  <c r="AQ607" i="17" s="1"/>
  <c r="AO608" i="17"/>
  <c r="AQ608" i="17" s="1" a="1"/>
  <c r="AQ608" i="17" s="1"/>
  <c r="AO609" i="17"/>
  <c r="AQ609" i="17" s="1" a="1"/>
  <c r="AQ609" i="17" s="1"/>
  <c r="AO610" i="17"/>
  <c r="AQ610" i="17" s="1" a="1"/>
  <c r="AQ610" i="17" s="1"/>
  <c r="AO611" i="17"/>
  <c r="AQ611" i="17" s="1" a="1"/>
  <c r="AQ611" i="17" s="1"/>
  <c r="AO612" i="17"/>
  <c r="AQ612" i="17" s="1" a="1"/>
  <c r="AQ612" i="17" s="1"/>
  <c r="AO613" i="17"/>
  <c r="AQ613" i="17" s="1" a="1"/>
  <c r="AQ613" i="17" s="1"/>
  <c r="AO614" i="17"/>
  <c r="AQ614" i="17" s="1" a="1"/>
  <c r="AQ614" i="17" s="1"/>
  <c r="AO615" i="17"/>
  <c r="AQ615" i="17" s="1" a="1"/>
  <c r="AQ615" i="17" s="1"/>
  <c r="AO616" i="17"/>
  <c r="AQ616" i="17" s="1" a="1"/>
  <c r="AQ616" i="17" s="1"/>
  <c r="AO617" i="17"/>
  <c r="AQ617" i="17" s="1" a="1"/>
  <c r="AQ617" i="17" s="1"/>
  <c r="AO618" i="17"/>
  <c r="AQ618" i="17" s="1" a="1"/>
  <c r="AQ618" i="17" s="1"/>
  <c r="AO619" i="17"/>
  <c r="AQ619" i="17" s="1" a="1"/>
  <c r="AQ619" i="17" s="1"/>
  <c r="AO620" i="17"/>
  <c r="AQ620" i="17" s="1" a="1"/>
  <c r="AQ620" i="17" s="1"/>
  <c r="AO621" i="17"/>
  <c r="AQ621" i="17" s="1" a="1"/>
  <c r="AQ621" i="17" s="1"/>
  <c r="AO622" i="17"/>
  <c r="AQ622" i="17" s="1" a="1"/>
  <c r="AQ622" i="17" s="1"/>
  <c r="AO623" i="17"/>
  <c r="AQ623" i="17" s="1" a="1"/>
  <c r="AQ623" i="17" s="1"/>
  <c r="AO624" i="17"/>
  <c r="AQ624" i="17" s="1" a="1"/>
  <c r="AQ624" i="17" s="1"/>
  <c r="AO625" i="17"/>
  <c r="AQ625" i="17" s="1" a="1"/>
  <c r="AQ625" i="17" s="1"/>
  <c r="AO626" i="17"/>
  <c r="AQ626" i="17" s="1" a="1"/>
  <c r="AQ626" i="17" s="1"/>
  <c r="AO627" i="17"/>
  <c r="AQ627" i="17" s="1" a="1"/>
  <c r="AQ627" i="17" s="1"/>
  <c r="AO628" i="17"/>
  <c r="AQ628" i="17" s="1" a="1"/>
  <c r="AQ628" i="17" s="1"/>
  <c r="AO629" i="17"/>
  <c r="AQ629" i="17" s="1" a="1"/>
  <c r="AQ629" i="17" s="1"/>
  <c r="AO630" i="17"/>
  <c r="AQ630" i="17" s="1" a="1"/>
  <c r="AQ630" i="17" s="1"/>
  <c r="AO631" i="17"/>
  <c r="AQ631" i="17" s="1" a="1"/>
  <c r="AQ631" i="17" s="1"/>
  <c r="AO632" i="17"/>
  <c r="AQ632" i="17" s="1" a="1"/>
  <c r="AQ632" i="17" s="1"/>
  <c r="AO633" i="17"/>
  <c r="AQ633" i="17" s="1" a="1"/>
  <c r="AQ633" i="17" s="1"/>
  <c r="AO634" i="17"/>
  <c r="AQ634" i="17" s="1" a="1"/>
  <c r="AQ634" i="17" s="1"/>
  <c r="AO635" i="17"/>
  <c r="AQ635" i="17" s="1" a="1"/>
  <c r="AQ635" i="17" s="1"/>
  <c r="AO636" i="17"/>
  <c r="AQ636" i="17" s="1" a="1"/>
  <c r="AQ636" i="17" s="1"/>
  <c r="AO637" i="17"/>
  <c r="AQ637" i="17" s="1" a="1"/>
  <c r="AQ637" i="17" s="1"/>
  <c r="AO638" i="17"/>
  <c r="AQ638" i="17" s="1" a="1"/>
  <c r="AQ638" i="17" s="1"/>
  <c r="AO639" i="17"/>
  <c r="AQ639" i="17" s="1" a="1"/>
  <c r="AQ639" i="17" s="1"/>
  <c r="AO640" i="17"/>
  <c r="AQ640" i="17" s="1" a="1"/>
  <c r="AQ640" i="17" s="1"/>
  <c r="AO641" i="17"/>
  <c r="AQ641" i="17" s="1" a="1"/>
  <c r="AQ641" i="17" s="1"/>
  <c r="AO642" i="17"/>
  <c r="AQ642" i="17" s="1" a="1"/>
  <c r="AQ642" i="17" s="1"/>
  <c r="AO643" i="17"/>
  <c r="AQ643" i="17" s="1" a="1"/>
  <c r="AQ643" i="17" s="1"/>
  <c r="AO644" i="17"/>
  <c r="AQ644" i="17" s="1" a="1"/>
  <c r="AQ644" i="17" s="1"/>
  <c r="AO645" i="17"/>
  <c r="AQ645" i="17" s="1" a="1"/>
  <c r="AQ645" i="17" s="1"/>
  <c r="AO646" i="17"/>
  <c r="AQ646" i="17" s="1" a="1"/>
  <c r="AQ646" i="17" s="1"/>
  <c r="AO647" i="17"/>
  <c r="AQ647" i="17" s="1" a="1"/>
  <c r="AQ647" i="17" s="1"/>
  <c r="AO648" i="17"/>
  <c r="AQ648" i="17" s="1" a="1"/>
  <c r="AQ648" i="17" s="1"/>
  <c r="AO649" i="17"/>
  <c r="AQ649" i="17" s="1" a="1"/>
  <c r="AQ649" i="17" s="1"/>
  <c r="AO650" i="17"/>
  <c r="AQ650" i="17" s="1" a="1"/>
  <c r="AQ650" i="17" s="1"/>
  <c r="AO651" i="17"/>
  <c r="AQ651" i="17" s="1" a="1"/>
  <c r="AQ651" i="17" s="1"/>
  <c r="AO652" i="17"/>
  <c r="AQ652" i="17" s="1" a="1"/>
  <c r="AQ652" i="17" s="1"/>
  <c r="AO653" i="17"/>
  <c r="AQ653" i="17" s="1" a="1"/>
  <c r="AQ653" i="17" s="1"/>
  <c r="AO654" i="17"/>
  <c r="AQ654" i="17" s="1" a="1"/>
  <c r="AQ654" i="17" s="1"/>
  <c r="AO655" i="17"/>
  <c r="AQ655" i="17" s="1" a="1"/>
  <c r="AQ655" i="17" s="1"/>
  <c r="AO656" i="17"/>
  <c r="AQ656" i="17" s="1" a="1"/>
  <c r="AQ656" i="17" s="1"/>
  <c r="AO657" i="17"/>
  <c r="AQ657" i="17" s="1" a="1"/>
  <c r="AQ657" i="17" s="1"/>
  <c r="AO658" i="17"/>
  <c r="AQ658" i="17" s="1" a="1"/>
  <c r="AQ658" i="17" s="1"/>
  <c r="AO659" i="17"/>
  <c r="AQ659" i="17" s="1" a="1"/>
  <c r="AQ659" i="17" s="1"/>
  <c r="AO660" i="17"/>
  <c r="AQ660" i="17" s="1" a="1"/>
  <c r="AQ660" i="17" s="1"/>
  <c r="AO661" i="17"/>
  <c r="AQ661" i="17" s="1" a="1"/>
  <c r="AQ661" i="17" s="1"/>
  <c r="AO662" i="17"/>
  <c r="AQ662" i="17" s="1" a="1"/>
  <c r="AQ662" i="17" s="1"/>
  <c r="AO663" i="17"/>
  <c r="AQ663" i="17" s="1" a="1"/>
  <c r="AQ663" i="17" s="1"/>
  <c r="AO664" i="17"/>
  <c r="AQ664" i="17" s="1" a="1"/>
  <c r="AQ664" i="17" s="1"/>
  <c r="AO665" i="17"/>
  <c r="AQ665" i="17" s="1" a="1"/>
  <c r="AQ665" i="17" s="1"/>
  <c r="AO666" i="17"/>
  <c r="AQ666" i="17" s="1" a="1"/>
  <c r="AQ666" i="17" s="1"/>
  <c r="AO667" i="17"/>
  <c r="AQ667" i="17" s="1" a="1"/>
  <c r="AQ667" i="17" s="1"/>
  <c r="AO668" i="17"/>
  <c r="AQ668" i="17" s="1" a="1"/>
  <c r="AQ668" i="17" s="1"/>
  <c r="AO669" i="17"/>
  <c r="AQ669" i="17" s="1" a="1"/>
  <c r="AQ669" i="17" s="1"/>
  <c r="AO670" i="17"/>
  <c r="AQ670" i="17" s="1" a="1"/>
  <c r="AQ670" i="17" s="1"/>
  <c r="AO671" i="17"/>
  <c r="AQ671" i="17" s="1" a="1"/>
  <c r="AQ671" i="17" s="1"/>
  <c r="AO672" i="17"/>
  <c r="AQ672" i="17" s="1" a="1"/>
  <c r="AQ672" i="17" s="1"/>
  <c r="AO673" i="17"/>
  <c r="AQ673" i="17" s="1" a="1"/>
  <c r="AQ673" i="17" s="1"/>
  <c r="AO674" i="17"/>
  <c r="AQ674" i="17" s="1" a="1"/>
  <c r="AQ674" i="17" s="1"/>
  <c r="AO675" i="17"/>
  <c r="AQ675" i="17" s="1" a="1"/>
  <c r="AQ675" i="17" s="1"/>
  <c r="AO676" i="17"/>
  <c r="AQ676" i="17" s="1" a="1"/>
  <c r="AQ676" i="17" s="1"/>
  <c r="AO677" i="17"/>
  <c r="AQ677" i="17" s="1" a="1"/>
  <c r="AQ677" i="17" s="1"/>
  <c r="AO678" i="17"/>
  <c r="AQ678" i="17" s="1" a="1"/>
  <c r="AQ678" i="17" s="1"/>
  <c r="AO679" i="17"/>
  <c r="AQ679" i="17" s="1" a="1"/>
  <c r="AQ679" i="17" s="1"/>
  <c r="AO680" i="17"/>
  <c r="AQ680" i="17" s="1" a="1"/>
  <c r="AQ680" i="17" s="1"/>
  <c r="AO681" i="17"/>
  <c r="AQ681" i="17" s="1" a="1"/>
  <c r="AQ681" i="17" s="1"/>
  <c r="AO682" i="17"/>
  <c r="AQ682" i="17" s="1" a="1"/>
  <c r="AQ682" i="17" s="1"/>
  <c r="AO683" i="17"/>
  <c r="AQ683" i="17" s="1" a="1"/>
  <c r="AQ683" i="17" s="1"/>
  <c r="AO684" i="17"/>
  <c r="AQ684" i="17" s="1" a="1"/>
  <c r="AQ684" i="17" s="1"/>
  <c r="AO685" i="17"/>
  <c r="AQ685" i="17" s="1" a="1"/>
  <c r="AQ685" i="17" s="1"/>
  <c r="AO686" i="17"/>
  <c r="AQ686" i="17" s="1" a="1"/>
  <c r="AQ686" i="17" s="1"/>
  <c r="AO687" i="17"/>
  <c r="AQ687" i="17" s="1" a="1"/>
  <c r="AQ687" i="17" s="1"/>
  <c r="AO688" i="17"/>
  <c r="AQ688" i="17" s="1" a="1"/>
  <c r="AQ688" i="17" s="1"/>
  <c r="AO689" i="17"/>
  <c r="AQ689" i="17" s="1" a="1"/>
  <c r="AQ689" i="17" s="1"/>
  <c r="AO690" i="17"/>
  <c r="AQ690" i="17" s="1" a="1"/>
  <c r="AQ690" i="17" s="1"/>
  <c r="AO691" i="17"/>
  <c r="AQ691" i="17" s="1" a="1"/>
  <c r="AQ691" i="17" s="1"/>
  <c r="AO692" i="17"/>
  <c r="AQ692" i="17" s="1" a="1"/>
  <c r="AQ692" i="17" s="1"/>
  <c r="AO693" i="17"/>
  <c r="AQ693" i="17" s="1" a="1"/>
  <c r="AQ693" i="17" s="1"/>
  <c r="AO694" i="17"/>
  <c r="AQ694" i="17" s="1" a="1"/>
  <c r="AQ694" i="17" s="1"/>
  <c r="AO695" i="17"/>
  <c r="AQ695" i="17" s="1" a="1"/>
  <c r="AQ695" i="17" s="1"/>
  <c r="AO696" i="17"/>
  <c r="AQ696" i="17" s="1" a="1"/>
  <c r="AQ696" i="17" s="1"/>
  <c r="AO697" i="17"/>
  <c r="AQ697" i="17" s="1" a="1"/>
  <c r="AQ697" i="17" s="1"/>
  <c r="AO698" i="17"/>
  <c r="AQ698" i="17" s="1" a="1"/>
  <c r="AQ698" i="17" s="1"/>
  <c r="AO699" i="17"/>
  <c r="AQ699" i="17" s="1" a="1"/>
  <c r="AQ699" i="17" s="1"/>
  <c r="AO700" i="17"/>
  <c r="AQ700" i="17" s="1" a="1"/>
  <c r="AQ700" i="17" s="1"/>
  <c r="AO701" i="17"/>
  <c r="AQ701" i="17" s="1" a="1"/>
  <c r="AQ701" i="17" s="1"/>
  <c r="AO702" i="17"/>
  <c r="AQ702" i="17" s="1" a="1"/>
  <c r="AQ702" i="17" s="1"/>
  <c r="AO703" i="17"/>
  <c r="AQ703" i="17" s="1" a="1"/>
  <c r="AQ703" i="17" s="1"/>
  <c r="AO704" i="17"/>
  <c r="AQ704" i="17" s="1" a="1"/>
  <c r="AQ704" i="17" s="1"/>
  <c r="AO705" i="17"/>
  <c r="AQ705" i="17" s="1" a="1"/>
  <c r="AQ705" i="17" s="1"/>
  <c r="AO706" i="17"/>
  <c r="AQ706" i="17" s="1" a="1"/>
  <c r="AQ706" i="17" s="1"/>
  <c r="AO707" i="17"/>
  <c r="AQ707" i="17" s="1" a="1"/>
  <c r="AQ707" i="17" s="1"/>
  <c r="AO708" i="17"/>
  <c r="AQ708" i="17" s="1" a="1"/>
  <c r="AQ708" i="17" s="1"/>
  <c r="AO709" i="17"/>
  <c r="AQ709" i="17" s="1" a="1"/>
  <c r="AQ709" i="17" s="1"/>
  <c r="AO710" i="17"/>
  <c r="AQ710" i="17" s="1" a="1"/>
  <c r="AQ710" i="17" s="1"/>
  <c r="AO711" i="17"/>
  <c r="AQ711" i="17" s="1" a="1"/>
  <c r="AQ711" i="17" s="1"/>
  <c r="AO712" i="17"/>
  <c r="AQ712" i="17" s="1" a="1"/>
  <c r="AQ712" i="17" s="1"/>
  <c r="AO713" i="17"/>
  <c r="AQ713" i="17" s="1" a="1"/>
  <c r="AQ713" i="17" s="1"/>
  <c r="AO714" i="17"/>
  <c r="AQ714" i="17" s="1" a="1"/>
  <c r="AQ714" i="17" s="1"/>
  <c r="AO715" i="17"/>
  <c r="AQ715" i="17" s="1" a="1"/>
  <c r="AQ715" i="17" s="1"/>
  <c r="AO716" i="17"/>
  <c r="AQ716" i="17" s="1" a="1"/>
  <c r="AQ716" i="17" s="1"/>
  <c r="AO717" i="17"/>
  <c r="AQ717" i="17" s="1" a="1"/>
  <c r="AQ717" i="17" s="1"/>
  <c r="AO718" i="17"/>
  <c r="AQ718" i="17" s="1" a="1"/>
  <c r="AQ718" i="17" s="1"/>
  <c r="AO719" i="17"/>
  <c r="AQ719" i="17" s="1" a="1"/>
  <c r="AQ719" i="17" s="1"/>
  <c r="AO720" i="17"/>
  <c r="AQ720" i="17" s="1" a="1"/>
  <c r="AQ720" i="17" s="1"/>
  <c r="AO721" i="17"/>
  <c r="AQ721" i="17" s="1" a="1"/>
  <c r="AQ721" i="17" s="1"/>
  <c r="AO722" i="17"/>
  <c r="AQ722" i="17" s="1" a="1"/>
  <c r="AQ722" i="17" s="1"/>
  <c r="AO723" i="17"/>
  <c r="AQ723" i="17" s="1" a="1"/>
  <c r="AQ723" i="17" s="1"/>
  <c r="AO724" i="17"/>
  <c r="AQ724" i="17" s="1" a="1"/>
  <c r="AQ724" i="17" s="1"/>
  <c r="AO725" i="17"/>
  <c r="AQ725" i="17" s="1" a="1"/>
  <c r="AQ725" i="17" s="1"/>
  <c r="AO726" i="17"/>
  <c r="AQ726" i="17" s="1" a="1"/>
  <c r="AQ726" i="17" s="1"/>
  <c r="AO727" i="17"/>
  <c r="AQ727" i="17" s="1" a="1"/>
  <c r="AQ727" i="17" s="1"/>
  <c r="AO728" i="17"/>
  <c r="AQ728" i="17" s="1" a="1"/>
  <c r="AQ728" i="17" s="1"/>
  <c r="AO729" i="17"/>
  <c r="AQ729" i="17" s="1" a="1"/>
  <c r="AQ729" i="17" s="1"/>
  <c r="AO730" i="17"/>
  <c r="AQ730" i="17" s="1" a="1"/>
  <c r="AQ730" i="17" s="1"/>
  <c r="AO731" i="17"/>
  <c r="AQ731" i="17" s="1" a="1"/>
  <c r="AQ731" i="17" s="1"/>
  <c r="AO732" i="17"/>
  <c r="AQ732" i="17" s="1" a="1"/>
  <c r="AQ732" i="17" s="1"/>
  <c r="AO733" i="17"/>
  <c r="AQ733" i="17" s="1" a="1"/>
  <c r="AQ733" i="17" s="1"/>
  <c r="AO734" i="17"/>
  <c r="AQ734" i="17" s="1" a="1"/>
  <c r="AQ734" i="17" s="1"/>
  <c r="AO735" i="17"/>
  <c r="AQ735" i="17" s="1" a="1"/>
  <c r="AQ735" i="17" s="1"/>
  <c r="AO736" i="17"/>
  <c r="AQ736" i="17" s="1" a="1"/>
  <c r="AQ736" i="17" s="1"/>
  <c r="AO737" i="17"/>
  <c r="AQ737" i="17" s="1" a="1"/>
  <c r="AQ737" i="17" s="1"/>
  <c r="AO738" i="17"/>
  <c r="AQ738" i="17" s="1" a="1"/>
  <c r="AQ738" i="17" s="1"/>
  <c r="AO739" i="17"/>
  <c r="AQ739" i="17" s="1" a="1"/>
  <c r="AQ739" i="17" s="1"/>
  <c r="AO740" i="17"/>
  <c r="AQ740" i="17" s="1" a="1"/>
  <c r="AQ740" i="17" s="1"/>
  <c r="AO741" i="17"/>
  <c r="AQ741" i="17" s="1" a="1"/>
  <c r="AQ741" i="17" s="1"/>
  <c r="AO742" i="17"/>
  <c r="AQ742" i="17" s="1" a="1"/>
  <c r="AQ742" i="17" s="1"/>
  <c r="AO743" i="17"/>
  <c r="AQ743" i="17" s="1" a="1"/>
  <c r="AQ743" i="17" s="1"/>
  <c r="AO744" i="17"/>
  <c r="AQ744" i="17" s="1" a="1"/>
  <c r="AQ744" i="17" s="1"/>
  <c r="AO745" i="17"/>
  <c r="AQ745" i="17" s="1" a="1"/>
  <c r="AQ745" i="17" s="1"/>
  <c r="AO746" i="17"/>
  <c r="AQ746" i="17" s="1" a="1"/>
  <c r="AQ746" i="17" s="1"/>
  <c r="AO747" i="17"/>
  <c r="AQ747" i="17" s="1" a="1"/>
  <c r="AQ747" i="17" s="1"/>
  <c r="AO748" i="17"/>
  <c r="AQ748" i="17" s="1" a="1"/>
  <c r="AQ748" i="17" s="1"/>
  <c r="AO749" i="17"/>
  <c r="AQ749" i="17" s="1" a="1"/>
  <c r="AQ749" i="17" s="1"/>
  <c r="AO750" i="17"/>
  <c r="AQ750" i="17" s="1" a="1"/>
  <c r="AQ750" i="17" s="1"/>
  <c r="AO751" i="17"/>
  <c r="AQ751" i="17" s="1" a="1"/>
  <c r="AQ751" i="17" s="1"/>
  <c r="AO752" i="17"/>
  <c r="AQ752" i="17" s="1" a="1"/>
  <c r="AQ752" i="17" s="1"/>
  <c r="AO753" i="17"/>
  <c r="AQ753" i="17" s="1" a="1"/>
  <c r="AQ753" i="17" s="1"/>
  <c r="AO754" i="17"/>
  <c r="AQ754" i="17" s="1" a="1"/>
  <c r="AQ754" i="17" s="1"/>
  <c r="AO755" i="17"/>
  <c r="AQ755" i="17" s="1" a="1"/>
  <c r="AQ755" i="17" s="1"/>
  <c r="AO756" i="17"/>
  <c r="AQ756" i="17" s="1" a="1"/>
  <c r="AQ756" i="17" s="1"/>
  <c r="AO757" i="17"/>
  <c r="AQ757" i="17" s="1" a="1"/>
  <c r="AQ757" i="17" s="1"/>
  <c r="AO758" i="17"/>
  <c r="AQ758" i="17" s="1" a="1"/>
  <c r="AQ758" i="17" s="1"/>
  <c r="AO759" i="17"/>
  <c r="AQ759" i="17" s="1" a="1"/>
  <c r="AQ759" i="17" s="1"/>
  <c r="AO760" i="17"/>
  <c r="AQ760" i="17" s="1" a="1"/>
  <c r="AQ760" i="17" s="1"/>
  <c r="AO761" i="17"/>
  <c r="AQ761" i="17" s="1" a="1"/>
  <c r="AQ761" i="17" s="1"/>
  <c r="AO762" i="17"/>
  <c r="AQ762" i="17" s="1" a="1"/>
  <c r="AQ762" i="17" s="1"/>
  <c r="AO763" i="17"/>
  <c r="AQ763" i="17" s="1" a="1"/>
  <c r="AQ763" i="17" s="1"/>
  <c r="AO764" i="17"/>
  <c r="AQ764" i="17" s="1" a="1"/>
  <c r="AQ764" i="17" s="1"/>
  <c r="AO765" i="17"/>
  <c r="AQ765" i="17" s="1" a="1"/>
  <c r="AQ765" i="17" s="1"/>
  <c r="AO766" i="17"/>
  <c r="AQ766" i="17" s="1" a="1"/>
  <c r="AQ766" i="17" s="1"/>
  <c r="AO767" i="17"/>
  <c r="AQ767" i="17" s="1" a="1"/>
  <c r="AQ767" i="17" s="1"/>
  <c r="AO768" i="17"/>
  <c r="AQ768" i="17" s="1" a="1"/>
  <c r="AQ768" i="17" s="1"/>
  <c r="AO769" i="17"/>
  <c r="AQ769" i="17" s="1" a="1"/>
  <c r="AQ769" i="17" s="1"/>
  <c r="AO770" i="17"/>
  <c r="AQ770" i="17" s="1" a="1"/>
  <c r="AQ770" i="17" s="1"/>
  <c r="AO771" i="17"/>
  <c r="AQ771" i="17" s="1" a="1"/>
  <c r="AQ771" i="17" s="1"/>
  <c r="AO772" i="17"/>
  <c r="AQ772" i="17" s="1" a="1"/>
  <c r="AQ772" i="17" s="1"/>
  <c r="AO773" i="17"/>
  <c r="AQ773" i="17" s="1" a="1"/>
  <c r="AQ773" i="17" s="1"/>
  <c r="AO774" i="17"/>
  <c r="AQ774" i="17" s="1" a="1"/>
  <c r="AQ774" i="17" s="1"/>
  <c r="AO775" i="17"/>
  <c r="AQ775" i="17" s="1" a="1"/>
  <c r="AQ775" i="17" s="1"/>
  <c r="AO776" i="17"/>
  <c r="AQ776" i="17" s="1" a="1"/>
  <c r="AQ776" i="17" s="1"/>
  <c r="AO777" i="17"/>
  <c r="AQ777" i="17" s="1" a="1"/>
  <c r="AQ777" i="17" s="1"/>
  <c r="AO778" i="17"/>
  <c r="AQ778" i="17" s="1" a="1"/>
  <c r="AQ778" i="17" s="1"/>
  <c r="AO779" i="17"/>
  <c r="AQ779" i="17" s="1" a="1"/>
  <c r="AQ779" i="17" s="1"/>
  <c r="AO780" i="17"/>
  <c r="AQ780" i="17" s="1" a="1"/>
  <c r="AQ780" i="17" s="1"/>
  <c r="AO781" i="17"/>
  <c r="AQ781" i="17" s="1" a="1"/>
  <c r="AQ781" i="17" s="1"/>
  <c r="AO782" i="17"/>
  <c r="AQ782" i="17" s="1" a="1"/>
  <c r="AQ782" i="17" s="1"/>
  <c r="AO783" i="17"/>
  <c r="AQ783" i="17" s="1" a="1"/>
  <c r="AQ783" i="17" s="1"/>
  <c r="AO784" i="17"/>
  <c r="AQ784" i="17" s="1" a="1"/>
  <c r="AQ784" i="17" s="1"/>
  <c r="AO785" i="17"/>
  <c r="AQ785" i="17" s="1" a="1"/>
  <c r="AQ785" i="17" s="1"/>
  <c r="AO786" i="17"/>
  <c r="AQ786" i="17" s="1" a="1"/>
  <c r="AQ786" i="17" s="1"/>
  <c r="AO787" i="17"/>
  <c r="AQ787" i="17" s="1" a="1"/>
  <c r="AQ787" i="17" s="1"/>
  <c r="AO788" i="17"/>
  <c r="AQ788" i="17" s="1" a="1"/>
  <c r="AQ788" i="17" s="1"/>
  <c r="AO789" i="17"/>
  <c r="AQ789" i="17" s="1" a="1"/>
  <c r="AQ789" i="17" s="1"/>
  <c r="AO790" i="17"/>
  <c r="AQ790" i="17" s="1" a="1"/>
  <c r="AQ790" i="17" s="1"/>
  <c r="AO791" i="17"/>
  <c r="AQ791" i="17" s="1" a="1"/>
  <c r="AQ791" i="17" s="1"/>
  <c r="AO792" i="17"/>
  <c r="AQ792" i="17" s="1" a="1"/>
  <c r="AQ792" i="17" s="1"/>
  <c r="AO793" i="17"/>
  <c r="AQ793" i="17" s="1" a="1"/>
  <c r="AQ793" i="17" s="1"/>
  <c r="AO794" i="17"/>
  <c r="AQ794" i="17" s="1" a="1"/>
  <c r="AQ794" i="17" s="1"/>
  <c r="AO795" i="17"/>
  <c r="AQ795" i="17" s="1" a="1"/>
  <c r="AQ795" i="17" s="1"/>
  <c r="AO796" i="17"/>
  <c r="AQ796" i="17" s="1" a="1"/>
  <c r="AQ796" i="17" s="1"/>
  <c r="AO797" i="17"/>
  <c r="AQ797" i="17" s="1" a="1"/>
  <c r="AQ797" i="17" s="1"/>
  <c r="AO798" i="17"/>
  <c r="AQ798" i="17" s="1" a="1"/>
  <c r="AQ798" i="17" s="1"/>
  <c r="AO799" i="17"/>
  <c r="AQ799" i="17" s="1" a="1"/>
  <c r="AQ799" i="17" s="1"/>
  <c r="AO800" i="17"/>
  <c r="AQ800" i="17" s="1" a="1"/>
  <c r="AQ800" i="17" s="1"/>
  <c r="AO801" i="17"/>
  <c r="AQ801" i="17" s="1" a="1"/>
  <c r="AQ801" i="17" s="1"/>
  <c r="AO802" i="17"/>
  <c r="AQ802" i="17" s="1" a="1"/>
  <c r="AQ802" i="17" s="1"/>
  <c r="AO803" i="17"/>
  <c r="AQ803" i="17" s="1" a="1"/>
  <c r="AQ803" i="17" s="1"/>
  <c r="AO804" i="17"/>
  <c r="AQ804" i="17" s="1" a="1"/>
  <c r="AQ804" i="17" s="1"/>
  <c r="AO805" i="17"/>
  <c r="AQ805" i="17" s="1" a="1"/>
  <c r="AQ805" i="17" s="1"/>
  <c r="AO806" i="17"/>
  <c r="AQ806" i="17" s="1" a="1"/>
  <c r="AQ806" i="17" s="1"/>
  <c r="AO807" i="17"/>
  <c r="AQ807" i="17" s="1" a="1"/>
  <c r="AQ807" i="17" s="1"/>
  <c r="AO808" i="17"/>
  <c r="AQ808" i="17" s="1" a="1"/>
  <c r="AQ808" i="17" s="1"/>
  <c r="AO809" i="17"/>
  <c r="AQ809" i="17" s="1" a="1"/>
  <c r="AQ809" i="17" s="1"/>
  <c r="AO810" i="17"/>
  <c r="AQ810" i="17" s="1" a="1"/>
  <c r="AQ810" i="17" s="1"/>
  <c r="AO811" i="17"/>
  <c r="AQ811" i="17" s="1" a="1"/>
  <c r="AQ811" i="17" s="1"/>
  <c r="AO812" i="17"/>
  <c r="AQ812" i="17" s="1" a="1"/>
  <c r="AQ812" i="17" s="1"/>
  <c r="AO813" i="17"/>
  <c r="AQ813" i="17" s="1" a="1"/>
  <c r="AQ813" i="17" s="1"/>
  <c r="AO814" i="17"/>
  <c r="AQ814" i="17" s="1" a="1"/>
  <c r="AQ814" i="17" s="1"/>
  <c r="AO815" i="17"/>
  <c r="AQ815" i="17" s="1" a="1"/>
  <c r="AQ815" i="17" s="1"/>
  <c r="AO816" i="17"/>
  <c r="AQ816" i="17" s="1" a="1"/>
  <c r="AQ816" i="17" s="1"/>
  <c r="AO817" i="17"/>
  <c r="AQ817" i="17" s="1" a="1"/>
  <c r="AQ817" i="17" s="1"/>
  <c r="AO818" i="17"/>
  <c r="AQ818" i="17" s="1" a="1"/>
  <c r="AQ818" i="17" s="1"/>
  <c r="AO819" i="17"/>
  <c r="AQ819" i="17" s="1" a="1"/>
  <c r="AQ819" i="17" s="1"/>
  <c r="AO820" i="17"/>
  <c r="AQ820" i="17" s="1" a="1"/>
  <c r="AQ820" i="17" s="1"/>
  <c r="AO821" i="17"/>
  <c r="AQ821" i="17" s="1" a="1"/>
  <c r="AQ821" i="17" s="1"/>
  <c r="AO822" i="17"/>
  <c r="AQ822" i="17" s="1" a="1"/>
  <c r="AQ822" i="17" s="1"/>
  <c r="AO823" i="17"/>
  <c r="AQ823" i="17" s="1" a="1"/>
  <c r="AQ823" i="17" s="1"/>
  <c r="AO824" i="17"/>
  <c r="AQ824" i="17" s="1" a="1"/>
  <c r="AQ824" i="17" s="1"/>
  <c r="AO825" i="17"/>
  <c r="AQ825" i="17" s="1" a="1"/>
  <c r="AQ825" i="17" s="1"/>
  <c r="AO826" i="17"/>
  <c r="AQ826" i="17" s="1" a="1"/>
  <c r="AQ826" i="17" s="1"/>
  <c r="AO827" i="17"/>
  <c r="AQ827" i="17" s="1" a="1"/>
  <c r="AQ827" i="17" s="1"/>
  <c r="AO828" i="17"/>
  <c r="AQ828" i="17" s="1" a="1"/>
  <c r="AQ828" i="17" s="1"/>
  <c r="AO829" i="17"/>
  <c r="AQ829" i="17" s="1" a="1"/>
  <c r="AQ829" i="17" s="1"/>
  <c r="AO830" i="17"/>
  <c r="AQ830" i="17" s="1" a="1"/>
  <c r="AQ830" i="17" s="1"/>
  <c r="AO831" i="17"/>
  <c r="AQ831" i="17" s="1" a="1"/>
  <c r="AQ831" i="17" s="1"/>
  <c r="AO832" i="17"/>
  <c r="AQ832" i="17" s="1" a="1"/>
  <c r="AQ832" i="17" s="1"/>
  <c r="AO833" i="17"/>
  <c r="AQ833" i="17" s="1" a="1"/>
  <c r="AQ833" i="17" s="1"/>
  <c r="AO834" i="17"/>
  <c r="AQ834" i="17" s="1" a="1"/>
  <c r="AQ834" i="17" s="1"/>
  <c r="AO835" i="17"/>
  <c r="AQ835" i="17" s="1" a="1"/>
  <c r="AQ835" i="17" s="1"/>
  <c r="AO836" i="17"/>
  <c r="AQ836" i="17" s="1" a="1"/>
  <c r="AQ836" i="17" s="1"/>
  <c r="AO837" i="17"/>
  <c r="AQ837" i="17" s="1" a="1"/>
  <c r="AQ837" i="17" s="1"/>
  <c r="AO838" i="17"/>
  <c r="AQ838" i="17" s="1" a="1"/>
  <c r="AQ838" i="17" s="1"/>
  <c r="AO839" i="17"/>
  <c r="AQ839" i="17" s="1" a="1"/>
  <c r="AQ839" i="17" s="1"/>
  <c r="AO840" i="17"/>
  <c r="AQ840" i="17" s="1" a="1"/>
  <c r="AQ840" i="17" s="1"/>
  <c r="AO841" i="17"/>
  <c r="AQ841" i="17" s="1" a="1"/>
  <c r="AQ841" i="17" s="1"/>
  <c r="AO842" i="17"/>
  <c r="AQ842" i="17" s="1" a="1"/>
  <c r="AQ842" i="17" s="1"/>
  <c r="AO843" i="17"/>
  <c r="AQ843" i="17" s="1" a="1"/>
  <c r="AQ843" i="17" s="1"/>
  <c r="AO844" i="17"/>
  <c r="AQ844" i="17" s="1" a="1"/>
  <c r="AQ844" i="17" s="1"/>
  <c r="AO845" i="17"/>
  <c r="AQ845" i="17" s="1" a="1"/>
  <c r="AQ845" i="17" s="1"/>
  <c r="AO846" i="17"/>
  <c r="AQ846" i="17" s="1" a="1"/>
  <c r="AQ846" i="17" s="1"/>
  <c r="AO847" i="17"/>
  <c r="AQ847" i="17" s="1" a="1"/>
  <c r="AQ847" i="17" s="1"/>
  <c r="AO848" i="17"/>
  <c r="AQ848" i="17" s="1" a="1"/>
  <c r="AQ848" i="17" s="1"/>
  <c r="AO849" i="17"/>
  <c r="AQ849" i="17" s="1" a="1"/>
  <c r="AQ849" i="17" s="1"/>
  <c r="AO850" i="17"/>
  <c r="AQ850" i="17" s="1" a="1"/>
  <c r="AQ850" i="17" s="1"/>
  <c r="AO851" i="17"/>
  <c r="AQ851" i="17" s="1" a="1"/>
  <c r="AQ851" i="17" s="1"/>
  <c r="AO852" i="17"/>
  <c r="AQ852" i="17" s="1" a="1"/>
  <c r="AQ852" i="17" s="1"/>
  <c r="AO853" i="17"/>
  <c r="AQ853" i="17" s="1" a="1"/>
  <c r="AQ853" i="17" s="1"/>
  <c r="AO854" i="17"/>
  <c r="AQ854" i="17" s="1" a="1"/>
  <c r="AQ854" i="17" s="1"/>
  <c r="AO855" i="17"/>
  <c r="AQ855" i="17" s="1" a="1"/>
  <c r="AQ855" i="17" s="1"/>
  <c r="AO856" i="17"/>
  <c r="AQ856" i="17" s="1" a="1"/>
  <c r="AQ856" i="17" s="1"/>
  <c r="AO857" i="17"/>
  <c r="AQ857" i="17" s="1" a="1"/>
  <c r="AQ857" i="17" s="1"/>
  <c r="AO858" i="17"/>
  <c r="AQ858" i="17" s="1" a="1"/>
  <c r="AQ858" i="17" s="1"/>
  <c r="AO859" i="17"/>
  <c r="AQ859" i="17" s="1" a="1"/>
  <c r="AQ859" i="17" s="1"/>
  <c r="AO860" i="17"/>
  <c r="AQ860" i="17" s="1" a="1"/>
  <c r="AQ860" i="17" s="1"/>
  <c r="AO861" i="17"/>
  <c r="AQ861" i="17" s="1" a="1"/>
  <c r="AQ861" i="17" s="1"/>
  <c r="AO862" i="17"/>
  <c r="AQ862" i="17" s="1" a="1"/>
  <c r="AQ862" i="17" s="1"/>
  <c r="AO863" i="17"/>
  <c r="AQ863" i="17" s="1" a="1"/>
  <c r="AQ863" i="17" s="1"/>
  <c r="AO864" i="17"/>
  <c r="AQ864" i="17" s="1" a="1"/>
  <c r="AQ864" i="17" s="1"/>
  <c r="AO865" i="17"/>
  <c r="AQ865" i="17" s="1" a="1"/>
  <c r="AQ865" i="17" s="1"/>
  <c r="AO866" i="17"/>
  <c r="AQ866" i="17" s="1" a="1"/>
  <c r="AQ866" i="17" s="1"/>
  <c r="AO867" i="17"/>
  <c r="AQ867" i="17" s="1" a="1"/>
  <c r="AQ867" i="17" s="1"/>
  <c r="AO868" i="17"/>
  <c r="AQ868" i="17" s="1" a="1"/>
  <c r="AQ868" i="17" s="1"/>
  <c r="AO869" i="17"/>
  <c r="AQ869" i="17" s="1" a="1"/>
  <c r="AQ869" i="17" s="1"/>
  <c r="AO870" i="17"/>
  <c r="AQ870" i="17" s="1" a="1"/>
  <c r="AQ870" i="17" s="1"/>
  <c r="AO871" i="17"/>
  <c r="AQ871" i="17" s="1" a="1"/>
  <c r="AQ871" i="17" s="1"/>
  <c r="AO872" i="17"/>
  <c r="AQ872" i="17" s="1" a="1"/>
  <c r="AQ872" i="17" s="1"/>
  <c r="AO873" i="17"/>
  <c r="AQ873" i="17" s="1" a="1"/>
  <c r="AQ873" i="17" s="1"/>
  <c r="AO874" i="17"/>
  <c r="AQ874" i="17" s="1" a="1"/>
  <c r="AQ874" i="17" s="1"/>
  <c r="AO875" i="17"/>
  <c r="AQ875" i="17" s="1" a="1"/>
  <c r="AQ875" i="17" s="1"/>
  <c r="AO876" i="17"/>
  <c r="AQ876" i="17" s="1" a="1"/>
  <c r="AQ876" i="17" s="1"/>
  <c r="AO877" i="17"/>
  <c r="AQ877" i="17" s="1" a="1"/>
  <c r="AQ877" i="17" s="1"/>
  <c r="AO878" i="17"/>
  <c r="AQ878" i="17" s="1" a="1"/>
  <c r="AQ878" i="17" s="1"/>
  <c r="AO879" i="17"/>
  <c r="AQ879" i="17" s="1" a="1"/>
  <c r="AQ879" i="17" s="1"/>
  <c r="AO880" i="17"/>
  <c r="AQ880" i="17" s="1" a="1"/>
  <c r="AQ880" i="17" s="1"/>
  <c r="AO881" i="17"/>
  <c r="AQ881" i="17" s="1" a="1"/>
  <c r="AQ881" i="17" s="1"/>
  <c r="AO882" i="17"/>
  <c r="AQ882" i="17" s="1" a="1"/>
  <c r="AQ882" i="17" s="1"/>
  <c r="AO883" i="17"/>
  <c r="AQ883" i="17" s="1" a="1"/>
  <c r="AQ883" i="17" s="1"/>
  <c r="AO884" i="17"/>
  <c r="AQ884" i="17" s="1" a="1"/>
  <c r="AQ884" i="17" s="1"/>
  <c r="AO885" i="17"/>
  <c r="AQ885" i="17" s="1" a="1"/>
  <c r="AQ885" i="17" s="1"/>
  <c r="AO886" i="17"/>
  <c r="AQ886" i="17" s="1" a="1"/>
  <c r="AQ886" i="17" s="1"/>
  <c r="AO887" i="17"/>
  <c r="AQ887" i="17" s="1" a="1"/>
  <c r="AQ887" i="17" s="1"/>
  <c r="AO888" i="17"/>
  <c r="AQ888" i="17" s="1" a="1"/>
  <c r="AQ888" i="17" s="1"/>
  <c r="AO889" i="17"/>
  <c r="AQ889" i="17" s="1" a="1"/>
  <c r="AQ889" i="17" s="1"/>
  <c r="AO890" i="17"/>
  <c r="AQ890" i="17" s="1" a="1"/>
  <c r="AQ890" i="17" s="1"/>
  <c r="AO891" i="17"/>
  <c r="AQ891" i="17" s="1" a="1"/>
  <c r="AQ891" i="17" s="1"/>
  <c r="AO892" i="17"/>
  <c r="AQ892" i="17" s="1" a="1"/>
  <c r="AQ892" i="17" s="1"/>
  <c r="AO893" i="17"/>
  <c r="AQ893" i="17" s="1" a="1"/>
  <c r="AQ893" i="17" s="1"/>
  <c r="AO894" i="17"/>
  <c r="AQ894" i="17" s="1" a="1"/>
  <c r="AQ894" i="17" s="1"/>
  <c r="AO895" i="17"/>
  <c r="AQ895" i="17" s="1" a="1"/>
  <c r="AQ895" i="17" s="1"/>
  <c r="AO896" i="17"/>
  <c r="AQ896" i="17" s="1" a="1"/>
  <c r="AQ896" i="17" s="1"/>
  <c r="AO897" i="17"/>
  <c r="AQ897" i="17" s="1" a="1"/>
  <c r="AQ897" i="17" s="1"/>
  <c r="AO898" i="17"/>
  <c r="AQ898" i="17" s="1" a="1"/>
  <c r="AQ898" i="17" s="1"/>
  <c r="AO899" i="17"/>
  <c r="AQ899" i="17" s="1" a="1"/>
  <c r="AQ899" i="17" s="1"/>
  <c r="AO900" i="17"/>
  <c r="AQ900" i="17" s="1" a="1"/>
  <c r="AQ900" i="17" s="1"/>
  <c r="AO901" i="17"/>
  <c r="AQ901" i="17" s="1" a="1"/>
  <c r="AQ901" i="17" s="1"/>
  <c r="AO902" i="17"/>
  <c r="AQ902" i="17" s="1" a="1"/>
  <c r="AQ902" i="17" s="1"/>
  <c r="AO903" i="17"/>
  <c r="AQ903" i="17" s="1" a="1"/>
  <c r="AQ903" i="17" s="1"/>
  <c r="AO904" i="17"/>
  <c r="AQ904" i="17" s="1" a="1"/>
  <c r="AQ904" i="17" s="1"/>
  <c r="AO905" i="17"/>
  <c r="AQ905" i="17" s="1" a="1"/>
  <c r="AQ905" i="17" s="1"/>
  <c r="AO906" i="17"/>
  <c r="AQ906" i="17" s="1" a="1"/>
  <c r="AQ906" i="17" s="1"/>
  <c r="AO907" i="17"/>
  <c r="AQ907" i="17" s="1" a="1"/>
  <c r="AQ907" i="17" s="1"/>
  <c r="AO908" i="17"/>
  <c r="AQ908" i="17" s="1" a="1"/>
  <c r="AQ908" i="17" s="1"/>
  <c r="AO909" i="17"/>
  <c r="AQ909" i="17" s="1" a="1"/>
  <c r="AQ909" i="17" s="1"/>
  <c r="AO910" i="17"/>
  <c r="AQ910" i="17" s="1" a="1"/>
  <c r="AQ910" i="17" s="1"/>
  <c r="AO911" i="17"/>
  <c r="AQ911" i="17" s="1" a="1"/>
  <c r="AQ911" i="17" s="1"/>
  <c r="AO912" i="17"/>
  <c r="AQ912" i="17" s="1" a="1"/>
  <c r="AQ912" i="17" s="1"/>
  <c r="AO913" i="17"/>
  <c r="AQ913" i="17" s="1" a="1"/>
  <c r="AQ913" i="17" s="1"/>
  <c r="AO914" i="17"/>
  <c r="AQ914" i="17" s="1" a="1"/>
  <c r="AQ914" i="17" s="1"/>
  <c r="AO915" i="17"/>
  <c r="AQ915" i="17" s="1" a="1"/>
  <c r="AQ915" i="17" s="1"/>
  <c r="AO916" i="17"/>
  <c r="AQ916" i="17" s="1" a="1"/>
  <c r="AQ916" i="17" s="1"/>
  <c r="AO917" i="17"/>
  <c r="AQ917" i="17" s="1" a="1"/>
  <c r="AQ917" i="17" s="1"/>
  <c r="AO918" i="17"/>
  <c r="AQ918" i="17" s="1" a="1"/>
  <c r="AQ918" i="17" s="1"/>
  <c r="AO919" i="17"/>
  <c r="AQ919" i="17" s="1" a="1"/>
  <c r="AQ919" i="17" s="1"/>
  <c r="AO920" i="17"/>
  <c r="AQ920" i="17" s="1" a="1"/>
  <c r="AQ920" i="17" s="1"/>
  <c r="AO921" i="17"/>
  <c r="AQ921" i="17" s="1" a="1"/>
  <c r="AQ921" i="17" s="1"/>
  <c r="AO922" i="17"/>
  <c r="AQ922" i="17" s="1" a="1"/>
  <c r="AQ922" i="17" s="1"/>
  <c r="AO923" i="17"/>
  <c r="AQ923" i="17" s="1" a="1"/>
  <c r="AQ923" i="17" s="1"/>
  <c r="AO924" i="17"/>
  <c r="AQ924" i="17" s="1" a="1"/>
  <c r="AQ924" i="17" s="1"/>
  <c r="AO925" i="17"/>
  <c r="AQ925" i="17" s="1" a="1"/>
  <c r="AQ925" i="17" s="1"/>
  <c r="AO926" i="17"/>
  <c r="AQ926" i="17" s="1" a="1"/>
  <c r="AQ926" i="17" s="1"/>
  <c r="AO927" i="17"/>
  <c r="AQ927" i="17" s="1" a="1"/>
  <c r="AQ927" i="17" s="1"/>
  <c r="AO928" i="17"/>
  <c r="AQ928" i="17" s="1" a="1"/>
  <c r="AQ928" i="17" s="1"/>
  <c r="AO929" i="17"/>
  <c r="AQ929" i="17" s="1" a="1"/>
  <c r="AQ929" i="17" s="1"/>
  <c r="AO930" i="17"/>
  <c r="AQ930" i="17" s="1" a="1"/>
  <c r="AQ930" i="17" s="1"/>
  <c r="AO931" i="17"/>
  <c r="AQ931" i="17" s="1" a="1"/>
  <c r="AQ931" i="17" s="1"/>
  <c r="AO932" i="17"/>
  <c r="AQ932" i="17" s="1" a="1"/>
  <c r="AQ932" i="17" s="1"/>
  <c r="AO933" i="17"/>
  <c r="AQ933" i="17" s="1" a="1"/>
  <c r="AQ933" i="17" s="1"/>
  <c r="AO934" i="17"/>
  <c r="AQ934" i="17" s="1" a="1"/>
  <c r="AQ934" i="17" s="1"/>
  <c r="AO935" i="17"/>
  <c r="AQ935" i="17" s="1" a="1"/>
  <c r="AQ935" i="17" s="1"/>
  <c r="AO936" i="17"/>
  <c r="AQ936" i="17" s="1" a="1"/>
  <c r="AQ936" i="17" s="1"/>
  <c r="AO937" i="17"/>
  <c r="AQ937" i="17" s="1" a="1"/>
  <c r="AQ937" i="17" s="1"/>
  <c r="AO938" i="17"/>
  <c r="AQ938" i="17" s="1" a="1"/>
  <c r="AQ938" i="17" s="1"/>
  <c r="AO939" i="17"/>
  <c r="AQ939" i="17" s="1" a="1"/>
  <c r="AQ939" i="17" s="1"/>
  <c r="AO940" i="17"/>
  <c r="AQ940" i="17" s="1" a="1"/>
  <c r="AQ940" i="17" s="1"/>
  <c r="AO941" i="17"/>
  <c r="AQ941" i="17" s="1" a="1"/>
  <c r="AQ941" i="17" s="1"/>
  <c r="AO942" i="17"/>
  <c r="AQ942" i="17" s="1" a="1"/>
  <c r="AQ942" i="17" s="1"/>
  <c r="AO943" i="17"/>
  <c r="AQ943" i="17" s="1" a="1"/>
  <c r="AQ943" i="17" s="1"/>
  <c r="AO944" i="17"/>
  <c r="AQ944" i="17" s="1" a="1"/>
  <c r="AQ944" i="17" s="1"/>
  <c r="AO945" i="17"/>
  <c r="AQ945" i="17" s="1" a="1"/>
  <c r="AQ945" i="17" s="1"/>
  <c r="AO946" i="17"/>
  <c r="AQ946" i="17" s="1" a="1"/>
  <c r="AQ946" i="17" s="1"/>
  <c r="AO947" i="17"/>
  <c r="AQ947" i="17" s="1" a="1"/>
  <c r="AQ947" i="17" s="1"/>
  <c r="AO948" i="17"/>
  <c r="AQ948" i="17" s="1" a="1"/>
  <c r="AQ948" i="17" s="1"/>
  <c r="AO949" i="17"/>
  <c r="AQ949" i="17" s="1" a="1"/>
  <c r="AQ949" i="17" s="1"/>
  <c r="AO950" i="17"/>
  <c r="AQ950" i="17" s="1" a="1"/>
  <c r="AQ950" i="17" s="1"/>
  <c r="AO951" i="17"/>
  <c r="AQ951" i="17" s="1" a="1"/>
  <c r="AQ951" i="17" s="1"/>
  <c r="AO952" i="17"/>
  <c r="AQ952" i="17" s="1" a="1"/>
  <c r="AQ952" i="17" s="1"/>
  <c r="AO953" i="17"/>
  <c r="AQ953" i="17" s="1" a="1"/>
  <c r="AQ953" i="17" s="1"/>
  <c r="AO954" i="17"/>
  <c r="AQ954" i="17" s="1" a="1"/>
  <c r="AQ954" i="17" s="1"/>
  <c r="AO955" i="17"/>
  <c r="AQ955" i="17" s="1" a="1"/>
  <c r="AQ955" i="17" s="1"/>
  <c r="AO956" i="17"/>
  <c r="AQ956" i="17" s="1" a="1"/>
  <c r="AQ956" i="17" s="1"/>
  <c r="AO957" i="17"/>
  <c r="AQ957" i="17" s="1" a="1"/>
  <c r="AQ957" i="17" s="1"/>
  <c r="AO958" i="17"/>
  <c r="AQ958" i="17" s="1" a="1"/>
  <c r="AQ958" i="17" s="1"/>
  <c r="AO959" i="17"/>
  <c r="AQ959" i="17" s="1" a="1"/>
  <c r="AQ959" i="17" s="1"/>
  <c r="AO960" i="17"/>
  <c r="AQ960" i="17" s="1" a="1"/>
  <c r="AQ960" i="17" s="1"/>
  <c r="AO961" i="17"/>
  <c r="AQ961" i="17" s="1" a="1"/>
  <c r="AQ961" i="17" s="1"/>
  <c r="AO962" i="17"/>
  <c r="AQ962" i="17" s="1" a="1"/>
  <c r="AQ962" i="17" s="1"/>
  <c r="AO963" i="17"/>
  <c r="AQ963" i="17" s="1" a="1"/>
  <c r="AQ963" i="17" s="1"/>
  <c r="AO964" i="17"/>
  <c r="AQ964" i="17" s="1" a="1"/>
  <c r="AQ964" i="17" s="1"/>
  <c r="AO965" i="17"/>
  <c r="AQ965" i="17" s="1" a="1"/>
  <c r="AQ965" i="17" s="1"/>
  <c r="AO966" i="17"/>
  <c r="AQ966" i="17" s="1" a="1"/>
  <c r="AQ966" i="17" s="1"/>
  <c r="AO967" i="17"/>
  <c r="AQ967" i="17" s="1" a="1"/>
  <c r="AQ967" i="17" s="1"/>
  <c r="AO968" i="17"/>
  <c r="AQ968" i="17" s="1" a="1"/>
  <c r="AQ968" i="17" s="1"/>
  <c r="AO969" i="17"/>
  <c r="AQ969" i="17" s="1" a="1"/>
  <c r="AQ969" i="17" s="1"/>
  <c r="AO970" i="17"/>
  <c r="AQ970" i="17" s="1" a="1"/>
  <c r="AQ970" i="17" s="1"/>
  <c r="AO971" i="17"/>
  <c r="AQ971" i="17" s="1" a="1"/>
  <c r="AQ971" i="17" s="1"/>
  <c r="AO972" i="17"/>
  <c r="AQ972" i="17" s="1" a="1"/>
  <c r="AQ972" i="17" s="1"/>
  <c r="AO973" i="17"/>
  <c r="AQ973" i="17" s="1" a="1"/>
  <c r="AQ973" i="17" s="1"/>
  <c r="AO974" i="17"/>
  <c r="AQ974" i="17" s="1" a="1"/>
  <c r="AQ974" i="17" s="1"/>
  <c r="AO975" i="17"/>
  <c r="AQ975" i="17" s="1" a="1"/>
  <c r="AQ975" i="17" s="1"/>
  <c r="AO976" i="17"/>
  <c r="AQ976" i="17" s="1" a="1"/>
  <c r="AQ976" i="17" s="1"/>
  <c r="AO977" i="17"/>
  <c r="AQ977" i="17" s="1" a="1"/>
  <c r="AQ977" i="17" s="1"/>
  <c r="AO978" i="17"/>
  <c r="AQ978" i="17" s="1" a="1"/>
  <c r="AQ978" i="17" s="1"/>
  <c r="AO979" i="17"/>
  <c r="AQ979" i="17" s="1" a="1"/>
  <c r="AQ979" i="17" s="1"/>
  <c r="AO980" i="17"/>
  <c r="AQ980" i="17" s="1" a="1"/>
  <c r="AQ980" i="17" s="1"/>
  <c r="AO981" i="17"/>
  <c r="AQ981" i="17" s="1" a="1"/>
  <c r="AQ981" i="17" s="1"/>
  <c r="AO982" i="17"/>
  <c r="AQ982" i="17" s="1" a="1"/>
  <c r="AQ982" i="17" s="1"/>
  <c r="AO983" i="17"/>
  <c r="AQ983" i="17" s="1" a="1"/>
  <c r="AQ983" i="17" s="1"/>
  <c r="AO984" i="17"/>
  <c r="AQ984" i="17" s="1" a="1"/>
  <c r="AQ984" i="17" s="1"/>
  <c r="AO985" i="17"/>
  <c r="AQ985" i="17" s="1" a="1"/>
  <c r="AQ985" i="17" s="1"/>
  <c r="AO986" i="17"/>
  <c r="AQ986" i="17" s="1" a="1"/>
  <c r="AQ986" i="17" s="1"/>
  <c r="AO987" i="17"/>
  <c r="AQ987" i="17" s="1" a="1"/>
  <c r="AQ987" i="17" s="1"/>
  <c r="AO988" i="17"/>
  <c r="AQ988" i="17" s="1" a="1"/>
  <c r="AQ988" i="17" s="1"/>
  <c r="AO989" i="17"/>
  <c r="AQ989" i="17" s="1" a="1"/>
  <c r="AQ989" i="17" s="1"/>
  <c r="AO990" i="17"/>
  <c r="AQ990" i="17" s="1" a="1"/>
  <c r="AQ990" i="17" s="1"/>
  <c r="AO991" i="17"/>
  <c r="AQ991" i="17" s="1" a="1"/>
  <c r="AQ991" i="17" s="1"/>
  <c r="AO992" i="17"/>
  <c r="AQ992" i="17" s="1" a="1"/>
  <c r="AQ992" i="17" s="1"/>
  <c r="AO993" i="17"/>
  <c r="AQ993" i="17" s="1" a="1"/>
  <c r="AQ993" i="17" s="1"/>
  <c r="AO994" i="17"/>
  <c r="AQ994" i="17" s="1" a="1"/>
  <c r="AQ994" i="17" s="1"/>
  <c r="AO995" i="17"/>
  <c r="AQ995" i="17" s="1" a="1"/>
  <c r="AQ995" i="17" s="1"/>
  <c r="AO996" i="17"/>
  <c r="AQ996" i="17" s="1" a="1"/>
  <c r="AQ996" i="17" s="1"/>
  <c r="AO997" i="17"/>
  <c r="AQ997" i="17" s="1" a="1"/>
  <c r="AQ997" i="17" s="1"/>
  <c r="AO998" i="17"/>
  <c r="AQ998" i="17" s="1" a="1"/>
  <c r="AQ998" i="17" s="1"/>
  <c r="AO999" i="17"/>
  <c r="AQ999" i="17" s="1" a="1"/>
  <c r="AQ999" i="17" s="1"/>
  <c r="AO1000" i="17"/>
  <c r="AQ1000" i="17" s="1" a="1"/>
  <c r="AQ1000" i="17" s="1"/>
  <c r="AO1001" i="17"/>
  <c r="AQ1001" i="17" s="1" a="1"/>
  <c r="AQ1001" i="17" s="1"/>
  <c r="AP2" i="17"/>
  <c r="AP3" i="17"/>
  <c r="AP4" i="17"/>
  <c r="AP5" i="17"/>
  <c r="AP6" i="17"/>
  <c r="AP7" i="17"/>
  <c r="AP8" i="17"/>
  <c r="AP9" i="17"/>
  <c r="AP10" i="17"/>
  <c r="AP11" i="17"/>
  <c r="AP12" i="17"/>
  <c r="AP13" i="17"/>
  <c r="AP14" i="17"/>
  <c r="AP15" i="17"/>
  <c r="AP16" i="17"/>
  <c r="AP17" i="17"/>
  <c r="AP18" i="17"/>
  <c r="AP19" i="17"/>
  <c r="AP20" i="17"/>
  <c r="AP21" i="17"/>
  <c r="AP22" i="17"/>
  <c r="AP23" i="17"/>
  <c r="AP24" i="17"/>
  <c r="AP25" i="17"/>
  <c r="AP26" i="17"/>
  <c r="AP27" i="17"/>
  <c r="AP28" i="17"/>
  <c r="AP29" i="17"/>
  <c r="AP30" i="17"/>
  <c r="AP31" i="17"/>
  <c r="AP32" i="17"/>
  <c r="AP33" i="17"/>
  <c r="AP34" i="17"/>
  <c r="AP35" i="17"/>
  <c r="AP36" i="17"/>
  <c r="AP37" i="17"/>
  <c r="AP38" i="17"/>
  <c r="AP39" i="17"/>
  <c r="AP40" i="17"/>
  <c r="AP41" i="17"/>
  <c r="AP42" i="17"/>
  <c r="AP43" i="17"/>
  <c r="AP44" i="17"/>
  <c r="AP45" i="17"/>
  <c r="AP46" i="17"/>
  <c r="AP47" i="17"/>
  <c r="AP48" i="17"/>
  <c r="AP49" i="17"/>
  <c r="AP50" i="17"/>
  <c r="AP51" i="17"/>
  <c r="AP52" i="17"/>
  <c r="AP53" i="17"/>
  <c r="AP54" i="17"/>
  <c r="AP55" i="17"/>
  <c r="AP56" i="17"/>
  <c r="AP57" i="17"/>
  <c r="AP58" i="17"/>
  <c r="AP59" i="17"/>
  <c r="AP60" i="17"/>
  <c r="AP61" i="17"/>
  <c r="AP62" i="17"/>
  <c r="AP63" i="17"/>
  <c r="AP64" i="17"/>
  <c r="AP65" i="17"/>
  <c r="AP66" i="17"/>
  <c r="AP67" i="17"/>
  <c r="AP68" i="17"/>
  <c r="AP69" i="17"/>
  <c r="AP70" i="17"/>
  <c r="AP71" i="17"/>
  <c r="AP72" i="17"/>
  <c r="AP73" i="17"/>
  <c r="AP74" i="17"/>
  <c r="AP75" i="17"/>
  <c r="AP76" i="17"/>
  <c r="AP77" i="17"/>
  <c r="AP78" i="17"/>
  <c r="AP79" i="17"/>
  <c r="AP80" i="17"/>
  <c r="AP81" i="17"/>
  <c r="AP82" i="17"/>
  <c r="AP83" i="17"/>
  <c r="AP84" i="17"/>
  <c r="AP85" i="17"/>
  <c r="AP86" i="17"/>
  <c r="AP87" i="17"/>
  <c r="AP88" i="17"/>
  <c r="AP89" i="17"/>
  <c r="AP90" i="17"/>
  <c r="AP91" i="17"/>
  <c r="AP92" i="17"/>
  <c r="AP93" i="17"/>
  <c r="AP94" i="17"/>
  <c r="AP95" i="17"/>
  <c r="AP96" i="17"/>
  <c r="AP97" i="17"/>
  <c r="AP98" i="17"/>
  <c r="AP99" i="17"/>
  <c r="AP100" i="17"/>
  <c r="AP101" i="17"/>
  <c r="AP102" i="17"/>
  <c r="AP103" i="17"/>
  <c r="AP104" i="17"/>
  <c r="AP105" i="17"/>
  <c r="AP106" i="17"/>
  <c r="AP107" i="17"/>
  <c r="AP108" i="17"/>
  <c r="AP109" i="17"/>
  <c r="AP110" i="17"/>
  <c r="AP111" i="17"/>
  <c r="AP112" i="17"/>
  <c r="AP113" i="17"/>
  <c r="AP114" i="17"/>
  <c r="AP115" i="17"/>
  <c r="AP116" i="17"/>
  <c r="AP117" i="17"/>
  <c r="AP118" i="17"/>
  <c r="AP119" i="17"/>
  <c r="AP120" i="17"/>
  <c r="AP121" i="17"/>
  <c r="AP122" i="17"/>
  <c r="AP123" i="17"/>
  <c r="AP124" i="17"/>
  <c r="AP125" i="17"/>
  <c r="AP126" i="17"/>
  <c r="AP127" i="17"/>
  <c r="AP128" i="17"/>
  <c r="AP129" i="17"/>
  <c r="AP130" i="17"/>
  <c r="AP131" i="17"/>
  <c r="AP132" i="17"/>
  <c r="AP133" i="17"/>
  <c r="AP134" i="17"/>
  <c r="AP135" i="17"/>
  <c r="AP136" i="17"/>
  <c r="AP137" i="17"/>
  <c r="AP138" i="17"/>
  <c r="AP139" i="17"/>
  <c r="AP140" i="17"/>
  <c r="AP141" i="17"/>
  <c r="AP142" i="17"/>
  <c r="AP143" i="17"/>
  <c r="AP144" i="17"/>
  <c r="AP145" i="17"/>
  <c r="AP146" i="17"/>
  <c r="AP147" i="17"/>
  <c r="AP148" i="17"/>
  <c r="AP149" i="17"/>
  <c r="AP150" i="17"/>
  <c r="AP151" i="17"/>
  <c r="AP152" i="17"/>
  <c r="AP153" i="17"/>
  <c r="AP154" i="17"/>
  <c r="AP155" i="17"/>
  <c r="AP156" i="17"/>
  <c r="AP157" i="17"/>
  <c r="AP158" i="17"/>
  <c r="AP159" i="17"/>
  <c r="AP160" i="17"/>
  <c r="AP161" i="17"/>
  <c r="AP162" i="17"/>
  <c r="AP163" i="17"/>
  <c r="AP164" i="17"/>
  <c r="AP165" i="17"/>
  <c r="AP166" i="17"/>
  <c r="AP167" i="17"/>
  <c r="AP168" i="17"/>
  <c r="AP169" i="17"/>
  <c r="AP170" i="17"/>
  <c r="AP171" i="17"/>
  <c r="AP172" i="17"/>
  <c r="AP173" i="17"/>
  <c r="AP174" i="17"/>
  <c r="AP175" i="17"/>
  <c r="AP176" i="17"/>
  <c r="AP177" i="17"/>
  <c r="AP178" i="17"/>
  <c r="AP179" i="17"/>
  <c r="AP180" i="17"/>
  <c r="AP181" i="17"/>
  <c r="AP182" i="17"/>
  <c r="AP183" i="17"/>
  <c r="AP184" i="17"/>
  <c r="AP185" i="17"/>
  <c r="AP186" i="17"/>
  <c r="AP187" i="17"/>
  <c r="AP188" i="17"/>
  <c r="AP189" i="17"/>
  <c r="AP190" i="17"/>
  <c r="AP191" i="17"/>
  <c r="AP192" i="17"/>
  <c r="AP193" i="17"/>
  <c r="AP194" i="17"/>
  <c r="AP195" i="17"/>
  <c r="AP196" i="17"/>
  <c r="AP197" i="17"/>
  <c r="AP198" i="17"/>
  <c r="AP199" i="17"/>
  <c r="AP200" i="17"/>
  <c r="AP201" i="17"/>
  <c r="AP202" i="17"/>
  <c r="AP203" i="17"/>
  <c r="AP204" i="17"/>
  <c r="AP205" i="17"/>
  <c r="AP206" i="17"/>
  <c r="AP207" i="17"/>
  <c r="AP208" i="17"/>
  <c r="AP209" i="17"/>
  <c r="AP210" i="17"/>
  <c r="AP211" i="17"/>
  <c r="AP212" i="17"/>
  <c r="AP213" i="17"/>
  <c r="AP214" i="17"/>
  <c r="AP215" i="17"/>
  <c r="AP216" i="17"/>
  <c r="AP217" i="17"/>
  <c r="AP218" i="17"/>
  <c r="AP219" i="17"/>
  <c r="AP220" i="17"/>
  <c r="AP221" i="17"/>
  <c r="AP222" i="17"/>
  <c r="AP223" i="17"/>
  <c r="AP224" i="17"/>
  <c r="AP225" i="17"/>
  <c r="AP226" i="17"/>
  <c r="AP227" i="17"/>
  <c r="AP228" i="17"/>
  <c r="AP229" i="17"/>
  <c r="AP230" i="17"/>
  <c r="AP231" i="17"/>
  <c r="AP232" i="17"/>
  <c r="AP233" i="17"/>
  <c r="AP234" i="17"/>
  <c r="AP235" i="17"/>
  <c r="AP236" i="17"/>
  <c r="AP237" i="17"/>
  <c r="AP238" i="17"/>
  <c r="AP239" i="17"/>
  <c r="AP240" i="17"/>
  <c r="AP241" i="17"/>
  <c r="AP242" i="17"/>
  <c r="AP243" i="17"/>
  <c r="AP244" i="17"/>
  <c r="AP245" i="17"/>
  <c r="AP246" i="17"/>
  <c r="AP247" i="17"/>
  <c r="AP248" i="17"/>
  <c r="AP249" i="17"/>
  <c r="AP250" i="17"/>
  <c r="AP251" i="17"/>
  <c r="AP252" i="17"/>
  <c r="AP253" i="17"/>
  <c r="AP254" i="17"/>
  <c r="AP255" i="17"/>
  <c r="AP256" i="17"/>
  <c r="AP257" i="17"/>
  <c r="AP258" i="17"/>
  <c r="AP259" i="17"/>
  <c r="AP260" i="17"/>
  <c r="AP261" i="17"/>
  <c r="AP262" i="17"/>
  <c r="AP263" i="17"/>
  <c r="AP264" i="17"/>
  <c r="AP265" i="17"/>
  <c r="AP266" i="17"/>
  <c r="AP267" i="17"/>
  <c r="AP268" i="17"/>
  <c r="AP269" i="17"/>
  <c r="AP270" i="17"/>
  <c r="AP271" i="17"/>
  <c r="AP272" i="17"/>
  <c r="AP273" i="17"/>
  <c r="AP274" i="17"/>
  <c r="AP275" i="17"/>
  <c r="AP276" i="17"/>
  <c r="AP277" i="17"/>
  <c r="AP278" i="17"/>
  <c r="AP279" i="17"/>
  <c r="AP280" i="17"/>
  <c r="AP281" i="17"/>
  <c r="AP282" i="17"/>
  <c r="AP283" i="17"/>
  <c r="AP284" i="17"/>
  <c r="AP285" i="17"/>
  <c r="AP286" i="17"/>
  <c r="AP287" i="17"/>
  <c r="AP288" i="17"/>
  <c r="AP289" i="17"/>
  <c r="AP290" i="17"/>
  <c r="AP291" i="17"/>
  <c r="AP292" i="17"/>
  <c r="AP293" i="17"/>
  <c r="AP294" i="17"/>
  <c r="AP295" i="17"/>
  <c r="AP296" i="17"/>
  <c r="AP297" i="17"/>
  <c r="AP298" i="17"/>
  <c r="AP299" i="17"/>
  <c r="AP300" i="17"/>
  <c r="AP301" i="17"/>
  <c r="AP302" i="17"/>
  <c r="AP303" i="17"/>
  <c r="AP304" i="17"/>
  <c r="AP305" i="17"/>
  <c r="AP306" i="17"/>
  <c r="AP307" i="17"/>
  <c r="AP308" i="17"/>
  <c r="AP309" i="17"/>
  <c r="AP310" i="17"/>
  <c r="AP311" i="17"/>
  <c r="AP312" i="17"/>
  <c r="AP313" i="17"/>
  <c r="AP314" i="17"/>
  <c r="AP315" i="17"/>
  <c r="AP316" i="17"/>
  <c r="AP317" i="17"/>
  <c r="AP318" i="17"/>
  <c r="AP319" i="17"/>
  <c r="AP320" i="17"/>
  <c r="AP321" i="17"/>
  <c r="AP322" i="17"/>
  <c r="AP323" i="17"/>
  <c r="AP324" i="17"/>
  <c r="AP325" i="17"/>
  <c r="AP326" i="17"/>
  <c r="AP327" i="17"/>
  <c r="AP328" i="17"/>
  <c r="AP329" i="17"/>
  <c r="AP330" i="17"/>
  <c r="AP331" i="17"/>
  <c r="AP332" i="17"/>
  <c r="AP333" i="17"/>
  <c r="AP334" i="17"/>
  <c r="AP335" i="17"/>
  <c r="AP336" i="17"/>
  <c r="AP337" i="17"/>
  <c r="AP338" i="17"/>
  <c r="AP339" i="17"/>
  <c r="AP340" i="17"/>
  <c r="AP341" i="17"/>
  <c r="AP342" i="17"/>
  <c r="AP343" i="17"/>
  <c r="AP344" i="17"/>
  <c r="AP345" i="17"/>
  <c r="AP346" i="17"/>
  <c r="AP347" i="17"/>
  <c r="AP348" i="17"/>
  <c r="AP349" i="17"/>
  <c r="AP350" i="17"/>
  <c r="AP351" i="17"/>
  <c r="AP352" i="17"/>
  <c r="AP353" i="17"/>
  <c r="AP354" i="17"/>
  <c r="AP355" i="17"/>
  <c r="AP356" i="17"/>
  <c r="AP357" i="17"/>
  <c r="AP358" i="17"/>
  <c r="AP359" i="17"/>
  <c r="AP360" i="17"/>
  <c r="AP361" i="17"/>
  <c r="AP362" i="17"/>
  <c r="AP363" i="17"/>
  <c r="AP364" i="17"/>
  <c r="AP365" i="17"/>
  <c r="AP366" i="17"/>
  <c r="AP367" i="17"/>
  <c r="AP368" i="17"/>
  <c r="AP369" i="17"/>
  <c r="AP370" i="17"/>
  <c r="AP371" i="17"/>
  <c r="AP372" i="17"/>
  <c r="AP373" i="17"/>
  <c r="AP374" i="17"/>
  <c r="AP375" i="17"/>
  <c r="AP376" i="17"/>
  <c r="AP377" i="17"/>
  <c r="AP378" i="17"/>
  <c r="AP379" i="17"/>
  <c r="AP380" i="17"/>
  <c r="AP381" i="17"/>
  <c r="AP382" i="17"/>
  <c r="AP383" i="17"/>
  <c r="AP384" i="17"/>
  <c r="AP385" i="17"/>
  <c r="AP386" i="17"/>
  <c r="AP387" i="17"/>
  <c r="AP388" i="17"/>
  <c r="AP389" i="17"/>
  <c r="AP390" i="17"/>
  <c r="AP391" i="17"/>
  <c r="AP392" i="17"/>
  <c r="AP393" i="17"/>
  <c r="AP394" i="17"/>
  <c r="AP395" i="17"/>
  <c r="AP396" i="17"/>
  <c r="AP397" i="17"/>
  <c r="AP398" i="17"/>
  <c r="AP399" i="17"/>
  <c r="AP400" i="17"/>
  <c r="AP401" i="17"/>
  <c r="AP402" i="17"/>
  <c r="AP403" i="17"/>
  <c r="AP404" i="17"/>
  <c r="AP405" i="17"/>
  <c r="AP406" i="17"/>
  <c r="AP407" i="17"/>
  <c r="AP408" i="17"/>
  <c r="AP409" i="17"/>
  <c r="AP410" i="17"/>
  <c r="AP411" i="17"/>
  <c r="AP412" i="17"/>
  <c r="AP413" i="17"/>
  <c r="AP414" i="17"/>
  <c r="AP415" i="17"/>
  <c r="AP416" i="17"/>
  <c r="AP417" i="17"/>
  <c r="AP418" i="17"/>
  <c r="AP419" i="17"/>
  <c r="AP420" i="17"/>
  <c r="AP421" i="17"/>
  <c r="AP422" i="17"/>
  <c r="AP423" i="17"/>
  <c r="AP424" i="17"/>
  <c r="AP425" i="17"/>
  <c r="AP426" i="17"/>
  <c r="AP427" i="17"/>
  <c r="AP428" i="17"/>
  <c r="AP429" i="17"/>
  <c r="AP430" i="17"/>
  <c r="AP431" i="17"/>
  <c r="AP432" i="17"/>
  <c r="AP433" i="17"/>
  <c r="AP434" i="17"/>
  <c r="AP435" i="17"/>
  <c r="AP436" i="17"/>
  <c r="AP437" i="17"/>
  <c r="AP438" i="17"/>
  <c r="AP439" i="17"/>
  <c r="AP440" i="17"/>
  <c r="AP441" i="17"/>
  <c r="AP442" i="17"/>
  <c r="AP443" i="17"/>
  <c r="AP444" i="17"/>
  <c r="AP445" i="17"/>
  <c r="AP446" i="17"/>
  <c r="AP447" i="17"/>
  <c r="AP448" i="17"/>
  <c r="AP449" i="17"/>
  <c r="AP450" i="17"/>
  <c r="AP451" i="17"/>
  <c r="AP452" i="17"/>
  <c r="AP453" i="17"/>
  <c r="AP454" i="17"/>
  <c r="AP455" i="17"/>
  <c r="AP456" i="17"/>
  <c r="AP457" i="17"/>
  <c r="AP458" i="17"/>
  <c r="AP459" i="17"/>
  <c r="AP460" i="17"/>
  <c r="AP461" i="17"/>
  <c r="AP462" i="17"/>
  <c r="AP463" i="17"/>
  <c r="AP464" i="17"/>
  <c r="AP465" i="17"/>
  <c r="AP466" i="17"/>
  <c r="AP467" i="17"/>
  <c r="AP468" i="17"/>
  <c r="AP469" i="17"/>
  <c r="AP470" i="17"/>
  <c r="AP471" i="17"/>
  <c r="AP472" i="17"/>
  <c r="AP473" i="17"/>
  <c r="AP474" i="17"/>
  <c r="AP475" i="17"/>
  <c r="AP476" i="17"/>
  <c r="AP477" i="17"/>
  <c r="AP478" i="17"/>
  <c r="AP479" i="17"/>
  <c r="AP480" i="17"/>
  <c r="AP481" i="17"/>
  <c r="AP482" i="17"/>
  <c r="AP483" i="17"/>
  <c r="AP484" i="17"/>
  <c r="AP485" i="17"/>
  <c r="AP486" i="17"/>
  <c r="AP487" i="17"/>
  <c r="AP488" i="17"/>
  <c r="AP489" i="17"/>
  <c r="AP490" i="17"/>
  <c r="AP491" i="17"/>
  <c r="AP492" i="17"/>
  <c r="AP493" i="17"/>
  <c r="AP494" i="17"/>
  <c r="AP495" i="17"/>
  <c r="AP496" i="17"/>
  <c r="AP497" i="17"/>
  <c r="AP498" i="17"/>
  <c r="AP499" i="17"/>
  <c r="AP500" i="17"/>
  <c r="AP501" i="17"/>
  <c r="AP502" i="17"/>
  <c r="AP503" i="17"/>
  <c r="AP504" i="17"/>
  <c r="AP505" i="17"/>
  <c r="AP506" i="17"/>
  <c r="AP507" i="17"/>
  <c r="AP508" i="17"/>
  <c r="AP509" i="17"/>
  <c r="AP510" i="17"/>
  <c r="AP511" i="17"/>
  <c r="AP512" i="17"/>
  <c r="AP513" i="17"/>
  <c r="AP514" i="17"/>
  <c r="AP515" i="17"/>
  <c r="AP516" i="17"/>
  <c r="AP517" i="17"/>
  <c r="AP518" i="17"/>
  <c r="AP519" i="17"/>
  <c r="AP520" i="17"/>
  <c r="AP521" i="17"/>
  <c r="AP522" i="17"/>
  <c r="AP523" i="17"/>
  <c r="AP524" i="17"/>
  <c r="AP525" i="17"/>
  <c r="AP526" i="17"/>
  <c r="AP527" i="17"/>
  <c r="AP528" i="17"/>
  <c r="AP529" i="17"/>
  <c r="AP530" i="17"/>
  <c r="AP531" i="17"/>
  <c r="AP532" i="17"/>
  <c r="AP533" i="17"/>
  <c r="AP534" i="17"/>
  <c r="AP535" i="17"/>
  <c r="AP536" i="17"/>
  <c r="AP537" i="17"/>
  <c r="AP538" i="17"/>
  <c r="AP539" i="17"/>
  <c r="AP540" i="17"/>
  <c r="AP541" i="17"/>
  <c r="AP542" i="17"/>
  <c r="AP543" i="17"/>
  <c r="AP544" i="17"/>
  <c r="AP545" i="17"/>
  <c r="AP546" i="17"/>
  <c r="AP547" i="17"/>
  <c r="AP548" i="17"/>
  <c r="AP549" i="17"/>
  <c r="AP550" i="17"/>
  <c r="AP551" i="17"/>
  <c r="AP552" i="17"/>
  <c r="AP553" i="17"/>
  <c r="AP554" i="17"/>
  <c r="AP555" i="17"/>
  <c r="AP556" i="17"/>
  <c r="AP557" i="17"/>
  <c r="AP558" i="17"/>
  <c r="AP559" i="17"/>
  <c r="AP560" i="17"/>
  <c r="AP561" i="17"/>
  <c r="AP562" i="17"/>
  <c r="AP563" i="17"/>
  <c r="AP564" i="17"/>
  <c r="AP565" i="17"/>
  <c r="AP566" i="17"/>
  <c r="AP567" i="17"/>
  <c r="AP568" i="17"/>
  <c r="AP569" i="17"/>
  <c r="AP570" i="17"/>
  <c r="AP571" i="17"/>
  <c r="AP572" i="17"/>
  <c r="AP573" i="17"/>
  <c r="AP574" i="17"/>
  <c r="AP575" i="17"/>
  <c r="AP576" i="17"/>
  <c r="AP577" i="17"/>
  <c r="AP578" i="17"/>
  <c r="AP579" i="17"/>
  <c r="AP580" i="17"/>
  <c r="AP581" i="17"/>
  <c r="AP582" i="17"/>
  <c r="AP583" i="17"/>
  <c r="AP584" i="17"/>
  <c r="AP585" i="17"/>
  <c r="AP586" i="17"/>
  <c r="AP587" i="17"/>
  <c r="AP588" i="17"/>
  <c r="AP589" i="17"/>
  <c r="AP590" i="17"/>
  <c r="AP591" i="17"/>
  <c r="AP592" i="17"/>
  <c r="AP593" i="17"/>
  <c r="AP594" i="17"/>
  <c r="AP595" i="17"/>
  <c r="AP596" i="17"/>
  <c r="AP597" i="17"/>
  <c r="AP598" i="17"/>
  <c r="AP599" i="17"/>
  <c r="AP600" i="17"/>
  <c r="AP601" i="17"/>
  <c r="AP602" i="17"/>
  <c r="AP603" i="17"/>
  <c r="AP604" i="17"/>
  <c r="AP605" i="17"/>
  <c r="AP606" i="17"/>
  <c r="AP607" i="17"/>
  <c r="AP608" i="17"/>
  <c r="AP609" i="17"/>
  <c r="AP610" i="17"/>
  <c r="AP611" i="17"/>
  <c r="AP612" i="17"/>
  <c r="AP613" i="17"/>
  <c r="AP614" i="17"/>
  <c r="AP615" i="17"/>
  <c r="AP616" i="17"/>
  <c r="AP617" i="17"/>
  <c r="AP618" i="17"/>
  <c r="AP619" i="17"/>
  <c r="AP620" i="17"/>
  <c r="AP621" i="17"/>
  <c r="AP622" i="17"/>
  <c r="AP623" i="17"/>
  <c r="AP624" i="17"/>
  <c r="AP625" i="17"/>
  <c r="AP626" i="17"/>
  <c r="AP627" i="17"/>
  <c r="AP628" i="17"/>
  <c r="AP629" i="17"/>
  <c r="AP630" i="17"/>
  <c r="AP631" i="17"/>
  <c r="AP632" i="17"/>
  <c r="AP633" i="17"/>
  <c r="AP634" i="17"/>
  <c r="AP635" i="17"/>
  <c r="AP636" i="17"/>
  <c r="AP637" i="17"/>
  <c r="AP638" i="17"/>
  <c r="AP639" i="17"/>
  <c r="AP640" i="17"/>
  <c r="AP641" i="17"/>
  <c r="AP642" i="17"/>
  <c r="AP643" i="17"/>
  <c r="AP644" i="17"/>
  <c r="AP645" i="17"/>
  <c r="AP646" i="17"/>
  <c r="AP647" i="17"/>
  <c r="AP648" i="17"/>
  <c r="AP649" i="17"/>
  <c r="AP650" i="17"/>
  <c r="AP651" i="17"/>
  <c r="AP652" i="17"/>
  <c r="AP653" i="17"/>
  <c r="AP654" i="17"/>
  <c r="AP655" i="17"/>
  <c r="AP656" i="17"/>
  <c r="AP657" i="17"/>
  <c r="AP658" i="17"/>
  <c r="AP659" i="17"/>
  <c r="AP660" i="17"/>
  <c r="AP661" i="17"/>
  <c r="AP662" i="17"/>
  <c r="AP663" i="17"/>
  <c r="AP664" i="17"/>
  <c r="AP665" i="17"/>
  <c r="AP666" i="17"/>
  <c r="AP667" i="17"/>
  <c r="AP668" i="17"/>
  <c r="AP669" i="17"/>
  <c r="AP670" i="17"/>
  <c r="AP671" i="17"/>
  <c r="AP672" i="17"/>
  <c r="AP673" i="17"/>
  <c r="AP674" i="17"/>
  <c r="AP675" i="17"/>
  <c r="AP676" i="17"/>
  <c r="AP677" i="17"/>
  <c r="AP678" i="17"/>
  <c r="AP679" i="17"/>
  <c r="AP680" i="17"/>
  <c r="AP681" i="17"/>
  <c r="AP682" i="17"/>
  <c r="AP683" i="17"/>
  <c r="AP684" i="17"/>
  <c r="AP685" i="17"/>
  <c r="AP686" i="17"/>
  <c r="AP687" i="17"/>
  <c r="AP688" i="17"/>
  <c r="AP689" i="17"/>
  <c r="AP690" i="17"/>
  <c r="AP691" i="17"/>
  <c r="AP692" i="17"/>
  <c r="AP693" i="17"/>
  <c r="AP694" i="17"/>
  <c r="AP695" i="17"/>
  <c r="AP696" i="17"/>
  <c r="AP697" i="17"/>
  <c r="AP698" i="17"/>
  <c r="AP699" i="17"/>
  <c r="AP700" i="17"/>
  <c r="AP701" i="17"/>
  <c r="AP702" i="17"/>
  <c r="AP703" i="17"/>
  <c r="AP704" i="17"/>
  <c r="AP705" i="17"/>
  <c r="AP706" i="17"/>
  <c r="AP707" i="17"/>
  <c r="AP708" i="17"/>
  <c r="AP709" i="17"/>
  <c r="AP710" i="17"/>
  <c r="AP711" i="17"/>
  <c r="AP712" i="17"/>
  <c r="AP713" i="17"/>
  <c r="AP714" i="17"/>
  <c r="AP715" i="17"/>
  <c r="AP716" i="17"/>
  <c r="AP717" i="17"/>
  <c r="AP718" i="17"/>
  <c r="AP719" i="17"/>
  <c r="AP720" i="17"/>
  <c r="AP721" i="17"/>
  <c r="AP722" i="17"/>
  <c r="AP723" i="17"/>
  <c r="AP724" i="17"/>
  <c r="AP725" i="17"/>
  <c r="AP726" i="17"/>
  <c r="AP727" i="17"/>
  <c r="AP728" i="17"/>
  <c r="AP729" i="17"/>
  <c r="AP730" i="17"/>
  <c r="AP731" i="17"/>
  <c r="AP732" i="17"/>
  <c r="AP733" i="17"/>
  <c r="AP734" i="17"/>
  <c r="AP735" i="17"/>
  <c r="AP736" i="17"/>
  <c r="AP737" i="17"/>
  <c r="AP738" i="17"/>
  <c r="AP739" i="17"/>
  <c r="AP740" i="17"/>
  <c r="AP741" i="17"/>
  <c r="AP742" i="17"/>
  <c r="AP743" i="17"/>
  <c r="AP744" i="17"/>
  <c r="AP745" i="17"/>
  <c r="AP746" i="17"/>
  <c r="AP747" i="17"/>
  <c r="AP748" i="17"/>
  <c r="AP749" i="17"/>
  <c r="AP750" i="17"/>
  <c r="AP751" i="17"/>
  <c r="AP752" i="17"/>
  <c r="AP753" i="17"/>
  <c r="AP754" i="17"/>
  <c r="AP755" i="17"/>
  <c r="AP756" i="17"/>
  <c r="AP757" i="17"/>
  <c r="AP758" i="17"/>
  <c r="AP759" i="17"/>
  <c r="AP760" i="17"/>
  <c r="AP761" i="17"/>
  <c r="AP762" i="17"/>
  <c r="AP763" i="17"/>
  <c r="AP764" i="17"/>
  <c r="AP765" i="17"/>
  <c r="AP766" i="17"/>
  <c r="AP767" i="17"/>
  <c r="AP768" i="17"/>
  <c r="AP769" i="17"/>
  <c r="AP770" i="17"/>
  <c r="AP771" i="17"/>
  <c r="AP772" i="17"/>
  <c r="AP773" i="17"/>
  <c r="AP774" i="17"/>
  <c r="AP775" i="17"/>
  <c r="AP776" i="17"/>
  <c r="AP777" i="17"/>
  <c r="AP778" i="17"/>
  <c r="AP779" i="17"/>
  <c r="AP780" i="17"/>
  <c r="AP781" i="17"/>
  <c r="AP782" i="17"/>
  <c r="AP783" i="17"/>
  <c r="AP784" i="17"/>
  <c r="AP785" i="17"/>
  <c r="AP786" i="17"/>
  <c r="AP787" i="17"/>
  <c r="AP788" i="17"/>
  <c r="AP789" i="17"/>
  <c r="AP790" i="17"/>
  <c r="AP791" i="17"/>
  <c r="AP792" i="17"/>
  <c r="AP793" i="17"/>
  <c r="AP794" i="17"/>
  <c r="AP795" i="17"/>
  <c r="AP796" i="17"/>
  <c r="AP797" i="17"/>
  <c r="AP798" i="17"/>
  <c r="AP799" i="17"/>
  <c r="AP800" i="17"/>
  <c r="AP801" i="17"/>
  <c r="AP802" i="17"/>
  <c r="AP803" i="17"/>
  <c r="AP804" i="17"/>
  <c r="AP805" i="17"/>
  <c r="AP806" i="17"/>
  <c r="AP807" i="17"/>
  <c r="AP808" i="17"/>
  <c r="AP809" i="17"/>
  <c r="AP810" i="17"/>
  <c r="AP811" i="17"/>
  <c r="AP812" i="17"/>
  <c r="AP813" i="17"/>
  <c r="AP814" i="17"/>
  <c r="AP815" i="17"/>
  <c r="AP816" i="17"/>
  <c r="AP817" i="17"/>
  <c r="AP818" i="17"/>
  <c r="AP819" i="17"/>
  <c r="AP820" i="17"/>
  <c r="AP821" i="17"/>
  <c r="AP822" i="17"/>
  <c r="AP823" i="17"/>
  <c r="AP824" i="17"/>
  <c r="AP825" i="17"/>
  <c r="AP826" i="17"/>
  <c r="AP827" i="17"/>
  <c r="AP828" i="17"/>
  <c r="AP829" i="17"/>
  <c r="AP830" i="17"/>
  <c r="AP831" i="17"/>
  <c r="AP832" i="17"/>
  <c r="AP833" i="17"/>
  <c r="AP834" i="17"/>
  <c r="AP835" i="17"/>
  <c r="AP836" i="17"/>
  <c r="AP837" i="17"/>
  <c r="AP838" i="17"/>
  <c r="AP839" i="17"/>
  <c r="AP840" i="17"/>
  <c r="AP841" i="17"/>
  <c r="AP842" i="17"/>
  <c r="AP843" i="17"/>
  <c r="AP844" i="17"/>
  <c r="AP845" i="17"/>
  <c r="AP846" i="17"/>
  <c r="AP847" i="17"/>
  <c r="AP848" i="17"/>
  <c r="AP849" i="17"/>
  <c r="AP850" i="17"/>
  <c r="AP851" i="17"/>
  <c r="AP852" i="17"/>
  <c r="AP853" i="17"/>
  <c r="AP854" i="17"/>
  <c r="AP855" i="17"/>
  <c r="AP856" i="17"/>
  <c r="AP857" i="17"/>
  <c r="AP858" i="17"/>
  <c r="AP859" i="17"/>
  <c r="AP860" i="17"/>
  <c r="AP861" i="17"/>
  <c r="AP862" i="17"/>
  <c r="AP863" i="17"/>
  <c r="AP864" i="17"/>
  <c r="AP865" i="17"/>
  <c r="AP866" i="17"/>
  <c r="AP867" i="17"/>
  <c r="AP868" i="17"/>
  <c r="AP869" i="17"/>
  <c r="AP870" i="17"/>
  <c r="AP871" i="17"/>
  <c r="AP872" i="17"/>
  <c r="AP873" i="17"/>
  <c r="AP874" i="17"/>
  <c r="AP875" i="17"/>
  <c r="AP876" i="17"/>
  <c r="AP877" i="17"/>
  <c r="AP878" i="17"/>
  <c r="AP879" i="17"/>
  <c r="AP880" i="17"/>
  <c r="AP881" i="17"/>
  <c r="AP882" i="17"/>
  <c r="AP883" i="17"/>
  <c r="AP884" i="17"/>
  <c r="AP885" i="17"/>
  <c r="AP886" i="17"/>
  <c r="AP887" i="17"/>
  <c r="AP888" i="17"/>
  <c r="AP889" i="17"/>
  <c r="AP890" i="17"/>
  <c r="AP891" i="17"/>
  <c r="AP892" i="17"/>
  <c r="AP893" i="17"/>
  <c r="AP894" i="17"/>
  <c r="AP895" i="17"/>
  <c r="AP896" i="17"/>
  <c r="AP897" i="17"/>
  <c r="AP898" i="17"/>
  <c r="AP899" i="17"/>
  <c r="AP900" i="17"/>
  <c r="AP901" i="17"/>
  <c r="AP902" i="17"/>
  <c r="AP903" i="17"/>
  <c r="AP904" i="17"/>
  <c r="AP905" i="17"/>
  <c r="AP906" i="17"/>
  <c r="AP907" i="17"/>
  <c r="AP908" i="17"/>
  <c r="AP909" i="17"/>
  <c r="AP910" i="17"/>
  <c r="AP911" i="17"/>
  <c r="AP912" i="17"/>
  <c r="AP913" i="17"/>
  <c r="AP914" i="17"/>
  <c r="AP915" i="17"/>
  <c r="AP916" i="17"/>
  <c r="AP917" i="17"/>
  <c r="AP918" i="17"/>
  <c r="AP919" i="17"/>
  <c r="AP920" i="17"/>
  <c r="AP921" i="17"/>
  <c r="AP922" i="17"/>
  <c r="AP923" i="17"/>
  <c r="AP924" i="17"/>
  <c r="AP925" i="17"/>
  <c r="AP926" i="17"/>
  <c r="AP927" i="17"/>
  <c r="AP928" i="17"/>
  <c r="AP929" i="17"/>
  <c r="AP930" i="17"/>
  <c r="AP931" i="17"/>
  <c r="AP932" i="17"/>
  <c r="AP933" i="17"/>
  <c r="AP934" i="17"/>
  <c r="AP935" i="17"/>
  <c r="AP936" i="17"/>
  <c r="AP937" i="17"/>
  <c r="AP938" i="17"/>
  <c r="AP939" i="17"/>
  <c r="AP940" i="17"/>
  <c r="AP941" i="17"/>
  <c r="AP942" i="17"/>
  <c r="AP943" i="17"/>
  <c r="AP944" i="17"/>
  <c r="AP945" i="17"/>
  <c r="AP946" i="17"/>
  <c r="AP947" i="17"/>
  <c r="AP948" i="17"/>
  <c r="AP949" i="17"/>
  <c r="AP950" i="17"/>
  <c r="AP951" i="17"/>
  <c r="AP952" i="17"/>
  <c r="AP953" i="17"/>
  <c r="AP954" i="17"/>
  <c r="AP955" i="17"/>
  <c r="AP956" i="17"/>
  <c r="AP957" i="17"/>
  <c r="AP958" i="17"/>
  <c r="AP959" i="17"/>
  <c r="AP960" i="17"/>
  <c r="AP961" i="17"/>
  <c r="AP962" i="17"/>
  <c r="AP963" i="17"/>
  <c r="AP964" i="17"/>
  <c r="AP965" i="17"/>
  <c r="AP966" i="17"/>
  <c r="AP967" i="17"/>
  <c r="AP968" i="17"/>
  <c r="AP969" i="17"/>
  <c r="AP970" i="17"/>
  <c r="AP971" i="17"/>
  <c r="AP972" i="17"/>
  <c r="AP973" i="17"/>
  <c r="AP974" i="17"/>
  <c r="AP975" i="17"/>
  <c r="AP976" i="17"/>
  <c r="AP977" i="17"/>
  <c r="AP978" i="17"/>
  <c r="AP979" i="17"/>
  <c r="AP980" i="17"/>
  <c r="AP981" i="17"/>
  <c r="AP982" i="17"/>
  <c r="AP983" i="17"/>
  <c r="AP984" i="17"/>
  <c r="AP985" i="17"/>
  <c r="AP986" i="17"/>
  <c r="AP987" i="17"/>
  <c r="AP988" i="17"/>
  <c r="AP989" i="17"/>
  <c r="AP990" i="17"/>
  <c r="AP991" i="17"/>
  <c r="AP992" i="17"/>
  <c r="AP993" i="17"/>
  <c r="AP994" i="17"/>
  <c r="AP995" i="17"/>
  <c r="AP996" i="17"/>
  <c r="AP997" i="17"/>
  <c r="AP998" i="17"/>
  <c r="AP999" i="17"/>
  <c r="AP1000" i="17"/>
  <c r="AP1001" i="17"/>
  <c r="AC2" i="19" l="1"/>
  <c r="AC3" i="19"/>
  <c r="AC4"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50" i="19"/>
  <c r="AC51" i="19"/>
  <c r="AC52" i="19"/>
  <c r="AC53" i="19"/>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6" i="19"/>
  <c r="AC87" i="19"/>
  <c r="AC88" i="19"/>
  <c r="AC89" i="19"/>
  <c r="AC90" i="19"/>
  <c r="AC91" i="19"/>
  <c r="AC92" i="19"/>
  <c r="AC93" i="19"/>
  <c r="AC94" i="19"/>
  <c r="AC95" i="19"/>
  <c r="AC96" i="19"/>
  <c r="AC97" i="19"/>
  <c r="AC98" i="19"/>
  <c r="AC99" i="19"/>
  <c r="AC100" i="19"/>
  <c r="AC101" i="19"/>
  <c r="AC102" i="19"/>
  <c r="AC103" i="19"/>
  <c r="AC104" i="19"/>
  <c r="AC105" i="19"/>
  <c r="AC106" i="19"/>
  <c r="AC107" i="19"/>
  <c r="AC108" i="19"/>
  <c r="AC109" i="19"/>
  <c r="AC110" i="19"/>
  <c r="AC111" i="19"/>
  <c r="AC112" i="19"/>
  <c r="AC113" i="19"/>
  <c r="AC114" i="19"/>
  <c r="AC115" i="19"/>
  <c r="AC116" i="19"/>
  <c r="AC117" i="19"/>
  <c r="AC118" i="19"/>
  <c r="AC119" i="19"/>
  <c r="AC120" i="19"/>
  <c r="AC121" i="19"/>
  <c r="AC122" i="19"/>
  <c r="AC123" i="19"/>
  <c r="AC124" i="19"/>
  <c r="AC125" i="19"/>
  <c r="AC126" i="19"/>
  <c r="AC127" i="19"/>
  <c r="AC128" i="19"/>
  <c r="AC129" i="19"/>
  <c r="AC130" i="19"/>
  <c r="AC131" i="19"/>
  <c r="AC132" i="19"/>
  <c r="AC133" i="19"/>
  <c r="AC134" i="19"/>
  <c r="AC135" i="19"/>
  <c r="AC136" i="19"/>
  <c r="AC137" i="19"/>
  <c r="AC138" i="19"/>
  <c r="AC139" i="19"/>
  <c r="AC140" i="19"/>
  <c r="AC141" i="19"/>
  <c r="AC142" i="19"/>
  <c r="AC143" i="19"/>
  <c r="AC144" i="19"/>
  <c r="AC145" i="19"/>
  <c r="AC146" i="19"/>
  <c r="AC147" i="19"/>
  <c r="AC148" i="19"/>
  <c r="AC149" i="19"/>
  <c r="AC150" i="19"/>
  <c r="AC151" i="19"/>
  <c r="AC152" i="19"/>
  <c r="AC153" i="19"/>
  <c r="AC154" i="19"/>
  <c r="AC155" i="19"/>
  <c r="AC156" i="19"/>
  <c r="AC157" i="19"/>
  <c r="AC158" i="19"/>
  <c r="AC159" i="19"/>
  <c r="AC160" i="19"/>
  <c r="AC161" i="19"/>
  <c r="AC162" i="19"/>
  <c r="AC163" i="19"/>
  <c r="AC164" i="19"/>
  <c r="AC165" i="19"/>
  <c r="AC166" i="19"/>
  <c r="AC167" i="19"/>
  <c r="AC168" i="19"/>
  <c r="AC169" i="19"/>
  <c r="AC170" i="19"/>
  <c r="AC171" i="19"/>
  <c r="AC172" i="19"/>
  <c r="AC173" i="19"/>
  <c r="AC174" i="19"/>
  <c r="AC175" i="19"/>
  <c r="AC176" i="19"/>
  <c r="AC177" i="19"/>
  <c r="AC178" i="19"/>
  <c r="AC179" i="19"/>
  <c r="AC180" i="19"/>
  <c r="AC181" i="19"/>
  <c r="AC182" i="19"/>
  <c r="AC183" i="19"/>
  <c r="AC184" i="19"/>
  <c r="AC185" i="19"/>
  <c r="AC186" i="19"/>
  <c r="AC187" i="19"/>
  <c r="AC188" i="19"/>
  <c r="AC189" i="19"/>
  <c r="AC190" i="19"/>
  <c r="AC191" i="19"/>
  <c r="AC192" i="19"/>
  <c r="AC193" i="19"/>
  <c r="AC194" i="19"/>
  <c r="AC195" i="19"/>
  <c r="AC196" i="19"/>
  <c r="AC197" i="19"/>
  <c r="AC198" i="19"/>
  <c r="AC199" i="19"/>
  <c r="AC200" i="19"/>
  <c r="AC201" i="19"/>
  <c r="AC202" i="19"/>
  <c r="AC203" i="19"/>
  <c r="AC204" i="19"/>
  <c r="AC205" i="19"/>
  <c r="AC206" i="19"/>
  <c r="AC207" i="19"/>
  <c r="AC208" i="19"/>
  <c r="AC209" i="19"/>
  <c r="AC210" i="19"/>
  <c r="AC211" i="19"/>
  <c r="AC212" i="19"/>
  <c r="AC213" i="19"/>
  <c r="AC214" i="19"/>
  <c r="AC215" i="19"/>
  <c r="AC216" i="19"/>
  <c r="AC217" i="19"/>
  <c r="AC218" i="19"/>
  <c r="AC219" i="19"/>
  <c r="AC220" i="19"/>
  <c r="AC221" i="19"/>
  <c r="AC222" i="19"/>
  <c r="AC223" i="19"/>
  <c r="AC224" i="19"/>
  <c r="AC225" i="19"/>
  <c r="AC226" i="19"/>
  <c r="AC227" i="19"/>
  <c r="AC228" i="19"/>
  <c r="AC229" i="19"/>
  <c r="AC230" i="19"/>
  <c r="AC231" i="19"/>
  <c r="AC232" i="19"/>
  <c r="AC233" i="19"/>
  <c r="AC234" i="19"/>
  <c r="AC235" i="19"/>
  <c r="AC236" i="19"/>
  <c r="AC237" i="19"/>
  <c r="AC238" i="19"/>
  <c r="AC239" i="19"/>
  <c r="AC240" i="19"/>
  <c r="AC241" i="19"/>
  <c r="AC242" i="19"/>
  <c r="AC243" i="19"/>
  <c r="AC244" i="19"/>
  <c r="AC245" i="19"/>
  <c r="AC246" i="19"/>
  <c r="AC247" i="19"/>
  <c r="AC248" i="19"/>
  <c r="AC249" i="19"/>
  <c r="AC250" i="19"/>
  <c r="AC251" i="19"/>
  <c r="AC252" i="19"/>
  <c r="AC253" i="19"/>
  <c r="AC254" i="19"/>
  <c r="AC255" i="19"/>
  <c r="AC256" i="19"/>
  <c r="AC257" i="19"/>
  <c r="AC258" i="19"/>
  <c r="AC259" i="19"/>
  <c r="AC260" i="19"/>
  <c r="AC261" i="19"/>
  <c r="AC262" i="19"/>
  <c r="AC263" i="19"/>
  <c r="AC264" i="19"/>
  <c r="AC265" i="19"/>
  <c r="AC266" i="19"/>
  <c r="AC267" i="19"/>
  <c r="AC268" i="19"/>
  <c r="AC269" i="19"/>
  <c r="AC270" i="19"/>
  <c r="AC271" i="19"/>
  <c r="AC272" i="19"/>
  <c r="AC273" i="19"/>
  <c r="AC274" i="19"/>
  <c r="AC275" i="19"/>
  <c r="AC276" i="19"/>
  <c r="AC277" i="19"/>
  <c r="AC278" i="19"/>
  <c r="AC279" i="19"/>
  <c r="AC280" i="19"/>
  <c r="AC281" i="19"/>
  <c r="AC282" i="19"/>
  <c r="AC283" i="19"/>
  <c r="AC284" i="19"/>
  <c r="AC285" i="19"/>
  <c r="AC286" i="19"/>
  <c r="AC287" i="19"/>
  <c r="AC288" i="19"/>
  <c r="AC289" i="19"/>
  <c r="AC290" i="19"/>
  <c r="AC291" i="19"/>
  <c r="AC292" i="19"/>
  <c r="AC293" i="19"/>
  <c r="AC294" i="19"/>
  <c r="AC295" i="19"/>
  <c r="AC296" i="19"/>
  <c r="AC297" i="19"/>
  <c r="AC298" i="19"/>
  <c r="AC299" i="19"/>
  <c r="AC300" i="19"/>
  <c r="AC301" i="19"/>
  <c r="AC302" i="19"/>
  <c r="AC303" i="19"/>
  <c r="AC304" i="19"/>
  <c r="AC305" i="19"/>
  <c r="AC306" i="19"/>
  <c r="AC307" i="19"/>
  <c r="AC308" i="19"/>
  <c r="AC309" i="19"/>
  <c r="AC310" i="19"/>
  <c r="AC311" i="19"/>
  <c r="AC312" i="19"/>
  <c r="AC313" i="19"/>
  <c r="AC314" i="19"/>
  <c r="AC315" i="19"/>
  <c r="AC316" i="19"/>
  <c r="AC317" i="19"/>
  <c r="AC318" i="19"/>
  <c r="AC319" i="19"/>
  <c r="AC320" i="19"/>
  <c r="AC321" i="19"/>
  <c r="AC322" i="19"/>
  <c r="AC323" i="19"/>
  <c r="AC324" i="19"/>
  <c r="AC325" i="19"/>
  <c r="AC326" i="19"/>
  <c r="AC327" i="19"/>
  <c r="AC328" i="19"/>
  <c r="AC329" i="19"/>
  <c r="AC330" i="19"/>
  <c r="AC331" i="19"/>
  <c r="AC332" i="19"/>
  <c r="AC333" i="19"/>
  <c r="AC334" i="19"/>
  <c r="AC335" i="19"/>
  <c r="AC336" i="19"/>
  <c r="AC337" i="19"/>
  <c r="AC338" i="19"/>
  <c r="AC339" i="19"/>
  <c r="AC340" i="19"/>
  <c r="AC341" i="19"/>
  <c r="AC342" i="19"/>
  <c r="AC343" i="19"/>
  <c r="AC344" i="19"/>
  <c r="AC345" i="19"/>
  <c r="AC346" i="19"/>
  <c r="AC347" i="19"/>
  <c r="AC348" i="19"/>
  <c r="AC349" i="19"/>
  <c r="AC350" i="19"/>
  <c r="AC351" i="19"/>
  <c r="AC352" i="19"/>
  <c r="AC353" i="19"/>
  <c r="AC354" i="19"/>
  <c r="AC355" i="19"/>
  <c r="AC356" i="19"/>
  <c r="AC357" i="19"/>
  <c r="AC358" i="19"/>
  <c r="AC359" i="19"/>
  <c r="AC360" i="19"/>
  <c r="AC361" i="19"/>
  <c r="AC362" i="19"/>
  <c r="AC363" i="19"/>
  <c r="AC364" i="19"/>
  <c r="AC365" i="19"/>
  <c r="AC366" i="19"/>
  <c r="AC367" i="19"/>
  <c r="AC368" i="19"/>
  <c r="AC369" i="19"/>
  <c r="AC370" i="19"/>
  <c r="AC371" i="19"/>
  <c r="AC372" i="19"/>
  <c r="AC373" i="19"/>
  <c r="AC374" i="19"/>
  <c r="AC375" i="19"/>
  <c r="AC376" i="19"/>
  <c r="AC377" i="19"/>
  <c r="AC378" i="19"/>
  <c r="AC379" i="19"/>
  <c r="AC380" i="19"/>
  <c r="AC381" i="19"/>
  <c r="AC382" i="19"/>
  <c r="AC383" i="19"/>
  <c r="AC384" i="19"/>
  <c r="AC385" i="19"/>
  <c r="AC386" i="19"/>
  <c r="AC387" i="19"/>
  <c r="AC388" i="19"/>
  <c r="AC389" i="19"/>
  <c r="AC390" i="19"/>
  <c r="AC391" i="19"/>
  <c r="AC392" i="19"/>
  <c r="AC393" i="19"/>
  <c r="AC394" i="19"/>
  <c r="AC395" i="19"/>
  <c r="AC396" i="19"/>
  <c r="AC397" i="19"/>
  <c r="AC398" i="19"/>
  <c r="AC399" i="19"/>
  <c r="AC400" i="19"/>
  <c r="AC401" i="19"/>
  <c r="AC402" i="19"/>
  <c r="AC403" i="19"/>
  <c r="AC404" i="19"/>
  <c r="AC405" i="19"/>
  <c r="AC406" i="19"/>
  <c r="AC407" i="19"/>
  <c r="AC408" i="19"/>
  <c r="AC409" i="19"/>
  <c r="AC410" i="19"/>
  <c r="AC411" i="19"/>
  <c r="AC412" i="19"/>
  <c r="AC413" i="19"/>
  <c r="AC414" i="19"/>
  <c r="AC415" i="19"/>
  <c r="AC416" i="19"/>
  <c r="AC417" i="19"/>
  <c r="AC418" i="19"/>
  <c r="AC419" i="19"/>
  <c r="AC420" i="19"/>
  <c r="AC421" i="19"/>
  <c r="AC422" i="19"/>
  <c r="AC423" i="19"/>
  <c r="AC424" i="19"/>
  <c r="AC425" i="19"/>
  <c r="AC426" i="19"/>
  <c r="AC427" i="19"/>
  <c r="AC428" i="19"/>
  <c r="AC429" i="19"/>
  <c r="AC430" i="19"/>
  <c r="AC431" i="19"/>
  <c r="AC432" i="19"/>
  <c r="AC433" i="19"/>
  <c r="AC434" i="19"/>
  <c r="AC435" i="19"/>
  <c r="AC436" i="19"/>
  <c r="AC437" i="19"/>
  <c r="AC438" i="19"/>
  <c r="AC439" i="19"/>
  <c r="AC440" i="19"/>
  <c r="AC441" i="19"/>
  <c r="AC442" i="19"/>
  <c r="AC443" i="19"/>
  <c r="AC444" i="19"/>
  <c r="AC445" i="19"/>
  <c r="AC446" i="19"/>
  <c r="AC447" i="19"/>
  <c r="AC448" i="19"/>
  <c r="AC449" i="19"/>
  <c r="AC450" i="19"/>
  <c r="AC451" i="19"/>
  <c r="AC452" i="19"/>
  <c r="AC453" i="19"/>
  <c r="AC454" i="19"/>
  <c r="AC455" i="19"/>
  <c r="AC456" i="19"/>
  <c r="AC457" i="19"/>
  <c r="AC458" i="19"/>
  <c r="AC459" i="19"/>
  <c r="AC460" i="19"/>
  <c r="AC461" i="19"/>
  <c r="AC462" i="19"/>
  <c r="AC463" i="19"/>
  <c r="AC464" i="19"/>
  <c r="AC465" i="19"/>
  <c r="AC466" i="19"/>
  <c r="AC467" i="19"/>
  <c r="AC468" i="19"/>
  <c r="AC469" i="19"/>
  <c r="AC470" i="19"/>
  <c r="AC471" i="19"/>
  <c r="AC472" i="19"/>
  <c r="AC473" i="19"/>
  <c r="AC474" i="19"/>
  <c r="AC475" i="19"/>
  <c r="AC476" i="19"/>
  <c r="AC477" i="19"/>
  <c r="AC478" i="19"/>
  <c r="AC479" i="19"/>
  <c r="AC480" i="19"/>
  <c r="AC481" i="19"/>
  <c r="AC482" i="19"/>
  <c r="AC483" i="19"/>
  <c r="AC484" i="19"/>
  <c r="AC485" i="19"/>
  <c r="AC486" i="19"/>
  <c r="AC487" i="19"/>
  <c r="AC488" i="19"/>
  <c r="AC489" i="19"/>
  <c r="AC490" i="19"/>
  <c r="AC491" i="19"/>
  <c r="AC492" i="19"/>
  <c r="AC493" i="19"/>
  <c r="AC494" i="19"/>
  <c r="AC495" i="19"/>
  <c r="AC496" i="19"/>
  <c r="AC497" i="19"/>
  <c r="AC498" i="19"/>
  <c r="AC499" i="19"/>
  <c r="AC500" i="19"/>
  <c r="AC501" i="19"/>
  <c r="AC502" i="19"/>
  <c r="AC503" i="19"/>
  <c r="AC504" i="19"/>
  <c r="AC505" i="19"/>
  <c r="AC506" i="19"/>
  <c r="AC507" i="19"/>
  <c r="AC508" i="19"/>
  <c r="AC509" i="19"/>
  <c r="AC510" i="19"/>
  <c r="AC511" i="19"/>
  <c r="AC512" i="19"/>
  <c r="AC513" i="19"/>
  <c r="AC514" i="19"/>
  <c r="AC515" i="19"/>
  <c r="AC516" i="19"/>
  <c r="AC517" i="19"/>
  <c r="AC518" i="19"/>
  <c r="AC519" i="19"/>
  <c r="AC520" i="19"/>
  <c r="AC521" i="19"/>
  <c r="AC522" i="19"/>
  <c r="AC523" i="19"/>
  <c r="AC524" i="19"/>
  <c r="AC525" i="19"/>
  <c r="AC526" i="19"/>
  <c r="AC527" i="19"/>
  <c r="AC528" i="19"/>
  <c r="AC529" i="19"/>
  <c r="AC530" i="19"/>
  <c r="AC531" i="19"/>
  <c r="AC532" i="19"/>
  <c r="AC533" i="19"/>
  <c r="AC534" i="19"/>
  <c r="AC535" i="19"/>
  <c r="AC536" i="19"/>
  <c r="AC537" i="19"/>
  <c r="AC538" i="19"/>
  <c r="AC539" i="19"/>
  <c r="AC540" i="19"/>
  <c r="AC541" i="19"/>
  <c r="AC542" i="19"/>
  <c r="AC543" i="19"/>
  <c r="AC544" i="19"/>
  <c r="AC545" i="19"/>
  <c r="AC546" i="19"/>
  <c r="AC547" i="19"/>
  <c r="AC548" i="19"/>
  <c r="AC549" i="19"/>
  <c r="AC550" i="19"/>
  <c r="AC551" i="19"/>
  <c r="AC552" i="19"/>
  <c r="AC553" i="19"/>
  <c r="AC554" i="19"/>
  <c r="AC555" i="19"/>
  <c r="AC556" i="19"/>
  <c r="AC557" i="19"/>
  <c r="AC558" i="19"/>
  <c r="AC559" i="19"/>
  <c r="AC560" i="19"/>
  <c r="AC561" i="19"/>
  <c r="AC562" i="19"/>
  <c r="AC563" i="19"/>
  <c r="AC564" i="19"/>
  <c r="AC565" i="19"/>
  <c r="AC566" i="19"/>
  <c r="AC567" i="19"/>
  <c r="AC568" i="19"/>
  <c r="AC569" i="19"/>
  <c r="AC570" i="19"/>
  <c r="AC571" i="19"/>
  <c r="AC572" i="19"/>
  <c r="AC573" i="19"/>
  <c r="AC574" i="19"/>
  <c r="AC575" i="19"/>
  <c r="AC576" i="19"/>
  <c r="AC577" i="19"/>
  <c r="AC578" i="19"/>
  <c r="AC579" i="19"/>
  <c r="AC580" i="19"/>
  <c r="AC581" i="19"/>
  <c r="AC582" i="19"/>
  <c r="AC583" i="19"/>
  <c r="AC584" i="19"/>
  <c r="AC585" i="19"/>
  <c r="AC586" i="19"/>
  <c r="AC587" i="19"/>
  <c r="AC588" i="19"/>
  <c r="AC589" i="19"/>
  <c r="AC590" i="19"/>
  <c r="AC591" i="19"/>
  <c r="AC592" i="19"/>
  <c r="AC593" i="19"/>
  <c r="AC594" i="19"/>
  <c r="AC595" i="19"/>
  <c r="AC596" i="19"/>
  <c r="AC597" i="19"/>
  <c r="AC598" i="19"/>
  <c r="AC599" i="19"/>
  <c r="AC600" i="19"/>
  <c r="AC601" i="19"/>
  <c r="AC602" i="19"/>
  <c r="AC603" i="19"/>
  <c r="AC604" i="19"/>
  <c r="AC605" i="19"/>
  <c r="AC606" i="19"/>
  <c r="AC607" i="19"/>
  <c r="AC608" i="19"/>
  <c r="AC609" i="19"/>
  <c r="AC610" i="19"/>
  <c r="AC611" i="19"/>
  <c r="AC612" i="19"/>
  <c r="AC613" i="19"/>
  <c r="AC614" i="19"/>
  <c r="AC615" i="19"/>
  <c r="AC616" i="19"/>
  <c r="AC617" i="19"/>
  <c r="AC618" i="19"/>
  <c r="AC619" i="19"/>
  <c r="AC620" i="19"/>
  <c r="AC621" i="19"/>
  <c r="AC622" i="19"/>
  <c r="AC623" i="19"/>
  <c r="AC624" i="19"/>
  <c r="AC625" i="19"/>
  <c r="AC626" i="19"/>
  <c r="AC627" i="19"/>
  <c r="AC628" i="19"/>
  <c r="AC629" i="19"/>
  <c r="AC630" i="19"/>
  <c r="AC631" i="19"/>
  <c r="AC632" i="19"/>
  <c r="AC633" i="19"/>
  <c r="AC634" i="19"/>
  <c r="AC635" i="19"/>
  <c r="AC636" i="19"/>
  <c r="AC637" i="19"/>
  <c r="AC638" i="19"/>
  <c r="AC639" i="19"/>
  <c r="AC640" i="19"/>
  <c r="AC641" i="19"/>
  <c r="AC642" i="19"/>
  <c r="AC643" i="19"/>
  <c r="AC644" i="19"/>
  <c r="AC645" i="19"/>
  <c r="AC646" i="19"/>
  <c r="AC647" i="19"/>
  <c r="AC648" i="19"/>
  <c r="AC649" i="19"/>
  <c r="AC650" i="19"/>
  <c r="AC651" i="19"/>
  <c r="AC652" i="19"/>
  <c r="AC653" i="19"/>
  <c r="AC654" i="19"/>
  <c r="AC655" i="19"/>
  <c r="AC656" i="19"/>
  <c r="AC657" i="19"/>
  <c r="AC658" i="19"/>
  <c r="AC659" i="19"/>
  <c r="AC660" i="19"/>
  <c r="AC661" i="19"/>
  <c r="AC662" i="19"/>
  <c r="AC663" i="19"/>
  <c r="AC664" i="19"/>
  <c r="AC665" i="19"/>
  <c r="AC666" i="19"/>
  <c r="AC667" i="19"/>
  <c r="AC668" i="19"/>
  <c r="AC669" i="19"/>
  <c r="AC670" i="19"/>
  <c r="AC671" i="19"/>
  <c r="AC672" i="19"/>
  <c r="AC673" i="19"/>
  <c r="AC674" i="19"/>
  <c r="AC675" i="19"/>
  <c r="AC676" i="19"/>
  <c r="AC677" i="19"/>
  <c r="AC678" i="19"/>
  <c r="AC679" i="19"/>
  <c r="AC680" i="19"/>
  <c r="AC681" i="19"/>
  <c r="AC682" i="19"/>
  <c r="AC683" i="19"/>
  <c r="AC684" i="19"/>
  <c r="AC685" i="19"/>
  <c r="AC686" i="19"/>
  <c r="AC687" i="19"/>
  <c r="AC688" i="19"/>
  <c r="AC689" i="19"/>
  <c r="AC690" i="19"/>
  <c r="AC691" i="19"/>
  <c r="AC692" i="19"/>
  <c r="AC693" i="19"/>
  <c r="AC694" i="19"/>
  <c r="AC695" i="19"/>
  <c r="AC696" i="19"/>
  <c r="AC697" i="19"/>
  <c r="AC698" i="19"/>
  <c r="AC699" i="19"/>
  <c r="AC700" i="19"/>
  <c r="AC701" i="19"/>
  <c r="AC702" i="19"/>
  <c r="AC703" i="19"/>
  <c r="AC704" i="19"/>
  <c r="AC705" i="19"/>
  <c r="AC706" i="19"/>
  <c r="AC707" i="19"/>
  <c r="AC708" i="19"/>
  <c r="AC709" i="19"/>
  <c r="AC710" i="19"/>
  <c r="AC711" i="19"/>
  <c r="AC712" i="19"/>
  <c r="AC713" i="19"/>
  <c r="AC714" i="19"/>
  <c r="AC715" i="19"/>
  <c r="AC716" i="19"/>
  <c r="AC717" i="19"/>
  <c r="AC718" i="19"/>
  <c r="AC719" i="19"/>
  <c r="AC720" i="19"/>
  <c r="AC721" i="19"/>
  <c r="AC722" i="19"/>
  <c r="AC723" i="19"/>
  <c r="AC724" i="19"/>
  <c r="AC725" i="19"/>
  <c r="AC726" i="19"/>
  <c r="AC727" i="19"/>
  <c r="AC728" i="19"/>
  <c r="AC729" i="19"/>
  <c r="AC730" i="19"/>
  <c r="AC731" i="19"/>
  <c r="AC732" i="19"/>
  <c r="AC733" i="19"/>
  <c r="AC734" i="19"/>
  <c r="AC735" i="19"/>
  <c r="AC736" i="19"/>
  <c r="AC737" i="19"/>
  <c r="AC738" i="19"/>
  <c r="AC739" i="19"/>
  <c r="AC740" i="19"/>
  <c r="AC741" i="19"/>
  <c r="AC742" i="19"/>
  <c r="AC743" i="19"/>
  <c r="AC744" i="19"/>
  <c r="AC745" i="19"/>
  <c r="AC746" i="19"/>
  <c r="AC747" i="19"/>
  <c r="AC748" i="19"/>
  <c r="AC749" i="19"/>
  <c r="AC750" i="19"/>
  <c r="AC751" i="19"/>
  <c r="AC752" i="19"/>
  <c r="AC753" i="19"/>
  <c r="AC754" i="19"/>
  <c r="AC755" i="19"/>
  <c r="AC756" i="19"/>
  <c r="AC757" i="19"/>
  <c r="AC758" i="19"/>
  <c r="AC759" i="19"/>
  <c r="AC760" i="19"/>
  <c r="AC761" i="19"/>
  <c r="AC762" i="19"/>
  <c r="AC763" i="19"/>
  <c r="AC764" i="19"/>
  <c r="AC765" i="19"/>
  <c r="AC766" i="19"/>
  <c r="AC767" i="19"/>
  <c r="AC768" i="19"/>
  <c r="AC769" i="19"/>
  <c r="AC770" i="19"/>
  <c r="AC771" i="19"/>
  <c r="AC772" i="19"/>
  <c r="AC773" i="19"/>
  <c r="AC774" i="19"/>
  <c r="AC775" i="19"/>
  <c r="AC776" i="19"/>
  <c r="AC777" i="19"/>
  <c r="AC778" i="19"/>
  <c r="AC779" i="19"/>
  <c r="AC780" i="19"/>
  <c r="AC781" i="19"/>
  <c r="AC782" i="19"/>
  <c r="AC783" i="19"/>
  <c r="AC784" i="19"/>
  <c r="AC785" i="19"/>
  <c r="AC786" i="19"/>
  <c r="AC787" i="19"/>
  <c r="AC788" i="19"/>
  <c r="AC789" i="19"/>
  <c r="AC790" i="19"/>
  <c r="AC791" i="19"/>
  <c r="AC792" i="19"/>
  <c r="AC793" i="19"/>
  <c r="AC794" i="19"/>
  <c r="AC795" i="19"/>
  <c r="AC796" i="19"/>
  <c r="AC797" i="19"/>
  <c r="AC798" i="19"/>
  <c r="AC799" i="19"/>
  <c r="AC800" i="19"/>
  <c r="AC801" i="19"/>
  <c r="AC802" i="19"/>
  <c r="AC803" i="19"/>
  <c r="AC804" i="19"/>
  <c r="AC805" i="19"/>
  <c r="AC806" i="19"/>
  <c r="AC807" i="19"/>
  <c r="AC808" i="19"/>
  <c r="AC809" i="19"/>
  <c r="AC810" i="19"/>
  <c r="AC811" i="19"/>
  <c r="AC812" i="19"/>
  <c r="AC813" i="19"/>
  <c r="AC814" i="19"/>
  <c r="AC815" i="19"/>
  <c r="AC816" i="19"/>
  <c r="AC817" i="19"/>
  <c r="AC818" i="19"/>
  <c r="AC819" i="19"/>
  <c r="AC820" i="19"/>
  <c r="AC821" i="19"/>
  <c r="AC822" i="19"/>
  <c r="AC823" i="19"/>
  <c r="AC824" i="19"/>
  <c r="AC825" i="19"/>
  <c r="AC826" i="19"/>
  <c r="AC827" i="19"/>
  <c r="AC828" i="19"/>
  <c r="AC829" i="19"/>
  <c r="AC830" i="19"/>
  <c r="AC831" i="19"/>
  <c r="AC832" i="19"/>
  <c r="AC833" i="19"/>
  <c r="AC834" i="19"/>
  <c r="AC835" i="19"/>
  <c r="AC836" i="19"/>
  <c r="AC837" i="19"/>
  <c r="AC838" i="19"/>
  <c r="AC839" i="19"/>
  <c r="AC840" i="19"/>
  <c r="AC841" i="19"/>
  <c r="AC842" i="19"/>
  <c r="AC843" i="19"/>
  <c r="AC844" i="19"/>
  <c r="AC845" i="19"/>
  <c r="AC846" i="19"/>
  <c r="AC847" i="19"/>
  <c r="AC848" i="19"/>
  <c r="AC849" i="19"/>
  <c r="AC850" i="19"/>
  <c r="AC851" i="19"/>
  <c r="AC852" i="19"/>
  <c r="AC853" i="19"/>
  <c r="AC854" i="19"/>
  <c r="AC855" i="19"/>
  <c r="AC856" i="19"/>
  <c r="AC857" i="19"/>
  <c r="AC858" i="19"/>
  <c r="AC859" i="19"/>
  <c r="AC860" i="19"/>
  <c r="AC861" i="19"/>
  <c r="AC862" i="19"/>
  <c r="AC863" i="19"/>
  <c r="AC864" i="19"/>
  <c r="AC865" i="19"/>
  <c r="AC866" i="19"/>
  <c r="AC867" i="19"/>
  <c r="AC868" i="19"/>
  <c r="AC869" i="19"/>
  <c r="AC870" i="19"/>
  <c r="AC871" i="19"/>
  <c r="AC872" i="19"/>
  <c r="AC873" i="19"/>
  <c r="AC874" i="19"/>
  <c r="AC875" i="19"/>
  <c r="AC876" i="19"/>
  <c r="AC877" i="19"/>
  <c r="AC878" i="19"/>
  <c r="AC879" i="19"/>
  <c r="AC880" i="19"/>
  <c r="AC881" i="19"/>
  <c r="AC882" i="19"/>
  <c r="AC883" i="19"/>
  <c r="AC884" i="19"/>
  <c r="AC885" i="19"/>
  <c r="AC886" i="19"/>
  <c r="AC887" i="19"/>
  <c r="AC888" i="19"/>
  <c r="AC889" i="19"/>
  <c r="AC890" i="19"/>
  <c r="AC891" i="19"/>
  <c r="AC892" i="19"/>
  <c r="AC893" i="19"/>
  <c r="AC894" i="19"/>
  <c r="AC895" i="19"/>
  <c r="AC896" i="19"/>
  <c r="AC897" i="19"/>
  <c r="AC898" i="19"/>
  <c r="AC899" i="19"/>
  <c r="AC900" i="19"/>
  <c r="AC901" i="19"/>
  <c r="AC902" i="19"/>
  <c r="AC903" i="19"/>
  <c r="AC904" i="19"/>
  <c r="AC905" i="19"/>
  <c r="AC906" i="19"/>
  <c r="AC907" i="19"/>
  <c r="AC908" i="19"/>
  <c r="AC909" i="19"/>
  <c r="AC910" i="19"/>
  <c r="AC911" i="19"/>
  <c r="AC912" i="19"/>
  <c r="AC913" i="19"/>
  <c r="AC914" i="19"/>
  <c r="AC915" i="19"/>
  <c r="AC916" i="19"/>
  <c r="AC917" i="19"/>
  <c r="AC918" i="19"/>
  <c r="AC919" i="19"/>
  <c r="AC920" i="19"/>
  <c r="AC921" i="19"/>
  <c r="AC922" i="19"/>
  <c r="AC923" i="19"/>
  <c r="AC924" i="19"/>
  <c r="AC925" i="19"/>
  <c r="AC926" i="19"/>
  <c r="AC927" i="19"/>
  <c r="AC928" i="19"/>
  <c r="AC929" i="19"/>
  <c r="AC930" i="19"/>
  <c r="AC931" i="19"/>
  <c r="AC932" i="19"/>
  <c r="AC933" i="19"/>
  <c r="AC934" i="19"/>
  <c r="AC935" i="19"/>
  <c r="AC936" i="19"/>
  <c r="AC937" i="19"/>
  <c r="AC938" i="19"/>
  <c r="AC939" i="19"/>
  <c r="AC940" i="19"/>
  <c r="AC941" i="19"/>
  <c r="AC942" i="19"/>
  <c r="AC943" i="19"/>
  <c r="AC944" i="19"/>
  <c r="AC945" i="19"/>
  <c r="AC946" i="19"/>
  <c r="AC947" i="19"/>
  <c r="AC948" i="19"/>
  <c r="AC949" i="19"/>
  <c r="AC950" i="19"/>
  <c r="AC951" i="19"/>
  <c r="AC952" i="19"/>
  <c r="AC953" i="19"/>
  <c r="AC954" i="19"/>
  <c r="AC955" i="19"/>
  <c r="AC956" i="19"/>
  <c r="AC957" i="19"/>
  <c r="AC958" i="19"/>
  <c r="AC959" i="19"/>
  <c r="AC960" i="19"/>
  <c r="AC961" i="19"/>
  <c r="AC962" i="19"/>
  <c r="AC963" i="19"/>
  <c r="AC964" i="19"/>
  <c r="AC965" i="19"/>
  <c r="AC966" i="19"/>
  <c r="AC967" i="19"/>
  <c r="AC968" i="19"/>
  <c r="AC969" i="19"/>
  <c r="AC970" i="19"/>
  <c r="AC971" i="19"/>
  <c r="AC972" i="19"/>
  <c r="AC973" i="19"/>
  <c r="AC974" i="19"/>
  <c r="AC975" i="19"/>
  <c r="AC976" i="19"/>
  <c r="AC977" i="19"/>
  <c r="AC978" i="19"/>
  <c r="AC979" i="19"/>
  <c r="AC980" i="19"/>
  <c r="AC981" i="19"/>
  <c r="AC982" i="19"/>
  <c r="AC983" i="19"/>
  <c r="AC984" i="19"/>
  <c r="AC985" i="19"/>
  <c r="AC986" i="19"/>
  <c r="AC987" i="19"/>
  <c r="AC988" i="19"/>
  <c r="AC989" i="19"/>
  <c r="AC990" i="19"/>
  <c r="AC991" i="19"/>
  <c r="AC992" i="19"/>
  <c r="AC993" i="19"/>
  <c r="AC994" i="19"/>
  <c r="AC995" i="19"/>
  <c r="AC996" i="19"/>
  <c r="AC997" i="19"/>
  <c r="AC998" i="19"/>
  <c r="AC999" i="19"/>
  <c r="AC1000" i="19"/>
  <c r="AC1001" i="19"/>
  <c r="AQ1001" i="19"/>
  <c r="AL1001" i="19"/>
  <c r="AG1001" i="19"/>
  <c r="AE1001" i="19"/>
  <c r="AB1001" i="19"/>
  <c r="Y1001" i="19"/>
  <c r="X1001" i="19"/>
  <c r="U1001" i="19"/>
  <c r="R1001" i="19"/>
  <c r="O1001" i="19"/>
  <c r="S1001" i="19" s="1"/>
  <c r="N1001" i="19"/>
  <c r="K1001" i="19"/>
  <c r="H1001" i="19"/>
  <c r="E1001" i="19"/>
  <c r="I1001" i="19" s="1"/>
  <c r="D1001" i="19"/>
  <c r="B1001" i="19"/>
  <c r="AQ1000" i="19"/>
  <c r="AL1000" i="19"/>
  <c r="AG1000" i="19"/>
  <c r="AE1000" i="19"/>
  <c r="AB1000" i="19"/>
  <c r="Y1000" i="19"/>
  <c r="X1000" i="19"/>
  <c r="U1000" i="19"/>
  <c r="R1000" i="19"/>
  <c r="O1000" i="19"/>
  <c r="S1000" i="19" s="1"/>
  <c r="N1000" i="19"/>
  <c r="K1000" i="19"/>
  <c r="H1000" i="19"/>
  <c r="E1000" i="19"/>
  <c r="I1000" i="19" s="1"/>
  <c r="D1000" i="19"/>
  <c r="B1000" i="19"/>
  <c r="AQ999" i="19"/>
  <c r="AL999" i="19"/>
  <c r="AG999" i="19"/>
  <c r="AE999" i="19"/>
  <c r="AB999" i="19"/>
  <c r="Y999" i="19"/>
  <c r="X999" i="19"/>
  <c r="U999" i="19"/>
  <c r="R999" i="19"/>
  <c r="O999" i="19"/>
  <c r="S999" i="19" s="1"/>
  <c r="N999" i="19"/>
  <c r="K999" i="19"/>
  <c r="H999" i="19"/>
  <c r="E999" i="19"/>
  <c r="I999" i="19" s="1"/>
  <c r="D999" i="19"/>
  <c r="B999" i="19"/>
  <c r="AQ998" i="19"/>
  <c r="AL998" i="19"/>
  <c r="AG998" i="19"/>
  <c r="AE998" i="19"/>
  <c r="AB998" i="19"/>
  <c r="Y998" i="19"/>
  <c r="X998" i="19"/>
  <c r="U998" i="19"/>
  <c r="R998" i="19"/>
  <c r="O998" i="19"/>
  <c r="S998" i="19" s="1"/>
  <c r="N998" i="19"/>
  <c r="K998" i="19"/>
  <c r="H998" i="19"/>
  <c r="E998" i="19"/>
  <c r="I998" i="19" s="1"/>
  <c r="D998" i="19"/>
  <c r="B998" i="19"/>
  <c r="AQ997" i="19"/>
  <c r="AL997" i="19"/>
  <c r="AG997" i="19"/>
  <c r="AE997" i="19"/>
  <c r="AB997" i="19"/>
  <c r="Y997" i="19"/>
  <c r="X997" i="19"/>
  <c r="U997" i="19"/>
  <c r="R997" i="19"/>
  <c r="O997" i="19"/>
  <c r="S997" i="19" s="1"/>
  <c r="N997" i="19"/>
  <c r="K997" i="19"/>
  <c r="H997" i="19"/>
  <c r="E997" i="19"/>
  <c r="I997" i="19" s="1"/>
  <c r="D997" i="19"/>
  <c r="B997" i="19"/>
  <c r="AQ996" i="19"/>
  <c r="AL996" i="19"/>
  <c r="AG996" i="19"/>
  <c r="AE996" i="19"/>
  <c r="AB996" i="19"/>
  <c r="Y996" i="19"/>
  <c r="X996" i="19"/>
  <c r="U996" i="19"/>
  <c r="R996" i="19"/>
  <c r="O996" i="19"/>
  <c r="S996" i="19" s="1"/>
  <c r="N996" i="19"/>
  <c r="K996" i="19"/>
  <c r="H996" i="19"/>
  <c r="E996" i="19"/>
  <c r="I996" i="19" s="1"/>
  <c r="D996" i="19"/>
  <c r="B996" i="19"/>
  <c r="AQ995" i="19"/>
  <c r="AL995" i="19"/>
  <c r="AG995" i="19"/>
  <c r="AE995" i="19"/>
  <c r="AB995" i="19"/>
  <c r="Y995" i="19"/>
  <c r="X995" i="19"/>
  <c r="U995" i="19"/>
  <c r="R995" i="19"/>
  <c r="O995" i="19"/>
  <c r="S995" i="19" s="1"/>
  <c r="N995" i="19"/>
  <c r="K995" i="19"/>
  <c r="H995" i="19"/>
  <c r="E995" i="19"/>
  <c r="I995" i="19" s="1"/>
  <c r="D995" i="19"/>
  <c r="B995" i="19"/>
  <c r="AQ994" i="19"/>
  <c r="AL994" i="19"/>
  <c r="AG994" i="19"/>
  <c r="AE994" i="19"/>
  <c r="AB994" i="19"/>
  <c r="Y994" i="19"/>
  <c r="X994" i="19"/>
  <c r="U994" i="19"/>
  <c r="R994" i="19"/>
  <c r="O994" i="19"/>
  <c r="S994" i="19" s="1"/>
  <c r="N994" i="19"/>
  <c r="K994" i="19"/>
  <c r="H994" i="19"/>
  <c r="E994" i="19"/>
  <c r="I994" i="19" s="1"/>
  <c r="D994" i="19"/>
  <c r="B994" i="19"/>
  <c r="AQ993" i="19"/>
  <c r="AL993" i="19"/>
  <c r="AG993" i="19"/>
  <c r="AE993" i="19"/>
  <c r="AF993" i="19" s="1"/>
  <c r="AB993" i="19"/>
  <c r="Y993" i="19"/>
  <c r="X993" i="19"/>
  <c r="U993" i="19"/>
  <c r="R993" i="19"/>
  <c r="T993" i="19" s="1"/>
  <c r="O993" i="19"/>
  <c r="S993" i="19" s="1"/>
  <c r="N993" i="19"/>
  <c r="K993" i="19"/>
  <c r="H993" i="19"/>
  <c r="E993" i="19"/>
  <c r="I993" i="19" s="1"/>
  <c r="D993" i="19"/>
  <c r="B993" i="19"/>
  <c r="AQ992" i="19"/>
  <c r="AL992" i="19"/>
  <c r="AG992" i="19"/>
  <c r="AE992" i="19"/>
  <c r="AB992" i="19"/>
  <c r="Y992" i="19"/>
  <c r="X992" i="19"/>
  <c r="U992" i="19"/>
  <c r="R992" i="19"/>
  <c r="O992" i="19"/>
  <c r="S992" i="19" s="1"/>
  <c r="N992" i="19"/>
  <c r="K992" i="19"/>
  <c r="H992" i="19"/>
  <c r="E992" i="19"/>
  <c r="I992" i="19" s="1"/>
  <c r="D992" i="19"/>
  <c r="B992" i="19"/>
  <c r="AQ991" i="19"/>
  <c r="AL991" i="19"/>
  <c r="AG991" i="19"/>
  <c r="AE991" i="19"/>
  <c r="AB991" i="19"/>
  <c r="Y991" i="19"/>
  <c r="X991" i="19"/>
  <c r="U991" i="19"/>
  <c r="R991" i="19"/>
  <c r="O991" i="19"/>
  <c r="S991" i="19" s="1"/>
  <c r="N991" i="19"/>
  <c r="K991" i="19"/>
  <c r="H991" i="19"/>
  <c r="E991" i="19"/>
  <c r="I991" i="19" s="1"/>
  <c r="D991" i="19"/>
  <c r="B991" i="19"/>
  <c r="AQ990" i="19"/>
  <c r="AL990" i="19"/>
  <c r="AG990" i="19"/>
  <c r="AE990" i="19"/>
  <c r="AB990" i="19"/>
  <c r="Y990" i="19"/>
  <c r="X990" i="19"/>
  <c r="U990" i="19"/>
  <c r="R990" i="19"/>
  <c r="O990" i="19"/>
  <c r="S990" i="19" s="1"/>
  <c r="N990" i="19"/>
  <c r="K990" i="19"/>
  <c r="H990" i="19"/>
  <c r="E990" i="19"/>
  <c r="I990" i="19" s="1"/>
  <c r="D990" i="19"/>
  <c r="B990" i="19"/>
  <c r="AQ989" i="19"/>
  <c r="AL989" i="19"/>
  <c r="AG989" i="19"/>
  <c r="AE989" i="19"/>
  <c r="AB989" i="19"/>
  <c r="Y989" i="19"/>
  <c r="X989" i="19"/>
  <c r="U989" i="19"/>
  <c r="R989" i="19"/>
  <c r="O989" i="19"/>
  <c r="S989" i="19" s="1"/>
  <c r="N989" i="19"/>
  <c r="K989" i="19"/>
  <c r="H989" i="19"/>
  <c r="E989" i="19"/>
  <c r="I989" i="19" s="1"/>
  <c r="D989" i="19"/>
  <c r="B989" i="19"/>
  <c r="AQ988" i="19"/>
  <c r="AL988" i="19"/>
  <c r="AG988" i="19"/>
  <c r="AE988" i="19"/>
  <c r="AB988" i="19"/>
  <c r="Y988" i="19"/>
  <c r="X988" i="19"/>
  <c r="U988" i="19"/>
  <c r="R988" i="19"/>
  <c r="O988" i="19"/>
  <c r="S988" i="19" s="1"/>
  <c r="N988" i="19"/>
  <c r="K988" i="19"/>
  <c r="H988" i="19"/>
  <c r="E988" i="19"/>
  <c r="I988" i="19" s="1"/>
  <c r="D988" i="19"/>
  <c r="B988" i="19"/>
  <c r="AQ987" i="19"/>
  <c r="AL987" i="19"/>
  <c r="AG987" i="19"/>
  <c r="AE987" i="19"/>
  <c r="AB987" i="19"/>
  <c r="Y987" i="19"/>
  <c r="X987" i="19"/>
  <c r="U987" i="19"/>
  <c r="R987" i="19"/>
  <c r="O987" i="19"/>
  <c r="S987" i="19" s="1"/>
  <c r="N987" i="19"/>
  <c r="K987" i="19"/>
  <c r="H987" i="19"/>
  <c r="E987" i="19"/>
  <c r="I987" i="19" s="1"/>
  <c r="D987" i="19"/>
  <c r="B987" i="19"/>
  <c r="AQ986" i="19"/>
  <c r="AL986" i="19"/>
  <c r="AG986" i="19"/>
  <c r="AE986" i="19"/>
  <c r="AB986" i="19"/>
  <c r="Y986" i="19"/>
  <c r="X986" i="19"/>
  <c r="U986" i="19"/>
  <c r="R986" i="19"/>
  <c r="O986" i="19"/>
  <c r="S986" i="19" s="1"/>
  <c r="N986" i="19"/>
  <c r="K986" i="19"/>
  <c r="H986" i="19"/>
  <c r="E986" i="19"/>
  <c r="I986" i="19" s="1"/>
  <c r="D986" i="19"/>
  <c r="B986" i="19"/>
  <c r="AQ985" i="19"/>
  <c r="AL985" i="19"/>
  <c r="AG985" i="19"/>
  <c r="AE985" i="19"/>
  <c r="AB985" i="19"/>
  <c r="Y985" i="19"/>
  <c r="X985" i="19"/>
  <c r="U985" i="19"/>
  <c r="R985" i="19"/>
  <c r="O985" i="19"/>
  <c r="S985" i="19" s="1"/>
  <c r="N985" i="19"/>
  <c r="K985" i="19"/>
  <c r="H985" i="19"/>
  <c r="E985" i="19"/>
  <c r="I985" i="19" s="1"/>
  <c r="D985" i="19"/>
  <c r="B985" i="19"/>
  <c r="AQ984" i="19"/>
  <c r="AL984" i="19"/>
  <c r="AG984" i="19"/>
  <c r="AE984" i="19"/>
  <c r="AB984" i="19"/>
  <c r="Y984" i="19"/>
  <c r="X984" i="19"/>
  <c r="U984" i="19"/>
  <c r="R984" i="19"/>
  <c r="O984" i="19"/>
  <c r="S984" i="19" s="1"/>
  <c r="N984" i="19"/>
  <c r="K984" i="19"/>
  <c r="H984" i="19"/>
  <c r="E984" i="19"/>
  <c r="I984" i="19" s="1"/>
  <c r="D984" i="19"/>
  <c r="B984" i="19"/>
  <c r="AQ983" i="19"/>
  <c r="AL983" i="19"/>
  <c r="AG983" i="19"/>
  <c r="AE983" i="19"/>
  <c r="AB983" i="19"/>
  <c r="Y983" i="19"/>
  <c r="X983" i="19"/>
  <c r="U983" i="19"/>
  <c r="R983" i="19"/>
  <c r="O983" i="19"/>
  <c r="S983" i="19" s="1"/>
  <c r="N983" i="19"/>
  <c r="K983" i="19"/>
  <c r="H983" i="19"/>
  <c r="E983" i="19"/>
  <c r="I983" i="19" s="1"/>
  <c r="D983" i="19"/>
  <c r="B983" i="19"/>
  <c r="AQ982" i="19"/>
  <c r="AL982" i="19"/>
  <c r="AG982" i="19"/>
  <c r="AE982" i="19"/>
  <c r="AB982" i="19"/>
  <c r="Y982" i="19"/>
  <c r="X982" i="19"/>
  <c r="U982" i="19"/>
  <c r="R982" i="19"/>
  <c r="O982" i="19"/>
  <c r="S982" i="19" s="1"/>
  <c r="N982" i="19"/>
  <c r="K982" i="19"/>
  <c r="H982" i="19"/>
  <c r="E982" i="19"/>
  <c r="I982" i="19" s="1"/>
  <c r="D982" i="19"/>
  <c r="B982" i="19"/>
  <c r="AQ981" i="19"/>
  <c r="AL981" i="19"/>
  <c r="AG981" i="19"/>
  <c r="AE981" i="19"/>
  <c r="AB981" i="19"/>
  <c r="Y981" i="19"/>
  <c r="X981" i="19"/>
  <c r="U981" i="19"/>
  <c r="R981" i="19"/>
  <c r="O981" i="19"/>
  <c r="S981" i="19" s="1"/>
  <c r="N981" i="19"/>
  <c r="K981" i="19"/>
  <c r="H981" i="19"/>
  <c r="E981" i="19"/>
  <c r="I981" i="19" s="1"/>
  <c r="D981" i="19"/>
  <c r="B981" i="19"/>
  <c r="AQ980" i="19"/>
  <c r="AL980" i="19"/>
  <c r="AG980" i="19"/>
  <c r="AE980" i="19"/>
  <c r="AB980" i="19"/>
  <c r="Y980" i="19"/>
  <c r="X980" i="19"/>
  <c r="U980" i="19"/>
  <c r="R980" i="19"/>
  <c r="O980" i="19"/>
  <c r="S980" i="19" s="1"/>
  <c r="N980" i="19"/>
  <c r="K980" i="19"/>
  <c r="H980" i="19"/>
  <c r="E980" i="19"/>
  <c r="I980" i="19" s="1"/>
  <c r="D980" i="19"/>
  <c r="B980" i="19"/>
  <c r="AQ979" i="19"/>
  <c r="AL979" i="19"/>
  <c r="AG979" i="19"/>
  <c r="AE979" i="19"/>
  <c r="AB979" i="19"/>
  <c r="Y979" i="19"/>
  <c r="X979" i="19"/>
  <c r="U979" i="19"/>
  <c r="R979" i="19"/>
  <c r="O979" i="19"/>
  <c r="S979" i="19" s="1"/>
  <c r="N979" i="19"/>
  <c r="K979" i="19"/>
  <c r="H979" i="19"/>
  <c r="E979" i="19"/>
  <c r="I979" i="19" s="1"/>
  <c r="D979" i="19"/>
  <c r="B979" i="19"/>
  <c r="AQ978" i="19"/>
  <c r="AL978" i="19"/>
  <c r="AG978" i="19"/>
  <c r="AE978" i="19"/>
  <c r="AB978" i="19"/>
  <c r="Y978" i="19"/>
  <c r="X978" i="19"/>
  <c r="U978" i="19"/>
  <c r="R978" i="19"/>
  <c r="O978" i="19"/>
  <c r="S978" i="19" s="1"/>
  <c r="N978" i="19"/>
  <c r="K978" i="19"/>
  <c r="H978" i="19"/>
  <c r="E978" i="19"/>
  <c r="I978" i="19" s="1"/>
  <c r="D978" i="19"/>
  <c r="B978" i="19"/>
  <c r="AQ977" i="19"/>
  <c r="AL977" i="19"/>
  <c r="AG977" i="19"/>
  <c r="AE977" i="19"/>
  <c r="AB977" i="19"/>
  <c r="Y977" i="19"/>
  <c r="X977" i="19"/>
  <c r="U977" i="19"/>
  <c r="R977" i="19"/>
  <c r="O977" i="19"/>
  <c r="S977" i="19" s="1"/>
  <c r="N977" i="19"/>
  <c r="K977" i="19"/>
  <c r="H977" i="19"/>
  <c r="E977" i="19"/>
  <c r="I977" i="19" s="1"/>
  <c r="D977" i="19"/>
  <c r="B977" i="19"/>
  <c r="AQ976" i="19"/>
  <c r="AL976" i="19"/>
  <c r="AG976" i="19"/>
  <c r="AE976" i="19"/>
  <c r="AB976" i="19"/>
  <c r="Y976" i="19"/>
  <c r="X976" i="19"/>
  <c r="U976" i="19"/>
  <c r="R976" i="19"/>
  <c r="O976" i="19"/>
  <c r="S976" i="19" s="1"/>
  <c r="N976" i="19"/>
  <c r="K976" i="19"/>
  <c r="H976" i="19"/>
  <c r="E976" i="19"/>
  <c r="I976" i="19" s="1"/>
  <c r="D976" i="19"/>
  <c r="B976" i="19"/>
  <c r="AQ975" i="19"/>
  <c r="AL975" i="19"/>
  <c r="AG975" i="19"/>
  <c r="AE975" i="19"/>
  <c r="AB975" i="19"/>
  <c r="Y975" i="19"/>
  <c r="X975" i="19"/>
  <c r="U975" i="19"/>
  <c r="R975" i="19"/>
  <c r="O975" i="19"/>
  <c r="S975" i="19" s="1"/>
  <c r="N975" i="19"/>
  <c r="K975" i="19"/>
  <c r="H975" i="19"/>
  <c r="E975" i="19"/>
  <c r="I975" i="19" s="1"/>
  <c r="D975" i="19"/>
  <c r="B975" i="19"/>
  <c r="AQ974" i="19"/>
  <c r="AL974" i="19"/>
  <c r="AG974" i="19"/>
  <c r="AE974" i="19"/>
  <c r="AB974" i="19"/>
  <c r="Y974" i="19"/>
  <c r="X974" i="19"/>
  <c r="U974" i="19"/>
  <c r="R974" i="19"/>
  <c r="O974" i="19"/>
  <c r="S974" i="19" s="1"/>
  <c r="N974" i="19"/>
  <c r="K974" i="19"/>
  <c r="H974" i="19"/>
  <c r="E974" i="19"/>
  <c r="I974" i="19" s="1"/>
  <c r="D974" i="19"/>
  <c r="B974" i="19"/>
  <c r="AQ973" i="19"/>
  <c r="AL973" i="19"/>
  <c r="AG973" i="19"/>
  <c r="AE973" i="19"/>
  <c r="AB973" i="19"/>
  <c r="Y973" i="19"/>
  <c r="X973" i="19"/>
  <c r="U973" i="19"/>
  <c r="R973" i="19"/>
  <c r="O973" i="19"/>
  <c r="S973" i="19" s="1"/>
  <c r="N973" i="19"/>
  <c r="K973" i="19"/>
  <c r="H973" i="19"/>
  <c r="E973" i="19"/>
  <c r="I973" i="19" s="1"/>
  <c r="D973" i="19"/>
  <c r="B973" i="19"/>
  <c r="AQ972" i="19"/>
  <c r="AL972" i="19"/>
  <c r="AG972" i="19"/>
  <c r="AE972" i="19"/>
  <c r="AB972" i="19"/>
  <c r="Y972" i="19"/>
  <c r="X972" i="19"/>
  <c r="U972" i="19"/>
  <c r="R972" i="19"/>
  <c r="O972" i="19"/>
  <c r="S972" i="19" s="1"/>
  <c r="N972" i="19"/>
  <c r="K972" i="19"/>
  <c r="H972" i="19"/>
  <c r="E972" i="19"/>
  <c r="I972" i="19" s="1"/>
  <c r="D972" i="19"/>
  <c r="B972" i="19"/>
  <c r="AQ971" i="19"/>
  <c r="AL971" i="19"/>
  <c r="AG971" i="19"/>
  <c r="AE971" i="19"/>
  <c r="AB971" i="19"/>
  <c r="Y971" i="19"/>
  <c r="X971" i="19"/>
  <c r="U971" i="19"/>
  <c r="R971" i="19"/>
  <c r="O971" i="19"/>
  <c r="S971" i="19" s="1"/>
  <c r="N971" i="19"/>
  <c r="K971" i="19"/>
  <c r="H971" i="19"/>
  <c r="E971" i="19"/>
  <c r="I971" i="19" s="1"/>
  <c r="D971" i="19"/>
  <c r="B971" i="19"/>
  <c r="AQ970" i="19"/>
  <c r="AL970" i="19"/>
  <c r="AG970" i="19"/>
  <c r="AE970" i="19"/>
  <c r="AB970" i="19"/>
  <c r="Y970" i="19"/>
  <c r="X970" i="19"/>
  <c r="U970" i="19"/>
  <c r="R970" i="19"/>
  <c r="O970" i="19"/>
  <c r="S970" i="19" s="1"/>
  <c r="N970" i="19"/>
  <c r="K970" i="19"/>
  <c r="H970" i="19"/>
  <c r="E970" i="19"/>
  <c r="I970" i="19" s="1"/>
  <c r="D970" i="19"/>
  <c r="B970" i="19"/>
  <c r="AQ969" i="19"/>
  <c r="AL969" i="19"/>
  <c r="AG969" i="19"/>
  <c r="AE969" i="19"/>
  <c r="AB969" i="19"/>
  <c r="Y969" i="19"/>
  <c r="X969" i="19"/>
  <c r="U969" i="19"/>
  <c r="R969" i="19"/>
  <c r="O969" i="19"/>
  <c r="S969" i="19" s="1"/>
  <c r="N969" i="19"/>
  <c r="K969" i="19"/>
  <c r="H969" i="19"/>
  <c r="E969" i="19"/>
  <c r="I969" i="19" s="1"/>
  <c r="D969" i="19"/>
  <c r="B969" i="19"/>
  <c r="AQ968" i="19"/>
  <c r="AL968" i="19"/>
  <c r="AG968" i="19"/>
  <c r="AE968" i="19"/>
  <c r="AB968" i="19"/>
  <c r="Y968" i="19"/>
  <c r="X968" i="19"/>
  <c r="U968" i="19"/>
  <c r="R968" i="19"/>
  <c r="O968" i="19"/>
  <c r="S968" i="19" s="1"/>
  <c r="N968" i="19"/>
  <c r="K968" i="19"/>
  <c r="H968" i="19"/>
  <c r="E968" i="19"/>
  <c r="I968" i="19" s="1"/>
  <c r="D968" i="19"/>
  <c r="B968" i="19"/>
  <c r="AQ967" i="19"/>
  <c r="AL967" i="19"/>
  <c r="AG967" i="19"/>
  <c r="AE967" i="19"/>
  <c r="AB967" i="19"/>
  <c r="Y967" i="19"/>
  <c r="X967" i="19"/>
  <c r="U967" i="19"/>
  <c r="R967" i="19"/>
  <c r="O967" i="19"/>
  <c r="S967" i="19" s="1"/>
  <c r="N967" i="19"/>
  <c r="K967" i="19"/>
  <c r="H967" i="19"/>
  <c r="E967" i="19"/>
  <c r="I967" i="19" s="1"/>
  <c r="D967" i="19"/>
  <c r="B967" i="19"/>
  <c r="AQ966" i="19"/>
  <c r="AL966" i="19"/>
  <c r="AG966" i="19"/>
  <c r="AE966" i="19"/>
  <c r="AB966" i="19"/>
  <c r="Y966" i="19"/>
  <c r="X966" i="19"/>
  <c r="U966" i="19"/>
  <c r="R966" i="19"/>
  <c r="O966" i="19"/>
  <c r="S966" i="19" s="1"/>
  <c r="N966" i="19"/>
  <c r="K966" i="19"/>
  <c r="H966" i="19"/>
  <c r="E966" i="19"/>
  <c r="I966" i="19" s="1"/>
  <c r="D966" i="19"/>
  <c r="B966" i="19"/>
  <c r="AQ965" i="19"/>
  <c r="AL965" i="19"/>
  <c r="AG965" i="19"/>
  <c r="AE965" i="19"/>
  <c r="AB965" i="19"/>
  <c r="Y965" i="19"/>
  <c r="X965" i="19"/>
  <c r="U965" i="19"/>
  <c r="R965" i="19"/>
  <c r="O965" i="19"/>
  <c r="S965" i="19" s="1"/>
  <c r="N965" i="19"/>
  <c r="K965" i="19"/>
  <c r="H965" i="19"/>
  <c r="E965" i="19"/>
  <c r="I965" i="19" s="1"/>
  <c r="D965" i="19"/>
  <c r="B965" i="19"/>
  <c r="AQ964" i="19"/>
  <c r="AL964" i="19"/>
  <c r="AG964" i="19"/>
  <c r="AE964" i="19"/>
  <c r="AB964" i="19"/>
  <c r="Y964" i="19"/>
  <c r="X964" i="19"/>
  <c r="U964" i="19"/>
  <c r="R964" i="19"/>
  <c r="O964" i="19"/>
  <c r="S964" i="19" s="1"/>
  <c r="N964" i="19"/>
  <c r="K964" i="19"/>
  <c r="H964" i="19"/>
  <c r="E964" i="19"/>
  <c r="I964" i="19" s="1"/>
  <c r="D964" i="19"/>
  <c r="B964" i="19"/>
  <c r="AQ963" i="19"/>
  <c r="AL963" i="19"/>
  <c r="AG963" i="19"/>
  <c r="AE963" i="19"/>
  <c r="AB963" i="19"/>
  <c r="Y963" i="19"/>
  <c r="X963" i="19"/>
  <c r="U963" i="19"/>
  <c r="R963" i="19"/>
  <c r="O963" i="19"/>
  <c r="S963" i="19" s="1"/>
  <c r="N963" i="19"/>
  <c r="K963" i="19"/>
  <c r="H963" i="19"/>
  <c r="E963" i="19"/>
  <c r="I963" i="19" s="1"/>
  <c r="D963" i="19"/>
  <c r="B963" i="19"/>
  <c r="AQ962" i="19"/>
  <c r="AL962" i="19"/>
  <c r="AG962" i="19"/>
  <c r="AE962" i="19"/>
  <c r="AB962" i="19"/>
  <c r="Y962" i="19"/>
  <c r="X962" i="19"/>
  <c r="U962" i="19"/>
  <c r="R962" i="19"/>
  <c r="O962" i="19"/>
  <c r="S962" i="19" s="1"/>
  <c r="N962" i="19"/>
  <c r="K962" i="19"/>
  <c r="H962" i="19"/>
  <c r="E962" i="19"/>
  <c r="I962" i="19" s="1"/>
  <c r="D962" i="19"/>
  <c r="B962" i="19"/>
  <c r="AQ961" i="19"/>
  <c r="AL961" i="19"/>
  <c r="AG961" i="19"/>
  <c r="AE961" i="19"/>
  <c r="AB961" i="19"/>
  <c r="Y961" i="19"/>
  <c r="X961" i="19"/>
  <c r="U961" i="19"/>
  <c r="R961" i="19"/>
  <c r="O961" i="19"/>
  <c r="S961" i="19" s="1"/>
  <c r="N961" i="19"/>
  <c r="K961" i="19"/>
  <c r="H961" i="19"/>
  <c r="E961" i="19"/>
  <c r="I961" i="19" s="1"/>
  <c r="D961" i="19"/>
  <c r="B961" i="19"/>
  <c r="AQ960" i="19"/>
  <c r="AL960" i="19"/>
  <c r="AG960" i="19"/>
  <c r="AE960" i="19"/>
  <c r="AB960" i="19"/>
  <c r="Y960" i="19"/>
  <c r="X960" i="19"/>
  <c r="U960" i="19"/>
  <c r="R960" i="19"/>
  <c r="O960" i="19"/>
  <c r="S960" i="19" s="1"/>
  <c r="N960" i="19"/>
  <c r="K960" i="19"/>
  <c r="H960" i="19"/>
  <c r="E960" i="19"/>
  <c r="I960" i="19" s="1"/>
  <c r="D960" i="19"/>
  <c r="B960" i="19"/>
  <c r="AQ959" i="19"/>
  <c r="AL959" i="19"/>
  <c r="AG959" i="19"/>
  <c r="AE959" i="19"/>
  <c r="AB959" i="19"/>
  <c r="Y959" i="19"/>
  <c r="X959" i="19"/>
  <c r="U959" i="19"/>
  <c r="R959" i="19"/>
  <c r="O959" i="19"/>
  <c r="S959" i="19" s="1"/>
  <c r="N959" i="19"/>
  <c r="K959" i="19"/>
  <c r="H959" i="19"/>
  <c r="E959" i="19"/>
  <c r="I959" i="19" s="1"/>
  <c r="D959" i="19"/>
  <c r="B959" i="19"/>
  <c r="AQ958" i="19"/>
  <c r="AL958" i="19"/>
  <c r="AG958" i="19"/>
  <c r="AE958" i="19"/>
  <c r="AB958" i="19"/>
  <c r="Y958" i="19"/>
  <c r="X958" i="19"/>
  <c r="U958" i="19"/>
  <c r="R958" i="19"/>
  <c r="O958" i="19"/>
  <c r="S958" i="19" s="1"/>
  <c r="N958" i="19"/>
  <c r="K958" i="19"/>
  <c r="AI958" i="19" s="1"/>
  <c r="H958" i="19"/>
  <c r="E958" i="19"/>
  <c r="I958" i="19" s="1"/>
  <c r="D958" i="19"/>
  <c r="B958" i="19"/>
  <c r="AQ957" i="19"/>
  <c r="AL957" i="19"/>
  <c r="AG957" i="19"/>
  <c r="AE957" i="19"/>
  <c r="AB957" i="19"/>
  <c r="Y957" i="19"/>
  <c r="X957" i="19"/>
  <c r="U957" i="19"/>
  <c r="R957" i="19"/>
  <c r="O957" i="19"/>
  <c r="S957" i="19" s="1"/>
  <c r="N957" i="19"/>
  <c r="K957" i="19"/>
  <c r="AI957" i="19" s="1"/>
  <c r="H957" i="19"/>
  <c r="E957" i="19"/>
  <c r="I957" i="19" s="1"/>
  <c r="D957" i="19"/>
  <c r="B957" i="19"/>
  <c r="AQ956" i="19"/>
  <c r="AL956" i="19"/>
  <c r="AG956" i="19"/>
  <c r="AE956" i="19"/>
  <c r="AB956" i="19"/>
  <c r="Y956" i="19"/>
  <c r="X956" i="19"/>
  <c r="U956" i="19"/>
  <c r="R956" i="19"/>
  <c r="O956" i="19"/>
  <c r="S956" i="19" s="1"/>
  <c r="N956" i="19"/>
  <c r="K956" i="19"/>
  <c r="H956" i="19"/>
  <c r="E956" i="19"/>
  <c r="I956" i="19" s="1"/>
  <c r="D956" i="19"/>
  <c r="B956" i="19"/>
  <c r="AQ955" i="19"/>
  <c r="AL955" i="19"/>
  <c r="AG955" i="19"/>
  <c r="AE955" i="19"/>
  <c r="AB955" i="19"/>
  <c r="Y955" i="19"/>
  <c r="X955" i="19"/>
  <c r="U955" i="19"/>
  <c r="R955" i="19"/>
  <c r="O955" i="19"/>
  <c r="S955" i="19" s="1"/>
  <c r="N955" i="19"/>
  <c r="K955" i="19"/>
  <c r="AI955" i="19" s="1"/>
  <c r="H955" i="19"/>
  <c r="E955" i="19"/>
  <c r="I955" i="19" s="1"/>
  <c r="D955" i="19"/>
  <c r="B955" i="19"/>
  <c r="AQ954" i="19"/>
  <c r="AL954" i="19"/>
  <c r="AG954" i="19"/>
  <c r="AE954" i="19"/>
  <c r="AB954" i="19"/>
  <c r="Y954" i="19"/>
  <c r="X954" i="19"/>
  <c r="U954" i="19"/>
  <c r="R954" i="19"/>
  <c r="T954" i="19" s="1"/>
  <c r="O954" i="19"/>
  <c r="S954" i="19" s="1"/>
  <c r="N954" i="19"/>
  <c r="K954" i="19"/>
  <c r="H954" i="19"/>
  <c r="E954" i="19"/>
  <c r="I954" i="19" s="1"/>
  <c r="D954" i="19"/>
  <c r="B954" i="19"/>
  <c r="AQ953" i="19"/>
  <c r="AL953" i="19"/>
  <c r="AG953" i="19"/>
  <c r="AE953" i="19"/>
  <c r="AB953" i="19"/>
  <c r="Y953" i="19"/>
  <c r="X953" i="19"/>
  <c r="U953" i="19"/>
  <c r="R953" i="19"/>
  <c r="O953" i="19"/>
  <c r="S953" i="19" s="1"/>
  <c r="N953" i="19"/>
  <c r="K953" i="19"/>
  <c r="H953" i="19"/>
  <c r="E953" i="19"/>
  <c r="I953" i="19" s="1"/>
  <c r="D953" i="19"/>
  <c r="B953" i="19"/>
  <c r="AQ952" i="19"/>
  <c r="AL952" i="19"/>
  <c r="AG952" i="19"/>
  <c r="AE952" i="19"/>
  <c r="AB952" i="19"/>
  <c r="Y952" i="19"/>
  <c r="X952" i="19"/>
  <c r="U952" i="19"/>
  <c r="R952" i="19"/>
  <c r="O952" i="19"/>
  <c r="S952" i="19" s="1"/>
  <c r="N952" i="19"/>
  <c r="K952" i="19"/>
  <c r="H952" i="19"/>
  <c r="E952" i="19"/>
  <c r="I952" i="19" s="1"/>
  <c r="D952" i="19"/>
  <c r="B952" i="19"/>
  <c r="AQ951" i="19"/>
  <c r="AL951" i="19"/>
  <c r="AG951" i="19"/>
  <c r="AE951" i="19"/>
  <c r="AB951" i="19"/>
  <c r="Y951" i="19"/>
  <c r="X951" i="19"/>
  <c r="U951" i="19"/>
  <c r="R951" i="19"/>
  <c r="O951" i="19"/>
  <c r="S951" i="19" s="1"/>
  <c r="N951" i="19"/>
  <c r="K951" i="19"/>
  <c r="H951" i="19"/>
  <c r="E951" i="19"/>
  <c r="I951" i="19" s="1"/>
  <c r="D951" i="19"/>
  <c r="B951" i="19"/>
  <c r="AQ950" i="19"/>
  <c r="AL950" i="19"/>
  <c r="AG950" i="19"/>
  <c r="AE950" i="19"/>
  <c r="AB950" i="19"/>
  <c r="Y950" i="19"/>
  <c r="X950" i="19"/>
  <c r="U950" i="19"/>
  <c r="R950" i="19"/>
  <c r="O950" i="19"/>
  <c r="S950" i="19" s="1"/>
  <c r="N950" i="19"/>
  <c r="K950" i="19"/>
  <c r="H950" i="19"/>
  <c r="E950" i="19"/>
  <c r="I950" i="19" s="1"/>
  <c r="D950" i="19"/>
  <c r="B950" i="19"/>
  <c r="AQ949" i="19"/>
  <c r="AL949" i="19"/>
  <c r="AG949" i="19"/>
  <c r="AE949" i="19"/>
  <c r="AB949" i="19"/>
  <c r="Y949" i="19"/>
  <c r="X949" i="19"/>
  <c r="U949" i="19"/>
  <c r="R949" i="19"/>
  <c r="O949" i="19"/>
  <c r="S949" i="19" s="1"/>
  <c r="N949" i="19"/>
  <c r="K949" i="19"/>
  <c r="H949" i="19"/>
  <c r="E949" i="19"/>
  <c r="I949" i="19" s="1"/>
  <c r="D949" i="19"/>
  <c r="B949" i="19"/>
  <c r="AQ948" i="19"/>
  <c r="AL948" i="19"/>
  <c r="AG948" i="19"/>
  <c r="AE948" i="19"/>
  <c r="AB948" i="19"/>
  <c r="Y948" i="19"/>
  <c r="X948" i="19"/>
  <c r="U948" i="19"/>
  <c r="R948" i="19"/>
  <c r="O948" i="19"/>
  <c r="S948" i="19" s="1"/>
  <c r="N948" i="19"/>
  <c r="K948" i="19"/>
  <c r="H948" i="19"/>
  <c r="E948" i="19"/>
  <c r="I948" i="19" s="1"/>
  <c r="D948" i="19"/>
  <c r="B948" i="19"/>
  <c r="AQ947" i="19"/>
  <c r="AL947" i="19"/>
  <c r="AG947" i="19"/>
  <c r="AE947" i="19"/>
  <c r="AB947" i="19"/>
  <c r="Y947" i="19"/>
  <c r="X947" i="19"/>
  <c r="U947" i="19"/>
  <c r="R947" i="19"/>
  <c r="O947" i="19"/>
  <c r="S947" i="19" s="1"/>
  <c r="N947" i="19"/>
  <c r="K947" i="19"/>
  <c r="H947" i="19"/>
  <c r="E947" i="19"/>
  <c r="I947" i="19" s="1"/>
  <c r="D947" i="19"/>
  <c r="B947" i="19"/>
  <c r="AQ946" i="19"/>
  <c r="AL946" i="19"/>
  <c r="AG946" i="19"/>
  <c r="AE946" i="19"/>
  <c r="AB946" i="19"/>
  <c r="Y946" i="19"/>
  <c r="X946" i="19"/>
  <c r="U946" i="19"/>
  <c r="R946" i="19"/>
  <c r="O946" i="19"/>
  <c r="S946" i="19" s="1"/>
  <c r="N946" i="19"/>
  <c r="K946" i="19"/>
  <c r="H946" i="19"/>
  <c r="E946" i="19"/>
  <c r="I946" i="19" s="1"/>
  <c r="D946" i="19"/>
  <c r="B946" i="19"/>
  <c r="AQ945" i="19"/>
  <c r="AL945" i="19"/>
  <c r="AG945" i="19"/>
  <c r="AE945" i="19"/>
  <c r="AB945" i="19"/>
  <c r="Y945" i="19"/>
  <c r="X945" i="19"/>
  <c r="U945" i="19"/>
  <c r="R945" i="19"/>
  <c r="O945" i="19"/>
  <c r="S945" i="19" s="1"/>
  <c r="N945" i="19"/>
  <c r="K945" i="19"/>
  <c r="H945" i="19"/>
  <c r="E945" i="19"/>
  <c r="I945" i="19" s="1"/>
  <c r="D945" i="19"/>
  <c r="B945" i="19"/>
  <c r="AQ944" i="19"/>
  <c r="AL944" i="19"/>
  <c r="AG944" i="19"/>
  <c r="AE944" i="19"/>
  <c r="AB944" i="19"/>
  <c r="Y944" i="19"/>
  <c r="X944" i="19"/>
  <c r="U944" i="19"/>
  <c r="R944" i="19"/>
  <c r="O944" i="19"/>
  <c r="S944" i="19" s="1"/>
  <c r="N944" i="19"/>
  <c r="K944" i="19"/>
  <c r="H944" i="19"/>
  <c r="E944" i="19"/>
  <c r="I944" i="19" s="1"/>
  <c r="D944" i="19"/>
  <c r="B944" i="19"/>
  <c r="AQ943" i="19"/>
  <c r="AL943" i="19"/>
  <c r="AG943" i="19"/>
  <c r="AE943" i="19"/>
  <c r="AB943" i="19"/>
  <c r="Y943" i="19"/>
  <c r="X943" i="19"/>
  <c r="U943" i="19"/>
  <c r="R943" i="19"/>
  <c r="O943" i="19"/>
  <c r="S943" i="19" s="1"/>
  <c r="N943" i="19"/>
  <c r="K943" i="19"/>
  <c r="H943" i="19"/>
  <c r="E943" i="19"/>
  <c r="I943" i="19" s="1"/>
  <c r="D943" i="19"/>
  <c r="B943" i="19"/>
  <c r="AQ942" i="19"/>
  <c r="AL942" i="19"/>
  <c r="AG942" i="19"/>
  <c r="AE942" i="19"/>
  <c r="AB942" i="19"/>
  <c r="Y942" i="19"/>
  <c r="X942" i="19"/>
  <c r="U942" i="19"/>
  <c r="R942" i="19"/>
  <c r="O942" i="19"/>
  <c r="S942" i="19" s="1"/>
  <c r="N942" i="19"/>
  <c r="K942" i="19"/>
  <c r="H942" i="19"/>
  <c r="E942" i="19"/>
  <c r="I942" i="19" s="1"/>
  <c r="D942" i="19"/>
  <c r="B942" i="19"/>
  <c r="AQ941" i="19"/>
  <c r="AL941" i="19"/>
  <c r="AG941" i="19"/>
  <c r="AE941" i="19"/>
  <c r="AB941" i="19"/>
  <c r="Y941" i="19"/>
  <c r="X941" i="19"/>
  <c r="U941" i="19"/>
  <c r="R941" i="19"/>
  <c r="O941" i="19"/>
  <c r="S941" i="19" s="1"/>
  <c r="N941" i="19"/>
  <c r="K941" i="19"/>
  <c r="H941" i="19"/>
  <c r="E941" i="19"/>
  <c r="I941" i="19" s="1"/>
  <c r="D941" i="19"/>
  <c r="B941" i="19"/>
  <c r="AQ940" i="19"/>
  <c r="AL940" i="19"/>
  <c r="AG940" i="19"/>
  <c r="AE940" i="19"/>
  <c r="AB940" i="19"/>
  <c r="Y940" i="19"/>
  <c r="X940" i="19"/>
  <c r="U940" i="19"/>
  <c r="R940" i="19"/>
  <c r="O940" i="19"/>
  <c r="S940" i="19" s="1"/>
  <c r="N940" i="19"/>
  <c r="K940" i="19"/>
  <c r="H940" i="19"/>
  <c r="E940" i="19"/>
  <c r="I940" i="19" s="1"/>
  <c r="D940" i="19"/>
  <c r="B940" i="19"/>
  <c r="AQ939" i="19"/>
  <c r="AL939" i="19"/>
  <c r="AG939" i="19"/>
  <c r="AE939" i="19"/>
  <c r="AB939" i="19"/>
  <c r="Y939" i="19"/>
  <c r="X939" i="19"/>
  <c r="U939" i="19"/>
  <c r="R939" i="19"/>
  <c r="O939" i="19"/>
  <c r="S939" i="19" s="1"/>
  <c r="N939" i="19"/>
  <c r="K939" i="19"/>
  <c r="H939" i="19"/>
  <c r="E939" i="19"/>
  <c r="I939" i="19" s="1"/>
  <c r="D939" i="19"/>
  <c r="B939" i="19"/>
  <c r="AQ938" i="19"/>
  <c r="AL938" i="19"/>
  <c r="AG938" i="19"/>
  <c r="AE938" i="19"/>
  <c r="AB938" i="19"/>
  <c r="Y938" i="19"/>
  <c r="X938" i="19"/>
  <c r="U938" i="19"/>
  <c r="R938" i="19"/>
  <c r="O938" i="19"/>
  <c r="S938" i="19" s="1"/>
  <c r="N938" i="19"/>
  <c r="K938" i="19"/>
  <c r="H938" i="19"/>
  <c r="E938" i="19"/>
  <c r="I938" i="19" s="1"/>
  <c r="D938" i="19"/>
  <c r="B938" i="19"/>
  <c r="AQ937" i="19"/>
  <c r="AL937" i="19"/>
  <c r="AG937" i="19"/>
  <c r="AE937" i="19"/>
  <c r="AB937" i="19"/>
  <c r="Y937" i="19"/>
  <c r="X937" i="19"/>
  <c r="U937" i="19"/>
  <c r="R937" i="19"/>
  <c r="O937" i="19"/>
  <c r="S937" i="19" s="1"/>
  <c r="N937" i="19"/>
  <c r="K937" i="19"/>
  <c r="H937" i="19"/>
  <c r="E937" i="19"/>
  <c r="I937" i="19" s="1"/>
  <c r="D937" i="19"/>
  <c r="B937" i="19"/>
  <c r="AQ936" i="19"/>
  <c r="AL936" i="19"/>
  <c r="AG936" i="19"/>
  <c r="AE936" i="19"/>
  <c r="AB936" i="19"/>
  <c r="Y936" i="19"/>
  <c r="X936" i="19"/>
  <c r="U936" i="19"/>
  <c r="R936" i="19"/>
  <c r="O936" i="19"/>
  <c r="S936" i="19" s="1"/>
  <c r="N936" i="19"/>
  <c r="K936" i="19"/>
  <c r="H936" i="19"/>
  <c r="E936" i="19"/>
  <c r="I936" i="19" s="1"/>
  <c r="D936" i="19"/>
  <c r="B936" i="19"/>
  <c r="AQ935" i="19"/>
  <c r="AL935" i="19"/>
  <c r="AG935" i="19"/>
  <c r="AE935" i="19"/>
  <c r="AB935" i="19"/>
  <c r="Y935" i="19"/>
  <c r="X935" i="19"/>
  <c r="U935" i="19"/>
  <c r="R935" i="19"/>
  <c r="O935" i="19"/>
  <c r="S935" i="19" s="1"/>
  <c r="N935" i="19"/>
  <c r="K935" i="19"/>
  <c r="H935" i="19"/>
  <c r="E935" i="19"/>
  <c r="I935" i="19" s="1"/>
  <c r="D935" i="19"/>
  <c r="B935" i="19"/>
  <c r="AQ934" i="19"/>
  <c r="AL934" i="19"/>
  <c r="AG934" i="19"/>
  <c r="AE934" i="19"/>
  <c r="AB934" i="19"/>
  <c r="Y934" i="19"/>
  <c r="X934" i="19"/>
  <c r="U934" i="19"/>
  <c r="R934" i="19"/>
  <c r="O934" i="19"/>
  <c r="S934" i="19" s="1"/>
  <c r="N934" i="19"/>
  <c r="K934" i="19"/>
  <c r="H934" i="19"/>
  <c r="E934" i="19"/>
  <c r="I934" i="19" s="1"/>
  <c r="D934" i="19"/>
  <c r="B934" i="19"/>
  <c r="AQ933" i="19"/>
  <c r="AL933" i="19"/>
  <c r="AG933" i="19"/>
  <c r="AE933" i="19"/>
  <c r="AB933" i="19"/>
  <c r="Y933" i="19"/>
  <c r="X933" i="19"/>
  <c r="U933" i="19"/>
  <c r="R933" i="19"/>
  <c r="O933" i="19"/>
  <c r="S933" i="19" s="1"/>
  <c r="N933" i="19"/>
  <c r="K933" i="19"/>
  <c r="H933" i="19"/>
  <c r="E933" i="19"/>
  <c r="I933" i="19" s="1"/>
  <c r="D933" i="19"/>
  <c r="B933" i="19"/>
  <c r="AQ932" i="19"/>
  <c r="AL932" i="19"/>
  <c r="AG932" i="19"/>
  <c r="AE932" i="19"/>
  <c r="AB932" i="19"/>
  <c r="Y932" i="19"/>
  <c r="X932" i="19"/>
  <c r="U932" i="19"/>
  <c r="R932" i="19"/>
  <c r="O932" i="19"/>
  <c r="S932" i="19" s="1"/>
  <c r="N932" i="19"/>
  <c r="K932" i="19"/>
  <c r="H932" i="19"/>
  <c r="E932" i="19"/>
  <c r="I932" i="19" s="1"/>
  <c r="D932" i="19"/>
  <c r="B932" i="19"/>
  <c r="AQ931" i="19"/>
  <c r="AL931" i="19"/>
  <c r="AG931" i="19"/>
  <c r="AE931" i="19"/>
  <c r="AB931" i="19"/>
  <c r="Y931" i="19"/>
  <c r="X931" i="19"/>
  <c r="U931" i="19"/>
  <c r="R931" i="19"/>
  <c r="O931" i="19"/>
  <c r="S931" i="19" s="1"/>
  <c r="N931" i="19"/>
  <c r="K931" i="19"/>
  <c r="H931" i="19"/>
  <c r="E931" i="19"/>
  <c r="I931" i="19" s="1"/>
  <c r="D931" i="19"/>
  <c r="B931" i="19"/>
  <c r="AQ930" i="19"/>
  <c r="AL930" i="19"/>
  <c r="AG930" i="19"/>
  <c r="AE930" i="19"/>
  <c r="AB930" i="19"/>
  <c r="Y930" i="19"/>
  <c r="X930" i="19"/>
  <c r="U930" i="19"/>
  <c r="R930" i="19"/>
  <c r="O930" i="19"/>
  <c r="S930" i="19" s="1"/>
  <c r="N930" i="19"/>
  <c r="K930" i="19"/>
  <c r="H930" i="19"/>
  <c r="E930" i="19"/>
  <c r="I930" i="19" s="1"/>
  <c r="D930" i="19"/>
  <c r="B930" i="19"/>
  <c r="AQ929" i="19"/>
  <c r="AL929" i="19"/>
  <c r="AG929" i="19"/>
  <c r="AE929" i="19"/>
  <c r="AB929" i="19"/>
  <c r="Y929" i="19"/>
  <c r="X929" i="19"/>
  <c r="U929" i="19"/>
  <c r="R929" i="19"/>
  <c r="O929" i="19"/>
  <c r="S929" i="19" s="1"/>
  <c r="N929" i="19"/>
  <c r="K929" i="19"/>
  <c r="H929" i="19"/>
  <c r="E929" i="19"/>
  <c r="I929" i="19" s="1"/>
  <c r="D929" i="19"/>
  <c r="B929" i="19"/>
  <c r="AQ928" i="19"/>
  <c r="AL928" i="19"/>
  <c r="AG928" i="19"/>
  <c r="AE928" i="19"/>
  <c r="AB928" i="19"/>
  <c r="Y928" i="19"/>
  <c r="X928" i="19"/>
  <c r="U928" i="19"/>
  <c r="R928" i="19"/>
  <c r="O928" i="19"/>
  <c r="S928" i="19" s="1"/>
  <c r="N928" i="19"/>
  <c r="K928" i="19"/>
  <c r="H928" i="19"/>
  <c r="E928" i="19"/>
  <c r="I928" i="19" s="1"/>
  <c r="D928" i="19"/>
  <c r="B928" i="19"/>
  <c r="AQ927" i="19"/>
  <c r="AL927" i="19"/>
  <c r="AG927" i="19"/>
  <c r="AE927" i="19"/>
  <c r="AB927" i="19"/>
  <c r="Y927" i="19"/>
  <c r="X927" i="19"/>
  <c r="U927" i="19"/>
  <c r="R927" i="19"/>
  <c r="O927" i="19"/>
  <c r="S927" i="19" s="1"/>
  <c r="N927" i="19"/>
  <c r="K927" i="19"/>
  <c r="H927" i="19"/>
  <c r="E927" i="19"/>
  <c r="I927" i="19" s="1"/>
  <c r="D927" i="19"/>
  <c r="B927" i="19"/>
  <c r="AQ926" i="19"/>
  <c r="AL926" i="19"/>
  <c r="AG926" i="19"/>
  <c r="AE926" i="19"/>
  <c r="AB926" i="19"/>
  <c r="Y926" i="19"/>
  <c r="X926" i="19"/>
  <c r="U926" i="19"/>
  <c r="R926" i="19"/>
  <c r="O926" i="19"/>
  <c r="S926" i="19" s="1"/>
  <c r="N926" i="19"/>
  <c r="K926" i="19"/>
  <c r="H926" i="19"/>
  <c r="E926" i="19"/>
  <c r="I926" i="19" s="1"/>
  <c r="D926" i="19"/>
  <c r="B926" i="19"/>
  <c r="AQ925" i="19"/>
  <c r="AL925" i="19"/>
  <c r="AG925" i="19"/>
  <c r="AE925" i="19"/>
  <c r="AB925" i="19"/>
  <c r="Y925" i="19"/>
  <c r="X925" i="19"/>
  <c r="U925" i="19"/>
  <c r="R925" i="19"/>
  <c r="O925" i="19"/>
  <c r="S925" i="19" s="1"/>
  <c r="N925" i="19"/>
  <c r="K925" i="19"/>
  <c r="H925" i="19"/>
  <c r="E925" i="19"/>
  <c r="I925" i="19" s="1"/>
  <c r="D925" i="19"/>
  <c r="B925" i="19"/>
  <c r="AQ924" i="19"/>
  <c r="AL924" i="19"/>
  <c r="AG924" i="19"/>
  <c r="AE924" i="19"/>
  <c r="AB924" i="19"/>
  <c r="Y924" i="19"/>
  <c r="X924" i="19"/>
  <c r="U924" i="19"/>
  <c r="R924" i="19"/>
  <c r="O924" i="19"/>
  <c r="S924" i="19" s="1"/>
  <c r="N924" i="19"/>
  <c r="K924" i="19"/>
  <c r="H924" i="19"/>
  <c r="E924" i="19"/>
  <c r="I924" i="19" s="1"/>
  <c r="D924" i="19"/>
  <c r="B924" i="19"/>
  <c r="AQ923" i="19"/>
  <c r="AL923" i="19"/>
  <c r="AG923" i="19"/>
  <c r="AE923" i="19"/>
  <c r="AB923" i="19"/>
  <c r="Y923" i="19"/>
  <c r="X923" i="19"/>
  <c r="U923" i="19"/>
  <c r="R923" i="19"/>
  <c r="O923" i="19"/>
  <c r="S923" i="19" s="1"/>
  <c r="N923" i="19"/>
  <c r="K923" i="19"/>
  <c r="H923" i="19"/>
  <c r="E923" i="19"/>
  <c r="I923" i="19" s="1"/>
  <c r="D923" i="19"/>
  <c r="B923" i="19"/>
  <c r="AQ922" i="19"/>
  <c r="AL922" i="19"/>
  <c r="AG922" i="19"/>
  <c r="AE922" i="19"/>
  <c r="AB922" i="19"/>
  <c r="Y922" i="19"/>
  <c r="X922" i="19"/>
  <c r="U922" i="19"/>
  <c r="R922" i="19"/>
  <c r="O922" i="19"/>
  <c r="S922" i="19" s="1"/>
  <c r="N922" i="19"/>
  <c r="K922" i="19"/>
  <c r="H922" i="19"/>
  <c r="E922" i="19"/>
  <c r="I922" i="19" s="1"/>
  <c r="D922" i="19"/>
  <c r="B922" i="19"/>
  <c r="AQ921" i="19"/>
  <c r="AL921" i="19"/>
  <c r="AG921" i="19"/>
  <c r="AE921" i="19"/>
  <c r="AB921" i="19"/>
  <c r="Y921" i="19"/>
  <c r="X921" i="19"/>
  <c r="U921" i="19"/>
  <c r="R921" i="19"/>
  <c r="O921" i="19"/>
  <c r="S921" i="19" s="1"/>
  <c r="N921" i="19"/>
  <c r="K921" i="19"/>
  <c r="H921" i="19"/>
  <c r="E921" i="19"/>
  <c r="I921" i="19" s="1"/>
  <c r="D921" i="19"/>
  <c r="B921" i="19"/>
  <c r="AQ920" i="19"/>
  <c r="AL920" i="19"/>
  <c r="AG920" i="19"/>
  <c r="AE920" i="19"/>
  <c r="AB920" i="19"/>
  <c r="Y920" i="19"/>
  <c r="X920" i="19"/>
  <c r="U920" i="19"/>
  <c r="R920" i="19"/>
  <c r="T920" i="19" s="1"/>
  <c r="O920" i="19"/>
  <c r="S920" i="19" s="1"/>
  <c r="N920" i="19"/>
  <c r="K920" i="19"/>
  <c r="H920" i="19"/>
  <c r="E920" i="19"/>
  <c r="I920" i="19" s="1"/>
  <c r="D920" i="19"/>
  <c r="B920" i="19"/>
  <c r="AQ919" i="19"/>
  <c r="AL919" i="19"/>
  <c r="AG919" i="19"/>
  <c r="AE919" i="19"/>
  <c r="AB919" i="19"/>
  <c r="Y919" i="19"/>
  <c r="X919" i="19"/>
  <c r="U919" i="19"/>
  <c r="R919" i="19"/>
  <c r="T919" i="19" s="1"/>
  <c r="O919" i="19"/>
  <c r="S919" i="19" s="1"/>
  <c r="N919" i="19"/>
  <c r="K919" i="19"/>
  <c r="H919" i="19"/>
  <c r="E919" i="19"/>
  <c r="I919" i="19" s="1"/>
  <c r="D919" i="19"/>
  <c r="B919" i="19"/>
  <c r="AQ918" i="19"/>
  <c r="AL918" i="19"/>
  <c r="AG918" i="19"/>
  <c r="AE918" i="19"/>
  <c r="AB918" i="19"/>
  <c r="Y918" i="19"/>
  <c r="X918" i="19"/>
  <c r="U918" i="19"/>
  <c r="R918" i="19"/>
  <c r="O918" i="19"/>
  <c r="S918" i="19" s="1"/>
  <c r="N918" i="19"/>
  <c r="K918" i="19"/>
  <c r="H918" i="19"/>
  <c r="E918" i="19"/>
  <c r="I918" i="19" s="1"/>
  <c r="D918" i="19"/>
  <c r="B918" i="19"/>
  <c r="AQ917" i="19"/>
  <c r="AL917" i="19"/>
  <c r="AG917" i="19"/>
  <c r="AE917" i="19"/>
  <c r="AB917" i="19"/>
  <c r="Y917" i="19"/>
  <c r="X917" i="19"/>
  <c r="U917" i="19"/>
  <c r="R917" i="19"/>
  <c r="O917" i="19"/>
  <c r="S917" i="19" s="1"/>
  <c r="N917" i="19"/>
  <c r="K917" i="19"/>
  <c r="H917" i="19"/>
  <c r="E917" i="19"/>
  <c r="I917" i="19" s="1"/>
  <c r="D917" i="19"/>
  <c r="B917" i="19"/>
  <c r="AQ916" i="19"/>
  <c r="AL916" i="19"/>
  <c r="AG916" i="19"/>
  <c r="AE916" i="19"/>
  <c r="AB916" i="19"/>
  <c r="Y916" i="19"/>
  <c r="X916" i="19"/>
  <c r="U916" i="19"/>
  <c r="R916" i="19"/>
  <c r="T916" i="19" s="1"/>
  <c r="O916" i="19"/>
  <c r="S916" i="19" s="1"/>
  <c r="N916" i="19"/>
  <c r="K916" i="19"/>
  <c r="H916" i="19"/>
  <c r="E916" i="19"/>
  <c r="I916" i="19" s="1"/>
  <c r="D916" i="19"/>
  <c r="B916" i="19"/>
  <c r="AQ915" i="19"/>
  <c r="AL915" i="19"/>
  <c r="AG915" i="19"/>
  <c r="AE915" i="19"/>
  <c r="AB915" i="19"/>
  <c r="Y915" i="19"/>
  <c r="X915" i="19"/>
  <c r="U915" i="19"/>
  <c r="R915" i="19"/>
  <c r="O915" i="19"/>
  <c r="S915" i="19" s="1"/>
  <c r="N915" i="19"/>
  <c r="K915" i="19"/>
  <c r="H915" i="19"/>
  <c r="E915" i="19"/>
  <c r="I915" i="19" s="1"/>
  <c r="D915" i="19"/>
  <c r="B915" i="19"/>
  <c r="AQ914" i="19"/>
  <c r="AL914" i="19"/>
  <c r="AG914" i="19"/>
  <c r="AE914" i="19"/>
  <c r="AB914" i="19"/>
  <c r="Y914" i="19"/>
  <c r="X914" i="19"/>
  <c r="U914" i="19"/>
  <c r="R914" i="19"/>
  <c r="O914" i="19"/>
  <c r="S914" i="19" s="1"/>
  <c r="N914" i="19"/>
  <c r="K914" i="19"/>
  <c r="H914" i="19"/>
  <c r="E914" i="19"/>
  <c r="I914" i="19" s="1"/>
  <c r="D914" i="19"/>
  <c r="B914" i="19"/>
  <c r="AQ913" i="19"/>
  <c r="AL913" i="19"/>
  <c r="AG913" i="19"/>
  <c r="AE913" i="19"/>
  <c r="AB913" i="19"/>
  <c r="Y913" i="19"/>
  <c r="X913" i="19"/>
  <c r="U913" i="19"/>
  <c r="R913" i="19"/>
  <c r="T913" i="19" s="1"/>
  <c r="O913" i="19"/>
  <c r="S913" i="19" s="1"/>
  <c r="N913" i="19"/>
  <c r="K913" i="19"/>
  <c r="H913" i="19"/>
  <c r="E913" i="19"/>
  <c r="I913" i="19" s="1"/>
  <c r="D913" i="19"/>
  <c r="B913" i="19"/>
  <c r="AQ912" i="19"/>
  <c r="AL912" i="19"/>
  <c r="AG912" i="19"/>
  <c r="AE912" i="19"/>
  <c r="AB912" i="19"/>
  <c r="Y912" i="19"/>
  <c r="X912" i="19"/>
  <c r="U912" i="19"/>
  <c r="T912" i="19"/>
  <c r="R912" i="19"/>
  <c r="O912" i="19"/>
  <c r="S912" i="19" s="1"/>
  <c r="N912" i="19"/>
  <c r="K912" i="19"/>
  <c r="H912" i="19"/>
  <c r="E912" i="19"/>
  <c r="I912" i="19" s="1"/>
  <c r="D912" i="19"/>
  <c r="B912" i="19"/>
  <c r="AQ911" i="19"/>
  <c r="AL911" i="19"/>
  <c r="AG911" i="19"/>
  <c r="AE911" i="19"/>
  <c r="AB911" i="19"/>
  <c r="Y911" i="19"/>
  <c r="X911" i="19"/>
  <c r="U911" i="19"/>
  <c r="R911" i="19"/>
  <c r="O911" i="19"/>
  <c r="S911" i="19" s="1"/>
  <c r="N911" i="19"/>
  <c r="K911" i="19"/>
  <c r="H911" i="19"/>
  <c r="E911" i="19"/>
  <c r="I911" i="19" s="1"/>
  <c r="D911" i="19"/>
  <c r="B911" i="19"/>
  <c r="AQ910" i="19"/>
  <c r="AL910" i="19"/>
  <c r="AG910" i="19"/>
  <c r="AE910" i="19"/>
  <c r="AB910" i="19"/>
  <c r="Y910" i="19"/>
  <c r="X910" i="19"/>
  <c r="U910" i="19"/>
  <c r="R910" i="19"/>
  <c r="O910" i="19"/>
  <c r="S910" i="19" s="1"/>
  <c r="N910" i="19"/>
  <c r="K910" i="19"/>
  <c r="H910" i="19"/>
  <c r="E910" i="19"/>
  <c r="I910" i="19" s="1"/>
  <c r="D910" i="19"/>
  <c r="B910" i="19"/>
  <c r="AQ909" i="19"/>
  <c r="AL909" i="19"/>
  <c r="AG909" i="19"/>
  <c r="AE909" i="19"/>
  <c r="AB909" i="19"/>
  <c r="Y909" i="19"/>
  <c r="X909" i="19"/>
  <c r="U909" i="19"/>
  <c r="R909" i="19"/>
  <c r="O909" i="19"/>
  <c r="S909" i="19" s="1"/>
  <c r="N909" i="19"/>
  <c r="K909" i="19"/>
  <c r="H909" i="19"/>
  <c r="E909" i="19"/>
  <c r="I909" i="19" s="1"/>
  <c r="D909" i="19"/>
  <c r="B909" i="19"/>
  <c r="AQ908" i="19"/>
  <c r="AL908" i="19"/>
  <c r="AG908" i="19"/>
  <c r="AE908" i="19"/>
  <c r="AB908" i="19"/>
  <c r="Y908" i="19"/>
  <c r="X908" i="19"/>
  <c r="U908" i="19"/>
  <c r="R908" i="19"/>
  <c r="O908" i="19"/>
  <c r="S908" i="19" s="1"/>
  <c r="N908" i="19"/>
  <c r="K908" i="19"/>
  <c r="H908" i="19"/>
  <c r="E908" i="19"/>
  <c r="I908" i="19" s="1"/>
  <c r="D908" i="19"/>
  <c r="B908" i="19"/>
  <c r="AQ907" i="19"/>
  <c r="AL907" i="19"/>
  <c r="AG907" i="19"/>
  <c r="AE907" i="19"/>
  <c r="AB907" i="19"/>
  <c r="Y907" i="19"/>
  <c r="X907" i="19"/>
  <c r="U907" i="19"/>
  <c r="R907" i="19"/>
  <c r="O907" i="19"/>
  <c r="S907" i="19" s="1"/>
  <c r="N907" i="19"/>
  <c r="K907" i="19"/>
  <c r="H907" i="19"/>
  <c r="E907" i="19"/>
  <c r="I907" i="19" s="1"/>
  <c r="D907" i="19"/>
  <c r="B907" i="19"/>
  <c r="AQ906" i="19"/>
  <c r="AL906" i="19"/>
  <c r="AG906" i="19"/>
  <c r="AE906" i="19"/>
  <c r="AB906" i="19"/>
  <c r="Y906" i="19"/>
  <c r="X906" i="19"/>
  <c r="U906" i="19"/>
  <c r="R906" i="19"/>
  <c r="O906" i="19"/>
  <c r="S906" i="19" s="1"/>
  <c r="N906" i="19"/>
  <c r="K906" i="19"/>
  <c r="H906" i="19"/>
  <c r="E906" i="19"/>
  <c r="I906" i="19" s="1"/>
  <c r="D906" i="19"/>
  <c r="B906" i="19"/>
  <c r="AQ905" i="19"/>
  <c r="AL905" i="19"/>
  <c r="AG905" i="19"/>
  <c r="AE905" i="19"/>
  <c r="AB905" i="19"/>
  <c r="Y905" i="19"/>
  <c r="X905" i="19"/>
  <c r="U905" i="19"/>
  <c r="R905" i="19"/>
  <c r="O905" i="19"/>
  <c r="S905" i="19" s="1"/>
  <c r="N905" i="19"/>
  <c r="K905" i="19"/>
  <c r="H905" i="19"/>
  <c r="E905" i="19"/>
  <c r="I905" i="19" s="1"/>
  <c r="D905" i="19"/>
  <c r="B905" i="19"/>
  <c r="AQ904" i="19"/>
  <c r="AL904" i="19"/>
  <c r="AG904" i="19"/>
  <c r="AE904" i="19"/>
  <c r="AB904" i="19"/>
  <c r="Y904" i="19"/>
  <c r="X904" i="19"/>
  <c r="U904" i="19"/>
  <c r="R904" i="19"/>
  <c r="O904" i="19"/>
  <c r="S904" i="19" s="1"/>
  <c r="N904" i="19"/>
  <c r="K904" i="19"/>
  <c r="H904" i="19"/>
  <c r="E904" i="19"/>
  <c r="I904" i="19" s="1"/>
  <c r="D904" i="19"/>
  <c r="B904" i="19"/>
  <c r="AQ903" i="19"/>
  <c r="AL903" i="19"/>
  <c r="AG903" i="19"/>
  <c r="AE903" i="19"/>
  <c r="AB903" i="19"/>
  <c r="Y903" i="19"/>
  <c r="X903" i="19"/>
  <c r="U903" i="19"/>
  <c r="R903" i="19"/>
  <c r="O903" i="19"/>
  <c r="S903" i="19" s="1"/>
  <c r="N903" i="19"/>
  <c r="K903" i="19"/>
  <c r="H903" i="19"/>
  <c r="E903" i="19"/>
  <c r="I903" i="19" s="1"/>
  <c r="D903" i="19"/>
  <c r="B903" i="19"/>
  <c r="AQ902" i="19"/>
  <c r="AL902" i="19"/>
  <c r="AG902" i="19"/>
  <c r="AE902" i="19"/>
  <c r="AB902" i="19"/>
  <c r="Y902" i="19"/>
  <c r="X902" i="19"/>
  <c r="U902" i="19"/>
  <c r="R902" i="19"/>
  <c r="O902" i="19"/>
  <c r="S902" i="19" s="1"/>
  <c r="N902" i="19"/>
  <c r="K902" i="19"/>
  <c r="H902" i="19"/>
  <c r="E902" i="19"/>
  <c r="I902" i="19" s="1"/>
  <c r="D902" i="19"/>
  <c r="B902" i="19"/>
  <c r="AQ901" i="19"/>
  <c r="AL901" i="19"/>
  <c r="AG901" i="19"/>
  <c r="AE901" i="19"/>
  <c r="AB901" i="19"/>
  <c r="Y901" i="19"/>
  <c r="X901" i="19"/>
  <c r="U901" i="19"/>
  <c r="R901" i="19"/>
  <c r="O901" i="19"/>
  <c r="S901" i="19" s="1"/>
  <c r="N901" i="19"/>
  <c r="K901" i="19"/>
  <c r="H901" i="19"/>
  <c r="E901" i="19"/>
  <c r="I901" i="19" s="1"/>
  <c r="D901" i="19"/>
  <c r="B901" i="19"/>
  <c r="AQ900" i="19"/>
  <c r="AL900" i="19"/>
  <c r="AG900" i="19"/>
  <c r="AE900" i="19"/>
  <c r="AB900" i="19"/>
  <c r="Y900" i="19"/>
  <c r="X900" i="19"/>
  <c r="U900" i="19"/>
  <c r="R900" i="19"/>
  <c r="O900" i="19"/>
  <c r="S900" i="19" s="1"/>
  <c r="N900" i="19"/>
  <c r="K900" i="19"/>
  <c r="H900" i="19"/>
  <c r="E900" i="19"/>
  <c r="I900" i="19" s="1"/>
  <c r="D900" i="19"/>
  <c r="B900" i="19"/>
  <c r="AQ899" i="19"/>
  <c r="AL899" i="19"/>
  <c r="AG899" i="19"/>
  <c r="AE899" i="19"/>
  <c r="AB899" i="19"/>
  <c r="Y899" i="19"/>
  <c r="X899" i="19"/>
  <c r="U899" i="19"/>
  <c r="R899" i="19"/>
  <c r="O899" i="19"/>
  <c r="S899" i="19" s="1"/>
  <c r="N899" i="19"/>
  <c r="K899" i="19"/>
  <c r="H899" i="19"/>
  <c r="E899" i="19"/>
  <c r="I899" i="19" s="1"/>
  <c r="D899" i="19"/>
  <c r="B899" i="19"/>
  <c r="AQ898" i="19"/>
  <c r="AL898" i="19"/>
  <c r="AG898" i="19"/>
  <c r="AE898" i="19"/>
  <c r="AB898" i="19"/>
  <c r="Y898" i="19"/>
  <c r="X898" i="19"/>
  <c r="U898" i="19"/>
  <c r="R898" i="19"/>
  <c r="O898" i="19"/>
  <c r="S898" i="19" s="1"/>
  <c r="N898" i="19"/>
  <c r="K898" i="19"/>
  <c r="H898" i="19"/>
  <c r="E898" i="19"/>
  <c r="I898" i="19" s="1"/>
  <c r="D898" i="19"/>
  <c r="B898" i="19"/>
  <c r="AQ897" i="19"/>
  <c r="AL897" i="19"/>
  <c r="AG897" i="19"/>
  <c r="AE897" i="19"/>
  <c r="AB897" i="19"/>
  <c r="Y897" i="19"/>
  <c r="X897" i="19"/>
  <c r="U897" i="19"/>
  <c r="R897" i="19"/>
  <c r="O897" i="19"/>
  <c r="S897" i="19" s="1"/>
  <c r="N897" i="19"/>
  <c r="K897" i="19"/>
  <c r="H897" i="19"/>
  <c r="E897" i="19"/>
  <c r="I897" i="19" s="1"/>
  <c r="D897" i="19"/>
  <c r="B897" i="19"/>
  <c r="AQ896" i="19"/>
  <c r="AL896" i="19"/>
  <c r="AG896" i="19"/>
  <c r="AE896" i="19"/>
  <c r="AB896" i="19"/>
  <c r="Y896" i="19"/>
  <c r="X896" i="19"/>
  <c r="U896" i="19"/>
  <c r="R896" i="19"/>
  <c r="O896" i="19"/>
  <c r="S896" i="19" s="1"/>
  <c r="N896" i="19"/>
  <c r="K896" i="19"/>
  <c r="H896" i="19"/>
  <c r="E896" i="19"/>
  <c r="I896" i="19" s="1"/>
  <c r="D896" i="19"/>
  <c r="B896" i="19"/>
  <c r="AQ895" i="19"/>
  <c r="AL895" i="19"/>
  <c r="AG895" i="19"/>
  <c r="AE895" i="19"/>
  <c r="AB895" i="19"/>
  <c r="Y895" i="19"/>
  <c r="X895" i="19"/>
  <c r="U895" i="19"/>
  <c r="R895" i="19"/>
  <c r="O895" i="19"/>
  <c r="S895" i="19" s="1"/>
  <c r="N895" i="19"/>
  <c r="K895" i="19"/>
  <c r="H895" i="19"/>
  <c r="E895" i="19"/>
  <c r="I895" i="19" s="1"/>
  <c r="D895" i="19"/>
  <c r="B895" i="19"/>
  <c r="AQ894" i="19"/>
  <c r="AL894" i="19"/>
  <c r="AG894" i="19"/>
  <c r="AE894" i="19"/>
  <c r="AB894" i="19"/>
  <c r="Y894" i="19"/>
  <c r="X894" i="19"/>
  <c r="U894" i="19"/>
  <c r="R894" i="19"/>
  <c r="O894" i="19"/>
  <c r="S894" i="19" s="1"/>
  <c r="N894" i="19"/>
  <c r="K894" i="19"/>
  <c r="H894" i="19"/>
  <c r="E894" i="19"/>
  <c r="I894" i="19" s="1"/>
  <c r="D894" i="19"/>
  <c r="B894" i="19"/>
  <c r="AQ893" i="19"/>
  <c r="AL893" i="19"/>
  <c r="AG893" i="19"/>
  <c r="AE893" i="19"/>
  <c r="AB893" i="19"/>
  <c r="Y893" i="19"/>
  <c r="X893" i="19"/>
  <c r="U893" i="19"/>
  <c r="R893" i="19"/>
  <c r="O893" i="19"/>
  <c r="S893" i="19" s="1"/>
  <c r="N893" i="19"/>
  <c r="K893" i="19"/>
  <c r="H893" i="19"/>
  <c r="E893" i="19"/>
  <c r="I893" i="19" s="1"/>
  <c r="D893" i="19"/>
  <c r="B893" i="19"/>
  <c r="AQ892" i="19"/>
  <c r="AL892" i="19"/>
  <c r="AG892" i="19"/>
  <c r="AE892" i="19"/>
  <c r="AB892" i="19"/>
  <c r="Y892" i="19"/>
  <c r="X892" i="19"/>
  <c r="U892" i="19"/>
  <c r="R892" i="19"/>
  <c r="O892" i="19"/>
  <c r="S892" i="19" s="1"/>
  <c r="N892" i="19"/>
  <c r="K892" i="19"/>
  <c r="H892" i="19"/>
  <c r="E892" i="19"/>
  <c r="I892" i="19" s="1"/>
  <c r="D892" i="19"/>
  <c r="B892" i="19"/>
  <c r="AQ891" i="19"/>
  <c r="AL891" i="19"/>
  <c r="AG891" i="19"/>
  <c r="AE891" i="19"/>
  <c r="AB891" i="19"/>
  <c r="Y891" i="19"/>
  <c r="X891" i="19"/>
  <c r="U891" i="19"/>
  <c r="R891" i="19"/>
  <c r="O891" i="19"/>
  <c r="S891" i="19" s="1"/>
  <c r="N891" i="19"/>
  <c r="K891" i="19"/>
  <c r="H891" i="19"/>
  <c r="E891" i="19"/>
  <c r="I891" i="19" s="1"/>
  <c r="D891" i="19"/>
  <c r="B891" i="19"/>
  <c r="AQ890" i="19"/>
  <c r="AL890" i="19"/>
  <c r="AG890" i="19"/>
  <c r="AE890" i="19"/>
  <c r="AB890" i="19"/>
  <c r="Y890" i="19"/>
  <c r="X890" i="19"/>
  <c r="U890" i="19"/>
  <c r="R890" i="19"/>
  <c r="O890" i="19"/>
  <c r="S890" i="19" s="1"/>
  <c r="N890" i="19"/>
  <c r="K890" i="19"/>
  <c r="H890" i="19"/>
  <c r="E890" i="19"/>
  <c r="I890" i="19" s="1"/>
  <c r="D890" i="19"/>
  <c r="B890" i="19"/>
  <c r="AQ889" i="19"/>
  <c r="AL889" i="19"/>
  <c r="AG889" i="19"/>
  <c r="AE889" i="19"/>
  <c r="AB889" i="19"/>
  <c r="Y889" i="19"/>
  <c r="X889" i="19"/>
  <c r="U889" i="19"/>
  <c r="R889" i="19"/>
  <c r="O889" i="19"/>
  <c r="S889" i="19" s="1"/>
  <c r="N889" i="19"/>
  <c r="K889" i="19"/>
  <c r="H889" i="19"/>
  <c r="E889" i="19"/>
  <c r="I889" i="19" s="1"/>
  <c r="D889" i="19"/>
  <c r="B889" i="19"/>
  <c r="AQ888" i="19"/>
  <c r="AL888" i="19"/>
  <c r="AG888" i="19"/>
  <c r="AE888" i="19"/>
  <c r="AB888" i="19"/>
  <c r="Y888" i="19"/>
  <c r="X888" i="19"/>
  <c r="U888" i="19"/>
  <c r="R888" i="19"/>
  <c r="O888" i="19"/>
  <c r="S888" i="19" s="1"/>
  <c r="N888" i="19"/>
  <c r="K888" i="19"/>
  <c r="H888" i="19"/>
  <c r="E888" i="19"/>
  <c r="I888" i="19" s="1"/>
  <c r="D888" i="19"/>
  <c r="B888" i="19"/>
  <c r="AQ887" i="19"/>
  <c r="AL887" i="19"/>
  <c r="AG887" i="19"/>
  <c r="AE887" i="19"/>
  <c r="AB887" i="19"/>
  <c r="Y887" i="19"/>
  <c r="X887" i="19"/>
  <c r="U887" i="19"/>
  <c r="R887" i="19"/>
  <c r="O887" i="19"/>
  <c r="S887" i="19" s="1"/>
  <c r="N887" i="19"/>
  <c r="K887" i="19"/>
  <c r="H887" i="19"/>
  <c r="E887" i="19"/>
  <c r="I887" i="19" s="1"/>
  <c r="D887" i="19"/>
  <c r="B887" i="19"/>
  <c r="AQ886" i="19"/>
  <c r="AL886" i="19"/>
  <c r="AG886" i="19"/>
  <c r="AE886" i="19"/>
  <c r="AB886" i="19"/>
  <c r="Y886" i="19"/>
  <c r="X886" i="19"/>
  <c r="U886" i="19"/>
  <c r="R886" i="19"/>
  <c r="O886" i="19"/>
  <c r="S886" i="19" s="1"/>
  <c r="N886" i="19"/>
  <c r="K886" i="19"/>
  <c r="H886" i="19"/>
  <c r="E886" i="19"/>
  <c r="I886" i="19" s="1"/>
  <c r="D886" i="19"/>
  <c r="B886" i="19"/>
  <c r="AQ885" i="19"/>
  <c r="AL885" i="19"/>
  <c r="AG885" i="19"/>
  <c r="AE885" i="19"/>
  <c r="AB885" i="19"/>
  <c r="Y885" i="19"/>
  <c r="X885" i="19"/>
  <c r="U885" i="19"/>
  <c r="R885" i="19"/>
  <c r="O885" i="19"/>
  <c r="S885" i="19" s="1"/>
  <c r="N885" i="19"/>
  <c r="K885" i="19"/>
  <c r="H885" i="19"/>
  <c r="E885" i="19"/>
  <c r="I885" i="19" s="1"/>
  <c r="D885" i="19"/>
  <c r="B885" i="19"/>
  <c r="AQ884" i="19"/>
  <c r="AL884" i="19"/>
  <c r="AG884" i="19"/>
  <c r="AE884" i="19"/>
  <c r="AB884" i="19"/>
  <c r="Y884" i="19"/>
  <c r="X884" i="19"/>
  <c r="U884" i="19"/>
  <c r="R884" i="19"/>
  <c r="O884" i="19"/>
  <c r="S884" i="19" s="1"/>
  <c r="N884" i="19"/>
  <c r="K884" i="19"/>
  <c r="H884" i="19"/>
  <c r="E884" i="19"/>
  <c r="I884" i="19" s="1"/>
  <c r="D884" i="19"/>
  <c r="B884" i="19"/>
  <c r="AQ883" i="19"/>
  <c r="AL883" i="19"/>
  <c r="AG883" i="19"/>
  <c r="AE883" i="19"/>
  <c r="AB883" i="19"/>
  <c r="Y883" i="19"/>
  <c r="X883" i="19"/>
  <c r="U883" i="19"/>
  <c r="R883" i="19"/>
  <c r="O883" i="19"/>
  <c r="S883" i="19" s="1"/>
  <c r="N883" i="19"/>
  <c r="K883" i="19"/>
  <c r="H883" i="19"/>
  <c r="E883" i="19"/>
  <c r="I883" i="19" s="1"/>
  <c r="D883" i="19"/>
  <c r="B883" i="19"/>
  <c r="AQ882" i="19"/>
  <c r="AL882" i="19"/>
  <c r="AG882" i="19"/>
  <c r="AE882" i="19"/>
  <c r="AB882" i="19"/>
  <c r="Y882" i="19"/>
  <c r="X882" i="19"/>
  <c r="U882" i="19"/>
  <c r="R882" i="19"/>
  <c r="O882" i="19"/>
  <c r="S882" i="19" s="1"/>
  <c r="N882" i="19"/>
  <c r="K882" i="19"/>
  <c r="H882" i="19"/>
  <c r="E882" i="19"/>
  <c r="I882" i="19" s="1"/>
  <c r="D882" i="19"/>
  <c r="B882" i="19"/>
  <c r="AQ881" i="19"/>
  <c r="AL881" i="19"/>
  <c r="AG881" i="19"/>
  <c r="AE881" i="19"/>
  <c r="AB881" i="19"/>
  <c r="Y881" i="19"/>
  <c r="X881" i="19"/>
  <c r="U881" i="19"/>
  <c r="R881" i="19"/>
  <c r="O881" i="19"/>
  <c r="S881" i="19" s="1"/>
  <c r="N881" i="19"/>
  <c r="K881" i="19"/>
  <c r="H881" i="19"/>
  <c r="E881" i="19"/>
  <c r="I881" i="19" s="1"/>
  <c r="D881" i="19"/>
  <c r="B881" i="19"/>
  <c r="AQ880" i="19"/>
  <c r="AL880" i="19"/>
  <c r="AG880" i="19"/>
  <c r="AE880" i="19"/>
  <c r="AB880" i="19"/>
  <c r="Y880" i="19"/>
  <c r="X880" i="19"/>
  <c r="U880" i="19"/>
  <c r="R880" i="19"/>
  <c r="O880" i="19"/>
  <c r="S880" i="19" s="1"/>
  <c r="N880" i="19"/>
  <c r="K880" i="19"/>
  <c r="H880" i="19"/>
  <c r="E880" i="19"/>
  <c r="I880" i="19" s="1"/>
  <c r="D880" i="19"/>
  <c r="B880" i="19"/>
  <c r="AQ879" i="19"/>
  <c r="AL879" i="19"/>
  <c r="AG879" i="19"/>
  <c r="AE879" i="19"/>
  <c r="AB879" i="19"/>
  <c r="Y879" i="19"/>
  <c r="X879" i="19"/>
  <c r="U879" i="19"/>
  <c r="R879" i="19"/>
  <c r="O879" i="19"/>
  <c r="S879" i="19" s="1"/>
  <c r="N879" i="19"/>
  <c r="K879" i="19"/>
  <c r="H879" i="19"/>
  <c r="E879" i="19"/>
  <c r="I879" i="19" s="1"/>
  <c r="D879" i="19"/>
  <c r="B879" i="19"/>
  <c r="AQ878" i="19"/>
  <c r="AL878" i="19"/>
  <c r="AG878" i="19"/>
  <c r="AE878" i="19"/>
  <c r="AB878" i="19"/>
  <c r="Y878" i="19"/>
  <c r="X878" i="19"/>
  <c r="U878" i="19"/>
  <c r="R878" i="19"/>
  <c r="O878" i="19"/>
  <c r="S878" i="19" s="1"/>
  <c r="N878" i="19"/>
  <c r="K878" i="19"/>
  <c r="H878" i="19"/>
  <c r="E878" i="19"/>
  <c r="I878" i="19" s="1"/>
  <c r="D878" i="19"/>
  <c r="B878" i="19"/>
  <c r="AQ877" i="19"/>
  <c r="AL877" i="19"/>
  <c r="AG877" i="19"/>
  <c r="AE877" i="19"/>
  <c r="AB877" i="19"/>
  <c r="Y877" i="19"/>
  <c r="X877" i="19"/>
  <c r="U877" i="19"/>
  <c r="R877" i="19"/>
  <c r="O877" i="19"/>
  <c r="S877" i="19" s="1"/>
  <c r="N877" i="19"/>
  <c r="K877" i="19"/>
  <c r="H877" i="19"/>
  <c r="E877" i="19"/>
  <c r="I877" i="19" s="1"/>
  <c r="D877" i="19"/>
  <c r="B877" i="19"/>
  <c r="AQ876" i="19"/>
  <c r="AL876" i="19"/>
  <c r="AG876" i="19"/>
  <c r="AE876" i="19"/>
  <c r="AB876" i="19"/>
  <c r="Y876" i="19"/>
  <c r="X876" i="19"/>
  <c r="U876" i="19"/>
  <c r="R876" i="19"/>
  <c r="O876" i="19"/>
  <c r="S876" i="19" s="1"/>
  <c r="N876" i="19"/>
  <c r="K876" i="19"/>
  <c r="H876" i="19"/>
  <c r="E876" i="19"/>
  <c r="I876" i="19" s="1"/>
  <c r="D876" i="19"/>
  <c r="B876" i="19"/>
  <c r="AQ875" i="19"/>
  <c r="AL875" i="19"/>
  <c r="AG875" i="19"/>
  <c r="AE875" i="19"/>
  <c r="AB875" i="19"/>
  <c r="Y875" i="19"/>
  <c r="X875" i="19"/>
  <c r="U875" i="19"/>
  <c r="R875" i="19"/>
  <c r="O875" i="19"/>
  <c r="S875" i="19" s="1"/>
  <c r="N875" i="19"/>
  <c r="K875" i="19"/>
  <c r="H875" i="19"/>
  <c r="E875" i="19"/>
  <c r="I875" i="19" s="1"/>
  <c r="D875" i="19"/>
  <c r="B875" i="19"/>
  <c r="AQ874" i="19"/>
  <c r="AL874" i="19"/>
  <c r="AG874" i="19"/>
  <c r="AE874" i="19"/>
  <c r="AB874" i="19"/>
  <c r="Y874" i="19"/>
  <c r="X874" i="19"/>
  <c r="U874" i="19"/>
  <c r="R874" i="19"/>
  <c r="O874" i="19"/>
  <c r="S874" i="19" s="1"/>
  <c r="N874" i="19"/>
  <c r="K874" i="19"/>
  <c r="H874" i="19"/>
  <c r="E874" i="19"/>
  <c r="I874" i="19" s="1"/>
  <c r="D874" i="19"/>
  <c r="B874" i="19"/>
  <c r="AQ873" i="19"/>
  <c r="AL873" i="19"/>
  <c r="AG873" i="19"/>
  <c r="AE873" i="19"/>
  <c r="AB873" i="19"/>
  <c r="Y873" i="19"/>
  <c r="X873" i="19"/>
  <c r="U873" i="19"/>
  <c r="R873" i="19"/>
  <c r="O873" i="19"/>
  <c r="S873" i="19" s="1"/>
  <c r="N873" i="19"/>
  <c r="K873" i="19"/>
  <c r="H873" i="19"/>
  <c r="E873" i="19"/>
  <c r="I873" i="19" s="1"/>
  <c r="D873" i="19"/>
  <c r="B873" i="19"/>
  <c r="AQ872" i="19"/>
  <c r="AL872" i="19"/>
  <c r="AG872" i="19"/>
  <c r="AE872" i="19"/>
  <c r="AB872" i="19"/>
  <c r="Y872" i="19"/>
  <c r="X872" i="19"/>
  <c r="U872" i="19"/>
  <c r="R872" i="19"/>
  <c r="O872" i="19"/>
  <c r="S872" i="19" s="1"/>
  <c r="N872" i="19"/>
  <c r="K872" i="19"/>
  <c r="H872" i="19"/>
  <c r="E872" i="19"/>
  <c r="I872" i="19" s="1"/>
  <c r="D872" i="19"/>
  <c r="B872" i="19"/>
  <c r="AQ871" i="19"/>
  <c r="AL871" i="19"/>
  <c r="AG871" i="19"/>
  <c r="AE871" i="19"/>
  <c r="AB871" i="19"/>
  <c r="Y871" i="19"/>
  <c r="X871" i="19"/>
  <c r="U871" i="19"/>
  <c r="R871" i="19"/>
  <c r="O871" i="19"/>
  <c r="S871" i="19" s="1"/>
  <c r="N871" i="19"/>
  <c r="K871" i="19"/>
  <c r="H871" i="19"/>
  <c r="E871" i="19"/>
  <c r="I871" i="19" s="1"/>
  <c r="D871" i="19"/>
  <c r="B871" i="19"/>
  <c r="AQ870" i="19"/>
  <c r="AL870" i="19"/>
  <c r="AG870" i="19"/>
  <c r="AE870" i="19"/>
  <c r="AB870" i="19"/>
  <c r="Y870" i="19"/>
  <c r="X870" i="19"/>
  <c r="U870" i="19"/>
  <c r="R870" i="19"/>
  <c r="O870" i="19"/>
  <c r="S870" i="19" s="1"/>
  <c r="N870" i="19"/>
  <c r="K870" i="19"/>
  <c r="H870" i="19"/>
  <c r="E870" i="19"/>
  <c r="I870" i="19" s="1"/>
  <c r="D870" i="19"/>
  <c r="B870" i="19"/>
  <c r="AQ869" i="19"/>
  <c r="AL869" i="19"/>
  <c r="AG869" i="19"/>
  <c r="AE869" i="19"/>
  <c r="AB869" i="19"/>
  <c r="Y869" i="19"/>
  <c r="X869" i="19"/>
  <c r="U869" i="19"/>
  <c r="R869" i="19"/>
  <c r="O869" i="19"/>
  <c r="S869" i="19" s="1"/>
  <c r="N869" i="19"/>
  <c r="K869" i="19"/>
  <c r="H869" i="19"/>
  <c r="E869" i="19"/>
  <c r="I869" i="19" s="1"/>
  <c r="D869" i="19"/>
  <c r="B869" i="19"/>
  <c r="AQ868" i="19"/>
  <c r="AL868" i="19"/>
  <c r="AG868" i="19"/>
  <c r="AE868" i="19"/>
  <c r="AB868" i="19"/>
  <c r="Y868" i="19"/>
  <c r="X868" i="19"/>
  <c r="U868" i="19"/>
  <c r="R868" i="19"/>
  <c r="O868" i="19"/>
  <c r="S868" i="19" s="1"/>
  <c r="N868" i="19"/>
  <c r="K868" i="19"/>
  <c r="H868" i="19"/>
  <c r="E868" i="19"/>
  <c r="I868" i="19" s="1"/>
  <c r="D868" i="19"/>
  <c r="B868" i="19"/>
  <c r="AQ867" i="19"/>
  <c r="AL867" i="19"/>
  <c r="AG867" i="19"/>
  <c r="AE867" i="19"/>
  <c r="AB867" i="19"/>
  <c r="Y867" i="19"/>
  <c r="X867" i="19"/>
  <c r="U867" i="19"/>
  <c r="R867" i="19"/>
  <c r="O867" i="19"/>
  <c r="S867" i="19" s="1"/>
  <c r="N867" i="19"/>
  <c r="K867" i="19"/>
  <c r="H867" i="19"/>
  <c r="E867" i="19"/>
  <c r="I867" i="19" s="1"/>
  <c r="D867" i="19"/>
  <c r="B867" i="19"/>
  <c r="AQ866" i="19"/>
  <c r="AL866" i="19"/>
  <c r="AG866" i="19"/>
  <c r="AE866" i="19"/>
  <c r="AB866" i="19"/>
  <c r="Y866" i="19"/>
  <c r="X866" i="19"/>
  <c r="U866" i="19"/>
  <c r="R866" i="19"/>
  <c r="O866" i="19"/>
  <c r="S866" i="19" s="1"/>
  <c r="N866" i="19"/>
  <c r="K866" i="19"/>
  <c r="H866" i="19"/>
  <c r="E866" i="19"/>
  <c r="I866" i="19" s="1"/>
  <c r="D866" i="19"/>
  <c r="B866" i="19"/>
  <c r="AQ865" i="19"/>
  <c r="AL865" i="19"/>
  <c r="AG865" i="19"/>
  <c r="AE865" i="19"/>
  <c r="AB865" i="19"/>
  <c r="Y865" i="19"/>
  <c r="X865" i="19"/>
  <c r="U865" i="19"/>
  <c r="R865" i="19"/>
  <c r="O865" i="19"/>
  <c r="S865" i="19" s="1"/>
  <c r="N865" i="19"/>
  <c r="K865" i="19"/>
  <c r="H865" i="19"/>
  <c r="E865" i="19"/>
  <c r="I865" i="19" s="1"/>
  <c r="D865" i="19"/>
  <c r="B865" i="19"/>
  <c r="AQ864" i="19"/>
  <c r="AL864" i="19"/>
  <c r="AG864" i="19"/>
  <c r="AE864" i="19"/>
  <c r="AB864" i="19"/>
  <c r="Y864" i="19"/>
  <c r="X864" i="19"/>
  <c r="U864" i="19"/>
  <c r="R864" i="19"/>
  <c r="O864" i="19"/>
  <c r="S864" i="19" s="1"/>
  <c r="N864" i="19"/>
  <c r="K864" i="19"/>
  <c r="H864" i="19"/>
  <c r="E864" i="19"/>
  <c r="I864" i="19" s="1"/>
  <c r="D864" i="19"/>
  <c r="B864" i="19"/>
  <c r="AQ863" i="19"/>
  <c r="AL863" i="19"/>
  <c r="AG863" i="19"/>
  <c r="AE863" i="19"/>
  <c r="AB863" i="19"/>
  <c r="Y863" i="19"/>
  <c r="X863" i="19"/>
  <c r="U863" i="19"/>
  <c r="R863" i="19"/>
  <c r="O863" i="19"/>
  <c r="S863" i="19" s="1"/>
  <c r="N863" i="19"/>
  <c r="K863" i="19"/>
  <c r="H863" i="19"/>
  <c r="E863" i="19"/>
  <c r="I863" i="19" s="1"/>
  <c r="D863" i="19"/>
  <c r="B863" i="19"/>
  <c r="AQ862" i="19"/>
  <c r="AL862" i="19"/>
  <c r="AG862" i="19"/>
  <c r="AE862" i="19"/>
  <c r="AB862" i="19"/>
  <c r="Y862" i="19"/>
  <c r="X862" i="19"/>
  <c r="U862" i="19"/>
  <c r="R862" i="19"/>
  <c r="O862" i="19"/>
  <c r="S862" i="19" s="1"/>
  <c r="N862" i="19"/>
  <c r="K862" i="19"/>
  <c r="H862" i="19"/>
  <c r="E862" i="19"/>
  <c r="I862" i="19" s="1"/>
  <c r="D862" i="19"/>
  <c r="B862" i="19"/>
  <c r="AQ861" i="19"/>
  <c r="AL861" i="19"/>
  <c r="AG861" i="19"/>
  <c r="AE861" i="19"/>
  <c r="AB861" i="19"/>
  <c r="Y861" i="19"/>
  <c r="X861" i="19"/>
  <c r="U861" i="19"/>
  <c r="R861" i="19"/>
  <c r="O861" i="19"/>
  <c r="S861" i="19" s="1"/>
  <c r="N861" i="19"/>
  <c r="K861" i="19"/>
  <c r="H861" i="19"/>
  <c r="E861" i="19"/>
  <c r="I861" i="19" s="1"/>
  <c r="D861" i="19"/>
  <c r="B861" i="19"/>
  <c r="AQ860" i="19"/>
  <c r="AL860" i="19"/>
  <c r="AG860" i="19"/>
  <c r="AE860" i="19"/>
  <c r="AB860" i="19"/>
  <c r="Y860" i="19"/>
  <c r="X860" i="19"/>
  <c r="U860" i="19"/>
  <c r="R860" i="19"/>
  <c r="O860" i="19"/>
  <c r="S860" i="19" s="1"/>
  <c r="N860" i="19"/>
  <c r="K860" i="19"/>
  <c r="H860" i="19"/>
  <c r="E860" i="19"/>
  <c r="I860" i="19" s="1"/>
  <c r="D860" i="19"/>
  <c r="B860" i="19"/>
  <c r="AQ859" i="19"/>
  <c r="AL859" i="19"/>
  <c r="AG859" i="19"/>
  <c r="AE859" i="19"/>
  <c r="AB859" i="19"/>
  <c r="Y859" i="19"/>
  <c r="X859" i="19"/>
  <c r="U859" i="19"/>
  <c r="R859" i="19"/>
  <c r="O859" i="19"/>
  <c r="S859" i="19" s="1"/>
  <c r="N859" i="19"/>
  <c r="K859" i="19"/>
  <c r="H859" i="19"/>
  <c r="E859" i="19"/>
  <c r="I859" i="19" s="1"/>
  <c r="D859" i="19"/>
  <c r="B859" i="19"/>
  <c r="AQ858" i="19"/>
  <c r="AL858" i="19"/>
  <c r="AG858" i="19"/>
  <c r="AE858" i="19"/>
  <c r="AB858" i="19"/>
  <c r="Y858" i="19"/>
  <c r="X858" i="19"/>
  <c r="U858" i="19"/>
  <c r="R858" i="19"/>
  <c r="O858" i="19"/>
  <c r="S858" i="19" s="1"/>
  <c r="N858" i="19"/>
  <c r="K858" i="19"/>
  <c r="H858" i="19"/>
  <c r="E858" i="19"/>
  <c r="I858" i="19" s="1"/>
  <c r="D858" i="19"/>
  <c r="B858" i="19"/>
  <c r="AQ857" i="19"/>
  <c r="AL857" i="19"/>
  <c r="AG857" i="19"/>
  <c r="AE857" i="19"/>
  <c r="AB857" i="19"/>
  <c r="Y857" i="19"/>
  <c r="X857" i="19"/>
  <c r="U857" i="19"/>
  <c r="R857" i="19"/>
  <c r="O857" i="19"/>
  <c r="S857" i="19" s="1"/>
  <c r="N857" i="19"/>
  <c r="K857" i="19"/>
  <c r="H857" i="19"/>
  <c r="E857" i="19"/>
  <c r="I857" i="19" s="1"/>
  <c r="D857" i="19"/>
  <c r="B857" i="19"/>
  <c r="AQ856" i="19"/>
  <c r="AL856" i="19"/>
  <c r="AG856" i="19"/>
  <c r="AE856" i="19"/>
  <c r="AB856" i="19"/>
  <c r="Y856" i="19"/>
  <c r="X856" i="19"/>
  <c r="U856" i="19"/>
  <c r="R856" i="19"/>
  <c r="O856" i="19"/>
  <c r="S856" i="19" s="1"/>
  <c r="N856" i="19"/>
  <c r="K856" i="19"/>
  <c r="H856" i="19"/>
  <c r="E856" i="19"/>
  <c r="I856" i="19" s="1"/>
  <c r="D856" i="19"/>
  <c r="B856" i="19"/>
  <c r="AQ855" i="19"/>
  <c r="AL855" i="19"/>
  <c r="AG855" i="19"/>
  <c r="AE855" i="19"/>
  <c r="AB855" i="19"/>
  <c r="Y855" i="19"/>
  <c r="X855" i="19"/>
  <c r="U855" i="19"/>
  <c r="R855" i="19"/>
  <c r="O855" i="19"/>
  <c r="S855" i="19" s="1"/>
  <c r="N855" i="19"/>
  <c r="K855" i="19"/>
  <c r="H855" i="19"/>
  <c r="E855" i="19"/>
  <c r="I855" i="19" s="1"/>
  <c r="D855" i="19"/>
  <c r="B855" i="19"/>
  <c r="AQ854" i="19"/>
  <c r="AL854" i="19"/>
  <c r="AG854" i="19"/>
  <c r="AE854" i="19"/>
  <c r="AB854" i="19"/>
  <c r="Y854" i="19"/>
  <c r="X854" i="19"/>
  <c r="U854" i="19"/>
  <c r="R854" i="19"/>
  <c r="O854" i="19"/>
  <c r="S854" i="19" s="1"/>
  <c r="N854" i="19"/>
  <c r="K854" i="19"/>
  <c r="H854" i="19"/>
  <c r="E854" i="19"/>
  <c r="I854" i="19" s="1"/>
  <c r="D854" i="19"/>
  <c r="B854" i="19"/>
  <c r="AQ853" i="19"/>
  <c r="AL853" i="19"/>
  <c r="AG853" i="19"/>
  <c r="AE853" i="19"/>
  <c r="AB853" i="19"/>
  <c r="Y853" i="19"/>
  <c r="X853" i="19"/>
  <c r="U853" i="19"/>
  <c r="R853" i="19"/>
  <c r="O853" i="19"/>
  <c r="S853" i="19" s="1"/>
  <c r="N853" i="19"/>
  <c r="K853" i="19"/>
  <c r="H853" i="19"/>
  <c r="E853" i="19"/>
  <c r="I853" i="19" s="1"/>
  <c r="D853" i="19"/>
  <c r="B853" i="19"/>
  <c r="AQ852" i="19"/>
  <c r="AL852" i="19"/>
  <c r="AG852" i="19"/>
  <c r="AE852" i="19"/>
  <c r="AB852" i="19"/>
  <c r="Y852" i="19"/>
  <c r="X852" i="19"/>
  <c r="U852" i="19"/>
  <c r="R852" i="19"/>
  <c r="O852" i="19"/>
  <c r="S852" i="19" s="1"/>
  <c r="N852" i="19"/>
  <c r="K852" i="19"/>
  <c r="H852" i="19"/>
  <c r="E852" i="19"/>
  <c r="I852" i="19" s="1"/>
  <c r="D852" i="19"/>
  <c r="B852" i="19"/>
  <c r="AQ851" i="19"/>
  <c r="AL851" i="19"/>
  <c r="AG851" i="19"/>
  <c r="AE851" i="19"/>
  <c r="AB851" i="19"/>
  <c r="Y851" i="19"/>
  <c r="X851" i="19"/>
  <c r="U851" i="19"/>
  <c r="R851" i="19"/>
  <c r="O851" i="19"/>
  <c r="S851" i="19" s="1"/>
  <c r="N851" i="19"/>
  <c r="K851" i="19"/>
  <c r="H851" i="19"/>
  <c r="E851" i="19"/>
  <c r="I851" i="19" s="1"/>
  <c r="D851" i="19"/>
  <c r="B851" i="19"/>
  <c r="AQ850" i="19"/>
  <c r="AL850" i="19"/>
  <c r="AG850" i="19"/>
  <c r="AE850" i="19"/>
  <c r="AB850" i="19"/>
  <c r="Y850" i="19"/>
  <c r="X850" i="19"/>
  <c r="U850" i="19"/>
  <c r="R850" i="19"/>
  <c r="O850" i="19"/>
  <c r="S850" i="19" s="1"/>
  <c r="N850" i="19"/>
  <c r="K850" i="19"/>
  <c r="H850" i="19"/>
  <c r="E850" i="19"/>
  <c r="I850" i="19" s="1"/>
  <c r="D850" i="19"/>
  <c r="B850" i="19"/>
  <c r="AQ849" i="19"/>
  <c r="AL849" i="19"/>
  <c r="AG849" i="19"/>
  <c r="AE849" i="19"/>
  <c r="AB849" i="19"/>
  <c r="Y849" i="19"/>
  <c r="X849" i="19"/>
  <c r="U849" i="19"/>
  <c r="R849" i="19"/>
  <c r="O849" i="19"/>
  <c r="S849" i="19" s="1"/>
  <c r="N849" i="19"/>
  <c r="K849" i="19"/>
  <c r="H849" i="19"/>
  <c r="E849" i="19"/>
  <c r="I849" i="19" s="1"/>
  <c r="D849" i="19"/>
  <c r="B849" i="19"/>
  <c r="AQ848" i="19"/>
  <c r="AL848" i="19"/>
  <c r="AG848" i="19"/>
  <c r="AE848" i="19"/>
  <c r="AB848" i="19"/>
  <c r="Y848" i="19"/>
  <c r="X848" i="19"/>
  <c r="U848" i="19"/>
  <c r="R848" i="19"/>
  <c r="O848" i="19"/>
  <c r="S848" i="19" s="1"/>
  <c r="N848" i="19"/>
  <c r="K848" i="19"/>
  <c r="H848" i="19"/>
  <c r="E848" i="19"/>
  <c r="I848" i="19" s="1"/>
  <c r="D848" i="19"/>
  <c r="B848" i="19"/>
  <c r="AQ847" i="19"/>
  <c r="AL847" i="19"/>
  <c r="AG847" i="19"/>
  <c r="AE847" i="19"/>
  <c r="AB847" i="19"/>
  <c r="Y847" i="19"/>
  <c r="X847" i="19"/>
  <c r="U847" i="19"/>
  <c r="R847" i="19"/>
  <c r="O847" i="19"/>
  <c r="S847" i="19" s="1"/>
  <c r="N847" i="19"/>
  <c r="K847" i="19"/>
  <c r="H847" i="19"/>
  <c r="E847" i="19"/>
  <c r="I847" i="19" s="1"/>
  <c r="D847" i="19"/>
  <c r="B847" i="19"/>
  <c r="AQ846" i="19"/>
  <c r="AL846" i="19"/>
  <c r="AG846" i="19"/>
  <c r="AE846" i="19"/>
  <c r="AB846" i="19"/>
  <c r="Y846" i="19"/>
  <c r="X846" i="19"/>
  <c r="U846" i="19"/>
  <c r="R846" i="19"/>
  <c r="O846" i="19"/>
  <c r="S846" i="19" s="1"/>
  <c r="N846" i="19"/>
  <c r="K846" i="19"/>
  <c r="H846" i="19"/>
  <c r="E846" i="19"/>
  <c r="I846" i="19" s="1"/>
  <c r="D846" i="19"/>
  <c r="B846" i="19"/>
  <c r="AQ845" i="19"/>
  <c r="AL845" i="19"/>
  <c r="AG845" i="19"/>
  <c r="AE845" i="19"/>
  <c r="AB845" i="19"/>
  <c r="Y845" i="19"/>
  <c r="X845" i="19"/>
  <c r="U845" i="19"/>
  <c r="R845" i="19"/>
  <c r="O845" i="19"/>
  <c r="S845" i="19" s="1"/>
  <c r="N845" i="19"/>
  <c r="K845" i="19"/>
  <c r="H845" i="19"/>
  <c r="E845" i="19"/>
  <c r="I845" i="19" s="1"/>
  <c r="D845" i="19"/>
  <c r="B845" i="19"/>
  <c r="AQ844" i="19"/>
  <c r="AL844" i="19"/>
  <c r="AG844" i="19"/>
  <c r="AE844" i="19"/>
  <c r="AB844" i="19"/>
  <c r="Y844" i="19"/>
  <c r="X844" i="19"/>
  <c r="U844" i="19"/>
  <c r="R844" i="19"/>
  <c r="O844" i="19"/>
  <c r="S844" i="19" s="1"/>
  <c r="N844" i="19"/>
  <c r="K844" i="19"/>
  <c r="H844" i="19"/>
  <c r="E844" i="19"/>
  <c r="I844" i="19" s="1"/>
  <c r="D844" i="19"/>
  <c r="B844" i="19"/>
  <c r="AQ843" i="19"/>
  <c r="AL843" i="19"/>
  <c r="AG843" i="19"/>
  <c r="AE843" i="19"/>
  <c r="AB843" i="19"/>
  <c r="Y843" i="19"/>
  <c r="X843" i="19"/>
  <c r="U843" i="19"/>
  <c r="R843" i="19"/>
  <c r="O843" i="19"/>
  <c r="S843" i="19" s="1"/>
  <c r="N843" i="19"/>
  <c r="K843" i="19"/>
  <c r="H843" i="19"/>
  <c r="E843" i="19"/>
  <c r="I843" i="19" s="1"/>
  <c r="D843" i="19"/>
  <c r="B843" i="19"/>
  <c r="AQ842" i="19"/>
  <c r="AL842" i="19"/>
  <c r="AG842" i="19"/>
  <c r="AE842" i="19"/>
  <c r="AB842" i="19"/>
  <c r="Y842" i="19"/>
  <c r="X842" i="19"/>
  <c r="U842" i="19"/>
  <c r="R842" i="19"/>
  <c r="O842" i="19"/>
  <c r="S842" i="19" s="1"/>
  <c r="N842" i="19"/>
  <c r="K842" i="19"/>
  <c r="H842" i="19"/>
  <c r="E842" i="19"/>
  <c r="I842" i="19" s="1"/>
  <c r="D842" i="19"/>
  <c r="B842" i="19"/>
  <c r="AQ841" i="19"/>
  <c r="AL841" i="19"/>
  <c r="AG841" i="19"/>
  <c r="AE841" i="19"/>
  <c r="AB841" i="19"/>
  <c r="Y841" i="19"/>
  <c r="X841" i="19"/>
  <c r="U841" i="19"/>
  <c r="R841" i="19"/>
  <c r="O841" i="19"/>
  <c r="S841" i="19" s="1"/>
  <c r="N841" i="19"/>
  <c r="K841" i="19"/>
  <c r="H841" i="19"/>
  <c r="E841" i="19"/>
  <c r="I841" i="19" s="1"/>
  <c r="D841" i="19"/>
  <c r="B841" i="19"/>
  <c r="AQ840" i="19"/>
  <c r="AL840" i="19"/>
  <c r="AG840" i="19"/>
  <c r="AE840" i="19"/>
  <c r="AB840" i="19"/>
  <c r="Y840" i="19"/>
  <c r="X840" i="19"/>
  <c r="U840" i="19"/>
  <c r="R840" i="19"/>
  <c r="O840" i="19"/>
  <c r="S840" i="19" s="1"/>
  <c r="N840" i="19"/>
  <c r="K840" i="19"/>
  <c r="H840" i="19"/>
  <c r="E840" i="19"/>
  <c r="I840" i="19" s="1"/>
  <c r="D840" i="19"/>
  <c r="B840" i="19"/>
  <c r="AQ839" i="19"/>
  <c r="AL839" i="19"/>
  <c r="AG839" i="19"/>
  <c r="AE839" i="19"/>
  <c r="AB839" i="19"/>
  <c r="Y839" i="19"/>
  <c r="X839" i="19"/>
  <c r="U839" i="19"/>
  <c r="R839" i="19"/>
  <c r="O839" i="19"/>
  <c r="S839" i="19" s="1"/>
  <c r="N839" i="19"/>
  <c r="K839" i="19"/>
  <c r="H839" i="19"/>
  <c r="E839" i="19"/>
  <c r="I839" i="19" s="1"/>
  <c r="D839" i="19"/>
  <c r="B839" i="19"/>
  <c r="AQ838" i="19"/>
  <c r="AL838" i="19"/>
  <c r="AG838" i="19"/>
  <c r="AE838" i="19"/>
  <c r="AB838" i="19"/>
  <c r="Y838" i="19"/>
  <c r="X838" i="19"/>
  <c r="U838" i="19"/>
  <c r="R838" i="19"/>
  <c r="O838" i="19"/>
  <c r="S838" i="19" s="1"/>
  <c r="N838" i="19"/>
  <c r="K838" i="19"/>
  <c r="H838" i="19"/>
  <c r="E838" i="19"/>
  <c r="I838" i="19" s="1"/>
  <c r="D838" i="19"/>
  <c r="B838" i="19"/>
  <c r="AQ837" i="19"/>
  <c r="AL837" i="19"/>
  <c r="AG837" i="19"/>
  <c r="AE837" i="19"/>
  <c r="AB837" i="19"/>
  <c r="Y837" i="19"/>
  <c r="X837" i="19"/>
  <c r="U837" i="19"/>
  <c r="R837" i="19"/>
  <c r="O837" i="19"/>
  <c r="S837" i="19" s="1"/>
  <c r="N837" i="19"/>
  <c r="K837" i="19"/>
  <c r="H837" i="19"/>
  <c r="E837" i="19"/>
  <c r="I837" i="19" s="1"/>
  <c r="D837" i="19"/>
  <c r="B837" i="19"/>
  <c r="AQ836" i="19"/>
  <c r="AL836" i="19"/>
  <c r="AG836" i="19"/>
  <c r="AE836" i="19"/>
  <c r="AB836" i="19"/>
  <c r="Y836" i="19"/>
  <c r="X836" i="19"/>
  <c r="U836" i="19"/>
  <c r="R836" i="19"/>
  <c r="O836" i="19"/>
  <c r="S836" i="19" s="1"/>
  <c r="N836" i="19"/>
  <c r="K836" i="19"/>
  <c r="H836" i="19"/>
  <c r="E836" i="19"/>
  <c r="I836" i="19" s="1"/>
  <c r="D836" i="19"/>
  <c r="B836" i="19"/>
  <c r="AQ835" i="19"/>
  <c r="AL835" i="19"/>
  <c r="AG835" i="19"/>
  <c r="AE835" i="19"/>
  <c r="AB835" i="19"/>
  <c r="Y835" i="19"/>
  <c r="X835" i="19"/>
  <c r="U835" i="19"/>
  <c r="R835" i="19"/>
  <c r="O835" i="19"/>
  <c r="S835" i="19" s="1"/>
  <c r="N835" i="19"/>
  <c r="K835" i="19"/>
  <c r="H835" i="19"/>
  <c r="E835" i="19"/>
  <c r="I835" i="19" s="1"/>
  <c r="D835" i="19"/>
  <c r="B835" i="19"/>
  <c r="AQ834" i="19"/>
  <c r="AL834" i="19"/>
  <c r="AG834" i="19"/>
  <c r="AE834" i="19"/>
  <c r="AB834" i="19"/>
  <c r="Y834" i="19"/>
  <c r="X834" i="19"/>
  <c r="U834" i="19"/>
  <c r="R834" i="19"/>
  <c r="O834" i="19"/>
  <c r="S834" i="19" s="1"/>
  <c r="N834" i="19"/>
  <c r="K834" i="19"/>
  <c r="H834" i="19"/>
  <c r="E834" i="19"/>
  <c r="I834" i="19" s="1"/>
  <c r="D834" i="19"/>
  <c r="B834" i="19"/>
  <c r="AQ833" i="19"/>
  <c r="AL833" i="19"/>
  <c r="AG833" i="19"/>
  <c r="AE833" i="19"/>
  <c r="AB833" i="19"/>
  <c r="Y833" i="19"/>
  <c r="X833" i="19"/>
  <c r="U833" i="19"/>
  <c r="R833" i="19"/>
  <c r="O833" i="19"/>
  <c r="S833" i="19" s="1"/>
  <c r="N833" i="19"/>
  <c r="K833" i="19"/>
  <c r="H833" i="19"/>
  <c r="E833" i="19"/>
  <c r="I833" i="19" s="1"/>
  <c r="D833" i="19"/>
  <c r="B833" i="19"/>
  <c r="AQ832" i="19"/>
  <c r="AL832" i="19"/>
  <c r="AG832" i="19"/>
  <c r="AE832" i="19"/>
  <c r="AB832" i="19"/>
  <c r="Y832" i="19"/>
  <c r="X832" i="19"/>
  <c r="U832" i="19"/>
  <c r="R832" i="19"/>
  <c r="O832" i="19"/>
  <c r="S832" i="19" s="1"/>
  <c r="N832" i="19"/>
  <c r="K832" i="19"/>
  <c r="H832" i="19"/>
  <c r="E832" i="19"/>
  <c r="I832" i="19" s="1"/>
  <c r="D832" i="19"/>
  <c r="B832" i="19"/>
  <c r="AQ831" i="19"/>
  <c r="AL831" i="19"/>
  <c r="AG831" i="19"/>
  <c r="AE831" i="19"/>
  <c r="AB831" i="19"/>
  <c r="Y831" i="19"/>
  <c r="X831" i="19"/>
  <c r="U831" i="19"/>
  <c r="R831" i="19"/>
  <c r="O831" i="19"/>
  <c r="S831" i="19" s="1"/>
  <c r="N831" i="19"/>
  <c r="K831" i="19"/>
  <c r="H831" i="19"/>
  <c r="E831" i="19"/>
  <c r="I831" i="19" s="1"/>
  <c r="D831" i="19"/>
  <c r="B831" i="19"/>
  <c r="AQ830" i="19"/>
  <c r="AL830" i="19"/>
  <c r="AG830" i="19"/>
  <c r="AE830" i="19"/>
  <c r="AB830" i="19"/>
  <c r="Y830" i="19"/>
  <c r="X830" i="19"/>
  <c r="U830" i="19"/>
  <c r="R830" i="19"/>
  <c r="O830" i="19"/>
  <c r="S830" i="19" s="1"/>
  <c r="N830" i="19"/>
  <c r="K830" i="19"/>
  <c r="H830" i="19"/>
  <c r="E830" i="19"/>
  <c r="I830" i="19" s="1"/>
  <c r="D830" i="19"/>
  <c r="B830" i="19"/>
  <c r="AQ829" i="19"/>
  <c r="AL829" i="19"/>
  <c r="V829" i="19" s="1"/>
  <c r="AG829" i="19"/>
  <c r="AE829" i="19"/>
  <c r="AB829" i="19"/>
  <c r="Y829" i="19"/>
  <c r="X829" i="19"/>
  <c r="U829" i="19"/>
  <c r="R829" i="19"/>
  <c r="O829" i="19"/>
  <c r="S829" i="19" s="1"/>
  <c r="N829" i="19"/>
  <c r="K829" i="19"/>
  <c r="H829" i="19"/>
  <c r="E829" i="19"/>
  <c r="I829" i="19" s="1"/>
  <c r="D829" i="19"/>
  <c r="B829" i="19"/>
  <c r="AQ828" i="19"/>
  <c r="AL828" i="19"/>
  <c r="AG828" i="19"/>
  <c r="AE828" i="19"/>
  <c r="AB828" i="19"/>
  <c r="Y828" i="19"/>
  <c r="X828" i="19"/>
  <c r="U828" i="19"/>
  <c r="R828" i="19"/>
  <c r="O828" i="19"/>
  <c r="S828" i="19" s="1"/>
  <c r="N828" i="19"/>
  <c r="K828" i="19"/>
  <c r="H828" i="19"/>
  <c r="E828" i="19"/>
  <c r="I828" i="19" s="1"/>
  <c r="D828" i="19"/>
  <c r="B828" i="19"/>
  <c r="AQ827" i="19"/>
  <c r="AL827" i="19"/>
  <c r="AG827" i="19"/>
  <c r="AE827" i="19"/>
  <c r="AB827" i="19"/>
  <c r="Y827" i="19"/>
  <c r="X827" i="19"/>
  <c r="U827" i="19"/>
  <c r="R827" i="19"/>
  <c r="O827" i="19"/>
  <c r="S827" i="19" s="1"/>
  <c r="N827" i="19"/>
  <c r="K827" i="19"/>
  <c r="H827" i="19"/>
  <c r="E827" i="19"/>
  <c r="I827" i="19" s="1"/>
  <c r="D827" i="19"/>
  <c r="B827" i="19"/>
  <c r="AQ826" i="19"/>
  <c r="AL826" i="19"/>
  <c r="AG826" i="19"/>
  <c r="AE826" i="19"/>
  <c r="AB826" i="19"/>
  <c r="Y826" i="19"/>
  <c r="X826" i="19"/>
  <c r="U826" i="19"/>
  <c r="R826" i="19"/>
  <c r="O826" i="19"/>
  <c r="S826" i="19" s="1"/>
  <c r="N826" i="19"/>
  <c r="K826" i="19"/>
  <c r="H826" i="19"/>
  <c r="E826" i="19"/>
  <c r="I826" i="19" s="1"/>
  <c r="D826" i="19"/>
  <c r="B826" i="19"/>
  <c r="AQ825" i="19"/>
  <c r="AL825" i="19"/>
  <c r="AG825" i="19"/>
  <c r="AE825" i="19"/>
  <c r="AB825" i="19"/>
  <c r="Y825" i="19"/>
  <c r="X825" i="19"/>
  <c r="U825" i="19"/>
  <c r="R825" i="19"/>
  <c r="O825" i="19"/>
  <c r="S825" i="19" s="1"/>
  <c r="N825" i="19"/>
  <c r="K825" i="19"/>
  <c r="H825" i="19"/>
  <c r="E825" i="19"/>
  <c r="I825" i="19" s="1"/>
  <c r="D825" i="19"/>
  <c r="B825" i="19"/>
  <c r="AQ824" i="19"/>
  <c r="AL824" i="19"/>
  <c r="AG824" i="19"/>
  <c r="AE824" i="19"/>
  <c r="AB824" i="19"/>
  <c r="Y824" i="19"/>
  <c r="X824" i="19"/>
  <c r="U824" i="19"/>
  <c r="R824" i="19"/>
  <c r="O824" i="19"/>
  <c r="S824" i="19" s="1"/>
  <c r="N824" i="19"/>
  <c r="K824" i="19"/>
  <c r="H824" i="19"/>
  <c r="E824" i="19"/>
  <c r="I824" i="19" s="1"/>
  <c r="D824" i="19"/>
  <c r="B824" i="19"/>
  <c r="AQ823" i="19"/>
  <c r="AL823" i="19"/>
  <c r="AG823" i="19"/>
  <c r="AE823" i="19"/>
  <c r="AB823" i="19"/>
  <c r="Y823" i="19"/>
  <c r="X823" i="19"/>
  <c r="U823" i="19"/>
  <c r="R823" i="19"/>
  <c r="O823" i="19"/>
  <c r="S823" i="19" s="1"/>
  <c r="N823" i="19"/>
  <c r="K823" i="19"/>
  <c r="H823" i="19"/>
  <c r="E823" i="19"/>
  <c r="I823" i="19" s="1"/>
  <c r="D823" i="19"/>
  <c r="B823" i="19"/>
  <c r="AQ822" i="19"/>
  <c r="AL822" i="19"/>
  <c r="AG822" i="19"/>
  <c r="AE822" i="19"/>
  <c r="AB822" i="19"/>
  <c r="Y822" i="19"/>
  <c r="X822" i="19"/>
  <c r="U822" i="19"/>
  <c r="R822" i="19"/>
  <c r="O822" i="19"/>
  <c r="S822" i="19" s="1"/>
  <c r="N822" i="19"/>
  <c r="K822" i="19"/>
  <c r="H822" i="19"/>
  <c r="E822" i="19"/>
  <c r="I822" i="19" s="1"/>
  <c r="D822" i="19"/>
  <c r="B822" i="19"/>
  <c r="AQ821" i="19"/>
  <c r="AL821" i="19"/>
  <c r="AG821" i="19"/>
  <c r="AE821" i="19"/>
  <c r="AB821" i="19"/>
  <c r="Y821" i="19"/>
  <c r="X821" i="19"/>
  <c r="U821" i="19"/>
  <c r="R821" i="19"/>
  <c r="O821" i="19"/>
  <c r="S821" i="19" s="1"/>
  <c r="N821" i="19"/>
  <c r="K821" i="19"/>
  <c r="H821" i="19"/>
  <c r="E821" i="19"/>
  <c r="I821" i="19" s="1"/>
  <c r="D821" i="19"/>
  <c r="B821" i="19"/>
  <c r="AQ820" i="19"/>
  <c r="AL820" i="19"/>
  <c r="AG820" i="19"/>
  <c r="AE820" i="19"/>
  <c r="AB820" i="19"/>
  <c r="Y820" i="19"/>
  <c r="X820" i="19"/>
  <c r="U820" i="19"/>
  <c r="R820" i="19"/>
  <c r="O820" i="19"/>
  <c r="S820" i="19" s="1"/>
  <c r="N820" i="19"/>
  <c r="K820" i="19"/>
  <c r="H820" i="19"/>
  <c r="E820" i="19"/>
  <c r="I820" i="19" s="1"/>
  <c r="D820" i="19"/>
  <c r="B820" i="19"/>
  <c r="AQ819" i="19"/>
  <c r="AL819" i="19"/>
  <c r="AG819" i="19"/>
  <c r="AE819" i="19"/>
  <c r="AB819" i="19"/>
  <c r="Y819" i="19"/>
  <c r="X819" i="19"/>
  <c r="U819" i="19"/>
  <c r="R819" i="19"/>
  <c r="O819" i="19"/>
  <c r="S819" i="19" s="1"/>
  <c r="N819" i="19"/>
  <c r="K819" i="19"/>
  <c r="H819" i="19"/>
  <c r="E819" i="19"/>
  <c r="I819" i="19" s="1"/>
  <c r="D819" i="19"/>
  <c r="B819" i="19"/>
  <c r="AQ818" i="19"/>
  <c r="AL818" i="19"/>
  <c r="AG818" i="19"/>
  <c r="AE818" i="19"/>
  <c r="AB818" i="19"/>
  <c r="Y818" i="19"/>
  <c r="X818" i="19"/>
  <c r="U818" i="19"/>
  <c r="R818" i="19"/>
  <c r="O818" i="19"/>
  <c r="S818" i="19" s="1"/>
  <c r="N818" i="19"/>
  <c r="K818" i="19"/>
  <c r="H818" i="19"/>
  <c r="E818" i="19"/>
  <c r="I818" i="19" s="1"/>
  <c r="D818" i="19"/>
  <c r="B818" i="19"/>
  <c r="AQ817" i="19"/>
  <c r="AL817" i="19"/>
  <c r="AG817" i="19"/>
  <c r="AE817" i="19"/>
  <c r="AB817" i="19"/>
  <c r="Y817" i="19"/>
  <c r="X817" i="19"/>
  <c r="U817" i="19"/>
  <c r="R817" i="19"/>
  <c r="O817" i="19"/>
  <c r="S817" i="19" s="1"/>
  <c r="N817" i="19"/>
  <c r="K817" i="19"/>
  <c r="H817" i="19"/>
  <c r="E817" i="19"/>
  <c r="I817" i="19" s="1"/>
  <c r="D817" i="19"/>
  <c r="B817" i="19"/>
  <c r="AQ816" i="19"/>
  <c r="AL816" i="19"/>
  <c r="AG816" i="19"/>
  <c r="AE816" i="19"/>
  <c r="AB816" i="19"/>
  <c r="Y816" i="19"/>
  <c r="X816" i="19"/>
  <c r="U816" i="19"/>
  <c r="R816" i="19"/>
  <c r="O816" i="19"/>
  <c r="S816" i="19" s="1"/>
  <c r="N816" i="19"/>
  <c r="K816" i="19"/>
  <c r="H816" i="19"/>
  <c r="E816" i="19"/>
  <c r="I816" i="19" s="1"/>
  <c r="D816" i="19"/>
  <c r="B816" i="19"/>
  <c r="AQ815" i="19"/>
  <c r="AL815" i="19"/>
  <c r="AG815" i="19"/>
  <c r="AE815" i="19"/>
  <c r="AB815" i="19"/>
  <c r="Y815" i="19"/>
  <c r="X815" i="19"/>
  <c r="U815" i="19"/>
  <c r="R815" i="19"/>
  <c r="O815" i="19"/>
  <c r="S815" i="19" s="1"/>
  <c r="N815" i="19"/>
  <c r="K815" i="19"/>
  <c r="H815" i="19"/>
  <c r="E815" i="19"/>
  <c r="I815" i="19" s="1"/>
  <c r="D815" i="19"/>
  <c r="B815" i="19"/>
  <c r="AQ814" i="19"/>
  <c r="AL814" i="19"/>
  <c r="AG814" i="19"/>
  <c r="AE814" i="19"/>
  <c r="AB814" i="19"/>
  <c r="Y814" i="19"/>
  <c r="X814" i="19"/>
  <c r="U814" i="19"/>
  <c r="R814" i="19"/>
  <c r="O814" i="19"/>
  <c r="S814" i="19" s="1"/>
  <c r="N814" i="19"/>
  <c r="K814" i="19"/>
  <c r="H814" i="19"/>
  <c r="E814" i="19"/>
  <c r="I814" i="19" s="1"/>
  <c r="D814" i="19"/>
  <c r="B814" i="19"/>
  <c r="AQ813" i="19"/>
  <c r="AL813" i="19"/>
  <c r="AG813" i="19"/>
  <c r="AE813" i="19"/>
  <c r="AB813" i="19"/>
  <c r="Y813" i="19"/>
  <c r="X813" i="19"/>
  <c r="U813" i="19"/>
  <c r="R813" i="19"/>
  <c r="O813" i="19"/>
  <c r="S813" i="19" s="1"/>
  <c r="N813" i="19"/>
  <c r="K813" i="19"/>
  <c r="H813" i="19"/>
  <c r="E813" i="19"/>
  <c r="I813" i="19" s="1"/>
  <c r="D813" i="19"/>
  <c r="B813" i="19"/>
  <c r="AQ812" i="19"/>
  <c r="AL812" i="19"/>
  <c r="AG812" i="19"/>
  <c r="AE812" i="19"/>
  <c r="AB812" i="19"/>
  <c r="Y812" i="19"/>
  <c r="X812" i="19"/>
  <c r="U812" i="19"/>
  <c r="R812" i="19"/>
  <c r="O812" i="19"/>
  <c r="S812" i="19" s="1"/>
  <c r="N812" i="19"/>
  <c r="K812" i="19"/>
  <c r="H812" i="19"/>
  <c r="E812" i="19"/>
  <c r="I812" i="19" s="1"/>
  <c r="D812" i="19"/>
  <c r="B812" i="19"/>
  <c r="AQ811" i="19"/>
  <c r="AL811" i="19"/>
  <c r="AG811" i="19"/>
  <c r="AE811" i="19"/>
  <c r="AB811" i="19"/>
  <c r="Y811" i="19"/>
  <c r="X811" i="19"/>
  <c r="U811" i="19"/>
  <c r="R811" i="19"/>
  <c r="O811" i="19"/>
  <c r="S811" i="19" s="1"/>
  <c r="N811" i="19"/>
  <c r="K811" i="19"/>
  <c r="H811" i="19"/>
  <c r="E811" i="19"/>
  <c r="I811" i="19" s="1"/>
  <c r="D811" i="19"/>
  <c r="B811" i="19"/>
  <c r="AQ810" i="19"/>
  <c r="AL810" i="19"/>
  <c r="AG810" i="19"/>
  <c r="AE810" i="19"/>
  <c r="AB810" i="19"/>
  <c r="Y810" i="19"/>
  <c r="X810" i="19"/>
  <c r="U810" i="19"/>
  <c r="R810" i="19"/>
  <c r="O810" i="19"/>
  <c r="S810" i="19" s="1"/>
  <c r="N810" i="19"/>
  <c r="K810" i="19"/>
  <c r="H810" i="19"/>
  <c r="E810" i="19"/>
  <c r="I810" i="19" s="1"/>
  <c r="D810" i="19"/>
  <c r="B810" i="19"/>
  <c r="AQ809" i="19"/>
  <c r="AL809" i="19"/>
  <c r="AG809" i="19"/>
  <c r="AE809" i="19"/>
  <c r="AB809" i="19"/>
  <c r="Y809" i="19"/>
  <c r="X809" i="19"/>
  <c r="U809" i="19"/>
  <c r="R809" i="19"/>
  <c r="O809" i="19"/>
  <c r="S809" i="19" s="1"/>
  <c r="N809" i="19"/>
  <c r="K809" i="19"/>
  <c r="H809" i="19"/>
  <c r="E809" i="19"/>
  <c r="I809" i="19" s="1"/>
  <c r="D809" i="19"/>
  <c r="B809" i="19"/>
  <c r="AQ808" i="19"/>
  <c r="AL808" i="19"/>
  <c r="AG808" i="19"/>
  <c r="AE808" i="19"/>
  <c r="AB808" i="19"/>
  <c r="Y808" i="19"/>
  <c r="X808" i="19"/>
  <c r="U808" i="19"/>
  <c r="R808" i="19"/>
  <c r="O808" i="19"/>
  <c r="S808" i="19" s="1"/>
  <c r="N808" i="19"/>
  <c r="K808" i="19"/>
  <c r="H808" i="19"/>
  <c r="E808" i="19"/>
  <c r="I808" i="19" s="1"/>
  <c r="D808" i="19"/>
  <c r="B808" i="19"/>
  <c r="AQ807" i="19"/>
  <c r="AL807" i="19"/>
  <c r="AG807" i="19"/>
  <c r="AE807" i="19"/>
  <c r="AB807" i="19"/>
  <c r="Y807" i="19"/>
  <c r="X807" i="19"/>
  <c r="U807" i="19"/>
  <c r="R807" i="19"/>
  <c r="O807" i="19"/>
  <c r="S807" i="19" s="1"/>
  <c r="N807" i="19"/>
  <c r="K807" i="19"/>
  <c r="H807" i="19"/>
  <c r="E807" i="19"/>
  <c r="I807" i="19" s="1"/>
  <c r="D807" i="19"/>
  <c r="B807" i="19"/>
  <c r="AQ806" i="19"/>
  <c r="AL806" i="19"/>
  <c r="AG806" i="19"/>
  <c r="AE806" i="19"/>
  <c r="AB806" i="19"/>
  <c r="Y806" i="19"/>
  <c r="X806" i="19"/>
  <c r="U806" i="19"/>
  <c r="R806" i="19"/>
  <c r="O806" i="19"/>
  <c r="S806" i="19" s="1"/>
  <c r="N806" i="19"/>
  <c r="K806" i="19"/>
  <c r="H806" i="19"/>
  <c r="E806" i="19"/>
  <c r="I806" i="19" s="1"/>
  <c r="D806" i="19"/>
  <c r="B806" i="19"/>
  <c r="AQ805" i="19"/>
  <c r="AL805" i="19"/>
  <c r="AG805" i="19"/>
  <c r="AE805" i="19"/>
  <c r="AB805" i="19"/>
  <c r="Y805" i="19"/>
  <c r="X805" i="19"/>
  <c r="U805" i="19"/>
  <c r="R805" i="19"/>
  <c r="O805" i="19"/>
  <c r="S805" i="19" s="1"/>
  <c r="N805" i="19"/>
  <c r="K805" i="19"/>
  <c r="H805" i="19"/>
  <c r="E805" i="19"/>
  <c r="I805" i="19" s="1"/>
  <c r="D805" i="19"/>
  <c r="B805" i="19"/>
  <c r="AQ804" i="19"/>
  <c r="AL804" i="19"/>
  <c r="AG804" i="19"/>
  <c r="AE804" i="19"/>
  <c r="AB804" i="19"/>
  <c r="Y804" i="19"/>
  <c r="X804" i="19"/>
  <c r="U804" i="19"/>
  <c r="R804" i="19"/>
  <c r="O804" i="19"/>
  <c r="S804" i="19" s="1"/>
  <c r="N804" i="19"/>
  <c r="K804" i="19"/>
  <c r="H804" i="19"/>
  <c r="E804" i="19"/>
  <c r="I804" i="19" s="1"/>
  <c r="D804" i="19"/>
  <c r="B804" i="19"/>
  <c r="AQ803" i="19"/>
  <c r="AL803" i="19"/>
  <c r="AG803" i="19"/>
  <c r="AE803" i="19"/>
  <c r="AB803" i="19"/>
  <c r="Y803" i="19"/>
  <c r="X803" i="19"/>
  <c r="U803" i="19"/>
  <c r="R803" i="19"/>
  <c r="O803" i="19"/>
  <c r="S803" i="19" s="1"/>
  <c r="N803" i="19"/>
  <c r="K803" i="19"/>
  <c r="H803" i="19"/>
  <c r="E803" i="19"/>
  <c r="I803" i="19" s="1"/>
  <c r="D803" i="19"/>
  <c r="B803" i="19"/>
  <c r="AQ802" i="19"/>
  <c r="AL802" i="19"/>
  <c r="AG802" i="19"/>
  <c r="AE802" i="19"/>
  <c r="AB802" i="19"/>
  <c r="Y802" i="19"/>
  <c r="X802" i="19"/>
  <c r="U802" i="19"/>
  <c r="R802" i="19"/>
  <c r="O802" i="19"/>
  <c r="S802" i="19" s="1"/>
  <c r="N802" i="19"/>
  <c r="K802" i="19"/>
  <c r="H802" i="19"/>
  <c r="E802" i="19"/>
  <c r="I802" i="19" s="1"/>
  <c r="D802" i="19"/>
  <c r="B802" i="19"/>
  <c r="AQ801" i="19"/>
  <c r="AL801" i="19"/>
  <c r="AG801" i="19"/>
  <c r="AE801" i="19"/>
  <c r="AB801" i="19"/>
  <c r="Y801" i="19"/>
  <c r="X801" i="19"/>
  <c r="U801" i="19"/>
  <c r="R801" i="19"/>
  <c r="O801" i="19"/>
  <c r="S801" i="19" s="1"/>
  <c r="N801" i="19"/>
  <c r="K801" i="19"/>
  <c r="H801" i="19"/>
  <c r="E801" i="19"/>
  <c r="I801" i="19" s="1"/>
  <c r="D801" i="19"/>
  <c r="B801" i="19"/>
  <c r="AQ800" i="19"/>
  <c r="AL800" i="19"/>
  <c r="AG800" i="19"/>
  <c r="AE800" i="19"/>
  <c r="AB800" i="19"/>
  <c r="Y800" i="19"/>
  <c r="X800" i="19"/>
  <c r="U800" i="19"/>
  <c r="R800" i="19"/>
  <c r="O800" i="19"/>
  <c r="S800" i="19" s="1"/>
  <c r="N800" i="19"/>
  <c r="K800" i="19"/>
  <c r="H800" i="19"/>
  <c r="E800" i="19"/>
  <c r="I800" i="19" s="1"/>
  <c r="D800" i="19"/>
  <c r="B800" i="19"/>
  <c r="AQ799" i="19"/>
  <c r="AL799" i="19"/>
  <c r="AG799" i="19"/>
  <c r="AE799" i="19"/>
  <c r="AB799" i="19"/>
  <c r="Y799" i="19"/>
  <c r="X799" i="19"/>
  <c r="U799" i="19"/>
  <c r="R799" i="19"/>
  <c r="O799" i="19"/>
  <c r="S799" i="19" s="1"/>
  <c r="N799" i="19"/>
  <c r="K799" i="19"/>
  <c r="H799" i="19"/>
  <c r="E799" i="19"/>
  <c r="I799" i="19" s="1"/>
  <c r="D799" i="19"/>
  <c r="B799" i="19"/>
  <c r="AQ798" i="19"/>
  <c r="AL798" i="19"/>
  <c r="AG798" i="19"/>
  <c r="AE798" i="19"/>
  <c r="AB798" i="19"/>
  <c r="Y798" i="19"/>
  <c r="X798" i="19"/>
  <c r="U798" i="19"/>
  <c r="R798" i="19"/>
  <c r="O798" i="19"/>
  <c r="S798" i="19" s="1"/>
  <c r="N798" i="19"/>
  <c r="K798" i="19"/>
  <c r="H798" i="19"/>
  <c r="E798" i="19"/>
  <c r="I798" i="19" s="1"/>
  <c r="D798" i="19"/>
  <c r="B798" i="19"/>
  <c r="AQ797" i="19"/>
  <c r="AL797" i="19"/>
  <c r="AG797" i="19"/>
  <c r="AE797" i="19"/>
  <c r="AB797" i="19"/>
  <c r="Y797" i="19"/>
  <c r="X797" i="19"/>
  <c r="U797" i="19"/>
  <c r="R797" i="19"/>
  <c r="O797" i="19"/>
  <c r="S797" i="19" s="1"/>
  <c r="N797" i="19"/>
  <c r="K797" i="19"/>
  <c r="H797" i="19"/>
  <c r="E797" i="19"/>
  <c r="I797" i="19" s="1"/>
  <c r="D797" i="19"/>
  <c r="B797" i="19"/>
  <c r="AQ796" i="19"/>
  <c r="AL796" i="19"/>
  <c r="AG796" i="19"/>
  <c r="AE796" i="19"/>
  <c r="AB796" i="19"/>
  <c r="Y796" i="19"/>
  <c r="X796" i="19"/>
  <c r="U796" i="19"/>
  <c r="R796" i="19"/>
  <c r="O796" i="19"/>
  <c r="S796" i="19" s="1"/>
  <c r="N796" i="19"/>
  <c r="K796" i="19"/>
  <c r="H796" i="19"/>
  <c r="E796" i="19"/>
  <c r="I796" i="19" s="1"/>
  <c r="D796" i="19"/>
  <c r="B796" i="19"/>
  <c r="AQ795" i="19"/>
  <c r="AL795" i="19"/>
  <c r="AG795" i="19"/>
  <c r="AE795" i="19"/>
  <c r="AB795" i="19"/>
  <c r="Y795" i="19"/>
  <c r="X795" i="19"/>
  <c r="U795" i="19"/>
  <c r="R795" i="19"/>
  <c r="O795" i="19"/>
  <c r="S795" i="19" s="1"/>
  <c r="N795" i="19"/>
  <c r="K795" i="19"/>
  <c r="H795" i="19"/>
  <c r="E795" i="19"/>
  <c r="I795" i="19" s="1"/>
  <c r="D795" i="19"/>
  <c r="B795" i="19"/>
  <c r="AQ794" i="19"/>
  <c r="AL794" i="19"/>
  <c r="AG794" i="19"/>
  <c r="AE794" i="19"/>
  <c r="AB794" i="19"/>
  <c r="Y794" i="19"/>
  <c r="X794" i="19"/>
  <c r="U794" i="19"/>
  <c r="R794" i="19"/>
  <c r="O794" i="19"/>
  <c r="S794" i="19" s="1"/>
  <c r="N794" i="19"/>
  <c r="K794" i="19"/>
  <c r="H794" i="19"/>
  <c r="E794" i="19"/>
  <c r="I794" i="19" s="1"/>
  <c r="D794" i="19"/>
  <c r="B794" i="19"/>
  <c r="AQ793" i="19"/>
  <c r="AL793" i="19"/>
  <c r="AG793" i="19"/>
  <c r="AE793" i="19"/>
  <c r="AB793" i="19"/>
  <c r="Y793" i="19"/>
  <c r="X793" i="19"/>
  <c r="U793" i="19"/>
  <c r="R793" i="19"/>
  <c r="O793" i="19"/>
  <c r="S793" i="19" s="1"/>
  <c r="N793" i="19"/>
  <c r="K793" i="19"/>
  <c r="H793" i="19"/>
  <c r="E793" i="19"/>
  <c r="I793" i="19" s="1"/>
  <c r="D793" i="19"/>
  <c r="B793" i="19"/>
  <c r="AQ792" i="19"/>
  <c r="AL792" i="19"/>
  <c r="AG792" i="19"/>
  <c r="AE792" i="19"/>
  <c r="AB792" i="19"/>
  <c r="Y792" i="19"/>
  <c r="X792" i="19"/>
  <c r="U792" i="19"/>
  <c r="R792" i="19"/>
  <c r="O792" i="19"/>
  <c r="S792" i="19" s="1"/>
  <c r="N792" i="19"/>
  <c r="K792" i="19"/>
  <c r="H792" i="19"/>
  <c r="E792" i="19"/>
  <c r="I792" i="19" s="1"/>
  <c r="D792" i="19"/>
  <c r="B792" i="19"/>
  <c r="AQ791" i="19"/>
  <c r="AL791" i="19"/>
  <c r="AG791" i="19"/>
  <c r="AE791" i="19"/>
  <c r="AB791" i="19"/>
  <c r="Y791" i="19"/>
  <c r="X791" i="19"/>
  <c r="U791" i="19"/>
  <c r="R791" i="19"/>
  <c r="O791" i="19"/>
  <c r="S791" i="19" s="1"/>
  <c r="N791" i="19"/>
  <c r="K791" i="19"/>
  <c r="H791" i="19"/>
  <c r="E791" i="19"/>
  <c r="I791" i="19" s="1"/>
  <c r="D791" i="19"/>
  <c r="B791" i="19"/>
  <c r="AQ790" i="19"/>
  <c r="AL790" i="19"/>
  <c r="AG790" i="19"/>
  <c r="AE790" i="19"/>
  <c r="AB790" i="19"/>
  <c r="Y790" i="19"/>
  <c r="X790" i="19"/>
  <c r="U790" i="19"/>
  <c r="R790" i="19"/>
  <c r="O790" i="19"/>
  <c r="S790" i="19" s="1"/>
  <c r="N790" i="19"/>
  <c r="K790" i="19"/>
  <c r="H790" i="19"/>
  <c r="E790" i="19"/>
  <c r="I790" i="19" s="1"/>
  <c r="D790" i="19"/>
  <c r="B790" i="19"/>
  <c r="AQ789" i="19"/>
  <c r="AL789" i="19"/>
  <c r="AG789" i="19"/>
  <c r="AE789" i="19"/>
  <c r="AB789" i="19"/>
  <c r="Y789" i="19"/>
  <c r="X789" i="19"/>
  <c r="U789" i="19"/>
  <c r="R789" i="19"/>
  <c r="O789" i="19"/>
  <c r="S789" i="19" s="1"/>
  <c r="N789" i="19"/>
  <c r="K789" i="19"/>
  <c r="H789" i="19"/>
  <c r="E789" i="19"/>
  <c r="I789" i="19" s="1"/>
  <c r="D789" i="19"/>
  <c r="B789" i="19"/>
  <c r="AQ788" i="19"/>
  <c r="AL788" i="19"/>
  <c r="AG788" i="19"/>
  <c r="AE788" i="19"/>
  <c r="AB788" i="19"/>
  <c r="Y788" i="19"/>
  <c r="X788" i="19"/>
  <c r="U788" i="19"/>
  <c r="R788" i="19"/>
  <c r="O788" i="19"/>
  <c r="S788" i="19" s="1"/>
  <c r="N788" i="19"/>
  <c r="K788" i="19"/>
  <c r="H788" i="19"/>
  <c r="E788" i="19"/>
  <c r="I788" i="19" s="1"/>
  <c r="D788" i="19"/>
  <c r="B788" i="19"/>
  <c r="AQ787" i="19"/>
  <c r="AL787" i="19"/>
  <c r="AG787" i="19"/>
  <c r="AE787" i="19"/>
  <c r="AB787" i="19"/>
  <c r="Y787" i="19"/>
  <c r="X787" i="19"/>
  <c r="U787" i="19"/>
  <c r="R787" i="19"/>
  <c r="O787" i="19"/>
  <c r="S787" i="19" s="1"/>
  <c r="N787" i="19"/>
  <c r="K787" i="19"/>
  <c r="H787" i="19"/>
  <c r="E787" i="19"/>
  <c r="I787" i="19" s="1"/>
  <c r="D787" i="19"/>
  <c r="B787" i="19"/>
  <c r="AQ786" i="19"/>
  <c r="AL786" i="19"/>
  <c r="AG786" i="19"/>
  <c r="AE786" i="19"/>
  <c r="AB786" i="19"/>
  <c r="Y786" i="19"/>
  <c r="X786" i="19"/>
  <c r="U786" i="19"/>
  <c r="R786" i="19"/>
  <c r="O786" i="19"/>
  <c r="S786" i="19" s="1"/>
  <c r="N786" i="19"/>
  <c r="K786" i="19"/>
  <c r="H786" i="19"/>
  <c r="E786" i="19"/>
  <c r="I786" i="19" s="1"/>
  <c r="D786" i="19"/>
  <c r="B786" i="19"/>
  <c r="AQ785" i="19"/>
  <c r="AL785" i="19"/>
  <c r="AG785" i="19"/>
  <c r="AE785" i="19"/>
  <c r="AB785" i="19"/>
  <c r="Y785" i="19"/>
  <c r="X785" i="19"/>
  <c r="U785" i="19"/>
  <c r="R785" i="19"/>
  <c r="O785" i="19"/>
  <c r="S785" i="19" s="1"/>
  <c r="N785" i="19"/>
  <c r="K785" i="19"/>
  <c r="H785" i="19"/>
  <c r="E785" i="19"/>
  <c r="I785" i="19" s="1"/>
  <c r="D785" i="19"/>
  <c r="B785" i="19"/>
  <c r="AQ784" i="19"/>
  <c r="AL784" i="19"/>
  <c r="AG784" i="19"/>
  <c r="AE784" i="19"/>
  <c r="AB784" i="19"/>
  <c r="Y784" i="19"/>
  <c r="X784" i="19"/>
  <c r="U784" i="19"/>
  <c r="R784" i="19"/>
  <c r="O784" i="19"/>
  <c r="S784" i="19" s="1"/>
  <c r="N784" i="19"/>
  <c r="K784" i="19"/>
  <c r="H784" i="19"/>
  <c r="E784" i="19"/>
  <c r="I784" i="19" s="1"/>
  <c r="D784" i="19"/>
  <c r="B784" i="19"/>
  <c r="AQ783" i="19"/>
  <c r="AL783" i="19"/>
  <c r="AG783" i="19"/>
  <c r="AE783" i="19"/>
  <c r="AB783" i="19"/>
  <c r="Y783" i="19"/>
  <c r="X783" i="19"/>
  <c r="U783" i="19"/>
  <c r="R783" i="19"/>
  <c r="O783" i="19"/>
  <c r="S783" i="19" s="1"/>
  <c r="N783" i="19"/>
  <c r="K783" i="19"/>
  <c r="H783" i="19"/>
  <c r="E783" i="19"/>
  <c r="I783" i="19" s="1"/>
  <c r="D783" i="19"/>
  <c r="B783" i="19"/>
  <c r="AQ782" i="19"/>
  <c r="AL782" i="19"/>
  <c r="AG782" i="19"/>
  <c r="AE782" i="19"/>
  <c r="AB782" i="19"/>
  <c r="Y782" i="19"/>
  <c r="X782" i="19"/>
  <c r="U782" i="19"/>
  <c r="R782" i="19"/>
  <c r="O782" i="19"/>
  <c r="S782" i="19" s="1"/>
  <c r="N782" i="19"/>
  <c r="K782" i="19"/>
  <c r="H782" i="19"/>
  <c r="E782" i="19"/>
  <c r="I782" i="19" s="1"/>
  <c r="D782" i="19"/>
  <c r="B782" i="19"/>
  <c r="AQ781" i="19"/>
  <c r="AL781" i="19"/>
  <c r="AG781" i="19"/>
  <c r="AE781" i="19"/>
  <c r="AB781" i="19"/>
  <c r="Y781" i="19"/>
  <c r="X781" i="19"/>
  <c r="U781" i="19"/>
  <c r="R781" i="19"/>
  <c r="O781" i="19"/>
  <c r="S781" i="19" s="1"/>
  <c r="N781" i="19"/>
  <c r="K781" i="19"/>
  <c r="H781" i="19"/>
  <c r="E781" i="19"/>
  <c r="I781" i="19" s="1"/>
  <c r="D781" i="19"/>
  <c r="B781" i="19"/>
  <c r="AQ780" i="19"/>
  <c r="AL780" i="19"/>
  <c r="AG780" i="19"/>
  <c r="AE780" i="19"/>
  <c r="AB780" i="19"/>
  <c r="Y780" i="19"/>
  <c r="X780" i="19"/>
  <c r="U780" i="19"/>
  <c r="R780" i="19"/>
  <c r="O780" i="19"/>
  <c r="S780" i="19" s="1"/>
  <c r="N780" i="19"/>
  <c r="K780" i="19"/>
  <c r="H780" i="19"/>
  <c r="E780" i="19"/>
  <c r="I780" i="19" s="1"/>
  <c r="D780" i="19"/>
  <c r="B780" i="19"/>
  <c r="AQ779" i="19"/>
  <c r="AL779" i="19"/>
  <c r="AG779" i="19"/>
  <c r="AE779" i="19"/>
  <c r="AB779" i="19"/>
  <c r="Y779" i="19"/>
  <c r="X779" i="19"/>
  <c r="U779" i="19"/>
  <c r="R779" i="19"/>
  <c r="O779" i="19"/>
  <c r="S779" i="19" s="1"/>
  <c r="N779" i="19"/>
  <c r="K779" i="19"/>
  <c r="H779" i="19"/>
  <c r="E779" i="19"/>
  <c r="I779" i="19" s="1"/>
  <c r="D779" i="19"/>
  <c r="B779" i="19"/>
  <c r="AQ778" i="19"/>
  <c r="AL778" i="19"/>
  <c r="AG778" i="19"/>
  <c r="AE778" i="19"/>
  <c r="AB778" i="19"/>
  <c r="Y778" i="19"/>
  <c r="X778" i="19"/>
  <c r="U778" i="19"/>
  <c r="R778" i="19"/>
  <c r="O778" i="19"/>
  <c r="S778" i="19" s="1"/>
  <c r="N778" i="19"/>
  <c r="K778" i="19"/>
  <c r="H778" i="19"/>
  <c r="E778" i="19"/>
  <c r="I778" i="19" s="1"/>
  <c r="D778" i="19"/>
  <c r="B778" i="19"/>
  <c r="AQ777" i="19"/>
  <c r="AL777" i="19"/>
  <c r="AG777" i="19"/>
  <c r="AE777" i="19"/>
  <c r="AB777" i="19"/>
  <c r="Y777" i="19"/>
  <c r="X777" i="19"/>
  <c r="U777" i="19"/>
  <c r="R777" i="19"/>
  <c r="O777" i="19"/>
  <c r="S777" i="19" s="1"/>
  <c r="N777" i="19"/>
  <c r="K777" i="19"/>
  <c r="H777" i="19"/>
  <c r="E777" i="19"/>
  <c r="I777" i="19" s="1"/>
  <c r="D777" i="19"/>
  <c r="B777" i="19"/>
  <c r="AQ776" i="19"/>
  <c r="AL776" i="19"/>
  <c r="AG776" i="19"/>
  <c r="AE776" i="19"/>
  <c r="AB776" i="19"/>
  <c r="Y776" i="19"/>
  <c r="X776" i="19"/>
  <c r="U776" i="19"/>
  <c r="R776" i="19"/>
  <c r="O776" i="19"/>
  <c r="S776" i="19" s="1"/>
  <c r="N776" i="19"/>
  <c r="K776" i="19"/>
  <c r="H776" i="19"/>
  <c r="E776" i="19"/>
  <c r="I776" i="19" s="1"/>
  <c r="D776" i="19"/>
  <c r="B776" i="19"/>
  <c r="AQ775" i="19"/>
  <c r="AL775" i="19"/>
  <c r="AG775" i="19"/>
  <c r="AE775" i="19"/>
  <c r="AB775" i="19"/>
  <c r="Y775" i="19"/>
  <c r="X775" i="19"/>
  <c r="U775" i="19"/>
  <c r="R775" i="19"/>
  <c r="O775" i="19"/>
  <c r="S775" i="19" s="1"/>
  <c r="N775" i="19"/>
  <c r="K775" i="19"/>
  <c r="H775" i="19"/>
  <c r="E775" i="19"/>
  <c r="I775" i="19" s="1"/>
  <c r="D775" i="19"/>
  <c r="B775" i="19"/>
  <c r="AQ774" i="19"/>
  <c r="AL774" i="19"/>
  <c r="AG774" i="19"/>
  <c r="AE774" i="19"/>
  <c r="AB774" i="19"/>
  <c r="Y774" i="19"/>
  <c r="X774" i="19"/>
  <c r="U774" i="19"/>
  <c r="R774" i="19"/>
  <c r="O774" i="19"/>
  <c r="S774" i="19" s="1"/>
  <c r="N774" i="19"/>
  <c r="K774" i="19"/>
  <c r="H774" i="19"/>
  <c r="E774" i="19"/>
  <c r="I774" i="19" s="1"/>
  <c r="D774" i="19"/>
  <c r="B774" i="19"/>
  <c r="AQ773" i="19"/>
  <c r="AL773" i="19"/>
  <c r="AG773" i="19"/>
  <c r="AE773" i="19"/>
  <c r="AB773" i="19"/>
  <c r="Y773" i="19"/>
  <c r="X773" i="19"/>
  <c r="U773" i="19"/>
  <c r="R773" i="19"/>
  <c r="O773" i="19"/>
  <c r="S773" i="19" s="1"/>
  <c r="N773" i="19"/>
  <c r="K773" i="19"/>
  <c r="H773" i="19"/>
  <c r="E773" i="19"/>
  <c r="I773" i="19" s="1"/>
  <c r="D773" i="19"/>
  <c r="B773" i="19"/>
  <c r="AQ772" i="19"/>
  <c r="AL772" i="19"/>
  <c r="AG772" i="19"/>
  <c r="AE772" i="19"/>
  <c r="AB772" i="19"/>
  <c r="Y772" i="19"/>
  <c r="X772" i="19"/>
  <c r="U772" i="19"/>
  <c r="R772" i="19"/>
  <c r="O772" i="19"/>
  <c r="S772" i="19" s="1"/>
  <c r="N772" i="19"/>
  <c r="K772" i="19"/>
  <c r="H772" i="19"/>
  <c r="E772" i="19"/>
  <c r="I772" i="19" s="1"/>
  <c r="D772" i="19"/>
  <c r="B772" i="19"/>
  <c r="AQ771" i="19"/>
  <c r="AL771" i="19"/>
  <c r="AG771" i="19"/>
  <c r="AE771" i="19"/>
  <c r="AB771" i="19"/>
  <c r="Y771" i="19"/>
  <c r="X771" i="19"/>
  <c r="U771" i="19"/>
  <c r="R771" i="19"/>
  <c r="O771" i="19"/>
  <c r="S771" i="19" s="1"/>
  <c r="N771" i="19"/>
  <c r="K771" i="19"/>
  <c r="H771" i="19"/>
  <c r="E771" i="19"/>
  <c r="I771" i="19" s="1"/>
  <c r="D771" i="19"/>
  <c r="B771" i="19"/>
  <c r="AQ770" i="19"/>
  <c r="AL770" i="19"/>
  <c r="AG770" i="19"/>
  <c r="AE770" i="19"/>
  <c r="AB770" i="19"/>
  <c r="Y770" i="19"/>
  <c r="X770" i="19"/>
  <c r="U770" i="19"/>
  <c r="R770" i="19"/>
  <c r="O770" i="19"/>
  <c r="S770" i="19" s="1"/>
  <c r="N770" i="19"/>
  <c r="K770" i="19"/>
  <c r="H770" i="19"/>
  <c r="E770" i="19"/>
  <c r="I770" i="19" s="1"/>
  <c r="D770" i="19"/>
  <c r="B770" i="19"/>
  <c r="AQ769" i="19"/>
  <c r="AL769" i="19"/>
  <c r="AG769" i="19"/>
  <c r="AE769" i="19"/>
  <c r="AB769" i="19"/>
  <c r="Y769" i="19"/>
  <c r="X769" i="19"/>
  <c r="U769" i="19"/>
  <c r="R769" i="19"/>
  <c r="O769" i="19"/>
  <c r="S769" i="19" s="1"/>
  <c r="N769" i="19"/>
  <c r="K769" i="19"/>
  <c r="H769" i="19"/>
  <c r="E769" i="19"/>
  <c r="I769" i="19" s="1"/>
  <c r="D769" i="19"/>
  <c r="B769" i="19"/>
  <c r="AQ768" i="19"/>
  <c r="AL768" i="19"/>
  <c r="AG768" i="19"/>
  <c r="AE768" i="19"/>
  <c r="AB768" i="19"/>
  <c r="Y768" i="19"/>
  <c r="X768" i="19"/>
  <c r="U768" i="19"/>
  <c r="R768" i="19"/>
  <c r="O768" i="19"/>
  <c r="S768" i="19" s="1"/>
  <c r="N768" i="19"/>
  <c r="K768" i="19"/>
  <c r="H768" i="19"/>
  <c r="E768" i="19"/>
  <c r="I768" i="19" s="1"/>
  <c r="D768" i="19"/>
  <c r="B768" i="19"/>
  <c r="AQ767" i="19"/>
  <c r="AL767" i="19"/>
  <c r="AG767" i="19"/>
  <c r="AE767" i="19"/>
  <c r="AB767" i="19"/>
  <c r="Y767" i="19"/>
  <c r="X767" i="19"/>
  <c r="U767" i="19"/>
  <c r="R767" i="19"/>
  <c r="O767" i="19"/>
  <c r="S767" i="19" s="1"/>
  <c r="N767" i="19"/>
  <c r="K767" i="19"/>
  <c r="H767" i="19"/>
  <c r="E767" i="19"/>
  <c r="I767" i="19" s="1"/>
  <c r="D767" i="19"/>
  <c r="B767" i="19"/>
  <c r="AQ766" i="19"/>
  <c r="AL766" i="19"/>
  <c r="AG766" i="19"/>
  <c r="AE766" i="19"/>
  <c r="AB766" i="19"/>
  <c r="Y766" i="19"/>
  <c r="X766" i="19"/>
  <c r="U766" i="19"/>
  <c r="R766" i="19"/>
  <c r="O766" i="19"/>
  <c r="S766" i="19" s="1"/>
  <c r="N766" i="19"/>
  <c r="K766" i="19"/>
  <c r="H766" i="19"/>
  <c r="E766" i="19"/>
  <c r="I766" i="19" s="1"/>
  <c r="D766" i="19"/>
  <c r="B766" i="19"/>
  <c r="AQ765" i="19"/>
  <c r="AL765" i="19"/>
  <c r="AG765" i="19"/>
  <c r="AE765" i="19"/>
  <c r="AB765" i="19"/>
  <c r="Y765" i="19"/>
  <c r="X765" i="19"/>
  <c r="U765" i="19"/>
  <c r="R765" i="19"/>
  <c r="O765" i="19"/>
  <c r="S765" i="19" s="1"/>
  <c r="N765" i="19"/>
  <c r="K765" i="19"/>
  <c r="H765" i="19"/>
  <c r="E765" i="19"/>
  <c r="I765" i="19" s="1"/>
  <c r="D765" i="19"/>
  <c r="B765" i="19"/>
  <c r="AQ764" i="19"/>
  <c r="AL764" i="19"/>
  <c r="AG764" i="19"/>
  <c r="AE764" i="19"/>
  <c r="AB764" i="19"/>
  <c r="Y764" i="19"/>
  <c r="X764" i="19"/>
  <c r="U764" i="19"/>
  <c r="R764" i="19"/>
  <c r="O764" i="19"/>
  <c r="S764" i="19" s="1"/>
  <c r="N764" i="19"/>
  <c r="K764" i="19"/>
  <c r="H764" i="19"/>
  <c r="E764" i="19"/>
  <c r="I764" i="19" s="1"/>
  <c r="D764" i="19"/>
  <c r="B764" i="19"/>
  <c r="AQ763" i="19"/>
  <c r="AL763" i="19"/>
  <c r="AG763" i="19"/>
  <c r="AE763" i="19"/>
  <c r="AB763" i="19"/>
  <c r="Y763" i="19"/>
  <c r="X763" i="19"/>
  <c r="U763" i="19"/>
  <c r="R763" i="19"/>
  <c r="O763" i="19"/>
  <c r="S763" i="19" s="1"/>
  <c r="N763" i="19"/>
  <c r="K763" i="19"/>
  <c r="H763" i="19"/>
  <c r="E763" i="19"/>
  <c r="I763" i="19" s="1"/>
  <c r="D763" i="19"/>
  <c r="B763" i="19"/>
  <c r="AQ762" i="19"/>
  <c r="AL762" i="19"/>
  <c r="AG762" i="19"/>
  <c r="AE762" i="19"/>
  <c r="AB762" i="19"/>
  <c r="Y762" i="19"/>
  <c r="X762" i="19"/>
  <c r="U762" i="19"/>
  <c r="R762" i="19"/>
  <c r="O762" i="19"/>
  <c r="S762" i="19" s="1"/>
  <c r="N762" i="19"/>
  <c r="K762" i="19"/>
  <c r="H762" i="19"/>
  <c r="E762" i="19"/>
  <c r="I762" i="19" s="1"/>
  <c r="D762" i="19"/>
  <c r="B762" i="19"/>
  <c r="AQ761" i="19"/>
  <c r="AL761" i="19"/>
  <c r="AG761" i="19"/>
  <c r="AE761" i="19"/>
  <c r="AB761" i="19"/>
  <c r="Y761" i="19"/>
  <c r="X761" i="19"/>
  <c r="U761" i="19"/>
  <c r="R761" i="19"/>
  <c r="O761" i="19"/>
  <c r="S761" i="19" s="1"/>
  <c r="N761" i="19"/>
  <c r="K761" i="19"/>
  <c r="H761" i="19"/>
  <c r="E761" i="19"/>
  <c r="I761" i="19" s="1"/>
  <c r="D761" i="19"/>
  <c r="B761" i="19"/>
  <c r="AQ760" i="19"/>
  <c r="AL760" i="19"/>
  <c r="AG760" i="19"/>
  <c r="AE760" i="19"/>
  <c r="AB760" i="19"/>
  <c r="Y760" i="19"/>
  <c r="X760" i="19"/>
  <c r="U760" i="19"/>
  <c r="R760" i="19"/>
  <c r="O760" i="19"/>
  <c r="S760" i="19" s="1"/>
  <c r="N760" i="19"/>
  <c r="K760" i="19"/>
  <c r="H760" i="19"/>
  <c r="E760" i="19"/>
  <c r="I760" i="19" s="1"/>
  <c r="D760" i="19"/>
  <c r="B760" i="19"/>
  <c r="AQ759" i="19"/>
  <c r="AL759" i="19"/>
  <c r="AG759" i="19"/>
  <c r="AE759" i="19"/>
  <c r="AB759" i="19"/>
  <c r="Y759" i="19"/>
  <c r="X759" i="19"/>
  <c r="U759" i="19"/>
  <c r="R759" i="19"/>
  <c r="O759" i="19"/>
  <c r="S759" i="19" s="1"/>
  <c r="N759" i="19"/>
  <c r="K759" i="19"/>
  <c r="H759" i="19"/>
  <c r="E759" i="19"/>
  <c r="I759" i="19" s="1"/>
  <c r="D759" i="19"/>
  <c r="B759" i="19"/>
  <c r="AQ758" i="19"/>
  <c r="AL758" i="19"/>
  <c r="AG758" i="19"/>
  <c r="AE758" i="19"/>
  <c r="AB758" i="19"/>
  <c r="Y758" i="19"/>
  <c r="X758" i="19"/>
  <c r="U758" i="19"/>
  <c r="R758" i="19"/>
  <c r="O758" i="19"/>
  <c r="S758" i="19" s="1"/>
  <c r="N758" i="19"/>
  <c r="K758" i="19"/>
  <c r="H758" i="19"/>
  <c r="E758" i="19"/>
  <c r="I758" i="19" s="1"/>
  <c r="D758" i="19"/>
  <c r="B758" i="19"/>
  <c r="AQ757" i="19"/>
  <c r="AL757" i="19"/>
  <c r="AG757" i="19"/>
  <c r="AE757" i="19"/>
  <c r="AB757" i="19"/>
  <c r="Y757" i="19"/>
  <c r="X757" i="19"/>
  <c r="U757" i="19"/>
  <c r="R757" i="19"/>
  <c r="O757" i="19"/>
  <c r="S757" i="19" s="1"/>
  <c r="N757" i="19"/>
  <c r="K757" i="19"/>
  <c r="H757" i="19"/>
  <c r="E757" i="19"/>
  <c r="I757" i="19" s="1"/>
  <c r="D757" i="19"/>
  <c r="B757" i="19"/>
  <c r="AQ756" i="19"/>
  <c r="AL756" i="19"/>
  <c r="AG756" i="19"/>
  <c r="AE756" i="19"/>
  <c r="AB756" i="19"/>
  <c r="Y756" i="19"/>
  <c r="X756" i="19"/>
  <c r="U756" i="19"/>
  <c r="R756" i="19"/>
  <c r="O756" i="19"/>
  <c r="S756" i="19" s="1"/>
  <c r="N756" i="19"/>
  <c r="K756" i="19"/>
  <c r="H756" i="19"/>
  <c r="E756" i="19"/>
  <c r="I756" i="19" s="1"/>
  <c r="D756" i="19"/>
  <c r="B756" i="19"/>
  <c r="AQ755" i="19"/>
  <c r="AL755" i="19"/>
  <c r="AG755" i="19"/>
  <c r="AE755" i="19"/>
  <c r="AB755" i="19"/>
  <c r="Y755" i="19"/>
  <c r="X755" i="19"/>
  <c r="U755" i="19"/>
  <c r="R755" i="19"/>
  <c r="O755" i="19"/>
  <c r="S755" i="19" s="1"/>
  <c r="N755" i="19"/>
  <c r="K755" i="19"/>
  <c r="H755" i="19"/>
  <c r="E755" i="19"/>
  <c r="I755" i="19" s="1"/>
  <c r="D755" i="19"/>
  <c r="B755" i="19"/>
  <c r="AQ754" i="19"/>
  <c r="AL754" i="19"/>
  <c r="AG754" i="19"/>
  <c r="AE754" i="19"/>
  <c r="AB754" i="19"/>
  <c r="Y754" i="19"/>
  <c r="X754" i="19"/>
  <c r="U754" i="19"/>
  <c r="R754" i="19"/>
  <c r="O754" i="19"/>
  <c r="S754" i="19" s="1"/>
  <c r="N754" i="19"/>
  <c r="K754" i="19"/>
  <c r="H754" i="19"/>
  <c r="E754" i="19"/>
  <c r="I754" i="19" s="1"/>
  <c r="D754" i="19"/>
  <c r="B754" i="19"/>
  <c r="AQ753" i="19"/>
  <c r="AL753" i="19"/>
  <c r="AG753" i="19"/>
  <c r="AE753" i="19"/>
  <c r="AB753" i="19"/>
  <c r="Y753" i="19"/>
  <c r="X753" i="19"/>
  <c r="U753" i="19"/>
  <c r="R753" i="19"/>
  <c r="O753" i="19"/>
  <c r="S753" i="19" s="1"/>
  <c r="N753" i="19"/>
  <c r="K753" i="19"/>
  <c r="H753" i="19"/>
  <c r="E753" i="19"/>
  <c r="I753" i="19" s="1"/>
  <c r="D753" i="19"/>
  <c r="B753" i="19"/>
  <c r="AQ752" i="19"/>
  <c r="AL752" i="19"/>
  <c r="AG752" i="19"/>
  <c r="AE752" i="19"/>
  <c r="AB752" i="19"/>
  <c r="Y752" i="19"/>
  <c r="X752" i="19"/>
  <c r="U752" i="19"/>
  <c r="R752" i="19"/>
  <c r="O752" i="19"/>
  <c r="S752" i="19" s="1"/>
  <c r="N752" i="19"/>
  <c r="K752" i="19"/>
  <c r="H752" i="19"/>
  <c r="E752" i="19"/>
  <c r="I752" i="19" s="1"/>
  <c r="D752" i="19"/>
  <c r="B752" i="19"/>
  <c r="AQ751" i="19"/>
  <c r="AL751" i="19"/>
  <c r="AG751" i="19"/>
  <c r="AE751" i="19"/>
  <c r="AB751" i="19"/>
  <c r="Y751" i="19"/>
  <c r="X751" i="19"/>
  <c r="U751" i="19"/>
  <c r="R751" i="19"/>
  <c r="O751" i="19"/>
  <c r="S751" i="19" s="1"/>
  <c r="N751" i="19"/>
  <c r="K751" i="19"/>
  <c r="H751" i="19"/>
  <c r="E751" i="19"/>
  <c r="I751" i="19" s="1"/>
  <c r="D751" i="19"/>
  <c r="B751" i="19"/>
  <c r="AQ750" i="19"/>
  <c r="AL750" i="19"/>
  <c r="AG750" i="19"/>
  <c r="AE750" i="19"/>
  <c r="AB750" i="19"/>
  <c r="Y750" i="19"/>
  <c r="X750" i="19"/>
  <c r="U750" i="19"/>
  <c r="R750" i="19"/>
  <c r="O750" i="19"/>
  <c r="S750" i="19" s="1"/>
  <c r="N750" i="19"/>
  <c r="K750" i="19"/>
  <c r="H750" i="19"/>
  <c r="E750" i="19"/>
  <c r="I750" i="19" s="1"/>
  <c r="D750" i="19"/>
  <c r="B750" i="19"/>
  <c r="AQ749" i="19"/>
  <c r="AL749" i="19"/>
  <c r="AG749" i="19"/>
  <c r="AE749" i="19"/>
  <c r="AB749" i="19"/>
  <c r="Y749" i="19"/>
  <c r="X749" i="19"/>
  <c r="U749" i="19"/>
  <c r="R749" i="19"/>
  <c r="O749" i="19"/>
  <c r="S749" i="19" s="1"/>
  <c r="N749" i="19"/>
  <c r="K749" i="19"/>
  <c r="H749" i="19"/>
  <c r="E749" i="19"/>
  <c r="I749" i="19" s="1"/>
  <c r="D749" i="19"/>
  <c r="B749" i="19"/>
  <c r="AQ748" i="19"/>
  <c r="AL748" i="19"/>
  <c r="AG748" i="19"/>
  <c r="AE748" i="19"/>
  <c r="AB748" i="19"/>
  <c r="Y748" i="19"/>
  <c r="X748" i="19"/>
  <c r="U748" i="19"/>
  <c r="R748" i="19"/>
  <c r="O748" i="19"/>
  <c r="S748" i="19" s="1"/>
  <c r="N748" i="19"/>
  <c r="K748" i="19"/>
  <c r="H748" i="19"/>
  <c r="E748" i="19"/>
  <c r="I748" i="19" s="1"/>
  <c r="D748" i="19"/>
  <c r="B748" i="19"/>
  <c r="AQ747" i="19"/>
  <c r="AL747" i="19"/>
  <c r="AG747" i="19"/>
  <c r="AE747" i="19"/>
  <c r="AB747" i="19"/>
  <c r="Y747" i="19"/>
  <c r="X747" i="19"/>
  <c r="U747" i="19"/>
  <c r="R747" i="19"/>
  <c r="O747" i="19"/>
  <c r="S747" i="19" s="1"/>
  <c r="N747" i="19"/>
  <c r="K747" i="19"/>
  <c r="H747" i="19"/>
  <c r="E747" i="19"/>
  <c r="I747" i="19" s="1"/>
  <c r="D747" i="19"/>
  <c r="B747" i="19"/>
  <c r="AQ746" i="19"/>
  <c r="AL746" i="19"/>
  <c r="AG746" i="19"/>
  <c r="AE746" i="19"/>
  <c r="AB746" i="19"/>
  <c r="Y746" i="19"/>
  <c r="X746" i="19"/>
  <c r="U746" i="19"/>
  <c r="R746" i="19"/>
  <c r="O746" i="19"/>
  <c r="S746" i="19" s="1"/>
  <c r="N746" i="19"/>
  <c r="K746" i="19"/>
  <c r="H746" i="19"/>
  <c r="E746" i="19"/>
  <c r="I746" i="19" s="1"/>
  <c r="D746" i="19"/>
  <c r="B746" i="19"/>
  <c r="AQ745" i="19"/>
  <c r="AL745" i="19"/>
  <c r="AG745" i="19"/>
  <c r="AE745" i="19"/>
  <c r="AB745" i="19"/>
  <c r="Y745" i="19"/>
  <c r="X745" i="19"/>
  <c r="U745" i="19"/>
  <c r="R745" i="19"/>
  <c r="O745" i="19"/>
  <c r="S745" i="19" s="1"/>
  <c r="N745" i="19"/>
  <c r="K745" i="19"/>
  <c r="H745" i="19"/>
  <c r="E745" i="19"/>
  <c r="I745" i="19" s="1"/>
  <c r="D745" i="19"/>
  <c r="B745" i="19"/>
  <c r="AQ744" i="19"/>
  <c r="AL744" i="19"/>
  <c r="AG744" i="19"/>
  <c r="AE744" i="19"/>
  <c r="AB744" i="19"/>
  <c r="Y744" i="19"/>
  <c r="X744" i="19"/>
  <c r="U744" i="19"/>
  <c r="R744" i="19"/>
  <c r="O744" i="19"/>
  <c r="S744" i="19" s="1"/>
  <c r="N744" i="19"/>
  <c r="K744" i="19"/>
  <c r="H744" i="19"/>
  <c r="E744" i="19"/>
  <c r="I744" i="19" s="1"/>
  <c r="D744" i="19"/>
  <c r="B744" i="19"/>
  <c r="AQ743" i="19"/>
  <c r="AL743" i="19"/>
  <c r="AG743" i="19"/>
  <c r="AE743" i="19"/>
  <c r="AB743" i="19"/>
  <c r="Y743" i="19"/>
  <c r="X743" i="19"/>
  <c r="U743" i="19"/>
  <c r="R743" i="19"/>
  <c r="O743" i="19"/>
  <c r="S743" i="19" s="1"/>
  <c r="N743" i="19"/>
  <c r="K743" i="19"/>
  <c r="H743" i="19"/>
  <c r="E743" i="19"/>
  <c r="I743" i="19" s="1"/>
  <c r="D743" i="19"/>
  <c r="B743" i="19"/>
  <c r="AQ742" i="19"/>
  <c r="AL742" i="19"/>
  <c r="AG742" i="19"/>
  <c r="AE742" i="19"/>
  <c r="AB742" i="19"/>
  <c r="Y742" i="19"/>
  <c r="X742" i="19"/>
  <c r="U742" i="19"/>
  <c r="R742" i="19"/>
  <c r="O742" i="19"/>
  <c r="S742" i="19" s="1"/>
  <c r="N742" i="19"/>
  <c r="K742" i="19"/>
  <c r="H742" i="19"/>
  <c r="E742" i="19"/>
  <c r="I742" i="19" s="1"/>
  <c r="D742" i="19"/>
  <c r="B742" i="19"/>
  <c r="AQ741" i="19"/>
  <c r="AL741" i="19"/>
  <c r="AG741" i="19"/>
  <c r="AE741" i="19"/>
  <c r="AB741" i="19"/>
  <c r="Y741" i="19"/>
  <c r="X741" i="19"/>
  <c r="U741" i="19"/>
  <c r="R741" i="19"/>
  <c r="O741" i="19"/>
  <c r="S741" i="19" s="1"/>
  <c r="N741" i="19"/>
  <c r="K741" i="19"/>
  <c r="H741" i="19"/>
  <c r="E741" i="19"/>
  <c r="I741" i="19" s="1"/>
  <c r="D741" i="19"/>
  <c r="B741" i="19"/>
  <c r="AQ740" i="19"/>
  <c r="AL740" i="19"/>
  <c r="AG740" i="19"/>
  <c r="AE740" i="19"/>
  <c r="AB740" i="19"/>
  <c r="Y740" i="19"/>
  <c r="X740" i="19"/>
  <c r="U740" i="19"/>
  <c r="R740" i="19"/>
  <c r="O740" i="19"/>
  <c r="S740" i="19" s="1"/>
  <c r="N740" i="19"/>
  <c r="K740" i="19"/>
  <c r="H740" i="19"/>
  <c r="E740" i="19"/>
  <c r="I740" i="19" s="1"/>
  <c r="D740" i="19"/>
  <c r="B740" i="19"/>
  <c r="AQ739" i="19"/>
  <c r="AL739" i="19"/>
  <c r="AG739" i="19"/>
  <c r="AE739" i="19"/>
  <c r="AB739" i="19"/>
  <c r="Y739" i="19"/>
  <c r="X739" i="19"/>
  <c r="U739" i="19"/>
  <c r="R739" i="19"/>
  <c r="O739" i="19"/>
  <c r="S739" i="19" s="1"/>
  <c r="N739" i="19"/>
  <c r="K739" i="19"/>
  <c r="H739" i="19"/>
  <c r="E739" i="19"/>
  <c r="I739" i="19" s="1"/>
  <c r="D739" i="19"/>
  <c r="B739" i="19"/>
  <c r="AQ738" i="19"/>
  <c r="AL738" i="19"/>
  <c r="AG738" i="19"/>
  <c r="AE738" i="19"/>
  <c r="AB738" i="19"/>
  <c r="Y738" i="19"/>
  <c r="X738" i="19"/>
  <c r="U738" i="19"/>
  <c r="R738" i="19"/>
  <c r="O738" i="19"/>
  <c r="S738" i="19" s="1"/>
  <c r="N738" i="19"/>
  <c r="K738" i="19"/>
  <c r="H738" i="19"/>
  <c r="E738" i="19"/>
  <c r="I738" i="19" s="1"/>
  <c r="D738" i="19"/>
  <c r="B738" i="19"/>
  <c r="AQ737" i="19"/>
  <c r="AL737" i="19"/>
  <c r="AG737" i="19"/>
  <c r="AE737" i="19"/>
  <c r="AB737" i="19"/>
  <c r="Y737" i="19"/>
  <c r="X737" i="19"/>
  <c r="U737" i="19"/>
  <c r="R737" i="19"/>
  <c r="O737" i="19"/>
  <c r="S737" i="19" s="1"/>
  <c r="N737" i="19"/>
  <c r="K737" i="19"/>
  <c r="H737" i="19"/>
  <c r="E737" i="19"/>
  <c r="I737" i="19" s="1"/>
  <c r="D737" i="19"/>
  <c r="B737" i="19"/>
  <c r="AQ736" i="19"/>
  <c r="AL736" i="19"/>
  <c r="AG736" i="19"/>
  <c r="AE736" i="19"/>
  <c r="AB736" i="19"/>
  <c r="Y736" i="19"/>
  <c r="X736" i="19"/>
  <c r="U736" i="19"/>
  <c r="R736" i="19"/>
  <c r="O736" i="19"/>
  <c r="S736" i="19" s="1"/>
  <c r="N736" i="19"/>
  <c r="K736" i="19"/>
  <c r="H736" i="19"/>
  <c r="E736" i="19"/>
  <c r="I736" i="19" s="1"/>
  <c r="D736" i="19"/>
  <c r="B736" i="19"/>
  <c r="AQ735" i="19"/>
  <c r="AL735" i="19"/>
  <c r="AG735" i="19"/>
  <c r="AE735" i="19"/>
  <c r="AB735" i="19"/>
  <c r="Y735" i="19"/>
  <c r="X735" i="19"/>
  <c r="U735" i="19"/>
  <c r="R735" i="19"/>
  <c r="O735" i="19"/>
  <c r="S735" i="19" s="1"/>
  <c r="N735" i="19"/>
  <c r="K735" i="19"/>
  <c r="H735" i="19"/>
  <c r="E735" i="19"/>
  <c r="I735" i="19" s="1"/>
  <c r="D735" i="19"/>
  <c r="B735" i="19"/>
  <c r="AQ734" i="19"/>
  <c r="AL734" i="19"/>
  <c r="AG734" i="19"/>
  <c r="AE734" i="19"/>
  <c r="AB734" i="19"/>
  <c r="Y734" i="19"/>
  <c r="X734" i="19"/>
  <c r="U734" i="19"/>
  <c r="R734" i="19"/>
  <c r="O734" i="19"/>
  <c r="S734" i="19" s="1"/>
  <c r="N734" i="19"/>
  <c r="K734" i="19"/>
  <c r="H734" i="19"/>
  <c r="E734" i="19"/>
  <c r="I734" i="19" s="1"/>
  <c r="D734" i="19"/>
  <c r="B734" i="19"/>
  <c r="AQ733" i="19"/>
  <c r="AL733" i="19"/>
  <c r="AG733" i="19"/>
  <c r="AE733" i="19"/>
  <c r="AB733" i="19"/>
  <c r="Y733" i="19"/>
  <c r="X733" i="19"/>
  <c r="U733" i="19"/>
  <c r="R733" i="19"/>
  <c r="O733" i="19"/>
  <c r="S733" i="19" s="1"/>
  <c r="N733" i="19"/>
  <c r="K733" i="19"/>
  <c r="H733" i="19"/>
  <c r="E733" i="19"/>
  <c r="I733" i="19" s="1"/>
  <c r="D733" i="19"/>
  <c r="B733" i="19"/>
  <c r="AQ732" i="19"/>
  <c r="AL732" i="19"/>
  <c r="AG732" i="19"/>
  <c r="AE732" i="19"/>
  <c r="AB732" i="19"/>
  <c r="Y732" i="19"/>
  <c r="X732" i="19"/>
  <c r="U732" i="19"/>
  <c r="R732" i="19"/>
  <c r="O732" i="19"/>
  <c r="S732" i="19" s="1"/>
  <c r="N732" i="19"/>
  <c r="K732" i="19"/>
  <c r="H732" i="19"/>
  <c r="E732" i="19"/>
  <c r="I732" i="19" s="1"/>
  <c r="D732" i="19"/>
  <c r="B732" i="19"/>
  <c r="AQ731" i="19"/>
  <c r="AL731" i="19"/>
  <c r="AG731" i="19"/>
  <c r="AE731" i="19"/>
  <c r="AB731" i="19"/>
  <c r="Y731" i="19"/>
  <c r="X731" i="19"/>
  <c r="U731" i="19"/>
  <c r="R731" i="19"/>
  <c r="O731" i="19"/>
  <c r="S731" i="19" s="1"/>
  <c r="N731" i="19"/>
  <c r="K731" i="19"/>
  <c r="H731" i="19"/>
  <c r="E731" i="19"/>
  <c r="I731" i="19" s="1"/>
  <c r="D731" i="19"/>
  <c r="B731" i="19"/>
  <c r="AQ730" i="19"/>
  <c r="AL730" i="19"/>
  <c r="AG730" i="19"/>
  <c r="AE730" i="19"/>
  <c r="AB730" i="19"/>
  <c r="Y730" i="19"/>
  <c r="X730" i="19"/>
  <c r="U730" i="19"/>
  <c r="R730" i="19"/>
  <c r="O730" i="19"/>
  <c r="S730" i="19" s="1"/>
  <c r="N730" i="19"/>
  <c r="K730" i="19"/>
  <c r="H730" i="19"/>
  <c r="E730" i="19"/>
  <c r="I730" i="19" s="1"/>
  <c r="D730" i="19"/>
  <c r="B730" i="19"/>
  <c r="AQ729" i="19"/>
  <c r="AL729" i="19"/>
  <c r="AG729" i="19"/>
  <c r="AE729" i="19"/>
  <c r="AB729" i="19"/>
  <c r="Y729" i="19"/>
  <c r="X729" i="19"/>
  <c r="U729" i="19"/>
  <c r="R729" i="19"/>
  <c r="O729" i="19"/>
  <c r="S729" i="19" s="1"/>
  <c r="N729" i="19"/>
  <c r="K729" i="19"/>
  <c r="H729" i="19"/>
  <c r="E729" i="19"/>
  <c r="I729" i="19" s="1"/>
  <c r="D729" i="19"/>
  <c r="B729" i="19"/>
  <c r="AQ728" i="19"/>
  <c r="AL728" i="19"/>
  <c r="AG728" i="19"/>
  <c r="AE728" i="19"/>
  <c r="AB728" i="19"/>
  <c r="Y728" i="19"/>
  <c r="X728" i="19"/>
  <c r="U728" i="19"/>
  <c r="R728" i="19"/>
  <c r="O728" i="19"/>
  <c r="S728" i="19" s="1"/>
  <c r="N728" i="19"/>
  <c r="K728" i="19"/>
  <c r="H728" i="19"/>
  <c r="E728" i="19"/>
  <c r="I728" i="19" s="1"/>
  <c r="D728" i="19"/>
  <c r="B728" i="19"/>
  <c r="AQ727" i="19"/>
  <c r="AL727" i="19"/>
  <c r="AG727" i="19"/>
  <c r="AE727" i="19"/>
  <c r="AB727" i="19"/>
  <c r="Y727" i="19"/>
  <c r="X727" i="19"/>
  <c r="U727" i="19"/>
  <c r="R727" i="19"/>
  <c r="O727" i="19"/>
  <c r="S727" i="19" s="1"/>
  <c r="N727" i="19"/>
  <c r="K727" i="19"/>
  <c r="H727" i="19"/>
  <c r="E727" i="19"/>
  <c r="I727" i="19" s="1"/>
  <c r="D727" i="19"/>
  <c r="B727" i="19"/>
  <c r="AQ726" i="19"/>
  <c r="AL726" i="19"/>
  <c r="AG726" i="19"/>
  <c r="AE726" i="19"/>
  <c r="AB726" i="19"/>
  <c r="Y726" i="19"/>
  <c r="X726" i="19"/>
  <c r="U726" i="19"/>
  <c r="R726" i="19"/>
  <c r="O726" i="19"/>
  <c r="S726" i="19" s="1"/>
  <c r="N726" i="19"/>
  <c r="K726" i="19"/>
  <c r="H726" i="19"/>
  <c r="E726" i="19"/>
  <c r="I726" i="19" s="1"/>
  <c r="D726" i="19"/>
  <c r="B726" i="19"/>
  <c r="AQ725" i="19"/>
  <c r="AL725" i="19"/>
  <c r="AG725" i="19"/>
  <c r="AE725" i="19"/>
  <c r="AB725" i="19"/>
  <c r="Y725" i="19"/>
  <c r="X725" i="19"/>
  <c r="U725" i="19"/>
  <c r="R725" i="19"/>
  <c r="O725" i="19"/>
  <c r="S725" i="19" s="1"/>
  <c r="N725" i="19"/>
  <c r="K725" i="19"/>
  <c r="H725" i="19"/>
  <c r="E725" i="19"/>
  <c r="I725" i="19" s="1"/>
  <c r="D725" i="19"/>
  <c r="B725" i="19"/>
  <c r="AQ724" i="19"/>
  <c r="AL724" i="19"/>
  <c r="AG724" i="19"/>
  <c r="AE724" i="19"/>
  <c r="AB724" i="19"/>
  <c r="Y724" i="19"/>
  <c r="X724" i="19"/>
  <c r="U724" i="19"/>
  <c r="R724" i="19"/>
  <c r="O724" i="19"/>
  <c r="S724" i="19" s="1"/>
  <c r="N724" i="19"/>
  <c r="K724" i="19"/>
  <c r="H724" i="19"/>
  <c r="E724" i="19"/>
  <c r="I724" i="19" s="1"/>
  <c r="D724" i="19"/>
  <c r="B724" i="19"/>
  <c r="AQ723" i="19"/>
  <c r="AL723" i="19"/>
  <c r="AG723" i="19"/>
  <c r="AE723" i="19"/>
  <c r="AB723" i="19"/>
  <c r="Y723" i="19"/>
  <c r="X723" i="19"/>
  <c r="U723" i="19"/>
  <c r="R723" i="19"/>
  <c r="O723" i="19"/>
  <c r="S723" i="19" s="1"/>
  <c r="N723" i="19"/>
  <c r="K723" i="19"/>
  <c r="H723" i="19"/>
  <c r="E723" i="19"/>
  <c r="I723" i="19" s="1"/>
  <c r="D723" i="19"/>
  <c r="B723" i="19"/>
  <c r="AQ722" i="19"/>
  <c r="AL722" i="19"/>
  <c r="AG722" i="19"/>
  <c r="AE722" i="19"/>
  <c r="AB722" i="19"/>
  <c r="Y722" i="19"/>
  <c r="X722" i="19"/>
  <c r="U722" i="19"/>
  <c r="R722" i="19"/>
  <c r="O722" i="19"/>
  <c r="S722" i="19" s="1"/>
  <c r="N722" i="19"/>
  <c r="K722" i="19"/>
  <c r="H722" i="19"/>
  <c r="E722" i="19"/>
  <c r="I722" i="19" s="1"/>
  <c r="D722" i="19"/>
  <c r="B722" i="19"/>
  <c r="AQ721" i="19"/>
  <c r="AL721" i="19"/>
  <c r="AG721" i="19"/>
  <c r="AE721" i="19"/>
  <c r="AB721" i="19"/>
  <c r="Y721" i="19"/>
  <c r="X721" i="19"/>
  <c r="U721" i="19"/>
  <c r="R721" i="19"/>
  <c r="O721" i="19"/>
  <c r="S721" i="19" s="1"/>
  <c r="N721" i="19"/>
  <c r="K721" i="19"/>
  <c r="H721" i="19"/>
  <c r="E721" i="19"/>
  <c r="I721" i="19" s="1"/>
  <c r="D721" i="19"/>
  <c r="B721" i="19"/>
  <c r="AQ720" i="19"/>
  <c r="AL720" i="19"/>
  <c r="AG720" i="19"/>
  <c r="AE720" i="19"/>
  <c r="AB720" i="19"/>
  <c r="Y720" i="19"/>
  <c r="X720" i="19"/>
  <c r="U720" i="19"/>
  <c r="R720" i="19"/>
  <c r="O720" i="19"/>
  <c r="S720" i="19" s="1"/>
  <c r="N720" i="19"/>
  <c r="K720" i="19"/>
  <c r="H720" i="19"/>
  <c r="E720" i="19"/>
  <c r="I720" i="19" s="1"/>
  <c r="D720" i="19"/>
  <c r="B720" i="19"/>
  <c r="AQ719" i="19"/>
  <c r="AL719" i="19"/>
  <c r="AG719" i="19"/>
  <c r="AE719" i="19"/>
  <c r="AB719" i="19"/>
  <c r="Y719" i="19"/>
  <c r="X719" i="19"/>
  <c r="U719" i="19"/>
  <c r="R719" i="19"/>
  <c r="O719" i="19"/>
  <c r="S719" i="19" s="1"/>
  <c r="N719" i="19"/>
  <c r="K719" i="19"/>
  <c r="H719" i="19"/>
  <c r="E719" i="19"/>
  <c r="I719" i="19" s="1"/>
  <c r="D719" i="19"/>
  <c r="B719" i="19"/>
  <c r="AQ718" i="19"/>
  <c r="AL718" i="19"/>
  <c r="AG718" i="19"/>
  <c r="AE718" i="19"/>
  <c r="AB718" i="19"/>
  <c r="Y718" i="19"/>
  <c r="X718" i="19"/>
  <c r="U718" i="19"/>
  <c r="R718" i="19"/>
  <c r="O718" i="19"/>
  <c r="S718" i="19" s="1"/>
  <c r="N718" i="19"/>
  <c r="K718" i="19"/>
  <c r="H718" i="19"/>
  <c r="E718" i="19"/>
  <c r="I718" i="19" s="1"/>
  <c r="D718" i="19"/>
  <c r="B718" i="19"/>
  <c r="AQ717" i="19"/>
  <c r="AL717" i="19"/>
  <c r="AG717" i="19"/>
  <c r="AE717" i="19"/>
  <c r="AB717" i="19"/>
  <c r="Y717" i="19"/>
  <c r="X717" i="19"/>
  <c r="U717" i="19"/>
  <c r="R717" i="19"/>
  <c r="O717" i="19"/>
  <c r="S717" i="19" s="1"/>
  <c r="N717" i="19"/>
  <c r="K717" i="19"/>
  <c r="H717" i="19"/>
  <c r="E717" i="19"/>
  <c r="I717" i="19" s="1"/>
  <c r="D717" i="19"/>
  <c r="B717" i="19"/>
  <c r="AQ716" i="19"/>
  <c r="AL716" i="19"/>
  <c r="AG716" i="19"/>
  <c r="AE716" i="19"/>
  <c r="AB716" i="19"/>
  <c r="Y716" i="19"/>
  <c r="X716" i="19"/>
  <c r="U716" i="19"/>
  <c r="R716" i="19"/>
  <c r="O716" i="19"/>
  <c r="S716" i="19" s="1"/>
  <c r="N716" i="19"/>
  <c r="K716" i="19"/>
  <c r="H716" i="19"/>
  <c r="E716" i="19"/>
  <c r="I716" i="19" s="1"/>
  <c r="D716" i="19"/>
  <c r="B716" i="19"/>
  <c r="AQ715" i="19"/>
  <c r="AL715" i="19"/>
  <c r="AG715" i="19"/>
  <c r="AE715" i="19"/>
  <c r="AB715" i="19"/>
  <c r="Y715" i="19"/>
  <c r="X715" i="19"/>
  <c r="U715" i="19"/>
  <c r="R715" i="19"/>
  <c r="O715" i="19"/>
  <c r="S715" i="19" s="1"/>
  <c r="N715" i="19"/>
  <c r="K715" i="19"/>
  <c r="H715" i="19"/>
  <c r="E715" i="19"/>
  <c r="I715" i="19" s="1"/>
  <c r="D715" i="19"/>
  <c r="B715" i="19"/>
  <c r="AQ714" i="19"/>
  <c r="AL714" i="19"/>
  <c r="AG714" i="19"/>
  <c r="AE714" i="19"/>
  <c r="AB714" i="19"/>
  <c r="Y714" i="19"/>
  <c r="X714" i="19"/>
  <c r="U714" i="19"/>
  <c r="R714" i="19"/>
  <c r="O714" i="19"/>
  <c r="S714" i="19" s="1"/>
  <c r="N714" i="19"/>
  <c r="K714" i="19"/>
  <c r="H714" i="19"/>
  <c r="E714" i="19"/>
  <c r="I714" i="19" s="1"/>
  <c r="D714" i="19"/>
  <c r="B714" i="19"/>
  <c r="AQ713" i="19"/>
  <c r="AL713" i="19"/>
  <c r="AG713" i="19"/>
  <c r="AE713" i="19"/>
  <c r="AB713" i="19"/>
  <c r="Y713" i="19"/>
  <c r="X713" i="19"/>
  <c r="U713" i="19"/>
  <c r="R713" i="19"/>
  <c r="O713" i="19"/>
  <c r="S713" i="19" s="1"/>
  <c r="N713" i="19"/>
  <c r="K713" i="19"/>
  <c r="H713" i="19"/>
  <c r="E713" i="19"/>
  <c r="I713" i="19" s="1"/>
  <c r="D713" i="19"/>
  <c r="B713" i="19"/>
  <c r="AQ712" i="19"/>
  <c r="AL712" i="19"/>
  <c r="AG712" i="19"/>
  <c r="AE712" i="19"/>
  <c r="AB712" i="19"/>
  <c r="Y712" i="19"/>
  <c r="X712" i="19"/>
  <c r="U712" i="19"/>
  <c r="R712" i="19"/>
  <c r="O712" i="19"/>
  <c r="S712" i="19" s="1"/>
  <c r="N712" i="19"/>
  <c r="K712" i="19"/>
  <c r="H712" i="19"/>
  <c r="E712" i="19"/>
  <c r="I712" i="19" s="1"/>
  <c r="D712" i="19"/>
  <c r="B712" i="19"/>
  <c r="AQ711" i="19"/>
  <c r="AL711" i="19"/>
  <c r="AG711" i="19"/>
  <c r="AE711" i="19"/>
  <c r="AB711" i="19"/>
  <c r="Y711" i="19"/>
  <c r="X711" i="19"/>
  <c r="U711" i="19"/>
  <c r="R711" i="19"/>
  <c r="O711" i="19"/>
  <c r="S711" i="19" s="1"/>
  <c r="N711" i="19"/>
  <c r="K711" i="19"/>
  <c r="H711" i="19"/>
  <c r="E711" i="19"/>
  <c r="I711" i="19" s="1"/>
  <c r="D711" i="19"/>
  <c r="B711" i="19"/>
  <c r="AQ710" i="19"/>
  <c r="AL710" i="19"/>
  <c r="AG710" i="19"/>
  <c r="AE710" i="19"/>
  <c r="AB710" i="19"/>
  <c r="Y710" i="19"/>
  <c r="X710" i="19"/>
  <c r="U710" i="19"/>
  <c r="R710" i="19"/>
  <c r="O710" i="19"/>
  <c r="S710" i="19" s="1"/>
  <c r="N710" i="19"/>
  <c r="K710" i="19"/>
  <c r="H710" i="19"/>
  <c r="E710" i="19"/>
  <c r="I710" i="19" s="1"/>
  <c r="D710" i="19"/>
  <c r="B710" i="19"/>
  <c r="AQ709" i="19"/>
  <c r="AL709" i="19"/>
  <c r="AG709" i="19"/>
  <c r="AE709" i="19"/>
  <c r="AB709" i="19"/>
  <c r="Y709" i="19"/>
  <c r="X709" i="19"/>
  <c r="U709" i="19"/>
  <c r="R709" i="19"/>
  <c r="O709" i="19"/>
  <c r="S709" i="19" s="1"/>
  <c r="N709" i="19"/>
  <c r="K709" i="19"/>
  <c r="H709" i="19"/>
  <c r="E709" i="19"/>
  <c r="I709" i="19" s="1"/>
  <c r="D709" i="19"/>
  <c r="B709" i="19"/>
  <c r="AQ708" i="19"/>
  <c r="AL708" i="19"/>
  <c r="AG708" i="19"/>
  <c r="AE708" i="19"/>
  <c r="AB708" i="19"/>
  <c r="Y708" i="19"/>
  <c r="X708" i="19"/>
  <c r="U708" i="19"/>
  <c r="R708" i="19"/>
  <c r="O708" i="19"/>
  <c r="S708" i="19" s="1"/>
  <c r="N708" i="19"/>
  <c r="K708" i="19"/>
  <c r="H708" i="19"/>
  <c r="E708" i="19"/>
  <c r="I708" i="19" s="1"/>
  <c r="D708" i="19"/>
  <c r="B708" i="19"/>
  <c r="AQ707" i="19"/>
  <c r="AL707" i="19"/>
  <c r="AG707" i="19"/>
  <c r="AE707" i="19"/>
  <c r="AB707" i="19"/>
  <c r="Y707" i="19"/>
  <c r="X707" i="19"/>
  <c r="U707" i="19"/>
  <c r="R707" i="19"/>
  <c r="O707" i="19"/>
  <c r="S707" i="19" s="1"/>
  <c r="N707" i="19"/>
  <c r="K707" i="19"/>
  <c r="H707" i="19"/>
  <c r="E707" i="19"/>
  <c r="I707" i="19" s="1"/>
  <c r="D707" i="19"/>
  <c r="B707" i="19"/>
  <c r="AQ706" i="19"/>
  <c r="AL706" i="19"/>
  <c r="AG706" i="19"/>
  <c r="AE706" i="19"/>
  <c r="AB706" i="19"/>
  <c r="Y706" i="19"/>
  <c r="X706" i="19"/>
  <c r="U706" i="19"/>
  <c r="R706" i="19"/>
  <c r="O706" i="19"/>
  <c r="S706" i="19" s="1"/>
  <c r="N706" i="19"/>
  <c r="K706" i="19"/>
  <c r="H706" i="19"/>
  <c r="E706" i="19"/>
  <c r="I706" i="19" s="1"/>
  <c r="D706" i="19"/>
  <c r="B706" i="19"/>
  <c r="AQ705" i="19"/>
  <c r="AL705" i="19"/>
  <c r="AG705" i="19"/>
  <c r="AE705" i="19"/>
  <c r="AB705" i="19"/>
  <c r="Y705" i="19"/>
  <c r="X705" i="19"/>
  <c r="U705" i="19"/>
  <c r="R705" i="19"/>
  <c r="O705" i="19"/>
  <c r="S705" i="19" s="1"/>
  <c r="N705" i="19"/>
  <c r="K705" i="19"/>
  <c r="H705" i="19"/>
  <c r="E705" i="19"/>
  <c r="I705" i="19" s="1"/>
  <c r="D705" i="19"/>
  <c r="B705" i="19"/>
  <c r="AQ704" i="19"/>
  <c r="AL704" i="19"/>
  <c r="AG704" i="19"/>
  <c r="AE704" i="19"/>
  <c r="AB704" i="19"/>
  <c r="Y704" i="19"/>
  <c r="X704" i="19"/>
  <c r="U704" i="19"/>
  <c r="R704" i="19"/>
  <c r="O704" i="19"/>
  <c r="S704" i="19" s="1"/>
  <c r="N704" i="19"/>
  <c r="K704" i="19"/>
  <c r="H704" i="19"/>
  <c r="E704" i="19"/>
  <c r="I704" i="19" s="1"/>
  <c r="D704" i="19"/>
  <c r="B704" i="19"/>
  <c r="AQ703" i="19"/>
  <c r="AL703" i="19"/>
  <c r="AG703" i="19"/>
  <c r="AE703" i="19"/>
  <c r="AB703" i="19"/>
  <c r="Y703" i="19"/>
  <c r="X703" i="19"/>
  <c r="U703" i="19"/>
  <c r="R703" i="19"/>
  <c r="O703" i="19"/>
  <c r="S703" i="19" s="1"/>
  <c r="N703" i="19"/>
  <c r="K703" i="19"/>
  <c r="H703" i="19"/>
  <c r="E703" i="19"/>
  <c r="I703" i="19" s="1"/>
  <c r="D703" i="19"/>
  <c r="B703" i="19"/>
  <c r="AQ702" i="19"/>
  <c r="AL702" i="19"/>
  <c r="AG702" i="19"/>
  <c r="AE702" i="19"/>
  <c r="AB702" i="19"/>
  <c r="Y702" i="19"/>
  <c r="X702" i="19"/>
  <c r="U702" i="19"/>
  <c r="R702" i="19"/>
  <c r="O702" i="19"/>
  <c r="S702" i="19" s="1"/>
  <c r="N702" i="19"/>
  <c r="K702" i="19"/>
  <c r="H702" i="19"/>
  <c r="E702" i="19"/>
  <c r="I702" i="19" s="1"/>
  <c r="D702" i="19"/>
  <c r="B702" i="19"/>
  <c r="AQ701" i="19"/>
  <c r="AL701" i="19"/>
  <c r="AG701" i="19"/>
  <c r="AE701" i="19"/>
  <c r="AB701" i="19"/>
  <c r="Y701" i="19"/>
  <c r="X701" i="19"/>
  <c r="U701" i="19"/>
  <c r="R701" i="19"/>
  <c r="O701" i="19"/>
  <c r="S701" i="19" s="1"/>
  <c r="N701" i="19"/>
  <c r="K701" i="19"/>
  <c r="H701" i="19"/>
  <c r="E701" i="19"/>
  <c r="I701" i="19" s="1"/>
  <c r="D701" i="19"/>
  <c r="B701" i="19"/>
  <c r="AQ700" i="19"/>
  <c r="AL700" i="19"/>
  <c r="AG700" i="19"/>
  <c r="AE700" i="19"/>
  <c r="AB700" i="19"/>
  <c r="Y700" i="19"/>
  <c r="X700" i="19"/>
  <c r="U700" i="19"/>
  <c r="R700" i="19"/>
  <c r="O700" i="19"/>
  <c r="S700" i="19" s="1"/>
  <c r="N700" i="19"/>
  <c r="K700" i="19"/>
  <c r="H700" i="19"/>
  <c r="E700" i="19"/>
  <c r="I700" i="19" s="1"/>
  <c r="D700" i="19"/>
  <c r="B700" i="19"/>
  <c r="AQ699" i="19"/>
  <c r="AL699" i="19"/>
  <c r="AG699" i="19"/>
  <c r="AE699" i="19"/>
  <c r="AB699" i="19"/>
  <c r="Y699" i="19"/>
  <c r="X699" i="19"/>
  <c r="U699" i="19"/>
  <c r="R699" i="19"/>
  <c r="O699" i="19"/>
  <c r="S699" i="19" s="1"/>
  <c r="N699" i="19"/>
  <c r="K699" i="19"/>
  <c r="H699" i="19"/>
  <c r="E699" i="19"/>
  <c r="I699" i="19" s="1"/>
  <c r="D699" i="19"/>
  <c r="B699" i="19"/>
  <c r="AQ698" i="19"/>
  <c r="AL698" i="19"/>
  <c r="AG698" i="19"/>
  <c r="AE698" i="19"/>
  <c r="AB698" i="19"/>
  <c r="Y698" i="19"/>
  <c r="X698" i="19"/>
  <c r="U698" i="19"/>
  <c r="R698" i="19"/>
  <c r="O698" i="19"/>
  <c r="S698" i="19" s="1"/>
  <c r="N698" i="19"/>
  <c r="K698" i="19"/>
  <c r="H698" i="19"/>
  <c r="E698" i="19"/>
  <c r="I698" i="19" s="1"/>
  <c r="D698" i="19"/>
  <c r="B698" i="19"/>
  <c r="AQ697" i="19"/>
  <c r="AL697" i="19"/>
  <c r="AG697" i="19"/>
  <c r="AE697" i="19"/>
  <c r="AB697" i="19"/>
  <c r="Y697" i="19"/>
  <c r="X697" i="19"/>
  <c r="U697" i="19"/>
  <c r="R697" i="19"/>
  <c r="O697" i="19"/>
  <c r="S697" i="19" s="1"/>
  <c r="N697" i="19"/>
  <c r="K697" i="19"/>
  <c r="H697" i="19"/>
  <c r="E697" i="19"/>
  <c r="I697" i="19" s="1"/>
  <c r="D697" i="19"/>
  <c r="B697" i="19"/>
  <c r="AQ696" i="19"/>
  <c r="AL696" i="19"/>
  <c r="AG696" i="19"/>
  <c r="AE696" i="19"/>
  <c r="AB696" i="19"/>
  <c r="Y696" i="19"/>
  <c r="X696" i="19"/>
  <c r="U696" i="19"/>
  <c r="R696" i="19"/>
  <c r="O696" i="19"/>
  <c r="S696" i="19" s="1"/>
  <c r="N696" i="19"/>
  <c r="K696" i="19"/>
  <c r="H696" i="19"/>
  <c r="E696" i="19"/>
  <c r="I696" i="19" s="1"/>
  <c r="D696" i="19"/>
  <c r="B696" i="19"/>
  <c r="AQ695" i="19"/>
  <c r="AL695" i="19"/>
  <c r="AG695" i="19"/>
  <c r="AE695" i="19"/>
  <c r="AB695" i="19"/>
  <c r="Y695" i="19"/>
  <c r="X695" i="19"/>
  <c r="U695" i="19"/>
  <c r="R695" i="19"/>
  <c r="O695" i="19"/>
  <c r="S695" i="19" s="1"/>
  <c r="N695" i="19"/>
  <c r="K695" i="19"/>
  <c r="H695" i="19"/>
  <c r="E695" i="19"/>
  <c r="I695" i="19" s="1"/>
  <c r="D695" i="19"/>
  <c r="B695" i="19"/>
  <c r="AQ694" i="19"/>
  <c r="AL694" i="19"/>
  <c r="AG694" i="19"/>
  <c r="AE694" i="19"/>
  <c r="AB694" i="19"/>
  <c r="Y694" i="19"/>
  <c r="X694" i="19"/>
  <c r="U694" i="19"/>
  <c r="R694" i="19"/>
  <c r="O694" i="19"/>
  <c r="S694" i="19" s="1"/>
  <c r="N694" i="19"/>
  <c r="K694" i="19"/>
  <c r="H694" i="19"/>
  <c r="E694" i="19"/>
  <c r="I694" i="19" s="1"/>
  <c r="D694" i="19"/>
  <c r="B694" i="19"/>
  <c r="AQ693" i="19"/>
  <c r="AL693" i="19"/>
  <c r="AG693" i="19"/>
  <c r="AE693" i="19"/>
  <c r="AB693" i="19"/>
  <c r="Y693" i="19"/>
  <c r="X693" i="19"/>
  <c r="U693" i="19"/>
  <c r="R693" i="19"/>
  <c r="O693" i="19"/>
  <c r="S693" i="19" s="1"/>
  <c r="N693" i="19"/>
  <c r="K693" i="19"/>
  <c r="H693" i="19"/>
  <c r="E693" i="19"/>
  <c r="I693" i="19" s="1"/>
  <c r="D693" i="19"/>
  <c r="B693" i="19"/>
  <c r="AQ692" i="19"/>
  <c r="AL692" i="19"/>
  <c r="AG692" i="19"/>
  <c r="AE692" i="19"/>
  <c r="AB692" i="19"/>
  <c r="Y692" i="19"/>
  <c r="X692" i="19"/>
  <c r="U692" i="19"/>
  <c r="R692" i="19"/>
  <c r="O692" i="19"/>
  <c r="S692" i="19" s="1"/>
  <c r="N692" i="19"/>
  <c r="K692" i="19"/>
  <c r="H692" i="19"/>
  <c r="E692" i="19"/>
  <c r="I692" i="19" s="1"/>
  <c r="D692" i="19"/>
  <c r="B692" i="19"/>
  <c r="AQ691" i="19"/>
  <c r="AL691" i="19"/>
  <c r="AG691" i="19"/>
  <c r="AE691" i="19"/>
  <c r="AB691" i="19"/>
  <c r="Y691" i="19"/>
  <c r="X691" i="19"/>
  <c r="U691" i="19"/>
  <c r="R691" i="19"/>
  <c r="O691" i="19"/>
  <c r="S691" i="19" s="1"/>
  <c r="N691" i="19"/>
  <c r="K691" i="19"/>
  <c r="H691" i="19"/>
  <c r="E691" i="19"/>
  <c r="I691" i="19" s="1"/>
  <c r="D691" i="19"/>
  <c r="B691" i="19"/>
  <c r="AQ690" i="19"/>
  <c r="AL690" i="19"/>
  <c r="AG690" i="19"/>
  <c r="AE690" i="19"/>
  <c r="AB690" i="19"/>
  <c r="Y690" i="19"/>
  <c r="X690" i="19"/>
  <c r="U690" i="19"/>
  <c r="R690" i="19"/>
  <c r="O690" i="19"/>
  <c r="S690" i="19" s="1"/>
  <c r="N690" i="19"/>
  <c r="K690" i="19"/>
  <c r="H690" i="19"/>
  <c r="E690" i="19"/>
  <c r="I690" i="19" s="1"/>
  <c r="D690" i="19"/>
  <c r="B690" i="19"/>
  <c r="AQ689" i="19"/>
  <c r="AL689" i="19"/>
  <c r="AG689" i="19"/>
  <c r="AE689" i="19"/>
  <c r="AB689" i="19"/>
  <c r="Y689" i="19"/>
  <c r="X689" i="19"/>
  <c r="U689" i="19"/>
  <c r="R689" i="19"/>
  <c r="O689" i="19"/>
  <c r="S689" i="19" s="1"/>
  <c r="N689" i="19"/>
  <c r="K689" i="19"/>
  <c r="H689" i="19"/>
  <c r="E689" i="19"/>
  <c r="I689" i="19" s="1"/>
  <c r="D689" i="19"/>
  <c r="B689" i="19"/>
  <c r="AQ688" i="19"/>
  <c r="AL688" i="19"/>
  <c r="AG688" i="19"/>
  <c r="AE688" i="19"/>
  <c r="AB688" i="19"/>
  <c r="Y688" i="19"/>
  <c r="X688" i="19"/>
  <c r="U688" i="19"/>
  <c r="R688" i="19"/>
  <c r="O688" i="19"/>
  <c r="S688" i="19" s="1"/>
  <c r="N688" i="19"/>
  <c r="K688" i="19"/>
  <c r="H688" i="19"/>
  <c r="E688" i="19"/>
  <c r="I688" i="19" s="1"/>
  <c r="D688" i="19"/>
  <c r="B688" i="19"/>
  <c r="AQ687" i="19"/>
  <c r="AL687" i="19"/>
  <c r="AG687" i="19"/>
  <c r="AE687" i="19"/>
  <c r="AB687" i="19"/>
  <c r="Y687" i="19"/>
  <c r="X687" i="19"/>
  <c r="U687" i="19"/>
  <c r="R687" i="19"/>
  <c r="O687" i="19"/>
  <c r="S687" i="19" s="1"/>
  <c r="N687" i="19"/>
  <c r="K687" i="19"/>
  <c r="H687" i="19"/>
  <c r="E687" i="19"/>
  <c r="I687" i="19" s="1"/>
  <c r="D687" i="19"/>
  <c r="B687" i="19"/>
  <c r="AQ686" i="19"/>
  <c r="AL686" i="19"/>
  <c r="AG686" i="19"/>
  <c r="AE686" i="19"/>
  <c r="AB686" i="19"/>
  <c r="Y686" i="19"/>
  <c r="X686" i="19"/>
  <c r="U686" i="19"/>
  <c r="R686" i="19"/>
  <c r="O686" i="19"/>
  <c r="S686" i="19" s="1"/>
  <c r="N686" i="19"/>
  <c r="K686" i="19"/>
  <c r="H686" i="19"/>
  <c r="E686" i="19"/>
  <c r="I686" i="19" s="1"/>
  <c r="D686" i="19"/>
  <c r="B686" i="19"/>
  <c r="AQ685" i="19"/>
  <c r="AL685" i="19"/>
  <c r="AG685" i="19"/>
  <c r="AE685" i="19"/>
  <c r="AB685" i="19"/>
  <c r="Y685" i="19"/>
  <c r="X685" i="19"/>
  <c r="U685" i="19"/>
  <c r="R685" i="19"/>
  <c r="O685" i="19"/>
  <c r="S685" i="19" s="1"/>
  <c r="N685" i="19"/>
  <c r="K685" i="19"/>
  <c r="H685" i="19"/>
  <c r="E685" i="19"/>
  <c r="I685" i="19" s="1"/>
  <c r="D685" i="19"/>
  <c r="B685" i="19"/>
  <c r="AQ684" i="19"/>
  <c r="AL684" i="19"/>
  <c r="AG684" i="19"/>
  <c r="AE684" i="19"/>
  <c r="AB684" i="19"/>
  <c r="Y684" i="19"/>
  <c r="X684" i="19"/>
  <c r="U684" i="19"/>
  <c r="R684" i="19"/>
  <c r="O684" i="19"/>
  <c r="S684" i="19" s="1"/>
  <c r="N684" i="19"/>
  <c r="K684" i="19"/>
  <c r="H684" i="19"/>
  <c r="E684" i="19"/>
  <c r="I684" i="19" s="1"/>
  <c r="D684" i="19"/>
  <c r="B684" i="19"/>
  <c r="AQ683" i="19"/>
  <c r="AL683" i="19"/>
  <c r="AG683" i="19"/>
  <c r="AE683" i="19"/>
  <c r="AB683" i="19"/>
  <c r="Y683" i="19"/>
  <c r="X683" i="19"/>
  <c r="U683" i="19"/>
  <c r="R683" i="19"/>
  <c r="O683" i="19"/>
  <c r="S683" i="19" s="1"/>
  <c r="N683" i="19"/>
  <c r="K683" i="19"/>
  <c r="H683" i="19"/>
  <c r="E683" i="19"/>
  <c r="I683" i="19" s="1"/>
  <c r="D683" i="19"/>
  <c r="B683" i="19"/>
  <c r="AQ682" i="19"/>
  <c r="AL682" i="19"/>
  <c r="AG682" i="19"/>
  <c r="AE682" i="19"/>
  <c r="AB682" i="19"/>
  <c r="Y682" i="19"/>
  <c r="X682" i="19"/>
  <c r="U682" i="19"/>
  <c r="R682" i="19"/>
  <c r="O682" i="19"/>
  <c r="S682" i="19" s="1"/>
  <c r="N682" i="19"/>
  <c r="K682" i="19"/>
  <c r="H682" i="19"/>
  <c r="E682" i="19"/>
  <c r="I682" i="19" s="1"/>
  <c r="D682" i="19"/>
  <c r="B682" i="19"/>
  <c r="AQ681" i="19"/>
  <c r="AL681" i="19"/>
  <c r="AG681" i="19"/>
  <c r="AE681" i="19"/>
  <c r="AB681" i="19"/>
  <c r="Y681" i="19"/>
  <c r="X681" i="19"/>
  <c r="U681" i="19"/>
  <c r="AI681" i="19" s="1"/>
  <c r="R681" i="19"/>
  <c r="O681" i="19"/>
  <c r="S681" i="19" s="1"/>
  <c r="N681" i="19"/>
  <c r="K681" i="19"/>
  <c r="H681" i="19"/>
  <c r="E681" i="19"/>
  <c r="I681" i="19" s="1"/>
  <c r="D681" i="19"/>
  <c r="B681" i="19"/>
  <c r="AQ680" i="19"/>
  <c r="AL680" i="19"/>
  <c r="AG680" i="19"/>
  <c r="AE680" i="19"/>
  <c r="AB680" i="19"/>
  <c r="Y680" i="19"/>
  <c r="X680" i="19"/>
  <c r="U680" i="19"/>
  <c r="R680" i="19"/>
  <c r="O680" i="19"/>
  <c r="S680" i="19" s="1"/>
  <c r="N680" i="19"/>
  <c r="K680" i="19"/>
  <c r="H680" i="19"/>
  <c r="E680" i="19"/>
  <c r="I680" i="19" s="1"/>
  <c r="D680" i="19"/>
  <c r="B680" i="19"/>
  <c r="AQ679" i="19"/>
  <c r="AL679" i="19"/>
  <c r="AG679" i="19"/>
  <c r="AE679" i="19"/>
  <c r="AB679" i="19"/>
  <c r="Y679" i="19"/>
  <c r="X679" i="19"/>
  <c r="U679" i="19"/>
  <c r="R679" i="19"/>
  <c r="O679" i="19"/>
  <c r="S679" i="19" s="1"/>
  <c r="N679" i="19"/>
  <c r="K679" i="19"/>
  <c r="H679" i="19"/>
  <c r="E679" i="19"/>
  <c r="I679" i="19" s="1"/>
  <c r="D679" i="19"/>
  <c r="B679" i="19"/>
  <c r="AQ678" i="19"/>
  <c r="AL678" i="19"/>
  <c r="AG678" i="19"/>
  <c r="AE678" i="19"/>
  <c r="AB678" i="19"/>
  <c r="Y678" i="19"/>
  <c r="X678" i="19"/>
  <c r="U678" i="19"/>
  <c r="R678" i="19"/>
  <c r="O678" i="19"/>
  <c r="S678" i="19" s="1"/>
  <c r="N678" i="19"/>
  <c r="K678" i="19"/>
  <c r="H678" i="19"/>
  <c r="E678" i="19"/>
  <c r="I678" i="19" s="1"/>
  <c r="D678" i="19"/>
  <c r="B678" i="19"/>
  <c r="AQ677" i="19"/>
  <c r="AL677" i="19"/>
  <c r="AG677" i="19"/>
  <c r="AE677" i="19"/>
  <c r="AB677" i="19"/>
  <c r="Y677" i="19"/>
  <c r="X677" i="19"/>
  <c r="U677" i="19"/>
  <c r="R677" i="19"/>
  <c r="O677" i="19"/>
  <c r="S677" i="19" s="1"/>
  <c r="N677" i="19"/>
  <c r="K677" i="19"/>
  <c r="H677" i="19"/>
  <c r="E677" i="19"/>
  <c r="I677" i="19" s="1"/>
  <c r="D677" i="19"/>
  <c r="B677" i="19"/>
  <c r="AQ676" i="19"/>
  <c r="AL676" i="19"/>
  <c r="AG676" i="19"/>
  <c r="AE676" i="19"/>
  <c r="AB676" i="19"/>
  <c r="Y676" i="19"/>
  <c r="X676" i="19"/>
  <c r="U676" i="19"/>
  <c r="R676" i="19"/>
  <c r="O676" i="19"/>
  <c r="S676" i="19" s="1"/>
  <c r="N676" i="19"/>
  <c r="K676" i="19"/>
  <c r="H676" i="19"/>
  <c r="E676" i="19"/>
  <c r="I676" i="19" s="1"/>
  <c r="D676" i="19"/>
  <c r="B676" i="19"/>
  <c r="AQ675" i="19"/>
  <c r="AL675" i="19"/>
  <c r="AG675" i="19"/>
  <c r="AE675" i="19"/>
  <c r="AB675" i="19"/>
  <c r="Y675" i="19"/>
  <c r="X675" i="19"/>
  <c r="U675" i="19"/>
  <c r="R675" i="19"/>
  <c r="O675" i="19"/>
  <c r="S675" i="19" s="1"/>
  <c r="N675" i="19"/>
  <c r="K675" i="19"/>
  <c r="H675" i="19"/>
  <c r="E675" i="19"/>
  <c r="I675" i="19" s="1"/>
  <c r="D675" i="19"/>
  <c r="B675" i="19"/>
  <c r="AQ674" i="19"/>
  <c r="AL674" i="19"/>
  <c r="AG674" i="19"/>
  <c r="AE674" i="19"/>
  <c r="AB674" i="19"/>
  <c r="Y674" i="19"/>
  <c r="X674" i="19"/>
  <c r="U674" i="19"/>
  <c r="R674" i="19"/>
  <c r="O674" i="19"/>
  <c r="S674" i="19" s="1"/>
  <c r="N674" i="19"/>
  <c r="K674" i="19"/>
  <c r="H674" i="19"/>
  <c r="E674" i="19"/>
  <c r="I674" i="19" s="1"/>
  <c r="D674" i="19"/>
  <c r="B674" i="19"/>
  <c r="AQ673" i="19"/>
  <c r="AL673" i="19"/>
  <c r="AG673" i="19"/>
  <c r="AE673" i="19"/>
  <c r="AB673" i="19"/>
  <c r="Y673" i="19"/>
  <c r="X673" i="19"/>
  <c r="U673" i="19"/>
  <c r="R673" i="19"/>
  <c r="O673" i="19"/>
  <c r="S673" i="19" s="1"/>
  <c r="N673" i="19"/>
  <c r="K673" i="19"/>
  <c r="H673" i="19"/>
  <c r="E673" i="19"/>
  <c r="I673" i="19" s="1"/>
  <c r="D673" i="19"/>
  <c r="B673" i="19"/>
  <c r="AQ672" i="19"/>
  <c r="AL672" i="19"/>
  <c r="AG672" i="19"/>
  <c r="AE672" i="19"/>
  <c r="AB672" i="19"/>
  <c r="Y672" i="19"/>
  <c r="X672" i="19"/>
  <c r="U672" i="19"/>
  <c r="R672" i="19"/>
  <c r="O672" i="19"/>
  <c r="S672" i="19" s="1"/>
  <c r="N672" i="19"/>
  <c r="K672" i="19"/>
  <c r="H672" i="19"/>
  <c r="E672" i="19"/>
  <c r="I672" i="19" s="1"/>
  <c r="D672" i="19"/>
  <c r="B672" i="19"/>
  <c r="AQ671" i="19"/>
  <c r="AL671" i="19"/>
  <c r="AG671" i="19"/>
  <c r="AE671" i="19"/>
  <c r="AB671" i="19"/>
  <c r="Y671" i="19"/>
  <c r="X671" i="19"/>
  <c r="U671" i="19"/>
  <c r="R671" i="19"/>
  <c r="O671" i="19"/>
  <c r="S671" i="19" s="1"/>
  <c r="N671" i="19"/>
  <c r="K671" i="19"/>
  <c r="H671" i="19"/>
  <c r="E671" i="19"/>
  <c r="I671" i="19" s="1"/>
  <c r="D671" i="19"/>
  <c r="B671" i="19"/>
  <c r="AQ670" i="19"/>
  <c r="AL670" i="19"/>
  <c r="AG670" i="19"/>
  <c r="AE670" i="19"/>
  <c r="AB670" i="19"/>
  <c r="Y670" i="19"/>
  <c r="X670" i="19"/>
  <c r="U670" i="19"/>
  <c r="R670" i="19"/>
  <c r="O670" i="19"/>
  <c r="S670" i="19" s="1"/>
  <c r="N670" i="19"/>
  <c r="K670" i="19"/>
  <c r="H670" i="19"/>
  <c r="E670" i="19"/>
  <c r="I670" i="19" s="1"/>
  <c r="D670" i="19"/>
  <c r="B670" i="19"/>
  <c r="AQ669" i="19"/>
  <c r="AL669" i="19"/>
  <c r="AG669" i="19"/>
  <c r="AE669" i="19"/>
  <c r="AB669" i="19"/>
  <c r="Y669" i="19"/>
  <c r="X669" i="19"/>
  <c r="U669" i="19"/>
  <c r="R669" i="19"/>
  <c r="O669" i="19"/>
  <c r="S669" i="19" s="1"/>
  <c r="N669" i="19"/>
  <c r="K669" i="19"/>
  <c r="H669" i="19"/>
  <c r="E669" i="19"/>
  <c r="I669" i="19" s="1"/>
  <c r="D669" i="19"/>
  <c r="B669" i="19"/>
  <c r="AQ668" i="19"/>
  <c r="AL668" i="19"/>
  <c r="AG668" i="19"/>
  <c r="AE668" i="19"/>
  <c r="AB668" i="19"/>
  <c r="Y668" i="19"/>
  <c r="X668" i="19"/>
  <c r="U668" i="19"/>
  <c r="R668" i="19"/>
  <c r="O668" i="19"/>
  <c r="S668" i="19" s="1"/>
  <c r="N668" i="19"/>
  <c r="K668" i="19"/>
  <c r="H668" i="19"/>
  <c r="E668" i="19"/>
  <c r="I668" i="19" s="1"/>
  <c r="D668" i="19"/>
  <c r="B668" i="19"/>
  <c r="AQ667" i="19"/>
  <c r="AL667" i="19"/>
  <c r="AG667" i="19"/>
  <c r="AE667" i="19"/>
  <c r="AB667" i="19"/>
  <c r="Y667" i="19"/>
  <c r="X667" i="19"/>
  <c r="U667" i="19"/>
  <c r="R667" i="19"/>
  <c r="O667" i="19"/>
  <c r="S667" i="19" s="1"/>
  <c r="N667" i="19"/>
  <c r="K667" i="19"/>
  <c r="H667" i="19"/>
  <c r="E667" i="19"/>
  <c r="I667" i="19" s="1"/>
  <c r="D667" i="19"/>
  <c r="B667" i="19"/>
  <c r="AQ666" i="19"/>
  <c r="AL666" i="19"/>
  <c r="AG666" i="19"/>
  <c r="AE666" i="19"/>
  <c r="AB666" i="19"/>
  <c r="Y666" i="19"/>
  <c r="X666" i="19"/>
  <c r="U666" i="19"/>
  <c r="R666" i="19"/>
  <c r="O666" i="19"/>
  <c r="S666" i="19" s="1"/>
  <c r="N666" i="19"/>
  <c r="K666" i="19"/>
  <c r="H666" i="19"/>
  <c r="E666" i="19"/>
  <c r="I666" i="19" s="1"/>
  <c r="D666" i="19"/>
  <c r="B666" i="19"/>
  <c r="AQ665" i="19"/>
  <c r="AL665" i="19"/>
  <c r="AG665" i="19"/>
  <c r="AE665" i="19"/>
  <c r="AB665" i="19"/>
  <c r="Y665" i="19"/>
  <c r="X665" i="19"/>
  <c r="U665" i="19"/>
  <c r="R665" i="19"/>
  <c r="O665" i="19"/>
  <c r="S665" i="19" s="1"/>
  <c r="N665" i="19"/>
  <c r="K665" i="19"/>
  <c r="H665" i="19"/>
  <c r="E665" i="19"/>
  <c r="I665" i="19" s="1"/>
  <c r="D665" i="19"/>
  <c r="B665" i="19"/>
  <c r="AQ664" i="19"/>
  <c r="AL664" i="19"/>
  <c r="AG664" i="19"/>
  <c r="AE664" i="19"/>
  <c r="AB664" i="19"/>
  <c r="Y664" i="19"/>
  <c r="X664" i="19"/>
  <c r="U664" i="19"/>
  <c r="R664" i="19"/>
  <c r="O664" i="19"/>
  <c r="S664" i="19" s="1"/>
  <c r="N664" i="19"/>
  <c r="K664" i="19"/>
  <c r="H664" i="19"/>
  <c r="E664" i="19"/>
  <c r="I664" i="19" s="1"/>
  <c r="D664" i="19"/>
  <c r="B664" i="19"/>
  <c r="AQ663" i="19"/>
  <c r="AL663" i="19"/>
  <c r="AG663" i="19"/>
  <c r="AE663" i="19"/>
  <c r="AB663" i="19"/>
  <c r="Y663" i="19"/>
  <c r="X663" i="19"/>
  <c r="U663" i="19"/>
  <c r="R663" i="19"/>
  <c r="O663" i="19"/>
  <c r="S663" i="19" s="1"/>
  <c r="N663" i="19"/>
  <c r="K663" i="19"/>
  <c r="H663" i="19"/>
  <c r="E663" i="19"/>
  <c r="I663" i="19" s="1"/>
  <c r="D663" i="19"/>
  <c r="B663" i="19"/>
  <c r="AQ662" i="19"/>
  <c r="AL662" i="19"/>
  <c r="AG662" i="19"/>
  <c r="AE662" i="19"/>
  <c r="AB662" i="19"/>
  <c r="Y662" i="19"/>
  <c r="X662" i="19"/>
  <c r="U662" i="19"/>
  <c r="R662" i="19"/>
  <c r="O662" i="19"/>
  <c r="S662" i="19" s="1"/>
  <c r="N662" i="19"/>
  <c r="K662" i="19"/>
  <c r="H662" i="19"/>
  <c r="E662" i="19"/>
  <c r="I662" i="19" s="1"/>
  <c r="D662" i="19"/>
  <c r="B662" i="19"/>
  <c r="AQ661" i="19"/>
  <c r="AL661" i="19"/>
  <c r="AG661" i="19"/>
  <c r="AE661" i="19"/>
  <c r="AB661" i="19"/>
  <c r="Y661" i="19"/>
  <c r="X661" i="19"/>
  <c r="U661" i="19"/>
  <c r="R661" i="19"/>
  <c r="O661" i="19"/>
  <c r="S661" i="19" s="1"/>
  <c r="N661" i="19"/>
  <c r="K661" i="19"/>
  <c r="H661" i="19"/>
  <c r="E661" i="19"/>
  <c r="I661" i="19" s="1"/>
  <c r="D661" i="19"/>
  <c r="B661" i="19"/>
  <c r="AQ660" i="19"/>
  <c r="AL660" i="19"/>
  <c r="AG660" i="19"/>
  <c r="AE660" i="19"/>
  <c r="AB660" i="19"/>
  <c r="Y660" i="19"/>
  <c r="X660" i="19"/>
  <c r="U660" i="19"/>
  <c r="R660" i="19"/>
  <c r="O660" i="19"/>
  <c r="S660" i="19" s="1"/>
  <c r="N660" i="19"/>
  <c r="K660" i="19"/>
  <c r="H660" i="19"/>
  <c r="E660" i="19"/>
  <c r="I660" i="19" s="1"/>
  <c r="D660" i="19"/>
  <c r="B660" i="19"/>
  <c r="AQ659" i="19"/>
  <c r="AL659" i="19"/>
  <c r="AG659" i="19"/>
  <c r="AE659" i="19"/>
  <c r="AB659" i="19"/>
  <c r="Y659" i="19"/>
  <c r="X659" i="19"/>
  <c r="U659" i="19"/>
  <c r="R659" i="19"/>
  <c r="O659" i="19"/>
  <c r="S659" i="19" s="1"/>
  <c r="N659" i="19"/>
  <c r="K659" i="19"/>
  <c r="H659" i="19"/>
  <c r="E659" i="19"/>
  <c r="I659" i="19" s="1"/>
  <c r="D659" i="19"/>
  <c r="B659" i="19"/>
  <c r="AQ658" i="19"/>
  <c r="AL658" i="19"/>
  <c r="AG658" i="19"/>
  <c r="AE658" i="19"/>
  <c r="AB658" i="19"/>
  <c r="Y658" i="19"/>
  <c r="X658" i="19"/>
  <c r="U658" i="19"/>
  <c r="R658" i="19"/>
  <c r="O658" i="19"/>
  <c r="S658" i="19" s="1"/>
  <c r="N658" i="19"/>
  <c r="K658" i="19"/>
  <c r="H658" i="19"/>
  <c r="E658" i="19"/>
  <c r="I658" i="19" s="1"/>
  <c r="D658" i="19"/>
  <c r="B658" i="19"/>
  <c r="AQ657" i="19"/>
  <c r="AL657" i="19"/>
  <c r="AG657" i="19"/>
  <c r="AE657" i="19"/>
  <c r="AB657" i="19"/>
  <c r="Y657" i="19"/>
  <c r="X657" i="19"/>
  <c r="U657" i="19"/>
  <c r="AI657" i="19" s="1"/>
  <c r="R657" i="19"/>
  <c r="O657" i="19"/>
  <c r="S657" i="19" s="1"/>
  <c r="N657" i="19"/>
  <c r="K657" i="19"/>
  <c r="H657" i="19"/>
  <c r="E657" i="19"/>
  <c r="I657" i="19" s="1"/>
  <c r="D657" i="19"/>
  <c r="B657" i="19"/>
  <c r="AQ656" i="19"/>
  <c r="AL656" i="19"/>
  <c r="AG656" i="19"/>
  <c r="AE656" i="19"/>
  <c r="AB656" i="19"/>
  <c r="Y656" i="19"/>
  <c r="X656" i="19"/>
  <c r="U656" i="19"/>
  <c r="R656" i="19"/>
  <c r="O656" i="19"/>
  <c r="S656" i="19" s="1"/>
  <c r="N656" i="19"/>
  <c r="K656" i="19"/>
  <c r="H656" i="19"/>
  <c r="E656" i="19"/>
  <c r="I656" i="19" s="1"/>
  <c r="D656" i="19"/>
  <c r="B656" i="19"/>
  <c r="AQ655" i="19"/>
  <c r="AL655" i="19"/>
  <c r="AG655" i="19"/>
  <c r="AE655" i="19"/>
  <c r="AB655" i="19"/>
  <c r="Y655" i="19"/>
  <c r="X655" i="19"/>
  <c r="U655" i="19"/>
  <c r="R655" i="19"/>
  <c r="O655" i="19"/>
  <c r="S655" i="19" s="1"/>
  <c r="N655" i="19"/>
  <c r="K655" i="19"/>
  <c r="H655" i="19"/>
  <c r="E655" i="19"/>
  <c r="I655" i="19" s="1"/>
  <c r="D655" i="19"/>
  <c r="B655" i="19"/>
  <c r="AQ654" i="19"/>
  <c r="AL654" i="19"/>
  <c r="AG654" i="19"/>
  <c r="AE654" i="19"/>
  <c r="AB654" i="19"/>
  <c r="Y654" i="19"/>
  <c r="X654" i="19"/>
  <c r="U654" i="19"/>
  <c r="R654" i="19"/>
  <c r="O654" i="19"/>
  <c r="S654" i="19" s="1"/>
  <c r="N654" i="19"/>
  <c r="K654" i="19"/>
  <c r="H654" i="19"/>
  <c r="E654" i="19"/>
  <c r="I654" i="19" s="1"/>
  <c r="D654" i="19"/>
  <c r="B654" i="19"/>
  <c r="AQ653" i="19"/>
  <c r="AL653" i="19"/>
  <c r="AG653" i="19"/>
  <c r="AE653" i="19"/>
  <c r="AB653" i="19"/>
  <c r="Y653" i="19"/>
  <c r="X653" i="19"/>
  <c r="U653" i="19"/>
  <c r="R653" i="19"/>
  <c r="O653" i="19"/>
  <c r="S653" i="19" s="1"/>
  <c r="N653" i="19"/>
  <c r="K653" i="19"/>
  <c r="H653" i="19"/>
  <c r="E653" i="19"/>
  <c r="I653" i="19" s="1"/>
  <c r="D653" i="19"/>
  <c r="B653" i="19"/>
  <c r="AQ652" i="19"/>
  <c r="AL652" i="19"/>
  <c r="AG652" i="19"/>
  <c r="AE652" i="19"/>
  <c r="AB652" i="19"/>
  <c r="Y652" i="19"/>
  <c r="X652" i="19"/>
  <c r="U652" i="19"/>
  <c r="R652" i="19"/>
  <c r="O652" i="19"/>
  <c r="S652" i="19" s="1"/>
  <c r="N652" i="19"/>
  <c r="K652" i="19"/>
  <c r="H652" i="19"/>
  <c r="E652" i="19"/>
  <c r="I652" i="19" s="1"/>
  <c r="D652" i="19"/>
  <c r="B652" i="19"/>
  <c r="AQ651" i="19"/>
  <c r="AL651" i="19"/>
  <c r="AG651" i="19"/>
  <c r="AE651" i="19"/>
  <c r="AB651" i="19"/>
  <c r="Y651" i="19"/>
  <c r="X651" i="19"/>
  <c r="U651" i="19"/>
  <c r="R651" i="19"/>
  <c r="O651" i="19"/>
  <c r="S651" i="19" s="1"/>
  <c r="N651" i="19"/>
  <c r="K651" i="19"/>
  <c r="H651" i="19"/>
  <c r="E651" i="19"/>
  <c r="I651" i="19" s="1"/>
  <c r="D651" i="19"/>
  <c r="B651" i="19"/>
  <c r="AQ650" i="19"/>
  <c r="AL650" i="19"/>
  <c r="AG650" i="19"/>
  <c r="AE650" i="19"/>
  <c r="AB650" i="19"/>
  <c r="Y650" i="19"/>
  <c r="X650" i="19"/>
  <c r="U650" i="19"/>
  <c r="R650" i="19"/>
  <c r="O650" i="19"/>
  <c r="S650" i="19" s="1"/>
  <c r="N650" i="19"/>
  <c r="K650" i="19"/>
  <c r="H650" i="19"/>
  <c r="E650" i="19"/>
  <c r="I650" i="19" s="1"/>
  <c r="D650" i="19"/>
  <c r="B650" i="19"/>
  <c r="AQ649" i="19"/>
  <c r="AL649" i="19"/>
  <c r="AG649" i="19"/>
  <c r="AE649" i="19"/>
  <c r="AB649" i="19"/>
  <c r="Y649" i="19"/>
  <c r="X649" i="19"/>
  <c r="U649" i="19"/>
  <c r="R649" i="19"/>
  <c r="O649" i="19"/>
  <c r="S649" i="19" s="1"/>
  <c r="N649" i="19"/>
  <c r="K649" i="19"/>
  <c r="H649" i="19"/>
  <c r="E649" i="19"/>
  <c r="I649" i="19" s="1"/>
  <c r="D649" i="19"/>
  <c r="B649" i="19"/>
  <c r="AQ648" i="19"/>
  <c r="AL648" i="19"/>
  <c r="AG648" i="19"/>
  <c r="AE648" i="19"/>
  <c r="AB648" i="19"/>
  <c r="Y648" i="19"/>
  <c r="X648" i="19"/>
  <c r="U648" i="19"/>
  <c r="R648" i="19"/>
  <c r="O648" i="19"/>
  <c r="S648" i="19" s="1"/>
  <c r="N648" i="19"/>
  <c r="K648" i="19"/>
  <c r="H648" i="19"/>
  <c r="E648" i="19"/>
  <c r="I648" i="19" s="1"/>
  <c r="D648" i="19"/>
  <c r="B648" i="19"/>
  <c r="AQ647" i="19"/>
  <c r="AL647" i="19"/>
  <c r="AG647" i="19"/>
  <c r="AE647" i="19"/>
  <c r="AB647" i="19"/>
  <c r="Y647" i="19"/>
  <c r="X647" i="19"/>
  <c r="U647" i="19"/>
  <c r="R647" i="19"/>
  <c r="O647" i="19"/>
  <c r="S647" i="19" s="1"/>
  <c r="N647" i="19"/>
  <c r="K647" i="19"/>
  <c r="H647" i="19"/>
  <c r="E647" i="19"/>
  <c r="I647" i="19" s="1"/>
  <c r="D647" i="19"/>
  <c r="B647" i="19"/>
  <c r="AQ646" i="19"/>
  <c r="AL646" i="19"/>
  <c r="AG646" i="19"/>
  <c r="AE646" i="19"/>
  <c r="AB646" i="19"/>
  <c r="Y646" i="19"/>
  <c r="X646" i="19"/>
  <c r="U646" i="19"/>
  <c r="R646" i="19"/>
  <c r="O646" i="19"/>
  <c r="S646" i="19" s="1"/>
  <c r="N646" i="19"/>
  <c r="K646" i="19"/>
  <c r="H646" i="19"/>
  <c r="E646" i="19"/>
  <c r="I646" i="19" s="1"/>
  <c r="D646" i="19"/>
  <c r="B646" i="19"/>
  <c r="AQ645" i="19"/>
  <c r="AL645" i="19"/>
  <c r="AG645" i="19"/>
  <c r="AE645" i="19"/>
  <c r="AB645" i="19"/>
  <c r="Y645" i="19"/>
  <c r="X645" i="19"/>
  <c r="U645" i="19"/>
  <c r="AI645" i="19" s="1"/>
  <c r="R645" i="19"/>
  <c r="O645" i="19"/>
  <c r="S645" i="19" s="1"/>
  <c r="N645" i="19"/>
  <c r="K645" i="19"/>
  <c r="H645" i="19"/>
  <c r="E645" i="19"/>
  <c r="I645" i="19" s="1"/>
  <c r="D645" i="19"/>
  <c r="B645" i="19"/>
  <c r="AQ644" i="19"/>
  <c r="AL644" i="19"/>
  <c r="AG644" i="19"/>
  <c r="AE644" i="19"/>
  <c r="AB644" i="19"/>
  <c r="Y644" i="19"/>
  <c r="X644" i="19"/>
  <c r="U644" i="19"/>
  <c r="R644" i="19"/>
  <c r="O644" i="19"/>
  <c r="S644" i="19" s="1"/>
  <c r="N644" i="19"/>
  <c r="K644" i="19"/>
  <c r="H644" i="19"/>
  <c r="E644" i="19"/>
  <c r="I644" i="19" s="1"/>
  <c r="D644" i="19"/>
  <c r="B644" i="19"/>
  <c r="AQ643" i="19"/>
  <c r="AL643" i="19"/>
  <c r="AG643" i="19"/>
  <c r="AE643" i="19"/>
  <c r="AB643" i="19"/>
  <c r="Y643" i="19"/>
  <c r="X643" i="19"/>
  <c r="U643" i="19"/>
  <c r="R643" i="19"/>
  <c r="O643" i="19"/>
  <c r="S643" i="19" s="1"/>
  <c r="N643" i="19"/>
  <c r="K643" i="19"/>
  <c r="H643" i="19"/>
  <c r="E643" i="19"/>
  <c r="I643" i="19" s="1"/>
  <c r="D643" i="19"/>
  <c r="B643" i="19"/>
  <c r="AQ642" i="19"/>
  <c r="AL642" i="19"/>
  <c r="AG642" i="19"/>
  <c r="AE642" i="19"/>
  <c r="AB642" i="19"/>
  <c r="Y642" i="19"/>
  <c r="X642" i="19"/>
  <c r="U642" i="19"/>
  <c r="R642" i="19"/>
  <c r="O642" i="19"/>
  <c r="S642" i="19" s="1"/>
  <c r="N642" i="19"/>
  <c r="K642" i="19"/>
  <c r="H642" i="19"/>
  <c r="E642" i="19"/>
  <c r="I642" i="19" s="1"/>
  <c r="D642" i="19"/>
  <c r="B642" i="19"/>
  <c r="AQ641" i="19"/>
  <c r="AL641" i="19"/>
  <c r="AG641" i="19"/>
  <c r="AE641" i="19"/>
  <c r="AB641" i="19"/>
  <c r="Y641" i="19"/>
  <c r="X641" i="19"/>
  <c r="U641" i="19"/>
  <c r="R641" i="19"/>
  <c r="O641" i="19"/>
  <c r="S641" i="19" s="1"/>
  <c r="N641" i="19"/>
  <c r="K641" i="19"/>
  <c r="H641" i="19"/>
  <c r="E641" i="19"/>
  <c r="I641" i="19" s="1"/>
  <c r="D641" i="19"/>
  <c r="B641" i="19"/>
  <c r="AQ640" i="19"/>
  <c r="AL640" i="19"/>
  <c r="AG640" i="19"/>
  <c r="AE640" i="19"/>
  <c r="AB640" i="19"/>
  <c r="Y640" i="19"/>
  <c r="X640" i="19"/>
  <c r="U640" i="19"/>
  <c r="R640" i="19"/>
  <c r="O640" i="19"/>
  <c r="S640" i="19" s="1"/>
  <c r="N640" i="19"/>
  <c r="K640" i="19"/>
  <c r="H640" i="19"/>
  <c r="E640" i="19"/>
  <c r="I640" i="19" s="1"/>
  <c r="D640" i="19"/>
  <c r="B640" i="19"/>
  <c r="AQ639" i="19"/>
  <c r="AL639" i="19"/>
  <c r="AG639" i="19"/>
  <c r="AE639" i="19"/>
  <c r="AB639" i="19"/>
  <c r="Y639" i="19"/>
  <c r="X639" i="19"/>
  <c r="U639" i="19"/>
  <c r="R639" i="19"/>
  <c r="O639" i="19"/>
  <c r="S639" i="19" s="1"/>
  <c r="N639" i="19"/>
  <c r="K639" i="19"/>
  <c r="H639" i="19"/>
  <c r="E639" i="19"/>
  <c r="I639" i="19" s="1"/>
  <c r="D639" i="19"/>
  <c r="B639" i="19"/>
  <c r="AQ638" i="19"/>
  <c r="AL638" i="19"/>
  <c r="AG638" i="19"/>
  <c r="AE638" i="19"/>
  <c r="AB638" i="19"/>
  <c r="Y638" i="19"/>
  <c r="X638" i="19"/>
  <c r="U638" i="19"/>
  <c r="R638" i="19"/>
  <c r="O638" i="19"/>
  <c r="S638" i="19" s="1"/>
  <c r="N638" i="19"/>
  <c r="K638" i="19"/>
  <c r="H638" i="19"/>
  <c r="E638" i="19"/>
  <c r="I638" i="19" s="1"/>
  <c r="D638" i="19"/>
  <c r="B638" i="19"/>
  <c r="AQ637" i="19"/>
  <c r="AL637" i="19"/>
  <c r="AG637" i="19"/>
  <c r="AE637" i="19"/>
  <c r="AB637" i="19"/>
  <c r="Y637" i="19"/>
  <c r="X637" i="19"/>
  <c r="U637" i="19"/>
  <c r="R637" i="19"/>
  <c r="O637" i="19"/>
  <c r="S637" i="19" s="1"/>
  <c r="N637" i="19"/>
  <c r="K637" i="19"/>
  <c r="H637" i="19"/>
  <c r="E637" i="19"/>
  <c r="I637" i="19" s="1"/>
  <c r="D637" i="19"/>
  <c r="B637" i="19"/>
  <c r="AQ636" i="19"/>
  <c r="AL636" i="19"/>
  <c r="AG636" i="19"/>
  <c r="AE636" i="19"/>
  <c r="AB636" i="19"/>
  <c r="Y636" i="19"/>
  <c r="X636" i="19"/>
  <c r="U636" i="19"/>
  <c r="R636" i="19"/>
  <c r="O636" i="19"/>
  <c r="S636" i="19" s="1"/>
  <c r="N636" i="19"/>
  <c r="K636" i="19"/>
  <c r="H636" i="19"/>
  <c r="E636" i="19"/>
  <c r="I636" i="19" s="1"/>
  <c r="D636" i="19"/>
  <c r="B636" i="19"/>
  <c r="AQ635" i="19"/>
  <c r="AL635" i="19"/>
  <c r="AG635" i="19"/>
  <c r="AE635" i="19"/>
  <c r="AB635" i="19"/>
  <c r="Y635" i="19"/>
  <c r="X635" i="19"/>
  <c r="U635" i="19"/>
  <c r="R635" i="19"/>
  <c r="O635" i="19"/>
  <c r="S635" i="19" s="1"/>
  <c r="N635" i="19"/>
  <c r="K635" i="19"/>
  <c r="H635" i="19"/>
  <c r="E635" i="19"/>
  <c r="I635" i="19" s="1"/>
  <c r="D635" i="19"/>
  <c r="B635" i="19"/>
  <c r="AQ634" i="19"/>
  <c r="AL634" i="19"/>
  <c r="AG634" i="19"/>
  <c r="AE634" i="19"/>
  <c r="AB634" i="19"/>
  <c r="Y634" i="19"/>
  <c r="X634" i="19"/>
  <c r="U634" i="19"/>
  <c r="R634" i="19"/>
  <c r="O634" i="19"/>
  <c r="S634" i="19" s="1"/>
  <c r="N634" i="19"/>
  <c r="K634" i="19"/>
  <c r="H634" i="19"/>
  <c r="E634" i="19"/>
  <c r="I634" i="19" s="1"/>
  <c r="D634" i="19"/>
  <c r="B634" i="19"/>
  <c r="AQ633" i="19"/>
  <c r="AL633" i="19"/>
  <c r="AG633" i="19"/>
  <c r="AE633" i="19"/>
  <c r="AB633" i="19"/>
  <c r="Y633" i="19"/>
  <c r="X633" i="19"/>
  <c r="U633" i="19"/>
  <c r="R633" i="19"/>
  <c r="O633" i="19"/>
  <c r="S633" i="19" s="1"/>
  <c r="N633" i="19"/>
  <c r="K633" i="19"/>
  <c r="H633" i="19"/>
  <c r="E633" i="19"/>
  <c r="I633" i="19" s="1"/>
  <c r="D633" i="19"/>
  <c r="B633" i="19"/>
  <c r="AQ632" i="19"/>
  <c r="AL632" i="19"/>
  <c r="AG632" i="19"/>
  <c r="AE632" i="19"/>
  <c r="AB632" i="19"/>
  <c r="Y632" i="19"/>
  <c r="X632" i="19"/>
  <c r="U632" i="19"/>
  <c r="R632" i="19"/>
  <c r="O632" i="19"/>
  <c r="S632" i="19" s="1"/>
  <c r="N632" i="19"/>
  <c r="K632" i="19"/>
  <c r="H632" i="19"/>
  <c r="E632" i="19"/>
  <c r="I632" i="19" s="1"/>
  <c r="D632" i="19"/>
  <c r="B632" i="19"/>
  <c r="AQ631" i="19"/>
  <c r="AL631" i="19"/>
  <c r="AG631" i="19"/>
  <c r="AE631" i="19"/>
  <c r="AB631" i="19"/>
  <c r="Y631" i="19"/>
  <c r="X631" i="19"/>
  <c r="U631" i="19"/>
  <c r="R631" i="19"/>
  <c r="O631" i="19"/>
  <c r="S631" i="19" s="1"/>
  <c r="N631" i="19"/>
  <c r="K631" i="19"/>
  <c r="H631" i="19"/>
  <c r="E631" i="19"/>
  <c r="I631" i="19" s="1"/>
  <c r="D631" i="19"/>
  <c r="B631" i="19"/>
  <c r="AQ630" i="19"/>
  <c r="AL630" i="19"/>
  <c r="AG630" i="19"/>
  <c r="AE630" i="19"/>
  <c r="AB630" i="19"/>
  <c r="Y630" i="19"/>
  <c r="X630" i="19"/>
  <c r="U630" i="19"/>
  <c r="R630" i="19"/>
  <c r="O630" i="19"/>
  <c r="S630" i="19" s="1"/>
  <c r="N630" i="19"/>
  <c r="K630" i="19"/>
  <c r="H630" i="19"/>
  <c r="E630" i="19"/>
  <c r="I630" i="19" s="1"/>
  <c r="D630" i="19"/>
  <c r="B630" i="19"/>
  <c r="AQ629" i="19"/>
  <c r="AL629" i="19"/>
  <c r="AG629" i="19"/>
  <c r="AE629" i="19"/>
  <c r="AB629" i="19"/>
  <c r="Y629" i="19"/>
  <c r="X629" i="19"/>
  <c r="U629" i="19"/>
  <c r="R629" i="19"/>
  <c r="O629" i="19"/>
  <c r="S629" i="19" s="1"/>
  <c r="N629" i="19"/>
  <c r="K629" i="19"/>
  <c r="H629" i="19"/>
  <c r="E629" i="19"/>
  <c r="I629" i="19" s="1"/>
  <c r="D629" i="19"/>
  <c r="B629" i="19"/>
  <c r="AQ628" i="19"/>
  <c r="AL628" i="19"/>
  <c r="AG628" i="19"/>
  <c r="AE628" i="19"/>
  <c r="AB628" i="19"/>
  <c r="Y628" i="19"/>
  <c r="X628" i="19"/>
  <c r="U628" i="19"/>
  <c r="R628" i="19"/>
  <c r="O628" i="19"/>
  <c r="S628" i="19" s="1"/>
  <c r="N628" i="19"/>
  <c r="K628" i="19"/>
  <c r="H628" i="19"/>
  <c r="E628" i="19"/>
  <c r="I628" i="19" s="1"/>
  <c r="D628" i="19"/>
  <c r="B628" i="19"/>
  <c r="AQ627" i="19"/>
  <c r="AL627" i="19"/>
  <c r="AG627" i="19"/>
  <c r="AE627" i="19"/>
  <c r="AB627" i="19"/>
  <c r="Y627" i="19"/>
  <c r="X627" i="19"/>
  <c r="U627" i="19"/>
  <c r="R627" i="19"/>
  <c r="O627" i="19"/>
  <c r="S627" i="19" s="1"/>
  <c r="N627" i="19"/>
  <c r="K627" i="19"/>
  <c r="H627" i="19"/>
  <c r="E627" i="19"/>
  <c r="I627" i="19" s="1"/>
  <c r="D627" i="19"/>
  <c r="B627" i="19"/>
  <c r="AQ626" i="19"/>
  <c r="AL626" i="19"/>
  <c r="AG626" i="19"/>
  <c r="AE626" i="19"/>
  <c r="AB626" i="19"/>
  <c r="Y626" i="19"/>
  <c r="X626" i="19"/>
  <c r="U626" i="19"/>
  <c r="R626" i="19"/>
  <c r="O626" i="19"/>
  <c r="S626" i="19" s="1"/>
  <c r="N626" i="19"/>
  <c r="K626" i="19"/>
  <c r="H626" i="19"/>
  <c r="E626" i="19"/>
  <c r="I626" i="19" s="1"/>
  <c r="D626" i="19"/>
  <c r="B626" i="19"/>
  <c r="AQ625" i="19"/>
  <c r="AL625" i="19"/>
  <c r="AG625" i="19"/>
  <c r="AE625" i="19"/>
  <c r="AB625" i="19"/>
  <c r="Y625" i="19"/>
  <c r="X625" i="19"/>
  <c r="U625" i="19"/>
  <c r="R625" i="19"/>
  <c r="O625" i="19"/>
  <c r="S625" i="19" s="1"/>
  <c r="N625" i="19"/>
  <c r="K625" i="19"/>
  <c r="H625" i="19"/>
  <c r="E625" i="19"/>
  <c r="I625" i="19" s="1"/>
  <c r="D625" i="19"/>
  <c r="B625" i="19"/>
  <c r="AQ624" i="19"/>
  <c r="AL624" i="19"/>
  <c r="AG624" i="19"/>
  <c r="AE624" i="19"/>
  <c r="AB624" i="19"/>
  <c r="Y624" i="19"/>
  <c r="X624" i="19"/>
  <c r="U624" i="19"/>
  <c r="R624" i="19"/>
  <c r="O624" i="19"/>
  <c r="S624" i="19" s="1"/>
  <c r="N624" i="19"/>
  <c r="K624" i="19"/>
  <c r="H624" i="19"/>
  <c r="E624" i="19"/>
  <c r="I624" i="19" s="1"/>
  <c r="D624" i="19"/>
  <c r="B624" i="19"/>
  <c r="AQ623" i="19"/>
  <c r="AL623" i="19"/>
  <c r="AG623" i="19"/>
  <c r="AE623" i="19"/>
  <c r="AB623" i="19"/>
  <c r="Y623" i="19"/>
  <c r="X623" i="19"/>
  <c r="U623" i="19"/>
  <c r="R623" i="19"/>
  <c r="O623" i="19"/>
  <c r="S623" i="19" s="1"/>
  <c r="N623" i="19"/>
  <c r="K623" i="19"/>
  <c r="H623" i="19"/>
  <c r="E623" i="19"/>
  <c r="I623" i="19" s="1"/>
  <c r="D623" i="19"/>
  <c r="B623" i="19"/>
  <c r="AQ622" i="19"/>
  <c r="AL622" i="19"/>
  <c r="AG622" i="19"/>
  <c r="AE622" i="19"/>
  <c r="AB622" i="19"/>
  <c r="Y622" i="19"/>
  <c r="X622" i="19"/>
  <c r="U622" i="19"/>
  <c r="R622" i="19"/>
  <c r="O622" i="19"/>
  <c r="S622" i="19" s="1"/>
  <c r="N622" i="19"/>
  <c r="K622" i="19"/>
  <c r="H622" i="19"/>
  <c r="E622" i="19"/>
  <c r="I622" i="19" s="1"/>
  <c r="D622" i="19"/>
  <c r="B622" i="19"/>
  <c r="AQ621" i="19"/>
  <c r="AL621" i="19"/>
  <c r="AG621" i="19"/>
  <c r="AE621" i="19"/>
  <c r="AB621" i="19"/>
  <c r="Y621" i="19"/>
  <c r="X621" i="19"/>
  <c r="U621" i="19"/>
  <c r="R621" i="19"/>
  <c r="O621" i="19"/>
  <c r="S621" i="19" s="1"/>
  <c r="N621" i="19"/>
  <c r="K621" i="19"/>
  <c r="H621" i="19"/>
  <c r="E621" i="19"/>
  <c r="I621" i="19" s="1"/>
  <c r="D621" i="19"/>
  <c r="B621" i="19"/>
  <c r="AQ620" i="19"/>
  <c r="AL620" i="19"/>
  <c r="AG620" i="19"/>
  <c r="AE620" i="19"/>
  <c r="AB620" i="19"/>
  <c r="Y620" i="19"/>
  <c r="X620" i="19"/>
  <c r="U620" i="19"/>
  <c r="R620" i="19"/>
  <c r="O620" i="19"/>
  <c r="S620" i="19" s="1"/>
  <c r="N620" i="19"/>
  <c r="K620" i="19"/>
  <c r="H620" i="19"/>
  <c r="E620" i="19"/>
  <c r="I620" i="19" s="1"/>
  <c r="D620" i="19"/>
  <c r="B620" i="19"/>
  <c r="AQ619" i="19"/>
  <c r="AL619" i="19"/>
  <c r="AG619" i="19"/>
  <c r="AE619" i="19"/>
  <c r="AB619" i="19"/>
  <c r="Y619" i="19"/>
  <c r="X619" i="19"/>
  <c r="U619" i="19"/>
  <c r="R619" i="19"/>
  <c r="O619" i="19"/>
  <c r="S619" i="19" s="1"/>
  <c r="N619" i="19"/>
  <c r="K619" i="19"/>
  <c r="H619" i="19"/>
  <c r="E619" i="19"/>
  <c r="I619" i="19" s="1"/>
  <c r="D619" i="19"/>
  <c r="B619" i="19"/>
  <c r="AQ618" i="19"/>
  <c r="AL618" i="19"/>
  <c r="AG618" i="19"/>
  <c r="AE618" i="19"/>
  <c r="AB618" i="19"/>
  <c r="Y618" i="19"/>
  <c r="X618" i="19"/>
  <c r="U618" i="19"/>
  <c r="R618" i="19"/>
  <c r="O618" i="19"/>
  <c r="S618" i="19" s="1"/>
  <c r="N618" i="19"/>
  <c r="K618" i="19"/>
  <c r="H618" i="19"/>
  <c r="E618" i="19"/>
  <c r="I618" i="19" s="1"/>
  <c r="D618" i="19"/>
  <c r="B618" i="19"/>
  <c r="AQ617" i="19"/>
  <c r="AL617" i="19"/>
  <c r="AG617" i="19"/>
  <c r="AE617" i="19"/>
  <c r="AB617" i="19"/>
  <c r="Y617" i="19"/>
  <c r="X617" i="19"/>
  <c r="U617" i="19"/>
  <c r="R617" i="19"/>
  <c r="O617" i="19"/>
  <c r="S617" i="19" s="1"/>
  <c r="N617" i="19"/>
  <c r="K617" i="19"/>
  <c r="H617" i="19"/>
  <c r="E617" i="19"/>
  <c r="I617" i="19" s="1"/>
  <c r="D617" i="19"/>
  <c r="B617" i="19"/>
  <c r="AQ616" i="19"/>
  <c r="AL616" i="19"/>
  <c r="AG616" i="19"/>
  <c r="AE616" i="19"/>
  <c r="AB616" i="19"/>
  <c r="Y616" i="19"/>
  <c r="X616" i="19"/>
  <c r="U616" i="19"/>
  <c r="R616" i="19"/>
  <c r="O616" i="19"/>
  <c r="S616" i="19" s="1"/>
  <c r="N616" i="19"/>
  <c r="K616" i="19"/>
  <c r="H616" i="19"/>
  <c r="E616" i="19"/>
  <c r="I616" i="19" s="1"/>
  <c r="D616" i="19"/>
  <c r="B616" i="19"/>
  <c r="AQ615" i="19"/>
  <c r="AL615" i="19"/>
  <c r="AG615" i="19"/>
  <c r="AE615" i="19"/>
  <c r="AB615" i="19"/>
  <c r="Y615" i="19"/>
  <c r="X615" i="19"/>
  <c r="U615" i="19"/>
  <c r="R615" i="19"/>
  <c r="O615" i="19"/>
  <c r="S615" i="19" s="1"/>
  <c r="N615" i="19"/>
  <c r="K615" i="19"/>
  <c r="H615" i="19"/>
  <c r="E615" i="19"/>
  <c r="I615" i="19" s="1"/>
  <c r="D615" i="19"/>
  <c r="B615" i="19"/>
  <c r="AQ614" i="19"/>
  <c r="AL614" i="19"/>
  <c r="AG614" i="19"/>
  <c r="AE614" i="19"/>
  <c r="AB614" i="19"/>
  <c r="Y614" i="19"/>
  <c r="X614" i="19"/>
  <c r="U614" i="19"/>
  <c r="R614" i="19"/>
  <c r="O614" i="19"/>
  <c r="S614" i="19" s="1"/>
  <c r="N614" i="19"/>
  <c r="K614" i="19"/>
  <c r="H614" i="19"/>
  <c r="E614" i="19"/>
  <c r="I614" i="19" s="1"/>
  <c r="D614" i="19"/>
  <c r="B614" i="19"/>
  <c r="AQ613" i="19"/>
  <c r="AL613" i="19"/>
  <c r="AG613" i="19"/>
  <c r="AE613" i="19"/>
  <c r="AB613" i="19"/>
  <c r="Y613" i="19"/>
  <c r="X613" i="19"/>
  <c r="U613" i="19"/>
  <c r="R613" i="19"/>
  <c r="O613" i="19"/>
  <c r="S613" i="19" s="1"/>
  <c r="N613" i="19"/>
  <c r="K613" i="19"/>
  <c r="H613" i="19"/>
  <c r="E613" i="19"/>
  <c r="I613" i="19" s="1"/>
  <c r="D613" i="19"/>
  <c r="B613" i="19"/>
  <c r="AQ612" i="19"/>
  <c r="AL612" i="19"/>
  <c r="AG612" i="19"/>
  <c r="AE612" i="19"/>
  <c r="AB612" i="19"/>
  <c r="Y612" i="19"/>
  <c r="X612" i="19"/>
  <c r="U612" i="19"/>
  <c r="R612" i="19"/>
  <c r="O612" i="19"/>
  <c r="S612" i="19" s="1"/>
  <c r="N612" i="19"/>
  <c r="K612" i="19"/>
  <c r="H612" i="19"/>
  <c r="E612" i="19"/>
  <c r="I612" i="19" s="1"/>
  <c r="D612" i="19"/>
  <c r="B612" i="19"/>
  <c r="AQ611" i="19"/>
  <c r="AL611" i="19"/>
  <c r="AG611" i="19"/>
  <c r="AE611" i="19"/>
  <c r="AB611" i="19"/>
  <c r="Y611" i="19"/>
  <c r="X611" i="19"/>
  <c r="U611" i="19"/>
  <c r="R611" i="19"/>
  <c r="O611" i="19"/>
  <c r="S611" i="19" s="1"/>
  <c r="N611" i="19"/>
  <c r="K611" i="19"/>
  <c r="H611" i="19"/>
  <c r="E611" i="19"/>
  <c r="I611" i="19" s="1"/>
  <c r="D611" i="19"/>
  <c r="B611" i="19"/>
  <c r="AQ610" i="19"/>
  <c r="AL610" i="19"/>
  <c r="AG610" i="19"/>
  <c r="AE610" i="19"/>
  <c r="AB610" i="19"/>
  <c r="Y610" i="19"/>
  <c r="X610" i="19"/>
  <c r="U610" i="19"/>
  <c r="R610" i="19"/>
  <c r="O610" i="19"/>
  <c r="S610" i="19" s="1"/>
  <c r="N610" i="19"/>
  <c r="K610" i="19"/>
  <c r="H610" i="19"/>
  <c r="E610" i="19"/>
  <c r="I610" i="19" s="1"/>
  <c r="D610" i="19"/>
  <c r="B610" i="19"/>
  <c r="AQ609" i="19"/>
  <c r="AL609" i="19"/>
  <c r="AG609" i="19"/>
  <c r="AE609" i="19"/>
  <c r="AB609" i="19"/>
  <c r="Y609" i="19"/>
  <c r="X609" i="19"/>
  <c r="U609" i="19"/>
  <c r="R609" i="19"/>
  <c r="O609" i="19"/>
  <c r="S609" i="19" s="1"/>
  <c r="N609" i="19"/>
  <c r="K609" i="19"/>
  <c r="H609" i="19"/>
  <c r="E609" i="19"/>
  <c r="I609" i="19" s="1"/>
  <c r="D609" i="19"/>
  <c r="B609" i="19"/>
  <c r="AQ608" i="19"/>
  <c r="AL608" i="19"/>
  <c r="AG608" i="19"/>
  <c r="AE608" i="19"/>
  <c r="AB608" i="19"/>
  <c r="Y608" i="19"/>
  <c r="X608" i="19"/>
  <c r="U608" i="19"/>
  <c r="R608" i="19"/>
  <c r="O608" i="19"/>
  <c r="S608" i="19" s="1"/>
  <c r="N608" i="19"/>
  <c r="K608" i="19"/>
  <c r="H608" i="19"/>
  <c r="E608" i="19"/>
  <c r="I608" i="19" s="1"/>
  <c r="D608" i="19"/>
  <c r="B608" i="19"/>
  <c r="AQ607" i="19"/>
  <c r="AL607" i="19"/>
  <c r="AG607" i="19"/>
  <c r="AE607" i="19"/>
  <c r="AB607" i="19"/>
  <c r="Y607" i="19"/>
  <c r="X607" i="19"/>
  <c r="U607" i="19"/>
  <c r="R607" i="19"/>
  <c r="O607" i="19"/>
  <c r="S607" i="19" s="1"/>
  <c r="N607" i="19"/>
  <c r="K607" i="19"/>
  <c r="H607" i="19"/>
  <c r="E607" i="19"/>
  <c r="I607" i="19" s="1"/>
  <c r="D607" i="19"/>
  <c r="B607" i="19"/>
  <c r="AQ606" i="19"/>
  <c r="AL606" i="19"/>
  <c r="AG606" i="19"/>
  <c r="AE606" i="19"/>
  <c r="AB606" i="19"/>
  <c r="Y606" i="19"/>
  <c r="X606" i="19"/>
  <c r="U606" i="19"/>
  <c r="R606" i="19"/>
  <c r="O606" i="19"/>
  <c r="S606" i="19" s="1"/>
  <c r="N606" i="19"/>
  <c r="K606" i="19"/>
  <c r="H606" i="19"/>
  <c r="E606" i="19"/>
  <c r="I606" i="19" s="1"/>
  <c r="D606" i="19"/>
  <c r="B606" i="19"/>
  <c r="AQ605" i="19"/>
  <c r="AL605" i="19"/>
  <c r="AG605" i="19"/>
  <c r="AE605" i="19"/>
  <c r="AB605" i="19"/>
  <c r="Y605" i="19"/>
  <c r="X605" i="19"/>
  <c r="U605" i="19"/>
  <c r="R605" i="19"/>
  <c r="O605" i="19"/>
  <c r="S605" i="19" s="1"/>
  <c r="N605" i="19"/>
  <c r="K605" i="19"/>
  <c r="H605" i="19"/>
  <c r="E605" i="19"/>
  <c r="I605" i="19" s="1"/>
  <c r="D605" i="19"/>
  <c r="B605" i="19"/>
  <c r="AQ604" i="19"/>
  <c r="AL604" i="19"/>
  <c r="AG604" i="19"/>
  <c r="AE604" i="19"/>
  <c r="AB604" i="19"/>
  <c r="Y604" i="19"/>
  <c r="X604" i="19"/>
  <c r="U604" i="19"/>
  <c r="R604" i="19"/>
  <c r="O604" i="19"/>
  <c r="S604" i="19" s="1"/>
  <c r="N604" i="19"/>
  <c r="K604" i="19"/>
  <c r="H604" i="19"/>
  <c r="E604" i="19"/>
  <c r="I604" i="19" s="1"/>
  <c r="D604" i="19"/>
  <c r="B604" i="19"/>
  <c r="AQ603" i="19"/>
  <c r="AL603" i="19"/>
  <c r="AG603" i="19"/>
  <c r="AE603" i="19"/>
  <c r="AB603" i="19"/>
  <c r="Y603" i="19"/>
  <c r="X603" i="19"/>
  <c r="U603" i="19"/>
  <c r="R603" i="19"/>
  <c r="O603" i="19"/>
  <c r="S603" i="19" s="1"/>
  <c r="N603" i="19"/>
  <c r="K603" i="19"/>
  <c r="H603" i="19"/>
  <c r="E603" i="19"/>
  <c r="I603" i="19" s="1"/>
  <c r="D603" i="19"/>
  <c r="B603" i="19"/>
  <c r="AQ602" i="19"/>
  <c r="AL602" i="19"/>
  <c r="AG602" i="19"/>
  <c r="AE602" i="19"/>
  <c r="AB602" i="19"/>
  <c r="Y602" i="19"/>
  <c r="X602" i="19"/>
  <c r="U602" i="19"/>
  <c r="R602" i="19"/>
  <c r="O602" i="19"/>
  <c r="S602" i="19" s="1"/>
  <c r="N602" i="19"/>
  <c r="K602" i="19"/>
  <c r="H602" i="19"/>
  <c r="E602" i="19"/>
  <c r="I602" i="19" s="1"/>
  <c r="D602" i="19"/>
  <c r="B602" i="19"/>
  <c r="AQ601" i="19"/>
  <c r="AL601" i="19"/>
  <c r="AG601" i="19"/>
  <c r="AE601" i="19"/>
  <c r="AB601" i="19"/>
  <c r="Y601" i="19"/>
  <c r="X601" i="19"/>
  <c r="U601" i="19"/>
  <c r="R601" i="19"/>
  <c r="O601" i="19"/>
  <c r="S601" i="19" s="1"/>
  <c r="N601" i="19"/>
  <c r="K601" i="19"/>
  <c r="H601" i="19"/>
  <c r="E601" i="19"/>
  <c r="I601" i="19" s="1"/>
  <c r="D601" i="19"/>
  <c r="B601" i="19"/>
  <c r="AQ600" i="19"/>
  <c r="AL600" i="19"/>
  <c r="AG600" i="19"/>
  <c r="AE600" i="19"/>
  <c r="AB600" i="19"/>
  <c r="Y600" i="19"/>
  <c r="X600" i="19"/>
  <c r="U600" i="19"/>
  <c r="R600" i="19"/>
  <c r="O600" i="19"/>
  <c r="S600" i="19" s="1"/>
  <c r="N600" i="19"/>
  <c r="K600" i="19"/>
  <c r="H600" i="19"/>
  <c r="E600" i="19"/>
  <c r="I600" i="19" s="1"/>
  <c r="D600" i="19"/>
  <c r="B600" i="19"/>
  <c r="AQ599" i="19"/>
  <c r="AL599" i="19"/>
  <c r="AG599" i="19"/>
  <c r="AE599" i="19"/>
  <c r="AB599" i="19"/>
  <c r="Y599" i="19"/>
  <c r="X599" i="19"/>
  <c r="U599" i="19"/>
  <c r="R599" i="19"/>
  <c r="O599" i="19"/>
  <c r="S599" i="19" s="1"/>
  <c r="N599" i="19"/>
  <c r="K599" i="19"/>
  <c r="H599" i="19"/>
  <c r="E599" i="19"/>
  <c r="I599" i="19" s="1"/>
  <c r="D599" i="19"/>
  <c r="B599" i="19"/>
  <c r="AQ598" i="19"/>
  <c r="AL598" i="19"/>
  <c r="AG598" i="19"/>
  <c r="AE598" i="19"/>
  <c r="AB598" i="19"/>
  <c r="Y598" i="19"/>
  <c r="X598" i="19"/>
  <c r="U598" i="19"/>
  <c r="R598" i="19"/>
  <c r="O598" i="19"/>
  <c r="S598" i="19" s="1"/>
  <c r="N598" i="19"/>
  <c r="K598" i="19"/>
  <c r="H598" i="19"/>
  <c r="E598" i="19"/>
  <c r="I598" i="19" s="1"/>
  <c r="D598" i="19"/>
  <c r="B598" i="19"/>
  <c r="AQ597" i="19"/>
  <c r="AL597" i="19"/>
  <c r="AG597" i="19"/>
  <c r="AE597" i="19"/>
  <c r="AB597" i="19"/>
  <c r="Y597" i="19"/>
  <c r="X597" i="19"/>
  <c r="U597" i="19"/>
  <c r="R597" i="19"/>
  <c r="O597" i="19"/>
  <c r="S597" i="19" s="1"/>
  <c r="N597" i="19"/>
  <c r="K597" i="19"/>
  <c r="H597" i="19"/>
  <c r="E597" i="19"/>
  <c r="I597" i="19" s="1"/>
  <c r="D597" i="19"/>
  <c r="B597" i="19"/>
  <c r="AQ596" i="19"/>
  <c r="AL596" i="19"/>
  <c r="AG596" i="19"/>
  <c r="AE596" i="19"/>
  <c r="AB596" i="19"/>
  <c r="Y596" i="19"/>
  <c r="X596" i="19"/>
  <c r="U596" i="19"/>
  <c r="R596" i="19"/>
  <c r="O596" i="19"/>
  <c r="S596" i="19" s="1"/>
  <c r="N596" i="19"/>
  <c r="K596" i="19"/>
  <c r="H596" i="19"/>
  <c r="E596" i="19"/>
  <c r="I596" i="19" s="1"/>
  <c r="D596" i="19"/>
  <c r="B596" i="19"/>
  <c r="AQ595" i="19"/>
  <c r="AL595" i="19"/>
  <c r="AG595" i="19"/>
  <c r="AE595" i="19"/>
  <c r="AB595" i="19"/>
  <c r="Y595" i="19"/>
  <c r="X595" i="19"/>
  <c r="U595" i="19"/>
  <c r="R595" i="19"/>
  <c r="O595" i="19"/>
  <c r="S595" i="19" s="1"/>
  <c r="N595" i="19"/>
  <c r="K595" i="19"/>
  <c r="H595" i="19"/>
  <c r="E595" i="19"/>
  <c r="I595" i="19" s="1"/>
  <c r="D595" i="19"/>
  <c r="B595" i="19"/>
  <c r="AQ594" i="19"/>
  <c r="AL594" i="19"/>
  <c r="AG594" i="19"/>
  <c r="AE594" i="19"/>
  <c r="AB594" i="19"/>
  <c r="Y594" i="19"/>
  <c r="X594" i="19"/>
  <c r="U594" i="19"/>
  <c r="R594" i="19"/>
  <c r="O594" i="19"/>
  <c r="S594" i="19" s="1"/>
  <c r="N594" i="19"/>
  <c r="K594" i="19"/>
  <c r="H594" i="19"/>
  <c r="E594" i="19"/>
  <c r="I594" i="19" s="1"/>
  <c r="D594" i="19"/>
  <c r="B594" i="19"/>
  <c r="AQ593" i="19"/>
  <c r="AL593" i="19"/>
  <c r="AG593" i="19"/>
  <c r="AE593" i="19"/>
  <c r="AB593" i="19"/>
  <c r="Y593" i="19"/>
  <c r="X593" i="19"/>
  <c r="U593" i="19"/>
  <c r="R593" i="19"/>
  <c r="O593" i="19"/>
  <c r="S593" i="19" s="1"/>
  <c r="N593" i="19"/>
  <c r="K593" i="19"/>
  <c r="H593" i="19"/>
  <c r="E593" i="19"/>
  <c r="I593" i="19" s="1"/>
  <c r="D593" i="19"/>
  <c r="B593" i="19"/>
  <c r="AQ592" i="19"/>
  <c r="AL592" i="19"/>
  <c r="AG592" i="19"/>
  <c r="AE592" i="19"/>
  <c r="AB592" i="19"/>
  <c r="Y592" i="19"/>
  <c r="X592" i="19"/>
  <c r="U592" i="19"/>
  <c r="R592" i="19"/>
  <c r="O592" i="19"/>
  <c r="S592" i="19" s="1"/>
  <c r="N592" i="19"/>
  <c r="K592" i="19"/>
  <c r="H592" i="19"/>
  <c r="E592" i="19"/>
  <c r="I592" i="19" s="1"/>
  <c r="D592" i="19"/>
  <c r="B592" i="19"/>
  <c r="AQ591" i="19"/>
  <c r="AL591" i="19"/>
  <c r="AG591" i="19"/>
  <c r="AE591" i="19"/>
  <c r="AB591" i="19"/>
  <c r="Y591" i="19"/>
  <c r="X591" i="19"/>
  <c r="U591" i="19"/>
  <c r="R591" i="19"/>
  <c r="O591" i="19"/>
  <c r="S591" i="19" s="1"/>
  <c r="N591" i="19"/>
  <c r="K591" i="19"/>
  <c r="H591" i="19"/>
  <c r="E591" i="19"/>
  <c r="I591" i="19" s="1"/>
  <c r="D591" i="19"/>
  <c r="B591" i="19"/>
  <c r="AQ590" i="19"/>
  <c r="AL590" i="19"/>
  <c r="AG590" i="19"/>
  <c r="AE590" i="19"/>
  <c r="AB590" i="19"/>
  <c r="Y590" i="19"/>
  <c r="X590" i="19"/>
  <c r="U590" i="19"/>
  <c r="R590" i="19"/>
  <c r="O590" i="19"/>
  <c r="S590" i="19" s="1"/>
  <c r="N590" i="19"/>
  <c r="K590" i="19"/>
  <c r="H590" i="19"/>
  <c r="E590" i="19"/>
  <c r="I590" i="19" s="1"/>
  <c r="D590" i="19"/>
  <c r="B590" i="19"/>
  <c r="AQ589" i="19"/>
  <c r="AL589" i="19"/>
  <c r="AG589" i="19"/>
  <c r="AE589" i="19"/>
  <c r="AB589" i="19"/>
  <c r="Y589" i="19"/>
  <c r="X589" i="19"/>
  <c r="U589" i="19"/>
  <c r="R589" i="19"/>
  <c r="O589" i="19"/>
  <c r="S589" i="19" s="1"/>
  <c r="N589" i="19"/>
  <c r="K589" i="19"/>
  <c r="H589" i="19"/>
  <c r="E589" i="19"/>
  <c r="I589" i="19" s="1"/>
  <c r="D589" i="19"/>
  <c r="B589" i="19"/>
  <c r="AQ588" i="19"/>
  <c r="AL588" i="19"/>
  <c r="AG588" i="19"/>
  <c r="AE588" i="19"/>
  <c r="AB588" i="19"/>
  <c r="Y588" i="19"/>
  <c r="X588" i="19"/>
  <c r="U588" i="19"/>
  <c r="R588" i="19"/>
  <c r="O588" i="19"/>
  <c r="S588" i="19" s="1"/>
  <c r="N588" i="19"/>
  <c r="K588" i="19"/>
  <c r="H588" i="19"/>
  <c r="E588" i="19"/>
  <c r="I588" i="19" s="1"/>
  <c r="D588" i="19"/>
  <c r="B588" i="19"/>
  <c r="AQ587" i="19"/>
  <c r="AL587" i="19"/>
  <c r="AG587" i="19"/>
  <c r="AE587" i="19"/>
  <c r="AB587" i="19"/>
  <c r="Y587" i="19"/>
  <c r="X587" i="19"/>
  <c r="U587" i="19"/>
  <c r="R587" i="19"/>
  <c r="O587" i="19"/>
  <c r="S587" i="19" s="1"/>
  <c r="N587" i="19"/>
  <c r="K587" i="19"/>
  <c r="H587" i="19"/>
  <c r="E587" i="19"/>
  <c r="I587" i="19" s="1"/>
  <c r="D587" i="19"/>
  <c r="B587" i="19"/>
  <c r="AQ586" i="19"/>
  <c r="AL586" i="19"/>
  <c r="AG586" i="19"/>
  <c r="AE586" i="19"/>
  <c r="AB586" i="19"/>
  <c r="Y586" i="19"/>
  <c r="X586" i="19"/>
  <c r="U586" i="19"/>
  <c r="R586" i="19"/>
  <c r="O586" i="19"/>
  <c r="S586" i="19" s="1"/>
  <c r="N586" i="19"/>
  <c r="K586" i="19"/>
  <c r="H586" i="19"/>
  <c r="E586" i="19"/>
  <c r="I586" i="19" s="1"/>
  <c r="D586" i="19"/>
  <c r="B586" i="19"/>
  <c r="AQ585" i="19"/>
  <c r="AL585" i="19"/>
  <c r="AG585" i="19"/>
  <c r="AE585" i="19"/>
  <c r="AB585" i="19"/>
  <c r="Y585" i="19"/>
  <c r="X585" i="19"/>
  <c r="U585" i="19"/>
  <c r="R585" i="19"/>
  <c r="O585" i="19"/>
  <c r="S585" i="19" s="1"/>
  <c r="N585" i="19"/>
  <c r="K585" i="19"/>
  <c r="H585" i="19"/>
  <c r="E585" i="19"/>
  <c r="I585" i="19" s="1"/>
  <c r="D585" i="19"/>
  <c r="B585" i="19"/>
  <c r="AQ584" i="19"/>
  <c r="AL584" i="19"/>
  <c r="AG584" i="19"/>
  <c r="AE584" i="19"/>
  <c r="AB584" i="19"/>
  <c r="Y584" i="19"/>
  <c r="X584" i="19"/>
  <c r="U584" i="19"/>
  <c r="R584" i="19"/>
  <c r="O584" i="19"/>
  <c r="S584" i="19" s="1"/>
  <c r="N584" i="19"/>
  <c r="K584" i="19"/>
  <c r="H584" i="19"/>
  <c r="E584" i="19"/>
  <c r="I584" i="19" s="1"/>
  <c r="D584" i="19"/>
  <c r="B584" i="19"/>
  <c r="AQ583" i="19"/>
  <c r="AL583" i="19"/>
  <c r="AG583" i="19"/>
  <c r="AE583" i="19"/>
  <c r="AB583" i="19"/>
  <c r="Y583" i="19"/>
  <c r="X583" i="19"/>
  <c r="U583" i="19"/>
  <c r="R583" i="19"/>
  <c r="O583" i="19"/>
  <c r="S583" i="19" s="1"/>
  <c r="N583" i="19"/>
  <c r="K583" i="19"/>
  <c r="H583" i="19"/>
  <c r="E583" i="19"/>
  <c r="I583" i="19" s="1"/>
  <c r="D583" i="19"/>
  <c r="B583" i="19"/>
  <c r="AQ582" i="19"/>
  <c r="AL582" i="19"/>
  <c r="AG582" i="19"/>
  <c r="AE582" i="19"/>
  <c r="AB582" i="19"/>
  <c r="Y582" i="19"/>
  <c r="X582" i="19"/>
  <c r="U582" i="19"/>
  <c r="R582" i="19"/>
  <c r="O582" i="19"/>
  <c r="S582" i="19" s="1"/>
  <c r="N582" i="19"/>
  <c r="K582" i="19"/>
  <c r="H582" i="19"/>
  <c r="E582" i="19"/>
  <c r="I582" i="19" s="1"/>
  <c r="D582" i="19"/>
  <c r="B582" i="19"/>
  <c r="AQ581" i="19"/>
  <c r="AL581" i="19"/>
  <c r="AG581" i="19"/>
  <c r="AE581" i="19"/>
  <c r="AB581" i="19"/>
  <c r="Y581" i="19"/>
  <c r="X581" i="19"/>
  <c r="U581" i="19"/>
  <c r="R581" i="19"/>
  <c r="O581" i="19"/>
  <c r="S581" i="19" s="1"/>
  <c r="N581" i="19"/>
  <c r="K581" i="19"/>
  <c r="H581" i="19"/>
  <c r="E581" i="19"/>
  <c r="I581" i="19" s="1"/>
  <c r="D581" i="19"/>
  <c r="B581" i="19"/>
  <c r="AQ580" i="19"/>
  <c r="AL580" i="19"/>
  <c r="AG580" i="19"/>
  <c r="AE580" i="19"/>
  <c r="AB580" i="19"/>
  <c r="Y580" i="19"/>
  <c r="X580" i="19"/>
  <c r="U580" i="19"/>
  <c r="R580" i="19"/>
  <c r="O580" i="19"/>
  <c r="S580" i="19" s="1"/>
  <c r="N580" i="19"/>
  <c r="K580" i="19"/>
  <c r="H580" i="19"/>
  <c r="E580" i="19"/>
  <c r="I580" i="19" s="1"/>
  <c r="D580" i="19"/>
  <c r="B580" i="19"/>
  <c r="AQ579" i="19"/>
  <c r="AL579" i="19"/>
  <c r="AG579" i="19"/>
  <c r="AE579" i="19"/>
  <c r="AB579" i="19"/>
  <c r="Y579" i="19"/>
  <c r="X579" i="19"/>
  <c r="U579" i="19"/>
  <c r="R579" i="19"/>
  <c r="O579" i="19"/>
  <c r="S579" i="19" s="1"/>
  <c r="N579" i="19"/>
  <c r="K579" i="19"/>
  <c r="H579" i="19"/>
  <c r="E579" i="19"/>
  <c r="I579" i="19" s="1"/>
  <c r="D579" i="19"/>
  <c r="B579" i="19"/>
  <c r="AQ578" i="19"/>
  <c r="AL578" i="19"/>
  <c r="AG578" i="19"/>
  <c r="AE578" i="19"/>
  <c r="AB578" i="19"/>
  <c r="Y578" i="19"/>
  <c r="X578" i="19"/>
  <c r="U578" i="19"/>
  <c r="R578" i="19"/>
  <c r="O578" i="19"/>
  <c r="S578" i="19" s="1"/>
  <c r="N578" i="19"/>
  <c r="K578" i="19"/>
  <c r="H578" i="19"/>
  <c r="E578" i="19"/>
  <c r="I578" i="19" s="1"/>
  <c r="D578" i="19"/>
  <c r="B578" i="19"/>
  <c r="AQ577" i="19"/>
  <c r="AL577" i="19"/>
  <c r="AG577" i="19"/>
  <c r="AE577" i="19"/>
  <c r="AB577" i="19"/>
  <c r="Y577" i="19"/>
  <c r="X577" i="19"/>
  <c r="U577" i="19"/>
  <c r="R577" i="19"/>
  <c r="O577" i="19"/>
  <c r="S577" i="19" s="1"/>
  <c r="N577" i="19"/>
  <c r="K577" i="19"/>
  <c r="H577" i="19"/>
  <c r="E577" i="19"/>
  <c r="I577" i="19" s="1"/>
  <c r="D577" i="19"/>
  <c r="B577" i="19"/>
  <c r="AQ576" i="19"/>
  <c r="AL576" i="19"/>
  <c r="AG576" i="19"/>
  <c r="AE576" i="19"/>
  <c r="AB576" i="19"/>
  <c r="Y576" i="19"/>
  <c r="X576" i="19"/>
  <c r="U576" i="19"/>
  <c r="R576" i="19"/>
  <c r="O576" i="19"/>
  <c r="S576" i="19" s="1"/>
  <c r="N576" i="19"/>
  <c r="K576" i="19"/>
  <c r="H576" i="19"/>
  <c r="E576" i="19"/>
  <c r="I576" i="19" s="1"/>
  <c r="D576" i="19"/>
  <c r="B576" i="19"/>
  <c r="AQ575" i="19"/>
  <c r="AL575" i="19"/>
  <c r="AG575" i="19"/>
  <c r="AE575" i="19"/>
  <c r="AB575" i="19"/>
  <c r="Y575" i="19"/>
  <c r="X575" i="19"/>
  <c r="U575" i="19"/>
  <c r="R575" i="19"/>
  <c r="O575" i="19"/>
  <c r="S575" i="19" s="1"/>
  <c r="N575" i="19"/>
  <c r="K575" i="19"/>
  <c r="H575" i="19"/>
  <c r="E575" i="19"/>
  <c r="I575" i="19" s="1"/>
  <c r="D575" i="19"/>
  <c r="B575" i="19"/>
  <c r="AQ574" i="19"/>
  <c r="AL574" i="19"/>
  <c r="AG574" i="19"/>
  <c r="AE574" i="19"/>
  <c r="AB574" i="19"/>
  <c r="Y574" i="19"/>
  <c r="X574" i="19"/>
  <c r="U574" i="19"/>
  <c r="R574" i="19"/>
  <c r="O574" i="19"/>
  <c r="S574" i="19" s="1"/>
  <c r="N574" i="19"/>
  <c r="K574" i="19"/>
  <c r="H574" i="19"/>
  <c r="E574" i="19"/>
  <c r="I574" i="19" s="1"/>
  <c r="D574" i="19"/>
  <c r="B574" i="19"/>
  <c r="AQ573" i="19"/>
  <c r="AL573" i="19"/>
  <c r="AG573" i="19"/>
  <c r="AE573" i="19"/>
  <c r="AB573" i="19"/>
  <c r="Y573" i="19"/>
  <c r="X573" i="19"/>
  <c r="U573" i="19"/>
  <c r="R573" i="19"/>
  <c r="O573" i="19"/>
  <c r="S573" i="19" s="1"/>
  <c r="N573" i="19"/>
  <c r="K573" i="19"/>
  <c r="H573" i="19"/>
  <c r="E573" i="19"/>
  <c r="I573" i="19" s="1"/>
  <c r="D573" i="19"/>
  <c r="B573" i="19"/>
  <c r="AQ572" i="19"/>
  <c r="AL572" i="19"/>
  <c r="AG572" i="19"/>
  <c r="AE572" i="19"/>
  <c r="AB572" i="19"/>
  <c r="Y572" i="19"/>
  <c r="X572" i="19"/>
  <c r="U572" i="19"/>
  <c r="R572" i="19"/>
  <c r="O572" i="19"/>
  <c r="S572" i="19" s="1"/>
  <c r="N572" i="19"/>
  <c r="K572" i="19"/>
  <c r="H572" i="19"/>
  <c r="E572" i="19"/>
  <c r="I572" i="19" s="1"/>
  <c r="D572" i="19"/>
  <c r="B572" i="19"/>
  <c r="AQ571" i="19"/>
  <c r="AL571" i="19"/>
  <c r="AG571" i="19"/>
  <c r="AE571" i="19"/>
  <c r="AB571" i="19"/>
  <c r="Y571" i="19"/>
  <c r="X571" i="19"/>
  <c r="U571" i="19"/>
  <c r="R571" i="19"/>
  <c r="O571" i="19"/>
  <c r="S571" i="19" s="1"/>
  <c r="N571" i="19"/>
  <c r="K571" i="19"/>
  <c r="H571" i="19"/>
  <c r="E571" i="19"/>
  <c r="I571" i="19" s="1"/>
  <c r="D571" i="19"/>
  <c r="B571" i="19"/>
  <c r="AQ570" i="19"/>
  <c r="AL570" i="19"/>
  <c r="AG570" i="19"/>
  <c r="AE570" i="19"/>
  <c r="AB570" i="19"/>
  <c r="Y570" i="19"/>
  <c r="X570" i="19"/>
  <c r="U570" i="19"/>
  <c r="R570" i="19"/>
  <c r="O570" i="19"/>
  <c r="S570" i="19" s="1"/>
  <c r="N570" i="19"/>
  <c r="K570" i="19"/>
  <c r="H570" i="19"/>
  <c r="E570" i="19"/>
  <c r="I570" i="19" s="1"/>
  <c r="D570" i="19"/>
  <c r="B570" i="19"/>
  <c r="AQ569" i="19"/>
  <c r="AL569" i="19"/>
  <c r="AG569" i="19"/>
  <c r="AE569" i="19"/>
  <c r="AB569" i="19"/>
  <c r="Y569" i="19"/>
  <c r="X569" i="19"/>
  <c r="U569" i="19"/>
  <c r="R569" i="19"/>
  <c r="O569" i="19"/>
  <c r="S569" i="19" s="1"/>
  <c r="N569" i="19"/>
  <c r="K569" i="19"/>
  <c r="H569" i="19"/>
  <c r="E569" i="19"/>
  <c r="I569" i="19" s="1"/>
  <c r="D569" i="19"/>
  <c r="B569" i="19"/>
  <c r="AQ568" i="19"/>
  <c r="AL568" i="19"/>
  <c r="AG568" i="19"/>
  <c r="AE568" i="19"/>
  <c r="AB568" i="19"/>
  <c r="Y568" i="19"/>
  <c r="X568" i="19"/>
  <c r="U568" i="19"/>
  <c r="R568" i="19"/>
  <c r="O568" i="19"/>
  <c r="S568" i="19" s="1"/>
  <c r="N568" i="19"/>
  <c r="K568" i="19"/>
  <c r="H568" i="19"/>
  <c r="E568" i="19"/>
  <c r="I568" i="19" s="1"/>
  <c r="D568" i="19"/>
  <c r="B568" i="19"/>
  <c r="AQ567" i="19"/>
  <c r="AL567" i="19"/>
  <c r="AG567" i="19"/>
  <c r="AE567" i="19"/>
  <c r="AB567" i="19"/>
  <c r="Y567" i="19"/>
  <c r="X567" i="19"/>
  <c r="U567" i="19"/>
  <c r="R567" i="19"/>
  <c r="O567" i="19"/>
  <c r="S567" i="19" s="1"/>
  <c r="N567" i="19"/>
  <c r="K567" i="19"/>
  <c r="H567" i="19"/>
  <c r="E567" i="19"/>
  <c r="I567" i="19" s="1"/>
  <c r="D567" i="19"/>
  <c r="B567" i="19"/>
  <c r="AQ566" i="19"/>
  <c r="AL566" i="19"/>
  <c r="AG566" i="19"/>
  <c r="AE566" i="19"/>
  <c r="AB566" i="19"/>
  <c r="Y566" i="19"/>
  <c r="X566" i="19"/>
  <c r="U566" i="19"/>
  <c r="R566" i="19"/>
  <c r="O566" i="19"/>
  <c r="S566" i="19" s="1"/>
  <c r="N566" i="19"/>
  <c r="K566" i="19"/>
  <c r="H566" i="19"/>
  <c r="E566" i="19"/>
  <c r="I566" i="19" s="1"/>
  <c r="D566" i="19"/>
  <c r="B566" i="19"/>
  <c r="AQ565" i="19"/>
  <c r="AL565" i="19"/>
  <c r="AG565" i="19"/>
  <c r="AE565" i="19"/>
  <c r="AB565" i="19"/>
  <c r="Y565" i="19"/>
  <c r="X565" i="19"/>
  <c r="U565" i="19"/>
  <c r="R565" i="19"/>
  <c r="O565" i="19"/>
  <c r="S565" i="19" s="1"/>
  <c r="N565" i="19"/>
  <c r="K565" i="19"/>
  <c r="H565" i="19"/>
  <c r="E565" i="19"/>
  <c r="I565" i="19" s="1"/>
  <c r="D565" i="19"/>
  <c r="B565" i="19"/>
  <c r="AQ564" i="19"/>
  <c r="AL564" i="19"/>
  <c r="AG564" i="19"/>
  <c r="AE564" i="19"/>
  <c r="AB564" i="19"/>
  <c r="Y564" i="19"/>
  <c r="X564" i="19"/>
  <c r="U564" i="19"/>
  <c r="R564" i="19"/>
  <c r="O564" i="19"/>
  <c r="S564" i="19" s="1"/>
  <c r="N564" i="19"/>
  <c r="K564" i="19"/>
  <c r="H564" i="19"/>
  <c r="E564" i="19"/>
  <c r="I564" i="19" s="1"/>
  <c r="D564" i="19"/>
  <c r="B564" i="19"/>
  <c r="AQ563" i="19"/>
  <c r="AL563" i="19"/>
  <c r="AG563" i="19"/>
  <c r="AE563" i="19"/>
  <c r="AB563" i="19"/>
  <c r="Y563" i="19"/>
  <c r="X563" i="19"/>
  <c r="U563" i="19"/>
  <c r="R563" i="19"/>
  <c r="O563" i="19"/>
  <c r="S563" i="19" s="1"/>
  <c r="N563" i="19"/>
  <c r="K563" i="19"/>
  <c r="H563" i="19"/>
  <c r="E563" i="19"/>
  <c r="I563" i="19" s="1"/>
  <c r="D563" i="19"/>
  <c r="B563" i="19"/>
  <c r="AQ562" i="19"/>
  <c r="AL562" i="19"/>
  <c r="AG562" i="19"/>
  <c r="AE562" i="19"/>
  <c r="AB562" i="19"/>
  <c r="Y562" i="19"/>
  <c r="X562" i="19"/>
  <c r="U562" i="19"/>
  <c r="R562" i="19"/>
  <c r="O562" i="19"/>
  <c r="S562" i="19" s="1"/>
  <c r="N562" i="19"/>
  <c r="K562" i="19"/>
  <c r="H562" i="19"/>
  <c r="E562" i="19"/>
  <c r="I562" i="19" s="1"/>
  <c r="D562" i="19"/>
  <c r="B562" i="19"/>
  <c r="AQ561" i="19"/>
  <c r="AL561" i="19"/>
  <c r="AG561" i="19"/>
  <c r="AE561" i="19"/>
  <c r="AB561" i="19"/>
  <c r="Y561" i="19"/>
  <c r="X561" i="19"/>
  <c r="U561" i="19"/>
  <c r="R561" i="19"/>
  <c r="O561" i="19"/>
  <c r="S561" i="19" s="1"/>
  <c r="N561" i="19"/>
  <c r="K561" i="19"/>
  <c r="H561" i="19"/>
  <c r="E561" i="19"/>
  <c r="I561" i="19" s="1"/>
  <c r="D561" i="19"/>
  <c r="B561" i="19"/>
  <c r="AQ560" i="19"/>
  <c r="AL560" i="19"/>
  <c r="AG560" i="19"/>
  <c r="AE560" i="19"/>
  <c r="AB560" i="19"/>
  <c r="Y560" i="19"/>
  <c r="X560" i="19"/>
  <c r="U560" i="19"/>
  <c r="R560" i="19"/>
  <c r="O560" i="19"/>
  <c r="S560" i="19" s="1"/>
  <c r="N560" i="19"/>
  <c r="K560" i="19"/>
  <c r="H560" i="19"/>
  <c r="E560" i="19"/>
  <c r="I560" i="19" s="1"/>
  <c r="D560" i="19"/>
  <c r="B560" i="19"/>
  <c r="AQ559" i="19"/>
  <c r="AL559" i="19"/>
  <c r="AG559" i="19"/>
  <c r="AE559" i="19"/>
  <c r="AB559" i="19"/>
  <c r="Y559" i="19"/>
  <c r="X559" i="19"/>
  <c r="U559" i="19"/>
  <c r="R559" i="19"/>
  <c r="O559" i="19"/>
  <c r="S559" i="19" s="1"/>
  <c r="N559" i="19"/>
  <c r="K559" i="19"/>
  <c r="H559" i="19"/>
  <c r="E559" i="19"/>
  <c r="I559" i="19" s="1"/>
  <c r="D559" i="19"/>
  <c r="B559" i="19"/>
  <c r="AQ558" i="19"/>
  <c r="AL558" i="19"/>
  <c r="AG558" i="19"/>
  <c r="AE558" i="19"/>
  <c r="AB558" i="19"/>
  <c r="Y558" i="19"/>
  <c r="X558" i="19"/>
  <c r="U558" i="19"/>
  <c r="R558" i="19"/>
  <c r="O558" i="19"/>
  <c r="S558" i="19" s="1"/>
  <c r="N558" i="19"/>
  <c r="K558" i="19"/>
  <c r="H558" i="19"/>
  <c r="E558" i="19"/>
  <c r="I558" i="19" s="1"/>
  <c r="D558" i="19"/>
  <c r="B558" i="19"/>
  <c r="AQ557" i="19"/>
  <c r="AL557" i="19"/>
  <c r="AG557" i="19"/>
  <c r="AE557" i="19"/>
  <c r="AB557" i="19"/>
  <c r="Y557" i="19"/>
  <c r="X557" i="19"/>
  <c r="U557" i="19"/>
  <c r="R557" i="19"/>
  <c r="O557" i="19"/>
  <c r="S557" i="19" s="1"/>
  <c r="N557" i="19"/>
  <c r="K557" i="19"/>
  <c r="H557" i="19"/>
  <c r="E557" i="19"/>
  <c r="I557" i="19" s="1"/>
  <c r="D557" i="19"/>
  <c r="B557" i="19"/>
  <c r="AQ556" i="19"/>
  <c r="AL556" i="19"/>
  <c r="AG556" i="19"/>
  <c r="AE556" i="19"/>
  <c r="AB556" i="19"/>
  <c r="Y556" i="19"/>
  <c r="X556" i="19"/>
  <c r="U556" i="19"/>
  <c r="R556" i="19"/>
  <c r="O556" i="19"/>
  <c r="S556" i="19" s="1"/>
  <c r="N556" i="19"/>
  <c r="K556" i="19"/>
  <c r="H556" i="19"/>
  <c r="E556" i="19"/>
  <c r="I556" i="19" s="1"/>
  <c r="D556" i="19"/>
  <c r="B556" i="19"/>
  <c r="AQ555" i="19"/>
  <c r="AL555" i="19"/>
  <c r="AG555" i="19"/>
  <c r="AE555" i="19"/>
  <c r="AB555" i="19"/>
  <c r="Y555" i="19"/>
  <c r="X555" i="19"/>
  <c r="U555" i="19"/>
  <c r="R555" i="19"/>
  <c r="O555" i="19"/>
  <c r="S555" i="19" s="1"/>
  <c r="N555" i="19"/>
  <c r="K555" i="19"/>
  <c r="H555" i="19"/>
  <c r="E555" i="19"/>
  <c r="I555" i="19" s="1"/>
  <c r="D555" i="19"/>
  <c r="B555" i="19"/>
  <c r="AQ554" i="19"/>
  <c r="AL554" i="19"/>
  <c r="AG554" i="19"/>
  <c r="AE554" i="19"/>
  <c r="AB554" i="19"/>
  <c r="Y554" i="19"/>
  <c r="X554" i="19"/>
  <c r="U554" i="19"/>
  <c r="R554" i="19"/>
  <c r="O554" i="19"/>
  <c r="S554" i="19" s="1"/>
  <c r="N554" i="19"/>
  <c r="K554" i="19"/>
  <c r="H554" i="19"/>
  <c r="E554" i="19"/>
  <c r="I554" i="19" s="1"/>
  <c r="D554" i="19"/>
  <c r="B554" i="19"/>
  <c r="AQ553" i="19"/>
  <c r="AL553" i="19"/>
  <c r="AG553" i="19"/>
  <c r="AE553" i="19"/>
  <c r="AB553" i="19"/>
  <c r="Y553" i="19"/>
  <c r="X553" i="19"/>
  <c r="U553" i="19"/>
  <c r="R553" i="19"/>
  <c r="O553" i="19"/>
  <c r="S553" i="19" s="1"/>
  <c r="N553" i="19"/>
  <c r="K553" i="19"/>
  <c r="H553" i="19"/>
  <c r="E553" i="19"/>
  <c r="I553" i="19" s="1"/>
  <c r="D553" i="19"/>
  <c r="B553" i="19"/>
  <c r="AQ552" i="19"/>
  <c r="AL552" i="19"/>
  <c r="AG552" i="19"/>
  <c r="AE552" i="19"/>
  <c r="AB552" i="19"/>
  <c r="Y552" i="19"/>
  <c r="X552" i="19"/>
  <c r="U552" i="19"/>
  <c r="R552" i="19"/>
  <c r="O552" i="19"/>
  <c r="S552" i="19" s="1"/>
  <c r="N552" i="19"/>
  <c r="K552" i="19"/>
  <c r="H552" i="19"/>
  <c r="E552" i="19"/>
  <c r="I552" i="19" s="1"/>
  <c r="D552" i="19"/>
  <c r="B552" i="19"/>
  <c r="AQ551" i="19"/>
  <c r="AL551" i="19"/>
  <c r="AG551" i="19"/>
  <c r="AE551" i="19"/>
  <c r="AB551" i="19"/>
  <c r="Y551" i="19"/>
  <c r="X551" i="19"/>
  <c r="U551" i="19"/>
  <c r="R551" i="19"/>
  <c r="O551" i="19"/>
  <c r="S551" i="19" s="1"/>
  <c r="N551" i="19"/>
  <c r="K551" i="19"/>
  <c r="H551" i="19"/>
  <c r="E551" i="19"/>
  <c r="I551" i="19" s="1"/>
  <c r="D551" i="19"/>
  <c r="B551" i="19"/>
  <c r="AQ550" i="19"/>
  <c r="AL550" i="19"/>
  <c r="AG550" i="19"/>
  <c r="AE550" i="19"/>
  <c r="AB550" i="19"/>
  <c r="Y550" i="19"/>
  <c r="X550" i="19"/>
  <c r="U550" i="19"/>
  <c r="R550" i="19"/>
  <c r="O550" i="19"/>
  <c r="S550" i="19" s="1"/>
  <c r="N550" i="19"/>
  <c r="K550" i="19"/>
  <c r="H550" i="19"/>
  <c r="E550" i="19"/>
  <c r="I550" i="19" s="1"/>
  <c r="D550" i="19"/>
  <c r="B550" i="19"/>
  <c r="AQ549" i="19"/>
  <c r="AL549" i="19"/>
  <c r="AG549" i="19"/>
  <c r="AE549" i="19"/>
  <c r="AB549" i="19"/>
  <c r="Y549" i="19"/>
  <c r="X549" i="19"/>
  <c r="U549" i="19"/>
  <c r="R549" i="19"/>
  <c r="O549" i="19"/>
  <c r="S549" i="19" s="1"/>
  <c r="N549" i="19"/>
  <c r="K549" i="19"/>
  <c r="H549" i="19"/>
  <c r="E549" i="19"/>
  <c r="I549" i="19" s="1"/>
  <c r="D549" i="19"/>
  <c r="B549" i="19"/>
  <c r="AQ548" i="19"/>
  <c r="AL548" i="19"/>
  <c r="AG548" i="19"/>
  <c r="AE548" i="19"/>
  <c r="AB548" i="19"/>
  <c r="Y548" i="19"/>
  <c r="X548" i="19"/>
  <c r="U548" i="19"/>
  <c r="R548" i="19"/>
  <c r="O548" i="19"/>
  <c r="S548" i="19" s="1"/>
  <c r="N548" i="19"/>
  <c r="K548" i="19"/>
  <c r="H548" i="19"/>
  <c r="E548" i="19"/>
  <c r="I548" i="19" s="1"/>
  <c r="D548" i="19"/>
  <c r="B548" i="19"/>
  <c r="AQ547" i="19"/>
  <c r="AL547" i="19"/>
  <c r="AG547" i="19"/>
  <c r="AE547" i="19"/>
  <c r="AB547" i="19"/>
  <c r="Y547" i="19"/>
  <c r="X547" i="19"/>
  <c r="U547" i="19"/>
  <c r="R547" i="19"/>
  <c r="O547" i="19"/>
  <c r="S547" i="19" s="1"/>
  <c r="N547" i="19"/>
  <c r="K547" i="19"/>
  <c r="H547" i="19"/>
  <c r="E547" i="19"/>
  <c r="I547" i="19" s="1"/>
  <c r="D547" i="19"/>
  <c r="B547" i="19"/>
  <c r="AQ546" i="19"/>
  <c r="AL546" i="19"/>
  <c r="AG546" i="19"/>
  <c r="AE546" i="19"/>
  <c r="AB546" i="19"/>
  <c r="Y546" i="19"/>
  <c r="X546" i="19"/>
  <c r="U546" i="19"/>
  <c r="R546" i="19"/>
  <c r="O546" i="19"/>
  <c r="S546" i="19" s="1"/>
  <c r="N546" i="19"/>
  <c r="K546" i="19"/>
  <c r="H546" i="19"/>
  <c r="E546" i="19"/>
  <c r="I546" i="19" s="1"/>
  <c r="D546" i="19"/>
  <c r="B546" i="19"/>
  <c r="AQ545" i="19"/>
  <c r="AL545" i="19"/>
  <c r="AG545" i="19"/>
  <c r="AE545" i="19"/>
  <c r="AB545" i="19"/>
  <c r="Y545" i="19"/>
  <c r="X545" i="19"/>
  <c r="U545" i="19"/>
  <c r="R545" i="19"/>
  <c r="O545" i="19"/>
  <c r="S545" i="19" s="1"/>
  <c r="N545" i="19"/>
  <c r="K545" i="19"/>
  <c r="H545" i="19"/>
  <c r="E545" i="19"/>
  <c r="I545" i="19" s="1"/>
  <c r="D545" i="19"/>
  <c r="B545" i="19"/>
  <c r="AQ544" i="19"/>
  <c r="AL544" i="19"/>
  <c r="AG544" i="19"/>
  <c r="AE544" i="19"/>
  <c r="AB544" i="19"/>
  <c r="Y544" i="19"/>
  <c r="X544" i="19"/>
  <c r="U544" i="19"/>
  <c r="R544" i="19"/>
  <c r="O544" i="19"/>
  <c r="S544" i="19" s="1"/>
  <c r="N544" i="19"/>
  <c r="K544" i="19"/>
  <c r="H544" i="19"/>
  <c r="E544" i="19"/>
  <c r="I544" i="19" s="1"/>
  <c r="D544" i="19"/>
  <c r="B544" i="19"/>
  <c r="AQ543" i="19"/>
  <c r="AL543" i="19"/>
  <c r="AG543" i="19"/>
  <c r="AE543" i="19"/>
  <c r="AB543" i="19"/>
  <c r="Y543" i="19"/>
  <c r="X543" i="19"/>
  <c r="U543" i="19"/>
  <c r="R543" i="19"/>
  <c r="O543" i="19"/>
  <c r="S543" i="19" s="1"/>
  <c r="N543" i="19"/>
  <c r="K543" i="19"/>
  <c r="H543" i="19"/>
  <c r="E543" i="19"/>
  <c r="I543" i="19" s="1"/>
  <c r="D543" i="19"/>
  <c r="B543" i="19"/>
  <c r="AQ542" i="19"/>
  <c r="AL542" i="19"/>
  <c r="AG542" i="19"/>
  <c r="AE542" i="19"/>
  <c r="AB542" i="19"/>
  <c r="Y542" i="19"/>
  <c r="X542" i="19"/>
  <c r="U542" i="19"/>
  <c r="R542" i="19"/>
  <c r="O542" i="19"/>
  <c r="S542" i="19" s="1"/>
  <c r="N542" i="19"/>
  <c r="K542" i="19"/>
  <c r="H542" i="19"/>
  <c r="E542" i="19"/>
  <c r="I542" i="19" s="1"/>
  <c r="D542" i="19"/>
  <c r="B542" i="19"/>
  <c r="AQ541" i="19"/>
  <c r="AL541" i="19"/>
  <c r="AG541" i="19"/>
  <c r="AE541" i="19"/>
  <c r="AB541" i="19"/>
  <c r="Y541" i="19"/>
  <c r="X541" i="19"/>
  <c r="U541" i="19"/>
  <c r="R541" i="19"/>
  <c r="O541" i="19"/>
  <c r="S541" i="19" s="1"/>
  <c r="N541" i="19"/>
  <c r="K541" i="19"/>
  <c r="H541" i="19"/>
  <c r="E541" i="19"/>
  <c r="I541" i="19" s="1"/>
  <c r="D541" i="19"/>
  <c r="B541" i="19"/>
  <c r="AQ540" i="19"/>
  <c r="AL540" i="19"/>
  <c r="AG540" i="19"/>
  <c r="AE540" i="19"/>
  <c r="AB540" i="19"/>
  <c r="Y540" i="19"/>
  <c r="X540" i="19"/>
  <c r="U540" i="19"/>
  <c r="R540" i="19"/>
  <c r="O540" i="19"/>
  <c r="S540" i="19" s="1"/>
  <c r="N540" i="19"/>
  <c r="K540" i="19"/>
  <c r="H540" i="19"/>
  <c r="E540" i="19"/>
  <c r="I540" i="19" s="1"/>
  <c r="D540" i="19"/>
  <c r="B540" i="19"/>
  <c r="AQ539" i="19"/>
  <c r="AL539" i="19"/>
  <c r="AG539" i="19"/>
  <c r="AE539" i="19"/>
  <c r="AB539" i="19"/>
  <c r="Y539" i="19"/>
  <c r="X539" i="19"/>
  <c r="U539" i="19"/>
  <c r="R539" i="19"/>
  <c r="O539" i="19"/>
  <c r="S539" i="19" s="1"/>
  <c r="N539" i="19"/>
  <c r="K539" i="19"/>
  <c r="H539" i="19"/>
  <c r="E539" i="19"/>
  <c r="I539" i="19" s="1"/>
  <c r="D539" i="19"/>
  <c r="B539" i="19"/>
  <c r="AQ538" i="19"/>
  <c r="AL538" i="19"/>
  <c r="AG538" i="19"/>
  <c r="AE538" i="19"/>
  <c r="AB538" i="19"/>
  <c r="Y538" i="19"/>
  <c r="X538" i="19"/>
  <c r="U538" i="19"/>
  <c r="R538" i="19"/>
  <c r="O538" i="19"/>
  <c r="S538" i="19" s="1"/>
  <c r="N538" i="19"/>
  <c r="K538" i="19"/>
  <c r="H538" i="19"/>
  <c r="E538" i="19"/>
  <c r="I538" i="19" s="1"/>
  <c r="D538" i="19"/>
  <c r="B538" i="19"/>
  <c r="AQ537" i="19"/>
  <c r="AL537" i="19"/>
  <c r="AG537" i="19"/>
  <c r="AE537" i="19"/>
  <c r="AB537" i="19"/>
  <c r="Y537" i="19"/>
  <c r="X537" i="19"/>
  <c r="U537" i="19"/>
  <c r="R537" i="19"/>
  <c r="O537" i="19"/>
  <c r="S537" i="19" s="1"/>
  <c r="N537" i="19"/>
  <c r="K537" i="19"/>
  <c r="H537" i="19"/>
  <c r="E537" i="19"/>
  <c r="I537" i="19" s="1"/>
  <c r="D537" i="19"/>
  <c r="B537" i="19"/>
  <c r="AQ536" i="19"/>
  <c r="AL536" i="19"/>
  <c r="AG536" i="19"/>
  <c r="AE536" i="19"/>
  <c r="AB536" i="19"/>
  <c r="Y536" i="19"/>
  <c r="X536" i="19"/>
  <c r="U536" i="19"/>
  <c r="R536" i="19"/>
  <c r="O536" i="19"/>
  <c r="S536" i="19" s="1"/>
  <c r="N536" i="19"/>
  <c r="K536" i="19"/>
  <c r="H536" i="19"/>
  <c r="E536" i="19"/>
  <c r="I536" i="19" s="1"/>
  <c r="D536" i="19"/>
  <c r="B536" i="19"/>
  <c r="AQ535" i="19"/>
  <c r="AL535" i="19"/>
  <c r="AG535" i="19"/>
  <c r="AE535" i="19"/>
  <c r="AB535" i="19"/>
  <c r="Y535" i="19"/>
  <c r="X535" i="19"/>
  <c r="U535" i="19"/>
  <c r="R535" i="19"/>
  <c r="O535" i="19"/>
  <c r="S535" i="19" s="1"/>
  <c r="N535" i="19"/>
  <c r="K535" i="19"/>
  <c r="H535" i="19"/>
  <c r="E535" i="19"/>
  <c r="I535" i="19" s="1"/>
  <c r="D535" i="19"/>
  <c r="B535" i="19"/>
  <c r="AQ534" i="19"/>
  <c r="AL534" i="19"/>
  <c r="AG534" i="19"/>
  <c r="AE534" i="19"/>
  <c r="AB534" i="19"/>
  <c r="Y534" i="19"/>
  <c r="X534" i="19"/>
  <c r="U534" i="19"/>
  <c r="R534" i="19"/>
  <c r="O534" i="19"/>
  <c r="S534" i="19" s="1"/>
  <c r="N534" i="19"/>
  <c r="K534" i="19"/>
  <c r="H534" i="19"/>
  <c r="E534" i="19"/>
  <c r="I534" i="19" s="1"/>
  <c r="D534" i="19"/>
  <c r="B534" i="19"/>
  <c r="AQ533" i="19"/>
  <c r="AL533" i="19"/>
  <c r="AG533" i="19"/>
  <c r="AE533" i="19"/>
  <c r="AB533" i="19"/>
  <c r="Y533" i="19"/>
  <c r="X533" i="19"/>
  <c r="U533" i="19"/>
  <c r="R533" i="19"/>
  <c r="O533" i="19"/>
  <c r="S533" i="19" s="1"/>
  <c r="N533" i="19"/>
  <c r="K533" i="19"/>
  <c r="H533" i="19"/>
  <c r="E533" i="19"/>
  <c r="I533" i="19" s="1"/>
  <c r="D533" i="19"/>
  <c r="B533" i="19"/>
  <c r="AQ532" i="19"/>
  <c r="AL532" i="19"/>
  <c r="AG532" i="19"/>
  <c r="AE532" i="19"/>
  <c r="AB532" i="19"/>
  <c r="Y532" i="19"/>
  <c r="X532" i="19"/>
  <c r="U532" i="19"/>
  <c r="R532" i="19"/>
  <c r="O532" i="19"/>
  <c r="S532" i="19" s="1"/>
  <c r="N532" i="19"/>
  <c r="K532" i="19"/>
  <c r="H532" i="19"/>
  <c r="E532" i="19"/>
  <c r="I532" i="19" s="1"/>
  <c r="D532" i="19"/>
  <c r="B532" i="19"/>
  <c r="AQ531" i="19"/>
  <c r="AL531" i="19"/>
  <c r="AG531" i="19"/>
  <c r="AE531" i="19"/>
  <c r="AB531" i="19"/>
  <c r="Y531" i="19"/>
  <c r="X531" i="19"/>
  <c r="U531" i="19"/>
  <c r="R531" i="19"/>
  <c r="O531" i="19"/>
  <c r="S531" i="19" s="1"/>
  <c r="N531" i="19"/>
  <c r="K531" i="19"/>
  <c r="H531" i="19"/>
  <c r="E531" i="19"/>
  <c r="I531" i="19" s="1"/>
  <c r="D531" i="19"/>
  <c r="B531" i="19"/>
  <c r="AQ530" i="19"/>
  <c r="AL530" i="19"/>
  <c r="AG530" i="19"/>
  <c r="AE530" i="19"/>
  <c r="AB530" i="19"/>
  <c r="Y530" i="19"/>
  <c r="X530" i="19"/>
  <c r="U530" i="19"/>
  <c r="R530" i="19"/>
  <c r="O530" i="19"/>
  <c r="S530" i="19" s="1"/>
  <c r="N530" i="19"/>
  <c r="K530" i="19"/>
  <c r="H530" i="19"/>
  <c r="E530" i="19"/>
  <c r="I530" i="19" s="1"/>
  <c r="D530" i="19"/>
  <c r="B530" i="19"/>
  <c r="AQ529" i="19"/>
  <c r="AL529" i="19"/>
  <c r="AG529" i="19"/>
  <c r="AE529" i="19"/>
  <c r="AB529" i="19"/>
  <c r="Y529" i="19"/>
  <c r="X529" i="19"/>
  <c r="U529" i="19"/>
  <c r="R529" i="19"/>
  <c r="O529" i="19"/>
  <c r="S529" i="19" s="1"/>
  <c r="N529" i="19"/>
  <c r="K529" i="19"/>
  <c r="H529" i="19"/>
  <c r="E529" i="19"/>
  <c r="I529" i="19" s="1"/>
  <c r="D529" i="19"/>
  <c r="B529" i="19"/>
  <c r="AQ528" i="19"/>
  <c r="AL528" i="19"/>
  <c r="AG528" i="19"/>
  <c r="AE528" i="19"/>
  <c r="AB528" i="19"/>
  <c r="Y528" i="19"/>
  <c r="X528" i="19"/>
  <c r="U528" i="19"/>
  <c r="R528" i="19"/>
  <c r="O528" i="19"/>
  <c r="S528" i="19" s="1"/>
  <c r="N528" i="19"/>
  <c r="K528" i="19"/>
  <c r="H528" i="19"/>
  <c r="E528" i="19"/>
  <c r="I528" i="19" s="1"/>
  <c r="D528" i="19"/>
  <c r="B528" i="19"/>
  <c r="AQ527" i="19"/>
  <c r="AL527" i="19"/>
  <c r="AG527" i="19"/>
  <c r="AE527" i="19"/>
  <c r="AB527" i="19"/>
  <c r="Y527" i="19"/>
  <c r="X527" i="19"/>
  <c r="U527" i="19"/>
  <c r="R527" i="19"/>
  <c r="O527" i="19"/>
  <c r="S527" i="19" s="1"/>
  <c r="N527" i="19"/>
  <c r="K527" i="19"/>
  <c r="H527" i="19"/>
  <c r="E527" i="19"/>
  <c r="I527" i="19" s="1"/>
  <c r="D527" i="19"/>
  <c r="B527" i="19"/>
  <c r="AQ526" i="19"/>
  <c r="AL526" i="19"/>
  <c r="AG526" i="19"/>
  <c r="AE526" i="19"/>
  <c r="AB526" i="19"/>
  <c r="Y526" i="19"/>
  <c r="X526" i="19"/>
  <c r="U526" i="19"/>
  <c r="R526" i="19"/>
  <c r="O526" i="19"/>
  <c r="S526" i="19" s="1"/>
  <c r="N526" i="19"/>
  <c r="K526" i="19"/>
  <c r="H526" i="19"/>
  <c r="E526" i="19"/>
  <c r="I526" i="19" s="1"/>
  <c r="D526" i="19"/>
  <c r="B526" i="19"/>
  <c r="AQ525" i="19"/>
  <c r="AL525" i="19"/>
  <c r="AG525" i="19"/>
  <c r="AE525" i="19"/>
  <c r="AB525" i="19"/>
  <c r="Y525" i="19"/>
  <c r="X525" i="19"/>
  <c r="U525" i="19"/>
  <c r="R525" i="19"/>
  <c r="O525" i="19"/>
  <c r="S525" i="19" s="1"/>
  <c r="N525" i="19"/>
  <c r="K525" i="19"/>
  <c r="H525" i="19"/>
  <c r="E525" i="19"/>
  <c r="I525" i="19" s="1"/>
  <c r="D525" i="19"/>
  <c r="B525" i="19"/>
  <c r="AQ524" i="19"/>
  <c r="AL524" i="19"/>
  <c r="AG524" i="19"/>
  <c r="AE524" i="19"/>
  <c r="AB524" i="19"/>
  <c r="Y524" i="19"/>
  <c r="X524" i="19"/>
  <c r="U524" i="19"/>
  <c r="R524" i="19"/>
  <c r="O524" i="19"/>
  <c r="S524" i="19" s="1"/>
  <c r="N524" i="19"/>
  <c r="K524" i="19"/>
  <c r="H524" i="19"/>
  <c r="E524" i="19"/>
  <c r="I524" i="19" s="1"/>
  <c r="D524" i="19"/>
  <c r="B524" i="19"/>
  <c r="AQ523" i="19"/>
  <c r="AL523" i="19"/>
  <c r="AG523" i="19"/>
  <c r="AE523" i="19"/>
  <c r="AB523" i="19"/>
  <c r="Y523" i="19"/>
  <c r="X523" i="19"/>
  <c r="U523" i="19"/>
  <c r="R523" i="19"/>
  <c r="O523" i="19"/>
  <c r="S523" i="19" s="1"/>
  <c r="N523" i="19"/>
  <c r="K523" i="19"/>
  <c r="H523" i="19"/>
  <c r="E523" i="19"/>
  <c r="I523" i="19" s="1"/>
  <c r="D523" i="19"/>
  <c r="B523" i="19"/>
  <c r="AQ522" i="19"/>
  <c r="AL522" i="19"/>
  <c r="AG522" i="19"/>
  <c r="AE522" i="19"/>
  <c r="AB522" i="19"/>
  <c r="Y522" i="19"/>
  <c r="X522" i="19"/>
  <c r="U522" i="19"/>
  <c r="R522" i="19"/>
  <c r="O522" i="19"/>
  <c r="S522" i="19" s="1"/>
  <c r="N522" i="19"/>
  <c r="K522" i="19"/>
  <c r="H522" i="19"/>
  <c r="E522" i="19"/>
  <c r="I522" i="19" s="1"/>
  <c r="D522" i="19"/>
  <c r="B522" i="19"/>
  <c r="AQ521" i="19"/>
  <c r="AL521" i="19"/>
  <c r="AG521" i="19"/>
  <c r="AE521" i="19"/>
  <c r="AB521" i="19"/>
  <c r="Y521" i="19"/>
  <c r="X521" i="19"/>
  <c r="U521" i="19"/>
  <c r="R521" i="19"/>
  <c r="O521" i="19"/>
  <c r="S521" i="19" s="1"/>
  <c r="N521" i="19"/>
  <c r="K521" i="19"/>
  <c r="H521" i="19"/>
  <c r="E521" i="19"/>
  <c r="I521" i="19" s="1"/>
  <c r="D521" i="19"/>
  <c r="B521" i="19"/>
  <c r="AQ520" i="19"/>
  <c r="AL520" i="19"/>
  <c r="AG520" i="19"/>
  <c r="AE520" i="19"/>
  <c r="AB520" i="19"/>
  <c r="Y520" i="19"/>
  <c r="X520" i="19"/>
  <c r="U520" i="19"/>
  <c r="R520" i="19"/>
  <c r="O520" i="19"/>
  <c r="S520" i="19" s="1"/>
  <c r="N520" i="19"/>
  <c r="K520" i="19"/>
  <c r="H520" i="19"/>
  <c r="E520" i="19"/>
  <c r="I520" i="19" s="1"/>
  <c r="D520" i="19"/>
  <c r="B520" i="19"/>
  <c r="AQ519" i="19"/>
  <c r="AL519" i="19"/>
  <c r="AG519" i="19"/>
  <c r="AE519" i="19"/>
  <c r="AB519" i="19"/>
  <c r="Y519" i="19"/>
  <c r="X519" i="19"/>
  <c r="U519" i="19"/>
  <c r="R519" i="19"/>
  <c r="O519" i="19"/>
  <c r="S519" i="19" s="1"/>
  <c r="N519" i="19"/>
  <c r="K519" i="19"/>
  <c r="H519" i="19"/>
  <c r="E519" i="19"/>
  <c r="I519" i="19" s="1"/>
  <c r="D519" i="19"/>
  <c r="B519" i="19"/>
  <c r="AQ518" i="19"/>
  <c r="AL518" i="19"/>
  <c r="AG518" i="19"/>
  <c r="AE518" i="19"/>
  <c r="AB518" i="19"/>
  <c r="Y518" i="19"/>
  <c r="X518" i="19"/>
  <c r="U518" i="19"/>
  <c r="R518" i="19"/>
  <c r="O518" i="19"/>
  <c r="S518" i="19" s="1"/>
  <c r="N518" i="19"/>
  <c r="K518" i="19"/>
  <c r="H518" i="19"/>
  <c r="E518" i="19"/>
  <c r="I518" i="19" s="1"/>
  <c r="D518" i="19"/>
  <c r="B518" i="19"/>
  <c r="AQ517" i="19"/>
  <c r="AL517" i="19"/>
  <c r="AG517" i="19"/>
  <c r="AE517" i="19"/>
  <c r="AB517" i="19"/>
  <c r="Y517" i="19"/>
  <c r="X517" i="19"/>
  <c r="U517" i="19"/>
  <c r="R517" i="19"/>
  <c r="O517" i="19"/>
  <c r="S517" i="19" s="1"/>
  <c r="N517" i="19"/>
  <c r="K517" i="19"/>
  <c r="H517" i="19"/>
  <c r="E517" i="19"/>
  <c r="I517" i="19" s="1"/>
  <c r="D517" i="19"/>
  <c r="B517" i="19"/>
  <c r="AQ516" i="19"/>
  <c r="AL516" i="19"/>
  <c r="AG516" i="19"/>
  <c r="AE516" i="19"/>
  <c r="AB516" i="19"/>
  <c r="Y516" i="19"/>
  <c r="X516" i="19"/>
  <c r="U516" i="19"/>
  <c r="R516" i="19"/>
  <c r="O516" i="19"/>
  <c r="S516" i="19" s="1"/>
  <c r="N516" i="19"/>
  <c r="K516" i="19"/>
  <c r="H516" i="19"/>
  <c r="E516" i="19"/>
  <c r="I516" i="19" s="1"/>
  <c r="D516" i="19"/>
  <c r="B516" i="19"/>
  <c r="AQ515" i="19"/>
  <c r="AL515" i="19"/>
  <c r="AG515" i="19"/>
  <c r="AE515" i="19"/>
  <c r="AB515" i="19"/>
  <c r="Y515" i="19"/>
  <c r="X515" i="19"/>
  <c r="U515" i="19"/>
  <c r="R515" i="19"/>
  <c r="O515" i="19"/>
  <c r="S515" i="19" s="1"/>
  <c r="N515" i="19"/>
  <c r="K515" i="19"/>
  <c r="H515" i="19"/>
  <c r="E515" i="19"/>
  <c r="I515" i="19" s="1"/>
  <c r="D515" i="19"/>
  <c r="B515" i="19"/>
  <c r="AQ514" i="19"/>
  <c r="AL514" i="19"/>
  <c r="AG514" i="19"/>
  <c r="AE514" i="19"/>
  <c r="AB514" i="19"/>
  <c r="Y514" i="19"/>
  <c r="X514" i="19"/>
  <c r="U514" i="19"/>
  <c r="R514" i="19"/>
  <c r="O514" i="19"/>
  <c r="S514" i="19" s="1"/>
  <c r="N514" i="19"/>
  <c r="K514" i="19"/>
  <c r="H514" i="19"/>
  <c r="E514" i="19"/>
  <c r="I514" i="19" s="1"/>
  <c r="D514" i="19"/>
  <c r="B514" i="19"/>
  <c r="AQ513" i="19"/>
  <c r="AL513" i="19"/>
  <c r="AG513" i="19"/>
  <c r="AE513" i="19"/>
  <c r="AB513" i="19"/>
  <c r="Y513" i="19"/>
  <c r="X513" i="19"/>
  <c r="U513" i="19"/>
  <c r="R513" i="19"/>
  <c r="O513" i="19"/>
  <c r="S513" i="19" s="1"/>
  <c r="N513" i="19"/>
  <c r="K513" i="19"/>
  <c r="H513" i="19"/>
  <c r="E513" i="19"/>
  <c r="I513" i="19" s="1"/>
  <c r="D513" i="19"/>
  <c r="B513" i="19"/>
  <c r="AQ512" i="19"/>
  <c r="AL512" i="19"/>
  <c r="AG512" i="19"/>
  <c r="AE512" i="19"/>
  <c r="AB512" i="19"/>
  <c r="Y512" i="19"/>
  <c r="X512" i="19"/>
  <c r="U512" i="19"/>
  <c r="R512" i="19"/>
  <c r="O512" i="19"/>
  <c r="S512" i="19" s="1"/>
  <c r="N512" i="19"/>
  <c r="K512" i="19"/>
  <c r="H512" i="19"/>
  <c r="E512" i="19"/>
  <c r="I512" i="19" s="1"/>
  <c r="D512" i="19"/>
  <c r="B512" i="19"/>
  <c r="AQ511" i="19"/>
  <c r="AL511" i="19"/>
  <c r="AG511" i="19"/>
  <c r="AE511" i="19"/>
  <c r="AB511" i="19"/>
  <c r="Y511" i="19"/>
  <c r="X511" i="19"/>
  <c r="U511" i="19"/>
  <c r="R511" i="19"/>
  <c r="O511" i="19"/>
  <c r="S511" i="19" s="1"/>
  <c r="N511" i="19"/>
  <c r="K511" i="19"/>
  <c r="H511" i="19"/>
  <c r="E511" i="19"/>
  <c r="I511" i="19" s="1"/>
  <c r="D511" i="19"/>
  <c r="B511" i="19"/>
  <c r="AQ510" i="19"/>
  <c r="AL510" i="19"/>
  <c r="AG510" i="19"/>
  <c r="AE510" i="19"/>
  <c r="AB510" i="19"/>
  <c r="Y510" i="19"/>
  <c r="X510" i="19"/>
  <c r="U510" i="19"/>
  <c r="R510" i="19"/>
  <c r="O510" i="19"/>
  <c r="S510" i="19" s="1"/>
  <c r="N510" i="19"/>
  <c r="K510" i="19"/>
  <c r="H510" i="19"/>
  <c r="E510" i="19"/>
  <c r="I510" i="19" s="1"/>
  <c r="D510" i="19"/>
  <c r="B510" i="19"/>
  <c r="AQ509" i="19"/>
  <c r="AL509" i="19"/>
  <c r="AG509" i="19"/>
  <c r="AE509" i="19"/>
  <c r="AB509" i="19"/>
  <c r="Y509" i="19"/>
  <c r="X509" i="19"/>
  <c r="U509" i="19"/>
  <c r="R509" i="19"/>
  <c r="O509" i="19"/>
  <c r="S509" i="19" s="1"/>
  <c r="N509" i="19"/>
  <c r="K509" i="19"/>
  <c r="H509" i="19"/>
  <c r="E509" i="19"/>
  <c r="I509" i="19" s="1"/>
  <c r="D509" i="19"/>
  <c r="B509" i="19"/>
  <c r="AQ508" i="19"/>
  <c r="AL508" i="19"/>
  <c r="AG508" i="19"/>
  <c r="AE508" i="19"/>
  <c r="AB508" i="19"/>
  <c r="Y508" i="19"/>
  <c r="X508" i="19"/>
  <c r="U508" i="19"/>
  <c r="R508" i="19"/>
  <c r="O508" i="19"/>
  <c r="S508" i="19" s="1"/>
  <c r="N508" i="19"/>
  <c r="K508" i="19"/>
  <c r="H508" i="19"/>
  <c r="E508" i="19"/>
  <c r="I508" i="19" s="1"/>
  <c r="D508" i="19"/>
  <c r="B508" i="19"/>
  <c r="AQ507" i="19"/>
  <c r="AL507" i="19"/>
  <c r="AG507" i="19"/>
  <c r="AE507" i="19"/>
  <c r="AB507" i="19"/>
  <c r="Y507" i="19"/>
  <c r="X507" i="19"/>
  <c r="U507" i="19"/>
  <c r="R507" i="19"/>
  <c r="O507" i="19"/>
  <c r="S507" i="19" s="1"/>
  <c r="N507" i="19"/>
  <c r="K507" i="19"/>
  <c r="H507" i="19"/>
  <c r="E507" i="19"/>
  <c r="I507" i="19" s="1"/>
  <c r="D507" i="19"/>
  <c r="B507" i="19"/>
  <c r="AQ506" i="19"/>
  <c r="AL506" i="19"/>
  <c r="AG506" i="19"/>
  <c r="AE506" i="19"/>
  <c r="AB506" i="19"/>
  <c r="Y506" i="19"/>
  <c r="X506" i="19"/>
  <c r="U506" i="19"/>
  <c r="R506" i="19"/>
  <c r="O506" i="19"/>
  <c r="S506" i="19" s="1"/>
  <c r="N506" i="19"/>
  <c r="K506" i="19"/>
  <c r="H506" i="19"/>
  <c r="E506" i="19"/>
  <c r="I506" i="19" s="1"/>
  <c r="D506" i="19"/>
  <c r="B506" i="19"/>
  <c r="AQ505" i="19"/>
  <c r="AL505" i="19"/>
  <c r="AG505" i="19"/>
  <c r="AE505" i="19"/>
  <c r="AB505" i="19"/>
  <c r="Y505" i="19"/>
  <c r="X505" i="19"/>
  <c r="U505" i="19"/>
  <c r="R505" i="19"/>
  <c r="O505" i="19"/>
  <c r="S505" i="19" s="1"/>
  <c r="N505" i="19"/>
  <c r="K505" i="19"/>
  <c r="H505" i="19"/>
  <c r="E505" i="19"/>
  <c r="I505" i="19" s="1"/>
  <c r="D505" i="19"/>
  <c r="B505" i="19"/>
  <c r="AQ504" i="19"/>
  <c r="AL504" i="19"/>
  <c r="AG504" i="19"/>
  <c r="AE504" i="19"/>
  <c r="AB504" i="19"/>
  <c r="Y504" i="19"/>
  <c r="X504" i="19"/>
  <c r="U504" i="19"/>
  <c r="R504" i="19"/>
  <c r="O504" i="19"/>
  <c r="S504" i="19" s="1"/>
  <c r="N504" i="19"/>
  <c r="K504" i="19"/>
  <c r="H504" i="19"/>
  <c r="E504" i="19"/>
  <c r="I504" i="19" s="1"/>
  <c r="D504" i="19"/>
  <c r="B504" i="19"/>
  <c r="AQ503" i="19"/>
  <c r="AL503" i="19"/>
  <c r="AG503" i="19"/>
  <c r="AE503" i="19"/>
  <c r="AB503" i="19"/>
  <c r="Y503" i="19"/>
  <c r="X503" i="19"/>
  <c r="U503" i="19"/>
  <c r="R503" i="19"/>
  <c r="O503" i="19"/>
  <c r="S503" i="19" s="1"/>
  <c r="N503" i="19"/>
  <c r="K503" i="19"/>
  <c r="H503" i="19"/>
  <c r="E503" i="19"/>
  <c r="I503" i="19" s="1"/>
  <c r="D503" i="19"/>
  <c r="B503" i="19"/>
  <c r="AQ502" i="19"/>
  <c r="AL502" i="19"/>
  <c r="AG502" i="19"/>
  <c r="AE502" i="19"/>
  <c r="AB502" i="19"/>
  <c r="Y502" i="19"/>
  <c r="X502" i="19"/>
  <c r="U502" i="19"/>
  <c r="R502" i="19"/>
  <c r="O502" i="19"/>
  <c r="S502" i="19" s="1"/>
  <c r="N502" i="19"/>
  <c r="K502" i="19"/>
  <c r="H502" i="19"/>
  <c r="E502" i="19"/>
  <c r="I502" i="19" s="1"/>
  <c r="D502" i="19"/>
  <c r="B502" i="19"/>
  <c r="AQ501" i="19"/>
  <c r="AL501" i="19"/>
  <c r="AG501" i="19"/>
  <c r="AE501" i="19"/>
  <c r="AB501" i="19"/>
  <c r="Y501" i="19"/>
  <c r="X501" i="19"/>
  <c r="U501" i="19"/>
  <c r="R501" i="19"/>
  <c r="O501" i="19"/>
  <c r="S501" i="19" s="1"/>
  <c r="N501" i="19"/>
  <c r="K501" i="19"/>
  <c r="H501" i="19"/>
  <c r="E501" i="19"/>
  <c r="I501" i="19" s="1"/>
  <c r="D501" i="19"/>
  <c r="B501" i="19"/>
  <c r="AQ500" i="19"/>
  <c r="AL500" i="19"/>
  <c r="AG500" i="19"/>
  <c r="AE500" i="19"/>
  <c r="AB500" i="19"/>
  <c r="Y500" i="19"/>
  <c r="X500" i="19"/>
  <c r="U500" i="19"/>
  <c r="R500" i="19"/>
  <c r="O500" i="19"/>
  <c r="S500" i="19" s="1"/>
  <c r="N500" i="19"/>
  <c r="K500" i="19"/>
  <c r="H500" i="19"/>
  <c r="E500" i="19"/>
  <c r="I500" i="19" s="1"/>
  <c r="D500" i="19"/>
  <c r="B500" i="19"/>
  <c r="AQ499" i="19"/>
  <c r="AL499" i="19"/>
  <c r="AG499" i="19"/>
  <c r="AE499" i="19"/>
  <c r="AB499" i="19"/>
  <c r="Y499" i="19"/>
  <c r="X499" i="19"/>
  <c r="U499" i="19"/>
  <c r="R499" i="19"/>
  <c r="O499" i="19"/>
  <c r="S499" i="19" s="1"/>
  <c r="N499" i="19"/>
  <c r="K499" i="19"/>
  <c r="H499" i="19"/>
  <c r="E499" i="19"/>
  <c r="I499" i="19" s="1"/>
  <c r="D499" i="19"/>
  <c r="B499" i="19"/>
  <c r="AQ498" i="19"/>
  <c r="AL498" i="19"/>
  <c r="AG498" i="19"/>
  <c r="AE498" i="19"/>
  <c r="AB498" i="19"/>
  <c r="Y498" i="19"/>
  <c r="X498" i="19"/>
  <c r="U498" i="19"/>
  <c r="R498" i="19"/>
  <c r="O498" i="19"/>
  <c r="S498" i="19" s="1"/>
  <c r="N498" i="19"/>
  <c r="K498" i="19"/>
  <c r="H498" i="19"/>
  <c r="E498" i="19"/>
  <c r="I498" i="19" s="1"/>
  <c r="D498" i="19"/>
  <c r="B498" i="19"/>
  <c r="AQ497" i="19"/>
  <c r="AL497" i="19"/>
  <c r="AG497" i="19"/>
  <c r="AE497" i="19"/>
  <c r="AB497" i="19"/>
  <c r="Y497" i="19"/>
  <c r="X497" i="19"/>
  <c r="U497" i="19"/>
  <c r="R497" i="19"/>
  <c r="O497" i="19"/>
  <c r="S497" i="19" s="1"/>
  <c r="N497" i="19"/>
  <c r="K497" i="19"/>
  <c r="H497" i="19"/>
  <c r="E497" i="19"/>
  <c r="I497" i="19" s="1"/>
  <c r="D497" i="19"/>
  <c r="B497" i="19"/>
  <c r="AQ496" i="19"/>
  <c r="AL496" i="19"/>
  <c r="AG496" i="19"/>
  <c r="AE496" i="19"/>
  <c r="AB496" i="19"/>
  <c r="Y496" i="19"/>
  <c r="X496" i="19"/>
  <c r="U496" i="19"/>
  <c r="R496" i="19"/>
  <c r="O496" i="19"/>
  <c r="S496" i="19" s="1"/>
  <c r="N496" i="19"/>
  <c r="K496" i="19"/>
  <c r="H496" i="19"/>
  <c r="E496" i="19"/>
  <c r="I496" i="19" s="1"/>
  <c r="D496" i="19"/>
  <c r="B496" i="19"/>
  <c r="AQ495" i="19"/>
  <c r="AL495" i="19"/>
  <c r="AG495" i="19"/>
  <c r="AE495" i="19"/>
  <c r="AB495" i="19"/>
  <c r="Y495" i="19"/>
  <c r="X495" i="19"/>
  <c r="U495" i="19"/>
  <c r="R495" i="19"/>
  <c r="O495" i="19"/>
  <c r="S495" i="19" s="1"/>
  <c r="N495" i="19"/>
  <c r="K495" i="19"/>
  <c r="H495" i="19"/>
  <c r="E495" i="19"/>
  <c r="I495" i="19" s="1"/>
  <c r="D495" i="19"/>
  <c r="B495" i="19"/>
  <c r="AQ494" i="19"/>
  <c r="AL494" i="19"/>
  <c r="AG494" i="19"/>
  <c r="AE494" i="19"/>
  <c r="AB494" i="19"/>
  <c r="Y494" i="19"/>
  <c r="X494" i="19"/>
  <c r="U494" i="19"/>
  <c r="R494" i="19"/>
  <c r="O494" i="19"/>
  <c r="S494" i="19" s="1"/>
  <c r="N494" i="19"/>
  <c r="K494" i="19"/>
  <c r="H494" i="19"/>
  <c r="E494" i="19"/>
  <c r="I494" i="19" s="1"/>
  <c r="D494" i="19"/>
  <c r="B494" i="19"/>
  <c r="AQ493" i="19"/>
  <c r="AL493" i="19"/>
  <c r="AG493" i="19"/>
  <c r="AE493" i="19"/>
  <c r="AB493" i="19"/>
  <c r="Y493" i="19"/>
  <c r="X493" i="19"/>
  <c r="U493" i="19"/>
  <c r="R493" i="19"/>
  <c r="O493" i="19"/>
  <c r="S493" i="19" s="1"/>
  <c r="N493" i="19"/>
  <c r="K493" i="19"/>
  <c r="H493" i="19"/>
  <c r="E493" i="19"/>
  <c r="I493" i="19" s="1"/>
  <c r="D493" i="19"/>
  <c r="B493" i="19"/>
  <c r="AQ492" i="19"/>
  <c r="AL492" i="19"/>
  <c r="AG492" i="19"/>
  <c r="AE492" i="19"/>
  <c r="AB492" i="19"/>
  <c r="Y492" i="19"/>
  <c r="X492" i="19"/>
  <c r="U492" i="19"/>
  <c r="R492" i="19"/>
  <c r="O492" i="19"/>
  <c r="S492" i="19" s="1"/>
  <c r="N492" i="19"/>
  <c r="K492" i="19"/>
  <c r="H492" i="19"/>
  <c r="E492" i="19"/>
  <c r="I492" i="19" s="1"/>
  <c r="D492" i="19"/>
  <c r="B492" i="19"/>
  <c r="AQ491" i="19"/>
  <c r="AL491" i="19"/>
  <c r="AG491" i="19"/>
  <c r="AE491" i="19"/>
  <c r="AB491" i="19"/>
  <c r="Y491" i="19"/>
  <c r="X491" i="19"/>
  <c r="U491" i="19"/>
  <c r="R491" i="19"/>
  <c r="O491" i="19"/>
  <c r="S491" i="19" s="1"/>
  <c r="N491" i="19"/>
  <c r="K491" i="19"/>
  <c r="H491" i="19"/>
  <c r="E491" i="19"/>
  <c r="I491" i="19" s="1"/>
  <c r="D491" i="19"/>
  <c r="B491" i="19"/>
  <c r="AQ490" i="19"/>
  <c r="AL490" i="19"/>
  <c r="AG490" i="19"/>
  <c r="AE490" i="19"/>
  <c r="AB490" i="19"/>
  <c r="Y490" i="19"/>
  <c r="X490" i="19"/>
  <c r="U490" i="19"/>
  <c r="R490" i="19"/>
  <c r="O490" i="19"/>
  <c r="S490" i="19" s="1"/>
  <c r="N490" i="19"/>
  <c r="K490" i="19"/>
  <c r="H490" i="19"/>
  <c r="E490" i="19"/>
  <c r="I490" i="19" s="1"/>
  <c r="D490" i="19"/>
  <c r="B490" i="19"/>
  <c r="AQ489" i="19"/>
  <c r="AL489" i="19"/>
  <c r="AG489" i="19"/>
  <c r="AE489" i="19"/>
  <c r="AB489" i="19"/>
  <c r="Y489" i="19"/>
  <c r="X489" i="19"/>
  <c r="U489" i="19"/>
  <c r="R489" i="19"/>
  <c r="O489" i="19"/>
  <c r="S489" i="19" s="1"/>
  <c r="N489" i="19"/>
  <c r="K489" i="19"/>
  <c r="H489" i="19"/>
  <c r="E489" i="19"/>
  <c r="I489" i="19" s="1"/>
  <c r="D489" i="19"/>
  <c r="B489" i="19"/>
  <c r="AQ488" i="19"/>
  <c r="AL488" i="19"/>
  <c r="AG488" i="19"/>
  <c r="AE488" i="19"/>
  <c r="AB488" i="19"/>
  <c r="Y488" i="19"/>
  <c r="X488" i="19"/>
  <c r="U488" i="19"/>
  <c r="R488" i="19"/>
  <c r="O488" i="19"/>
  <c r="S488" i="19" s="1"/>
  <c r="N488" i="19"/>
  <c r="K488" i="19"/>
  <c r="H488" i="19"/>
  <c r="E488" i="19"/>
  <c r="I488" i="19" s="1"/>
  <c r="D488" i="19"/>
  <c r="B488" i="19"/>
  <c r="AQ487" i="19"/>
  <c r="AL487" i="19"/>
  <c r="AG487" i="19"/>
  <c r="AE487" i="19"/>
  <c r="AB487" i="19"/>
  <c r="Y487" i="19"/>
  <c r="X487" i="19"/>
  <c r="U487" i="19"/>
  <c r="R487" i="19"/>
  <c r="O487" i="19"/>
  <c r="S487" i="19" s="1"/>
  <c r="N487" i="19"/>
  <c r="K487" i="19"/>
  <c r="H487" i="19"/>
  <c r="E487" i="19"/>
  <c r="I487" i="19" s="1"/>
  <c r="D487" i="19"/>
  <c r="B487" i="19"/>
  <c r="AQ486" i="19"/>
  <c r="AL486" i="19"/>
  <c r="AG486" i="19"/>
  <c r="AE486" i="19"/>
  <c r="AB486" i="19"/>
  <c r="Y486" i="19"/>
  <c r="X486" i="19"/>
  <c r="U486" i="19"/>
  <c r="R486" i="19"/>
  <c r="O486" i="19"/>
  <c r="S486" i="19" s="1"/>
  <c r="N486" i="19"/>
  <c r="K486" i="19"/>
  <c r="H486" i="19"/>
  <c r="E486" i="19"/>
  <c r="I486" i="19" s="1"/>
  <c r="D486" i="19"/>
  <c r="B486" i="19"/>
  <c r="AQ485" i="19"/>
  <c r="AL485" i="19"/>
  <c r="AG485" i="19"/>
  <c r="AE485" i="19"/>
  <c r="AB485" i="19"/>
  <c r="Y485" i="19"/>
  <c r="X485" i="19"/>
  <c r="U485" i="19"/>
  <c r="R485" i="19"/>
  <c r="O485" i="19"/>
  <c r="S485" i="19" s="1"/>
  <c r="N485" i="19"/>
  <c r="K485" i="19"/>
  <c r="H485" i="19"/>
  <c r="E485" i="19"/>
  <c r="I485" i="19" s="1"/>
  <c r="D485" i="19"/>
  <c r="B485" i="19"/>
  <c r="AQ484" i="19"/>
  <c r="AL484" i="19"/>
  <c r="AG484" i="19"/>
  <c r="AE484" i="19"/>
  <c r="AB484" i="19"/>
  <c r="Y484" i="19"/>
  <c r="X484" i="19"/>
  <c r="U484" i="19"/>
  <c r="R484" i="19"/>
  <c r="O484" i="19"/>
  <c r="S484" i="19" s="1"/>
  <c r="N484" i="19"/>
  <c r="K484" i="19"/>
  <c r="H484" i="19"/>
  <c r="E484" i="19"/>
  <c r="I484" i="19" s="1"/>
  <c r="D484" i="19"/>
  <c r="B484" i="19"/>
  <c r="AQ483" i="19"/>
  <c r="AL483" i="19"/>
  <c r="AG483" i="19"/>
  <c r="AE483" i="19"/>
  <c r="AB483" i="19"/>
  <c r="Y483" i="19"/>
  <c r="X483" i="19"/>
  <c r="U483" i="19"/>
  <c r="R483" i="19"/>
  <c r="O483" i="19"/>
  <c r="S483" i="19" s="1"/>
  <c r="N483" i="19"/>
  <c r="K483" i="19"/>
  <c r="H483" i="19"/>
  <c r="E483" i="19"/>
  <c r="I483" i="19" s="1"/>
  <c r="D483" i="19"/>
  <c r="B483" i="19"/>
  <c r="AQ482" i="19"/>
  <c r="AL482" i="19"/>
  <c r="AG482" i="19"/>
  <c r="AE482" i="19"/>
  <c r="AB482" i="19"/>
  <c r="Y482" i="19"/>
  <c r="X482" i="19"/>
  <c r="U482" i="19"/>
  <c r="R482" i="19"/>
  <c r="O482" i="19"/>
  <c r="S482" i="19" s="1"/>
  <c r="N482" i="19"/>
  <c r="K482" i="19"/>
  <c r="H482" i="19"/>
  <c r="E482" i="19"/>
  <c r="I482" i="19" s="1"/>
  <c r="D482" i="19"/>
  <c r="B482" i="19"/>
  <c r="AQ481" i="19"/>
  <c r="AL481" i="19"/>
  <c r="AG481" i="19"/>
  <c r="AE481" i="19"/>
  <c r="AB481" i="19"/>
  <c r="Y481" i="19"/>
  <c r="X481" i="19"/>
  <c r="U481" i="19"/>
  <c r="R481" i="19"/>
  <c r="O481" i="19"/>
  <c r="S481" i="19" s="1"/>
  <c r="N481" i="19"/>
  <c r="K481" i="19"/>
  <c r="H481" i="19"/>
  <c r="J481" i="19" s="1"/>
  <c r="E481" i="19"/>
  <c r="I481" i="19" s="1"/>
  <c r="D481" i="19"/>
  <c r="B481" i="19"/>
  <c r="AQ480" i="19"/>
  <c r="AL480" i="19"/>
  <c r="AG480" i="19"/>
  <c r="AE480" i="19"/>
  <c r="AB480" i="19"/>
  <c r="AD480" i="19" s="1"/>
  <c r="Y480" i="19"/>
  <c r="X480" i="19"/>
  <c r="U480" i="19"/>
  <c r="R480" i="19"/>
  <c r="O480" i="19"/>
  <c r="S480" i="19" s="1"/>
  <c r="N480" i="19"/>
  <c r="K480" i="19"/>
  <c r="H480" i="19"/>
  <c r="J480" i="19" s="1"/>
  <c r="E480" i="19"/>
  <c r="I480" i="19" s="1"/>
  <c r="D480" i="19"/>
  <c r="B480" i="19"/>
  <c r="AQ479" i="19"/>
  <c r="AL479" i="19"/>
  <c r="AG479" i="19"/>
  <c r="AE479" i="19"/>
  <c r="AB479" i="19"/>
  <c r="AD479" i="19" s="1"/>
  <c r="Y479" i="19"/>
  <c r="X479" i="19"/>
  <c r="U479" i="19"/>
  <c r="R479" i="19"/>
  <c r="O479" i="19"/>
  <c r="S479" i="19" s="1"/>
  <c r="N479" i="19"/>
  <c r="K479" i="19"/>
  <c r="H479" i="19"/>
  <c r="E479" i="19"/>
  <c r="I479" i="19" s="1"/>
  <c r="D479" i="19"/>
  <c r="B479" i="19"/>
  <c r="AQ478" i="19"/>
  <c r="AL478" i="19"/>
  <c r="AG478" i="19"/>
  <c r="AE478" i="19"/>
  <c r="AB478" i="19"/>
  <c r="Y478" i="19"/>
  <c r="X478" i="19"/>
  <c r="U478" i="19"/>
  <c r="R478" i="19"/>
  <c r="O478" i="19"/>
  <c r="S478" i="19" s="1"/>
  <c r="N478" i="19"/>
  <c r="K478" i="19"/>
  <c r="H478" i="19"/>
  <c r="E478" i="19"/>
  <c r="I478" i="19" s="1"/>
  <c r="D478" i="19"/>
  <c r="B478" i="19"/>
  <c r="AQ477" i="19"/>
  <c r="AL477" i="19"/>
  <c r="AG477" i="19"/>
  <c r="AE477" i="19"/>
  <c r="AB477" i="19"/>
  <c r="AD477" i="19" s="1"/>
  <c r="Y477" i="19"/>
  <c r="X477" i="19"/>
  <c r="U477" i="19"/>
  <c r="R477" i="19"/>
  <c r="O477" i="19"/>
  <c r="S477" i="19" s="1"/>
  <c r="N477" i="19"/>
  <c r="K477" i="19"/>
  <c r="H477" i="19"/>
  <c r="J477" i="19" s="1"/>
  <c r="E477" i="19"/>
  <c r="I477" i="19" s="1"/>
  <c r="D477" i="19"/>
  <c r="B477" i="19"/>
  <c r="AQ476" i="19"/>
  <c r="AL476" i="19"/>
  <c r="AG476" i="19"/>
  <c r="AE476" i="19"/>
  <c r="AB476" i="19"/>
  <c r="Y476" i="19"/>
  <c r="X476" i="19"/>
  <c r="U476" i="19"/>
  <c r="R476" i="19"/>
  <c r="O476" i="19"/>
  <c r="S476" i="19" s="1"/>
  <c r="N476" i="19"/>
  <c r="K476" i="19"/>
  <c r="H476" i="19"/>
  <c r="E476" i="19"/>
  <c r="I476" i="19" s="1"/>
  <c r="D476" i="19"/>
  <c r="B476" i="19"/>
  <c r="AQ475" i="19"/>
  <c r="AL475" i="19"/>
  <c r="AG475" i="19"/>
  <c r="AE475" i="19"/>
  <c r="AB475" i="19"/>
  <c r="AD475" i="19" s="1"/>
  <c r="Y475" i="19"/>
  <c r="X475" i="19"/>
  <c r="U475" i="19"/>
  <c r="R475" i="19"/>
  <c r="O475" i="19"/>
  <c r="S475" i="19" s="1"/>
  <c r="N475" i="19"/>
  <c r="K475" i="19"/>
  <c r="H475" i="19"/>
  <c r="J475" i="19" s="1"/>
  <c r="E475" i="19"/>
  <c r="I475" i="19" s="1"/>
  <c r="D475" i="19"/>
  <c r="B475" i="19"/>
  <c r="AQ474" i="19"/>
  <c r="AL474" i="19"/>
  <c r="AG474" i="19"/>
  <c r="AE474" i="19"/>
  <c r="AB474" i="19"/>
  <c r="Y474" i="19"/>
  <c r="X474" i="19"/>
  <c r="U474" i="19"/>
  <c r="R474" i="19"/>
  <c r="O474" i="19"/>
  <c r="S474" i="19" s="1"/>
  <c r="N474" i="19"/>
  <c r="K474" i="19"/>
  <c r="H474" i="19"/>
  <c r="E474" i="19"/>
  <c r="I474" i="19" s="1"/>
  <c r="D474" i="19"/>
  <c r="B474" i="19"/>
  <c r="AQ473" i="19"/>
  <c r="AL473" i="19"/>
  <c r="AG473" i="19"/>
  <c r="AE473" i="19"/>
  <c r="AB473" i="19"/>
  <c r="Y473" i="19"/>
  <c r="X473" i="19"/>
  <c r="U473" i="19"/>
  <c r="R473" i="19"/>
  <c r="O473" i="19"/>
  <c r="S473" i="19" s="1"/>
  <c r="N473" i="19"/>
  <c r="K473" i="19"/>
  <c r="H473" i="19"/>
  <c r="E473" i="19"/>
  <c r="I473" i="19" s="1"/>
  <c r="D473" i="19"/>
  <c r="B473" i="19"/>
  <c r="AQ472" i="19"/>
  <c r="AL472" i="19"/>
  <c r="AG472" i="19"/>
  <c r="AE472" i="19"/>
  <c r="AB472" i="19"/>
  <c r="Y472" i="19"/>
  <c r="X472" i="19"/>
  <c r="U472" i="19"/>
  <c r="R472" i="19"/>
  <c r="O472" i="19"/>
  <c r="S472" i="19" s="1"/>
  <c r="N472" i="19"/>
  <c r="K472" i="19"/>
  <c r="H472" i="19"/>
  <c r="J472" i="19" s="1"/>
  <c r="E472" i="19"/>
  <c r="I472" i="19" s="1"/>
  <c r="D472" i="19"/>
  <c r="B472" i="19"/>
  <c r="AQ471" i="19"/>
  <c r="AL471" i="19"/>
  <c r="AG471" i="19"/>
  <c r="AE471" i="19"/>
  <c r="AB471" i="19"/>
  <c r="Y471" i="19"/>
  <c r="X471" i="19"/>
  <c r="U471" i="19"/>
  <c r="R471" i="19"/>
  <c r="O471" i="19"/>
  <c r="S471" i="19" s="1"/>
  <c r="N471" i="19"/>
  <c r="K471" i="19"/>
  <c r="H471" i="19"/>
  <c r="E471" i="19"/>
  <c r="I471" i="19" s="1"/>
  <c r="D471" i="19"/>
  <c r="B471" i="19"/>
  <c r="AQ470" i="19"/>
  <c r="AL470" i="19"/>
  <c r="AG470" i="19"/>
  <c r="AE470" i="19"/>
  <c r="AB470" i="19"/>
  <c r="Y470" i="19"/>
  <c r="X470" i="19"/>
  <c r="U470" i="19"/>
  <c r="R470" i="19"/>
  <c r="O470" i="19"/>
  <c r="S470" i="19" s="1"/>
  <c r="N470" i="19"/>
  <c r="K470" i="19"/>
  <c r="H470" i="19"/>
  <c r="E470" i="19"/>
  <c r="I470" i="19" s="1"/>
  <c r="D470" i="19"/>
  <c r="B470" i="19"/>
  <c r="AQ469" i="19"/>
  <c r="AL469" i="19"/>
  <c r="AG469" i="19"/>
  <c r="AE469" i="19"/>
  <c r="AB469" i="19"/>
  <c r="Y469" i="19"/>
  <c r="X469" i="19"/>
  <c r="U469" i="19"/>
  <c r="R469" i="19"/>
  <c r="O469" i="19"/>
  <c r="S469" i="19" s="1"/>
  <c r="N469" i="19"/>
  <c r="K469" i="19"/>
  <c r="H469" i="19"/>
  <c r="J469" i="19" s="1"/>
  <c r="E469" i="19"/>
  <c r="I469" i="19" s="1"/>
  <c r="D469" i="19"/>
  <c r="B469" i="19"/>
  <c r="AQ468" i="19"/>
  <c r="AL468" i="19"/>
  <c r="AG468" i="19"/>
  <c r="AE468" i="19"/>
  <c r="AB468" i="19"/>
  <c r="Y468" i="19"/>
  <c r="X468" i="19"/>
  <c r="U468" i="19"/>
  <c r="R468" i="19"/>
  <c r="O468" i="19"/>
  <c r="S468" i="19" s="1"/>
  <c r="N468" i="19"/>
  <c r="K468" i="19"/>
  <c r="H468" i="19"/>
  <c r="E468" i="19"/>
  <c r="I468" i="19" s="1"/>
  <c r="D468" i="19"/>
  <c r="B468" i="19"/>
  <c r="AQ467" i="19"/>
  <c r="AL467" i="19"/>
  <c r="AG467" i="19"/>
  <c r="AE467" i="19"/>
  <c r="AB467" i="19"/>
  <c r="Y467" i="19"/>
  <c r="X467" i="19"/>
  <c r="U467" i="19"/>
  <c r="R467" i="19"/>
  <c r="O467" i="19"/>
  <c r="S467" i="19" s="1"/>
  <c r="N467" i="19"/>
  <c r="K467" i="19"/>
  <c r="H467" i="19"/>
  <c r="E467" i="19"/>
  <c r="I467" i="19" s="1"/>
  <c r="D467" i="19"/>
  <c r="B467" i="19"/>
  <c r="AQ466" i="19"/>
  <c r="AL466" i="19"/>
  <c r="AG466" i="19"/>
  <c r="AE466" i="19"/>
  <c r="AB466" i="19"/>
  <c r="Y466" i="19"/>
  <c r="X466" i="19"/>
  <c r="U466" i="19"/>
  <c r="R466" i="19"/>
  <c r="O466" i="19"/>
  <c r="S466" i="19" s="1"/>
  <c r="N466" i="19"/>
  <c r="K466" i="19"/>
  <c r="H466" i="19"/>
  <c r="E466" i="19"/>
  <c r="I466" i="19" s="1"/>
  <c r="D466" i="19"/>
  <c r="B466" i="19"/>
  <c r="AQ465" i="19"/>
  <c r="AL465" i="19"/>
  <c r="AG465" i="19"/>
  <c r="AE465" i="19"/>
  <c r="AB465" i="19"/>
  <c r="Y465" i="19"/>
  <c r="X465" i="19"/>
  <c r="U465" i="19"/>
  <c r="R465" i="19"/>
  <c r="O465" i="19"/>
  <c r="S465" i="19" s="1"/>
  <c r="N465" i="19"/>
  <c r="K465" i="19"/>
  <c r="H465" i="19"/>
  <c r="E465" i="19"/>
  <c r="I465" i="19" s="1"/>
  <c r="D465" i="19"/>
  <c r="B465" i="19"/>
  <c r="AQ464" i="19"/>
  <c r="AL464" i="19"/>
  <c r="AG464" i="19"/>
  <c r="AE464" i="19"/>
  <c r="AB464" i="19"/>
  <c r="Y464" i="19"/>
  <c r="X464" i="19"/>
  <c r="U464" i="19"/>
  <c r="R464" i="19"/>
  <c r="O464" i="19"/>
  <c r="S464" i="19" s="1"/>
  <c r="N464" i="19"/>
  <c r="K464" i="19"/>
  <c r="H464" i="19"/>
  <c r="E464" i="19"/>
  <c r="I464" i="19" s="1"/>
  <c r="D464" i="19"/>
  <c r="B464" i="19"/>
  <c r="AQ463" i="19"/>
  <c r="AL463" i="19"/>
  <c r="AG463" i="19"/>
  <c r="AE463" i="19"/>
  <c r="AB463" i="19"/>
  <c r="Y463" i="19"/>
  <c r="X463" i="19"/>
  <c r="U463" i="19"/>
  <c r="R463" i="19"/>
  <c r="O463" i="19"/>
  <c r="S463" i="19" s="1"/>
  <c r="N463" i="19"/>
  <c r="K463" i="19"/>
  <c r="H463" i="19"/>
  <c r="E463" i="19"/>
  <c r="I463" i="19" s="1"/>
  <c r="D463" i="19"/>
  <c r="B463" i="19"/>
  <c r="AQ462" i="19"/>
  <c r="AL462" i="19"/>
  <c r="AG462" i="19"/>
  <c r="AE462" i="19"/>
  <c r="AB462" i="19"/>
  <c r="Y462" i="19"/>
  <c r="X462" i="19"/>
  <c r="U462" i="19"/>
  <c r="R462" i="19"/>
  <c r="O462" i="19"/>
  <c r="S462" i="19" s="1"/>
  <c r="N462" i="19"/>
  <c r="K462" i="19"/>
  <c r="H462" i="19"/>
  <c r="E462" i="19"/>
  <c r="I462" i="19" s="1"/>
  <c r="D462" i="19"/>
  <c r="B462" i="19"/>
  <c r="AQ461" i="19"/>
  <c r="AL461" i="19"/>
  <c r="AG461" i="19"/>
  <c r="AE461" i="19"/>
  <c r="AB461" i="19"/>
  <c r="Y461" i="19"/>
  <c r="X461" i="19"/>
  <c r="U461" i="19"/>
  <c r="R461" i="19"/>
  <c r="O461" i="19"/>
  <c r="S461" i="19" s="1"/>
  <c r="N461" i="19"/>
  <c r="K461" i="19"/>
  <c r="H461" i="19"/>
  <c r="E461" i="19"/>
  <c r="I461" i="19" s="1"/>
  <c r="D461" i="19"/>
  <c r="B461" i="19"/>
  <c r="AQ460" i="19"/>
  <c r="AL460" i="19"/>
  <c r="AG460" i="19"/>
  <c r="AE460" i="19"/>
  <c r="AB460" i="19"/>
  <c r="Y460" i="19"/>
  <c r="X460" i="19"/>
  <c r="U460" i="19"/>
  <c r="R460" i="19"/>
  <c r="O460" i="19"/>
  <c r="S460" i="19" s="1"/>
  <c r="N460" i="19"/>
  <c r="K460" i="19"/>
  <c r="H460" i="19"/>
  <c r="E460" i="19"/>
  <c r="I460" i="19" s="1"/>
  <c r="D460" i="19"/>
  <c r="B460" i="19"/>
  <c r="AQ459" i="19"/>
  <c r="AL459" i="19"/>
  <c r="AG459" i="19"/>
  <c r="AE459" i="19"/>
  <c r="AB459" i="19"/>
  <c r="Y459" i="19"/>
  <c r="X459" i="19"/>
  <c r="U459" i="19"/>
  <c r="R459" i="19"/>
  <c r="O459" i="19"/>
  <c r="S459" i="19" s="1"/>
  <c r="N459" i="19"/>
  <c r="K459" i="19"/>
  <c r="H459" i="19"/>
  <c r="E459" i="19"/>
  <c r="I459" i="19" s="1"/>
  <c r="D459" i="19"/>
  <c r="B459" i="19"/>
  <c r="AQ458" i="19"/>
  <c r="AL458" i="19"/>
  <c r="AG458" i="19"/>
  <c r="AE458" i="19"/>
  <c r="AB458" i="19"/>
  <c r="Y458" i="19"/>
  <c r="X458" i="19"/>
  <c r="U458" i="19"/>
  <c r="R458" i="19"/>
  <c r="O458" i="19"/>
  <c r="S458" i="19" s="1"/>
  <c r="N458" i="19"/>
  <c r="K458" i="19"/>
  <c r="H458" i="19"/>
  <c r="E458" i="19"/>
  <c r="I458" i="19" s="1"/>
  <c r="D458" i="19"/>
  <c r="B458" i="19"/>
  <c r="AQ457" i="19"/>
  <c r="AL457" i="19"/>
  <c r="AG457" i="19"/>
  <c r="AE457" i="19"/>
  <c r="AB457" i="19"/>
  <c r="Y457" i="19"/>
  <c r="X457" i="19"/>
  <c r="U457" i="19"/>
  <c r="R457" i="19"/>
  <c r="O457" i="19"/>
  <c r="S457" i="19" s="1"/>
  <c r="N457" i="19"/>
  <c r="K457" i="19"/>
  <c r="H457" i="19"/>
  <c r="E457" i="19"/>
  <c r="I457" i="19" s="1"/>
  <c r="D457" i="19"/>
  <c r="B457" i="19"/>
  <c r="AQ456" i="19"/>
  <c r="AL456" i="19"/>
  <c r="AG456" i="19"/>
  <c r="AE456" i="19"/>
  <c r="AB456" i="19"/>
  <c r="AD456" i="19" s="1"/>
  <c r="Y456" i="19"/>
  <c r="X456" i="19"/>
  <c r="U456" i="19"/>
  <c r="R456" i="19"/>
  <c r="O456" i="19"/>
  <c r="S456" i="19" s="1"/>
  <c r="N456" i="19"/>
  <c r="K456" i="19"/>
  <c r="H456" i="19"/>
  <c r="J456" i="19" s="1"/>
  <c r="E456" i="19"/>
  <c r="I456" i="19" s="1"/>
  <c r="D456" i="19"/>
  <c r="B456" i="19"/>
  <c r="AQ455" i="19"/>
  <c r="AL455" i="19"/>
  <c r="AG455" i="19"/>
  <c r="AE455" i="19"/>
  <c r="AB455" i="19"/>
  <c r="AD455" i="19" s="1"/>
  <c r="Y455" i="19"/>
  <c r="X455" i="19"/>
  <c r="U455" i="19"/>
  <c r="R455" i="19"/>
  <c r="O455" i="19"/>
  <c r="S455" i="19" s="1"/>
  <c r="N455" i="19"/>
  <c r="K455" i="19"/>
  <c r="H455" i="19"/>
  <c r="J455" i="19" s="1"/>
  <c r="E455" i="19"/>
  <c r="I455" i="19" s="1"/>
  <c r="D455" i="19"/>
  <c r="B455" i="19"/>
  <c r="AQ454" i="19"/>
  <c r="AL454" i="19"/>
  <c r="AG454" i="19"/>
  <c r="AE454" i="19"/>
  <c r="AB454" i="19"/>
  <c r="Y454" i="19"/>
  <c r="X454" i="19"/>
  <c r="U454" i="19"/>
  <c r="R454" i="19"/>
  <c r="O454" i="19"/>
  <c r="S454" i="19" s="1"/>
  <c r="N454" i="19"/>
  <c r="K454" i="19"/>
  <c r="H454" i="19"/>
  <c r="E454" i="19"/>
  <c r="I454" i="19" s="1"/>
  <c r="D454" i="19"/>
  <c r="B454" i="19"/>
  <c r="AQ453" i="19"/>
  <c r="AL453" i="19"/>
  <c r="AG453" i="19"/>
  <c r="AE453" i="19"/>
  <c r="AB453" i="19"/>
  <c r="AD453" i="19" s="1"/>
  <c r="Y453" i="19"/>
  <c r="X453" i="19"/>
  <c r="U453" i="19"/>
  <c r="R453" i="19"/>
  <c r="O453" i="19"/>
  <c r="S453" i="19" s="1"/>
  <c r="N453" i="19"/>
  <c r="K453" i="19"/>
  <c r="H453" i="19"/>
  <c r="E453" i="19"/>
  <c r="I453" i="19" s="1"/>
  <c r="D453" i="19"/>
  <c r="B453" i="19"/>
  <c r="AQ452" i="19"/>
  <c r="AL452" i="19"/>
  <c r="AG452" i="19"/>
  <c r="AE452" i="19"/>
  <c r="AB452" i="19"/>
  <c r="Y452" i="19"/>
  <c r="X452" i="19"/>
  <c r="U452" i="19"/>
  <c r="R452" i="19"/>
  <c r="O452" i="19"/>
  <c r="S452" i="19" s="1"/>
  <c r="N452" i="19"/>
  <c r="K452" i="19"/>
  <c r="H452" i="19"/>
  <c r="E452" i="19"/>
  <c r="I452" i="19" s="1"/>
  <c r="D452" i="19"/>
  <c r="B452" i="19"/>
  <c r="AQ451" i="19"/>
  <c r="AL451" i="19"/>
  <c r="AG451" i="19"/>
  <c r="AE451" i="19"/>
  <c r="AB451" i="19"/>
  <c r="Y451" i="19"/>
  <c r="X451" i="19"/>
  <c r="U451" i="19"/>
  <c r="R451" i="19"/>
  <c r="O451" i="19"/>
  <c r="S451" i="19" s="1"/>
  <c r="N451" i="19"/>
  <c r="K451" i="19"/>
  <c r="H451" i="19"/>
  <c r="E451" i="19"/>
  <c r="I451" i="19" s="1"/>
  <c r="D451" i="19"/>
  <c r="B451" i="19"/>
  <c r="AQ450" i="19"/>
  <c r="AL450" i="19"/>
  <c r="AG450" i="19"/>
  <c r="AE450" i="19"/>
  <c r="AB450" i="19"/>
  <c r="Y450" i="19"/>
  <c r="X450" i="19"/>
  <c r="U450" i="19"/>
  <c r="R450" i="19"/>
  <c r="O450" i="19"/>
  <c r="S450" i="19" s="1"/>
  <c r="N450" i="19"/>
  <c r="K450" i="19"/>
  <c r="H450" i="19"/>
  <c r="E450" i="19"/>
  <c r="I450" i="19" s="1"/>
  <c r="D450" i="19"/>
  <c r="B450" i="19"/>
  <c r="AQ449" i="19"/>
  <c r="AL449" i="19"/>
  <c r="AG449" i="19"/>
  <c r="AE449" i="19"/>
  <c r="AB449" i="19"/>
  <c r="Y449" i="19"/>
  <c r="X449" i="19"/>
  <c r="U449" i="19"/>
  <c r="R449" i="19"/>
  <c r="O449" i="19"/>
  <c r="S449" i="19" s="1"/>
  <c r="N449" i="19"/>
  <c r="K449" i="19"/>
  <c r="H449" i="19"/>
  <c r="E449" i="19"/>
  <c r="I449" i="19" s="1"/>
  <c r="D449" i="19"/>
  <c r="B449" i="19"/>
  <c r="AQ448" i="19"/>
  <c r="AL448" i="19"/>
  <c r="AG448" i="19"/>
  <c r="AE448" i="19"/>
  <c r="AB448" i="19"/>
  <c r="Y448" i="19"/>
  <c r="X448" i="19"/>
  <c r="U448" i="19"/>
  <c r="R448" i="19"/>
  <c r="O448" i="19"/>
  <c r="S448" i="19" s="1"/>
  <c r="N448" i="19"/>
  <c r="K448" i="19"/>
  <c r="H448" i="19"/>
  <c r="E448" i="19"/>
  <c r="I448" i="19" s="1"/>
  <c r="D448" i="19"/>
  <c r="B448" i="19"/>
  <c r="AQ447" i="19"/>
  <c r="AL447" i="19"/>
  <c r="AG447" i="19"/>
  <c r="AE447" i="19"/>
  <c r="AB447" i="19"/>
  <c r="Y447" i="19"/>
  <c r="X447" i="19"/>
  <c r="U447" i="19"/>
  <c r="R447" i="19"/>
  <c r="O447" i="19"/>
  <c r="S447" i="19" s="1"/>
  <c r="N447" i="19"/>
  <c r="K447" i="19"/>
  <c r="H447" i="19"/>
  <c r="E447" i="19"/>
  <c r="I447" i="19" s="1"/>
  <c r="D447" i="19"/>
  <c r="B447" i="19"/>
  <c r="AQ446" i="19"/>
  <c r="AL446" i="19"/>
  <c r="AG446" i="19"/>
  <c r="AE446" i="19"/>
  <c r="AB446" i="19"/>
  <c r="Y446" i="19"/>
  <c r="X446" i="19"/>
  <c r="U446" i="19"/>
  <c r="R446" i="19"/>
  <c r="O446" i="19"/>
  <c r="S446" i="19" s="1"/>
  <c r="N446" i="19"/>
  <c r="K446" i="19"/>
  <c r="H446" i="19"/>
  <c r="E446" i="19"/>
  <c r="I446" i="19" s="1"/>
  <c r="D446" i="19"/>
  <c r="B446" i="19"/>
  <c r="AQ445" i="19"/>
  <c r="AL445" i="19"/>
  <c r="AG445" i="19"/>
  <c r="AE445" i="19"/>
  <c r="AB445" i="19"/>
  <c r="Y445" i="19"/>
  <c r="X445" i="19"/>
  <c r="U445" i="19"/>
  <c r="R445" i="19"/>
  <c r="O445" i="19"/>
  <c r="S445" i="19" s="1"/>
  <c r="N445" i="19"/>
  <c r="K445" i="19"/>
  <c r="H445" i="19"/>
  <c r="E445" i="19"/>
  <c r="I445" i="19" s="1"/>
  <c r="D445" i="19"/>
  <c r="B445" i="19"/>
  <c r="AQ444" i="19"/>
  <c r="AL444" i="19"/>
  <c r="AG444" i="19"/>
  <c r="AE444" i="19"/>
  <c r="AB444" i="19"/>
  <c r="Y444" i="19"/>
  <c r="X444" i="19"/>
  <c r="U444" i="19"/>
  <c r="R444" i="19"/>
  <c r="O444" i="19"/>
  <c r="S444" i="19" s="1"/>
  <c r="N444" i="19"/>
  <c r="K444" i="19"/>
  <c r="H444" i="19"/>
  <c r="E444" i="19"/>
  <c r="I444" i="19" s="1"/>
  <c r="D444" i="19"/>
  <c r="B444" i="19"/>
  <c r="AQ443" i="19"/>
  <c r="AL443" i="19"/>
  <c r="AG443" i="19"/>
  <c r="AE443" i="19"/>
  <c r="AB443" i="19"/>
  <c r="Y443" i="19"/>
  <c r="X443" i="19"/>
  <c r="U443" i="19"/>
  <c r="R443" i="19"/>
  <c r="O443" i="19"/>
  <c r="S443" i="19" s="1"/>
  <c r="N443" i="19"/>
  <c r="K443" i="19"/>
  <c r="H443" i="19"/>
  <c r="E443" i="19"/>
  <c r="I443" i="19" s="1"/>
  <c r="D443" i="19"/>
  <c r="B443" i="19"/>
  <c r="AQ442" i="19"/>
  <c r="AL442" i="19"/>
  <c r="AG442" i="19"/>
  <c r="AE442" i="19"/>
  <c r="AB442" i="19"/>
  <c r="Y442" i="19"/>
  <c r="X442" i="19"/>
  <c r="U442" i="19"/>
  <c r="R442" i="19"/>
  <c r="O442" i="19"/>
  <c r="S442" i="19" s="1"/>
  <c r="N442" i="19"/>
  <c r="K442" i="19"/>
  <c r="H442" i="19"/>
  <c r="E442" i="19"/>
  <c r="I442" i="19" s="1"/>
  <c r="D442" i="19"/>
  <c r="B442" i="19"/>
  <c r="AQ441" i="19"/>
  <c r="AL441" i="19"/>
  <c r="AG441" i="19"/>
  <c r="AE441" i="19"/>
  <c r="AB441" i="19"/>
  <c r="Y441" i="19"/>
  <c r="X441" i="19"/>
  <c r="U441" i="19"/>
  <c r="R441" i="19"/>
  <c r="O441" i="19"/>
  <c r="S441" i="19" s="1"/>
  <c r="N441" i="19"/>
  <c r="K441" i="19"/>
  <c r="H441" i="19"/>
  <c r="E441" i="19"/>
  <c r="I441" i="19" s="1"/>
  <c r="D441" i="19"/>
  <c r="B441" i="19"/>
  <c r="AQ440" i="19"/>
  <c r="AL440" i="19"/>
  <c r="AG440" i="19"/>
  <c r="AE440" i="19"/>
  <c r="AB440" i="19"/>
  <c r="Y440" i="19"/>
  <c r="X440" i="19"/>
  <c r="U440" i="19"/>
  <c r="R440" i="19"/>
  <c r="O440" i="19"/>
  <c r="S440" i="19" s="1"/>
  <c r="N440" i="19"/>
  <c r="K440" i="19"/>
  <c r="H440" i="19"/>
  <c r="E440" i="19"/>
  <c r="I440" i="19" s="1"/>
  <c r="D440" i="19"/>
  <c r="B440" i="19"/>
  <c r="AQ439" i="19"/>
  <c r="AL439" i="19"/>
  <c r="AG439" i="19"/>
  <c r="AE439" i="19"/>
  <c r="AB439" i="19"/>
  <c r="Y439" i="19"/>
  <c r="X439" i="19"/>
  <c r="U439" i="19"/>
  <c r="R439" i="19"/>
  <c r="O439" i="19"/>
  <c r="S439" i="19" s="1"/>
  <c r="N439" i="19"/>
  <c r="K439" i="19"/>
  <c r="H439" i="19"/>
  <c r="E439" i="19"/>
  <c r="I439" i="19" s="1"/>
  <c r="D439" i="19"/>
  <c r="B439" i="19"/>
  <c r="AQ438" i="19"/>
  <c r="AL438" i="19"/>
  <c r="AG438" i="19"/>
  <c r="AE438" i="19"/>
  <c r="AB438" i="19"/>
  <c r="Y438" i="19"/>
  <c r="X438" i="19"/>
  <c r="U438" i="19"/>
  <c r="R438" i="19"/>
  <c r="O438" i="19"/>
  <c r="S438" i="19" s="1"/>
  <c r="N438" i="19"/>
  <c r="K438" i="19"/>
  <c r="H438" i="19"/>
  <c r="E438" i="19"/>
  <c r="I438" i="19" s="1"/>
  <c r="D438" i="19"/>
  <c r="B438" i="19"/>
  <c r="AQ437" i="19"/>
  <c r="AL437" i="19"/>
  <c r="AG437" i="19"/>
  <c r="AE437" i="19"/>
  <c r="AB437" i="19"/>
  <c r="Y437" i="19"/>
  <c r="X437" i="19"/>
  <c r="U437" i="19"/>
  <c r="R437" i="19"/>
  <c r="O437" i="19"/>
  <c r="S437" i="19" s="1"/>
  <c r="N437" i="19"/>
  <c r="K437" i="19"/>
  <c r="H437" i="19"/>
  <c r="E437" i="19"/>
  <c r="I437" i="19" s="1"/>
  <c r="D437" i="19"/>
  <c r="B437" i="19"/>
  <c r="AQ436" i="19"/>
  <c r="AL436" i="19"/>
  <c r="AG436" i="19"/>
  <c r="AE436" i="19"/>
  <c r="AB436" i="19"/>
  <c r="Y436" i="19"/>
  <c r="X436" i="19"/>
  <c r="U436" i="19"/>
  <c r="R436" i="19"/>
  <c r="O436" i="19"/>
  <c r="S436" i="19" s="1"/>
  <c r="N436" i="19"/>
  <c r="K436" i="19"/>
  <c r="H436" i="19"/>
  <c r="E436" i="19"/>
  <c r="I436" i="19" s="1"/>
  <c r="D436" i="19"/>
  <c r="B436" i="19"/>
  <c r="AQ435" i="19"/>
  <c r="AL435" i="19"/>
  <c r="AG435" i="19"/>
  <c r="AE435" i="19"/>
  <c r="AB435" i="19"/>
  <c r="Y435" i="19"/>
  <c r="X435" i="19"/>
  <c r="U435" i="19"/>
  <c r="R435" i="19"/>
  <c r="O435" i="19"/>
  <c r="S435" i="19" s="1"/>
  <c r="N435" i="19"/>
  <c r="K435" i="19"/>
  <c r="H435" i="19"/>
  <c r="E435" i="19"/>
  <c r="I435" i="19" s="1"/>
  <c r="D435" i="19"/>
  <c r="B435" i="19"/>
  <c r="AQ434" i="19"/>
  <c r="AL434" i="19"/>
  <c r="AG434" i="19"/>
  <c r="AE434" i="19"/>
  <c r="AB434" i="19"/>
  <c r="Y434" i="19"/>
  <c r="X434" i="19"/>
  <c r="U434" i="19"/>
  <c r="R434" i="19"/>
  <c r="O434" i="19"/>
  <c r="S434" i="19" s="1"/>
  <c r="N434" i="19"/>
  <c r="K434" i="19"/>
  <c r="H434" i="19"/>
  <c r="E434" i="19"/>
  <c r="I434" i="19" s="1"/>
  <c r="D434" i="19"/>
  <c r="B434" i="19"/>
  <c r="AQ433" i="19"/>
  <c r="AL433" i="19"/>
  <c r="AG433" i="19"/>
  <c r="AE433" i="19"/>
  <c r="AB433" i="19"/>
  <c r="Y433" i="19"/>
  <c r="X433" i="19"/>
  <c r="U433" i="19"/>
  <c r="R433" i="19"/>
  <c r="O433" i="19"/>
  <c r="S433" i="19" s="1"/>
  <c r="N433" i="19"/>
  <c r="K433" i="19"/>
  <c r="H433" i="19"/>
  <c r="E433" i="19"/>
  <c r="I433" i="19" s="1"/>
  <c r="D433" i="19"/>
  <c r="B433" i="19"/>
  <c r="AQ432" i="19"/>
  <c r="AL432" i="19"/>
  <c r="AG432" i="19"/>
  <c r="AE432" i="19"/>
  <c r="AB432" i="19"/>
  <c r="Y432" i="19"/>
  <c r="X432" i="19"/>
  <c r="U432" i="19"/>
  <c r="R432" i="19"/>
  <c r="O432" i="19"/>
  <c r="S432" i="19" s="1"/>
  <c r="N432" i="19"/>
  <c r="K432" i="19"/>
  <c r="H432" i="19"/>
  <c r="E432" i="19"/>
  <c r="I432" i="19" s="1"/>
  <c r="D432" i="19"/>
  <c r="B432" i="19"/>
  <c r="AQ431" i="19"/>
  <c r="AL431" i="19"/>
  <c r="AG431" i="19"/>
  <c r="AE431" i="19"/>
  <c r="AF431" i="19" s="1"/>
  <c r="AB431" i="19"/>
  <c r="AD431" i="19" s="1"/>
  <c r="Y431" i="19"/>
  <c r="X431" i="19"/>
  <c r="U431" i="19"/>
  <c r="R431" i="19"/>
  <c r="O431" i="19"/>
  <c r="S431" i="19" s="1"/>
  <c r="N431" i="19"/>
  <c r="K431" i="19"/>
  <c r="H431" i="19"/>
  <c r="J431" i="19" s="1"/>
  <c r="E431" i="19"/>
  <c r="I431" i="19" s="1"/>
  <c r="D431" i="19"/>
  <c r="B431" i="19"/>
  <c r="AQ430" i="19"/>
  <c r="AL430" i="19"/>
  <c r="AG430" i="19"/>
  <c r="AE430" i="19"/>
  <c r="AF430" i="19" s="1"/>
  <c r="AB430" i="19"/>
  <c r="AD430" i="19" s="1"/>
  <c r="Y430" i="19"/>
  <c r="X430" i="19"/>
  <c r="U430" i="19"/>
  <c r="R430" i="19"/>
  <c r="O430" i="19"/>
  <c r="S430" i="19" s="1"/>
  <c r="N430" i="19"/>
  <c r="K430" i="19"/>
  <c r="L430" i="19" s="1"/>
  <c r="H430" i="19"/>
  <c r="J430" i="19" s="1"/>
  <c r="E430" i="19"/>
  <c r="I430" i="19" s="1"/>
  <c r="D430" i="19"/>
  <c r="B430" i="19"/>
  <c r="AQ429" i="19"/>
  <c r="AL429" i="19"/>
  <c r="AG429" i="19"/>
  <c r="AE429" i="19"/>
  <c r="AF429" i="19" s="1"/>
  <c r="AB429" i="19"/>
  <c r="AD429" i="19" s="1"/>
  <c r="Y429" i="19"/>
  <c r="X429" i="19"/>
  <c r="U429" i="19"/>
  <c r="R429" i="19"/>
  <c r="O429" i="19"/>
  <c r="S429" i="19" s="1"/>
  <c r="N429" i="19"/>
  <c r="K429" i="19"/>
  <c r="H429" i="19"/>
  <c r="J429" i="19" s="1"/>
  <c r="E429" i="19"/>
  <c r="I429" i="19" s="1"/>
  <c r="D429" i="19"/>
  <c r="B429" i="19"/>
  <c r="AQ428" i="19"/>
  <c r="AL428" i="19"/>
  <c r="AG428" i="19"/>
  <c r="AE428" i="19"/>
  <c r="AB428" i="19"/>
  <c r="Y428" i="19"/>
  <c r="X428" i="19"/>
  <c r="U428" i="19"/>
  <c r="R428" i="19"/>
  <c r="O428" i="19"/>
  <c r="S428" i="19" s="1"/>
  <c r="N428" i="19"/>
  <c r="K428" i="19"/>
  <c r="H428" i="19"/>
  <c r="E428" i="19"/>
  <c r="I428" i="19" s="1"/>
  <c r="D428" i="19"/>
  <c r="B428" i="19"/>
  <c r="AQ427" i="19"/>
  <c r="AL427" i="19"/>
  <c r="AG427" i="19"/>
  <c r="AE427" i="19"/>
  <c r="AB427" i="19"/>
  <c r="Y427" i="19"/>
  <c r="X427" i="19"/>
  <c r="U427" i="19"/>
  <c r="R427" i="19"/>
  <c r="O427" i="19"/>
  <c r="S427" i="19" s="1"/>
  <c r="N427" i="19"/>
  <c r="K427" i="19"/>
  <c r="H427" i="19"/>
  <c r="E427" i="19"/>
  <c r="I427" i="19" s="1"/>
  <c r="D427" i="19"/>
  <c r="B427" i="19"/>
  <c r="AQ426" i="19"/>
  <c r="AL426" i="19"/>
  <c r="AG426" i="19"/>
  <c r="AE426" i="19"/>
  <c r="AB426" i="19"/>
  <c r="Y426" i="19"/>
  <c r="X426" i="19"/>
  <c r="U426" i="19"/>
  <c r="R426" i="19"/>
  <c r="O426" i="19"/>
  <c r="S426" i="19" s="1"/>
  <c r="N426" i="19"/>
  <c r="K426" i="19"/>
  <c r="H426" i="19"/>
  <c r="E426" i="19"/>
  <c r="I426" i="19" s="1"/>
  <c r="D426" i="19"/>
  <c r="B426" i="19"/>
  <c r="AQ425" i="19"/>
  <c r="AL425" i="19"/>
  <c r="AG425" i="19"/>
  <c r="AE425" i="19"/>
  <c r="AB425" i="19"/>
  <c r="Y425" i="19"/>
  <c r="X425" i="19"/>
  <c r="U425" i="19"/>
  <c r="R425" i="19"/>
  <c r="O425" i="19"/>
  <c r="S425" i="19" s="1"/>
  <c r="N425" i="19"/>
  <c r="K425" i="19"/>
  <c r="H425" i="19"/>
  <c r="E425" i="19"/>
  <c r="I425" i="19" s="1"/>
  <c r="D425" i="19"/>
  <c r="B425" i="19"/>
  <c r="AQ424" i="19"/>
  <c r="AL424" i="19"/>
  <c r="AG424" i="19"/>
  <c r="AE424" i="19"/>
  <c r="AB424" i="19"/>
  <c r="Y424" i="19"/>
  <c r="X424" i="19"/>
  <c r="U424" i="19"/>
  <c r="R424" i="19"/>
  <c r="O424" i="19"/>
  <c r="S424" i="19" s="1"/>
  <c r="N424" i="19"/>
  <c r="K424" i="19"/>
  <c r="H424" i="19"/>
  <c r="E424" i="19"/>
  <c r="I424" i="19" s="1"/>
  <c r="D424" i="19"/>
  <c r="B424" i="19"/>
  <c r="AQ423" i="19"/>
  <c r="AL423" i="19"/>
  <c r="AG423" i="19"/>
  <c r="AE423" i="19"/>
  <c r="AB423" i="19"/>
  <c r="Y423" i="19"/>
  <c r="X423" i="19"/>
  <c r="U423" i="19"/>
  <c r="R423" i="19"/>
  <c r="O423" i="19"/>
  <c r="S423" i="19" s="1"/>
  <c r="N423" i="19"/>
  <c r="K423" i="19"/>
  <c r="H423" i="19"/>
  <c r="E423" i="19"/>
  <c r="I423" i="19" s="1"/>
  <c r="D423" i="19"/>
  <c r="B423" i="19"/>
  <c r="AQ422" i="19"/>
  <c r="AL422" i="19"/>
  <c r="AG422" i="19"/>
  <c r="AE422" i="19"/>
  <c r="AB422" i="19"/>
  <c r="Y422" i="19"/>
  <c r="X422" i="19"/>
  <c r="U422" i="19"/>
  <c r="R422" i="19"/>
  <c r="O422" i="19"/>
  <c r="S422" i="19" s="1"/>
  <c r="N422" i="19"/>
  <c r="K422" i="19"/>
  <c r="H422" i="19"/>
  <c r="E422" i="19"/>
  <c r="I422" i="19" s="1"/>
  <c r="D422" i="19"/>
  <c r="B422" i="19"/>
  <c r="AQ421" i="19"/>
  <c r="AL421" i="19"/>
  <c r="AG421" i="19"/>
  <c r="AE421" i="19"/>
  <c r="AB421" i="19"/>
  <c r="AD421" i="19" s="1"/>
  <c r="Y421" i="19"/>
  <c r="X421" i="19"/>
  <c r="U421" i="19"/>
  <c r="R421" i="19"/>
  <c r="O421" i="19"/>
  <c r="S421" i="19" s="1"/>
  <c r="N421" i="19"/>
  <c r="K421" i="19"/>
  <c r="H421" i="19"/>
  <c r="E421" i="19"/>
  <c r="I421" i="19" s="1"/>
  <c r="D421" i="19"/>
  <c r="B421" i="19"/>
  <c r="AQ420" i="19"/>
  <c r="AL420" i="19"/>
  <c r="AG420" i="19"/>
  <c r="AE420" i="19"/>
  <c r="AB420" i="19"/>
  <c r="AD420" i="19" s="1"/>
  <c r="Y420" i="19"/>
  <c r="X420" i="19"/>
  <c r="U420" i="19"/>
  <c r="R420" i="19"/>
  <c r="O420" i="19"/>
  <c r="S420" i="19" s="1"/>
  <c r="N420" i="19"/>
  <c r="K420" i="19"/>
  <c r="H420" i="19"/>
  <c r="J420" i="19" s="1"/>
  <c r="E420" i="19"/>
  <c r="I420" i="19" s="1"/>
  <c r="D420" i="19"/>
  <c r="B420" i="19"/>
  <c r="AQ419" i="19"/>
  <c r="AL419" i="19"/>
  <c r="AG419" i="19"/>
  <c r="AE419" i="19"/>
  <c r="AB419" i="19"/>
  <c r="AD419" i="19" s="1"/>
  <c r="Y419" i="19"/>
  <c r="X419" i="19"/>
  <c r="U419" i="19"/>
  <c r="R419" i="19"/>
  <c r="O419" i="19"/>
  <c r="S419" i="19" s="1"/>
  <c r="N419" i="19"/>
  <c r="K419" i="19"/>
  <c r="H419" i="19"/>
  <c r="J419" i="19" s="1"/>
  <c r="E419" i="19"/>
  <c r="I419" i="19" s="1"/>
  <c r="D419" i="19"/>
  <c r="B419" i="19"/>
  <c r="AQ418" i="19"/>
  <c r="AL418" i="19"/>
  <c r="AG418" i="19"/>
  <c r="AE418" i="19"/>
  <c r="AB418" i="19"/>
  <c r="AD418" i="19" s="1"/>
  <c r="Y418" i="19"/>
  <c r="X418" i="19"/>
  <c r="U418" i="19"/>
  <c r="R418" i="19"/>
  <c r="O418" i="19"/>
  <c r="S418" i="19" s="1"/>
  <c r="N418" i="19"/>
  <c r="K418" i="19"/>
  <c r="H418" i="19"/>
  <c r="E418" i="19"/>
  <c r="I418" i="19" s="1"/>
  <c r="D418" i="19"/>
  <c r="B418" i="19"/>
  <c r="AQ417" i="19"/>
  <c r="AL417" i="19"/>
  <c r="AG417" i="19"/>
  <c r="AE417" i="19"/>
  <c r="AB417" i="19"/>
  <c r="Y417" i="19"/>
  <c r="X417" i="19"/>
  <c r="U417" i="19"/>
  <c r="R417" i="19"/>
  <c r="O417" i="19"/>
  <c r="S417" i="19" s="1"/>
  <c r="N417" i="19"/>
  <c r="K417" i="19"/>
  <c r="L417" i="19" s="1"/>
  <c r="H417" i="19"/>
  <c r="E417" i="19"/>
  <c r="I417" i="19" s="1"/>
  <c r="D417" i="19"/>
  <c r="B417" i="19"/>
  <c r="AQ416" i="19"/>
  <c r="AL416" i="19"/>
  <c r="AG416" i="19"/>
  <c r="AE416" i="19"/>
  <c r="AB416" i="19"/>
  <c r="Y416" i="19"/>
  <c r="X416" i="19"/>
  <c r="U416" i="19"/>
  <c r="R416" i="19"/>
  <c r="O416" i="19"/>
  <c r="S416" i="19" s="1"/>
  <c r="N416" i="19"/>
  <c r="K416" i="19"/>
  <c r="H416" i="19"/>
  <c r="E416" i="19"/>
  <c r="I416" i="19" s="1"/>
  <c r="D416" i="19"/>
  <c r="B416" i="19"/>
  <c r="AQ415" i="19"/>
  <c r="AL415" i="19"/>
  <c r="AG415" i="19"/>
  <c r="AE415" i="19"/>
  <c r="AF415" i="19" s="1"/>
  <c r="AB415" i="19"/>
  <c r="Y415" i="19"/>
  <c r="X415" i="19"/>
  <c r="U415" i="19"/>
  <c r="R415" i="19"/>
  <c r="O415" i="19"/>
  <c r="S415" i="19" s="1"/>
  <c r="N415" i="19"/>
  <c r="K415" i="19"/>
  <c r="H415" i="19"/>
  <c r="J415" i="19" s="1"/>
  <c r="E415" i="19"/>
  <c r="I415" i="19" s="1"/>
  <c r="D415" i="19"/>
  <c r="B415" i="19"/>
  <c r="AQ414" i="19"/>
  <c r="AL414" i="19"/>
  <c r="AG414" i="19"/>
  <c r="AE414" i="19"/>
  <c r="AF414" i="19" s="1"/>
  <c r="AB414" i="19"/>
  <c r="AD414" i="19" s="1"/>
  <c r="Y414" i="19"/>
  <c r="X414" i="19"/>
  <c r="U414" i="19"/>
  <c r="R414" i="19"/>
  <c r="O414" i="19"/>
  <c r="S414" i="19" s="1"/>
  <c r="N414" i="19"/>
  <c r="K414" i="19"/>
  <c r="H414" i="19"/>
  <c r="E414" i="19"/>
  <c r="I414" i="19" s="1"/>
  <c r="D414" i="19"/>
  <c r="B414" i="19"/>
  <c r="AQ413" i="19"/>
  <c r="AL413" i="19"/>
  <c r="AG413" i="19"/>
  <c r="AE413" i="19"/>
  <c r="AB413" i="19"/>
  <c r="Y413" i="19"/>
  <c r="X413" i="19"/>
  <c r="U413" i="19"/>
  <c r="R413" i="19"/>
  <c r="O413" i="19"/>
  <c r="S413" i="19" s="1"/>
  <c r="N413" i="19"/>
  <c r="K413" i="19"/>
  <c r="H413" i="19"/>
  <c r="J413" i="19" s="1"/>
  <c r="E413" i="19"/>
  <c r="I413" i="19" s="1"/>
  <c r="D413" i="19"/>
  <c r="B413" i="19"/>
  <c r="AQ412" i="19"/>
  <c r="AL412" i="19"/>
  <c r="AG412" i="19"/>
  <c r="AE412" i="19"/>
  <c r="AB412" i="19"/>
  <c r="Y412" i="19"/>
  <c r="X412" i="19"/>
  <c r="U412" i="19"/>
  <c r="R412" i="19"/>
  <c r="O412" i="19"/>
  <c r="S412" i="19" s="1"/>
  <c r="N412" i="19"/>
  <c r="K412" i="19"/>
  <c r="H412" i="19"/>
  <c r="E412" i="19"/>
  <c r="I412" i="19" s="1"/>
  <c r="D412" i="19"/>
  <c r="B412" i="19"/>
  <c r="AQ411" i="19"/>
  <c r="AL411" i="19"/>
  <c r="AG411" i="19"/>
  <c r="AE411" i="19"/>
  <c r="AB411" i="19"/>
  <c r="AD411" i="19" s="1"/>
  <c r="Y411" i="19"/>
  <c r="X411" i="19"/>
  <c r="U411" i="19"/>
  <c r="R411" i="19"/>
  <c r="O411" i="19"/>
  <c r="S411" i="19" s="1"/>
  <c r="N411" i="19"/>
  <c r="K411" i="19"/>
  <c r="H411" i="19"/>
  <c r="E411" i="19"/>
  <c r="I411" i="19" s="1"/>
  <c r="D411" i="19"/>
  <c r="B411" i="19"/>
  <c r="AQ410" i="19"/>
  <c r="AL410" i="19"/>
  <c r="AG410" i="19"/>
  <c r="AE410" i="19"/>
  <c r="AB410" i="19"/>
  <c r="Y410" i="19"/>
  <c r="X410" i="19"/>
  <c r="U410" i="19"/>
  <c r="R410" i="19"/>
  <c r="O410" i="19"/>
  <c r="S410" i="19" s="1"/>
  <c r="N410" i="19"/>
  <c r="K410" i="19"/>
  <c r="H410" i="19"/>
  <c r="E410" i="19"/>
  <c r="I410" i="19" s="1"/>
  <c r="D410" i="19"/>
  <c r="B410" i="19"/>
  <c r="AQ409" i="19"/>
  <c r="AL409" i="19"/>
  <c r="AG409" i="19"/>
  <c r="AE409" i="19"/>
  <c r="AF409" i="19" s="1"/>
  <c r="AB409" i="19"/>
  <c r="AD409" i="19" s="1"/>
  <c r="Y409" i="19"/>
  <c r="X409" i="19"/>
  <c r="U409" i="19"/>
  <c r="R409" i="19"/>
  <c r="O409" i="19"/>
  <c r="S409" i="19" s="1"/>
  <c r="N409" i="19"/>
  <c r="K409" i="19"/>
  <c r="L409" i="19" s="1"/>
  <c r="H409" i="19"/>
  <c r="E409" i="19"/>
  <c r="I409" i="19" s="1"/>
  <c r="D409" i="19"/>
  <c r="B409" i="19"/>
  <c r="AQ408" i="19"/>
  <c r="AL408" i="19"/>
  <c r="AG408" i="19"/>
  <c r="AE408" i="19"/>
  <c r="AF408" i="19" s="1"/>
  <c r="AB408" i="19"/>
  <c r="Y408" i="19"/>
  <c r="X408" i="19"/>
  <c r="U408" i="19"/>
  <c r="R408" i="19"/>
  <c r="O408" i="19"/>
  <c r="S408" i="19" s="1"/>
  <c r="N408" i="19"/>
  <c r="K408" i="19"/>
  <c r="H408" i="19"/>
  <c r="E408" i="19"/>
  <c r="I408" i="19" s="1"/>
  <c r="D408" i="19"/>
  <c r="B408" i="19"/>
  <c r="AQ407" i="19"/>
  <c r="AL407" i="19"/>
  <c r="AG407" i="19"/>
  <c r="AE407" i="19"/>
  <c r="AB407" i="19"/>
  <c r="Y407" i="19"/>
  <c r="X407" i="19"/>
  <c r="U407" i="19"/>
  <c r="R407" i="19"/>
  <c r="O407" i="19"/>
  <c r="S407" i="19" s="1"/>
  <c r="N407" i="19"/>
  <c r="K407" i="19"/>
  <c r="H407" i="19"/>
  <c r="E407" i="19"/>
  <c r="I407" i="19" s="1"/>
  <c r="D407" i="19"/>
  <c r="B407" i="19"/>
  <c r="AQ406" i="19"/>
  <c r="AL406" i="19"/>
  <c r="AG406" i="19"/>
  <c r="AE406" i="19"/>
  <c r="AF406" i="19" s="1"/>
  <c r="AB406" i="19"/>
  <c r="AD406" i="19" s="1"/>
  <c r="Y406" i="19"/>
  <c r="X406" i="19"/>
  <c r="U406" i="19"/>
  <c r="R406" i="19"/>
  <c r="O406" i="19"/>
  <c r="S406" i="19" s="1"/>
  <c r="N406" i="19"/>
  <c r="K406" i="19"/>
  <c r="H406" i="19"/>
  <c r="J406" i="19" s="1"/>
  <c r="E406" i="19"/>
  <c r="I406" i="19" s="1"/>
  <c r="D406" i="19"/>
  <c r="B406" i="19"/>
  <c r="AQ405" i="19"/>
  <c r="AL405" i="19"/>
  <c r="AG405" i="19"/>
  <c r="AE405" i="19"/>
  <c r="AF405" i="19" s="1"/>
  <c r="AB405" i="19"/>
  <c r="AD405" i="19" s="1"/>
  <c r="Y405" i="19"/>
  <c r="X405" i="19"/>
  <c r="U405" i="19"/>
  <c r="R405" i="19"/>
  <c r="O405" i="19"/>
  <c r="S405" i="19" s="1"/>
  <c r="N405" i="19"/>
  <c r="K405" i="19"/>
  <c r="L405" i="19" s="1"/>
  <c r="H405" i="19"/>
  <c r="E405" i="19"/>
  <c r="I405" i="19" s="1"/>
  <c r="D405" i="19"/>
  <c r="B405" i="19"/>
  <c r="AQ404" i="19"/>
  <c r="AL404" i="19"/>
  <c r="AG404" i="19"/>
  <c r="AE404" i="19"/>
  <c r="AB404" i="19"/>
  <c r="Y404" i="19"/>
  <c r="X404" i="19"/>
  <c r="U404" i="19"/>
  <c r="R404" i="19"/>
  <c r="O404" i="19"/>
  <c r="S404" i="19" s="1"/>
  <c r="N404" i="19"/>
  <c r="K404" i="19"/>
  <c r="H404" i="19"/>
  <c r="E404" i="19"/>
  <c r="I404" i="19" s="1"/>
  <c r="D404" i="19"/>
  <c r="B404" i="19"/>
  <c r="AQ403" i="19"/>
  <c r="AL403" i="19"/>
  <c r="AG403" i="19"/>
  <c r="AE403" i="19"/>
  <c r="AB403" i="19"/>
  <c r="Y403" i="19"/>
  <c r="X403" i="19"/>
  <c r="U403" i="19"/>
  <c r="R403" i="19"/>
  <c r="O403" i="19"/>
  <c r="S403" i="19" s="1"/>
  <c r="N403" i="19"/>
  <c r="K403" i="19"/>
  <c r="H403" i="19"/>
  <c r="E403" i="19"/>
  <c r="I403" i="19" s="1"/>
  <c r="D403" i="19"/>
  <c r="B403" i="19"/>
  <c r="AQ402" i="19"/>
  <c r="AL402" i="19"/>
  <c r="AG402" i="19"/>
  <c r="AE402" i="19"/>
  <c r="AF402" i="19" s="1"/>
  <c r="AB402" i="19"/>
  <c r="Y402" i="19"/>
  <c r="X402" i="19"/>
  <c r="U402" i="19"/>
  <c r="R402" i="19"/>
  <c r="O402" i="19"/>
  <c r="S402" i="19" s="1"/>
  <c r="N402" i="19"/>
  <c r="K402" i="19"/>
  <c r="L402" i="19" s="1"/>
  <c r="H402" i="19"/>
  <c r="E402" i="19"/>
  <c r="I402" i="19" s="1"/>
  <c r="D402" i="19"/>
  <c r="B402" i="19"/>
  <c r="AQ401" i="19"/>
  <c r="AL401" i="19"/>
  <c r="AG401" i="19"/>
  <c r="AE401" i="19"/>
  <c r="AB401" i="19"/>
  <c r="Y401" i="19"/>
  <c r="X401" i="19"/>
  <c r="U401" i="19"/>
  <c r="R401" i="19"/>
  <c r="O401" i="19"/>
  <c r="S401" i="19" s="1"/>
  <c r="N401" i="19"/>
  <c r="K401" i="19"/>
  <c r="H401" i="19"/>
  <c r="E401" i="19"/>
  <c r="I401" i="19" s="1"/>
  <c r="D401" i="19"/>
  <c r="B401" i="19"/>
  <c r="AQ400" i="19"/>
  <c r="AL400" i="19"/>
  <c r="AG400" i="19"/>
  <c r="AE400" i="19"/>
  <c r="AF400" i="19" s="1"/>
  <c r="AB400" i="19"/>
  <c r="Y400" i="19"/>
  <c r="X400" i="19"/>
  <c r="U400" i="19"/>
  <c r="R400" i="19"/>
  <c r="O400" i="19"/>
  <c r="S400" i="19" s="1"/>
  <c r="N400" i="19"/>
  <c r="K400" i="19"/>
  <c r="H400" i="19"/>
  <c r="E400" i="19"/>
  <c r="I400" i="19" s="1"/>
  <c r="D400" i="19"/>
  <c r="B400" i="19"/>
  <c r="AQ399" i="19"/>
  <c r="AL399" i="19"/>
  <c r="AG399" i="19"/>
  <c r="AE399" i="19"/>
  <c r="AF399" i="19" s="1"/>
  <c r="AB399" i="19"/>
  <c r="Y399" i="19"/>
  <c r="X399" i="19"/>
  <c r="U399" i="19"/>
  <c r="R399" i="19"/>
  <c r="O399" i="19"/>
  <c r="S399" i="19" s="1"/>
  <c r="N399" i="19"/>
  <c r="K399" i="19"/>
  <c r="H399" i="19"/>
  <c r="E399" i="19"/>
  <c r="I399" i="19" s="1"/>
  <c r="D399" i="19"/>
  <c r="B399" i="19"/>
  <c r="AQ398" i="19"/>
  <c r="AL398" i="19"/>
  <c r="AG398" i="19"/>
  <c r="AE398" i="19"/>
  <c r="AB398" i="19"/>
  <c r="Y398" i="19"/>
  <c r="X398" i="19"/>
  <c r="U398" i="19"/>
  <c r="R398" i="19"/>
  <c r="O398" i="19"/>
  <c r="S398" i="19" s="1"/>
  <c r="N398" i="19"/>
  <c r="K398" i="19"/>
  <c r="H398" i="19"/>
  <c r="E398" i="19"/>
  <c r="I398" i="19" s="1"/>
  <c r="D398" i="19"/>
  <c r="B398" i="19"/>
  <c r="AQ397" i="19"/>
  <c r="AL397" i="19"/>
  <c r="AG397" i="19"/>
  <c r="AE397" i="19"/>
  <c r="AB397" i="19"/>
  <c r="Y397" i="19"/>
  <c r="X397" i="19"/>
  <c r="U397" i="19"/>
  <c r="R397" i="19"/>
  <c r="O397" i="19"/>
  <c r="S397" i="19" s="1"/>
  <c r="N397" i="19"/>
  <c r="K397" i="19"/>
  <c r="H397" i="19"/>
  <c r="E397" i="19"/>
  <c r="I397" i="19" s="1"/>
  <c r="D397" i="19"/>
  <c r="B397" i="19"/>
  <c r="AQ396" i="19"/>
  <c r="AL396" i="19"/>
  <c r="AG396" i="19"/>
  <c r="AE396" i="19"/>
  <c r="AB396" i="19"/>
  <c r="Y396" i="19"/>
  <c r="X396" i="19"/>
  <c r="U396" i="19"/>
  <c r="R396" i="19"/>
  <c r="O396" i="19"/>
  <c r="S396" i="19" s="1"/>
  <c r="N396" i="19"/>
  <c r="K396" i="19"/>
  <c r="H396" i="19"/>
  <c r="J396" i="19" s="1"/>
  <c r="E396" i="19"/>
  <c r="I396" i="19" s="1"/>
  <c r="D396" i="19"/>
  <c r="B396" i="19"/>
  <c r="AQ395" i="19"/>
  <c r="AL395" i="19"/>
  <c r="AG395" i="19"/>
  <c r="AE395" i="19"/>
  <c r="AB395" i="19"/>
  <c r="Y395" i="19"/>
  <c r="X395" i="19"/>
  <c r="U395" i="19"/>
  <c r="R395" i="19"/>
  <c r="O395" i="19"/>
  <c r="S395" i="19" s="1"/>
  <c r="N395" i="19"/>
  <c r="K395" i="19"/>
  <c r="H395" i="19"/>
  <c r="E395" i="19"/>
  <c r="I395" i="19" s="1"/>
  <c r="D395" i="19"/>
  <c r="B395" i="19"/>
  <c r="AQ394" i="19"/>
  <c r="AL394" i="19"/>
  <c r="AG394" i="19"/>
  <c r="AE394" i="19"/>
  <c r="AF394" i="19" s="1"/>
  <c r="AB394" i="19"/>
  <c r="AD394" i="19" s="1"/>
  <c r="Y394" i="19"/>
  <c r="X394" i="19"/>
  <c r="U394" i="19"/>
  <c r="R394" i="19"/>
  <c r="O394" i="19"/>
  <c r="S394" i="19" s="1"/>
  <c r="N394" i="19"/>
  <c r="K394" i="19"/>
  <c r="H394" i="19"/>
  <c r="E394" i="19"/>
  <c r="I394" i="19" s="1"/>
  <c r="D394" i="19"/>
  <c r="B394" i="19"/>
  <c r="AQ393" i="19"/>
  <c r="AL393" i="19"/>
  <c r="AG393" i="19"/>
  <c r="AE393" i="19"/>
  <c r="AB393" i="19"/>
  <c r="Y393" i="19"/>
  <c r="X393" i="19"/>
  <c r="U393" i="19"/>
  <c r="R393" i="19"/>
  <c r="O393" i="19"/>
  <c r="S393" i="19" s="1"/>
  <c r="N393" i="19"/>
  <c r="K393" i="19"/>
  <c r="H393" i="19"/>
  <c r="E393" i="19"/>
  <c r="I393" i="19" s="1"/>
  <c r="D393" i="19"/>
  <c r="B393" i="19"/>
  <c r="AQ392" i="19"/>
  <c r="AL392" i="19"/>
  <c r="AG392" i="19"/>
  <c r="AE392" i="19"/>
  <c r="AF392" i="19" s="1"/>
  <c r="AB392" i="19"/>
  <c r="Y392" i="19"/>
  <c r="X392" i="19"/>
  <c r="U392" i="19"/>
  <c r="R392" i="19"/>
  <c r="O392" i="19"/>
  <c r="S392" i="19" s="1"/>
  <c r="N392" i="19"/>
  <c r="K392" i="19"/>
  <c r="H392" i="19"/>
  <c r="E392" i="19"/>
  <c r="I392" i="19" s="1"/>
  <c r="D392" i="19"/>
  <c r="B392" i="19"/>
  <c r="AQ391" i="19"/>
  <c r="AL391" i="19"/>
  <c r="AG391" i="19"/>
  <c r="AE391" i="19"/>
  <c r="AF391" i="19" s="1"/>
  <c r="AB391" i="19"/>
  <c r="AD391" i="19" s="1"/>
  <c r="Y391" i="19"/>
  <c r="X391" i="19"/>
  <c r="U391" i="19"/>
  <c r="R391" i="19"/>
  <c r="O391" i="19"/>
  <c r="S391" i="19" s="1"/>
  <c r="N391" i="19"/>
  <c r="K391" i="19"/>
  <c r="H391" i="19"/>
  <c r="J391" i="19" s="1"/>
  <c r="E391" i="19"/>
  <c r="I391" i="19" s="1"/>
  <c r="D391" i="19"/>
  <c r="B391" i="19"/>
  <c r="AQ390" i="19"/>
  <c r="AL390" i="19"/>
  <c r="AG390" i="19"/>
  <c r="AE390" i="19"/>
  <c r="AB390" i="19"/>
  <c r="Y390" i="19"/>
  <c r="X390" i="19"/>
  <c r="U390" i="19"/>
  <c r="R390" i="19"/>
  <c r="O390" i="19"/>
  <c r="S390" i="19" s="1"/>
  <c r="N390" i="19"/>
  <c r="K390" i="19"/>
  <c r="H390" i="19"/>
  <c r="E390" i="19"/>
  <c r="I390" i="19" s="1"/>
  <c r="D390" i="19"/>
  <c r="B390" i="19"/>
  <c r="AQ389" i="19"/>
  <c r="AL389" i="19"/>
  <c r="AG389" i="19"/>
  <c r="AE389" i="19"/>
  <c r="AB389" i="19"/>
  <c r="Y389" i="19"/>
  <c r="X389" i="19"/>
  <c r="U389" i="19"/>
  <c r="R389" i="19"/>
  <c r="O389" i="19"/>
  <c r="S389" i="19" s="1"/>
  <c r="N389" i="19"/>
  <c r="K389" i="19"/>
  <c r="H389" i="19"/>
  <c r="E389" i="19"/>
  <c r="I389" i="19" s="1"/>
  <c r="D389" i="19"/>
  <c r="B389" i="19"/>
  <c r="AQ388" i="19"/>
  <c r="AL388" i="19"/>
  <c r="AG388" i="19"/>
  <c r="AE388" i="19"/>
  <c r="AB388" i="19"/>
  <c r="Y388" i="19"/>
  <c r="X388" i="19"/>
  <c r="U388" i="19"/>
  <c r="R388" i="19"/>
  <c r="O388" i="19"/>
  <c r="S388" i="19" s="1"/>
  <c r="N388" i="19"/>
  <c r="K388" i="19"/>
  <c r="H388" i="19"/>
  <c r="E388" i="19"/>
  <c r="I388" i="19" s="1"/>
  <c r="D388" i="19"/>
  <c r="B388" i="19"/>
  <c r="AQ387" i="19"/>
  <c r="AL387" i="19"/>
  <c r="AG387" i="19"/>
  <c r="AE387" i="19"/>
  <c r="AB387" i="19"/>
  <c r="Y387" i="19"/>
  <c r="X387" i="19"/>
  <c r="U387" i="19"/>
  <c r="R387" i="19"/>
  <c r="O387" i="19"/>
  <c r="S387" i="19" s="1"/>
  <c r="N387" i="19"/>
  <c r="K387" i="19"/>
  <c r="H387" i="19"/>
  <c r="E387" i="19"/>
  <c r="I387" i="19" s="1"/>
  <c r="D387" i="19"/>
  <c r="B387" i="19"/>
  <c r="AQ386" i="19"/>
  <c r="AL386" i="19"/>
  <c r="AG386" i="19"/>
  <c r="AE386" i="19"/>
  <c r="AB386" i="19"/>
  <c r="Y386" i="19"/>
  <c r="X386" i="19"/>
  <c r="U386" i="19"/>
  <c r="R386" i="19"/>
  <c r="O386" i="19"/>
  <c r="S386" i="19" s="1"/>
  <c r="N386" i="19"/>
  <c r="K386" i="19"/>
  <c r="H386" i="19"/>
  <c r="E386" i="19"/>
  <c r="I386" i="19" s="1"/>
  <c r="D386" i="19"/>
  <c r="B386" i="19"/>
  <c r="AQ385" i="19"/>
  <c r="AL385" i="19"/>
  <c r="AG385" i="19"/>
  <c r="AE385" i="19"/>
  <c r="AB385" i="19"/>
  <c r="Y385" i="19"/>
  <c r="X385" i="19"/>
  <c r="U385" i="19"/>
  <c r="R385" i="19"/>
  <c r="O385" i="19"/>
  <c r="S385" i="19" s="1"/>
  <c r="N385" i="19"/>
  <c r="K385" i="19"/>
  <c r="H385" i="19"/>
  <c r="E385" i="19"/>
  <c r="I385" i="19" s="1"/>
  <c r="D385" i="19"/>
  <c r="B385" i="19"/>
  <c r="AQ384" i="19"/>
  <c r="AL384" i="19"/>
  <c r="AG384" i="19"/>
  <c r="AE384" i="19"/>
  <c r="AB384" i="19"/>
  <c r="Y384" i="19"/>
  <c r="X384" i="19"/>
  <c r="U384" i="19"/>
  <c r="R384" i="19"/>
  <c r="O384" i="19"/>
  <c r="S384" i="19" s="1"/>
  <c r="N384" i="19"/>
  <c r="K384" i="19"/>
  <c r="H384" i="19"/>
  <c r="E384" i="19"/>
  <c r="I384" i="19" s="1"/>
  <c r="D384" i="19"/>
  <c r="B384" i="19"/>
  <c r="AQ383" i="19"/>
  <c r="AL383" i="19"/>
  <c r="AG383" i="19"/>
  <c r="AE383" i="19"/>
  <c r="AB383" i="19"/>
  <c r="Y383" i="19"/>
  <c r="X383" i="19"/>
  <c r="U383" i="19"/>
  <c r="R383" i="19"/>
  <c r="O383" i="19"/>
  <c r="S383" i="19" s="1"/>
  <c r="N383" i="19"/>
  <c r="K383" i="19"/>
  <c r="H383" i="19"/>
  <c r="E383" i="19"/>
  <c r="I383" i="19" s="1"/>
  <c r="D383" i="19"/>
  <c r="B383" i="19"/>
  <c r="AQ382" i="19"/>
  <c r="AL382" i="19"/>
  <c r="AG382" i="19"/>
  <c r="AE382" i="19"/>
  <c r="AB382" i="19"/>
  <c r="Y382" i="19"/>
  <c r="X382" i="19"/>
  <c r="U382" i="19"/>
  <c r="R382" i="19"/>
  <c r="O382" i="19"/>
  <c r="S382" i="19" s="1"/>
  <c r="N382" i="19"/>
  <c r="K382" i="19"/>
  <c r="H382" i="19"/>
  <c r="E382" i="19"/>
  <c r="I382" i="19" s="1"/>
  <c r="D382" i="19"/>
  <c r="B382" i="19"/>
  <c r="AQ381" i="19"/>
  <c r="AL381" i="19"/>
  <c r="AG381" i="19"/>
  <c r="AE381" i="19"/>
  <c r="AB381" i="19"/>
  <c r="Y381" i="19"/>
  <c r="X381" i="19"/>
  <c r="U381" i="19"/>
  <c r="R381" i="19"/>
  <c r="O381" i="19"/>
  <c r="S381" i="19" s="1"/>
  <c r="N381" i="19"/>
  <c r="K381" i="19"/>
  <c r="H381" i="19"/>
  <c r="E381" i="19"/>
  <c r="I381" i="19" s="1"/>
  <c r="D381" i="19"/>
  <c r="B381" i="19"/>
  <c r="AQ380" i="19"/>
  <c r="AL380" i="19"/>
  <c r="AG380" i="19"/>
  <c r="AE380" i="19"/>
  <c r="AB380" i="19"/>
  <c r="Y380" i="19"/>
  <c r="X380" i="19"/>
  <c r="U380" i="19"/>
  <c r="R380" i="19"/>
  <c r="O380" i="19"/>
  <c r="S380" i="19" s="1"/>
  <c r="N380" i="19"/>
  <c r="K380" i="19"/>
  <c r="H380" i="19"/>
  <c r="E380" i="19"/>
  <c r="I380" i="19" s="1"/>
  <c r="D380" i="19"/>
  <c r="B380" i="19"/>
  <c r="AQ379" i="19"/>
  <c r="AL379" i="19"/>
  <c r="AG379" i="19"/>
  <c r="AE379" i="19"/>
  <c r="AB379" i="19"/>
  <c r="Y379" i="19"/>
  <c r="X379" i="19"/>
  <c r="U379" i="19"/>
  <c r="R379" i="19"/>
  <c r="O379" i="19"/>
  <c r="S379" i="19" s="1"/>
  <c r="N379" i="19"/>
  <c r="K379" i="19"/>
  <c r="H379" i="19"/>
  <c r="E379" i="19"/>
  <c r="I379" i="19" s="1"/>
  <c r="D379" i="19"/>
  <c r="B379" i="19"/>
  <c r="AQ378" i="19"/>
  <c r="AL378" i="19"/>
  <c r="AG378" i="19"/>
  <c r="AE378" i="19"/>
  <c r="AB378" i="19"/>
  <c r="Y378" i="19"/>
  <c r="X378" i="19"/>
  <c r="U378" i="19"/>
  <c r="R378" i="19"/>
  <c r="O378" i="19"/>
  <c r="S378" i="19" s="1"/>
  <c r="N378" i="19"/>
  <c r="K378" i="19"/>
  <c r="H378" i="19"/>
  <c r="E378" i="19"/>
  <c r="I378" i="19" s="1"/>
  <c r="D378" i="19"/>
  <c r="B378" i="19"/>
  <c r="AQ377" i="19"/>
  <c r="AL377" i="19"/>
  <c r="AG377" i="19"/>
  <c r="AE377" i="19"/>
  <c r="AB377" i="19"/>
  <c r="Y377" i="19"/>
  <c r="X377" i="19"/>
  <c r="U377" i="19"/>
  <c r="R377" i="19"/>
  <c r="O377" i="19"/>
  <c r="S377" i="19" s="1"/>
  <c r="N377" i="19"/>
  <c r="K377" i="19"/>
  <c r="H377" i="19"/>
  <c r="E377" i="19"/>
  <c r="I377" i="19" s="1"/>
  <c r="D377" i="19"/>
  <c r="B377" i="19"/>
  <c r="AQ376" i="19"/>
  <c r="AL376" i="19"/>
  <c r="AG376" i="19"/>
  <c r="AE376" i="19"/>
  <c r="AB376" i="19"/>
  <c r="Y376" i="19"/>
  <c r="X376" i="19"/>
  <c r="U376" i="19"/>
  <c r="R376" i="19"/>
  <c r="O376" i="19"/>
  <c r="S376" i="19" s="1"/>
  <c r="N376" i="19"/>
  <c r="K376" i="19"/>
  <c r="H376" i="19"/>
  <c r="E376" i="19"/>
  <c r="I376" i="19" s="1"/>
  <c r="D376" i="19"/>
  <c r="B376" i="19"/>
  <c r="AQ375" i="19"/>
  <c r="AL375" i="19"/>
  <c r="AG375" i="19"/>
  <c r="AE375" i="19"/>
  <c r="AB375" i="19"/>
  <c r="Y375" i="19"/>
  <c r="X375" i="19"/>
  <c r="U375" i="19"/>
  <c r="R375" i="19"/>
  <c r="O375" i="19"/>
  <c r="S375" i="19" s="1"/>
  <c r="N375" i="19"/>
  <c r="K375" i="19"/>
  <c r="H375" i="19"/>
  <c r="E375" i="19"/>
  <c r="I375" i="19" s="1"/>
  <c r="D375" i="19"/>
  <c r="B375" i="19"/>
  <c r="AQ374" i="19"/>
  <c r="AL374" i="19"/>
  <c r="AG374" i="19"/>
  <c r="AE374" i="19"/>
  <c r="AB374" i="19"/>
  <c r="Y374" i="19"/>
  <c r="X374" i="19"/>
  <c r="U374" i="19"/>
  <c r="R374" i="19"/>
  <c r="O374" i="19"/>
  <c r="S374" i="19" s="1"/>
  <c r="N374" i="19"/>
  <c r="K374" i="19"/>
  <c r="H374" i="19"/>
  <c r="E374" i="19"/>
  <c r="I374" i="19" s="1"/>
  <c r="D374" i="19"/>
  <c r="B374" i="19"/>
  <c r="AQ373" i="19"/>
  <c r="AL373" i="19"/>
  <c r="AG373" i="19"/>
  <c r="AE373" i="19"/>
  <c r="AB373" i="19"/>
  <c r="Y373" i="19"/>
  <c r="X373" i="19"/>
  <c r="U373" i="19"/>
  <c r="R373" i="19"/>
  <c r="O373" i="19"/>
  <c r="S373" i="19" s="1"/>
  <c r="N373" i="19"/>
  <c r="K373" i="19"/>
  <c r="H373" i="19"/>
  <c r="E373" i="19"/>
  <c r="I373" i="19" s="1"/>
  <c r="D373" i="19"/>
  <c r="B373" i="19"/>
  <c r="AQ372" i="19"/>
  <c r="AL372" i="19"/>
  <c r="AG372" i="19"/>
  <c r="AE372" i="19"/>
  <c r="AB372" i="19"/>
  <c r="Y372" i="19"/>
  <c r="X372" i="19"/>
  <c r="U372" i="19"/>
  <c r="R372" i="19"/>
  <c r="O372" i="19"/>
  <c r="S372" i="19" s="1"/>
  <c r="N372" i="19"/>
  <c r="K372" i="19"/>
  <c r="H372" i="19"/>
  <c r="E372" i="19"/>
  <c r="I372" i="19" s="1"/>
  <c r="D372" i="19"/>
  <c r="B372" i="19"/>
  <c r="AQ371" i="19"/>
  <c r="AL371" i="19"/>
  <c r="AG371" i="19"/>
  <c r="AE371" i="19"/>
  <c r="AB371" i="19"/>
  <c r="Y371" i="19"/>
  <c r="X371" i="19"/>
  <c r="U371" i="19"/>
  <c r="R371" i="19"/>
  <c r="O371" i="19"/>
  <c r="S371" i="19" s="1"/>
  <c r="N371" i="19"/>
  <c r="K371" i="19"/>
  <c r="H371" i="19"/>
  <c r="E371" i="19"/>
  <c r="I371" i="19" s="1"/>
  <c r="D371" i="19"/>
  <c r="B371" i="19"/>
  <c r="AQ370" i="19"/>
  <c r="AL370" i="19"/>
  <c r="AG370" i="19"/>
  <c r="AE370" i="19"/>
  <c r="AB370" i="19"/>
  <c r="Y370" i="19"/>
  <c r="X370" i="19"/>
  <c r="U370" i="19"/>
  <c r="R370" i="19"/>
  <c r="O370" i="19"/>
  <c r="S370" i="19" s="1"/>
  <c r="N370" i="19"/>
  <c r="K370" i="19"/>
  <c r="H370" i="19"/>
  <c r="E370" i="19"/>
  <c r="I370" i="19" s="1"/>
  <c r="D370" i="19"/>
  <c r="B370" i="19"/>
  <c r="AQ369" i="19"/>
  <c r="AL369" i="19"/>
  <c r="AG369" i="19"/>
  <c r="AE369" i="19"/>
  <c r="AB369" i="19"/>
  <c r="Y369" i="19"/>
  <c r="X369" i="19"/>
  <c r="U369" i="19"/>
  <c r="R369" i="19"/>
  <c r="O369" i="19"/>
  <c r="S369" i="19" s="1"/>
  <c r="N369" i="19"/>
  <c r="K369" i="19"/>
  <c r="H369" i="19"/>
  <c r="E369" i="19"/>
  <c r="I369" i="19" s="1"/>
  <c r="D369" i="19"/>
  <c r="B369" i="19"/>
  <c r="AQ368" i="19"/>
  <c r="AL368" i="19"/>
  <c r="AG368" i="19"/>
  <c r="AE368" i="19"/>
  <c r="AB368" i="19"/>
  <c r="Y368" i="19"/>
  <c r="X368" i="19"/>
  <c r="U368" i="19"/>
  <c r="R368" i="19"/>
  <c r="O368" i="19"/>
  <c r="S368" i="19" s="1"/>
  <c r="N368" i="19"/>
  <c r="K368" i="19"/>
  <c r="H368" i="19"/>
  <c r="E368" i="19"/>
  <c r="I368" i="19" s="1"/>
  <c r="D368" i="19"/>
  <c r="B368" i="19"/>
  <c r="AQ367" i="19"/>
  <c r="AL367" i="19"/>
  <c r="AG367" i="19"/>
  <c r="AE367" i="19"/>
  <c r="AB367" i="19"/>
  <c r="Y367" i="19"/>
  <c r="X367" i="19"/>
  <c r="U367" i="19"/>
  <c r="R367" i="19"/>
  <c r="O367" i="19"/>
  <c r="S367" i="19" s="1"/>
  <c r="N367" i="19"/>
  <c r="K367" i="19"/>
  <c r="H367" i="19"/>
  <c r="E367" i="19"/>
  <c r="I367" i="19" s="1"/>
  <c r="D367" i="19"/>
  <c r="B367" i="19"/>
  <c r="AQ366" i="19"/>
  <c r="AL366" i="19"/>
  <c r="AG366" i="19"/>
  <c r="AE366" i="19"/>
  <c r="AB366" i="19"/>
  <c r="Y366" i="19"/>
  <c r="X366" i="19"/>
  <c r="U366" i="19"/>
  <c r="R366" i="19"/>
  <c r="O366" i="19"/>
  <c r="S366" i="19" s="1"/>
  <c r="N366" i="19"/>
  <c r="K366" i="19"/>
  <c r="H366" i="19"/>
  <c r="E366" i="19"/>
  <c r="I366" i="19" s="1"/>
  <c r="D366" i="19"/>
  <c r="B366" i="19"/>
  <c r="AQ365" i="19"/>
  <c r="AL365" i="19"/>
  <c r="AG365" i="19"/>
  <c r="AE365" i="19"/>
  <c r="AB365" i="19"/>
  <c r="Y365" i="19"/>
  <c r="X365" i="19"/>
  <c r="U365" i="19"/>
  <c r="R365" i="19"/>
  <c r="O365" i="19"/>
  <c r="S365" i="19" s="1"/>
  <c r="N365" i="19"/>
  <c r="K365" i="19"/>
  <c r="H365" i="19"/>
  <c r="E365" i="19"/>
  <c r="I365" i="19" s="1"/>
  <c r="D365" i="19"/>
  <c r="B365" i="19"/>
  <c r="AQ364" i="19"/>
  <c r="AL364" i="19"/>
  <c r="AG364" i="19"/>
  <c r="AE364" i="19"/>
  <c r="AB364" i="19"/>
  <c r="Y364" i="19"/>
  <c r="X364" i="19"/>
  <c r="U364" i="19"/>
  <c r="R364" i="19"/>
  <c r="O364" i="19"/>
  <c r="S364" i="19" s="1"/>
  <c r="N364" i="19"/>
  <c r="K364" i="19"/>
  <c r="H364" i="19"/>
  <c r="E364" i="19"/>
  <c r="I364" i="19" s="1"/>
  <c r="D364" i="19"/>
  <c r="B364" i="19"/>
  <c r="AQ363" i="19"/>
  <c r="AL363" i="19"/>
  <c r="AG363" i="19"/>
  <c r="AE363" i="19"/>
  <c r="AB363" i="19"/>
  <c r="Y363" i="19"/>
  <c r="X363" i="19"/>
  <c r="U363" i="19"/>
  <c r="R363" i="19"/>
  <c r="O363" i="19"/>
  <c r="S363" i="19" s="1"/>
  <c r="N363" i="19"/>
  <c r="K363" i="19"/>
  <c r="H363" i="19"/>
  <c r="E363" i="19"/>
  <c r="I363" i="19" s="1"/>
  <c r="D363" i="19"/>
  <c r="B363" i="19"/>
  <c r="AQ362" i="19"/>
  <c r="AL362" i="19"/>
  <c r="AG362" i="19"/>
  <c r="AE362" i="19"/>
  <c r="AB362" i="19"/>
  <c r="Y362" i="19"/>
  <c r="X362" i="19"/>
  <c r="U362" i="19"/>
  <c r="R362" i="19"/>
  <c r="O362" i="19"/>
  <c r="S362" i="19" s="1"/>
  <c r="N362" i="19"/>
  <c r="K362" i="19"/>
  <c r="H362" i="19"/>
  <c r="E362" i="19"/>
  <c r="I362" i="19" s="1"/>
  <c r="D362" i="19"/>
  <c r="B362" i="19"/>
  <c r="AQ361" i="19"/>
  <c r="AL361" i="19"/>
  <c r="AG361" i="19"/>
  <c r="AE361" i="19"/>
  <c r="AB361" i="19"/>
  <c r="Y361" i="19"/>
  <c r="X361" i="19"/>
  <c r="U361" i="19"/>
  <c r="R361" i="19"/>
  <c r="O361" i="19"/>
  <c r="S361" i="19" s="1"/>
  <c r="N361" i="19"/>
  <c r="K361" i="19"/>
  <c r="H361" i="19"/>
  <c r="E361" i="19"/>
  <c r="I361" i="19" s="1"/>
  <c r="D361" i="19"/>
  <c r="B361" i="19"/>
  <c r="AQ360" i="19"/>
  <c r="AL360" i="19"/>
  <c r="AG360" i="19"/>
  <c r="AE360" i="19"/>
  <c r="AB360" i="19"/>
  <c r="Y360" i="19"/>
  <c r="X360" i="19"/>
  <c r="U360" i="19"/>
  <c r="R360" i="19"/>
  <c r="O360" i="19"/>
  <c r="S360" i="19" s="1"/>
  <c r="N360" i="19"/>
  <c r="K360" i="19"/>
  <c r="H360" i="19"/>
  <c r="E360" i="19"/>
  <c r="I360" i="19" s="1"/>
  <c r="D360" i="19"/>
  <c r="B360" i="19"/>
  <c r="AQ359" i="19"/>
  <c r="AL359" i="19"/>
  <c r="AG359" i="19"/>
  <c r="AE359" i="19"/>
  <c r="AB359" i="19"/>
  <c r="Y359" i="19"/>
  <c r="X359" i="19"/>
  <c r="U359" i="19"/>
  <c r="R359" i="19"/>
  <c r="O359" i="19"/>
  <c r="S359" i="19" s="1"/>
  <c r="N359" i="19"/>
  <c r="K359" i="19"/>
  <c r="H359" i="19"/>
  <c r="E359" i="19"/>
  <c r="I359" i="19" s="1"/>
  <c r="D359" i="19"/>
  <c r="B359" i="19"/>
  <c r="AQ358" i="19"/>
  <c r="AL358" i="19"/>
  <c r="AG358" i="19"/>
  <c r="AE358" i="19"/>
  <c r="AB358" i="19"/>
  <c r="Y358" i="19"/>
  <c r="X358" i="19"/>
  <c r="U358" i="19"/>
  <c r="R358" i="19"/>
  <c r="O358" i="19"/>
  <c r="S358" i="19" s="1"/>
  <c r="N358" i="19"/>
  <c r="K358" i="19"/>
  <c r="H358" i="19"/>
  <c r="E358" i="19"/>
  <c r="I358" i="19" s="1"/>
  <c r="D358" i="19"/>
  <c r="B358" i="19"/>
  <c r="AQ357" i="19"/>
  <c r="AL357" i="19"/>
  <c r="AG357" i="19"/>
  <c r="AE357" i="19"/>
  <c r="AB357" i="19"/>
  <c r="Y357" i="19"/>
  <c r="X357" i="19"/>
  <c r="U357" i="19"/>
  <c r="R357" i="19"/>
  <c r="O357" i="19"/>
  <c r="S357" i="19" s="1"/>
  <c r="N357" i="19"/>
  <c r="K357" i="19"/>
  <c r="H357" i="19"/>
  <c r="E357" i="19"/>
  <c r="I357" i="19" s="1"/>
  <c r="D357" i="19"/>
  <c r="B357" i="19"/>
  <c r="AQ356" i="19"/>
  <c r="AL356" i="19"/>
  <c r="AG356" i="19"/>
  <c r="AE356" i="19"/>
  <c r="AB356" i="19"/>
  <c r="Y356" i="19"/>
  <c r="X356" i="19"/>
  <c r="U356" i="19"/>
  <c r="R356" i="19"/>
  <c r="O356" i="19"/>
  <c r="S356" i="19" s="1"/>
  <c r="N356" i="19"/>
  <c r="K356" i="19"/>
  <c r="H356" i="19"/>
  <c r="E356" i="19"/>
  <c r="I356" i="19" s="1"/>
  <c r="D356" i="19"/>
  <c r="B356" i="19"/>
  <c r="AQ355" i="19"/>
  <c r="AL355" i="19"/>
  <c r="AG355" i="19"/>
  <c r="AE355" i="19"/>
  <c r="AB355" i="19"/>
  <c r="Y355" i="19"/>
  <c r="X355" i="19"/>
  <c r="U355" i="19"/>
  <c r="R355" i="19"/>
  <c r="O355" i="19"/>
  <c r="S355" i="19" s="1"/>
  <c r="N355" i="19"/>
  <c r="K355" i="19"/>
  <c r="H355" i="19"/>
  <c r="E355" i="19"/>
  <c r="I355" i="19" s="1"/>
  <c r="D355" i="19"/>
  <c r="B355" i="19"/>
  <c r="AQ354" i="19"/>
  <c r="AL354" i="19"/>
  <c r="AG354" i="19"/>
  <c r="AE354" i="19"/>
  <c r="AB354" i="19"/>
  <c r="Y354" i="19"/>
  <c r="X354" i="19"/>
  <c r="U354" i="19"/>
  <c r="R354" i="19"/>
  <c r="O354" i="19"/>
  <c r="S354" i="19" s="1"/>
  <c r="N354" i="19"/>
  <c r="K354" i="19"/>
  <c r="H354" i="19"/>
  <c r="E354" i="19"/>
  <c r="I354" i="19" s="1"/>
  <c r="D354" i="19"/>
  <c r="B354" i="19"/>
  <c r="AQ353" i="19"/>
  <c r="AL353" i="19"/>
  <c r="AG353" i="19"/>
  <c r="AE353" i="19"/>
  <c r="AB353" i="19"/>
  <c r="Y353" i="19"/>
  <c r="X353" i="19"/>
  <c r="U353" i="19"/>
  <c r="R353" i="19"/>
  <c r="O353" i="19"/>
  <c r="S353" i="19" s="1"/>
  <c r="N353" i="19"/>
  <c r="K353" i="19"/>
  <c r="H353" i="19"/>
  <c r="E353" i="19"/>
  <c r="I353" i="19" s="1"/>
  <c r="D353" i="19"/>
  <c r="B353" i="19"/>
  <c r="AQ352" i="19"/>
  <c r="AL352" i="19"/>
  <c r="AG352" i="19"/>
  <c r="AE352" i="19"/>
  <c r="AB352" i="19"/>
  <c r="Y352" i="19"/>
  <c r="X352" i="19"/>
  <c r="U352" i="19"/>
  <c r="R352" i="19"/>
  <c r="O352" i="19"/>
  <c r="S352" i="19" s="1"/>
  <c r="N352" i="19"/>
  <c r="K352" i="19"/>
  <c r="H352" i="19"/>
  <c r="E352" i="19"/>
  <c r="I352" i="19" s="1"/>
  <c r="D352" i="19"/>
  <c r="B352" i="19"/>
  <c r="AQ351" i="19"/>
  <c r="AL351" i="19"/>
  <c r="AG351" i="19"/>
  <c r="AE351" i="19"/>
  <c r="AB351" i="19"/>
  <c r="Y351" i="19"/>
  <c r="X351" i="19"/>
  <c r="U351" i="19"/>
  <c r="R351" i="19"/>
  <c r="O351" i="19"/>
  <c r="S351" i="19" s="1"/>
  <c r="N351" i="19"/>
  <c r="K351" i="19"/>
  <c r="H351" i="19"/>
  <c r="E351" i="19"/>
  <c r="I351" i="19" s="1"/>
  <c r="D351" i="19"/>
  <c r="B351" i="19"/>
  <c r="AQ350" i="19"/>
  <c r="AL350" i="19"/>
  <c r="AG350" i="19"/>
  <c r="AE350" i="19"/>
  <c r="AB350" i="19"/>
  <c r="Y350" i="19"/>
  <c r="X350" i="19"/>
  <c r="U350" i="19"/>
  <c r="R350" i="19"/>
  <c r="O350" i="19"/>
  <c r="S350" i="19" s="1"/>
  <c r="N350" i="19"/>
  <c r="K350" i="19"/>
  <c r="H350" i="19"/>
  <c r="E350" i="19"/>
  <c r="I350" i="19" s="1"/>
  <c r="D350" i="19"/>
  <c r="B350" i="19"/>
  <c r="AQ349" i="19"/>
  <c r="AL349" i="19"/>
  <c r="AG349" i="19"/>
  <c r="AE349" i="19"/>
  <c r="AB349" i="19"/>
  <c r="AD349" i="19" s="1"/>
  <c r="Y349" i="19"/>
  <c r="X349" i="19"/>
  <c r="U349" i="19"/>
  <c r="R349" i="19"/>
  <c r="O349" i="19"/>
  <c r="S349" i="19" s="1"/>
  <c r="N349" i="19"/>
  <c r="K349" i="19"/>
  <c r="H349" i="19"/>
  <c r="E349" i="19"/>
  <c r="I349" i="19" s="1"/>
  <c r="D349" i="19"/>
  <c r="B349" i="19"/>
  <c r="AQ348" i="19"/>
  <c r="AL348" i="19"/>
  <c r="AG348" i="19"/>
  <c r="AE348" i="19"/>
  <c r="AB348" i="19"/>
  <c r="Y348" i="19"/>
  <c r="X348" i="19"/>
  <c r="U348" i="19"/>
  <c r="R348" i="19"/>
  <c r="O348" i="19"/>
  <c r="S348" i="19" s="1"/>
  <c r="N348" i="19"/>
  <c r="K348" i="19"/>
  <c r="H348" i="19"/>
  <c r="E348" i="19"/>
  <c r="I348" i="19" s="1"/>
  <c r="D348" i="19"/>
  <c r="B348" i="19"/>
  <c r="AQ347" i="19"/>
  <c r="AL347" i="19"/>
  <c r="AG347" i="19"/>
  <c r="AE347" i="19"/>
  <c r="AB347" i="19"/>
  <c r="Y347" i="19"/>
  <c r="X347" i="19"/>
  <c r="U347" i="19"/>
  <c r="R347" i="19"/>
  <c r="O347" i="19"/>
  <c r="S347" i="19" s="1"/>
  <c r="N347" i="19"/>
  <c r="K347" i="19"/>
  <c r="H347" i="19"/>
  <c r="E347" i="19"/>
  <c r="I347" i="19" s="1"/>
  <c r="D347" i="19"/>
  <c r="B347" i="19"/>
  <c r="AQ346" i="19"/>
  <c r="AL346" i="19"/>
  <c r="AG346" i="19"/>
  <c r="AE346" i="19"/>
  <c r="AB346" i="19"/>
  <c r="Y346" i="19"/>
  <c r="X346" i="19"/>
  <c r="U346" i="19"/>
  <c r="R346" i="19"/>
  <c r="O346" i="19"/>
  <c r="S346" i="19" s="1"/>
  <c r="N346" i="19"/>
  <c r="K346" i="19"/>
  <c r="H346" i="19"/>
  <c r="E346" i="19"/>
  <c r="I346" i="19" s="1"/>
  <c r="D346" i="19"/>
  <c r="B346" i="19"/>
  <c r="AQ345" i="19"/>
  <c r="AL345" i="19"/>
  <c r="AG345" i="19"/>
  <c r="AE345" i="19"/>
  <c r="AB345" i="19"/>
  <c r="Y345" i="19"/>
  <c r="X345" i="19"/>
  <c r="U345" i="19"/>
  <c r="R345" i="19"/>
  <c r="O345" i="19"/>
  <c r="S345" i="19" s="1"/>
  <c r="N345" i="19"/>
  <c r="K345" i="19"/>
  <c r="H345" i="19"/>
  <c r="E345" i="19"/>
  <c r="I345" i="19" s="1"/>
  <c r="D345" i="19"/>
  <c r="B345" i="19"/>
  <c r="AQ344" i="19"/>
  <c r="AL344" i="19"/>
  <c r="AG344" i="19"/>
  <c r="AE344" i="19"/>
  <c r="AB344" i="19"/>
  <c r="Y344" i="19"/>
  <c r="X344" i="19"/>
  <c r="U344" i="19"/>
  <c r="R344" i="19"/>
  <c r="O344" i="19"/>
  <c r="S344" i="19" s="1"/>
  <c r="N344" i="19"/>
  <c r="K344" i="19"/>
  <c r="H344" i="19"/>
  <c r="E344" i="19"/>
  <c r="I344" i="19" s="1"/>
  <c r="D344" i="19"/>
  <c r="B344" i="19"/>
  <c r="AQ343" i="19"/>
  <c r="AL343" i="19"/>
  <c r="AG343" i="19"/>
  <c r="AE343" i="19"/>
  <c r="AB343" i="19"/>
  <c r="Y343" i="19"/>
  <c r="X343" i="19"/>
  <c r="U343" i="19"/>
  <c r="R343" i="19"/>
  <c r="O343" i="19"/>
  <c r="S343" i="19" s="1"/>
  <c r="N343" i="19"/>
  <c r="K343" i="19"/>
  <c r="H343" i="19"/>
  <c r="E343" i="19"/>
  <c r="I343" i="19" s="1"/>
  <c r="D343" i="19"/>
  <c r="B343" i="19"/>
  <c r="AQ342" i="19"/>
  <c r="AL342" i="19"/>
  <c r="AG342" i="19"/>
  <c r="AE342" i="19"/>
  <c r="AB342" i="19"/>
  <c r="Y342" i="19"/>
  <c r="X342" i="19"/>
  <c r="U342" i="19"/>
  <c r="R342" i="19"/>
  <c r="O342" i="19"/>
  <c r="S342" i="19" s="1"/>
  <c r="N342" i="19"/>
  <c r="K342" i="19"/>
  <c r="H342" i="19"/>
  <c r="E342" i="19"/>
  <c r="I342" i="19" s="1"/>
  <c r="D342" i="19"/>
  <c r="B342" i="19"/>
  <c r="AQ341" i="19"/>
  <c r="AL341" i="19"/>
  <c r="AG341" i="19"/>
  <c r="AE341" i="19"/>
  <c r="AB341" i="19"/>
  <c r="Y341" i="19"/>
  <c r="X341" i="19"/>
  <c r="U341" i="19"/>
  <c r="R341" i="19"/>
  <c r="O341" i="19"/>
  <c r="S341" i="19" s="1"/>
  <c r="N341" i="19"/>
  <c r="K341" i="19"/>
  <c r="H341" i="19"/>
  <c r="E341" i="19"/>
  <c r="I341" i="19" s="1"/>
  <c r="D341" i="19"/>
  <c r="B341" i="19"/>
  <c r="AQ340" i="19"/>
  <c r="AL340" i="19"/>
  <c r="AG340" i="19"/>
  <c r="AE340" i="19"/>
  <c r="AB340" i="19"/>
  <c r="Y340" i="19"/>
  <c r="X340" i="19"/>
  <c r="U340" i="19"/>
  <c r="R340" i="19"/>
  <c r="O340" i="19"/>
  <c r="S340" i="19" s="1"/>
  <c r="N340" i="19"/>
  <c r="K340" i="19"/>
  <c r="H340" i="19"/>
  <c r="J340" i="19" s="1"/>
  <c r="E340" i="19"/>
  <c r="I340" i="19" s="1"/>
  <c r="D340" i="19"/>
  <c r="B340" i="19"/>
  <c r="AQ339" i="19"/>
  <c r="AL339" i="19"/>
  <c r="AG339" i="19"/>
  <c r="AE339" i="19"/>
  <c r="AB339" i="19"/>
  <c r="AD339" i="19" s="1"/>
  <c r="Y339" i="19"/>
  <c r="X339" i="19"/>
  <c r="U339" i="19"/>
  <c r="R339" i="19"/>
  <c r="O339" i="19"/>
  <c r="S339" i="19" s="1"/>
  <c r="N339" i="19"/>
  <c r="K339" i="19"/>
  <c r="H339" i="19"/>
  <c r="J339" i="19" s="1"/>
  <c r="E339" i="19"/>
  <c r="I339" i="19" s="1"/>
  <c r="D339" i="19"/>
  <c r="B339" i="19"/>
  <c r="AQ338" i="19"/>
  <c r="AL338" i="19"/>
  <c r="AG338" i="19"/>
  <c r="AE338" i="19"/>
  <c r="AB338" i="19"/>
  <c r="Y338" i="19"/>
  <c r="X338" i="19"/>
  <c r="U338" i="19"/>
  <c r="R338" i="19"/>
  <c r="O338" i="19"/>
  <c r="S338" i="19" s="1"/>
  <c r="N338" i="19"/>
  <c r="K338" i="19"/>
  <c r="H338" i="19"/>
  <c r="E338" i="19"/>
  <c r="I338" i="19" s="1"/>
  <c r="D338" i="19"/>
  <c r="B338" i="19"/>
  <c r="AQ337" i="19"/>
  <c r="AL337" i="19"/>
  <c r="AG337" i="19"/>
  <c r="AE337" i="19"/>
  <c r="AB337" i="19"/>
  <c r="Y337" i="19"/>
  <c r="X337" i="19"/>
  <c r="U337" i="19"/>
  <c r="R337" i="19"/>
  <c r="O337" i="19"/>
  <c r="S337" i="19" s="1"/>
  <c r="N337" i="19"/>
  <c r="K337" i="19"/>
  <c r="H337" i="19"/>
  <c r="E337" i="19"/>
  <c r="I337" i="19" s="1"/>
  <c r="D337" i="19"/>
  <c r="B337" i="19"/>
  <c r="AQ336" i="19"/>
  <c r="AL336" i="19"/>
  <c r="AG336" i="19"/>
  <c r="AE336" i="19"/>
  <c r="AB336" i="19"/>
  <c r="Y336" i="19"/>
  <c r="X336" i="19"/>
  <c r="U336" i="19"/>
  <c r="R336" i="19"/>
  <c r="O336" i="19"/>
  <c r="S336" i="19" s="1"/>
  <c r="N336" i="19"/>
  <c r="K336" i="19"/>
  <c r="H336" i="19"/>
  <c r="E336" i="19"/>
  <c r="I336" i="19" s="1"/>
  <c r="D336" i="19"/>
  <c r="B336" i="19"/>
  <c r="AQ335" i="19"/>
  <c r="AL335" i="19"/>
  <c r="AG335" i="19"/>
  <c r="AE335" i="19"/>
  <c r="AB335" i="19"/>
  <c r="Y335" i="19"/>
  <c r="X335" i="19"/>
  <c r="U335" i="19"/>
  <c r="R335" i="19"/>
  <c r="O335" i="19"/>
  <c r="S335" i="19" s="1"/>
  <c r="N335" i="19"/>
  <c r="K335" i="19"/>
  <c r="H335" i="19"/>
  <c r="J335" i="19" s="1"/>
  <c r="E335" i="19"/>
  <c r="I335" i="19" s="1"/>
  <c r="D335" i="19"/>
  <c r="B335" i="19"/>
  <c r="AQ334" i="19"/>
  <c r="AL334" i="19"/>
  <c r="AG334" i="19"/>
  <c r="AE334" i="19"/>
  <c r="AB334" i="19"/>
  <c r="AD334" i="19" s="1"/>
  <c r="Y334" i="19"/>
  <c r="X334" i="19"/>
  <c r="U334" i="19"/>
  <c r="R334" i="19"/>
  <c r="O334" i="19"/>
  <c r="S334" i="19" s="1"/>
  <c r="N334" i="19"/>
  <c r="K334" i="19"/>
  <c r="H334" i="19"/>
  <c r="J334" i="19" s="1"/>
  <c r="E334" i="19"/>
  <c r="I334" i="19" s="1"/>
  <c r="D334" i="19"/>
  <c r="B334" i="19"/>
  <c r="AQ333" i="19"/>
  <c r="AL333" i="19"/>
  <c r="AG333" i="19"/>
  <c r="AE333" i="19"/>
  <c r="AB333" i="19"/>
  <c r="AD333" i="19" s="1"/>
  <c r="Y333" i="19"/>
  <c r="X333" i="19"/>
  <c r="U333" i="19"/>
  <c r="R333" i="19"/>
  <c r="O333" i="19"/>
  <c r="S333" i="19" s="1"/>
  <c r="N333" i="19"/>
  <c r="K333" i="19"/>
  <c r="H333" i="19"/>
  <c r="J333" i="19" s="1"/>
  <c r="E333" i="19"/>
  <c r="I333" i="19" s="1"/>
  <c r="D333" i="19"/>
  <c r="B333" i="19"/>
  <c r="AQ332" i="19"/>
  <c r="AL332" i="19"/>
  <c r="AG332" i="19"/>
  <c r="AE332" i="19"/>
  <c r="AB332" i="19"/>
  <c r="Y332" i="19"/>
  <c r="X332" i="19"/>
  <c r="U332" i="19"/>
  <c r="R332" i="19"/>
  <c r="O332" i="19"/>
  <c r="S332" i="19" s="1"/>
  <c r="N332" i="19"/>
  <c r="K332" i="19"/>
  <c r="H332" i="19"/>
  <c r="E332" i="19"/>
  <c r="I332" i="19" s="1"/>
  <c r="D332" i="19"/>
  <c r="B332" i="19"/>
  <c r="AQ331" i="19"/>
  <c r="AL331" i="19"/>
  <c r="AG331" i="19"/>
  <c r="AE331" i="19"/>
  <c r="AB331" i="19"/>
  <c r="Y331" i="19"/>
  <c r="X331" i="19"/>
  <c r="U331" i="19"/>
  <c r="R331" i="19"/>
  <c r="O331" i="19"/>
  <c r="S331" i="19" s="1"/>
  <c r="N331" i="19"/>
  <c r="K331" i="19"/>
  <c r="H331" i="19"/>
  <c r="E331" i="19"/>
  <c r="I331" i="19" s="1"/>
  <c r="D331" i="19"/>
  <c r="B331" i="19"/>
  <c r="AQ330" i="19"/>
  <c r="AL330" i="19"/>
  <c r="AG330" i="19"/>
  <c r="AE330" i="19"/>
  <c r="AB330" i="19"/>
  <c r="Y330" i="19"/>
  <c r="X330" i="19"/>
  <c r="U330" i="19"/>
  <c r="R330" i="19"/>
  <c r="O330" i="19"/>
  <c r="S330" i="19" s="1"/>
  <c r="N330" i="19"/>
  <c r="K330" i="19"/>
  <c r="H330" i="19"/>
  <c r="J330" i="19" s="1"/>
  <c r="E330" i="19"/>
  <c r="I330" i="19" s="1"/>
  <c r="D330" i="19"/>
  <c r="B330" i="19"/>
  <c r="AQ329" i="19"/>
  <c r="AL329" i="19"/>
  <c r="AG329" i="19"/>
  <c r="AE329" i="19"/>
  <c r="AB329" i="19"/>
  <c r="Y329" i="19"/>
  <c r="X329" i="19"/>
  <c r="U329" i="19"/>
  <c r="R329" i="19"/>
  <c r="O329" i="19"/>
  <c r="S329" i="19" s="1"/>
  <c r="N329" i="19"/>
  <c r="K329" i="19"/>
  <c r="H329" i="19"/>
  <c r="E329" i="19"/>
  <c r="I329" i="19" s="1"/>
  <c r="D329" i="19"/>
  <c r="B329" i="19"/>
  <c r="AQ328" i="19"/>
  <c r="AL328" i="19"/>
  <c r="AG328" i="19"/>
  <c r="AE328" i="19"/>
  <c r="AB328" i="19"/>
  <c r="AD328" i="19" s="1"/>
  <c r="Y328" i="19"/>
  <c r="X328" i="19"/>
  <c r="U328" i="19"/>
  <c r="R328" i="19"/>
  <c r="O328" i="19"/>
  <c r="S328" i="19" s="1"/>
  <c r="N328" i="19"/>
  <c r="K328" i="19"/>
  <c r="H328" i="19"/>
  <c r="J328" i="19" s="1"/>
  <c r="E328" i="19"/>
  <c r="I328" i="19" s="1"/>
  <c r="D328" i="19"/>
  <c r="B328" i="19"/>
  <c r="AQ327" i="19"/>
  <c r="AL327" i="19"/>
  <c r="AG327" i="19"/>
  <c r="AE327" i="19"/>
  <c r="AB327" i="19"/>
  <c r="Y327" i="19"/>
  <c r="X327" i="19"/>
  <c r="U327" i="19"/>
  <c r="R327" i="19"/>
  <c r="O327" i="19"/>
  <c r="S327" i="19" s="1"/>
  <c r="N327" i="19"/>
  <c r="K327" i="19"/>
  <c r="H327" i="19"/>
  <c r="E327" i="19"/>
  <c r="I327" i="19" s="1"/>
  <c r="D327" i="19"/>
  <c r="B327" i="19"/>
  <c r="AQ326" i="19"/>
  <c r="AL326" i="19"/>
  <c r="AG326" i="19"/>
  <c r="AE326" i="19"/>
  <c r="AB326" i="19"/>
  <c r="AD326" i="19" s="1"/>
  <c r="Y326" i="19"/>
  <c r="X326" i="19"/>
  <c r="U326" i="19"/>
  <c r="R326" i="19"/>
  <c r="O326" i="19"/>
  <c r="S326" i="19" s="1"/>
  <c r="N326" i="19"/>
  <c r="K326" i="19"/>
  <c r="H326" i="19"/>
  <c r="J326" i="19" s="1"/>
  <c r="E326" i="19"/>
  <c r="I326" i="19" s="1"/>
  <c r="D326" i="19"/>
  <c r="B326" i="19"/>
  <c r="AQ325" i="19"/>
  <c r="AL325" i="19"/>
  <c r="AG325" i="19"/>
  <c r="AE325" i="19"/>
  <c r="AB325" i="19"/>
  <c r="AD325" i="19" s="1"/>
  <c r="Y325" i="19"/>
  <c r="X325" i="19"/>
  <c r="U325" i="19"/>
  <c r="R325" i="19"/>
  <c r="O325" i="19"/>
  <c r="S325" i="19" s="1"/>
  <c r="N325" i="19"/>
  <c r="K325" i="19"/>
  <c r="H325" i="19"/>
  <c r="J325" i="19" s="1"/>
  <c r="E325" i="19"/>
  <c r="I325" i="19" s="1"/>
  <c r="D325" i="19"/>
  <c r="B325" i="19"/>
  <c r="AQ324" i="19"/>
  <c r="AL324" i="19"/>
  <c r="AG324" i="19"/>
  <c r="AE324" i="19"/>
  <c r="AB324" i="19"/>
  <c r="Y324" i="19"/>
  <c r="X324" i="19"/>
  <c r="U324" i="19"/>
  <c r="R324" i="19"/>
  <c r="O324" i="19"/>
  <c r="S324" i="19" s="1"/>
  <c r="N324" i="19"/>
  <c r="K324" i="19"/>
  <c r="H324" i="19"/>
  <c r="E324" i="19"/>
  <c r="I324" i="19" s="1"/>
  <c r="D324" i="19"/>
  <c r="B324" i="19"/>
  <c r="AQ323" i="19"/>
  <c r="AL323" i="19"/>
  <c r="AG323" i="19"/>
  <c r="AE323" i="19"/>
  <c r="AB323" i="19"/>
  <c r="Y323" i="19"/>
  <c r="X323" i="19"/>
  <c r="U323" i="19"/>
  <c r="R323" i="19"/>
  <c r="O323" i="19"/>
  <c r="S323" i="19" s="1"/>
  <c r="N323" i="19"/>
  <c r="K323" i="19"/>
  <c r="H323" i="19"/>
  <c r="E323" i="19"/>
  <c r="I323" i="19" s="1"/>
  <c r="D323" i="19"/>
  <c r="B323" i="19"/>
  <c r="AQ322" i="19"/>
  <c r="AL322" i="19"/>
  <c r="AG322" i="19"/>
  <c r="AE322" i="19"/>
  <c r="AB322" i="19"/>
  <c r="Y322" i="19"/>
  <c r="X322" i="19"/>
  <c r="U322" i="19"/>
  <c r="R322" i="19"/>
  <c r="O322" i="19"/>
  <c r="S322" i="19" s="1"/>
  <c r="N322" i="19"/>
  <c r="K322" i="19"/>
  <c r="H322" i="19"/>
  <c r="E322" i="19"/>
  <c r="I322" i="19" s="1"/>
  <c r="D322" i="19"/>
  <c r="B322" i="19"/>
  <c r="AQ321" i="19"/>
  <c r="AL321" i="19"/>
  <c r="AG321" i="19"/>
  <c r="AE321" i="19"/>
  <c r="AB321" i="19"/>
  <c r="Y321" i="19"/>
  <c r="X321" i="19"/>
  <c r="U321" i="19"/>
  <c r="R321" i="19"/>
  <c r="O321" i="19"/>
  <c r="S321" i="19" s="1"/>
  <c r="N321" i="19"/>
  <c r="K321" i="19"/>
  <c r="H321" i="19"/>
  <c r="E321" i="19"/>
  <c r="I321" i="19" s="1"/>
  <c r="D321" i="19"/>
  <c r="B321" i="19"/>
  <c r="AQ320" i="19"/>
  <c r="AL320" i="19"/>
  <c r="AG320" i="19"/>
  <c r="AE320" i="19"/>
  <c r="AB320" i="19"/>
  <c r="Y320" i="19"/>
  <c r="X320" i="19"/>
  <c r="U320" i="19"/>
  <c r="R320" i="19"/>
  <c r="O320" i="19"/>
  <c r="S320" i="19" s="1"/>
  <c r="N320" i="19"/>
  <c r="K320" i="19"/>
  <c r="H320" i="19"/>
  <c r="E320" i="19"/>
  <c r="I320" i="19" s="1"/>
  <c r="D320" i="19"/>
  <c r="B320" i="19"/>
  <c r="AQ319" i="19"/>
  <c r="AL319" i="19"/>
  <c r="AG319" i="19"/>
  <c r="AE319" i="19"/>
  <c r="AB319" i="19"/>
  <c r="Y319" i="19"/>
  <c r="X319" i="19"/>
  <c r="U319" i="19"/>
  <c r="R319" i="19"/>
  <c r="O319" i="19"/>
  <c r="S319" i="19" s="1"/>
  <c r="N319" i="19"/>
  <c r="K319" i="19"/>
  <c r="H319" i="19"/>
  <c r="E319" i="19"/>
  <c r="I319" i="19" s="1"/>
  <c r="D319" i="19"/>
  <c r="B319" i="19"/>
  <c r="AQ318" i="19"/>
  <c r="AL318" i="19"/>
  <c r="AG318" i="19"/>
  <c r="AE318" i="19"/>
  <c r="AB318" i="19"/>
  <c r="Y318" i="19"/>
  <c r="X318" i="19"/>
  <c r="U318" i="19"/>
  <c r="R318" i="19"/>
  <c r="O318" i="19"/>
  <c r="S318" i="19" s="1"/>
  <c r="N318" i="19"/>
  <c r="K318" i="19"/>
  <c r="H318" i="19"/>
  <c r="E318" i="19"/>
  <c r="I318" i="19" s="1"/>
  <c r="D318" i="19"/>
  <c r="B318" i="19"/>
  <c r="AQ317" i="19"/>
  <c r="AL317" i="19"/>
  <c r="AG317" i="19"/>
  <c r="AE317" i="19"/>
  <c r="AB317" i="19"/>
  <c r="Y317" i="19"/>
  <c r="X317" i="19"/>
  <c r="U317" i="19"/>
  <c r="R317" i="19"/>
  <c r="O317" i="19"/>
  <c r="S317" i="19" s="1"/>
  <c r="N317" i="19"/>
  <c r="K317" i="19"/>
  <c r="H317" i="19"/>
  <c r="E317" i="19"/>
  <c r="I317" i="19" s="1"/>
  <c r="D317" i="19"/>
  <c r="B317" i="19"/>
  <c r="AQ316" i="19"/>
  <c r="AL316" i="19"/>
  <c r="AG316" i="19"/>
  <c r="AE316" i="19"/>
  <c r="AB316" i="19"/>
  <c r="Y316" i="19"/>
  <c r="X316" i="19"/>
  <c r="U316" i="19"/>
  <c r="R316" i="19"/>
  <c r="O316" i="19"/>
  <c r="S316" i="19" s="1"/>
  <c r="N316" i="19"/>
  <c r="K316" i="19"/>
  <c r="H316" i="19"/>
  <c r="E316" i="19"/>
  <c r="I316" i="19" s="1"/>
  <c r="D316" i="19"/>
  <c r="B316" i="19"/>
  <c r="AQ315" i="19"/>
  <c r="AL315" i="19"/>
  <c r="AG315" i="19"/>
  <c r="AE315" i="19"/>
  <c r="AB315" i="19"/>
  <c r="Y315" i="19"/>
  <c r="X315" i="19"/>
  <c r="U315" i="19"/>
  <c r="R315" i="19"/>
  <c r="O315" i="19"/>
  <c r="S315" i="19" s="1"/>
  <c r="N315" i="19"/>
  <c r="K315" i="19"/>
  <c r="H315" i="19"/>
  <c r="E315" i="19"/>
  <c r="I315" i="19" s="1"/>
  <c r="D315" i="19"/>
  <c r="B315" i="19"/>
  <c r="AQ314" i="19"/>
  <c r="AL314" i="19"/>
  <c r="AG314" i="19"/>
  <c r="AE314" i="19"/>
  <c r="AB314" i="19"/>
  <c r="Y314" i="19"/>
  <c r="X314" i="19"/>
  <c r="U314" i="19"/>
  <c r="R314" i="19"/>
  <c r="O314" i="19"/>
  <c r="S314" i="19" s="1"/>
  <c r="N314" i="19"/>
  <c r="K314" i="19"/>
  <c r="H314" i="19"/>
  <c r="E314" i="19"/>
  <c r="I314" i="19" s="1"/>
  <c r="D314" i="19"/>
  <c r="B314" i="19"/>
  <c r="AQ313" i="19"/>
  <c r="AL313" i="19"/>
  <c r="AG313" i="19"/>
  <c r="AE313" i="19"/>
  <c r="AB313" i="19"/>
  <c r="Y313" i="19"/>
  <c r="X313" i="19"/>
  <c r="U313" i="19"/>
  <c r="R313" i="19"/>
  <c r="O313" i="19"/>
  <c r="S313" i="19" s="1"/>
  <c r="N313" i="19"/>
  <c r="K313" i="19"/>
  <c r="H313" i="19"/>
  <c r="E313" i="19"/>
  <c r="I313" i="19" s="1"/>
  <c r="D313" i="19"/>
  <c r="B313" i="19"/>
  <c r="AQ312" i="19"/>
  <c r="AL312" i="19"/>
  <c r="AG312" i="19"/>
  <c r="AE312" i="19"/>
  <c r="AB312" i="19"/>
  <c r="Y312" i="19"/>
  <c r="X312" i="19"/>
  <c r="U312" i="19"/>
  <c r="R312" i="19"/>
  <c r="O312" i="19"/>
  <c r="S312" i="19" s="1"/>
  <c r="N312" i="19"/>
  <c r="K312" i="19"/>
  <c r="H312" i="19"/>
  <c r="E312" i="19"/>
  <c r="I312" i="19" s="1"/>
  <c r="D312" i="19"/>
  <c r="B312" i="19"/>
  <c r="AQ311" i="19"/>
  <c r="AL311" i="19"/>
  <c r="AG311" i="19"/>
  <c r="AE311" i="19"/>
  <c r="AB311" i="19"/>
  <c r="Y311" i="19"/>
  <c r="X311" i="19"/>
  <c r="U311" i="19"/>
  <c r="R311" i="19"/>
  <c r="O311" i="19"/>
  <c r="S311" i="19" s="1"/>
  <c r="N311" i="19"/>
  <c r="K311" i="19"/>
  <c r="H311" i="19"/>
  <c r="E311" i="19"/>
  <c r="I311" i="19" s="1"/>
  <c r="D311" i="19"/>
  <c r="B311" i="19"/>
  <c r="AQ310" i="19"/>
  <c r="AL310" i="19"/>
  <c r="AG310" i="19"/>
  <c r="AE310" i="19"/>
  <c r="AB310" i="19"/>
  <c r="Y310" i="19"/>
  <c r="X310" i="19"/>
  <c r="U310" i="19"/>
  <c r="R310" i="19"/>
  <c r="O310" i="19"/>
  <c r="S310" i="19" s="1"/>
  <c r="N310" i="19"/>
  <c r="K310" i="19"/>
  <c r="H310" i="19"/>
  <c r="E310" i="19"/>
  <c r="I310" i="19" s="1"/>
  <c r="D310" i="19"/>
  <c r="B310" i="19"/>
  <c r="AQ309" i="19"/>
  <c r="AL309" i="19"/>
  <c r="AG309" i="19"/>
  <c r="AE309" i="19"/>
  <c r="AB309" i="19"/>
  <c r="Y309" i="19"/>
  <c r="X309" i="19"/>
  <c r="U309" i="19"/>
  <c r="R309" i="19"/>
  <c r="O309" i="19"/>
  <c r="S309" i="19" s="1"/>
  <c r="N309" i="19"/>
  <c r="K309" i="19"/>
  <c r="H309" i="19"/>
  <c r="E309" i="19"/>
  <c r="I309" i="19" s="1"/>
  <c r="D309" i="19"/>
  <c r="B309" i="19"/>
  <c r="AQ308" i="19"/>
  <c r="AL308" i="19"/>
  <c r="AG308" i="19"/>
  <c r="AE308" i="19"/>
  <c r="AB308" i="19"/>
  <c r="Y308" i="19"/>
  <c r="X308" i="19"/>
  <c r="U308" i="19"/>
  <c r="R308" i="19"/>
  <c r="O308" i="19"/>
  <c r="S308" i="19" s="1"/>
  <c r="N308" i="19"/>
  <c r="K308" i="19"/>
  <c r="H308" i="19"/>
  <c r="E308" i="19"/>
  <c r="I308" i="19" s="1"/>
  <c r="D308" i="19"/>
  <c r="B308" i="19"/>
  <c r="AQ307" i="19"/>
  <c r="AL307" i="19"/>
  <c r="AG307" i="19"/>
  <c r="AE307" i="19"/>
  <c r="AB307" i="19"/>
  <c r="Y307" i="19"/>
  <c r="X307" i="19"/>
  <c r="U307" i="19"/>
  <c r="R307" i="19"/>
  <c r="O307" i="19"/>
  <c r="S307" i="19" s="1"/>
  <c r="N307" i="19"/>
  <c r="K307" i="19"/>
  <c r="H307" i="19"/>
  <c r="J307" i="19" s="1"/>
  <c r="E307" i="19"/>
  <c r="I307" i="19" s="1"/>
  <c r="D307" i="19"/>
  <c r="B307" i="19"/>
  <c r="AQ306" i="19"/>
  <c r="AL306" i="19"/>
  <c r="AG306" i="19"/>
  <c r="AE306" i="19"/>
  <c r="AB306" i="19"/>
  <c r="Y306" i="19"/>
  <c r="X306" i="19"/>
  <c r="U306" i="19"/>
  <c r="R306" i="19"/>
  <c r="O306" i="19"/>
  <c r="S306" i="19" s="1"/>
  <c r="N306" i="19"/>
  <c r="K306" i="19"/>
  <c r="H306" i="19"/>
  <c r="J306" i="19" s="1"/>
  <c r="E306" i="19"/>
  <c r="I306" i="19" s="1"/>
  <c r="D306" i="19"/>
  <c r="B306" i="19"/>
  <c r="AQ305" i="19"/>
  <c r="AL305" i="19"/>
  <c r="AG305" i="19"/>
  <c r="AE305" i="19"/>
  <c r="AB305" i="19"/>
  <c r="AD305" i="19" s="1"/>
  <c r="Y305" i="19"/>
  <c r="X305" i="19"/>
  <c r="U305" i="19"/>
  <c r="R305" i="19"/>
  <c r="O305" i="19"/>
  <c r="S305" i="19" s="1"/>
  <c r="N305" i="19"/>
  <c r="K305" i="19"/>
  <c r="H305" i="19"/>
  <c r="J305" i="19" s="1"/>
  <c r="E305" i="19"/>
  <c r="I305" i="19" s="1"/>
  <c r="D305" i="19"/>
  <c r="B305" i="19"/>
  <c r="AQ304" i="19"/>
  <c r="AL304" i="19"/>
  <c r="AG304" i="19"/>
  <c r="AE304" i="19"/>
  <c r="AB304" i="19"/>
  <c r="Y304" i="19"/>
  <c r="X304" i="19"/>
  <c r="U304" i="19"/>
  <c r="R304" i="19"/>
  <c r="O304" i="19"/>
  <c r="S304" i="19" s="1"/>
  <c r="N304" i="19"/>
  <c r="K304" i="19"/>
  <c r="H304" i="19"/>
  <c r="E304" i="19"/>
  <c r="I304" i="19" s="1"/>
  <c r="D304" i="19"/>
  <c r="B304" i="19"/>
  <c r="AQ303" i="19"/>
  <c r="AL303" i="19"/>
  <c r="AG303" i="19"/>
  <c r="AE303" i="19"/>
  <c r="AB303" i="19"/>
  <c r="AD303" i="19" s="1"/>
  <c r="Y303" i="19"/>
  <c r="X303" i="19"/>
  <c r="U303" i="19"/>
  <c r="R303" i="19"/>
  <c r="O303" i="19"/>
  <c r="S303" i="19" s="1"/>
  <c r="N303" i="19"/>
  <c r="K303" i="19"/>
  <c r="H303" i="19"/>
  <c r="E303" i="19"/>
  <c r="I303" i="19" s="1"/>
  <c r="D303" i="19"/>
  <c r="B303" i="19"/>
  <c r="AQ302" i="19"/>
  <c r="AL302" i="19"/>
  <c r="AG302" i="19"/>
  <c r="AE302" i="19"/>
  <c r="AB302" i="19"/>
  <c r="Y302" i="19"/>
  <c r="X302" i="19"/>
  <c r="U302" i="19"/>
  <c r="R302" i="19"/>
  <c r="O302" i="19"/>
  <c r="S302" i="19" s="1"/>
  <c r="N302" i="19"/>
  <c r="K302" i="19"/>
  <c r="H302" i="19"/>
  <c r="E302" i="19"/>
  <c r="I302" i="19" s="1"/>
  <c r="D302" i="19"/>
  <c r="B302" i="19"/>
  <c r="AQ301" i="19"/>
  <c r="AL301" i="19"/>
  <c r="AG301" i="19"/>
  <c r="AE301" i="19"/>
  <c r="AB301" i="19"/>
  <c r="Y301" i="19"/>
  <c r="X301" i="19"/>
  <c r="U301" i="19"/>
  <c r="R301" i="19"/>
  <c r="O301" i="19"/>
  <c r="S301" i="19" s="1"/>
  <c r="N301" i="19"/>
  <c r="K301" i="19"/>
  <c r="H301" i="19"/>
  <c r="E301" i="19"/>
  <c r="I301" i="19" s="1"/>
  <c r="D301" i="19"/>
  <c r="B301" i="19"/>
  <c r="AQ300" i="19"/>
  <c r="AL300" i="19"/>
  <c r="AG300" i="19"/>
  <c r="AE300" i="19"/>
  <c r="AB300" i="19"/>
  <c r="Y300" i="19"/>
  <c r="X300" i="19"/>
  <c r="U300" i="19"/>
  <c r="R300" i="19"/>
  <c r="O300" i="19"/>
  <c r="S300" i="19" s="1"/>
  <c r="N300" i="19"/>
  <c r="K300" i="19"/>
  <c r="H300" i="19"/>
  <c r="E300" i="19"/>
  <c r="I300" i="19" s="1"/>
  <c r="D300" i="19"/>
  <c r="B300" i="19"/>
  <c r="AQ299" i="19"/>
  <c r="AL299" i="19"/>
  <c r="AG299" i="19"/>
  <c r="AE299" i="19"/>
  <c r="AB299" i="19"/>
  <c r="Y299" i="19"/>
  <c r="X299" i="19"/>
  <c r="U299" i="19"/>
  <c r="R299" i="19"/>
  <c r="O299" i="19"/>
  <c r="S299" i="19" s="1"/>
  <c r="N299" i="19"/>
  <c r="K299" i="19"/>
  <c r="H299" i="19"/>
  <c r="E299" i="19"/>
  <c r="I299" i="19" s="1"/>
  <c r="D299" i="19"/>
  <c r="B299" i="19"/>
  <c r="AQ298" i="19"/>
  <c r="AL298" i="19"/>
  <c r="AG298" i="19"/>
  <c r="AE298" i="19"/>
  <c r="AB298" i="19"/>
  <c r="Y298" i="19"/>
  <c r="X298" i="19"/>
  <c r="U298" i="19"/>
  <c r="R298" i="19"/>
  <c r="O298" i="19"/>
  <c r="S298" i="19" s="1"/>
  <c r="N298" i="19"/>
  <c r="K298" i="19"/>
  <c r="H298" i="19"/>
  <c r="E298" i="19"/>
  <c r="I298" i="19" s="1"/>
  <c r="D298" i="19"/>
  <c r="B298" i="19"/>
  <c r="AQ297" i="19"/>
  <c r="AL297" i="19"/>
  <c r="AG297" i="19"/>
  <c r="AE297" i="19"/>
  <c r="AB297" i="19"/>
  <c r="Y297" i="19"/>
  <c r="X297" i="19"/>
  <c r="U297" i="19"/>
  <c r="R297" i="19"/>
  <c r="O297" i="19"/>
  <c r="S297" i="19" s="1"/>
  <c r="N297" i="19"/>
  <c r="K297" i="19"/>
  <c r="H297" i="19"/>
  <c r="E297" i="19"/>
  <c r="I297" i="19" s="1"/>
  <c r="D297" i="19"/>
  <c r="B297" i="19"/>
  <c r="AQ296" i="19"/>
  <c r="AL296" i="19"/>
  <c r="AG296" i="19"/>
  <c r="AE296" i="19"/>
  <c r="AB296" i="19"/>
  <c r="Y296" i="19"/>
  <c r="X296" i="19"/>
  <c r="U296" i="19"/>
  <c r="R296" i="19"/>
  <c r="O296" i="19"/>
  <c r="S296" i="19" s="1"/>
  <c r="N296" i="19"/>
  <c r="K296" i="19"/>
  <c r="H296" i="19"/>
  <c r="E296" i="19"/>
  <c r="I296" i="19" s="1"/>
  <c r="D296" i="19"/>
  <c r="B296" i="19"/>
  <c r="AQ295" i="19"/>
  <c r="AL295" i="19"/>
  <c r="AG295" i="19"/>
  <c r="AE295" i="19"/>
  <c r="AB295" i="19"/>
  <c r="Y295" i="19"/>
  <c r="X295" i="19"/>
  <c r="U295" i="19"/>
  <c r="R295" i="19"/>
  <c r="O295" i="19"/>
  <c r="S295" i="19" s="1"/>
  <c r="N295" i="19"/>
  <c r="K295" i="19"/>
  <c r="H295" i="19"/>
  <c r="E295" i="19"/>
  <c r="I295" i="19" s="1"/>
  <c r="D295" i="19"/>
  <c r="B295" i="19"/>
  <c r="AQ294" i="19"/>
  <c r="AL294" i="19"/>
  <c r="AG294" i="19"/>
  <c r="AE294" i="19"/>
  <c r="AB294" i="19"/>
  <c r="Y294" i="19"/>
  <c r="X294" i="19"/>
  <c r="U294" i="19"/>
  <c r="R294" i="19"/>
  <c r="O294" i="19"/>
  <c r="S294" i="19" s="1"/>
  <c r="N294" i="19"/>
  <c r="K294" i="19"/>
  <c r="H294" i="19"/>
  <c r="E294" i="19"/>
  <c r="I294" i="19" s="1"/>
  <c r="D294" i="19"/>
  <c r="B294" i="19"/>
  <c r="AQ293" i="19"/>
  <c r="AL293" i="19"/>
  <c r="AG293" i="19"/>
  <c r="AE293" i="19"/>
  <c r="AB293" i="19"/>
  <c r="AD293" i="19" s="1"/>
  <c r="Y293" i="19"/>
  <c r="X293" i="19"/>
  <c r="U293" i="19"/>
  <c r="R293" i="19"/>
  <c r="O293" i="19"/>
  <c r="S293" i="19" s="1"/>
  <c r="N293" i="19"/>
  <c r="K293" i="19"/>
  <c r="H293" i="19"/>
  <c r="J293" i="19" s="1"/>
  <c r="E293" i="19"/>
  <c r="I293" i="19" s="1"/>
  <c r="D293" i="19"/>
  <c r="B293" i="19"/>
  <c r="AQ292" i="19"/>
  <c r="AL292" i="19"/>
  <c r="AG292" i="19"/>
  <c r="AE292" i="19"/>
  <c r="AB292" i="19"/>
  <c r="AD292" i="19" s="1"/>
  <c r="Y292" i="19"/>
  <c r="X292" i="19"/>
  <c r="U292" i="19"/>
  <c r="R292" i="19"/>
  <c r="O292" i="19"/>
  <c r="S292" i="19" s="1"/>
  <c r="N292" i="19"/>
  <c r="K292" i="19"/>
  <c r="H292" i="19"/>
  <c r="J292" i="19" s="1"/>
  <c r="E292" i="19"/>
  <c r="I292" i="19" s="1"/>
  <c r="D292" i="19"/>
  <c r="B292" i="19"/>
  <c r="AQ291" i="19"/>
  <c r="AL291" i="19"/>
  <c r="AG291" i="19"/>
  <c r="AE291" i="19"/>
  <c r="AB291" i="19"/>
  <c r="AD291" i="19" s="1"/>
  <c r="Y291" i="19"/>
  <c r="X291" i="19"/>
  <c r="U291" i="19"/>
  <c r="R291" i="19"/>
  <c r="O291" i="19"/>
  <c r="S291" i="19" s="1"/>
  <c r="N291" i="19"/>
  <c r="K291" i="19"/>
  <c r="H291" i="19"/>
  <c r="J291" i="19" s="1"/>
  <c r="E291" i="19"/>
  <c r="I291" i="19" s="1"/>
  <c r="D291" i="19"/>
  <c r="B291" i="19"/>
  <c r="AQ290" i="19"/>
  <c r="AL290" i="19"/>
  <c r="AG290" i="19"/>
  <c r="AE290" i="19"/>
  <c r="AB290" i="19"/>
  <c r="Y290" i="19"/>
  <c r="X290" i="19"/>
  <c r="U290" i="19"/>
  <c r="R290" i="19"/>
  <c r="O290" i="19"/>
  <c r="S290" i="19" s="1"/>
  <c r="N290" i="19"/>
  <c r="K290" i="19"/>
  <c r="H290" i="19"/>
  <c r="E290" i="19"/>
  <c r="I290" i="19" s="1"/>
  <c r="D290" i="19"/>
  <c r="B290" i="19"/>
  <c r="AQ289" i="19"/>
  <c r="AL289" i="19"/>
  <c r="AG289" i="19"/>
  <c r="AE289" i="19"/>
  <c r="AB289" i="19"/>
  <c r="AD289" i="19" s="1"/>
  <c r="Y289" i="19"/>
  <c r="X289" i="19"/>
  <c r="U289" i="19"/>
  <c r="R289" i="19"/>
  <c r="O289" i="19"/>
  <c r="S289" i="19" s="1"/>
  <c r="N289" i="19"/>
  <c r="K289" i="19"/>
  <c r="H289" i="19"/>
  <c r="J289" i="19" s="1"/>
  <c r="E289" i="19"/>
  <c r="I289" i="19" s="1"/>
  <c r="D289" i="19"/>
  <c r="B289" i="19"/>
  <c r="AQ288" i="19"/>
  <c r="AL288" i="19"/>
  <c r="AG288" i="19"/>
  <c r="AE288" i="19"/>
  <c r="AB288" i="19"/>
  <c r="Y288" i="19"/>
  <c r="X288" i="19"/>
  <c r="U288" i="19"/>
  <c r="R288" i="19"/>
  <c r="O288" i="19"/>
  <c r="S288" i="19" s="1"/>
  <c r="N288" i="19"/>
  <c r="K288" i="19"/>
  <c r="H288" i="19"/>
  <c r="E288" i="19"/>
  <c r="I288" i="19" s="1"/>
  <c r="D288" i="19"/>
  <c r="B288" i="19"/>
  <c r="AQ287" i="19"/>
  <c r="AL287" i="19"/>
  <c r="AG287" i="19"/>
  <c r="AE287" i="19"/>
  <c r="AB287" i="19"/>
  <c r="Y287" i="19"/>
  <c r="X287" i="19"/>
  <c r="U287" i="19"/>
  <c r="R287" i="19"/>
  <c r="O287" i="19"/>
  <c r="S287" i="19" s="1"/>
  <c r="N287" i="19"/>
  <c r="K287" i="19"/>
  <c r="H287" i="19"/>
  <c r="E287" i="19"/>
  <c r="I287" i="19" s="1"/>
  <c r="D287" i="19"/>
  <c r="B287" i="19"/>
  <c r="AQ286" i="19"/>
  <c r="AL286" i="19"/>
  <c r="AG286" i="19"/>
  <c r="AE286" i="19"/>
  <c r="AB286" i="19"/>
  <c r="Y286" i="19"/>
  <c r="X286" i="19"/>
  <c r="U286" i="19"/>
  <c r="R286" i="19"/>
  <c r="O286" i="19"/>
  <c r="S286" i="19" s="1"/>
  <c r="N286" i="19"/>
  <c r="K286" i="19"/>
  <c r="H286" i="19"/>
  <c r="E286" i="19"/>
  <c r="I286" i="19" s="1"/>
  <c r="D286" i="19"/>
  <c r="B286" i="19"/>
  <c r="AQ285" i="19"/>
  <c r="AL285" i="19"/>
  <c r="AG285" i="19"/>
  <c r="AE285" i="19"/>
  <c r="AB285" i="19"/>
  <c r="Y285" i="19"/>
  <c r="X285" i="19"/>
  <c r="U285" i="19"/>
  <c r="R285" i="19"/>
  <c r="O285" i="19"/>
  <c r="S285" i="19" s="1"/>
  <c r="N285" i="19"/>
  <c r="K285" i="19"/>
  <c r="H285" i="19"/>
  <c r="E285" i="19"/>
  <c r="I285" i="19" s="1"/>
  <c r="D285" i="19"/>
  <c r="B285" i="19"/>
  <c r="AQ284" i="19"/>
  <c r="AL284" i="19"/>
  <c r="AG284" i="19"/>
  <c r="AE284" i="19"/>
  <c r="AB284" i="19"/>
  <c r="AD284" i="19" s="1"/>
  <c r="Y284" i="19"/>
  <c r="X284" i="19"/>
  <c r="U284" i="19"/>
  <c r="R284" i="19"/>
  <c r="O284" i="19"/>
  <c r="S284" i="19" s="1"/>
  <c r="N284" i="19"/>
  <c r="K284" i="19"/>
  <c r="H284" i="19"/>
  <c r="J284" i="19" s="1"/>
  <c r="E284" i="19"/>
  <c r="I284" i="19" s="1"/>
  <c r="D284" i="19"/>
  <c r="B284" i="19"/>
  <c r="AQ283" i="19"/>
  <c r="AL283" i="19"/>
  <c r="AG283" i="19"/>
  <c r="AE283" i="19"/>
  <c r="AB283" i="19"/>
  <c r="AD283" i="19" s="1"/>
  <c r="Y283" i="19"/>
  <c r="X283" i="19"/>
  <c r="U283" i="19"/>
  <c r="R283" i="19"/>
  <c r="O283" i="19"/>
  <c r="S283" i="19" s="1"/>
  <c r="N283" i="19"/>
  <c r="K283" i="19"/>
  <c r="H283" i="19"/>
  <c r="E283" i="19"/>
  <c r="I283" i="19" s="1"/>
  <c r="D283" i="19"/>
  <c r="B283" i="19"/>
  <c r="AQ282" i="19"/>
  <c r="AL282" i="19"/>
  <c r="AG282" i="19"/>
  <c r="AE282" i="19"/>
  <c r="AB282" i="19"/>
  <c r="AD282" i="19" s="1"/>
  <c r="Y282" i="19"/>
  <c r="X282" i="19"/>
  <c r="U282" i="19"/>
  <c r="R282" i="19"/>
  <c r="O282" i="19"/>
  <c r="S282" i="19" s="1"/>
  <c r="N282" i="19"/>
  <c r="K282" i="19"/>
  <c r="H282" i="19"/>
  <c r="J282" i="19" s="1"/>
  <c r="E282" i="19"/>
  <c r="I282" i="19" s="1"/>
  <c r="D282" i="19"/>
  <c r="B282" i="19"/>
  <c r="AQ281" i="19"/>
  <c r="AL281" i="19"/>
  <c r="AG281" i="19"/>
  <c r="AE281" i="19"/>
  <c r="AB281" i="19"/>
  <c r="Y281" i="19"/>
  <c r="X281" i="19"/>
  <c r="U281" i="19"/>
  <c r="R281" i="19"/>
  <c r="O281" i="19"/>
  <c r="S281" i="19" s="1"/>
  <c r="N281" i="19"/>
  <c r="K281" i="19"/>
  <c r="H281" i="19"/>
  <c r="E281" i="19"/>
  <c r="I281" i="19" s="1"/>
  <c r="D281" i="19"/>
  <c r="B281" i="19"/>
  <c r="AQ280" i="19"/>
  <c r="AL280" i="19"/>
  <c r="AG280" i="19"/>
  <c r="AE280" i="19"/>
  <c r="AB280" i="19"/>
  <c r="Y280" i="19"/>
  <c r="X280" i="19"/>
  <c r="U280" i="19"/>
  <c r="R280" i="19"/>
  <c r="O280" i="19"/>
  <c r="S280" i="19" s="1"/>
  <c r="N280" i="19"/>
  <c r="K280" i="19"/>
  <c r="H280" i="19"/>
  <c r="E280" i="19"/>
  <c r="I280" i="19" s="1"/>
  <c r="D280" i="19"/>
  <c r="B280" i="19"/>
  <c r="AQ279" i="19"/>
  <c r="AL279" i="19"/>
  <c r="AG279" i="19"/>
  <c r="AE279" i="19"/>
  <c r="AB279" i="19"/>
  <c r="Y279" i="19"/>
  <c r="X279" i="19"/>
  <c r="U279" i="19"/>
  <c r="R279" i="19"/>
  <c r="O279" i="19"/>
  <c r="S279" i="19" s="1"/>
  <c r="N279" i="19"/>
  <c r="K279" i="19"/>
  <c r="H279" i="19"/>
  <c r="E279" i="19"/>
  <c r="I279" i="19" s="1"/>
  <c r="D279" i="19"/>
  <c r="B279" i="19"/>
  <c r="AQ278" i="19"/>
  <c r="AL278" i="19"/>
  <c r="AG278" i="19"/>
  <c r="AE278" i="19"/>
  <c r="AB278" i="19"/>
  <c r="Y278" i="19"/>
  <c r="X278" i="19"/>
  <c r="U278" i="19"/>
  <c r="R278" i="19"/>
  <c r="O278" i="19"/>
  <c r="S278" i="19" s="1"/>
  <c r="N278" i="19"/>
  <c r="K278" i="19"/>
  <c r="H278" i="19"/>
  <c r="E278" i="19"/>
  <c r="I278" i="19" s="1"/>
  <c r="D278" i="19"/>
  <c r="B278" i="19"/>
  <c r="AQ277" i="19"/>
  <c r="AL277" i="19"/>
  <c r="AG277" i="19"/>
  <c r="AE277" i="19"/>
  <c r="AB277" i="19"/>
  <c r="Y277" i="19"/>
  <c r="X277" i="19"/>
  <c r="U277" i="19"/>
  <c r="R277" i="19"/>
  <c r="O277" i="19"/>
  <c r="S277" i="19" s="1"/>
  <c r="N277" i="19"/>
  <c r="K277" i="19"/>
  <c r="H277" i="19"/>
  <c r="E277" i="19"/>
  <c r="I277" i="19" s="1"/>
  <c r="D277" i="19"/>
  <c r="B277" i="19"/>
  <c r="AQ276" i="19"/>
  <c r="AL276" i="19"/>
  <c r="AG276" i="19"/>
  <c r="AE276" i="19"/>
  <c r="AB276" i="19"/>
  <c r="Y276" i="19"/>
  <c r="X276" i="19"/>
  <c r="U276" i="19"/>
  <c r="R276" i="19"/>
  <c r="O276" i="19"/>
  <c r="S276" i="19" s="1"/>
  <c r="N276" i="19"/>
  <c r="K276" i="19"/>
  <c r="H276" i="19"/>
  <c r="E276" i="19"/>
  <c r="I276" i="19" s="1"/>
  <c r="D276" i="19"/>
  <c r="B276" i="19"/>
  <c r="AQ275" i="19"/>
  <c r="AL275" i="19"/>
  <c r="AG275" i="19"/>
  <c r="AE275" i="19"/>
  <c r="AB275" i="19"/>
  <c r="Y275" i="19"/>
  <c r="X275" i="19"/>
  <c r="U275" i="19"/>
  <c r="R275" i="19"/>
  <c r="O275" i="19"/>
  <c r="S275" i="19" s="1"/>
  <c r="N275" i="19"/>
  <c r="K275" i="19"/>
  <c r="H275" i="19"/>
  <c r="E275" i="19"/>
  <c r="I275" i="19" s="1"/>
  <c r="D275" i="19"/>
  <c r="B275" i="19"/>
  <c r="AQ274" i="19"/>
  <c r="AL274" i="19"/>
  <c r="AG274" i="19"/>
  <c r="AE274" i="19"/>
  <c r="AB274" i="19"/>
  <c r="Y274" i="19"/>
  <c r="X274" i="19"/>
  <c r="U274" i="19"/>
  <c r="R274" i="19"/>
  <c r="O274" i="19"/>
  <c r="S274" i="19" s="1"/>
  <c r="N274" i="19"/>
  <c r="K274" i="19"/>
  <c r="H274" i="19"/>
  <c r="E274" i="19"/>
  <c r="I274" i="19" s="1"/>
  <c r="D274" i="19"/>
  <c r="B274" i="19"/>
  <c r="AQ273" i="19"/>
  <c r="AL273" i="19"/>
  <c r="AG273" i="19"/>
  <c r="AE273" i="19"/>
  <c r="AB273" i="19"/>
  <c r="Y273" i="19"/>
  <c r="X273" i="19"/>
  <c r="U273" i="19"/>
  <c r="R273" i="19"/>
  <c r="O273" i="19"/>
  <c r="S273" i="19" s="1"/>
  <c r="N273" i="19"/>
  <c r="K273" i="19"/>
  <c r="H273" i="19"/>
  <c r="E273" i="19"/>
  <c r="I273" i="19" s="1"/>
  <c r="D273" i="19"/>
  <c r="B273" i="19"/>
  <c r="AQ272" i="19"/>
  <c r="AL272" i="19"/>
  <c r="AG272" i="19"/>
  <c r="AE272" i="19"/>
  <c r="AB272" i="19"/>
  <c r="Y272" i="19"/>
  <c r="X272" i="19"/>
  <c r="U272" i="19"/>
  <c r="R272" i="19"/>
  <c r="O272" i="19"/>
  <c r="S272" i="19" s="1"/>
  <c r="N272" i="19"/>
  <c r="K272" i="19"/>
  <c r="H272" i="19"/>
  <c r="E272" i="19"/>
  <c r="I272" i="19" s="1"/>
  <c r="D272" i="19"/>
  <c r="B272" i="19"/>
  <c r="AQ271" i="19"/>
  <c r="AL271" i="19"/>
  <c r="AG271" i="19"/>
  <c r="AE271" i="19"/>
  <c r="AB271" i="19"/>
  <c r="Y271" i="19"/>
  <c r="X271" i="19"/>
  <c r="U271" i="19"/>
  <c r="R271" i="19"/>
  <c r="O271" i="19"/>
  <c r="S271" i="19" s="1"/>
  <c r="N271" i="19"/>
  <c r="K271" i="19"/>
  <c r="H271" i="19"/>
  <c r="E271" i="19"/>
  <c r="I271" i="19" s="1"/>
  <c r="D271" i="19"/>
  <c r="B271" i="19"/>
  <c r="AQ270" i="19"/>
  <c r="AL270" i="19"/>
  <c r="AG270" i="19"/>
  <c r="AE270" i="19"/>
  <c r="AB270" i="19"/>
  <c r="Y270" i="19"/>
  <c r="X270" i="19"/>
  <c r="U270" i="19"/>
  <c r="R270" i="19"/>
  <c r="O270" i="19"/>
  <c r="S270" i="19" s="1"/>
  <c r="N270" i="19"/>
  <c r="K270" i="19"/>
  <c r="H270" i="19"/>
  <c r="E270" i="19"/>
  <c r="I270" i="19" s="1"/>
  <c r="D270" i="19"/>
  <c r="B270" i="19"/>
  <c r="AQ269" i="19"/>
  <c r="AL269" i="19"/>
  <c r="AG269" i="19"/>
  <c r="AE269" i="19"/>
  <c r="AB269" i="19"/>
  <c r="Y269" i="19"/>
  <c r="X269" i="19"/>
  <c r="U269" i="19"/>
  <c r="R269" i="19"/>
  <c r="O269" i="19"/>
  <c r="S269" i="19" s="1"/>
  <c r="N269" i="19"/>
  <c r="K269" i="19"/>
  <c r="H269" i="19"/>
  <c r="E269" i="19"/>
  <c r="I269" i="19" s="1"/>
  <c r="D269" i="19"/>
  <c r="B269" i="19"/>
  <c r="AQ268" i="19"/>
  <c r="AL268" i="19"/>
  <c r="AG268" i="19"/>
  <c r="AE268" i="19"/>
  <c r="AB268" i="19"/>
  <c r="Y268" i="19"/>
  <c r="X268" i="19"/>
  <c r="U268" i="19"/>
  <c r="R268" i="19"/>
  <c r="O268" i="19"/>
  <c r="S268" i="19" s="1"/>
  <c r="N268" i="19"/>
  <c r="K268" i="19"/>
  <c r="H268" i="19"/>
  <c r="E268" i="19"/>
  <c r="I268" i="19" s="1"/>
  <c r="D268" i="19"/>
  <c r="B268" i="19"/>
  <c r="AQ267" i="19"/>
  <c r="AL267" i="19"/>
  <c r="AG267" i="19"/>
  <c r="AE267" i="19"/>
  <c r="AB267" i="19"/>
  <c r="Y267" i="19"/>
  <c r="X267" i="19"/>
  <c r="U267" i="19"/>
  <c r="R267" i="19"/>
  <c r="O267" i="19"/>
  <c r="S267" i="19" s="1"/>
  <c r="N267" i="19"/>
  <c r="K267" i="19"/>
  <c r="H267" i="19"/>
  <c r="E267" i="19"/>
  <c r="I267" i="19" s="1"/>
  <c r="D267" i="19"/>
  <c r="B267" i="19"/>
  <c r="AQ266" i="19"/>
  <c r="AL266" i="19"/>
  <c r="AG266" i="19"/>
  <c r="AE266" i="19"/>
  <c r="AB266" i="19"/>
  <c r="Y266" i="19"/>
  <c r="X266" i="19"/>
  <c r="U266" i="19"/>
  <c r="R266" i="19"/>
  <c r="O266" i="19"/>
  <c r="S266" i="19" s="1"/>
  <c r="N266" i="19"/>
  <c r="K266" i="19"/>
  <c r="H266" i="19"/>
  <c r="E266" i="19"/>
  <c r="I266" i="19" s="1"/>
  <c r="D266" i="19"/>
  <c r="B266" i="19"/>
  <c r="AQ265" i="19"/>
  <c r="AL265" i="19"/>
  <c r="AG265" i="19"/>
  <c r="AE265" i="19"/>
  <c r="AB265" i="19"/>
  <c r="Y265" i="19"/>
  <c r="X265" i="19"/>
  <c r="U265" i="19"/>
  <c r="R265" i="19"/>
  <c r="O265" i="19"/>
  <c r="S265" i="19" s="1"/>
  <c r="N265" i="19"/>
  <c r="K265" i="19"/>
  <c r="H265" i="19"/>
  <c r="E265" i="19"/>
  <c r="I265" i="19" s="1"/>
  <c r="D265" i="19"/>
  <c r="B265" i="19"/>
  <c r="AQ264" i="19"/>
  <c r="AL264" i="19"/>
  <c r="AG264" i="19"/>
  <c r="AE264" i="19"/>
  <c r="AB264" i="19"/>
  <c r="Y264" i="19"/>
  <c r="X264" i="19"/>
  <c r="U264" i="19"/>
  <c r="R264" i="19"/>
  <c r="O264" i="19"/>
  <c r="S264" i="19" s="1"/>
  <c r="N264" i="19"/>
  <c r="K264" i="19"/>
  <c r="H264" i="19"/>
  <c r="E264" i="19"/>
  <c r="I264" i="19" s="1"/>
  <c r="D264" i="19"/>
  <c r="B264" i="19"/>
  <c r="AQ263" i="19"/>
  <c r="AL263" i="19"/>
  <c r="AG263" i="19"/>
  <c r="AE263" i="19"/>
  <c r="AB263" i="19"/>
  <c r="Y263" i="19"/>
  <c r="X263" i="19"/>
  <c r="U263" i="19"/>
  <c r="R263" i="19"/>
  <c r="O263" i="19"/>
  <c r="S263" i="19" s="1"/>
  <c r="N263" i="19"/>
  <c r="K263" i="19"/>
  <c r="H263" i="19"/>
  <c r="E263" i="19"/>
  <c r="I263" i="19" s="1"/>
  <c r="D263" i="19"/>
  <c r="B263" i="19"/>
  <c r="AQ262" i="19"/>
  <c r="AL262" i="19"/>
  <c r="AG262" i="19"/>
  <c r="AE262" i="19"/>
  <c r="AB262" i="19"/>
  <c r="Y262" i="19"/>
  <c r="X262" i="19"/>
  <c r="U262" i="19"/>
  <c r="R262" i="19"/>
  <c r="O262" i="19"/>
  <c r="S262" i="19" s="1"/>
  <c r="N262" i="19"/>
  <c r="K262" i="19"/>
  <c r="H262" i="19"/>
  <c r="E262" i="19"/>
  <c r="I262" i="19" s="1"/>
  <c r="D262" i="19"/>
  <c r="B262" i="19"/>
  <c r="AQ261" i="19"/>
  <c r="AL261" i="19"/>
  <c r="AG261" i="19"/>
  <c r="AE261" i="19"/>
  <c r="AB261" i="19"/>
  <c r="Y261" i="19"/>
  <c r="X261" i="19"/>
  <c r="U261" i="19"/>
  <c r="R261" i="19"/>
  <c r="O261" i="19"/>
  <c r="S261" i="19" s="1"/>
  <c r="N261" i="19"/>
  <c r="K261" i="19"/>
  <c r="H261" i="19"/>
  <c r="E261" i="19"/>
  <c r="I261" i="19" s="1"/>
  <c r="D261" i="19"/>
  <c r="B261" i="19"/>
  <c r="AQ260" i="19"/>
  <c r="AL260" i="19"/>
  <c r="AG260" i="19"/>
  <c r="AE260" i="19"/>
  <c r="AB260" i="19"/>
  <c r="Y260" i="19"/>
  <c r="X260" i="19"/>
  <c r="U260" i="19"/>
  <c r="R260" i="19"/>
  <c r="O260" i="19"/>
  <c r="S260" i="19" s="1"/>
  <c r="N260" i="19"/>
  <c r="K260" i="19"/>
  <c r="H260" i="19"/>
  <c r="E260" i="19"/>
  <c r="I260" i="19" s="1"/>
  <c r="D260" i="19"/>
  <c r="B260" i="19"/>
  <c r="AQ259" i="19"/>
  <c r="AL259" i="19"/>
  <c r="AG259" i="19"/>
  <c r="AE259" i="19"/>
  <c r="AB259" i="19"/>
  <c r="Y259" i="19"/>
  <c r="X259" i="19"/>
  <c r="U259" i="19"/>
  <c r="R259" i="19"/>
  <c r="O259" i="19"/>
  <c r="S259" i="19" s="1"/>
  <c r="N259" i="19"/>
  <c r="K259" i="19"/>
  <c r="H259" i="19"/>
  <c r="E259" i="19"/>
  <c r="I259" i="19" s="1"/>
  <c r="D259" i="19"/>
  <c r="B259" i="19"/>
  <c r="AQ258" i="19"/>
  <c r="AL258" i="19"/>
  <c r="AG258" i="19"/>
  <c r="AE258" i="19"/>
  <c r="AB258" i="19"/>
  <c r="Y258" i="19"/>
  <c r="X258" i="19"/>
  <c r="U258" i="19"/>
  <c r="R258" i="19"/>
  <c r="O258" i="19"/>
  <c r="S258" i="19" s="1"/>
  <c r="N258" i="19"/>
  <c r="K258" i="19"/>
  <c r="H258" i="19"/>
  <c r="E258" i="19"/>
  <c r="I258" i="19" s="1"/>
  <c r="D258" i="19"/>
  <c r="B258" i="19"/>
  <c r="AQ257" i="19"/>
  <c r="AL257" i="19"/>
  <c r="AG257" i="19"/>
  <c r="AE257" i="19"/>
  <c r="AB257" i="19"/>
  <c r="Y257" i="19"/>
  <c r="X257" i="19"/>
  <c r="U257" i="19"/>
  <c r="R257" i="19"/>
  <c r="O257" i="19"/>
  <c r="S257" i="19" s="1"/>
  <c r="N257" i="19"/>
  <c r="K257" i="19"/>
  <c r="H257" i="19"/>
  <c r="E257" i="19"/>
  <c r="I257" i="19" s="1"/>
  <c r="D257" i="19"/>
  <c r="B257" i="19"/>
  <c r="AQ256" i="19"/>
  <c r="AL256" i="19"/>
  <c r="AG256" i="19"/>
  <c r="AE256" i="19"/>
  <c r="AB256" i="19"/>
  <c r="Y256" i="19"/>
  <c r="X256" i="19"/>
  <c r="U256" i="19"/>
  <c r="R256" i="19"/>
  <c r="O256" i="19"/>
  <c r="S256" i="19" s="1"/>
  <c r="N256" i="19"/>
  <c r="K256" i="19"/>
  <c r="H256" i="19"/>
  <c r="E256" i="19"/>
  <c r="I256" i="19" s="1"/>
  <c r="D256" i="19"/>
  <c r="B256" i="19"/>
  <c r="AQ255" i="19"/>
  <c r="AL255" i="19"/>
  <c r="AG255" i="19"/>
  <c r="AE255" i="19"/>
  <c r="AB255" i="19"/>
  <c r="Y255" i="19"/>
  <c r="X255" i="19"/>
  <c r="U255" i="19"/>
  <c r="R255" i="19"/>
  <c r="O255" i="19"/>
  <c r="S255" i="19" s="1"/>
  <c r="N255" i="19"/>
  <c r="K255" i="19"/>
  <c r="H255" i="19"/>
  <c r="E255" i="19"/>
  <c r="I255" i="19" s="1"/>
  <c r="D255" i="19"/>
  <c r="B255" i="19"/>
  <c r="AQ254" i="19"/>
  <c r="AL254" i="19"/>
  <c r="AG254" i="19"/>
  <c r="AE254" i="19"/>
  <c r="AB254" i="19"/>
  <c r="Y254" i="19"/>
  <c r="X254" i="19"/>
  <c r="U254" i="19"/>
  <c r="R254" i="19"/>
  <c r="O254" i="19"/>
  <c r="S254" i="19" s="1"/>
  <c r="N254" i="19"/>
  <c r="K254" i="19"/>
  <c r="H254" i="19"/>
  <c r="E254" i="19"/>
  <c r="I254" i="19" s="1"/>
  <c r="D254" i="19"/>
  <c r="B254" i="19"/>
  <c r="AQ253" i="19"/>
  <c r="AL253" i="19"/>
  <c r="AG253" i="19"/>
  <c r="AE253" i="19"/>
  <c r="AB253" i="19"/>
  <c r="Y253" i="19"/>
  <c r="X253" i="19"/>
  <c r="U253" i="19"/>
  <c r="R253" i="19"/>
  <c r="O253" i="19"/>
  <c r="S253" i="19" s="1"/>
  <c r="N253" i="19"/>
  <c r="K253" i="19"/>
  <c r="H253" i="19"/>
  <c r="E253" i="19"/>
  <c r="I253" i="19" s="1"/>
  <c r="D253" i="19"/>
  <c r="B253" i="19"/>
  <c r="AQ252" i="19"/>
  <c r="AL252" i="19"/>
  <c r="AG252" i="19"/>
  <c r="AE252" i="19"/>
  <c r="AB252" i="19"/>
  <c r="Y252" i="19"/>
  <c r="X252" i="19"/>
  <c r="U252" i="19"/>
  <c r="R252" i="19"/>
  <c r="O252" i="19"/>
  <c r="S252" i="19" s="1"/>
  <c r="N252" i="19"/>
  <c r="K252" i="19"/>
  <c r="H252" i="19"/>
  <c r="E252" i="19"/>
  <c r="I252" i="19" s="1"/>
  <c r="D252" i="19"/>
  <c r="B252" i="19"/>
  <c r="AQ251" i="19"/>
  <c r="AL251" i="19"/>
  <c r="AG251" i="19"/>
  <c r="AE251" i="19"/>
  <c r="AB251" i="19"/>
  <c r="Y251" i="19"/>
  <c r="X251" i="19"/>
  <c r="U251" i="19"/>
  <c r="R251" i="19"/>
  <c r="O251" i="19"/>
  <c r="S251" i="19" s="1"/>
  <c r="N251" i="19"/>
  <c r="K251" i="19"/>
  <c r="H251" i="19"/>
  <c r="E251" i="19"/>
  <c r="I251" i="19" s="1"/>
  <c r="D251" i="19"/>
  <c r="B251" i="19"/>
  <c r="AQ250" i="19"/>
  <c r="AL250" i="19"/>
  <c r="AG250" i="19"/>
  <c r="AE250" i="19"/>
  <c r="AB250" i="19"/>
  <c r="Y250" i="19"/>
  <c r="X250" i="19"/>
  <c r="U250" i="19"/>
  <c r="R250" i="19"/>
  <c r="O250" i="19"/>
  <c r="S250" i="19" s="1"/>
  <c r="N250" i="19"/>
  <c r="K250" i="19"/>
  <c r="H250" i="19"/>
  <c r="E250" i="19"/>
  <c r="I250" i="19" s="1"/>
  <c r="D250" i="19"/>
  <c r="B250" i="19"/>
  <c r="AQ249" i="19"/>
  <c r="AL249" i="19"/>
  <c r="AG249" i="19"/>
  <c r="AE249" i="19"/>
  <c r="AB249" i="19"/>
  <c r="Y249" i="19"/>
  <c r="X249" i="19"/>
  <c r="U249" i="19"/>
  <c r="R249" i="19"/>
  <c r="O249" i="19"/>
  <c r="S249" i="19" s="1"/>
  <c r="N249" i="19"/>
  <c r="K249" i="19"/>
  <c r="H249" i="19"/>
  <c r="E249" i="19"/>
  <c r="I249" i="19" s="1"/>
  <c r="D249" i="19"/>
  <c r="B249" i="19"/>
  <c r="AQ248" i="19"/>
  <c r="AL248" i="19"/>
  <c r="AG248" i="19"/>
  <c r="AE248" i="19"/>
  <c r="AB248" i="19"/>
  <c r="Y248" i="19"/>
  <c r="X248" i="19"/>
  <c r="U248" i="19"/>
  <c r="R248" i="19"/>
  <c r="O248" i="19"/>
  <c r="S248" i="19" s="1"/>
  <c r="N248" i="19"/>
  <c r="K248" i="19"/>
  <c r="H248" i="19"/>
  <c r="E248" i="19"/>
  <c r="I248" i="19" s="1"/>
  <c r="D248" i="19"/>
  <c r="B248" i="19"/>
  <c r="AQ247" i="19"/>
  <c r="AL247" i="19"/>
  <c r="AG247" i="19"/>
  <c r="AE247" i="19"/>
  <c r="AB247" i="19"/>
  <c r="Y247" i="19"/>
  <c r="X247" i="19"/>
  <c r="U247" i="19"/>
  <c r="R247" i="19"/>
  <c r="O247" i="19"/>
  <c r="S247" i="19" s="1"/>
  <c r="N247" i="19"/>
  <c r="K247" i="19"/>
  <c r="H247" i="19"/>
  <c r="E247" i="19"/>
  <c r="I247" i="19" s="1"/>
  <c r="D247" i="19"/>
  <c r="B247" i="19"/>
  <c r="AQ246" i="19"/>
  <c r="AL246" i="19"/>
  <c r="AG246" i="19"/>
  <c r="AE246" i="19"/>
  <c r="AB246" i="19"/>
  <c r="Y246" i="19"/>
  <c r="X246" i="19"/>
  <c r="U246" i="19"/>
  <c r="R246" i="19"/>
  <c r="O246" i="19"/>
  <c r="S246" i="19" s="1"/>
  <c r="N246" i="19"/>
  <c r="K246" i="19"/>
  <c r="H246" i="19"/>
  <c r="E246" i="19"/>
  <c r="I246" i="19" s="1"/>
  <c r="D246" i="19"/>
  <c r="B246" i="19"/>
  <c r="AQ245" i="19"/>
  <c r="AL245" i="19"/>
  <c r="AG245" i="19"/>
  <c r="AE245" i="19"/>
  <c r="AB245" i="19"/>
  <c r="Y245" i="19"/>
  <c r="X245" i="19"/>
  <c r="U245" i="19"/>
  <c r="R245" i="19"/>
  <c r="O245" i="19"/>
  <c r="S245" i="19" s="1"/>
  <c r="N245" i="19"/>
  <c r="K245" i="19"/>
  <c r="H245" i="19"/>
  <c r="E245" i="19"/>
  <c r="I245" i="19" s="1"/>
  <c r="D245" i="19"/>
  <c r="B245" i="19"/>
  <c r="AQ244" i="19"/>
  <c r="AL244" i="19"/>
  <c r="AG244" i="19"/>
  <c r="AE244" i="19"/>
  <c r="AB244" i="19"/>
  <c r="Y244" i="19"/>
  <c r="X244" i="19"/>
  <c r="U244" i="19"/>
  <c r="R244" i="19"/>
  <c r="O244" i="19"/>
  <c r="S244" i="19" s="1"/>
  <c r="N244" i="19"/>
  <c r="K244" i="19"/>
  <c r="H244" i="19"/>
  <c r="E244" i="19"/>
  <c r="I244" i="19" s="1"/>
  <c r="D244" i="19"/>
  <c r="B244" i="19"/>
  <c r="AQ243" i="19"/>
  <c r="AL243" i="19"/>
  <c r="AG243" i="19"/>
  <c r="AE243" i="19"/>
  <c r="AB243" i="19"/>
  <c r="Y243" i="19"/>
  <c r="X243" i="19"/>
  <c r="U243" i="19"/>
  <c r="R243" i="19"/>
  <c r="O243" i="19"/>
  <c r="S243" i="19" s="1"/>
  <c r="N243" i="19"/>
  <c r="K243" i="19"/>
  <c r="H243" i="19"/>
  <c r="E243" i="19"/>
  <c r="I243" i="19" s="1"/>
  <c r="D243" i="19"/>
  <c r="B243" i="19"/>
  <c r="AQ242" i="19"/>
  <c r="AL242" i="19"/>
  <c r="AG242" i="19"/>
  <c r="AE242" i="19"/>
  <c r="AB242" i="19"/>
  <c r="Y242" i="19"/>
  <c r="X242" i="19"/>
  <c r="U242" i="19"/>
  <c r="R242" i="19"/>
  <c r="O242" i="19"/>
  <c r="S242" i="19" s="1"/>
  <c r="N242" i="19"/>
  <c r="K242" i="19"/>
  <c r="H242" i="19"/>
  <c r="E242" i="19"/>
  <c r="I242" i="19" s="1"/>
  <c r="D242" i="19"/>
  <c r="B242" i="19"/>
  <c r="AQ241" i="19"/>
  <c r="AL241" i="19"/>
  <c r="AG241" i="19"/>
  <c r="AE241" i="19"/>
  <c r="AB241" i="19"/>
  <c r="Y241" i="19"/>
  <c r="X241" i="19"/>
  <c r="U241" i="19"/>
  <c r="R241" i="19"/>
  <c r="O241" i="19"/>
  <c r="S241" i="19" s="1"/>
  <c r="N241" i="19"/>
  <c r="K241" i="19"/>
  <c r="H241" i="19"/>
  <c r="E241" i="19"/>
  <c r="I241" i="19" s="1"/>
  <c r="D241" i="19"/>
  <c r="B241" i="19"/>
  <c r="AQ240" i="19"/>
  <c r="AL240" i="19"/>
  <c r="AG240" i="19"/>
  <c r="AE240" i="19"/>
  <c r="AB240" i="19"/>
  <c r="Y240" i="19"/>
  <c r="X240" i="19"/>
  <c r="U240" i="19"/>
  <c r="R240" i="19"/>
  <c r="O240" i="19"/>
  <c r="S240" i="19" s="1"/>
  <c r="N240" i="19"/>
  <c r="K240" i="19"/>
  <c r="H240" i="19"/>
  <c r="E240" i="19"/>
  <c r="I240" i="19" s="1"/>
  <c r="D240" i="19"/>
  <c r="B240" i="19"/>
  <c r="AQ239" i="19"/>
  <c r="AL239" i="19"/>
  <c r="AG239" i="19"/>
  <c r="AE239" i="19"/>
  <c r="AB239" i="19"/>
  <c r="Y239" i="19"/>
  <c r="X239" i="19"/>
  <c r="U239" i="19"/>
  <c r="R239" i="19"/>
  <c r="O239" i="19"/>
  <c r="S239" i="19" s="1"/>
  <c r="N239" i="19"/>
  <c r="K239" i="19"/>
  <c r="H239" i="19"/>
  <c r="E239" i="19"/>
  <c r="I239" i="19" s="1"/>
  <c r="D239" i="19"/>
  <c r="B239" i="19"/>
  <c r="AQ238" i="19"/>
  <c r="AL238" i="19"/>
  <c r="AG238" i="19"/>
  <c r="AE238" i="19"/>
  <c r="AB238" i="19"/>
  <c r="Y238" i="19"/>
  <c r="X238" i="19"/>
  <c r="U238" i="19"/>
  <c r="R238" i="19"/>
  <c r="O238" i="19"/>
  <c r="S238" i="19" s="1"/>
  <c r="N238" i="19"/>
  <c r="K238" i="19"/>
  <c r="H238" i="19"/>
  <c r="E238" i="19"/>
  <c r="I238" i="19" s="1"/>
  <c r="D238" i="19"/>
  <c r="B238" i="19"/>
  <c r="AQ237" i="19"/>
  <c r="AL237" i="19"/>
  <c r="AG237" i="19"/>
  <c r="AE237" i="19"/>
  <c r="AB237" i="19"/>
  <c r="Y237" i="19"/>
  <c r="X237" i="19"/>
  <c r="U237" i="19"/>
  <c r="R237" i="19"/>
  <c r="O237" i="19"/>
  <c r="S237" i="19" s="1"/>
  <c r="N237" i="19"/>
  <c r="K237" i="19"/>
  <c r="H237" i="19"/>
  <c r="E237" i="19"/>
  <c r="I237" i="19" s="1"/>
  <c r="D237" i="19"/>
  <c r="B237" i="19"/>
  <c r="AQ236" i="19"/>
  <c r="AL236" i="19"/>
  <c r="AG236" i="19"/>
  <c r="AE236" i="19"/>
  <c r="AB236" i="19"/>
  <c r="Y236" i="19"/>
  <c r="X236" i="19"/>
  <c r="U236" i="19"/>
  <c r="R236" i="19"/>
  <c r="O236" i="19"/>
  <c r="S236" i="19" s="1"/>
  <c r="N236" i="19"/>
  <c r="K236" i="19"/>
  <c r="H236" i="19"/>
  <c r="E236" i="19"/>
  <c r="I236" i="19" s="1"/>
  <c r="D236" i="19"/>
  <c r="B236" i="19"/>
  <c r="AQ235" i="19"/>
  <c r="AL235" i="19"/>
  <c r="AG235" i="19"/>
  <c r="AE235" i="19"/>
  <c r="AB235" i="19"/>
  <c r="Y235" i="19"/>
  <c r="X235" i="19"/>
  <c r="U235" i="19"/>
  <c r="R235" i="19"/>
  <c r="O235" i="19"/>
  <c r="S235" i="19" s="1"/>
  <c r="N235" i="19"/>
  <c r="K235" i="19"/>
  <c r="H235" i="19"/>
  <c r="E235" i="19"/>
  <c r="I235" i="19" s="1"/>
  <c r="D235" i="19"/>
  <c r="B235" i="19"/>
  <c r="AQ234" i="19"/>
  <c r="AL234" i="19"/>
  <c r="AG234" i="19"/>
  <c r="AE234" i="19"/>
  <c r="AB234" i="19"/>
  <c r="Y234" i="19"/>
  <c r="X234" i="19"/>
  <c r="U234" i="19"/>
  <c r="R234" i="19"/>
  <c r="O234" i="19"/>
  <c r="S234" i="19" s="1"/>
  <c r="N234" i="19"/>
  <c r="K234" i="19"/>
  <c r="H234" i="19"/>
  <c r="E234" i="19"/>
  <c r="I234" i="19" s="1"/>
  <c r="D234" i="19"/>
  <c r="B234" i="19"/>
  <c r="AQ233" i="19"/>
  <c r="AL233" i="19"/>
  <c r="AG233" i="19"/>
  <c r="AE233" i="19"/>
  <c r="AB233" i="19"/>
  <c r="Y233" i="19"/>
  <c r="X233" i="19"/>
  <c r="U233" i="19"/>
  <c r="R233" i="19"/>
  <c r="O233" i="19"/>
  <c r="S233" i="19" s="1"/>
  <c r="N233" i="19"/>
  <c r="K233" i="19"/>
  <c r="H233" i="19"/>
  <c r="E233" i="19"/>
  <c r="I233" i="19" s="1"/>
  <c r="D233" i="19"/>
  <c r="B233" i="19"/>
  <c r="AQ232" i="19"/>
  <c r="AL232" i="19"/>
  <c r="AG232" i="19"/>
  <c r="AE232" i="19"/>
  <c r="AB232" i="19"/>
  <c r="Y232" i="19"/>
  <c r="X232" i="19"/>
  <c r="U232" i="19"/>
  <c r="R232" i="19"/>
  <c r="O232" i="19"/>
  <c r="S232" i="19" s="1"/>
  <c r="N232" i="19"/>
  <c r="K232" i="19"/>
  <c r="H232" i="19"/>
  <c r="E232" i="19"/>
  <c r="I232" i="19" s="1"/>
  <c r="D232" i="19"/>
  <c r="B232" i="19"/>
  <c r="AQ231" i="19"/>
  <c r="AL231" i="19"/>
  <c r="AG231" i="19"/>
  <c r="AE231" i="19"/>
  <c r="AB231" i="19"/>
  <c r="Y231" i="19"/>
  <c r="X231" i="19"/>
  <c r="U231" i="19"/>
  <c r="R231" i="19"/>
  <c r="O231" i="19"/>
  <c r="S231" i="19" s="1"/>
  <c r="N231" i="19"/>
  <c r="K231" i="19"/>
  <c r="H231" i="19"/>
  <c r="E231" i="19"/>
  <c r="I231" i="19" s="1"/>
  <c r="D231" i="19"/>
  <c r="B231" i="19"/>
  <c r="AQ230" i="19"/>
  <c r="AL230" i="19"/>
  <c r="AG230" i="19"/>
  <c r="AE230" i="19"/>
  <c r="AB230" i="19"/>
  <c r="Y230" i="19"/>
  <c r="X230" i="19"/>
  <c r="U230" i="19"/>
  <c r="R230" i="19"/>
  <c r="O230" i="19"/>
  <c r="S230" i="19" s="1"/>
  <c r="N230" i="19"/>
  <c r="K230" i="19"/>
  <c r="H230" i="19"/>
  <c r="E230" i="19"/>
  <c r="I230" i="19" s="1"/>
  <c r="D230" i="19"/>
  <c r="B230" i="19"/>
  <c r="AQ229" i="19"/>
  <c r="AL229" i="19"/>
  <c r="AG229" i="19"/>
  <c r="AE229" i="19"/>
  <c r="AB229" i="19"/>
  <c r="Y229" i="19"/>
  <c r="X229" i="19"/>
  <c r="U229" i="19"/>
  <c r="R229" i="19"/>
  <c r="O229" i="19"/>
  <c r="S229" i="19" s="1"/>
  <c r="N229" i="19"/>
  <c r="K229" i="19"/>
  <c r="H229" i="19"/>
  <c r="E229" i="19"/>
  <c r="I229" i="19" s="1"/>
  <c r="D229" i="19"/>
  <c r="B229" i="19"/>
  <c r="AQ228" i="19"/>
  <c r="AL228" i="19"/>
  <c r="AG228" i="19"/>
  <c r="AE228" i="19"/>
  <c r="AB228" i="19"/>
  <c r="Y228" i="19"/>
  <c r="X228" i="19"/>
  <c r="U228" i="19"/>
  <c r="R228" i="19"/>
  <c r="O228" i="19"/>
  <c r="S228" i="19" s="1"/>
  <c r="N228" i="19"/>
  <c r="K228" i="19"/>
  <c r="H228" i="19"/>
  <c r="E228" i="19"/>
  <c r="I228" i="19" s="1"/>
  <c r="D228" i="19"/>
  <c r="B228" i="19"/>
  <c r="AQ227" i="19"/>
  <c r="AL227" i="19"/>
  <c r="AG227" i="19"/>
  <c r="AE227" i="19"/>
  <c r="AB227" i="19"/>
  <c r="Y227" i="19"/>
  <c r="X227" i="19"/>
  <c r="U227" i="19"/>
  <c r="R227" i="19"/>
  <c r="O227" i="19"/>
  <c r="S227" i="19" s="1"/>
  <c r="N227" i="19"/>
  <c r="K227" i="19"/>
  <c r="H227" i="19"/>
  <c r="E227" i="19"/>
  <c r="I227" i="19" s="1"/>
  <c r="D227" i="19"/>
  <c r="B227" i="19"/>
  <c r="AQ226" i="19"/>
  <c r="AL226" i="19"/>
  <c r="AG226" i="19"/>
  <c r="AE226" i="19"/>
  <c r="AB226" i="19"/>
  <c r="Y226" i="19"/>
  <c r="X226" i="19"/>
  <c r="U226" i="19"/>
  <c r="R226" i="19"/>
  <c r="O226" i="19"/>
  <c r="S226" i="19" s="1"/>
  <c r="N226" i="19"/>
  <c r="K226" i="19"/>
  <c r="H226" i="19"/>
  <c r="E226" i="19"/>
  <c r="I226" i="19" s="1"/>
  <c r="D226" i="19"/>
  <c r="B226" i="19"/>
  <c r="AQ225" i="19"/>
  <c r="AL225" i="19"/>
  <c r="AG225" i="19"/>
  <c r="AE225" i="19"/>
  <c r="AB225" i="19"/>
  <c r="Y225" i="19"/>
  <c r="X225" i="19"/>
  <c r="U225" i="19"/>
  <c r="R225" i="19"/>
  <c r="O225" i="19"/>
  <c r="S225" i="19" s="1"/>
  <c r="N225" i="19"/>
  <c r="K225" i="19"/>
  <c r="H225" i="19"/>
  <c r="E225" i="19"/>
  <c r="I225" i="19" s="1"/>
  <c r="D225" i="19"/>
  <c r="B225" i="19"/>
  <c r="AQ224" i="19"/>
  <c r="AL224" i="19"/>
  <c r="AG224" i="19"/>
  <c r="AE224" i="19"/>
  <c r="AB224" i="19"/>
  <c r="Y224" i="19"/>
  <c r="X224" i="19"/>
  <c r="U224" i="19"/>
  <c r="R224" i="19"/>
  <c r="O224" i="19"/>
  <c r="S224" i="19" s="1"/>
  <c r="N224" i="19"/>
  <c r="K224" i="19"/>
  <c r="H224" i="19"/>
  <c r="E224" i="19"/>
  <c r="I224" i="19" s="1"/>
  <c r="D224" i="19"/>
  <c r="B224" i="19"/>
  <c r="AQ223" i="19"/>
  <c r="AL223" i="19"/>
  <c r="AG223" i="19"/>
  <c r="AE223" i="19"/>
  <c r="AB223" i="19"/>
  <c r="Y223" i="19"/>
  <c r="X223" i="19"/>
  <c r="U223" i="19"/>
  <c r="R223" i="19"/>
  <c r="O223" i="19"/>
  <c r="S223" i="19" s="1"/>
  <c r="N223" i="19"/>
  <c r="K223" i="19"/>
  <c r="H223" i="19"/>
  <c r="E223" i="19"/>
  <c r="I223" i="19" s="1"/>
  <c r="D223" i="19"/>
  <c r="B223" i="19"/>
  <c r="AQ222" i="19"/>
  <c r="AL222" i="19"/>
  <c r="AG222" i="19"/>
  <c r="AE222" i="19"/>
  <c r="AB222" i="19"/>
  <c r="Y222" i="19"/>
  <c r="X222" i="19"/>
  <c r="U222" i="19"/>
  <c r="R222" i="19"/>
  <c r="O222" i="19"/>
  <c r="S222" i="19" s="1"/>
  <c r="N222" i="19"/>
  <c r="K222" i="19"/>
  <c r="H222" i="19"/>
  <c r="E222" i="19"/>
  <c r="I222" i="19" s="1"/>
  <c r="D222" i="19"/>
  <c r="B222" i="19"/>
  <c r="AQ221" i="19"/>
  <c r="AL221" i="19"/>
  <c r="AG221" i="19"/>
  <c r="AE221" i="19"/>
  <c r="AB221" i="19"/>
  <c r="Y221" i="19"/>
  <c r="X221" i="19"/>
  <c r="U221" i="19"/>
  <c r="R221" i="19"/>
  <c r="O221" i="19"/>
  <c r="S221" i="19" s="1"/>
  <c r="N221" i="19"/>
  <c r="K221" i="19"/>
  <c r="H221" i="19"/>
  <c r="E221" i="19"/>
  <c r="I221" i="19" s="1"/>
  <c r="D221" i="19"/>
  <c r="B221" i="19"/>
  <c r="AQ220" i="19"/>
  <c r="AL220" i="19"/>
  <c r="AG220" i="19"/>
  <c r="AE220" i="19"/>
  <c r="AB220" i="19"/>
  <c r="Y220" i="19"/>
  <c r="X220" i="19"/>
  <c r="U220" i="19"/>
  <c r="R220" i="19"/>
  <c r="O220" i="19"/>
  <c r="S220" i="19" s="1"/>
  <c r="N220" i="19"/>
  <c r="K220" i="19"/>
  <c r="H220" i="19"/>
  <c r="E220" i="19"/>
  <c r="I220" i="19" s="1"/>
  <c r="D220" i="19"/>
  <c r="B220" i="19"/>
  <c r="AQ219" i="19"/>
  <c r="AL219" i="19"/>
  <c r="AG219" i="19"/>
  <c r="AE219" i="19"/>
  <c r="AB219" i="19"/>
  <c r="Y219" i="19"/>
  <c r="X219" i="19"/>
  <c r="U219" i="19"/>
  <c r="R219" i="19"/>
  <c r="O219" i="19"/>
  <c r="S219" i="19" s="1"/>
  <c r="N219" i="19"/>
  <c r="K219" i="19"/>
  <c r="H219" i="19"/>
  <c r="E219" i="19"/>
  <c r="I219" i="19" s="1"/>
  <c r="D219" i="19"/>
  <c r="B219" i="19"/>
  <c r="AQ218" i="19"/>
  <c r="AL218" i="19"/>
  <c r="AG218" i="19"/>
  <c r="AE218" i="19"/>
  <c r="AB218" i="19"/>
  <c r="Y218" i="19"/>
  <c r="X218" i="19"/>
  <c r="U218" i="19"/>
  <c r="R218" i="19"/>
  <c r="O218" i="19"/>
  <c r="S218" i="19" s="1"/>
  <c r="N218" i="19"/>
  <c r="K218" i="19"/>
  <c r="H218" i="19"/>
  <c r="E218" i="19"/>
  <c r="I218" i="19" s="1"/>
  <c r="D218" i="19"/>
  <c r="B218" i="19"/>
  <c r="AQ217" i="19"/>
  <c r="AL217" i="19"/>
  <c r="AG217" i="19"/>
  <c r="AE217" i="19"/>
  <c r="AB217" i="19"/>
  <c r="Y217" i="19"/>
  <c r="X217" i="19"/>
  <c r="U217" i="19"/>
  <c r="R217" i="19"/>
  <c r="O217" i="19"/>
  <c r="S217" i="19" s="1"/>
  <c r="N217" i="19"/>
  <c r="K217" i="19"/>
  <c r="H217" i="19"/>
  <c r="E217" i="19"/>
  <c r="I217" i="19" s="1"/>
  <c r="D217" i="19"/>
  <c r="B217" i="19"/>
  <c r="AQ216" i="19"/>
  <c r="AL216" i="19"/>
  <c r="AG216" i="19"/>
  <c r="AE216" i="19"/>
  <c r="AB216" i="19"/>
  <c r="Y216" i="19"/>
  <c r="X216" i="19"/>
  <c r="U216" i="19"/>
  <c r="R216" i="19"/>
  <c r="O216" i="19"/>
  <c r="S216" i="19" s="1"/>
  <c r="N216" i="19"/>
  <c r="K216" i="19"/>
  <c r="H216" i="19"/>
  <c r="E216" i="19"/>
  <c r="I216" i="19" s="1"/>
  <c r="D216" i="19"/>
  <c r="B216" i="19"/>
  <c r="AQ215" i="19"/>
  <c r="AL215" i="19"/>
  <c r="AG215" i="19"/>
  <c r="AE215" i="19"/>
  <c r="AB215" i="19"/>
  <c r="Y215" i="19"/>
  <c r="X215" i="19"/>
  <c r="U215" i="19"/>
  <c r="R215" i="19"/>
  <c r="O215" i="19"/>
  <c r="S215" i="19" s="1"/>
  <c r="N215" i="19"/>
  <c r="K215" i="19"/>
  <c r="H215" i="19"/>
  <c r="E215" i="19"/>
  <c r="I215" i="19" s="1"/>
  <c r="D215" i="19"/>
  <c r="B215" i="19"/>
  <c r="AQ214" i="19"/>
  <c r="AL214" i="19"/>
  <c r="AG214" i="19"/>
  <c r="AE214" i="19"/>
  <c r="AB214" i="19"/>
  <c r="Y214" i="19"/>
  <c r="X214" i="19"/>
  <c r="U214" i="19"/>
  <c r="R214" i="19"/>
  <c r="O214" i="19"/>
  <c r="S214" i="19" s="1"/>
  <c r="N214" i="19"/>
  <c r="K214" i="19"/>
  <c r="H214" i="19"/>
  <c r="E214" i="19"/>
  <c r="I214" i="19" s="1"/>
  <c r="D214" i="19"/>
  <c r="B214" i="19"/>
  <c r="AQ213" i="19"/>
  <c r="AL213" i="19"/>
  <c r="AG213" i="19"/>
  <c r="AE213" i="19"/>
  <c r="AB213" i="19"/>
  <c r="Y213" i="19"/>
  <c r="X213" i="19"/>
  <c r="U213" i="19"/>
  <c r="R213" i="19"/>
  <c r="O213" i="19"/>
  <c r="S213" i="19" s="1"/>
  <c r="N213" i="19"/>
  <c r="K213" i="19"/>
  <c r="H213" i="19"/>
  <c r="E213" i="19"/>
  <c r="I213" i="19" s="1"/>
  <c r="D213" i="19"/>
  <c r="B213" i="19"/>
  <c r="AQ212" i="19"/>
  <c r="AL212" i="19"/>
  <c r="AG212" i="19"/>
  <c r="AE212" i="19"/>
  <c r="AB212" i="19"/>
  <c r="Y212" i="19"/>
  <c r="X212" i="19"/>
  <c r="U212" i="19"/>
  <c r="R212" i="19"/>
  <c r="O212" i="19"/>
  <c r="S212" i="19" s="1"/>
  <c r="N212" i="19"/>
  <c r="K212" i="19"/>
  <c r="H212" i="19"/>
  <c r="E212" i="19"/>
  <c r="I212" i="19" s="1"/>
  <c r="D212" i="19"/>
  <c r="B212" i="19"/>
  <c r="AQ211" i="19"/>
  <c r="AL211" i="19"/>
  <c r="AG211" i="19"/>
  <c r="AE211" i="19"/>
  <c r="AB211" i="19"/>
  <c r="Y211" i="19"/>
  <c r="X211" i="19"/>
  <c r="U211" i="19"/>
  <c r="R211" i="19"/>
  <c r="O211" i="19"/>
  <c r="S211" i="19" s="1"/>
  <c r="N211" i="19"/>
  <c r="K211" i="19"/>
  <c r="H211" i="19"/>
  <c r="E211" i="19"/>
  <c r="I211" i="19" s="1"/>
  <c r="D211" i="19"/>
  <c r="B211" i="19"/>
  <c r="AQ210" i="19"/>
  <c r="AL210" i="19"/>
  <c r="AG210" i="19"/>
  <c r="AE210" i="19"/>
  <c r="AB210" i="19"/>
  <c r="Y210" i="19"/>
  <c r="X210" i="19"/>
  <c r="U210" i="19"/>
  <c r="R210" i="19"/>
  <c r="O210" i="19"/>
  <c r="S210" i="19" s="1"/>
  <c r="N210" i="19"/>
  <c r="K210" i="19"/>
  <c r="H210" i="19"/>
  <c r="E210" i="19"/>
  <c r="I210" i="19" s="1"/>
  <c r="D210" i="19"/>
  <c r="B210" i="19"/>
  <c r="AQ209" i="19"/>
  <c r="AL209" i="19"/>
  <c r="AG209" i="19"/>
  <c r="AE209" i="19"/>
  <c r="AB209" i="19"/>
  <c r="Y209" i="19"/>
  <c r="X209" i="19"/>
  <c r="U209" i="19"/>
  <c r="R209" i="19"/>
  <c r="O209" i="19"/>
  <c r="S209" i="19" s="1"/>
  <c r="N209" i="19"/>
  <c r="K209" i="19"/>
  <c r="H209" i="19"/>
  <c r="E209" i="19"/>
  <c r="I209" i="19" s="1"/>
  <c r="D209" i="19"/>
  <c r="B209" i="19"/>
  <c r="AQ208" i="19"/>
  <c r="AL208" i="19"/>
  <c r="AG208" i="19"/>
  <c r="AE208" i="19"/>
  <c r="AB208" i="19"/>
  <c r="Y208" i="19"/>
  <c r="X208" i="19"/>
  <c r="U208" i="19"/>
  <c r="R208" i="19"/>
  <c r="O208" i="19"/>
  <c r="S208" i="19" s="1"/>
  <c r="N208" i="19"/>
  <c r="K208" i="19"/>
  <c r="H208" i="19"/>
  <c r="E208" i="19"/>
  <c r="I208" i="19" s="1"/>
  <c r="D208" i="19"/>
  <c r="B208" i="19"/>
  <c r="AQ207" i="19"/>
  <c r="AL207" i="19"/>
  <c r="AG207" i="19"/>
  <c r="AE207" i="19"/>
  <c r="AB207" i="19"/>
  <c r="Y207" i="19"/>
  <c r="X207" i="19"/>
  <c r="U207" i="19"/>
  <c r="R207" i="19"/>
  <c r="O207" i="19"/>
  <c r="S207" i="19" s="1"/>
  <c r="N207" i="19"/>
  <c r="K207" i="19"/>
  <c r="H207" i="19"/>
  <c r="E207" i="19"/>
  <c r="I207" i="19" s="1"/>
  <c r="D207" i="19"/>
  <c r="B207" i="19"/>
  <c r="AQ206" i="19"/>
  <c r="AL206" i="19"/>
  <c r="AG206" i="19"/>
  <c r="AE206" i="19"/>
  <c r="AB206" i="19"/>
  <c r="Y206" i="19"/>
  <c r="X206" i="19"/>
  <c r="U206" i="19"/>
  <c r="R206" i="19"/>
  <c r="O206" i="19"/>
  <c r="S206" i="19" s="1"/>
  <c r="N206" i="19"/>
  <c r="K206" i="19"/>
  <c r="H206" i="19"/>
  <c r="E206" i="19"/>
  <c r="I206" i="19" s="1"/>
  <c r="D206" i="19"/>
  <c r="B206" i="19"/>
  <c r="AQ205" i="19"/>
  <c r="AL205" i="19"/>
  <c r="AG205" i="19"/>
  <c r="AE205" i="19"/>
  <c r="AB205" i="19"/>
  <c r="Y205" i="19"/>
  <c r="X205" i="19"/>
  <c r="U205" i="19"/>
  <c r="R205" i="19"/>
  <c r="O205" i="19"/>
  <c r="S205" i="19" s="1"/>
  <c r="N205" i="19"/>
  <c r="K205" i="19"/>
  <c r="H205" i="19"/>
  <c r="E205" i="19"/>
  <c r="I205" i="19" s="1"/>
  <c r="D205" i="19"/>
  <c r="B205" i="19"/>
  <c r="AQ204" i="19"/>
  <c r="AL204" i="19"/>
  <c r="AG204" i="19"/>
  <c r="AE204" i="19"/>
  <c r="AB204" i="19"/>
  <c r="Y204" i="19"/>
  <c r="X204" i="19"/>
  <c r="U204" i="19"/>
  <c r="R204" i="19"/>
  <c r="O204" i="19"/>
  <c r="S204" i="19" s="1"/>
  <c r="N204" i="19"/>
  <c r="K204" i="19"/>
  <c r="H204" i="19"/>
  <c r="E204" i="19"/>
  <c r="I204" i="19" s="1"/>
  <c r="D204" i="19"/>
  <c r="B204" i="19"/>
  <c r="AQ203" i="19"/>
  <c r="AL203" i="19"/>
  <c r="AG203" i="19"/>
  <c r="AE203" i="19"/>
  <c r="AB203" i="19"/>
  <c r="Y203" i="19"/>
  <c r="X203" i="19"/>
  <c r="U203" i="19"/>
  <c r="R203" i="19"/>
  <c r="O203" i="19"/>
  <c r="S203" i="19" s="1"/>
  <c r="N203" i="19"/>
  <c r="K203" i="19"/>
  <c r="H203" i="19"/>
  <c r="E203" i="19"/>
  <c r="I203" i="19" s="1"/>
  <c r="D203" i="19"/>
  <c r="B203" i="19"/>
  <c r="AQ202" i="19"/>
  <c r="AL202" i="19"/>
  <c r="AG202" i="19"/>
  <c r="AE202" i="19"/>
  <c r="AB202" i="19"/>
  <c r="Y202" i="19"/>
  <c r="X202" i="19"/>
  <c r="U202" i="19"/>
  <c r="R202" i="19"/>
  <c r="O202" i="19"/>
  <c r="S202" i="19" s="1"/>
  <c r="N202" i="19"/>
  <c r="K202" i="19"/>
  <c r="H202" i="19"/>
  <c r="E202" i="19"/>
  <c r="I202" i="19" s="1"/>
  <c r="D202" i="19"/>
  <c r="B202" i="19"/>
  <c r="AQ201" i="19"/>
  <c r="AL201" i="19"/>
  <c r="AG201" i="19"/>
  <c r="AE201" i="19"/>
  <c r="AB201" i="19"/>
  <c r="Y201" i="19"/>
  <c r="X201" i="19"/>
  <c r="U201" i="19"/>
  <c r="R201" i="19"/>
  <c r="O201" i="19"/>
  <c r="S201" i="19" s="1"/>
  <c r="N201" i="19"/>
  <c r="K201" i="19"/>
  <c r="H201" i="19"/>
  <c r="E201" i="19"/>
  <c r="I201" i="19" s="1"/>
  <c r="D201" i="19"/>
  <c r="B201" i="19"/>
  <c r="AQ200" i="19"/>
  <c r="AL200" i="19"/>
  <c r="AG200" i="19"/>
  <c r="AE200" i="19"/>
  <c r="AB200" i="19"/>
  <c r="Y200" i="19"/>
  <c r="X200" i="19"/>
  <c r="U200" i="19"/>
  <c r="R200" i="19"/>
  <c r="O200" i="19"/>
  <c r="S200" i="19" s="1"/>
  <c r="N200" i="19"/>
  <c r="K200" i="19"/>
  <c r="H200" i="19"/>
  <c r="E200" i="19"/>
  <c r="I200" i="19" s="1"/>
  <c r="D200" i="19"/>
  <c r="B200" i="19"/>
  <c r="AQ199" i="19"/>
  <c r="AL199" i="19"/>
  <c r="AG199" i="19"/>
  <c r="AE199" i="19"/>
  <c r="AB199" i="19"/>
  <c r="Y199" i="19"/>
  <c r="X199" i="19"/>
  <c r="U199" i="19"/>
  <c r="R199" i="19"/>
  <c r="O199" i="19"/>
  <c r="S199" i="19" s="1"/>
  <c r="N199" i="19"/>
  <c r="K199" i="19"/>
  <c r="H199" i="19"/>
  <c r="E199" i="19"/>
  <c r="I199" i="19" s="1"/>
  <c r="D199" i="19"/>
  <c r="B199" i="19"/>
  <c r="AQ198" i="19"/>
  <c r="AL198" i="19"/>
  <c r="AG198" i="19"/>
  <c r="AE198" i="19"/>
  <c r="AB198" i="19"/>
  <c r="Y198" i="19"/>
  <c r="X198" i="19"/>
  <c r="U198" i="19"/>
  <c r="R198" i="19"/>
  <c r="O198" i="19"/>
  <c r="S198" i="19" s="1"/>
  <c r="N198" i="19"/>
  <c r="K198" i="19"/>
  <c r="H198" i="19"/>
  <c r="E198" i="19"/>
  <c r="I198" i="19" s="1"/>
  <c r="D198" i="19"/>
  <c r="B198" i="19"/>
  <c r="AQ197" i="19"/>
  <c r="AL197" i="19"/>
  <c r="AG197" i="19"/>
  <c r="AE197" i="19"/>
  <c r="AB197" i="19"/>
  <c r="Y197" i="19"/>
  <c r="X197" i="19"/>
  <c r="U197" i="19"/>
  <c r="R197" i="19"/>
  <c r="O197" i="19"/>
  <c r="S197" i="19" s="1"/>
  <c r="N197" i="19"/>
  <c r="K197" i="19"/>
  <c r="H197" i="19"/>
  <c r="E197" i="19"/>
  <c r="I197" i="19" s="1"/>
  <c r="D197" i="19"/>
  <c r="B197" i="19"/>
  <c r="AQ196" i="19"/>
  <c r="AL196" i="19"/>
  <c r="AG196" i="19"/>
  <c r="AE196" i="19"/>
  <c r="AB196" i="19"/>
  <c r="Y196" i="19"/>
  <c r="X196" i="19"/>
  <c r="U196" i="19"/>
  <c r="R196" i="19"/>
  <c r="O196" i="19"/>
  <c r="S196" i="19" s="1"/>
  <c r="N196" i="19"/>
  <c r="K196" i="19"/>
  <c r="H196" i="19"/>
  <c r="E196" i="19"/>
  <c r="I196" i="19" s="1"/>
  <c r="D196" i="19"/>
  <c r="B196" i="19"/>
  <c r="AQ195" i="19"/>
  <c r="AL195" i="19"/>
  <c r="AG195" i="19"/>
  <c r="AE195" i="19"/>
  <c r="AB195" i="19"/>
  <c r="Y195" i="19"/>
  <c r="X195" i="19"/>
  <c r="U195" i="19"/>
  <c r="R195" i="19"/>
  <c r="O195" i="19"/>
  <c r="S195" i="19" s="1"/>
  <c r="N195" i="19"/>
  <c r="K195" i="19"/>
  <c r="H195" i="19"/>
  <c r="E195" i="19"/>
  <c r="I195" i="19" s="1"/>
  <c r="D195" i="19"/>
  <c r="B195" i="19"/>
  <c r="AQ194" i="19"/>
  <c r="AL194" i="19"/>
  <c r="AG194" i="19"/>
  <c r="AE194" i="19"/>
  <c r="AB194" i="19"/>
  <c r="Y194" i="19"/>
  <c r="X194" i="19"/>
  <c r="U194" i="19"/>
  <c r="R194" i="19"/>
  <c r="O194" i="19"/>
  <c r="S194" i="19" s="1"/>
  <c r="N194" i="19"/>
  <c r="K194" i="19"/>
  <c r="H194" i="19"/>
  <c r="E194" i="19"/>
  <c r="I194" i="19" s="1"/>
  <c r="D194" i="19"/>
  <c r="B194" i="19"/>
  <c r="AQ193" i="19"/>
  <c r="AL193" i="19"/>
  <c r="AG193" i="19"/>
  <c r="AE193" i="19"/>
  <c r="AB193" i="19"/>
  <c r="Y193" i="19"/>
  <c r="X193" i="19"/>
  <c r="U193" i="19"/>
  <c r="R193" i="19"/>
  <c r="O193" i="19"/>
  <c r="S193" i="19" s="1"/>
  <c r="N193" i="19"/>
  <c r="K193" i="19"/>
  <c r="H193" i="19"/>
  <c r="E193" i="19"/>
  <c r="I193" i="19" s="1"/>
  <c r="D193" i="19"/>
  <c r="B193" i="19"/>
  <c r="AQ192" i="19"/>
  <c r="AL192" i="19"/>
  <c r="AG192" i="19"/>
  <c r="AE192" i="19"/>
  <c r="AB192" i="19"/>
  <c r="Y192" i="19"/>
  <c r="X192" i="19"/>
  <c r="U192" i="19"/>
  <c r="R192" i="19"/>
  <c r="O192" i="19"/>
  <c r="S192" i="19" s="1"/>
  <c r="N192" i="19"/>
  <c r="K192" i="19"/>
  <c r="H192" i="19"/>
  <c r="E192" i="19"/>
  <c r="I192" i="19" s="1"/>
  <c r="D192" i="19"/>
  <c r="B192" i="19"/>
  <c r="AQ191" i="19"/>
  <c r="AL191" i="19"/>
  <c r="AG191" i="19"/>
  <c r="AE191" i="19"/>
  <c r="AB191" i="19"/>
  <c r="Y191" i="19"/>
  <c r="X191" i="19"/>
  <c r="U191" i="19"/>
  <c r="R191" i="19"/>
  <c r="O191" i="19"/>
  <c r="S191" i="19" s="1"/>
  <c r="N191" i="19"/>
  <c r="K191" i="19"/>
  <c r="H191" i="19"/>
  <c r="E191" i="19"/>
  <c r="I191" i="19" s="1"/>
  <c r="D191" i="19"/>
  <c r="B191" i="19"/>
  <c r="AQ190" i="19"/>
  <c r="AL190" i="19"/>
  <c r="AG190" i="19"/>
  <c r="AE190" i="19"/>
  <c r="AB190" i="19"/>
  <c r="Y190" i="19"/>
  <c r="X190" i="19"/>
  <c r="U190" i="19"/>
  <c r="R190" i="19"/>
  <c r="O190" i="19"/>
  <c r="S190" i="19" s="1"/>
  <c r="N190" i="19"/>
  <c r="K190" i="19"/>
  <c r="H190" i="19"/>
  <c r="E190" i="19"/>
  <c r="I190" i="19" s="1"/>
  <c r="D190" i="19"/>
  <c r="B190" i="19"/>
  <c r="AQ189" i="19"/>
  <c r="AL189" i="19"/>
  <c r="AG189" i="19"/>
  <c r="AE189" i="19"/>
  <c r="AB189" i="19"/>
  <c r="Y189" i="19"/>
  <c r="X189" i="19"/>
  <c r="U189" i="19"/>
  <c r="R189" i="19"/>
  <c r="O189" i="19"/>
  <c r="S189" i="19" s="1"/>
  <c r="N189" i="19"/>
  <c r="K189" i="19"/>
  <c r="H189" i="19"/>
  <c r="E189" i="19"/>
  <c r="I189" i="19" s="1"/>
  <c r="D189" i="19"/>
  <c r="B189" i="19"/>
  <c r="AQ188" i="19"/>
  <c r="AL188" i="19"/>
  <c r="AG188" i="19"/>
  <c r="AE188" i="19"/>
  <c r="AB188" i="19"/>
  <c r="Y188" i="19"/>
  <c r="X188" i="19"/>
  <c r="U188" i="19"/>
  <c r="R188" i="19"/>
  <c r="O188" i="19"/>
  <c r="S188" i="19" s="1"/>
  <c r="N188" i="19"/>
  <c r="K188" i="19"/>
  <c r="H188" i="19"/>
  <c r="E188" i="19"/>
  <c r="I188" i="19" s="1"/>
  <c r="D188" i="19"/>
  <c r="B188" i="19"/>
  <c r="AQ187" i="19"/>
  <c r="AL187" i="19"/>
  <c r="AG187" i="19"/>
  <c r="AE187" i="19"/>
  <c r="AB187" i="19"/>
  <c r="Y187" i="19"/>
  <c r="X187" i="19"/>
  <c r="U187" i="19"/>
  <c r="R187" i="19"/>
  <c r="O187" i="19"/>
  <c r="S187" i="19" s="1"/>
  <c r="N187" i="19"/>
  <c r="K187" i="19"/>
  <c r="H187" i="19"/>
  <c r="E187" i="19"/>
  <c r="I187" i="19" s="1"/>
  <c r="D187" i="19"/>
  <c r="B187" i="19"/>
  <c r="AQ186" i="19"/>
  <c r="AL186" i="19"/>
  <c r="AG186" i="19"/>
  <c r="AE186" i="19"/>
  <c r="AB186" i="19"/>
  <c r="Y186" i="19"/>
  <c r="X186" i="19"/>
  <c r="U186" i="19"/>
  <c r="R186" i="19"/>
  <c r="O186" i="19"/>
  <c r="S186" i="19" s="1"/>
  <c r="N186" i="19"/>
  <c r="K186" i="19"/>
  <c r="H186" i="19"/>
  <c r="E186" i="19"/>
  <c r="I186" i="19" s="1"/>
  <c r="D186" i="19"/>
  <c r="B186" i="19"/>
  <c r="AQ185" i="19"/>
  <c r="AL185" i="19"/>
  <c r="AG185" i="19"/>
  <c r="AE185" i="19"/>
  <c r="AB185" i="19"/>
  <c r="Y185" i="19"/>
  <c r="X185" i="19"/>
  <c r="U185" i="19"/>
  <c r="R185" i="19"/>
  <c r="O185" i="19"/>
  <c r="S185" i="19" s="1"/>
  <c r="N185" i="19"/>
  <c r="K185" i="19"/>
  <c r="H185" i="19"/>
  <c r="E185" i="19"/>
  <c r="I185" i="19" s="1"/>
  <c r="D185" i="19"/>
  <c r="B185" i="19"/>
  <c r="AQ184" i="19"/>
  <c r="AL184" i="19"/>
  <c r="AG184" i="19"/>
  <c r="AE184" i="19"/>
  <c r="AB184" i="19"/>
  <c r="Y184" i="19"/>
  <c r="X184" i="19"/>
  <c r="U184" i="19"/>
  <c r="R184" i="19"/>
  <c r="O184" i="19"/>
  <c r="S184" i="19" s="1"/>
  <c r="N184" i="19"/>
  <c r="K184" i="19"/>
  <c r="H184" i="19"/>
  <c r="E184" i="19"/>
  <c r="I184" i="19" s="1"/>
  <c r="D184" i="19"/>
  <c r="B184" i="19"/>
  <c r="AQ183" i="19"/>
  <c r="AL183" i="19"/>
  <c r="AG183" i="19"/>
  <c r="AE183" i="19"/>
  <c r="AB183" i="19"/>
  <c r="Y183" i="19"/>
  <c r="X183" i="19"/>
  <c r="U183" i="19"/>
  <c r="R183" i="19"/>
  <c r="O183" i="19"/>
  <c r="S183" i="19" s="1"/>
  <c r="N183" i="19"/>
  <c r="K183" i="19"/>
  <c r="H183" i="19"/>
  <c r="E183" i="19"/>
  <c r="I183" i="19" s="1"/>
  <c r="D183" i="19"/>
  <c r="B183" i="19"/>
  <c r="AQ182" i="19"/>
  <c r="AL182" i="19"/>
  <c r="AG182" i="19"/>
  <c r="AE182" i="19"/>
  <c r="AB182" i="19"/>
  <c r="Y182" i="19"/>
  <c r="X182" i="19"/>
  <c r="U182" i="19"/>
  <c r="R182" i="19"/>
  <c r="O182" i="19"/>
  <c r="S182" i="19" s="1"/>
  <c r="N182" i="19"/>
  <c r="K182" i="19"/>
  <c r="H182" i="19"/>
  <c r="E182" i="19"/>
  <c r="I182" i="19" s="1"/>
  <c r="D182" i="19"/>
  <c r="B182" i="19"/>
  <c r="AQ181" i="19"/>
  <c r="AL181" i="19"/>
  <c r="AG181" i="19"/>
  <c r="AE181" i="19"/>
  <c r="AB181" i="19"/>
  <c r="Y181" i="19"/>
  <c r="X181" i="19"/>
  <c r="U181" i="19"/>
  <c r="R181" i="19"/>
  <c r="O181" i="19"/>
  <c r="S181" i="19" s="1"/>
  <c r="N181" i="19"/>
  <c r="K181" i="19"/>
  <c r="H181" i="19"/>
  <c r="E181" i="19"/>
  <c r="I181" i="19" s="1"/>
  <c r="D181" i="19"/>
  <c r="B181" i="19"/>
  <c r="AQ180" i="19"/>
  <c r="AL180" i="19"/>
  <c r="AG180" i="19"/>
  <c r="AE180" i="19"/>
  <c r="AB180" i="19"/>
  <c r="Y180" i="19"/>
  <c r="X180" i="19"/>
  <c r="U180" i="19"/>
  <c r="R180" i="19"/>
  <c r="O180" i="19"/>
  <c r="S180" i="19" s="1"/>
  <c r="N180" i="19"/>
  <c r="K180" i="19"/>
  <c r="H180" i="19"/>
  <c r="E180" i="19"/>
  <c r="I180" i="19" s="1"/>
  <c r="D180" i="19"/>
  <c r="B180" i="19"/>
  <c r="AQ179" i="19"/>
  <c r="AL179" i="19"/>
  <c r="AG179" i="19"/>
  <c r="AE179" i="19"/>
  <c r="AB179" i="19"/>
  <c r="Y179" i="19"/>
  <c r="X179" i="19"/>
  <c r="U179" i="19"/>
  <c r="R179" i="19"/>
  <c r="O179" i="19"/>
  <c r="S179" i="19" s="1"/>
  <c r="N179" i="19"/>
  <c r="K179" i="19"/>
  <c r="H179" i="19"/>
  <c r="E179" i="19"/>
  <c r="I179" i="19" s="1"/>
  <c r="D179" i="19"/>
  <c r="B179" i="19"/>
  <c r="AQ178" i="19"/>
  <c r="AL178" i="19"/>
  <c r="AG178" i="19"/>
  <c r="AE178" i="19"/>
  <c r="AB178" i="19"/>
  <c r="Y178" i="19"/>
  <c r="X178" i="19"/>
  <c r="U178" i="19"/>
  <c r="R178" i="19"/>
  <c r="O178" i="19"/>
  <c r="S178" i="19" s="1"/>
  <c r="N178" i="19"/>
  <c r="K178" i="19"/>
  <c r="H178" i="19"/>
  <c r="E178" i="19"/>
  <c r="I178" i="19" s="1"/>
  <c r="D178" i="19"/>
  <c r="B178" i="19"/>
  <c r="AQ177" i="19"/>
  <c r="AL177" i="19"/>
  <c r="AG177" i="19"/>
  <c r="AE177" i="19"/>
  <c r="AB177" i="19"/>
  <c r="Y177" i="19"/>
  <c r="X177" i="19"/>
  <c r="U177" i="19"/>
  <c r="R177" i="19"/>
  <c r="O177" i="19"/>
  <c r="S177" i="19" s="1"/>
  <c r="N177" i="19"/>
  <c r="K177" i="19"/>
  <c r="H177" i="19"/>
  <c r="E177" i="19"/>
  <c r="I177" i="19" s="1"/>
  <c r="D177" i="19"/>
  <c r="B177" i="19"/>
  <c r="AQ176" i="19"/>
  <c r="AL176" i="19"/>
  <c r="AG176" i="19"/>
  <c r="AE176" i="19"/>
  <c r="AB176" i="19"/>
  <c r="Y176" i="19"/>
  <c r="X176" i="19"/>
  <c r="U176" i="19"/>
  <c r="R176" i="19"/>
  <c r="O176" i="19"/>
  <c r="S176" i="19" s="1"/>
  <c r="N176" i="19"/>
  <c r="K176" i="19"/>
  <c r="H176" i="19"/>
  <c r="E176" i="19"/>
  <c r="I176" i="19" s="1"/>
  <c r="D176" i="19"/>
  <c r="B176" i="19"/>
  <c r="AQ175" i="19"/>
  <c r="AL175" i="19"/>
  <c r="AG175" i="19"/>
  <c r="AE175" i="19"/>
  <c r="AB175" i="19"/>
  <c r="Y175" i="19"/>
  <c r="X175" i="19"/>
  <c r="U175" i="19"/>
  <c r="R175" i="19"/>
  <c r="O175" i="19"/>
  <c r="S175" i="19" s="1"/>
  <c r="N175" i="19"/>
  <c r="K175" i="19"/>
  <c r="H175" i="19"/>
  <c r="E175" i="19"/>
  <c r="I175" i="19" s="1"/>
  <c r="D175" i="19"/>
  <c r="B175" i="19"/>
  <c r="AQ174" i="19"/>
  <c r="AL174" i="19"/>
  <c r="AG174" i="19"/>
  <c r="AE174" i="19"/>
  <c r="AB174" i="19"/>
  <c r="Y174" i="19"/>
  <c r="X174" i="19"/>
  <c r="U174" i="19"/>
  <c r="R174" i="19"/>
  <c r="O174" i="19"/>
  <c r="S174" i="19" s="1"/>
  <c r="N174" i="19"/>
  <c r="K174" i="19"/>
  <c r="H174" i="19"/>
  <c r="E174" i="19"/>
  <c r="I174" i="19" s="1"/>
  <c r="D174" i="19"/>
  <c r="B174" i="19"/>
  <c r="AQ173" i="19"/>
  <c r="AL173" i="19"/>
  <c r="AG173" i="19"/>
  <c r="AE173" i="19"/>
  <c r="AB173" i="19"/>
  <c r="Y173" i="19"/>
  <c r="X173" i="19"/>
  <c r="U173" i="19"/>
  <c r="R173" i="19"/>
  <c r="O173" i="19"/>
  <c r="S173" i="19" s="1"/>
  <c r="N173" i="19"/>
  <c r="K173" i="19"/>
  <c r="H173" i="19"/>
  <c r="E173" i="19"/>
  <c r="I173" i="19" s="1"/>
  <c r="D173" i="19"/>
  <c r="B173" i="19"/>
  <c r="AQ172" i="19"/>
  <c r="AL172" i="19"/>
  <c r="AG172" i="19"/>
  <c r="AE172" i="19"/>
  <c r="AB172" i="19"/>
  <c r="Y172" i="19"/>
  <c r="X172" i="19"/>
  <c r="U172" i="19"/>
  <c r="R172" i="19"/>
  <c r="O172" i="19"/>
  <c r="S172" i="19" s="1"/>
  <c r="N172" i="19"/>
  <c r="K172" i="19"/>
  <c r="H172" i="19"/>
  <c r="E172" i="19"/>
  <c r="I172" i="19" s="1"/>
  <c r="D172" i="19"/>
  <c r="B172" i="19"/>
  <c r="AQ171" i="19"/>
  <c r="AL171" i="19"/>
  <c r="AG171" i="19"/>
  <c r="AE171" i="19"/>
  <c r="AB171" i="19"/>
  <c r="Y171" i="19"/>
  <c r="X171" i="19"/>
  <c r="U171" i="19"/>
  <c r="R171" i="19"/>
  <c r="O171" i="19"/>
  <c r="S171" i="19" s="1"/>
  <c r="N171" i="19"/>
  <c r="K171" i="19"/>
  <c r="H171" i="19"/>
  <c r="E171" i="19"/>
  <c r="I171" i="19" s="1"/>
  <c r="D171" i="19"/>
  <c r="B171" i="19"/>
  <c r="AQ170" i="19"/>
  <c r="AL170" i="19"/>
  <c r="AG170" i="19"/>
  <c r="AE170" i="19"/>
  <c r="AB170" i="19"/>
  <c r="Y170" i="19"/>
  <c r="X170" i="19"/>
  <c r="U170" i="19"/>
  <c r="R170" i="19"/>
  <c r="O170" i="19"/>
  <c r="S170" i="19" s="1"/>
  <c r="N170" i="19"/>
  <c r="K170" i="19"/>
  <c r="H170" i="19"/>
  <c r="E170" i="19"/>
  <c r="I170" i="19" s="1"/>
  <c r="D170" i="19"/>
  <c r="B170" i="19"/>
  <c r="AQ169" i="19"/>
  <c r="AL169" i="19"/>
  <c r="AG169" i="19"/>
  <c r="AE169" i="19"/>
  <c r="AB169" i="19"/>
  <c r="Y169" i="19"/>
  <c r="X169" i="19"/>
  <c r="U169" i="19"/>
  <c r="R169" i="19"/>
  <c r="O169" i="19"/>
  <c r="S169" i="19" s="1"/>
  <c r="N169" i="19"/>
  <c r="K169" i="19"/>
  <c r="H169" i="19"/>
  <c r="E169" i="19"/>
  <c r="I169" i="19" s="1"/>
  <c r="D169" i="19"/>
  <c r="B169" i="19"/>
  <c r="AQ168" i="19"/>
  <c r="AL168" i="19"/>
  <c r="AG168" i="19"/>
  <c r="AE168" i="19"/>
  <c r="AB168" i="19"/>
  <c r="Y168" i="19"/>
  <c r="X168" i="19"/>
  <c r="U168" i="19"/>
  <c r="R168" i="19"/>
  <c r="O168" i="19"/>
  <c r="S168" i="19" s="1"/>
  <c r="N168" i="19"/>
  <c r="K168" i="19"/>
  <c r="H168" i="19"/>
  <c r="E168" i="19"/>
  <c r="I168" i="19" s="1"/>
  <c r="D168" i="19"/>
  <c r="B168" i="19"/>
  <c r="AQ167" i="19"/>
  <c r="AL167" i="19"/>
  <c r="AG167" i="19"/>
  <c r="AE167" i="19"/>
  <c r="AB167" i="19"/>
  <c r="Y167" i="19"/>
  <c r="X167" i="19"/>
  <c r="U167" i="19"/>
  <c r="R167" i="19"/>
  <c r="O167" i="19"/>
  <c r="S167" i="19" s="1"/>
  <c r="N167" i="19"/>
  <c r="K167" i="19"/>
  <c r="H167" i="19"/>
  <c r="E167" i="19"/>
  <c r="I167" i="19" s="1"/>
  <c r="D167" i="19"/>
  <c r="B167" i="19"/>
  <c r="AQ166" i="19"/>
  <c r="AL166" i="19"/>
  <c r="AG166" i="19"/>
  <c r="AE166" i="19"/>
  <c r="AB166" i="19"/>
  <c r="Y166" i="19"/>
  <c r="X166" i="19"/>
  <c r="U166" i="19"/>
  <c r="R166" i="19"/>
  <c r="O166" i="19"/>
  <c r="S166" i="19" s="1"/>
  <c r="N166" i="19"/>
  <c r="K166" i="19"/>
  <c r="H166" i="19"/>
  <c r="E166" i="19"/>
  <c r="I166" i="19" s="1"/>
  <c r="D166" i="19"/>
  <c r="B166" i="19"/>
  <c r="AQ165" i="19"/>
  <c r="AL165" i="19"/>
  <c r="AG165" i="19"/>
  <c r="AE165" i="19"/>
  <c r="AB165" i="19"/>
  <c r="Y165" i="19"/>
  <c r="X165" i="19"/>
  <c r="U165" i="19"/>
  <c r="R165" i="19"/>
  <c r="O165" i="19"/>
  <c r="S165" i="19" s="1"/>
  <c r="N165" i="19"/>
  <c r="K165" i="19"/>
  <c r="H165" i="19"/>
  <c r="E165" i="19"/>
  <c r="I165" i="19" s="1"/>
  <c r="D165" i="19"/>
  <c r="B165" i="19"/>
  <c r="AQ164" i="19"/>
  <c r="AL164" i="19"/>
  <c r="AG164" i="19"/>
  <c r="AE164" i="19"/>
  <c r="AB164" i="19"/>
  <c r="Y164" i="19"/>
  <c r="X164" i="19"/>
  <c r="U164" i="19"/>
  <c r="R164" i="19"/>
  <c r="O164" i="19"/>
  <c r="S164" i="19" s="1"/>
  <c r="N164" i="19"/>
  <c r="K164" i="19"/>
  <c r="H164" i="19"/>
  <c r="E164" i="19"/>
  <c r="I164" i="19" s="1"/>
  <c r="D164" i="19"/>
  <c r="B164" i="19"/>
  <c r="AQ163" i="19"/>
  <c r="AL163" i="19"/>
  <c r="AG163" i="19"/>
  <c r="AE163" i="19"/>
  <c r="AB163" i="19"/>
  <c r="Y163" i="19"/>
  <c r="X163" i="19"/>
  <c r="U163" i="19"/>
  <c r="R163" i="19"/>
  <c r="O163" i="19"/>
  <c r="S163" i="19" s="1"/>
  <c r="N163" i="19"/>
  <c r="K163" i="19"/>
  <c r="H163" i="19"/>
  <c r="E163" i="19"/>
  <c r="I163" i="19" s="1"/>
  <c r="D163" i="19"/>
  <c r="B163" i="19"/>
  <c r="AQ162" i="19"/>
  <c r="AL162" i="19"/>
  <c r="AG162" i="19"/>
  <c r="AE162" i="19"/>
  <c r="AB162" i="19"/>
  <c r="Y162" i="19"/>
  <c r="X162" i="19"/>
  <c r="U162" i="19"/>
  <c r="R162" i="19"/>
  <c r="O162" i="19"/>
  <c r="S162" i="19" s="1"/>
  <c r="N162" i="19"/>
  <c r="K162" i="19"/>
  <c r="H162" i="19"/>
  <c r="E162" i="19"/>
  <c r="I162" i="19" s="1"/>
  <c r="D162" i="19"/>
  <c r="B162" i="19"/>
  <c r="AQ161" i="19"/>
  <c r="AL161" i="19"/>
  <c r="AG161" i="19"/>
  <c r="AE161" i="19"/>
  <c r="AB161" i="19"/>
  <c r="Y161" i="19"/>
  <c r="X161" i="19"/>
  <c r="U161" i="19"/>
  <c r="R161" i="19"/>
  <c r="O161" i="19"/>
  <c r="S161" i="19" s="1"/>
  <c r="N161" i="19"/>
  <c r="K161" i="19"/>
  <c r="H161" i="19"/>
  <c r="E161" i="19"/>
  <c r="I161" i="19" s="1"/>
  <c r="D161" i="19"/>
  <c r="B161" i="19"/>
  <c r="AQ160" i="19"/>
  <c r="AL160" i="19"/>
  <c r="AG160" i="19"/>
  <c r="AE160" i="19"/>
  <c r="AB160" i="19"/>
  <c r="Y160" i="19"/>
  <c r="X160" i="19"/>
  <c r="U160" i="19"/>
  <c r="R160" i="19"/>
  <c r="O160" i="19"/>
  <c r="S160" i="19" s="1"/>
  <c r="N160" i="19"/>
  <c r="K160" i="19"/>
  <c r="H160" i="19"/>
  <c r="E160" i="19"/>
  <c r="I160" i="19" s="1"/>
  <c r="D160" i="19"/>
  <c r="B160" i="19"/>
  <c r="AQ159" i="19"/>
  <c r="AL159" i="19"/>
  <c r="AG159" i="19"/>
  <c r="AE159" i="19"/>
  <c r="AB159" i="19"/>
  <c r="Y159" i="19"/>
  <c r="X159" i="19"/>
  <c r="U159" i="19"/>
  <c r="R159" i="19"/>
  <c r="O159" i="19"/>
  <c r="S159" i="19" s="1"/>
  <c r="N159" i="19"/>
  <c r="K159" i="19"/>
  <c r="H159" i="19"/>
  <c r="E159" i="19"/>
  <c r="I159" i="19" s="1"/>
  <c r="D159" i="19"/>
  <c r="B159" i="19"/>
  <c r="AQ158" i="19"/>
  <c r="AL158" i="19"/>
  <c r="AG158" i="19"/>
  <c r="AE158" i="19"/>
  <c r="AB158" i="19"/>
  <c r="Y158" i="19"/>
  <c r="X158" i="19"/>
  <c r="U158" i="19"/>
  <c r="R158" i="19"/>
  <c r="O158" i="19"/>
  <c r="S158" i="19" s="1"/>
  <c r="N158" i="19"/>
  <c r="K158" i="19"/>
  <c r="H158" i="19"/>
  <c r="E158" i="19"/>
  <c r="I158" i="19" s="1"/>
  <c r="D158" i="19"/>
  <c r="B158" i="19"/>
  <c r="AQ157" i="19"/>
  <c r="AL157" i="19"/>
  <c r="AG157" i="19"/>
  <c r="AE157" i="19"/>
  <c r="AB157" i="19"/>
  <c r="Y157" i="19"/>
  <c r="X157" i="19"/>
  <c r="U157" i="19"/>
  <c r="R157" i="19"/>
  <c r="O157" i="19"/>
  <c r="S157" i="19" s="1"/>
  <c r="N157" i="19"/>
  <c r="K157" i="19"/>
  <c r="H157" i="19"/>
  <c r="E157" i="19"/>
  <c r="I157" i="19" s="1"/>
  <c r="D157" i="19"/>
  <c r="B157" i="19"/>
  <c r="AQ156" i="19"/>
  <c r="AL156" i="19"/>
  <c r="AG156" i="19"/>
  <c r="AE156" i="19"/>
  <c r="AB156" i="19"/>
  <c r="Y156" i="19"/>
  <c r="X156" i="19"/>
  <c r="U156" i="19"/>
  <c r="R156" i="19"/>
  <c r="O156" i="19"/>
  <c r="S156" i="19" s="1"/>
  <c r="N156" i="19"/>
  <c r="K156" i="19"/>
  <c r="H156" i="19"/>
  <c r="E156" i="19"/>
  <c r="I156" i="19" s="1"/>
  <c r="D156" i="19"/>
  <c r="B156" i="19"/>
  <c r="AQ155" i="19"/>
  <c r="AL155" i="19"/>
  <c r="AG155" i="19"/>
  <c r="AE155" i="19"/>
  <c r="AB155" i="19"/>
  <c r="Y155" i="19"/>
  <c r="X155" i="19"/>
  <c r="U155" i="19"/>
  <c r="R155" i="19"/>
  <c r="O155" i="19"/>
  <c r="S155" i="19" s="1"/>
  <c r="N155" i="19"/>
  <c r="K155" i="19"/>
  <c r="H155" i="19"/>
  <c r="E155" i="19"/>
  <c r="I155" i="19" s="1"/>
  <c r="D155" i="19"/>
  <c r="B155" i="19"/>
  <c r="AQ154" i="19"/>
  <c r="AL154" i="19"/>
  <c r="AG154" i="19"/>
  <c r="AE154" i="19"/>
  <c r="AB154" i="19"/>
  <c r="Y154" i="19"/>
  <c r="X154" i="19"/>
  <c r="U154" i="19"/>
  <c r="R154" i="19"/>
  <c r="O154" i="19"/>
  <c r="S154" i="19" s="1"/>
  <c r="N154" i="19"/>
  <c r="K154" i="19"/>
  <c r="H154" i="19"/>
  <c r="E154" i="19"/>
  <c r="I154" i="19" s="1"/>
  <c r="D154" i="19"/>
  <c r="B154" i="19"/>
  <c r="AQ153" i="19"/>
  <c r="AL153" i="19"/>
  <c r="AG153" i="19"/>
  <c r="AE153" i="19"/>
  <c r="AB153" i="19"/>
  <c r="Y153" i="19"/>
  <c r="X153" i="19"/>
  <c r="U153" i="19"/>
  <c r="R153" i="19"/>
  <c r="O153" i="19"/>
  <c r="S153" i="19" s="1"/>
  <c r="N153" i="19"/>
  <c r="K153" i="19"/>
  <c r="H153" i="19"/>
  <c r="E153" i="19"/>
  <c r="I153" i="19" s="1"/>
  <c r="D153" i="19"/>
  <c r="B153" i="19"/>
  <c r="AQ152" i="19"/>
  <c r="AL152" i="19"/>
  <c r="AG152" i="19"/>
  <c r="AE152" i="19"/>
  <c r="AB152" i="19"/>
  <c r="Y152" i="19"/>
  <c r="X152" i="19"/>
  <c r="U152" i="19"/>
  <c r="R152" i="19"/>
  <c r="O152" i="19"/>
  <c r="S152" i="19" s="1"/>
  <c r="N152" i="19"/>
  <c r="K152" i="19"/>
  <c r="H152" i="19"/>
  <c r="E152" i="19"/>
  <c r="I152" i="19" s="1"/>
  <c r="D152" i="19"/>
  <c r="B152" i="19"/>
  <c r="AQ151" i="19"/>
  <c r="AL151" i="19"/>
  <c r="AG151" i="19"/>
  <c r="AE151" i="19"/>
  <c r="AB151" i="19"/>
  <c r="Y151" i="19"/>
  <c r="X151" i="19"/>
  <c r="U151" i="19"/>
  <c r="R151" i="19"/>
  <c r="O151" i="19"/>
  <c r="S151" i="19" s="1"/>
  <c r="N151" i="19"/>
  <c r="K151" i="19"/>
  <c r="H151" i="19"/>
  <c r="E151" i="19"/>
  <c r="I151" i="19" s="1"/>
  <c r="D151" i="19"/>
  <c r="B151" i="19"/>
  <c r="AQ150" i="19"/>
  <c r="AL150" i="19"/>
  <c r="AG150" i="19"/>
  <c r="AE150" i="19"/>
  <c r="AB150" i="19"/>
  <c r="Y150" i="19"/>
  <c r="X150" i="19"/>
  <c r="U150" i="19"/>
  <c r="R150" i="19"/>
  <c r="O150" i="19"/>
  <c r="S150" i="19" s="1"/>
  <c r="N150" i="19"/>
  <c r="K150" i="19"/>
  <c r="H150" i="19"/>
  <c r="E150" i="19"/>
  <c r="I150" i="19" s="1"/>
  <c r="D150" i="19"/>
  <c r="B150" i="19"/>
  <c r="AQ149" i="19"/>
  <c r="AL149" i="19"/>
  <c r="AG149" i="19"/>
  <c r="AE149" i="19"/>
  <c r="AB149" i="19"/>
  <c r="Y149" i="19"/>
  <c r="X149" i="19"/>
  <c r="U149" i="19"/>
  <c r="R149" i="19"/>
  <c r="O149" i="19"/>
  <c r="S149" i="19" s="1"/>
  <c r="N149" i="19"/>
  <c r="K149" i="19"/>
  <c r="H149" i="19"/>
  <c r="E149" i="19"/>
  <c r="I149" i="19" s="1"/>
  <c r="D149" i="19"/>
  <c r="B149" i="19"/>
  <c r="AQ148" i="19"/>
  <c r="AL148" i="19"/>
  <c r="AG148" i="19"/>
  <c r="AE148" i="19"/>
  <c r="AB148" i="19"/>
  <c r="Y148" i="19"/>
  <c r="X148" i="19"/>
  <c r="U148" i="19"/>
  <c r="R148" i="19"/>
  <c r="O148" i="19"/>
  <c r="S148" i="19" s="1"/>
  <c r="N148" i="19"/>
  <c r="K148" i="19"/>
  <c r="H148" i="19"/>
  <c r="E148" i="19"/>
  <c r="I148" i="19" s="1"/>
  <c r="D148" i="19"/>
  <c r="B148" i="19"/>
  <c r="AQ147" i="19"/>
  <c r="AL147" i="19"/>
  <c r="AG147" i="19"/>
  <c r="AE147" i="19"/>
  <c r="AB147" i="19"/>
  <c r="Y147" i="19"/>
  <c r="X147" i="19"/>
  <c r="U147" i="19"/>
  <c r="R147" i="19"/>
  <c r="O147" i="19"/>
  <c r="S147" i="19" s="1"/>
  <c r="N147" i="19"/>
  <c r="K147" i="19"/>
  <c r="H147" i="19"/>
  <c r="E147" i="19"/>
  <c r="I147" i="19" s="1"/>
  <c r="D147" i="19"/>
  <c r="B147" i="19"/>
  <c r="AQ146" i="19"/>
  <c r="AL146" i="19"/>
  <c r="AG146" i="19"/>
  <c r="AE146" i="19"/>
  <c r="AB146" i="19"/>
  <c r="Y146" i="19"/>
  <c r="X146" i="19"/>
  <c r="U146" i="19"/>
  <c r="R146" i="19"/>
  <c r="O146" i="19"/>
  <c r="S146" i="19" s="1"/>
  <c r="N146" i="19"/>
  <c r="K146" i="19"/>
  <c r="H146" i="19"/>
  <c r="E146" i="19"/>
  <c r="I146" i="19" s="1"/>
  <c r="D146" i="19"/>
  <c r="B146" i="19"/>
  <c r="AQ145" i="19"/>
  <c r="AL145" i="19"/>
  <c r="AG145" i="19"/>
  <c r="AE145" i="19"/>
  <c r="AB145" i="19"/>
  <c r="Y145" i="19"/>
  <c r="X145" i="19"/>
  <c r="U145" i="19"/>
  <c r="R145" i="19"/>
  <c r="O145" i="19"/>
  <c r="S145" i="19" s="1"/>
  <c r="N145" i="19"/>
  <c r="K145" i="19"/>
  <c r="H145" i="19"/>
  <c r="E145" i="19"/>
  <c r="I145" i="19" s="1"/>
  <c r="D145" i="19"/>
  <c r="B145" i="19"/>
  <c r="AQ144" i="19"/>
  <c r="AL144" i="19"/>
  <c r="AG144" i="19"/>
  <c r="AE144" i="19"/>
  <c r="AB144" i="19"/>
  <c r="Y144" i="19"/>
  <c r="X144" i="19"/>
  <c r="U144" i="19"/>
  <c r="R144" i="19"/>
  <c r="O144" i="19"/>
  <c r="S144" i="19" s="1"/>
  <c r="N144" i="19"/>
  <c r="K144" i="19"/>
  <c r="H144" i="19"/>
  <c r="E144" i="19"/>
  <c r="I144" i="19" s="1"/>
  <c r="D144" i="19"/>
  <c r="B144" i="19"/>
  <c r="AQ143" i="19"/>
  <c r="AL143" i="19"/>
  <c r="AG143" i="19"/>
  <c r="AE143" i="19"/>
  <c r="AB143" i="19"/>
  <c r="Y143" i="19"/>
  <c r="X143" i="19"/>
  <c r="U143" i="19"/>
  <c r="R143" i="19"/>
  <c r="O143" i="19"/>
  <c r="S143" i="19" s="1"/>
  <c r="N143" i="19"/>
  <c r="K143" i="19"/>
  <c r="H143" i="19"/>
  <c r="E143" i="19"/>
  <c r="I143" i="19" s="1"/>
  <c r="D143" i="19"/>
  <c r="B143" i="19"/>
  <c r="AQ142" i="19"/>
  <c r="AL142" i="19"/>
  <c r="AG142" i="19"/>
  <c r="AE142" i="19"/>
  <c r="AF142" i="19" s="1"/>
  <c r="AB142" i="19"/>
  <c r="Y142" i="19"/>
  <c r="X142" i="19"/>
  <c r="U142" i="19"/>
  <c r="R142" i="19"/>
  <c r="O142" i="19"/>
  <c r="S142" i="19" s="1"/>
  <c r="N142" i="19"/>
  <c r="K142" i="19"/>
  <c r="L142" i="19" s="1"/>
  <c r="H142" i="19"/>
  <c r="E142" i="19"/>
  <c r="I142" i="19" s="1"/>
  <c r="D142" i="19"/>
  <c r="B142" i="19"/>
  <c r="AQ141" i="19"/>
  <c r="AL141" i="19"/>
  <c r="AG141" i="19"/>
  <c r="AE141" i="19"/>
  <c r="AF141" i="19" s="1"/>
  <c r="AB141" i="19"/>
  <c r="Y141" i="19"/>
  <c r="X141" i="19"/>
  <c r="U141" i="19"/>
  <c r="R141" i="19"/>
  <c r="O141" i="19"/>
  <c r="S141" i="19" s="1"/>
  <c r="N141" i="19"/>
  <c r="K141" i="19"/>
  <c r="L141" i="19" s="1"/>
  <c r="H141" i="19"/>
  <c r="E141" i="19"/>
  <c r="I141" i="19" s="1"/>
  <c r="D141" i="19"/>
  <c r="B141" i="19"/>
  <c r="AQ140" i="19"/>
  <c r="AL140" i="19"/>
  <c r="AG140" i="19"/>
  <c r="AE140" i="19"/>
  <c r="AF140" i="19" s="1"/>
  <c r="AB140" i="19"/>
  <c r="Y140" i="19"/>
  <c r="X140" i="19"/>
  <c r="U140" i="19"/>
  <c r="R140" i="19"/>
  <c r="O140" i="19"/>
  <c r="S140" i="19" s="1"/>
  <c r="N140" i="19"/>
  <c r="K140" i="19"/>
  <c r="H140" i="19"/>
  <c r="E140" i="19"/>
  <c r="I140" i="19" s="1"/>
  <c r="D140" i="19"/>
  <c r="B140" i="19"/>
  <c r="AQ139" i="19"/>
  <c r="AL139" i="19"/>
  <c r="AG139" i="19"/>
  <c r="AE139" i="19"/>
  <c r="AB139" i="19"/>
  <c r="Y139" i="19"/>
  <c r="X139" i="19"/>
  <c r="U139" i="19"/>
  <c r="R139" i="19"/>
  <c r="O139" i="19"/>
  <c r="S139" i="19" s="1"/>
  <c r="N139" i="19"/>
  <c r="K139" i="19"/>
  <c r="H139" i="19"/>
  <c r="E139" i="19"/>
  <c r="I139" i="19" s="1"/>
  <c r="D139" i="19"/>
  <c r="B139" i="19"/>
  <c r="AQ138" i="19"/>
  <c r="AL138" i="19"/>
  <c r="AG138" i="19"/>
  <c r="AE138" i="19"/>
  <c r="AB138" i="19"/>
  <c r="Y138" i="19"/>
  <c r="X138" i="19"/>
  <c r="U138" i="19"/>
  <c r="R138" i="19"/>
  <c r="O138" i="19"/>
  <c r="S138" i="19" s="1"/>
  <c r="N138" i="19"/>
  <c r="K138" i="19"/>
  <c r="H138" i="19"/>
  <c r="E138" i="19"/>
  <c r="I138" i="19" s="1"/>
  <c r="D138" i="19"/>
  <c r="B138" i="19"/>
  <c r="AQ137" i="19"/>
  <c r="AL137" i="19"/>
  <c r="AG137" i="19"/>
  <c r="AE137" i="19"/>
  <c r="AF137" i="19" s="1"/>
  <c r="AB137" i="19"/>
  <c r="Y137" i="19"/>
  <c r="X137" i="19"/>
  <c r="U137" i="19"/>
  <c r="R137" i="19"/>
  <c r="O137" i="19"/>
  <c r="S137" i="19" s="1"/>
  <c r="N137" i="19"/>
  <c r="K137" i="19"/>
  <c r="H137" i="19"/>
  <c r="E137" i="19"/>
  <c r="I137" i="19" s="1"/>
  <c r="D137" i="19"/>
  <c r="B137" i="19"/>
  <c r="AQ136" i="19"/>
  <c r="AL136" i="19"/>
  <c r="AG136" i="19"/>
  <c r="AE136" i="19"/>
  <c r="AF136" i="19" s="1"/>
  <c r="AB136" i="19"/>
  <c r="Y136" i="19"/>
  <c r="X136" i="19"/>
  <c r="U136" i="19"/>
  <c r="R136" i="19"/>
  <c r="O136" i="19"/>
  <c r="S136" i="19" s="1"/>
  <c r="N136" i="19"/>
  <c r="K136" i="19"/>
  <c r="L136" i="19" s="1"/>
  <c r="H136" i="19"/>
  <c r="E136" i="19"/>
  <c r="I136" i="19" s="1"/>
  <c r="D136" i="19"/>
  <c r="B136" i="19"/>
  <c r="AQ135" i="19"/>
  <c r="AL135" i="19"/>
  <c r="AG135" i="19"/>
  <c r="AE135" i="19"/>
  <c r="AB135" i="19"/>
  <c r="Y135" i="19"/>
  <c r="X135" i="19"/>
  <c r="U135" i="19"/>
  <c r="R135" i="19"/>
  <c r="O135" i="19"/>
  <c r="S135" i="19" s="1"/>
  <c r="N135" i="19"/>
  <c r="K135" i="19"/>
  <c r="H135" i="19"/>
  <c r="E135" i="19"/>
  <c r="I135" i="19" s="1"/>
  <c r="D135" i="19"/>
  <c r="B135" i="19"/>
  <c r="AQ134" i="19"/>
  <c r="AL134" i="19"/>
  <c r="AG134" i="19"/>
  <c r="AE134" i="19"/>
  <c r="AF134" i="19" s="1"/>
  <c r="AB134" i="19"/>
  <c r="Y134" i="19"/>
  <c r="X134" i="19"/>
  <c r="U134" i="19"/>
  <c r="R134" i="19"/>
  <c r="O134" i="19"/>
  <c r="S134" i="19" s="1"/>
  <c r="N134" i="19"/>
  <c r="K134" i="19"/>
  <c r="L134" i="19" s="1"/>
  <c r="H134" i="19"/>
  <c r="E134" i="19"/>
  <c r="I134" i="19" s="1"/>
  <c r="D134" i="19"/>
  <c r="B134" i="19"/>
  <c r="AQ133" i="19"/>
  <c r="AL133" i="19"/>
  <c r="AG133" i="19"/>
  <c r="AE133" i="19"/>
  <c r="AF133" i="19" s="1"/>
  <c r="AB133" i="19"/>
  <c r="Y133" i="19"/>
  <c r="X133" i="19"/>
  <c r="U133" i="19"/>
  <c r="R133" i="19"/>
  <c r="O133" i="19"/>
  <c r="S133" i="19" s="1"/>
  <c r="N133" i="19"/>
  <c r="K133" i="19"/>
  <c r="L133" i="19" s="1"/>
  <c r="H133" i="19"/>
  <c r="E133" i="19"/>
  <c r="I133" i="19" s="1"/>
  <c r="D133" i="19"/>
  <c r="B133" i="19"/>
  <c r="AQ132" i="19"/>
  <c r="AL132" i="19"/>
  <c r="AG132" i="19"/>
  <c r="AE132" i="19"/>
  <c r="AF132" i="19" s="1"/>
  <c r="AB132" i="19"/>
  <c r="Y132" i="19"/>
  <c r="X132" i="19"/>
  <c r="U132" i="19"/>
  <c r="R132" i="19"/>
  <c r="O132" i="19"/>
  <c r="S132" i="19" s="1"/>
  <c r="N132" i="19"/>
  <c r="K132" i="19"/>
  <c r="H132" i="19"/>
  <c r="E132" i="19"/>
  <c r="I132" i="19" s="1"/>
  <c r="D132" i="19"/>
  <c r="B132" i="19"/>
  <c r="AQ131" i="19"/>
  <c r="AL131" i="19"/>
  <c r="AG131" i="19"/>
  <c r="AE131" i="19"/>
  <c r="AB131" i="19"/>
  <c r="Y131" i="19"/>
  <c r="X131" i="19"/>
  <c r="U131" i="19"/>
  <c r="R131" i="19"/>
  <c r="O131" i="19"/>
  <c r="S131" i="19" s="1"/>
  <c r="N131" i="19"/>
  <c r="K131" i="19"/>
  <c r="H131" i="19"/>
  <c r="E131" i="19"/>
  <c r="I131" i="19" s="1"/>
  <c r="D131" i="19"/>
  <c r="B131" i="19"/>
  <c r="AQ130" i="19"/>
  <c r="AL130" i="19"/>
  <c r="AG130" i="19"/>
  <c r="AE130" i="19"/>
  <c r="AB130" i="19"/>
  <c r="Y130" i="19"/>
  <c r="X130" i="19"/>
  <c r="U130" i="19"/>
  <c r="R130" i="19"/>
  <c r="O130" i="19"/>
  <c r="S130" i="19" s="1"/>
  <c r="N130" i="19"/>
  <c r="K130" i="19"/>
  <c r="H130" i="19"/>
  <c r="E130" i="19"/>
  <c r="I130" i="19" s="1"/>
  <c r="D130" i="19"/>
  <c r="B130" i="19"/>
  <c r="AQ129" i="19"/>
  <c r="AL129" i="19"/>
  <c r="AG129" i="19"/>
  <c r="AE129" i="19"/>
  <c r="AB129" i="19"/>
  <c r="Y129" i="19"/>
  <c r="X129" i="19"/>
  <c r="U129" i="19"/>
  <c r="R129" i="19"/>
  <c r="O129" i="19"/>
  <c r="S129" i="19" s="1"/>
  <c r="N129" i="19"/>
  <c r="K129" i="19"/>
  <c r="H129" i="19"/>
  <c r="E129" i="19"/>
  <c r="I129" i="19" s="1"/>
  <c r="D129" i="19"/>
  <c r="B129" i="19"/>
  <c r="AQ128" i="19"/>
  <c r="AL128" i="19"/>
  <c r="AG128" i="19"/>
  <c r="AE128" i="19"/>
  <c r="AB128" i="19"/>
  <c r="Y128" i="19"/>
  <c r="X128" i="19"/>
  <c r="U128" i="19"/>
  <c r="R128" i="19"/>
  <c r="O128" i="19"/>
  <c r="S128" i="19" s="1"/>
  <c r="N128" i="19"/>
  <c r="K128" i="19"/>
  <c r="H128" i="19"/>
  <c r="E128" i="19"/>
  <c r="I128" i="19" s="1"/>
  <c r="D128" i="19"/>
  <c r="B128" i="19"/>
  <c r="AQ127" i="19"/>
  <c r="AL127" i="19"/>
  <c r="AG127" i="19"/>
  <c r="AE127" i="19"/>
  <c r="AB127" i="19"/>
  <c r="Y127" i="19"/>
  <c r="X127" i="19"/>
  <c r="U127" i="19"/>
  <c r="R127" i="19"/>
  <c r="O127" i="19"/>
  <c r="S127" i="19" s="1"/>
  <c r="N127" i="19"/>
  <c r="K127" i="19"/>
  <c r="H127" i="19"/>
  <c r="E127" i="19"/>
  <c r="I127" i="19" s="1"/>
  <c r="D127" i="19"/>
  <c r="B127" i="19"/>
  <c r="AQ126" i="19"/>
  <c r="AL126" i="19"/>
  <c r="AG126" i="19"/>
  <c r="AE126" i="19"/>
  <c r="AB126" i="19"/>
  <c r="Y126" i="19"/>
  <c r="X126" i="19"/>
  <c r="U126" i="19"/>
  <c r="R126" i="19"/>
  <c r="O126" i="19"/>
  <c r="S126" i="19" s="1"/>
  <c r="N126" i="19"/>
  <c r="K126" i="19"/>
  <c r="L126" i="19" s="1"/>
  <c r="H126" i="19"/>
  <c r="E126" i="19"/>
  <c r="I126" i="19" s="1"/>
  <c r="D126" i="19"/>
  <c r="B126" i="19"/>
  <c r="AQ125" i="19"/>
  <c r="AL125" i="19"/>
  <c r="AG125" i="19"/>
  <c r="AE125" i="19"/>
  <c r="AB125" i="19"/>
  <c r="Y125" i="19"/>
  <c r="X125" i="19"/>
  <c r="U125" i="19"/>
  <c r="R125" i="19"/>
  <c r="O125" i="19"/>
  <c r="S125" i="19" s="1"/>
  <c r="N125" i="19"/>
  <c r="K125" i="19"/>
  <c r="H125" i="19"/>
  <c r="E125" i="19"/>
  <c r="I125" i="19" s="1"/>
  <c r="D125" i="19"/>
  <c r="B125" i="19"/>
  <c r="AQ124" i="19"/>
  <c r="AL124" i="19"/>
  <c r="AG124" i="19"/>
  <c r="AE124" i="19"/>
  <c r="AB124" i="19"/>
  <c r="Y124" i="19"/>
  <c r="X124" i="19"/>
  <c r="U124" i="19"/>
  <c r="R124" i="19"/>
  <c r="O124" i="19"/>
  <c r="S124" i="19" s="1"/>
  <c r="N124" i="19"/>
  <c r="K124" i="19"/>
  <c r="H124" i="19"/>
  <c r="E124" i="19"/>
  <c r="I124" i="19" s="1"/>
  <c r="D124" i="19"/>
  <c r="B124" i="19"/>
  <c r="AQ123" i="19"/>
  <c r="AL123" i="19"/>
  <c r="AG123" i="19"/>
  <c r="AE123" i="19"/>
  <c r="AB123" i="19"/>
  <c r="Y123" i="19"/>
  <c r="X123" i="19"/>
  <c r="U123" i="19"/>
  <c r="R123" i="19"/>
  <c r="O123" i="19"/>
  <c r="S123" i="19" s="1"/>
  <c r="N123" i="19"/>
  <c r="K123" i="19"/>
  <c r="H123" i="19"/>
  <c r="E123" i="19"/>
  <c r="I123" i="19" s="1"/>
  <c r="D123" i="19"/>
  <c r="B123" i="19"/>
  <c r="AQ122" i="19"/>
  <c r="AL122" i="19"/>
  <c r="AG122" i="19"/>
  <c r="AE122" i="19"/>
  <c r="AB122" i="19"/>
  <c r="Y122" i="19"/>
  <c r="X122" i="19"/>
  <c r="U122" i="19"/>
  <c r="R122" i="19"/>
  <c r="O122" i="19"/>
  <c r="S122" i="19" s="1"/>
  <c r="N122" i="19"/>
  <c r="K122" i="19"/>
  <c r="H122" i="19"/>
  <c r="E122" i="19"/>
  <c r="I122" i="19" s="1"/>
  <c r="D122" i="19"/>
  <c r="B122" i="19"/>
  <c r="AQ121" i="19"/>
  <c r="AL121" i="19"/>
  <c r="AG121" i="19"/>
  <c r="AE121" i="19"/>
  <c r="AF121" i="19" s="1"/>
  <c r="AB121" i="19"/>
  <c r="Y121" i="19"/>
  <c r="X121" i="19"/>
  <c r="U121" i="19"/>
  <c r="R121" i="19"/>
  <c r="O121" i="19"/>
  <c r="S121" i="19" s="1"/>
  <c r="N121" i="19"/>
  <c r="K121" i="19"/>
  <c r="L121" i="19" s="1"/>
  <c r="H121" i="19"/>
  <c r="E121" i="19"/>
  <c r="I121" i="19" s="1"/>
  <c r="D121" i="19"/>
  <c r="B121" i="19"/>
  <c r="AQ120" i="19"/>
  <c r="AL120" i="19"/>
  <c r="AG120" i="19"/>
  <c r="AE120" i="19"/>
  <c r="AF120" i="19" s="1"/>
  <c r="AB120" i="19"/>
  <c r="Y120" i="19"/>
  <c r="X120" i="19"/>
  <c r="U120" i="19"/>
  <c r="R120" i="19"/>
  <c r="O120" i="19"/>
  <c r="S120" i="19" s="1"/>
  <c r="N120" i="19"/>
  <c r="K120" i="19"/>
  <c r="L120" i="19" s="1"/>
  <c r="H120" i="19"/>
  <c r="E120" i="19"/>
  <c r="I120" i="19" s="1"/>
  <c r="D120" i="19"/>
  <c r="B120" i="19"/>
  <c r="AQ119" i="19"/>
  <c r="AL119" i="19"/>
  <c r="AG119" i="19"/>
  <c r="AE119" i="19"/>
  <c r="AF119" i="19" s="1"/>
  <c r="AB119" i="19"/>
  <c r="Y119" i="19"/>
  <c r="X119" i="19"/>
  <c r="U119" i="19"/>
  <c r="R119" i="19"/>
  <c r="O119" i="19"/>
  <c r="S119" i="19" s="1"/>
  <c r="N119" i="19"/>
  <c r="K119" i="19"/>
  <c r="L119" i="19" s="1"/>
  <c r="H119" i="19"/>
  <c r="E119" i="19"/>
  <c r="I119" i="19" s="1"/>
  <c r="D119" i="19"/>
  <c r="B119" i="19"/>
  <c r="AQ118" i="19"/>
  <c r="AL118" i="19"/>
  <c r="AG118" i="19"/>
  <c r="AE118" i="19"/>
  <c r="AF118" i="19" s="1"/>
  <c r="AB118" i="19"/>
  <c r="Y118" i="19"/>
  <c r="X118" i="19"/>
  <c r="U118" i="19"/>
  <c r="R118" i="19"/>
  <c r="O118" i="19"/>
  <c r="S118" i="19" s="1"/>
  <c r="N118" i="19"/>
  <c r="K118" i="19"/>
  <c r="L118" i="19" s="1"/>
  <c r="H118" i="19"/>
  <c r="E118" i="19"/>
  <c r="I118" i="19" s="1"/>
  <c r="D118" i="19"/>
  <c r="B118" i="19"/>
  <c r="AQ117" i="19"/>
  <c r="AL117" i="19"/>
  <c r="AG117" i="19"/>
  <c r="AE117" i="19"/>
  <c r="AB117" i="19"/>
  <c r="Y117" i="19"/>
  <c r="X117" i="19"/>
  <c r="U117" i="19"/>
  <c r="R117" i="19"/>
  <c r="O117" i="19"/>
  <c r="S117" i="19" s="1"/>
  <c r="N117" i="19"/>
  <c r="K117" i="19"/>
  <c r="H117" i="19"/>
  <c r="E117" i="19"/>
  <c r="I117" i="19" s="1"/>
  <c r="D117" i="19"/>
  <c r="B117" i="19"/>
  <c r="AQ116" i="19"/>
  <c r="AL116" i="19"/>
  <c r="AG116" i="19"/>
  <c r="AE116" i="19"/>
  <c r="AB116" i="19"/>
  <c r="Y116" i="19"/>
  <c r="X116" i="19"/>
  <c r="U116" i="19"/>
  <c r="R116" i="19"/>
  <c r="O116" i="19"/>
  <c r="S116" i="19" s="1"/>
  <c r="N116" i="19"/>
  <c r="K116" i="19"/>
  <c r="H116" i="19"/>
  <c r="E116" i="19"/>
  <c r="I116" i="19" s="1"/>
  <c r="D116" i="19"/>
  <c r="B116" i="19"/>
  <c r="AQ115" i="19"/>
  <c r="AL115" i="19"/>
  <c r="AG115" i="19"/>
  <c r="AE115" i="19"/>
  <c r="AB115" i="19"/>
  <c r="Y115" i="19"/>
  <c r="X115" i="19"/>
  <c r="U115" i="19"/>
  <c r="R115" i="19"/>
  <c r="O115" i="19"/>
  <c r="S115" i="19" s="1"/>
  <c r="N115" i="19"/>
  <c r="K115" i="19"/>
  <c r="H115" i="19"/>
  <c r="E115" i="19"/>
  <c r="I115" i="19" s="1"/>
  <c r="D115" i="19"/>
  <c r="B115" i="19"/>
  <c r="AQ114" i="19"/>
  <c r="AL114" i="19"/>
  <c r="AG114" i="19"/>
  <c r="AE114" i="19"/>
  <c r="AB114" i="19"/>
  <c r="Y114" i="19"/>
  <c r="X114" i="19"/>
  <c r="U114" i="19"/>
  <c r="R114" i="19"/>
  <c r="O114" i="19"/>
  <c r="S114" i="19" s="1"/>
  <c r="N114" i="19"/>
  <c r="K114" i="19"/>
  <c r="H114" i="19"/>
  <c r="E114" i="19"/>
  <c r="I114" i="19" s="1"/>
  <c r="D114" i="19"/>
  <c r="B114" i="19"/>
  <c r="AQ113" i="19"/>
  <c r="AL113" i="19"/>
  <c r="AG113" i="19"/>
  <c r="AE113" i="19"/>
  <c r="AF113" i="19" s="1"/>
  <c r="AB113" i="19"/>
  <c r="Y113" i="19"/>
  <c r="X113" i="19"/>
  <c r="U113" i="19"/>
  <c r="R113" i="19"/>
  <c r="O113" i="19"/>
  <c r="S113" i="19" s="1"/>
  <c r="N113" i="19"/>
  <c r="K113" i="19"/>
  <c r="L113" i="19" s="1"/>
  <c r="H113" i="19"/>
  <c r="E113" i="19"/>
  <c r="I113" i="19" s="1"/>
  <c r="D113" i="19"/>
  <c r="B113" i="19"/>
  <c r="AQ112" i="19"/>
  <c r="AL112" i="19"/>
  <c r="AG112" i="19"/>
  <c r="AE112" i="19"/>
  <c r="AF112" i="19" s="1"/>
  <c r="AB112" i="19"/>
  <c r="Y112" i="19"/>
  <c r="X112" i="19"/>
  <c r="U112" i="19"/>
  <c r="R112" i="19"/>
  <c r="O112" i="19"/>
  <c r="S112" i="19" s="1"/>
  <c r="N112" i="19"/>
  <c r="K112" i="19"/>
  <c r="H112" i="19"/>
  <c r="E112" i="19"/>
  <c r="I112" i="19" s="1"/>
  <c r="D112" i="19"/>
  <c r="B112" i="19"/>
  <c r="AQ111" i="19"/>
  <c r="AL111" i="19"/>
  <c r="AG111" i="19"/>
  <c r="AE111" i="19"/>
  <c r="AB111" i="19"/>
  <c r="Y111" i="19"/>
  <c r="X111" i="19"/>
  <c r="U111" i="19"/>
  <c r="R111" i="19"/>
  <c r="O111" i="19"/>
  <c r="S111" i="19" s="1"/>
  <c r="N111" i="19"/>
  <c r="K111" i="19"/>
  <c r="H111" i="19"/>
  <c r="E111" i="19"/>
  <c r="I111" i="19" s="1"/>
  <c r="D111" i="19"/>
  <c r="B111" i="19"/>
  <c r="AQ110" i="19"/>
  <c r="AL110" i="19"/>
  <c r="AG110" i="19"/>
  <c r="AE110" i="19"/>
  <c r="AB110" i="19"/>
  <c r="Y110" i="19"/>
  <c r="X110" i="19"/>
  <c r="U110" i="19"/>
  <c r="R110" i="19"/>
  <c r="O110" i="19"/>
  <c r="S110" i="19" s="1"/>
  <c r="N110" i="19"/>
  <c r="K110" i="19"/>
  <c r="H110" i="19"/>
  <c r="E110" i="19"/>
  <c r="I110" i="19" s="1"/>
  <c r="D110" i="19"/>
  <c r="B110" i="19"/>
  <c r="AQ109" i="19"/>
  <c r="AL109" i="19"/>
  <c r="AG109" i="19"/>
  <c r="AE109" i="19"/>
  <c r="AB109" i="19"/>
  <c r="Y109" i="19"/>
  <c r="X109" i="19"/>
  <c r="U109" i="19"/>
  <c r="R109" i="19"/>
  <c r="O109" i="19"/>
  <c r="S109" i="19" s="1"/>
  <c r="N109" i="19"/>
  <c r="K109" i="19"/>
  <c r="H109" i="19"/>
  <c r="E109" i="19"/>
  <c r="I109" i="19" s="1"/>
  <c r="D109" i="19"/>
  <c r="B109" i="19"/>
  <c r="AQ108" i="19"/>
  <c r="AL108" i="19"/>
  <c r="AG108" i="19"/>
  <c r="AE108" i="19"/>
  <c r="AB108" i="19"/>
  <c r="Y108" i="19"/>
  <c r="X108" i="19"/>
  <c r="U108" i="19"/>
  <c r="R108" i="19"/>
  <c r="O108" i="19"/>
  <c r="S108" i="19" s="1"/>
  <c r="N108" i="19"/>
  <c r="K108" i="19"/>
  <c r="H108" i="19"/>
  <c r="E108" i="19"/>
  <c r="I108" i="19" s="1"/>
  <c r="D108" i="19"/>
  <c r="B108" i="19"/>
  <c r="AQ107" i="19"/>
  <c r="AL107" i="19"/>
  <c r="AG107" i="19"/>
  <c r="AE107" i="19"/>
  <c r="AB107" i="19"/>
  <c r="Y107" i="19"/>
  <c r="X107" i="19"/>
  <c r="U107" i="19"/>
  <c r="R107" i="19"/>
  <c r="O107" i="19"/>
  <c r="S107" i="19" s="1"/>
  <c r="N107" i="19"/>
  <c r="K107" i="19"/>
  <c r="H107" i="19"/>
  <c r="E107" i="19"/>
  <c r="I107" i="19" s="1"/>
  <c r="D107" i="19"/>
  <c r="B107" i="19"/>
  <c r="AQ106" i="19"/>
  <c r="AL106" i="19"/>
  <c r="AG106" i="19"/>
  <c r="AE106" i="19"/>
  <c r="AB106" i="19"/>
  <c r="Y106" i="19"/>
  <c r="X106" i="19"/>
  <c r="U106" i="19"/>
  <c r="R106" i="19"/>
  <c r="O106" i="19"/>
  <c r="S106" i="19" s="1"/>
  <c r="N106" i="19"/>
  <c r="K106" i="19"/>
  <c r="H106" i="19"/>
  <c r="E106" i="19"/>
  <c r="I106" i="19" s="1"/>
  <c r="D106" i="19"/>
  <c r="B106" i="19"/>
  <c r="AQ105" i="19"/>
  <c r="AL105" i="19"/>
  <c r="AG105" i="19"/>
  <c r="AE105" i="19"/>
  <c r="AB105" i="19"/>
  <c r="Y105" i="19"/>
  <c r="X105" i="19"/>
  <c r="U105" i="19"/>
  <c r="R105" i="19"/>
  <c r="O105" i="19"/>
  <c r="S105" i="19" s="1"/>
  <c r="N105" i="19"/>
  <c r="K105" i="19"/>
  <c r="H105" i="19"/>
  <c r="E105" i="19"/>
  <c r="I105" i="19" s="1"/>
  <c r="D105" i="19"/>
  <c r="B105" i="19"/>
  <c r="AQ104" i="19"/>
  <c r="AL104" i="19"/>
  <c r="AG104" i="19"/>
  <c r="AE104" i="19"/>
  <c r="AF104" i="19" s="1"/>
  <c r="AB104" i="19"/>
  <c r="Y104" i="19"/>
  <c r="X104" i="19"/>
  <c r="U104" i="19"/>
  <c r="R104" i="19"/>
  <c r="O104" i="19"/>
  <c r="S104" i="19" s="1"/>
  <c r="N104" i="19"/>
  <c r="K104" i="19"/>
  <c r="L104" i="19" s="1"/>
  <c r="H104" i="19"/>
  <c r="E104" i="19"/>
  <c r="I104" i="19" s="1"/>
  <c r="D104" i="19"/>
  <c r="B104" i="19"/>
  <c r="AQ103" i="19"/>
  <c r="AL103" i="19"/>
  <c r="AG103" i="19"/>
  <c r="AE103" i="19"/>
  <c r="AF103" i="19" s="1"/>
  <c r="AB103" i="19"/>
  <c r="Y103" i="19"/>
  <c r="X103" i="19"/>
  <c r="U103" i="19"/>
  <c r="R103" i="19"/>
  <c r="O103" i="19"/>
  <c r="S103" i="19" s="1"/>
  <c r="N103" i="19"/>
  <c r="K103" i="19"/>
  <c r="H103" i="19"/>
  <c r="E103" i="19"/>
  <c r="I103" i="19" s="1"/>
  <c r="D103" i="19"/>
  <c r="B103" i="19"/>
  <c r="AQ102" i="19"/>
  <c r="AL102" i="19"/>
  <c r="AG102" i="19"/>
  <c r="AE102" i="19"/>
  <c r="AF102" i="19" s="1"/>
  <c r="AB102" i="19"/>
  <c r="Y102" i="19"/>
  <c r="X102" i="19"/>
  <c r="U102" i="19"/>
  <c r="R102" i="19"/>
  <c r="O102" i="19"/>
  <c r="S102" i="19" s="1"/>
  <c r="N102" i="19"/>
  <c r="K102" i="19"/>
  <c r="L102" i="19" s="1"/>
  <c r="H102" i="19"/>
  <c r="E102" i="19"/>
  <c r="I102" i="19" s="1"/>
  <c r="D102" i="19"/>
  <c r="B102" i="19"/>
  <c r="AQ101" i="19"/>
  <c r="AL101" i="19"/>
  <c r="AG101" i="19"/>
  <c r="AE101" i="19"/>
  <c r="AF101" i="19" s="1"/>
  <c r="AB101" i="19"/>
  <c r="Y101" i="19"/>
  <c r="X101" i="19"/>
  <c r="U101" i="19"/>
  <c r="R101" i="19"/>
  <c r="O101" i="19"/>
  <c r="S101" i="19" s="1"/>
  <c r="N101" i="19"/>
  <c r="K101" i="19"/>
  <c r="L101" i="19" s="1"/>
  <c r="H101" i="19"/>
  <c r="E101" i="19"/>
  <c r="I101" i="19" s="1"/>
  <c r="D101" i="19"/>
  <c r="B101" i="19"/>
  <c r="AQ100" i="19"/>
  <c r="AL100" i="19"/>
  <c r="AG100" i="19"/>
  <c r="AE100" i="19"/>
  <c r="AF100" i="19" s="1"/>
  <c r="AB100" i="19"/>
  <c r="Y100" i="19"/>
  <c r="X100" i="19"/>
  <c r="U100" i="19"/>
  <c r="R100" i="19"/>
  <c r="O100" i="19"/>
  <c r="S100" i="19" s="1"/>
  <c r="N100" i="19"/>
  <c r="K100" i="19"/>
  <c r="H100" i="19"/>
  <c r="E100" i="19"/>
  <c r="I100" i="19" s="1"/>
  <c r="D100" i="19"/>
  <c r="B100" i="19"/>
  <c r="AQ99" i="19"/>
  <c r="AL99" i="19"/>
  <c r="AG99" i="19"/>
  <c r="AE99" i="19"/>
  <c r="AB99" i="19"/>
  <c r="Y99" i="19"/>
  <c r="X99" i="19"/>
  <c r="U99" i="19"/>
  <c r="R99" i="19"/>
  <c r="O99" i="19"/>
  <c r="S99" i="19" s="1"/>
  <c r="N99" i="19"/>
  <c r="K99" i="19"/>
  <c r="H99" i="19"/>
  <c r="E99" i="19"/>
  <c r="I99" i="19" s="1"/>
  <c r="D99" i="19"/>
  <c r="B99" i="19"/>
  <c r="AQ98" i="19"/>
  <c r="AL98" i="19"/>
  <c r="AG98" i="19"/>
  <c r="AE98" i="19"/>
  <c r="AB98" i="19"/>
  <c r="Y98" i="19"/>
  <c r="X98" i="19"/>
  <c r="U98" i="19"/>
  <c r="R98" i="19"/>
  <c r="O98" i="19"/>
  <c r="S98" i="19" s="1"/>
  <c r="N98" i="19"/>
  <c r="K98" i="19"/>
  <c r="H98" i="19"/>
  <c r="E98" i="19"/>
  <c r="I98" i="19" s="1"/>
  <c r="D98" i="19"/>
  <c r="B98" i="19"/>
  <c r="AQ97" i="19"/>
  <c r="AL97" i="19"/>
  <c r="AG97" i="19"/>
  <c r="AE97" i="19"/>
  <c r="AB97" i="19"/>
  <c r="Y97" i="19"/>
  <c r="X97" i="19"/>
  <c r="U97" i="19"/>
  <c r="R97" i="19"/>
  <c r="O97" i="19"/>
  <c r="S97" i="19" s="1"/>
  <c r="N97" i="19"/>
  <c r="K97" i="19"/>
  <c r="H97" i="19"/>
  <c r="E97" i="19"/>
  <c r="I97" i="19" s="1"/>
  <c r="D97" i="19"/>
  <c r="B97" i="19"/>
  <c r="AQ96" i="19"/>
  <c r="AL96" i="19"/>
  <c r="AG96" i="19"/>
  <c r="AE96" i="19"/>
  <c r="AB96" i="19"/>
  <c r="Y96" i="19"/>
  <c r="X96" i="19"/>
  <c r="U96" i="19"/>
  <c r="R96" i="19"/>
  <c r="O96" i="19"/>
  <c r="S96" i="19" s="1"/>
  <c r="N96" i="19"/>
  <c r="K96" i="19"/>
  <c r="H96" i="19"/>
  <c r="E96" i="19"/>
  <c r="I96" i="19" s="1"/>
  <c r="D96" i="19"/>
  <c r="B96" i="19"/>
  <c r="AQ95" i="19"/>
  <c r="AL95" i="19"/>
  <c r="AG95" i="19"/>
  <c r="AE95" i="19"/>
  <c r="AB95" i="19"/>
  <c r="Y95" i="19"/>
  <c r="X95" i="19"/>
  <c r="U95" i="19"/>
  <c r="R95" i="19"/>
  <c r="O95" i="19"/>
  <c r="S95" i="19" s="1"/>
  <c r="N95" i="19"/>
  <c r="K95" i="19"/>
  <c r="H95" i="19"/>
  <c r="E95" i="19"/>
  <c r="I95" i="19" s="1"/>
  <c r="D95" i="19"/>
  <c r="B95" i="19"/>
  <c r="AQ94" i="19"/>
  <c r="AL94" i="19"/>
  <c r="AG94" i="19"/>
  <c r="AE94" i="19"/>
  <c r="AF94" i="19" s="1"/>
  <c r="AB94" i="19"/>
  <c r="Y94" i="19"/>
  <c r="X94" i="19"/>
  <c r="U94" i="19"/>
  <c r="R94" i="19"/>
  <c r="O94" i="19"/>
  <c r="S94" i="19" s="1"/>
  <c r="N94" i="19"/>
  <c r="K94" i="19"/>
  <c r="L94" i="19" s="1"/>
  <c r="H94" i="19"/>
  <c r="E94" i="19"/>
  <c r="I94" i="19" s="1"/>
  <c r="D94" i="19"/>
  <c r="B94" i="19"/>
  <c r="AQ93" i="19"/>
  <c r="AL93" i="19"/>
  <c r="AG93" i="19"/>
  <c r="AE93" i="19"/>
  <c r="AF93" i="19" s="1"/>
  <c r="AB93" i="19"/>
  <c r="Y93" i="19"/>
  <c r="X93" i="19"/>
  <c r="U93" i="19"/>
  <c r="R93" i="19"/>
  <c r="O93" i="19"/>
  <c r="S93" i="19" s="1"/>
  <c r="N93" i="19"/>
  <c r="K93" i="19"/>
  <c r="H93" i="19"/>
  <c r="E93" i="19"/>
  <c r="I93" i="19" s="1"/>
  <c r="D93" i="19"/>
  <c r="B93" i="19"/>
  <c r="AQ92" i="19"/>
  <c r="AL92" i="19"/>
  <c r="AG92" i="19"/>
  <c r="AE92" i="19"/>
  <c r="AF92" i="19" s="1"/>
  <c r="AB92" i="19"/>
  <c r="Y92" i="19"/>
  <c r="X92" i="19"/>
  <c r="U92" i="19"/>
  <c r="R92" i="19"/>
  <c r="O92" i="19"/>
  <c r="S92" i="19" s="1"/>
  <c r="N92" i="19"/>
  <c r="K92" i="19"/>
  <c r="H92" i="19"/>
  <c r="E92" i="19"/>
  <c r="I92" i="19" s="1"/>
  <c r="D92" i="19"/>
  <c r="B92" i="19"/>
  <c r="AQ91" i="19"/>
  <c r="AL91" i="19"/>
  <c r="AG91" i="19"/>
  <c r="AE91" i="19"/>
  <c r="AF91" i="19" s="1"/>
  <c r="AB91" i="19"/>
  <c r="Y91" i="19"/>
  <c r="X91" i="19"/>
  <c r="U91" i="19"/>
  <c r="R91" i="19"/>
  <c r="O91" i="19"/>
  <c r="S91" i="19" s="1"/>
  <c r="N91" i="19"/>
  <c r="K91" i="19"/>
  <c r="L91" i="19" s="1"/>
  <c r="H91" i="19"/>
  <c r="E91" i="19"/>
  <c r="I91" i="19" s="1"/>
  <c r="D91" i="19"/>
  <c r="B91" i="19"/>
  <c r="AQ90" i="19"/>
  <c r="AL90" i="19"/>
  <c r="AG90" i="19"/>
  <c r="AE90" i="19"/>
  <c r="AF90" i="19" s="1"/>
  <c r="AB90" i="19"/>
  <c r="Y90" i="19"/>
  <c r="X90" i="19"/>
  <c r="U90" i="19"/>
  <c r="R90" i="19"/>
  <c r="O90" i="19"/>
  <c r="S90" i="19" s="1"/>
  <c r="N90" i="19"/>
  <c r="K90" i="19"/>
  <c r="H90" i="19"/>
  <c r="E90" i="19"/>
  <c r="I90" i="19" s="1"/>
  <c r="D90" i="19"/>
  <c r="B90" i="19"/>
  <c r="AQ89" i="19"/>
  <c r="AL89" i="19"/>
  <c r="AG89" i="19"/>
  <c r="AE89" i="19"/>
  <c r="AF89" i="19" s="1"/>
  <c r="AB89" i="19"/>
  <c r="Y89" i="19"/>
  <c r="X89" i="19"/>
  <c r="U89" i="19"/>
  <c r="R89" i="19"/>
  <c r="O89" i="19"/>
  <c r="S89" i="19" s="1"/>
  <c r="N89" i="19"/>
  <c r="K89" i="19"/>
  <c r="L89" i="19" s="1"/>
  <c r="H89" i="19"/>
  <c r="E89" i="19"/>
  <c r="I89" i="19" s="1"/>
  <c r="D89" i="19"/>
  <c r="B89" i="19"/>
  <c r="AQ88" i="19"/>
  <c r="AL88" i="19"/>
  <c r="AG88" i="19"/>
  <c r="AE88" i="19"/>
  <c r="AF88" i="19" s="1"/>
  <c r="AB88" i="19"/>
  <c r="Y88" i="19"/>
  <c r="X88" i="19"/>
  <c r="U88" i="19"/>
  <c r="R88" i="19"/>
  <c r="O88" i="19"/>
  <c r="S88" i="19" s="1"/>
  <c r="N88" i="19"/>
  <c r="K88" i="19"/>
  <c r="H88" i="19"/>
  <c r="E88" i="19"/>
  <c r="I88" i="19" s="1"/>
  <c r="D88" i="19"/>
  <c r="B88" i="19"/>
  <c r="AQ87" i="19"/>
  <c r="AL87" i="19"/>
  <c r="AG87" i="19"/>
  <c r="AE87" i="19"/>
  <c r="AB87" i="19"/>
  <c r="Y87" i="19"/>
  <c r="X87" i="19"/>
  <c r="U87" i="19"/>
  <c r="R87" i="19"/>
  <c r="O87" i="19"/>
  <c r="S87" i="19" s="1"/>
  <c r="N87" i="19"/>
  <c r="K87" i="19"/>
  <c r="H87" i="19"/>
  <c r="E87" i="19"/>
  <c r="I87" i="19" s="1"/>
  <c r="D87" i="19"/>
  <c r="B87" i="19"/>
  <c r="AQ86" i="19"/>
  <c r="AL86" i="19"/>
  <c r="AG86" i="19"/>
  <c r="AE86" i="19"/>
  <c r="AF86" i="19" s="1"/>
  <c r="AB86" i="19"/>
  <c r="Y86" i="19"/>
  <c r="X86" i="19"/>
  <c r="U86" i="19"/>
  <c r="R86" i="19"/>
  <c r="O86" i="19"/>
  <c r="S86" i="19" s="1"/>
  <c r="N86" i="19"/>
  <c r="K86" i="19"/>
  <c r="H86" i="19"/>
  <c r="E86" i="19"/>
  <c r="I86" i="19" s="1"/>
  <c r="D86" i="19"/>
  <c r="B86" i="19"/>
  <c r="AQ85" i="19"/>
  <c r="AL85" i="19"/>
  <c r="AG85" i="19"/>
  <c r="AE85" i="19"/>
  <c r="AF85" i="19" s="1"/>
  <c r="AB85" i="19"/>
  <c r="Y85" i="19"/>
  <c r="X85" i="19"/>
  <c r="U85" i="19"/>
  <c r="R85" i="19"/>
  <c r="O85" i="19"/>
  <c r="S85" i="19" s="1"/>
  <c r="N85" i="19"/>
  <c r="K85" i="19"/>
  <c r="L85" i="19" s="1"/>
  <c r="H85" i="19"/>
  <c r="E85" i="19"/>
  <c r="I85" i="19" s="1"/>
  <c r="D85" i="19"/>
  <c r="B85" i="19"/>
  <c r="AQ84" i="19"/>
  <c r="AL84" i="19"/>
  <c r="AG84" i="19"/>
  <c r="AE84" i="19"/>
  <c r="AF84" i="19" s="1"/>
  <c r="AB84" i="19"/>
  <c r="Y84" i="19"/>
  <c r="X84" i="19"/>
  <c r="U84" i="19"/>
  <c r="R84" i="19"/>
  <c r="O84" i="19"/>
  <c r="S84" i="19" s="1"/>
  <c r="N84" i="19"/>
  <c r="K84" i="19"/>
  <c r="L84" i="19" s="1"/>
  <c r="H84" i="19"/>
  <c r="E84" i="19"/>
  <c r="I84" i="19" s="1"/>
  <c r="D84" i="19"/>
  <c r="B84" i="19"/>
  <c r="AQ83" i="19"/>
  <c r="AL83" i="19"/>
  <c r="AG83" i="19"/>
  <c r="AE83" i="19"/>
  <c r="AB83" i="19"/>
  <c r="Y83" i="19"/>
  <c r="X83" i="19"/>
  <c r="U83" i="19"/>
  <c r="R83" i="19"/>
  <c r="O83" i="19"/>
  <c r="S83" i="19" s="1"/>
  <c r="N83" i="19"/>
  <c r="K83" i="19"/>
  <c r="H83" i="19"/>
  <c r="E83" i="19"/>
  <c r="I83" i="19" s="1"/>
  <c r="D83" i="19"/>
  <c r="B83" i="19"/>
  <c r="AQ82" i="19"/>
  <c r="AL82" i="19"/>
  <c r="AG82" i="19"/>
  <c r="AE82" i="19"/>
  <c r="AB82" i="19"/>
  <c r="Y82" i="19"/>
  <c r="X82" i="19"/>
  <c r="U82" i="19"/>
  <c r="R82" i="19"/>
  <c r="O82" i="19"/>
  <c r="S82" i="19" s="1"/>
  <c r="N82" i="19"/>
  <c r="K82" i="19"/>
  <c r="H82" i="19"/>
  <c r="E82" i="19"/>
  <c r="I82" i="19" s="1"/>
  <c r="D82" i="19"/>
  <c r="B82" i="19"/>
  <c r="AQ81" i="19"/>
  <c r="AL81" i="19"/>
  <c r="AG81" i="19"/>
  <c r="AE81" i="19"/>
  <c r="AB81" i="19"/>
  <c r="Y81" i="19"/>
  <c r="X81" i="19"/>
  <c r="U81" i="19"/>
  <c r="R81" i="19"/>
  <c r="O81" i="19"/>
  <c r="S81" i="19" s="1"/>
  <c r="N81" i="19"/>
  <c r="K81" i="19"/>
  <c r="H81" i="19"/>
  <c r="E81" i="19"/>
  <c r="I81" i="19" s="1"/>
  <c r="D81" i="19"/>
  <c r="B81" i="19"/>
  <c r="AQ80" i="19"/>
  <c r="AL80" i="19"/>
  <c r="AG80" i="19"/>
  <c r="AE80" i="19"/>
  <c r="AB80" i="19"/>
  <c r="Y80" i="19"/>
  <c r="X80" i="19"/>
  <c r="U80" i="19"/>
  <c r="R80" i="19"/>
  <c r="O80" i="19"/>
  <c r="S80" i="19" s="1"/>
  <c r="N80" i="19"/>
  <c r="K80" i="19"/>
  <c r="H80" i="19"/>
  <c r="E80" i="19"/>
  <c r="I80" i="19" s="1"/>
  <c r="D80" i="19"/>
  <c r="B80" i="19"/>
  <c r="AQ79" i="19"/>
  <c r="AL79" i="19"/>
  <c r="AG79" i="19"/>
  <c r="AE79" i="19"/>
  <c r="AB79" i="19"/>
  <c r="Y79" i="19"/>
  <c r="X79" i="19"/>
  <c r="U79" i="19"/>
  <c r="R79" i="19"/>
  <c r="O79" i="19"/>
  <c r="S79" i="19" s="1"/>
  <c r="N79" i="19"/>
  <c r="K79" i="19"/>
  <c r="H79" i="19"/>
  <c r="E79" i="19"/>
  <c r="I79" i="19" s="1"/>
  <c r="D79" i="19"/>
  <c r="B79" i="19"/>
  <c r="AQ78" i="19"/>
  <c r="AL78" i="19"/>
  <c r="AG78" i="19"/>
  <c r="AE78" i="19"/>
  <c r="AB78" i="19"/>
  <c r="Y78" i="19"/>
  <c r="X78" i="19"/>
  <c r="U78" i="19"/>
  <c r="R78" i="19"/>
  <c r="O78" i="19"/>
  <c r="S78" i="19" s="1"/>
  <c r="N78" i="19"/>
  <c r="K78" i="19"/>
  <c r="H78" i="19"/>
  <c r="E78" i="19"/>
  <c r="I78" i="19" s="1"/>
  <c r="D78" i="19"/>
  <c r="B78" i="19"/>
  <c r="AQ77" i="19"/>
  <c r="AL77" i="19"/>
  <c r="AG77" i="19"/>
  <c r="AE77" i="19"/>
  <c r="AB77" i="19"/>
  <c r="Y77" i="19"/>
  <c r="X77" i="19"/>
  <c r="U77" i="19"/>
  <c r="R77" i="19"/>
  <c r="O77" i="19"/>
  <c r="S77" i="19" s="1"/>
  <c r="N77" i="19"/>
  <c r="K77" i="19"/>
  <c r="H77" i="19"/>
  <c r="E77" i="19"/>
  <c r="I77" i="19" s="1"/>
  <c r="D77" i="19"/>
  <c r="B77" i="19"/>
  <c r="AQ76" i="19"/>
  <c r="AL76" i="19"/>
  <c r="AG76" i="19"/>
  <c r="AE76" i="19"/>
  <c r="AB76" i="19"/>
  <c r="Y76" i="19"/>
  <c r="X76" i="19"/>
  <c r="U76" i="19"/>
  <c r="R76" i="19"/>
  <c r="O76" i="19"/>
  <c r="S76" i="19" s="1"/>
  <c r="N76" i="19"/>
  <c r="K76" i="19"/>
  <c r="H76" i="19"/>
  <c r="E76" i="19"/>
  <c r="I76" i="19" s="1"/>
  <c r="D76" i="19"/>
  <c r="B76" i="19"/>
  <c r="AQ75" i="19"/>
  <c r="AL75" i="19"/>
  <c r="AG75" i="19"/>
  <c r="AE75" i="19"/>
  <c r="AB75" i="19"/>
  <c r="Y75" i="19"/>
  <c r="X75" i="19"/>
  <c r="U75" i="19"/>
  <c r="R75" i="19"/>
  <c r="O75" i="19"/>
  <c r="S75" i="19" s="1"/>
  <c r="N75" i="19"/>
  <c r="K75" i="19"/>
  <c r="H75" i="19"/>
  <c r="E75" i="19"/>
  <c r="I75" i="19" s="1"/>
  <c r="D75" i="19"/>
  <c r="B75" i="19"/>
  <c r="AQ74" i="19"/>
  <c r="AL74" i="19"/>
  <c r="AG74" i="19"/>
  <c r="AE74" i="19"/>
  <c r="AB74" i="19"/>
  <c r="Y74" i="19"/>
  <c r="X74" i="19"/>
  <c r="U74" i="19"/>
  <c r="R74" i="19"/>
  <c r="O74" i="19"/>
  <c r="S74" i="19" s="1"/>
  <c r="N74" i="19"/>
  <c r="K74" i="19"/>
  <c r="H74" i="19"/>
  <c r="E74" i="19"/>
  <c r="I74" i="19" s="1"/>
  <c r="D74" i="19"/>
  <c r="B74" i="19"/>
  <c r="AQ73" i="19"/>
  <c r="AL73" i="19"/>
  <c r="AG73" i="19"/>
  <c r="AE73" i="19"/>
  <c r="AB73" i="19"/>
  <c r="Y73" i="19"/>
  <c r="X73" i="19"/>
  <c r="U73" i="19"/>
  <c r="R73" i="19"/>
  <c r="O73" i="19"/>
  <c r="S73" i="19" s="1"/>
  <c r="N73" i="19"/>
  <c r="K73" i="19"/>
  <c r="H73" i="19"/>
  <c r="E73" i="19"/>
  <c r="I73" i="19" s="1"/>
  <c r="D73" i="19"/>
  <c r="B73" i="19"/>
  <c r="AQ72" i="19"/>
  <c r="AL72" i="19"/>
  <c r="AG72" i="19"/>
  <c r="AE72" i="19"/>
  <c r="AB72" i="19"/>
  <c r="Y72" i="19"/>
  <c r="X72" i="19"/>
  <c r="U72" i="19"/>
  <c r="R72" i="19"/>
  <c r="O72" i="19"/>
  <c r="S72" i="19" s="1"/>
  <c r="N72" i="19"/>
  <c r="K72" i="19"/>
  <c r="H72" i="19"/>
  <c r="E72" i="19"/>
  <c r="I72" i="19" s="1"/>
  <c r="D72" i="19"/>
  <c r="B72" i="19"/>
  <c r="AQ71" i="19"/>
  <c r="AL71" i="19"/>
  <c r="AG71" i="19"/>
  <c r="AE71" i="19"/>
  <c r="AB71" i="19"/>
  <c r="Y71" i="19"/>
  <c r="X71" i="19"/>
  <c r="U71" i="19"/>
  <c r="R71" i="19"/>
  <c r="O71" i="19"/>
  <c r="S71" i="19" s="1"/>
  <c r="N71" i="19"/>
  <c r="K71" i="19"/>
  <c r="H71" i="19"/>
  <c r="E71" i="19"/>
  <c r="I71" i="19" s="1"/>
  <c r="D71" i="19"/>
  <c r="B71" i="19"/>
  <c r="AQ70" i="19"/>
  <c r="AL70" i="19"/>
  <c r="AG70" i="19"/>
  <c r="AE70" i="19"/>
  <c r="AB70" i="19"/>
  <c r="Y70" i="19"/>
  <c r="X70" i="19"/>
  <c r="U70" i="19"/>
  <c r="R70" i="19"/>
  <c r="O70" i="19"/>
  <c r="S70" i="19" s="1"/>
  <c r="N70" i="19"/>
  <c r="K70" i="19"/>
  <c r="H70" i="19"/>
  <c r="E70" i="19"/>
  <c r="I70" i="19" s="1"/>
  <c r="D70" i="19"/>
  <c r="B70" i="19"/>
  <c r="AQ69" i="19"/>
  <c r="AL69" i="19"/>
  <c r="AG69" i="19"/>
  <c r="AE69" i="19"/>
  <c r="AB69" i="19"/>
  <c r="Y69" i="19"/>
  <c r="X69" i="19"/>
  <c r="U69" i="19"/>
  <c r="R69" i="19"/>
  <c r="O69" i="19"/>
  <c r="S69" i="19" s="1"/>
  <c r="N69" i="19"/>
  <c r="K69" i="19"/>
  <c r="H69" i="19"/>
  <c r="E69" i="19"/>
  <c r="I69" i="19" s="1"/>
  <c r="D69" i="19"/>
  <c r="B69" i="19"/>
  <c r="AQ68" i="19"/>
  <c r="AL68" i="19"/>
  <c r="AG68" i="19"/>
  <c r="AE68" i="19"/>
  <c r="AB68" i="19"/>
  <c r="Y68" i="19"/>
  <c r="X68" i="19"/>
  <c r="U68" i="19"/>
  <c r="R68" i="19"/>
  <c r="O68" i="19"/>
  <c r="S68" i="19" s="1"/>
  <c r="N68" i="19"/>
  <c r="K68" i="19"/>
  <c r="L68" i="19" s="1"/>
  <c r="H68" i="19"/>
  <c r="E68" i="19"/>
  <c r="I68" i="19" s="1"/>
  <c r="D68" i="19"/>
  <c r="B68" i="19"/>
  <c r="AQ67" i="19"/>
  <c r="AL67" i="19"/>
  <c r="AG67" i="19"/>
  <c r="AE67" i="19"/>
  <c r="AF67" i="19" s="1"/>
  <c r="AB67" i="19"/>
  <c r="Y67" i="19"/>
  <c r="X67" i="19"/>
  <c r="U67" i="19"/>
  <c r="R67" i="19"/>
  <c r="O67" i="19"/>
  <c r="S67" i="19" s="1"/>
  <c r="N67" i="19"/>
  <c r="K67" i="19"/>
  <c r="H67" i="19"/>
  <c r="E67" i="19"/>
  <c r="I67" i="19" s="1"/>
  <c r="D67" i="19"/>
  <c r="B67" i="19"/>
  <c r="AQ66" i="19"/>
  <c r="AL66" i="19"/>
  <c r="AG66" i="19"/>
  <c r="AE66" i="19"/>
  <c r="AB66" i="19"/>
  <c r="Y66" i="19"/>
  <c r="X66" i="19"/>
  <c r="U66" i="19"/>
  <c r="R66" i="19"/>
  <c r="O66" i="19"/>
  <c r="S66" i="19" s="1"/>
  <c r="N66" i="19"/>
  <c r="K66" i="19"/>
  <c r="H66" i="19"/>
  <c r="E66" i="19"/>
  <c r="I66" i="19" s="1"/>
  <c r="D66" i="19"/>
  <c r="B66" i="19"/>
  <c r="AQ65" i="19"/>
  <c r="AL65" i="19"/>
  <c r="AG65" i="19"/>
  <c r="AE65" i="19"/>
  <c r="AF65" i="19" s="1"/>
  <c r="AB65" i="19"/>
  <c r="Y65" i="19"/>
  <c r="X65" i="19"/>
  <c r="U65" i="19"/>
  <c r="R65" i="19"/>
  <c r="O65" i="19"/>
  <c r="S65" i="19" s="1"/>
  <c r="N65" i="19"/>
  <c r="K65" i="19"/>
  <c r="H65" i="19"/>
  <c r="E65" i="19"/>
  <c r="I65" i="19" s="1"/>
  <c r="D65" i="19"/>
  <c r="B65" i="19"/>
  <c r="AQ64" i="19"/>
  <c r="AL64" i="19"/>
  <c r="AG64" i="19"/>
  <c r="AE64" i="19"/>
  <c r="AF64" i="19" s="1"/>
  <c r="AB64" i="19"/>
  <c r="Y64" i="19"/>
  <c r="X64" i="19"/>
  <c r="U64" i="19"/>
  <c r="R64" i="19"/>
  <c r="O64" i="19"/>
  <c r="S64" i="19" s="1"/>
  <c r="N64" i="19"/>
  <c r="K64" i="19"/>
  <c r="H64" i="19"/>
  <c r="E64" i="19"/>
  <c r="I64" i="19" s="1"/>
  <c r="D64" i="19"/>
  <c r="B64" i="19"/>
  <c r="AQ63" i="19"/>
  <c r="AL63" i="19"/>
  <c r="AG63" i="19"/>
  <c r="AE63" i="19"/>
  <c r="AF63" i="19" s="1"/>
  <c r="AB63" i="19"/>
  <c r="Y63" i="19"/>
  <c r="X63" i="19"/>
  <c r="U63" i="19"/>
  <c r="R63" i="19"/>
  <c r="O63" i="19"/>
  <c r="S63" i="19" s="1"/>
  <c r="N63" i="19"/>
  <c r="K63" i="19"/>
  <c r="H63" i="19"/>
  <c r="E63" i="19"/>
  <c r="I63" i="19" s="1"/>
  <c r="D63" i="19"/>
  <c r="B63" i="19"/>
  <c r="AQ62" i="19"/>
  <c r="AL62" i="19"/>
  <c r="AG62" i="19"/>
  <c r="AE62" i="19"/>
  <c r="AF62" i="19" s="1"/>
  <c r="AB62" i="19"/>
  <c r="Y62" i="19"/>
  <c r="X62" i="19"/>
  <c r="U62" i="19"/>
  <c r="R62" i="19"/>
  <c r="O62" i="19"/>
  <c r="S62" i="19" s="1"/>
  <c r="N62" i="19"/>
  <c r="K62" i="19"/>
  <c r="L62" i="19" s="1"/>
  <c r="H62" i="19"/>
  <c r="E62" i="19"/>
  <c r="I62" i="19" s="1"/>
  <c r="D62" i="19"/>
  <c r="B62" i="19"/>
  <c r="AQ61" i="19"/>
  <c r="AL61" i="19"/>
  <c r="AG61" i="19"/>
  <c r="AE61" i="19"/>
  <c r="AB61" i="19"/>
  <c r="Y61" i="19"/>
  <c r="X61" i="19"/>
  <c r="U61" i="19"/>
  <c r="R61" i="19"/>
  <c r="O61" i="19"/>
  <c r="S61" i="19" s="1"/>
  <c r="N61" i="19"/>
  <c r="K61" i="19"/>
  <c r="L61" i="19" s="1"/>
  <c r="H61" i="19"/>
  <c r="E61" i="19"/>
  <c r="I61" i="19" s="1"/>
  <c r="D61" i="19"/>
  <c r="B61" i="19"/>
  <c r="AQ60" i="19"/>
  <c r="AL60" i="19"/>
  <c r="AG60" i="19"/>
  <c r="AE60" i="19"/>
  <c r="AF60" i="19" s="1"/>
  <c r="AB60" i="19"/>
  <c r="Y60" i="19"/>
  <c r="X60" i="19"/>
  <c r="U60" i="19"/>
  <c r="R60" i="19"/>
  <c r="O60" i="19"/>
  <c r="S60" i="19" s="1"/>
  <c r="N60" i="19"/>
  <c r="K60" i="19"/>
  <c r="H60" i="19"/>
  <c r="E60" i="19"/>
  <c r="I60" i="19" s="1"/>
  <c r="D60" i="19"/>
  <c r="B60" i="19"/>
  <c r="AQ59" i="19"/>
  <c r="AL59" i="19"/>
  <c r="AG59" i="19"/>
  <c r="AE59" i="19"/>
  <c r="AB59" i="19"/>
  <c r="Y59" i="19"/>
  <c r="X59" i="19"/>
  <c r="U59" i="19"/>
  <c r="R59" i="19"/>
  <c r="O59" i="19"/>
  <c r="S59" i="19" s="1"/>
  <c r="N59" i="19"/>
  <c r="K59" i="19"/>
  <c r="H59" i="19"/>
  <c r="E59" i="19"/>
  <c r="I59" i="19" s="1"/>
  <c r="D59" i="19"/>
  <c r="B59" i="19"/>
  <c r="AQ58" i="19"/>
  <c r="AL58" i="19"/>
  <c r="AG58" i="19"/>
  <c r="AE58" i="19"/>
  <c r="AB58" i="19"/>
  <c r="Y58" i="19"/>
  <c r="X58" i="19"/>
  <c r="U58" i="19"/>
  <c r="R58" i="19"/>
  <c r="O58" i="19"/>
  <c r="S58" i="19" s="1"/>
  <c r="N58" i="19"/>
  <c r="K58" i="19"/>
  <c r="H58" i="19"/>
  <c r="E58" i="19"/>
  <c r="I58" i="19" s="1"/>
  <c r="D58" i="19"/>
  <c r="B58" i="19"/>
  <c r="AQ57" i="19"/>
  <c r="AL57" i="19"/>
  <c r="AG57" i="19"/>
  <c r="AE57" i="19"/>
  <c r="AB57" i="19"/>
  <c r="Y57" i="19"/>
  <c r="X57" i="19"/>
  <c r="U57" i="19"/>
  <c r="R57" i="19"/>
  <c r="O57" i="19"/>
  <c r="S57" i="19" s="1"/>
  <c r="N57" i="19"/>
  <c r="K57" i="19"/>
  <c r="H57" i="19"/>
  <c r="E57" i="19"/>
  <c r="I57" i="19" s="1"/>
  <c r="D57" i="19"/>
  <c r="B57" i="19"/>
  <c r="AQ56" i="19"/>
  <c r="AL56" i="19"/>
  <c r="AG56" i="19"/>
  <c r="AE56" i="19"/>
  <c r="AB56" i="19"/>
  <c r="Y56" i="19"/>
  <c r="X56" i="19"/>
  <c r="U56" i="19"/>
  <c r="R56" i="19"/>
  <c r="O56" i="19"/>
  <c r="S56" i="19" s="1"/>
  <c r="N56" i="19"/>
  <c r="K56" i="19"/>
  <c r="H56" i="19"/>
  <c r="E56" i="19"/>
  <c r="I56" i="19" s="1"/>
  <c r="D56" i="19"/>
  <c r="B56" i="19"/>
  <c r="AQ55" i="19"/>
  <c r="AL55" i="19"/>
  <c r="AG55" i="19"/>
  <c r="AE55" i="19"/>
  <c r="AF55" i="19" s="1"/>
  <c r="AB55" i="19"/>
  <c r="Y55" i="19"/>
  <c r="X55" i="19"/>
  <c r="U55" i="19"/>
  <c r="R55" i="19"/>
  <c r="O55" i="19"/>
  <c r="S55" i="19" s="1"/>
  <c r="N55" i="19"/>
  <c r="K55" i="19"/>
  <c r="H55" i="19"/>
  <c r="E55" i="19"/>
  <c r="I55" i="19" s="1"/>
  <c r="D55" i="19"/>
  <c r="B55" i="19"/>
  <c r="AQ54" i="19"/>
  <c r="AL54" i="19"/>
  <c r="AG54" i="19"/>
  <c r="AE54" i="19"/>
  <c r="AF54" i="19" s="1"/>
  <c r="AB54" i="19"/>
  <c r="Y54" i="19"/>
  <c r="X54" i="19"/>
  <c r="U54" i="19"/>
  <c r="R54" i="19"/>
  <c r="O54" i="19"/>
  <c r="S54" i="19" s="1"/>
  <c r="N54" i="19"/>
  <c r="K54" i="19"/>
  <c r="L54" i="19" s="1"/>
  <c r="H54" i="19"/>
  <c r="E54" i="19"/>
  <c r="I54" i="19" s="1"/>
  <c r="D54" i="19"/>
  <c r="B54" i="19"/>
  <c r="AQ53" i="19"/>
  <c r="AL53" i="19"/>
  <c r="AG53" i="19"/>
  <c r="AE53" i="19"/>
  <c r="AB53" i="19"/>
  <c r="Y53" i="19"/>
  <c r="X53" i="19"/>
  <c r="U53" i="19"/>
  <c r="R53" i="19"/>
  <c r="O53" i="19"/>
  <c r="S53" i="19" s="1"/>
  <c r="N53" i="19"/>
  <c r="K53" i="19"/>
  <c r="H53" i="19"/>
  <c r="E53" i="19"/>
  <c r="I53" i="19" s="1"/>
  <c r="D53" i="19"/>
  <c r="B53" i="19"/>
  <c r="AQ52" i="19"/>
  <c r="AL52" i="19"/>
  <c r="AG52" i="19"/>
  <c r="AE52" i="19"/>
  <c r="AB52" i="19"/>
  <c r="Y52" i="19"/>
  <c r="X52" i="19"/>
  <c r="U52" i="19"/>
  <c r="R52" i="19"/>
  <c r="O52" i="19"/>
  <c r="S52" i="19" s="1"/>
  <c r="N52" i="19"/>
  <c r="K52" i="19"/>
  <c r="H52" i="19"/>
  <c r="E52" i="19"/>
  <c r="I52" i="19" s="1"/>
  <c r="D52" i="19"/>
  <c r="B52" i="19"/>
  <c r="AQ51" i="19"/>
  <c r="AL51" i="19"/>
  <c r="AG51" i="19"/>
  <c r="AE51" i="19"/>
  <c r="AB51" i="19"/>
  <c r="Y51" i="19"/>
  <c r="X51" i="19"/>
  <c r="U51" i="19"/>
  <c r="R51" i="19"/>
  <c r="O51" i="19"/>
  <c r="S51" i="19" s="1"/>
  <c r="N51" i="19"/>
  <c r="K51" i="19"/>
  <c r="H51" i="19"/>
  <c r="E51" i="19"/>
  <c r="I51" i="19" s="1"/>
  <c r="D51" i="19"/>
  <c r="B51" i="19"/>
  <c r="AQ50" i="19"/>
  <c r="AL50" i="19"/>
  <c r="AG50" i="19"/>
  <c r="AE50" i="19"/>
  <c r="AB50" i="19"/>
  <c r="Y50" i="19"/>
  <c r="X50" i="19"/>
  <c r="U50" i="19"/>
  <c r="R50" i="19"/>
  <c r="O50" i="19"/>
  <c r="S50" i="19" s="1"/>
  <c r="N50" i="19"/>
  <c r="K50" i="19"/>
  <c r="H50" i="19"/>
  <c r="E50" i="19"/>
  <c r="I50" i="19" s="1"/>
  <c r="D50" i="19"/>
  <c r="B50" i="19"/>
  <c r="AQ49" i="19"/>
  <c r="AL49" i="19"/>
  <c r="AG49" i="19"/>
  <c r="AE49" i="19"/>
  <c r="AB49" i="19"/>
  <c r="Y49" i="19"/>
  <c r="X49" i="19"/>
  <c r="U49" i="19"/>
  <c r="R49" i="19"/>
  <c r="O49" i="19"/>
  <c r="S49" i="19" s="1"/>
  <c r="N49" i="19"/>
  <c r="K49" i="19"/>
  <c r="H49" i="19"/>
  <c r="E49" i="19"/>
  <c r="I49" i="19" s="1"/>
  <c r="D49" i="19"/>
  <c r="B49" i="19"/>
  <c r="AQ48" i="19"/>
  <c r="AL48" i="19"/>
  <c r="AG48" i="19"/>
  <c r="AE48" i="19"/>
  <c r="AB48" i="19"/>
  <c r="Y48" i="19"/>
  <c r="X48" i="19"/>
  <c r="U48" i="19"/>
  <c r="R48" i="19"/>
  <c r="O48" i="19"/>
  <c r="S48" i="19" s="1"/>
  <c r="N48" i="19"/>
  <c r="K48" i="19"/>
  <c r="H48" i="19"/>
  <c r="E48" i="19"/>
  <c r="I48" i="19" s="1"/>
  <c r="D48" i="19"/>
  <c r="B48" i="19"/>
  <c r="AQ47" i="19"/>
  <c r="AL47" i="19"/>
  <c r="AG47" i="19"/>
  <c r="AE47" i="19"/>
  <c r="AB47" i="19"/>
  <c r="Y47" i="19"/>
  <c r="X47" i="19"/>
  <c r="U47" i="19"/>
  <c r="R47" i="19"/>
  <c r="O47" i="19"/>
  <c r="S47" i="19" s="1"/>
  <c r="N47" i="19"/>
  <c r="K47" i="19"/>
  <c r="H47" i="19"/>
  <c r="E47" i="19"/>
  <c r="I47" i="19" s="1"/>
  <c r="D47" i="19"/>
  <c r="B47" i="19"/>
  <c r="AQ46" i="19"/>
  <c r="AL46" i="19"/>
  <c r="AG46" i="19"/>
  <c r="AE46" i="19"/>
  <c r="AB46" i="19"/>
  <c r="Y46" i="19"/>
  <c r="X46" i="19"/>
  <c r="U46" i="19"/>
  <c r="R46" i="19"/>
  <c r="O46" i="19"/>
  <c r="S46" i="19" s="1"/>
  <c r="N46" i="19"/>
  <c r="K46" i="19"/>
  <c r="H46" i="19"/>
  <c r="E46" i="19"/>
  <c r="I46" i="19" s="1"/>
  <c r="D46" i="19"/>
  <c r="B46" i="19"/>
  <c r="AQ45" i="19"/>
  <c r="AL45" i="19"/>
  <c r="AG45" i="19"/>
  <c r="AE45" i="19"/>
  <c r="AB45" i="19"/>
  <c r="Y45" i="19"/>
  <c r="X45" i="19"/>
  <c r="U45" i="19"/>
  <c r="R45" i="19"/>
  <c r="O45" i="19"/>
  <c r="S45" i="19" s="1"/>
  <c r="N45" i="19"/>
  <c r="K45" i="19"/>
  <c r="H45" i="19"/>
  <c r="E45" i="19"/>
  <c r="I45" i="19" s="1"/>
  <c r="D45" i="19"/>
  <c r="B45" i="19"/>
  <c r="AQ44" i="19"/>
  <c r="AL44" i="19"/>
  <c r="AG44" i="19"/>
  <c r="AE44" i="19"/>
  <c r="AB44" i="19"/>
  <c r="Y44" i="19"/>
  <c r="X44" i="19"/>
  <c r="U44" i="19"/>
  <c r="R44" i="19"/>
  <c r="O44" i="19"/>
  <c r="S44" i="19" s="1"/>
  <c r="N44" i="19"/>
  <c r="K44" i="19"/>
  <c r="H44" i="19"/>
  <c r="E44" i="19"/>
  <c r="I44" i="19" s="1"/>
  <c r="D44" i="19"/>
  <c r="B44" i="19"/>
  <c r="AQ43" i="19"/>
  <c r="AL43" i="19"/>
  <c r="AG43" i="19"/>
  <c r="AE43" i="19"/>
  <c r="AF43" i="19" s="1"/>
  <c r="AB43" i="19"/>
  <c r="Y43" i="19"/>
  <c r="X43" i="19"/>
  <c r="U43" i="19"/>
  <c r="R43" i="19"/>
  <c r="O43" i="19"/>
  <c r="S43" i="19" s="1"/>
  <c r="N43" i="19"/>
  <c r="K43" i="19"/>
  <c r="H43" i="19"/>
  <c r="E43" i="19"/>
  <c r="I43" i="19" s="1"/>
  <c r="D43" i="19"/>
  <c r="B43" i="19"/>
  <c r="AQ42" i="19"/>
  <c r="AL42" i="19"/>
  <c r="AG42" i="19"/>
  <c r="AE42" i="19"/>
  <c r="AF42" i="19" s="1"/>
  <c r="AB42" i="19"/>
  <c r="Y42" i="19"/>
  <c r="X42" i="19"/>
  <c r="U42" i="19"/>
  <c r="R42" i="19"/>
  <c r="O42" i="19"/>
  <c r="S42" i="19" s="1"/>
  <c r="N42" i="19"/>
  <c r="K42" i="19"/>
  <c r="L42" i="19" s="1"/>
  <c r="H42" i="19"/>
  <c r="E42" i="19"/>
  <c r="I42" i="19" s="1"/>
  <c r="D42" i="19"/>
  <c r="B42" i="19"/>
  <c r="AQ41" i="19"/>
  <c r="AL41" i="19"/>
  <c r="AG41" i="19"/>
  <c r="AE41" i="19"/>
  <c r="AF41" i="19" s="1"/>
  <c r="AB41" i="19"/>
  <c r="Y41" i="19"/>
  <c r="X41" i="19"/>
  <c r="U41" i="19"/>
  <c r="R41" i="19"/>
  <c r="O41" i="19"/>
  <c r="S41" i="19" s="1"/>
  <c r="N41" i="19"/>
  <c r="K41" i="19"/>
  <c r="H41" i="19"/>
  <c r="E41" i="19"/>
  <c r="I41" i="19" s="1"/>
  <c r="D41" i="19"/>
  <c r="B41" i="19"/>
  <c r="AQ40" i="19"/>
  <c r="AL40" i="19"/>
  <c r="AG40" i="19"/>
  <c r="AE40" i="19"/>
  <c r="AF40" i="19" s="1"/>
  <c r="AB40" i="19"/>
  <c r="Y40" i="19"/>
  <c r="X40" i="19"/>
  <c r="U40" i="19"/>
  <c r="R40" i="19"/>
  <c r="O40" i="19"/>
  <c r="S40" i="19" s="1"/>
  <c r="N40" i="19"/>
  <c r="K40" i="19"/>
  <c r="L40" i="19" s="1"/>
  <c r="H40" i="19"/>
  <c r="E40" i="19"/>
  <c r="I40" i="19" s="1"/>
  <c r="D40" i="19"/>
  <c r="B40" i="19"/>
  <c r="AQ39" i="19"/>
  <c r="AL39" i="19"/>
  <c r="AG39" i="19"/>
  <c r="AE39" i="19"/>
  <c r="AF39" i="19" s="1"/>
  <c r="AB39" i="19"/>
  <c r="Y39" i="19"/>
  <c r="X39" i="19"/>
  <c r="U39" i="19"/>
  <c r="R39" i="19"/>
  <c r="O39" i="19"/>
  <c r="S39" i="19" s="1"/>
  <c r="N39" i="19"/>
  <c r="K39" i="19"/>
  <c r="H39" i="19"/>
  <c r="E39" i="19"/>
  <c r="I39" i="19" s="1"/>
  <c r="D39" i="19"/>
  <c r="B39" i="19"/>
  <c r="AQ38" i="19"/>
  <c r="AL38" i="19"/>
  <c r="AG38" i="19"/>
  <c r="AE38" i="19"/>
  <c r="AF38" i="19" s="1"/>
  <c r="AB38" i="19"/>
  <c r="Y38" i="19"/>
  <c r="X38" i="19"/>
  <c r="U38" i="19"/>
  <c r="R38" i="19"/>
  <c r="O38" i="19"/>
  <c r="S38" i="19" s="1"/>
  <c r="N38" i="19"/>
  <c r="K38" i="19"/>
  <c r="H38" i="19"/>
  <c r="E38" i="19"/>
  <c r="I38" i="19" s="1"/>
  <c r="D38" i="19"/>
  <c r="B38" i="19"/>
  <c r="AQ37" i="19"/>
  <c r="AL37" i="19"/>
  <c r="AG37" i="19"/>
  <c r="AE37" i="19"/>
  <c r="AB37" i="19"/>
  <c r="Y37" i="19"/>
  <c r="X37" i="19"/>
  <c r="U37" i="19"/>
  <c r="R37" i="19"/>
  <c r="O37" i="19"/>
  <c r="S37" i="19" s="1"/>
  <c r="N37" i="19"/>
  <c r="K37" i="19"/>
  <c r="H37" i="19"/>
  <c r="E37" i="19"/>
  <c r="I37" i="19" s="1"/>
  <c r="D37" i="19"/>
  <c r="B37" i="19"/>
  <c r="AQ36" i="19"/>
  <c r="AL36" i="19"/>
  <c r="AG36" i="19"/>
  <c r="AE36" i="19"/>
  <c r="AB36" i="19"/>
  <c r="Y36" i="19"/>
  <c r="X36" i="19"/>
  <c r="U36" i="19"/>
  <c r="R36" i="19"/>
  <c r="O36" i="19"/>
  <c r="S36" i="19" s="1"/>
  <c r="N36" i="19"/>
  <c r="K36" i="19"/>
  <c r="H36" i="19"/>
  <c r="E36" i="19"/>
  <c r="I36" i="19" s="1"/>
  <c r="D36" i="19"/>
  <c r="B36" i="19"/>
  <c r="AQ35" i="19"/>
  <c r="AL35" i="19"/>
  <c r="AG35" i="19"/>
  <c r="AE35" i="19"/>
  <c r="AF35" i="19" s="1"/>
  <c r="AB35" i="19"/>
  <c r="Y35" i="19"/>
  <c r="X35" i="19"/>
  <c r="U35" i="19"/>
  <c r="R35" i="19"/>
  <c r="O35" i="19"/>
  <c r="S35" i="19" s="1"/>
  <c r="N35" i="19"/>
  <c r="K35" i="19"/>
  <c r="H35" i="19"/>
  <c r="E35" i="19"/>
  <c r="I35" i="19" s="1"/>
  <c r="D35" i="19"/>
  <c r="B35" i="19"/>
  <c r="AQ34" i="19"/>
  <c r="AL34" i="19"/>
  <c r="AG34" i="19"/>
  <c r="AE34" i="19"/>
  <c r="AB34" i="19"/>
  <c r="Y34" i="19"/>
  <c r="X34" i="19"/>
  <c r="U34" i="19"/>
  <c r="R34" i="19"/>
  <c r="O34" i="19"/>
  <c r="S34" i="19" s="1"/>
  <c r="N34" i="19"/>
  <c r="K34" i="19"/>
  <c r="H34" i="19"/>
  <c r="E34" i="19"/>
  <c r="I34" i="19" s="1"/>
  <c r="D34" i="19"/>
  <c r="B34" i="19"/>
  <c r="AQ33" i="19"/>
  <c r="AL33" i="19"/>
  <c r="AG33" i="19"/>
  <c r="AE33" i="19"/>
  <c r="AB33" i="19"/>
  <c r="Y33" i="19"/>
  <c r="X33" i="19"/>
  <c r="U33" i="19"/>
  <c r="R33" i="19"/>
  <c r="O33" i="19"/>
  <c r="S33" i="19" s="1"/>
  <c r="N33" i="19"/>
  <c r="K33" i="19"/>
  <c r="H33" i="19"/>
  <c r="E33" i="19"/>
  <c r="I33" i="19" s="1"/>
  <c r="D33" i="19"/>
  <c r="B33" i="19"/>
  <c r="AQ32" i="19"/>
  <c r="AL32" i="19"/>
  <c r="AG32" i="19"/>
  <c r="AE32" i="19"/>
  <c r="AF32" i="19" s="1"/>
  <c r="AB32" i="19"/>
  <c r="Y32" i="19"/>
  <c r="X32" i="19"/>
  <c r="U32" i="19"/>
  <c r="R32" i="19"/>
  <c r="O32" i="19"/>
  <c r="S32" i="19" s="1"/>
  <c r="N32" i="19"/>
  <c r="K32" i="19"/>
  <c r="L32" i="19" s="1"/>
  <c r="H32" i="19"/>
  <c r="E32" i="19"/>
  <c r="I32" i="19" s="1"/>
  <c r="D32" i="19"/>
  <c r="B32" i="19"/>
  <c r="AQ31" i="19"/>
  <c r="AL31" i="19"/>
  <c r="AG31" i="19"/>
  <c r="AE31" i="19"/>
  <c r="AF31" i="19" s="1"/>
  <c r="AB31" i="19"/>
  <c r="Y31" i="19"/>
  <c r="X31" i="19"/>
  <c r="U31" i="19"/>
  <c r="R31" i="19"/>
  <c r="O31" i="19"/>
  <c r="S31" i="19" s="1"/>
  <c r="N31" i="19"/>
  <c r="K31" i="19"/>
  <c r="H31" i="19"/>
  <c r="E31" i="19"/>
  <c r="I31" i="19" s="1"/>
  <c r="D31" i="19"/>
  <c r="B31" i="19"/>
  <c r="AQ30" i="19"/>
  <c r="AL30" i="19"/>
  <c r="AG30" i="19"/>
  <c r="AE30" i="19"/>
  <c r="AF30" i="19" s="1"/>
  <c r="AB30" i="19"/>
  <c r="Y30" i="19"/>
  <c r="X30" i="19"/>
  <c r="U30" i="19"/>
  <c r="R30" i="19"/>
  <c r="O30" i="19"/>
  <c r="S30" i="19" s="1"/>
  <c r="N30" i="19"/>
  <c r="K30" i="19"/>
  <c r="H30" i="19"/>
  <c r="E30" i="19"/>
  <c r="I30" i="19" s="1"/>
  <c r="D30" i="19"/>
  <c r="B30" i="19"/>
  <c r="AQ29" i="19"/>
  <c r="AL29" i="19"/>
  <c r="AG29" i="19"/>
  <c r="AE29" i="19"/>
  <c r="AB29" i="19"/>
  <c r="Y29" i="19"/>
  <c r="X29" i="19"/>
  <c r="U29" i="19"/>
  <c r="R29" i="19"/>
  <c r="O29" i="19"/>
  <c r="S29" i="19" s="1"/>
  <c r="N29" i="19"/>
  <c r="K29" i="19"/>
  <c r="H29" i="19"/>
  <c r="E29" i="19"/>
  <c r="I29" i="19" s="1"/>
  <c r="D29" i="19"/>
  <c r="B29" i="19"/>
  <c r="AQ28" i="19"/>
  <c r="AL28" i="19"/>
  <c r="AG28" i="19"/>
  <c r="AE28" i="19"/>
  <c r="AB28" i="19"/>
  <c r="Y28" i="19"/>
  <c r="X28" i="19"/>
  <c r="U28" i="19"/>
  <c r="R28" i="19"/>
  <c r="O28" i="19"/>
  <c r="S28" i="19" s="1"/>
  <c r="N28" i="19"/>
  <c r="K28" i="19"/>
  <c r="H28" i="19"/>
  <c r="E28" i="19"/>
  <c r="I28" i="19" s="1"/>
  <c r="D28" i="19"/>
  <c r="B28" i="19"/>
  <c r="AQ27" i="19"/>
  <c r="AL27" i="19"/>
  <c r="AG27" i="19"/>
  <c r="AE27" i="19"/>
  <c r="AF27" i="19" s="1"/>
  <c r="AB27" i="19"/>
  <c r="Y27" i="19"/>
  <c r="X27" i="19"/>
  <c r="U27" i="19"/>
  <c r="R27" i="19"/>
  <c r="O27" i="19"/>
  <c r="S27" i="19" s="1"/>
  <c r="N27" i="19"/>
  <c r="K27" i="19"/>
  <c r="H27" i="19"/>
  <c r="E27" i="19"/>
  <c r="I27" i="19" s="1"/>
  <c r="D27" i="19"/>
  <c r="B27" i="19"/>
  <c r="AQ26" i="19"/>
  <c r="AL26" i="19"/>
  <c r="AG26" i="19"/>
  <c r="AE26" i="19"/>
  <c r="AF26" i="19" s="1"/>
  <c r="AB26" i="19"/>
  <c r="Y26" i="19"/>
  <c r="X26" i="19"/>
  <c r="U26" i="19"/>
  <c r="R26" i="19"/>
  <c r="O26" i="19"/>
  <c r="S26" i="19" s="1"/>
  <c r="N26" i="19"/>
  <c r="K26" i="19"/>
  <c r="L26" i="19" s="1"/>
  <c r="H26" i="19"/>
  <c r="E26" i="19"/>
  <c r="I26" i="19" s="1"/>
  <c r="D26" i="19"/>
  <c r="B26" i="19"/>
  <c r="AQ25" i="19"/>
  <c r="AL25" i="19"/>
  <c r="AG25" i="19"/>
  <c r="AE25" i="19"/>
  <c r="AB25" i="19"/>
  <c r="Y25" i="19"/>
  <c r="X25" i="19"/>
  <c r="U25" i="19"/>
  <c r="R25" i="19"/>
  <c r="O25" i="19"/>
  <c r="S25" i="19" s="1"/>
  <c r="N25" i="19"/>
  <c r="K25" i="19"/>
  <c r="H25" i="19"/>
  <c r="E25" i="19"/>
  <c r="I25" i="19" s="1"/>
  <c r="D25" i="19"/>
  <c r="B25" i="19"/>
  <c r="AQ24" i="19"/>
  <c r="AL24" i="19"/>
  <c r="AG24" i="19"/>
  <c r="AE24" i="19"/>
  <c r="AB24" i="19"/>
  <c r="Y24" i="19"/>
  <c r="X24" i="19"/>
  <c r="U24" i="19"/>
  <c r="R24" i="19"/>
  <c r="O24" i="19"/>
  <c r="S24" i="19" s="1"/>
  <c r="N24" i="19"/>
  <c r="K24" i="19"/>
  <c r="H24" i="19"/>
  <c r="E24" i="19"/>
  <c r="I24" i="19" s="1"/>
  <c r="D24" i="19"/>
  <c r="B24" i="19"/>
  <c r="AQ23" i="19"/>
  <c r="AL23" i="19"/>
  <c r="AG23" i="19"/>
  <c r="AE23" i="19"/>
  <c r="AB23" i="19"/>
  <c r="Y23" i="19"/>
  <c r="X23" i="19"/>
  <c r="U23" i="19"/>
  <c r="R23" i="19"/>
  <c r="O23" i="19"/>
  <c r="S23" i="19" s="1"/>
  <c r="N23" i="19"/>
  <c r="K23" i="19"/>
  <c r="H23" i="19"/>
  <c r="E23" i="19"/>
  <c r="I23" i="19" s="1"/>
  <c r="D23" i="19"/>
  <c r="B23" i="19"/>
  <c r="AQ22" i="19"/>
  <c r="AL22" i="19"/>
  <c r="AG22" i="19"/>
  <c r="AE22" i="19"/>
  <c r="AB22" i="19"/>
  <c r="Y22" i="19"/>
  <c r="X22" i="19"/>
  <c r="U22" i="19"/>
  <c r="R22" i="19"/>
  <c r="O22" i="19"/>
  <c r="S22" i="19" s="1"/>
  <c r="N22" i="19"/>
  <c r="K22" i="19"/>
  <c r="H22" i="19"/>
  <c r="E22" i="19"/>
  <c r="I22" i="19" s="1"/>
  <c r="D22" i="19"/>
  <c r="B22" i="19"/>
  <c r="AQ21" i="19"/>
  <c r="AL21" i="19"/>
  <c r="AG21" i="19"/>
  <c r="AE21" i="19"/>
  <c r="AB21" i="19"/>
  <c r="Y21" i="19"/>
  <c r="X21" i="19"/>
  <c r="U21" i="19"/>
  <c r="R21" i="19"/>
  <c r="O21" i="19"/>
  <c r="S21" i="19" s="1"/>
  <c r="N21" i="19"/>
  <c r="K21" i="19"/>
  <c r="L21" i="19" s="1"/>
  <c r="H21" i="19"/>
  <c r="E21" i="19"/>
  <c r="I21" i="19" s="1"/>
  <c r="D21" i="19"/>
  <c r="B21" i="19"/>
  <c r="AQ20" i="19"/>
  <c r="AL20" i="19"/>
  <c r="AG20" i="19"/>
  <c r="AE20" i="19"/>
  <c r="AF20" i="19" s="1"/>
  <c r="AB20" i="19"/>
  <c r="Y20" i="19"/>
  <c r="X20" i="19"/>
  <c r="U20" i="19"/>
  <c r="R20" i="19"/>
  <c r="O20" i="19"/>
  <c r="S20" i="19" s="1"/>
  <c r="N20" i="19"/>
  <c r="K20" i="19"/>
  <c r="H20" i="19"/>
  <c r="E20" i="19"/>
  <c r="I20" i="19" s="1"/>
  <c r="D20" i="19"/>
  <c r="B20" i="19"/>
  <c r="AQ19" i="19"/>
  <c r="AL19" i="19"/>
  <c r="AG19" i="19"/>
  <c r="AE19" i="19"/>
  <c r="AB19" i="19"/>
  <c r="Y19" i="19"/>
  <c r="X19" i="19"/>
  <c r="U19" i="19"/>
  <c r="R19" i="19"/>
  <c r="O19" i="19"/>
  <c r="S19" i="19" s="1"/>
  <c r="N19" i="19"/>
  <c r="K19" i="19"/>
  <c r="H19" i="19"/>
  <c r="E19" i="19"/>
  <c r="I19" i="19" s="1"/>
  <c r="D19" i="19"/>
  <c r="B19" i="19"/>
  <c r="AQ18" i="19"/>
  <c r="AL18" i="19"/>
  <c r="AG18" i="19"/>
  <c r="AE18" i="19"/>
  <c r="AB18" i="19"/>
  <c r="Y18" i="19"/>
  <c r="X18" i="19"/>
  <c r="U18" i="19"/>
  <c r="R18" i="19"/>
  <c r="O18" i="19"/>
  <c r="S18" i="19" s="1"/>
  <c r="N18" i="19"/>
  <c r="K18" i="19"/>
  <c r="L18" i="19" s="1"/>
  <c r="H18" i="19"/>
  <c r="E18" i="19"/>
  <c r="I18" i="19" s="1"/>
  <c r="D18" i="19"/>
  <c r="B18" i="19"/>
  <c r="AQ17" i="19"/>
  <c r="AL17" i="19"/>
  <c r="AG17" i="19"/>
  <c r="AE17" i="19"/>
  <c r="AF17" i="19" s="1"/>
  <c r="AB17" i="19"/>
  <c r="Y17" i="19"/>
  <c r="X17" i="19"/>
  <c r="U17" i="19"/>
  <c r="R17" i="19"/>
  <c r="O17" i="19"/>
  <c r="S17" i="19" s="1"/>
  <c r="N17" i="19"/>
  <c r="K17" i="19"/>
  <c r="H17" i="19"/>
  <c r="E17" i="19"/>
  <c r="I17" i="19" s="1"/>
  <c r="D17" i="19"/>
  <c r="B17" i="19"/>
  <c r="AQ16" i="19"/>
  <c r="AL16" i="19"/>
  <c r="AG16" i="19"/>
  <c r="AE16" i="19"/>
  <c r="AF16" i="19" s="1"/>
  <c r="AB16" i="19"/>
  <c r="Y16" i="19"/>
  <c r="X16" i="19"/>
  <c r="U16" i="19"/>
  <c r="R16" i="19"/>
  <c r="O16" i="19"/>
  <c r="S16" i="19" s="1"/>
  <c r="N16" i="19"/>
  <c r="K16" i="19"/>
  <c r="L16" i="19" s="1"/>
  <c r="H16" i="19"/>
  <c r="E16" i="19"/>
  <c r="I16" i="19" s="1"/>
  <c r="D16" i="19"/>
  <c r="B16" i="19"/>
  <c r="AQ15" i="19"/>
  <c r="AL15" i="19"/>
  <c r="AG15" i="19"/>
  <c r="AE15" i="19"/>
  <c r="AF15" i="19" s="1"/>
  <c r="AB15" i="19"/>
  <c r="Y15" i="19"/>
  <c r="X15" i="19"/>
  <c r="U15" i="19"/>
  <c r="R15" i="19"/>
  <c r="O15" i="19"/>
  <c r="S15" i="19" s="1"/>
  <c r="N15" i="19"/>
  <c r="K15" i="19"/>
  <c r="H15" i="19"/>
  <c r="E15" i="19"/>
  <c r="I15" i="19" s="1"/>
  <c r="D15" i="19"/>
  <c r="B15" i="19"/>
  <c r="AQ14" i="19"/>
  <c r="AL14" i="19"/>
  <c r="AG14" i="19"/>
  <c r="AE14" i="19"/>
  <c r="AF14" i="19" s="1"/>
  <c r="AB14" i="19"/>
  <c r="Y14" i="19"/>
  <c r="X14" i="19"/>
  <c r="U14" i="19"/>
  <c r="R14" i="19"/>
  <c r="O14" i="19"/>
  <c r="S14" i="19" s="1"/>
  <c r="N14" i="19"/>
  <c r="K14" i="19"/>
  <c r="H14" i="19"/>
  <c r="E14" i="19"/>
  <c r="I14" i="19" s="1"/>
  <c r="D14" i="19"/>
  <c r="B14" i="19"/>
  <c r="AQ13" i="19"/>
  <c r="AL13" i="19"/>
  <c r="AG13" i="19"/>
  <c r="AE13" i="19"/>
  <c r="AB13" i="19"/>
  <c r="Y13" i="19"/>
  <c r="X13" i="19"/>
  <c r="U13" i="19"/>
  <c r="R13" i="19"/>
  <c r="O13" i="19"/>
  <c r="S13" i="19" s="1"/>
  <c r="N13" i="19"/>
  <c r="K13" i="19"/>
  <c r="L13" i="19" s="1"/>
  <c r="H13" i="19"/>
  <c r="E13" i="19"/>
  <c r="I13" i="19" s="1"/>
  <c r="D13" i="19"/>
  <c r="B13" i="19"/>
  <c r="AQ12" i="19"/>
  <c r="AL12" i="19"/>
  <c r="AG12" i="19"/>
  <c r="AE12" i="19"/>
  <c r="AB12" i="19"/>
  <c r="Y12" i="19"/>
  <c r="X12" i="19"/>
  <c r="U12" i="19"/>
  <c r="R12" i="19"/>
  <c r="O12" i="19"/>
  <c r="S12" i="19" s="1"/>
  <c r="N12" i="19"/>
  <c r="K12" i="19"/>
  <c r="H12" i="19"/>
  <c r="E12" i="19"/>
  <c r="I12" i="19" s="1"/>
  <c r="D12" i="19"/>
  <c r="B12" i="19"/>
  <c r="AQ11" i="19"/>
  <c r="AL11" i="19"/>
  <c r="AG11" i="19"/>
  <c r="AE11" i="19"/>
  <c r="AF11" i="19" s="1"/>
  <c r="AB11" i="19"/>
  <c r="Y11" i="19"/>
  <c r="X11" i="19"/>
  <c r="U11" i="19"/>
  <c r="R11" i="19"/>
  <c r="O11" i="19"/>
  <c r="S11" i="19" s="1"/>
  <c r="N11" i="19"/>
  <c r="K11" i="19"/>
  <c r="L11" i="19" s="1"/>
  <c r="H11" i="19"/>
  <c r="E11" i="19"/>
  <c r="I11" i="19" s="1"/>
  <c r="D11" i="19"/>
  <c r="B11" i="19"/>
  <c r="AQ10" i="19"/>
  <c r="AL10" i="19"/>
  <c r="AG10" i="19"/>
  <c r="AE10" i="19"/>
  <c r="AB10" i="19"/>
  <c r="Y10" i="19"/>
  <c r="X10" i="19"/>
  <c r="U10" i="19"/>
  <c r="R10" i="19"/>
  <c r="O10" i="19"/>
  <c r="S10" i="19" s="1"/>
  <c r="N10" i="19"/>
  <c r="K10" i="19"/>
  <c r="H10" i="19"/>
  <c r="E10" i="19"/>
  <c r="I10" i="19" s="1"/>
  <c r="D10" i="19"/>
  <c r="B10" i="19"/>
  <c r="AQ9" i="19"/>
  <c r="AL9" i="19"/>
  <c r="AG9" i="19"/>
  <c r="AE9" i="19"/>
  <c r="AB9" i="19"/>
  <c r="Y9" i="19"/>
  <c r="X9" i="19"/>
  <c r="U9" i="19"/>
  <c r="R9" i="19"/>
  <c r="O9" i="19"/>
  <c r="S9" i="19" s="1"/>
  <c r="N9" i="19"/>
  <c r="K9" i="19"/>
  <c r="H9" i="19"/>
  <c r="E9" i="19"/>
  <c r="I9" i="19" s="1"/>
  <c r="D9" i="19"/>
  <c r="B9" i="19"/>
  <c r="AQ8" i="19"/>
  <c r="AL8" i="19"/>
  <c r="AG8" i="19"/>
  <c r="AE8" i="19"/>
  <c r="AB8" i="19"/>
  <c r="Y8" i="19"/>
  <c r="X8" i="19"/>
  <c r="U8" i="19"/>
  <c r="R8" i="19"/>
  <c r="O8" i="19"/>
  <c r="S8" i="19" s="1"/>
  <c r="N8" i="19"/>
  <c r="K8" i="19"/>
  <c r="H8" i="19"/>
  <c r="E8" i="19"/>
  <c r="I8" i="19" s="1"/>
  <c r="D8" i="19"/>
  <c r="B8" i="19"/>
  <c r="AQ7" i="19"/>
  <c r="AL7" i="19"/>
  <c r="AG7" i="19"/>
  <c r="AE7" i="19"/>
  <c r="AB7" i="19"/>
  <c r="Y7" i="19"/>
  <c r="X7" i="19"/>
  <c r="U7" i="19"/>
  <c r="R7" i="19"/>
  <c r="O7" i="19"/>
  <c r="S7" i="19" s="1"/>
  <c r="N7" i="19"/>
  <c r="K7" i="19"/>
  <c r="H7" i="19"/>
  <c r="E7" i="19"/>
  <c r="I7" i="19" s="1"/>
  <c r="D7" i="19"/>
  <c r="B7" i="19"/>
  <c r="AQ6" i="19"/>
  <c r="AL6" i="19"/>
  <c r="AG6" i="19"/>
  <c r="AE6" i="19"/>
  <c r="AF6" i="19" s="1"/>
  <c r="AB6" i="19"/>
  <c r="Y6" i="19"/>
  <c r="X6" i="19"/>
  <c r="U6" i="19"/>
  <c r="R6" i="19"/>
  <c r="O6" i="19"/>
  <c r="S6" i="19" s="1"/>
  <c r="N6" i="19"/>
  <c r="K6" i="19"/>
  <c r="H6" i="19"/>
  <c r="E6" i="19"/>
  <c r="I6" i="19" s="1"/>
  <c r="D6" i="19"/>
  <c r="B6" i="19"/>
  <c r="AQ5" i="19"/>
  <c r="AL5" i="19"/>
  <c r="AG5" i="19"/>
  <c r="AE5" i="19"/>
  <c r="AB5" i="19"/>
  <c r="Y5" i="19"/>
  <c r="X5" i="19"/>
  <c r="U5" i="19"/>
  <c r="R5" i="19"/>
  <c r="O5" i="19"/>
  <c r="S5" i="19" s="1"/>
  <c r="N5" i="19"/>
  <c r="K5" i="19"/>
  <c r="H5" i="19"/>
  <c r="E5" i="19"/>
  <c r="I5" i="19" s="1"/>
  <c r="D5" i="19"/>
  <c r="B5" i="19"/>
  <c r="AQ4" i="19"/>
  <c r="AL4" i="19"/>
  <c r="AG4" i="19"/>
  <c r="AE4" i="19"/>
  <c r="AB4" i="19"/>
  <c r="Y4" i="19"/>
  <c r="X4" i="19"/>
  <c r="U4" i="19"/>
  <c r="R4" i="19"/>
  <c r="O4" i="19"/>
  <c r="S4" i="19" s="1"/>
  <c r="N4" i="19"/>
  <c r="K4" i="19"/>
  <c r="H4" i="19"/>
  <c r="E4" i="19"/>
  <c r="I4" i="19" s="1"/>
  <c r="D4" i="19"/>
  <c r="B4" i="19"/>
  <c r="AQ3" i="19"/>
  <c r="AL3" i="19"/>
  <c r="AG3" i="19"/>
  <c r="AE3" i="19"/>
  <c r="AB3" i="19"/>
  <c r="Y3" i="19"/>
  <c r="X3" i="19"/>
  <c r="U3" i="19"/>
  <c r="R3" i="19"/>
  <c r="O3" i="19"/>
  <c r="S3" i="19" s="1"/>
  <c r="N3" i="19"/>
  <c r="K3" i="19"/>
  <c r="H3" i="19"/>
  <c r="E3" i="19"/>
  <c r="I3" i="19" s="1"/>
  <c r="D3" i="19"/>
  <c r="B3" i="19"/>
  <c r="AQ2" i="19"/>
  <c r="AL2" i="19"/>
  <c r="AG2" i="19"/>
  <c r="AE2" i="19"/>
  <c r="AB2" i="19"/>
  <c r="Y2" i="19"/>
  <c r="X2" i="19"/>
  <c r="U2" i="19"/>
  <c r="R2" i="19"/>
  <c r="O2" i="19"/>
  <c r="S2" i="19" s="1"/>
  <c r="N2" i="19"/>
  <c r="K2" i="19"/>
  <c r="H2" i="19"/>
  <c r="E2" i="19"/>
  <c r="I2" i="19" s="1"/>
  <c r="D2" i="19"/>
  <c r="B2" i="19"/>
  <c r="B19" i="18"/>
  <c r="A19" i="18"/>
  <c r="B18" i="18"/>
  <c r="A18" i="18"/>
  <c r="B17" i="18"/>
  <c r="A17" i="18"/>
  <c r="B16" i="18"/>
  <c r="A16" i="18"/>
  <c r="B15" i="18"/>
  <c r="B14" i="18"/>
  <c r="B13" i="18"/>
  <c r="A13" i="18"/>
  <c r="B12" i="18"/>
  <c r="A12" i="18"/>
  <c r="B11" i="18"/>
  <c r="A11" i="18"/>
  <c r="B10" i="18"/>
  <c r="A10" i="18"/>
  <c r="B9" i="18"/>
  <c r="A9" i="18"/>
  <c r="B8" i="18"/>
  <c r="A8" i="18"/>
  <c r="B7" i="18"/>
  <c r="A7" i="18"/>
  <c r="B6" i="18"/>
  <c r="A6" i="18"/>
  <c r="B5" i="18"/>
  <c r="A5" i="18"/>
  <c r="B4" i="18"/>
  <c r="A4" i="18"/>
  <c r="B3" i="18"/>
  <c r="A3" i="18"/>
  <c r="B2" i="18"/>
  <c r="C2" i="18" s="1"/>
  <c r="A2" i="18"/>
  <c r="K8" i="15"/>
  <c r="K9" i="15"/>
  <c r="J2"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I6" i="9"/>
  <c r="I2" i="9"/>
  <c r="I3" i="9"/>
  <c r="I4" i="9"/>
  <c r="I5"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AB2" i="17"/>
  <c r="AB3" i="17"/>
  <c r="AB4" i="17"/>
  <c r="AB5" i="17"/>
  <c r="AB6" i="17"/>
  <c r="AB7" i="17"/>
  <c r="AB8" i="17"/>
  <c r="AB9" i="17"/>
  <c r="AB10" i="17"/>
  <c r="AB11" i="17"/>
  <c r="AB12" i="17"/>
  <c r="AB13" i="17"/>
  <c r="AB14" i="17"/>
  <c r="AB15" i="17"/>
  <c r="AB16" i="17"/>
  <c r="AB17" i="17"/>
  <c r="AB18" i="17"/>
  <c r="AB19" i="17"/>
  <c r="AB20" i="17"/>
  <c r="AB21" i="17"/>
  <c r="AB22" i="17"/>
  <c r="AB23" i="17"/>
  <c r="AB24" i="17"/>
  <c r="AB25" i="17"/>
  <c r="AB26" i="17"/>
  <c r="AB27" i="17"/>
  <c r="AB28" i="17"/>
  <c r="AB29" i="17"/>
  <c r="AB30" i="17"/>
  <c r="AB31" i="17"/>
  <c r="AB32" i="17"/>
  <c r="AB33" i="17"/>
  <c r="AB34" i="17"/>
  <c r="AB35" i="17"/>
  <c r="AB36" i="17"/>
  <c r="AB37" i="17"/>
  <c r="AB38" i="17"/>
  <c r="AB39" i="17"/>
  <c r="AB40" i="17"/>
  <c r="AB41" i="17"/>
  <c r="AB42" i="17"/>
  <c r="AB43" i="17"/>
  <c r="AB44" i="17"/>
  <c r="AB45" i="17"/>
  <c r="AB46" i="17"/>
  <c r="AB47" i="17"/>
  <c r="AB48" i="17"/>
  <c r="AB49" i="17"/>
  <c r="AB50" i="17"/>
  <c r="AB51" i="17"/>
  <c r="AB52" i="17"/>
  <c r="AB53" i="17"/>
  <c r="AB54" i="17"/>
  <c r="AB55" i="17"/>
  <c r="AB56" i="17"/>
  <c r="AB57" i="17"/>
  <c r="AB58" i="17"/>
  <c r="AB59" i="17"/>
  <c r="AB60" i="17"/>
  <c r="AB61" i="17"/>
  <c r="AB62" i="17"/>
  <c r="AB63" i="17"/>
  <c r="AB64" i="17"/>
  <c r="AB65" i="17"/>
  <c r="AB66" i="17"/>
  <c r="AB67" i="17"/>
  <c r="AB68" i="17"/>
  <c r="AB69" i="17"/>
  <c r="AB70" i="17"/>
  <c r="AB71" i="17"/>
  <c r="AB72" i="17"/>
  <c r="AB73" i="17"/>
  <c r="AB74" i="17"/>
  <c r="AB75" i="17"/>
  <c r="AB76" i="17"/>
  <c r="AB77" i="17"/>
  <c r="AB78" i="17"/>
  <c r="AB79" i="17"/>
  <c r="AB80" i="17"/>
  <c r="AB81" i="17"/>
  <c r="AB82" i="17"/>
  <c r="AB83" i="17"/>
  <c r="AB84" i="17"/>
  <c r="AB85" i="17"/>
  <c r="AB86" i="17"/>
  <c r="AB87" i="17"/>
  <c r="AB88" i="17"/>
  <c r="AB89" i="17"/>
  <c r="AB90" i="17"/>
  <c r="AB91" i="17"/>
  <c r="AB92" i="17"/>
  <c r="AB93" i="17"/>
  <c r="AB94" i="17"/>
  <c r="AB95" i="17"/>
  <c r="AB96" i="17"/>
  <c r="AB97" i="17"/>
  <c r="AB98" i="17"/>
  <c r="AB99" i="17"/>
  <c r="AB100" i="17"/>
  <c r="AB101" i="17"/>
  <c r="AB102" i="17"/>
  <c r="AB103" i="17"/>
  <c r="AB104" i="17"/>
  <c r="AB105" i="17"/>
  <c r="AB106" i="17"/>
  <c r="AB107" i="17"/>
  <c r="AB108" i="17"/>
  <c r="AB109" i="17"/>
  <c r="AB110" i="17"/>
  <c r="AB111" i="17"/>
  <c r="AB112" i="17"/>
  <c r="AB113" i="17"/>
  <c r="AB114" i="17"/>
  <c r="AB115" i="17"/>
  <c r="AB116" i="17"/>
  <c r="AB117" i="17"/>
  <c r="AB118" i="17"/>
  <c r="AB119" i="17"/>
  <c r="AB120" i="17"/>
  <c r="AB121" i="17"/>
  <c r="AB122" i="17"/>
  <c r="AB123" i="17"/>
  <c r="AB124" i="17"/>
  <c r="AB125" i="17"/>
  <c r="AB126" i="17"/>
  <c r="AB127" i="17"/>
  <c r="AB128" i="17"/>
  <c r="AB129" i="17"/>
  <c r="AB130" i="17"/>
  <c r="AB131" i="17"/>
  <c r="AB132" i="17"/>
  <c r="AB133" i="17"/>
  <c r="AB134" i="17"/>
  <c r="AB135" i="17"/>
  <c r="AB136" i="17"/>
  <c r="AB137" i="17"/>
  <c r="AB138" i="17"/>
  <c r="AB139" i="17"/>
  <c r="AB140" i="17"/>
  <c r="AB141" i="17"/>
  <c r="AB142" i="17"/>
  <c r="AB143" i="17"/>
  <c r="AB144" i="17"/>
  <c r="AB145" i="17"/>
  <c r="AB146" i="17"/>
  <c r="AB147" i="17"/>
  <c r="AB148" i="17"/>
  <c r="AB149" i="17"/>
  <c r="AB150" i="17"/>
  <c r="AB151" i="17"/>
  <c r="AB152" i="17"/>
  <c r="AB153" i="17"/>
  <c r="AB154" i="17"/>
  <c r="AB155" i="17"/>
  <c r="AB156" i="17"/>
  <c r="AB157" i="17"/>
  <c r="AB158" i="17"/>
  <c r="AB159" i="17"/>
  <c r="AB160" i="17"/>
  <c r="AB161" i="17"/>
  <c r="AB162" i="17"/>
  <c r="AB163" i="17"/>
  <c r="AB164" i="17"/>
  <c r="AB165" i="17"/>
  <c r="AB166" i="17"/>
  <c r="AB167" i="17"/>
  <c r="AB168" i="17"/>
  <c r="AB169" i="17"/>
  <c r="AB170" i="17"/>
  <c r="AB171" i="17"/>
  <c r="AB172" i="17"/>
  <c r="AB173" i="17"/>
  <c r="AB174" i="17"/>
  <c r="AB175" i="17"/>
  <c r="AB176" i="17"/>
  <c r="AB177" i="17"/>
  <c r="AB178" i="17"/>
  <c r="AB179" i="17"/>
  <c r="AB180" i="17"/>
  <c r="AB181" i="17"/>
  <c r="AB182" i="17"/>
  <c r="AB183" i="17"/>
  <c r="AB184" i="17"/>
  <c r="AB185" i="17"/>
  <c r="AB186" i="17"/>
  <c r="AB187" i="17"/>
  <c r="AB188" i="17"/>
  <c r="AB189" i="17"/>
  <c r="AB190" i="17"/>
  <c r="AB191" i="17"/>
  <c r="AB192" i="17"/>
  <c r="AB193" i="17"/>
  <c r="AB194" i="17"/>
  <c r="AB195" i="17"/>
  <c r="AB196" i="17"/>
  <c r="AB197" i="17"/>
  <c r="AB198" i="17"/>
  <c r="AB199" i="17"/>
  <c r="AB200" i="17"/>
  <c r="AB201" i="17"/>
  <c r="AB202" i="17"/>
  <c r="AB203" i="17"/>
  <c r="AB204" i="17"/>
  <c r="AB205" i="17"/>
  <c r="AB206" i="17"/>
  <c r="AB207" i="17"/>
  <c r="AB208" i="17"/>
  <c r="AB209" i="17"/>
  <c r="AB210" i="17"/>
  <c r="AB211" i="17"/>
  <c r="AB212" i="17"/>
  <c r="AB213" i="17"/>
  <c r="AB214" i="17"/>
  <c r="AB215" i="17"/>
  <c r="AB216" i="17"/>
  <c r="AB217" i="17"/>
  <c r="AB218" i="17"/>
  <c r="AB219" i="17"/>
  <c r="AB220" i="17"/>
  <c r="AB221" i="17"/>
  <c r="AB222" i="17"/>
  <c r="AB223" i="17"/>
  <c r="AB224" i="17"/>
  <c r="AB225" i="17"/>
  <c r="AB226" i="17"/>
  <c r="AB227" i="17"/>
  <c r="AB228" i="17"/>
  <c r="AB229" i="17"/>
  <c r="AB230" i="17"/>
  <c r="AB231" i="17"/>
  <c r="AB232" i="17"/>
  <c r="AB233" i="17"/>
  <c r="AB234" i="17"/>
  <c r="AB235" i="17"/>
  <c r="AB236" i="17"/>
  <c r="AB237" i="17"/>
  <c r="AB238" i="17"/>
  <c r="AB239" i="17"/>
  <c r="AB240" i="17"/>
  <c r="AB241" i="17"/>
  <c r="AB242" i="17"/>
  <c r="AB243" i="17"/>
  <c r="AB244" i="17"/>
  <c r="AB245" i="17"/>
  <c r="AB246" i="17"/>
  <c r="AB247" i="17"/>
  <c r="AB248" i="17"/>
  <c r="AB249" i="17"/>
  <c r="AB250" i="17"/>
  <c r="AB251" i="17"/>
  <c r="AB252" i="17"/>
  <c r="AB253" i="17"/>
  <c r="AB254" i="17"/>
  <c r="AB255" i="17"/>
  <c r="AB256" i="17"/>
  <c r="AB257" i="17"/>
  <c r="AB258" i="17"/>
  <c r="AB259" i="17"/>
  <c r="AB260" i="17"/>
  <c r="AB261" i="17"/>
  <c r="AB262" i="17"/>
  <c r="AB263" i="17"/>
  <c r="AB264" i="17"/>
  <c r="AB265" i="17"/>
  <c r="AB266" i="17"/>
  <c r="AB267" i="17"/>
  <c r="AB268" i="17"/>
  <c r="AB269" i="17"/>
  <c r="AB270" i="17"/>
  <c r="AB271" i="17"/>
  <c r="AB272" i="17"/>
  <c r="AB273" i="17"/>
  <c r="AB274" i="17"/>
  <c r="AB275" i="17"/>
  <c r="AB276" i="17"/>
  <c r="AB277" i="17"/>
  <c r="AB278" i="17"/>
  <c r="AB279" i="17"/>
  <c r="AB280" i="17"/>
  <c r="AB281" i="17"/>
  <c r="AB282" i="17"/>
  <c r="AB283" i="17"/>
  <c r="AB284" i="17"/>
  <c r="AB285" i="17"/>
  <c r="AB286" i="17"/>
  <c r="AB287" i="17"/>
  <c r="AB288" i="17"/>
  <c r="AB289" i="17"/>
  <c r="AB290" i="17"/>
  <c r="AB291" i="17"/>
  <c r="AB292" i="17"/>
  <c r="AB293" i="17"/>
  <c r="AB294" i="17"/>
  <c r="AB295" i="17"/>
  <c r="AB296" i="17"/>
  <c r="AB297" i="17"/>
  <c r="AB298" i="17"/>
  <c r="AB299" i="17"/>
  <c r="AB300" i="17"/>
  <c r="AB301" i="17"/>
  <c r="AB302" i="17"/>
  <c r="AB303" i="17"/>
  <c r="AB304" i="17"/>
  <c r="AB305" i="17"/>
  <c r="AB306" i="17"/>
  <c r="AB307" i="17"/>
  <c r="AB308" i="17"/>
  <c r="AB309" i="17"/>
  <c r="AB310" i="17"/>
  <c r="AB311" i="17"/>
  <c r="AB312" i="17"/>
  <c r="AB313" i="17"/>
  <c r="AB314" i="17"/>
  <c r="AB315" i="17"/>
  <c r="AB316" i="17"/>
  <c r="AB317" i="17"/>
  <c r="AB318" i="17"/>
  <c r="AB319" i="17"/>
  <c r="AB320" i="17"/>
  <c r="AB321" i="17"/>
  <c r="AB322" i="17"/>
  <c r="AB323" i="17"/>
  <c r="AB324" i="17"/>
  <c r="AB325" i="17"/>
  <c r="AB326" i="17"/>
  <c r="AB327" i="17"/>
  <c r="AB328" i="17"/>
  <c r="AB329" i="17"/>
  <c r="AB330" i="17"/>
  <c r="AB331" i="17"/>
  <c r="AB332" i="17"/>
  <c r="AB333" i="17"/>
  <c r="AB334" i="17"/>
  <c r="AB335" i="17"/>
  <c r="AB336" i="17"/>
  <c r="AB337" i="17"/>
  <c r="AB338" i="17"/>
  <c r="AB339" i="17"/>
  <c r="AB340" i="17"/>
  <c r="AB341" i="17"/>
  <c r="AB342" i="17"/>
  <c r="AB343" i="17"/>
  <c r="AB344" i="17"/>
  <c r="AB345" i="17"/>
  <c r="AB346" i="17"/>
  <c r="AB347" i="17"/>
  <c r="AB348" i="17"/>
  <c r="AB349" i="17"/>
  <c r="AB350" i="17"/>
  <c r="AB351" i="17"/>
  <c r="AB352" i="17"/>
  <c r="AB353" i="17"/>
  <c r="AB354" i="17"/>
  <c r="AB355" i="17"/>
  <c r="AB356" i="17"/>
  <c r="AB357" i="17"/>
  <c r="AB358" i="17"/>
  <c r="AB359" i="17"/>
  <c r="AB360" i="17"/>
  <c r="AB361" i="17"/>
  <c r="AB362" i="17"/>
  <c r="AB363" i="17"/>
  <c r="AB364" i="17"/>
  <c r="AB365" i="17"/>
  <c r="AB366" i="17"/>
  <c r="AB367" i="17"/>
  <c r="AB368" i="17"/>
  <c r="AB369" i="17"/>
  <c r="AB370" i="17"/>
  <c r="AB371" i="17"/>
  <c r="AB372" i="17"/>
  <c r="AB373" i="17"/>
  <c r="AB374" i="17"/>
  <c r="AB375" i="17"/>
  <c r="AB376" i="17"/>
  <c r="AB377" i="17"/>
  <c r="AB378" i="17"/>
  <c r="AB379" i="17"/>
  <c r="AB380" i="17"/>
  <c r="AB381" i="17"/>
  <c r="AB382" i="17"/>
  <c r="AB383" i="17"/>
  <c r="AB384" i="17"/>
  <c r="AB385" i="17"/>
  <c r="AB386" i="17"/>
  <c r="AB387" i="17"/>
  <c r="AB388" i="17"/>
  <c r="AB389" i="17"/>
  <c r="AB390" i="17"/>
  <c r="AB391" i="17"/>
  <c r="AB392" i="17"/>
  <c r="AB393" i="17"/>
  <c r="AB394" i="17"/>
  <c r="AB395" i="17"/>
  <c r="AB396" i="17"/>
  <c r="AB397" i="17"/>
  <c r="AB398" i="17"/>
  <c r="AB399" i="17"/>
  <c r="AB400" i="17"/>
  <c r="AB401" i="17"/>
  <c r="AB402" i="17"/>
  <c r="AB403" i="17"/>
  <c r="AB404" i="17"/>
  <c r="AB405" i="17"/>
  <c r="AB406" i="17"/>
  <c r="AB407" i="17"/>
  <c r="AB408" i="17"/>
  <c r="AB409" i="17"/>
  <c r="AB410" i="17"/>
  <c r="AB411" i="17"/>
  <c r="AB412" i="17"/>
  <c r="AB413" i="17"/>
  <c r="AB414" i="17"/>
  <c r="AB415" i="17"/>
  <c r="AB416" i="17"/>
  <c r="AB417" i="17"/>
  <c r="AB418" i="17"/>
  <c r="AB419" i="17"/>
  <c r="AB420" i="17"/>
  <c r="AB421" i="17"/>
  <c r="AB422" i="17"/>
  <c r="AB423" i="17"/>
  <c r="AB424" i="17"/>
  <c r="AB425" i="17"/>
  <c r="AB426" i="17"/>
  <c r="AB427" i="17"/>
  <c r="AB428" i="17"/>
  <c r="AB429" i="17"/>
  <c r="AB430" i="17"/>
  <c r="AB431" i="17"/>
  <c r="AB432" i="17"/>
  <c r="AB433" i="17"/>
  <c r="AB434" i="17"/>
  <c r="AB435" i="17"/>
  <c r="AB436" i="17"/>
  <c r="AB437" i="17"/>
  <c r="AB438" i="17"/>
  <c r="AB439" i="17"/>
  <c r="AB440" i="17"/>
  <c r="AB441" i="17"/>
  <c r="AB442" i="17"/>
  <c r="AB443" i="17"/>
  <c r="AB444" i="17"/>
  <c r="AB445" i="17"/>
  <c r="AB446" i="17"/>
  <c r="AB447" i="17"/>
  <c r="AB448" i="17"/>
  <c r="AB449" i="17"/>
  <c r="AB450" i="17"/>
  <c r="AB451" i="17"/>
  <c r="AB452" i="17"/>
  <c r="AB453" i="17"/>
  <c r="AB454" i="17"/>
  <c r="AB455" i="17"/>
  <c r="AB456" i="17"/>
  <c r="AB457" i="17"/>
  <c r="AB458" i="17"/>
  <c r="AB459" i="17"/>
  <c r="AB460" i="17"/>
  <c r="AB461" i="17"/>
  <c r="AB462" i="17"/>
  <c r="AB463" i="17"/>
  <c r="AB464" i="17"/>
  <c r="AB465" i="17"/>
  <c r="AB466" i="17"/>
  <c r="AB467" i="17"/>
  <c r="AB468" i="17"/>
  <c r="AB469" i="17"/>
  <c r="AB470" i="17"/>
  <c r="AB471" i="17"/>
  <c r="AB472" i="17"/>
  <c r="AB473" i="17"/>
  <c r="AB474" i="17"/>
  <c r="AB475" i="17"/>
  <c r="AB476" i="17"/>
  <c r="AB477" i="17"/>
  <c r="AB478" i="17"/>
  <c r="AB479" i="17"/>
  <c r="AB480" i="17"/>
  <c r="AB481" i="17"/>
  <c r="AB482" i="17"/>
  <c r="AB483" i="17"/>
  <c r="AB484" i="17"/>
  <c r="AB485" i="17"/>
  <c r="AB486" i="17"/>
  <c r="AB487" i="17"/>
  <c r="AB488" i="17"/>
  <c r="AB489" i="17"/>
  <c r="AB490" i="17"/>
  <c r="AB491" i="17"/>
  <c r="AB492" i="17"/>
  <c r="AB493" i="17"/>
  <c r="AB494" i="17"/>
  <c r="AB495" i="17"/>
  <c r="AB496" i="17"/>
  <c r="AB497" i="17"/>
  <c r="AB498" i="17"/>
  <c r="AB499" i="17"/>
  <c r="AB500" i="17"/>
  <c r="AB501" i="17"/>
  <c r="AB502" i="17"/>
  <c r="AB503" i="17"/>
  <c r="AB504" i="17"/>
  <c r="AB505" i="17"/>
  <c r="AB506" i="17"/>
  <c r="AB507" i="17"/>
  <c r="AB508" i="17"/>
  <c r="AB509" i="17"/>
  <c r="AB510" i="17"/>
  <c r="AB511" i="17"/>
  <c r="AB512" i="17"/>
  <c r="AB513" i="17"/>
  <c r="AB514" i="17"/>
  <c r="AB515" i="17"/>
  <c r="AB516" i="17"/>
  <c r="AB517" i="17"/>
  <c r="AB518" i="17"/>
  <c r="AB519" i="17"/>
  <c r="AB520" i="17"/>
  <c r="AB521" i="17"/>
  <c r="AB522" i="17"/>
  <c r="AB523" i="17"/>
  <c r="AB524" i="17"/>
  <c r="AB525" i="17"/>
  <c r="AB526" i="17"/>
  <c r="AB527" i="17"/>
  <c r="AB528" i="17"/>
  <c r="AB529" i="17"/>
  <c r="AB530" i="17"/>
  <c r="AB531" i="17"/>
  <c r="AB532" i="17"/>
  <c r="AB533" i="17"/>
  <c r="AB534" i="17"/>
  <c r="AB535" i="17"/>
  <c r="AB536" i="17"/>
  <c r="AB537" i="17"/>
  <c r="AB538" i="17"/>
  <c r="AB539" i="17"/>
  <c r="AB540" i="17"/>
  <c r="AB541" i="17"/>
  <c r="AB542" i="17"/>
  <c r="AB543" i="17"/>
  <c r="AB544" i="17"/>
  <c r="AB545" i="17"/>
  <c r="AB546" i="17"/>
  <c r="AB547" i="17"/>
  <c r="AB548" i="17"/>
  <c r="AB549" i="17"/>
  <c r="AB550" i="17"/>
  <c r="AB551" i="17"/>
  <c r="AB552" i="17"/>
  <c r="AB553" i="17"/>
  <c r="AB554" i="17"/>
  <c r="AB555" i="17"/>
  <c r="AB556" i="17"/>
  <c r="AB557" i="17"/>
  <c r="AB558" i="17"/>
  <c r="AB559" i="17"/>
  <c r="AB560" i="17"/>
  <c r="AB561" i="17"/>
  <c r="AB562" i="17"/>
  <c r="AB563" i="17"/>
  <c r="AB564" i="17"/>
  <c r="AB565" i="17"/>
  <c r="AB566" i="17"/>
  <c r="AB567" i="17"/>
  <c r="AB568" i="17"/>
  <c r="AB569" i="17"/>
  <c r="AB570" i="17"/>
  <c r="AB571" i="17"/>
  <c r="AB572" i="17"/>
  <c r="AB573" i="17"/>
  <c r="AB574" i="17"/>
  <c r="AB575" i="17"/>
  <c r="AB576" i="17"/>
  <c r="AB577" i="17"/>
  <c r="AB578" i="17"/>
  <c r="AB579" i="17"/>
  <c r="AB580" i="17"/>
  <c r="AB581" i="17"/>
  <c r="AB582" i="17"/>
  <c r="AB583" i="17"/>
  <c r="AB584" i="17"/>
  <c r="AB585" i="17"/>
  <c r="AB586" i="17"/>
  <c r="AB587" i="17"/>
  <c r="AB588" i="17"/>
  <c r="AB589" i="17"/>
  <c r="AB590" i="17"/>
  <c r="AB591" i="17"/>
  <c r="AB592" i="17"/>
  <c r="AB593" i="17"/>
  <c r="AB594" i="17"/>
  <c r="AB595" i="17"/>
  <c r="AB596" i="17"/>
  <c r="AB597" i="17"/>
  <c r="AB598" i="17"/>
  <c r="AB599" i="17"/>
  <c r="AB600" i="17"/>
  <c r="AB601" i="17"/>
  <c r="AB602" i="17"/>
  <c r="AB603" i="17"/>
  <c r="AB604" i="17"/>
  <c r="AB605" i="17"/>
  <c r="AB606" i="17"/>
  <c r="AB607" i="17"/>
  <c r="AB608" i="17"/>
  <c r="AB609" i="17"/>
  <c r="AB610" i="17"/>
  <c r="AB611" i="17"/>
  <c r="AB612" i="17"/>
  <c r="AB613" i="17"/>
  <c r="AB614" i="17"/>
  <c r="AB615" i="17"/>
  <c r="AB616" i="17"/>
  <c r="AB617" i="17"/>
  <c r="AB618" i="17"/>
  <c r="AB619" i="17"/>
  <c r="AB620" i="17"/>
  <c r="AB621" i="17"/>
  <c r="AB622" i="17"/>
  <c r="AB623" i="17"/>
  <c r="AB624" i="17"/>
  <c r="AB625" i="17"/>
  <c r="AB626" i="17"/>
  <c r="AB627" i="17"/>
  <c r="AB628" i="17"/>
  <c r="AB629" i="17"/>
  <c r="AB630" i="17"/>
  <c r="AB631" i="17"/>
  <c r="AB632" i="17"/>
  <c r="AB633" i="17"/>
  <c r="AB634" i="17"/>
  <c r="AB635" i="17"/>
  <c r="AB636" i="17"/>
  <c r="AB637" i="17"/>
  <c r="AB638" i="17"/>
  <c r="AB639" i="17"/>
  <c r="AB640" i="17"/>
  <c r="AB641" i="17"/>
  <c r="AB642" i="17"/>
  <c r="AB643" i="17"/>
  <c r="AB644" i="17"/>
  <c r="AB645" i="17"/>
  <c r="AB646" i="17"/>
  <c r="AB647" i="17"/>
  <c r="AB648" i="17"/>
  <c r="AB649" i="17"/>
  <c r="AB650" i="17"/>
  <c r="AB651" i="17"/>
  <c r="AB652" i="17"/>
  <c r="AB653" i="17"/>
  <c r="AB654" i="17"/>
  <c r="AB655" i="17"/>
  <c r="AB656" i="17"/>
  <c r="AB657" i="17"/>
  <c r="AB658" i="17"/>
  <c r="AB659" i="17"/>
  <c r="AB660" i="17"/>
  <c r="AB661" i="17"/>
  <c r="AB662" i="17"/>
  <c r="AB663" i="17"/>
  <c r="AB664" i="17"/>
  <c r="AB665" i="17"/>
  <c r="AB666" i="17"/>
  <c r="AB667" i="17"/>
  <c r="AB668" i="17"/>
  <c r="AB669" i="17"/>
  <c r="AB670" i="17"/>
  <c r="AB671" i="17"/>
  <c r="AB672" i="17"/>
  <c r="AB673" i="17"/>
  <c r="AB674" i="17"/>
  <c r="AB675" i="17"/>
  <c r="AB676" i="17"/>
  <c r="AB677" i="17"/>
  <c r="AB678" i="17"/>
  <c r="AB679" i="17"/>
  <c r="AB680" i="17"/>
  <c r="AB681" i="17"/>
  <c r="AB682" i="17"/>
  <c r="AB683" i="17"/>
  <c r="AB684" i="17"/>
  <c r="AB685" i="17"/>
  <c r="AB686" i="17"/>
  <c r="AB687" i="17"/>
  <c r="AB688" i="17"/>
  <c r="AB689" i="17"/>
  <c r="AB690" i="17"/>
  <c r="AB691" i="17"/>
  <c r="AB692" i="17"/>
  <c r="AB693" i="17"/>
  <c r="AB694" i="17"/>
  <c r="AB695" i="17"/>
  <c r="AB696" i="17"/>
  <c r="AB697" i="17"/>
  <c r="AB698" i="17"/>
  <c r="AB699" i="17"/>
  <c r="AB700" i="17"/>
  <c r="AB701" i="17"/>
  <c r="AB702" i="17"/>
  <c r="AB703" i="17"/>
  <c r="AB704" i="17"/>
  <c r="AB705" i="17"/>
  <c r="AB706" i="17"/>
  <c r="AB707" i="17"/>
  <c r="AB708" i="17"/>
  <c r="AB709" i="17"/>
  <c r="AB710" i="17"/>
  <c r="AB711" i="17"/>
  <c r="AB712" i="17"/>
  <c r="AB713" i="17"/>
  <c r="AB714" i="17"/>
  <c r="AB715" i="17"/>
  <c r="AB716" i="17"/>
  <c r="AB717" i="17"/>
  <c r="AB718" i="17"/>
  <c r="AB719" i="17"/>
  <c r="AB720" i="17"/>
  <c r="AB721" i="17"/>
  <c r="AB722" i="17"/>
  <c r="AB723" i="17"/>
  <c r="AB724" i="17"/>
  <c r="AB725" i="17"/>
  <c r="AB726" i="17"/>
  <c r="AB727" i="17"/>
  <c r="AB728" i="17"/>
  <c r="AB729" i="17"/>
  <c r="AB730" i="17"/>
  <c r="AB731" i="17"/>
  <c r="AB732" i="17"/>
  <c r="AB733" i="17"/>
  <c r="AB734" i="17"/>
  <c r="AB735" i="17"/>
  <c r="AB736" i="17"/>
  <c r="AB737" i="17"/>
  <c r="AB738" i="17"/>
  <c r="AB739" i="17"/>
  <c r="AB740" i="17"/>
  <c r="AB741" i="17"/>
  <c r="AB742" i="17"/>
  <c r="AB743" i="17"/>
  <c r="AB744" i="17"/>
  <c r="AB745" i="17"/>
  <c r="AB746" i="17"/>
  <c r="AB747" i="17"/>
  <c r="AB748" i="17"/>
  <c r="AB749" i="17"/>
  <c r="AB750" i="17"/>
  <c r="AB751" i="17"/>
  <c r="AB752" i="17"/>
  <c r="AB753" i="17"/>
  <c r="AB754" i="17"/>
  <c r="AB755" i="17"/>
  <c r="AB756" i="17"/>
  <c r="AB757" i="17"/>
  <c r="AB758" i="17"/>
  <c r="AB759" i="17"/>
  <c r="AB760" i="17"/>
  <c r="AB761" i="17"/>
  <c r="AB762" i="17"/>
  <c r="AB763" i="17"/>
  <c r="AB764" i="17"/>
  <c r="AB765" i="17"/>
  <c r="AB766" i="17"/>
  <c r="AB767" i="17"/>
  <c r="AB768" i="17"/>
  <c r="AB769" i="17"/>
  <c r="AB770" i="17"/>
  <c r="AB771" i="17"/>
  <c r="AB772" i="17"/>
  <c r="AB773" i="17"/>
  <c r="AB774" i="17"/>
  <c r="AB775" i="17"/>
  <c r="AB776" i="17"/>
  <c r="AB777" i="17"/>
  <c r="AB778" i="17"/>
  <c r="AB779" i="17"/>
  <c r="AB780" i="17"/>
  <c r="AB781" i="17"/>
  <c r="AB782" i="17"/>
  <c r="AB783" i="17"/>
  <c r="AB784" i="17"/>
  <c r="AB785" i="17"/>
  <c r="AB786" i="17"/>
  <c r="AB787" i="17"/>
  <c r="AB788" i="17"/>
  <c r="AB789" i="17"/>
  <c r="AB790" i="17"/>
  <c r="AB791" i="17"/>
  <c r="AB792" i="17"/>
  <c r="AB793" i="17"/>
  <c r="AB794" i="17"/>
  <c r="AB795" i="17"/>
  <c r="AB796" i="17"/>
  <c r="AB797" i="17"/>
  <c r="AB798" i="17"/>
  <c r="AB799" i="17"/>
  <c r="AB800" i="17"/>
  <c r="AB801" i="17"/>
  <c r="AB802" i="17"/>
  <c r="AB803" i="17"/>
  <c r="AB804" i="17"/>
  <c r="AB805" i="17"/>
  <c r="AB806" i="17"/>
  <c r="AB807" i="17"/>
  <c r="AB808" i="17"/>
  <c r="AB809" i="17"/>
  <c r="AB810" i="17"/>
  <c r="AB811" i="17"/>
  <c r="AB812" i="17"/>
  <c r="AB813" i="17"/>
  <c r="AB814" i="17"/>
  <c r="AB815" i="17"/>
  <c r="AB816" i="17"/>
  <c r="AB817" i="17"/>
  <c r="AB818" i="17"/>
  <c r="AB819" i="17"/>
  <c r="AB820" i="17"/>
  <c r="AB821" i="17"/>
  <c r="AB822" i="17"/>
  <c r="AB823" i="17"/>
  <c r="AB824" i="17"/>
  <c r="AB825" i="17"/>
  <c r="AB826" i="17"/>
  <c r="AB827" i="17"/>
  <c r="AB828" i="17"/>
  <c r="AB829" i="17"/>
  <c r="AB830" i="17"/>
  <c r="AB831" i="17"/>
  <c r="AB832" i="17"/>
  <c r="AB833" i="17"/>
  <c r="AB834" i="17"/>
  <c r="AB835" i="17"/>
  <c r="AB836" i="17"/>
  <c r="AB837" i="17"/>
  <c r="AB838" i="17"/>
  <c r="AB839" i="17"/>
  <c r="AB840" i="17"/>
  <c r="AB841" i="17"/>
  <c r="AB842" i="17"/>
  <c r="AB843" i="17"/>
  <c r="AB844" i="17"/>
  <c r="AB845" i="17"/>
  <c r="AB846" i="17"/>
  <c r="AB847" i="17"/>
  <c r="AB848" i="17"/>
  <c r="AB849" i="17"/>
  <c r="AB850" i="17"/>
  <c r="AB851" i="17"/>
  <c r="AB852" i="17"/>
  <c r="AB853" i="17"/>
  <c r="AB854" i="17"/>
  <c r="AB855" i="17"/>
  <c r="AB856" i="17"/>
  <c r="AB857" i="17"/>
  <c r="AB858" i="17"/>
  <c r="AB859" i="17"/>
  <c r="AB860" i="17"/>
  <c r="AB861" i="17"/>
  <c r="AB862" i="17"/>
  <c r="AB863" i="17"/>
  <c r="AB864" i="17"/>
  <c r="AB865" i="17"/>
  <c r="AB866" i="17"/>
  <c r="AB867" i="17"/>
  <c r="AB868" i="17"/>
  <c r="AB869" i="17"/>
  <c r="AB870" i="17"/>
  <c r="AB871" i="17"/>
  <c r="AB872" i="17"/>
  <c r="AB873" i="17"/>
  <c r="AB874" i="17"/>
  <c r="AB875" i="17"/>
  <c r="AB876" i="17"/>
  <c r="AB877" i="17"/>
  <c r="AB878" i="17"/>
  <c r="AB879" i="17"/>
  <c r="AB880" i="17"/>
  <c r="AB881" i="17"/>
  <c r="AB882" i="17"/>
  <c r="AB883" i="17"/>
  <c r="AB884" i="17"/>
  <c r="AB885" i="17"/>
  <c r="AB886" i="17"/>
  <c r="AB887" i="17"/>
  <c r="AB888" i="17"/>
  <c r="AB889" i="17"/>
  <c r="AB890" i="17"/>
  <c r="AB891" i="17"/>
  <c r="AB892" i="17"/>
  <c r="AB893" i="17"/>
  <c r="AB894" i="17"/>
  <c r="AB895" i="17"/>
  <c r="AB896" i="17"/>
  <c r="AB897" i="17"/>
  <c r="AB898" i="17"/>
  <c r="AB899" i="17"/>
  <c r="AB900" i="17"/>
  <c r="AB901" i="17"/>
  <c r="AB902" i="17"/>
  <c r="AB903" i="17"/>
  <c r="AB904" i="17"/>
  <c r="AB905" i="17"/>
  <c r="AB906" i="17"/>
  <c r="AB907" i="17"/>
  <c r="AB908" i="17"/>
  <c r="AB909" i="17"/>
  <c r="AB910" i="17"/>
  <c r="AB911" i="17"/>
  <c r="AB912" i="17"/>
  <c r="AB913" i="17"/>
  <c r="AB914" i="17"/>
  <c r="AB915" i="17"/>
  <c r="AB916" i="17"/>
  <c r="AB917" i="17"/>
  <c r="AB918" i="17"/>
  <c r="AB919" i="17"/>
  <c r="AB920" i="17"/>
  <c r="AB921" i="17"/>
  <c r="AB922" i="17"/>
  <c r="AB923" i="17"/>
  <c r="AB924" i="17"/>
  <c r="AB925" i="17"/>
  <c r="AB926" i="17"/>
  <c r="AB927" i="17"/>
  <c r="AB928" i="17"/>
  <c r="AB929" i="17"/>
  <c r="AB930" i="17"/>
  <c r="AB931" i="17"/>
  <c r="AB932" i="17"/>
  <c r="AB933" i="17"/>
  <c r="AB934" i="17"/>
  <c r="AB935" i="17"/>
  <c r="AB936" i="17"/>
  <c r="AB937" i="17"/>
  <c r="AB938" i="17"/>
  <c r="AB939" i="17"/>
  <c r="AB940" i="17"/>
  <c r="AB941" i="17"/>
  <c r="AB942" i="17"/>
  <c r="AB943" i="17"/>
  <c r="AB944" i="17"/>
  <c r="AB945" i="17"/>
  <c r="AB946" i="17"/>
  <c r="AB947" i="17"/>
  <c r="AB948" i="17"/>
  <c r="AB949" i="17"/>
  <c r="AB950" i="17"/>
  <c r="AB951" i="17"/>
  <c r="AB952" i="17"/>
  <c r="AB953" i="17"/>
  <c r="AB954" i="17"/>
  <c r="AB955" i="17"/>
  <c r="AB956" i="17"/>
  <c r="AB957" i="17"/>
  <c r="AB958" i="17"/>
  <c r="AB959" i="17"/>
  <c r="AB960" i="17"/>
  <c r="AB961" i="17"/>
  <c r="AB962" i="17"/>
  <c r="AB963" i="17"/>
  <c r="AB964" i="17"/>
  <c r="AB965" i="17"/>
  <c r="AB966" i="17"/>
  <c r="AB967" i="17"/>
  <c r="AB968" i="17"/>
  <c r="AB969" i="17"/>
  <c r="AB970" i="17"/>
  <c r="AB971" i="17"/>
  <c r="AB972" i="17"/>
  <c r="AB973" i="17"/>
  <c r="AB974" i="17"/>
  <c r="AB975" i="17"/>
  <c r="AB976" i="17"/>
  <c r="AB977" i="17"/>
  <c r="AB978" i="17"/>
  <c r="AB979" i="17"/>
  <c r="AB980" i="17"/>
  <c r="AB981" i="17"/>
  <c r="AB982" i="17"/>
  <c r="AB983" i="17"/>
  <c r="AB984" i="17"/>
  <c r="AB985" i="17"/>
  <c r="AB986" i="17"/>
  <c r="AB987" i="17"/>
  <c r="AB988" i="17"/>
  <c r="AB989" i="17"/>
  <c r="AB990" i="17"/>
  <c r="AB991" i="17"/>
  <c r="AB992" i="17"/>
  <c r="AB993" i="17"/>
  <c r="AB994" i="17"/>
  <c r="AB995" i="17"/>
  <c r="AB996" i="17"/>
  <c r="AB997" i="17"/>
  <c r="AB998" i="17"/>
  <c r="AB999" i="17"/>
  <c r="AB1000" i="17"/>
  <c r="AB1001" i="17"/>
  <c r="M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H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Q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S2" i="17"/>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S84" i="17"/>
  <c r="S85" i="17"/>
  <c r="S86" i="17"/>
  <c r="S87" i="17"/>
  <c r="S88" i="17"/>
  <c r="S89" i="17"/>
  <c r="S90" i="17"/>
  <c r="S91" i="17"/>
  <c r="S92" i="17"/>
  <c r="S93" i="17"/>
  <c r="S94" i="17"/>
  <c r="S95" i="17"/>
  <c r="S96" i="17"/>
  <c r="S97" i="17"/>
  <c r="S98" i="17"/>
  <c r="S99" i="17"/>
  <c r="S100" i="17"/>
  <c r="S101" i="17"/>
  <c r="S102" i="17"/>
  <c r="S103" i="17"/>
  <c r="S104" i="17"/>
  <c r="S105" i="17"/>
  <c r="S106" i="17"/>
  <c r="S107" i="17"/>
  <c r="S108" i="17"/>
  <c r="S109" i="17"/>
  <c r="S110" i="17"/>
  <c r="S111" i="17"/>
  <c r="S112" i="17"/>
  <c r="S113" i="17"/>
  <c r="S114" i="17"/>
  <c r="S115" i="17"/>
  <c r="S116" i="17"/>
  <c r="S117" i="17"/>
  <c r="S118" i="17"/>
  <c r="S119" i="17"/>
  <c r="S120" i="17"/>
  <c r="S121" i="17"/>
  <c r="S122" i="17"/>
  <c r="S123" i="17"/>
  <c r="S124" i="17"/>
  <c r="S125" i="17"/>
  <c r="S126" i="17"/>
  <c r="S127" i="17"/>
  <c r="S128" i="17"/>
  <c r="S129" i="17"/>
  <c r="S130" i="17"/>
  <c r="S131" i="17"/>
  <c r="S132" i="17"/>
  <c r="S133" i="17"/>
  <c r="S134" i="17"/>
  <c r="S135" i="17"/>
  <c r="S136" i="17"/>
  <c r="S137" i="17"/>
  <c r="S138" i="17"/>
  <c r="S139" i="17"/>
  <c r="S140" i="17"/>
  <c r="S141" i="17"/>
  <c r="S142" i="17"/>
  <c r="S143" i="17"/>
  <c r="S144" i="17"/>
  <c r="S145" i="17"/>
  <c r="S146" i="17"/>
  <c r="S147" i="17"/>
  <c r="S148" i="17"/>
  <c r="S149" i="17"/>
  <c r="S150" i="17"/>
  <c r="S151" i="17"/>
  <c r="S152"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S181" i="17"/>
  <c r="S182" i="17"/>
  <c r="S183" i="17"/>
  <c r="S184" i="17"/>
  <c r="S185" i="17"/>
  <c r="S186" i="17"/>
  <c r="S187" i="17"/>
  <c r="S188" i="17"/>
  <c r="S189" i="17"/>
  <c r="S190" i="17"/>
  <c r="S191" i="17"/>
  <c r="S192" i="17"/>
  <c r="S193" i="17"/>
  <c r="S194" i="17"/>
  <c r="S195" i="17"/>
  <c r="S196" i="17"/>
  <c r="S197" i="17"/>
  <c r="S198" i="17"/>
  <c r="S199" i="17"/>
  <c r="S200" i="17"/>
  <c r="S201" i="17"/>
  <c r="S202" i="17"/>
  <c r="S203" i="17"/>
  <c r="S204" i="17"/>
  <c r="S205" i="17"/>
  <c r="S206" i="17"/>
  <c r="S207" i="17"/>
  <c r="S208" i="17"/>
  <c r="S209" i="17"/>
  <c r="S210" i="17"/>
  <c r="S211" i="17"/>
  <c r="S212" i="17"/>
  <c r="S213" i="17"/>
  <c r="S214" i="17"/>
  <c r="S215" i="17"/>
  <c r="S216" i="17"/>
  <c r="S217" i="17"/>
  <c r="S218" i="17"/>
  <c r="S219" i="17"/>
  <c r="S220" i="17"/>
  <c r="S221" i="17"/>
  <c r="S222" i="17"/>
  <c r="S223" i="17"/>
  <c r="S224" i="17"/>
  <c r="S225" i="17"/>
  <c r="S226" i="17"/>
  <c r="S227"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S254" i="17"/>
  <c r="S255" i="17"/>
  <c r="S256" i="17"/>
  <c r="S257" i="17"/>
  <c r="S258" i="17"/>
  <c r="S259" i="17"/>
  <c r="S260" i="17"/>
  <c r="S261" i="17"/>
  <c r="S262" i="17"/>
  <c r="S263" i="17"/>
  <c r="S264" i="17"/>
  <c r="S265" i="17"/>
  <c r="S266" i="17"/>
  <c r="S267" i="17"/>
  <c r="S268" i="17"/>
  <c r="S269" i="17"/>
  <c r="S270" i="17"/>
  <c r="S271" i="17"/>
  <c r="S272" i="17"/>
  <c r="S273" i="17"/>
  <c r="S274" i="17"/>
  <c r="S275" i="17"/>
  <c r="S276" i="17"/>
  <c r="S277" i="17"/>
  <c r="S278" i="17"/>
  <c r="S279" i="17"/>
  <c r="S280" i="17"/>
  <c r="S281" i="17"/>
  <c r="S282" i="17"/>
  <c r="S283" i="17"/>
  <c r="S284" i="17"/>
  <c r="S285" i="17"/>
  <c r="S286" i="17"/>
  <c r="S287" i="17"/>
  <c r="S288" i="17"/>
  <c r="S289" i="17"/>
  <c r="S290" i="17"/>
  <c r="S291" i="17"/>
  <c r="S292" i="17"/>
  <c r="S293" i="17"/>
  <c r="S294" i="17"/>
  <c r="S295" i="17"/>
  <c r="S296" i="17"/>
  <c r="S297" i="17"/>
  <c r="S298" i="17"/>
  <c r="S299" i="17"/>
  <c r="S300" i="17"/>
  <c r="S301" i="17"/>
  <c r="S302" i="17"/>
  <c r="S303" i="17"/>
  <c r="S304" i="17"/>
  <c r="S305" i="17"/>
  <c r="S306" i="17"/>
  <c r="S307" i="17"/>
  <c r="S308" i="17"/>
  <c r="S309" i="17"/>
  <c r="S310" i="17"/>
  <c r="S311" i="17"/>
  <c r="S312" i="17"/>
  <c r="S313" i="17"/>
  <c r="S314" i="17"/>
  <c r="S315" i="17"/>
  <c r="S316" i="17"/>
  <c r="S317" i="17"/>
  <c r="S318" i="17"/>
  <c r="S319" i="17"/>
  <c r="S320" i="17"/>
  <c r="S321" i="17"/>
  <c r="S322" i="17"/>
  <c r="S323" i="17"/>
  <c r="S324" i="17"/>
  <c r="S325" i="17"/>
  <c r="S326" i="17"/>
  <c r="S327" i="17"/>
  <c r="S328" i="17"/>
  <c r="S329" i="17"/>
  <c r="S330" i="17"/>
  <c r="S331" i="17"/>
  <c r="S332" i="17"/>
  <c r="S333" i="17"/>
  <c r="S334" i="17"/>
  <c r="S335" i="17"/>
  <c r="S336" i="17"/>
  <c r="S337" i="17"/>
  <c r="S338" i="17"/>
  <c r="S339" i="17"/>
  <c r="S340" i="17"/>
  <c r="S341" i="17"/>
  <c r="S342" i="17"/>
  <c r="S343" i="17"/>
  <c r="S344" i="17"/>
  <c r="S345" i="17"/>
  <c r="S346" i="17"/>
  <c r="S347" i="17"/>
  <c r="S348" i="17"/>
  <c r="S349" i="17"/>
  <c r="S350" i="17"/>
  <c r="S351" i="17"/>
  <c r="S352" i="17"/>
  <c r="S353" i="17"/>
  <c r="S354" i="17"/>
  <c r="S355" i="17"/>
  <c r="S356" i="17"/>
  <c r="S357" i="17"/>
  <c r="S358" i="17"/>
  <c r="S359" i="17"/>
  <c r="S360" i="17"/>
  <c r="S361" i="17"/>
  <c r="S362" i="17"/>
  <c r="S363" i="17"/>
  <c r="S364" i="17"/>
  <c r="S365" i="17"/>
  <c r="S366" i="17"/>
  <c r="S367" i="17"/>
  <c r="S368" i="17"/>
  <c r="S369" i="17"/>
  <c r="S370" i="17"/>
  <c r="S371" i="17"/>
  <c r="S372" i="17"/>
  <c r="S373" i="17"/>
  <c r="S374" i="17"/>
  <c r="S375" i="17"/>
  <c r="S376" i="17"/>
  <c r="S377" i="17"/>
  <c r="S378" i="17"/>
  <c r="S379" i="17"/>
  <c r="S380" i="17"/>
  <c r="S381" i="17"/>
  <c r="S382" i="17"/>
  <c r="S383" i="17"/>
  <c r="S384" i="17"/>
  <c r="S385" i="17"/>
  <c r="S386" i="17"/>
  <c r="S387" i="17"/>
  <c r="S388" i="17"/>
  <c r="S389" i="17"/>
  <c r="S390" i="17"/>
  <c r="S391" i="17"/>
  <c r="S392" i="17"/>
  <c r="S393" i="17"/>
  <c r="S394" i="17"/>
  <c r="S395" i="17"/>
  <c r="S396" i="17"/>
  <c r="S397" i="17"/>
  <c r="S398" i="17"/>
  <c r="S399" i="17"/>
  <c r="S400" i="17"/>
  <c r="S401" i="17"/>
  <c r="S402" i="17"/>
  <c r="S403" i="17"/>
  <c r="S404" i="17"/>
  <c r="S405" i="17"/>
  <c r="S406" i="17"/>
  <c r="S407" i="17"/>
  <c r="S408" i="17"/>
  <c r="S409" i="17"/>
  <c r="S410" i="17"/>
  <c r="S411" i="17"/>
  <c r="S412" i="17"/>
  <c r="S413" i="17"/>
  <c r="S414" i="17"/>
  <c r="S415" i="17"/>
  <c r="S416" i="17"/>
  <c r="S417" i="17"/>
  <c r="S418" i="17"/>
  <c r="S419" i="17"/>
  <c r="S420" i="17"/>
  <c r="S421" i="17"/>
  <c r="S422" i="17"/>
  <c r="S423" i="17"/>
  <c r="S424" i="17"/>
  <c r="S425" i="17"/>
  <c r="S426" i="17"/>
  <c r="S427" i="17"/>
  <c r="S428" i="17"/>
  <c r="S429" i="17"/>
  <c r="S430" i="17"/>
  <c r="S431" i="17"/>
  <c r="S432" i="17"/>
  <c r="S433" i="17"/>
  <c r="S434" i="17"/>
  <c r="S435" i="17"/>
  <c r="S436" i="17"/>
  <c r="S437" i="17"/>
  <c r="S438" i="17"/>
  <c r="S439" i="17"/>
  <c r="S440" i="17"/>
  <c r="S441" i="17"/>
  <c r="S442" i="17"/>
  <c r="S443" i="17"/>
  <c r="S444" i="17"/>
  <c r="S445" i="17"/>
  <c r="S446" i="17"/>
  <c r="S447" i="17"/>
  <c r="S448" i="17"/>
  <c r="S449" i="17"/>
  <c r="S450" i="17"/>
  <c r="S451" i="17"/>
  <c r="S452" i="17"/>
  <c r="S453" i="17"/>
  <c r="S454" i="17"/>
  <c r="S455" i="17"/>
  <c r="S456" i="17"/>
  <c r="S457" i="17"/>
  <c r="S458" i="17"/>
  <c r="S459" i="17"/>
  <c r="S460" i="17"/>
  <c r="S461" i="17"/>
  <c r="S462" i="17"/>
  <c r="S463" i="17"/>
  <c r="S464" i="17"/>
  <c r="S465" i="17"/>
  <c r="S466" i="17"/>
  <c r="S467" i="17"/>
  <c r="S468" i="17"/>
  <c r="S469" i="17"/>
  <c r="S470" i="17"/>
  <c r="S471" i="17"/>
  <c r="S472" i="17"/>
  <c r="S473" i="17"/>
  <c r="S474" i="17"/>
  <c r="S475" i="17"/>
  <c r="S476" i="17"/>
  <c r="S477" i="17"/>
  <c r="S478" i="17"/>
  <c r="S479" i="17"/>
  <c r="S480" i="17"/>
  <c r="S481" i="17"/>
  <c r="S482" i="17"/>
  <c r="S483" i="17"/>
  <c r="S484" i="17"/>
  <c r="S485" i="17"/>
  <c r="S486" i="17"/>
  <c r="S487" i="17"/>
  <c r="S488" i="17"/>
  <c r="S489" i="17"/>
  <c r="S490" i="17"/>
  <c r="S491" i="17"/>
  <c r="S492" i="17"/>
  <c r="S493" i="17"/>
  <c r="S494" i="17"/>
  <c r="S495" i="17"/>
  <c r="S496" i="17"/>
  <c r="S497" i="17"/>
  <c r="S498" i="17"/>
  <c r="S499" i="17"/>
  <c r="S500" i="17"/>
  <c r="S501" i="17"/>
  <c r="S502" i="17"/>
  <c r="S503" i="17"/>
  <c r="S504" i="17"/>
  <c r="S505" i="17"/>
  <c r="S506" i="17"/>
  <c r="S507" i="17"/>
  <c r="S508" i="17"/>
  <c r="S509" i="17"/>
  <c r="S510" i="17"/>
  <c r="S511" i="17"/>
  <c r="S512" i="17"/>
  <c r="S513" i="17"/>
  <c r="S514" i="17"/>
  <c r="S515" i="17"/>
  <c r="S516" i="17"/>
  <c r="S517" i="17"/>
  <c r="S518" i="17"/>
  <c r="S519" i="17"/>
  <c r="S520" i="17"/>
  <c r="S521" i="17"/>
  <c r="S522" i="17"/>
  <c r="S523" i="17"/>
  <c r="S524" i="17"/>
  <c r="S525" i="17"/>
  <c r="S526" i="17"/>
  <c r="S527" i="17"/>
  <c r="S528" i="17"/>
  <c r="S529" i="17"/>
  <c r="S530" i="17"/>
  <c r="S531" i="17"/>
  <c r="S532" i="17"/>
  <c r="S533" i="17"/>
  <c r="S534" i="17"/>
  <c r="S535" i="17"/>
  <c r="S536" i="17"/>
  <c r="S537" i="17"/>
  <c r="S538" i="17"/>
  <c r="S539" i="17"/>
  <c r="S540" i="17"/>
  <c r="S541" i="17"/>
  <c r="S542" i="17"/>
  <c r="S543" i="17"/>
  <c r="S544" i="17"/>
  <c r="S545" i="17"/>
  <c r="S546" i="17"/>
  <c r="S547" i="17"/>
  <c r="S548" i="17"/>
  <c r="S549" i="17"/>
  <c r="S550" i="17"/>
  <c r="S551" i="17"/>
  <c r="S552" i="17"/>
  <c r="S553" i="17"/>
  <c r="S554" i="17"/>
  <c r="S555" i="17"/>
  <c r="S556" i="17"/>
  <c r="S557" i="17"/>
  <c r="S558" i="17"/>
  <c r="S559" i="17"/>
  <c r="S560" i="17"/>
  <c r="S561" i="17"/>
  <c r="S562" i="17"/>
  <c r="S563" i="17"/>
  <c r="S564" i="17"/>
  <c r="S565" i="17"/>
  <c r="S566" i="17"/>
  <c r="S567" i="17"/>
  <c r="S568" i="17"/>
  <c r="S569" i="17"/>
  <c r="S570" i="17"/>
  <c r="S571" i="17"/>
  <c r="S572" i="17"/>
  <c r="S573" i="17"/>
  <c r="S574" i="17"/>
  <c r="S575" i="17"/>
  <c r="S576" i="17"/>
  <c r="S577" i="17"/>
  <c r="S578" i="17"/>
  <c r="S579" i="17"/>
  <c r="S580" i="17"/>
  <c r="S581" i="17"/>
  <c r="S582" i="17"/>
  <c r="S583" i="17"/>
  <c r="S584" i="17"/>
  <c r="S585" i="17"/>
  <c r="S586" i="17"/>
  <c r="S587" i="17"/>
  <c r="S588" i="17"/>
  <c r="S589" i="17"/>
  <c r="S590" i="17"/>
  <c r="S591" i="17"/>
  <c r="S592" i="17"/>
  <c r="S593" i="17"/>
  <c r="S594" i="17"/>
  <c r="S595" i="17"/>
  <c r="S596" i="17"/>
  <c r="S597" i="17"/>
  <c r="S598" i="17"/>
  <c r="S599" i="17"/>
  <c r="S600" i="17"/>
  <c r="S601" i="17"/>
  <c r="S602" i="17"/>
  <c r="S603" i="17"/>
  <c r="S604" i="17"/>
  <c r="S605" i="17"/>
  <c r="S606" i="17"/>
  <c r="S607" i="17"/>
  <c r="S608" i="17"/>
  <c r="S609" i="17"/>
  <c r="S610" i="17"/>
  <c r="S611" i="17"/>
  <c r="S612" i="17"/>
  <c r="S613" i="17"/>
  <c r="S614" i="17"/>
  <c r="S615" i="17"/>
  <c r="S616" i="17"/>
  <c r="S617" i="17"/>
  <c r="S618" i="17"/>
  <c r="S619" i="17"/>
  <c r="S620" i="17"/>
  <c r="S621" i="17"/>
  <c r="S622" i="17"/>
  <c r="S623" i="17"/>
  <c r="S624" i="17"/>
  <c r="S625" i="17"/>
  <c r="S626" i="17"/>
  <c r="S627" i="17"/>
  <c r="S628" i="17"/>
  <c r="S629" i="17"/>
  <c r="S630" i="17"/>
  <c r="S631" i="17"/>
  <c r="S632" i="17"/>
  <c r="S633" i="17"/>
  <c r="S634" i="17"/>
  <c r="S635" i="17"/>
  <c r="S636" i="17"/>
  <c r="S637" i="17"/>
  <c r="S638" i="17"/>
  <c r="S639" i="17"/>
  <c r="S640" i="17"/>
  <c r="S641" i="17"/>
  <c r="S642" i="17"/>
  <c r="S643" i="17"/>
  <c r="S644" i="17"/>
  <c r="S645" i="17"/>
  <c r="S646" i="17"/>
  <c r="S647" i="17"/>
  <c r="S648" i="17"/>
  <c r="S649" i="17"/>
  <c r="S650" i="17"/>
  <c r="S651" i="17"/>
  <c r="S652" i="17"/>
  <c r="S653" i="17"/>
  <c r="S654" i="17"/>
  <c r="S655" i="17"/>
  <c r="S656" i="17"/>
  <c r="S657" i="17"/>
  <c r="S658" i="17"/>
  <c r="S659" i="17"/>
  <c r="S660" i="17"/>
  <c r="S661" i="17"/>
  <c r="S662" i="17"/>
  <c r="S663" i="17"/>
  <c r="S664" i="17"/>
  <c r="S665" i="17"/>
  <c r="S666" i="17"/>
  <c r="S667" i="17"/>
  <c r="S668" i="17"/>
  <c r="S669" i="17"/>
  <c r="S670" i="17"/>
  <c r="S671" i="17"/>
  <c r="S672" i="17"/>
  <c r="S673" i="17"/>
  <c r="S674" i="17"/>
  <c r="S675" i="17"/>
  <c r="S676" i="17"/>
  <c r="S677" i="17"/>
  <c r="S678" i="17"/>
  <c r="S679" i="17"/>
  <c r="S680" i="17"/>
  <c r="S681" i="17"/>
  <c r="S682" i="17"/>
  <c r="S683" i="17"/>
  <c r="S684" i="17"/>
  <c r="S685" i="17"/>
  <c r="S686" i="17"/>
  <c r="S687" i="17"/>
  <c r="S688" i="17"/>
  <c r="S689" i="17"/>
  <c r="S690" i="17"/>
  <c r="S691" i="17"/>
  <c r="S692" i="17"/>
  <c r="S693" i="17"/>
  <c r="S694" i="17"/>
  <c r="S695" i="17"/>
  <c r="S696" i="17"/>
  <c r="S697" i="17"/>
  <c r="S698" i="17"/>
  <c r="S699" i="17"/>
  <c r="S700" i="17"/>
  <c r="S701" i="17"/>
  <c r="S702" i="17"/>
  <c r="S703" i="17"/>
  <c r="S704" i="17"/>
  <c r="S705" i="17"/>
  <c r="S706" i="17"/>
  <c r="S707" i="17"/>
  <c r="S708" i="17"/>
  <c r="S709" i="17"/>
  <c r="S710" i="17"/>
  <c r="S711" i="17"/>
  <c r="S712" i="17"/>
  <c r="S713" i="17"/>
  <c r="S714" i="17"/>
  <c r="S715" i="17"/>
  <c r="S716" i="17"/>
  <c r="S717" i="17"/>
  <c r="S718" i="17"/>
  <c r="S719" i="17"/>
  <c r="S720" i="17"/>
  <c r="S721" i="17"/>
  <c r="S722" i="17"/>
  <c r="S723" i="17"/>
  <c r="S724" i="17"/>
  <c r="S725" i="17"/>
  <c r="S726" i="17"/>
  <c r="S727" i="17"/>
  <c r="S728" i="17"/>
  <c r="S729" i="17"/>
  <c r="S730" i="17"/>
  <c r="S731" i="17"/>
  <c r="S732" i="17"/>
  <c r="S733" i="17"/>
  <c r="S734" i="17"/>
  <c r="S735" i="17"/>
  <c r="S736" i="17"/>
  <c r="S737" i="17"/>
  <c r="S738" i="17"/>
  <c r="S739" i="17"/>
  <c r="S740" i="17"/>
  <c r="S741" i="17"/>
  <c r="S742" i="17"/>
  <c r="S743" i="17"/>
  <c r="S744" i="17"/>
  <c r="S745" i="17"/>
  <c r="S746" i="17"/>
  <c r="S747" i="17"/>
  <c r="S748" i="17"/>
  <c r="S749" i="17"/>
  <c r="S750" i="17"/>
  <c r="S751" i="17"/>
  <c r="S752" i="17"/>
  <c r="S753" i="17"/>
  <c r="S754" i="17"/>
  <c r="S755" i="17"/>
  <c r="S756" i="17"/>
  <c r="S757" i="17"/>
  <c r="S758" i="17"/>
  <c r="S759" i="17"/>
  <c r="S760" i="17"/>
  <c r="S761" i="17"/>
  <c r="S762" i="17"/>
  <c r="S763" i="17"/>
  <c r="S764" i="17"/>
  <c r="S765" i="17"/>
  <c r="S766" i="17"/>
  <c r="S767" i="17"/>
  <c r="S768" i="17"/>
  <c r="S769" i="17"/>
  <c r="S770" i="17"/>
  <c r="S771" i="17"/>
  <c r="S772" i="17"/>
  <c r="S773" i="17"/>
  <c r="S774" i="17"/>
  <c r="S775" i="17"/>
  <c r="S776" i="17"/>
  <c r="S777" i="17"/>
  <c r="S778" i="17"/>
  <c r="S779" i="17"/>
  <c r="S780" i="17"/>
  <c r="S781" i="17"/>
  <c r="S782" i="17"/>
  <c r="S783" i="17"/>
  <c r="S784" i="17"/>
  <c r="S785" i="17"/>
  <c r="S786" i="17"/>
  <c r="S787" i="17"/>
  <c r="S788" i="17"/>
  <c r="S789" i="17"/>
  <c r="S790" i="17"/>
  <c r="S791" i="17"/>
  <c r="S792" i="17"/>
  <c r="S793" i="17"/>
  <c r="S794" i="17"/>
  <c r="S795" i="17"/>
  <c r="S796" i="17"/>
  <c r="S797" i="17"/>
  <c r="S798" i="17"/>
  <c r="S799" i="17"/>
  <c r="S800" i="17"/>
  <c r="S801" i="17"/>
  <c r="S802" i="17"/>
  <c r="S803" i="17"/>
  <c r="S804" i="17"/>
  <c r="S805" i="17"/>
  <c r="S806" i="17"/>
  <c r="S807" i="17"/>
  <c r="S808" i="17"/>
  <c r="S809" i="17"/>
  <c r="S810" i="17"/>
  <c r="S811" i="17"/>
  <c r="S812" i="17"/>
  <c r="S813" i="17"/>
  <c r="S814" i="17"/>
  <c r="S815" i="17"/>
  <c r="S816" i="17"/>
  <c r="S817" i="17"/>
  <c r="S818" i="17"/>
  <c r="S819" i="17"/>
  <c r="S820" i="17"/>
  <c r="S821" i="17"/>
  <c r="S822" i="17"/>
  <c r="S823" i="17"/>
  <c r="S824" i="17"/>
  <c r="S825" i="17"/>
  <c r="S826" i="17"/>
  <c r="S827" i="17"/>
  <c r="S828" i="17"/>
  <c r="S829" i="17"/>
  <c r="S830" i="17"/>
  <c r="S831" i="17"/>
  <c r="S832" i="17"/>
  <c r="S833" i="17"/>
  <c r="S834" i="17"/>
  <c r="S835" i="17"/>
  <c r="S836" i="17"/>
  <c r="S837" i="17"/>
  <c r="S838" i="17"/>
  <c r="S839" i="17"/>
  <c r="S840" i="17"/>
  <c r="S841" i="17"/>
  <c r="S842" i="17"/>
  <c r="S843" i="17"/>
  <c r="S844" i="17"/>
  <c r="S845" i="17"/>
  <c r="S846" i="17"/>
  <c r="S847" i="17"/>
  <c r="S848" i="17"/>
  <c r="S849" i="17"/>
  <c r="S850" i="17"/>
  <c r="S851" i="17"/>
  <c r="S852" i="17"/>
  <c r="S853" i="17"/>
  <c r="S854" i="17"/>
  <c r="S855" i="17"/>
  <c r="S856" i="17"/>
  <c r="S857" i="17"/>
  <c r="S858" i="17"/>
  <c r="S859" i="17"/>
  <c r="S860" i="17"/>
  <c r="S861" i="17"/>
  <c r="S862" i="17"/>
  <c r="S863" i="17"/>
  <c r="S864" i="17"/>
  <c r="S865" i="17"/>
  <c r="S866" i="17"/>
  <c r="S867" i="17"/>
  <c r="S868" i="17"/>
  <c r="S869" i="17"/>
  <c r="S870" i="17"/>
  <c r="S871" i="17"/>
  <c r="S872" i="17"/>
  <c r="S873" i="17"/>
  <c r="S874" i="17"/>
  <c r="S875" i="17"/>
  <c r="S876" i="17"/>
  <c r="S877" i="17"/>
  <c r="S878" i="17"/>
  <c r="S879" i="17"/>
  <c r="S880" i="17"/>
  <c r="S881" i="17"/>
  <c r="S882" i="17"/>
  <c r="S883" i="17"/>
  <c r="S884" i="17"/>
  <c r="S885" i="17"/>
  <c r="S886" i="17"/>
  <c r="S887" i="17"/>
  <c r="S888" i="17"/>
  <c r="S889" i="17"/>
  <c r="S890" i="17"/>
  <c r="S891" i="17"/>
  <c r="S892" i="17"/>
  <c r="S893" i="17"/>
  <c r="S894" i="17"/>
  <c r="S895" i="17"/>
  <c r="S896" i="17"/>
  <c r="S897" i="17"/>
  <c r="S898" i="17"/>
  <c r="S899" i="17"/>
  <c r="S900" i="17"/>
  <c r="S901" i="17"/>
  <c r="S902" i="17"/>
  <c r="S903" i="17"/>
  <c r="S904" i="17"/>
  <c r="S905" i="17"/>
  <c r="S906" i="17"/>
  <c r="S907" i="17"/>
  <c r="S908" i="17"/>
  <c r="S909" i="17"/>
  <c r="S910" i="17"/>
  <c r="S911" i="17"/>
  <c r="S912" i="17"/>
  <c r="S913" i="17"/>
  <c r="S914" i="17"/>
  <c r="S915" i="17"/>
  <c r="S916" i="17"/>
  <c r="S917" i="17"/>
  <c r="S918" i="17"/>
  <c r="S919" i="17"/>
  <c r="S920" i="17"/>
  <c r="S921" i="17"/>
  <c r="S922" i="17"/>
  <c r="S923" i="17"/>
  <c r="S924" i="17"/>
  <c r="S925" i="17"/>
  <c r="S926" i="17"/>
  <c r="AG926" i="17" s="1"/>
  <c r="S927" i="17"/>
  <c r="S928" i="17"/>
  <c r="S929" i="17"/>
  <c r="S930" i="17"/>
  <c r="S931" i="17"/>
  <c r="S932" i="17"/>
  <c r="S933" i="17"/>
  <c r="S934" i="17"/>
  <c r="S935" i="17"/>
  <c r="S936" i="17"/>
  <c r="S937" i="17"/>
  <c r="S938" i="17"/>
  <c r="S939" i="17"/>
  <c r="S940" i="17"/>
  <c r="S941" i="17"/>
  <c r="S942" i="17"/>
  <c r="S943" i="17"/>
  <c r="S944" i="17"/>
  <c r="S945" i="17"/>
  <c r="S946" i="17"/>
  <c r="S947" i="17"/>
  <c r="S948" i="17"/>
  <c r="S949" i="17"/>
  <c r="S950" i="17"/>
  <c r="S951" i="17"/>
  <c r="S952" i="17"/>
  <c r="S953" i="17"/>
  <c r="S954" i="17"/>
  <c r="S955" i="17"/>
  <c r="S956" i="17"/>
  <c r="S957" i="17"/>
  <c r="S958" i="17"/>
  <c r="S959" i="17"/>
  <c r="S960" i="17"/>
  <c r="S961" i="17"/>
  <c r="S962" i="17"/>
  <c r="S963" i="17"/>
  <c r="S964" i="17"/>
  <c r="S965" i="17"/>
  <c r="S966" i="17"/>
  <c r="S967" i="17"/>
  <c r="S968" i="17"/>
  <c r="S969" i="17"/>
  <c r="S970" i="17"/>
  <c r="S971" i="17"/>
  <c r="S972" i="17"/>
  <c r="S973" i="17"/>
  <c r="S974" i="17"/>
  <c r="S975" i="17"/>
  <c r="S976" i="17"/>
  <c r="S977" i="17"/>
  <c r="S978" i="17"/>
  <c r="S979" i="17"/>
  <c r="S980" i="17"/>
  <c r="S981" i="17"/>
  <c r="S982" i="17"/>
  <c r="S983" i="17"/>
  <c r="S984" i="17"/>
  <c r="S985" i="17"/>
  <c r="S986" i="17"/>
  <c r="S987" i="17"/>
  <c r="S988" i="17"/>
  <c r="S989" i="17"/>
  <c r="S990" i="17"/>
  <c r="S991" i="17"/>
  <c r="S992" i="17"/>
  <c r="S993" i="17"/>
  <c r="S994" i="17"/>
  <c r="S995" i="17"/>
  <c r="S996" i="17"/>
  <c r="S997" i="17"/>
  <c r="S998" i="17"/>
  <c r="S999" i="17"/>
  <c r="S1000" i="17"/>
  <c r="S1001" i="17"/>
  <c r="Z2" i="17"/>
  <c r="Z3" i="17"/>
  <c r="Z4" i="17"/>
  <c r="Z5" i="17"/>
  <c r="Z6" i="17"/>
  <c r="Z7" i="17"/>
  <c r="Z8" i="17"/>
  <c r="Z9" i="17"/>
  <c r="Z10" i="17"/>
  <c r="Z11" i="17"/>
  <c r="Z12" i="17"/>
  <c r="Z13" i="17"/>
  <c r="Z14" i="17"/>
  <c r="Z15" i="17"/>
  <c r="Z16" i="17"/>
  <c r="Z17" i="17"/>
  <c r="Z18" i="17"/>
  <c r="Z19" i="17"/>
  <c r="Z20" i="17"/>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Z48" i="17"/>
  <c r="Z49" i="17"/>
  <c r="Z50" i="17"/>
  <c r="Z51" i="17"/>
  <c r="Z52" i="17"/>
  <c r="Z53" i="17"/>
  <c r="Z54" i="17"/>
  <c r="Z55" i="17"/>
  <c r="Z56" i="17"/>
  <c r="Z57" i="17"/>
  <c r="Z58" i="17"/>
  <c r="Z59" i="17"/>
  <c r="Z60" i="17"/>
  <c r="Z61" i="17"/>
  <c r="Z62" i="17"/>
  <c r="Z63" i="17"/>
  <c r="Z64" i="17"/>
  <c r="Z65" i="17"/>
  <c r="Z66" i="17"/>
  <c r="Z67" i="17"/>
  <c r="Z68" i="17"/>
  <c r="Z69" i="17"/>
  <c r="Z70" i="17"/>
  <c r="Z71" i="17"/>
  <c r="Z72" i="17"/>
  <c r="Z73" i="17"/>
  <c r="Z74" i="17"/>
  <c r="Z75" i="17"/>
  <c r="Z76" i="17"/>
  <c r="Z77" i="17"/>
  <c r="Z78" i="17"/>
  <c r="Z79" i="17"/>
  <c r="Z80" i="17"/>
  <c r="Z81" i="17"/>
  <c r="Z82" i="17"/>
  <c r="Z83" i="17"/>
  <c r="Z84" i="17"/>
  <c r="Z85" i="17"/>
  <c r="Z86" i="17"/>
  <c r="Z87" i="17"/>
  <c r="Z88" i="17"/>
  <c r="Z89" i="17"/>
  <c r="Z90" i="17"/>
  <c r="Z91" i="17"/>
  <c r="Z92" i="17"/>
  <c r="Z93" i="17"/>
  <c r="Z94" i="17"/>
  <c r="Z95" i="17"/>
  <c r="Z96" i="17"/>
  <c r="Z97" i="17"/>
  <c r="Z98" i="17"/>
  <c r="Z99" i="17"/>
  <c r="Z100" i="17"/>
  <c r="Z101" i="17"/>
  <c r="Z102" i="17"/>
  <c r="Z103" i="17"/>
  <c r="Z104" i="17"/>
  <c r="Z105" i="17"/>
  <c r="Z106" i="17"/>
  <c r="Z107" i="17"/>
  <c r="Z108" i="17"/>
  <c r="Z109" i="17"/>
  <c r="Z110" i="17"/>
  <c r="Z111" i="17"/>
  <c r="Z112" i="17"/>
  <c r="Z113" i="17"/>
  <c r="Z114" i="17"/>
  <c r="Z115" i="17"/>
  <c r="Z116" i="17"/>
  <c r="Z117" i="17"/>
  <c r="Z118" i="17"/>
  <c r="Z119" i="17"/>
  <c r="Z120" i="17"/>
  <c r="Z121" i="17"/>
  <c r="Z122" i="17"/>
  <c r="Z123" i="17"/>
  <c r="Z124" i="17"/>
  <c r="Z125" i="17"/>
  <c r="Z126" i="17"/>
  <c r="Z127" i="17"/>
  <c r="Z128" i="17"/>
  <c r="Z129" i="17"/>
  <c r="Z130" i="17"/>
  <c r="Z131" i="17"/>
  <c r="Z132" i="17"/>
  <c r="Z133" i="17"/>
  <c r="Z134" i="17"/>
  <c r="Z135" i="17"/>
  <c r="Z136" i="17"/>
  <c r="Z137" i="17"/>
  <c r="Z138" i="17"/>
  <c r="Z139" i="17"/>
  <c r="Z140" i="17"/>
  <c r="Z141" i="17"/>
  <c r="Z142" i="17"/>
  <c r="Z143" i="17"/>
  <c r="Z144" i="17"/>
  <c r="Z145" i="17"/>
  <c r="Z146" i="17"/>
  <c r="Z147" i="17"/>
  <c r="Z148" i="17"/>
  <c r="Z149" i="17"/>
  <c r="Z150" i="17"/>
  <c r="Z151" i="17"/>
  <c r="Z152" i="17"/>
  <c r="Z153" i="17"/>
  <c r="Z154" i="17"/>
  <c r="Z155" i="17"/>
  <c r="Z156" i="17"/>
  <c r="Z157" i="17"/>
  <c r="Z158" i="17"/>
  <c r="Z159" i="17"/>
  <c r="Z160" i="17"/>
  <c r="Z161" i="17"/>
  <c r="Z162" i="17"/>
  <c r="Z163" i="17"/>
  <c r="Z164" i="17"/>
  <c r="Z165" i="17"/>
  <c r="Z166" i="17"/>
  <c r="Z167" i="17"/>
  <c r="Z168" i="17"/>
  <c r="Z169" i="17"/>
  <c r="Z170" i="17"/>
  <c r="Z171" i="17"/>
  <c r="Z172" i="17"/>
  <c r="Z173" i="17"/>
  <c r="Z174" i="17"/>
  <c r="Z175" i="17"/>
  <c r="Z176" i="17"/>
  <c r="Z177" i="17"/>
  <c r="Z178" i="17"/>
  <c r="Z179" i="17"/>
  <c r="Z180" i="17"/>
  <c r="Z181" i="17"/>
  <c r="Z182" i="17"/>
  <c r="Z183" i="17"/>
  <c r="Z184" i="17"/>
  <c r="Z185" i="17"/>
  <c r="Z186" i="17"/>
  <c r="Z187" i="17"/>
  <c r="Z188" i="17"/>
  <c r="Z189" i="17"/>
  <c r="Z190" i="17"/>
  <c r="Z191" i="17"/>
  <c r="Z192" i="17"/>
  <c r="Z193" i="17"/>
  <c r="Z194" i="17"/>
  <c r="Z195" i="17"/>
  <c r="Z196" i="17"/>
  <c r="Z197" i="17"/>
  <c r="Z198" i="17"/>
  <c r="Z199" i="17"/>
  <c r="Z200" i="17"/>
  <c r="Z201" i="17"/>
  <c r="Z202" i="17"/>
  <c r="Z203" i="17"/>
  <c r="Z204" i="17"/>
  <c r="Z205" i="17"/>
  <c r="Z206" i="17"/>
  <c r="Z207" i="17"/>
  <c r="Z208" i="17"/>
  <c r="Z209" i="17"/>
  <c r="Z210" i="17"/>
  <c r="Z211" i="17"/>
  <c r="Z212" i="17"/>
  <c r="Z213" i="17"/>
  <c r="Z214" i="17"/>
  <c r="Z215" i="17"/>
  <c r="Z216" i="17"/>
  <c r="Z217" i="17"/>
  <c r="Z218" i="17"/>
  <c r="Z219" i="17"/>
  <c r="Z220" i="17"/>
  <c r="Z221" i="17"/>
  <c r="Z222" i="17"/>
  <c r="Z223" i="17"/>
  <c r="Z224" i="17"/>
  <c r="Z225" i="17"/>
  <c r="Z226" i="17"/>
  <c r="Z227" i="17"/>
  <c r="Z228" i="17"/>
  <c r="Z229" i="17"/>
  <c r="Z230" i="17"/>
  <c r="Z231" i="17"/>
  <c r="Z232" i="17"/>
  <c r="Z233" i="17"/>
  <c r="Z234" i="17"/>
  <c r="Z235" i="17"/>
  <c r="Z236" i="17"/>
  <c r="Z237" i="17"/>
  <c r="Z238" i="17"/>
  <c r="Z239" i="17"/>
  <c r="Z240" i="17"/>
  <c r="Z241" i="17"/>
  <c r="Z242" i="17"/>
  <c r="Z243" i="17"/>
  <c r="Z244" i="17"/>
  <c r="Z245" i="17"/>
  <c r="Z246" i="17"/>
  <c r="Z247" i="17"/>
  <c r="Z248" i="17"/>
  <c r="Z249" i="17"/>
  <c r="Z250" i="17"/>
  <c r="Z251" i="17"/>
  <c r="Z252" i="17"/>
  <c r="Z253" i="17"/>
  <c r="Z254" i="17"/>
  <c r="Z255" i="17"/>
  <c r="Z256" i="17"/>
  <c r="Z257" i="17"/>
  <c r="Z258" i="17"/>
  <c r="Z259" i="17"/>
  <c r="Z260" i="17"/>
  <c r="Z261" i="17"/>
  <c r="Z262" i="17"/>
  <c r="Z263" i="17"/>
  <c r="Z264" i="17"/>
  <c r="Z265" i="17"/>
  <c r="Z266" i="17"/>
  <c r="Z267" i="17"/>
  <c r="Z268" i="17"/>
  <c r="Z269" i="17"/>
  <c r="Z270" i="17"/>
  <c r="Z271" i="17"/>
  <c r="Z272" i="17"/>
  <c r="Z273" i="17"/>
  <c r="Z274" i="17"/>
  <c r="Z275" i="17"/>
  <c r="Z276" i="17"/>
  <c r="Z277" i="17"/>
  <c r="Z278" i="17"/>
  <c r="Z279" i="17"/>
  <c r="Z280" i="17"/>
  <c r="Z281" i="17"/>
  <c r="Z282" i="17"/>
  <c r="Z283" i="17"/>
  <c r="Z284" i="17"/>
  <c r="Z285" i="17"/>
  <c r="Z286" i="17"/>
  <c r="Z287" i="17"/>
  <c r="Z288" i="17"/>
  <c r="Z289" i="17"/>
  <c r="Z290" i="17"/>
  <c r="Z291" i="17"/>
  <c r="Z292" i="17"/>
  <c r="Z293" i="17"/>
  <c r="Z294" i="17"/>
  <c r="Z295" i="17"/>
  <c r="Z296" i="17"/>
  <c r="Z297" i="17"/>
  <c r="Z298" i="17"/>
  <c r="Z299" i="17"/>
  <c r="Z300" i="17"/>
  <c r="Z301" i="17"/>
  <c r="Z302" i="17"/>
  <c r="Z303" i="17"/>
  <c r="Z304" i="17"/>
  <c r="Z305" i="17"/>
  <c r="Z306" i="17"/>
  <c r="Z307" i="17"/>
  <c r="Z308" i="17"/>
  <c r="Z309" i="17"/>
  <c r="Z310" i="17"/>
  <c r="Z311" i="17"/>
  <c r="Z312" i="17"/>
  <c r="Z313" i="17"/>
  <c r="Z314" i="17"/>
  <c r="Z315" i="17"/>
  <c r="Z316" i="17"/>
  <c r="Z317" i="17"/>
  <c r="Z318" i="17"/>
  <c r="Z319" i="17"/>
  <c r="Z320" i="17"/>
  <c r="Z321" i="17"/>
  <c r="Z322" i="17"/>
  <c r="Z323" i="17"/>
  <c r="Z324" i="17"/>
  <c r="Z325" i="17"/>
  <c r="Z326" i="17"/>
  <c r="Z327" i="17"/>
  <c r="Z328" i="17"/>
  <c r="Z329" i="17"/>
  <c r="Z330" i="17"/>
  <c r="Z331" i="17"/>
  <c r="Z332" i="17"/>
  <c r="Z333" i="17"/>
  <c r="Z334" i="17"/>
  <c r="Z335" i="17"/>
  <c r="Z336" i="17"/>
  <c r="Z337" i="17"/>
  <c r="Z338" i="17"/>
  <c r="Z339" i="17"/>
  <c r="Z340" i="17"/>
  <c r="Z341" i="17"/>
  <c r="Z342" i="17"/>
  <c r="Z343" i="17"/>
  <c r="Z344" i="17"/>
  <c r="Z345" i="17"/>
  <c r="Z346" i="17"/>
  <c r="Z347" i="17"/>
  <c r="Z348" i="17"/>
  <c r="Z349" i="17"/>
  <c r="Z350" i="17"/>
  <c r="Z351" i="17"/>
  <c r="Z352" i="17"/>
  <c r="Z353" i="17"/>
  <c r="Z354" i="17"/>
  <c r="Z355" i="17"/>
  <c r="Z356" i="17"/>
  <c r="Z357" i="17"/>
  <c r="Z358" i="17"/>
  <c r="Z359" i="17"/>
  <c r="Z360" i="17"/>
  <c r="Z361" i="17"/>
  <c r="Z362" i="17"/>
  <c r="Z363" i="17"/>
  <c r="Z364" i="17"/>
  <c r="Z365" i="17"/>
  <c r="Z366" i="17"/>
  <c r="Z367" i="17"/>
  <c r="Z368" i="17"/>
  <c r="Z369" i="17"/>
  <c r="Z370" i="17"/>
  <c r="Z371" i="17"/>
  <c r="Z372" i="17"/>
  <c r="Z373" i="17"/>
  <c r="Z374" i="17"/>
  <c r="Z375" i="17"/>
  <c r="Z376" i="17"/>
  <c r="Z377" i="17"/>
  <c r="Z378" i="17"/>
  <c r="Z379" i="17"/>
  <c r="Z380" i="17"/>
  <c r="Z381" i="17"/>
  <c r="Z382" i="17"/>
  <c r="Z383" i="17"/>
  <c r="Z384" i="17"/>
  <c r="Z385" i="17"/>
  <c r="Z386" i="17"/>
  <c r="Z387" i="17"/>
  <c r="Z388" i="17"/>
  <c r="Z389" i="17"/>
  <c r="Z390" i="17"/>
  <c r="Z391" i="17"/>
  <c r="Z392" i="17"/>
  <c r="Z393" i="17"/>
  <c r="Z394" i="17"/>
  <c r="Z395" i="17"/>
  <c r="Z396" i="17"/>
  <c r="Z397" i="17"/>
  <c r="Z398" i="17"/>
  <c r="Z399" i="17"/>
  <c r="Z400" i="17"/>
  <c r="Z401" i="17"/>
  <c r="Z402" i="17"/>
  <c r="Z403" i="17"/>
  <c r="Z404" i="17"/>
  <c r="Z405" i="17"/>
  <c r="Z406" i="17"/>
  <c r="Z407" i="17"/>
  <c r="Z408" i="17"/>
  <c r="Z409" i="17"/>
  <c r="Z410" i="17"/>
  <c r="Z411" i="17"/>
  <c r="Z412" i="17"/>
  <c r="Z413" i="17"/>
  <c r="Z414" i="17"/>
  <c r="Z415" i="17"/>
  <c r="Z416" i="17"/>
  <c r="Z417" i="17"/>
  <c r="Z418" i="17"/>
  <c r="Z419" i="17"/>
  <c r="Z420" i="17"/>
  <c r="Z421" i="17"/>
  <c r="Z422" i="17"/>
  <c r="Z423" i="17"/>
  <c r="Z424" i="17"/>
  <c r="Z425" i="17"/>
  <c r="Z426" i="17"/>
  <c r="Z427" i="17"/>
  <c r="Z428" i="17"/>
  <c r="Z429" i="17"/>
  <c r="Z430" i="17"/>
  <c r="Z431" i="17"/>
  <c r="Z432" i="17"/>
  <c r="Z433" i="17"/>
  <c r="Z434" i="17"/>
  <c r="Z435" i="17"/>
  <c r="Z436" i="17"/>
  <c r="Z437" i="17"/>
  <c r="Z438" i="17"/>
  <c r="Z439" i="17"/>
  <c r="Z440" i="17"/>
  <c r="Z441" i="17"/>
  <c r="Z442" i="17"/>
  <c r="Z443" i="17"/>
  <c r="Z444" i="17"/>
  <c r="Z445" i="17"/>
  <c r="Z446" i="17"/>
  <c r="Z447" i="17"/>
  <c r="Z448" i="17"/>
  <c r="Z449" i="17"/>
  <c r="Z450" i="17"/>
  <c r="Z451" i="17"/>
  <c r="Z452" i="17"/>
  <c r="Z453" i="17"/>
  <c r="Z454" i="17"/>
  <c r="Z455" i="17"/>
  <c r="Z456" i="17"/>
  <c r="Z457" i="17"/>
  <c r="Z458" i="17"/>
  <c r="Z459" i="17"/>
  <c r="Z460" i="17"/>
  <c r="Z461" i="17"/>
  <c r="Z462" i="17"/>
  <c r="Z463" i="17"/>
  <c r="Z464" i="17"/>
  <c r="Z465" i="17"/>
  <c r="Z466" i="17"/>
  <c r="Z467" i="17"/>
  <c r="Z468" i="17"/>
  <c r="Z469" i="17"/>
  <c r="Z470" i="17"/>
  <c r="Z471" i="17"/>
  <c r="Z472" i="17"/>
  <c r="Z473" i="17"/>
  <c r="Z474" i="17"/>
  <c r="Z475" i="17"/>
  <c r="Z476" i="17"/>
  <c r="Z477" i="17"/>
  <c r="Z478" i="17"/>
  <c r="Z479" i="17"/>
  <c r="Z480" i="17"/>
  <c r="Z481" i="17"/>
  <c r="Z482" i="17"/>
  <c r="Z483" i="17"/>
  <c r="Z484" i="17"/>
  <c r="Z485" i="17"/>
  <c r="Z486" i="17"/>
  <c r="Z487" i="17"/>
  <c r="Z488" i="17"/>
  <c r="Z489" i="17"/>
  <c r="Z490" i="17"/>
  <c r="Z491" i="17"/>
  <c r="Z492" i="17"/>
  <c r="Z493" i="17"/>
  <c r="Z494" i="17"/>
  <c r="Z495" i="17"/>
  <c r="Z496" i="17"/>
  <c r="Z497" i="17"/>
  <c r="Z498" i="17"/>
  <c r="Z499" i="17"/>
  <c r="Z500" i="17"/>
  <c r="Z501" i="17"/>
  <c r="Z502" i="17"/>
  <c r="Z503" i="17"/>
  <c r="Z504" i="17"/>
  <c r="Z505" i="17"/>
  <c r="Z506" i="17"/>
  <c r="Z507" i="17"/>
  <c r="Z508" i="17"/>
  <c r="Z509" i="17"/>
  <c r="Z510" i="17"/>
  <c r="Z511" i="17"/>
  <c r="Z512" i="17"/>
  <c r="Z513" i="17"/>
  <c r="Z514" i="17"/>
  <c r="Z515" i="17"/>
  <c r="Z516" i="17"/>
  <c r="Z517" i="17"/>
  <c r="Z518" i="17"/>
  <c r="Z519" i="17"/>
  <c r="Z520" i="17"/>
  <c r="Z521" i="17"/>
  <c r="Z522" i="17"/>
  <c r="Z523" i="17"/>
  <c r="Z524" i="17"/>
  <c r="Z525" i="17"/>
  <c r="Z526" i="17"/>
  <c r="Z527" i="17"/>
  <c r="Z528" i="17"/>
  <c r="Z529" i="17"/>
  <c r="Z530" i="17"/>
  <c r="Z531" i="17"/>
  <c r="Z532" i="17"/>
  <c r="Z533" i="17"/>
  <c r="Z534" i="17"/>
  <c r="Z535" i="17"/>
  <c r="Z536" i="17"/>
  <c r="Z537" i="17"/>
  <c r="Z538" i="17"/>
  <c r="Z539" i="17"/>
  <c r="Z540" i="17"/>
  <c r="Z541" i="17"/>
  <c r="Z542" i="17"/>
  <c r="Z543" i="17"/>
  <c r="Z544" i="17"/>
  <c r="Z545" i="17"/>
  <c r="Z546" i="17"/>
  <c r="Z547" i="17"/>
  <c r="Z548" i="17"/>
  <c r="Z549" i="17"/>
  <c r="Z550" i="17"/>
  <c r="Z551" i="17"/>
  <c r="Z552" i="17"/>
  <c r="Z553" i="17"/>
  <c r="Z554" i="17"/>
  <c r="Z555" i="17"/>
  <c r="Z556" i="17"/>
  <c r="Z557" i="17"/>
  <c r="Z558" i="17"/>
  <c r="Z559" i="17"/>
  <c r="Z560" i="17"/>
  <c r="Z561" i="17"/>
  <c r="Z562" i="17"/>
  <c r="Z563" i="17"/>
  <c r="Z564" i="17"/>
  <c r="Z565" i="17"/>
  <c r="Z566" i="17"/>
  <c r="Z567" i="17"/>
  <c r="Z568" i="17"/>
  <c r="Z569" i="17"/>
  <c r="Z570" i="17"/>
  <c r="Z571" i="17"/>
  <c r="Z572" i="17"/>
  <c r="Z573" i="17"/>
  <c r="Z574" i="17"/>
  <c r="Z575" i="17"/>
  <c r="Z576" i="17"/>
  <c r="Z577" i="17"/>
  <c r="Z578" i="17"/>
  <c r="Z579" i="17"/>
  <c r="Z580" i="17"/>
  <c r="Z581" i="17"/>
  <c r="Z582" i="17"/>
  <c r="Z583" i="17"/>
  <c r="Z584" i="17"/>
  <c r="Z585" i="17"/>
  <c r="Z586" i="17"/>
  <c r="Z587" i="17"/>
  <c r="Z588" i="17"/>
  <c r="Z589" i="17"/>
  <c r="Z590" i="17"/>
  <c r="Z591" i="17"/>
  <c r="Z592" i="17"/>
  <c r="Z593" i="17"/>
  <c r="Z594" i="17"/>
  <c r="Z595" i="17"/>
  <c r="Z596" i="17"/>
  <c r="Z597" i="17"/>
  <c r="Z598" i="17"/>
  <c r="Z599" i="17"/>
  <c r="Z600" i="17"/>
  <c r="Z601" i="17"/>
  <c r="Z602" i="17"/>
  <c r="Z603" i="17"/>
  <c r="Z604" i="17"/>
  <c r="Z605" i="17"/>
  <c r="Z606" i="17"/>
  <c r="Z607" i="17"/>
  <c r="Z608" i="17"/>
  <c r="Z609" i="17"/>
  <c r="Z610" i="17"/>
  <c r="Z611" i="17"/>
  <c r="Z612" i="17"/>
  <c r="Z613" i="17"/>
  <c r="Z614" i="17"/>
  <c r="Z615" i="17"/>
  <c r="Z616" i="17"/>
  <c r="Z617" i="17"/>
  <c r="Z618" i="17"/>
  <c r="Z619" i="17"/>
  <c r="Z620" i="17"/>
  <c r="Z621" i="17"/>
  <c r="Z622" i="17"/>
  <c r="Z623" i="17"/>
  <c r="Z624" i="17"/>
  <c r="Z625" i="17"/>
  <c r="Z626" i="17"/>
  <c r="Z627" i="17"/>
  <c r="Z628" i="17"/>
  <c r="Z629" i="17"/>
  <c r="Z630" i="17"/>
  <c r="Z631" i="17"/>
  <c r="Z632" i="17"/>
  <c r="Z633" i="17"/>
  <c r="Z634" i="17"/>
  <c r="Z635" i="17"/>
  <c r="Z636" i="17"/>
  <c r="Z637" i="17"/>
  <c r="Z638" i="17"/>
  <c r="Z639" i="17"/>
  <c r="Z640" i="17"/>
  <c r="Z641" i="17"/>
  <c r="Z642" i="17"/>
  <c r="Z643" i="17"/>
  <c r="Z644" i="17"/>
  <c r="Z645" i="17"/>
  <c r="Z646" i="17"/>
  <c r="Z647" i="17"/>
  <c r="Z648" i="17"/>
  <c r="Z649" i="17"/>
  <c r="Z650" i="17"/>
  <c r="Z651" i="17"/>
  <c r="Z652" i="17"/>
  <c r="Z653" i="17"/>
  <c r="Z654" i="17"/>
  <c r="Z655" i="17"/>
  <c r="Z656" i="17"/>
  <c r="Z657" i="17"/>
  <c r="Z658" i="17"/>
  <c r="Z659" i="17"/>
  <c r="Z660" i="17"/>
  <c r="Z661" i="17"/>
  <c r="Z662" i="17"/>
  <c r="Z663" i="17"/>
  <c r="Z664" i="17"/>
  <c r="Z665" i="17"/>
  <c r="Z666" i="17"/>
  <c r="Z667" i="17"/>
  <c r="Z668" i="17"/>
  <c r="Z669" i="17"/>
  <c r="Z670" i="17"/>
  <c r="Z671" i="17"/>
  <c r="Z672" i="17"/>
  <c r="Z673" i="17"/>
  <c r="Z674" i="17"/>
  <c r="Z675" i="17"/>
  <c r="Z676" i="17"/>
  <c r="Z677" i="17"/>
  <c r="Z678" i="17"/>
  <c r="Z679" i="17"/>
  <c r="Z680" i="17"/>
  <c r="Z681" i="17"/>
  <c r="Z682" i="17"/>
  <c r="Z683" i="17"/>
  <c r="Z684" i="17"/>
  <c r="Z685" i="17"/>
  <c r="Z686" i="17"/>
  <c r="Z687" i="17"/>
  <c r="Z688" i="17"/>
  <c r="Z689" i="17"/>
  <c r="Z690" i="17"/>
  <c r="Z691" i="17"/>
  <c r="Z692" i="17"/>
  <c r="Z693" i="17"/>
  <c r="Z694" i="17"/>
  <c r="Z695" i="17"/>
  <c r="Z696" i="17"/>
  <c r="Z697" i="17"/>
  <c r="Z698" i="17"/>
  <c r="Z699" i="17"/>
  <c r="Z700" i="17"/>
  <c r="Z701" i="17"/>
  <c r="Z702" i="17"/>
  <c r="Z703" i="17"/>
  <c r="Z704" i="17"/>
  <c r="Z705" i="17"/>
  <c r="Z706" i="17"/>
  <c r="Z707" i="17"/>
  <c r="Z708" i="17"/>
  <c r="Z709" i="17"/>
  <c r="Z710" i="17"/>
  <c r="Z711" i="17"/>
  <c r="Z712" i="17"/>
  <c r="Z713" i="17"/>
  <c r="Z714" i="17"/>
  <c r="Z715" i="17"/>
  <c r="Z716" i="17"/>
  <c r="Z717" i="17"/>
  <c r="Z718" i="17"/>
  <c r="Z719" i="17"/>
  <c r="Z720" i="17"/>
  <c r="Z721" i="17"/>
  <c r="Z722" i="17"/>
  <c r="Z723" i="17"/>
  <c r="Z724" i="17"/>
  <c r="Z725" i="17"/>
  <c r="Z726" i="17"/>
  <c r="Z727" i="17"/>
  <c r="Z728" i="17"/>
  <c r="Z729" i="17"/>
  <c r="Z730" i="17"/>
  <c r="Z731" i="17"/>
  <c r="Z732" i="17"/>
  <c r="Z733" i="17"/>
  <c r="Z734" i="17"/>
  <c r="Z735" i="17"/>
  <c r="Z736" i="17"/>
  <c r="Z737" i="17"/>
  <c r="Z738" i="17"/>
  <c r="Z739" i="17"/>
  <c r="Z740" i="17"/>
  <c r="Z741" i="17"/>
  <c r="Z742" i="17"/>
  <c r="Z743" i="17"/>
  <c r="Z744" i="17"/>
  <c r="Z745" i="17"/>
  <c r="Z746" i="17"/>
  <c r="Z747" i="17"/>
  <c r="Z748" i="17"/>
  <c r="Z749" i="17"/>
  <c r="Z750" i="17"/>
  <c r="Z751" i="17"/>
  <c r="Z752" i="17"/>
  <c r="Z753" i="17"/>
  <c r="Z754" i="17"/>
  <c r="Z755" i="17"/>
  <c r="Z756" i="17"/>
  <c r="Z757" i="17"/>
  <c r="Z758" i="17"/>
  <c r="Z759" i="17"/>
  <c r="Z760" i="17"/>
  <c r="Z761" i="17"/>
  <c r="Z762" i="17"/>
  <c r="Z763" i="17"/>
  <c r="Z764" i="17"/>
  <c r="Z765" i="17"/>
  <c r="Z766" i="17"/>
  <c r="Z767" i="17"/>
  <c r="Z768" i="17"/>
  <c r="Z769" i="17"/>
  <c r="Z770" i="17"/>
  <c r="Z771" i="17"/>
  <c r="Z772" i="17"/>
  <c r="Z773" i="17"/>
  <c r="Z774" i="17"/>
  <c r="Z775" i="17"/>
  <c r="Z776" i="17"/>
  <c r="Z777" i="17"/>
  <c r="Z778" i="17"/>
  <c r="Z779" i="17"/>
  <c r="Z780" i="17"/>
  <c r="Z781" i="17"/>
  <c r="Z782" i="17"/>
  <c r="Z783" i="17"/>
  <c r="Z784" i="17"/>
  <c r="Z785" i="17"/>
  <c r="Z786" i="17"/>
  <c r="Z787" i="17"/>
  <c r="Z788" i="17"/>
  <c r="Z789" i="17"/>
  <c r="Z790" i="17"/>
  <c r="Z791" i="17"/>
  <c r="Z792" i="17"/>
  <c r="Z793" i="17"/>
  <c r="Z794" i="17"/>
  <c r="Z795" i="17"/>
  <c r="Z796" i="17"/>
  <c r="Z797" i="17"/>
  <c r="Z798" i="17"/>
  <c r="Z799" i="17"/>
  <c r="Z800" i="17"/>
  <c r="Z801" i="17"/>
  <c r="Z802" i="17"/>
  <c r="Z803" i="17"/>
  <c r="Z804" i="17"/>
  <c r="Z805" i="17"/>
  <c r="Z806" i="17"/>
  <c r="Z807" i="17"/>
  <c r="Z808" i="17"/>
  <c r="Z809" i="17"/>
  <c r="Z810" i="17"/>
  <c r="Z811" i="17"/>
  <c r="Z812" i="17"/>
  <c r="Z813" i="17"/>
  <c r="Z814" i="17"/>
  <c r="Z815" i="17"/>
  <c r="Z816" i="17"/>
  <c r="Z817" i="17"/>
  <c r="Z818" i="17"/>
  <c r="Z819" i="17"/>
  <c r="Z820" i="17"/>
  <c r="Z821" i="17"/>
  <c r="Z822" i="17"/>
  <c r="Z823" i="17"/>
  <c r="Z824" i="17"/>
  <c r="Z825" i="17"/>
  <c r="Z826" i="17"/>
  <c r="Z827" i="17"/>
  <c r="Z828" i="17"/>
  <c r="Z829" i="17"/>
  <c r="Z830" i="17"/>
  <c r="Z831" i="17"/>
  <c r="Z832" i="17"/>
  <c r="Z833" i="17"/>
  <c r="Z834" i="17"/>
  <c r="Z835" i="17"/>
  <c r="Z836" i="17"/>
  <c r="Z837" i="17"/>
  <c r="Z838" i="17"/>
  <c r="Z839" i="17"/>
  <c r="Z840" i="17"/>
  <c r="Z841" i="17"/>
  <c r="Z842" i="17"/>
  <c r="Z843" i="17"/>
  <c r="Z844" i="17"/>
  <c r="Z845" i="17"/>
  <c r="Z846" i="17"/>
  <c r="Z847" i="17"/>
  <c r="Z848" i="17"/>
  <c r="Z849" i="17"/>
  <c r="Z850" i="17"/>
  <c r="Z851" i="17"/>
  <c r="Z852" i="17"/>
  <c r="Z853" i="17"/>
  <c r="Z854" i="17"/>
  <c r="Z855" i="17"/>
  <c r="Z856" i="17"/>
  <c r="Z857" i="17"/>
  <c r="Z858" i="17"/>
  <c r="Z859" i="17"/>
  <c r="Z860" i="17"/>
  <c r="Z861" i="17"/>
  <c r="Z862" i="17"/>
  <c r="Z863" i="17"/>
  <c r="Z864" i="17"/>
  <c r="Z865" i="17"/>
  <c r="Z866" i="17"/>
  <c r="Z867" i="17"/>
  <c r="Z868" i="17"/>
  <c r="Z869" i="17"/>
  <c r="Z870" i="17"/>
  <c r="Z871" i="17"/>
  <c r="Z872" i="17"/>
  <c r="Z873" i="17"/>
  <c r="Z874" i="17"/>
  <c r="Z875" i="17"/>
  <c r="Z876" i="17"/>
  <c r="Z877" i="17"/>
  <c r="Z878" i="17"/>
  <c r="Z879" i="17"/>
  <c r="Z880" i="17"/>
  <c r="Z881" i="17"/>
  <c r="Z882" i="17"/>
  <c r="Z883" i="17"/>
  <c r="Z884" i="17"/>
  <c r="Z885" i="17"/>
  <c r="Z886" i="17"/>
  <c r="Z887" i="17"/>
  <c r="Z888" i="17"/>
  <c r="Z889" i="17"/>
  <c r="Z890" i="17"/>
  <c r="Z891" i="17"/>
  <c r="Z892" i="17"/>
  <c r="Z893" i="17"/>
  <c r="Z894" i="17"/>
  <c r="Z895" i="17"/>
  <c r="Z896" i="17"/>
  <c r="Z897" i="17"/>
  <c r="Z898" i="17"/>
  <c r="Z899" i="17"/>
  <c r="Z900" i="17"/>
  <c r="Z901" i="17"/>
  <c r="Z902" i="17"/>
  <c r="Z903" i="17"/>
  <c r="Z904" i="17"/>
  <c r="Z905" i="17"/>
  <c r="Z906" i="17"/>
  <c r="Z907" i="17"/>
  <c r="Z908" i="17"/>
  <c r="Z909" i="17"/>
  <c r="Z910" i="17"/>
  <c r="Z911" i="17"/>
  <c r="Z912" i="17"/>
  <c r="Z913" i="17"/>
  <c r="Z914" i="17"/>
  <c r="Z915" i="17"/>
  <c r="Z916" i="17"/>
  <c r="Z917" i="17"/>
  <c r="Z918" i="17"/>
  <c r="Z919" i="17"/>
  <c r="Z920" i="17"/>
  <c r="Z921" i="17"/>
  <c r="Z922" i="17"/>
  <c r="Z923" i="17"/>
  <c r="Z924" i="17"/>
  <c r="Z925" i="17"/>
  <c r="Z926" i="17"/>
  <c r="Z927" i="17"/>
  <c r="Z928" i="17"/>
  <c r="Z929" i="17"/>
  <c r="Z930" i="17"/>
  <c r="Z931" i="17"/>
  <c r="Z932" i="17"/>
  <c r="Z933" i="17"/>
  <c r="Z934" i="17"/>
  <c r="Z935" i="17"/>
  <c r="Z936" i="17"/>
  <c r="Z937" i="17"/>
  <c r="Z938" i="17"/>
  <c r="Z939" i="17"/>
  <c r="Z940" i="17"/>
  <c r="Z941" i="17"/>
  <c r="Z942" i="17"/>
  <c r="Z943" i="17"/>
  <c r="Z944" i="17"/>
  <c r="Z945" i="17"/>
  <c r="Z946" i="17"/>
  <c r="Z947" i="17"/>
  <c r="Z948" i="17"/>
  <c r="Z949" i="17"/>
  <c r="Z950" i="17"/>
  <c r="Z951" i="17"/>
  <c r="Z952" i="17"/>
  <c r="Z953" i="17"/>
  <c r="Z954" i="17"/>
  <c r="Z955" i="17"/>
  <c r="Z956" i="17"/>
  <c r="Z957" i="17"/>
  <c r="Z958" i="17"/>
  <c r="Z959" i="17"/>
  <c r="Z960" i="17"/>
  <c r="Z961" i="17"/>
  <c r="Z962" i="17"/>
  <c r="Z963" i="17"/>
  <c r="Z964" i="17"/>
  <c r="Z965" i="17"/>
  <c r="Z966" i="17"/>
  <c r="Z967" i="17"/>
  <c r="Z968" i="17"/>
  <c r="Z969" i="17"/>
  <c r="Z970" i="17"/>
  <c r="Z971" i="17"/>
  <c r="Z972" i="17"/>
  <c r="Z973" i="17"/>
  <c r="Z974" i="17"/>
  <c r="Z975" i="17"/>
  <c r="Z976" i="17"/>
  <c r="Z977" i="17"/>
  <c r="Z978" i="17"/>
  <c r="Z979" i="17"/>
  <c r="Z980" i="17"/>
  <c r="Z981" i="17"/>
  <c r="Z982" i="17"/>
  <c r="Z983" i="17"/>
  <c r="Z984" i="17"/>
  <c r="Z985" i="17"/>
  <c r="Z986" i="17"/>
  <c r="Z987" i="17"/>
  <c r="Z988" i="17"/>
  <c r="Z989" i="17"/>
  <c r="Z990" i="17"/>
  <c r="Z991" i="17"/>
  <c r="Z992" i="17"/>
  <c r="Z993" i="17"/>
  <c r="Z994" i="17"/>
  <c r="Z995" i="17"/>
  <c r="Z996" i="17"/>
  <c r="Z997" i="17"/>
  <c r="Z998" i="17"/>
  <c r="Z999" i="17"/>
  <c r="Z1000" i="17"/>
  <c r="Z1001" i="17"/>
  <c r="AJ1001" i="17"/>
  <c r="AD1001" i="17"/>
  <c r="W1001" i="17"/>
  <c r="V1001" i="17"/>
  <c r="N1001" i="17"/>
  <c r="E1001" i="17"/>
  <c r="D1001" i="17"/>
  <c r="B1001" i="17"/>
  <c r="AJ1000" i="17"/>
  <c r="AD1000" i="17"/>
  <c r="W1000" i="17"/>
  <c r="V1000" i="17"/>
  <c r="N1000" i="17"/>
  <c r="E1000" i="17"/>
  <c r="D1000" i="17"/>
  <c r="B1000" i="17"/>
  <c r="AJ999" i="17"/>
  <c r="AD999" i="17"/>
  <c r="W999" i="17"/>
  <c r="V999" i="17"/>
  <c r="N999" i="17"/>
  <c r="E999" i="17"/>
  <c r="D999" i="17"/>
  <c r="B999" i="17"/>
  <c r="AJ998" i="17"/>
  <c r="AD998" i="17"/>
  <c r="W998" i="17"/>
  <c r="V998" i="17"/>
  <c r="N998" i="17"/>
  <c r="E998" i="17"/>
  <c r="D998" i="17"/>
  <c r="B998" i="17"/>
  <c r="AJ997" i="17"/>
  <c r="AD997" i="17"/>
  <c r="W997" i="17"/>
  <c r="V997" i="17"/>
  <c r="N997" i="17"/>
  <c r="E997" i="17"/>
  <c r="D997" i="17"/>
  <c r="B997" i="17"/>
  <c r="AJ996" i="17"/>
  <c r="AD996" i="17"/>
  <c r="W996" i="17"/>
  <c r="V996" i="17"/>
  <c r="N996" i="17"/>
  <c r="E996" i="17"/>
  <c r="D996" i="17"/>
  <c r="B996" i="17"/>
  <c r="AJ995" i="17"/>
  <c r="AD995" i="17"/>
  <c r="W995" i="17"/>
  <c r="V995" i="17"/>
  <c r="N995" i="17"/>
  <c r="E995" i="17"/>
  <c r="D995" i="17"/>
  <c r="B995" i="17"/>
  <c r="AJ994" i="17"/>
  <c r="AD994" i="17"/>
  <c r="W994" i="17"/>
  <c r="V994" i="17"/>
  <c r="N994" i="17"/>
  <c r="E994" i="17"/>
  <c r="D994" i="17"/>
  <c r="B994" i="17"/>
  <c r="AJ993" i="17"/>
  <c r="AD993" i="17"/>
  <c r="W993" i="17"/>
  <c r="V993" i="17"/>
  <c r="N993" i="17"/>
  <c r="E993" i="17"/>
  <c r="D993" i="17"/>
  <c r="B993" i="17"/>
  <c r="AJ992" i="17"/>
  <c r="AD992" i="17"/>
  <c r="W992" i="17"/>
  <c r="V992" i="17"/>
  <c r="N992" i="17"/>
  <c r="E992" i="17"/>
  <c r="D992" i="17"/>
  <c r="B992" i="17"/>
  <c r="AJ991" i="17"/>
  <c r="AD991" i="17"/>
  <c r="W991" i="17"/>
  <c r="V991" i="17"/>
  <c r="N991" i="17"/>
  <c r="E991" i="17"/>
  <c r="D991" i="17"/>
  <c r="B991" i="17"/>
  <c r="AJ990" i="17"/>
  <c r="AD990" i="17"/>
  <c r="W990" i="17"/>
  <c r="V990" i="17"/>
  <c r="N990" i="17"/>
  <c r="E990" i="17"/>
  <c r="D990" i="17"/>
  <c r="B990" i="17"/>
  <c r="AJ989" i="17"/>
  <c r="AD989" i="17"/>
  <c r="W989" i="17"/>
  <c r="V989" i="17"/>
  <c r="N989" i="17"/>
  <c r="E989" i="17"/>
  <c r="D989" i="17"/>
  <c r="B989" i="17"/>
  <c r="AJ988" i="17"/>
  <c r="AD988" i="17"/>
  <c r="W988" i="17"/>
  <c r="V988" i="17"/>
  <c r="N988" i="17"/>
  <c r="E988" i="17"/>
  <c r="D988" i="17"/>
  <c r="B988" i="17"/>
  <c r="AJ987" i="17"/>
  <c r="AD987" i="17"/>
  <c r="W987" i="17"/>
  <c r="V987" i="17"/>
  <c r="N987" i="17"/>
  <c r="E987" i="17"/>
  <c r="D987" i="17"/>
  <c r="B987" i="17"/>
  <c r="AJ986" i="17"/>
  <c r="AD986" i="17"/>
  <c r="W986" i="17"/>
  <c r="V986" i="17"/>
  <c r="N986" i="17"/>
  <c r="E986" i="17"/>
  <c r="D986" i="17"/>
  <c r="B986" i="17"/>
  <c r="AJ985" i="17"/>
  <c r="AD985" i="17"/>
  <c r="W985" i="17"/>
  <c r="V985" i="17"/>
  <c r="N985" i="17"/>
  <c r="E985" i="17"/>
  <c r="D985" i="17"/>
  <c r="B985" i="17"/>
  <c r="AJ984" i="17"/>
  <c r="AD984" i="17"/>
  <c r="W984" i="17"/>
  <c r="V984" i="17"/>
  <c r="N984" i="17"/>
  <c r="E984" i="17"/>
  <c r="D984" i="17"/>
  <c r="B984" i="17"/>
  <c r="AJ983" i="17"/>
  <c r="AD983" i="17"/>
  <c r="W983" i="17"/>
  <c r="V983" i="17"/>
  <c r="N983" i="17"/>
  <c r="E983" i="17"/>
  <c r="D983" i="17"/>
  <c r="B983" i="17"/>
  <c r="AJ982" i="17"/>
  <c r="AD982" i="17"/>
  <c r="W982" i="17"/>
  <c r="V982" i="17"/>
  <c r="N982" i="17"/>
  <c r="E982" i="17"/>
  <c r="D982" i="17"/>
  <c r="B982" i="17"/>
  <c r="AJ981" i="17"/>
  <c r="AD981" i="17"/>
  <c r="W981" i="17"/>
  <c r="V981" i="17"/>
  <c r="N981" i="17"/>
  <c r="E981" i="17"/>
  <c r="D981" i="17"/>
  <c r="B981" i="17"/>
  <c r="AJ980" i="17"/>
  <c r="AD980" i="17"/>
  <c r="W980" i="17"/>
  <c r="V980" i="17"/>
  <c r="N980" i="17"/>
  <c r="E980" i="17"/>
  <c r="D980" i="17"/>
  <c r="B980" i="17"/>
  <c r="AJ979" i="17"/>
  <c r="AD979" i="17"/>
  <c r="W979" i="17"/>
  <c r="V979" i="17"/>
  <c r="N979" i="17"/>
  <c r="E979" i="17"/>
  <c r="D979" i="17"/>
  <c r="B979" i="17"/>
  <c r="AJ978" i="17"/>
  <c r="AD978" i="17"/>
  <c r="W978" i="17"/>
  <c r="V978" i="17"/>
  <c r="N978" i="17"/>
  <c r="E978" i="17"/>
  <c r="D978" i="17"/>
  <c r="B978" i="17"/>
  <c r="AJ977" i="17"/>
  <c r="AD977" i="17"/>
  <c r="W977" i="17"/>
  <c r="V977" i="17"/>
  <c r="N977" i="17"/>
  <c r="E977" i="17"/>
  <c r="D977" i="17"/>
  <c r="B977" i="17"/>
  <c r="AJ976" i="17"/>
  <c r="AD976" i="17"/>
  <c r="W976" i="17"/>
  <c r="V976" i="17"/>
  <c r="N976" i="17"/>
  <c r="E976" i="17"/>
  <c r="D976" i="17"/>
  <c r="B976" i="17"/>
  <c r="AJ975" i="17"/>
  <c r="AD975" i="17"/>
  <c r="W975" i="17"/>
  <c r="V975" i="17"/>
  <c r="N975" i="17"/>
  <c r="E975" i="17"/>
  <c r="D975" i="17"/>
  <c r="B975" i="17"/>
  <c r="AJ974" i="17"/>
  <c r="AD974" i="17"/>
  <c r="W974" i="17"/>
  <c r="V974" i="17"/>
  <c r="N974" i="17"/>
  <c r="E974" i="17"/>
  <c r="D974" i="17"/>
  <c r="B974" i="17"/>
  <c r="AJ973" i="17"/>
  <c r="AD973" i="17"/>
  <c r="W973" i="17"/>
  <c r="V973" i="17"/>
  <c r="N973" i="17"/>
  <c r="E973" i="17"/>
  <c r="D973" i="17"/>
  <c r="B973" i="17"/>
  <c r="AJ972" i="17"/>
  <c r="AD972" i="17"/>
  <c r="W972" i="17"/>
  <c r="V972" i="17"/>
  <c r="N972" i="17"/>
  <c r="E972" i="17"/>
  <c r="D972" i="17"/>
  <c r="B972" i="17"/>
  <c r="AJ971" i="17"/>
  <c r="AD971" i="17"/>
  <c r="W971" i="17"/>
  <c r="V971" i="17"/>
  <c r="N971" i="17"/>
  <c r="E971" i="17"/>
  <c r="D971" i="17"/>
  <c r="B971" i="17"/>
  <c r="AJ970" i="17"/>
  <c r="AD970" i="17"/>
  <c r="W970" i="17"/>
  <c r="V970" i="17"/>
  <c r="N970" i="17"/>
  <c r="E970" i="17"/>
  <c r="D970" i="17"/>
  <c r="B970" i="17"/>
  <c r="AJ969" i="17"/>
  <c r="AD969" i="17"/>
  <c r="W969" i="17"/>
  <c r="V969" i="17"/>
  <c r="N969" i="17"/>
  <c r="E969" i="17"/>
  <c r="D969" i="17"/>
  <c r="B969" i="17"/>
  <c r="AJ968" i="17"/>
  <c r="AD968" i="17"/>
  <c r="W968" i="17"/>
  <c r="V968" i="17"/>
  <c r="N968" i="17"/>
  <c r="E968" i="17"/>
  <c r="D968" i="17"/>
  <c r="B968" i="17"/>
  <c r="AJ967" i="17"/>
  <c r="AD967" i="17"/>
  <c r="W967" i="17"/>
  <c r="V967" i="17"/>
  <c r="N967" i="17"/>
  <c r="E967" i="17"/>
  <c r="D967" i="17"/>
  <c r="B967" i="17"/>
  <c r="AJ966" i="17"/>
  <c r="AD966" i="17"/>
  <c r="W966" i="17"/>
  <c r="V966" i="17"/>
  <c r="N966" i="17"/>
  <c r="E966" i="17"/>
  <c r="D966" i="17"/>
  <c r="B966" i="17"/>
  <c r="AJ965" i="17"/>
  <c r="AD965" i="17"/>
  <c r="W965" i="17"/>
  <c r="V965" i="17"/>
  <c r="N965" i="17"/>
  <c r="E965" i="17"/>
  <c r="D965" i="17"/>
  <c r="B965" i="17"/>
  <c r="AJ964" i="17"/>
  <c r="AD964" i="17"/>
  <c r="W964" i="17"/>
  <c r="V964" i="17"/>
  <c r="N964" i="17"/>
  <c r="E964" i="17"/>
  <c r="D964" i="17"/>
  <c r="B964" i="17"/>
  <c r="AJ963" i="17"/>
  <c r="AD963" i="17"/>
  <c r="W963" i="17"/>
  <c r="V963" i="17"/>
  <c r="N963" i="17"/>
  <c r="E963" i="17"/>
  <c r="D963" i="17"/>
  <c r="B963" i="17"/>
  <c r="AJ962" i="17"/>
  <c r="AD962" i="17"/>
  <c r="W962" i="17"/>
  <c r="V962" i="17"/>
  <c r="N962" i="17"/>
  <c r="E962" i="17"/>
  <c r="D962" i="17"/>
  <c r="B962" i="17"/>
  <c r="AJ961" i="17"/>
  <c r="AD961" i="17"/>
  <c r="W961" i="17"/>
  <c r="V961" i="17"/>
  <c r="N961" i="17"/>
  <c r="E961" i="17"/>
  <c r="D961" i="17"/>
  <c r="B961" i="17"/>
  <c r="AJ960" i="17"/>
  <c r="AD960" i="17"/>
  <c r="W960" i="17"/>
  <c r="V960" i="17"/>
  <c r="N960" i="17"/>
  <c r="E960" i="17"/>
  <c r="D960" i="17"/>
  <c r="B960" i="17"/>
  <c r="AJ959" i="17"/>
  <c r="AD959" i="17"/>
  <c r="W959" i="17"/>
  <c r="V959" i="17"/>
  <c r="N959" i="17"/>
  <c r="E959" i="17"/>
  <c r="D959" i="17"/>
  <c r="B959" i="17"/>
  <c r="AJ958" i="17"/>
  <c r="AD958" i="17"/>
  <c r="W958" i="17"/>
  <c r="V958" i="17"/>
  <c r="N958" i="17"/>
  <c r="E958" i="17"/>
  <c r="D958" i="17"/>
  <c r="B958" i="17"/>
  <c r="AJ957" i="17"/>
  <c r="AD957" i="17"/>
  <c r="W957" i="17"/>
  <c r="V957" i="17"/>
  <c r="N957" i="17"/>
  <c r="E957" i="17"/>
  <c r="D957" i="17"/>
  <c r="B957" i="17"/>
  <c r="AJ956" i="17"/>
  <c r="AD956" i="17"/>
  <c r="W956" i="17"/>
  <c r="V956" i="17"/>
  <c r="N956" i="17"/>
  <c r="E956" i="17"/>
  <c r="D956" i="17"/>
  <c r="B956" i="17"/>
  <c r="AJ955" i="17"/>
  <c r="AD955" i="17"/>
  <c r="W955" i="17"/>
  <c r="V955" i="17"/>
  <c r="N955" i="17"/>
  <c r="E955" i="17"/>
  <c r="D955" i="17"/>
  <c r="B955" i="17"/>
  <c r="AJ954" i="17"/>
  <c r="AD954" i="17"/>
  <c r="W954" i="17"/>
  <c r="V954" i="17"/>
  <c r="N954" i="17"/>
  <c r="E954" i="17"/>
  <c r="D954" i="17"/>
  <c r="B954" i="17"/>
  <c r="AJ953" i="17"/>
  <c r="AD953" i="17"/>
  <c r="W953" i="17"/>
  <c r="V953" i="17"/>
  <c r="N953" i="17"/>
  <c r="E953" i="17"/>
  <c r="D953" i="17"/>
  <c r="B953" i="17"/>
  <c r="AJ952" i="17"/>
  <c r="AD952" i="17"/>
  <c r="W952" i="17"/>
  <c r="V952" i="17"/>
  <c r="N952" i="17"/>
  <c r="E952" i="17"/>
  <c r="D952" i="17"/>
  <c r="B952" i="17"/>
  <c r="AJ951" i="17"/>
  <c r="AD951" i="17"/>
  <c r="W951" i="17"/>
  <c r="V951" i="17"/>
  <c r="N951" i="17"/>
  <c r="E951" i="17"/>
  <c r="D951" i="17"/>
  <c r="B951" i="17"/>
  <c r="AJ950" i="17"/>
  <c r="AD950" i="17"/>
  <c r="W950" i="17"/>
  <c r="V950" i="17"/>
  <c r="N950" i="17"/>
  <c r="E950" i="17"/>
  <c r="D950" i="17"/>
  <c r="B950" i="17"/>
  <c r="AJ949" i="17"/>
  <c r="AD949" i="17"/>
  <c r="W949" i="17"/>
  <c r="V949" i="17"/>
  <c r="N949" i="17"/>
  <c r="E949" i="17"/>
  <c r="D949" i="17"/>
  <c r="B949" i="17"/>
  <c r="AJ948" i="17"/>
  <c r="AD948" i="17"/>
  <c r="W948" i="17"/>
  <c r="V948" i="17"/>
  <c r="N948" i="17"/>
  <c r="E948" i="17"/>
  <c r="D948" i="17"/>
  <c r="B948" i="17"/>
  <c r="AJ947" i="17"/>
  <c r="AD947" i="17"/>
  <c r="W947" i="17"/>
  <c r="V947" i="17"/>
  <c r="N947" i="17"/>
  <c r="E947" i="17"/>
  <c r="D947" i="17"/>
  <c r="B947" i="17"/>
  <c r="AJ946" i="17"/>
  <c r="AD946" i="17"/>
  <c r="W946" i="17"/>
  <c r="V946" i="17"/>
  <c r="N946" i="17"/>
  <c r="E946" i="17"/>
  <c r="D946" i="17"/>
  <c r="B946" i="17"/>
  <c r="AJ945" i="17"/>
  <c r="AD945" i="17"/>
  <c r="W945" i="17"/>
  <c r="V945" i="17"/>
  <c r="N945" i="17"/>
  <c r="E945" i="17"/>
  <c r="D945" i="17"/>
  <c r="B945" i="17"/>
  <c r="AJ944" i="17"/>
  <c r="AD944" i="17"/>
  <c r="W944" i="17"/>
  <c r="V944" i="17"/>
  <c r="N944" i="17"/>
  <c r="E944" i="17"/>
  <c r="D944" i="17"/>
  <c r="B944" i="17"/>
  <c r="AJ943" i="17"/>
  <c r="AD943" i="17"/>
  <c r="W943" i="17"/>
  <c r="V943" i="17"/>
  <c r="N943" i="17"/>
  <c r="E943" i="17"/>
  <c r="D943" i="17"/>
  <c r="B943" i="17"/>
  <c r="AJ942" i="17"/>
  <c r="AD942" i="17"/>
  <c r="W942" i="17"/>
  <c r="V942" i="17"/>
  <c r="N942" i="17"/>
  <c r="E942" i="17"/>
  <c r="D942" i="17"/>
  <c r="B942" i="17"/>
  <c r="AJ941" i="17"/>
  <c r="AD941" i="17"/>
  <c r="W941" i="17"/>
  <c r="V941" i="17"/>
  <c r="N941" i="17"/>
  <c r="E941" i="17"/>
  <c r="D941" i="17"/>
  <c r="B941" i="17"/>
  <c r="AJ940" i="17"/>
  <c r="AD940" i="17"/>
  <c r="W940" i="17"/>
  <c r="V940" i="17"/>
  <c r="N940" i="17"/>
  <c r="E940" i="17"/>
  <c r="D940" i="17"/>
  <c r="B940" i="17"/>
  <c r="AJ939" i="17"/>
  <c r="AD939" i="17"/>
  <c r="W939" i="17"/>
  <c r="V939" i="17"/>
  <c r="N939" i="17"/>
  <c r="E939" i="17"/>
  <c r="D939" i="17"/>
  <c r="B939" i="17"/>
  <c r="AJ938" i="17"/>
  <c r="AD938" i="17"/>
  <c r="W938" i="17"/>
  <c r="V938" i="17"/>
  <c r="N938" i="17"/>
  <c r="E938" i="17"/>
  <c r="D938" i="17"/>
  <c r="B938" i="17"/>
  <c r="AJ937" i="17"/>
  <c r="AD937" i="17"/>
  <c r="W937" i="17"/>
  <c r="V937" i="17"/>
  <c r="N937" i="17"/>
  <c r="E937" i="17"/>
  <c r="D937" i="17"/>
  <c r="B937" i="17"/>
  <c r="AJ936" i="17"/>
  <c r="AD936" i="17"/>
  <c r="W936" i="17"/>
  <c r="V936" i="17"/>
  <c r="N936" i="17"/>
  <c r="E936" i="17"/>
  <c r="D936" i="17"/>
  <c r="B936" i="17"/>
  <c r="AJ935" i="17"/>
  <c r="AD935" i="17"/>
  <c r="W935" i="17"/>
  <c r="V935" i="17"/>
  <c r="N935" i="17"/>
  <c r="E935" i="17"/>
  <c r="D935" i="17"/>
  <c r="B935" i="17"/>
  <c r="AJ934" i="17"/>
  <c r="AD934" i="17"/>
  <c r="W934" i="17"/>
  <c r="V934" i="17"/>
  <c r="N934" i="17"/>
  <c r="E934" i="17"/>
  <c r="D934" i="17"/>
  <c r="B934" i="17"/>
  <c r="AJ933" i="17"/>
  <c r="AD933" i="17"/>
  <c r="W933" i="17"/>
  <c r="V933" i="17"/>
  <c r="N933" i="17"/>
  <c r="E933" i="17"/>
  <c r="D933" i="17"/>
  <c r="B933" i="17"/>
  <c r="AJ932" i="17"/>
  <c r="AD932" i="17"/>
  <c r="W932" i="17"/>
  <c r="V932" i="17"/>
  <c r="N932" i="17"/>
  <c r="E932" i="17"/>
  <c r="D932" i="17"/>
  <c r="B932" i="17"/>
  <c r="AJ931" i="17"/>
  <c r="AD931" i="17"/>
  <c r="W931" i="17"/>
  <c r="V931" i="17"/>
  <c r="N931" i="17"/>
  <c r="E931" i="17"/>
  <c r="D931" i="17"/>
  <c r="B931" i="17"/>
  <c r="AJ930" i="17"/>
  <c r="AD930" i="17"/>
  <c r="W930" i="17"/>
  <c r="V930" i="17"/>
  <c r="N930" i="17"/>
  <c r="E930" i="17"/>
  <c r="D930" i="17"/>
  <c r="B930" i="17"/>
  <c r="AJ929" i="17"/>
  <c r="AD929" i="17"/>
  <c r="W929" i="17"/>
  <c r="V929" i="17"/>
  <c r="N929" i="17"/>
  <c r="E929" i="17"/>
  <c r="D929" i="17"/>
  <c r="B929" i="17"/>
  <c r="AJ928" i="17"/>
  <c r="AD928" i="17"/>
  <c r="W928" i="17"/>
  <c r="V928" i="17"/>
  <c r="N928" i="17"/>
  <c r="E928" i="17"/>
  <c r="D928" i="17"/>
  <c r="B928" i="17"/>
  <c r="AJ927" i="17"/>
  <c r="AD927" i="17"/>
  <c r="W927" i="17"/>
  <c r="V927" i="17"/>
  <c r="N927" i="17"/>
  <c r="E927" i="17"/>
  <c r="D927" i="17"/>
  <c r="B927" i="17"/>
  <c r="AJ926" i="17"/>
  <c r="AD926" i="17"/>
  <c r="W926" i="17"/>
  <c r="V926" i="17"/>
  <c r="N926" i="17"/>
  <c r="E926" i="17"/>
  <c r="D926" i="17"/>
  <c r="B926" i="17"/>
  <c r="AJ925" i="17"/>
  <c r="AD925" i="17"/>
  <c r="W925" i="17"/>
  <c r="V925" i="17"/>
  <c r="N925" i="17"/>
  <c r="E925" i="17"/>
  <c r="D925" i="17"/>
  <c r="B925" i="17"/>
  <c r="AJ924" i="17"/>
  <c r="AD924" i="17"/>
  <c r="W924" i="17"/>
  <c r="V924" i="17"/>
  <c r="N924" i="17"/>
  <c r="E924" i="17"/>
  <c r="D924" i="17"/>
  <c r="B924" i="17"/>
  <c r="AJ923" i="17"/>
  <c r="AD923" i="17"/>
  <c r="W923" i="17"/>
  <c r="V923" i="17"/>
  <c r="N923" i="17"/>
  <c r="E923" i="17"/>
  <c r="D923" i="17"/>
  <c r="B923" i="17"/>
  <c r="AJ922" i="17"/>
  <c r="AD922" i="17"/>
  <c r="W922" i="17"/>
  <c r="V922" i="17"/>
  <c r="N922" i="17"/>
  <c r="E922" i="17"/>
  <c r="D922" i="17"/>
  <c r="B922" i="17"/>
  <c r="AJ921" i="17"/>
  <c r="AD921" i="17"/>
  <c r="W921" i="17"/>
  <c r="V921" i="17"/>
  <c r="N921" i="17"/>
  <c r="E921" i="17"/>
  <c r="D921" i="17"/>
  <c r="B921" i="17"/>
  <c r="AJ920" i="17"/>
  <c r="AD920" i="17"/>
  <c r="W920" i="17"/>
  <c r="V920" i="17"/>
  <c r="N920" i="17"/>
  <c r="E920" i="17"/>
  <c r="D920" i="17"/>
  <c r="B920" i="17"/>
  <c r="AJ919" i="17"/>
  <c r="AD919" i="17"/>
  <c r="W919" i="17"/>
  <c r="V919" i="17"/>
  <c r="N919" i="17"/>
  <c r="E919" i="17"/>
  <c r="D919" i="17"/>
  <c r="B919" i="17"/>
  <c r="AJ918" i="17"/>
  <c r="AD918" i="17"/>
  <c r="W918" i="17"/>
  <c r="V918" i="17"/>
  <c r="N918" i="17"/>
  <c r="E918" i="17"/>
  <c r="D918" i="17"/>
  <c r="B918" i="17"/>
  <c r="AJ917" i="17"/>
  <c r="AD917" i="17"/>
  <c r="W917" i="17"/>
  <c r="V917" i="17"/>
  <c r="N917" i="17"/>
  <c r="E917" i="17"/>
  <c r="D917" i="17"/>
  <c r="B917" i="17"/>
  <c r="AJ916" i="17"/>
  <c r="AD916" i="17"/>
  <c r="W916" i="17"/>
  <c r="V916" i="17"/>
  <c r="N916" i="17"/>
  <c r="E916" i="17"/>
  <c r="D916" i="17"/>
  <c r="B916" i="17"/>
  <c r="AJ915" i="17"/>
  <c r="AD915" i="17"/>
  <c r="W915" i="17"/>
  <c r="V915" i="17"/>
  <c r="N915" i="17"/>
  <c r="E915" i="17"/>
  <c r="D915" i="17"/>
  <c r="B915" i="17"/>
  <c r="AJ914" i="17"/>
  <c r="AD914" i="17"/>
  <c r="W914" i="17"/>
  <c r="V914" i="17"/>
  <c r="N914" i="17"/>
  <c r="E914" i="17"/>
  <c r="D914" i="17"/>
  <c r="B914" i="17"/>
  <c r="AJ913" i="17"/>
  <c r="AD913" i="17"/>
  <c r="W913" i="17"/>
  <c r="V913" i="17"/>
  <c r="N913" i="17"/>
  <c r="E913" i="17"/>
  <c r="D913" i="17"/>
  <c r="B913" i="17"/>
  <c r="AJ912" i="17"/>
  <c r="AD912" i="17"/>
  <c r="W912" i="17"/>
  <c r="V912" i="17"/>
  <c r="N912" i="17"/>
  <c r="E912" i="17"/>
  <c r="D912" i="17"/>
  <c r="B912" i="17"/>
  <c r="AJ911" i="17"/>
  <c r="AD911" i="17"/>
  <c r="W911" i="17"/>
  <c r="V911" i="17"/>
  <c r="N911" i="17"/>
  <c r="E911" i="17"/>
  <c r="D911" i="17"/>
  <c r="B911" i="17"/>
  <c r="AJ910" i="17"/>
  <c r="AD910" i="17"/>
  <c r="W910" i="17"/>
  <c r="V910" i="17"/>
  <c r="N910" i="17"/>
  <c r="E910" i="17"/>
  <c r="D910" i="17"/>
  <c r="B910" i="17"/>
  <c r="AJ909" i="17"/>
  <c r="AD909" i="17"/>
  <c r="W909" i="17"/>
  <c r="V909" i="17"/>
  <c r="N909" i="17"/>
  <c r="E909" i="17"/>
  <c r="D909" i="17"/>
  <c r="B909" i="17"/>
  <c r="AJ908" i="17"/>
  <c r="AD908" i="17"/>
  <c r="W908" i="17"/>
  <c r="V908" i="17"/>
  <c r="N908" i="17"/>
  <c r="E908" i="17"/>
  <c r="D908" i="17"/>
  <c r="B908" i="17"/>
  <c r="AJ907" i="17"/>
  <c r="AD907" i="17"/>
  <c r="W907" i="17"/>
  <c r="V907" i="17"/>
  <c r="N907" i="17"/>
  <c r="E907" i="17"/>
  <c r="D907" i="17"/>
  <c r="B907" i="17"/>
  <c r="AJ906" i="17"/>
  <c r="AD906" i="17"/>
  <c r="W906" i="17"/>
  <c r="V906" i="17"/>
  <c r="N906" i="17"/>
  <c r="E906" i="17"/>
  <c r="D906" i="17"/>
  <c r="B906" i="17"/>
  <c r="AJ905" i="17"/>
  <c r="AD905" i="17"/>
  <c r="W905" i="17"/>
  <c r="V905" i="17"/>
  <c r="N905" i="17"/>
  <c r="E905" i="17"/>
  <c r="D905" i="17"/>
  <c r="B905" i="17"/>
  <c r="AJ904" i="17"/>
  <c r="AD904" i="17"/>
  <c r="W904" i="17"/>
  <c r="V904" i="17"/>
  <c r="N904" i="17"/>
  <c r="E904" i="17"/>
  <c r="D904" i="17"/>
  <c r="B904" i="17"/>
  <c r="AJ903" i="17"/>
  <c r="AD903" i="17"/>
  <c r="W903" i="17"/>
  <c r="V903" i="17"/>
  <c r="N903" i="17"/>
  <c r="E903" i="17"/>
  <c r="D903" i="17"/>
  <c r="B903" i="17"/>
  <c r="AJ902" i="17"/>
  <c r="AD902" i="17"/>
  <c r="W902" i="17"/>
  <c r="V902" i="17"/>
  <c r="N902" i="17"/>
  <c r="E902" i="17"/>
  <c r="D902" i="17"/>
  <c r="B902" i="17"/>
  <c r="AJ901" i="17"/>
  <c r="AD901" i="17"/>
  <c r="W901" i="17"/>
  <c r="V901" i="17"/>
  <c r="N901" i="17"/>
  <c r="E901" i="17"/>
  <c r="D901" i="17"/>
  <c r="B901" i="17"/>
  <c r="AJ900" i="17"/>
  <c r="AD900" i="17"/>
  <c r="W900" i="17"/>
  <c r="V900" i="17"/>
  <c r="N900" i="17"/>
  <c r="E900" i="17"/>
  <c r="D900" i="17"/>
  <c r="B900" i="17"/>
  <c r="AJ899" i="17"/>
  <c r="AD899" i="17"/>
  <c r="W899" i="17"/>
  <c r="V899" i="17"/>
  <c r="N899" i="17"/>
  <c r="E899" i="17"/>
  <c r="D899" i="17"/>
  <c r="B899" i="17"/>
  <c r="AJ898" i="17"/>
  <c r="AD898" i="17"/>
  <c r="W898" i="17"/>
  <c r="V898" i="17"/>
  <c r="N898" i="17"/>
  <c r="E898" i="17"/>
  <c r="D898" i="17"/>
  <c r="B898" i="17"/>
  <c r="AJ897" i="17"/>
  <c r="AD897" i="17"/>
  <c r="W897" i="17"/>
  <c r="V897" i="17"/>
  <c r="N897" i="17"/>
  <c r="E897" i="17"/>
  <c r="D897" i="17"/>
  <c r="B897" i="17"/>
  <c r="AJ896" i="17"/>
  <c r="AD896" i="17"/>
  <c r="W896" i="17"/>
  <c r="V896" i="17"/>
  <c r="N896" i="17"/>
  <c r="E896" i="17"/>
  <c r="D896" i="17"/>
  <c r="B896" i="17"/>
  <c r="AJ895" i="17"/>
  <c r="AD895" i="17"/>
  <c r="W895" i="17"/>
  <c r="V895" i="17"/>
  <c r="N895" i="17"/>
  <c r="E895" i="17"/>
  <c r="D895" i="17"/>
  <c r="B895" i="17"/>
  <c r="AJ894" i="17"/>
  <c r="AD894" i="17"/>
  <c r="W894" i="17"/>
  <c r="V894" i="17"/>
  <c r="N894" i="17"/>
  <c r="E894" i="17"/>
  <c r="D894" i="17"/>
  <c r="B894" i="17"/>
  <c r="AJ893" i="17"/>
  <c r="AD893" i="17"/>
  <c r="W893" i="17"/>
  <c r="V893" i="17"/>
  <c r="N893" i="17"/>
  <c r="E893" i="17"/>
  <c r="D893" i="17"/>
  <c r="B893" i="17"/>
  <c r="AJ892" i="17"/>
  <c r="AD892" i="17"/>
  <c r="W892" i="17"/>
  <c r="V892" i="17"/>
  <c r="N892" i="17"/>
  <c r="E892" i="17"/>
  <c r="D892" i="17"/>
  <c r="B892" i="17"/>
  <c r="AJ891" i="17"/>
  <c r="AD891" i="17"/>
  <c r="W891" i="17"/>
  <c r="V891" i="17"/>
  <c r="N891" i="17"/>
  <c r="E891" i="17"/>
  <c r="D891" i="17"/>
  <c r="B891" i="17"/>
  <c r="AJ890" i="17"/>
  <c r="AD890" i="17"/>
  <c r="W890" i="17"/>
  <c r="V890" i="17"/>
  <c r="N890" i="17"/>
  <c r="E890" i="17"/>
  <c r="D890" i="17"/>
  <c r="B890" i="17"/>
  <c r="AJ889" i="17"/>
  <c r="AD889" i="17"/>
  <c r="W889" i="17"/>
  <c r="V889" i="17"/>
  <c r="N889" i="17"/>
  <c r="E889" i="17"/>
  <c r="D889" i="17"/>
  <c r="B889" i="17"/>
  <c r="AJ888" i="17"/>
  <c r="AD888" i="17"/>
  <c r="W888" i="17"/>
  <c r="V888" i="17"/>
  <c r="N888" i="17"/>
  <c r="E888" i="17"/>
  <c r="D888" i="17"/>
  <c r="B888" i="17"/>
  <c r="AJ887" i="17"/>
  <c r="AD887" i="17"/>
  <c r="W887" i="17"/>
  <c r="V887" i="17"/>
  <c r="N887" i="17"/>
  <c r="E887" i="17"/>
  <c r="D887" i="17"/>
  <c r="B887" i="17"/>
  <c r="AJ886" i="17"/>
  <c r="AD886" i="17"/>
  <c r="W886" i="17"/>
  <c r="V886" i="17"/>
  <c r="N886" i="17"/>
  <c r="E886" i="17"/>
  <c r="D886" i="17"/>
  <c r="B886" i="17"/>
  <c r="AJ885" i="17"/>
  <c r="AD885" i="17"/>
  <c r="W885" i="17"/>
  <c r="V885" i="17"/>
  <c r="N885" i="17"/>
  <c r="E885" i="17"/>
  <c r="D885" i="17"/>
  <c r="B885" i="17"/>
  <c r="AJ884" i="17"/>
  <c r="AD884" i="17"/>
  <c r="W884" i="17"/>
  <c r="V884" i="17"/>
  <c r="N884" i="17"/>
  <c r="E884" i="17"/>
  <c r="D884" i="17"/>
  <c r="B884" i="17"/>
  <c r="AJ883" i="17"/>
  <c r="AD883" i="17"/>
  <c r="W883" i="17"/>
  <c r="V883" i="17"/>
  <c r="N883" i="17"/>
  <c r="E883" i="17"/>
  <c r="D883" i="17"/>
  <c r="B883" i="17"/>
  <c r="AJ882" i="17"/>
  <c r="AD882" i="17"/>
  <c r="W882" i="17"/>
  <c r="V882" i="17"/>
  <c r="N882" i="17"/>
  <c r="E882" i="17"/>
  <c r="D882" i="17"/>
  <c r="B882" i="17"/>
  <c r="AJ881" i="17"/>
  <c r="AD881" i="17"/>
  <c r="W881" i="17"/>
  <c r="V881" i="17"/>
  <c r="N881" i="17"/>
  <c r="E881" i="17"/>
  <c r="D881" i="17"/>
  <c r="B881" i="17"/>
  <c r="AJ880" i="17"/>
  <c r="AD880" i="17"/>
  <c r="W880" i="17"/>
  <c r="V880" i="17"/>
  <c r="N880" i="17"/>
  <c r="E880" i="17"/>
  <c r="D880" i="17"/>
  <c r="B880" i="17"/>
  <c r="AJ879" i="17"/>
  <c r="AD879" i="17"/>
  <c r="W879" i="17"/>
  <c r="V879" i="17"/>
  <c r="N879" i="17"/>
  <c r="E879" i="17"/>
  <c r="D879" i="17"/>
  <c r="B879" i="17"/>
  <c r="AJ878" i="17"/>
  <c r="AD878" i="17"/>
  <c r="W878" i="17"/>
  <c r="V878" i="17"/>
  <c r="N878" i="17"/>
  <c r="E878" i="17"/>
  <c r="D878" i="17"/>
  <c r="B878" i="17"/>
  <c r="AJ877" i="17"/>
  <c r="AD877" i="17"/>
  <c r="W877" i="17"/>
  <c r="V877" i="17"/>
  <c r="N877" i="17"/>
  <c r="E877" i="17"/>
  <c r="D877" i="17"/>
  <c r="B877" i="17"/>
  <c r="AJ876" i="17"/>
  <c r="AD876" i="17"/>
  <c r="W876" i="17"/>
  <c r="V876" i="17"/>
  <c r="N876" i="17"/>
  <c r="E876" i="17"/>
  <c r="D876" i="17"/>
  <c r="B876" i="17"/>
  <c r="AJ875" i="17"/>
  <c r="AD875" i="17"/>
  <c r="W875" i="17"/>
  <c r="V875" i="17"/>
  <c r="N875" i="17"/>
  <c r="E875" i="17"/>
  <c r="D875" i="17"/>
  <c r="B875" i="17"/>
  <c r="AJ874" i="17"/>
  <c r="AD874" i="17"/>
  <c r="W874" i="17"/>
  <c r="V874" i="17"/>
  <c r="N874" i="17"/>
  <c r="E874" i="17"/>
  <c r="D874" i="17"/>
  <c r="B874" i="17"/>
  <c r="AJ873" i="17"/>
  <c r="AD873" i="17"/>
  <c r="W873" i="17"/>
  <c r="V873" i="17"/>
  <c r="N873" i="17"/>
  <c r="E873" i="17"/>
  <c r="D873" i="17"/>
  <c r="B873" i="17"/>
  <c r="AJ872" i="17"/>
  <c r="AD872" i="17"/>
  <c r="W872" i="17"/>
  <c r="V872" i="17"/>
  <c r="N872" i="17"/>
  <c r="E872" i="17"/>
  <c r="D872" i="17"/>
  <c r="B872" i="17"/>
  <c r="AJ871" i="17"/>
  <c r="AD871" i="17"/>
  <c r="W871" i="17"/>
  <c r="V871" i="17"/>
  <c r="N871" i="17"/>
  <c r="E871" i="17"/>
  <c r="D871" i="17"/>
  <c r="B871" i="17"/>
  <c r="AJ870" i="17"/>
  <c r="AD870" i="17"/>
  <c r="W870" i="17"/>
  <c r="V870" i="17"/>
  <c r="N870" i="17"/>
  <c r="E870" i="17"/>
  <c r="D870" i="17"/>
  <c r="B870" i="17"/>
  <c r="AJ869" i="17"/>
  <c r="AD869" i="17"/>
  <c r="W869" i="17"/>
  <c r="V869" i="17"/>
  <c r="N869" i="17"/>
  <c r="E869" i="17"/>
  <c r="D869" i="17"/>
  <c r="B869" i="17"/>
  <c r="AJ868" i="17"/>
  <c r="AD868" i="17"/>
  <c r="W868" i="17"/>
  <c r="V868" i="17"/>
  <c r="N868" i="17"/>
  <c r="E868" i="17"/>
  <c r="D868" i="17"/>
  <c r="B868" i="17"/>
  <c r="AJ867" i="17"/>
  <c r="AD867" i="17"/>
  <c r="W867" i="17"/>
  <c r="V867" i="17"/>
  <c r="N867" i="17"/>
  <c r="E867" i="17"/>
  <c r="D867" i="17"/>
  <c r="B867" i="17"/>
  <c r="AJ866" i="17"/>
  <c r="AD866" i="17"/>
  <c r="W866" i="17"/>
  <c r="V866" i="17"/>
  <c r="N866" i="17"/>
  <c r="E866" i="17"/>
  <c r="D866" i="17"/>
  <c r="B866" i="17"/>
  <c r="AJ865" i="17"/>
  <c r="AD865" i="17"/>
  <c r="W865" i="17"/>
  <c r="V865" i="17"/>
  <c r="N865" i="17"/>
  <c r="E865" i="17"/>
  <c r="D865" i="17"/>
  <c r="B865" i="17"/>
  <c r="AJ864" i="17"/>
  <c r="AD864" i="17"/>
  <c r="W864" i="17"/>
  <c r="V864" i="17"/>
  <c r="N864" i="17"/>
  <c r="E864" i="17"/>
  <c r="D864" i="17"/>
  <c r="B864" i="17"/>
  <c r="AJ863" i="17"/>
  <c r="AD863" i="17"/>
  <c r="W863" i="17"/>
  <c r="V863" i="17"/>
  <c r="N863" i="17"/>
  <c r="E863" i="17"/>
  <c r="D863" i="17"/>
  <c r="B863" i="17"/>
  <c r="AJ862" i="17"/>
  <c r="AD862" i="17"/>
  <c r="W862" i="17"/>
  <c r="V862" i="17"/>
  <c r="N862" i="17"/>
  <c r="E862" i="17"/>
  <c r="D862" i="17"/>
  <c r="B862" i="17"/>
  <c r="AJ861" i="17"/>
  <c r="AD861" i="17"/>
  <c r="W861" i="17"/>
  <c r="V861" i="17"/>
  <c r="N861" i="17"/>
  <c r="E861" i="17"/>
  <c r="D861" i="17"/>
  <c r="B861" i="17"/>
  <c r="AJ860" i="17"/>
  <c r="AD860" i="17"/>
  <c r="W860" i="17"/>
  <c r="V860" i="17"/>
  <c r="N860" i="17"/>
  <c r="E860" i="17"/>
  <c r="D860" i="17"/>
  <c r="B860" i="17"/>
  <c r="AJ859" i="17"/>
  <c r="AD859" i="17"/>
  <c r="W859" i="17"/>
  <c r="V859" i="17"/>
  <c r="N859" i="17"/>
  <c r="E859" i="17"/>
  <c r="D859" i="17"/>
  <c r="B859" i="17"/>
  <c r="AJ858" i="17"/>
  <c r="AD858" i="17"/>
  <c r="W858" i="17"/>
  <c r="V858" i="17"/>
  <c r="N858" i="17"/>
  <c r="E858" i="17"/>
  <c r="D858" i="17"/>
  <c r="B858" i="17"/>
  <c r="AJ857" i="17"/>
  <c r="AD857" i="17"/>
  <c r="W857" i="17"/>
  <c r="V857" i="17"/>
  <c r="N857" i="17"/>
  <c r="E857" i="17"/>
  <c r="D857" i="17"/>
  <c r="B857" i="17"/>
  <c r="AJ856" i="17"/>
  <c r="AD856" i="17"/>
  <c r="W856" i="17"/>
  <c r="V856" i="17"/>
  <c r="N856" i="17"/>
  <c r="E856" i="17"/>
  <c r="D856" i="17"/>
  <c r="B856" i="17"/>
  <c r="AJ855" i="17"/>
  <c r="AD855" i="17"/>
  <c r="W855" i="17"/>
  <c r="V855" i="17"/>
  <c r="N855" i="17"/>
  <c r="E855" i="17"/>
  <c r="D855" i="17"/>
  <c r="B855" i="17"/>
  <c r="AJ854" i="17"/>
  <c r="AD854" i="17"/>
  <c r="W854" i="17"/>
  <c r="V854" i="17"/>
  <c r="N854" i="17"/>
  <c r="E854" i="17"/>
  <c r="D854" i="17"/>
  <c r="B854" i="17"/>
  <c r="AJ853" i="17"/>
  <c r="AD853" i="17"/>
  <c r="W853" i="17"/>
  <c r="V853" i="17"/>
  <c r="N853" i="17"/>
  <c r="E853" i="17"/>
  <c r="D853" i="17"/>
  <c r="B853" i="17"/>
  <c r="AJ852" i="17"/>
  <c r="AD852" i="17"/>
  <c r="W852" i="17"/>
  <c r="V852" i="17"/>
  <c r="N852" i="17"/>
  <c r="E852" i="17"/>
  <c r="D852" i="17"/>
  <c r="B852" i="17"/>
  <c r="AJ851" i="17"/>
  <c r="AD851" i="17"/>
  <c r="W851" i="17"/>
  <c r="V851" i="17"/>
  <c r="N851" i="17"/>
  <c r="E851" i="17"/>
  <c r="D851" i="17"/>
  <c r="B851" i="17"/>
  <c r="AJ850" i="17"/>
  <c r="AD850" i="17"/>
  <c r="W850" i="17"/>
  <c r="V850" i="17"/>
  <c r="N850" i="17"/>
  <c r="E850" i="17"/>
  <c r="D850" i="17"/>
  <c r="B850" i="17"/>
  <c r="AJ849" i="17"/>
  <c r="AD849" i="17"/>
  <c r="W849" i="17"/>
  <c r="V849" i="17"/>
  <c r="N849" i="17"/>
  <c r="E849" i="17"/>
  <c r="D849" i="17"/>
  <c r="B849" i="17"/>
  <c r="AJ848" i="17"/>
  <c r="AD848" i="17"/>
  <c r="W848" i="17"/>
  <c r="V848" i="17"/>
  <c r="N848" i="17"/>
  <c r="E848" i="17"/>
  <c r="D848" i="17"/>
  <c r="B848" i="17"/>
  <c r="AJ847" i="17"/>
  <c r="AD847" i="17"/>
  <c r="W847" i="17"/>
  <c r="V847" i="17"/>
  <c r="N847" i="17"/>
  <c r="E847" i="17"/>
  <c r="D847" i="17"/>
  <c r="B847" i="17"/>
  <c r="AJ846" i="17"/>
  <c r="AD846" i="17"/>
  <c r="W846" i="17"/>
  <c r="V846" i="17"/>
  <c r="N846" i="17"/>
  <c r="E846" i="17"/>
  <c r="D846" i="17"/>
  <c r="B846" i="17"/>
  <c r="AJ845" i="17"/>
  <c r="AD845" i="17"/>
  <c r="W845" i="17"/>
  <c r="V845" i="17"/>
  <c r="N845" i="17"/>
  <c r="E845" i="17"/>
  <c r="D845" i="17"/>
  <c r="B845" i="17"/>
  <c r="AJ844" i="17"/>
  <c r="AD844" i="17"/>
  <c r="W844" i="17"/>
  <c r="V844" i="17"/>
  <c r="N844" i="17"/>
  <c r="E844" i="17"/>
  <c r="D844" i="17"/>
  <c r="B844" i="17"/>
  <c r="AJ843" i="17"/>
  <c r="AD843" i="17"/>
  <c r="W843" i="17"/>
  <c r="V843" i="17"/>
  <c r="N843" i="17"/>
  <c r="E843" i="17"/>
  <c r="D843" i="17"/>
  <c r="B843" i="17"/>
  <c r="AJ842" i="17"/>
  <c r="AD842" i="17"/>
  <c r="W842" i="17"/>
  <c r="V842" i="17"/>
  <c r="N842" i="17"/>
  <c r="E842" i="17"/>
  <c r="D842" i="17"/>
  <c r="B842" i="17"/>
  <c r="AJ841" i="17"/>
  <c r="AD841" i="17"/>
  <c r="W841" i="17"/>
  <c r="V841" i="17"/>
  <c r="N841" i="17"/>
  <c r="E841" i="17"/>
  <c r="D841" i="17"/>
  <c r="B841" i="17"/>
  <c r="AJ840" i="17"/>
  <c r="AD840" i="17"/>
  <c r="W840" i="17"/>
  <c r="V840" i="17"/>
  <c r="N840" i="17"/>
  <c r="E840" i="17"/>
  <c r="D840" i="17"/>
  <c r="B840" i="17"/>
  <c r="AJ839" i="17"/>
  <c r="AD839" i="17"/>
  <c r="W839" i="17"/>
  <c r="V839" i="17"/>
  <c r="N839" i="17"/>
  <c r="E839" i="17"/>
  <c r="D839" i="17"/>
  <c r="B839" i="17"/>
  <c r="AJ838" i="17"/>
  <c r="AD838" i="17"/>
  <c r="W838" i="17"/>
  <c r="V838" i="17"/>
  <c r="N838" i="17"/>
  <c r="E838" i="17"/>
  <c r="D838" i="17"/>
  <c r="B838" i="17"/>
  <c r="AJ837" i="17"/>
  <c r="AD837" i="17"/>
  <c r="W837" i="17"/>
  <c r="V837" i="17"/>
  <c r="N837" i="17"/>
  <c r="E837" i="17"/>
  <c r="D837" i="17"/>
  <c r="B837" i="17"/>
  <c r="AJ836" i="17"/>
  <c r="AD836" i="17"/>
  <c r="W836" i="17"/>
  <c r="V836" i="17"/>
  <c r="N836" i="17"/>
  <c r="E836" i="17"/>
  <c r="D836" i="17"/>
  <c r="B836" i="17"/>
  <c r="AJ835" i="17"/>
  <c r="AD835" i="17"/>
  <c r="W835" i="17"/>
  <c r="V835" i="17"/>
  <c r="N835" i="17"/>
  <c r="E835" i="17"/>
  <c r="D835" i="17"/>
  <c r="B835" i="17"/>
  <c r="AJ834" i="17"/>
  <c r="AD834" i="17"/>
  <c r="W834" i="17"/>
  <c r="V834" i="17"/>
  <c r="N834" i="17"/>
  <c r="E834" i="17"/>
  <c r="D834" i="17"/>
  <c r="B834" i="17"/>
  <c r="AJ833" i="17"/>
  <c r="AD833" i="17"/>
  <c r="W833" i="17"/>
  <c r="V833" i="17"/>
  <c r="N833" i="17"/>
  <c r="E833" i="17"/>
  <c r="D833" i="17"/>
  <c r="B833" i="17"/>
  <c r="AJ832" i="17"/>
  <c r="AD832" i="17"/>
  <c r="W832" i="17"/>
  <c r="V832" i="17"/>
  <c r="N832" i="17"/>
  <c r="E832" i="17"/>
  <c r="D832" i="17"/>
  <c r="B832" i="17"/>
  <c r="AJ831" i="17"/>
  <c r="AD831" i="17"/>
  <c r="W831" i="17"/>
  <c r="V831" i="17"/>
  <c r="N831" i="17"/>
  <c r="E831" i="17"/>
  <c r="D831" i="17"/>
  <c r="B831" i="17"/>
  <c r="AJ830" i="17"/>
  <c r="AD830" i="17"/>
  <c r="W830" i="17"/>
  <c r="V830" i="17"/>
  <c r="N830" i="17"/>
  <c r="E830" i="17"/>
  <c r="D830" i="17"/>
  <c r="B830" i="17"/>
  <c r="AJ829" i="17"/>
  <c r="AD829" i="17"/>
  <c r="W829" i="17"/>
  <c r="V829" i="17"/>
  <c r="N829" i="17"/>
  <c r="E829" i="17"/>
  <c r="D829" i="17"/>
  <c r="B829" i="17"/>
  <c r="AJ828" i="17"/>
  <c r="AD828" i="17"/>
  <c r="W828" i="17"/>
  <c r="V828" i="17"/>
  <c r="N828" i="17"/>
  <c r="E828" i="17"/>
  <c r="D828" i="17"/>
  <c r="B828" i="17"/>
  <c r="AJ827" i="17"/>
  <c r="AD827" i="17"/>
  <c r="W827" i="17"/>
  <c r="V827" i="17"/>
  <c r="N827" i="17"/>
  <c r="E827" i="17"/>
  <c r="D827" i="17"/>
  <c r="B827" i="17"/>
  <c r="AJ826" i="17"/>
  <c r="AD826" i="17"/>
  <c r="W826" i="17"/>
  <c r="V826" i="17"/>
  <c r="N826" i="17"/>
  <c r="E826" i="17"/>
  <c r="D826" i="17"/>
  <c r="B826" i="17"/>
  <c r="AJ825" i="17"/>
  <c r="AD825" i="17"/>
  <c r="W825" i="17"/>
  <c r="V825" i="17"/>
  <c r="N825" i="17"/>
  <c r="E825" i="17"/>
  <c r="D825" i="17"/>
  <c r="B825" i="17"/>
  <c r="AJ824" i="17"/>
  <c r="AD824" i="17"/>
  <c r="W824" i="17"/>
  <c r="V824" i="17"/>
  <c r="N824" i="17"/>
  <c r="E824" i="17"/>
  <c r="D824" i="17"/>
  <c r="B824" i="17"/>
  <c r="AJ823" i="17"/>
  <c r="AD823" i="17"/>
  <c r="W823" i="17"/>
  <c r="V823" i="17"/>
  <c r="N823" i="17"/>
  <c r="E823" i="17"/>
  <c r="D823" i="17"/>
  <c r="B823" i="17"/>
  <c r="AJ822" i="17"/>
  <c r="AD822" i="17"/>
  <c r="W822" i="17"/>
  <c r="V822" i="17"/>
  <c r="N822" i="17"/>
  <c r="E822" i="17"/>
  <c r="D822" i="17"/>
  <c r="B822" i="17"/>
  <c r="AJ821" i="17"/>
  <c r="AD821" i="17"/>
  <c r="W821" i="17"/>
  <c r="V821" i="17"/>
  <c r="N821" i="17"/>
  <c r="E821" i="17"/>
  <c r="D821" i="17"/>
  <c r="B821" i="17"/>
  <c r="AJ820" i="17"/>
  <c r="AD820" i="17"/>
  <c r="W820" i="17"/>
  <c r="V820" i="17"/>
  <c r="N820" i="17"/>
  <c r="E820" i="17"/>
  <c r="D820" i="17"/>
  <c r="B820" i="17"/>
  <c r="AJ819" i="17"/>
  <c r="AD819" i="17"/>
  <c r="W819" i="17"/>
  <c r="V819" i="17"/>
  <c r="N819" i="17"/>
  <c r="E819" i="17"/>
  <c r="D819" i="17"/>
  <c r="B819" i="17"/>
  <c r="AJ818" i="17"/>
  <c r="AD818" i="17"/>
  <c r="W818" i="17"/>
  <c r="V818" i="17"/>
  <c r="N818" i="17"/>
  <c r="E818" i="17"/>
  <c r="D818" i="17"/>
  <c r="B818" i="17"/>
  <c r="AJ817" i="17"/>
  <c r="AD817" i="17"/>
  <c r="W817" i="17"/>
  <c r="V817" i="17"/>
  <c r="N817" i="17"/>
  <c r="E817" i="17"/>
  <c r="D817" i="17"/>
  <c r="B817" i="17"/>
  <c r="AJ816" i="17"/>
  <c r="AD816" i="17"/>
  <c r="W816" i="17"/>
  <c r="V816" i="17"/>
  <c r="N816" i="17"/>
  <c r="E816" i="17"/>
  <c r="D816" i="17"/>
  <c r="B816" i="17"/>
  <c r="AJ815" i="17"/>
  <c r="AD815" i="17"/>
  <c r="W815" i="17"/>
  <c r="V815" i="17"/>
  <c r="N815" i="17"/>
  <c r="E815" i="17"/>
  <c r="D815" i="17"/>
  <c r="B815" i="17"/>
  <c r="AJ814" i="17"/>
  <c r="AD814" i="17"/>
  <c r="W814" i="17"/>
  <c r="V814" i="17"/>
  <c r="N814" i="17"/>
  <c r="E814" i="17"/>
  <c r="D814" i="17"/>
  <c r="B814" i="17"/>
  <c r="AJ813" i="17"/>
  <c r="AD813" i="17"/>
  <c r="W813" i="17"/>
  <c r="V813" i="17"/>
  <c r="N813" i="17"/>
  <c r="E813" i="17"/>
  <c r="D813" i="17"/>
  <c r="B813" i="17"/>
  <c r="AJ812" i="17"/>
  <c r="AD812" i="17"/>
  <c r="W812" i="17"/>
  <c r="V812" i="17"/>
  <c r="N812" i="17"/>
  <c r="E812" i="17"/>
  <c r="D812" i="17"/>
  <c r="B812" i="17"/>
  <c r="AJ811" i="17"/>
  <c r="AD811" i="17"/>
  <c r="W811" i="17"/>
  <c r="V811" i="17"/>
  <c r="N811" i="17"/>
  <c r="E811" i="17"/>
  <c r="D811" i="17"/>
  <c r="B811" i="17"/>
  <c r="AJ810" i="17"/>
  <c r="AD810" i="17"/>
  <c r="W810" i="17"/>
  <c r="V810" i="17"/>
  <c r="N810" i="17"/>
  <c r="E810" i="17"/>
  <c r="D810" i="17"/>
  <c r="B810" i="17"/>
  <c r="AJ809" i="17"/>
  <c r="AD809" i="17"/>
  <c r="W809" i="17"/>
  <c r="V809" i="17"/>
  <c r="N809" i="17"/>
  <c r="E809" i="17"/>
  <c r="D809" i="17"/>
  <c r="B809" i="17"/>
  <c r="AJ808" i="17"/>
  <c r="AD808" i="17"/>
  <c r="W808" i="17"/>
  <c r="V808" i="17"/>
  <c r="N808" i="17"/>
  <c r="E808" i="17"/>
  <c r="D808" i="17"/>
  <c r="B808" i="17"/>
  <c r="AJ807" i="17"/>
  <c r="AD807" i="17"/>
  <c r="W807" i="17"/>
  <c r="V807" i="17"/>
  <c r="N807" i="17"/>
  <c r="E807" i="17"/>
  <c r="D807" i="17"/>
  <c r="B807" i="17"/>
  <c r="AJ806" i="17"/>
  <c r="AD806" i="17"/>
  <c r="W806" i="17"/>
  <c r="V806" i="17"/>
  <c r="N806" i="17"/>
  <c r="E806" i="17"/>
  <c r="D806" i="17"/>
  <c r="B806" i="17"/>
  <c r="AJ805" i="17"/>
  <c r="AD805" i="17"/>
  <c r="W805" i="17"/>
  <c r="V805" i="17"/>
  <c r="N805" i="17"/>
  <c r="E805" i="17"/>
  <c r="D805" i="17"/>
  <c r="B805" i="17"/>
  <c r="AJ804" i="17"/>
  <c r="AD804" i="17"/>
  <c r="W804" i="17"/>
  <c r="V804" i="17"/>
  <c r="N804" i="17"/>
  <c r="E804" i="17"/>
  <c r="D804" i="17"/>
  <c r="B804" i="17"/>
  <c r="AJ803" i="17"/>
  <c r="AD803" i="17"/>
  <c r="W803" i="17"/>
  <c r="V803" i="17"/>
  <c r="N803" i="17"/>
  <c r="E803" i="17"/>
  <c r="D803" i="17"/>
  <c r="B803" i="17"/>
  <c r="AJ802" i="17"/>
  <c r="AD802" i="17"/>
  <c r="W802" i="17"/>
  <c r="V802" i="17"/>
  <c r="N802" i="17"/>
  <c r="E802" i="17"/>
  <c r="D802" i="17"/>
  <c r="B802" i="17"/>
  <c r="AJ801" i="17"/>
  <c r="AD801" i="17"/>
  <c r="W801" i="17"/>
  <c r="V801" i="17"/>
  <c r="N801" i="17"/>
  <c r="E801" i="17"/>
  <c r="D801" i="17"/>
  <c r="B801" i="17"/>
  <c r="AJ800" i="17"/>
  <c r="AD800" i="17"/>
  <c r="W800" i="17"/>
  <c r="V800" i="17"/>
  <c r="N800" i="17"/>
  <c r="E800" i="17"/>
  <c r="D800" i="17"/>
  <c r="B800" i="17"/>
  <c r="AJ799" i="17"/>
  <c r="AD799" i="17"/>
  <c r="W799" i="17"/>
  <c r="V799" i="17"/>
  <c r="N799" i="17"/>
  <c r="E799" i="17"/>
  <c r="D799" i="17"/>
  <c r="B799" i="17"/>
  <c r="AJ798" i="17"/>
  <c r="AD798" i="17"/>
  <c r="W798" i="17"/>
  <c r="V798" i="17"/>
  <c r="N798" i="17"/>
  <c r="E798" i="17"/>
  <c r="D798" i="17"/>
  <c r="B798" i="17"/>
  <c r="AJ797" i="17"/>
  <c r="AD797" i="17"/>
  <c r="W797" i="17"/>
  <c r="V797" i="17"/>
  <c r="N797" i="17"/>
  <c r="E797" i="17"/>
  <c r="D797" i="17"/>
  <c r="B797" i="17"/>
  <c r="AJ796" i="17"/>
  <c r="AD796" i="17"/>
  <c r="W796" i="17"/>
  <c r="V796" i="17"/>
  <c r="N796" i="17"/>
  <c r="E796" i="17"/>
  <c r="D796" i="17"/>
  <c r="B796" i="17"/>
  <c r="AJ795" i="17"/>
  <c r="AD795" i="17"/>
  <c r="W795" i="17"/>
  <c r="V795" i="17"/>
  <c r="N795" i="17"/>
  <c r="E795" i="17"/>
  <c r="D795" i="17"/>
  <c r="B795" i="17"/>
  <c r="AJ794" i="17"/>
  <c r="AD794" i="17"/>
  <c r="W794" i="17"/>
  <c r="V794" i="17"/>
  <c r="N794" i="17"/>
  <c r="E794" i="17"/>
  <c r="D794" i="17"/>
  <c r="B794" i="17"/>
  <c r="AJ793" i="17"/>
  <c r="AD793" i="17"/>
  <c r="W793" i="17"/>
  <c r="V793" i="17"/>
  <c r="N793" i="17"/>
  <c r="E793" i="17"/>
  <c r="D793" i="17"/>
  <c r="B793" i="17"/>
  <c r="AJ792" i="17"/>
  <c r="AD792" i="17"/>
  <c r="W792" i="17"/>
  <c r="V792" i="17"/>
  <c r="N792" i="17"/>
  <c r="E792" i="17"/>
  <c r="D792" i="17"/>
  <c r="B792" i="17"/>
  <c r="AJ791" i="17"/>
  <c r="AD791" i="17"/>
  <c r="W791" i="17"/>
  <c r="V791" i="17"/>
  <c r="N791" i="17"/>
  <c r="E791" i="17"/>
  <c r="D791" i="17"/>
  <c r="B791" i="17"/>
  <c r="AJ790" i="17"/>
  <c r="AD790" i="17"/>
  <c r="W790" i="17"/>
  <c r="V790" i="17"/>
  <c r="N790" i="17"/>
  <c r="E790" i="17"/>
  <c r="D790" i="17"/>
  <c r="B790" i="17"/>
  <c r="AJ789" i="17"/>
  <c r="AD789" i="17"/>
  <c r="W789" i="17"/>
  <c r="V789" i="17"/>
  <c r="N789" i="17"/>
  <c r="E789" i="17"/>
  <c r="D789" i="17"/>
  <c r="B789" i="17"/>
  <c r="AJ788" i="17"/>
  <c r="AD788" i="17"/>
  <c r="W788" i="17"/>
  <c r="V788" i="17"/>
  <c r="N788" i="17"/>
  <c r="E788" i="17"/>
  <c r="D788" i="17"/>
  <c r="B788" i="17"/>
  <c r="AJ787" i="17"/>
  <c r="AD787" i="17"/>
  <c r="W787" i="17"/>
  <c r="V787" i="17"/>
  <c r="N787" i="17"/>
  <c r="E787" i="17"/>
  <c r="D787" i="17"/>
  <c r="B787" i="17"/>
  <c r="AJ786" i="17"/>
  <c r="AD786" i="17"/>
  <c r="W786" i="17"/>
  <c r="V786" i="17"/>
  <c r="N786" i="17"/>
  <c r="E786" i="17"/>
  <c r="D786" i="17"/>
  <c r="B786" i="17"/>
  <c r="AJ785" i="17"/>
  <c r="AD785" i="17"/>
  <c r="W785" i="17"/>
  <c r="V785" i="17"/>
  <c r="N785" i="17"/>
  <c r="E785" i="17"/>
  <c r="D785" i="17"/>
  <c r="B785" i="17"/>
  <c r="AJ784" i="17"/>
  <c r="AD784" i="17"/>
  <c r="W784" i="17"/>
  <c r="V784" i="17"/>
  <c r="N784" i="17"/>
  <c r="E784" i="17"/>
  <c r="D784" i="17"/>
  <c r="B784" i="17"/>
  <c r="AJ783" i="17"/>
  <c r="AD783" i="17"/>
  <c r="W783" i="17"/>
  <c r="V783" i="17"/>
  <c r="N783" i="17"/>
  <c r="E783" i="17"/>
  <c r="D783" i="17"/>
  <c r="B783" i="17"/>
  <c r="AJ782" i="17"/>
  <c r="AD782" i="17"/>
  <c r="W782" i="17"/>
  <c r="V782" i="17"/>
  <c r="N782" i="17"/>
  <c r="AG782" i="17"/>
  <c r="E782" i="17"/>
  <c r="D782" i="17"/>
  <c r="B782" i="17"/>
  <c r="AJ781" i="17"/>
  <c r="AD781" i="17"/>
  <c r="W781" i="17"/>
  <c r="V781" i="17"/>
  <c r="N781" i="17"/>
  <c r="E781" i="17"/>
  <c r="D781" i="17"/>
  <c r="B781" i="17"/>
  <c r="AJ780" i="17"/>
  <c r="AD780" i="17"/>
  <c r="W780" i="17"/>
  <c r="V780" i="17"/>
  <c r="N780" i="17"/>
  <c r="E780" i="17"/>
  <c r="D780" i="17"/>
  <c r="B780" i="17"/>
  <c r="AJ779" i="17"/>
  <c r="AD779" i="17"/>
  <c r="W779" i="17"/>
  <c r="V779" i="17"/>
  <c r="N779" i="17"/>
  <c r="E779" i="17"/>
  <c r="D779" i="17"/>
  <c r="B779" i="17"/>
  <c r="AJ778" i="17"/>
  <c r="AD778" i="17"/>
  <c r="W778" i="17"/>
  <c r="V778" i="17"/>
  <c r="N778" i="17"/>
  <c r="E778" i="17"/>
  <c r="D778" i="17"/>
  <c r="B778" i="17"/>
  <c r="AJ777" i="17"/>
  <c r="AD777" i="17"/>
  <c r="W777" i="17"/>
  <c r="V777" i="17"/>
  <c r="N777" i="17"/>
  <c r="E777" i="17"/>
  <c r="D777" i="17"/>
  <c r="B777" i="17"/>
  <c r="AJ776" i="17"/>
  <c r="AD776" i="17"/>
  <c r="W776" i="17"/>
  <c r="V776" i="17"/>
  <c r="N776" i="17"/>
  <c r="E776" i="17"/>
  <c r="D776" i="17"/>
  <c r="B776" i="17"/>
  <c r="AJ775" i="17"/>
  <c r="AD775" i="17"/>
  <c r="W775" i="17"/>
  <c r="V775" i="17"/>
  <c r="N775" i="17"/>
  <c r="E775" i="17"/>
  <c r="D775" i="17"/>
  <c r="B775" i="17"/>
  <c r="AJ774" i="17"/>
  <c r="AD774" i="17"/>
  <c r="W774" i="17"/>
  <c r="V774" i="17"/>
  <c r="N774" i="17"/>
  <c r="E774" i="17"/>
  <c r="D774" i="17"/>
  <c r="B774" i="17"/>
  <c r="AJ773" i="17"/>
  <c r="AD773" i="17"/>
  <c r="W773" i="17"/>
  <c r="V773" i="17"/>
  <c r="N773" i="17"/>
  <c r="E773" i="17"/>
  <c r="D773" i="17"/>
  <c r="B773" i="17"/>
  <c r="AJ772" i="17"/>
  <c r="AD772" i="17"/>
  <c r="W772" i="17"/>
  <c r="V772" i="17"/>
  <c r="N772" i="17"/>
  <c r="E772" i="17"/>
  <c r="D772" i="17"/>
  <c r="B772" i="17"/>
  <c r="AJ771" i="17"/>
  <c r="AD771" i="17"/>
  <c r="W771" i="17"/>
  <c r="V771" i="17"/>
  <c r="N771" i="17"/>
  <c r="E771" i="17"/>
  <c r="D771" i="17"/>
  <c r="B771" i="17"/>
  <c r="AJ770" i="17"/>
  <c r="AD770" i="17"/>
  <c r="W770" i="17"/>
  <c r="V770" i="17"/>
  <c r="N770" i="17"/>
  <c r="E770" i="17"/>
  <c r="D770" i="17"/>
  <c r="B770" i="17"/>
  <c r="AJ769" i="17"/>
  <c r="AD769" i="17"/>
  <c r="W769" i="17"/>
  <c r="V769" i="17"/>
  <c r="N769" i="17"/>
  <c r="E769" i="17"/>
  <c r="D769" i="17"/>
  <c r="B769" i="17"/>
  <c r="AJ768" i="17"/>
  <c r="AD768" i="17"/>
  <c r="W768" i="17"/>
  <c r="V768" i="17"/>
  <c r="N768" i="17"/>
  <c r="E768" i="17"/>
  <c r="D768" i="17"/>
  <c r="B768" i="17"/>
  <c r="AJ767" i="17"/>
  <c r="AD767" i="17"/>
  <c r="W767" i="17"/>
  <c r="V767" i="17"/>
  <c r="N767" i="17"/>
  <c r="E767" i="17"/>
  <c r="D767" i="17"/>
  <c r="B767" i="17"/>
  <c r="AJ766" i="17"/>
  <c r="AD766" i="17"/>
  <c r="W766" i="17"/>
  <c r="V766" i="17"/>
  <c r="N766" i="17"/>
  <c r="E766" i="17"/>
  <c r="D766" i="17"/>
  <c r="B766" i="17"/>
  <c r="AJ765" i="17"/>
  <c r="AD765" i="17"/>
  <c r="W765" i="17"/>
  <c r="V765" i="17"/>
  <c r="N765" i="17"/>
  <c r="E765" i="17"/>
  <c r="D765" i="17"/>
  <c r="B765" i="17"/>
  <c r="AJ764" i="17"/>
  <c r="AD764" i="17"/>
  <c r="W764" i="17"/>
  <c r="V764" i="17"/>
  <c r="N764" i="17"/>
  <c r="E764" i="17"/>
  <c r="D764" i="17"/>
  <c r="B764" i="17"/>
  <c r="AJ763" i="17"/>
  <c r="AD763" i="17"/>
  <c r="W763" i="17"/>
  <c r="V763" i="17"/>
  <c r="N763" i="17"/>
  <c r="E763" i="17"/>
  <c r="D763" i="17"/>
  <c r="B763" i="17"/>
  <c r="AJ762" i="17"/>
  <c r="AD762" i="17"/>
  <c r="W762" i="17"/>
  <c r="V762" i="17"/>
  <c r="N762" i="17"/>
  <c r="E762" i="17"/>
  <c r="D762" i="17"/>
  <c r="B762" i="17"/>
  <c r="AJ761" i="17"/>
  <c r="AD761" i="17"/>
  <c r="W761" i="17"/>
  <c r="V761" i="17"/>
  <c r="N761" i="17"/>
  <c r="E761" i="17"/>
  <c r="D761" i="17"/>
  <c r="B761" i="17"/>
  <c r="AJ760" i="17"/>
  <c r="AD760" i="17"/>
  <c r="W760" i="17"/>
  <c r="V760" i="17"/>
  <c r="N760" i="17"/>
  <c r="E760" i="17"/>
  <c r="D760" i="17"/>
  <c r="B760" i="17"/>
  <c r="AJ759" i="17"/>
  <c r="AD759" i="17"/>
  <c r="W759" i="17"/>
  <c r="V759" i="17"/>
  <c r="N759" i="17"/>
  <c r="E759" i="17"/>
  <c r="D759" i="17"/>
  <c r="B759" i="17"/>
  <c r="AJ758" i="17"/>
  <c r="AD758" i="17"/>
  <c r="W758" i="17"/>
  <c r="V758" i="17"/>
  <c r="N758" i="17"/>
  <c r="E758" i="17"/>
  <c r="D758" i="17"/>
  <c r="B758" i="17"/>
  <c r="AJ757" i="17"/>
  <c r="AD757" i="17"/>
  <c r="W757" i="17"/>
  <c r="V757" i="17"/>
  <c r="N757" i="17"/>
  <c r="E757" i="17"/>
  <c r="D757" i="17"/>
  <c r="B757" i="17"/>
  <c r="AJ756" i="17"/>
  <c r="AD756" i="17"/>
  <c r="W756" i="17"/>
  <c r="V756" i="17"/>
  <c r="N756" i="17"/>
  <c r="E756" i="17"/>
  <c r="D756" i="17"/>
  <c r="B756" i="17"/>
  <c r="AJ755" i="17"/>
  <c r="AD755" i="17"/>
  <c r="W755" i="17"/>
  <c r="V755" i="17"/>
  <c r="N755" i="17"/>
  <c r="E755" i="17"/>
  <c r="D755" i="17"/>
  <c r="B755" i="17"/>
  <c r="AJ754" i="17"/>
  <c r="AD754" i="17"/>
  <c r="W754" i="17"/>
  <c r="V754" i="17"/>
  <c r="N754" i="17"/>
  <c r="E754" i="17"/>
  <c r="D754" i="17"/>
  <c r="B754" i="17"/>
  <c r="AJ753" i="17"/>
  <c r="AD753" i="17"/>
  <c r="W753" i="17"/>
  <c r="V753" i="17"/>
  <c r="N753" i="17"/>
  <c r="E753" i="17"/>
  <c r="D753" i="17"/>
  <c r="B753" i="17"/>
  <c r="AJ752" i="17"/>
  <c r="AD752" i="17"/>
  <c r="W752" i="17"/>
  <c r="V752" i="17"/>
  <c r="N752" i="17"/>
  <c r="E752" i="17"/>
  <c r="D752" i="17"/>
  <c r="B752" i="17"/>
  <c r="AJ751" i="17"/>
  <c r="AD751" i="17"/>
  <c r="W751" i="17"/>
  <c r="V751" i="17"/>
  <c r="N751" i="17"/>
  <c r="E751" i="17"/>
  <c r="D751" i="17"/>
  <c r="B751" i="17"/>
  <c r="AJ750" i="17"/>
  <c r="AD750" i="17"/>
  <c r="W750" i="17"/>
  <c r="V750" i="17"/>
  <c r="N750" i="17"/>
  <c r="E750" i="17"/>
  <c r="D750" i="17"/>
  <c r="B750" i="17"/>
  <c r="AJ749" i="17"/>
  <c r="AD749" i="17"/>
  <c r="W749" i="17"/>
  <c r="V749" i="17"/>
  <c r="N749" i="17"/>
  <c r="E749" i="17"/>
  <c r="D749" i="17"/>
  <c r="B749" i="17"/>
  <c r="AJ748" i="17"/>
  <c r="AD748" i="17"/>
  <c r="W748" i="17"/>
  <c r="V748" i="17"/>
  <c r="N748" i="17"/>
  <c r="E748" i="17"/>
  <c r="D748" i="17"/>
  <c r="B748" i="17"/>
  <c r="AJ747" i="17"/>
  <c r="AD747" i="17"/>
  <c r="W747" i="17"/>
  <c r="V747" i="17"/>
  <c r="N747" i="17"/>
  <c r="E747" i="17"/>
  <c r="D747" i="17"/>
  <c r="B747" i="17"/>
  <c r="AJ746" i="17"/>
  <c r="AD746" i="17"/>
  <c r="W746" i="17"/>
  <c r="V746" i="17"/>
  <c r="N746" i="17"/>
  <c r="E746" i="17"/>
  <c r="D746" i="17"/>
  <c r="B746" i="17"/>
  <c r="AJ745" i="17"/>
  <c r="AD745" i="17"/>
  <c r="W745" i="17"/>
  <c r="V745" i="17"/>
  <c r="N745" i="17"/>
  <c r="E745" i="17"/>
  <c r="D745" i="17"/>
  <c r="B745" i="17"/>
  <c r="AJ744" i="17"/>
  <c r="AD744" i="17"/>
  <c r="W744" i="17"/>
  <c r="V744" i="17"/>
  <c r="N744" i="17"/>
  <c r="E744" i="17"/>
  <c r="D744" i="17"/>
  <c r="B744" i="17"/>
  <c r="AJ743" i="17"/>
  <c r="AD743" i="17"/>
  <c r="W743" i="17"/>
  <c r="V743" i="17"/>
  <c r="N743" i="17"/>
  <c r="E743" i="17"/>
  <c r="D743" i="17"/>
  <c r="B743" i="17"/>
  <c r="AJ742" i="17"/>
  <c r="AD742" i="17"/>
  <c r="W742" i="17"/>
  <c r="V742" i="17"/>
  <c r="N742" i="17"/>
  <c r="E742" i="17"/>
  <c r="D742" i="17"/>
  <c r="B742" i="17"/>
  <c r="AJ741" i="17"/>
  <c r="AD741" i="17"/>
  <c r="W741" i="17"/>
  <c r="V741" i="17"/>
  <c r="N741" i="17"/>
  <c r="E741" i="17"/>
  <c r="D741" i="17"/>
  <c r="B741" i="17"/>
  <c r="AJ740" i="17"/>
  <c r="AD740" i="17"/>
  <c r="W740" i="17"/>
  <c r="V740" i="17"/>
  <c r="N740" i="17"/>
  <c r="E740" i="17"/>
  <c r="D740" i="17"/>
  <c r="B740" i="17"/>
  <c r="AJ739" i="17"/>
  <c r="AD739" i="17"/>
  <c r="W739" i="17"/>
  <c r="V739" i="17"/>
  <c r="N739" i="17"/>
  <c r="E739" i="17"/>
  <c r="D739" i="17"/>
  <c r="B739" i="17"/>
  <c r="AJ738" i="17"/>
  <c r="AD738" i="17"/>
  <c r="W738" i="17"/>
  <c r="V738" i="17"/>
  <c r="N738" i="17"/>
  <c r="E738" i="17"/>
  <c r="D738" i="17"/>
  <c r="B738" i="17"/>
  <c r="AJ737" i="17"/>
  <c r="AD737" i="17"/>
  <c r="W737" i="17"/>
  <c r="V737" i="17"/>
  <c r="N737" i="17"/>
  <c r="E737" i="17"/>
  <c r="D737" i="17"/>
  <c r="B737" i="17"/>
  <c r="AJ736" i="17"/>
  <c r="AD736" i="17"/>
  <c r="W736" i="17"/>
  <c r="V736" i="17"/>
  <c r="N736" i="17"/>
  <c r="E736" i="17"/>
  <c r="D736" i="17"/>
  <c r="B736" i="17"/>
  <c r="AJ735" i="17"/>
  <c r="AD735" i="17"/>
  <c r="W735" i="17"/>
  <c r="V735" i="17"/>
  <c r="N735" i="17"/>
  <c r="E735" i="17"/>
  <c r="D735" i="17"/>
  <c r="B735" i="17"/>
  <c r="AJ734" i="17"/>
  <c r="AD734" i="17"/>
  <c r="W734" i="17"/>
  <c r="V734" i="17"/>
  <c r="N734" i="17"/>
  <c r="E734" i="17"/>
  <c r="D734" i="17"/>
  <c r="B734" i="17"/>
  <c r="AJ733" i="17"/>
  <c r="AD733" i="17"/>
  <c r="W733" i="17"/>
  <c r="V733" i="17"/>
  <c r="N733" i="17"/>
  <c r="E733" i="17"/>
  <c r="D733" i="17"/>
  <c r="B733" i="17"/>
  <c r="AJ732" i="17"/>
  <c r="AD732" i="17"/>
  <c r="W732" i="17"/>
  <c r="V732" i="17"/>
  <c r="N732" i="17"/>
  <c r="E732" i="17"/>
  <c r="D732" i="17"/>
  <c r="B732" i="17"/>
  <c r="AJ731" i="17"/>
  <c r="AD731" i="17"/>
  <c r="W731" i="17"/>
  <c r="V731" i="17"/>
  <c r="N731" i="17"/>
  <c r="E731" i="17"/>
  <c r="D731" i="17"/>
  <c r="B731" i="17"/>
  <c r="AJ730" i="17"/>
  <c r="AD730" i="17"/>
  <c r="W730" i="17"/>
  <c r="V730" i="17"/>
  <c r="N730" i="17"/>
  <c r="E730" i="17"/>
  <c r="D730" i="17"/>
  <c r="B730" i="17"/>
  <c r="AJ729" i="17"/>
  <c r="AD729" i="17"/>
  <c r="W729" i="17"/>
  <c r="V729" i="17"/>
  <c r="N729" i="17"/>
  <c r="E729" i="17"/>
  <c r="D729" i="17"/>
  <c r="B729" i="17"/>
  <c r="AJ728" i="17"/>
  <c r="AD728" i="17"/>
  <c r="W728" i="17"/>
  <c r="V728" i="17"/>
  <c r="N728" i="17"/>
  <c r="E728" i="17"/>
  <c r="D728" i="17"/>
  <c r="B728" i="17"/>
  <c r="AJ727" i="17"/>
  <c r="AD727" i="17"/>
  <c r="W727" i="17"/>
  <c r="V727" i="17"/>
  <c r="N727" i="17"/>
  <c r="E727" i="17"/>
  <c r="D727" i="17"/>
  <c r="B727" i="17"/>
  <c r="AJ726" i="17"/>
  <c r="AD726" i="17"/>
  <c r="W726" i="17"/>
  <c r="V726" i="17"/>
  <c r="N726" i="17"/>
  <c r="E726" i="17"/>
  <c r="D726" i="17"/>
  <c r="B726" i="17"/>
  <c r="AJ725" i="17"/>
  <c r="AD725" i="17"/>
  <c r="W725" i="17"/>
  <c r="V725" i="17"/>
  <c r="N725" i="17"/>
  <c r="E725" i="17"/>
  <c r="D725" i="17"/>
  <c r="B725" i="17"/>
  <c r="AJ724" i="17"/>
  <c r="AD724" i="17"/>
  <c r="W724" i="17"/>
  <c r="V724" i="17"/>
  <c r="N724" i="17"/>
  <c r="E724" i="17"/>
  <c r="D724" i="17"/>
  <c r="B724" i="17"/>
  <c r="AJ723" i="17"/>
  <c r="AD723" i="17"/>
  <c r="W723" i="17"/>
  <c r="V723" i="17"/>
  <c r="N723" i="17"/>
  <c r="E723" i="17"/>
  <c r="D723" i="17"/>
  <c r="B723" i="17"/>
  <c r="AJ722" i="17"/>
  <c r="AD722" i="17"/>
  <c r="W722" i="17"/>
  <c r="V722" i="17"/>
  <c r="N722" i="17"/>
  <c r="E722" i="17"/>
  <c r="D722" i="17"/>
  <c r="B722" i="17"/>
  <c r="AJ721" i="17"/>
  <c r="AD721" i="17"/>
  <c r="W721" i="17"/>
  <c r="V721" i="17"/>
  <c r="N721" i="17"/>
  <c r="E721" i="17"/>
  <c r="D721" i="17"/>
  <c r="B721" i="17"/>
  <c r="AJ720" i="17"/>
  <c r="AD720" i="17"/>
  <c r="W720" i="17"/>
  <c r="V720" i="17"/>
  <c r="N720" i="17"/>
  <c r="E720" i="17"/>
  <c r="D720" i="17"/>
  <c r="B720" i="17"/>
  <c r="AJ719" i="17"/>
  <c r="AD719" i="17"/>
  <c r="W719" i="17"/>
  <c r="V719" i="17"/>
  <c r="N719" i="17"/>
  <c r="E719" i="17"/>
  <c r="D719" i="17"/>
  <c r="B719" i="17"/>
  <c r="AJ718" i="17"/>
  <c r="AD718" i="17"/>
  <c r="W718" i="17"/>
  <c r="V718" i="17"/>
  <c r="N718" i="17"/>
  <c r="E718" i="17"/>
  <c r="D718" i="17"/>
  <c r="B718" i="17"/>
  <c r="AJ717" i="17"/>
  <c r="AD717" i="17"/>
  <c r="W717" i="17"/>
  <c r="V717" i="17"/>
  <c r="N717" i="17"/>
  <c r="E717" i="17"/>
  <c r="D717" i="17"/>
  <c r="B717" i="17"/>
  <c r="AJ716" i="17"/>
  <c r="AD716" i="17"/>
  <c r="W716" i="17"/>
  <c r="V716" i="17"/>
  <c r="N716" i="17"/>
  <c r="E716" i="17"/>
  <c r="D716" i="17"/>
  <c r="B716" i="17"/>
  <c r="AJ715" i="17"/>
  <c r="AD715" i="17"/>
  <c r="W715" i="17"/>
  <c r="V715" i="17"/>
  <c r="N715" i="17"/>
  <c r="E715" i="17"/>
  <c r="D715" i="17"/>
  <c r="B715" i="17"/>
  <c r="AJ714" i="17"/>
  <c r="AD714" i="17"/>
  <c r="W714" i="17"/>
  <c r="V714" i="17"/>
  <c r="N714" i="17"/>
  <c r="E714" i="17"/>
  <c r="D714" i="17"/>
  <c r="B714" i="17"/>
  <c r="AJ713" i="17"/>
  <c r="AA713" i="17" s="1"/>
  <c r="AC713" i="17" s="1"/>
  <c r="AD713" i="17"/>
  <c r="W713" i="17"/>
  <c r="V713" i="17"/>
  <c r="N713" i="17"/>
  <c r="E713" i="17"/>
  <c r="D713" i="17"/>
  <c r="B713" i="17"/>
  <c r="AJ712" i="17"/>
  <c r="AD712" i="17"/>
  <c r="W712" i="17"/>
  <c r="V712" i="17"/>
  <c r="N712" i="17"/>
  <c r="E712" i="17"/>
  <c r="D712" i="17"/>
  <c r="B712" i="17"/>
  <c r="AJ711" i="17"/>
  <c r="AD711" i="17"/>
  <c r="W711" i="17"/>
  <c r="V711" i="17"/>
  <c r="N711" i="17"/>
  <c r="E711" i="17"/>
  <c r="D711" i="17"/>
  <c r="B711" i="17"/>
  <c r="AJ710" i="17"/>
  <c r="AD710" i="17"/>
  <c r="W710" i="17"/>
  <c r="V710" i="17"/>
  <c r="N710" i="17"/>
  <c r="E710" i="17"/>
  <c r="D710" i="17"/>
  <c r="B710" i="17"/>
  <c r="AJ709" i="17"/>
  <c r="AD709" i="17"/>
  <c r="W709" i="17"/>
  <c r="V709" i="17"/>
  <c r="N709" i="17"/>
  <c r="E709" i="17"/>
  <c r="D709" i="17"/>
  <c r="B709" i="17"/>
  <c r="AJ708" i="17"/>
  <c r="AD708" i="17"/>
  <c r="W708" i="17"/>
  <c r="V708" i="17"/>
  <c r="N708" i="17"/>
  <c r="E708" i="17"/>
  <c r="D708" i="17"/>
  <c r="B708" i="17"/>
  <c r="AJ707" i="17"/>
  <c r="AD707" i="17"/>
  <c r="W707" i="17"/>
  <c r="V707" i="17"/>
  <c r="N707" i="17"/>
  <c r="E707" i="17"/>
  <c r="D707" i="17"/>
  <c r="B707" i="17"/>
  <c r="AJ706" i="17"/>
  <c r="AD706" i="17"/>
  <c r="W706" i="17"/>
  <c r="V706" i="17"/>
  <c r="N706" i="17"/>
  <c r="E706" i="17"/>
  <c r="D706" i="17"/>
  <c r="B706" i="17"/>
  <c r="AJ705" i="17"/>
  <c r="AD705" i="17"/>
  <c r="W705" i="17"/>
  <c r="V705" i="17"/>
  <c r="N705" i="17"/>
  <c r="E705" i="17"/>
  <c r="D705" i="17"/>
  <c r="B705" i="17"/>
  <c r="AJ704" i="17"/>
  <c r="AD704" i="17"/>
  <c r="W704" i="17"/>
  <c r="V704" i="17"/>
  <c r="N704" i="17"/>
  <c r="E704" i="17"/>
  <c r="D704" i="17"/>
  <c r="B704" i="17"/>
  <c r="AJ703" i="17"/>
  <c r="AD703" i="17"/>
  <c r="W703" i="17"/>
  <c r="V703" i="17"/>
  <c r="N703" i="17"/>
  <c r="E703" i="17"/>
  <c r="D703" i="17"/>
  <c r="B703" i="17"/>
  <c r="AJ702" i="17"/>
  <c r="AD702" i="17"/>
  <c r="W702" i="17"/>
  <c r="V702" i="17"/>
  <c r="N702" i="17"/>
  <c r="E702" i="17"/>
  <c r="D702" i="17"/>
  <c r="B702" i="17"/>
  <c r="AJ701" i="17"/>
  <c r="AD701" i="17"/>
  <c r="W701" i="17"/>
  <c r="V701" i="17"/>
  <c r="N701" i="17"/>
  <c r="E701" i="17"/>
  <c r="D701" i="17"/>
  <c r="B701" i="17"/>
  <c r="AJ700" i="17"/>
  <c r="AD700" i="17"/>
  <c r="W700" i="17"/>
  <c r="V700" i="17"/>
  <c r="N700" i="17"/>
  <c r="E700" i="17"/>
  <c r="D700" i="17"/>
  <c r="B700" i="17"/>
  <c r="AJ699" i="17"/>
  <c r="AD699" i="17"/>
  <c r="W699" i="17"/>
  <c r="V699" i="17"/>
  <c r="N699" i="17"/>
  <c r="E699" i="17"/>
  <c r="D699" i="17"/>
  <c r="B699" i="17"/>
  <c r="AJ698" i="17"/>
  <c r="AD698" i="17"/>
  <c r="W698" i="17"/>
  <c r="V698" i="17"/>
  <c r="N698" i="17"/>
  <c r="E698" i="17"/>
  <c r="D698" i="17"/>
  <c r="B698" i="17"/>
  <c r="AJ697" i="17"/>
  <c r="AD697" i="17"/>
  <c r="W697" i="17"/>
  <c r="V697" i="17"/>
  <c r="N697" i="17"/>
  <c r="E697" i="17"/>
  <c r="D697" i="17"/>
  <c r="B697" i="17"/>
  <c r="AJ696" i="17"/>
  <c r="AD696" i="17"/>
  <c r="W696" i="17"/>
  <c r="V696" i="17"/>
  <c r="N696" i="17"/>
  <c r="E696" i="17"/>
  <c r="D696" i="17"/>
  <c r="B696" i="17"/>
  <c r="AJ695" i="17"/>
  <c r="AD695" i="17"/>
  <c r="W695" i="17"/>
  <c r="V695" i="17"/>
  <c r="N695" i="17"/>
  <c r="E695" i="17"/>
  <c r="D695" i="17"/>
  <c r="B695" i="17"/>
  <c r="AJ694" i="17"/>
  <c r="AD694" i="17"/>
  <c r="W694" i="17"/>
  <c r="V694" i="17"/>
  <c r="N694" i="17"/>
  <c r="E694" i="17"/>
  <c r="D694" i="17"/>
  <c r="B694" i="17"/>
  <c r="AJ693" i="17"/>
  <c r="AD693" i="17"/>
  <c r="W693" i="17"/>
  <c r="V693" i="17"/>
  <c r="N693" i="17"/>
  <c r="E693" i="17"/>
  <c r="D693" i="17"/>
  <c r="B693" i="17"/>
  <c r="AJ692" i="17"/>
  <c r="AD692" i="17"/>
  <c r="W692" i="17"/>
  <c r="V692" i="17"/>
  <c r="N692" i="17"/>
  <c r="E692" i="17"/>
  <c r="D692" i="17"/>
  <c r="B692" i="17"/>
  <c r="AJ691" i="17"/>
  <c r="AD691" i="17"/>
  <c r="W691" i="17"/>
  <c r="V691" i="17"/>
  <c r="N691" i="17"/>
  <c r="E691" i="17"/>
  <c r="D691" i="17"/>
  <c r="B691" i="17"/>
  <c r="AJ690" i="17"/>
  <c r="AD690" i="17"/>
  <c r="W690" i="17"/>
  <c r="V690" i="17"/>
  <c r="N690" i="17"/>
  <c r="E690" i="17"/>
  <c r="D690" i="17"/>
  <c r="B690" i="17"/>
  <c r="AJ689" i="17"/>
  <c r="AD689" i="17"/>
  <c r="W689" i="17"/>
  <c r="V689" i="17"/>
  <c r="N689" i="17"/>
  <c r="E689" i="17"/>
  <c r="D689" i="17"/>
  <c r="B689" i="17"/>
  <c r="AJ688" i="17"/>
  <c r="AD688" i="17"/>
  <c r="W688" i="17"/>
  <c r="V688" i="17"/>
  <c r="N688" i="17"/>
  <c r="E688" i="17"/>
  <c r="D688" i="17"/>
  <c r="B688" i="17"/>
  <c r="AJ687" i="17"/>
  <c r="AD687" i="17"/>
  <c r="W687" i="17"/>
  <c r="V687" i="17"/>
  <c r="N687" i="17"/>
  <c r="E687" i="17"/>
  <c r="D687" i="17"/>
  <c r="B687" i="17"/>
  <c r="AJ686" i="17"/>
  <c r="AD686" i="17"/>
  <c r="W686" i="17"/>
  <c r="V686" i="17"/>
  <c r="N686" i="17"/>
  <c r="E686" i="17"/>
  <c r="D686" i="17"/>
  <c r="B686" i="17"/>
  <c r="AJ685" i="17"/>
  <c r="AD685" i="17"/>
  <c r="W685" i="17"/>
  <c r="V685" i="17"/>
  <c r="N685" i="17"/>
  <c r="E685" i="17"/>
  <c r="D685" i="17"/>
  <c r="B685" i="17"/>
  <c r="AJ684" i="17"/>
  <c r="AD684" i="17"/>
  <c r="W684" i="17"/>
  <c r="V684" i="17"/>
  <c r="N684" i="17"/>
  <c r="E684" i="17"/>
  <c r="D684" i="17"/>
  <c r="B684" i="17"/>
  <c r="AJ683" i="17"/>
  <c r="AD683" i="17"/>
  <c r="W683" i="17"/>
  <c r="V683" i="17"/>
  <c r="N683" i="17"/>
  <c r="E683" i="17"/>
  <c r="D683" i="17"/>
  <c r="B683" i="17"/>
  <c r="AJ682" i="17"/>
  <c r="AD682" i="17"/>
  <c r="W682" i="17"/>
  <c r="V682" i="17"/>
  <c r="N682" i="17"/>
  <c r="E682" i="17"/>
  <c r="D682" i="17"/>
  <c r="B682" i="17"/>
  <c r="AJ681" i="17"/>
  <c r="AD681" i="17"/>
  <c r="W681" i="17"/>
  <c r="V681" i="17"/>
  <c r="N681" i="17"/>
  <c r="E681" i="17"/>
  <c r="D681" i="17"/>
  <c r="B681" i="17"/>
  <c r="AJ680" i="17"/>
  <c r="AD680" i="17"/>
  <c r="W680" i="17"/>
  <c r="V680" i="17"/>
  <c r="N680" i="17"/>
  <c r="E680" i="17"/>
  <c r="D680" i="17"/>
  <c r="B680" i="17"/>
  <c r="AJ679" i="17"/>
  <c r="AD679" i="17"/>
  <c r="W679" i="17"/>
  <c r="V679" i="17"/>
  <c r="N679" i="17"/>
  <c r="E679" i="17"/>
  <c r="D679" i="17"/>
  <c r="B679" i="17"/>
  <c r="AJ678" i="17"/>
  <c r="AD678" i="17"/>
  <c r="W678" i="17"/>
  <c r="V678" i="17"/>
  <c r="N678" i="17"/>
  <c r="AG678" i="17"/>
  <c r="E678" i="17"/>
  <c r="D678" i="17"/>
  <c r="B678" i="17"/>
  <c r="AJ677" i="17"/>
  <c r="AD677" i="17"/>
  <c r="W677" i="17"/>
  <c r="V677" i="17"/>
  <c r="N677" i="17"/>
  <c r="E677" i="17"/>
  <c r="D677" i="17"/>
  <c r="B677" i="17"/>
  <c r="AJ676" i="17"/>
  <c r="AD676" i="17"/>
  <c r="W676" i="17"/>
  <c r="V676" i="17"/>
  <c r="N676" i="17"/>
  <c r="E676" i="17"/>
  <c r="D676" i="17"/>
  <c r="B676" i="17"/>
  <c r="AJ675" i="17"/>
  <c r="AD675" i="17"/>
  <c r="W675" i="17"/>
  <c r="V675" i="17"/>
  <c r="N675" i="17"/>
  <c r="E675" i="17"/>
  <c r="D675" i="17"/>
  <c r="B675" i="17"/>
  <c r="AJ674" i="17"/>
  <c r="AD674" i="17"/>
  <c r="W674" i="17"/>
  <c r="V674" i="17"/>
  <c r="N674" i="17"/>
  <c r="E674" i="17"/>
  <c r="D674" i="17"/>
  <c r="B674" i="17"/>
  <c r="AJ673" i="17"/>
  <c r="AD673" i="17"/>
  <c r="W673" i="17"/>
  <c r="V673" i="17"/>
  <c r="N673" i="17"/>
  <c r="E673" i="17"/>
  <c r="D673" i="17"/>
  <c r="B673" i="17"/>
  <c r="AJ672" i="17"/>
  <c r="AD672" i="17"/>
  <c r="W672" i="17"/>
  <c r="V672" i="17"/>
  <c r="N672" i="17"/>
  <c r="E672" i="17"/>
  <c r="D672" i="17"/>
  <c r="B672" i="17"/>
  <c r="AJ671" i="17"/>
  <c r="AD671" i="17"/>
  <c r="W671" i="17"/>
  <c r="V671" i="17"/>
  <c r="N671" i="17"/>
  <c r="E671" i="17"/>
  <c r="D671" i="17"/>
  <c r="B671" i="17"/>
  <c r="AJ670" i="17"/>
  <c r="AD670" i="17"/>
  <c r="W670" i="17"/>
  <c r="V670" i="17"/>
  <c r="N670" i="17"/>
  <c r="E670" i="17"/>
  <c r="D670" i="17"/>
  <c r="B670" i="17"/>
  <c r="AJ669" i="17"/>
  <c r="AD669" i="17"/>
  <c r="W669" i="17"/>
  <c r="V669" i="17"/>
  <c r="N669" i="17"/>
  <c r="E669" i="17"/>
  <c r="D669" i="17"/>
  <c r="B669" i="17"/>
  <c r="AJ668" i="17"/>
  <c r="AD668" i="17"/>
  <c r="W668" i="17"/>
  <c r="V668" i="17"/>
  <c r="N668" i="17"/>
  <c r="E668" i="17"/>
  <c r="D668" i="17"/>
  <c r="B668" i="17"/>
  <c r="AJ667" i="17"/>
  <c r="AD667" i="17"/>
  <c r="W667" i="17"/>
  <c r="V667" i="17"/>
  <c r="N667" i="17"/>
  <c r="E667" i="17"/>
  <c r="D667" i="17"/>
  <c r="B667" i="17"/>
  <c r="AJ666" i="17"/>
  <c r="AD666" i="17"/>
  <c r="W666" i="17"/>
  <c r="V666" i="17"/>
  <c r="N666" i="17"/>
  <c r="E666" i="17"/>
  <c r="D666" i="17"/>
  <c r="B666" i="17"/>
  <c r="AJ665" i="17"/>
  <c r="AD665" i="17"/>
  <c r="W665" i="17"/>
  <c r="V665" i="17"/>
  <c r="N665" i="17"/>
  <c r="E665" i="17"/>
  <c r="D665" i="17"/>
  <c r="B665" i="17"/>
  <c r="AJ664" i="17"/>
  <c r="AD664" i="17"/>
  <c r="W664" i="17"/>
  <c r="V664" i="17"/>
  <c r="N664" i="17"/>
  <c r="E664" i="17"/>
  <c r="D664" i="17"/>
  <c r="B664" i="17"/>
  <c r="AJ663" i="17"/>
  <c r="AD663" i="17"/>
  <c r="W663" i="17"/>
  <c r="V663" i="17"/>
  <c r="N663" i="17"/>
  <c r="E663" i="17"/>
  <c r="D663" i="17"/>
  <c r="B663" i="17"/>
  <c r="AJ662" i="17"/>
  <c r="AD662" i="17"/>
  <c r="W662" i="17"/>
  <c r="V662" i="17"/>
  <c r="N662" i="17"/>
  <c r="E662" i="17"/>
  <c r="D662" i="17"/>
  <c r="B662" i="17"/>
  <c r="AJ661" i="17"/>
  <c r="AD661" i="17"/>
  <c r="W661" i="17"/>
  <c r="V661" i="17"/>
  <c r="N661" i="17"/>
  <c r="E661" i="17"/>
  <c r="D661" i="17"/>
  <c r="B661" i="17"/>
  <c r="AJ660" i="17"/>
  <c r="AD660" i="17"/>
  <c r="W660" i="17"/>
  <c r="V660" i="17"/>
  <c r="N660" i="17"/>
  <c r="E660" i="17"/>
  <c r="D660" i="17"/>
  <c r="B660" i="17"/>
  <c r="AJ659" i="17"/>
  <c r="AD659" i="17"/>
  <c r="W659" i="17"/>
  <c r="V659" i="17"/>
  <c r="N659" i="17"/>
  <c r="E659" i="17"/>
  <c r="D659" i="17"/>
  <c r="B659" i="17"/>
  <c r="AJ658" i="17"/>
  <c r="AD658" i="17"/>
  <c r="W658" i="17"/>
  <c r="V658" i="17"/>
  <c r="N658" i="17"/>
  <c r="E658" i="17"/>
  <c r="D658" i="17"/>
  <c r="B658" i="17"/>
  <c r="AJ657" i="17"/>
  <c r="AD657" i="17"/>
  <c r="W657" i="17"/>
  <c r="V657" i="17"/>
  <c r="N657" i="17"/>
  <c r="E657" i="17"/>
  <c r="D657" i="17"/>
  <c r="B657" i="17"/>
  <c r="AJ656" i="17"/>
  <c r="AD656" i="17"/>
  <c r="W656" i="17"/>
  <c r="V656" i="17"/>
  <c r="N656" i="17"/>
  <c r="E656" i="17"/>
  <c r="D656" i="17"/>
  <c r="B656" i="17"/>
  <c r="AJ655" i="17"/>
  <c r="AD655" i="17"/>
  <c r="W655" i="17"/>
  <c r="V655" i="17"/>
  <c r="N655" i="17"/>
  <c r="E655" i="17"/>
  <c r="D655" i="17"/>
  <c r="B655" i="17"/>
  <c r="AJ654" i="17"/>
  <c r="AD654" i="17"/>
  <c r="W654" i="17"/>
  <c r="V654" i="17"/>
  <c r="N654" i="17"/>
  <c r="E654" i="17"/>
  <c r="D654" i="17"/>
  <c r="B654" i="17"/>
  <c r="AJ653" i="17"/>
  <c r="AD653" i="17"/>
  <c r="W653" i="17"/>
  <c r="V653" i="17"/>
  <c r="N653" i="17"/>
  <c r="E653" i="17"/>
  <c r="D653" i="17"/>
  <c r="B653" i="17"/>
  <c r="AJ652" i="17"/>
  <c r="AD652" i="17"/>
  <c r="W652" i="17"/>
  <c r="V652" i="17"/>
  <c r="N652" i="17"/>
  <c r="E652" i="17"/>
  <c r="D652" i="17"/>
  <c r="B652" i="17"/>
  <c r="AJ651" i="17"/>
  <c r="AD651" i="17"/>
  <c r="W651" i="17"/>
  <c r="V651" i="17"/>
  <c r="N651" i="17"/>
  <c r="E651" i="17"/>
  <c r="D651" i="17"/>
  <c r="B651" i="17"/>
  <c r="AJ650" i="17"/>
  <c r="AD650" i="17"/>
  <c r="W650" i="17"/>
  <c r="V650" i="17"/>
  <c r="N650" i="17"/>
  <c r="E650" i="17"/>
  <c r="D650" i="17"/>
  <c r="B650" i="17"/>
  <c r="AJ649" i="17"/>
  <c r="AD649" i="17"/>
  <c r="W649" i="17"/>
  <c r="V649" i="17"/>
  <c r="N649" i="17"/>
  <c r="E649" i="17"/>
  <c r="D649" i="17"/>
  <c r="B649" i="17"/>
  <c r="AJ648" i="17"/>
  <c r="AD648" i="17"/>
  <c r="W648" i="17"/>
  <c r="V648" i="17"/>
  <c r="N648" i="17"/>
  <c r="E648" i="17"/>
  <c r="D648" i="17"/>
  <c r="B648" i="17"/>
  <c r="AJ647" i="17"/>
  <c r="AD647" i="17"/>
  <c r="W647" i="17"/>
  <c r="V647" i="17"/>
  <c r="N647" i="17"/>
  <c r="E647" i="17"/>
  <c r="D647" i="17"/>
  <c r="B647" i="17"/>
  <c r="AJ646" i="17"/>
  <c r="AD646" i="17"/>
  <c r="W646" i="17"/>
  <c r="V646" i="17"/>
  <c r="N646" i="17"/>
  <c r="E646" i="17"/>
  <c r="D646" i="17"/>
  <c r="B646" i="17"/>
  <c r="AJ645" i="17"/>
  <c r="AD645" i="17"/>
  <c r="W645" i="17"/>
  <c r="V645" i="17"/>
  <c r="N645" i="17"/>
  <c r="E645" i="17"/>
  <c r="D645" i="17"/>
  <c r="B645" i="17"/>
  <c r="AJ644" i="17"/>
  <c r="AD644" i="17"/>
  <c r="W644" i="17"/>
  <c r="V644" i="17"/>
  <c r="N644" i="17"/>
  <c r="E644" i="17"/>
  <c r="D644" i="17"/>
  <c r="B644" i="17"/>
  <c r="AJ643" i="17"/>
  <c r="AD643" i="17"/>
  <c r="W643" i="17"/>
  <c r="V643" i="17"/>
  <c r="N643" i="17"/>
  <c r="E643" i="17"/>
  <c r="D643" i="17"/>
  <c r="B643" i="17"/>
  <c r="AJ642" i="17"/>
  <c r="AD642" i="17"/>
  <c r="W642" i="17"/>
  <c r="V642" i="17"/>
  <c r="N642" i="17"/>
  <c r="E642" i="17"/>
  <c r="D642" i="17"/>
  <c r="B642" i="17"/>
  <c r="AJ641" i="17"/>
  <c r="AD641" i="17"/>
  <c r="W641" i="17"/>
  <c r="V641" i="17"/>
  <c r="N641" i="17"/>
  <c r="E641" i="17"/>
  <c r="D641" i="17"/>
  <c r="B641" i="17"/>
  <c r="AJ640" i="17"/>
  <c r="AD640" i="17"/>
  <c r="W640" i="17"/>
  <c r="V640" i="17"/>
  <c r="N640" i="17"/>
  <c r="E640" i="17"/>
  <c r="D640" i="17"/>
  <c r="B640" i="17"/>
  <c r="AJ639" i="17"/>
  <c r="AD639" i="17"/>
  <c r="W639" i="17"/>
  <c r="V639" i="17"/>
  <c r="N639" i="17"/>
  <c r="E639" i="17"/>
  <c r="D639" i="17"/>
  <c r="B639" i="17"/>
  <c r="AJ638" i="17"/>
  <c r="AD638" i="17"/>
  <c r="W638" i="17"/>
  <c r="V638" i="17"/>
  <c r="N638" i="17"/>
  <c r="E638" i="17"/>
  <c r="D638" i="17"/>
  <c r="B638" i="17"/>
  <c r="AJ637" i="17"/>
  <c r="AD637" i="17"/>
  <c r="W637" i="17"/>
  <c r="V637" i="17"/>
  <c r="N637" i="17"/>
  <c r="E637" i="17"/>
  <c r="D637" i="17"/>
  <c r="B637" i="17"/>
  <c r="AJ636" i="17"/>
  <c r="AD636" i="17"/>
  <c r="W636" i="17"/>
  <c r="V636" i="17"/>
  <c r="N636" i="17"/>
  <c r="E636" i="17"/>
  <c r="D636" i="17"/>
  <c r="B636" i="17"/>
  <c r="AJ635" i="17"/>
  <c r="AD635" i="17"/>
  <c r="W635" i="17"/>
  <c r="V635" i="17"/>
  <c r="N635" i="17"/>
  <c r="E635" i="17"/>
  <c r="D635" i="17"/>
  <c r="B635" i="17"/>
  <c r="AJ634" i="17"/>
  <c r="AD634" i="17"/>
  <c r="W634" i="17"/>
  <c r="V634" i="17"/>
  <c r="N634" i="17"/>
  <c r="E634" i="17"/>
  <c r="D634" i="17"/>
  <c r="B634" i="17"/>
  <c r="AJ633" i="17"/>
  <c r="AD633" i="17"/>
  <c r="W633" i="17"/>
  <c r="V633" i="17"/>
  <c r="N633" i="17"/>
  <c r="E633" i="17"/>
  <c r="D633" i="17"/>
  <c r="B633" i="17"/>
  <c r="AJ632" i="17"/>
  <c r="AD632" i="17"/>
  <c r="W632" i="17"/>
  <c r="V632" i="17"/>
  <c r="N632" i="17"/>
  <c r="E632" i="17"/>
  <c r="D632" i="17"/>
  <c r="B632" i="17"/>
  <c r="AJ631" i="17"/>
  <c r="AD631" i="17"/>
  <c r="W631" i="17"/>
  <c r="V631" i="17"/>
  <c r="N631" i="17"/>
  <c r="E631" i="17"/>
  <c r="D631" i="17"/>
  <c r="B631" i="17"/>
  <c r="AJ630" i="17"/>
  <c r="AD630" i="17"/>
  <c r="W630" i="17"/>
  <c r="V630" i="17"/>
  <c r="N630" i="17"/>
  <c r="E630" i="17"/>
  <c r="D630" i="17"/>
  <c r="B630" i="17"/>
  <c r="AJ629" i="17"/>
  <c r="AD629" i="17"/>
  <c r="W629" i="17"/>
  <c r="V629" i="17"/>
  <c r="N629" i="17"/>
  <c r="E629" i="17"/>
  <c r="D629" i="17"/>
  <c r="B629" i="17"/>
  <c r="AJ628" i="17"/>
  <c r="AD628" i="17"/>
  <c r="W628" i="17"/>
  <c r="V628" i="17"/>
  <c r="N628" i="17"/>
  <c r="E628" i="17"/>
  <c r="D628" i="17"/>
  <c r="B628" i="17"/>
  <c r="AJ627" i="17"/>
  <c r="AD627" i="17"/>
  <c r="W627" i="17"/>
  <c r="V627" i="17"/>
  <c r="N627" i="17"/>
  <c r="E627" i="17"/>
  <c r="D627" i="17"/>
  <c r="B627" i="17"/>
  <c r="AJ626" i="17"/>
  <c r="AD626" i="17"/>
  <c r="W626" i="17"/>
  <c r="V626" i="17"/>
  <c r="N626" i="17"/>
  <c r="E626" i="17"/>
  <c r="D626" i="17"/>
  <c r="B626" i="17"/>
  <c r="AJ625" i="17"/>
  <c r="AD625" i="17"/>
  <c r="W625" i="17"/>
  <c r="V625" i="17"/>
  <c r="N625" i="17"/>
  <c r="E625" i="17"/>
  <c r="D625" i="17"/>
  <c r="B625" i="17"/>
  <c r="AJ624" i="17"/>
  <c r="AD624" i="17"/>
  <c r="W624" i="17"/>
  <c r="V624" i="17"/>
  <c r="N624" i="17"/>
  <c r="E624" i="17"/>
  <c r="D624" i="17"/>
  <c r="B624" i="17"/>
  <c r="AJ623" i="17"/>
  <c r="AD623" i="17"/>
  <c r="W623" i="17"/>
  <c r="V623" i="17"/>
  <c r="N623" i="17"/>
  <c r="E623" i="17"/>
  <c r="D623" i="17"/>
  <c r="B623" i="17"/>
  <c r="AJ622" i="17"/>
  <c r="AD622" i="17"/>
  <c r="W622" i="17"/>
  <c r="V622" i="17"/>
  <c r="N622" i="17"/>
  <c r="E622" i="17"/>
  <c r="D622" i="17"/>
  <c r="B622" i="17"/>
  <c r="AJ621" i="17"/>
  <c r="AD621" i="17"/>
  <c r="W621" i="17"/>
  <c r="V621" i="17"/>
  <c r="N621" i="17"/>
  <c r="E621" i="17"/>
  <c r="D621" i="17"/>
  <c r="B621" i="17"/>
  <c r="AJ620" i="17"/>
  <c r="AD620" i="17"/>
  <c r="W620" i="17"/>
  <c r="V620" i="17"/>
  <c r="N620" i="17"/>
  <c r="E620" i="17"/>
  <c r="D620" i="17"/>
  <c r="B620" i="17"/>
  <c r="AJ619" i="17"/>
  <c r="AD619" i="17"/>
  <c r="W619" i="17"/>
  <c r="V619" i="17"/>
  <c r="N619" i="17"/>
  <c r="E619" i="17"/>
  <c r="D619" i="17"/>
  <c r="B619" i="17"/>
  <c r="AJ618" i="17"/>
  <c r="AD618" i="17"/>
  <c r="W618" i="17"/>
  <c r="V618" i="17"/>
  <c r="N618" i="17"/>
  <c r="E618" i="17"/>
  <c r="D618" i="17"/>
  <c r="B618" i="17"/>
  <c r="AJ617" i="17"/>
  <c r="AD617" i="17"/>
  <c r="W617" i="17"/>
  <c r="V617" i="17"/>
  <c r="N617" i="17"/>
  <c r="E617" i="17"/>
  <c r="D617" i="17"/>
  <c r="B617" i="17"/>
  <c r="AJ616" i="17"/>
  <c r="AD616" i="17"/>
  <c r="W616" i="17"/>
  <c r="V616" i="17"/>
  <c r="N616" i="17"/>
  <c r="E616" i="17"/>
  <c r="D616" i="17"/>
  <c r="B616" i="17"/>
  <c r="AJ615" i="17"/>
  <c r="AD615" i="17"/>
  <c r="W615" i="17"/>
  <c r="V615" i="17"/>
  <c r="N615" i="17"/>
  <c r="E615" i="17"/>
  <c r="D615" i="17"/>
  <c r="B615" i="17"/>
  <c r="AJ614" i="17"/>
  <c r="AD614" i="17"/>
  <c r="W614" i="17"/>
  <c r="V614" i="17"/>
  <c r="N614" i="17"/>
  <c r="AG614" i="17"/>
  <c r="E614" i="17"/>
  <c r="D614" i="17"/>
  <c r="B614" i="17"/>
  <c r="AJ613" i="17"/>
  <c r="AD613" i="17"/>
  <c r="W613" i="17"/>
  <c r="V613" i="17"/>
  <c r="N613" i="17"/>
  <c r="E613" i="17"/>
  <c r="D613" i="17"/>
  <c r="B613" i="17"/>
  <c r="AJ612" i="17"/>
  <c r="AD612" i="17"/>
  <c r="W612" i="17"/>
  <c r="V612" i="17"/>
  <c r="N612" i="17"/>
  <c r="E612" i="17"/>
  <c r="D612" i="17"/>
  <c r="B612" i="17"/>
  <c r="AJ611" i="17"/>
  <c r="AD611" i="17"/>
  <c r="W611" i="17"/>
  <c r="V611" i="17"/>
  <c r="N611" i="17"/>
  <c r="E611" i="17"/>
  <c r="D611" i="17"/>
  <c r="B611" i="17"/>
  <c r="AJ610" i="17"/>
  <c r="AD610" i="17"/>
  <c r="W610" i="17"/>
  <c r="V610" i="17"/>
  <c r="N610" i="17"/>
  <c r="E610" i="17"/>
  <c r="D610" i="17"/>
  <c r="B610" i="17"/>
  <c r="AJ609" i="17"/>
  <c r="AD609" i="17"/>
  <c r="W609" i="17"/>
  <c r="V609" i="17"/>
  <c r="N609" i="17"/>
  <c r="E609" i="17"/>
  <c r="D609" i="17"/>
  <c r="B609" i="17"/>
  <c r="AJ608" i="17"/>
  <c r="AD608" i="17"/>
  <c r="W608" i="17"/>
  <c r="V608" i="17"/>
  <c r="N608" i="17"/>
  <c r="E608" i="17"/>
  <c r="D608" i="17"/>
  <c r="B608" i="17"/>
  <c r="AJ607" i="17"/>
  <c r="AD607" i="17"/>
  <c r="W607" i="17"/>
  <c r="V607" i="17"/>
  <c r="N607" i="17"/>
  <c r="E607" i="17"/>
  <c r="D607" i="17"/>
  <c r="B607" i="17"/>
  <c r="AJ606" i="17"/>
  <c r="AD606" i="17"/>
  <c r="W606" i="17"/>
  <c r="V606" i="17"/>
  <c r="N606" i="17"/>
  <c r="E606" i="17"/>
  <c r="D606" i="17"/>
  <c r="B606" i="17"/>
  <c r="AJ605" i="17"/>
  <c r="AD605" i="17"/>
  <c r="W605" i="17"/>
  <c r="V605" i="17"/>
  <c r="N605" i="17"/>
  <c r="E605" i="17"/>
  <c r="D605" i="17"/>
  <c r="B605" i="17"/>
  <c r="AJ604" i="17"/>
  <c r="AD604" i="17"/>
  <c r="W604" i="17"/>
  <c r="V604" i="17"/>
  <c r="N604" i="17"/>
  <c r="E604" i="17"/>
  <c r="D604" i="17"/>
  <c r="B604" i="17"/>
  <c r="AJ603" i="17"/>
  <c r="AD603" i="17"/>
  <c r="W603" i="17"/>
  <c r="V603" i="17"/>
  <c r="N603" i="17"/>
  <c r="E603" i="17"/>
  <c r="D603" i="17"/>
  <c r="B603" i="17"/>
  <c r="AJ602" i="17"/>
  <c r="AD602" i="17"/>
  <c r="W602" i="17"/>
  <c r="V602" i="17"/>
  <c r="N602" i="17"/>
  <c r="E602" i="17"/>
  <c r="D602" i="17"/>
  <c r="B602" i="17"/>
  <c r="AJ601" i="17"/>
  <c r="AD601" i="17"/>
  <c r="W601" i="17"/>
  <c r="V601" i="17"/>
  <c r="N601" i="17"/>
  <c r="E601" i="17"/>
  <c r="D601" i="17"/>
  <c r="B601" i="17"/>
  <c r="AJ600" i="17"/>
  <c r="AD600" i="17"/>
  <c r="W600" i="17"/>
  <c r="V600" i="17"/>
  <c r="N600" i="17"/>
  <c r="E600" i="17"/>
  <c r="D600" i="17"/>
  <c r="B600" i="17"/>
  <c r="AJ599" i="17"/>
  <c r="AD599" i="17"/>
  <c r="W599" i="17"/>
  <c r="V599" i="17"/>
  <c r="N599" i="17"/>
  <c r="E599" i="17"/>
  <c r="D599" i="17"/>
  <c r="B599" i="17"/>
  <c r="AJ598" i="17"/>
  <c r="AD598" i="17"/>
  <c r="W598" i="17"/>
  <c r="V598" i="17"/>
  <c r="N598" i="17"/>
  <c r="E598" i="17"/>
  <c r="D598" i="17"/>
  <c r="B598" i="17"/>
  <c r="AJ597" i="17"/>
  <c r="AD597" i="17"/>
  <c r="W597" i="17"/>
  <c r="V597" i="17"/>
  <c r="N597" i="17"/>
  <c r="E597" i="17"/>
  <c r="D597" i="17"/>
  <c r="B597" i="17"/>
  <c r="AJ596" i="17"/>
  <c r="AD596" i="17"/>
  <c r="W596" i="17"/>
  <c r="V596" i="17"/>
  <c r="N596" i="17"/>
  <c r="E596" i="17"/>
  <c r="D596" i="17"/>
  <c r="B596" i="17"/>
  <c r="AJ595" i="17"/>
  <c r="AD595" i="17"/>
  <c r="W595" i="17"/>
  <c r="V595" i="17"/>
  <c r="N595" i="17"/>
  <c r="E595" i="17"/>
  <c r="D595" i="17"/>
  <c r="B595" i="17"/>
  <c r="AJ594" i="17"/>
  <c r="AD594" i="17"/>
  <c r="W594" i="17"/>
  <c r="V594" i="17"/>
  <c r="N594" i="17"/>
  <c r="E594" i="17"/>
  <c r="D594" i="17"/>
  <c r="B594" i="17"/>
  <c r="AJ593" i="17"/>
  <c r="AD593" i="17"/>
  <c r="W593" i="17"/>
  <c r="V593" i="17"/>
  <c r="N593" i="17"/>
  <c r="E593" i="17"/>
  <c r="D593" i="17"/>
  <c r="B593" i="17"/>
  <c r="AJ592" i="17"/>
  <c r="AD592" i="17"/>
  <c r="W592" i="17"/>
  <c r="V592" i="17"/>
  <c r="N592" i="17"/>
  <c r="E592" i="17"/>
  <c r="D592" i="17"/>
  <c r="B592" i="17"/>
  <c r="AJ591" i="17"/>
  <c r="AD591" i="17"/>
  <c r="W591" i="17"/>
  <c r="V591" i="17"/>
  <c r="N591" i="17"/>
  <c r="E591" i="17"/>
  <c r="D591" i="17"/>
  <c r="B591" i="17"/>
  <c r="AJ590" i="17"/>
  <c r="AD590" i="17"/>
  <c r="W590" i="17"/>
  <c r="V590" i="17"/>
  <c r="N590" i="17"/>
  <c r="E590" i="17"/>
  <c r="D590" i="17"/>
  <c r="B590" i="17"/>
  <c r="AJ589" i="17"/>
  <c r="AD589" i="17"/>
  <c r="W589" i="17"/>
  <c r="V589" i="17"/>
  <c r="N589" i="17"/>
  <c r="E589" i="17"/>
  <c r="D589" i="17"/>
  <c r="B589" i="17"/>
  <c r="AJ588" i="17"/>
  <c r="AD588" i="17"/>
  <c r="W588" i="17"/>
  <c r="V588" i="17"/>
  <c r="N588" i="17"/>
  <c r="E588" i="17"/>
  <c r="D588" i="17"/>
  <c r="B588" i="17"/>
  <c r="AJ587" i="17"/>
  <c r="AD587" i="17"/>
  <c r="W587" i="17"/>
  <c r="V587" i="17"/>
  <c r="N587" i="17"/>
  <c r="E587" i="17"/>
  <c r="D587" i="17"/>
  <c r="B587" i="17"/>
  <c r="AJ586" i="17"/>
  <c r="AD586" i="17"/>
  <c r="W586" i="17"/>
  <c r="V586" i="17"/>
  <c r="N586" i="17"/>
  <c r="E586" i="17"/>
  <c r="D586" i="17"/>
  <c r="B586" i="17"/>
  <c r="AJ585" i="17"/>
  <c r="AD585" i="17"/>
  <c r="W585" i="17"/>
  <c r="V585" i="17"/>
  <c r="N585" i="17"/>
  <c r="E585" i="17"/>
  <c r="D585" i="17"/>
  <c r="B585" i="17"/>
  <c r="AJ584" i="17"/>
  <c r="AD584" i="17"/>
  <c r="W584" i="17"/>
  <c r="V584" i="17"/>
  <c r="N584" i="17"/>
  <c r="E584" i="17"/>
  <c r="D584" i="17"/>
  <c r="B584" i="17"/>
  <c r="AJ583" i="17"/>
  <c r="AD583" i="17"/>
  <c r="W583" i="17"/>
  <c r="V583" i="17"/>
  <c r="N583" i="17"/>
  <c r="E583" i="17"/>
  <c r="D583" i="17"/>
  <c r="B583" i="17"/>
  <c r="AJ582" i="17"/>
  <c r="AD582" i="17"/>
  <c r="W582" i="17"/>
  <c r="V582" i="17"/>
  <c r="N582" i="17"/>
  <c r="E582" i="17"/>
  <c r="D582" i="17"/>
  <c r="B582" i="17"/>
  <c r="AJ581" i="17"/>
  <c r="AD581" i="17"/>
  <c r="W581" i="17"/>
  <c r="V581" i="17"/>
  <c r="N581" i="17"/>
  <c r="E581" i="17"/>
  <c r="D581" i="17"/>
  <c r="B581" i="17"/>
  <c r="AJ580" i="17"/>
  <c r="AD580" i="17"/>
  <c r="W580" i="17"/>
  <c r="V580" i="17"/>
  <c r="N580" i="17"/>
  <c r="E580" i="17"/>
  <c r="D580" i="17"/>
  <c r="B580" i="17"/>
  <c r="AJ579" i="17"/>
  <c r="AD579" i="17"/>
  <c r="W579" i="17"/>
  <c r="V579" i="17"/>
  <c r="N579" i="17"/>
  <c r="E579" i="17"/>
  <c r="D579" i="17"/>
  <c r="B579" i="17"/>
  <c r="AJ578" i="17"/>
  <c r="AD578" i="17"/>
  <c r="W578" i="17"/>
  <c r="V578" i="17"/>
  <c r="N578" i="17"/>
  <c r="E578" i="17"/>
  <c r="D578" i="17"/>
  <c r="B578" i="17"/>
  <c r="AJ577" i="17"/>
  <c r="AD577" i="17"/>
  <c r="W577" i="17"/>
  <c r="V577" i="17"/>
  <c r="N577" i="17"/>
  <c r="E577" i="17"/>
  <c r="D577" i="17"/>
  <c r="B577" i="17"/>
  <c r="AJ576" i="17"/>
  <c r="AD576" i="17"/>
  <c r="W576" i="17"/>
  <c r="V576" i="17"/>
  <c r="N576" i="17"/>
  <c r="E576" i="17"/>
  <c r="D576" i="17"/>
  <c r="B576" i="17"/>
  <c r="AJ575" i="17"/>
  <c r="AD575" i="17"/>
  <c r="W575" i="17"/>
  <c r="V575" i="17"/>
  <c r="N575" i="17"/>
  <c r="E575" i="17"/>
  <c r="D575" i="17"/>
  <c r="B575" i="17"/>
  <c r="AJ574" i="17"/>
  <c r="AD574" i="17"/>
  <c r="W574" i="17"/>
  <c r="V574" i="17"/>
  <c r="N574" i="17"/>
  <c r="E574" i="17"/>
  <c r="D574" i="17"/>
  <c r="B574" i="17"/>
  <c r="AJ573" i="17"/>
  <c r="AD573" i="17"/>
  <c r="W573" i="17"/>
  <c r="V573" i="17"/>
  <c r="N573" i="17"/>
  <c r="E573" i="17"/>
  <c r="D573" i="17"/>
  <c r="B573" i="17"/>
  <c r="AJ572" i="17"/>
  <c r="AD572" i="17"/>
  <c r="W572" i="17"/>
  <c r="V572" i="17"/>
  <c r="N572" i="17"/>
  <c r="E572" i="17"/>
  <c r="D572" i="17"/>
  <c r="B572" i="17"/>
  <c r="AJ571" i="17"/>
  <c r="AD571" i="17"/>
  <c r="W571" i="17"/>
  <c r="V571" i="17"/>
  <c r="N571" i="17"/>
  <c r="E571" i="17"/>
  <c r="D571" i="17"/>
  <c r="B571" i="17"/>
  <c r="AJ570" i="17"/>
  <c r="AD570" i="17"/>
  <c r="W570" i="17"/>
  <c r="V570" i="17"/>
  <c r="N570" i="17"/>
  <c r="AG570" i="17"/>
  <c r="E570" i="17"/>
  <c r="D570" i="17"/>
  <c r="B570" i="17"/>
  <c r="AJ569" i="17"/>
  <c r="AD569" i="17"/>
  <c r="W569" i="17"/>
  <c r="V569" i="17"/>
  <c r="N569" i="17"/>
  <c r="E569" i="17"/>
  <c r="D569" i="17"/>
  <c r="B569" i="17"/>
  <c r="AJ568" i="17"/>
  <c r="AD568" i="17"/>
  <c r="W568" i="17"/>
  <c r="V568" i="17"/>
  <c r="N568" i="17"/>
  <c r="E568" i="17"/>
  <c r="D568" i="17"/>
  <c r="B568" i="17"/>
  <c r="AJ567" i="17"/>
  <c r="AD567" i="17"/>
  <c r="W567" i="17"/>
  <c r="V567" i="17"/>
  <c r="N567" i="17"/>
  <c r="E567" i="17"/>
  <c r="D567" i="17"/>
  <c r="B567" i="17"/>
  <c r="AJ566" i="17"/>
  <c r="AD566" i="17"/>
  <c r="W566" i="17"/>
  <c r="V566" i="17"/>
  <c r="N566" i="17"/>
  <c r="E566" i="17"/>
  <c r="D566" i="17"/>
  <c r="B566" i="17"/>
  <c r="AJ565" i="17"/>
  <c r="AD565" i="17"/>
  <c r="W565" i="17"/>
  <c r="V565" i="17"/>
  <c r="N565" i="17"/>
  <c r="E565" i="17"/>
  <c r="D565" i="17"/>
  <c r="B565" i="17"/>
  <c r="AJ564" i="17"/>
  <c r="AD564" i="17"/>
  <c r="W564" i="17"/>
  <c r="V564" i="17"/>
  <c r="N564" i="17"/>
  <c r="E564" i="17"/>
  <c r="D564" i="17"/>
  <c r="B564" i="17"/>
  <c r="AJ563" i="17"/>
  <c r="AD563" i="17"/>
  <c r="W563" i="17"/>
  <c r="V563" i="17"/>
  <c r="N563" i="17"/>
  <c r="E563" i="17"/>
  <c r="D563" i="17"/>
  <c r="B563" i="17"/>
  <c r="AJ562" i="17"/>
  <c r="AD562" i="17"/>
  <c r="W562" i="17"/>
  <c r="V562" i="17"/>
  <c r="N562" i="17"/>
  <c r="E562" i="17"/>
  <c r="D562" i="17"/>
  <c r="B562" i="17"/>
  <c r="AJ561" i="17"/>
  <c r="AD561" i="17"/>
  <c r="W561" i="17"/>
  <c r="V561" i="17"/>
  <c r="N561" i="17"/>
  <c r="E561" i="17"/>
  <c r="D561" i="17"/>
  <c r="B561" i="17"/>
  <c r="AJ560" i="17"/>
  <c r="AD560" i="17"/>
  <c r="W560" i="17"/>
  <c r="V560" i="17"/>
  <c r="N560" i="17"/>
  <c r="E560" i="17"/>
  <c r="D560" i="17"/>
  <c r="B560" i="17"/>
  <c r="AJ559" i="17"/>
  <c r="AD559" i="17"/>
  <c r="W559" i="17"/>
  <c r="V559" i="17"/>
  <c r="N559" i="17"/>
  <c r="E559" i="17"/>
  <c r="D559" i="17"/>
  <c r="B559" i="17"/>
  <c r="AJ558" i="17"/>
  <c r="AD558" i="17"/>
  <c r="W558" i="17"/>
  <c r="V558" i="17"/>
  <c r="N558" i="17"/>
  <c r="E558" i="17"/>
  <c r="D558" i="17"/>
  <c r="B558" i="17"/>
  <c r="AJ557" i="17"/>
  <c r="AD557" i="17"/>
  <c r="W557" i="17"/>
  <c r="V557" i="17"/>
  <c r="N557" i="17"/>
  <c r="E557" i="17"/>
  <c r="D557" i="17"/>
  <c r="B557" i="17"/>
  <c r="AJ556" i="17"/>
  <c r="AD556" i="17"/>
  <c r="W556" i="17"/>
  <c r="V556" i="17"/>
  <c r="N556" i="17"/>
  <c r="E556" i="17"/>
  <c r="D556" i="17"/>
  <c r="B556" i="17"/>
  <c r="AJ555" i="17"/>
  <c r="AD555" i="17"/>
  <c r="W555" i="17"/>
  <c r="V555" i="17"/>
  <c r="N555" i="17"/>
  <c r="E555" i="17"/>
  <c r="D555" i="17"/>
  <c r="B555" i="17"/>
  <c r="AJ554" i="17"/>
  <c r="AD554" i="17"/>
  <c r="W554" i="17"/>
  <c r="V554" i="17"/>
  <c r="N554" i="17"/>
  <c r="E554" i="17"/>
  <c r="D554" i="17"/>
  <c r="B554" i="17"/>
  <c r="AJ553" i="17"/>
  <c r="AD553" i="17"/>
  <c r="W553" i="17"/>
  <c r="V553" i="17"/>
  <c r="N553" i="17"/>
  <c r="E553" i="17"/>
  <c r="D553" i="17"/>
  <c r="B553" i="17"/>
  <c r="AJ552" i="17"/>
  <c r="AD552" i="17"/>
  <c r="W552" i="17"/>
  <c r="V552" i="17"/>
  <c r="N552" i="17"/>
  <c r="E552" i="17"/>
  <c r="D552" i="17"/>
  <c r="B552" i="17"/>
  <c r="AJ551" i="17"/>
  <c r="AD551" i="17"/>
  <c r="W551" i="17"/>
  <c r="V551" i="17"/>
  <c r="N551" i="17"/>
  <c r="E551" i="17"/>
  <c r="D551" i="17"/>
  <c r="B551" i="17"/>
  <c r="AJ550" i="17"/>
  <c r="AD550" i="17"/>
  <c r="W550" i="17"/>
  <c r="V550" i="17"/>
  <c r="N550" i="17"/>
  <c r="E550" i="17"/>
  <c r="D550" i="17"/>
  <c r="B550" i="17"/>
  <c r="AJ549" i="17"/>
  <c r="AD549" i="17"/>
  <c r="W549" i="17"/>
  <c r="V549" i="17"/>
  <c r="N549" i="17"/>
  <c r="E549" i="17"/>
  <c r="D549" i="17"/>
  <c r="B549" i="17"/>
  <c r="AJ548" i="17"/>
  <c r="AD548" i="17"/>
  <c r="W548" i="17"/>
  <c r="V548" i="17"/>
  <c r="N548" i="17"/>
  <c r="E548" i="17"/>
  <c r="D548" i="17"/>
  <c r="B548" i="17"/>
  <c r="AJ547" i="17"/>
  <c r="AD547" i="17"/>
  <c r="W547" i="17"/>
  <c r="V547" i="17"/>
  <c r="N547" i="17"/>
  <c r="E547" i="17"/>
  <c r="D547" i="17"/>
  <c r="B547" i="17"/>
  <c r="AJ546" i="17"/>
  <c r="AD546" i="17"/>
  <c r="W546" i="17"/>
  <c r="V546" i="17"/>
  <c r="N546" i="17"/>
  <c r="E546" i="17"/>
  <c r="D546" i="17"/>
  <c r="B546" i="17"/>
  <c r="AJ545" i="17"/>
  <c r="AD545" i="17"/>
  <c r="W545" i="17"/>
  <c r="V545" i="17"/>
  <c r="N545" i="17"/>
  <c r="E545" i="17"/>
  <c r="D545" i="17"/>
  <c r="B545" i="17"/>
  <c r="AJ544" i="17"/>
  <c r="AD544" i="17"/>
  <c r="W544" i="17"/>
  <c r="V544" i="17"/>
  <c r="N544" i="17"/>
  <c r="E544" i="17"/>
  <c r="D544" i="17"/>
  <c r="B544" i="17"/>
  <c r="AJ543" i="17"/>
  <c r="AD543" i="17"/>
  <c r="W543" i="17"/>
  <c r="V543" i="17"/>
  <c r="N543" i="17"/>
  <c r="E543" i="17"/>
  <c r="D543" i="17"/>
  <c r="B543" i="17"/>
  <c r="AJ542" i="17"/>
  <c r="AD542" i="17"/>
  <c r="W542" i="17"/>
  <c r="V542" i="17"/>
  <c r="N542" i="17"/>
  <c r="AG542" i="17"/>
  <c r="E542" i="17"/>
  <c r="D542" i="17"/>
  <c r="B542" i="17"/>
  <c r="AJ541" i="17"/>
  <c r="AD541" i="17"/>
  <c r="W541" i="17"/>
  <c r="V541" i="17"/>
  <c r="N541" i="17"/>
  <c r="E541" i="17"/>
  <c r="D541" i="17"/>
  <c r="B541" i="17"/>
  <c r="AJ540" i="17"/>
  <c r="AD540" i="17"/>
  <c r="W540" i="17"/>
  <c r="V540" i="17"/>
  <c r="N540" i="17"/>
  <c r="E540" i="17"/>
  <c r="D540" i="17"/>
  <c r="B540" i="17"/>
  <c r="AJ539" i="17"/>
  <c r="AD539" i="17"/>
  <c r="W539" i="17"/>
  <c r="V539" i="17"/>
  <c r="N539" i="17"/>
  <c r="E539" i="17"/>
  <c r="D539" i="17"/>
  <c r="B539" i="17"/>
  <c r="AJ538" i="17"/>
  <c r="AD538" i="17"/>
  <c r="W538" i="17"/>
  <c r="V538" i="17"/>
  <c r="N538" i="17"/>
  <c r="E538" i="17"/>
  <c r="D538" i="17"/>
  <c r="B538" i="17"/>
  <c r="AJ537" i="17"/>
  <c r="AD537" i="17"/>
  <c r="W537" i="17"/>
  <c r="V537" i="17"/>
  <c r="N537" i="17"/>
  <c r="E537" i="17"/>
  <c r="D537" i="17"/>
  <c r="B537" i="17"/>
  <c r="AJ536" i="17"/>
  <c r="AD536" i="17"/>
  <c r="W536" i="17"/>
  <c r="V536" i="17"/>
  <c r="N536" i="17"/>
  <c r="E536" i="17"/>
  <c r="D536" i="17"/>
  <c r="B536" i="17"/>
  <c r="AJ535" i="17"/>
  <c r="AD535" i="17"/>
  <c r="W535" i="17"/>
  <c r="V535" i="17"/>
  <c r="N535" i="17"/>
  <c r="E535" i="17"/>
  <c r="D535" i="17"/>
  <c r="B535" i="17"/>
  <c r="AJ534" i="17"/>
  <c r="AD534" i="17"/>
  <c r="W534" i="17"/>
  <c r="V534" i="17"/>
  <c r="N534" i="17"/>
  <c r="E534" i="17"/>
  <c r="D534" i="17"/>
  <c r="B534" i="17"/>
  <c r="AJ533" i="17"/>
  <c r="AD533" i="17"/>
  <c r="W533" i="17"/>
  <c r="V533" i="17"/>
  <c r="N533" i="17"/>
  <c r="E533" i="17"/>
  <c r="D533" i="17"/>
  <c r="B533" i="17"/>
  <c r="AJ532" i="17"/>
  <c r="AD532" i="17"/>
  <c r="W532" i="17"/>
  <c r="V532" i="17"/>
  <c r="N532" i="17"/>
  <c r="E532" i="17"/>
  <c r="D532" i="17"/>
  <c r="B532" i="17"/>
  <c r="AJ531" i="17"/>
  <c r="AD531" i="17"/>
  <c r="W531" i="17"/>
  <c r="V531" i="17"/>
  <c r="N531" i="17"/>
  <c r="E531" i="17"/>
  <c r="D531" i="17"/>
  <c r="B531" i="17"/>
  <c r="AJ530" i="17"/>
  <c r="AD530" i="17"/>
  <c r="W530" i="17"/>
  <c r="V530" i="17"/>
  <c r="N530" i="17"/>
  <c r="E530" i="17"/>
  <c r="D530" i="17"/>
  <c r="B530" i="17"/>
  <c r="AJ529" i="17"/>
  <c r="AD529" i="17"/>
  <c r="W529" i="17"/>
  <c r="V529" i="17"/>
  <c r="N529" i="17"/>
  <c r="E529" i="17"/>
  <c r="D529" i="17"/>
  <c r="B529" i="17"/>
  <c r="AJ528" i="17"/>
  <c r="AD528" i="17"/>
  <c r="W528" i="17"/>
  <c r="V528" i="17"/>
  <c r="N528" i="17"/>
  <c r="E528" i="17"/>
  <c r="D528" i="17"/>
  <c r="B528" i="17"/>
  <c r="AJ527" i="17"/>
  <c r="AD527" i="17"/>
  <c r="W527" i="17"/>
  <c r="V527" i="17"/>
  <c r="N527" i="17"/>
  <c r="E527" i="17"/>
  <c r="D527" i="17"/>
  <c r="B527" i="17"/>
  <c r="AJ526" i="17"/>
  <c r="AD526" i="17"/>
  <c r="W526" i="17"/>
  <c r="V526" i="17"/>
  <c r="N526" i="17"/>
  <c r="E526" i="17"/>
  <c r="D526" i="17"/>
  <c r="B526" i="17"/>
  <c r="AJ525" i="17"/>
  <c r="AD525" i="17"/>
  <c r="W525" i="17"/>
  <c r="V525" i="17"/>
  <c r="N525" i="17"/>
  <c r="E525" i="17"/>
  <c r="D525" i="17"/>
  <c r="B525" i="17"/>
  <c r="AJ524" i="17"/>
  <c r="AD524" i="17"/>
  <c r="W524" i="17"/>
  <c r="V524" i="17"/>
  <c r="N524" i="17"/>
  <c r="E524" i="17"/>
  <c r="D524" i="17"/>
  <c r="B524" i="17"/>
  <c r="AJ523" i="17"/>
  <c r="AD523" i="17"/>
  <c r="W523" i="17"/>
  <c r="V523" i="17"/>
  <c r="N523" i="17"/>
  <c r="E523" i="17"/>
  <c r="D523" i="17"/>
  <c r="B523" i="17"/>
  <c r="AJ522" i="17"/>
  <c r="AD522" i="17"/>
  <c r="W522" i="17"/>
  <c r="V522" i="17"/>
  <c r="N522" i="17"/>
  <c r="E522" i="17"/>
  <c r="D522" i="17"/>
  <c r="B522" i="17"/>
  <c r="AJ521" i="17"/>
  <c r="AD521" i="17"/>
  <c r="W521" i="17"/>
  <c r="V521" i="17"/>
  <c r="N521" i="17"/>
  <c r="E521" i="17"/>
  <c r="D521" i="17"/>
  <c r="B521" i="17"/>
  <c r="AJ520" i="17"/>
  <c r="AD520" i="17"/>
  <c r="W520" i="17"/>
  <c r="V520" i="17"/>
  <c r="N520" i="17"/>
  <c r="E520" i="17"/>
  <c r="D520" i="17"/>
  <c r="B520" i="17"/>
  <c r="AJ519" i="17"/>
  <c r="AD519" i="17"/>
  <c r="W519" i="17"/>
  <c r="V519" i="17"/>
  <c r="N519" i="17"/>
  <c r="E519" i="17"/>
  <c r="D519" i="17"/>
  <c r="B519" i="17"/>
  <c r="AJ518" i="17"/>
  <c r="AD518" i="17"/>
  <c r="W518" i="17"/>
  <c r="V518" i="17"/>
  <c r="N518" i="17"/>
  <c r="E518" i="17"/>
  <c r="D518" i="17"/>
  <c r="B518" i="17"/>
  <c r="AJ517" i="17"/>
  <c r="AD517" i="17"/>
  <c r="W517" i="17"/>
  <c r="V517" i="17"/>
  <c r="N517" i="17"/>
  <c r="E517" i="17"/>
  <c r="D517" i="17"/>
  <c r="B517" i="17"/>
  <c r="AJ516" i="17"/>
  <c r="AD516" i="17"/>
  <c r="W516" i="17"/>
  <c r="V516" i="17"/>
  <c r="N516" i="17"/>
  <c r="E516" i="17"/>
  <c r="D516" i="17"/>
  <c r="B516" i="17"/>
  <c r="AJ515" i="17"/>
  <c r="AD515" i="17"/>
  <c r="W515" i="17"/>
  <c r="V515" i="17"/>
  <c r="N515" i="17"/>
  <c r="E515" i="17"/>
  <c r="D515" i="17"/>
  <c r="B515" i="17"/>
  <c r="AJ514" i="17"/>
  <c r="AD514" i="17"/>
  <c r="W514" i="17"/>
  <c r="V514" i="17"/>
  <c r="N514" i="17"/>
  <c r="E514" i="17"/>
  <c r="D514" i="17"/>
  <c r="B514" i="17"/>
  <c r="AJ513" i="17"/>
  <c r="AD513" i="17"/>
  <c r="W513" i="17"/>
  <c r="V513" i="17"/>
  <c r="N513" i="17"/>
  <c r="E513" i="17"/>
  <c r="D513" i="17"/>
  <c r="B513" i="17"/>
  <c r="AJ512" i="17"/>
  <c r="AD512" i="17"/>
  <c r="W512" i="17"/>
  <c r="V512" i="17"/>
  <c r="N512" i="17"/>
  <c r="E512" i="17"/>
  <c r="D512" i="17"/>
  <c r="B512" i="17"/>
  <c r="AJ511" i="17"/>
  <c r="AD511" i="17"/>
  <c r="W511" i="17"/>
  <c r="V511" i="17"/>
  <c r="N511" i="17"/>
  <c r="E511" i="17"/>
  <c r="D511" i="17"/>
  <c r="B511" i="17"/>
  <c r="AJ510" i="17"/>
  <c r="AD510" i="17"/>
  <c r="W510" i="17"/>
  <c r="V510" i="17"/>
  <c r="N510" i="17"/>
  <c r="E510" i="17"/>
  <c r="D510" i="17"/>
  <c r="B510" i="17"/>
  <c r="AJ509" i="17"/>
  <c r="AD509" i="17"/>
  <c r="W509" i="17"/>
  <c r="V509" i="17"/>
  <c r="N509" i="17"/>
  <c r="E509" i="17"/>
  <c r="D509" i="17"/>
  <c r="B509" i="17"/>
  <c r="AJ508" i="17"/>
  <c r="AD508" i="17"/>
  <c r="W508" i="17"/>
  <c r="V508" i="17"/>
  <c r="N508" i="17"/>
  <c r="E508" i="17"/>
  <c r="D508" i="17"/>
  <c r="B508" i="17"/>
  <c r="AJ507" i="17"/>
  <c r="AD507" i="17"/>
  <c r="W507" i="17"/>
  <c r="V507" i="17"/>
  <c r="N507" i="17"/>
  <c r="E507" i="17"/>
  <c r="D507" i="17"/>
  <c r="B507" i="17"/>
  <c r="AJ506" i="17"/>
  <c r="AD506" i="17"/>
  <c r="W506" i="17"/>
  <c r="V506" i="17"/>
  <c r="N506" i="17"/>
  <c r="AG506" i="17"/>
  <c r="E506" i="17"/>
  <c r="D506" i="17"/>
  <c r="B506" i="17"/>
  <c r="AJ505" i="17"/>
  <c r="AD505" i="17"/>
  <c r="W505" i="17"/>
  <c r="V505" i="17"/>
  <c r="N505" i="17"/>
  <c r="E505" i="17"/>
  <c r="D505" i="17"/>
  <c r="B505" i="17"/>
  <c r="AJ504" i="17"/>
  <c r="AD504" i="17"/>
  <c r="W504" i="17"/>
  <c r="V504" i="17"/>
  <c r="N504" i="17"/>
  <c r="E504" i="17"/>
  <c r="D504" i="17"/>
  <c r="B504" i="17"/>
  <c r="AJ503" i="17"/>
  <c r="AD503" i="17"/>
  <c r="W503" i="17"/>
  <c r="V503" i="17"/>
  <c r="N503" i="17"/>
  <c r="E503" i="17"/>
  <c r="D503" i="17"/>
  <c r="B503" i="17"/>
  <c r="AJ502" i="17"/>
  <c r="R502" i="17" s="1"/>
  <c r="T502" i="17" s="1"/>
  <c r="AD502" i="17"/>
  <c r="W502" i="17"/>
  <c r="V502" i="17"/>
  <c r="N502" i="17"/>
  <c r="E502" i="17"/>
  <c r="D502" i="17"/>
  <c r="B502" i="17"/>
  <c r="AJ501" i="17"/>
  <c r="AD501" i="17"/>
  <c r="W501" i="17"/>
  <c r="V501" i="17"/>
  <c r="N501" i="17"/>
  <c r="E501" i="17"/>
  <c r="D501" i="17"/>
  <c r="B501" i="17"/>
  <c r="AJ500" i="17"/>
  <c r="AD500" i="17"/>
  <c r="W500" i="17"/>
  <c r="V500" i="17"/>
  <c r="N500" i="17"/>
  <c r="E500" i="17"/>
  <c r="D500" i="17"/>
  <c r="B500" i="17"/>
  <c r="AJ499" i="17"/>
  <c r="AD499" i="17"/>
  <c r="W499" i="17"/>
  <c r="V499" i="17"/>
  <c r="N499" i="17"/>
  <c r="E499" i="17"/>
  <c r="D499" i="17"/>
  <c r="B499" i="17"/>
  <c r="AJ498" i="17"/>
  <c r="AD498" i="17"/>
  <c r="W498" i="17"/>
  <c r="V498" i="17"/>
  <c r="N498" i="17"/>
  <c r="E498" i="17"/>
  <c r="D498" i="17"/>
  <c r="B498" i="17"/>
  <c r="AJ497" i="17"/>
  <c r="AD497" i="17"/>
  <c r="W497" i="17"/>
  <c r="V497" i="17"/>
  <c r="N497" i="17"/>
  <c r="E497" i="17"/>
  <c r="D497" i="17"/>
  <c r="B497" i="17"/>
  <c r="AJ496" i="17"/>
  <c r="AD496" i="17"/>
  <c r="W496" i="17"/>
  <c r="V496" i="17"/>
  <c r="N496" i="17"/>
  <c r="E496" i="17"/>
  <c r="D496" i="17"/>
  <c r="B496" i="17"/>
  <c r="AJ495" i="17"/>
  <c r="AD495" i="17"/>
  <c r="W495" i="17"/>
  <c r="V495" i="17"/>
  <c r="N495" i="17"/>
  <c r="E495" i="17"/>
  <c r="D495" i="17"/>
  <c r="B495" i="17"/>
  <c r="AJ494" i="17"/>
  <c r="AD494" i="17"/>
  <c r="W494" i="17"/>
  <c r="V494" i="17"/>
  <c r="N494" i="17"/>
  <c r="E494" i="17"/>
  <c r="D494" i="17"/>
  <c r="B494" i="17"/>
  <c r="AJ493" i="17"/>
  <c r="AD493" i="17"/>
  <c r="W493" i="17"/>
  <c r="V493" i="17"/>
  <c r="N493" i="17"/>
  <c r="E493" i="17"/>
  <c r="D493" i="17"/>
  <c r="B493" i="17"/>
  <c r="AJ492" i="17"/>
  <c r="AD492" i="17"/>
  <c r="W492" i="17"/>
  <c r="V492" i="17"/>
  <c r="N492" i="17"/>
  <c r="E492" i="17"/>
  <c r="D492" i="17"/>
  <c r="B492" i="17"/>
  <c r="AJ491" i="17"/>
  <c r="AD491" i="17"/>
  <c r="W491" i="17"/>
  <c r="V491" i="17"/>
  <c r="N491" i="17"/>
  <c r="E491" i="17"/>
  <c r="D491" i="17"/>
  <c r="B491" i="17"/>
  <c r="AJ490" i="17"/>
  <c r="AD490" i="17"/>
  <c r="W490" i="17"/>
  <c r="V490" i="17"/>
  <c r="N490" i="17"/>
  <c r="E490" i="17"/>
  <c r="D490" i="17"/>
  <c r="B490" i="17"/>
  <c r="AJ489" i="17"/>
  <c r="AD489" i="17"/>
  <c r="W489" i="17"/>
  <c r="V489" i="17"/>
  <c r="N489" i="17"/>
  <c r="E489" i="17"/>
  <c r="D489" i="17"/>
  <c r="B489" i="17"/>
  <c r="AJ488" i="17"/>
  <c r="AD488" i="17"/>
  <c r="W488" i="17"/>
  <c r="V488" i="17"/>
  <c r="N488" i="17"/>
  <c r="E488" i="17"/>
  <c r="D488" i="17"/>
  <c r="B488" i="17"/>
  <c r="AJ487" i="17"/>
  <c r="AD487" i="17"/>
  <c r="W487" i="17"/>
  <c r="V487" i="17"/>
  <c r="N487" i="17"/>
  <c r="E487" i="17"/>
  <c r="D487" i="17"/>
  <c r="B487" i="17"/>
  <c r="AJ486" i="17"/>
  <c r="AD486" i="17"/>
  <c r="W486" i="17"/>
  <c r="V486" i="17"/>
  <c r="N486" i="17"/>
  <c r="AG486" i="17"/>
  <c r="E486" i="17"/>
  <c r="D486" i="17"/>
  <c r="B486" i="17"/>
  <c r="AJ485" i="17"/>
  <c r="AD485" i="17"/>
  <c r="W485" i="17"/>
  <c r="V485" i="17"/>
  <c r="N485" i="17"/>
  <c r="E485" i="17"/>
  <c r="D485" i="17"/>
  <c r="B485" i="17"/>
  <c r="AJ484" i="17"/>
  <c r="AD484" i="17"/>
  <c r="W484" i="17"/>
  <c r="V484" i="17"/>
  <c r="N484" i="17"/>
  <c r="E484" i="17"/>
  <c r="D484" i="17"/>
  <c r="B484" i="17"/>
  <c r="AJ483" i="17"/>
  <c r="AD483" i="17"/>
  <c r="W483" i="17"/>
  <c r="V483" i="17"/>
  <c r="N483" i="17"/>
  <c r="E483" i="17"/>
  <c r="D483" i="17"/>
  <c r="B483" i="17"/>
  <c r="AJ482" i="17"/>
  <c r="AD482" i="17"/>
  <c r="W482" i="17"/>
  <c r="V482" i="17"/>
  <c r="N482" i="17"/>
  <c r="E482" i="17"/>
  <c r="D482" i="17"/>
  <c r="B482" i="17"/>
  <c r="AJ481" i="17"/>
  <c r="AD481" i="17"/>
  <c r="W481" i="17"/>
  <c r="V481" i="17"/>
  <c r="N481" i="17"/>
  <c r="E481" i="17"/>
  <c r="D481" i="17"/>
  <c r="B481" i="17"/>
  <c r="AJ480" i="17"/>
  <c r="AD480" i="17"/>
  <c r="W480" i="17"/>
  <c r="V480" i="17"/>
  <c r="N480" i="17"/>
  <c r="E480" i="17"/>
  <c r="D480" i="17"/>
  <c r="B480" i="17"/>
  <c r="AJ479" i="17"/>
  <c r="AD479" i="17"/>
  <c r="W479" i="17"/>
  <c r="V479" i="17"/>
  <c r="N479" i="17"/>
  <c r="E479" i="17"/>
  <c r="D479" i="17"/>
  <c r="B479" i="17"/>
  <c r="AJ478" i="17"/>
  <c r="AD478" i="17"/>
  <c r="W478" i="17"/>
  <c r="V478" i="17"/>
  <c r="N478" i="17"/>
  <c r="E478" i="17"/>
  <c r="D478" i="17"/>
  <c r="B478" i="17"/>
  <c r="AJ477" i="17"/>
  <c r="AD477" i="17"/>
  <c r="W477" i="17"/>
  <c r="V477" i="17"/>
  <c r="N477" i="17"/>
  <c r="E477" i="17"/>
  <c r="D477" i="17"/>
  <c r="B477" i="17"/>
  <c r="AJ476" i="17"/>
  <c r="AD476" i="17"/>
  <c r="W476" i="17"/>
  <c r="V476" i="17"/>
  <c r="N476" i="17"/>
  <c r="E476" i="17"/>
  <c r="D476" i="17"/>
  <c r="B476" i="17"/>
  <c r="AJ475" i="17"/>
  <c r="AD475" i="17"/>
  <c r="W475" i="17"/>
  <c r="V475" i="17"/>
  <c r="N475" i="17"/>
  <c r="E475" i="17"/>
  <c r="D475" i="17"/>
  <c r="B475" i="17"/>
  <c r="AJ474" i="17"/>
  <c r="AD474" i="17"/>
  <c r="W474" i="17"/>
  <c r="V474" i="17"/>
  <c r="N474" i="17"/>
  <c r="E474" i="17"/>
  <c r="D474" i="17"/>
  <c r="B474" i="17"/>
  <c r="AJ473" i="17"/>
  <c r="AD473" i="17"/>
  <c r="W473" i="17"/>
  <c r="V473" i="17"/>
  <c r="N473" i="17"/>
  <c r="E473" i="17"/>
  <c r="D473" i="17"/>
  <c r="B473" i="17"/>
  <c r="AJ472" i="17"/>
  <c r="AD472" i="17"/>
  <c r="W472" i="17"/>
  <c r="V472" i="17"/>
  <c r="N472" i="17"/>
  <c r="E472" i="17"/>
  <c r="D472" i="17"/>
  <c r="B472" i="17"/>
  <c r="AJ471" i="17"/>
  <c r="AD471" i="17"/>
  <c r="W471" i="17"/>
  <c r="V471" i="17"/>
  <c r="N471" i="17"/>
  <c r="E471" i="17"/>
  <c r="D471" i="17"/>
  <c r="B471" i="17"/>
  <c r="AJ470" i="17"/>
  <c r="AD470" i="17"/>
  <c r="W470" i="17"/>
  <c r="V470" i="17"/>
  <c r="N470" i="17"/>
  <c r="E470" i="17"/>
  <c r="D470" i="17"/>
  <c r="B470" i="17"/>
  <c r="AJ469" i="17"/>
  <c r="AD469" i="17"/>
  <c r="W469" i="17"/>
  <c r="V469" i="17"/>
  <c r="N469" i="17"/>
  <c r="E469" i="17"/>
  <c r="D469" i="17"/>
  <c r="B469" i="17"/>
  <c r="AJ468" i="17"/>
  <c r="AD468" i="17"/>
  <c r="W468" i="17"/>
  <c r="V468" i="17"/>
  <c r="N468" i="17"/>
  <c r="E468" i="17"/>
  <c r="D468" i="17"/>
  <c r="B468" i="17"/>
  <c r="AJ467" i="17"/>
  <c r="AD467" i="17"/>
  <c r="W467" i="17"/>
  <c r="V467" i="17"/>
  <c r="N467" i="17"/>
  <c r="E467" i="17"/>
  <c r="D467" i="17"/>
  <c r="B467" i="17"/>
  <c r="AJ466" i="17"/>
  <c r="AD466" i="17"/>
  <c r="W466" i="17"/>
  <c r="V466" i="17"/>
  <c r="N466" i="17"/>
  <c r="E466" i="17"/>
  <c r="D466" i="17"/>
  <c r="B466" i="17"/>
  <c r="AJ465" i="17"/>
  <c r="AD465" i="17"/>
  <c r="W465" i="17"/>
  <c r="V465" i="17"/>
  <c r="N465" i="17"/>
  <c r="E465" i="17"/>
  <c r="D465" i="17"/>
  <c r="B465" i="17"/>
  <c r="AJ464" i="17"/>
  <c r="AD464" i="17"/>
  <c r="W464" i="17"/>
  <c r="V464" i="17"/>
  <c r="N464" i="17"/>
  <c r="E464" i="17"/>
  <c r="D464" i="17"/>
  <c r="B464" i="17"/>
  <c r="AJ463" i="17"/>
  <c r="AD463" i="17"/>
  <c r="W463" i="17"/>
  <c r="V463" i="17"/>
  <c r="N463" i="17"/>
  <c r="E463" i="17"/>
  <c r="D463" i="17"/>
  <c r="B463" i="17"/>
  <c r="AJ462" i="17"/>
  <c r="AD462" i="17"/>
  <c r="W462" i="17"/>
  <c r="V462" i="17"/>
  <c r="N462" i="17"/>
  <c r="E462" i="17"/>
  <c r="D462" i="17"/>
  <c r="B462" i="17"/>
  <c r="AJ461" i="17"/>
  <c r="AD461" i="17"/>
  <c r="W461" i="17"/>
  <c r="V461" i="17"/>
  <c r="N461" i="17"/>
  <c r="E461" i="17"/>
  <c r="D461" i="17"/>
  <c r="B461" i="17"/>
  <c r="AJ460" i="17"/>
  <c r="AD460" i="17"/>
  <c r="W460" i="17"/>
  <c r="V460" i="17"/>
  <c r="N460" i="17"/>
  <c r="E460" i="17"/>
  <c r="D460" i="17"/>
  <c r="B460" i="17"/>
  <c r="AJ459" i="17"/>
  <c r="AD459" i="17"/>
  <c r="W459" i="17"/>
  <c r="V459" i="17"/>
  <c r="N459" i="17"/>
  <c r="E459" i="17"/>
  <c r="D459" i="17"/>
  <c r="B459" i="17"/>
  <c r="AJ458" i="17"/>
  <c r="AD458" i="17"/>
  <c r="W458" i="17"/>
  <c r="V458" i="17"/>
  <c r="N458" i="17"/>
  <c r="AG458" i="17"/>
  <c r="E458" i="17"/>
  <c r="D458" i="17"/>
  <c r="B458" i="17"/>
  <c r="AJ457" i="17"/>
  <c r="AD457" i="17"/>
  <c r="W457" i="17"/>
  <c r="V457" i="17"/>
  <c r="N457" i="17"/>
  <c r="E457" i="17"/>
  <c r="D457" i="17"/>
  <c r="B457" i="17"/>
  <c r="AJ456" i="17"/>
  <c r="AD456" i="17"/>
  <c r="W456" i="17"/>
  <c r="V456" i="17"/>
  <c r="N456" i="17"/>
  <c r="E456" i="17"/>
  <c r="D456" i="17"/>
  <c r="B456" i="17"/>
  <c r="AJ455" i="17"/>
  <c r="AD455" i="17"/>
  <c r="W455" i="17"/>
  <c r="V455" i="17"/>
  <c r="N455" i="17"/>
  <c r="E455" i="17"/>
  <c r="D455" i="17"/>
  <c r="B455" i="17"/>
  <c r="AJ454" i="17"/>
  <c r="AD454" i="17"/>
  <c r="W454" i="17"/>
  <c r="V454" i="17"/>
  <c r="N454" i="17"/>
  <c r="E454" i="17"/>
  <c r="D454" i="17"/>
  <c r="B454" i="17"/>
  <c r="AJ453" i="17"/>
  <c r="AD453" i="17"/>
  <c r="W453" i="17"/>
  <c r="V453" i="17"/>
  <c r="N453" i="17"/>
  <c r="E453" i="17"/>
  <c r="D453" i="17"/>
  <c r="B453" i="17"/>
  <c r="AJ452" i="17"/>
  <c r="AD452" i="17"/>
  <c r="W452" i="17"/>
  <c r="V452" i="17"/>
  <c r="N452" i="17"/>
  <c r="E452" i="17"/>
  <c r="D452" i="17"/>
  <c r="B452" i="17"/>
  <c r="AJ451" i="17"/>
  <c r="AD451" i="17"/>
  <c r="W451" i="17"/>
  <c r="V451" i="17"/>
  <c r="N451" i="17"/>
  <c r="E451" i="17"/>
  <c r="D451" i="17"/>
  <c r="B451" i="17"/>
  <c r="AJ450" i="17"/>
  <c r="AD450" i="17"/>
  <c r="W450" i="17"/>
  <c r="V450" i="17"/>
  <c r="N450" i="17"/>
  <c r="E450" i="17"/>
  <c r="D450" i="17"/>
  <c r="B450" i="17"/>
  <c r="AJ449" i="17"/>
  <c r="AD449" i="17"/>
  <c r="W449" i="17"/>
  <c r="V449" i="17"/>
  <c r="N449" i="17"/>
  <c r="E449" i="17"/>
  <c r="D449" i="17"/>
  <c r="B449" i="17"/>
  <c r="AJ448" i="17"/>
  <c r="AD448" i="17"/>
  <c r="W448" i="17"/>
  <c r="V448" i="17"/>
  <c r="N448" i="17"/>
  <c r="E448" i="17"/>
  <c r="D448" i="17"/>
  <c r="B448" i="17"/>
  <c r="AJ447" i="17"/>
  <c r="AD447" i="17"/>
  <c r="W447" i="17"/>
  <c r="V447" i="17"/>
  <c r="N447" i="17"/>
  <c r="E447" i="17"/>
  <c r="D447" i="17"/>
  <c r="B447" i="17"/>
  <c r="AJ446" i="17"/>
  <c r="AD446" i="17"/>
  <c r="W446" i="17"/>
  <c r="V446" i="17"/>
  <c r="N446" i="17"/>
  <c r="E446" i="17"/>
  <c r="D446" i="17"/>
  <c r="B446" i="17"/>
  <c r="AJ445" i="17"/>
  <c r="AD445" i="17"/>
  <c r="W445" i="17"/>
  <c r="V445" i="17"/>
  <c r="N445" i="17"/>
  <c r="E445" i="17"/>
  <c r="D445" i="17"/>
  <c r="B445" i="17"/>
  <c r="AJ444" i="17"/>
  <c r="AD444" i="17"/>
  <c r="W444" i="17"/>
  <c r="V444" i="17"/>
  <c r="N444" i="17"/>
  <c r="E444" i="17"/>
  <c r="D444" i="17"/>
  <c r="B444" i="17"/>
  <c r="AJ443" i="17"/>
  <c r="AD443" i="17"/>
  <c r="W443" i="17"/>
  <c r="V443" i="17"/>
  <c r="N443" i="17"/>
  <c r="E443" i="17"/>
  <c r="D443" i="17"/>
  <c r="B443" i="17"/>
  <c r="AJ442" i="17"/>
  <c r="AD442" i="17"/>
  <c r="W442" i="17"/>
  <c r="V442" i="17"/>
  <c r="N442" i="17"/>
  <c r="E442" i="17"/>
  <c r="D442" i="17"/>
  <c r="B442" i="17"/>
  <c r="AJ441" i="17"/>
  <c r="AD441" i="17"/>
  <c r="W441" i="17"/>
  <c r="V441" i="17"/>
  <c r="N441" i="17"/>
  <c r="E441" i="17"/>
  <c r="D441" i="17"/>
  <c r="B441" i="17"/>
  <c r="AJ440" i="17"/>
  <c r="AD440" i="17"/>
  <c r="W440" i="17"/>
  <c r="V440" i="17"/>
  <c r="N440" i="17"/>
  <c r="E440" i="17"/>
  <c r="D440" i="17"/>
  <c r="B440" i="17"/>
  <c r="AJ439" i="17"/>
  <c r="AD439" i="17"/>
  <c r="W439" i="17"/>
  <c r="V439" i="17"/>
  <c r="N439" i="17"/>
  <c r="E439" i="17"/>
  <c r="D439" i="17"/>
  <c r="B439" i="17"/>
  <c r="AJ438" i="17"/>
  <c r="AD438" i="17"/>
  <c r="W438" i="17"/>
  <c r="V438" i="17"/>
  <c r="N438" i="17"/>
  <c r="AG438" i="17"/>
  <c r="E438" i="17"/>
  <c r="D438" i="17"/>
  <c r="B438" i="17"/>
  <c r="AJ437" i="17"/>
  <c r="AD437" i="17"/>
  <c r="W437" i="17"/>
  <c r="V437" i="17"/>
  <c r="N437" i="17"/>
  <c r="E437" i="17"/>
  <c r="D437" i="17"/>
  <c r="B437" i="17"/>
  <c r="AJ436" i="17"/>
  <c r="AD436" i="17"/>
  <c r="W436" i="17"/>
  <c r="V436" i="17"/>
  <c r="N436" i="17"/>
  <c r="E436" i="17"/>
  <c r="D436" i="17"/>
  <c r="B436" i="17"/>
  <c r="AJ435" i="17"/>
  <c r="AD435" i="17"/>
  <c r="W435" i="17"/>
  <c r="V435" i="17"/>
  <c r="N435" i="17"/>
  <c r="E435" i="17"/>
  <c r="D435" i="17"/>
  <c r="B435" i="17"/>
  <c r="AJ434" i="17"/>
  <c r="AD434" i="17"/>
  <c r="W434" i="17"/>
  <c r="V434" i="17"/>
  <c r="N434" i="17"/>
  <c r="E434" i="17"/>
  <c r="D434" i="17"/>
  <c r="B434" i="17"/>
  <c r="AJ433" i="17"/>
  <c r="AD433" i="17"/>
  <c r="W433" i="17"/>
  <c r="V433" i="17"/>
  <c r="N433" i="17"/>
  <c r="E433" i="17"/>
  <c r="D433" i="17"/>
  <c r="B433" i="17"/>
  <c r="AJ432" i="17"/>
  <c r="AD432" i="17"/>
  <c r="W432" i="17"/>
  <c r="V432" i="17"/>
  <c r="N432" i="17"/>
  <c r="E432" i="17"/>
  <c r="D432" i="17"/>
  <c r="B432" i="17"/>
  <c r="AJ431" i="17"/>
  <c r="AD431" i="17"/>
  <c r="W431" i="17"/>
  <c r="V431" i="17"/>
  <c r="N431" i="17"/>
  <c r="E431" i="17"/>
  <c r="D431" i="17"/>
  <c r="B431" i="17"/>
  <c r="AJ430" i="17"/>
  <c r="AD430" i="17"/>
  <c r="W430" i="17"/>
  <c r="V430" i="17"/>
  <c r="N430" i="17"/>
  <c r="E430" i="17"/>
  <c r="D430" i="17"/>
  <c r="B430" i="17"/>
  <c r="AJ429" i="17"/>
  <c r="AD429" i="17"/>
  <c r="W429" i="17"/>
  <c r="V429" i="17"/>
  <c r="N429" i="17"/>
  <c r="E429" i="17"/>
  <c r="D429" i="17"/>
  <c r="B429" i="17"/>
  <c r="AJ428" i="17"/>
  <c r="AD428" i="17"/>
  <c r="W428" i="17"/>
  <c r="V428" i="17"/>
  <c r="N428" i="17"/>
  <c r="E428" i="17"/>
  <c r="D428" i="17"/>
  <c r="B428" i="17"/>
  <c r="AJ427" i="17"/>
  <c r="AD427" i="17"/>
  <c r="W427" i="17"/>
  <c r="V427" i="17"/>
  <c r="N427" i="17"/>
  <c r="E427" i="17"/>
  <c r="D427" i="17"/>
  <c r="B427" i="17"/>
  <c r="AJ426" i="17"/>
  <c r="I426" i="17" s="1"/>
  <c r="K426" i="17" s="1"/>
  <c r="AD426" i="17"/>
  <c r="W426" i="17"/>
  <c r="V426" i="17"/>
  <c r="N426" i="17"/>
  <c r="E426" i="17"/>
  <c r="D426" i="17"/>
  <c r="B426" i="17"/>
  <c r="AJ425" i="17"/>
  <c r="AD425" i="17"/>
  <c r="W425" i="17"/>
  <c r="V425" i="17"/>
  <c r="N425" i="17"/>
  <c r="E425" i="17"/>
  <c r="D425" i="17"/>
  <c r="B425" i="17"/>
  <c r="AJ424" i="17"/>
  <c r="AD424" i="17"/>
  <c r="W424" i="17"/>
  <c r="V424" i="17"/>
  <c r="N424" i="17"/>
  <c r="E424" i="17"/>
  <c r="D424" i="17"/>
  <c r="B424" i="17"/>
  <c r="AJ423" i="17"/>
  <c r="AD423" i="17"/>
  <c r="W423" i="17"/>
  <c r="V423" i="17"/>
  <c r="N423" i="17"/>
  <c r="E423" i="17"/>
  <c r="D423" i="17"/>
  <c r="B423" i="17"/>
  <c r="AJ422" i="17"/>
  <c r="AD422" i="17"/>
  <c r="W422" i="17"/>
  <c r="V422" i="17"/>
  <c r="N422" i="17"/>
  <c r="E422" i="17"/>
  <c r="D422" i="17"/>
  <c r="B422" i="17"/>
  <c r="AJ421" i="17"/>
  <c r="AD421" i="17"/>
  <c r="W421" i="17"/>
  <c r="V421" i="17"/>
  <c r="N421" i="17"/>
  <c r="E421" i="17"/>
  <c r="D421" i="17"/>
  <c r="B421" i="17"/>
  <c r="AJ420" i="17"/>
  <c r="AD420" i="17"/>
  <c r="W420" i="17"/>
  <c r="V420" i="17"/>
  <c r="N420" i="17"/>
  <c r="E420" i="17"/>
  <c r="D420" i="17"/>
  <c r="B420" i="17"/>
  <c r="AJ419" i="17"/>
  <c r="AD419" i="17"/>
  <c r="W419" i="17"/>
  <c r="V419" i="17"/>
  <c r="N419" i="17"/>
  <c r="E419" i="17"/>
  <c r="D419" i="17"/>
  <c r="B419" i="17"/>
  <c r="AJ418" i="17"/>
  <c r="AD418" i="17"/>
  <c r="W418" i="17"/>
  <c r="V418" i="17"/>
  <c r="N418" i="17"/>
  <c r="E418" i="17"/>
  <c r="D418" i="17"/>
  <c r="B418" i="17"/>
  <c r="AJ417" i="17"/>
  <c r="AD417" i="17"/>
  <c r="W417" i="17"/>
  <c r="V417" i="17"/>
  <c r="N417" i="17"/>
  <c r="E417" i="17"/>
  <c r="D417" i="17"/>
  <c r="B417" i="17"/>
  <c r="AJ416" i="17"/>
  <c r="AD416" i="17"/>
  <c r="W416" i="17"/>
  <c r="V416" i="17"/>
  <c r="N416" i="17"/>
  <c r="E416" i="17"/>
  <c r="D416" i="17"/>
  <c r="B416" i="17"/>
  <c r="AJ415" i="17"/>
  <c r="AD415" i="17"/>
  <c r="W415" i="17"/>
  <c r="V415" i="17"/>
  <c r="N415" i="17"/>
  <c r="E415" i="17"/>
  <c r="D415" i="17"/>
  <c r="B415" i="17"/>
  <c r="AJ414" i="17"/>
  <c r="AD414" i="17"/>
  <c r="W414" i="17"/>
  <c r="V414" i="17"/>
  <c r="N414" i="17"/>
  <c r="E414" i="17"/>
  <c r="D414" i="17"/>
  <c r="B414" i="17"/>
  <c r="AJ413" i="17"/>
  <c r="AD413" i="17"/>
  <c r="W413" i="17"/>
  <c r="V413" i="17"/>
  <c r="N413" i="17"/>
  <c r="E413" i="17"/>
  <c r="D413" i="17"/>
  <c r="B413" i="17"/>
  <c r="AJ412" i="17"/>
  <c r="AD412" i="17"/>
  <c r="W412" i="17"/>
  <c r="V412" i="17"/>
  <c r="N412" i="17"/>
  <c r="E412" i="17"/>
  <c r="D412" i="17"/>
  <c r="B412" i="17"/>
  <c r="AJ411" i="17"/>
  <c r="AD411" i="17"/>
  <c r="W411" i="17"/>
  <c r="V411" i="17"/>
  <c r="N411" i="17"/>
  <c r="E411" i="17"/>
  <c r="D411" i="17"/>
  <c r="B411" i="17"/>
  <c r="AJ410" i="17"/>
  <c r="AD410" i="17"/>
  <c r="W410" i="17"/>
  <c r="V410" i="17"/>
  <c r="N410" i="17"/>
  <c r="E410" i="17"/>
  <c r="D410" i="17"/>
  <c r="B410" i="17"/>
  <c r="AJ409" i="17"/>
  <c r="AD409" i="17"/>
  <c r="W409" i="17"/>
  <c r="V409" i="17"/>
  <c r="N409" i="17"/>
  <c r="E409" i="17"/>
  <c r="D409" i="17"/>
  <c r="B409" i="17"/>
  <c r="AJ408" i="17"/>
  <c r="AD408" i="17"/>
  <c r="W408" i="17"/>
  <c r="V408" i="17"/>
  <c r="N408" i="17"/>
  <c r="E408" i="17"/>
  <c r="D408" i="17"/>
  <c r="B408" i="17"/>
  <c r="AJ407" i="17"/>
  <c r="AD407" i="17"/>
  <c r="W407" i="17"/>
  <c r="V407" i="17"/>
  <c r="N407" i="17"/>
  <c r="E407" i="17"/>
  <c r="D407" i="17"/>
  <c r="B407" i="17"/>
  <c r="AJ406" i="17"/>
  <c r="AD406" i="17"/>
  <c r="W406" i="17"/>
  <c r="V406" i="17"/>
  <c r="N406" i="17"/>
  <c r="E406" i="17"/>
  <c r="D406" i="17"/>
  <c r="B406" i="17"/>
  <c r="AJ405" i="17"/>
  <c r="AD405" i="17"/>
  <c r="W405" i="17"/>
  <c r="V405" i="17"/>
  <c r="N405" i="17"/>
  <c r="E405" i="17"/>
  <c r="D405" i="17"/>
  <c r="B405" i="17"/>
  <c r="AJ404" i="17"/>
  <c r="AD404" i="17"/>
  <c r="W404" i="17"/>
  <c r="V404" i="17"/>
  <c r="N404" i="17"/>
  <c r="E404" i="17"/>
  <c r="D404" i="17"/>
  <c r="B404" i="17"/>
  <c r="AJ403" i="17"/>
  <c r="AD403" i="17"/>
  <c r="W403" i="17"/>
  <c r="V403" i="17"/>
  <c r="N403" i="17"/>
  <c r="E403" i="17"/>
  <c r="D403" i="17"/>
  <c r="B403" i="17"/>
  <c r="AJ402" i="17"/>
  <c r="AD402" i="17"/>
  <c r="W402" i="17"/>
  <c r="V402" i="17"/>
  <c r="N402" i="17"/>
  <c r="E402" i="17"/>
  <c r="D402" i="17"/>
  <c r="B402" i="17"/>
  <c r="AJ401" i="17"/>
  <c r="AD401" i="17"/>
  <c r="W401" i="17"/>
  <c r="V401" i="17"/>
  <c r="N401" i="17"/>
  <c r="E401" i="17"/>
  <c r="D401" i="17"/>
  <c r="B401" i="17"/>
  <c r="AJ400" i="17"/>
  <c r="AD400" i="17"/>
  <c r="W400" i="17"/>
  <c r="V400" i="17"/>
  <c r="N400" i="17"/>
  <c r="E400" i="17"/>
  <c r="D400" i="17"/>
  <c r="B400" i="17"/>
  <c r="AJ399" i="17"/>
  <c r="AD399" i="17"/>
  <c r="W399" i="17"/>
  <c r="V399" i="17"/>
  <c r="N399" i="17"/>
  <c r="E399" i="17"/>
  <c r="D399" i="17"/>
  <c r="B399" i="17"/>
  <c r="AJ398" i="17"/>
  <c r="AD398" i="17"/>
  <c r="W398" i="17"/>
  <c r="V398" i="17"/>
  <c r="N398" i="17"/>
  <c r="AG398" i="17"/>
  <c r="E398" i="17"/>
  <c r="D398" i="17"/>
  <c r="B398" i="17"/>
  <c r="AJ397" i="17"/>
  <c r="AD397" i="17"/>
  <c r="W397" i="17"/>
  <c r="V397" i="17"/>
  <c r="N397" i="17"/>
  <c r="E397" i="17"/>
  <c r="D397" i="17"/>
  <c r="B397" i="17"/>
  <c r="AJ396" i="17"/>
  <c r="AD396" i="17"/>
  <c r="W396" i="17"/>
  <c r="V396" i="17"/>
  <c r="N396" i="17"/>
  <c r="E396" i="17"/>
  <c r="D396" i="17"/>
  <c r="B396" i="17"/>
  <c r="AJ395" i="17"/>
  <c r="AD395" i="17"/>
  <c r="W395" i="17"/>
  <c r="V395" i="17"/>
  <c r="N395" i="17"/>
  <c r="E395" i="17"/>
  <c r="D395" i="17"/>
  <c r="B395" i="17"/>
  <c r="AJ394" i="17"/>
  <c r="AD394" i="17"/>
  <c r="W394" i="17"/>
  <c r="V394" i="17"/>
  <c r="N394" i="17"/>
  <c r="E394" i="17"/>
  <c r="D394" i="17"/>
  <c r="B394" i="17"/>
  <c r="AJ393" i="17"/>
  <c r="AD393" i="17"/>
  <c r="W393" i="17"/>
  <c r="V393" i="17"/>
  <c r="N393" i="17"/>
  <c r="E393" i="17"/>
  <c r="D393" i="17"/>
  <c r="B393" i="17"/>
  <c r="AJ392" i="17"/>
  <c r="AD392" i="17"/>
  <c r="W392" i="17"/>
  <c r="V392" i="17"/>
  <c r="N392" i="17"/>
  <c r="E392" i="17"/>
  <c r="D392" i="17"/>
  <c r="B392" i="17"/>
  <c r="AJ391" i="17"/>
  <c r="AD391" i="17"/>
  <c r="W391" i="17"/>
  <c r="V391" i="17"/>
  <c r="N391" i="17"/>
  <c r="E391" i="17"/>
  <c r="D391" i="17"/>
  <c r="B391" i="17"/>
  <c r="AJ390" i="17"/>
  <c r="AD390" i="17"/>
  <c r="W390" i="17"/>
  <c r="V390" i="17"/>
  <c r="N390" i="17"/>
  <c r="E390" i="17"/>
  <c r="D390" i="17"/>
  <c r="B390" i="17"/>
  <c r="AJ389" i="17"/>
  <c r="AD389" i="17"/>
  <c r="W389" i="17"/>
  <c r="V389" i="17"/>
  <c r="N389" i="17"/>
  <c r="E389" i="17"/>
  <c r="D389" i="17"/>
  <c r="B389" i="17"/>
  <c r="AJ388" i="17"/>
  <c r="AD388" i="17"/>
  <c r="W388" i="17"/>
  <c r="V388" i="17"/>
  <c r="N388" i="17"/>
  <c r="E388" i="17"/>
  <c r="D388" i="17"/>
  <c r="B388" i="17"/>
  <c r="AJ387" i="17"/>
  <c r="AD387" i="17"/>
  <c r="W387" i="17"/>
  <c r="V387" i="17"/>
  <c r="N387" i="17"/>
  <c r="E387" i="17"/>
  <c r="D387" i="17"/>
  <c r="B387" i="17"/>
  <c r="AJ386" i="17"/>
  <c r="AD386" i="17"/>
  <c r="W386" i="17"/>
  <c r="V386" i="17"/>
  <c r="N386" i="17"/>
  <c r="E386" i="17"/>
  <c r="D386" i="17"/>
  <c r="B386" i="17"/>
  <c r="AJ385" i="17"/>
  <c r="AD385" i="17"/>
  <c r="W385" i="17"/>
  <c r="V385" i="17"/>
  <c r="N385" i="17"/>
  <c r="E385" i="17"/>
  <c r="D385" i="17"/>
  <c r="B385" i="17"/>
  <c r="AJ384" i="17"/>
  <c r="AD384" i="17"/>
  <c r="W384" i="17"/>
  <c r="V384" i="17"/>
  <c r="N384" i="17"/>
  <c r="E384" i="17"/>
  <c r="D384" i="17"/>
  <c r="B384" i="17"/>
  <c r="AJ383" i="17"/>
  <c r="AD383" i="17"/>
  <c r="W383" i="17"/>
  <c r="V383" i="17"/>
  <c r="N383" i="17"/>
  <c r="E383" i="17"/>
  <c r="D383" i="17"/>
  <c r="B383" i="17"/>
  <c r="AJ382" i="17"/>
  <c r="AD382" i="17"/>
  <c r="W382" i="17"/>
  <c r="V382" i="17"/>
  <c r="N382" i="17"/>
  <c r="E382" i="17"/>
  <c r="D382" i="17"/>
  <c r="B382" i="17"/>
  <c r="AJ381" i="17"/>
  <c r="AD381" i="17"/>
  <c r="W381" i="17"/>
  <c r="V381" i="17"/>
  <c r="N381" i="17"/>
  <c r="E381" i="17"/>
  <c r="D381" i="17"/>
  <c r="B381" i="17"/>
  <c r="AJ380" i="17"/>
  <c r="AD380" i="17"/>
  <c r="W380" i="17"/>
  <c r="V380" i="17"/>
  <c r="N380" i="17"/>
  <c r="E380" i="17"/>
  <c r="D380" i="17"/>
  <c r="B380" i="17"/>
  <c r="AJ379" i="17"/>
  <c r="AD379" i="17"/>
  <c r="W379" i="17"/>
  <c r="V379" i="17"/>
  <c r="N379" i="17"/>
  <c r="E379" i="17"/>
  <c r="D379" i="17"/>
  <c r="B379" i="17"/>
  <c r="AJ378" i="17"/>
  <c r="AD378" i="17"/>
  <c r="W378" i="17"/>
  <c r="V378" i="17"/>
  <c r="N378" i="17"/>
  <c r="E378" i="17"/>
  <c r="D378" i="17"/>
  <c r="B378" i="17"/>
  <c r="AJ377" i="17"/>
  <c r="AD377" i="17"/>
  <c r="W377" i="17"/>
  <c r="V377" i="17"/>
  <c r="N377" i="17"/>
  <c r="E377" i="17"/>
  <c r="D377" i="17"/>
  <c r="B377" i="17"/>
  <c r="AJ376" i="17"/>
  <c r="AD376" i="17"/>
  <c r="W376" i="17"/>
  <c r="V376" i="17"/>
  <c r="N376" i="17"/>
  <c r="E376" i="17"/>
  <c r="D376" i="17"/>
  <c r="B376" i="17"/>
  <c r="AJ375" i="17"/>
  <c r="AD375" i="17"/>
  <c r="W375" i="17"/>
  <c r="V375" i="17"/>
  <c r="N375" i="17"/>
  <c r="E375" i="17"/>
  <c r="D375" i="17"/>
  <c r="B375" i="17"/>
  <c r="AJ374" i="17"/>
  <c r="AD374" i="17"/>
  <c r="W374" i="17"/>
  <c r="V374" i="17"/>
  <c r="N374" i="17"/>
  <c r="E374" i="17"/>
  <c r="D374" i="17"/>
  <c r="B374" i="17"/>
  <c r="AJ373" i="17"/>
  <c r="AD373" i="17"/>
  <c r="W373" i="17"/>
  <c r="V373" i="17"/>
  <c r="N373" i="17"/>
  <c r="E373" i="17"/>
  <c r="D373" i="17"/>
  <c r="B373" i="17"/>
  <c r="AJ372" i="17"/>
  <c r="AD372" i="17"/>
  <c r="W372" i="17"/>
  <c r="V372" i="17"/>
  <c r="N372" i="17"/>
  <c r="E372" i="17"/>
  <c r="D372" i="17"/>
  <c r="B372" i="17"/>
  <c r="AJ371" i="17"/>
  <c r="AD371" i="17"/>
  <c r="W371" i="17"/>
  <c r="V371" i="17"/>
  <c r="N371" i="17"/>
  <c r="E371" i="17"/>
  <c r="D371" i="17"/>
  <c r="B371" i="17"/>
  <c r="AJ370" i="17"/>
  <c r="AD370" i="17"/>
  <c r="W370" i="17"/>
  <c r="V370" i="17"/>
  <c r="N370" i="17"/>
  <c r="E370" i="17"/>
  <c r="D370" i="17"/>
  <c r="B370" i="17"/>
  <c r="AJ369" i="17"/>
  <c r="AD369" i="17"/>
  <c r="W369" i="17"/>
  <c r="V369" i="17"/>
  <c r="N369" i="17"/>
  <c r="E369" i="17"/>
  <c r="D369" i="17"/>
  <c r="B369" i="17"/>
  <c r="AJ368" i="17"/>
  <c r="AD368" i="17"/>
  <c r="W368" i="17"/>
  <c r="V368" i="17"/>
  <c r="N368" i="17"/>
  <c r="E368" i="17"/>
  <c r="D368" i="17"/>
  <c r="B368" i="17"/>
  <c r="AJ367" i="17"/>
  <c r="AD367" i="17"/>
  <c r="W367" i="17"/>
  <c r="V367" i="17"/>
  <c r="N367" i="17"/>
  <c r="E367" i="17"/>
  <c r="D367" i="17"/>
  <c r="B367" i="17"/>
  <c r="AJ366" i="17"/>
  <c r="AD366" i="17"/>
  <c r="W366" i="17"/>
  <c r="V366" i="17"/>
  <c r="N366" i="17"/>
  <c r="AG366" i="17"/>
  <c r="E366" i="17"/>
  <c r="D366" i="17"/>
  <c r="B366" i="17"/>
  <c r="AJ365" i="17"/>
  <c r="AD365" i="17"/>
  <c r="W365" i="17"/>
  <c r="V365" i="17"/>
  <c r="N365" i="17"/>
  <c r="E365" i="17"/>
  <c r="D365" i="17"/>
  <c r="B365" i="17"/>
  <c r="AJ364" i="17"/>
  <c r="AD364" i="17"/>
  <c r="W364" i="17"/>
  <c r="V364" i="17"/>
  <c r="N364" i="17"/>
  <c r="E364" i="17"/>
  <c r="D364" i="17"/>
  <c r="B364" i="17"/>
  <c r="AJ363" i="17"/>
  <c r="AD363" i="17"/>
  <c r="W363" i="17"/>
  <c r="V363" i="17"/>
  <c r="N363" i="17"/>
  <c r="E363" i="17"/>
  <c r="D363" i="17"/>
  <c r="B363" i="17"/>
  <c r="AJ362" i="17"/>
  <c r="AD362" i="17"/>
  <c r="W362" i="17"/>
  <c r="V362" i="17"/>
  <c r="N362" i="17"/>
  <c r="E362" i="17"/>
  <c r="D362" i="17"/>
  <c r="B362" i="17"/>
  <c r="AJ361" i="17"/>
  <c r="AD361" i="17"/>
  <c r="W361" i="17"/>
  <c r="V361" i="17"/>
  <c r="N361" i="17"/>
  <c r="E361" i="17"/>
  <c r="D361" i="17"/>
  <c r="B361" i="17"/>
  <c r="AJ360" i="17"/>
  <c r="AD360" i="17"/>
  <c r="W360" i="17"/>
  <c r="V360" i="17"/>
  <c r="N360" i="17"/>
  <c r="E360" i="17"/>
  <c r="D360" i="17"/>
  <c r="B360" i="17"/>
  <c r="AJ359" i="17"/>
  <c r="AD359" i="17"/>
  <c r="W359" i="17"/>
  <c r="V359" i="17"/>
  <c r="N359" i="17"/>
  <c r="E359" i="17"/>
  <c r="D359" i="17"/>
  <c r="B359" i="17"/>
  <c r="AJ358" i="17"/>
  <c r="AD358" i="17"/>
  <c r="W358" i="17"/>
  <c r="V358" i="17"/>
  <c r="N358" i="17"/>
  <c r="E358" i="17"/>
  <c r="D358" i="17"/>
  <c r="B358" i="17"/>
  <c r="AJ357" i="17"/>
  <c r="AD357" i="17"/>
  <c r="W357" i="17"/>
  <c r="V357" i="17"/>
  <c r="N357" i="17"/>
  <c r="E357" i="17"/>
  <c r="D357" i="17"/>
  <c r="B357" i="17"/>
  <c r="AJ356" i="17"/>
  <c r="AD356" i="17"/>
  <c r="W356" i="17"/>
  <c r="V356" i="17"/>
  <c r="N356" i="17"/>
  <c r="E356" i="17"/>
  <c r="D356" i="17"/>
  <c r="B356" i="17"/>
  <c r="AJ355" i="17"/>
  <c r="AD355" i="17"/>
  <c r="W355" i="17"/>
  <c r="V355" i="17"/>
  <c r="N355" i="17"/>
  <c r="E355" i="17"/>
  <c r="D355" i="17"/>
  <c r="B355" i="17"/>
  <c r="AJ354" i="17"/>
  <c r="AD354" i="17"/>
  <c r="W354" i="17"/>
  <c r="V354" i="17"/>
  <c r="N354" i="17"/>
  <c r="E354" i="17"/>
  <c r="D354" i="17"/>
  <c r="B354" i="17"/>
  <c r="AJ353" i="17"/>
  <c r="AD353" i="17"/>
  <c r="W353" i="17"/>
  <c r="V353" i="17"/>
  <c r="N353" i="17"/>
  <c r="E353" i="17"/>
  <c r="D353" i="17"/>
  <c r="B353" i="17"/>
  <c r="AJ352" i="17"/>
  <c r="AD352" i="17"/>
  <c r="W352" i="17"/>
  <c r="V352" i="17"/>
  <c r="N352" i="17"/>
  <c r="E352" i="17"/>
  <c r="D352" i="17"/>
  <c r="B352" i="17"/>
  <c r="AJ351" i="17"/>
  <c r="AD351" i="17"/>
  <c r="W351" i="17"/>
  <c r="V351" i="17"/>
  <c r="N351" i="17"/>
  <c r="E351" i="17"/>
  <c r="D351" i="17"/>
  <c r="B351" i="17"/>
  <c r="AJ350" i="17"/>
  <c r="AD350" i="17"/>
  <c r="W350" i="17"/>
  <c r="V350" i="17"/>
  <c r="N350" i="17"/>
  <c r="E350" i="17"/>
  <c r="D350" i="17"/>
  <c r="B350" i="17"/>
  <c r="AJ349" i="17"/>
  <c r="AD349" i="17"/>
  <c r="W349" i="17"/>
  <c r="V349" i="17"/>
  <c r="N349" i="17"/>
  <c r="E349" i="17"/>
  <c r="D349" i="17"/>
  <c r="B349" i="17"/>
  <c r="AJ348" i="17"/>
  <c r="AD348" i="17"/>
  <c r="W348" i="17"/>
  <c r="V348" i="17"/>
  <c r="N348" i="17"/>
  <c r="E348" i="17"/>
  <c r="D348" i="17"/>
  <c r="B348" i="17"/>
  <c r="AJ347" i="17"/>
  <c r="AD347" i="17"/>
  <c r="W347" i="17"/>
  <c r="V347" i="17"/>
  <c r="N347" i="17"/>
  <c r="E347" i="17"/>
  <c r="D347" i="17"/>
  <c r="B347" i="17"/>
  <c r="AJ346" i="17"/>
  <c r="AD346" i="17"/>
  <c r="W346" i="17"/>
  <c r="V346" i="17"/>
  <c r="N346" i="17"/>
  <c r="E346" i="17"/>
  <c r="D346" i="17"/>
  <c r="B346" i="17"/>
  <c r="AJ345" i="17"/>
  <c r="AD345" i="17"/>
  <c r="W345" i="17"/>
  <c r="V345" i="17"/>
  <c r="N345" i="17"/>
  <c r="E345" i="17"/>
  <c r="D345" i="17"/>
  <c r="B345" i="17"/>
  <c r="AJ344" i="17"/>
  <c r="AD344" i="17"/>
  <c r="W344" i="17"/>
  <c r="V344" i="17"/>
  <c r="N344" i="17"/>
  <c r="E344" i="17"/>
  <c r="D344" i="17"/>
  <c r="B344" i="17"/>
  <c r="AJ343" i="17"/>
  <c r="AD343" i="17"/>
  <c r="W343" i="17"/>
  <c r="V343" i="17"/>
  <c r="N343" i="17"/>
  <c r="E343" i="17"/>
  <c r="D343" i="17"/>
  <c r="B343" i="17"/>
  <c r="AJ342" i="17"/>
  <c r="AD342" i="17"/>
  <c r="W342" i="17"/>
  <c r="V342" i="17"/>
  <c r="N342" i="17"/>
  <c r="E342" i="17"/>
  <c r="D342" i="17"/>
  <c r="B342" i="17"/>
  <c r="AJ341" i="17"/>
  <c r="AD341" i="17"/>
  <c r="W341" i="17"/>
  <c r="V341" i="17"/>
  <c r="N341" i="17"/>
  <c r="E341" i="17"/>
  <c r="D341" i="17"/>
  <c r="B341" i="17"/>
  <c r="AJ340" i="17"/>
  <c r="AD340" i="17"/>
  <c r="W340" i="17"/>
  <c r="V340" i="17"/>
  <c r="N340" i="17"/>
  <c r="E340" i="17"/>
  <c r="D340" i="17"/>
  <c r="B340" i="17"/>
  <c r="AJ339" i="17"/>
  <c r="AD339" i="17"/>
  <c r="W339" i="17"/>
  <c r="V339" i="17"/>
  <c r="N339" i="17"/>
  <c r="E339" i="17"/>
  <c r="D339" i="17"/>
  <c r="B339" i="17"/>
  <c r="AJ338" i="17"/>
  <c r="AD338" i="17"/>
  <c r="W338" i="17"/>
  <c r="V338" i="17"/>
  <c r="N338" i="17"/>
  <c r="E338" i="17"/>
  <c r="D338" i="17"/>
  <c r="B338" i="17"/>
  <c r="AJ337" i="17"/>
  <c r="AD337" i="17"/>
  <c r="W337" i="17"/>
  <c r="V337" i="17"/>
  <c r="N337" i="17"/>
  <c r="E337" i="17"/>
  <c r="D337" i="17"/>
  <c r="B337" i="17"/>
  <c r="AJ336" i="17"/>
  <c r="AD336" i="17"/>
  <c r="W336" i="17"/>
  <c r="V336" i="17"/>
  <c r="N336" i="17"/>
  <c r="E336" i="17"/>
  <c r="D336" i="17"/>
  <c r="B336" i="17"/>
  <c r="AJ335" i="17"/>
  <c r="AD335" i="17"/>
  <c r="W335" i="17"/>
  <c r="V335" i="17"/>
  <c r="N335" i="17"/>
  <c r="E335" i="17"/>
  <c r="D335" i="17"/>
  <c r="B335" i="17"/>
  <c r="AJ334" i="17"/>
  <c r="AD334" i="17"/>
  <c r="W334" i="17"/>
  <c r="V334" i="17"/>
  <c r="N334" i="17"/>
  <c r="AG334" i="17"/>
  <c r="E334" i="17"/>
  <c r="D334" i="17"/>
  <c r="B334" i="17"/>
  <c r="AJ333" i="17"/>
  <c r="AD333" i="17"/>
  <c r="W333" i="17"/>
  <c r="V333" i="17"/>
  <c r="N333" i="17"/>
  <c r="E333" i="17"/>
  <c r="D333" i="17"/>
  <c r="B333" i="17"/>
  <c r="AJ332" i="17"/>
  <c r="AD332" i="17"/>
  <c r="W332" i="17"/>
  <c r="V332" i="17"/>
  <c r="N332" i="17"/>
  <c r="E332" i="17"/>
  <c r="D332" i="17"/>
  <c r="B332" i="17"/>
  <c r="AJ331" i="17"/>
  <c r="AD331" i="17"/>
  <c r="W331" i="17"/>
  <c r="V331" i="17"/>
  <c r="N331" i="17"/>
  <c r="E331" i="17"/>
  <c r="D331" i="17"/>
  <c r="B331" i="17"/>
  <c r="AJ330" i="17"/>
  <c r="AD330" i="17"/>
  <c r="W330" i="17"/>
  <c r="V330" i="17"/>
  <c r="N330" i="17"/>
  <c r="E330" i="17"/>
  <c r="D330" i="17"/>
  <c r="B330" i="17"/>
  <c r="AJ329" i="17"/>
  <c r="AD329" i="17"/>
  <c r="W329" i="17"/>
  <c r="V329" i="17"/>
  <c r="N329" i="17"/>
  <c r="E329" i="17"/>
  <c r="D329" i="17"/>
  <c r="B329" i="17"/>
  <c r="AJ328" i="17"/>
  <c r="AD328" i="17"/>
  <c r="W328" i="17"/>
  <c r="V328" i="17"/>
  <c r="N328" i="17"/>
  <c r="E328" i="17"/>
  <c r="D328" i="17"/>
  <c r="B328" i="17"/>
  <c r="AJ327" i="17"/>
  <c r="AD327" i="17"/>
  <c r="W327" i="17"/>
  <c r="V327" i="17"/>
  <c r="N327" i="17"/>
  <c r="E327" i="17"/>
  <c r="D327" i="17"/>
  <c r="B327" i="17"/>
  <c r="AJ326" i="17"/>
  <c r="AD326" i="17"/>
  <c r="W326" i="17"/>
  <c r="V326" i="17"/>
  <c r="N326" i="17"/>
  <c r="E326" i="17"/>
  <c r="D326" i="17"/>
  <c r="B326" i="17"/>
  <c r="AJ325" i="17"/>
  <c r="AD325" i="17"/>
  <c r="W325" i="17"/>
  <c r="V325" i="17"/>
  <c r="N325" i="17"/>
  <c r="E325" i="17"/>
  <c r="D325" i="17"/>
  <c r="B325" i="17"/>
  <c r="AJ324" i="17"/>
  <c r="AD324" i="17"/>
  <c r="W324" i="17"/>
  <c r="V324" i="17"/>
  <c r="N324" i="17"/>
  <c r="E324" i="17"/>
  <c r="D324" i="17"/>
  <c r="B324" i="17"/>
  <c r="AJ323" i="17"/>
  <c r="AD323" i="17"/>
  <c r="W323" i="17"/>
  <c r="V323" i="17"/>
  <c r="N323" i="17"/>
  <c r="E323" i="17"/>
  <c r="D323" i="17"/>
  <c r="B323" i="17"/>
  <c r="AJ322" i="17"/>
  <c r="AD322" i="17"/>
  <c r="W322" i="17"/>
  <c r="V322" i="17"/>
  <c r="N322" i="17"/>
  <c r="E322" i="17"/>
  <c r="D322" i="17"/>
  <c r="B322" i="17"/>
  <c r="AJ321" i="17"/>
  <c r="AD321" i="17"/>
  <c r="W321" i="17"/>
  <c r="V321" i="17"/>
  <c r="N321" i="17"/>
  <c r="E321" i="17"/>
  <c r="D321" i="17"/>
  <c r="B321" i="17"/>
  <c r="AJ320" i="17"/>
  <c r="AD320" i="17"/>
  <c r="W320" i="17"/>
  <c r="V320" i="17"/>
  <c r="N320" i="17"/>
  <c r="E320" i="17"/>
  <c r="D320" i="17"/>
  <c r="B320" i="17"/>
  <c r="AJ319" i="17"/>
  <c r="AD319" i="17"/>
  <c r="W319" i="17"/>
  <c r="V319" i="17"/>
  <c r="N319" i="17"/>
  <c r="E319" i="17"/>
  <c r="D319" i="17"/>
  <c r="B319" i="17"/>
  <c r="AJ318" i="17"/>
  <c r="AD318" i="17"/>
  <c r="W318" i="17"/>
  <c r="V318" i="17"/>
  <c r="N318" i="17"/>
  <c r="E318" i="17"/>
  <c r="D318" i="17"/>
  <c r="B318" i="17"/>
  <c r="AJ317" i="17"/>
  <c r="AD317" i="17"/>
  <c r="W317" i="17"/>
  <c r="V317" i="17"/>
  <c r="N317" i="17"/>
  <c r="E317" i="17"/>
  <c r="D317" i="17"/>
  <c r="B317" i="17"/>
  <c r="AJ316" i="17"/>
  <c r="AD316" i="17"/>
  <c r="W316" i="17"/>
  <c r="V316" i="17"/>
  <c r="N316" i="17"/>
  <c r="E316" i="17"/>
  <c r="D316" i="17"/>
  <c r="B316" i="17"/>
  <c r="AJ315" i="17"/>
  <c r="AD315" i="17"/>
  <c r="W315" i="17"/>
  <c r="V315" i="17"/>
  <c r="N315" i="17"/>
  <c r="E315" i="17"/>
  <c r="D315" i="17"/>
  <c r="B315" i="17"/>
  <c r="AJ314" i="17"/>
  <c r="AD314" i="17"/>
  <c r="W314" i="17"/>
  <c r="V314" i="17"/>
  <c r="N314" i="17"/>
  <c r="E314" i="17"/>
  <c r="D314" i="17"/>
  <c r="B314" i="17"/>
  <c r="AJ313" i="17"/>
  <c r="AD313" i="17"/>
  <c r="W313" i="17"/>
  <c r="V313" i="17"/>
  <c r="N313" i="17"/>
  <c r="E313" i="17"/>
  <c r="D313" i="17"/>
  <c r="B313" i="17"/>
  <c r="AJ312" i="17"/>
  <c r="AD312" i="17"/>
  <c r="W312" i="17"/>
  <c r="V312" i="17"/>
  <c r="N312" i="17"/>
  <c r="E312" i="17"/>
  <c r="D312" i="17"/>
  <c r="B312" i="17"/>
  <c r="AJ311" i="17"/>
  <c r="AD311" i="17"/>
  <c r="W311" i="17"/>
  <c r="V311" i="17"/>
  <c r="N311" i="17"/>
  <c r="E311" i="17"/>
  <c r="D311" i="17"/>
  <c r="B311" i="17"/>
  <c r="AJ310" i="17"/>
  <c r="AD310" i="17"/>
  <c r="W310" i="17"/>
  <c r="V310" i="17"/>
  <c r="N310" i="17"/>
  <c r="AG310" i="17"/>
  <c r="E310" i="17"/>
  <c r="D310" i="17"/>
  <c r="B310" i="17"/>
  <c r="AJ309" i="17"/>
  <c r="AD309" i="17"/>
  <c r="W309" i="17"/>
  <c r="V309" i="17"/>
  <c r="N309" i="17"/>
  <c r="E309" i="17"/>
  <c r="D309" i="17"/>
  <c r="B309" i="17"/>
  <c r="AJ308" i="17"/>
  <c r="AD308" i="17"/>
  <c r="W308" i="17"/>
  <c r="V308" i="17"/>
  <c r="N308" i="17"/>
  <c r="E308" i="17"/>
  <c r="D308" i="17"/>
  <c r="B308" i="17"/>
  <c r="AJ307" i="17"/>
  <c r="AD307" i="17"/>
  <c r="W307" i="17"/>
  <c r="V307" i="17"/>
  <c r="N307" i="17"/>
  <c r="E307" i="17"/>
  <c r="D307" i="17"/>
  <c r="B307" i="17"/>
  <c r="AJ306" i="17"/>
  <c r="AD306" i="17"/>
  <c r="W306" i="17"/>
  <c r="V306" i="17"/>
  <c r="N306" i="17"/>
  <c r="E306" i="17"/>
  <c r="D306" i="17"/>
  <c r="B306" i="17"/>
  <c r="AJ305" i="17"/>
  <c r="AD305" i="17"/>
  <c r="W305" i="17"/>
  <c r="V305" i="17"/>
  <c r="N305" i="17"/>
  <c r="E305" i="17"/>
  <c r="D305" i="17"/>
  <c r="B305" i="17"/>
  <c r="AJ304" i="17"/>
  <c r="AD304" i="17"/>
  <c r="W304" i="17"/>
  <c r="V304" i="17"/>
  <c r="N304" i="17"/>
  <c r="E304" i="17"/>
  <c r="D304" i="17"/>
  <c r="B304" i="17"/>
  <c r="AJ303" i="17"/>
  <c r="AD303" i="17"/>
  <c r="W303" i="17"/>
  <c r="V303" i="17"/>
  <c r="N303" i="17"/>
  <c r="E303" i="17"/>
  <c r="D303" i="17"/>
  <c r="B303" i="17"/>
  <c r="AJ302" i="17"/>
  <c r="AD302" i="17"/>
  <c r="W302" i="17"/>
  <c r="V302" i="17"/>
  <c r="N302" i="17"/>
  <c r="E302" i="17"/>
  <c r="D302" i="17"/>
  <c r="B302" i="17"/>
  <c r="AJ301" i="17"/>
  <c r="AD301" i="17"/>
  <c r="W301" i="17"/>
  <c r="V301" i="17"/>
  <c r="N301" i="17"/>
  <c r="E301" i="17"/>
  <c r="D301" i="17"/>
  <c r="B301" i="17"/>
  <c r="AJ300" i="17"/>
  <c r="AD300" i="17"/>
  <c r="W300" i="17"/>
  <c r="V300" i="17"/>
  <c r="N300" i="17"/>
  <c r="E300" i="17"/>
  <c r="D300" i="17"/>
  <c r="B300" i="17"/>
  <c r="AJ299" i="17"/>
  <c r="AD299" i="17"/>
  <c r="W299" i="17"/>
  <c r="V299" i="17"/>
  <c r="N299" i="17"/>
  <c r="E299" i="17"/>
  <c r="D299" i="17"/>
  <c r="B299" i="17"/>
  <c r="AJ298" i="17"/>
  <c r="AD298" i="17"/>
  <c r="W298" i="17"/>
  <c r="V298" i="17"/>
  <c r="N298" i="17"/>
  <c r="E298" i="17"/>
  <c r="D298" i="17"/>
  <c r="B298" i="17"/>
  <c r="AJ297" i="17"/>
  <c r="AD297" i="17"/>
  <c r="W297" i="17"/>
  <c r="V297" i="17"/>
  <c r="N297" i="17"/>
  <c r="E297" i="17"/>
  <c r="D297" i="17"/>
  <c r="B297" i="17"/>
  <c r="AJ296" i="17"/>
  <c r="AD296" i="17"/>
  <c r="W296" i="17"/>
  <c r="V296" i="17"/>
  <c r="N296" i="17"/>
  <c r="E296" i="17"/>
  <c r="D296" i="17"/>
  <c r="B296" i="17"/>
  <c r="AJ295" i="17"/>
  <c r="AD295" i="17"/>
  <c r="W295" i="17"/>
  <c r="V295" i="17"/>
  <c r="N295" i="17"/>
  <c r="E295" i="17"/>
  <c r="D295" i="17"/>
  <c r="B295" i="17"/>
  <c r="AJ294" i="17"/>
  <c r="AD294" i="17"/>
  <c r="W294" i="17"/>
  <c r="V294" i="17"/>
  <c r="N294" i="17"/>
  <c r="E294" i="17"/>
  <c r="D294" i="17"/>
  <c r="B294" i="17"/>
  <c r="AJ293" i="17"/>
  <c r="AD293" i="17"/>
  <c r="W293" i="17"/>
  <c r="V293" i="17"/>
  <c r="N293" i="17"/>
  <c r="E293" i="17"/>
  <c r="D293" i="17"/>
  <c r="B293" i="17"/>
  <c r="AJ292" i="17"/>
  <c r="AD292" i="17"/>
  <c r="W292" i="17"/>
  <c r="V292" i="17"/>
  <c r="N292" i="17"/>
  <c r="E292" i="17"/>
  <c r="D292" i="17"/>
  <c r="B292" i="17"/>
  <c r="AJ291" i="17"/>
  <c r="AD291" i="17"/>
  <c r="W291" i="17"/>
  <c r="V291" i="17"/>
  <c r="N291" i="17"/>
  <c r="E291" i="17"/>
  <c r="D291" i="17"/>
  <c r="B291" i="17"/>
  <c r="AJ290" i="17"/>
  <c r="AD290" i="17"/>
  <c r="W290" i="17"/>
  <c r="V290" i="17"/>
  <c r="N290" i="17"/>
  <c r="E290" i="17"/>
  <c r="D290" i="17"/>
  <c r="B290" i="17"/>
  <c r="AJ289" i="17"/>
  <c r="AD289" i="17"/>
  <c r="W289" i="17"/>
  <c r="V289" i="17"/>
  <c r="N289" i="17"/>
  <c r="E289" i="17"/>
  <c r="D289" i="17"/>
  <c r="B289" i="17"/>
  <c r="AJ288" i="17"/>
  <c r="AD288" i="17"/>
  <c r="W288" i="17"/>
  <c r="V288" i="17"/>
  <c r="N288" i="17"/>
  <c r="E288" i="17"/>
  <c r="D288" i="17"/>
  <c r="B288" i="17"/>
  <c r="AJ287" i="17"/>
  <c r="R287" i="17" s="1"/>
  <c r="T287" i="17" s="1"/>
  <c r="AD287" i="17"/>
  <c r="W287" i="17"/>
  <c r="V287" i="17"/>
  <c r="N287" i="17"/>
  <c r="E287" i="17"/>
  <c r="D287" i="17"/>
  <c r="B287" i="17"/>
  <c r="AJ286" i="17"/>
  <c r="AD286" i="17"/>
  <c r="W286" i="17"/>
  <c r="V286" i="17"/>
  <c r="N286" i="17"/>
  <c r="AG286" i="17"/>
  <c r="E286" i="17"/>
  <c r="D286" i="17"/>
  <c r="B286" i="17"/>
  <c r="AJ285" i="17"/>
  <c r="AD285" i="17"/>
  <c r="W285" i="17"/>
  <c r="V285" i="17"/>
  <c r="N285" i="17"/>
  <c r="E285" i="17"/>
  <c r="D285" i="17"/>
  <c r="B285" i="17"/>
  <c r="AJ284" i="17"/>
  <c r="AD284" i="17"/>
  <c r="W284" i="17"/>
  <c r="V284" i="17"/>
  <c r="N284" i="17"/>
  <c r="E284" i="17"/>
  <c r="D284" i="17"/>
  <c r="B284" i="17"/>
  <c r="AJ283" i="17"/>
  <c r="AD283" i="17"/>
  <c r="W283" i="17"/>
  <c r="V283" i="17"/>
  <c r="N283" i="17"/>
  <c r="E283" i="17"/>
  <c r="D283" i="17"/>
  <c r="B283" i="17"/>
  <c r="AJ282" i="17"/>
  <c r="AD282" i="17"/>
  <c r="W282" i="17"/>
  <c r="V282" i="17"/>
  <c r="N282" i="17"/>
  <c r="E282" i="17"/>
  <c r="D282" i="17"/>
  <c r="B282" i="17"/>
  <c r="AJ281" i="17"/>
  <c r="AA281" i="17" s="1"/>
  <c r="AC281" i="17" s="1"/>
  <c r="AD281" i="17"/>
  <c r="W281" i="17"/>
  <c r="V281" i="17"/>
  <c r="N281" i="17"/>
  <c r="E281" i="17"/>
  <c r="D281" i="17"/>
  <c r="B281" i="17"/>
  <c r="AJ280" i="17"/>
  <c r="AD280" i="17"/>
  <c r="W280" i="17"/>
  <c r="V280" i="17"/>
  <c r="N280" i="17"/>
  <c r="E280" i="17"/>
  <c r="D280" i="17"/>
  <c r="B280" i="17"/>
  <c r="AJ279" i="17"/>
  <c r="AD279" i="17"/>
  <c r="W279" i="17"/>
  <c r="V279" i="17"/>
  <c r="N279" i="17"/>
  <c r="E279" i="17"/>
  <c r="D279" i="17"/>
  <c r="B279" i="17"/>
  <c r="AJ278" i="17"/>
  <c r="AD278" i="17"/>
  <c r="W278" i="17"/>
  <c r="V278" i="17"/>
  <c r="N278" i="17"/>
  <c r="AG278" i="17"/>
  <c r="E278" i="17"/>
  <c r="D278" i="17"/>
  <c r="B278" i="17"/>
  <c r="AJ277" i="17"/>
  <c r="AD277" i="17"/>
  <c r="W277" i="17"/>
  <c r="V277" i="17"/>
  <c r="N277" i="17"/>
  <c r="E277" i="17"/>
  <c r="D277" i="17"/>
  <c r="B277" i="17"/>
  <c r="AJ276" i="17"/>
  <c r="AD276" i="17"/>
  <c r="W276" i="17"/>
  <c r="V276" i="17"/>
  <c r="N276" i="17"/>
  <c r="E276" i="17"/>
  <c r="D276" i="17"/>
  <c r="B276" i="17"/>
  <c r="AJ275" i="17"/>
  <c r="AD275" i="17"/>
  <c r="W275" i="17"/>
  <c r="V275" i="17"/>
  <c r="N275" i="17"/>
  <c r="E275" i="17"/>
  <c r="D275" i="17"/>
  <c r="B275" i="17"/>
  <c r="AJ274" i="17"/>
  <c r="AD274" i="17"/>
  <c r="W274" i="17"/>
  <c r="V274" i="17"/>
  <c r="N274" i="17"/>
  <c r="E274" i="17"/>
  <c r="D274" i="17"/>
  <c r="B274" i="17"/>
  <c r="AJ273" i="17"/>
  <c r="AD273" i="17"/>
  <c r="W273" i="17"/>
  <c r="V273" i="17"/>
  <c r="N273" i="17"/>
  <c r="E273" i="17"/>
  <c r="D273" i="17"/>
  <c r="B273" i="17"/>
  <c r="AJ272" i="17"/>
  <c r="AD272" i="17"/>
  <c r="W272" i="17"/>
  <c r="V272" i="17"/>
  <c r="N272" i="17"/>
  <c r="E272" i="17"/>
  <c r="D272" i="17"/>
  <c r="B272" i="17"/>
  <c r="AJ271" i="17"/>
  <c r="AD271" i="17"/>
  <c r="W271" i="17"/>
  <c r="V271" i="17"/>
  <c r="N271" i="17"/>
  <c r="E271" i="17"/>
  <c r="D271" i="17"/>
  <c r="B271" i="17"/>
  <c r="AJ270" i="17"/>
  <c r="AD270" i="17"/>
  <c r="W270" i="17"/>
  <c r="V270" i="17"/>
  <c r="N270" i="17"/>
  <c r="E270" i="17"/>
  <c r="D270" i="17"/>
  <c r="B270" i="17"/>
  <c r="AJ269" i="17"/>
  <c r="AD269" i="17"/>
  <c r="W269" i="17"/>
  <c r="V269" i="17"/>
  <c r="N269" i="17"/>
  <c r="E269" i="17"/>
  <c r="D269" i="17"/>
  <c r="B269" i="17"/>
  <c r="AJ268" i="17"/>
  <c r="AD268" i="17"/>
  <c r="W268" i="17"/>
  <c r="V268" i="17"/>
  <c r="N268" i="17"/>
  <c r="E268" i="17"/>
  <c r="D268" i="17"/>
  <c r="B268" i="17"/>
  <c r="AJ267" i="17"/>
  <c r="AD267" i="17"/>
  <c r="W267" i="17"/>
  <c r="V267" i="17"/>
  <c r="N267" i="17"/>
  <c r="E267" i="17"/>
  <c r="D267" i="17"/>
  <c r="B267" i="17"/>
  <c r="AJ266" i="17"/>
  <c r="AD266" i="17"/>
  <c r="W266" i="17"/>
  <c r="V266" i="17"/>
  <c r="N266" i="17"/>
  <c r="E266" i="17"/>
  <c r="D266" i="17"/>
  <c r="B266" i="17"/>
  <c r="AJ265" i="17"/>
  <c r="AD265" i="17"/>
  <c r="W265" i="17"/>
  <c r="V265" i="17"/>
  <c r="N265" i="17"/>
  <c r="E265" i="17"/>
  <c r="D265" i="17"/>
  <c r="B265" i="17"/>
  <c r="AJ264" i="17"/>
  <c r="AD264" i="17"/>
  <c r="W264" i="17"/>
  <c r="V264" i="17"/>
  <c r="N264" i="17"/>
  <c r="E264" i="17"/>
  <c r="D264" i="17"/>
  <c r="B264" i="17"/>
  <c r="AJ263" i="17"/>
  <c r="AD263" i="17"/>
  <c r="W263" i="17"/>
  <c r="V263" i="17"/>
  <c r="N263" i="17"/>
  <c r="E263" i="17"/>
  <c r="D263" i="17"/>
  <c r="B263" i="17"/>
  <c r="AJ262" i="17"/>
  <c r="AD262" i="17"/>
  <c r="W262" i="17"/>
  <c r="V262" i="17"/>
  <c r="N262" i="17"/>
  <c r="AG262" i="17"/>
  <c r="E262" i="17"/>
  <c r="D262" i="17"/>
  <c r="B262" i="17"/>
  <c r="AJ261" i="17"/>
  <c r="AD261" i="17"/>
  <c r="W261" i="17"/>
  <c r="V261" i="17"/>
  <c r="N261" i="17"/>
  <c r="E261" i="17"/>
  <c r="D261" i="17"/>
  <c r="B261" i="17"/>
  <c r="AJ260" i="17"/>
  <c r="AD260" i="17"/>
  <c r="W260" i="17"/>
  <c r="V260" i="17"/>
  <c r="N260" i="17"/>
  <c r="E260" i="17"/>
  <c r="D260" i="17"/>
  <c r="B260" i="17"/>
  <c r="AJ259" i="17"/>
  <c r="AD259" i="17"/>
  <c r="W259" i="17"/>
  <c r="V259" i="17"/>
  <c r="N259" i="17"/>
  <c r="E259" i="17"/>
  <c r="D259" i="17"/>
  <c r="B259" i="17"/>
  <c r="AJ258" i="17"/>
  <c r="AD258" i="17"/>
  <c r="W258" i="17"/>
  <c r="V258" i="17"/>
  <c r="N258" i="17"/>
  <c r="E258" i="17"/>
  <c r="D258" i="17"/>
  <c r="B258" i="17"/>
  <c r="AJ257" i="17"/>
  <c r="AD257" i="17"/>
  <c r="W257" i="17"/>
  <c r="V257" i="17"/>
  <c r="N257" i="17"/>
  <c r="E257" i="17"/>
  <c r="D257" i="17"/>
  <c r="B257" i="17"/>
  <c r="AJ256" i="17"/>
  <c r="AD256" i="17"/>
  <c r="W256" i="17"/>
  <c r="V256" i="17"/>
  <c r="N256" i="17"/>
  <c r="E256" i="17"/>
  <c r="D256" i="17"/>
  <c r="B256" i="17"/>
  <c r="AJ255" i="17"/>
  <c r="AD255" i="17"/>
  <c r="W255" i="17"/>
  <c r="V255" i="17"/>
  <c r="N255" i="17"/>
  <c r="E255" i="17"/>
  <c r="D255" i="17"/>
  <c r="B255" i="17"/>
  <c r="AJ254" i="17"/>
  <c r="AD254" i="17"/>
  <c r="W254" i="17"/>
  <c r="V254" i="17"/>
  <c r="N254" i="17"/>
  <c r="AG254" i="17"/>
  <c r="E254" i="17"/>
  <c r="D254" i="17"/>
  <c r="B254" i="17"/>
  <c r="AJ253" i="17"/>
  <c r="AD253" i="17"/>
  <c r="W253" i="17"/>
  <c r="V253" i="17"/>
  <c r="N253" i="17"/>
  <c r="E253" i="17"/>
  <c r="D253" i="17"/>
  <c r="B253" i="17"/>
  <c r="AJ252" i="17"/>
  <c r="AD252" i="17"/>
  <c r="W252" i="17"/>
  <c r="V252" i="17"/>
  <c r="N252" i="17"/>
  <c r="E252" i="17"/>
  <c r="D252" i="17"/>
  <c r="B252" i="17"/>
  <c r="AJ251" i="17"/>
  <c r="AD251" i="17"/>
  <c r="W251" i="17"/>
  <c r="V251" i="17"/>
  <c r="N251" i="17"/>
  <c r="E251" i="17"/>
  <c r="D251" i="17"/>
  <c r="B251" i="17"/>
  <c r="AJ250" i="17"/>
  <c r="AD250" i="17"/>
  <c r="W250" i="17"/>
  <c r="V250" i="17"/>
  <c r="N250" i="17"/>
  <c r="E250" i="17"/>
  <c r="D250" i="17"/>
  <c r="B250" i="17"/>
  <c r="AJ249" i="17"/>
  <c r="AD249" i="17"/>
  <c r="W249" i="17"/>
  <c r="V249" i="17"/>
  <c r="N249" i="17"/>
  <c r="E249" i="17"/>
  <c r="D249" i="17"/>
  <c r="B249" i="17"/>
  <c r="AJ248" i="17"/>
  <c r="AD248" i="17"/>
  <c r="W248" i="17"/>
  <c r="V248" i="17"/>
  <c r="N248" i="17"/>
  <c r="E248" i="17"/>
  <c r="D248" i="17"/>
  <c r="B248" i="17"/>
  <c r="AJ247" i="17"/>
  <c r="AD247" i="17"/>
  <c r="W247" i="17"/>
  <c r="V247" i="17"/>
  <c r="N247" i="17"/>
  <c r="E247" i="17"/>
  <c r="D247" i="17"/>
  <c r="B247" i="17"/>
  <c r="AJ246" i="17"/>
  <c r="AD246" i="17"/>
  <c r="W246" i="17"/>
  <c r="V246" i="17"/>
  <c r="N246" i="17"/>
  <c r="E246" i="17"/>
  <c r="D246" i="17"/>
  <c r="B246" i="17"/>
  <c r="AJ245" i="17"/>
  <c r="AD245" i="17"/>
  <c r="W245" i="17"/>
  <c r="V245" i="17"/>
  <c r="N245" i="17"/>
  <c r="E245" i="17"/>
  <c r="D245" i="17"/>
  <c r="B245" i="17"/>
  <c r="AJ244" i="17"/>
  <c r="AD244" i="17"/>
  <c r="W244" i="17"/>
  <c r="V244" i="17"/>
  <c r="N244" i="17"/>
  <c r="E244" i="17"/>
  <c r="D244" i="17"/>
  <c r="B244" i="17"/>
  <c r="AJ243" i="17"/>
  <c r="AD243" i="17"/>
  <c r="W243" i="17"/>
  <c r="V243" i="17"/>
  <c r="N243" i="17"/>
  <c r="E243" i="17"/>
  <c r="D243" i="17"/>
  <c r="B243" i="17"/>
  <c r="AJ242" i="17"/>
  <c r="AD242" i="17"/>
  <c r="W242" i="17"/>
  <c r="V242" i="17"/>
  <c r="N242" i="17"/>
  <c r="E242" i="17"/>
  <c r="D242" i="17"/>
  <c r="B242" i="17"/>
  <c r="AJ241" i="17"/>
  <c r="AD241" i="17"/>
  <c r="W241" i="17"/>
  <c r="V241" i="17"/>
  <c r="N241" i="17"/>
  <c r="E241" i="17"/>
  <c r="D241" i="17"/>
  <c r="B241" i="17"/>
  <c r="AJ240" i="17"/>
  <c r="AD240" i="17"/>
  <c r="W240" i="17"/>
  <c r="V240" i="17"/>
  <c r="N240" i="17"/>
  <c r="E240" i="17"/>
  <c r="D240" i="17"/>
  <c r="B240" i="17"/>
  <c r="AJ239" i="17"/>
  <c r="I239" i="17" s="1"/>
  <c r="K239" i="17" s="1"/>
  <c r="AD239" i="17"/>
  <c r="W239" i="17"/>
  <c r="V239" i="17"/>
  <c r="N239" i="17"/>
  <c r="E239" i="17"/>
  <c r="D239" i="17"/>
  <c r="B239" i="17"/>
  <c r="AJ238" i="17"/>
  <c r="AD238" i="17"/>
  <c r="W238" i="17"/>
  <c r="V238" i="17"/>
  <c r="N238" i="17"/>
  <c r="E238" i="17"/>
  <c r="D238" i="17"/>
  <c r="B238" i="17"/>
  <c r="AJ237" i="17"/>
  <c r="AD237" i="17"/>
  <c r="W237" i="17"/>
  <c r="V237" i="17"/>
  <c r="N237" i="17"/>
  <c r="E237" i="17"/>
  <c r="D237" i="17"/>
  <c r="B237" i="17"/>
  <c r="AJ236" i="17"/>
  <c r="AD236" i="17"/>
  <c r="W236" i="17"/>
  <c r="V236" i="17"/>
  <c r="N236" i="17"/>
  <c r="E236" i="17"/>
  <c r="D236" i="17"/>
  <c r="B236" i="17"/>
  <c r="AJ235" i="17"/>
  <c r="AD235" i="17"/>
  <c r="W235" i="17"/>
  <c r="V235" i="17"/>
  <c r="N235" i="17"/>
  <c r="E235" i="17"/>
  <c r="D235" i="17"/>
  <c r="B235" i="17"/>
  <c r="AJ234" i="17"/>
  <c r="AD234" i="17"/>
  <c r="W234" i="17"/>
  <c r="V234" i="17"/>
  <c r="N234" i="17"/>
  <c r="E234" i="17"/>
  <c r="D234" i="17"/>
  <c r="B234" i="17"/>
  <c r="AJ233" i="17"/>
  <c r="AD233" i="17"/>
  <c r="W233" i="17"/>
  <c r="V233" i="17"/>
  <c r="N233" i="17"/>
  <c r="E233" i="17"/>
  <c r="D233" i="17"/>
  <c r="B233" i="17"/>
  <c r="AJ232" i="17"/>
  <c r="AD232" i="17"/>
  <c r="W232" i="17"/>
  <c r="V232" i="17"/>
  <c r="N232" i="17"/>
  <c r="E232" i="17"/>
  <c r="D232" i="17"/>
  <c r="B232" i="17"/>
  <c r="AJ231" i="17"/>
  <c r="AD231" i="17"/>
  <c r="W231" i="17"/>
  <c r="V231" i="17"/>
  <c r="N231" i="17"/>
  <c r="E231" i="17"/>
  <c r="D231" i="17"/>
  <c r="B231" i="17"/>
  <c r="AJ230" i="17"/>
  <c r="AD230" i="17"/>
  <c r="W230" i="17"/>
  <c r="V230" i="17"/>
  <c r="N230" i="17"/>
  <c r="AG230" i="17"/>
  <c r="E230" i="17"/>
  <c r="D230" i="17"/>
  <c r="B230" i="17"/>
  <c r="AJ229" i="17"/>
  <c r="AD229" i="17"/>
  <c r="W229" i="17"/>
  <c r="V229" i="17"/>
  <c r="N229" i="17"/>
  <c r="E229" i="17"/>
  <c r="D229" i="17"/>
  <c r="B229" i="17"/>
  <c r="AJ228" i="17"/>
  <c r="AD228" i="17"/>
  <c r="W228" i="17"/>
  <c r="V228" i="17"/>
  <c r="N228" i="17"/>
  <c r="E228" i="17"/>
  <c r="D228" i="17"/>
  <c r="B228" i="17"/>
  <c r="AJ227" i="17"/>
  <c r="AD227" i="17"/>
  <c r="W227" i="17"/>
  <c r="V227" i="17"/>
  <c r="N227" i="17"/>
  <c r="E227" i="17"/>
  <c r="D227" i="17"/>
  <c r="B227" i="17"/>
  <c r="AJ226" i="17"/>
  <c r="AD226" i="17"/>
  <c r="W226" i="17"/>
  <c r="V226" i="17"/>
  <c r="N226" i="17"/>
  <c r="E226" i="17"/>
  <c r="D226" i="17"/>
  <c r="B226" i="17"/>
  <c r="AJ225" i="17"/>
  <c r="AA225" i="17" s="1"/>
  <c r="AC225" i="17" s="1"/>
  <c r="AD225" i="17"/>
  <c r="W225" i="17"/>
  <c r="V225" i="17"/>
  <c r="N225" i="17"/>
  <c r="E225" i="17"/>
  <c r="D225" i="17"/>
  <c r="B225" i="17"/>
  <c r="AJ224" i="17"/>
  <c r="AD224" i="17"/>
  <c r="W224" i="17"/>
  <c r="V224" i="17"/>
  <c r="N224" i="17"/>
  <c r="E224" i="17"/>
  <c r="D224" i="17"/>
  <c r="B224" i="17"/>
  <c r="AJ223" i="17"/>
  <c r="I223" i="17" s="1"/>
  <c r="K223" i="17" s="1"/>
  <c r="AD223" i="17"/>
  <c r="W223" i="17"/>
  <c r="V223" i="17"/>
  <c r="N223" i="17"/>
  <c r="E223" i="17"/>
  <c r="D223" i="17"/>
  <c r="B223" i="17"/>
  <c r="AJ222" i="17"/>
  <c r="AD222" i="17"/>
  <c r="W222" i="17"/>
  <c r="V222" i="17"/>
  <c r="N222" i="17"/>
  <c r="AG222" i="17"/>
  <c r="E222" i="17"/>
  <c r="D222" i="17"/>
  <c r="B222" i="17"/>
  <c r="AJ221" i="17"/>
  <c r="AD221" i="17"/>
  <c r="W221" i="17"/>
  <c r="V221" i="17"/>
  <c r="N221" i="17"/>
  <c r="E221" i="17"/>
  <c r="D221" i="17"/>
  <c r="B221" i="17"/>
  <c r="AJ220" i="17"/>
  <c r="AD220" i="17"/>
  <c r="W220" i="17"/>
  <c r="V220" i="17"/>
  <c r="N220" i="17"/>
  <c r="E220" i="17"/>
  <c r="D220" i="17"/>
  <c r="B220" i="17"/>
  <c r="AJ219" i="17"/>
  <c r="AD219" i="17"/>
  <c r="W219" i="17"/>
  <c r="V219" i="17"/>
  <c r="N219" i="17"/>
  <c r="E219" i="17"/>
  <c r="D219" i="17"/>
  <c r="B219" i="17"/>
  <c r="AJ218" i="17"/>
  <c r="AD218" i="17"/>
  <c r="W218" i="17"/>
  <c r="V218" i="17"/>
  <c r="N218" i="17"/>
  <c r="E218" i="17"/>
  <c r="D218" i="17"/>
  <c r="B218" i="17"/>
  <c r="AJ217" i="17"/>
  <c r="AD217" i="17"/>
  <c r="W217" i="17"/>
  <c r="V217" i="17"/>
  <c r="N217" i="17"/>
  <c r="E217" i="17"/>
  <c r="D217" i="17"/>
  <c r="B217" i="17"/>
  <c r="AJ216" i="17"/>
  <c r="AD216" i="17"/>
  <c r="W216" i="17"/>
  <c r="V216" i="17"/>
  <c r="N216" i="17"/>
  <c r="E216" i="17"/>
  <c r="D216" i="17"/>
  <c r="B216" i="17"/>
  <c r="AJ215" i="17"/>
  <c r="AD215" i="17"/>
  <c r="W215" i="17"/>
  <c r="V215" i="17"/>
  <c r="N215" i="17"/>
  <c r="E215" i="17"/>
  <c r="D215" i="17"/>
  <c r="B215" i="17"/>
  <c r="AJ214" i="17"/>
  <c r="AD214" i="17"/>
  <c r="W214" i="17"/>
  <c r="V214" i="17"/>
  <c r="N214" i="17"/>
  <c r="E214" i="17"/>
  <c r="D214" i="17"/>
  <c r="B214" i="17"/>
  <c r="AJ213" i="17"/>
  <c r="AD213" i="17"/>
  <c r="W213" i="17"/>
  <c r="V213" i="17"/>
  <c r="N213" i="17"/>
  <c r="E213" i="17"/>
  <c r="D213" i="17"/>
  <c r="B213" i="17"/>
  <c r="AJ212" i="17"/>
  <c r="AD212" i="17"/>
  <c r="W212" i="17"/>
  <c r="V212" i="17"/>
  <c r="N212" i="17"/>
  <c r="E212" i="17"/>
  <c r="D212" i="17"/>
  <c r="B212" i="17"/>
  <c r="AJ211" i="17"/>
  <c r="AD211" i="17"/>
  <c r="W211" i="17"/>
  <c r="V211" i="17"/>
  <c r="N211" i="17"/>
  <c r="E211" i="17"/>
  <c r="D211" i="17"/>
  <c r="B211" i="17"/>
  <c r="AJ210" i="17"/>
  <c r="AD210" i="17"/>
  <c r="W210" i="17"/>
  <c r="V210" i="17"/>
  <c r="N210" i="17"/>
  <c r="E210" i="17"/>
  <c r="D210" i="17"/>
  <c r="B210" i="17"/>
  <c r="AJ209" i="17"/>
  <c r="AD209" i="17"/>
  <c r="W209" i="17"/>
  <c r="V209" i="17"/>
  <c r="N209" i="17"/>
  <c r="E209" i="17"/>
  <c r="D209" i="17"/>
  <c r="B209" i="17"/>
  <c r="AJ208" i="17"/>
  <c r="AD208" i="17"/>
  <c r="W208" i="17"/>
  <c r="V208" i="17"/>
  <c r="N208" i="17"/>
  <c r="E208" i="17"/>
  <c r="D208" i="17"/>
  <c r="B208" i="17"/>
  <c r="AJ207" i="17"/>
  <c r="AD207" i="17"/>
  <c r="W207" i="17"/>
  <c r="V207" i="17"/>
  <c r="N207" i="17"/>
  <c r="E207" i="17"/>
  <c r="D207" i="17"/>
  <c r="B207" i="17"/>
  <c r="AJ206" i="17"/>
  <c r="AD206" i="17"/>
  <c r="W206" i="17"/>
  <c r="V206" i="17"/>
  <c r="N206" i="17"/>
  <c r="AG206" i="17"/>
  <c r="E206" i="17"/>
  <c r="D206" i="17"/>
  <c r="B206" i="17"/>
  <c r="AJ205" i="17"/>
  <c r="AD205" i="17"/>
  <c r="W205" i="17"/>
  <c r="V205" i="17"/>
  <c r="N205" i="17"/>
  <c r="E205" i="17"/>
  <c r="D205" i="17"/>
  <c r="B205" i="17"/>
  <c r="AJ204" i="17"/>
  <c r="AD204" i="17"/>
  <c r="W204" i="17"/>
  <c r="V204" i="17"/>
  <c r="N204" i="17"/>
  <c r="E204" i="17"/>
  <c r="D204" i="17"/>
  <c r="B204" i="17"/>
  <c r="AJ203" i="17"/>
  <c r="AD203" i="17"/>
  <c r="W203" i="17"/>
  <c r="V203" i="17"/>
  <c r="N203" i="17"/>
  <c r="E203" i="17"/>
  <c r="D203" i="17"/>
  <c r="B203" i="17"/>
  <c r="AJ202" i="17"/>
  <c r="R202" i="17" s="1"/>
  <c r="T202" i="17" s="1"/>
  <c r="AD202" i="17"/>
  <c r="W202" i="17"/>
  <c r="V202" i="17"/>
  <c r="N202" i="17"/>
  <c r="E202" i="17"/>
  <c r="D202" i="17"/>
  <c r="B202" i="17"/>
  <c r="AJ201" i="17"/>
  <c r="AD201" i="17"/>
  <c r="W201" i="17"/>
  <c r="V201" i="17"/>
  <c r="N201" i="17"/>
  <c r="E201" i="17"/>
  <c r="D201" i="17"/>
  <c r="B201" i="17"/>
  <c r="AJ200" i="17"/>
  <c r="AD200" i="17"/>
  <c r="W200" i="17"/>
  <c r="V200" i="17"/>
  <c r="N200" i="17"/>
  <c r="E200" i="17"/>
  <c r="D200" i="17"/>
  <c r="B200" i="17"/>
  <c r="AJ199" i="17"/>
  <c r="AD199" i="17"/>
  <c r="W199" i="17"/>
  <c r="V199" i="17"/>
  <c r="N199" i="17"/>
  <c r="E199" i="17"/>
  <c r="D199" i="17"/>
  <c r="B199" i="17"/>
  <c r="AJ198" i="17"/>
  <c r="AD198" i="17"/>
  <c r="W198" i="17"/>
  <c r="V198" i="17"/>
  <c r="N198" i="17"/>
  <c r="E198" i="17"/>
  <c r="D198" i="17"/>
  <c r="B198" i="17"/>
  <c r="AJ197" i="17"/>
  <c r="AD197" i="17"/>
  <c r="W197" i="17"/>
  <c r="V197" i="17"/>
  <c r="N197" i="17"/>
  <c r="E197" i="17"/>
  <c r="D197" i="17"/>
  <c r="B197" i="17"/>
  <c r="AJ196" i="17"/>
  <c r="AD196" i="17"/>
  <c r="W196" i="17"/>
  <c r="V196" i="17"/>
  <c r="N196" i="17"/>
  <c r="E196" i="17"/>
  <c r="D196" i="17"/>
  <c r="B196" i="17"/>
  <c r="AJ195" i="17"/>
  <c r="I195" i="17" s="1"/>
  <c r="K195" i="17" s="1"/>
  <c r="AD195" i="17"/>
  <c r="W195" i="17"/>
  <c r="V195" i="17"/>
  <c r="N195" i="17"/>
  <c r="E195" i="17"/>
  <c r="D195" i="17"/>
  <c r="B195" i="17"/>
  <c r="AJ194" i="17"/>
  <c r="AD194" i="17"/>
  <c r="W194" i="17"/>
  <c r="V194" i="17"/>
  <c r="N194" i="17"/>
  <c r="E194" i="17"/>
  <c r="D194" i="17"/>
  <c r="B194" i="17"/>
  <c r="AJ193" i="17"/>
  <c r="AD193" i="17"/>
  <c r="W193" i="17"/>
  <c r="V193" i="17"/>
  <c r="N193" i="17"/>
  <c r="E193" i="17"/>
  <c r="D193" i="17"/>
  <c r="B193" i="17"/>
  <c r="AJ192" i="17"/>
  <c r="AD192" i="17"/>
  <c r="W192" i="17"/>
  <c r="V192" i="17"/>
  <c r="N192" i="17"/>
  <c r="E192" i="17"/>
  <c r="D192" i="17"/>
  <c r="B192" i="17"/>
  <c r="AJ191" i="17"/>
  <c r="AD191" i="17"/>
  <c r="W191" i="17"/>
  <c r="V191" i="17"/>
  <c r="N191" i="17"/>
  <c r="E191" i="17"/>
  <c r="D191" i="17"/>
  <c r="B191" i="17"/>
  <c r="AJ190" i="17"/>
  <c r="AD190" i="17"/>
  <c r="W190" i="17"/>
  <c r="V190" i="17"/>
  <c r="N190" i="17"/>
  <c r="E190" i="17"/>
  <c r="D190" i="17"/>
  <c r="B190" i="17"/>
  <c r="AJ189" i="17"/>
  <c r="AD189" i="17"/>
  <c r="W189" i="17"/>
  <c r="V189" i="17"/>
  <c r="N189" i="17"/>
  <c r="E189" i="17"/>
  <c r="D189" i="17"/>
  <c r="B189" i="17"/>
  <c r="AJ188" i="17"/>
  <c r="AD188" i="17"/>
  <c r="W188" i="17"/>
  <c r="V188" i="17"/>
  <c r="N188" i="17"/>
  <c r="E188" i="17"/>
  <c r="D188" i="17"/>
  <c r="B188" i="17"/>
  <c r="AJ187" i="17"/>
  <c r="AD187" i="17"/>
  <c r="W187" i="17"/>
  <c r="V187" i="17"/>
  <c r="N187" i="17"/>
  <c r="E187" i="17"/>
  <c r="D187" i="17"/>
  <c r="B187" i="17"/>
  <c r="AJ186" i="17"/>
  <c r="AD186" i="17"/>
  <c r="W186" i="17"/>
  <c r="V186" i="17"/>
  <c r="N186" i="17"/>
  <c r="E186" i="17"/>
  <c r="D186" i="17"/>
  <c r="B186" i="17"/>
  <c r="AJ185" i="17"/>
  <c r="AD185" i="17"/>
  <c r="W185" i="17"/>
  <c r="V185" i="17"/>
  <c r="N185" i="17"/>
  <c r="E185" i="17"/>
  <c r="D185" i="17"/>
  <c r="B185" i="17"/>
  <c r="AJ184" i="17"/>
  <c r="AD184" i="17"/>
  <c r="W184" i="17"/>
  <c r="V184" i="17"/>
  <c r="N184" i="17"/>
  <c r="E184" i="17"/>
  <c r="D184" i="17"/>
  <c r="B184" i="17"/>
  <c r="AJ183" i="17"/>
  <c r="AD183" i="17"/>
  <c r="W183" i="17"/>
  <c r="V183" i="17"/>
  <c r="N183" i="17"/>
  <c r="E183" i="17"/>
  <c r="D183" i="17"/>
  <c r="B183" i="17"/>
  <c r="AJ182" i="17"/>
  <c r="AD182" i="17"/>
  <c r="W182" i="17"/>
  <c r="V182" i="17"/>
  <c r="N182" i="17"/>
  <c r="AG182" i="17"/>
  <c r="E182" i="17"/>
  <c r="D182" i="17"/>
  <c r="B182" i="17"/>
  <c r="AJ181" i="17"/>
  <c r="AD181" i="17"/>
  <c r="W181" i="17"/>
  <c r="V181" i="17"/>
  <c r="N181" i="17"/>
  <c r="E181" i="17"/>
  <c r="D181" i="17"/>
  <c r="B181" i="17"/>
  <c r="AJ180" i="17"/>
  <c r="AD180" i="17"/>
  <c r="W180" i="17"/>
  <c r="V180" i="17"/>
  <c r="N180" i="17"/>
  <c r="E180" i="17"/>
  <c r="D180" i="17"/>
  <c r="B180" i="17"/>
  <c r="AJ179" i="17"/>
  <c r="AD179" i="17"/>
  <c r="W179" i="17"/>
  <c r="V179" i="17"/>
  <c r="N179" i="17"/>
  <c r="E179" i="17"/>
  <c r="D179" i="17"/>
  <c r="B179" i="17"/>
  <c r="AJ178" i="17"/>
  <c r="AD178" i="17"/>
  <c r="W178" i="17"/>
  <c r="V178" i="17"/>
  <c r="N178" i="17"/>
  <c r="E178" i="17"/>
  <c r="D178" i="17"/>
  <c r="B178" i="17"/>
  <c r="AJ177" i="17"/>
  <c r="AD177" i="17"/>
  <c r="W177" i="17"/>
  <c r="V177" i="17"/>
  <c r="N177" i="17"/>
  <c r="E177" i="17"/>
  <c r="D177" i="17"/>
  <c r="B177" i="17"/>
  <c r="AJ176" i="17"/>
  <c r="AD176" i="17"/>
  <c r="W176" i="17"/>
  <c r="V176" i="17"/>
  <c r="N176" i="17"/>
  <c r="E176" i="17"/>
  <c r="D176" i="17"/>
  <c r="B176" i="17"/>
  <c r="AJ175" i="17"/>
  <c r="AD175" i="17"/>
  <c r="W175" i="17"/>
  <c r="V175" i="17"/>
  <c r="N175" i="17"/>
  <c r="E175" i="17"/>
  <c r="D175" i="17"/>
  <c r="B175" i="17"/>
  <c r="AJ174" i="17"/>
  <c r="AD174" i="17"/>
  <c r="W174" i="17"/>
  <c r="V174" i="17"/>
  <c r="N174" i="17"/>
  <c r="AG174" i="17"/>
  <c r="E174" i="17"/>
  <c r="D174" i="17"/>
  <c r="B174" i="17"/>
  <c r="AJ173" i="17"/>
  <c r="AD173" i="17"/>
  <c r="W173" i="17"/>
  <c r="V173" i="17"/>
  <c r="N173" i="17"/>
  <c r="E173" i="17"/>
  <c r="D173" i="17"/>
  <c r="B173" i="17"/>
  <c r="AJ172" i="17"/>
  <c r="AD172" i="17"/>
  <c r="W172" i="17"/>
  <c r="V172" i="17"/>
  <c r="N172" i="17"/>
  <c r="E172" i="17"/>
  <c r="D172" i="17"/>
  <c r="B172" i="17"/>
  <c r="AJ171" i="17"/>
  <c r="AD171" i="17"/>
  <c r="W171" i="17"/>
  <c r="V171" i="17"/>
  <c r="N171" i="17"/>
  <c r="E171" i="17"/>
  <c r="D171" i="17"/>
  <c r="B171" i="17"/>
  <c r="AJ170" i="17"/>
  <c r="AD170" i="17"/>
  <c r="W170" i="17"/>
  <c r="V170" i="17"/>
  <c r="N170" i="17"/>
  <c r="E170" i="17"/>
  <c r="D170" i="17"/>
  <c r="B170" i="17"/>
  <c r="AJ169" i="17"/>
  <c r="AD169" i="17"/>
  <c r="W169" i="17"/>
  <c r="V169" i="17"/>
  <c r="N169" i="17"/>
  <c r="E169" i="17"/>
  <c r="D169" i="17"/>
  <c r="B169" i="17"/>
  <c r="AJ168" i="17"/>
  <c r="AD168" i="17"/>
  <c r="W168" i="17"/>
  <c r="V168" i="17"/>
  <c r="N168" i="17"/>
  <c r="E168" i="17"/>
  <c r="D168" i="17"/>
  <c r="B168" i="17"/>
  <c r="AJ167" i="17"/>
  <c r="AD167" i="17"/>
  <c r="W167" i="17"/>
  <c r="V167" i="17"/>
  <c r="N167" i="17"/>
  <c r="E167" i="17"/>
  <c r="D167" i="17"/>
  <c r="B167" i="17"/>
  <c r="AJ166" i="17"/>
  <c r="AD166" i="17"/>
  <c r="W166" i="17"/>
  <c r="V166" i="17"/>
  <c r="N166" i="17"/>
  <c r="E166" i="17"/>
  <c r="D166" i="17"/>
  <c r="B166" i="17"/>
  <c r="AJ165" i="17"/>
  <c r="AD165" i="17"/>
  <c r="W165" i="17"/>
  <c r="V165" i="17"/>
  <c r="N165" i="17"/>
  <c r="E165" i="17"/>
  <c r="D165" i="17"/>
  <c r="B165" i="17"/>
  <c r="AJ164" i="17"/>
  <c r="AD164" i="17"/>
  <c r="W164" i="17"/>
  <c r="V164" i="17"/>
  <c r="N164" i="17"/>
  <c r="E164" i="17"/>
  <c r="D164" i="17"/>
  <c r="B164" i="17"/>
  <c r="AJ163" i="17"/>
  <c r="AD163" i="17"/>
  <c r="W163" i="17"/>
  <c r="V163" i="17"/>
  <c r="N163" i="17"/>
  <c r="E163" i="17"/>
  <c r="D163" i="17"/>
  <c r="B163" i="17"/>
  <c r="AJ162" i="17"/>
  <c r="AD162" i="17"/>
  <c r="W162" i="17"/>
  <c r="V162" i="17"/>
  <c r="N162" i="17"/>
  <c r="E162" i="17"/>
  <c r="D162" i="17"/>
  <c r="B162" i="17"/>
  <c r="AJ161" i="17"/>
  <c r="AD161" i="17"/>
  <c r="W161" i="17"/>
  <c r="V161" i="17"/>
  <c r="N161" i="17"/>
  <c r="E161" i="17"/>
  <c r="D161" i="17"/>
  <c r="B161" i="17"/>
  <c r="AJ160" i="17"/>
  <c r="AD160" i="17"/>
  <c r="W160" i="17"/>
  <c r="V160" i="17"/>
  <c r="N160" i="17"/>
  <c r="E160" i="17"/>
  <c r="D160" i="17"/>
  <c r="B160" i="17"/>
  <c r="AJ159" i="17"/>
  <c r="AD159" i="17"/>
  <c r="W159" i="17"/>
  <c r="V159" i="17"/>
  <c r="N159" i="17"/>
  <c r="E159" i="17"/>
  <c r="D159" i="17"/>
  <c r="B159" i="17"/>
  <c r="AJ158" i="17"/>
  <c r="AD158" i="17"/>
  <c r="W158" i="17"/>
  <c r="V158" i="17"/>
  <c r="N158" i="17"/>
  <c r="E158" i="17"/>
  <c r="D158" i="17"/>
  <c r="B158" i="17"/>
  <c r="AJ157" i="17"/>
  <c r="AD157" i="17"/>
  <c r="W157" i="17"/>
  <c r="V157" i="17"/>
  <c r="N157" i="17"/>
  <c r="E157" i="17"/>
  <c r="D157" i="17"/>
  <c r="B157" i="17"/>
  <c r="AJ156" i="17"/>
  <c r="AD156" i="17"/>
  <c r="W156" i="17"/>
  <c r="V156" i="17"/>
  <c r="N156" i="17"/>
  <c r="E156" i="17"/>
  <c r="D156" i="17"/>
  <c r="B156" i="17"/>
  <c r="AJ155" i="17"/>
  <c r="AD155" i="17"/>
  <c r="W155" i="17"/>
  <c r="V155" i="17"/>
  <c r="N155" i="17"/>
  <c r="E155" i="17"/>
  <c r="D155" i="17"/>
  <c r="B155" i="17"/>
  <c r="AJ154" i="17"/>
  <c r="AD154" i="17"/>
  <c r="W154" i="17"/>
  <c r="V154" i="17"/>
  <c r="N154" i="17"/>
  <c r="E154" i="17"/>
  <c r="D154" i="17"/>
  <c r="B154" i="17"/>
  <c r="AJ153" i="17"/>
  <c r="AD153" i="17"/>
  <c r="W153" i="17"/>
  <c r="V153" i="17"/>
  <c r="N153" i="17"/>
  <c r="E153" i="17"/>
  <c r="D153" i="17"/>
  <c r="B153" i="17"/>
  <c r="AJ152" i="17"/>
  <c r="AD152" i="17"/>
  <c r="W152" i="17"/>
  <c r="V152" i="17"/>
  <c r="N152" i="17"/>
  <c r="E152" i="17"/>
  <c r="D152" i="17"/>
  <c r="B152" i="17"/>
  <c r="AJ151" i="17"/>
  <c r="AD151" i="17"/>
  <c r="W151" i="17"/>
  <c r="V151" i="17"/>
  <c r="N151" i="17"/>
  <c r="E151" i="17"/>
  <c r="D151" i="17"/>
  <c r="B151" i="17"/>
  <c r="AJ150" i="17"/>
  <c r="AD150" i="17"/>
  <c r="W150" i="17"/>
  <c r="V150" i="17"/>
  <c r="N150" i="17"/>
  <c r="AG150" i="17"/>
  <c r="E150" i="17"/>
  <c r="D150" i="17"/>
  <c r="B150" i="17"/>
  <c r="AJ149" i="17"/>
  <c r="AD149" i="17"/>
  <c r="W149" i="17"/>
  <c r="V149" i="17"/>
  <c r="N149" i="17"/>
  <c r="E149" i="17"/>
  <c r="D149" i="17"/>
  <c r="B149" i="17"/>
  <c r="AJ148" i="17"/>
  <c r="AD148" i="17"/>
  <c r="W148" i="17"/>
  <c r="V148" i="17"/>
  <c r="N148" i="17"/>
  <c r="E148" i="17"/>
  <c r="D148" i="17"/>
  <c r="B148" i="17"/>
  <c r="AJ147" i="17"/>
  <c r="AD147" i="17"/>
  <c r="W147" i="17"/>
  <c r="V147" i="17"/>
  <c r="N147" i="17"/>
  <c r="E147" i="17"/>
  <c r="D147" i="17"/>
  <c r="B147" i="17"/>
  <c r="AJ146" i="17"/>
  <c r="AD146" i="17"/>
  <c r="W146" i="17"/>
  <c r="V146" i="17"/>
  <c r="N146" i="17"/>
  <c r="AG146" i="17"/>
  <c r="E146" i="17"/>
  <c r="D146" i="17"/>
  <c r="B146" i="17"/>
  <c r="AJ145" i="17"/>
  <c r="AA145" i="17" s="1"/>
  <c r="AC145" i="17" s="1"/>
  <c r="AD145" i="17"/>
  <c r="W145" i="17"/>
  <c r="V145" i="17"/>
  <c r="N145" i="17"/>
  <c r="E145" i="17"/>
  <c r="D145" i="17"/>
  <c r="B145" i="17"/>
  <c r="AJ144" i="17"/>
  <c r="AD144" i="17"/>
  <c r="W144" i="17"/>
  <c r="V144" i="17"/>
  <c r="N144" i="17"/>
  <c r="E144" i="17"/>
  <c r="D144" i="17"/>
  <c r="B144" i="17"/>
  <c r="AJ143" i="17"/>
  <c r="AD143" i="17"/>
  <c r="W143" i="17"/>
  <c r="V143" i="17"/>
  <c r="N143" i="17"/>
  <c r="E143" i="17"/>
  <c r="D143" i="17"/>
  <c r="B143" i="17"/>
  <c r="AJ142" i="17"/>
  <c r="AD142" i="17"/>
  <c r="W142" i="17"/>
  <c r="V142" i="17"/>
  <c r="N142" i="17"/>
  <c r="E142" i="17"/>
  <c r="D142" i="17"/>
  <c r="B142" i="17"/>
  <c r="AJ141" i="17"/>
  <c r="AD141" i="17"/>
  <c r="W141" i="17"/>
  <c r="V141" i="17"/>
  <c r="N141" i="17"/>
  <c r="E141" i="17"/>
  <c r="D141" i="17"/>
  <c r="B141" i="17"/>
  <c r="AJ140" i="17"/>
  <c r="AD140" i="17"/>
  <c r="W140" i="17"/>
  <c r="V140" i="17"/>
  <c r="N140" i="17"/>
  <c r="E140" i="17"/>
  <c r="D140" i="17"/>
  <c r="B140" i="17"/>
  <c r="AJ139" i="17"/>
  <c r="AD139" i="17"/>
  <c r="W139" i="17"/>
  <c r="V139" i="17"/>
  <c r="N139" i="17"/>
  <c r="E139" i="17"/>
  <c r="D139" i="17"/>
  <c r="B139" i="17"/>
  <c r="AJ138" i="17"/>
  <c r="AD138" i="17"/>
  <c r="W138" i="17"/>
  <c r="V138" i="17"/>
  <c r="N138" i="17"/>
  <c r="E138" i="17"/>
  <c r="D138" i="17"/>
  <c r="B138" i="17"/>
  <c r="AJ137" i="17"/>
  <c r="AD137" i="17"/>
  <c r="W137" i="17"/>
  <c r="V137" i="17"/>
  <c r="N137" i="17"/>
  <c r="E137" i="17"/>
  <c r="D137" i="17"/>
  <c r="B137" i="17"/>
  <c r="AJ136" i="17"/>
  <c r="AD136" i="17"/>
  <c r="W136" i="17"/>
  <c r="V136" i="17"/>
  <c r="N136" i="17"/>
  <c r="E136" i="17"/>
  <c r="D136" i="17"/>
  <c r="B136" i="17"/>
  <c r="AJ135" i="17"/>
  <c r="R135" i="17" s="1"/>
  <c r="T135" i="17" s="1"/>
  <c r="AD135" i="17"/>
  <c r="W135" i="17"/>
  <c r="V135" i="17"/>
  <c r="N135" i="17"/>
  <c r="E135" i="17"/>
  <c r="D135" i="17"/>
  <c r="B135" i="17"/>
  <c r="AJ134" i="17"/>
  <c r="AD134" i="17"/>
  <c r="W134" i="17"/>
  <c r="V134" i="17"/>
  <c r="N134" i="17"/>
  <c r="AG134" i="17"/>
  <c r="E134" i="17"/>
  <c r="D134" i="17"/>
  <c r="B134" i="17"/>
  <c r="AJ133" i="17"/>
  <c r="AD133" i="17"/>
  <c r="W133" i="17"/>
  <c r="V133" i="17"/>
  <c r="N133" i="17"/>
  <c r="E133" i="17"/>
  <c r="D133" i="17"/>
  <c r="B133" i="17"/>
  <c r="AJ132" i="17"/>
  <c r="AD132" i="17"/>
  <c r="W132" i="17"/>
  <c r="V132" i="17"/>
  <c r="N132" i="17"/>
  <c r="E132" i="17"/>
  <c r="D132" i="17"/>
  <c r="B132" i="17"/>
  <c r="AJ131" i="17"/>
  <c r="AD131" i="17"/>
  <c r="W131" i="17"/>
  <c r="V131" i="17"/>
  <c r="N131" i="17"/>
  <c r="E131" i="17"/>
  <c r="D131" i="17"/>
  <c r="B131" i="17"/>
  <c r="AJ130" i="17"/>
  <c r="AD130" i="17"/>
  <c r="W130" i="17"/>
  <c r="V130" i="17"/>
  <c r="N130" i="17"/>
  <c r="E130" i="17"/>
  <c r="D130" i="17"/>
  <c r="B130" i="17"/>
  <c r="AJ129" i="17"/>
  <c r="AD129" i="17"/>
  <c r="W129" i="17"/>
  <c r="V129" i="17"/>
  <c r="N129" i="17"/>
  <c r="E129" i="17"/>
  <c r="D129" i="17"/>
  <c r="B129" i="17"/>
  <c r="AJ128" i="17"/>
  <c r="AD128" i="17"/>
  <c r="W128" i="17"/>
  <c r="V128" i="17"/>
  <c r="N128" i="17"/>
  <c r="E128" i="17"/>
  <c r="D128" i="17"/>
  <c r="B128" i="17"/>
  <c r="AJ127" i="17"/>
  <c r="AD127" i="17"/>
  <c r="W127" i="17"/>
  <c r="V127" i="17"/>
  <c r="N127" i="17"/>
  <c r="E127" i="17"/>
  <c r="D127" i="17"/>
  <c r="B127" i="17"/>
  <c r="AJ126" i="17"/>
  <c r="AD126" i="17"/>
  <c r="W126" i="17"/>
  <c r="V126" i="17"/>
  <c r="N126" i="17"/>
  <c r="AG126" i="17"/>
  <c r="E126" i="17"/>
  <c r="D126" i="17"/>
  <c r="B126" i="17"/>
  <c r="AJ125" i="17"/>
  <c r="AD125" i="17"/>
  <c r="W125" i="17"/>
  <c r="V125" i="17"/>
  <c r="N125" i="17"/>
  <c r="E125" i="17"/>
  <c r="D125" i="17"/>
  <c r="B125" i="17"/>
  <c r="AJ124" i="17"/>
  <c r="AD124" i="17"/>
  <c r="W124" i="17"/>
  <c r="V124" i="17"/>
  <c r="N124" i="17"/>
  <c r="E124" i="17"/>
  <c r="D124" i="17"/>
  <c r="B124" i="17"/>
  <c r="AJ123" i="17"/>
  <c r="AD123" i="17"/>
  <c r="W123" i="17"/>
  <c r="V123" i="17"/>
  <c r="N123" i="17"/>
  <c r="E123" i="17"/>
  <c r="D123" i="17"/>
  <c r="B123" i="17"/>
  <c r="AJ122" i="17"/>
  <c r="AD122" i="17"/>
  <c r="W122" i="17"/>
  <c r="V122" i="17"/>
  <c r="N122" i="17"/>
  <c r="E122" i="17"/>
  <c r="D122" i="17"/>
  <c r="B122" i="17"/>
  <c r="AJ121" i="17"/>
  <c r="R121" i="17" s="1"/>
  <c r="T121" i="17" s="1"/>
  <c r="AD121" i="17"/>
  <c r="W121" i="17"/>
  <c r="V121" i="17"/>
  <c r="N121" i="17"/>
  <c r="E121" i="17"/>
  <c r="D121" i="17"/>
  <c r="B121" i="17"/>
  <c r="AJ120" i="17"/>
  <c r="AD120" i="17"/>
  <c r="W120" i="17"/>
  <c r="V120" i="17"/>
  <c r="N120" i="17"/>
  <c r="E120" i="17"/>
  <c r="D120" i="17"/>
  <c r="B120" i="17"/>
  <c r="AJ119" i="17"/>
  <c r="AD119" i="17"/>
  <c r="W119" i="17"/>
  <c r="V119" i="17"/>
  <c r="N119" i="17"/>
  <c r="E119" i="17"/>
  <c r="D119" i="17"/>
  <c r="B119" i="17"/>
  <c r="AJ118" i="17"/>
  <c r="AD118" i="17"/>
  <c r="W118" i="17"/>
  <c r="V118" i="17"/>
  <c r="N118" i="17"/>
  <c r="AG118" i="17"/>
  <c r="E118" i="17"/>
  <c r="D118" i="17"/>
  <c r="B118" i="17"/>
  <c r="AJ117" i="17"/>
  <c r="AD117" i="17"/>
  <c r="W117" i="17"/>
  <c r="V117" i="17"/>
  <c r="N117" i="17"/>
  <c r="E117" i="17"/>
  <c r="D117" i="17"/>
  <c r="B117" i="17"/>
  <c r="AJ116" i="17"/>
  <c r="AD116" i="17"/>
  <c r="W116" i="17"/>
  <c r="V116" i="17"/>
  <c r="N116" i="17"/>
  <c r="E116" i="17"/>
  <c r="D116" i="17"/>
  <c r="B116" i="17"/>
  <c r="AJ115" i="17"/>
  <c r="AD115" i="17"/>
  <c r="W115" i="17"/>
  <c r="V115" i="17"/>
  <c r="N115" i="17"/>
  <c r="E115" i="17"/>
  <c r="D115" i="17"/>
  <c r="B115" i="17"/>
  <c r="AJ114" i="17"/>
  <c r="AD114" i="17"/>
  <c r="W114" i="17"/>
  <c r="V114" i="17"/>
  <c r="N114" i="17"/>
  <c r="E114" i="17"/>
  <c r="D114" i="17"/>
  <c r="B114" i="17"/>
  <c r="AJ113" i="17"/>
  <c r="AD113" i="17"/>
  <c r="W113" i="17"/>
  <c r="V113" i="17"/>
  <c r="N113" i="17"/>
  <c r="E113" i="17"/>
  <c r="D113" i="17"/>
  <c r="B113" i="17"/>
  <c r="AJ112" i="17"/>
  <c r="AD112" i="17"/>
  <c r="W112" i="17"/>
  <c r="V112" i="17"/>
  <c r="N112" i="17"/>
  <c r="E112" i="17"/>
  <c r="D112" i="17"/>
  <c r="B112" i="17"/>
  <c r="AJ111" i="17"/>
  <c r="AD111" i="17"/>
  <c r="W111" i="17"/>
  <c r="V111" i="17"/>
  <c r="N111" i="17"/>
  <c r="E111" i="17"/>
  <c r="D111" i="17"/>
  <c r="B111" i="17"/>
  <c r="AJ110" i="17"/>
  <c r="AD110" i="17"/>
  <c r="W110" i="17"/>
  <c r="V110" i="17"/>
  <c r="N110" i="17"/>
  <c r="E110" i="17"/>
  <c r="D110" i="17"/>
  <c r="B110" i="17"/>
  <c r="AJ109" i="17"/>
  <c r="AD109" i="17"/>
  <c r="W109" i="17"/>
  <c r="V109" i="17"/>
  <c r="N109" i="17"/>
  <c r="E109" i="17"/>
  <c r="D109" i="17"/>
  <c r="B109" i="17"/>
  <c r="AJ108" i="17"/>
  <c r="AD108" i="17"/>
  <c r="W108" i="17"/>
  <c r="V108" i="17"/>
  <c r="N108" i="17"/>
  <c r="E108" i="17"/>
  <c r="D108" i="17"/>
  <c r="B108" i="17"/>
  <c r="AJ107" i="17"/>
  <c r="AD107" i="17"/>
  <c r="W107" i="17"/>
  <c r="V107" i="17"/>
  <c r="N107" i="17"/>
  <c r="E107" i="17"/>
  <c r="D107" i="17"/>
  <c r="B107" i="17"/>
  <c r="AJ106" i="17"/>
  <c r="AD106" i="17"/>
  <c r="W106" i="17"/>
  <c r="V106" i="17"/>
  <c r="N106" i="17"/>
  <c r="E106" i="17"/>
  <c r="D106" i="17"/>
  <c r="B106" i="17"/>
  <c r="AJ105" i="17"/>
  <c r="AD105" i="17"/>
  <c r="W105" i="17"/>
  <c r="V105" i="17"/>
  <c r="N105" i="17"/>
  <c r="E105" i="17"/>
  <c r="D105" i="17"/>
  <c r="B105" i="17"/>
  <c r="AJ104" i="17"/>
  <c r="AD104" i="17"/>
  <c r="W104" i="17"/>
  <c r="V104" i="17"/>
  <c r="N104" i="17"/>
  <c r="E104" i="17"/>
  <c r="D104" i="17"/>
  <c r="B104" i="17"/>
  <c r="AJ103" i="17"/>
  <c r="R103" i="17" s="1"/>
  <c r="T103" i="17" s="1"/>
  <c r="AD103" i="17"/>
  <c r="W103" i="17"/>
  <c r="V103" i="17"/>
  <c r="N103" i="17"/>
  <c r="E103" i="17"/>
  <c r="D103" i="17"/>
  <c r="B103" i="17"/>
  <c r="AJ102" i="17"/>
  <c r="AD102" i="17"/>
  <c r="W102" i="17"/>
  <c r="V102" i="17"/>
  <c r="N102" i="17"/>
  <c r="AG102" i="17"/>
  <c r="E102" i="17"/>
  <c r="D102" i="17"/>
  <c r="B102" i="17"/>
  <c r="AJ101" i="17"/>
  <c r="AD101" i="17"/>
  <c r="W101" i="17"/>
  <c r="V101" i="17"/>
  <c r="N101" i="17"/>
  <c r="E101" i="17"/>
  <c r="D101" i="17"/>
  <c r="B101" i="17"/>
  <c r="AJ100" i="17"/>
  <c r="AD100" i="17"/>
  <c r="W100" i="17"/>
  <c r="V100" i="17"/>
  <c r="N100" i="17"/>
  <c r="E100" i="17"/>
  <c r="D100" i="17"/>
  <c r="B100" i="17"/>
  <c r="AJ99" i="17"/>
  <c r="AD99" i="17"/>
  <c r="W99" i="17"/>
  <c r="V99" i="17"/>
  <c r="N99" i="17"/>
  <c r="E99" i="17"/>
  <c r="D99" i="17"/>
  <c r="B99" i="17"/>
  <c r="AJ98" i="17"/>
  <c r="I98" i="17" s="1"/>
  <c r="K98" i="17" s="1"/>
  <c r="AD98" i="17"/>
  <c r="W98" i="17"/>
  <c r="V98" i="17"/>
  <c r="N98" i="17"/>
  <c r="E98" i="17"/>
  <c r="D98" i="17"/>
  <c r="B98" i="17"/>
  <c r="AJ97" i="17"/>
  <c r="AD97" i="17"/>
  <c r="W97" i="17"/>
  <c r="V97" i="17"/>
  <c r="N97" i="17"/>
  <c r="E97" i="17"/>
  <c r="D97" i="17"/>
  <c r="B97" i="17"/>
  <c r="AJ96" i="17"/>
  <c r="AD96" i="17"/>
  <c r="W96" i="17"/>
  <c r="V96" i="17"/>
  <c r="N96" i="17"/>
  <c r="E96" i="17"/>
  <c r="D96" i="17"/>
  <c r="B96" i="17"/>
  <c r="AJ95" i="17"/>
  <c r="AD95" i="17"/>
  <c r="W95" i="17"/>
  <c r="V95" i="17"/>
  <c r="N95" i="17"/>
  <c r="E95" i="17"/>
  <c r="D95" i="17"/>
  <c r="B95" i="17"/>
  <c r="AJ94" i="17"/>
  <c r="AD94" i="17"/>
  <c r="W94" i="17"/>
  <c r="V94" i="17"/>
  <c r="N94" i="17"/>
  <c r="AG94" i="17"/>
  <c r="E94" i="17"/>
  <c r="D94" i="17"/>
  <c r="B94" i="17"/>
  <c r="AJ93" i="17"/>
  <c r="AD93" i="17"/>
  <c r="W93" i="17"/>
  <c r="V93" i="17"/>
  <c r="N93" i="17"/>
  <c r="E93" i="17"/>
  <c r="D93" i="17"/>
  <c r="B93" i="17"/>
  <c r="AJ92" i="17"/>
  <c r="AD92" i="17"/>
  <c r="W92" i="17"/>
  <c r="V92" i="17"/>
  <c r="N92" i="17"/>
  <c r="E92" i="17"/>
  <c r="D92" i="17"/>
  <c r="B92" i="17"/>
  <c r="AJ91" i="17"/>
  <c r="AD91" i="17"/>
  <c r="W91" i="17"/>
  <c r="V91" i="17"/>
  <c r="N91" i="17"/>
  <c r="E91" i="17"/>
  <c r="D91" i="17"/>
  <c r="B91" i="17"/>
  <c r="AJ90" i="17"/>
  <c r="AD90" i="17"/>
  <c r="W90" i="17"/>
  <c r="V90" i="17"/>
  <c r="N90" i="17"/>
  <c r="E90" i="17"/>
  <c r="D90" i="17"/>
  <c r="B90" i="17"/>
  <c r="AJ89" i="17"/>
  <c r="AD89" i="17"/>
  <c r="W89" i="17"/>
  <c r="V89" i="17"/>
  <c r="N89" i="17"/>
  <c r="E89" i="17"/>
  <c r="D89" i="17"/>
  <c r="B89" i="17"/>
  <c r="AJ88" i="17"/>
  <c r="AD88" i="17"/>
  <c r="W88" i="17"/>
  <c r="V88" i="17"/>
  <c r="N88" i="17"/>
  <c r="E88" i="17"/>
  <c r="D88" i="17"/>
  <c r="B88" i="17"/>
  <c r="AJ87" i="17"/>
  <c r="AD87" i="17"/>
  <c r="W87" i="17"/>
  <c r="V87" i="17"/>
  <c r="N87" i="17"/>
  <c r="E87" i="17"/>
  <c r="D87" i="17"/>
  <c r="B87" i="17"/>
  <c r="AJ86" i="17"/>
  <c r="AD86" i="17"/>
  <c r="W86" i="17"/>
  <c r="V86" i="17"/>
  <c r="N86" i="17"/>
  <c r="AG86" i="17"/>
  <c r="E86" i="17"/>
  <c r="D86" i="17"/>
  <c r="B86" i="17"/>
  <c r="AJ85" i="17"/>
  <c r="AD85" i="17"/>
  <c r="W85" i="17"/>
  <c r="V85" i="17"/>
  <c r="N85" i="17"/>
  <c r="E85" i="17"/>
  <c r="D85" i="17"/>
  <c r="B85" i="17"/>
  <c r="AJ84" i="17"/>
  <c r="AD84" i="17"/>
  <c r="W84" i="17"/>
  <c r="V84" i="17"/>
  <c r="N84" i="17"/>
  <c r="E84" i="17"/>
  <c r="D84" i="17"/>
  <c r="B84" i="17"/>
  <c r="AJ83" i="17"/>
  <c r="AD83" i="17"/>
  <c r="W83" i="17"/>
  <c r="V83" i="17"/>
  <c r="N83" i="17"/>
  <c r="E83" i="17"/>
  <c r="D83" i="17"/>
  <c r="B83" i="17"/>
  <c r="AJ82" i="17"/>
  <c r="AD82" i="17"/>
  <c r="W82" i="17"/>
  <c r="V82" i="17"/>
  <c r="N82" i="17"/>
  <c r="E82" i="17"/>
  <c r="D82" i="17"/>
  <c r="B82" i="17"/>
  <c r="AJ81" i="17"/>
  <c r="AD81" i="17"/>
  <c r="W81" i="17"/>
  <c r="V81" i="17"/>
  <c r="N81" i="17"/>
  <c r="E81" i="17"/>
  <c r="D81" i="17"/>
  <c r="B81" i="17"/>
  <c r="AJ80" i="17"/>
  <c r="AD80" i="17"/>
  <c r="W80" i="17"/>
  <c r="V80" i="17"/>
  <c r="N80" i="17"/>
  <c r="E80" i="17"/>
  <c r="D80" i="17"/>
  <c r="B80" i="17"/>
  <c r="AJ79" i="17"/>
  <c r="AD79" i="17"/>
  <c r="W79" i="17"/>
  <c r="V79" i="17"/>
  <c r="N79" i="17"/>
  <c r="E79" i="17"/>
  <c r="D79" i="17"/>
  <c r="B79" i="17"/>
  <c r="AJ78" i="17"/>
  <c r="AD78" i="17"/>
  <c r="W78" i="17"/>
  <c r="V78" i="17"/>
  <c r="N78" i="17"/>
  <c r="E78" i="17"/>
  <c r="D78" i="17"/>
  <c r="B78" i="17"/>
  <c r="AJ77" i="17"/>
  <c r="AD77" i="17"/>
  <c r="W77" i="17"/>
  <c r="V77" i="17"/>
  <c r="N77" i="17"/>
  <c r="E77" i="17"/>
  <c r="D77" i="17"/>
  <c r="B77" i="17"/>
  <c r="AJ76" i="17"/>
  <c r="AD76" i="17"/>
  <c r="W76" i="17"/>
  <c r="V76" i="17"/>
  <c r="N76" i="17"/>
  <c r="E76" i="17"/>
  <c r="D76" i="17"/>
  <c r="B76" i="17"/>
  <c r="AJ75" i="17"/>
  <c r="AD75" i="17"/>
  <c r="W75" i="17"/>
  <c r="V75" i="17"/>
  <c r="N75" i="17"/>
  <c r="E75" i="17"/>
  <c r="D75" i="17"/>
  <c r="B75" i="17"/>
  <c r="AJ74" i="17"/>
  <c r="AD74" i="17"/>
  <c r="W74" i="17"/>
  <c r="V74" i="17"/>
  <c r="N74" i="17"/>
  <c r="E74" i="17"/>
  <c r="D74" i="17"/>
  <c r="B74" i="17"/>
  <c r="AJ73" i="17"/>
  <c r="AD73" i="17"/>
  <c r="W73" i="17"/>
  <c r="V73" i="17"/>
  <c r="N73" i="17"/>
  <c r="E73" i="17"/>
  <c r="D73" i="17"/>
  <c r="B73" i="17"/>
  <c r="AJ72" i="17"/>
  <c r="AD72" i="17"/>
  <c r="W72" i="17"/>
  <c r="V72" i="17"/>
  <c r="N72" i="17"/>
  <c r="E72" i="17"/>
  <c r="D72" i="17"/>
  <c r="B72" i="17"/>
  <c r="AJ71" i="17"/>
  <c r="AD71" i="17"/>
  <c r="W71" i="17"/>
  <c r="V71" i="17"/>
  <c r="N71" i="17"/>
  <c r="E71" i="17"/>
  <c r="D71" i="17"/>
  <c r="B71" i="17"/>
  <c r="AJ70" i="17"/>
  <c r="AD70" i="17"/>
  <c r="W70" i="17"/>
  <c r="V70" i="17"/>
  <c r="N70" i="17"/>
  <c r="AG70" i="17"/>
  <c r="E70" i="17"/>
  <c r="D70" i="17"/>
  <c r="B70" i="17"/>
  <c r="AJ69" i="17"/>
  <c r="AD69" i="17"/>
  <c r="W69" i="17"/>
  <c r="V69" i="17"/>
  <c r="N69" i="17"/>
  <c r="E69" i="17"/>
  <c r="D69" i="17"/>
  <c r="B69" i="17"/>
  <c r="AJ68" i="17"/>
  <c r="AD68" i="17"/>
  <c r="W68" i="17"/>
  <c r="V68" i="17"/>
  <c r="N68" i="17"/>
  <c r="E68" i="17"/>
  <c r="D68" i="17"/>
  <c r="B68" i="17"/>
  <c r="AJ67" i="17"/>
  <c r="AD67" i="17"/>
  <c r="W67" i="17"/>
  <c r="V67" i="17"/>
  <c r="N67" i="17"/>
  <c r="E67" i="17"/>
  <c r="D67" i="17"/>
  <c r="B67" i="17"/>
  <c r="AJ66" i="17"/>
  <c r="AD66" i="17"/>
  <c r="W66" i="17"/>
  <c r="V66" i="17"/>
  <c r="N66" i="17"/>
  <c r="E66" i="17"/>
  <c r="D66" i="17"/>
  <c r="B66" i="17"/>
  <c r="AJ65" i="17"/>
  <c r="AD65" i="17"/>
  <c r="W65" i="17"/>
  <c r="V65" i="17"/>
  <c r="N65" i="17"/>
  <c r="E65" i="17"/>
  <c r="D65" i="17"/>
  <c r="B65" i="17"/>
  <c r="AJ64" i="17"/>
  <c r="AD64" i="17"/>
  <c r="W64" i="17"/>
  <c r="V64" i="17"/>
  <c r="N64" i="17"/>
  <c r="E64" i="17"/>
  <c r="D64" i="17"/>
  <c r="B64" i="17"/>
  <c r="AJ63" i="17"/>
  <c r="AD63" i="17"/>
  <c r="W63" i="17"/>
  <c r="V63" i="17"/>
  <c r="N63" i="17"/>
  <c r="E63" i="17"/>
  <c r="D63" i="17"/>
  <c r="B63" i="17"/>
  <c r="AJ62" i="17"/>
  <c r="AD62" i="17"/>
  <c r="W62" i="17"/>
  <c r="V62" i="17"/>
  <c r="N62" i="17"/>
  <c r="E62" i="17"/>
  <c r="D62" i="17"/>
  <c r="B62" i="17"/>
  <c r="AJ61" i="17"/>
  <c r="AD61" i="17"/>
  <c r="W61" i="17"/>
  <c r="V61" i="17"/>
  <c r="N61" i="17"/>
  <c r="E61" i="17"/>
  <c r="D61" i="17"/>
  <c r="B61" i="17"/>
  <c r="AJ60" i="17"/>
  <c r="AD60" i="17"/>
  <c r="W60" i="17"/>
  <c r="V60" i="17"/>
  <c r="N60" i="17"/>
  <c r="E60" i="17"/>
  <c r="D60" i="17"/>
  <c r="B60" i="17"/>
  <c r="AJ59" i="17"/>
  <c r="AD59" i="17"/>
  <c r="W59" i="17"/>
  <c r="V59" i="17"/>
  <c r="N59" i="17"/>
  <c r="E59" i="17"/>
  <c r="D59" i="17"/>
  <c r="B59" i="17"/>
  <c r="AJ58" i="17"/>
  <c r="I58" i="17" s="1"/>
  <c r="K58" i="17" s="1"/>
  <c r="AD58" i="17"/>
  <c r="W58" i="17"/>
  <c r="V58" i="17"/>
  <c r="N58" i="17"/>
  <c r="AG58" i="17"/>
  <c r="E58" i="17"/>
  <c r="D58" i="17"/>
  <c r="B58" i="17"/>
  <c r="AJ57" i="17"/>
  <c r="AD57" i="17"/>
  <c r="W57" i="17"/>
  <c r="V57" i="17"/>
  <c r="N57" i="17"/>
  <c r="E57" i="17"/>
  <c r="D57" i="17"/>
  <c r="B57" i="17"/>
  <c r="AJ56" i="17"/>
  <c r="AD56" i="17"/>
  <c r="W56" i="17"/>
  <c r="V56" i="17"/>
  <c r="N56" i="17"/>
  <c r="E56" i="17"/>
  <c r="D56" i="17"/>
  <c r="B56" i="17"/>
  <c r="AJ55" i="17"/>
  <c r="AD55" i="17"/>
  <c r="W55" i="17"/>
  <c r="V55" i="17"/>
  <c r="N55" i="17"/>
  <c r="E55" i="17"/>
  <c r="D55" i="17"/>
  <c r="B55" i="17"/>
  <c r="AJ54" i="17"/>
  <c r="AD54" i="17"/>
  <c r="W54" i="17"/>
  <c r="V54" i="17"/>
  <c r="N54" i="17"/>
  <c r="E54" i="17"/>
  <c r="D54" i="17"/>
  <c r="B54" i="17"/>
  <c r="AJ53" i="17"/>
  <c r="AD53" i="17"/>
  <c r="W53" i="17"/>
  <c r="V53" i="17"/>
  <c r="N53" i="17"/>
  <c r="E53" i="17"/>
  <c r="D53" i="17"/>
  <c r="B53" i="17"/>
  <c r="AJ52" i="17"/>
  <c r="AD52" i="17"/>
  <c r="W52" i="17"/>
  <c r="V52" i="17"/>
  <c r="N52" i="17"/>
  <c r="E52" i="17"/>
  <c r="D52" i="17"/>
  <c r="B52" i="17"/>
  <c r="AJ51" i="17"/>
  <c r="AD51" i="17"/>
  <c r="W51" i="17"/>
  <c r="V51" i="17"/>
  <c r="N51" i="17"/>
  <c r="E51" i="17"/>
  <c r="D51" i="17"/>
  <c r="B51" i="17"/>
  <c r="AJ50" i="17"/>
  <c r="AD50" i="17"/>
  <c r="W50" i="17"/>
  <c r="V50" i="17"/>
  <c r="N50" i="17"/>
  <c r="E50" i="17"/>
  <c r="D50" i="17"/>
  <c r="B50" i="17"/>
  <c r="AJ49" i="17"/>
  <c r="AD49" i="17"/>
  <c r="W49" i="17"/>
  <c r="V49" i="17"/>
  <c r="N49" i="17"/>
  <c r="E49" i="17"/>
  <c r="D49" i="17"/>
  <c r="B49" i="17"/>
  <c r="AJ48" i="17"/>
  <c r="AD48" i="17"/>
  <c r="W48" i="17"/>
  <c r="V48" i="17"/>
  <c r="N48" i="17"/>
  <c r="E48" i="17"/>
  <c r="D48" i="17"/>
  <c r="B48" i="17"/>
  <c r="AJ47" i="17"/>
  <c r="AD47" i="17"/>
  <c r="W47" i="17"/>
  <c r="V47" i="17"/>
  <c r="N47" i="17"/>
  <c r="E47" i="17"/>
  <c r="D47" i="17"/>
  <c r="B47" i="17"/>
  <c r="AJ46" i="17"/>
  <c r="AD46" i="17"/>
  <c r="W46" i="17"/>
  <c r="V46" i="17"/>
  <c r="N46" i="17"/>
  <c r="AG46" i="17"/>
  <c r="E46" i="17"/>
  <c r="D46" i="17"/>
  <c r="B46" i="17"/>
  <c r="AJ45" i="17"/>
  <c r="AD45" i="17"/>
  <c r="W45" i="17"/>
  <c r="V45" i="17"/>
  <c r="N45" i="17"/>
  <c r="E45" i="17"/>
  <c r="D45" i="17"/>
  <c r="B45" i="17"/>
  <c r="AJ44" i="17"/>
  <c r="AD44" i="17"/>
  <c r="W44" i="17"/>
  <c r="V44" i="17"/>
  <c r="N44" i="17"/>
  <c r="E44" i="17"/>
  <c r="D44" i="17"/>
  <c r="B44" i="17"/>
  <c r="AJ43" i="17"/>
  <c r="AD43" i="17"/>
  <c r="W43" i="17"/>
  <c r="V43" i="17"/>
  <c r="N43" i="17"/>
  <c r="E43" i="17"/>
  <c r="D43" i="17"/>
  <c r="B43" i="17"/>
  <c r="AJ42" i="17"/>
  <c r="AD42" i="17"/>
  <c r="W42" i="17"/>
  <c r="V42" i="17"/>
  <c r="N42" i="17"/>
  <c r="E42" i="17"/>
  <c r="D42" i="17"/>
  <c r="B42" i="17"/>
  <c r="AJ41" i="17"/>
  <c r="AD41" i="17"/>
  <c r="W41" i="17"/>
  <c r="V41" i="17"/>
  <c r="N41" i="17"/>
  <c r="E41" i="17"/>
  <c r="D41" i="17"/>
  <c r="B41" i="17"/>
  <c r="AJ40" i="17"/>
  <c r="AD40" i="17"/>
  <c r="W40" i="17"/>
  <c r="V40" i="17"/>
  <c r="N40" i="17"/>
  <c r="E40" i="17"/>
  <c r="D40" i="17"/>
  <c r="B40" i="17"/>
  <c r="AJ39" i="17"/>
  <c r="AD39" i="17"/>
  <c r="W39" i="17"/>
  <c r="V39" i="17"/>
  <c r="N39" i="17"/>
  <c r="E39" i="17"/>
  <c r="D39" i="17"/>
  <c r="B39" i="17"/>
  <c r="AJ38" i="17"/>
  <c r="AD38" i="17"/>
  <c r="W38" i="17"/>
  <c r="V38" i="17"/>
  <c r="N38" i="17"/>
  <c r="AG38" i="17"/>
  <c r="E38" i="17"/>
  <c r="D38" i="17"/>
  <c r="B38" i="17"/>
  <c r="AJ37" i="17"/>
  <c r="AD37" i="17"/>
  <c r="W37" i="17"/>
  <c r="V37" i="17"/>
  <c r="N37" i="17"/>
  <c r="E37" i="17"/>
  <c r="D37" i="17"/>
  <c r="B37" i="17"/>
  <c r="AJ36" i="17"/>
  <c r="AD36" i="17"/>
  <c r="W36" i="17"/>
  <c r="V36" i="17"/>
  <c r="N36" i="17"/>
  <c r="E36" i="17"/>
  <c r="D36" i="17"/>
  <c r="B36" i="17"/>
  <c r="AJ35" i="17"/>
  <c r="AD35" i="17"/>
  <c r="W35" i="17"/>
  <c r="V35" i="17"/>
  <c r="N35" i="17"/>
  <c r="E35" i="17"/>
  <c r="D35" i="17"/>
  <c r="B35" i="17"/>
  <c r="AJ34" i="17"/>
  <c r="AD34" i="17"/>
  <c r="W34" i="17"/>
  <c r="V34" i="17"/>
  <c r="N34" i="17"/>
  <c r="E34" i="17"/>
  <c r="D34" i="17"/>
  <c r="B34" i="17"/>
  <c r="AJ33" i="17"/>
  <c r="AD33" i="17"/>
  <c r="W33" i="17"/>
  <c r="V33" i="17"/>
  <c r="N33" i="17"/>
  <c r="E33" i="17"/>
  <c r="D33" i="17"/>
  <c r="B33" i="17"/>
  <c r="AJ32" i="17"/>
  <c r="AD32" i="17"/>
  <c r="W32" i="17"/>
  <c r="V32" i="17"/>
  <c r="N32" i="17"/>
  <c r="E32" i="17"/>
  <c r="D32" i="17"/>
  <c r="B32" i="17"/>
  <c r="AJ31" i="17"/>
  <c r="R31" i="17" s="1"/>
  <c r="T31" i="17" s="1"/>
  <c r="AD31" i="17"/>
  <c r="W31" i="17"/>
  <c r="V31" i="17"/>
  <c r="N31" i="17"/>
  <c r="E31" i="17"/>
  <c r="D31" i="17"/>
  <c r="B31" i="17"/>
  <c r="AJ30" i="17"/>
  <c r="AD30" i="17"/>
  <c r="W30" i="17"/>
  <c r="V30" i="17"/>
  <c r="N30" i="17"/>
  <c r="E30" i="17"/>
  <c r="D30" i="17"/>
  <c r="B30" i="17"/>
  <c r="AJ29" i="17"/>
  <c r="AD29" i="17"/>
  <c r="W29" i="17"/>
  <c r="V29" i="17"/>
  <c r="N29" i="17"/>
  <c r="E29" i="17"/>
  <c r="D29" i="17"/>
  <c r="B29" i="17"/>
  <c r="AJ28" i="17"/>
  <c r="AD28" i="17"/>
  <c r="W28" i="17"/>
  <c r="V28" i="17"/>
  <c r="N28" i="17"/>
  <c r="E28" i="17"/>
  <c r="D28" i="17"/>
  <c r="B28" i="17"/>
  <c r="AJ27" i="17"/>
  <c r="AD27" i="17"/>
  <c r="W27" i="17"/>
  <c r="V27" i="17"/>
  <c r="N27" i="17"/>
  <c r="E27" i="17"/>
  <c r="D27" i="17"/>
  <c r="B27" i="17"/>
  <c r="AJ26" i="17"/>
  <c r="AD26" i="17"/>
  <c r="W26" i="17"/>
  <c r="V26" i="17"/>
  <c r="N26" i="17"/>
  <c r="E26" i="17"/>
  <c r="D26" i="17"/>
  <c r="B26" i="17"/>
  <c r="AJ25" i="17"/>
  <c r="AD25" i="17"/>
  <c r="W25" i="17"/>
  <c r="V25" i="17"/>
  <c r="N25" i="17"/>
  <c r="E25" i="17"/>
  <c r="D25" i="17"/>
  <c r="B25" i="17"/>
  <c r="AJ24" i="17"/>
  <c r="AD24" i="17"/>
  <c r="W24" i="17"/>
  <c r="V24" i="17"/>
  <c r="N24" i="17"/>
  <c r="E24" i="17"/>
  <c r="D24" i="17"/>
  <c r="B24" i="17"/>
  <c r="AJ23" i="17"/>
  <c r="AD23" i="17"/>
  <c r="W23" i="17"/>
  <c r="V23" i="17"/>
  <c r="N23" i="17"/>
  <c r="E23" i="17"/>
  <c r="D23" i="17"/>
  <c r="B23" i="17"/>
  <c r="AJ22" i="17"/>
  <c r="AD22" i="17"/>
  <c r="W22" i="17"/>
  <c r="V22" i="17"/>
  <c r="N22" i="17"/>
  <c r="AG22" i="17"/>
  <c r="E22" i="17"/>
  <c r="D22" i="17"/>
  <c r="B22" i="17"/>
  <c r="AJ21" i="17"/>
  <c r="AD21" i="17"/>
  <c r="W21" i="17"/>
  <c r="V21" i="17"/>
  <c r="N21" i="17"/>
  <c r="E21" i="17"/>
  <c r="D21" i="17"/>
  <c r="B21" i="17"/>
  <c r="AJ20" i="17"/>
  <c r="AD20" i="17"/>
  <c r="W20" i="17"/>
  <c r="V20" i="17"/>
  <c r="N20" i="17"/>
  <c r="E20" i="17"/>
  <c r="D20" i="17"/>
  <c r="B20" i="17"/>
  <c r="AJ19" i="17"/>
  <c r="AD19" i="17"/>
  <c r="W19" i="17"/>
  <c r="V19" i="17"/>
  <c r="N19" i="17"/>
  <c r="E19" i="17"/>
  <c r="D19" i="17"/>
  <c r="B19" i="17"/>
  <c r="AJ18" i="17"/>
  <c r="AD18" i="17"/>
  <c r="W18" i="17"/>
  <c r="V18" i="17"/>
  <c r="N18" i="17"/>
  <c r="E18" i="17"/>
  <c r="D18" i="17"/>
  <c r="B18" i="17"/>
  <c r="AJ17" i="17"/>
  <c r="AD17" i="17"/>
  <c r="W17" i="17"/>
  <c r="V17" i="17"/>
  <c r="N17" i="17"/>
  <c r="E17" i="17"/>
  <c r="D17" i="17"/>
  <c r="B17" i="17"/>
  <c r="AJ16" i="17"/>
  <c r="AD16" i="17"/>
  <c r="W16" i="17"/>
  <c r="V16" i="17"/>
  <c r="N16" i="17"/>
  <c r="E16" i="17"/>
  <c r="D16" i="17"/>
  <c r="B16" i="17"/>
  <c r="AJ15" i="17"/>
  <c r="AD15" i="17"/>
  <c r="W15" i="17"/>
  <c r="V15" i="17"/>
  <c r="N15" i="17"/>
  <c r="E15" i="17"/>
  <c r="D15" i="17"/>
  <c r="B15" i="17"/>
  <c r="AJ14" i="17"/>
  <c r="AD14" i="17"/>
  <c r="W14" i="17"/>
  <c r="V14" i="17"/>
  <c r="N14" i="17"/>
  <c r="AG14" i="17"/>
  <c r="E14" i="17"/>
  <c r="D14" i="17"/>
  <c r="B14" i="17"/>
  <c r="AJ13" i="17"/>
  <c r="AD13" i="17"/>
  <c r="W13" i="17"/>
  <c r="V13" i="17"/>
  <c r="N13" i="17"/>
  <c r="E13" i="17"/>
  <c r="D13" i="17"/>
  <c r="B13" i="17"/>
  <c r="AJ12" i="17"/>
  <c r="AD12" i="17"/>
  <c r="W12" i="17"/>
  <c r="V12" i="17"/>
  <c r="N12" i="17"/>
  <c r="E12" i="17"/>
  <c r="D12" i="17"/>
  <c r="B12" i="17"/>
  <c r="AJ11" i="17"/>
  <c r="AD11" i="17"/>
  <c r="W11" i="17"/>
  <c r="V11" i="17"/>
  <c r="N11" i="17"/>
  <c r="E11" i="17"/>
  <c r="D11" i="17"/>
  <c r="B11" i="17"/>
  <c r="AJ10" i="17"/>
  <c r="AD10" i="17"/>
  <c r="W10" i="17"/>
  <c r="V10" i="17"/>
  <c r="N10" i="17"/>
  <c r="E10" i="17"/>
  <c r="D10" i="17"/>
  <c r="B10" i="17"/>
  <c r="AJ9" i="17"/>
  <c r="AD9" i="17"/>
  <c r="W9" i="17"/>
  <c r="V9" i="17"/>
  <c r="N9" i="17"/>
  <c r="E9" i="17"/>
  <c r="D9" i="17"/>
  <c r="B9" i="17"/>
  <c r="AJ8" i="17"/>
  <c r="AD8" i="17"/>
  <c r="W8" i="17"/>
  <c r="V8" i="17"/>
  <c r="N8" i="17"/>
  <c r="E8" i="17"/>
  <c r="D8" i="17"/>
  <c r="B8" i="17"/>
  <c r="AJ7" i="17"/>
  <c r="AD7" i="17"/>
  <c r="W7" i="17"/>
  <c r="V7" i="17"/>
  <c r="N7" i="17"/>
  <c r="E7" i="17"/>
  <c r="D7" i="17"/>
  <c r="B7" i="17"/>
  <c r="AJ6" i="17"/>
  <c r="AD6" i="17"/>
  <c r="W6" i="17"/>
  <c r="V6" i="17"/>
  <c r="N6" i="17"/>
  <c r="AG6" i="17"/>
  <c r="E6" i="17"/>
  <c r="D6" i="17"/>
  <c r="B6" i="17"/>
  <c r="AJ5" i="17"/>
  <c r="AD5" i="17"/>
  <c r="W5" i="17"/>
  <c r="V5" i="17"/>
  <c r="N5" i="17"/>
  <c r="E5" i="17"/>
  <c r="D5" i="17"/>
  <c r="B5" i="17"/>
  <c r="AJ4" i="17"/>
  <c r="AD4" i="17"/>
  <c r="W4" i="17"/>
  <c r="V4" i="17"/>
  <c r="N4" i="17"/>
  <c r="E4" i="17"/>
  <c r="D4" i="17"/>
  <c r="B4" i="17"/>
  <c r="AJ3" i="17"/>
  <c r="AD3" i="17"/>
  <c r="W3" i="17"/>
  <c r="V3" i="17"/>
  <c r="N3" i="17"/>
  <c r="E3" i="17"/>
  <c r="D3" i="17"/>
  <c r="B3" i="17"/>
  <c r="AJ2" i="17"/>
  <c r="AD2" i="17"/>
  <c r="W2" i="17"/>
  <c r="V2" i="17"/>
  <c r="N2" i="17"/>
  <c r="E2" i="17"/>
  <c r="D2" i="17"/>
  <c r="B2" i="17"/>
  <c r="AJ2" i="9"/>
  <c r="AJ3" i="9"/>
  <c r="AJ4" i="9"/>
  <c r="AJ5" i="9"/>
  <c r="AJ6" i="9"/>
  <c r="AJ7" i="9"/>
  <c r="AJ8" i="9"/>
  <c r="AJ9" i="9"/>
  <c r="AJ10" i="9"/>
  <c r="AJ11" i="9"/>
  <c r="AJ12" i="9"/>
  <c r="AJ13" i="9"/>
  <c r="AJ14" i="9"/>
  <c r="AJ15" i="9"/>
  <c r="AJ16" i="9"/>
  <c r="AJ17" i="9"/>
  <c r="AJ18" i="9"/>
  <c r="AJ19" i="9"/>
  <c r="AJ20" i="9"/>
  <c r="AJ21" i="9"/>
  <c r="AJ22" i="9"/>
  <c r="AJ23" i="9"/>
  <c r="AJ24" i="9"/>
  <c r="AJ25" i="9"/>
  <c r="AJ26" i="9"/>
  <c r="AJ27" i="9"/>
  <c r="AJ28" i="9"/>
  <c r="AJ29" i="9"/>
  <c r="AJ30" i="9"/>
  <c r="AJ31" i="9"/>
  <c r="AJ32" i="9"/>
  <c r="AJ33" i="9"/>
  <c r="AJ34" i="9"/>
  <c r="AJ35" i="9"/>
  <c r="AJ36" i="9"/>
  <c r="AJ37" i="9"/>
  <c r="AJ38" i="9"/>
  <c r="AJ39" i="9"/>
  <c r="AJ40" i="9"/>
  <c r="AJ41" i="9"/>
  <c r="AJ42" i="9"/>
  <c r="AJ43" i="9"/>
  <c r="AJ44" i="9"/>
  <c r="AJ45" i="9"/>
  <c r="AJ46" i="9"/>
  <c r="AJ47" i="9"/>
  <c r="AJ48" i="9"/>
  <c r="AJ49" i="9"/>
  <c r="AJ50" i="9"/>
  <c r="AJ51" i="9"/>
  <c r="AJ52" i="9"/>
  <c r="AJ53" i="9"/>
  <c r="AJ54" i="9"/>
  <c r="AJ55" i="9"/>
  <c r="AJ56" i="9"/>
  <c r="AJ57" i="9"/>
  <c r="AJ58" i="9"/>
  <c r="AJ59" i="9"/>
  <c r="AJ60" i="9"/>
  <c r="AJ61" i="9"/>
  <c r="AJ62" i="9"/>
  <c r="AJ63" i="9"/>
  <c r="AJ64" i="9"/>
  <c r="AJ65" i="9"/>
  <c r="AJ66" i="9"/>
  <c r="AJ67" i="9"/>
  <c r="AJ68" i="9"/>
  <c r="AJ69" i="9"/>
  <c r="AJ70" i="9"/>
  <c r="AJ71" i="9"/>
  <c r="AJ72" i="9"/>
  <c r="AJ73" i="9"/>
  <c r="AJ74" i="9"/>
  <c r="AJ75" i="9"/>
  <c r="AJ76" i="9"/>
  <c r="AJ77" i="9"/>
  <c r="AJ78" i="9"/>
  <c r="AJ79" i="9"/>
  <c r="AJ80" i="9"/>
  <c r="AJ81" i="9"/>
  <c r="AJ82" i="9"/>
  <c r="AJ83" i="9"/>
  <c r="AJ84" i="9"/>
  <c r="AJ85" i="9"/>
  <c r="AJ86" i="9"/>
  <c r="AJ87" i="9"/>
  <c r="AJ88" i="9"/>
  <c r="AJ89" i="9"/>
  <c r="AJ90" i="9"/>
  <c r="AJ91" i="9"/>
  <c r="AJ92" i="9"/>
  <c r="AJ93" i="9"/>
  <c r="AJ94" i="9"/>
  <c r="AJ95" i="9"/>
  <c r="AJ96" i="9"/>
  <c r="AJ97" i="9"/>
  <c r="AJ98" i="9"/>
  <c r="AJ99" i="9"/>
  <c r="AJ100" i="9"/>
  <c r="AJ101" i="9"/>
  <c r="AJ102" i="9"/>
  <c r="AJ103" i="9"/>
  <c r="AJ104" i="9"/>
  <c r="AJ105" i="9"/>
  <c r="AJ106" i="9"/>
  <c r="AJ107" i="9"/>
  <c r="AJ108" i="9"/>
  <c r="AJ109" i="9"/>
  <c r="AJ110" i="9"/>
  <c r="AJ111" i="9"/>
  <c r="AJ112" i="9"/>
  <c r="AJ113" i="9"/>
  <c r="AJ114" i="9"/>
  <c r="AJ115" i="9"/>
  <c r="AJ116" i="9"/>
  <c r="AJ117" i="9"/>
  <c r="AJ118" i="9"/>
  <c r="AJ119" i="9"/>
  <c r="AJ120" i="9"/>
  <c r="AJ121" i="9"/>
  <c r="AJ122" i="9"/>
  <c r="AJ123" i="9"/>
  <c r="AJ124" i="9"/>
  <c r="AJ125" i="9"/>
  <c r="AJ126" i="9"/>
  <c r="AJ127" i="9"/>
  <c r="AJ128" i="9"/>
  <c r="AJ129" i="9"/>
  <c r="AJ130" i="9"/>
  <c r="AJ131" i="9"/>
  <c r="AJ132" i="9"/>
  <c r="AJ133" i="9"/>
  <c r="AJ134" i="9"/>
  <c r="AJ135" i="9"/>
  <c r="AJ136" i="9"/>
  <c r="AJ137" i="9"/>
  <c r="AJ138" i="9"/>
  <c r="AJ139" i="9"/>
  <c r="AJ140" i="9"/>
  <c r="AJ141" i="9"/>
  <c r="AJ142" i="9"/>
  <c r="AJ143" i="9"/>
  <c r="AJ144" i="9"/>
  <c r="AJ145" i="9"/>
  <c r="AJ146" i="9"/>
  <c r="AJ147" i="9"/>
  <c r="AJ148" i="9"/>
  <c r="AJ149" i="9"/>
  <c r="AJ150" i="9"/>
  <c r="AJ151" i="9"/>
  <c r="AJ152" i="9"/>
  <c r="AJ153" i="9"/>
  <c r="AJ154" i="9"/>
  <c r="AJ155" i="9"/>
  <c r="AJ156" i="9"/>
  <c r="AJ157" i="9"/>
  <c r="AJ158" i="9"/>
  <c r="AJ159" i="9"/>
  <c r="AJ160" i="9"/>
  <c r="AJ161" i="9"/>
  <c r="AJ162" i="9"/>
  <c r="AJ163" i="9"/>
  <c r="AJ164" i="9"/>
  <c r="AJ165" i="9"/>
  <c r="AJ166" i="9"/>
  <c r="AJ167" i="9"/>
  <c r="AJ168" i="9"/>
  <c r="AJ169" i="9"/>
  <c r="AJ170" i="9"/>
  <c r="AJ171" i="9"/>
  <c r="AJ172" i="9"/>
  <c r="AJ173" i="9"/>
  <c r="AJ174" i="9"/>
  <c r="AJ175" i="9"/>
  <c r="AJ176" i="9"/>
  <c r="AJ177" i="9"/>
  <c r="AJ178" i="9"/>
  <c r="AJ179" i="9"/>
  <c r="AJ180" i="9"/>
  <c r="AJ181" i="9"/>
  <c r="AJ182" i="9"/>
  <c r="AJ183" i="9"/>
  <c r="AJ184" i="9"/>
  <c r="AJ185" i="9"/>
  <c r="AJ186" i="9"/>
  <c r="AJ187" i="9"/>
  <c r="AJ188" i="9"/>
  <c r="AJ189" i="9"/>
  <c r="AJ190" i="9"/>
  <c r="AJ191" i="9"/>
  <c r="AJ192" i="9"/>
  <c r="AJ193" i="9"/>
  <c r="AJ194" i="9"/>
  <c r="AJ195" i="9"/>
  <c r="AJ196" i="9"/>
  <c r="AJ197" i="9"/>
  <c r="AJ198" i="9"/>
  <c r="AJ199" i="9"/>
  <c r="AJ200" i="9"/>
  <c r="AJ201" i="9"/>
  <c r="AJ202" i="9"/>
  <c r="AJ203" i="9"/>
  <c r="AJ204" i="9"/>
  <c r="AJ205" i="9"/>
  <c r="AJ206" i="9"/>
  <c r="AJ207" i="9"/>
  <c r="AJ208" i="9"/>
  <c r="AJ209" i="9"/>
  <c r="AJ210" i="9"/>
  <c r="AJ211" i="9"/>
  <c r="AJ212" i="9"/>
  <c r="AJ213" i="9"/>
  <c r="AJ214" i="9"/>
  <c r="AJ215" i="9"/>
  <c r="AJ216" i="9"/>
  <c r="AJ217" i="9"/>
  <c r="AJ218" i="9"/>
  <c r="AJ219" i="9"/>
  <c r="AJ220" i="9"/>
  <c r="AJ221" i="9"/>
  <c r="AJ222" i="9"/>
  <c r="AJ223" i="9"/>
  <c r="AJ224" i="9"/>
  <c r="AJ225" i="9"/>
  <c r="AJ226" i="9"/>
  <c r="AJ227" i="9"/>
  <c r="AJ228" i="9"/>
  <c r="AJ229" i="9"/>
  <c r="AJ230" i="9"/>
  <c r="AJ231" i="9"/>
  <c r="AJ232" i="9"/>
  <c r="AJ233" i="9"/>
  <c r="AJ234" i="9"/>
  <c r="AJ235" i="9"/>
  <c r="AJ236" i="9"/>
  <c r="AJ237" i="9"/>
  <c r="AJ238" i="9"/>
  <c r="AJ239" i="9"/>
  <c r="AJ240" i="9"/>
  <c r="AJ241" i="9"/>
  <c r="AJ242" i="9"/>
  <c r="AJ243" i="9"/>
  <c r="AJ244" i="9"/>
  <c r="AJ245" i="9"/>
  <c r="AJ246" i="9"/>
  <c r="AJ247" i="9"/>
  <c r="AJ248" i="9"/>
  <c r="AJ249" i="9"/>
  <c r="AJ250" i="9"/>
  <c r="AJ251" i="9"/>
  <c r="AJ252" i="9"/>
  <c r="AJ253" i="9"/>
  <c r="AJ254" i="9"/>
  <c r="AJ255" i="9"/>
  <c r="AJ256" i="9"/>
  <c r="AJ257" i="9"/>
  <c r="AJ258" i="9"/>
  <c r="AJ259" i="9"/>
  <c r="AJ260" i="9"/>
  <c r="AJ261" i="9"/>
  <c r="AJ262" i="9"/>
  <c r="AJ263" i="9"/>
  <c r="AJ264" i="9"/>
  <c r="AJ265" i="9"/>
  <c r="AJ266" i="9"/>
  <c r="AJ267" i="9"/>
  <c r="AJ268" i="9"/>
  <c r="AJ269" i="9"/>
  <c r="AJ270" i="9"/>
  <c r="AJ271" i="9"/>
  <c r="AJ272" i="9"/>
  <c r="AJ273" i="9"/>
  <c r="AJ274" i="9"/>
  <c r="AJ275" i="9"/>
  <c r="AJ276" i="9"/>
  <c r="AJ277" i="9"/>
  <c r="AJ278" i="9"/>
  <c r="AJ279" i="9"/>
  <c r="AJ280" i="9"/>
  <c r="AJ281" i="9"/>
  <c r="AJ282" i="9"/>
  <c r="AJ283" i="9"/>
  <c r="AJ284" i="9"/>
  <c r="AJ285" i="9"/>
  <c r="AJ286" i="9"/>
  <c r="AJ287" i="9"/>
  <c r="AJ288" i="9"/>
  <c r="AJ289" i="9"/>
  <c r="AJ290" i="9"/>
  <c r="AJ291" i="9"/>
  <c r="AJ292" i="9"/>
  <c r="AJ293" i="9"/>
  <c r="AJ294" i="9"/>
  <c r="AJ295" i="9"/>
  <c r="AJ296" i="9"/>
  <c r="AJ297" i="9"/>
  <c r="AJ298" i="9"/>
  <c r="AJ299" i="9"/>
  <c r="AJ300" i="9"/>
  <c r="AJ301" i="9"/>
  <c r="AJ302" i="9"/>
  <c r="AJ303" i="9"/>
  <c r="AJ304" i="9"/>
  <c r="AJ305" i="9"/>
  <c r="AJ306" i="9"/>
  <c r="AJ307" i="9"/>
  <c r="AJ308" i="9"/>
  <c r="AJ309" i="9"/>
  <c r="AJ310" i="9"/>
  <c r="AJ311" i="9"/>
  <c r="AJ312" i="9"/>
  <c r="AJ313" i="9"/>
  <c r="AJ314" i="9"/>
  <c r="AJ315" i="9"/>
  <c r="AJ316" i="9"/>
  <c r="AJ317" i="9"/>
  <c r="AJ318" i="9"/>
  <c r="AJ319" i="9"/>
  <c r="AJ320" i="9"/>
  <c r="AJ321" i="9"/>
  <c r="AJ322" i="9"/>
  <c r="AJ323" i="9"/>
  <c r="AJ324" i="9"/>
  <c r="AJ325" i="9"/>
  <c r="AJ326" i="9"/>
  <c r="AJ327" i="9"/>
  <c r="AJ328" i="9"/>
  <c r="AJ329" i="9"/>
  <c r="AJ330" i="9"/>
  <c r="AJ331" i="9"/>
  <c r="AJ332" i="9"/>
  <c r="AJ333" i="9"/>
  <c r="AJ334" i="9"/>
  <c r="AJ335" i="9"/>
  <c r="AJ336" i="9"/>
  <c r="AJ337" i="9"/>
  <c r="AJ338" i="9"/>
  <c r="AJ339" i="9"/>
  <c r="AJ340" i="9"/>
  <c r="AJ341" i="9"/>
  <c r="AJ342" i="9"/>
  <c r="AJ343" i="9"/>
  <c r="AJ344" i="9"/>
  <c r="AJ345" i="9"/>
  <c r="AJ346" i="9"/>
  <c r="AJ347" i="9"/>
  <c r="AJ348" i="9"/>
  <c r="AJ349" i="9"/>
  <c r="AJ350" i="9"/>
  <c r="AJ351" i="9"/>
  <c r="AJ352" i="9"/>
  <c r="AJ353" i="9"/>
  <c r="AJ354" i="9"/>
  <c r="AJ355" i="9"/>
  <c r="AJ356" i="9"/>
  <c r="AJ357" i="9"/>
  <c r="AJ358" i="9"/>
  <c r="AJ359" i="9"/>
  <c r="AJ360" i="9"/>
  <c r="AJ361" i="9"/>
  <c r="AJ362" i="9"/>
  <c r="AJ363" i="9"/>
  <c r="AJ364" i="9"/>
  <c r="AJ365" i="9"/>
  <c r="AJ366" i="9"/>
  <c r="AJ367" i="9"/>
  <c r="AJ368" i="9"/>
  <c r="AJ369" i="9"/>
  <c r="AJ370" i="9"/>
  <c r="AJ371" i="9"/>
  <c r="AJ372" i="9"/>
  <c r="AJ373" i="9"/>
  <c r="AJ374" i="9"/>
  <c r="AJ375" i="9"/>
  <c r="AJ376" i="9"/>
  <c r="AJ377" i="9"/>
  <c r="AJ378" i="9"/>
  <c r="AJ379" i="9"/>
  <c r="AJ380" i="9"/>
  <c r="AJ381" i="9"/>
  <c r="AJ382" i="9"/>
  <c r="AJ383" i="9"/>
  <c r="AJ384" i="9"/>
  <c r="AJ385" i="9"/>
  <c r="AJ386" i="9"/>
  <c r="AJ387" i="9"/>
  <c r="AJ388" i="9"/>
  <c r="AJ389" i="9"/>
  <c r="AJ390" i="9"/>
  <c r="AJ391" i="9"/>
  <c r="AJ392" i="9"/>
  <c r="AJ393" i="9"/>
  <c r="AJ394" i="9"/>
  <c r="AJ395" i="9"/>
  <c r="AJ396" i="9"/>
  <c r="AJ397" i="9"/>
  <c r="AJ398" i="9"/>
  <c r="AJ399" i="9"/>
  <c r="AJ400" i="9"/>
  <c r="AJ401" i="9"/>
  <c r="AJ402" i="9"/>
  <c r="AJ403" i="9"/>
  <c r="AJ404" i="9"/>
  <c r="AJ405" i="9"/>
  <c r="AJ406" i="9"/>
  <c r="AJ407" i="9"/>
  <c r="AJ408" i="9"/>
  <c r="AJ409" i="9"/>
  <c r="AJ410" i="9"/>
  <c r="AJ411" i="9"/>
  <c r="AJ412" i="9"/>
  <c r="AJ413" i="9"/>
  <c r="AJ414" i="9"/>
  <c r="AJ415" i="9"/>
  <c r="AJ416" i="9"/>
  <c r="AJ417" i="9"/>
  <c r="AJ418" i="9"/>
  <c r="AJ419" i="9"/>
  <c r="AJ420" i="9"/>
  <c r="AJ421" i="9"/>
  <c r="AJ422" i="9"/>
  <c r="AJ423" i="9"/>
  <c r="AJ424" i="9"/>
  <c r="AJ425" i="9"/>
  <c r="AJ426" i="9"/>
  <c r="AJ427" i="9"/>
  <c r="AJ428" i="9"/>
  <c r="AJ429" i="9"/>
  <c r="AJ430" i="9"/>
  <c r="AJ431" i="9"/>
  <c r="AJ432" i="9"/>
  <c r="AJ433" i="9"/>
  <c r="AJ434" i="9"/>
  <c r="AJ435" i="9"/>
  <c r="AJ436" i="9"/>
  <c r="AJ437" i="9"/>
  <c r="AJ438" i="9"/>
  <c r="AJ439" i="9"/>
  <c r="AJ440" i="9"/>
  <c r="AJ441" i="9"/>
  <c r="AJ442" i="9"/>
  <c r="AJ443" i="9"/>
  <c r="AJ444" i="9"/>
  <c r="AJ445" i="9"/>
  <c r="AJ446" i="9"/>
  <c r="AJ447" i="9"/>
  <c r="AJ448" i="9"/>
  <c r="AJ449" i="9"/>
  <c r="AJ450" i="9"/>
  <c r="AJ451" i="9"/>
  <c r="AJ452" i="9"/>
  <c r="AJ453" i="9"/>
  <c r="AJ454" i="9"/>
  <c r="AJ455" i="9"/>
  <c r="AJ456" i="9"/>
  <c r="AJ457" i="9"/>
  <c r="AJ458" i="9"/>
  <c r="AJ459" i="9"/>
  <c r="AJ460" i="9"/>
  <c r="AJ461" i="9"/>
  <c r="AJ462" i="9"/>
  <c r="AJ463" i="9"/>
  <c r="AJ464" i="9"/>
  <c r="AJ465" i="9"/>
  <c r="AJ466" i="9"/>
  <c r="AJ467" i="9"/>
  <c r="AJ468" i="9"/>
  <c r="AJ469" i="9"/>
  <c r="AJ470" i="9"/>
  <c r="AJ471" i="9"/>
  <c r="AJ472" i="9"/>
  <c r="AJ473" i="9"/>
  <c r="AJ474" i="9"/>
  <c r="AJ475" i="9"/>
  <c r="AJ476" i="9"/>
  <c r="AJ477" i="9"/>
  <c r="AJ478" i="9"/>
  <c r="AJ479" i="9"/>
  <c r="AJ480" i="9"/>
  <c r="AJ481" i="9"/>
  <c r="AJ482" i="9"/>
  <c r="AJ483" i="9"/>
  <c r="AJ484" i="9"/>
  <c r="AJ485" i="9"/>
  <c r="AJ486" i="9"/>
  <c r="AJ487" i="9"/>
  <c r="AJ488" i="9"/>
  <c r="AJ489" i="9"/>
  <c r="AJ490" i="9"/>
  <c r="AJ491" i="9"/>
  <c r="AJ492" i="9"/>
  <c r="AJ493" i="9"/>
  <c r="AJ494" i="9"/>
  <c r="AJ495" i="9"/>
  <c r="AJ496" i="9"/>
  <c r="AJ497" i="9"/>
  <c r="AJ498" i="9"/>
  <c r="AJ499" i="9"/>
  <c r="AJ500" i="9"/>
  <c r="AJ501" i="9"/>
  <c r="AJ502" i="9"/>
  <c r="AJ503" i="9"/>
  <c r="AJ504" i="9"/>
  <c r="AJ505" i="9"/>
  <c r="AJ506" i="9"/>
  <c r="AJ507" i="9"/>
  <c r="AJ508" i="9"/>
  <c r="AJ509" i="9"/>
  <c r="AJ510" i="9"/>
  <c r="AJ511" i="9"/>
  <c r="AJ512" i="9"/>
  <c r="AJ513" i="9"/>
  <c r="AJ514" i="9"/>
  <c r="AJ515" i="9"/>
  <c r="AJ516" i="9"/>
  <c r="AJ517" i="9"/>
  <c r="AJ518" i="9"/>
  <c r="AJ519" i="9"/>
  <c r="AJ520" i="9"/>
  <c r="AJ521" i="9"/>
  <c r="AJ522" i="9"/>
  <c r="AJ523" i="9"/>
  <c r="AJ524" i="9"/>
  <c r="AJ525" i="9"/>
  <c r="AJ526" i="9"/>
  <c r="AJ527" i="9"/>
  <c r="AJ528" i="9"/>
  <c r="AJ529" i="9"/>
  <c r="AJ530" i="9"/>
  <c r="AJ531" i="9"/>
  <c r="AJ532" i="9"/>
  <c r="AJ533" i="9"/>
  <c r="AJ534" i="9"/>
  <c r="AJ535" i="9"/>
  <c r="AJ536" i="9"/>
  <c r="AJ537" i="9"/>
  <c r="AJ538" i="9"/>
  <c r="AJ539" i="9"/>
  <c r="AJ540" i="9"/>
  <c r="AJ541" i="9"/>
  <c r="AJ542" i="9"/>
  <c r="AJ543" i="9"/>
  <c r="AJ544" i="9"/>
  <c r="AJ545" i="9"/>
  <c r="AJ546" i="9"/>
  <c r="AJ547" i="9"/>
  <c r="AJ548" i="9"/>
  <c r="AJ549" i="9"/>
  <c r="AJ550" i="9"/>
  <c r="AJ551" i="9"/>
  <c r="AJ552" i="9"/>
  <c r="AJ553" i="9"/>
  <c r="AJ554" i="9"/>
  <c r="AJ555" i="9"/>
  <c r="AJ556" i="9"/>
  <c r="AJ557" i="9"/>
  <c r="AJ558" i="9"/>
  <c r="AJ559" i="9"/>
  <c r="AJ560" i="9"/>
  <c r="AJ561" i="9"/>
  <c r="AJ562" i="9"/>
  <c r="AJ563" i="9"/>
  <c r="AJ564" i="9"/>
  <c r="AJ565" i="9"/>
  <c r="AJ566" i="9"/>
  <c r="AJ567" i="9"/>
  <c r="AJ568" i="9"/>
  <c r="AJ569" i="9"/>
  <c r="AJ570" i="9"/>
  <c r="AJ571" i="9"/>
  <c r="AJ572" i="9"/>
  <c r="AJ573" i="9"/>
  <c r="AJ574" i="9"/>
  <c r="AJ575" i="9"/>
  <c r="AJ576" i="9"/>
  <c r="AJ577" i="9"/>
  <c r="AJ578" i="9"/>
  <c r="AJ579" i="9"/>
  <c r="AJ580" i="9"/>
  <c r="AJ581" i="9"/>
  <c r="AJ582" i="9"/>
  <c r="AJ583" i="9"/>
  <c r="AJ584" i="9"/>
  <c r="AJ585" i="9"/>
  <c r="AJ586" i="9"/>
  <c r="AJ587" i="9"/>
  <c r="AJ588" i="9"/>
  <c r="AJ589" i="9"/>
  <c r="AJ590" i="9"/>
  <c r="AJ591" i="9"/>
  <c r="AJ592" i="9"/>
  <c r="AJ593" i="9"/>
  <c r="AJ594" i="9"/>
  <c r="AJ595" i="9"/>
  <c r="AJ596" i="9"/>
  <c r="AJ597" i="9"/>
  <c r="AJ598" i="9"/>
  <c r="AJ599" i="9"/>
  <c r="AJ600" i="9"/>
  <c r="AJ601" i="9"/>
  <c r="AJ602" i="9"/>
  <c r="AJ603" i="9"/>
  <c r="AJ604" i="9"/>
  <c r="AJ605" i="9"/>
  <c r="AJ606" i="9"/>
  <c r="AJ607" i="9"/>
  <c r="AJ608" i="9"/>
  <c r="AJ609" i="9"/>
  <c r="AJ610" i="9"/>
  <c r="AJ611" i="9"/>
  <c r="AJ612" i="9"/>
  <c r="AJ613" i="9"/>
  <c r="AJ614" i="9"/>
  <c r="AJ615" i="9"/>
  <c r="AJ616" i="9"/>
  <c r="AJ617" i="9"/>
  <c r="AJ618" i="9"/>
  <c r="AJ619" i="9"/>
  <c r="AJ620" i="9"/>
  <c r="AJ621" i="9"/>
  <c r="AJ622" i="9"/>
  <c r="AJ623" i="9"/>
  <c r="AJ624" i="9"/>
  <c r="AJ625" i="9"/>
  <c r="AJ626" i="9"/>
  <c r="AJ627" i="9"/>
  <c r="AJ628" i="9"/>
  <c r="AJ629" i="9"/>
  <c r="AJ630" i="9"/>
  <c r="AJ631" i="9"/>
  <c r="AJ632" i="9"/>
  <c r="AJ633" i="9"/>
  <c r="AJ634" i="9"/>
  <c r="AJ635" i="9"/>
  <c r="AJ636" i="9"/>
  <c r="AJ637" i="9"/>
  <c r="AJ638" i="9"/>
  <c r="AJ639" i="9"/>
  <c r="AJ640" i="9"/>
  <c r="AJ641" i="9"/>
  <c r="AJ642" i="9"/>
  <c r="AJ643" i="9"/>
  <c r="AJ644" i="9"/>
  <c r="AJ645" i="9"/>
  <c r="AJ646" i="9"/>
  <c r="AJ647" i="9"/>
  <c r="AJ648" i="9"/>
  <c r="AJ649" i="9"/>
  <c r="AJ650" i="9"/>
  <c r="AJ651" i="9"/>
  <c r="AJ652" i="9"/>
  <c r="AJ653" i="9"/>
  <c r="AJ654" i="9"/>
  <c r="AJ655" i="9"/>
  <c r="AJ656" i="9"/>
  <c r="AJ657" i="9"/>
  <c r="AJ658" i="9"/>
  <c r="AJ659" i="9"/>
  <c r="AJ660" i="9"/>
  <c r="AJ661" i="9"/>
  <c r="AJ662" i="9"/>
  <c r="AJ663" i="9"/>
  <c r="AJ664" i="9"/>
  <c r="AJ665" i="9"/>
  <c r="AJ666" i="9"/>
  <c r="AJ667" i="9"/>
  <c r="AJ668" i="9"/>
  <c r="AJ669" i="9"/>
  <c r="AJ670" i="9"/>
  <c r="AJ671" i="9"/>
  <c r="AJ672" i="9"/>
  <c r="AJ673" i="9"/>
  <c r="AJ674" i="9"/>
  <c r="AJ675" i="9"/>
  <c r="AJ676" i="9"/>
  <c r="AJ677" i="9"/>
  <c r="AJ678" i="9"/>
  <c r="AJ679" i="9"/>
  <c r="AJ680" i="9"/>
  <c r="AJ681" i="9"/>
  <c r="AJ682" i="9"/>
  <c r="AJ683" i="9"/>
  <c r="AJ684" i="9"/>
  <c r="AJ685" i="9"/>
  <c r="AJ686" i="9"/>
  <c r="AJ687" i="9"/>
  <c r="AJ688" i="9"/>
  <c r="AJ689" i="9"/>
  <c r="AJ690" i="9"/>
  <c r="AJ691" i="9"/>
  <c r="AJ692" i="9"/>
  <c r="AJ693" i="9"/>
  <c r="AJ694" i="9"/>
  <c r="AJ695" i="9"/>
  <c r="AJ696" i="9"/>
  <c r="AJ697" i="9"/>
  <c r="AJ698" i="9"/>
  <c r="AJ699" i="9"/>
  <c r="AJ700" i="9"/>
  <c r="AJ701" i="9"/>
  <c r="AJ702" i="9"/>
  <c r="AJ703" i="9"/>
  <c r="AJ704" i="9"/>
  <c r="AJ705" i="9"/>
  <c r="AJ706" i="9"/>
  <c r="AJ707" i="9"/>
  <c r="AJ708" i="9"/>
  <c r="AJ709" i="9"/>
  <c r="AJ710" i="9"/>
  <c r="AJ711" i="9"/>
  <c r="AJ712" i="9"/>
  <c r="AJ713" i="9"/>
  <c r="AJ714" i="9"/>
  <c r="AJ715" i="9"/>
  <c r="AJ716" i="9"/>
  <c r="AJ717" i="9"/>
  <c r="AJ718" i="9"/>
  <c r="AJ719" i="9"/>
  <c r="AJ720" i="9"/>
  <c r="AJ721" i="9"/>
  <c r="AJ722" i="9"/>
  <c r="AJ723" i="9"/>
  <c r="AJ724" i="9"/>
  <c r="AJ725" i="9"/>
  <c r="AJ726" i="9"/>
  <c r="AJ727" i="9"/>
  <c r="AJ728" i="9"/>
  <c r="AJ729" i="9"/>
  <c r="AJ730" i="9"/>
  <c r="AJ731" i="9"/>
  <c r="AJ732" i="9"/>
  <c r="AJ733" i="9"/>
  <c r="AJ734" i="9"/>
  <c r="AJ735" i="9"/>
  <c r="AJ736" i="9"/>
  <c r="AJ737" i="9"/>
  <c r="AJ738" i="9"/>
  <c r="AJ739" i="9"/>
  <c r="AJ740" i="9"/>
  <c r="AJ741" i="9"/>
  <c r="AJ742" i="9"/>
  <c r="AJ743" i="9"/>
  <c r="AJ744" i="9"/>
  <c r="AJ745" i="9"/>
  <c r="AJ746" i="9"/>
  <c r="AJ747" i="9"/>
  <c r="AJ748" i="9"/>
  <c r="AJ749" i="9"/>
  <c r="AJ750" i="9"/>
  <c r="AJ751" i="9"/>
  <c r="AJ752" i="9"/>
  <c r="AJ753" i="9"/>
  <c r="AJ754" i="9"/>
  <c r="AJ755" i="9"/>
  <c r="AJ756" i="9"/>
  <c r="AJ757" i="9"/>
  <c r="AJ758" i="9"/>
  <c r="AJ759" i="9"/>
  <c r="AJ760" i="9"/>
  <c r="AJ761" i="9"/>
  <c r="AJ762" i="9"/>
  <c r="AJ763" i="9"/>
  <c r="AJ764" i="9"/>
  <c r="AJ765" i="9"/>
  <c r="AJ766" i="9"/>
  <c r="AJ767" i="9"/>
  <c r="AJ768" i="9"/>
  <c r="AJ769" i="9"/>
  <c r="AJ770" i="9"/>
  <c r="AJ771" i="9"/>
  <c r="AJ772" i="9"/>
  <c r="AJ773" i="9"/>
  <c r="AJ774" i="9"/>
  <c r="AJ775" i="9"/>
  <c r="AJ776" i="9"/>
  <c r="AJ777" i="9"/>
  <c r="AJ778" i="9"/>
  <c r="AJ779" i="9"/>
  <c r="AJ780" i="9"/>
  <c r="AJ781" i="9"/>
  <c r="AJ782" i="9"/>
  <c r="AJ783" i="9"/>
  <c r="AJ784" i="9"/>
  <c r="AJ785" i="9"/>
  <c r="AJ786" i="9"/>
  <c r="AJ787" i="9"/>
  <c r="AJ788" i="9"/>
  <c r="AJ789" i="9"/>
  <c r="AJ790" i="9"/>
  <c r="AJ791" i="9"/>
  <c r="AJ792" i="9"/>
  <c r="AJ793" i="9"/>
  <c r="AJ794" i="9"/>
  <c r="AJ795" i="9"/>
  <c r="AJ796" i="9"/>
  <c r="AJ797" i="9"/>
  <c r="AJ798" i="9"/>
  <c r="AJ799" i="9"/>
  <c r="AJ800" i="9"/>
  <c r="AJ801" i="9"/>
  <c r="AJ802" i="9"/>
  <c r="AJ803" i="9"/>
  <c r="AJ804" i="9"/>
  <c r="AJ805" i="9"/>
  <c r="AJ806" i="9"/>
  <c r="AJ807" i="9"/>
  <c r="AJ808" i="9"/>
  <c r="AJ809" i="9"/>
  <c r="AJ810" i="9"/>
  <c r="AJ811" i="9"/>
  <c r="AJ812" i="9"/>
  <c r="AJ813" i="9"/>
  <c r="AJ814" i="9"/>
  <c r="AJ815" i="9"/>
  <c r="AJ816" i="9"/>
  <c r="AJ817" i="9"/>
  <c r="AJ818" i="9"/>
  <c r="AJ819" i="9"/>
  <c r="AJ820" i="9"/>
  <c r="AJ821" i="9"/>
  <c r="AJ822" i="9"/>
  <c r="AJ823" i="9"/>
  <c r="AJ824" i="9"/>
  <c r="AJ825" i="9"/>
  <c r="AJ826" i="9"/>
  <c r="AJ827" i="9"/>
  <c r="AJ828" i="9"/>
  <c r="AJ829" i="9"/>
  <c r="AJ830" i="9"/>
  <c r="AJ831" i="9"/>
  <c r="AJ832" i="9"/>
  <c r="AJ833" i="9"/>
  <c r="AJ834" i="9"/>
  <c r="AJ835" i="9"/>
  <c r="AJ836" i="9"/>
  <c r="AJ837" i="9"/>
  <c r="AJ838" i="9"/>
  <c r="AJ839" i="9"/>
  <c r="AJ840" i="9"/>
  <c r="AJ841" i="9"/>
  <c r="AJ842" i="9"/>
  <c r="AJ843" i="9"/>
  <c r="AJ844" i="9"/>
  <c r="AJ845" i="9"/>
  <c r="AJ846" i="9"/>
  <c r="AJ847" i="9"/>
  <c r="AJ848" i="9"/>
  <c r="AJ849" i="9"/>
  <c r="AJ850" i="9"/>
  <c r="AJ851" i="9"/>
  <c r="AJ852" i="9"/>
  <c r="AJ853" i="9"/>
  <c r="AJ854" i="9"/>
  <c r="AJ855" i="9"/>
  <c r="AJ856" i="9"/>
  <c r="AJ857" i="9"/>
  <c r="AJ858" i="9"/>
  <c r="AJ859" i="9"/>
  <c r="AJ860" i="9"/>
  <c r="AJ861" i="9"/>
  <c r="AJ862" i="9"/>
  <c r="AJ863" i="9"/>
  <c r="AJ864" i="9"/>
  <c r="AJ865" i="9"/>
  <c r="AJ866" i="9"/>
  <c r="AJ867" i="9"/>
  <c r="AJ868" i="9"/>
  <c r="AJ869" i="9"/>
  <c r="AJ870" i="9"/>
  <c r="AJ871" i="9"/>
  <c r="AJ872" i="9"/>
  <c r="AJ873" i="9"/>
  <c r="AJ874" i="9"/>
  <c r="AJ875" i="9"/>
  <c r="AJ876" i="9"/>
  <c r="AJ877" i="9"/>
  <c r="AJ878" i="9"/>
  <c r="AJ879" i="9"/>
  <c r="AJ880" i="9"/>
  <c r="AJ881" i="9"/>
  <c r="AJ882" i="9"/>
  <c r="AJ883" i="9"/>
  <c r="AJ884" i="9"/>
  <c r="AJ885" i="9"/>
  <c r="AJ886" i="9"/>
  <c r="AJ887" i="9"/>
  <c r="AJ888" i="9"/>
  <c r="AJ889" i="9"/>
  <c r="AJ890" i="9"/>
  <c r="AJ891" i="9"/>
  <c r="AJ892" i="9"/>
  <c r="AJ893" i="9"/>
  <c r="AJ894" i="9"/>
  <c r="AJ895" i="9"/>
  <c r="AJ896" i="9"/>
  <c r="AJ897" i="9"/>
  <c r="AJ898" i="9"/>
  <c r="AJ899" i="9"/>
  <c r="AJ900" i="9"/>
  <c r="AJ901" i="9"/>
  <c r="AJ902" i="9"/>
  <c r="AJ903" i="9"/>
  <c r="AJ904" i="9"/>
  <c r="AJ905" i="9"/>
  <c r="AJ906" i="9"/>
  <c r="AJ907" i="9"/>
  <c r="AJ908" i="9"/>
  <c r="AJ909" i="9"/>
  <c r="AJ910" i="9"/>
  <c r="AJ911" i="9"/>
  <c r="AJ912" i="9"/>
  <c r="AJ913" i="9"/>
  <c r="AJ914" i="9"/>
  <c r="AJ915" i="9"/>
  <c r="AJ916" i="9"/>
  <c r="AJ917" i="9"/>
  <c r="AJ918" i="9"/>
  <c r="AJ919" i="9"/>
  <c r="AJ920" i="9"/>
  <c r="AJ921" i="9"/>
  <c r="AJ922" i="9"/>
  <c r="AJ923" i="9"/>
  <c r="AJ924" i="9"/>
  <c r="AJ925" i="9"/>
  <c r="AJ926" i="9"/>
  <c r="AJ927" i="9"/>
  <c r="AJ928" i="9"/>
  <c r="AJ929" i="9"/>
  <c r="AJ930" i="9"/>
  <c r="AJ931" i="9"/>
  <c r="AJ932" i="9"/>
  <c r="AJ933" i="9"/>
  <c r="AJ934" i="9"/>
  <c r="AJ935" i="9"/>
  <c r="AJ936" i="9"/>
  <c r="AJ937" i="9"/>
  <c r="AJ938" i="9"/>
  <c r="AJ939" i="9"/>
  <c r="AJ940" i="9"/>
  <c r="AJ941" i="9"/>
  <c r="AJ942" i="9"/>
  <c r="AJ943" i="9"/>
  <c r="AJ944" i="9"/>
  <c r="AJ945" i="9"/>
  <c r="AJ946" i="9"/>
  <c r="AJ947" i="9"/>
  <c r="AJ948" i="9"/>
  <c r="AJ949" i="9"/>
  <c r="AJ950" i="9"/>
  <c r="AJ951" i="9"/>
  <c r="AJ952" i="9"/>
  <c r="AJ953" i="9"/>
  <c r="AJ954" i="9"/>
  <c r="AJ955" i="9"/>
  <c r="AJ956" i="9"/>
  <c r="AJ957" i="9"/>
  <c r="AJ958" i="9"/>
  <c r="AJ959" i="9"/>
  <c r="AJ960" i="9"/>
  <c r="AJ961" i="9"/>
  <c r="AJ962" i="9"/>
  <c r="AJ963" i="9"/>
  <c r="AJ964" i="9"/>
  <c r="AJ965" i="9"/>
  <c r="AJ966" i="9"/>
  <c r="AJ967" i="9"/>
  <c r="AJ968" i="9"/>
  <c r="AJ969" i="9"/>
  <c r="AJ970" i="9"/>
  <c r="AJ971" i="9"/>
  <c r="AJ972" i="9"/>
  <c r="AJ973" i="9"/>
  <c r="AJ974" i="9"/>
  <c r="AJ975" i="9"/>
  <c r="AJ976" i="9"/>
  <c r="AJ977" i="9"/>
  <c r="AJ978" i="9"/>
  <c r="AJ979" i="9"/>
  <c r="AJ980" i="9"/>
  <c r="AJ981" i="9"/>
  <c r="AJ982" i="9"/>
  <c r="AJ983" i="9"/>
  <c r="AJ984" i="9"/>
  <c r="AJ985" i="9"/>
  <c r="AJ986" i="9"/>
  <c r="AJ987" i="9"/>
  <c r="AJ988" i="9"/>
  <c r="AJ989" i="9"/>
  <c r="AJ990" i="9"/>
  <c r="AJ991" i="9"/>
  <c r="AJ992" i="9"/>
  <c r="AJ993" i="9"/>
  <c r="AJ994" i="9"/>
  <c r="AJ995" i="9"/>
  <c r="AJ996" i="9"/>
  <c r="AJ997" i="9"/>
  <c r="AJ998" i="9"/>
  <c r="AJ999" i="9"/>
  <c r="AJ1000" i="9"/>
  <c r="AJ1001" i="9"/>
  <c r="A2" i="15"/>
  <c r="B12" i="15"/>
  <c r="B13" i="15"/>
  <c r="B14" i="15"/>
  <c r="B15" i="15"/>
  <c r="B16" i="15"/>
  <c r="B17" i="15"/>
  <c r="B18" i="15"/>
  <c r="B19" i="15"/>
  <c r="B2" i="15"/>
  <c r="P2" i="15" s="1"/>
  <c r="B3" i="15"/>
  <c r="P3" i="15" s="1"/>
  <c r="B4" i="15"/>
  <c r="P4" i="15" s="1"/>
  <c r="B5" i="15"/>
  <c r="P5" i="15" s="1"/>
  <c r="B6" i="15"/>
  <c r="O6" i="15" s="1"/>
  <c r="B7" i="15"/>
  <c r="P7" i="15" s="1"/>
  <c r="B8" i="15"/>
  <c r="P8" i="15" s="1"/>
  <c r="B9" i="15"/>
  <c r="O9" i="15" s="1"/>
  <c r="B10" i="15"/>
  <c r="P10" i="15" s="1"/>
  <c r="B11" i="15"/>
  <c r="P11" i="15" s="1"/>
  <c r="A3" i="15"/>
  <c r="A4" i="15"/>
  <c r="A5" i="15"/>
  <c r="A6" i="15"/>
  <c r="A7" i="15"/>
  <c r="A8" i="15"/>
  <c r="A9" i="15"/>
  <c r="A10" i="15"/>
  <c r="A11" i="15"/>
  <c r="A12" i="15"/>
  <c r="A13" i="15"/>
  <c r="A14" i="15"/>
  <c r="A15" i="15"/>
  <c r="A16" i="15"/>
  <c r="A17" i="15"/>
  <c r="A18" i="15"/>
  <c r="A19" i="15"/>
  <c r="J3" i="18" l="1"/>
  <c r="J11" i="18"/>
  <c r="J6" i="18"/>
  <c r="J4" i="18"/>
  <c r="J5" i="18"/>
  <c r="J8" i="18"/>
  <c r="J9" i="18"/>
  <c r="J2" i="18"/>
  <c r="J10" i="18"/>
  <c r="J7" i="18"/>
  <c r="N5" i="18"/>
  <c r="N7" i="18"/>
  <c r="N8" i="18"/>
  <c r="N10" i="18"/>
  <c r="N3" i="18"/>
  <c r="N4" i="18"/>
  <c r="N6" i="18"/>
  <c r="N9" i="18"/>
  <c r="N2" i="18"/>
  <c r="N11" i="18"/>
  <c r="R968" i="17"/>
  <c r="T968" i="17" s="1"/>
  <c r="AA569" i="17"/>
  <c r="AC569" i="17" s="1"/>
  <c r="AA797" i="17"/>
  <c r="AC797" i="17" s="1"/>
  <c r="AG420" i="17"/>
  <c r="AG388" i="17"/>
  <c r="AG252" i="17"/>
  <c r="AG204" i="17"/>
  <c r="AG116" i="17"/>
  <c r="AG60" i="17"/>
  <c r="AA116" i="17"/>
  <c r="AC116" i="17" s="1"/>
  <c r="I264" i="17"/>
  <c r="K264" i="17" s="1"/>
  <c r="AG879" i="17"/>
  <c r="AG775" i="17"/>
  <c r="AG759" i="17"/>
  <c r="AG471" i="17"/>
  <c r="AG359" i="17"/>
  <c r="AG335" i="17"/>
  <c r="AG223" i="17"/>
  <c r="AG974" i="17"/>
  <c r="AG966" i="17"/>
  <c r="AG918" i="17"/>
  <c r="AG910" i="17"/>
  <c r="AG878" i="17"/>
  <c r="AG866" i="17"/>
  <c r="AG822" i="17"/>
  <c r="AG810" i="17"/>
  <c r="AG774" i="17"/>
  <c r="AG754" i="17"/>
  <c r="AG734" i="17"/>
  <c r="AG718" i="17"/>
  <c r="AG710" i="17"/>
  <c r="AG662" i="17"/>
  <c r="AG622" i="17"/>
  <c r="AG590" i="17"/>
  <c r="AG550" i="17"/>
  <c r="AG526" i="17"/>
  <c r="AG510" i="17"/>
  <c r="AG494" i="17"/>
  <c r="AG490" i="17"/>
  <c r="AG470" i="17"/>
  <c r="AG462" i="17"/>
  <c r="AG454" i="17"/>
  <c r="AG446" i="17"/>
  <c r="AG442" i="17"/>
  <c r="AG422" i="17"/>
  <c r="AG414" i="17"/>
  <c r="AG406" i="17"/>
  <c r="AG390" i="17"/>
  <c r="AG382" i="17"/>
  <c r="AG378" i="17"/>
  <c r="AG358" i="17"/>
  <c r="AG350" i="17"/>
  <c r="AG342" i="17"/>
  <c r="AG330" i="17"/>
  <c r="AG318" i="17"/>
  <c r="AG302" i="17"/>
  <c r="AG294" i="17"/>
  <c r="AG270" i="17"/>
  <c r="AG266" i="17"/>
  <c r="AG246" i="17"/>
  <c r="AG238" i="17"/>
  <c r="AG218" i="17"/>
  <c r="AG214" i="17"/>
  <c r="AG198" i="17"/>
  <c r="AG190" i="17"/>
  <c r="AG166" i="17"/>
  <c r="AG158" i="17"/>
  <c r="AG142" i="17"/>
  <c r="AG110" i="17"/>
  <c r="AG78" i="17"/>
  <c r="R920" i="17"/>
  <c r="T920" i="17" s="1"/>
  <c r="AA848" i="17"/>
  <c r="AC848" i="17" s="1"/>
  <c r="AG324" i="17"/>
  <c r="AG20" i="17"/>
  <c r="AA84" i="17"/>
  <c r="AC84" i="17" s="1"/>
  <c r="AA172" i="17"/>
  <c r="AC172" i="17" s="1"/>
  <c r="AA280" i="17"/>
  <c r="AC280" i="17" s="1"/>
  <c r="R344" i="17"/>
  <c r="T344" i="17" s="1"/>
  <c r="R360" i="17"/>
  <c r="T360" i="17" s="1"/>
  <c r="R936" i="17"/>
  <c r="T936" i="17" s="1"/>
  <c r="R236" i="17"/>
  <c r="T236" i="17" s="1"/>
  <c r="R372" i="17"/>
  <c r="T372" i="17" s="1"/>
  <c r="AA380" i="17"/>
  <c r="AC380" i="17" s="1"/>
  <c r="AA140" i="17"/>
  <c r="AC140" i="17" s="1"/>
  <c r="AA256" i="17"/>
  <c r="AC256" i="17" s="1"/>
  <c r="R688" i="17"/>
  <c r="T688" i="17" s="1"/>
  <c r="AA500" i="17"/>
  <c r="AC500" i="17" s="1"/>
  <c r="AA524" i="17"/>
  <c r="AC524" i="17" s="1"/>
  <c r="AE445" i="17"/>
  <c r="AE916" i="17"/>
  <c r="AE788" i="17"/>
  <c r="AE980" i="17"/>
  <c r="AE948" i="17"/>
  <c r="AE884" i="17"/>
  <c r="AE852" i="17"/>
  <c r="AE820" i="17"/>
  <c r="AE756" i="17"/>
  <c r="AA974" i="17"/>
  <c r="AC974" i="17" s="1"/>
  <c r="AA970" i="17"/>
  <c r="AC970" i="17" s="1"/>
  <c r="AA966" i="17"/>
  <c r="AC966" i="17" s="1"/>
  <c r="AA934" i="17"/>
  <c r="AC934" i="17" s="1"/>
  <c r="AA926" i="17"/>
  <c r="AC926" i="17" s="1"/>
  <c r="AA870" i="17"/>
  <c r="AC870" i="17" s="1"/>
  <c r="AA862" i="17"/>
  <c r="AC862" i="17" s="1"/>
  <c r="AA754" i="17"/>
  <c r="AC754" i="17" s="1"/>
  <c r="AA718" i="17"/>
  <c r="AC718" i="17" s="1"/>
  <c r="AA714" i="17"/>
  <c r="AC714" i="17" s="1"/>
  <c r="AA710" i="17"/>
  <c r="AC710" i="17" s="1"/>
  <c r="AA662" i="17"/>
  <c r="AC662" i="17" s="1"/>
  <c r="AA654" i="17"/>
  <c r="AC654" i="17" s="1"/>
  <c r="AG998" i="17"/>
  <c r="AG962" i="17"/>
  <c r="AG886" i="17"/>
  <c r="AG838" i="17"/>
  <c r="AG830" i="17"/>
  <c r="AG766" i="17"/>
  <c r="AG726" i="17"/>
  <c r="AG670" i="17"/>
  <c r="AG654" i="17"/>
  <c r="AG606" i="17"/>
  <c r="AG598" i="17"/>
  <c r="AG566" i="17"/>
  <c r="AG558" i="17"/>
  <c r="AG534" i="17"/>
  <c r="AG502" i="17"/>
  <c r="AG478" i="17"/>
  <c r="AA981" i="17"/>
  <c r="AC981" i="17" s="1"/>
  <c r="AA973" i="17"/>
  <c r="AC973" i="17" s="1"/>
  <c r="AE573" i="17"/>
  <c r="AE533" i="17"/>
  <c r="AE405" i="17"/>
  <c r="AA910" i="17"/>
  <c r="AC910" i="17" s="1"/>
  <c r="AA894" i="17"/>
  <c r="AC894" i="17" s="1"/>
  <c r="AA778" i="17"/>
  <c r="AC778" i="17" s="1"/>
  <c r="AA766" i="17"/>
  <c r="AC766" i="17" s="1"/>
  <c r="R958" i="17"/>
  <c r="T958" i="17" s="1"/>
  <c r="AA941" i="17"/>
  <c r="AC941" i="17" s="1"/>
  <c r="AA933" i="17"/>
  <c r="AC933" i="17" s="1"/>
  <c r="AE509" i="17"/>
  <c r="AE469" i="17"/>
  <c r="AE381" i="17"/>
  <c r="AE341" i="17"/>
  <c r="AA622" i="17"/>
  <c r="AC622" i="17" s="1"/>
  <c r="R626" i="17"/>
  <c r="T626" i="17" s="1"/>
  <c r="AE932" i="17"/>
  <c r="AE900" i="17"/>
  <c r="AE868" i="17"/>
  <c r="AE836" i="17"/>
  <c r="AE804" i="17"/>
  <c r="AE772" i="17"/>
  <c r="AE996" i="17"/>
  <c r="AE964" i="17"/>
  <c r="R526" i="17"/>
  <c r="T526" i="17" s="1"/>
  <c r="R838" i="17"/>
  <c r="T838" i="17" s="1"/>
  <c r="I842" i="17"/>
  <c r="K842" i="17" s="1"/>
  <c r="R994" i="17"/>
  <c r="T994" i="17" s="1"/>
  <c r="AA999" i="17"/>
  <c r="AC999" i="17" s="1"/>
  <c r="AA967" i="17"/>
  <c r="AC967" i="17" s="1"/>
  <c r="AA959" i="17"/>
  <c r="AC959" i="17" s="1"/>
  <c r="AA947" i="17"/>
  <c r="AC947" i="17" s="1"/>
  <c r="AA927" i="17"/>
  <c r="AC927" i="17" s="1"/>
  <c r="AA919" i="17"/>
  <c r="AC919" i="17" s="1"/>
  <c r="AA911" i="17"/>
  <c r="AC911" i="17" s="1"/>
  <c r="AA903" i="17"/>
  <c r="AC903" i="17" s="1"/>
  <c r="AA895" i="17"/>
  <c r="AC895" i="17" s="1"/>
  <c r="AA871" i="17"/>
  <c r="AC871" i="17" s="1"/>
  <c r="AA863" i="17"/>
  <c r="AC863" i="17" s="1"/>
  <c r="AA855" i="17"/>
  <c r="AC855" i="17" s="1"/>
  <c r="AA847" i="17"/>
  <c r="AC847" i="17" s="1"/>
  <c r="AA843" i="17"/>
  <c r="AC843" i="17" s="1"/>
  <c r="AA839" i="17"/>
  <c r="AC839" i="17" s="1"/>
  <c r="AA831" i="17"/>
  <c r="AC831" i="17" s="1"/>
  <c r="AA815" i="17"/>
  <c r="AC815" i="17" s="1"/>
  <c r="AA807" i="17"/>
  <c r="AC807" i="17" s="1"/>
  <c r="AA799" i="17"/>
  <c r="AC799" i="17" s="1"/>
  <c r="AA787" i="17"/>
  <c r="AC787" i="17" s="1"/>
  <c r="AA779" i="17"/>
  <c r="AC779" i="17" s="1"/>
  <c r="AA767" i="17"/>
  <c r="AC767" i="17" s="1"/>
  <c r="AA759" i="17"/>
  <c r="AC759" i="17" s="1"/>
  <c r="AA739" i="17"/>
  <c r="AC739" i="17" s="1"/>
  <c r="AA715" i="17"/>
  <c r="AC715" i="17" s="1"/>
  <c r="AA711" i="17"/>
  <c r="AC711" i="17" s="1"/>
  <c r="AA703" i="17"/>
  <c r="AC703" i="17" s="1"/>
  <c r="AA691" i="17"/>
  <c r="AC691" i="17" s="1"/>
  <c r="AA667" i="17"/>
  <c r="AC667" i="17" s="1"/>
  <c r="AA663" i="17"/>
  <c r="AC663" i="17" s="1"/>
  <c r="AA655" i="17"/>
  <c r="AC655" i="17" s="1"/>
  <c r="AA647" i="17"/>
  <c r="AC647" i="17" s="1"/>
  <c r="AA619" i="17"/>
  <c r="AC619" i="17" s="1"/>
  <c r="AA599" i="17"/>
  <c r="AC599" i="17" s="1"/>
  <c r="AA595" i="17"/>
  <c r="AC595" i="17" s="1"/>
  <c r="AA591" i="17"/>
  <c r="AC591" i="17" s="1"/>
  <c r="AA583" i="17"/>
  <c r="AC583" i="17" s="1"/>
  <c r="AA499" i="17"/>
  <c r="AC499" i="17" s="1"/>
  <c r="AA487" i="17"/>
  <c r="AC487" i="17" s="1"/>
  <c r="AA475" i="17"/>
  <c r="AC475" i="17" s="1"/>
  <c r="AA427" i="17"/>
  <c r="AC427" i="17" s="1"/>
  <c r="AA383" i="17"/>
  <c r="AC383" i="17" s="1"/>
  <c r="AA375" i="17"/>
  <c r="AC375" i="17" s="1"/>
  <c r="AA355" i="17"/>
  <c r="AC355" i="17" s="1"/>
  <c r="AA279" i="17"/>
  <c r="AC279" i="17" s="1"/>
  <c r="AA231" i="17"/>
  <c r="AC231" i="17" s="1"/>
  <c r="AA111" i="17"/>
  <c r="AC111" i="17" s="1"/>
  <c r="AA55" i="17"/>
  <c r="AC55" i="17" s="1"/>
  <c r="AA983" i="17"/>
  <c r="AC983" i="17" s="1"/>
  <c r="AA31" i="17"/>
  <c r="AC31" i="17" s="1"/>
  <c r="AE999" i="17"/>
  <c r="AE995" i="17"/>
  <c r="AE991" i="17"/>
  <c r="AE987" i="17"/>
  <c r="AE983" i="17"/>
  <c r="AE979" i="17"/>
  <c r="AE975" i="17"/>
  <c r="AE971" i="17"/>
  <c r="AE955" i="17"/>
  <c r="AE935" i="17"/>
  <c r="AE931" i="17"/>
  <c r="AA535" i="17"/>
  <c r="AC535" i="17" s="1"/>
  <c r="AA403" i="17"/>
  <c r="AC403" i="17" s="1"/>
  <c r="AE967" i="17"/>
  <c r="AE963" i="17"/>
  <c r="AE959" i="17"/>
  <c r="AE951" i="17"/>
  <c r="AE947" i="17"/>
  <c r="AE943" i="17"/>
  <c r="AE939" i="17"/>
  <c r="AE927" i="17"/>
  <c r="AE923" i="17"/>
  <c r="AE919" i="17"/>
  <c r="AE915" i="17"/>
  <c r="AE911" i="17"/>
  <c r="AE907" i="17"/>
  <c r="AE903" i="17"/>
  <c r="AE899" i="17"/>
  <c r="AE895" i="17"/>
  <c r="AE891" i="17"/>
  <c r="AE887" i="17"/>
  <c r="AE883" i="17"/>
  <c r="AE879" i="17"/>
  <c r="AE875" i="17"/>
  <c r="AE871" i="17"/>
  <c r="AE867" i="17"/>
  <c r="AE863" i="17"/>
  <c r="AE859" i="17"/>
  <c r="AE855" i="17"/>
  <c r="AE851" i="17"/>
  <c r="AE847" i="17"/>
  <c r="AE843" i="17"/>
  <c r="AE839" i="17"/>
  <c r="AE835" i="17"/>
  <c r="AE831" i="17"/>
  <c r="AE827" i="17"/>
  <c r="AE823" i="17"/>
  <c r="AE819" i="17"/>
  <c r="AE815" i="17"/>
  <c r="AE811" i="17"/>
  <c r="AE807" i="17"/>
  <c r="AE803" i="17"/>
  <c r="AE799" i="17"/>
  <c r="AE795" i="17"/>
  <c r="AE791" i="17"/>
  <c r="AE787" i="17"/>
  <c r="AE783" i="17"/>
  <c r="AE779" i="17"/>
  <c r="AE775" i="17"/>
  <c r="AE771" i="17"/>
  <c r="AE767" i="17"/>
  <c r="AE763" i="17"/>
  <c r="AE759" i="17"/>
  <c r="AE755" i="17"/>
  <c r="AE751" i="17"/>
  <c r="AE747" i="17"/>
  <c r="AE743" i="17"/>
  <c r="AE739" i="17"/>
  <c r="AE735" i="17"/>
  <c r="AE731" i="17"/>
  <c r="AE727" i="17"/>
  <c r="AE723" i="17"/>
  <c r="AE719" i="17"/>
  <c r="AE715" i="17"/>
  <c r="AE711" i="17"/>
  <c r="AE707" i="17"/>
  <c r="AE703" i="17"/>
  <c r="AE699" i="17"/>
  <c r="AE695" i="17"/>
  <c r="AE691" i="17"/>
  <c r="AE687" i="17"/>
  <c r="AE683" i="17"/>
  <c r="AE679" i="17"/>
  <c r="AE675" i="17"/>
  <c r="AE671" i="17"/>
  <c r="AE667" i="17"/>
  <c r="AE663" i="17"/>
  <c r="AE659" i="17"/>
  <c r="AE655" i="17"/>
  <c r="AE651" i="17"/>
  <c r="AE647" i="17"/>
  <c r="AE643" i="17"/>
  <c r="AE639" i="17"/>
  <c r="AE635" i="17"/>
  <c r="AE631" i="17"/>
  <c r="AE627" i="17"/>
  <c r="AE623" i="17"/>
  <c r="AE619" i="17"/>
  <c r="AE615" i="17"/>
  <c r="AE611" i="17"/>
  <c r="AE607" i="17"/>
  <c r="AE603" i="17"/>
  <c r="AE599" i="17"/>
  <c r="AE595" i="17"/>
  <c r="AE591" i="17"/>
  <c r="AE587" i="17"/>
  <c r="AE583" i="17"/>
  <c r="AE579" i="17"/>
  <c r="AE575" i="17"/>
  <c r="AE571" i="17"/>
  <c r="AE567" i="17"/>
  <c r="AE563" i="17"/>
  <c r="AE559" i="17"/>
  <c r="AE555" i="17"/>
  <c r="AE551" i="17"/>
  <c r="AE547" i="17"/>
  <c r="AE543" i="17"/>
  <c r="AE539" i="17"/>
  <c r="AE535" i="17"/>
  <c r="AE531" i="17"/>
  <c r="AE527" i="17"/>
  <c r="AE523" i="17"/>
  <c r="AE519" i="17"/>
  <c r="AE515" i="17"/>
  <c r="AE511" i="17"/>
  <c r="AE507" i="17"/>
  <c r="AE503" i="17"/>
  <c r="AE499" i="17"/>
  <c r="AE495" i="17"/>
  <c r="AE491" i="17"/>
  <c r="AE487" i="17"/>
  <c r="AE483" i="17"/>
  <c r="AE479" i="17"/>
  <c r="AE475" i="17"/>
  <c r="AE471" i="17"/>
  <c r="AE467" i="17"/>
  <c r="AE463" i="17"/>
  <c r="AE459" i="17"/>
  <c r="AE455" i="17"/>
  <c r="AE451" i="17"/>
  <c r="AE447" i="17"/>
  <c r="AE443" i="17"/>
  <c r="AE439" i="17"/>
  <c r="AE435" i="17"/>
  <c r="AE431" i="17"/>
  <c r="AE427" i="17"/>
  <c r="AE423" i="17"/>
  <c r="AE419" i="17"/>
  <c r="AE415" i="17"/>
  <c r="AE411" i="17"/>
  <c r="AE407" i="17"/>
  <c r="AE403" i="17"/>
  <c r="AE399" i="17"/>
  <c r="AE395" i="17"/>
  <c r="AE391" i="17"/>
  <c r="AE387" i="17"/>
  <c r="AE383" i="17"/>
  <c r="AE379" i="17"/>
  <c r="AE375" i="17"/>
  <c r="AE371" i="17"/>
  <c r="AE367" i="17"/>
  <c r="AE363" i="17"/>
  <c r="AE359" i="17"/>
  <c r="AE355" i="17"/>
  <c r="AE351" i="17"/>
  <c r="AE347" i="17"/>
  <c r="AE343" i="17"/>
  <c r="AE339" i="17"/>
  <c r="AE335" i="17"/>
  <c r="AE331" i="17"/>
  <c r="AE327" i="17"/>
  <c r="AE323" i="17"/>
  <c r="AE319" i="17"/>
  <c r="AE315" i="17"/>
  <c r="AE311" i="17"/>
  <c r="AE307" i="17"/>
  <c r="AE303" i="17"/>
  <c r="AE299" i="17"/>
  <c r="AE295" i="17"/>
  <c r="AE291" i="17"/>
  <c r="AE287" i="17"/>
  <c r="AE171" i="17"/>
  <c r="AE75" i="17"/>
  <c r="R39" i="17"/>
  <c r="T39" i="17" s="1"/>
  <c r="AA327" i="17"/>
  <c r="AC327" i="17" s="1"/>
  <c r="R683" i="17"/>
  <c r="T683" i="17" s="1"/>
  <c r="AA982" i="17"/>
  <c r="AC982" i="17" s="1"/>
  <c r="AA918" i="17"/>
  <c r="AC918" i="17" s="1"/>
  <c r="AA878" i="17"/>
  <c r="AC878" i="17" s="1"/>
  <c r="AA830" i="17"/>
  <c r="AC830" i="17" s="1"/>
  <c r="AA822" i="17"/>
  <c r="AC822" i="17" s="1"/>
  <c r="AA814" i="17"/>
  <c r="AC814" i="17" s="1"/>
  <c r="AA774" i="17"/>
  <c r="AC774" i="17" s="1"/>
  <c r="AA690" i="17"/>
  <c r="AC690" i="17" s="1"/>
  <c r="AA670" i="17"/>
  <c r="AC670" i="17" s="1"/>
  <c r="AA606" i="17"/>
  <c r="AC606" i="17" s="1"/>
  <c r="AA598" i="17"/>
  <c r="AC598" i="17" s="1"/>
  <c r="AA590" i="17"/>
  <c r="AC590" i="17" s="1"/>
  <c r="AA574" i="17"/>
  <c r="AC574" i="17" s="1"/>
  <c r="AA542" i="17"/>
  <c r="AC542" i="17" s="1"/>
  <c r="AA526" i="17"/>
  <c r="AC526" i="17" s="1"/>
  <c r="AA446" i="17"/>
  <c r="AC446" i="17" s="1"/>
  <c r="AA390" i="17"/>
  <c r="AC390" i="17" s="1"/>
  <c r="AA374" i="17"/>
  <c r="AC374" i="17" s="1"/>
  <c r="AA326" i="17"/>
  <c r="AC326" i="17" s="1"/>
  <c r="AA54" i="17"/>
  <c r="AC54" i="17" s="1"/>
  <c r="AE998" i="17"/>
  <c r="AE994" i="17"/>
  <c r="AE990" i="17"/>
  <c r="AE986" i="17"/>
  <c r="AE982" i="17"/>
  <c r="AE978" i="17"/>
  <c r="AE974" i="17"/>
  <c r="AE970" i="17"/>
  <c r="AE966" i="17"/>
  <c r="AE962" i="17"/>
  <c r="AE958" i="17"/>
  <c r="AE954" i="17"/>
  <c r="AE950" i="17"/>
  <c r="AE946" i="17"/>
  <c r="R111" i="17"/>
  <c r="T111" i="17" s="1"/>
  <c r="R115" i="17"/>
  <c r="T115" i="17" s="1"/>
  <c r="R55" i="17"/>
  <c r="T55" i="17" s="1"/>
  <c r="AA87" i="17"/>
  <c r="AC87" i="17" s="1"/>
  <c r="R119" i="17"/>
  <c r="T119" i="17" s="1"/>
  <c r="R303" i="17"/>
  <c r="T303" i="17" s="1"/>
  <c r="AA307" i="17"/>
  <c r="AC307" i="17" s="1"/>
  <c r="R895" i="17"/>
  <c r="T895" i="17" s="1"/>
  <c r="AA61" i="17"/>
  <c r="AC61" i="17" s="1"/>
  <c r="R63" i="17"/>
  <c r="T63" i="17" s="1"/>
  <c r="R95" i="17"/>
  <c r="T95" i="17" s="1"/>
  <c r="R207" i="17"/>
  <c r="T207" i="17" s="1"/>
  <c r="R279" i="17"/>
  <c r="T279" i="17" s="1"/>
  <c r="R391" i="17"/>
  <c r="T391" i="17" s="1"/>
  <c r="AA423" i="17"/>
  <c r="AC423" i="17" s="1"/>
  <c r="AA755" i="17"/>
  <c r="AC755" i="17" s="1"/>
  <c r="AE942" i="17"/>
  <c r="AE938" i="17"/>
  <c r="AE934" i="17"/>
  <c r="AE930" i="17"/>
  <c r="AE926" i="17"/>
  <c r="AE922" i="17"/>
  <c r="AE918" i="17"/>
  <c r="AE914" i="17"/>
  <c r="AE910" i="17"/>
  <c r="AE906" i="17"/>
  <c r="AE902" i="17"/>
  <c r="AE898" i="17"/>
  <c r="AE894" i="17"/>
  <c r="AE890" i="17"/>
  <c r="AE886" i="17"/>
  <c r="AE882" i="17"/>
  <c r="AE878" i="17"/>
  <c r="AE874" i="17"/>
  <c r="AE870" i="17"/>
  <c r="AE866" i="17"/>
  <c r="AE862" i="17"/>
  <c r="AE858" i="17"/>
  <c r="AE854" i="17"/>
  <c r="AE850" i="17"/>
  <c r="AE846" i="17"/>
  <c r="AE842" i="17"/>
  <c r="AE838" i="17"/>
  <c r="AE834" i="17"/>
  <c r="AE830" i="17"/>
  <c r="AE826" i="17"/>
  <c r="AE822" i="17"/>
  <c r="AE818" i="17"/>
  <c r="AE814" i="17"/>
  <c r="AE810" i="17"/>
  <c r="AE806" i="17"/>
  <c r="AE802" i="17"/>
  <c r="AE798" i="17"/>
  <c r="AE794" i="17"/>
  <c r="AE790" i="17"/>
  <c r="AE786" i="17"/>
  <c r="AE782" i="17"/>
  <c r="AE778" i="17"/>
  <c r="AE774" i="17"/>
  <c r="AE770" i="17"/>
  <c r="AE766" i="17"/>
  <c r="AE762" i="17"/>
  <c r="AE758" i="17"/>
  <c r="AE754" i="17"/>
  <c r="AE750" i="17"/>
  <c r="AE746" i="17"/>
  <c r="AE742" i="17"/>
  <c r="AE738" i="17"/>
  <c r="AE734" i="17"/>
  <c r="AE730" i="17"/>
  <c r="AE726" i="17"/>
  <c r="AE722" i="17"/>
  <c r="AE718" i="17"/>
  <c r="AE714" i="17"/>
  <c r="AE710" i="17"/>
  <c r="AE706" i="17"/>
  <c r="AE702" i="17"/>
  <c r="AE698" i="17"/>
  <c r="AE694" i="17"/>
  <c r="AE690" i="17"/>
  <c r="AE686" i="17"/>
  <c r="AE682" i="17"/>
  <c r="AE678" i="17"/>
  <c r="AE674" i="17"/>
  <c r="AE670" i="17"/>
  <c r="AE666" i="17"/>
  <c r="AE662" i="17"/>
  <c r="AE658" i="17"/>
  <c r="AE654" i="17"/>
  <c r="AE650" i="17"/>
  <c r="AE646" i="17"/>
  <c r="AE642" i="17"/>
  <c r="AE638" i="17"/>
  <c r="AE634" i="17"/>
  <c r="AE630" i="17"/>
  <c r="AE626" i="17"/>
  <c r="AE622" i="17"/>
  <c r="AE618" i="17"/>
  <c r="AE614" i="17"/>
  <c r="AE610" i="17"/>
  <c r="AE606" i="17"/>
  <c r="AE602" i="17"/>
  <c r="AE598" i="17"/>
  <c r="AE594" i="17"/>
  <c r="AE590" i="17"/>
  <c r="AE586" i="17"/>
  <c r="AE582" i="17"/>
  <c r="AE578" i="17"/>
  <c r="AE574" i="17"/>
  <c r="AE570" i="17"/>
  <c r="AE566" i="17"/>
  <c r="AE562" i="17"/>
  <c r="AE558" i="17"/>
  <c r="AE554" i="17"/>
  <c r="AE550" i="17"/>
  <c r="AE546" i="17"/>
  <c r="AE542" i="17"/>
  <c r="AE538" i="17"/>
  <c r="AE534" i="17"/>
  <c r="AE530" i="17"/>
  <c r="AE526" i="17"/>
  <c r="AE522" i="17"/>
  <c r="AE518" i="17"/>
  <c r="AE514" i="17"/>
  <c r="AE510" i="17"/>
  <c r="AE506" i="17"/>
  <c r="AE502" i="17"/>
  <c r="AE498" i="17"/>
  <c r="AE494" i="17"/>
  <c r="AE490" i="17"/>
  <c r="AE486" i="17"/>
  <c r="AE482" i="17"/>
  <c r="AE478" i="17"/>
  <c r="AE474" i="17"/>
  <c r="AE470" i="17"/>
  <c r="AE466" i="17"/>
  <c r="AE462" i="17"/>
  <c r="AE458" i="17"/>
  <c r="AE454" i="17"/>
  <c r="AE450" i="17"/>
  <c r="AE446" i="17"/>
  <c r="AE442" i="17"/>
  <c r="AE438" i="17"/>
  <c r="AE434" i="17"/>
  <c r="AE430" i="17"/>
  <c r="AE426" i="17"/>
  <c r="AE422" i="17"/>
  <c r="AE418" i="17"/>
  <c r="AE414" i="17"/>
  <c r="AE410" i="17"/>
  <c r="AE406" i="17"/>
  <c r="AE402" i="17"/>
  <c r="AE398" i="17"/>
  <c r="AE394" i="17"/>
  <c r="AE390" i="17"/>
  <c r="AE386" i="17"/>
  <c r="AE382" i="17"/>
  <c r="AE378" i="17"/>
  <c r="AE374" i="17"/>
  <c r="AE370" i="17"/>
  <c r="AE366" i="17"/>
  <c r="AE362" i="17"/>
  <c r="AE358" i="17"/>
  <c r="AE354" i="17"/>
  <c r="AE350" i="17"/>
  <c r="AE346" i="17"/>
  <c r="AE342" i="17"/>
  <c r="AE338" i="17"/>
  <c r="AE334" i="17"/>
  <c r="AE330" i="17"/>
  <c r="AE326" i="17"/>
  <c r="AE322" i="17"/>
  <c r="AE318" i="17"/>
  <c r="AE314" i="17"/>
  <c r="AE310" i="17"/>
  <c r="AE306" i="17"/>
  <c r="AE302" i="17"/>
  <c r="AE298" i="17"/>
  <c r="AE294" i="17"/>
  <c r="AE290" i="17"/>
  <c r="AE286" i="17"/>
  <c r="AG982" i="17"/>
  <c r="AG942" i="17"/>
  <c r="AG890" i="17"/>
  <c r="AG870" i="17"/>
  <c r="AG814" i="17"/>
  <c r="AA1001" i="17"/>
  <c r="AC1001" i="17" s="1"/>
  <c r="AA997" i="17"/>
  <c r="AC997" i="17" s="1"/>
  <c r="AA989" i="17"/>
  <c r="AC989" i="17" s="1"/>
  <c r="AE283" i="17"/>
  <c r="AE279" i="17"/>
  <c r="AE275" i="17"/>
  <c r="AE271" i="17"/>
  <c r="AE267" i="17"/>
  <c r="AE263" i="17"/>
  <c r="AE259" i="17"/>
  <c r="AE255" i="17"/>
  <c r="AE251" i="17"/>
  <c r="AE247" i="17"/>
  <c r="AE243" i="17"/>
  <c r="AE239" i="17"/>
  <c r="AE235" i="17"/>
  <c r="AE231" i="17"/>
  <c r="AE227" i="17"/>
  <c r="AE223" i="17"/>
  <c r="AE219" i="17"/>
  <c r="AE215" i="17"/>
  <c r="AE211" i="17"/>
  <c r="AE207" i="17"/>
  <c r="AE203" i="17"/>
  <c r="AE199" i="17"/>
  <c r="AE195" i="17"/>
  <c r="AE191" i="17"/>
  <c r="AE187" i="17"/>
  <c r="AE183" i="17"/>
  <c r="AE179" i="17"/>
  <c r="AE175" i="17"/>
  <c r="AE167" i="17"/>
  <c r="AE163" i="17"/>
  <c r="AE159" i="17"/>
  <c r="AE155" i="17"/>
  <c r="AE151" i="17"/>
  <c r="AE147" i="17"/>
  <c r="AE143" i="17"/>
  <c r="AE139" i="17"/>
  <c r="AE135" i="17"/>
  <c r="AE131" i="17"/>
  <c r="AE127" i="17"/>
  <c r="AE123" i="17"/>
  <c r="AE119" i="17"/>
  <c r="AE115" i="17"/>
  <c r="AE111" i="17"/>
  <c r="AE107" i="17"/>
  <c r="AE103" i="17"/>
  <c r="AE99" i="17"/>
  <c r="AE95" i="17"/>
  <c r="AE91" i="17"/>
  <c r="AE87" i="17"/>
  <c r="AE83" i="17"/>
  <c r="AE79" i="17"/>
  <c r="AE71" i="17"/>
  <c r="AE67" i="17"/>
  <c r="AE63" i="17"/>
  <c r="AE59" i="17"/>
  <c r="AE55" i="17"/>
  <c r="AE51" i="17"/>
  <c r="AE47" i="17"/>
  <c r="AE43" i="17"/>
  <c r="AE39" i="17"/>
  <c r="AE35" i="17"/>
  <c r="AE31" i="17"/>
  <c r="AE27" i="17"/>
  <c r="AE23" i="17"/>
  <c r="AE19" i="17"/>
  <c r="AE15" i="17"/>
  <c r="AE11" i="17"/>
  <c r="AE7" i="17"/>
  <c r="AE3" i="17"/>
  <c r="AE282" i="17"/>
  <c r="AE278" i="17"/>
  <c r="AE274" i="17"/>
  <c r="AE270" i="17"/>
  <c r="AE266" i="17"/>
  <c r="AE262" i="17"/>
  <c r="AE258" i="17"/>
  <c r="AE254" i="17"/>
  <c r="AE250" i="17"/>
  <c r="AE246" i="17"/>
  <c r="AE242" i="17"/>
  <c r="AE238" i="17"/>
  <c r="AE234" i="17"/>
  <c r="AE230" i="17"/>
  <c r="AE226" i="17"/>
  <c r="AE222" i="17"/>
  <c r="AE218" i="17"/>
  <c r="AE214" i="17"/>
  <c r="AE210" i="17"/>
  <c r="AE206" i="17"/>
  <c r="AE202" i="17"/>
  <c r="AE198" i="17"/>
  <c r="AE194" i="17"/>
  <c r="AE190" i="17"/>
  <c r="AE186" i="17"/>
  <c r="AE182" i="17"/>
  <c r="AE178" i="17"/>
  <c r="AE174" i="17"/>
  <c r="AE170" i="17"/>
  <c r="AE166" i="17"/>
  <c r="AE162" i="17"/>
  <c r="AE158" i="17"/>
  <c r="AE154" i="17"/>
  <c r="AE150" i="17"/>
  <c r="AE146" i="17"/>
  <c r="AE142" i="17"/>
  <c r="AE138" i="17"/>
  <c r="AE134" i="17"/>
  <c r="AE130" i="17"/>
  <c r="AE126" i="17"/>
  <c r="AE122" i="17"/>
  <c r="AE118" i="17"/>
  <c r="AE114" i="17"/>
  <c r="AE110" i="17"/>
  <c r="AE106" i="17"/>
  <c r="AE102" i="17"/>
  <c r="AE98" i="17"/>
  <c r="AE94" i="17"/>
  <c r="AE90" i="17"/>
  <c r="AE86" i="17"/>
  <c r="AE82" i="17"/>
  <c r="AE78" i="17"/>
  <c r="AE74" i="17"/>
  <c r="AE70" i="17"/>
  <c r="AE66" i="17"/>
  <c r="AE62" i="17"/>
  <c r="AE58" i="17"/>
  <c r="AE54" i="17"/>
  <c r="AE50" i="17"/>
  <c r="AE46" i="17"/>
  <c r="AE42" i="17"/>
  <c r="AE38" i="17"/>
  <c r="AE34" i="17"/>
  <c r="AE30" i="17"/>
  <c r="AE26" i="17"/>
  <c r="AE22" i="17"/>
  <c r="AE18" i="17"/>
  <c r="AE14" i="17"/>
  <c r="AE10" i="17"/>
  <c r="AE6" i="17"/>
  <c r="AE2" i="17"/>
  <c r="AA961" i="17"/>
  <c r="AC961" i="17" s="1"/>
  <c r="AA957" i="17"/>
  <c r="AC957" i="17" s="1"/>
  <c r="AA925" i="17"/>
  <c r="AC925" i="17" s="1"/>
  <c r="AA897" i="17"/>
  <c r="AC897" i="17" s="1"/>
  <c r="AA885" i="17"/>
  <c r="AC885" i="17" s="1"/>
  <c r="AA877" i="17"/>
  <c r="AC877" i="17" s="1"/>
  <c r="AA861" i="17"/>
  <c r="AC861" i="17" s="1"/>
  <c r="AA857" i="17"/>
  <c r="AC857" i="17" s="1"/>
  <c r="AA837" i="17"/>
  <c r="AC837" i="17" s="1"/>
  <c r="AA829" i="17"/>
  <c r="AC829" i="17" s="1"/>
  <c r="AA821" i="17"/>
  <c r="AC821" i="17" s="1"/>
  <c r="AA801" i="17"/>
  <c r="AC801" i="17" s="1"/>
  <c r="AA781" i="17"/>
  <c r="AC781" i="17" s="1"/>
  <c r="AA773" i="17"/>
  <c r="AC773" i="17" s="1"/>
  <c r="AA757" i="17"/>
  <c r="AC757" i="17" s="1"/>
  <c r="AA753" i="17"/>
  <c r="AC753" i="17" s="1"/>
  <c r="AA737" i="17"/>
  <c r="AC737" i="17" s="1"/>
  <c r="AA733" i="17"/>
  <c r="AC733" i="17" s="1"/>
  <c r="AA725" i="17"/>
  <c r="AC725" i="17" s="1"/>
  <c r="AA717" i="17"/>
  <c r="AC717" i="17" s="1"/>
  <c r="AA693" i="17"/>
  <c r="AC693" i="17" s="1"/>
  <c r="AA677" i="17"/>
  <c r="AC677" i="17" s="1"/>
  <c r="AA669" i="17"/>
  <c r="AC669" i="17" s="1"/>
  <c r="AA621" i="17"/>
  <c r="AC621" i="17" s="1"/>
  <c r="AA613" i="17"/>
  <c r="AC613" i="17" s="1"/>
  <c r="AA605" i="17"/>
  <c r="AC605" i="17" s="1"/>
  <c r="AA573" i="17"/>
  <c r="AC573" i="17" s="1"/>
  <c r="AA557" i="17"/>
  <c r="AC557" i="17" s="1"/>
  <c r="AA549" i="17"/>
  <c r="AC549" i="17" s="1"/>
  <c r="AA545" i="17"/>
  <c r="AC545" i="17" s="1"/>
  <c r="AA521" i="17"/>
  <c r="AC521" i="17" s="1"/>
  <c r="AA501" i="17"/>
  <c r="AC501" i="17" s="1"/>
  <c r="AA473" i="17"/>
  <c r="AC473" i="17" s="1"/>
  <c r="AA453" i="17"/>
  <c r="AC453" i="17" s="1"/>
  <c r="AA425" i="17"/>
  <c r="AC425" i="17" s="1"/>
  <c r="AA405" i="17"/>
  <c r="AC405" i="17" s="1"/>
  <c r="AA377" i="17"/>
  <c r="AC377" i="17" s="1"/>
  <c r="AA349" i="17"/>
  <c r="AC349" i="17" s="1"/>
  <c r="AA329" i="17"/>
  <c r="AC329" i="17" s="1"/>
  <c r="AA277" i="17"/>
  <c r="AC277" i="17" s="1"/>
  <c r="AA229" i="17"/>
  <c r="AC229" i="17" s="1"/>
  <c r="AA201" i="17"/>
  <c r="AC201" i="17" s="1"/>
  <c r="AA173" i="17"/>
  <c r="AC173" i="17" s="1"/>
  <c r="AA169" i="17"/>
  <c r="AC169" i="17" s="1"/>
  <c r="AA117" i="17"/>
  <c r="AC117" i="17" s="1"/>
  <c r="AA113" i="17"/>
  <c r="AC113" i="17" s="1"/>
  <c r="AA57" i="17"/>
  <c r="AC57" i="17" s="1"/>
  <c r="AA25" i="17"/>
  <c r="AC25" i="17" s="1"/>
  <c r="AE373" i="17"/>
  <c r="AE349" i="17"/>
  <c r="AE1001" i="17"/>
  <c r="AE997" i="17"/>
  <c r="AE993" i="17"/>
  <c r="AE989" i="17"/>
  <c r="AE985" i="17"/>
  <c r="AE981" i="17"/>
  <c r="AE565" i="17"/>
  <c r="AE541" i="17"/>
  <c r="AE501" i="17"/>
  <c r="AE477" i="17"/>
  <c r="AE437" i="17"/>
  <c r="AE413" i="17"/>
  <c r="R714" i="17"/>
  <c r="T714" i="17" s="1"/>
  <c r="I934" i="17"/>
  <c r="K934" i="17" s="1"/>
  <c r="AA996" i="17"/>
  <c r="AC996" i="17" s="1"/>
  <c r="AA992" i="17"/>
  <c r="AC992" i="17" s="1"/>
  <c r="AA988" i="17"/>
  <c r="AC988" i="17" s="1"/>
  <c r="AA984" i="17"/>
  <c r="AC984" i="17" s="1"/>
  <c r="AA980" i="17"/>
  <c r="AC980" i="17" s="1"/>
  <c r="AA976" i="17"/>
  <c r="AC976" i="17" s="1"/>
  <c r="AA972" i="17"/>
  <c r="AC972" i="17" s="1"/>
  <c r="AA968" i="17"/>
  <c r="AC968" i="17" s="1"/>
  <c r="AA964" i="17"/>
  <c r="AC964" i="17" s="1"/>
  <c r="AA960" i="17"/>
  <c r="AC960" i="17" s="1"/>
  <c r="AA956" i="17"/>
  <c r="AC956" i="17" s="1"/>
  <c r="AA948" i="17"/>
  <c r="AC948" i="17" s="1"/>
  <c r="AA940" i="17"/>
  <c r="AC940" i="17" s="1"/>
  <c r="AA932" i="17"/>
  <c r="AC932" i="17" s="1"/>
  <c r="AA928" i="17"/>
  <c r="AC928" i="17" s="1"/>
  <c r="AA924" i="17"/>
  <c r="AC924" i="17" s="1"/>
  <c r="AA916" i="17"/>
  <c r="AC916" i="17" s="1"/>
  <c r="AA912" i="17"/>
  <c r="AC912" i="17" s="1"/>
  <c r="AA908" i="17"/>
  <c r="AC908" i="17" s="1"/>
  <c r="AA904" i="17"/>
  <c r="AC904" i="17" s="1"/>
  <c r="AA900" i="17"/>
  <c r="AC900" i="17" s="1"/>
  <c r="AA896" i="17"/>
  <c r="AC896" i="17" s="1"/>
  <c r="AA892" i="17"/>
  <c r="AC892" i="17" s="1"/>
  <c r="AA888" i="17"/>
  <c r="AC888" i="17" s="1"/>
  <c r="AA884" i="17"/>
  <c r="AC884" i="17" s="1"/>
  <c r="AA880" i="17"/>
  <c r="AC880" i="17" s="1"/>
  <c r="AA876" i="17"/>
  <c r="AC876" i="17" s="1"/>
  <c r="AA868" i="17"/>
  <c r="AC868" i="17" s="1"/>
  <c r="AA864" i="17"/>
  <c r="AC864" i="17" s="1"/>
  <c r="AA860" i="17"/>
  <c r="AC860" i="17" s="1"/>
  <c r="AA856" i="17"/>
  <c r="AC856" i="17" s="1"/>
  <c r="AA852" i="17"/>
  <c r="AC852" i="17" s="1"/>
  <c r="AA844" i="17"/>
  <c r="AC844" i="17" s="1"/>
  <c r="AA836" i="17"/>
  <c r="AC836" i="17" s="1"/>
  <c r="AA832" i="17"/>
  <c r="AC832" i="17" s="1"/>
  <c r="AA828" i="17"/>
  <c r="AC828" i="17" s="1"/>
  <c r="AA824" i="17"/>
  <c r="AC824" i="17" s="1"/>
  <c r="AA820" i="17"/>
  <c r="AC820" i="17" s="1"/>
  <c r="AA816" i="17"/>
  <c r="AC816" i="17" s="1"/>
  <c r="AA808" i="17"/>
  <c r="AC808" i="17" s="1"/>
  <c r="AA804" i="17"/>
  <c r="AC804" i="17" s="1"/>
  <c r="AA800" i="17"/>
  <c r="AC800" i="17" s="1"/>
  <c r="AA796" i="17"/>
  <c r="AC796" i="17" s="1"/>
  <c r="AA788" i="17"/>
  <c r="AC788" i="17" s="1"/>
  <c r="AA780" i="17"/>
  <c r="AC780" i="17" s="1"/>
  <c r="AA772" i="17"/>
  <c r="AC772" i="17" s="1"/>
  <c r="AA764" i="17"/>
  <c r="AC764" i="17" s="1"/>
  <c r="AA760" i="17"/>
  <c r="AC760" i="17" s="1"/>
  <c r="AA756" i="17"/>
  <c r="AC756" i="17" s="1"/>
  <c r="AA752" i="17"/>
  <c r="AC752" i="17" s="1"/>
  <c r="AA748" i="17"/>
  <c r="AC748" i="17" s="1"/>
  <c r="AA744" i="17"/>
  <c r="AC744" i="17" s="1"/>
  <c r="AA740" i="17"/>
  <c r="AC740" i="17" s="1"/>
  <c r="AA736" i="17"/>
  <c r="AC736" i="17" s="1"/>
  <c r="AA732" i="17"/>
  <c r="AC732" i="17" s="1"/>
  <c r="AA728" i="17"/>
  <c r="AC728" i="17" s="1"/>
  <c r="AA724" i="17"/>
  <c r="AC724" i="17" s="1"/>
  <c r="AA716" i="17"/>
  <c r="AC716" i="17" s="1"/>
  <c r="AA712" i="17"/>
  <c r="AC712" i="17" s="1"/>
  <c r="AA708" i="17"/>
  <c r="AC708" i="17" s="1"/>
  <c r="AA704" i="17"/>
  <c r="AC704" i="17" s="1"/>
  <c r="AA700" i="17"/>
  <c r="AC700" i="17" s="1"/>
  <c r="AA696" i="17"/>
  <c r="AC696" i="17" s="1"/>
  <c r="AA692" i="17"/>
  <c r="AC692" i="17" s="1"/>
  <c r="AA684" i="17"/>
  <c r="AC684" i="17" s="1"/>
  <c r="AA676" i="17"/>
  <c r="AC676" i="17" s="1"/>
  <c r="AA672" i="17"/>
  <c r="AC672" i="17" s="1"/>
  <c r="AA668" i="17"/>
  <c r="AC668" i="17" s="1"/>
  <c r="AA660" i="17"/>
  <c r="AC660" i="17" s="1"/>
  <c r="AA656" i="17"/>
  <c r="AC656" i="17" s="1"/>
  <c r="AA652" i="17"/>
  <c r="AC652" i="17" s="1"/>
  <c r="AA648" i="17"/>
  <c r="AC648" i="17" s="1"/>
  <c r="AA644" i="17"/>
  <c r="AC644" i="17" s="1"/>
  <c r="AA640" i="17"/>
  <c r="AC640" i="17" s="1"/>
  <c r="AA636" i="17"/>
  <c r="AC636" i="17" s="1"/>
  <c r="AA632" i="17"/>
  <c r="AC632" i="17" s="1"/>
  <c r="AA628" i="17"/>
  <c r="AC628" i="17" s="1"/>
  <c r="AA624" i="17"/>
  <c r="AC624" i="17" s="1"/>
  <c r="AA620" i="17"/>
  <c r="AC620" i="17" s="1"/>
  <c r="AA616" i="17"/>
  <c r="AC616" i="17" s="1"/>
  <c r="AA612" i="17"/>
  <c r="AC612" i="17" s="1"/>
  <c r="AA604" i="17"/>
  <c r="AC604" i="17" s="1"/>
  <c r="AA596" i="17"/>
  <c r="AC596" i="17" s="1"/>
  <c r="AA592" i="17"/>
  <c r="AC592" i="17" s="1"/>
  <c r="AA588" i="17"/>
  <c r="AC588" i="17" s="1"/>
  <c r="AA584" i="17"/>
  <c r="AC584" i="17" s="1"/>
  <c r="AA580" i="17"/>
  <c r="AC580" i="17" s="1"/>
  <c r="AA576" i="17"/>
  <c r="AC576" i="17" s="1"/>
  <c r="AA572" i="17"/>
  <c r="AC572" i="17" s="1"/>
  <c r="AA564" i="17"/>
  <c r="AC564" i="17" s="1"/>
  <c r="AA560" i="17"/>
  <c r="AC560" i="17" s="1"/>
  <c r="AA556" i="17"/>
  <c r="AC556" i="17" s="1"/>
  <c r="AA552" i="17"/>
  <c r="AC552" i="17" s="1"/>
  <c r="AA548" i="17"/>
  <c r="AC548" i="17" s="1"/>
  <c r="AA544" i="17"/>
  <c r="AC544" i="17" s="1"/>
  <c r="AA532" i="17"/>
  <c r="AC532" i="17" s="1"/>
  <c r="AA528" i="17"/>
  <c r="AC528" i="17" s="1"/>
  <c r="AA520" i="17"/>
  <c r="AC520" i="17" s="1"/>
  <c r="AA496" i="17"/>
  <c r="AC496" i="17" s="1"/>
  <c r="AA488" i="17"/>
  <c r="AC488" i="17" s="1"/>
  <c r="AA480" i="17"/>
  <c r="AC480" i="17" s="1"/>
  <c r="AA476" i="17"/>
  <c r="AC476" i="17" s="1"/>
  <c r="AA472" i="17"/>
  <c r="AC472" i="17" s="1"/>
  <c r="AA460" i="17"/>
  <c r="AC460" i="17" s="1"/>
  <c r="AA456" i="17"/>
  <c r="AC456" i="17" s="1"/>
  <c r="AA448" i="17"/>
  <c r="AC448" i="17" s="1"/>
  <c r="AA440" i="17"/>
  <c r="AC440" i="17" s="1"/>
  <c r="AA436" i="17"/>
  <c r="AC436" i="17" s="1"/>
  <c r="AA428" i="17"/>
  <c r="AC428" i="17" s="1"/>
  <c r="AA412" i="17"/>
  <c r="AC412" i="17" s="1"/>
  <c r="AA392" i="17"/>
  <c r="AC392" i="17" s="1"/>
  <c r="AA384" i="17"/>
  <c r="AC384" i="17" s="1"/>
  <c r="AA364" i="17"/>
  <c r="AC364" i="17" s="1"/>
  <c r="AA328" i="17"/>
  <c r="AC328" i="17" s="1"/>
  <c r="AA316" i="17"/>
  <c r="AC316" i="17" s="1"/>
  <c r="AA292" i="17"/>
  <c r="AC292" i="17" s="1"/>
  <c r="AA272" i="17"/>
  <c r="AC272" i="17" s="1"/>
  <c r="AA268" i="17"/>
  <c r="AC268" i="17" s="1"/>
  <c r="AA244" i="17"/>
  <c r="AC244" i="17" s="1"/>
  <c r="AA224" i="17"/>
  <c r="AC224" i="17" s="1"/>
  <c r="AA212" i="17"/>
  <c r="AC212" i="17" s="1"/>
  <c r="AA184" i="17"/>
  <c r="AC184" i="17" s="1"/>
  <c r="AA176" i="17"/>
  <c r="AC176" i="17" s="1"/>
  <c r="AA168" i="17"/>
  <c r="AC168" i="17" s="1"/>
  <c r="AA128" i="17"/>
  <c r="AC128" i="17" s="1"/>
  <c r="AA120" i="17"/>
  <c r="AC120" i="17" s="1"/>
  <c r="AA112" i="17"/>
  <c r="AC112" i="17" s="1"/>
  <c r="AA64" i="17"/>
  <c r="AC64" i="17" s="1"/>
  <c r="AA56" i="17"/>
  <c r="AC56" i="17" s="1"/>
  <c r="AA48" i="17"/>
  <c r="AC48" i="17" s="1"/>
  <c r="AA44" i="17"/>
  <c r="AC44" i="17" s="1"/>
  <c r="AA40" i="17"/>
  <c r="AC40" i="17" s="1"/>
  <c r="AA12" i="17"/>
  <c r="AC12" i="17" s="1"/>
  <c r="AE1000" i="17"/>
  <c r="AE992" i="17"/>
  <c r="AE988" i="17"/>
  <c r="AE984" i="17"/>
  <c r="AE976" i="17"/>
  <c r="AE972" i="17"/>
  <c r="AE968" i="17"/>
  <c r="AE960" i="17"/>
  <c r="AE956" i="17"/>
  <c r="AE952" i="17"/>
  <c r="AE944" i="17"/>
  <c r="AE940" i="17"/>
  <c r="AE936" i="17"/>
  <c r="AE924" i="17"/>
  <c r="AE908" i="17"/>
  <c r="AE892" i="17"/>
  <c r="AE876" i="17"/>
  <c r="AE860" i="17"/>
  <c r="AE844" i="17"/>
  <c r="AE828" i="17"/>
  <c r="AE812" i="17"/>
  <c r="AE796" i="17"/>
  <c r="AE780" i="17"/>
  <c r="AE764" i="17"/>
  <c r="AE748" i="17"/>
  <c r="AE977" i="17"/>
  <c r="AE973" i="17"/>
  <c r="AE969" i="17"/>
  <c r="AE965" i="17"/>
  <c r="AE961" i="17"/>
  <c r="AE957" i="17"/>
  <c r="AE953" i="17"/>
  <c r="AE949" i="17"/>
  <c r="AE945" i="17"/>
  <c r="AE941" i="17"/>
  <c r="AE937" i="17"/>
  <c r="AE933" i="17"/>
  <c r="AE929" i="17"/>
  <c r="AE925" i="17"/>
  <c r="AE921" i="17"/>
  <c r="AE917" i="17"/>
  <c r="AE913" i="17"/>
  <c r="AE909" i="17"/>
  <c r="AE905" i="17"/>
  <c r="AE901" i="17"/>
  <c r="AE897" i="17"/>
  <c r="AE893" i="17"/>
  <c r="AE889" i="17"/>
  <c r="AE885" i="17"/>
  <c r="AE881" i="17"/>
  <c r="AE877" i="17"/>
  <c r="AE873" i="17"/>
  <c r="AE869" i="17"/>
  <c r="AE865" i="17"/>
  <c r="AE861" i="17"/>
  <c r="AE857" i="17"/>
  <c r="AE853" i="17"/>
  <c r="AE849" i="17"/>
  <c r="AE845" i="17"/>
  <c r="AE841" i="17"/>
  <c r="AE837" i="17"/>
  <c r="AE833" i="17"/>
  <c r="AE829" i="17"/>
  <c r="AE825" i="17"/>
  <c r="AE821" i="17"/>
  <c r="AE817" i="17"/>
  <c r="AE813" i="17"/>
  <c r="AE809" i="17"/>
  <c r="AE805" i="17"/>
  <c r="AE801" i="17"/>
  <c r="AE797" i="17"/>
  <c r="AE793" i="17"/>
  <c r="AE789" i="17"/>
  <c r="AE785" i="17"/>
  <c r="AE781" i="17"/>
  <c r="AE777" i="17"/>
  <c r="AE773" i="17"/>
  <c r="AE769" i="17"/>
  <c r="AE765" i="17"/>
  <c r="AE761" i="17"/>
  <c r="AE757" i="17"/>
  <c r="AE753" i="17"/>
  <c r="AE749" i="17"/>
  <c r="AE745" i="17"/>
  <c r="AE741" i="17"/>
  <c r="AE737" i="17"/>
  <c r="AE733" i="17"/>
  <c r="AE729" i="17"/>
  <c r="AE725" i="17"/>
  <c r="AE721" i="17"/>
  <c r="AE717" i="17"/>
  <c r="AE713" i="17"/>
  <c r="AE709" i="17"/>
  <c r="AE705" i="17"/>
  <c r="AE701" i="17"/>
  <c r="AE697" i="17"/>
  <c r="AE693" i="17"/>
  <c r="AE689" i="17"/>
  <c r="AE685" i="17"/>
  <c r="AE681" i="17"/>
  <c r="AE677" i="17"/>
  <c r="AE673" i="17"/>
  <c r="AE669" i="17"/>
  <c r="AE665" i="17"/>
  <c r="AE661" i="17"/>
  <c r="AE657" i="17"/>
  <c r="AE653" i="17"/>
  <c r="AE649" i="17"/>
  <c r="AE645" i="17"/>
  <c r="AE641" i="17"/>
  <c r="AE637" i="17"/>
  <c r="AE633" i="17"/>
  <c r="AE629" i="17"/>
  <c r="AE625" i="17"/>
  <c r="AE621" i="17"/>
  <c r="AE617" i="17"/>
  <c r="AE613" i="17"/>
  <c r="AE609" i="17"/>
  <c r="AE605" i="17"/>
  <c r="AE601" i="17"/>
  <c r="AE597" i="17"/>
  <c r="AE593" i="17"/>
  <c r="AE589" i="17"/>
  <c r="AE585" i="17"/>
  <c r="AE581" i="17"/>
  <c r="AE577" i="17"/>
  <c r="AE569" i="17"/>
  <c r="AE561" i="17"/>
  <c r="AE557" i="17"/>
  <c r="AE553" i="17"/>
  <c r="AE549" i="17"/>
  <c r="AE545" i="17"/>
  <c r="AE537" i="17"/>
  <c r="AE529" i="17"/>
  <c r="AE525" i="17"/>
  <c r="AE521" i="17"/>
  <c r="AE517" i="17"/>
  <c r="AE513" i="17"/>
  <c r="AE505" i="17"/>
  <c r="AE497" i="17"/>
  <c r="AE493" i="17"/>
  <c r="AE489" i="17"/>
  <c r="AE485" i="17"/>
  <c r="AE481" i="17"/>
  <c r="AE473" i="17"/>
  <c r="AE465" i="17"/>
  <c r="AE461" i="17"/>
  <c r="AE457" i="17"/>
  <c r="AE453" i="17"/>
  <c r="AE449" i="17"/>
  <c r="AE441" i="17"/>
  <c r="AE433" i="17"/>
  <c r="AE429" i="17"/>
  <c r="AE425" i="17"/>
  <c r="AE421" i="17"/>
  <c r="AE417" i="17"/>
  <c r="AE409" i="17"/>
  <c r="AE401" i="17"/>
  <c r="AE397" i="17"/>
  <c r="AE393" i="17"/>
  <c r="AE389" i="17"/>
  <c r="AE385" i="17"/>
  <c r="AE377" i="17"/>
  <c r="AE365" i="17"/>
  <c r="AE357" i="17"/>
  <c r="AE928" i="17"/>
  <c r="AE920" i="17"/>
  <c r="AE912" i="17"/>
  <c r="AE904" i="17"/>
  <c r="AE896" i="17"/>
  <c r="AE888" i="17"/>
  <c r="AE880" i="17"/>
  <c r="AE872" i="17"/>
  <c r="AE864" i="17"/>
  <c r="AE856" i="17"/>
  <c r="AE848" i="17"/>
  <c r="AE840" i="17"/>
  <c r="AE832" i="17"/>
  <c r="AE824" i="17"/>
  <c r="AE816" i="17"/>
  <c r="AE808" i="17"/>
  <c r="AE800" i="17"/>
  <c r="AE792" i="17"/>
  <c r="AE784" i="17"/>
  <c r="AE776" i="17"/>
  <c r="AE768" i="17"/>
  <c r="AE760" i="17"/>
  <c r="AE752" i="17"/>
  <c r="AE744" i="17"/>
  <c r="AE740" i="17"/>
  <c r="AE736" i="17"/>
  <c r="AE732" i="17"/>
  <c r="AE728" i="17"/>
  <c r="AE724" i="17"/>
  <c r="AE720" i="17"/>
  <c r="AE716" i="17"/>
  <c r="AE712" i="17"/>
  <c r="AE708" i="17"/>
  <c r="AE704" i="17"/>
  <c r="AE700" i="17"/>
  <c r="AE696" i="17"/>
  <c r="AE692" i="17"/>
  <c r="AE688" i="17"/>
  <c r="AE684" i="17"/>
  <c r="AE680" i="17"/>
  <c r="AE676" i="17"/>
  <c r="AE672" i="17"/>
  <c r="AE668" i="17"/>
  <c r="AE664" i="17"/>
  <c r="AE660" i="17"/>
  <c r="AE656" i="17"/>
  <c r="AE652" i="17"/>
  <c r="AE648" i="17"/>
  <c r="AE644" i="17"/>
  <c r="AE640" i="17"/>
  <c r="AE636" i="17"/>
  <c r="AE632" i="17"/>
  <c r="AE628" i="17"/>
  <c r="AE624" i="17"/>
  <c r="AE620" i="17"/>
  <c r="AE616" i="17"/>
  <c r="AE612" i="17"/>
  <c r="AE608" i="17"/>
  <c r="AE604" i="17"/>
  <c r="AE600" i="17"/>
  <c r="AE596" i="17"/>
  <c r="AE592" i="17"/>
  <c r="AE588" i="17"/>
  <c r="AE584" i="17"/>
  <c r="AE580" i="17"/>
  <c r="AE576" i="17"/>
  <c r="AE572" i="17"/>
  <c r="AE568" i="17"/>
  <c r="AE564" i="17"/>
  <c r="AE560" i="17"/>
  <c r="AE556" i="17"/>
  <c r="AE552" i="17"/>
  <c r="AE548" i="17"/>
  <c r="AE544" i="17"/>
  <c r="AE540" i="17"/>
  <c r="AE536" i="17"/>
  <c r="AE532" i="17"/>
  <c r="AE528" i="17"/>
  <c r="AE524" i="17"/>
  <c r="AE520" i="17"/>
  <c r="AE516" i="17"/>
  <c r="AE512" i="17"/>
  <c r="AE508" i="17"/>
  <c r="AE504" i="17"/>
  <c r="AE500" i="17"/>
  <c r="AE496" i="17"/>
  <c r="AE492" i="17"/>
  <c r="AE488" i="17"/>
  <c r="AE484" i="17"/>
  <c r="AE480" i="17"/>
  <c r="AE476" i="17"/>
  <c r="AE472" i="17"/>
  <c r="AE468" i="17"/>
  <c r="AE464" i="17"/>
  <c r="AE460" i="17"/>
  <c r="AE456" i="17"/>
  <c r="AE452" i="17"/>
  <c r="AE448" i="17"/>
  <c r="AE444" i="17"/>
  <c r="AE440" i="17"/>
  <c r="AE436" i="17"/>
  <c r="AE432" i="17"/>
  <c r="AE369" i="17"/>
  <c r="AE361" i="17"/>
  <c r="AE353" i="17"/>
  <c r="AE345" i="17"/>
  <c r="AE337" i="17"/>
  <c r="AE333" i="17"/>
  <c r="AE329" i="17"/>
  <c r="AE325" i="17"/>
  <c r="AE321" i="17"/>
  <c r="AE317" i="17"/>
  <c r="AE313" i="17"/>
  <c r="AE309" i="17"/>
  <c r="AE305" i="17"/>
  <c r="AE301" i="17"/>
  <c r="AE297" i="17"/>
  <c r="AE293" i="17"/>
  <c r="AE289" i="17"/>
  <c r="AE285" i="17"/>
  <c r="AE281" i="17"/>
  <c r="AE277" i="17"/>
  <c r="AE273" i="17"/>
  <c r="AE269" i="17"/>
  <c r="AE265" i="17"/>
  <c r="AE261" i="17"/>
  <c r="AE257" i="17"/>
  <c r="AE253" i="17"/>
  <c r="AE249" i="17"/>
  <c r="AE245" i="17"/>
  <c r="AE241" i="17"/>
  <c r="AE237" i="17"/>
  <c r="AE233" i="17"/>
  <c r="AE229" i="17"/>
  <c r="AE225" i="17"/>
  <c r="AE221" i="17"/>
  <c r="AE217" i="17"/>
  <c r="AE213" i="17"/>
  <c r="AE209" i="17"/>
  <c r="AE205" i="17"/>
  <c r="AE201" i="17"/>
  <c r="AE197" i="17"/>
  <c r="AE193" i="17"/>
  <c r="AE189" i="17"/>
  <c r="AE185" i="17"/>
  <c r="AE181" i="17"/>
  <c r="AE177" i="17"/>
  <c r="AE173" i="17"/>
  <c r="AE169" i="17"/>
  <c r="AE165" i="17"/>
  <c r="AE161" i="17"/>
  <c r="AE157" i="17"/>
  <c r="AE153" i="17"/>
  <c r="AE149" i="17"/>
  <c r="AE145" i="17"/>
  <c r="AE141" i="17"/>
  <c r="AE137" i="17"/>
  <c r="AE133" i="17"/>
  <c r="AE129" i="17"/>
  <c r="AE125" i="17"/>
  <c r="AE121" i="17"/>
  <c r="AE117" i="17"/>
  <c r="AE113" i="17"/>
  <c r="AE109" i="17"/>
  <c r="AE105" i="17"/>
  <c r="AE101" i="17"/>
  <c r="AE97" i="17"/>
  <c r="AE93" i="17"/>
  <c r="AE89" i="17"/>
  <c r="AE85" i="17"/>
  <c r="AE81" i="17"/>
  <c r="AE77" i="17"/>
  <c r="AE73" i="17"/>
  <c r="AE69" i="17"/>
  <c r="AE65" i="17"/>
  <c r="AE61" i="17"/>
  <c r="AE57" i="17"/>
  <c r="AE53" i="17"/>
  <c r="AE49" i="17"/>
  <c r="AE45" i="17"/>
  <c r="AE41" i="17"/>
  <c r="AE37" i="17"/>
  <c r="AE33" i="17"/>
  <c r="AE29" i="17"/>
  <c r="AE25" i="17"/>
  <c r="AE21" i="17"/>
  <c r="AE17" i="17"/>
  <c r="AE13" i="17"/>
  <c r="AE9" i="17"/>
  <c r="AE5" i="17"/>
  <c r="AE428" i="17"/>
  <c r="AE424" i="17"/>
  <c r="AE420" i="17"/>
  <c r="AE416" i="17"/>
  <c r="AE412" i="17"/>
  <c r="AE408" i="17"/>
  <c r="AE404" i="17"/>
  <c r="AE400" i="17"/>
  <c r="AE396" i="17"/>
  <c r="AE392" i="17"/>
  <c r="AE388" i="17"/>
  <c r="AE384" i="17"/>
  <c r="AE380" i="17"/>
  <c r="AE376" i="17"/>
  <c r="AE372" i="17"/>
  <c r="AE368" i="17"/>
  <c r="AE364" i="17"/>
  <c r="AE360" i="17"/>
  <c r="AE356" i="17"/>
  <c r="AE352" i="17"/>
  <c r="AE348" i="17"/>
  <c r="AE344" i="17"/>
  <c r="AE340" i="17"/>
  <c r="AE336" i="17"/>
  <c r="AE332" i="17"/>
  <c r="AE328" i="17"/>
  <c r="AE324" i="17"/>
  <c r="AE320" i="17"/>
  <c r="AE316" i="17"/>
  <c r="AE312" i="17"/>
  <c r="AE308" i="17"/>
  <c r="AE304" i="17"/>
  <c r="AE300" i="17"/>
  <c r="AE296" i="17"/>
  <c r="AE292" i="17"/>
  <c r="AE288" i="17"/>
  <c r="AE284" i="17"/>
  <c r="AE280" i="17"/>
  <c r="AE276" i="17"/>
  <c r="AE272" i="17"/>
  <c r="AE268" i="17"/>
  <c r="AE264" i="17"/>
  <c r="AE260" i="17"/>
  <c r="AE256" i="17"/>
  <c r="AE252" i="17"/>
  <c r="AE248" i="17"/>
  <c r="AE244" i="17"/>
  <c r="AE240" i="17"/>
  <c r="AE236" i="17"/>
  <c r="AE232" i="17"/>
  <c r="AE228" i="17"/>
  <c r="AE224" i="17"/>
  <c r="AE220" i="17"/>
  <c r="AE216" i="17"/>
  <c r="AE212" i="17"/>
  <c r="AE208" i="17"/>
  <c r="AE204" i="17"/>
  <c r="AE200" i="17"/>
  <c r="AE196" i="17"/>
  <c r="AE192" i="17"/>
  <c r="AE188" i="17"/>
  <c r="AE184" i="17"/>
  <c r="AE180" i="17"/>
  <c r="AE176" i="17"/>
  <c r="AE172" i="17"/>
  <c r="AE168" i="17"/>
  <c r="AE164" i="17"/>
  <c r="AE160" i="17"/>
  <c r="AE156" i="17"/>
  <c r="AE152" i="17"/>
  <c r="AE148" i="17"/>
  <c r="AE144" i="17"/>
  <c r="AE140" i="17"/>
  <c r="AE136" i="17"/>
  <c r="AE132" i="17"/>
  <c r="AE128" i="17"/>
  <c r="AE124" i="17"/>
  <c r="AE120" i="17"/>
  <c r="AE116" i="17"/>
  <c r="AE112" i="17"/>
  <c r="AE108" i="17"/>
  <c r="AE104" i="17"/>
  <c r="AE100" i="17"/>
  <c r="AE96" i="17"/>
  <c r="AE92" i="17"/>
  <c r="AE88" i="17"/>
  <c r="AE84" i="17"/>
  <c r="AE80" i="17"/>
  <c r="AE76" i="17"/>
  <c r="AE72" i="17"/>
  <c r="AE68" i="17"/>
  <c r="AE64" i="17"/>
  <c r="AE60" i="17"/>
  <c r="AE56" i="17"/>
  <c r="AE52" i="17"/>
  <c r="AE48" i="17"/>
  <c r="AE44" i="17"/>
  <c r="AE40" i="17"/>
  <c r="AE36" i="17"/>
  <c r="AE32" i="17"/>
  <c r="AE28" i="17"/>
  <c r="AE24" i="17"/>
  <c r="AE20" i="17"/>
  <c r="AE16" i="17"/>
  <c r="AE12" i="17"/>
  <c r="AE8" i="17"/>
  <c r="AE4" i="17"/>
  <c r="AA1000" i="17"/>
  <c r="AC1000" i="17" s="1"/>
  <c r="AA784" i="17"/>
  <c r="AC784" i="17" s="1"/>
  <c r="AA720" i="17"/>
  <c r="AC720" i="17" s="1"/>
  <c r="AA680" i="17"/>
  <c r="AC680" i="17" s="1"/>
  <c r="AA568" i="17"/>
  <c r="AC568" i="17" s="1"/>
  <c r="AA536" i="17"/>
  <c r="AC536" i="17" s="1"/>
  <c r="AA504" i="17"/>
  <c r="AC504" i="17" s="1"/>
  <c r="AA416" i="17"/>
  <c r="AC416" i="17" s="1"/>
  <c r="AA376" i="17"/>
  <c r="AC376" i="17" s="1"/>
  <c r="AA344" i="17"/>
  <c r="AC344" i="17" s="1"/>
  <c r="AA312" i="17"/>
  <c r="AC312" i="17" s="1"/>
  <c r="AA288" i="17"/>
  <c r="AC288" i="17" s="1"/>
  <c r="AA248" i="17"/>
  <c r="AC248" i="17" s="1"/>
  <c r="AA208" i="17"/>
  <c r="AC208" i="17" s="1"/>
  <c r="AA152" i="17"/>
  <c r="AC152" i="17" s="1"/>
  <c r="AA88" i="17"/>
  <c r="AC88" i="17" s="1"/>
  <c r="AA32" i="17"/>
  <c r="AC32" i="17" s="1"/>
  <c r="AA893" i="17"/>
  <c r="AC893" i="17" s="1"/>
  <c r="AA547" i="17"/>
  <c r="AC547" i="17" s="1"/>
  <c r="AA593" i="17"/>
  <c r="AC593" i="17" s="1"/>
  <c r="AA353" i="17"/>
  <c r="AC353" i="17" s="1"/>
  <c r="AA952" i="17"/>
  <c r="AC952" i="17" s="1"/>
  <c r="AA920" i="17"/>
  <c r="AC920" i="17" s="1"/>
  <c r="AA768" i="17"/>
  <c r="AC768" i="17" s="1"/>
  <c r="AA664" i="17"/>
  <c r="AC664" i="17" s="1"/>
  <c r="AA608" i="17"/>
  <c r="AC608" i="17" s="1"/>
  <c r="AA512" i="17"/>
  <c r="AC512" i="17" s="1"/>
  <c r="AA408" i="17"/>
  <c r="AC408" i="17" s="1"/>
  <c r="AA352" i="17"/>
  <c r="AC352" i="17" s="1"/>
  <c r="AA296" i="17"/>
  <c r="AC296" i="17" s="1"/>
  <c r="AA216" i="17"/>
  <c r="AC216" i="17" s="1"/>
  <c r="AA80" i="17"/>
  <c r="AC80" i="17" s="1"/>
  <c r="AA8" i="17"/>
  <c r="AC8" i="17" s="1"/>
  <c r="R488" i="17"/>
  <c r="T488" i="17" s="1"/>
  <c r="R616" i="17"/>
  <c r="T616" i="17" s="1"/>
  <c r="AA991" i="17"/>
  <c r="AC991" i="17" s="1"/>
  <c r="AA975" i="17"/>
  <c r="AC975" i="17" s="1"/>
  <c r="AA951" i="17"/>
  <c r="AC951" i="17" s="1"/>
  <c r="AA943" i="17"/>
  <c r="AC943" i="17" s="1"/>
  <c r="AA935" i="17"/>
  <c r="AC935" i="17" s="1"/>
  <c r="AA887" i="17"/>
  <c r="AC887" i="17" s="1"/>
  <c r="AA879" i="17"/>
  <c r="AC879" i="17" s="1"/>
  <c r="AA823" i="17"/>
  <c r="AC823" i="17" s="1"/>
  <c r="AA791" i="17"/>
  <c r="AC791" i="17" s="1"/>
  <c r="AA783" i="17"/>
  <c r="AC783" i="17" s="1"/>
  <c r="AA775" i="17"/>
  <c r="AC775" i="17" s="1"/>
  <c r="AA751" i="17"/>
  <c r="AC751" i="17" s="1"/>
  <c r="AA743" i="17"/>
  <c r="AC743" i="17" s="1"/>
  <c r="AA735" i="17"/>
  <c r="AC735" i="17" s="1"/>
  <c r="AA727" i="17"/>
  <c r="AC727" i="17" s="1"/>
  <c r="AA719" i="17"/>
  <c r="AC719" i="17" s="1"/>
  <c r="AA695" i="17"/>
  <c r="AC695" i="17" s="1"/>
  <c r="AA687" i="17"/>
  <c r="AC687" i="17" s="1"/>
  <c r="AA679" i="17"/>
  <c r="AC679" i="17" s="1"/>
  <c r="AA671" i="17"/>
  <c r="AC671" i="17" s="1"/>
  <c r="AA639" i="17"/>
  <c r="AC639" i="17" s="1"/>
  <c r="AA631" i="17"/>
  <c r="AC631" i="17" s="1"/>
  <c r="AA623" i="17"/>
  <c r="AC623" i="17" s="1"/>
  <c r="AA615" i="17"/>
  <c r="AC615" i="17" s="1"/>
  <c r="AA607" i="17"/>
  <c r="AC607" i="17" s="1"/>
  <c r="AA575" i="17"/>
  <c r="AC575" i="17" s="1"/>
  <c r="AA567" i="17"/>
  <c r="AC567" i="17" s="1"/>
  <c r="AA559" i="17"/>
  <c r="AC559" i="17" s="1"/>
  <c r="AA551" i="17"/>
  <c r="AC551" i="17" s="1"/>
  <c r="AA543" i="17"/>
  <c r="AC543" i="17" s="1"/>
  <c r="AA527" i="17"/>
  <c r="AC527" i="17" s="1"/>
  <c r="AA519" i="17"/>
  <c r="AC519" i="17" s="1"/>
  <c r="AA511" i="17"/>
  <c r="AC511" i="17" s="1"/>
  <c r="AA503" i="17"/>
  <c r="AC503" i="17" s="1"/>
  <c r="AA495" i="17"/>
  <c r="AC495" i="17" s="1"/>
  <c r="AA479" i="17"/>
  <c r="AC479" i="17" s="1"/>
  <c r="AA471" i="17"/>
  <c r="AC471" i="17" s="1"/>
  <c r="AA463" i="17"/>
  <c r="AC463" i="17" s="1"/>
  <c r="AA455" i="17"/>
  <c r="AC455" i="17" s="1"/>
  <c r="AA447" i="17"/>
  <c r="AC447" i="17" s="1"/>
  <c r="AA439" i="17"/>
  <c r="AC439" i="17" s="1"/>
  <c r="AA431" i="17"/>
  <c r="AC431" i="17" s="1"/>
  <c r="AA415" i="17"/>
  <c r="AC415" i="17" s="1"/>
  <c r="AA407" i="17"/>
  <c r="AC407" i="17" s="1"/>
  <c r="AA399" i="17"/>
  <c r="AC399" i="17" s="1"/>
  <c r="AA391" i="17"/>
  <c r="AC391" i="17" s="1"/>
  <c r="AA367" i="17"/>
  <c r="AC367" i="17" s="1"/>
  <c r="AA359" i="17"/>
  <c r="AC359" i="17" s="1"/>
  <c r="AA351" i="17"/>
  <c r="AC351" i="17" s="1"/>
  <c r="AA343" i="17"/>
  <c r="AC343" i="17" s="1"/>
  <c r="AA335" i="17"/>
  <c r="AC335" i="17" s="1"/>
  <c r="AA319" i="17"/>
  <c r="AC319" i="17" s="1"/>
  <c r="AA311" i="17"/>
  <c r="AC311" i="17" s="1"/>
  <c r="AA303" i="17"/>
  <c r="AC303" i="17" s="1"/>
  <c r="AA295" i="17"/>
  <c r="AC295" i="17" s="1"/>
  <c r="AA287" i="17"/>
  <c r="AC287" i="17" s="1"/>
  <c r="AA271" i="17"/>
  <c r="AC271" i="17" s="1"/>
  <c r="AA263" i="17"/>
  <c r="AC263" i="17" s="1"/>
  <c r="AA255" i="17"/>
  <c r="AC255" i="17" s="1"/>
  <c r="AA247" i="17"/>
  <c r="AC247" i="17" s="1"/>
  <c r="AA239" i="17"/>
  <c r="AC239" i="17" s="1"/>
  <c r="AA223" i="17"/>
  <c r="AC223" i="17" s="1"/>
  <c r="AA215" i="17"/>
  <c r="AC215" i="17" s="1"/>
  <c r="AA207" i="17"/>
  <c r="AC207" i="17" s="1"/>
  <c r="AA199" i="17"/>
  <c r="AC199" i="17" s="1"/>
  <c r="AA191" i="17"/>
  <c r="AC191" i="17" s="1"/>
  <c r="AA183" i="17"/>
  <c r="AC183" i="17" s="1"/>
  <c r="AA175" i="17"/>
  <c r="AC175" i="17" s="1"/>
  <c r="AA167" i="17"/>
  <c r="AC167" i="17" s="1"/>
  <c r="AA159" i="17"/>
  <c r="AC159" i="17" s="1"/>
  <c r="AA151" i="17"/>
  <c r="AC151" i="17" s="1"/>
  <c r="AA143" i="17"/>
  <c r="AC143" i="17" s="1"/>
  <c r="AA135" i="17"/>
  <c r="AC135" i="17" s="1"/>
  <c r="AA127" i="17"/>
  <c r="AC127" i="17" s="1"/>
  <c r="AA119" i="17"/>
  <c r="AC119" i="17" s="1"/>
  <c r="AA103" i="17"/>
  <c r="AC103" i="17" s="1"/>
  <c r="AA95" i="17"/>
  <c r="AC95" i="17" s="1"/>
  <c r="AA79" i="17"/>
  <c r="AC79" i="17" s="1"/>
  <c r="AA71" i="17"/>
  <c r="AC71" i="17" s="1"/>
  <c r="AA63" i="17"/>
  <c r="AC63" i="17" s="1"/>
  <c r="AA47" i="17"/>
  <c r="AC47" i="17" s="1"/>
  <c r="AA39" i="17"/>
  <c r="AC39" i="17" s="1"/>
  <c r="AA23" i="17"/>
  <c r="AC23" i="17" s="1"/>
  <c r="AA15" i="17"/>
  <c r="AC15" i="17" s="1"/>
  <c r="AA7" i="17"/>
  <c r="AC7" i="17" s="1"/>
  <c r="R679" i="17"/>
  <c r="T679" i="17" s="1"/>
  <c r="R223" i="17"/>
  <c r="T223" i="17" s="1"/>
  <c r="AA540" i="17"/>
  <c r="AC540" i="17" s="1"/>
  <c r="AA484" i="17"/>
  <c r="AC484" i="17" s="1"/>
  <c r="AA958" i="17"/>
  <c r="AC958" i="17" s="1"/>
  <c r="AA777" i="17"/>
  <c r="AC777" i="17" s="1"/>
  <c r="AA944" i="17"/>
  <c r="AC944" i="17" s="1"/>
  <c r="AA840" i="17"/>
  <c r="AC840" i="17" s="1"/>
  <c r="AA792" i="17"/>
  <c r="AC792" i="17" s="1"/>
  <c r="AA432" i="17"/>
  <c r="AC432" i="17" s="1"/>
  <c r="AA360" i="17"/>
  <c r="AC360" i="17" s="1"/>
  <c r="AA320" i="17"/>
  <c r="AC320" i="17" s="1"/>
  <c r="AA240" i="17"/>
  <c r="AC240" i="17" s="1"/>
  <c r="AA192" i="17"/>
  <c r="AC192" i="17" s="1"/>
  <c r="AA160" i="17"/>
  <c r="AC160" i="17" s="1"/>
  <c r="AA136" i="17"/>
  <c r="AC136" i="17" s="1"/>
  <c r="AA104" i="17"/>
  <c r="AC104" i="17" s="1"/>
  <c r="AA72" i="17"/>
  <c r="AC72" i="17" s="1"/>
  <c r="AA16" i="17"/>
  <c r="AC16" i="17" s="1"/>
  <c r="R384" i="17"/>
  <c r="T384" i="17" s="1"/>
  <c r="R744" i="17"/>
  <c r="T744" i="17" s="1"/>
  <c r="AA998" i="17"/>
  <c r="AC998" i="17" s="1"/>
  <c r="AA990" i="17"/>
  <c r="AC990" i="17" s="1"/>
  <c r="AA950" i="17"/>
  <c r="AC950" i="17" s="1"/>
  <c r="AA942" i="17"/>
  <c r="AC942" i="17" s="1"/>
  <c r="AA902" i="17"/>
  <c r="AC902" i="17" s="1"/>
  <c r="AA886" i="17"/>
  <c r="AC886" i="17" s="1"/>
  <c r="AA854" i="17"/>
  <c r="AC854" i="17" s="1"/>
  <c r="AA846" i="17"/>
  <c r="AC846" i="17" s="1"/>
  <c r="AA838" i="17"/>
  <c r="AC838" i="17" s="1"/>
  <c r="AA806" i="17"/>
  <c r="AC806" i="17" s="1"/>
  <c r="AA798" i="17"/>
  <c r="AC798" i="17" s="1"/>
  <c r="AA790" i="17"/>
  <c r="AC790" i="17" s="1"/>
  <c r="AA782" i="17"/>
  <c r="AC782" i="17" s="1"/>
  <c r="AA758" i="17"/>
  <c r="AC758" i="17" s="1"/>
  <c r="AA750" i="17"/>
  <c r="AC750" i="17" s="1"/>
  <c r="AA742" i="17"/>
  <c r="AC742" i="17" s="1"/>
  <c r="AA734" i="17"/>
  <c r="AC734" i="17" s="1"/>
  <c r="AA726" i="17"/>
  <c r="AC726" i="17" s="1"/>
  <c r="AA702" i="17"/>
  <c r="AC702" i="17" s="1"/>
  <c r="AA694" i="17"/>
  <c r="AC694" i="17" s="1"/>
  <c r="AA686" i="17"/>
  <c r="AC686" i="17" s="1"/>
  <c r="AA678" i="17"/>
  <c r="AC678" i="17" s="1"/>
  <c r="AA646" i="17"/>
  <c r="AC646" i="17" s="1"/>
  <c r="AA638" i="17"/>
  <c r="AC638" i="17" s="1"/>
  <c r="AA630" i="17"/>
  <c r="AC630" i="17" s="1"/>
  <c r="AA614" i="17"/>
  <c r="AC614" i="17" s="1"/>
  <c r="AA582" i="17"/>
  <c r="AC582" i="17" s="1"/>
  <c r="AA566" i="17"/>
  <c r="AC566" i="17" s="1"/>
  <c r="AA558" i="17"/>
  <c r="AC558" i="17" s="1"/>
  <c r="AA550" i="17"/>
  <c r="AC550" i="17" s="1"/>
  <c r="AA534" i="17"/>
  <c r="AC534" i="17" s="1"/>
  <c r="AA518" i="17"/>
  <c r="AC518" i="17" s="1"/>
  <c r="AA510" i="17"/>
  <c r="AC510" i="17" s="1"/>
  <c r="AA502" i="17"/>
  <c r="AC502" i="17" s="1"/>
  <c r="AA494" i="17"/>
  <c r="AC494" i="17" s="1"/>
  <c r="AA486" i="17"/>
  <c r="AC486" i="17" s="1"/>
  <c r="AA478" i="17"/>
  <c r="AC478" i="17" s="1"/>
  <c r="AA470" i="17"/>
  <c r="AC470" i="17" s="1"/>
  <c r="AA462" i="17"/>
  <c r="AC462" i="17" s="1"/>
  <c r="AA454" i="17"/>
  <c r="AC454" i="17" s="1"/>
  <c r="AA438" i="17"/>
  <c r="AC438" i="17" s="1"/>
  <c r="AA430" i="17"/>
  <c r="AC430" i="17" s="1"/>
  <c r="AA422" i="17"/>
  <c r="AC422" i="17" s="1"/>
  <c r="AA414" i="17"/>
  <c r="AC414" i="17" s="1"/>
  <c r="AA406" i="17"/>
  <c r="AC406" i="17" s="1"/>
  <c r="AA398" i="17"/>
  <c r="AC398" i="17" s="1"/>
  <c r="AA382" i="17"/>
  <c r="AC382" i="17" s="1"/>
  <c r="AA366" i="17"/>
  <c r="AC366" i="17" s="1"/>
  <c r="AA358" i="17"/>
  <c r="AC358" i="17" s="1"/>
  <c r="AA350" i="17"/>
  <c r="AC350" i="17" s="1"/>
  <c r="AA342" i="17"/>
  <c r="AC342" i="17" s="1"/>
  <c r="AA334" i="17"/>
  <c r="AC334" i="17" s="1"/>
  <c r="AA318" i="17"/>
  <c r="AC318" i="17" s="1"/>
  <c r="AA310" i="17"/>
  <c r="AC310" i="17" s="1"/>
  <c r="AA302" i="17"/>
  <c r="AC302" i="17" s="1"/>
  <c r="AA294" i="17"/>
  <c r="AC294" i="17" s="1"/>
  <c r="AA286" i="17"/>
  <c r="AC286" i="17" s="1"/>
  <c r="AA278" i="17"/>
  <c r="AC278" i="17" s="1"/>
  <c r="AA270" i="17"/>
  <c r="AC270" i="17" s="1"/>
  <c r="AA262" i="17"/>
  <c r="AC262" i="17" s="1"/>
  <c r="AA254" i="17"/>
  <c r="AC254" i="17" s="1"/>
  <c r="AA246" i="17"/>
  <c r="AC246" i="17" s="1"/>
  <c r="AA238" i="17"/>
  <c r="AC238" i="17" s="1"/>
  <c r="AA230" i="17"/>
  <c r="AC230" i="17" s="1"/>
  <c r="AA222" i="17"/>
  <c r="AC222" i="17" s="1"/>
  <c r="AA214" i="17"/>
  <c r="AC214" i="17" s="1"/>
  <c r="AA206" i="17"/>
  <c r="AC206" i="17" s="1"/>
  <c r="AA198" i="17"/>
  <c r="AC198" i="17" s="1"/>
  <c r="AA190" i="17"/>
  <c r="AC190" i="17" s="1"/>
  <c r="AA182" i="17"/>
  <c r="AC182" i="17" s="1"/>
  <c r="AA174" i="17"/>
  <c r="AC174" i="17" s="1"/>
  <c r="AA166" i="17"/>
  <c r="AC166" i="17" s="1"/>
  <c r="AA158" i="17"/>
  <c r="AC158" i="17" s="1"/>
  <c r="AA150" i="17"/>
  <c r="AC150" i="17" s="1"/>
  <c r="AA142" i="17"/>
  <c r="AC142" i="17" s="1"/>
  <c r="AA134" i="17"/>
  <c r="AC134" i="17" s="1"/>
  <c r="AA126" i="17"/>
  <c r="AC126" i="17" s="1"/>
  <c r="AA118" i="17"/>
  <c r="AC118" i="17" s="1"/>
  <c r="AA110" i="17"/>
  <c r="AC110" i="17" s="1"/>
  <c r="AA102" i="17"/>
  <c r="AC102" i="17" s="1"/>
  <c r="AA94" i="17"/>
  <c r="AC94" i="17" s="1"/>
  <c r="AA86" i="17"/>
  <c r="AC86" i="17" s="1"/>
  <c r="AA78" i="17"/>
  <c r="AC78" i="17" s="1"/>
  <c r="AA70" i="17"/>
  <c r="AC70" i="17" s="1"/>
  <c r="AA62" i="17"/>
  <c r="AC62" i="17" s="1"/>
  <c r="AA46" i="17"/>
  <c r="AC46" i="17" s="1"/>
  <c r="AA38" i="17"/>
  <c r="AC38" i="17" s="1"/>
  <c r="AA30" i="17"/>
  <c r="AC30" i="17" s="1"/>
  <c r="AA22" i="17"/>
  <c r="AC22" i="17" s="1"/>
  <c r="AA14" i="17"/>
  <c r="AC14" i="17" s="1"/>
  <c r="AA6" i="17"/>
  <c r="AC6" i="17" s="1"/>
  <c r="R998" i="17"/>
  <c r="T998" i="17" s="1"/>
  <c r="AG958" i="17"/>
  <c r="AG950" i="17"/>
  <c r="AG934" i="17"/>
  <c r="AG902" i="17"/>
  <c r="AG894" i="17"/>
  <c r="AG862" i="17"/>
  <c r="AG854" i="17"/>
  <c r="AG846" i="17"/>
  <c r="AG806" i="17"/>
  <c r="AG798" i="17"/>
  <c r="AG790" i="17"/>
  <c r="AG758" i="17"/>
  <c r="AG750" i="17"/>
  <c r="AG742" i="17"/>
  <c r="AG702" i="17"/>
  <c r="AG694" i="17"/>
  <c r="AG686" i="17"/>
  <c r="AG646" i="17"/>
  <c r="AG638" i="17"/>
  <c r="AG630" i="17"/>
  <c r="AG582" i="17"/>
  <c r="AG574" i="17"/>
  <c r="AG518" i="17"/>
  <c r="AG430" i="17"/>
  <c r="AG374" i="17"/>
  <c r="AG326" i="17"/>
  <c r="AA812" i="17"/>
  <c r="AC812" i="17" s="1"/>
  <c r="AA643" i="17"/>
  <c r="AC643" i="17" s="1"/>
  <c r="AA451" i="17"/>
  <c r="AC451" i="17" s="1"/>
  <c r="AA994" i="17"/>
  <c r="AC994" i="17" s="1"/>
  <c r="AA401" i="17"/>
  <c r="AC401" i="17" s="1"/>
  <c r="AA936" i="17"/>
  <c r="AC936" i="17" s="1"/>
  <c r="AA872" i="17"/>
  <c r="AC872" i="17" s="1"/>
  <c r="AA776" i="17"/>
  <c r="AC776" i="17" s="1"/>
  <c r="AA688" i="17"/>
  <c r="AC688" i="17" s="1"/>
  <c r="AA600" i="17"/>
  <c r="AC600" i="17" s="1"/>
  <c r="AA464" i="17"/>
  <c r="AC464" i="17" s="1"/>
  <c r="AA424" i="17"/>
  <c r="AC424" i="17" s="1"/>
  <c r="AA400" i="17"/>
  <c r="AC400" i="17" s="1"/>
  <c r="AA368" i="17"/>
  <c r="AC368" i="17" s="1"/>
  <c r="AA336" i="17"/>
  <c r="AC336" i="17" s="1"/>
  <c r="AA304" i="17"/>
  <c r="AC304" i="17" s="1"/>
  <c r="AA264" i="17"/>
  <c r="AC264" i="17" s="1"/>
  <c r="AA232" i="17"/>
  <c r="AC232" i="17" s="1"/>
  <c r="AA200" i="17"/>
  <c r="AC200" i="17" s="1"/>
  <c r="AA144" i="17"/>
  <c r="AC144" i="17" s="1"/>
  <c r="AA96" i="17"/>
  <c r="AC96" i="17" s="1"/>
  <c r="AA24" i="17"/>
  <c r="AC24" i="17" s="1"/>
  <c r="AA965" i="17"/>
  <c r="AC965" i="17" s="1"/>
  <c r="AA949" i="17"/>
  <c r="AC949" i="17" s="1"/>
  <c r="AA917" i="17"/>
  <c r="AC917" i="17" s="1"/>
  <c r="AA909" i="17"/>
  <c r="AC909" i="17" s="1"/>
  <c r="AA901" i="17"/>
  <c r="AC901" i="17" s="1"/>
  <c r="AA869" i="17"/>
  <c r="AC869" i="17" s="1"/>
  <c r="AA853" i="17"/>
  <c r="AC853" i="17" s="1"/>
  <c r="AA845" i="17"/>
  <c r="AC845" i="17" s="1"/>
  <c r="AA813" i="17"/>
  <c r="AC813" i="17" s="1"/>
  <c r="AA805" i="17"/>
  <c r="AC805" i="17" s="1"/>
  <c r="AA789" i="17"/>
  <c r="AC789" i="17" s="1"/>
  <c r="AA765" i="17"/>
  <c r="AC765" i="17" s="1"/>
  <c r="AA749" i="17"/>
  <c r="AC749" i="17" s="1"/>
  <c r="AA741" i="17"/>
  <c r="AC741" i="17" s="1"/>
  <c r="AA709" i="17"/>
  <c r="AC709" i="17" s="1"/>
  <c r="AA701" i="17"/>
  <c r="AC701" i="17" s="1"/>
  <c r="AA685" i="17"/>
  <c r="AC685" i="17" s="1"/>
  <c r="AA661" i="17"/>
  <c r="AC661" i="17" s="1"/>
  <c r="AA653" i="17"/>
  <c r="AC653" i="17" s="1"/>
  <c r="AA645" i="17"/>
  <c r="AC645" i="17" s="1"/>
  <c r="AA637" i="17"/>
  <c r="AC637" i="17" s="1"/>
  <c r="AA629" i="17"/>
  <c r="AC629" i="17" s="1"/>
  <c r="AA597" i="17"/>
  <c r="AC597" i="17" s="1"/>
  <c r="AA589" i="17"/>
  <c r="AC589" i="17" s="1"/>
  <c r="AA581" i="17"/>
  <c r="AC581" i="17" s="1"/>
  <c r="AA565" i="17"/>
  <c r="AC565" i="17" s="1"/>
  <c r="AA541" i="17"/>
  <c r="AC541" i="17" s="1"/>
  <c r="AA533" i="17"/>
  <c r="AC533" i="17" s="1"/>
  <c r="AA525" i="17"/>
  <c r="AC525" i="17" s="1"/>
  <c r="AA517" i="17"/>
  <c r="AC517" i="17" s="1"/>
  <c r="AA509" i="17"/>
  <c r="AC509" i="17" s="1"/>
  <c r="AA493" i="17"/>
  <c r="AC493" i="17" s="1"/>
  <c r="AA485" i="17"/>
  <c r="AC485" i="17" s="1"/>
  <c r="AA477" i="17"/>
  <c r="AC477" i="17" s="1"/>
  <c r="AA469" i="17"/>
  <c r="AC469" i="17" s="1"/>
  <c r="AA461" i="17"/>
  <c r="AC461" i="17" s="1"/>
  <c r="AA445" i="17"/>
  <c r="AC445" i="17" s="1"/>
  <c r="AA437" i="17"/>
  <c r="AC437" i="17" s="1"/>
  <c r="AA429" i="17"/>
  <c r="AC429" i="17" s="1"/>
  <c r="AA421" i="17"/>
  <c r="AC421" i="17" s="1"/>
  <c r="AA413" i="17"/>
  <c r="AC413" i="17" s="1"/>
  <c r="AA397" i="17"/>
  <c r="AC397" i="17" s="1"/>
  <c r="AA389" i="17"/>
  <c r="AC389" i="17" s="1"/>
  <c r="AA381" i="17"/>
  <c r="AC381" i="17" s="1"/>
  <c r="AA373" i="17"/>
  <c r="AC373" i="17" s="1"/>
  <c r="AA365" i="17"/>
  <c r="AC365" i="17" s="1"/>
  <c r="AA357" i="17"/>
  <c r="AC357" i="17" s="1"/>
  <c r="AA341" i="17"/>
  <c r="AC341" i="17" s="1"/>
  <c r="AA333" i="17"/>
  <c r="AC333" i="17" s="1"/>
  <c r="AA325" i="17"/>
  <c r="AC325" i="17" s="1"/>
  <c r="AA317" i="17"/>
  <c r="AC317" i="17" s="1"/>
  <c r="AA309" i="17"/>
  <c r="AC309" i="17" s="1"/>
  <c r="AA301" i="17"/>
  <c r="AC301" i="17" s="1"/>
  <c r="AA293" i="17"/>
  <c r="AC293" i="17" s="1"/>
  <c r="AA285" i="17"/>
  <c r="AC285" i="17" s="1"/>
  <c r="AA269" i="17"/>
  <c r="AC269" i="17" s="1"/>
  <c r="AA261" i="17"/>
  <c r="AC261" i="17" s="1"/>
  <c r="AA253" i="17"/>
  <c r="AC253" i="17" s="1"/>
  <c r="AA245" i="17"/>
  <c r="AC245" i="17" s="1"/>
  <c r="AA237" i="17"/>
  <c r="AC237" i="17" s="1"/>
  <c r="AA221" i="17"/>
  <c r="AC221" i="17" s="1"/>
  <c r="AA213" i="17"/>
  <c r="AC213" i="17" s="1"/>
  <c r="AA205" i="17"/>
  <c r="AC205" i="17" s="1"/>
  <c r="AA197" i="17"/>
  <c r="AC197" i="17" s="1"/>
  <c r="AA189" i="17"/>
  <c r="AC189" i="17" s="1"/>
  <c r="AA181" i="17"/>
  <c r="AC181" i="17" s="1"/>
  <c r="AA165" i="17"/>
  <c r="AC165" i="17" s="1"/>
  <c r="AA157" i="17"/>
  <c r="AC157" i="17" s="1"/>
  <c r="AA149" i="17"/>
  <c r="AC149" i="17" s="1"/>
  <c r="AA141" i="17"/>
  <c r="AC141" i="17" s="1"/>
  <c r="AA133" i="17"/>
  <c r="AC133" i="17" s="1"/>
  <c r="AA125" i="17"/>
  <c r="AC125" i="17" s="1"/>
  <c r="AA109" i="17"/>
  <c r="AC109" i="17" s="1"/>
  <c r="AA101" i="17"/>
  <c r="AC101" i="17" s="1"/>
  <c r="AA93" i="17"/>
  <c r="AC93" i="17" s="1"/>
  <c r="AA85" i="17"/>
  <c r="AC85" i="17" s="1"/>
  <c r="AA77" i="17"/>
  <c r="AC77" i="17" s="1"/>
  <c r="AA69" i="17"/>
  <c r="AC69" i="17" s="1"/>
  <c r="AA53" i="17"/>
  <c r="AC53" i="17" s="1"/>
  <c r="AA45" i="17"/>
  <c r="AC45" i="17" s="1"/>
  <c r="AA37" i="17"/>
  <c r="AC37" i="17" s="1"/>
  <c r="AA29" i="17"/>
  <c r="AC29" i="17" s="1"/>
  <c r="AA21" i="17"/>
  <c r="AC21" i="17" s="1"/>
  <c r="AA13" i="17"/>
  <c r="AC13" i="17" s="1"/>
  <c r="AA5" i="17"/>
  <c r="AC5" i="17" s="1"/>
  <c r="M8" i="18" s="1"/>
  <c r="R896" i="17"/>
  <c r="T896" i="17" s="1"/>
  <c r="R966" i="17"/>
  <c r="T966" i="17" s="1"/>
  <c r="AA995" i="17"/>
  <c r="AC995" i="17" s="1"/>
  <c r="AA987" i="17"/>
  <c r="AC987" i="17" s="1"/>
  <c r="AA979" i="17"/>
  <c r="AC979" i="17" s="1"/>
  <c r="AA971" i="17"/>
  <c r="AC971" i="17" s="1"/>
  <c r="AA963" i="17"/>
  <c r="AC963" i="17" s="1"/>
  <c r="AA955" i="17"/>
  <c r="AC955" i="17" s="1"/>
  <c r="AA939" i="17"/>
  <c r="AC939" i="17" s="1"/>
  <c r="AA931" i="17"/>
  <c r="AC931" i="17" s="1"/>
  <c r="AA923" i="17"/>
  <c r="AC923" i="17" s="1"/>
  <c r="AA915" i="17"/>
  <c r="AC915" i="17" s="1"/>
  <c r="AA907" i="17"/>
  <c r="AC907" i="17" s="1"/>
  <c r="AA899" i="17"/>
  <c r="AC899" i="17" s="1"/>
  <c r="AA891" i="17"/>
  <c r="AC891" i="17" s="1"/>
  <c r="AA883" i="17"/>
  <c r="AC883" i="17" s="1"/>
  <c r="AA875" i="17"/>
  <c r="AC875" i="17" s="1"/>
  <c r="AA867" i="17"/>
  <c r="AC867" i="17" s="1"/>
  <c r="AA859" i="17"/>
  <c r="AC859" i="17" s="1"/>
  <c r="AA851" i="17"/>
  <c r="AC851" i="17" s="1"/>
  <c r="AA835" i="17"/>
  <c r="AC835" i="17" s="1"/>
  <c r="AA827" i="17"/>
  <c r="AC827" i="17" s="1"/>
  <c r="AA819" i="17"/>
  <c r="AC819" i="17" s="1"/>
  <c r="AA811" i="17"/>
  <c r="AC811" i="17" s="1"/>
  <c r="AA803" i="17"/>
  <c r="AC803" i="17" s="1"/>
  <c r="AA795" i="17"/>
  <c r="AC795" i="17" s="1"/>
  <c r="AA771" i="17"/>
  <c r="AC771" i="17" s="1"/>
  <c r="AA763" i="17"/>
  <c r="AC763" i="17" s="1"/>
  <c r="AA747" i="17"/>
  <c r="AC747" i="17" s="1"/>
  <c r="AA731" i="17"/>
  <c r="AC731" i="17" s="1"/>
  <c r="AA723" i="17"/>
  <c r="AC723" i="17" s="1"/>
  <c r="AA707" i="17"/>
  <c r="AC707" i="17" s="1"/>
  <c r="AA699" i="17"/>
  <c r="AC699" i="17" s="1"/>
  <c r="AA683" i="17"/>
  <c r="AC683" i="17" s="1"/>
  <c r="AA675" i="17"/>
  <c r="AC675" i="17" s="1"/>
  <c r="AA659" i="17"/>
  <c r="AC659" i="17" s="1"/>
  <c r="AA651" i="17"/>
  <c r="AC651" i="17" s="1"/>
  <c r="AA635" i="17"/>
  <c r="AC635" i="17" s="1"/>
  <c r="AA627" i="17"/>
  <c r="AC627" i="17" s="1"/>
  <c r="AA611" i="17"/>
  <c r="AC611" i="17" s="1"/>
  <c r="AA603" i="17"/>
  <c r="AC603" i="17" s="1"/>
  <c r="AA587" i="17"/>
  <c r="AC587" i="17" s="1"/>
  <c r="AA579" i="17"/>
  <c r="AC579" i="17" s="1"/>
  <c r="AA571" i="17"/>
  <c r="AC571" i="17" s="1"/>
  <c r="AA563" i="17"/>
  <c r="AC563" i="17" s="1"/>
  <c r="AA555" i="17"/>
  <c r="AC555" i="17" s="1"/>
  <c r="AA539" i="17"/>
  <c r="AC539" i="17" s="1"/>
  <c r="AA531" i="17"/>
  <c r="AC531" i="17" s="1"/>
  <c r="AA523" i="17"/>
  <c r="AC523" i="17" s="1"/>
  <c r="AA515" i="17"/>
  <c r="AC515" i="17" s="1"/>
  <c r="AA507" i="17"/>
  <c r="AC507" i="17" s="1"/>
  <c r="AA491" i="17"/>
  <c r="AC491" i="17" s="1"/>
  <c r="AA483" i="17"/>
  <c r="AC483" i="17" s="1"/>
  <c r="AA467" i="17"/>
  <c r="AC467" i="17" s="1"/>
  <c r="AA459" i="17"/>
  <c r="AC459" i="17" s="1"/>
  <c r="AA443" i="17"/>
  <c r="AC443" i="17" s="1"/>
  <c r="AA435" i="17"/>
  <c r="AC435" i="17" s="1"/>
  <c r="AA419" i="17"/>
  <c r="AC419" i="17" s="1"/>
  <c r="AA411" i="17"/>
  <c r="AC411" i="17" s="1"/>
  <c r="AA395" i="17"/>
  <c r="AC395" i="17" s="1"/>
  <c r="AA387" i="17"/>
  <c r="AC387" i="17" s="1"/>
  <c r="AA379" i="17"/>
  <c r="AC379" i="17" s="1"/>
  <c r="AA371" i="17"/>
  <c r="AC371" i="17" s="1"/>
  <c r="AA363" i="17"/>
  <c r="AC363" i="17" s="1"/>
  <c r="AA347" i="17"/>
  <c r="AC347" i="17" s="1"/>
  <c r="AA339" i="17"/>
  <c r="AC339" i="17" s="1"/>
  <c r="AA331" i="17"/>
  <c r="AC331" i="17" s="1"/>
  <c r="AA323" i="17"/>
  <c r="AC323" i="17" s="1"/>
  <c r="AA315" i="17"/>
  <c r="AC315" i="17" s="1"/>
  <c r="AA299" i="17"/>
  <c r="AC299" i="17" s="1"/>
  <c r="AA291" i="17"/>
  <c r="AC291" i="17" s="1"/>
  <c r="AA283" i="17"/>
  <c r="AC283" i="17" s="1"/>
  <c r="AA275" i="17"/>
  <c r="AC275" i="17" s="1"/>
  <c r="AA267" i="17"/>
  <c r="AC267" i="17" s="1"/>
  <c r="AA259" i="17"/>
  <c r="AC259" i="17" s="1"/>
  <c r="AA251" i="17"/>
  <c r="AC251" i="17" s="1"/>
  <c r="AA243" i="17"/>
  <c r="AC243" i="17" s="1"/>
  <c r="AA235" i="17"/>
  <c r="AC235" i="17" s="1"/>
  <c r="AA227" i="17"/>
  <c r="AC227" i="17" s="1"/>
  <c r="AA219" i="17"/>
  <c r="AC219" i="17" s="1"/>
  <c r="AA211" i="17"/>
  <c r="AC211" i="17" s="1"/>
  <c r="AA203" i="17"/>
  <c r="AC203" i="17" s="1"/>
  <c r="AA195" i="17"/>
  <c r="AC195" i="17" s="1"/>
  <c r="AA187" i="17"/>
  <c r="AC187" i="17" s="1"/>
  <c r="AA179" i="17"/>
  <c r="AC179" i="17" s="1"/>
  <c r="AA171" i="17"/>
  <c r="AC171" i="17" s="1"/>
  <c r="AA163" i="17"/>
  <c r="AC163" i="17" s="1"/>
  <c r="AA155" i="17"/>
  <c r="AC155" i="17" s="1"/>
  <c r="AA147" i="17"/>
  <c r="AC147" i="17" s="1"/>
  <c r="AA139" i="17"/>
  <c r="AC139" i="17" s="1"/>
  <c r="AA131" i="17"/>
  <c r="AC131" i="17" s="1"/>
  <c r="AA123" i="17"/>
  <c r="AC123" i="17" s="1"/>
  <c r="AA115" i="17"/>
  <c r="AC115" i="17" s="1"/>
  <c r="AA107" i="17"/>
  <c r="AC107" i="17" s="1"/>
  <c r="AA99" i="17"/>
  <c r="AC99" i="17" s="1"/>
  <c r="AA91" i="17"/>
  <c r="AC91" i="17" s="1"/>
  <c r="AA83" i="17"/>
  <c r="AC83" i="17" s="1"/>
  <c r="AA75" i="17"/>
  <c r="AC75" i="17" s="1"/>
  <c r="AA67" i="17"/>
  <c r="AC67" i="17" s="1"/>
  <c r="AA59" i="17"/>
  <c r="AC59" i="17" s="1"/>
  <c r="AA51" i="17"/>
  <c r="AC51" i="17" s="1"/>
  <c r="AA43" i="17"/>
  <c r="AC43" i="17" s="1"/>
  <c r="AA35" i="17"/>
  <c r="AC35" i="17" s="1"/>
  <c r="AA27" i="17"/>
  <c r="AC27" i="17" s="1"/>
  <c r="AA19" i="17"/>
  <c r="AC19" i="17" s="1"/>
  <c r="AA11" i="17"/>
  <c r="AC11" i="17" s="1"/>
  <c r="AA3" i="17"/>
  <c r="AC3" i="17" s="1"/>
  <c r="R383" i="17"/>
  <c r="T383" i="17" s="1"/>
  <c r="I662" i="17"/>
  <c r="K662" i="17" s="1"/>
  <c r="AA986" i="17"/>
  <c r="AC986" i="17" s="1"/>
  <c r="AA978" i="17"/>
  <c r="AC978" i="17" s="1"/>
  <c r="AA962" i="17"/>
  <c r="AC962" i="17" s="1"/>
  <c r="AA954" i="17"/>
  <c r="AC954" i="17" s="1"/>
  <c r="AA946" i="17"/>
  <c r="AC946" i="17" s="1"/>
  <c r="AA938" i="17"/>
  <c r="AC938" i="17" s="1"/>
  <c r="AA930" i="17"/>
  <c r="AC930" i="17" s="1"/>
  <c r="AA922" i="17"/>
  <c r="AC922" i="17" s="1"/>
  <c r="AA914" i="17"/>
  <c r="AC914" i="17" s="1"/>
  <c r="AA906" i="17"/>
  <c r="AC906" i="17" s="1"/>
  <c r="AA898" i="17"/>
  <c r="AC898" i="17" s="1"/>
  <c r="AA890" i="17"/>
  <c r="AC890" i="17" s="1"/>
  <c r="AA882" i="17"/>
  <c r="AC882" i="17" s="1"/>
  <c r="AA874" i="17"/>
  <c r="AC874" i="17" s="1"/>
  <c r="AA866" i="17"/>
  <c r="AC866" i="17" s="1"/>
  <c r="AA858" i="17"/>
  <c r="AC858" i="17" s="1"/>
  <c r="AA850" i="17"/>
  <c r="AC850" i="17" s="1"/>
  <c r="AA842" i="17"/>
  <c r="AC842" i="17" s="1"/>
  <c r="AA834" i="17"/>
  <c r="AC834" i="17" s="1"/>
  <c r="AA826" i="17"/>
  <c r="AC826" i="17" s="1"/>
  <c r="AA818" i="17"/>
  <c r="AC818" i="17" s="1"/>
  <c r="AA810" i="17"/>
  <c r="AC810" i="17" s="1"/>
  <c r="AA802" i="17"/>
  <c r="AC802" i="17" s="1"/>
  <c r="AA794" i="17"/>
  <c r="AC794" i="17" s="1"/>
  <c r="AA786" i="17"/>
  <c r="AC786" i="17" s="1"/>
  <c r="AA770" i="17"/>
  <c r="AC770" i="17" s="1"/>
  <c r="AA762" i="17"/>
  <c r="AC762" i="17" s="1"/>
  <c r="AA746" i="17"/>
  <c r="AC746" i="17" s="1"/>
  <c r="AA738" i="17"/>
  <c r="AC738" i="17" s="1"/>
  <c r="AA730" i="17"/>
  <c r="AC730" i="17" s="1"/>
  <c r="AA722" i="17"/>
  <c r="AC722" i="17" s="1"/>
  <c r="AA706" i="17"/>
  <c r="AC706" i="17" s="1"/>
  <c r="AA698" i="17"/>
  <c r="AC698" i="17" s="1"/>
  <c r="AA682" i="17"/>
  <c r="AC682" i="17" s="1"/>
  <c r="AA674" i="17"/>
  <c r="AC674" i="17" s="1"/>
  <c r="AA666" i="17"/>
  <c r="AC666" i="17" s="1"/>
  <c r="AA658" i="17"/>
  <c r="AC658" i="17" s="1"/>
  <c r="AA650" i="17"/>
  <c r="AC650" i="17" s="1"/>
  <c r="AA642" i="17"/>
  <c r="AC642" i="17" s="1"/>
  <c r="AA634" i="17"/>
  <c r="AC634" i="17" s="1"/>
  <c r="AA626" i="17"/>
  <c r="AC626" i="17" s="1"/>
  <c r="AA618" i="17"/>
  <c r="AC618" i="17" s="1"/>
  <c r="AA610" i="17"/>
  <c r="AC610" i="17" s="1"/>
  <c r="AA602" i="17"/>
  <c r="AC602" i="17" s="1"/>
  <c r="AA594" i="17"/>
  <c r="AC594" i="17" s="1"/>
  <c r="AA586" i="17"/>
  <c r="AC586" i="17" s="1"/>
  <c r="AA578" i="17"/>
  <c r="AC578" i="17" s="1"/>
  <c r="AA570" i="17"/>
  <c r="AC570" i="17" s="1"/>
  <c r="AA562" i="17"/>
  <c r="AC562" i="17" s="1"/>
  <c r="AA554" i="17"/>
  <c r="AC554" i="17" s="1"/>
  <c r="AA546" i="17"/>
  <c r="AC546" i="17" s="1"/>
  <c r="AA538" i="17"/>
  <c r="AC538" i="17" s="1"/>
  <c r="AA530" i="17"/>
  <c r="AC530" i="17" s="1"/>
  <c r="AA522" i="17"/>
  <c r="AC522" i="17" s="1"/>
  <c r="AA514" i="17"/>
  <c r="AC514" i="17" s="1"/>
  <c r="AA506" i="17"/>
  <c r="AC506" i="17" s="1"/>
  <c r="AA498" i="17"/>
  <c r="AC498" i="17" s="1"/>
  <c r="AA490" i="17"/>
  <c r="AC490" i="17" s="1"/>
  <c r="AA482" i="17"/>
  <c r="AC482" i="17" s="1"/>
  <c r="AA474" i="17"/>
  <c r="AC474" i="17" s="1"/>
  <c r="AA466" i="17"/>
  <c r="AC466" i="17" s="1"/>
  <c r="AA458" i="17"/>
  <c r="AC458" i="17" s="1"/>
  <c r="AA450" i="17"/>
  <c r="AC450" i="17" s="1"/>
  <c r="AA442" i="17"/>
  <c r="AC442" i="17" s="1"/>
  <c r="AA434" i="17"/>
  <c r="AC434" i="17" s="1"/>
  <c r="AA426" i="17"/>
  <c r="AC426" i="17" s="1"/>
  <c r="AA418" i="17"/>
  <c r="AC418" i="17" s="1"/>
  <c r="AA410" i="17"/>
  <c r="AC410" i="17" s="1"/>
  <c r="AA402" i="17"/>
  <c r="AC402" i="17" s="1"/>
  <c r="AA394" i="17"/>
  <c r="AC394" i="17" s="1"/>
  <c r="AA386" i="17"/>
  <c r="AC386" i="17" s="1"/>
  <c r="AA378" i="17"/>
  <c r="AC378" i="17" s="1"/>
  <c r="AA370" i="17"/>
  <c r="AC370" i="17" s="1"/>
  <c r="AA362" i="17"/>
  <c r="AC362" i="17" s="1"/>
  <c r="AA354" i="17"/>
  <c r="AC354" i="17" s="1"/>
  <c r="AA346" i="17"/>
  <c r="AC346" i="17" s="1"/>
  <c r="AA338" i="17"/>
  <c r="AC338" i="17" s="1"/>
  <c r="AA330" i="17"/>
  <c r="AC330" i="17" s="1"/>
  <c r="AA322" i="17"/>
  <c r="AC322" i="17" s="1"/>
  <c r="AA314" i="17"/>
  <c r="AC314" i="17" s="1"/>
  <c r="AA306" i="17"/>
  <c r="AC306" i="17" s="1"/>
  <c r="R760" i="17"/>
  <c r="T760" i="17" s="1"/>
  <c r="AA993" i="17"/>
  <c r="AC993" i="17" s="1"/>
  <c r="AA985" i="17"/>
  <c r="AC985" i="17" s="1"/>
  <c r="AA977" i="17"/>
  <c r="AC977" i="17" s="1"/>
  <c r="AA969" i="17"/>
  <c r="AC969" i="17" s="1"/>
  <c r="AA953" i="17"/>
  <c r="AC953" i="17" s="1"/>
  <c r="AA945" i="17"/>
  <c r="AC945" i="17" s="1"/>
  <c r="AA937" i="17"/>
  <c r="AC937" i="17" s="1"/>
  <c r="AA929" i="17"/>
  <c r="AC929" i="17" s="1"/>
  <c r="AA921" i="17"/>
  <c r="AC921" i="17" s="1"/>
  <c r="AA913" i="17"/>
  <c r="AC913" i="17" s="1"/>
  <c r="AA905" i="17"/>
  <c r="AC905" i="17" s="1"/>
  <c r="AA889" i="17"/>
  <c r="AC889" i="17" s="1"/>
  <c r="AA881" i="17"/>
  <c r="AC881" i="17" s="1"/>
  <c r="AA873" i="17"/>
  <c r="AC873" i="17" s="1"/>
  <c r="AA865" i="17"/>
  <c r="AC865" i="17" s="1"/>
  <c r="AA849" i="17"/>
  <c r="AC849" i="17" s="1"/>
  <c r="AA841" i="17"/>
  <c r="AC841" i="17" s="1"/>
  <c r="AA833" i="17"/>
  <c r="AC833" i="17" s="1"/>
  <c r="AA825" i="17"/>
  <c r="AC825" i="17" s="1"/>
  <c r="AA817" i="17"/>
  <c r="AC817" i="17" s="1"/>
  <c r="AA809" i="17"/>
  <c r="AC809" i="17" s="1"/>
  <c r="AA793" i="17"/>
  <c r="AC793" i="17" s="1"/>
  <c r="AA785" i="17"/>
  <c r="AC785" i="17" s="1"/>
  <c r="AA769" i="17"/>
  <c r="AC769" i="17" s="1"/>
  <c r="AA761" i="17"/>
  <c r="AC761" i="17" s="1"/>
  <c r="AA745" i="17"/>
  <c r="AC745" i="17" s="1"/>
  <c r="AA729" i="17"/>
  <c r="AC729" i="17" s="1"/>
  <c r="AA721" i="17"/>
  <c r="AC721" i="17" s="1"/>
  <c r="AA705" i="17"/>
  <c r="AC705" i="17" s="1"/>
  <c r="AA697" i="17"/>
  <c r="AC697" i="17" s="1"/>
  <c r="AA689" i="17"/>
  <c r="AC689" i="17" s="1"/>
  <c r="AA681" i="17"/>
  <c r="AC681" i="17" s="1"/>
  <c r="AA673" i="17"/>
  <c r="AC673" i="17" s="1"/>
  <c r="AA665" i="17"/>
  <c r="AC665" i="17" s="1"/>
  <c r="AA657" i="17"/>
  <c r="AC657" i="17" s="1"/>
  <c r="AA649" i="17"/>
  <c r="AC649" i="17" s="1"/>
  <c r="AA641" i="17"/>
  <c r="AC641" i="17" s="1"/>
  <c r="AA633" i="17"/>
  <c r="AC633" i="17" s="1"/>
  <c r="AA625" i="17"/>
  <c r="AC625" i="17" s="1"/>
  <c r="AA617" i="17"/>
  <c r="AC617" i="17" s="1"/>
  <c r="AA609" i="17"/>
  <c r="AC609" i="17" s="1"/>
  <c r="AA601" i="17"/>
  <c r="AC601" i="17" s="1"/>
  <c r="AA585" i="17"/>
  <c r="AC585" i="17" s="1"/>
  <c r="AA577" i="17"/>
  <c r="AC577" i="17" s="1"/>
  <c r="AA561" i="17"/>
  <c r="AC561" i="17" s="1"/>
  <c r="AA553" i="17"/>
  <c r="AC553" i="17" s="1"/>
  <c r="AA537" i="17"/>
  <c r="AC537" i="17" s="1"/>
  <c r="AA529" i="17"/>
  <c r="AC529" i="17" s="1"/>
  <c r="AA513" i="17"/>
  <c r="AC513" i="17" s="1"/>
  <c r="AA505" i="17"/>
  <c r="AC505" i="17" s="1"/>
  <c r="AA497" i="17"/>
  <c r="AC497" i="17" s="1"/>
  <c r="AA489" i="17"/>
  <c r="AC489" i="17" s="1"/>
  <c r="AA481" i="17"/>
  <c r="AC481" i="17" s="1"/>
  <c r="AA465" i="17"/>
  <c r="AC465" i="17" s="1"/>
  <c r="AA457" i="17"/>
  <c r="AC457" i="17" s="1"/>
  <c r="AA449" i="17"/>
  <c r="AC449" i="17" s="1"/>
  <c r="AA441" i="17"/>
  <c r="AC441" i="17" s="1"/>
  <c r="AA433" i="17"/>
  <c r="AC433" i="17" s="1"/>
  <c r="AA417" i="17"/>
  <c r="AC417" i="17" s="1"/>
  <c r="AA409" i="17"/>
  <c r="AC409" i="17" s="1"/>
  <c r="AA393" i="17"/>
  <c r="AC393" i="17" s="1"/>
  <c r="AA385" i="17"/>
  <c r="AC385" i="17" s="1"/>
  <c r="AA369" i="17"/>
  <c r="AC369" i="17" s="1"/>
  <c r="AA361" i="17"/>
  <c r="AC361" i="17" s="1"/>
  <c r="AA345" i="17"/>
  <c r="AC345" i="17" s="1"/>
  <c r="AA337" i="17"/>
  <c r="AC337" i="17" s="1"/>
  <c r="AA321" i="17"/>
  <c r="AC321" i="17" s="1"/>
  <c r="AA313" i="17"/>
  <c r="AC313" i="17" s="1"/>
  <c r="AA305" i="17"/>
  <c r="AC305" i="17" s="1"/>
  <c r="AA297" i="17"/>
  <c r="AC297" i="17" s="1"/>
  <c r="AA289" i="17"/>
  <c r="AC289" i="17" s="1"/>
  <c r="AA273" i="17"/>
  <c r="AC273" i="17" s="1"/>
  <c r="AA265" i="17"/>
  <c r="AC265" i="17" s="1"/>
  <c r="AA257" i="17"/>
  <c r="AC257" i="17" s="1"/>
  <c r="AA249" i="17"/>
  <c r="AC249" i="17" s="1"/>
  <c r="AA241" i="17"/>
  <c r="AC241" i="17" s="1"/>
  <c r="AA233" i="17"/>
  <c r="AC233" i="17" s="1"/>
  <c r="AA217" i="17"/>
  <c r="AC217" i="17" s="1"/>
  <c r="AA209" i="17"/>
  <c r="AC209" i="17" s="1"/>
  <c r="AA193" i="17"/>
  <c r="AC193" i="17" s="1"/>
  <c r="AA185" i="17"/>
  <c r="AC185" i="17" s="1"/>
  <c r="AA177" i="17"/>
  <c r="AC177" i="17" s="1"/>
  <c r="AA161" i="17"/>
  <c r="AC161" i="17" s="1"/>
  <c r="AA153" i="17"/>
  <c r="AC153" i="17" s="1"/>
  <c r="AA137" i="17"/>
  <c r="AC137" i="17" s="1"/>
  <c r="AA129" i="17"/>
  <c r="AC129" i="17" s="1"/>
  <c r="AA121" i="17"/>
  <c r="AC121" i="17" s="1"/>
  <c r="AA105" i="17"/>
  <c r="AC105" i="17" s="1"/>
  <c r="AA97" i="17"/>
  <c r="AC97" i="17" s="1"/>
  <c r="AA89" i="17"/>
  <c r="AC89" i="17" s="1"/>
  <c r="AA81" i="17"/>
  <c r="AC81" i="17" s="1"/>
  <c r="AA73" i="17"/>
  <c r="AC73" i="17" s="1"/>
  <c r="AA65" i="17"/>
  <c r="AC65" i="17" s="1"/>
  <c r="AA49" i="17"/>
  <c r="AC49" i="17" s="1"/>
  <c r="AA41" i="17"/>
  <c r="AC41" i="17" s="1"/>
  <c r="AA33" i="17"/>
  <c r="AC33" i="17" s="1"/>
  <c r="AA17" i="17"/>
  <c r="AC17" i="17" s="1"/>
  <c r="AA9" i="17"/>
  <c r="AC9" i="17" s="1"/>
  <c r="R997" i="17"/>
  <c r="T997" i="17" s="1"/>
  <c r="R829" i="17"/>
  <c r="T829" i="17" s="1"/>
  <c r="R333" i="17"/>
  <c r="T333" i="17" s="1"/>
  <c r="I381" i="17"/>
  <c r="K381" i="17" s="1"/>
  <c r="AH381" i="17" s="1"/>
  <c r="AA516" i="17"/>
  <c r="AC516" i="17" s="1"/>
  <c r="AA508" i="17"/>
  <c r="AC508" i="17" s="1"/>
  <c r="AA492" i="17"/>
  <c r="AC492" i="17" s="1"/>
  <c r="AA468" i="17"/>
  <c r="AC468" i="17" s="1"/>
  <c r="AA452" i="17"/>
  <c r="AC452" i="17" s="1"/>
  <c r="AA444" i="17"/>
  <c r="AC444" i="17" s="1"/>
  <c r="AA420" i="17"/>
  <c r="AC420" i="17" s="1"/>
  <c r="AA404" i="17"/>
  <c r="AC404" i="17" s="1"/>
  <c r="AA396" i="17"/>
  <c r="AC396" i="17" s="1"/>
  <c r="AA388" i="17"/>
  <c r="AC388" i="17" s="1"/>
  <c r="AA372" i="17"/>
  <c r="AC372" i="17" s="1"/>
  <c r="AA356" i="17"/>
  <c r="AC356" i="17" s="1"/>
  <c r="AA348" i="17"/>
  <c r="AC348" i="17" s="1"/>
  <c r="AA340" i="17"/>
  <c r="AC340" i="17" s="1"/>
  <c r="AA332" i="17"/>
  <c r="AC332" i="17" s="1"/>
  <c r="AA324" i="17"/>
  <c r="AC324" i="17" s="1"/>
  <c r="AA308" i="17"/>
  <c r="AC308" i="17" s="1"/>
  <c r="AA300" i="17"/>
  <c r="AC300" i="17" s="1"/>
  <c r="AA284" i="17"/>
  <c r="AC284" i="17" s="1"/>
  <c r="AA276" i="17"/>
  <c r="AC276" i="17" s="1"/>
  <c r="AA260" i="17"/>
  <c r="AC260" i="17" s="1"/>
  <c r="AA252" i="17"/>
  <c r="AC252" i="17" s="1"/>
  <c r="AA236" i="17"/>
  <c r="AC236" i="17" s="1"/>
  <c r="AA228" i="17"/>
  <c r="AC228" i="17" s="1"/>
  <c r="AA220" i="17"/>
  <c r="AC220" i="17" s="1"/>
  <c r="AA204" i="17"/>
  <c r="AC204" i="17" s="1"/>
  <c r="AA196" i="17"/>
  <c r="AC196" i="17" s="1"/>
  <c r="AA188" i="17"/>
  <c r="AC188" i="17" s="1"/>
  <c r="AA180" i="17"/>
  <c r="AC180" i="17" s="1"/>
  <c r="AA164" i="17"/>
  <c r="AC164" i="17" s="1"/>
  <c r="AA156" i="17"/>
  <c r="AC156" i="17" s="1"/>
  <c r="AA148" i="17"/>
  <c r="AC148" i="17" s="1"/>
  <c r="AA132" i="17"/>
  <c r="AC132" i="17" s="1"/>
  <c r="AA124" i="17"/>
  <c r="AC124" i="17" s="1"/>
  <c r="AA108" i="17"/>
  <c r="AC108" i="17" s="1"/>
  <c r="AA100" i="17"/>
  <c r="AC100" i="17" s="1"/>
  <c r="AA92" i="17"/>
  <c r="AC92" i="17" s="1"/>
  <c r="AA76" i="17"/>
  <c r="AC76" i="17" s="1"/>
  <c r="AA68" i="17"/>
  <c r="AC68" i="17" s="1"/>
  <c r="AA60" i="17"/>
  <c r="AC60" i="17" s="1"/>
  <c r="AA52" i="17"/>
  <c r="AC52" i="17" s="1"/>
  <c r="AA36" i="17"/>
  <c r="AC36" i="17" s="1"/>
  <c r="AA28" i="17"/>
  <c r="AC28" i="17" s="1"/>
  <c r="M2" i="18" s="1"/>
  <c r="AA20" i="17"/>
  <c r="AC20" i="17" s="1"/>
  <c r="AA4" i="17"/>
  <c r="AC4" i="17" s="1"/>
  <c r="R700" i="17"/>
  <c r="T700" i="17" s="1"/>
  <c r="R436" i="17"/>
  <c r="T436" i="17" s="1"/>
  <c r="R324" i="17"/>
  <c r="T324" i="17" s="1"/>
  <c r="AA298" i="17"/>
  <c r="AC298" i="17" s="1"/>
  <c r="AA290" i="17"/>
  <c r="AC290" i="17" s="1"/>
  <c r="AA282" i="17"/>
  <c r="AC282" i="17" s="1"/>
  <c r="AA274" i="17"/>
  <c r="AC274" i="17" s="1"/>
  <c r="AA266" i="17"/>
  <c r="AC266" i="17" s="1"/>
  <c r="AA258" i="17"/>
  <c r="AC258" i="17" s="1"/>
  <c r="AA250" i="17"/>
  <c r="AC250" i="17" s="1"/>
  <c r="AA242" i="17"/>
  <c r="AC242" i="17" s="1"/>
  <c r="AA234" i="17"/>
  <c r="AC234" i="17" s="1"/>
  <c r="AA226" i="17"/>
  <c r="AC226" i="17" s="1"/>
  <c r="AA218" i="17"/>
  <c r="AC218" i="17" s="1"/>
  <c r="AA210" i="17"/>
  <c r="AC210" i="17" s="1"/>
  <c r="AA202" i="17"/>
  <c r="AC202" i="17" s="1"/>
  <c r="AA194" i="17"/>
  <c r="AC194" i="17" s="1"/>
  <c r="AA186" i="17"/>
  <c r="AC186" i="17" s="1"/>
  <c r="AA178" i="17"/>
  <c r="AC178" i="17" s="1"/>
  <c r="AA170" i="17"/>
  <c r="AC170" i="17" s="1"/>
  <c r="AA162" i="17"/>
  <c r="AC162" i="17" s="1"/>
  <c r="AA154" i="17"/>
  <c r="AC154" i="17" s="1"/>
  <c r="AA146" i="17"/>
  <c r="AC146" i="17" s="1"/>
  <c r="AA138" i="17"/>
  <c r="AC138" i="17" s="1"/>
  <c r="AA130" i="17"/>
  <c r="AC130" i="17" s="1"/>
  <c r="AA122" i="17"/>
  <c r="AC122" i="17" s="1"/>
  <c r="AA114" i="17"/>
  <c r="AC114" i="17" s="1"/>
  <c r="AA106" i="17"/>
  <c r="AC106" i="17" s="1"/>
  <c r="AA98" i="17"/>
  <c r="AC98" i="17" s="1"/>
  <c r="AA90" i="17"/>
  <c r="AC90" i="17" s="1"/>
  <c r="AA82" i="17"/>
  <c r="AC82" i="17" s="1"/>
  <c r="AA74" i="17"/>
  <c r="AC74" i="17" s="1"/>
  <c r="AA66" i="17"/>
  <c r="AC66" i="17" s="1"/>
  <c r="AA58" i="17"/>
  <c r="AC58" i="17" s="1"/>
  <c r="AA50" i="17"/>
  <c r="AC50" i="17" s="1"/>
  <c r="AA42" i="17"/>
  <c r="AC42" i="17" s="1"/>
  <c r="AA34" i="17"/>
  <c r="AC34" i="17" s="1"/>
  <c r="AA26" i="17"/>
  <c r="AC26" i="17" s="1"/>
  <c r="AA18" i="17"/>
  <c r="AC18" i="17" s="1"/>
  <c r="AA10" i="17"/>
  <c r="AC10" i="17" s="1"/>
  <c r="AA2" i="17"/>
  <c r="AC2" i="17" s="1"/>
  <c r="T483" i="19"/>
  <c r="T642" i="19"/>
  <c r="T644" i="19"/>
  <c r="T657" i="19"/>
  <c r="T687" i="19"/>
  <c r="T693" i="19"/>
  <c r="T695" i="19"/>
  <c r="T698" i="19"/>
  <c r="T701" i="19"/>
  <c r="T720" i="19"/>
  <c r="V481" i="19"/>
  <c r="V483" i="19"/>
  <c r="V530" i="19"/>
  <c r="AJ530" i="19" s="1"/>
  <c r="V546" i="19"/>
  <c r="V547" i="19"/>
  <c r="V552" i="19"/>
  <c r="V554" i="19"/>
  <c r="V556" i="19"/>
  <c r="V567" i="19"/>
  <c r="V569" i="19"/>
  <c r="V594" i="19"/>
  <c r="V615" i="19"/>
  <c r="V627" i="19"/>
  <c r="V628" i="19"/>
  <c r="V642" i="19"/>
  <c r="V643" i="19"/>
  <c r="V644" i="19"/>
  <c r="V646" i="19"/>
  <c r="V650" i="19"/>
  <c r="V653" i="19"/>
  <c r="V614" i="19"/>
  <c r="V617" i="19"/>
  <c r="V647" i="19"/>
  <c r="AD481" i="19"/>
  <c r="J483" i="19"/>
  <c r="AD483" i="19"/>
  <c r="J485" i="19"/>
  <c r="J490" i="19"/>
  <c r="AD490" i="19"/>
  <c r="J491" i="19"/>
  <c r="AD491" i="19"/>
  <c r="AD494" i="19"/>
  <c r="J513" i="19"/>
  <c r="AD513" i="19"/>
  <c r="AD520" i="19"/>
  <c r="J521" i="19"/>
  <c r="AD521" i="19"/>
  <c r="AD522" i="19"/>
  <c r="J524" i="19"/>
  <c r="AD524" i="19"/>
  <c r="J527" i="19"/>
  <c r="AD527" i="19"/>
  <c r="J530" i="19"/>
  <c r="AH530" i="19" s="1"/>
  <c r="AD530" i="19"/>
  <c r="J538" i="19"/>
  <c r="AD538" i="19"/>
  <c r="AD540" i="19"/>
  <c r="AD541" i="19"/>
  <c r="J542" i="19"/>
  <c r="J545" i="19"/>
  <c r="AD545" i="19"/>
  <c r="J546" i="19"/>
  <c r="AD546" i="19"/>
  <c r="AD550" i="19"/>
  <c r="J552" i="19"/>
  <c r="AD552" i="19"/>
  <c r="J553" i="19"/>
  <c r="AD553" i="19"/>
  <c r="J554" i="19"/>
  <c r="AD554" i="19"/>
  <c r="J555" i="19"/>
  <c r="AD555" i="19"/>
  <c r="J558" i="19"/>
  <c r="J560" i="19"/>
  <c r="AD560" i="19"/>
  <c r="AD565" i="19"/>
  <c r="AD590" i="19"/>
  <c r="J591" i="19"/>
  <c r="AD591" i="19"/>
  <c r="J592" i="19"/>
  <c r="AD592" i="19"/>
  <c r="J593" i="19"/>
  <c r="J594" i="19"/>
  <c r="J600" i="19"/>
  <c r="J610" i="19"/>
  <c r="AD610" i="19"/>
  <c r="J611" i="19"/>
  <c r="AD611" i="19"/>
  <c r="AD613" i="19"/>
  <c r="J614" i="19"/>
  <c r="AD614" i="19"/>
  <c r="AD615" i="19"/>
  <c r="AD626" i="19"/>
  <c r="J627" i="19"/>
  <c r="AD627" i="19"/>
  <c r="J628" i="19"/>
  <c r="AD629" i="19"/>
  <c r="AD630" i="19"/>
  <c r="AD631" i="19"/>
  <c r="J642" i="19"/>
  <c r="AD642" i="19"/>
  <c r="AH642" i="19" s="1"/>
  <c r="J643" i="19"/>
  <c r="J645" i="19"/>
  <c r="AD659" i="19"/>
  <c r="J660" i="19"/>
  <c r="AD660" i="19"/>
  <c r="J661" i="19"/>
  <c r="AD661" i="19"/>
  <c r="J665" i="19"/>
  <c r="AD665" i="19"/>
  <c r="J666" i="19"/>
  <c r="AD666" i="19"/>
  <c r="J669" i="19"/>
  <c r="AD669" i="19"/>
  <c r="J670" i="19"/>
  <c r="AD670" i="19"/>
  <c r="AD671" i="19"/>
  <c r="AH671" i="19" s="1"/>
  <c r="L435" i="19"/>
  <c r="AF446" i="19"/>
  <c r="L447" i="19"/>
  <c r="AF447" i="19"/>
  <c r="AF448" i="19"/>
  <c r="AF449" i="19"/>
  <c r="AF450" i="19"/>
  <c r="AF453" i="19"/>
  <c r="AF454" i="19"/>
  <c r="AF455" i="19"/>
  <c r="L456" i="19"/>
  <c r="AJ456" i="19" s="1"/>
  <c r="AF456" i="19"/>
  <c r="AF467" i="19"/>
  <c r="L468" i="19"/>
  <c r="AF468" i="19"/>
  <c r="L470" i="19"/>
  <c r="AF471" i="19"/>
  <c r="AF472" i="19"/>
  <c r="L475" i="19"/>
  <c r="AF475" i="19"/>
  <c r="AF479" i="19"/>
  <c r="AF480" i="19"/>
  <c r="AF483" i="19"/>
  <c r="AF490" i="19"/>
  <c r="AF492" i="19"/>
  <c r="L494" i="19"/>
  <c r="AF494" i="19"/>
  <c r="AF496" i="19"/>
  <c r="AF497" i="19"/>
  <c r="AF499" i="19"/>
  <c r="AF500" i="19"/>
  <c r="AF501" i="19"/>
  <c r="AF502" i="19"/>
  <c r="AF504" i="19"/>
  <c r="AF505" i="19"/>
  <c r="AF506" i="19"/>
  <c r="AF507" i="19"/>
  <c r="AF508" i="19"/>
  <c r="AF509" i="19"/>
  <c r="L510" i="19"/>
  <c r="AF512" i="19"/>
  <c r="AF513" i="19"/>
  <c r="AF520" i="19"/>
  <c r="AF522" i="19"/>
  <c r="AF523" i="19"/>
  <c r="L524" i="19"/>
  <c r="AF524" i="19"/>
  <c r="AF529" i="19"/>
  <c r="L530" i="19"/>
  <c r="AF530" i="19"/>
  <c r="AF537" i="19"/>
  <c r="AF538" i="19"/>
  <c r="AF539" i="19"/>
  <c r="AF541" i="19"/>
  <c r="L544" i="19"/>
  <c r="AF544" i="19"/>
  <c r="L546" i="19"/>
  <c r="AF546" i="19"/>
  <c r="AF547" i="19"/>
  <c r="AF548" i="19"/>
  <c r="AF552" i="19"/>
  <c r="AD700" i="19"/>
  <c r="J701" i="19"/>
  <c r="AD701" i="19"/>
  <c r="AH701" i="19" s="1"/>
  <c r="J702" i="19"/>
  <c r="AD702" i="19"/>
  <c r="AD703" i="19"/>
  <c r="AD704" i="19"/>
  <c r="AD705" i="19"/>
  <c r="J708" i="19"/>
  <c r="J709" i="19"/>
  <c r="AD713" i="19"/>
  <c r="AD717" i="19"/>
  <c r="J718" i="19"/>
  <c r="AD718" i="19"/>
  <c r="J719" i="19"/>
  <c r="AD719" i="19"/>
  <c r="AD817" i="19"/>
  <c r="AF553" i="19"/>
  <c r="L554" i="19"/>
  <c r="AJ554" i="19" s="1"/>
  <c r="AF554" i="19"/>
  <c r="L556" i="19"/>
  <c r="AF558" i="19"/>
  <c r="L560" i="19"/>
  <c r="AF560" i="19"/>
  <c r="L565" i="19"/>
  <c r="L574" i="19"/>
  <c r="L577" i="19"/>
  <c r="AF577" i="19"/>
  <c r="AF578" i="19"/>
  <c r="L586" i="19"/>
  <c r="AF586" i="19"/>
  <c r="AF587" i="19"/>
  <c r="L590" i="19"/>
  <c r="AF590" i="19"/>
  <c r="L593" i="19"/>
  <c r="AF601" i="19"/>
  <c r="AF602" i="19"/>
  <c r="AF603" i="19"/>
  <c r="L604" i="19"/>
  <c r="AF604" i="19"/>
  <c r="L605" i="19"/>
  <c r="AF605" i="19"/>
  <c r="L607" i="19"/>
  <c r="AF607" i="19"/>
  <c r="AF610" i="19"/>
  <c r="L611" i="19"/>
  <c r="AF611" i="19"/>
  <c r="L612" i="19"/>
  <c r="AF612" i="19"/>
  <c r="L613" i="19"/>
  <c r="AF613" i="19"/>
  <c r="L614" i="19"/>
  <c r="AF614" i="19"/>
  <c r="L615" i="19"/>
  <c r="AF616" i="19"/>
  <c r="AF621" i="19"/>
  <c r="L627" i="19"/>
  <c r="L700" i="19"/>
  <c r="AF700" i="19"/>
  <c r="AF701" i="19"/>
  <c r="L702" i="19"/>
  <c r="AF702" i="19"/>
  <c r="AJ702" i="19" s="1"/>
  <c r="AF704" i="19"/>
  <c r="AF705" i="19"/>
  <c r="AF713" i="19"/>
  <c r="L717" i="19"/>
  <c r="AF717" i="19"/>
  <c r="L718" i="19"/>
  <c r="AF718" i="19"/>
  <c r="L719" i="19"/>
  <c r="AF719" i="19"/>
  <c r="AI797" i="19"/>
  <c r="L811" i="19"/>
  <c r="AF817" i="19"/>
  <c r="L836" i="19"/>
  <c r="AF838" i="19"/>
  <c r="L841" i="19"/>
  <c r="AF841" i="19"/>
  <c r="AF847" i="19"/>
  <c r="AF850" i="19"/>
  <c r="AF852" i="19"/>
  <c r="AF854" i="19"/>
  <c r="AF855" i="19"/>
  <c r="L856" i="19"/>
  <c r="AF856" i="19"/>
  <c r="L857" i="19"/>
  <c r="AF857" i="19"/>
  <c r="AF858" i="19"/>
  <c r="AF860" i="19"/>
  <c r="L864" i="19"/>
  <c r="AF864" i="19"/>
  <c r="AJ864" i="19" s="1"/>
  <c r="L870" i="19"/>
  <c r="AF870" i="19"/>
  <c r="AF871" i="19"/>
  <c r="AF878" i="19"/>
  <c r="J994" i="19"/>
  <c r="AD994" i="19"/>
  <c r="J995" i="19"/>
  <c r="AD995" i="19"/>
  <c r="AD996" i="19"/>
  <c r="AI41" i="19"/>
  <c r="AI55" i="19"/>
  <c r="AI90" i="19"/>
  <c r="AI107" i="19"/>
  <c r="AI117" i="19"/>
  <c r="AI3" i="19"/>
  <c r="AI25" i="19"/>
  <c r="AI31" i="19"/>
  <c r="AI33" i="19"/>
  <c r="AI34" i="19"/>
  <c r="AI35" i="19"/>
  <c r="AI44" i="19"/>
  <c r="AI92" i="19"/>
  <c r="V11" i="19"/>
  <c r="AJ11" i="19" s="1"/>
  <c r="V19" i="19"/>
  <c r="V35" i="19"/>
  <c r="V59" i="19"/>
  <c r="V60" i="19"/>
  <c r="V91" i="19"/>
  <c r="AJ91" i="19" s="1"/>
  <c r="V116" i="19"/>
  <c r="V130" i="19"/>
  <c r="V136" i="19"/>
  <c r="AJ136" i="19" s="1"/>
  <c r="V138" i="19"/>
  <c r="V171" i="19"/>
  <c r="T183" i="19"/>
  <c r="T832" i="19"/>
  <c r="V817" i="19"/>
  <c r="AF144" i="19"/>
  <c r="L155" i="19"/>
  <c r="AF156" i="19"/>
  <c r="L157" i="19"/>
  <c r="AF157" i="19"/>
  <c r="AF164" i="19"/>
  <c r="AF165" i="19"/>
  <c r="AF166" i="19"/>
  <c r="AF167" i="19"/>
  <c r="AF168" i="19"/>
  <c r="L169" i="19"/>
  <c r="AF172" i="19"/>
  <c r="AF175" i="19"/>
  <c r="AF176" i="19"/>
  <c r="L180" i="19"/>
  <c r="AI189" i="19"/>
  <c r="AF191" i="19"/>
  <c r="AF192" i="19"/>
  <c r="AF193" i="19"/>
  <c r="AF194" i="19"/>
  <c r="L199" i="19"/>
  <c r="AF199" i="19"/>
  <c r="AF200" i="19"/>
  <c r="L201" i="19"/>
  <c r="AF201" i="19"/>
  <c r="L202" i="19"/>
  <c r="L204" i="19"/>
  <c r="AJ204" i="19" s="1"/>
  <c r="AF204" i="19"/>
  <c r="L206" i="19"/>
  <c r="AF210" i="19"/>
  <c r="AF211" i="19"/>
  <c r="AI215" i="19"/>
  <c r="AF222" i="19"/>
  <c r="L256" i="19"/>
  <c r="L258" i="19"/>
  <c r="AF258" i="19"/>
  <c r="L260" i="19"/>
  <c r="AF260" i="19"/>
  <c r="AJ260" i="19" s="1"/>
  <c r="AF261" i="19"/>
  <c r="L263" i="19"/>
  <c r="AI266" i="19"/>
  <c r="AF266" i="19"/>
  <c r="L267" i="19"/>
  <c r="AF267" i="19"/>
  <c r="AF268" i="19"/>
  <c r="AF273" i="19"/>
  <c r="AI279" i="19"/>
  <c r="AI280" i="19"/>
  <c r="AF281" i="19"/>
  <c r="AI282" i="19"/>
  <c r="AF282" i="19"/>
  <c r="AF283" i="19"/>
  <c r="L284" i="19"/>
  <c r="AF284" i="19"/>
  <c r="AF285" i="19"/>
  <c r="L289" i="19"/>
  <c r="AF289" i="19"/>
  <c r="L291" i="19"/>
  <c r="AF299" i="19"/>
  <c r="L300" i="19"/>
  <c r="L301" i="19"/>
  <c r="AF301" i="19"/>
  <c r="L302" i="19"/>
  <c r="AF302" i="19"/>
  <c r="L303" i="19"/>
  <c r="AF303" i="19"/>
  <c r="AF305" i="19"/>
  <c r="AF307" i="19"/>
  <c r="AI346" i="19"/>
  <c r="AI390" i="19"/>
  <c r="AI391" i="19"/>
  <c r="AI394" i="19"/>
  <c r="AI410" i="19"/>
  <c r="AI411" i="19"/>
  <c r="AI412" i="19"/>
  <c r="AI418" i="19"/>
  <c r="AI426" i="19"/>
  <c r="AI428" i="19"/>
  <c r="AI446" i="19"/>
  <c r="AI472" i="19"/>
  <c r="V914" i="19"/>
  <c r="V918" i="19"/>
  <c r="V240" i="19"/>
  <c r="V282" i="19"/>
  <c r="V350" i="19"/>
  <c r="V462" i="19"/>
  <c r="V470" i="19"/>
  <c r="V750" i="19"/>
  <c r="AF784" i="19"/>
  <c r="AF811" i="19"/>
  <c r="L813" i="19"/>
  <c r="J838" i="19"/>
  <c r="AD840" i="19"/>
  <c r="J841" i="19"/>
  <c r="AD841" i="19"/>
  <c r="J842" i="19"/>
  <c r="J847" i="19"/>
  <c r="AD855" i="19"/>
  <c r="J856" i="19"/>
  <c r="AD856" i="19"/>
  <c r="J857" i="19"/>
  <c r="AD857" i="19"/>
  <c r="AD858" i="19"/>
  <c r="AD860" i="19"/>
  <c r="J864" i="19"/>
  <c r="AD864" i="19"/>
  <c r="AD865" i="19"/>
  <c r="AD866" i="19"/>
  <c r="J870" i="19"/>
  <c r="AD878" i="19"/>
  <c r="AD879" i="19"/>
  <c r="V725" i="19"/>
  <c r="V726" i="19"/>
  <c r="V730" i="19"/>
  <c r="T734" i="19"/>
  <c r="V720" i="19"/>
  <c r="V722" i="19"/>
  <c r="AD252" i="19"/>
  <c r="AI594" i="19"/>
  <c r="AI609" i="19"/>
  <c r="AI618" i="19"/>
  <c r="AI626" i="19"/>
  <c r="AI576" i="19"/>
  <c r="AI608" i="19"/>
  <c r="AF628" i="19"/>
  <c r="AF631" i="19"/>
  <c r="AF632" i="19"/>
  <c r="AF638" i="19"/>
  <c r="AF639" i="19"/>
  <c r="L641" i="19"/>
  <c r="AF642" i="19"/>
  <c r="L644" i="19"/>
  <c r="AF645" i="19"/>
  <c r="L659" i="19"/>
  <c r="L666" i="19"/>
  <c r="AF666" i="19"/>
  <c r="AF668" i="19"/>
  <c r="L669" i="19"/>
  <c r="AF669" i="19"/>
  <c r="AJ669" i="19" s="1"/>
  <c r="L670" i="19"/>
  <c r="AF670" i="19"/>
  <c r="T833" i="19"/>
  <c r="T834" i="19"/>
  <c r="T844" i="19"/>
  <c r="T847" i="19"/>
  <c r="T865" i="19"/>
  <c r="T870" i="19"/>
  <c r="T871" i="19"/>
  <c r="T873" i="19"/>
  <c r="T884" i="19"/>
  <c r="T885" i="19"/>
  <c r="T893" i="19"/>
  <c r="T894" i="19"/>
  <c r="T898" i="19"/>
  <c r="T899" i="19"/>
  <c r="T900" i="19"/>
  <c r="T901" i="19"/>
  <c r="T902" i="19"/>
  <c r="T903" i="19"/>
  <c r="T907" i="19"/>
  <c r="T908" i="19"/>
  <c r="T909" i="19"/>
  <c r="L923" i="19"/>
  <c r="L931" i="19"/>
  <c r="V945" i="19"/>
  <c r="AD954" i="19"/>
  <c r="V969" i="19"/>
  <c r="J970" i="19"/>
  <c r="J974" i="19"/>
  <c r="J978" i="19"/>
  <c r="J983" i="19"/>
  <c r="AF994" i="19"/>
  <c r="L996" i="19"/>
  <c r="T721" i="19"/>
  <c r="T727" i="19"/>
  <c r="V864" i="19"/>
  <c r="V886" i="19"/>
  <c r="V888" i="19"/>
  <c r="V890" i="19"/>
  <c r="V893" i="19"/>
  <c r="V894" i="19"/>
  <c r="V899" i="19"/>
  <c r="V901" i="19"/>
  <c r="V902" i="19"/>
  <c r="V905" i="19"/>
  <c r="V907" i="19"/>
  <c r="V908" i="19"/>
  <c r="V909" i="19"/>
  <c r="T726" i="19"/>
  <c r="T730" i="19"/>
  <c r="T735" i="19"/>
  <c r="T484" i="19"/>
  <c r="T485" i="19"/>
  <c r="T490" i="19"/>
  <c r="T491" i="19"/>
  <c r="AH491" i="19" s="1"/>
  <c r="T492" i="19"/>
  <c r="T496" i="19"/>
  <c r="T497" i="19"/>
  <c r="T499" i="19"/>
  <c r="T502" i="19"/>
  <c r="T505" i="19"/>
  <c r="T508" i="19"/>
  <c r="T509" i="19"/>
  <c r="T510" i="19"/>
  <c r="T512" i="19"/>
  <c r="T522" i="19"/>
  <c r="T530" i="19"/>
  <c r="T531" i="19"/>
  <c r="T536" i="19"/>
  <c r="T537" i="19"/>
  <c r="T539" i="19"/>
  <c r="T546" i="19"/>
  <c r="T547" i="19"/>
  <c r="T552" i="19"/>
  <c r="AH552" i="19" s="1"/>
  <c r="T553" i="19"/>
  <c r="T554" i="19"/>
  <c r="T557" i="19"/>
  <c r="T560" i="19"/>
  <c r="T570" i="19"/>
  <c r="AH570" i="19" s="1"/>
  <c r="T573" i="19"/>
  <c r="T585" i="19"/>
  <c r="AI171" i="19"/>
  <c r="T798" i="19"/>
  <c r="T800" i="19"/>
  <c r="T807" i="19"/>
  <c r="T809" i="19"/>
  <c r="T810" i="19"/>
  <c r="AH810" i="19" s="1"/>
  <c r="V927" i="19"/>
  <c r="T961" i="19"/>
  <c r="T964" i="19"/>
  <c r="T968" i="19"/>
  <c r="T969" i="19"/>
  <c r="T985" i="19"/>
  <c r="T986" i="19"/>
  <c r="T781" i="19"/>
  <c r="T931" i="19"/>
  <c r="T952" i="19"/>
  <c r="V758" i="19"/>
  <c r="V760" i="19"/>
  <c r="V800" i="19"/>
  <c r="V801" i="19"/>
  <c r="T736" i="19"/>
  <c r="T765" i="19"/>
  <c r="V742" i="19"/>
  <c r="V759" i="19"/>
  <c r="T197" i="19"/>
  <c r="T210" i="19"/>
  <c r="J443" i="19"/>
  <c r="AD445" i="19"/>
  <c r="AI585" i="19"/>
  <c r="T769" i="19"/>
  <c r="T774" i="19"/>
  <c r="T923" i="19"/>
  <c r="T194" i="19"/>
  <c r="T206" i="19"/>
  <c r="T222" i="19"/>
  <c r="J446" i="19"/>
  <c r="V809" i="19"/>
  <c r="V810" i="19"/>
  <c r="V172" i="19"/>
  <c r="V200" i="19"/>
  <c r="V202" i="19"/>
  <c r="AI243" i="19"/>
  <c r="T279" i="19"/>
  <c r="V304" i="19"/>
  <c r="V305" i="19"/>
  <c r="T741" i="19"/>
  <c r="T776" i="19"/>
  <c r="T790" i="19"/>
  <c r="V735" i="19"/>
  <c r="T172" i="19"/>
  <c r="T200" i="19"/>
  <c r="T204" i="19"/>
  <c r="T215" i="19"/>
  <c r="J276" i="19"/>
  <c r="L367" i="19"/>
  <c r="AD381" i="19"/>
  <c r="V807" i="19"/>
  <c r="V146" i="19"/>
  <c r="V204" i="19"/>
  <c r="T299" i="19"/>
  <c r="T304" i="19"/>
  <c r="AF923" i="19"/>
  <c r="L936" i="19"/>
  <c r="AF936" i="19"/>
  <c r="L937" i="19"/>
  <c r="AF937" i="19"/>
  <c r="L938" i="19"/>
  <c r="AF938" i="19"/>
  <c r="AF940" i="19"/>
  <c r="L941" i="19"/>
  <c r="L943" i="19"/>
  <c r="AI949" i="19"/>
  <c r="AF952" i="19"/>
  <c r="J955" i="19"/>
  <c r="AD955" i="19"/>
  <c r="J956" i="19"/>
  <c r="AD957" i="19"/>
  <c r="AD958" i="19"/>
  <c r="J959" i="19"/>
  <c r="AD959" i="19"/>
  <c r="J961" i="19"/>
  <c r="AD961" i="19"/>
  <c r="J962" i="19"/>
  <c r="AD962" i="19"/>
  <c r="J963" i="19"/>
  <c r="AD963" i="19"/>
  <c r="J964" i="19"/>
  <c r="J966" i="19"/>
  <c r="AD968" i="19"/>
  <c r="AD985" i="19"/>
  <c r="AD990" i="19"/>
  <c r="J991" i="19"/>
  <c r="AD993" i="19"/>
  <c r="AI256" i="19"/>
  <c r="T752" i="19"/>
  <c r="T949" i="19"/>
  <c r="V738" i="19"/>
  <c r="V774" i="19"/>
  <c r="T211" i="19"/>
  <c r="T242" i="19"/>
  <c r="AD7" i="19"/>
  <c r="J13" i="19"/>
  <c r="AD13" i="19"/>
  <c r="AD16" i="19"/>
  <c r="AD17" i="19"/>
  <c r="J20" i="19"/>
  <c r="AD26" i="19"/>
  <c r="AD27" i="19"/>
  <c r="J31" i="19"/>
  <c r="AD31" i="19"/>
  <c r="J32" i="19"/>
  <c r="AD32" i="19"/>
  <c r="AD33" i="19"/>
  <c r="AD35" i="19"/>
  <c r="J36" i="19"/>
  <c r="AD39" i="19"/>
  <c r="J40" i="19"/>
  <c r="AD40" i="19"/>
  <c r="AD41" i="19"/>
  <c r="J42" i="19"/>
  <c r="AD42" i="19"/>
  <c r="AD43" i="19"/>
  <c r="J53" i="19"/>
  <c r="AD54" i="19"/>
  <c r="J55" i="19"/>
  <c r="AD55" i="19"/>
  <c r="J60" i="19"/>
  <c r="AD60" i="19"/>
  <c r="J61" i="19"/>
  <c r="AD61" i="19"/>
  <c r="J62" i="19"/>
  <c r="AD62" i="19"/>
  <c r="AD64" i="19"/>
  <c r="AD66" i="19"/>
  <c r="AD67" i="19"/>
  <c r="J68" i="19"/>
  <c r="AD68" i="19"/>
  <c r="J69" i="19"/>
  <c r="AD69" i="19"/>
  <c r="AD71" i="19"/>
  <c r="AD72" i="19"/>
  <c r="AD74" i="19"/>
  <c r="J75" i="19"/>
  <c r="AD75" i="19"/>
  <c r="J76" i="19"/>
  <c r="AD84" i="19"/>
  <c r="J85" i="19"/>
  <c r="AD85" i="19"/>
  <c r="J86" i="19"/>
  <c r="AD87" i="19"/>
  <c r="AD88" i="19"/>
  <c r="AD90" i="19"/>
  <c r="J91" i="19"/>
  <c r="AD91" i="19"/>
  <c r="J92" i="19"/>
  <c r="AD92" i="19"/>
  <c r="J93" i="19"/>
  <c r="AD93" i="19"/>
  <c r="J94" i="19"/>
  <c r="AD94" i="19"/>
  <c r="J100" i="19"/>
  <c r="AD100" i="19"/>
  <c r="J101" i="19"/>
  <c r="AD101" i="19"/>
  <c r="J102" i="19"/>
  <c r="AD102" i="19"/>
  <c r="AH102" i="19" s="1"/>
  <c r="J103" i="19"/>
  <c r="AD103" i="19"/>
  <c r="J104" i="19"/>
  <c r="AD104" i="19"/>
  <c r="J105" i="19"/>
  <c r="AD105" i="19"/>
  <c r="J108" i="19"/>
  <c r="AD108" i="19"/>
  <c r="J109" i="19"/>
  <c r="AD109" i="19"/>
  <c r="AD118" i="19"/>
  <c r="J119" i="19"/>
  <c r="AD119" i="19"/>
  <c r="J122" i="19"/>
  <c r="AD122" i="19"/>
  <c r="J123" i="19"/>
  <c r="J124" i="19"/>
  <c r="AD124" i="19"/>
  <c r="J125" i="19"/>
  <c r="AD126" i="19"/>
  <c r="J136" i="19"/>
  <c r="AD136" i="19"/>
  <c r="J137" i="19"/>
  <c r="AD137" i="19"/>
  <c r="J138" i="19"/>
  <c r="J141" i="19"/>
  <c r="AD141" i="19"/>
  <c r="J142" i="19"/>
  <c r="AD142" i="19"/>
  <c r="J146" i="19"/>
  <c r="AD146" i="19"/>
  <c r="J147" i="19"/>
  <c r="J148" i="19"/>
  <c r="AD148" i="19"/>
  <c r="AD154" i="19"/>
  <c r="J155" i="19"/>
  <c r="AD156" i="19"/>
  <c r="J158" i="19"/>
  <c r="AD158" i="19"/>
  <c r="J162" i="19"/>
  <c r="J165" i="19"/>
  <c r="AD165" i="19"/>
  <c r="J166" i="19"/>
  <c r="AD166" i="19"/>
  <c r="AI557" i="19"/>
  <c r="AI798" i="19"/>
  <c r="AF798" i="19"/>
  <c r="AI800" i="19"/>
  <c r="AF800" i="19"/>
  <c r="AF801" i="19"/>
  <c r="AF807" i="19"/>
  <c r="AF809" i="19"/>
  <c r="AF810" i="19"/>
  <c r="V920" i="19"/>
  <c r="L961" i="19"/>
  <c r="AF961" i="19"/>
  <c r="AJ961" i="19" s="1"/>
  <c r="L962" i="19"/>
  <c r="AF962" i="19"/>
  <c r="L968" i="19"/>
  <c r="AF968" i="19"/>
  <c r="AF986" i="19"/>
  <c r="T305" i="19"/>
  <c r="T307" i="19"/>
  <c r="T308" i="19"/>
  <c r="T309" i="19"/>
  <c r="T311" i="19"/>
  <c r="T312" i="19"/>
  <c r="T319" i="19"/>
  <c r="T320" i="19"/>
  <c r="T325" i="19"/>
  <c r="T337" i="19"/>
  <c r="T346" i="19"/>
  <c r="T349" i="19"/>
  <c r="T375" i="19"/>
  <c r="T429" i="19"/>
  <c r="AH429" i="19" s="1"/>
  <c r="T437" i="19"/>
  <c r="T453" i="19"/>
  <c r="T472" i="19"/>
  <c r="AI698" i="19"/>
  <c r="J725" i="19"/>
  <c r="AD818" i="19"/>
  <c r="AD824" i="19"/>
  <c r="AF825" i="19"/>
  <c r="AI844" i="19"/>
  <c r="AI845" i="19"/>
  <c r="AI853" i="19"/>
  <c r="AI858" i="19"/>
  <c r="AI861" i="19"/>
  <c r="L879" i="19"/>
  <c r="J881" i="19"/>
  <c r="AD881" i="19"/>
  <c r="J882" i="19"/>
  <c r="AD882" i="19"/>
  <c r="J885" i="19"/>
  <c r="AD885" i="19"/>
  <c r="AH885" i="19" s="1"/>
  <c r="J886" i="19"/>
  <c r="AH886" i="19" s="1"/>
  <c r="AD886" i="19"/>
  <c r="J890" i="19"/>
  <c r="J901" i="19"/>
  <c r="AH901" i="19" s="1"/>
  <c r="AD901" i="19"/>
  <c r="J902" i="19"/>
  <c r="AD903" i="19"/>
  <c r="AD904" i="19"/>
  <c r="J907" i="19"/>
  <c r="J911" i="19"/>
  <c r="V962" i="19"/>
  <c r="V963" i="19"/>
  <c r="V964" i="19"/>
  <c r="AI989" i="19"/>
  <c r="V307" i="19"/>
  <c r="V309" i="19"/>
  <c r="AI310" i="19"/>
  <c r="V311" i="19"/>
  <c r="V313" i="19"/>
  <c r="V314" i="19"/>
  <c r="V317" i="19"/>
  <c r="V322" i="19"/>
  <c r="V333" i="19"/>
  <c r="V335" i="19"/>
  <c r="V336" i="19"/>
  <c r="V339" i="19"/>
  <c r="AI372" i="19"/>
  <c r="V414" i="19"/>
  <c r="V437" i="19"/>
  <c r="V472" i="19"/>
  <c r="V571" i="19"/>
  <c r="AF573" i="19"/>
  <c r="J574" i="19"/>
  <c r="T617" i="19"/>
  <c r="AF733" i="19"/>
  <c r="L734" i="19"/>
  <c r="AF734" i="19"/>
  <c r="L735" i="19"/>
  <c r="AD735" i="19"/>
  <c r="J741" i="19"/>
  <c r="AD741" i="19"/>
  <c r="J756" i="19"/>
  <c r="AD756" i="19"/>
  <c r="J757" i="19"/>
  <c r="AD757" i="19"/>
  <c r="AD765" i="19"/>
  <c r="J766" i="19"/>
  <c r="J767" i="19"/>
  <c r="AD769" i="19"/>
  <c r="J770" i="19"/>
  <c r="J773" i="19"/>
  <c r="AD773" i="19"/>
  <c r="J774" i="19"/>
  <c r="AD774" i="19"/>
  <c r="J780" i="19"/>
  <c r="J781" i="19"/>
  <c r="AD781" i="19"/>
  <c r="T829" i="19"/>
  <c r="AF884" i="19"/>
  <c r="L885" i="19"/>
  <c r="AF885" i="19"/>
  <c r="L886" i="19"/>
  <c r="AF892" i="19"/>
  <c r="AD167" i="19"/>
  <c r="AD168" i="19"/>
  <c r="AD169" i="19"/>
  <c r="J172" i="19"/>
  <c r="AD172" i="19"/>
  <c r="AD176" i="19"/>
  <c r="AD177" i="19"/>
  <c r="J178" i="19"/>
  <c r="J179" i="19"/>
  <c r="AD180" i="19"/>
  <c r="J199" i="19"/>
  <c r="AD199" i="19"/>
  <c r="J200" i="19"/>
  <c r="AH200" i="19" s="1"/>
  <c r="AD200" i="19"/>
  <c r="J201" i="19"/>
  <c r="J202" i="19"/>
  <c r="AD202" i="19"/>
  <c r="J204" i="19"/>
  <c r="AD204" i="19"/>
  <c r="AD205" i="19"/>
  <c r="J209" i="19"/>
  <c r="J210" i="19"/>
  <c r="AD210" i="19"/>
  <c r="J211" i="19"/>
  <c r="J212" i="19"/>
  <c r="AH560" i="19"/>
  <c r="L674" i="19"/>
  <c r="J677" i="19"/>
  <c r="L679" i="19"/>
  <c r="T680" i="19"/>
  <c r="AD685" i="19"/>
  <c r="J686" i="19"/>
  <c r="AD687" i="19"/>
  <c r="AD693" i="19"/>
  <c r="AD696" i="19"/>
  <c r="V699" i="19"/>
  <c r="AF735" i="19"/>
  <c r="L743" i="19"/>
  <c r="AF752" i="19"/>
  <c r="L753" i="19"/>
  <c r="AF753" i="19"/>
  <c r="L757" i="19"/>
  <c r="L761" i="19"/>
  <c r="AF761" i="19"/>
  <c r="L765" i="19"/>
  <c r="L769" i="19"/>
  <c r="AF776" i="19"/>
  <c r="L781" i="19"/>
  <c r="AD798" i="19"/>
  <c r="AD800" i="19"/>
  <c r="J801" i="19"/>
  <c r="AD801" i="19"/>
  <c r="AD807" i="19"/>
  <c r="J809" i="19"/>
  <c r="AD809" i="19"/>
  <c r="J810" i="19"/>
  <c r="AD810" i="19"/>
  <c r="AI828" i="19"/>
  <c r="L866" i="19"/>
  <c r="L877" i="19"/>
  <c r="AD927" i="19"/>
  <c r="V921" i="19"/>
  <c r="T243" i="19"/>
  <c r="T823" i="19"/>
  <c r="T825" i="19"/>
  <c r="T826" i="19"/>
  <c r="AD24" i="19"/>
  <c r="T266" i="19"/>
  <c r="V439" i="19"/>
  <c r="V440" i="19"/>
  <c r="V442" i="19"/>
  <c r="T743" i="19"/>
  <c r="T3" i="19"/>
  <c r="T6" i="19"/>
  <c r="T7" i="19"/>
  <c r="T14" i="19"/>
  <c r="T15" i="19"/>
  <c r="T16" i="19"/>
  <c r="T20" i="19"/>
  <c r="T38" i="19"/>
  <c r="T39" i="19"/>
  <c r="T40" i="19"/>
  <c r="AH40" i="19" s="1"/>
  <c r="T46" i="19"/>
  <c r="T54" i="19"/>
  <c r="T55" i="19"/>
  <c r="T56" i="19"/>
  <c r="T59" i="19"/>
  <c r="T60" i="19"/>
  <c r="T62" i="19"/>
  <c r="T63" i="19"/>
  <c r="T64" i="19"/>
  <c r="T65" i="19"/>
  <c r="T67" i="19"/>
  <c r="T68" i="19"/>
  <c r="T74" i="19"/>
  <c r="T75" i="19"/>
  <c r="T84" i="19"/>
  <c r="T86" i="19"/>
  <c r="T94" i="19"/>
  <c r="T100" i="19"/>
  <c r="T101" i="19"/>
  <c r="T102" i="19"/>
  <c r="T104" i="19"/>
  <c r="T106" i="19"/>
  <c r="T107" i="19"/>
  <c r="T110" i="19"/>
  <c r="T112" i="19"/>
  <c r="T118" i="19"/>
  <c r="T119" i="19"/>
  <c r="AH119" i="19" s="1"/>
  <c r="T120" i="19"/>
  <c r="T122" i="19"/>
  <c r="AH122" i="19" s="1"/>
  <c r="T124" i="19"/>
  <c r="T125" i="19"/>
  <c r="T126" i="19"/>
  <c r="T132" i="19"/>
  <c r="T135" i="19"/>
  <c r="T140" i="19"/>
  <c r="AD150" i="19"/>
  <c r="J154" i="19"/>
  <c r="AD159" i="19"/>
  <c r="L160" i="19"/>
  <c r="AI190" i="19"/>
  <c r="AI192" i="19"/>
  <c r="AI194" i="19"/>
  <c r="AI197" i="19"/>
  <c r="V256" i="19"/>
  <c r="V260" i="19"/>
  <c r="V261" i="19"/>
  <c r="V263" i="19"/>
  <c r="V266" i="19"/>
  <c r="V267" i="19"/>
  <c r="V268" i="19"/>
  <c r="V272" i="19"/>
  <c r="V273" i="19"/>
  <c r="L295" i="19"/>
  <c r="L298" i="19"/>
  <c r="V379" i="19"/>
  <c r="V381" i="19"/>
  <c r="J435" i="19"/>
  <c r="V446" i="19"/>
  <c r="V451" i="19"/>
  <c r="T455" i="19"/>
  <c r="AH455" i="19" s="1"/>
  <c r="T456" i="19"/>
  <c r="T461" i="19"/>
  <c r="T467" i="19"/>
  <c r="T469" i="19"/>
  <c r="AI499" i="19"/>
  <c r="AI501" i="19"/>
  <c r="AI508" i="19"/>
  <c r="AI518" i="19"/>
  <c r="AI519" i="19"/>
  <c r="V578" i="19"/>
  <c r="V579" i="19"/>
  <c r="T587" i="19"/>
  <c r="T590" i="19"/>
  <c r="T593" i="19"/>
  <c r="T694" i="19"/>
  <c r="L697" i="19"/>
  <c r="V743" i="19"/>
  <c r="T246" i="19"/>
  <c r="T250" i="19"/>
  <c r="T357" i="19"/>
  <c r="T358" i="19"/>
  <c r="T359" i="19"/>
  <c r="T367" i="19"/>
  <c r="T368" i="19"/>
  <c r="T373" i="19"/>
  <c r="L383" i="19"/>
  <c r="L384" i="19"/>
  <c r="T438" i="19"/>
  <c r="T439" i="19"/>
  <c r="T820" i="19"/>
  <c r="L82" i="19"/>
  <c r="J84" i="19"/>
  <c r="AF110" i="19"/>
  <c r="AD132" i="19"/>
  <c r="V249" i="19"/>
  <c r="T377" i="19"/>
  <c r="T446" i="19"/>
  <c r="T448" i="19"/>
  <c r="AD467" i="19"/>
  <c r="T690" i="19"/>
  <c r="T692" i="19"/>
  <c r="V20" i="19"/>
  <c r="V44" i="19"/>
  <c r="V55" i="19"/>
  <c r="V62" i="19"/>
  <c r="AJ62" i="19" s="1"/>
  <c r="V63" i="19"/>
  <c r="V64" i="19"/>
  <c r="V68" i="19"/>
  <c r="V69" i="19"/>
  <c r="V74" i="19"/>
  <c r="V84" i="19"/>
  <c r="AJ84" i="19" s="1"/>
  <c r="V94" i="19"/>
  <c r="AJ94" i="19" s="1"/>
  <c r="V100" i="19"/>
  <c r="V103" i="19"/>
  <c r="V104" i="19"/>
  <c r="AJ104" i="19" s="1"/>
  <c r="V105" i="19"/>
  <c r="V119" i="19"/>
  <c r="V122" i="19"/>
  <c r="V123" i="19"/>
  <c r="V124" i="19"/>
  <c r="V125" i="19"/>
  <c r="V140" i="19"/>
  <c r="V141" i="19"/>
  <c r="AJ141" i="19" s="1"/>
  <c r="T148" i="19"/>
  <c r="T149" i="19"/>
  <c r="T152" i="19"/>
  <c r="T156" i="19"/>
  <c r="T158" i="19"/>
  <c r="T164" i="19"/>
  <c r="AD188" i="19"/>
  <c r="J234" i="19"/>
  <c r="AD234" i="19"/>
  <c r="AD236" i="19"/>
  <c r="AD237" i="19"/>
  <c r="AD238" i="19"/>
  <c r="AD239" i="19"/>
  <c r="J240" i="19"/>
  <c r="AD240" i="19"/>
  <c r="J241" i="19"/>
  <c r="J242" i="19"/>
  <c r="T282" i="19"/>
  <c r="AH282" i="19" s="1"/>
  <c r="T289" i="19"/>
  <c r="AH289" i="19" s="1"/>
  <c r="T291" i="19"/>
  <c r="AH291" i="19" s="1"/>
  <c r="T293" i="19"/>
  <c r="AH293" i="19" s="1"/>
  <c r="T294" i="19"/>
  <c r="T297" i="19"/>
  <c r="AI324" i="19"/>
  <c r="AI325" i="19"/>
  <c r="AF325" i="19"/>
  <c r="AF326" i="19"/>
  <c r="AF327" i="19"/>
  <c r="AI328" i="19"/>
  <c r="AF328" i="19"/>
  <c r="AI329" i="19"/>
  <c r="AI331" i="19"/>
  <c r="AI333" i="19"/>
  <c r="AF333" i="19"/>
  <c r="AF337" i="19"/>
  <c r="AD397" i="19"/>
  <c r="AF398" i="19"/>
  <c r="J399" i="19"/>
  <c r="V403" i="19"/>
  <c r="L423" i="19"/>
  <c r="AD425" i="19"/>
  <c r="AD435" i="19"/>
  <c r="J436" i="19"/>
  <c r="J437" i="19"/>
  <c r="AH437" i="19" s="1"/>
  <c r="V453" i="19"/>
  <c r="V454" i="19"/>
  <c r="V455" i="19"/>
  <c r="V456" i="19"/>
  <c r="V461" i="19"/>
  <c r="T479" i="19"/>
  <c r="T480" i="19"/>
  <c r="AH480" i="19" s="1"/>
  <c r="AI540" i="19"/>
  <c r="J571" i="19"/>
  <c r="AD571" i="19"/>
  <c r="AD573" i="19"/>
  <c r="T595" i="19"/>
  <c r="T596" i="19"/>
  <c r="T597" i="19"/>
  <c r="T605" i="19"/>
  <c r="T607" i="19"/>
  <c r="T609" i="19"/>
  <c r="AI639" i="19"/>
  <c r="J674" i="19"/>
  <c r="V693" i="19"/>
  <c r="T696" i="19"/>
  <c r="T784" i="19"/>
  <c r="T789" i="19"/>
  <c r="AD992" i="19"/>
  <c r="T249" i="19"/>
  <c r="T252" i="19"/>
  <c r="T361" i="19"/>
  <c r="T365" i="19"/>
  <c r="T374" i="19"/>
  <c r="L376" i="19"/>
  <c r="L394" i="19"/>
  <c r="V435" i="19"/>
  <c r="T440" i="19"/>
  <c r="T441" i="19"/>
  <c r="T442" i="19"/>
  <c r="T445" i="19"/>
  <c r="J44" i="19"/>
  <c r="V248" i="19"/>
  <c r="T261" i="19"/>
  <c r="T267" i="19"/>
  <c r="V365" i="19"/>
  <c r="V366" i="19"/>
  <c r="V367" i="19"/>
  <c r="T376" i="19"/>
  <c r="T386" i="19"/>
  <c r="J586" i="19"/>
  <c r="T744" i="19"/>
  <c r="V148" i="19"/>
  <c r="V154" i="19"/>
  <c r="V164" i="19"/>
  <c r="T175" i="19"/>
  <c r="T176" i="19"/>
  <c r="T177" i="19"/>
  <c r="T180" i="19"/>
  <c r="J190" i="19"/>
  <c r="V193" i="19"/>
  <c r="AI223" i="19"/>
  <c r="AI224" i="19"/>
  <c r="AI225" i="19"/>
  <c r="AF225" i="19"/>
  <c r="L226" i="19"/>
  <c r="AF226" i="19"/>
  <c r="AF227" i="19"/>
  <c r="L228" i="19"/>
  <c r="AF228" i="19"/>
  <c r="L230" i="19"/>
  <c r="AF230" i="19"/>
  <c r="L233" i="19"/>
  <c r="L234" i="19"/>
  <c r="AF234" i="19"/>
  <c r="L236" i="19"/>
  <c r="AF236" i="19"/>
  <c r="L237" i="19"/>
  <c r="AF237" i="19"/>
  <c r="AF238" i="19"/>
  <c r="AI239" i="19"/>
  <c r="AI240" i="19"/>
  <c r="L241" i="19"/>
  <c r="AF241" i="19"/>
  <c r="L242" i="19"/>
  <c r="AD242" i="19"/>
  <c r="J243" i="19"/>
  <c r="AD243" i="19"/>
  <c r="J247" i="19"/>
  <c r="AD247" i="19"/>
  <c r="AD248" i="19"/>
  <c r="J249" i="19"/>
  <c r="AD250" i="19"/>
  <c r="V289" i="19"/>
  <c r="AJ289" i="19" s="1"/>
  <c r="V291" i="19"/>
  <c r="V292" i="19"/>
  <c r="V293" i="19"/>
  <c r="V297" i="19"/>
  <c r="T303" i="19"/>
  <c r="J352" i="19"/>
  <c r="AD352" i="19"/>
  <c r="AD353" i="19"/>
  <c r="AD354" i="19"/>
  <c r="J356" i="19"/>
  <c r="AD356" i="19"/>
  <c r="AD357" i="19"/>
  <c r="J358" i="19"/>
  <c r="AD358" i="19"/>
  <c r="J359" i="19"/>
  <c r="AD359" i="19"/>
  <c r="AD361" i="19"/>
  <c r="AD362" i="19"/>
  <c r="J364" i="19"/>
  <c r="AD365" i="19"/>
  <c r="J366" i="19"/>
  <c r="AD366" i="19"/>
  <c r="J367" i="19"/>
  <c r="AD367" i="19"/>
  <c r="AD368" i="19"/>
  <c r="AD369" i="19"/>
  <c r="AD370" i="19"/>
  <c r="J371" i="19"/>
  <c r="AD373" i="19"/>
  <c r="J374" i="19"/>
  <c r="AD374" i="19"/>
  <c r="T418" i="19"/>
  <c r="T421" i="19"/>
  <c r="T422" i="19"/>
  <c r="T425" i="19"/>
  <c r="AI435" i="19"/>
  <c r="L436" i="19"/>
  <c r="AD437" i="19"/>
  <c r="J439" i="19"/>
  <c r="AD439" i="19"/>
  <c r="J440" i="19"/>
  <c r="AD440" i="19"/>
  <c r="V479" i="19"/>
  <c r="L483" i="19"/>
  <c r="AJ483" i="19" s="1"/>
  <c r="V485" i="19"/>
  <c r="AF570" i="19"/>
  <c r="V596" i="19"/>
  <c r="V601" i="19"/>
  <c r="T613" i="19"/>
  <c r="T614" i="19"/>
  <c r="AH614" i="19" s="1"/>
  <c r="T615" i="19"/>
  <c r="T616" i="19"/>
  <c r="J622" i="19"/>
  <c r="AI642" i="19"/>
  <c r="AI665" i="19"/>
  <c r="AD674" i="19"/>
  <c r="V787" i="19"/>
  <c r="T791" i="19"/>
  <c r="T987" i="19"/>
  <c r="T818" i="19"/>
  <c r="J4" i="19"/>
  <c r="AD80" i="19"/>
  <c r="AD112" i="19"/>
  <c r="L128" i="19"/>
  <c r="T260" i="19"/>
  <c r="T262" i="19"/>
  <c r="V373" i="19"/>
  <c r="T381" i="19"/>
  <c r="T385" i="19"/>
  <c r="T389" i="19"/>
  <c r="T449" i="19"/>
  <c r="T578" i="19"/>
  <c r="V677" i="19"/>
  <c r="T749" i="19"/>
  <c r="AF242" i="19"/>
  <c r="L243" i="19"/>
  <c r="AF243" i="19"/>
  <c r="AF246" i="19"/>
  <c r="AF247" i="19"/>
  <c r="AF250" i="19"/>
  <c r="AD256" i="19"/>
  <c r="J257" i="19"/>
  <c r="J258" i="19"/>
  <c r="AD258" i="19"/>
  <c r="J260" i="19"/>
  <c r="AD260" i="19"/>
  <c r="AD261" i="19"/>
  <c r="AD262" i="19"/>
  <c r="J263" i="19"/>
  <c r="AD263" i="19"/>
  <c r="J265" i="19"/>
  <c r="J266" i="19"/>
  <c r="AD266" i="19"/>
  <c r="J267" i="19"/>
  <c r="AD267" i="19"/>
  <c r="J268" i="19"/>
  <c r="AD268" i="19"/>
  <c r="J273" i="19"/>
  <c r="AD273" i="19"/>
  <c r="J274" i="19"/>
  <c r="AD274" i="19"/>
  <c r="J323" i="19"/>
  <c r="T328" i="19"/>
  <c r="AH328" i="19" s="1"/>
  <c r="T332" i="19"/>
  <c r="AF349" i="19"/>
  <c r="AF350" i="19"/>
  <c r="AF351" i="19"/>
  <c r="AF352" i="19"/>
  <c r="L353" i="19"/>
  <c r="AF353" i="19"/>
  <c r="L354" i="19"/>
  <c r="AF357" i="19"/>
  <c r="L358" i="19"/>
  <c r="AF358" i="19"/>
  <c r="AF359" i="19"/>
  <c r="AF361" i="19"/>
  <c r="L364" i="19"/>
  <c r="AD389" i="19"/>
  <c r="V420" i="19"/>
  <c r="V421" i="19"/>
  <c r="AF437" i="19"/>
  <c r="AF439" i="19"/>
  <c r="AF440" i="19"/>
  <c r="AF441" i="19"/>
  <c r="AF445" i="19"/>
  <c r="AD446" i="19"/>
  <c r="J448" i="19"/>
  <c r="AD448" i="19"/>
  <c r="J450" i="19"/>
  <c r="AD450" i="19"/>
  <c r="AD451" i="19"/>
  <c r="J452" i="19"/>
  <c r="J453" i="19"/>
  <c r="J534" i="19"/>
  <c r="T538" i="19"/>
  <c r="AH538" i="19" s="1"/>
  <c r="V545" i="19"/>
  <c r="J577" i="19"/>
  <c r="AD577" i="19"/>
  <c r="J578" i="19"/>
  <c r="AD578" i="19"/>
  <c r="J637" i="19"/>
  <c r="J638" i="19"/>
  <c r="AF674" i="19"/>
  <c r="AI675" i="19"/>
  <c r="AI683" i="19"/>
  <c r="L684" i="19"/>
  <c r="AD688" i="19"/>
  <c r="J691" i="19"/>
  <c r="J692" i="19"/>
  <c r="AD692" i="19"/>
  <c r="AD749" i="19"/>
  <c r="V790" i="19"/>
  <c r="J936" i="19"/>
  <c r="V821" i="19"/>
  <c r="V822" i="19"/>
  <c r="V823" i="19"/>
  <c r="V825" i="19"/>
  <c r="T831" i="19"/>
  <c r="J675" i="19"/>
  <c r="AD677" i="19"/>
  <c r="J682" i="19"/>
  <c r="J742" i="19"/>
  <c r="J784" i="19"/>
  <c r="AD784" i="19"/>
  <c r="J848" i="19"/>
  <c r="L850" i="19"/>
  <c r="AI890" i="19"/>
  <c r="J920" i="19"/>
  <c r="V923" i="19"/>
  <c r="T936" i="19"/>
  <c r="T937" i="19"/>
  <c r="T938" i="19"/>
  <c r="T941" i="19"/>
  <c r="T944" i="19"/>
  <c r="T988" i="19"/>
  <c r="T989" i="19"/>
  <c r="T992" i="19"/>
  <c r="AF711" i="19"/>
  <c r="AD714" i="19"/>
  <c r="AF815" i="19"/>
  <c r="AD816" i="19"/>
  <c r="J819" i="19"/>
  <c r="AD819" i="19"/>
  <c r="AD820" i="19"/>
  <c r="J821" i="19"/>
  <c r="AD823" i="19"/>
  <c r="V838" i="19"/>
  <c r="V936" i="19"/>
  <c r="V937" i="19"/>
  <c r="V944" i="19"/>
  <c r="V987" i="19"/>
  <c r="V992" i="19"/>
  <c r="V993" i="19"/>
  <c r="T631" i="19"/>
  <c r="T636" i="19"/>
  <c r="AF742" i="19"/>
  <c r="AD743" i="19"/>
  <c r="AD745" i="19"/>
  <c r="AD746" i="19"/>
  <c r="J748" i="19"/>
  <c r="L785" i="19"/>
  <c r="AF785" i="19"/>
  <c r="L786" i="19"/>
  <c r="AI787" i="19"/>
  <c r="AF789" i="19"/>
  <c r="AD790" i="19"/>
  <c r="V847" i="19"/>
  <c r="V855" i="19"/>
  <c r="V856" i="19"/>
  <c r="AJ856" i="19" s="1"/>
  <c r="V857" i="19"/>
  <c r="AJ857" i="19" s="1"/>
  <c r="V871" i="19"/>
  <c r="T874" i="19"/>
  <c r="T878" i="19"/>
  <c r="AD891" i="19"/>
  <c r="AD920" i="19"/>
  <c r="AD921" i="19"/>
  <c r="J922" i="19"/>
  <c r="AD969" i="19"/>
  <c r="T994" i="19"/>
  <c r="AF693" i="19"/>
  <c r="V708" i="19"/>
  <c r="V719" i="19"/>
  <c r="AF743" i="19"/>
  <c r="AF745" i="19"/>
  <c r="L746" i="19"/>
  <c r="L749" i="19"/>
  <c r="J752" i="19"/>
  <c r="AD752" i="19"/>
  <c r="V814" i="19"/>
  <c r="L830" i="19"/>
  <c r="AF830" i="19"/>
  <c r="L831" i="19"/>
  <c r="AF831" i="19"/>
  <c r="AD836" i="19"/>
  <c r="J919" i="19"/>
  <c r="AF920" i="19"/>
  <c r="L922" i="19"/>
  <c r="AD923" i="19"/>
  <c r="J924" i="19"/>
  <c r="AF969" i="19"/>
  <c r="J986" i="19"/>
  <c r="AD986" i="19"/>
  <c r="T638" i="19"/>
  <c r="T645" i="19"/>
  <c r="L647" i="19"/>
  <c r="AF652" i="19"/>
  <c r="L655" i="19"/>
  <c r="L664" i="19"/>
  <c r="AF687" i="19"/>
  <c r="AF688" i="19"/>
  <c r="AI690" i="19"/>
  <c r="AI691" i="19"/>
  <c r="J694" i="19"/>
  <c r="T702" i="19"/>
  <c r="T703" i="19"/>
  <c r="T717" i="19"/>
  <c r="T719" i="19"/>
  <c r="AH719" i="19" s="1"/>
  <c r="L727" i="19"/>
  <c r="AD728" i="19"/>
  <c r="L741" i="19"/>
  <c r="J743" i="19"/>
  <c r="V754" i="19"/>
  <c r="V755" i="19"/>
  <c r="AD760" i="19"/>
  <c r="J789" i="19"/>
  <c r="J790" i="19"/>
  <c r="V798" i="19"/>
  <c r="V832" i="19"/>
  <c r="V833" i="19"/>
  <c r="T838" i="19"/>
  <c r="T841" i="19"/>
  <c r="AH841" i="19" s="1"/>
  <c r="T842" i="19"/>
  <c r="L865" i="19"/>
  <c r="AD870" i="19"/>
  <c r="J871" i="19"/>
  <c r="V880" i="19"/>
  <c r="T886" i="19"/>
  <c r="T888" i="19"/>
  <c r="T890" i="19"/>
  <c r="AF893" i="19"/>
  <c r="L894" i="19"/>
  <c r="AF894" i="19"/>
  <c r="AF895" i="19"/>
  <c r="AF900" i="19"/>
  <c r="L901" i="19"/>
  <c r="AI905" i="19"/>
  <c r="AI909" i="19"/>
  <c r="AF909" i="19"/>
  <c r="AD911" i="19"/>
  <c r="T921" i="19"/>
  <c r="T922" i="19"/>
  <c r="AD936" i="19"/>
  <c r="J937" i="19"/>
  <c r="AD937" i="19"/>
  <c r="J938" i="19"/>
  <c r="AD938" i="19"/>
  <c r="AD940" i="19"/>
  <c r="AD941" i="19"/>
  <c r="J943" i="19"/>
  <c r="J987" i="19"/>
  <c r="V994" i="19"/>
  <c r="V995" i="19"/>
  <c r="AI771" i="19"/>
  <c r="V782" i="19"/>
  <c r="AF790" i="19"/>
  <c r="AF792" i="19"/>
  <c r="AI796" i="19"/>
  <c r="J798" i="19"/>
  <c r="AI804" i="19"/>
  <c r="T814" i="19"/>
  <c r="T817" i="19"/>
  <c r="AI820" i="19"/>
  <c r="AF823" i="19"/>
  <c r="J831" i="19"/>
  <c r="AD831" i="19"/>
  <c r="J832" i="19"/>
  <c r="T850" i="19"/>
  <c r="T855" i="19"/>
  <c r="T857" i="19"/>
  <c r="AH857" i="19" s="1"/>
  <c r="T858" i="19"/>
  <c r="T860" i="19"/>
  <c r="L878" i="19"/>
  <c r="J879" i="19"/>
  <c r="J900" i="19"/>
  <c r="J933" i="19"/>
  <c r="J985" i="19"/>
  <c r="L990" i="19"/>
  <c r="AF992" i="19"/>
  <c r="T18" i="19"/>
  <c r="T19" i="19"/>
  <c r="T76" i="19"/>
  <c r="T80" i="19"/>
  <c r="T212" i="19"/>
  <c r="T390" i="19"/>
  <c r="T77" i="19"/>
  <c r="T296" i="19"/>
  <c r="T344" i="19"/>
  <c r="T465" i="19"/>
  <c r="AI476" i="19"/>
  <c r="L9" i="19"/>
  <c r="T47" i="19"/>
  <c r="T52" i="19"/>
  <c r="V77" i="19"/>
  <c r="T83" i="19"/>
  <c r="V215" i="19"/>
  <c r="AI272" i="19"/>
  <c r="T298" i="19"/>
  <c r="V343" i="19"/>
  <c r="V463" i="19"/>
  <c r="T581" i="19"/>
  <c r="T782" i="19"/>
  <c r="T848" i="19"/>
  <c r="T970" i="19"/>
  <c r="T8" i="19"/>
  <c r="T24" i="19"/>
  <c r="J28" i="19"/>
  <c r="AF37" i="19"/>
  <c r="V132" i="19"/>
  <c r="AD196" i="19"/>
  <c r="V220" i="19"/>
  <c r="T225" i="19"/>
  <c r="T227" i="19"/>
  <c r="T228" i="19"/>
  <c r="V348" i="19"/>
  <c r="L351" i="19"/>
  <c r="L626" i="19"/>
  <c r="V8" i="19"/>
  <c r="V9" i="19"/>
  <c r="T11" i="19"/>
  <c r="V21" i="19"/>
  <c r="T26" i="19"/>
  <c r="T27" i="19"/>
  <c r="T28" i="19"/>
  <c r="T30" i="19"/>
  <c r="T31" i="19"/>
  <c r="AH31" i="19" s="1"/>
  <c r="T32" i="19"/>
  <c r="AD56" i="19"/>
  <c r="L57" i="19"/>
  <c r="AI65" i="19"/>
  <c r="AI66" i="19"/>
  <c r="AI67" i="19"/>
  <c r="AI100" i="19"/>
  <c r="J110" i="19"/>
  <c r="V113" i="19"/>
  <c r="AJ113" i="19" s="1"/>
  <c r="V114" i="19"/>
  <c r="V134" i="19"/>
  <c r="AJ134" i="19" s="1"/>
  <c r="T155" i="19"/>
  <c r="AI158" i="19"/>
  <c r="T166" i="19"/>
  <c r="T167" i="19"/>
  <c r="T169" i="19"/>
  <c r="J170" i="19"/>
  <c r="T195" i="19"/>
  <c r="J197" i="19"/>
  <c r="AI203" i="19"/>
  <c r="AI208" i="19"/>
  <c r="AI209" i="19"/>
  <c r="AI210" i="19"/>
  <c r="V225" i="19"/>
  <c r="V231" i="19"/>
  <c r="T233" i="19"/>
  <c r="T234" i="19"/>
  <c r="T235" i="19"/>
  <c r="AI246" i="19"/>
  <c r="AI247" i="19"/>
  <c r="T257" i="19"/>
  <c r="T397" i="19"/>
  <c r="T399" i="19"/>
  <c r="T400" i="19"/>
  <c r="T402" i="19"/>
  <c r="L407" i="19"/>
  <c r="T684" i="19"/>
  <c r="T686" i="19"/>
  <c r="T709" i="19"/>
  <c r="T713" i="19"/>
  <c r="AD875" i="19"/>
  <c r="L875" i="19"/>
  <c r="T945" i="19"/>
  <c r="T78" i="19"/>
  <c r="V158" i="19"/>
  <c r="T808" i="19"/>
  <c r="V6" i="19"/>
  <c r="L10" i="19"/>
  <c r="L25" i="19"/>
  <c r="T49" i="19"/>
  <c r="V76" i="19"/>
  <c r="L114" i="19"/>
  <c r="T128" i="19"/>
  <c r="T131" i="19"/>
  <c r="T153" i="19"/>
  <c r="V189" i="19"/>
  <c r="T219" i="19"/>
  <c r="T220" i="19"/>
  <c r="T580" i="19"/>
  <c r="V7" i="19"/>
  <c r="T9" i="19"/>
  <c r="AF29" i="19"/>
  <c r="V48" i="19"/>
  <c r="T115" i="19"/>
  <c r="V128" i="19"/>
  <c r="T134" i="19"/>
  <c r="AF135" i="19"/>
  <c r="V162" i="19"/>
  <c r="T191" i="19"/>
  <c r="T192" i="19"/>
  <c r="T193" i="19"/>
  <c r="V347" i="19"/>
  <c r="V580" i="19"/>
  <c r="AD4" i="19"/>
  <c r="J5" i="19"/>
  <c r="AD5" i="19"/>
  <c r="J6" i="19"/>
  <c r="AD6" i="19"/>
  <c r="AI17" i="19"/>
  <c r="AD18" i="19"/>
  <c r="AD19" i="19"/>
  <c r="V28" i="19"/>
  <c r="V31" i="19"/>
  <c r="V36" i="19"/>
  <c r="J46" i="19"/>
  <c r="AF68" i="19"/>
  <c r="L69" i="19"/>
  <c r="AF70" i="19"/>
  <c r="AF72" i="19"/>
  <c r="L73" i="19"/>
  <c r="AF73" i="19"/>
  <c r="AI74" i="19"/>
  <c r="AF74" i="19"/>
  <c r="AF75" i="19"/>
  <c r="AD76" i="19"/>
  <c r="J77" i="19"/>
  <c r="AD77" i="19"/>
  <c r="J82" i="19"/>
  <c r="V85" i="19"/>
  <c r="AJ85" i="19" s="1"/>
  <c r="T87" i="19"/>
  <c r="T88" i="19"/>
  <c r="T92" i="19"/>
  <c r="AH92" i="19" s="1"/>
  <c r="AD95" i="19"/>
  <c r="L98" i="19"/>
  <c r="L108" i="19"/>
  <c r="AF108" i="19"/>
  <c r="AI109" i="19"/>
  <c r="AF109" i="19"/>
  <c r="L110" i="19"/>
  <c r="AD110" i="19"/>
  <c r="AI122" i="19"/>
  <c r="AF122" i="19"/>
  <c r="AI123" i="19"/>
  <c r="L124" i="19"/>
  <c r="AF124" i="19"/>
  <c r="V135" i="19"/>
  <c r="T136" i="19"/>
  <c r="L147" i="19"/>
  <c r="AF148" i="19"/>
  <c r="V155" i="19"/>
  <c r="L158" i="19"/>
  <c r="V165" i="19"/>
  <c r="V166" i="19"/>
  <c r="V167" i="19"/>
  <c r="V169" i="19"/>
  <c r="AI170" i="19"/>
  <c r="J173" i="19"/>
  <c r="J181" i="19"/>
  <c r="AD183" i="19"/>
  <c r="AD184" i="19"/>
  <c r="AD185" i="19"/>
  <c r="J186" i="19"/>
  <c r="AD186" i="19"/>
  <c r="J188" i="19"/>
  <c r="V195" i="19"/>
  <c r="T199" i="19"/>
  <c r="L200" i="19"/>
  <c r="AD212" i="19"/>
  <c r="V234" i="19"/>
  <c r="V235" i="19"/>
  <c r="V236" i="19"/>
  <c r="T241" i="19"/>
  <c r="L251" i="19"/>
  <c r="AF251" i="19"/>
  <c r="V258" i="19"/>
  <c r="T274" i="19"/>
  <c r="T275" i="19"/>
  <c r="T276" i="19"/>
  <c r="T277" i="19"/>
  <c r="AD343" i="19"/>
  <c r="AF389" i="19"/>
  <c r="V396" i="19"/>
  <c r="V398" i="19"/>
  <c r="AF425" i="19"/>
  <c r="L428" i="19"/>
  <c r="V443" i="19"/>
  <c r="AI443" i="19"/>
  <c r="AD463" i="19"/>
  <c r="V568" i="19"/>
  <c r="AF571" i="19"/>
  <c r="V618" i="19"/>
  <c r="T620" i="19"/>
  <c r="T622" i="19"/>
  <c r="J634" i="19"/>
  <c r="L660" i="19"/>
  <c r="AF660" i="19"/>
  <c r="L661" i="19"/>
  <c r="AF661" i="19"/>
  <c r="AF664" i="19"/>
  <c r="V678" i="19"/>
  <c r="V682" i="19"/>
  <c r="AF695" i="19"/>
  <c r="V709" i="19"/>
  <c r="T875" i="19"/>
  <c r="T876" i="19"/>
  <c r="T150" i="19"/>
  <c r="T464" i="19"/>
  <c r="T466" i="19"/>
  <c r="T634" i="19"/>
  <c r="T82" i="19"/>
  <c r="T534" i="19"/>
  <c r="T637" i="19"/>
  <c r="L642" i="19"/>
  <c r="T815" i="19"/>
  <c r="V52" i="19"/>
  <c r="T114" i="19"/>
  <c r="V216" i="19"/>
  <c r="V219" i="19"/>
  <c r="T223" i="19"/>
  <c r="T230" i="19"/>
  <c r="T302" i="19"/>
  <c r="V815" i="19"/>
  <c r="V970" i="19"/>
  <c r="L4" i="19"/>
  <c r="AF4" i="19"/>
  <c r="L5" i="19"/>
  <c r="L6" i="19"/>
  <c r="V13" i="19"/>
  <c r="AF18" i="19"/>
  <c r="L19" i="19"/>
  <c r="AF19" i="19"/>
  <c r="V39" i="19"/>
  <c r="T41" i="19"/>
  <c r="L45" i="19"/>
  <c r="AD46" i="19"/>
  <c r="J47" i="19"/>
  <c r="AD47" i="19"/>
  <c r="J48" i="19"/>
  <c r="AD48" i="19"/>
  <c r="J49" i="19"/>
  <c r="AD49" i="19"/>
  <c r="J52" i="19"/>
  <c r="AD63" i="19"/>
  <c r="V67" i="19"/>
  <c r="L76" i="19"/>
  <c r="AF76" i="19"/>
  <c r="L77" i="19"/>
  <c r="AF77" i="19"/>
  <c r="AD82" i="19"/>
  <c r="J83" i="19"/>
  <c r="AD83" i="19"/>
  <c r="V86" i="19"/>
  <c r="V87" i="19"/>
  <c r="V88" i="19"/>
  <c r="V92" i="19"/>
  <c r="J111" i="19"/>
  <c r="AD111" i="19"/>
  <c r="J112" i="19"/>
  <c r="AD127" i="19"/>
  <c r="J128" i="19"/>
  <c r="T141" i="19"/>
  <c r="AD152" i="19"/>
  <c r="AD153" i="19"/>
  <c r="V156" i="19"/>
  <c r="T157" i="19"/>
  <c r="AF158" i="19"/>
  <c r="AD162" i="19"/>
  <c r="J163" i="19"/>
  <c r="J164" i="19"/>
  <c r="V170" i="19"/>
  <c r="V178" i="19"/>
  <c r="AF179" i="19"/>
  <c r="AF180" i="19"/>
  <c r="AI182" i="19"/>
  <c r="AF183" i="19"/>
  <c r="L184" i="19"/>
  <c r="AF184" i="19"/>
  <c r="AF185" i="19"/>
  <c r="L186" i="19"/>
  <c r="L187" i="19"/>
  <c r="V209" i="19"/>
  <c r="L212" i="19"/>
  <c r="AF212" i="19"/>
  <c r="J216" i="19"/>
  <c r="J217" i="19"/>
  <c r="AD217" i="19"/>
  <c r="J219" i="19"/>
  <c r="AD219" i="19"/>
  <c r="J220" i="19"/>
  <c r="AD220" i="19"/>
  <c r="J221" i="19"/>
  <c r="AD221" i="19"/>
  <c r="V241" i="19"/>
  <c r="T244" i="19"/>
  <c r="L252" i="19"/>
  <c r="J253" i="19"/>
  <c r="AD253" i="19"/>
  <c r="AD255" i="19"/>
  <c r="J256" i="19"/>
  <c r="V274" i="19"/>
  <c r="V275" i="19"/>
  <c r="V276" i="19"/>
  <c r="V277" i="19"/>
  <c r="T316" i="19"/>
  <c r="T318" i="19"/>
  <c r="AI337" i="19"/>
  <c r="L337" i="19"/>
  <c r="V494" i="19"/>
  <c r="AI510" i="19"/>
  <c r="AD534" i="19"/>
  <c r="AD580" i="19"/>
  <c r="J617" i="19"/>
  <c r="V621" i="19"/>
  <c r="T646" i="19"/>
  <c r="T647" i="19"/>
  <c r="T652" i="19"/>
  <c r="AF696" i="19"/>
  <c r="AD725" i="19"/>
  <c r="L725" i="19"/>
  <c r="V732" i="19"/>
  <c r="J732" i="19"/>
  <c r="T343" i="19"/>
  <c r="T463" i="19"/>
  <c r="T48" i="19"/>
  <c r="T51" i="19"/>
  <c r="V149" i="19"/>
  <c r="V187" i="19"/>
  <c r="V212" i="19"/>
  <c r="V296" i="19"/>
  <c r="V464" i="19"/>
  <c r="AI966" i="19"/>
  <c r="V966" i="19"/>
  <c r="T116" i="19"/>
  <c r="T586" i="19"/>
  <c r="AH586" i="19" s="1"/>
  <c r="AI7" i="19"/>
  <c r="J8" i="19"/>
  <c r="AD8" i="19"/>
  <c r="AD20" i="19"/>
  <c r="AH20" i="19" s="1"/>
  <c r="J21" i="19"/>
  <c r="AD21" i="19"/>
  <c r="J26" i="19"/>
  <c r="AH26" i="19" s="1"/>
  <c r="T42" i="19"/>
  <c r="T43" i="19"/>
  <c r="T44" i="19"/>
  <c r="AF46" i="19"/>
  <c r="L47" i="19"/>
  <c r="AF47" i="19"/>
  <c r="L48" i="19"/>
  <c r="AF48" i="19"/>
  <c r="AF52" i="19"/>
  <c r="AD53" i="19"/>
  <c r="J54" i="19"/>
  <c r="AH54" i="19" s="1"/>
  <c r="T70" i="19"/>
  <c r="AF82" i="19"/>
  <c r="L83" i="19"/>
  <c r="AF83" i="19"/>
  <c r="V108" i="19"/>
  <c r="AI111" i="19"/>
  <c r="AF111" i="19"/>
  <c r="L112" i="19"/>
  <c r="J113" i="19"/>
  <c r="AD113" i="19"/>
  <c r="J114" i="19"/>
  <c r="J116" i="19"/>
  <c r="AD116" i="19"/>
  <c r="J117" i="19"/>
  <c r="AD117" i="19"/>
  <c r="J118" i="19"/>
  <c r="AF128" i="19"/>
  <c r="AF131" i="19"/>
  <c r="L132" i="19"/>
  <c r="J133" i="19"/>
  <c r="AD133" i="19"/>
  <c r="J134" i="19"/>
  <c r="AD134" i="19"/>
  <c r="AF152" i="19"/>
  <c r="AF153" i="19"/>
  <c r="AD164" i="19"/>
  <c r="AD190" i="19"/>
  <c r="AD191" i="19"/>
  <c r="AD192" i="19"/>
  <c r="AD193" i="19"/>
  <c r="AD194" i="19"/>
  <c r="AI217" i="19"/>
  <c r="AF217" i="19"/>
  <c r="AF219" i="19"/>
  <c r="L220" i="19"/>
  <c r="AF220" i="19"/>
  <c r="L221" i="19"/>
  <c r="AF221" i="19"/>
  <c r="J224" i="19"/>
  <c r="AD224" i="19"/>
  <c r="J225" i="19"/>
  <c r="AD225" i="19"/>
  <c r="J226" i="19"/>
  <c r="AD226" i="19"/>
  <c r="J227" i="19"/>
  <c r="AD228" i="19"/>
  <c r="AD229" i="19"/>
  <c r="AD230" i="19"/>
  <c r="AD231" i="19"/>
  <c r="AF252" i="19"/>
  <c r="L324" i="19"/>
  <c r="L467" i="19"/>
  <c r="J468" i="19"/>
  <c r="AD468" i="19"/>
  <c r="L534" i="19"/>
  <c r="L580" i="19"/>
  <c r="T601" i="19"/>
  <c r="T602" i="19"/>
  <c r="T604" i="19"/>
  <c r="AF637" i="19"/>
  <c r="AD638" i="19"/>
  <c r="J639" i="19"/>
  <c r="AD639" i="19"/>
  <c r="AD641" i="19"/>
  <c r="AD662" i="19"/>
  <c r="AI323" i="19"/>
  <c r="V349" i="19"/>
  <c r="T350" i="19"/>
  <c r="T351" i="19"/>
  <c r="T352" i="19"/>
  <c r="V390" i="19"/>
  <c r="L392" i="19"/>
  <c r="V400" i="19"/>
  <c r="V404" i="19"/>
  <c r="T405" i="19"/>
  <c r="T406" i="19"/>
  <c r="AH406" i="19" s="1"/>
  <c r="T407" i="19"/>
  <c r="T408" i="19"/>
  <c r="J421" i="19"/>
  <c r="V428" i="19"/>
  <c r="L432" i="19"/>
  <c r="AI439" i="19"/>
  <c r="AI449" i="19"/>
  <c r="J461" i="19"/>
  <c r="T468" i="19"/>
  <c r="J492" i="19"/>
  <c r="V495" i="19"/>
  <c r="V497" i="19"/>
  <c r="V503" i="19"/>
  <c r="V505" i="19"/>
  <c r="V510" i="19"/>
  <c r="AD514" i="19"/>
  <c r="L515" i="19"/>
  <c r="J518" i="19"/>
  <c r="L539" i="19"/>
  <c r="V570" i="19"/>
  <c r="T571" i="19"/>
  <c r="T572" i="19"/>
  <c r="AI578" i="19"/>
  <c r="V586" i="19"/>
  <c r="T589" i="19"/>
  <c r="AD594" i="19"/>
  <c r="V602" i="19"/>
  <c r="V603" i="19"/>
  <c r="V604" i="19"/>
  <c r="AJ604" i="19" s="1"/>
  <c r="V607" i="19"/>
  <c r="V622" i="19"/>
  <c r="AI625" i="19"/>
  <c r="T639" i="19"/>
  <c r="T640" i="19"/>
  <c r="T641" i="19"/>
  <c r="AD645" i="19"/>
  <c r="T660" i="19"/>
  <c r="AH660" i="19" s="1"/>
  <c r="T661" i="19"/>
  <c r="T663" i="19"/>
  <c r="T664" i="19"/>
  <c r="J668" i="19"/>
  <c r="L671" i="19"/>
  <c r="L672" i="19"/>
  <c r="V684" i="19"/>
  <c r="V685" i="19"/>
  <c r="AI692" i="19"/>
  <c r="V696" i="19"/>
  <c r="V710" i="19"/>
  <c r="AD792" i="19"/>
  <c r="AI837" i="19"/>
  <c r="AI898" i="19"/>
  <c r="AI899" i="19"/>
  <c r="T258" i="19"/>
  <c r="J264" i="19"/>
  <c r="AI273" i="19"/>
  <c r="J275" i="19"/>
  <c r="T283" i="19"/>
  <c r="T284" i="19"/>
  <c r="AH284" i="19" s="1"/>
  <c r="AF291" i="19"/>
  <c r="L292" i="19"/>
  <c r="AF292" i="19"/>
  <c r="L293" i="19"/>
  <c r="AF293" i="19"/>
  <c r="AD296" i="19"/>
  <c r="J297" i="19"/>
  <c r="V303" i="19"/>
  <c r="AJ303" i="19" s="1"/>
  <c r="J308" i="19"/>
  <c r="J309" i="19"/>
  <c r="AD309" i="19"/>
  <c r="J312" i="19"/>
  <c r="AD312" i="19"/>
  <c r="J313" i="19"/>
  <c r="T329" i="19"/>
  <c r="AI339" i="19"/>
  <c r="AI340" i="19"/>
  <c r="AI341" i="19"/>
  <c r="AF341" i="19"/>
  <c r="AF342" i="19"/>
  <c r="V356" i="19"/>
  <c r="V357" i="19"/>
  <c r="L365" i="19"/>
  <c r="AF365" i="19"/>
  <c r="AF367" i="19"/>
  <c r="AF368" i="19"/>
  <c r="AF369" i="19"/>
  <c r="AI370" i="19"/>
  <c r="AF370" i="19"/>
  <c r="AI371" i="19"/>
  <c r="AF373" i="19"/>
  <c r="L374" i="19"/>
  <c r="AF374" i="19"/>
  <c r="AD379" i="19"/>
  <c r="J381" i="19"/>
  <c r="T391" i="19"/>
  <c r="T392" i="19"/>
  <c r="T393" i="19"/>
  <c r="AD396" i="19"/>
  <c r="J397" i="19"/>
  <c r="V405" i="19"/>
  <c r="AJ405" i="19" s="1"/>
  <c r="V406" i="19"/>
  <c r="V407" i="19"/>
  <c r="T409" i="19"/>
  <c r="L416" i="19"/>
  <c r="AI419" i="19"/>
  <c r="J422" i="19"/>
  <c r="AD422" i="19"/>
  <c r="AD423" i="19"/>
  <c r="V429" i="19"/>
  <c r="T430" i="19"/>
  <c r="AH430" i="19" s="1"/>
  <c r="T431" i="19"/>
  <c r="AH431" i="19" s="1"/>
  <c r="T432" i="19"/>
  <c r="AF442" i="19"/>
  <c r="AI455" i="19"/>
  <c r="L461" i="19"/>
  <c r="AD461" i="19"/>
  <c r="AI469" i="19"/>
  <c r="AD474" i="19"/>
  <c r="AD478" i="19"/>
  <c r="J494" i="19"/>
  <c r="AI511" i="19"/>
  <c r="T513" i="19"/>
  <c r="T514" i="19"/>
  <c r="T515" i="19"/>
  <c r="T517" i="19"/>
  <c r="T520" i="19"/>
  <c r="J522" i="19"/>
  <c r="AD529" i="19"/>
  <c r="J535" i="19"/>
  <c r="AD535" i="19"/>
  <c r="J536" i="19"/>
  <c r="V538" i="19"/>
  <c r="T540" i="19"/>
  <c r="T544" i="19"/>
  <c r="AI558" i="19"/>
  <c r="AI559" i="19"/>
  <c r="AI563" i="19"/>
  <c r="V573" i="19"/>
  <c r="AD574" i="19"/>
  <c r="AD581" i="19"/>
  <c r="J583" i="19"/>
  <c r="AD583" i="19"/>
  <c r="AD584" i="19"/>
  <c r="AF594" i="19"/>
  <c r="J595" i="19"/>
  <c r="AD595" i="19"/>
  <c r="J596" i="19"/>
  <c r="AD596" i="19"/>
  <c r="T610" i="19"/>
  <c r="T611" i="19"/>
  <c r="AH611" i="19" s="1"/>
  <c r="J618" i="19"/>
  <c r="AD634" i="19"/>
  <c r="J635" i="19"/>
  <c r="AD635" i="19"/>
  <c r="V639" i="19"/>
  <c r="V640" i="19"/>
  <c r="J646" i="19"/>
  <c r="AD646" i="19"/>
  <c r="AD652" i="19"/>
  <c r="V659" i="19"/>
  <c r="V660" i="19"/>
  <c r="V661" i="19"/>
  <c r="T666" i="19"/>
  <c r="AH666" i="19" s="1"/>
  <c r="T668" i="19"/>
  <c r="T669" i="19"/>
  <c r="AH669" i="19" s="1"/>
  <c r="T670" i="19"/>
  <c r="AH670" i="19" s="1"/>
  <c r="T672" i="19"/>
  <c r="AF676" i="19"/>
  <c r="J678" i="19"/>
  <c r="V687" i="19"/>
  <c r="T688" i="19"/>
  <c r="V713" i="19"/>
  <c r="AI724" i="19"/>
  <c r="T757" i="19"/>
  <c r="AH757" i="19" s="1"/>
  <c r="AF758" i="19"/>
  <c r="AF759" i="19"/>
  <c r="T792" i="19"/>
  <c r="J808" i="19"/>
  <c r="AD808" i="19"/>
  <c r="T866" i="19"/>
  <c r="V872" i="19"/>
  <c r="T872" i="19"/>
  <c r="V954" i="19"/>
  <c r="T958" i="19"/>
  <c r="T960" i="19"/>
  <c r="AF274" i="19"/>
  <c r="AF275" i="19"/>
  <c r="AD276" i="19"/>
  <c r="J277" i="19"/>
  <c r="V283" i="19"/>
  <c r="V284" i="19"/>
  <c r="AF295" i="19"/>
  <c r="AI296" i="19"/>
  <c r="AF296" i="19"/>
  <c r="J299" i="19"/>
  <c r="AD299" i="19"/>
  <c r="L308" i="19"/>
  <c r="AF308" i="19"/>
  <c r="L309" i="19"/>
  <c r="AF309" i="19"/>
  <c r="AF310" i="19"/>
  <c r="L311" i="19"/>
  <c r="AF311" i="19"/>
  <c r="AF312" i="19"/>
  <c r="J314" i="19"/>
  <c r="J317" i="19"/>
  <c r="J319" i="19"/>
  <c r="AD319" i="19"/>
  <c r="J321" i="19"/>
  <c r="AD321" i="19"/>
  <c r="J322" i="19"/>
  <c r="V326" i="19"/>
  <c r="V327" i="19"/>
  <c r="T333" i="19"/>
  <c r="AH333" i="19" s="1"/>
  <c r="T336" i="19"/>
  <c r="AF343" i="19"/>
  <c r="AF344" i="19"/>
  <c r="J347" i="19"/>
  <c r="AD347" i="19"/>
  <c r="J348" i="19"/>
  <c r="AD348" i="19"/>
  <c r="J349" i="19"/>
  <c r="AI376" i="19"/>
  <c r="AI377" i="19"/>
  <c r="AI380" i="19"/>
  <c r="J382" i="19"/>
  <c r="AD382" i="19"/>
  <c r="AD383" i="19"/>
  <c r="AD384" i="19"/>
  <c r="AD385" i="19"/>
  <c r="AD386" i="19"/>
  <c r="J388" i="19"/>
  <c r="J389" i="19"/>
  <c r="V391" i="19"/>
  <c r="T394" i="19"/>
  <c r="L397" i="19"/>
  <c r="AF421" i="19"/>
  <c r="L422" i="19"/>
  <c r="AF422" i="19"/>
  <c r="AF423" i="19"/>
  <c r="AI424" i="19"/>
  <c r="V431" i="19"/>
  <c r="AD438" i="19"/>
  <c r="T447" i="19"/>
  <c r="AF461" i="19"/>
  <c r="J464" i="19"/>
  <c r="AD464" i="19"/>
  <c r="J465" i="19"/>
  <c r="AD465" i="19"/>
  <c r="V469" i="19"/>
  <c r="T475" i="19"/>
  <c r="AH475" i="19" s="1"/>
  <c r="T476" i="19"/>
  <c r="T489" i="19"/>
  <c r="AI493" i="19"/>
  <c r="V513" i="19"/>
  <c r="V514" i="19"/>
  <c r="V515" i="19"/>
  <c r="AI517" i="19"/>
  <c r="T523" i="19"/>
  <c r="T524" i="19"/>
  <c r="AH524" i="19" s="1"/>
  <c r="T528" i="19"/>
  <c r="L532" i="19"/>
  <c r="AF534" i="19"/>
  <c r="L535" i="19"/>
  <c r="L536" i="19"/>
  <c r="AD536" i="19"/>
  <c r="J537" i="19"/>
  <c r="AH537" i="19" s="1"/>
  <c r="AD566" i="19"/>
  <c r="J567" i="19"/>
  <c r="AD567" i="19"/>
  <c r="J568" i="19"/>
  <c r="J569" i="19"/>
  <c r="AD569" i="19"/>
  <c r="J570" i="19"/>
  <c r="T574" i="19"/>
  <c r="AH574" i="19" s="1"/>
  <c r="V577" i="19"/>
  <c r="AF580" i="19"/>
  <c r="AI581" i="19"/>
  <c r="AF581" i="19"/>
  <c r="AF583" i="19"/>
  <c r="L585" i="19"/>
  <c r="L595" i="19"/>
  <c r="AF595" i="19"/>
  <c r="AI596" i="19"/>
  <c r="AF596" i="19"/>
  <c r="L598" i="19"/>
  <c r="AF598" i="19"/>
  <c r="AF599" i="19"/>
  <c r="AD600" i="19"/>
  <c r="J601" i="19"/>
  <c r="V610" i="19"/>
  <c r="V611" i="19"/>
  <c r="AD616" i="19"/>
  <c r="AD620" i="19"/>
  <c r="J621" i="19"/>
  <c r="T628" i="19"/>
  <c r="AF634" i="19"/>
  <c r="AF644" i="19"/>
  <c r="AD653" i="19"/>
  <c r="V670" i="19"/>
  <c r="T674" i="19"/>
  <c r="AF677" i="19"/>
  <c r="AF679" i="19"/>
  <c r="V688" i="19"/>
  <c r="AF692" i="19"/>
  <c r="AD694" i="19"/>
  <c r="J695" i="19"/>
  <c r="AI705" i="19"/>
  <c r="AI706" i="19"/>
  <c r="AI707" i="19"/>
  <c r="AD748" i="19"/>
  <c r="V757" i="19"/>
  <c r="J782" i="19"/>
  <c r="AI805" i="19"/>
  <c r="T830" i="19"/>
  <c r="V869" i="19"/>
  <c r="T924" i="19"/>
  <c r="J945" i="19"/>
  <c r="AI264" i="19"/>
  <c r="T268" i="19"/>
  <c r="L276" i="19"/>
  <c r="AF276" i="19"/>
  <c r="AF277" i="19"/>
  <c r="AF278" i="19"/>
  <c r="AD280" i="19"/>
  <c r="AD281" i="19"/>
  <c r="L299" i="19"/>
  <c r="AD301" i="19"/>
  <c r="AD302" i="19"/>
  <c r="J303" i="19"/>
  <c r="AF313" i="19"/>
  <c r="AI317" i="19"/>
  <c r="AF319" i="19"/>
  <c r="AI320" i="19"/>
  <c r="AF321" i="19"/>
  <c r="V371" i="19"/>
  <c r="AF381" i="19"/>
  <c r="L382" i="19"/>
  <c r="AF382" i="19"/>
  <c r="AF384" i="19"/>
  <c r="AF385" i="19"/>
  <c r="AI386" i="19"/>
  <c r="AF386" i="19"/>
  <c r="L389" i="19"/>
  <c r="AD390" i="19"/>
  <c r="AF397" i="19"/>
  <c r="AD399" i="19"/>
  <c r="AD402" i="19"/>
  <c r="J403" i="19"/>
  <c r="AD426" i="19"/>
  <c r="AD427" i="19"/>
  <c r="J428" i="19"/>
  <c r="AD428" i="19"/>
  <c r="AF457" i="19"/>
  <c r="V458" i="19"/>
  <c r="AD460" i="19"/>
  <c r="AF463" i="19"/>
  <c r="L464" i="19"/>
  <c r="AF464" i="19"/>
  <c r="L465" i="19"/>
  <c r="AF465" i="19"/>
  <c r="V475" i="19"/>
  <c r="AJ475" i="19" s="1"/>
  <c r="J482" i="19"/>
  <c r="AI486" i="19"/>
  <c r="V488" i="19"/>
  <c r="V489" i="19"/>
  <c r="V490" i="19"/>
  <c r="J495" i="19"/>
  <c r="AD495" i="19"/>
  <c r="J496" i="19"/>
  <c r="J497" i="19"/>
  <c r="AD497" i="19"/>
  <c r="AD499" i="19"/>
  <c r="AD501" i="19"/>
  <c r="J502" i="19"/>
  <c r="AD502" i="19"/>
  <c r="J505" i="19"/>
  <c r="AD505" i="19"/>
  <c r="AD508" i="19"/>
  <c r="AD509" i="19"/>
  <c r="J510" i="19"/>
  <c r="V527" i="19"/>
  <c r="AF536" i="19"/>
  <c r="L537" i="19"/>
  <c r="AD537" i="19"/>
  <c r="V558" i="19"/>
  <c r="J559" i="19"/>
  <c r="L563" i="19"/>
  <c r="AF565" i="19"/>
  <c r="AF566" i="19"/>
  <c r="AI568" i="19"/>
  <c r="AI569" i="19"/>
  <c r="AD570" i="19"/>
  <c r="V574" i="19"/>
  <c r="AD586" i="19"/>
  <c r="J587" i="19"/>
  <c r="T594" i="19"/>
  <c r="L601" i="19"/>
  <c r="AD601" i="19"/>
  <c r="J602" i="19"/>
  <c r="J604" i="19"/>
  <c r="AD604" i="19"/>
  <c r="J605" i="19"/>
  <c r="AD605" i="19"/>
  <c r="AD606" i="19"/>
  <c r="J607" i="19"/>
  <c r="AD607" i="19"/>
  <c r="AF620" i="19"/>
  <c r="AD621" i="19"/>
  <c r="AD625" i="19"/>
  <c r="L631" i="19"/>
  <c r="AD637" i="19"/>
  <c r="AF653" i="19"/>
  <c r="J659" i="19"/>
  <c r="V674" i="19"/>
  <c r="T677" i="19"/>
  <c r="AD682" i="19"/>
  <c r="J684" i="19"/>
  <c r="AH684" i="19" s="1"/>
  <c r="AD684" i="19"/>
  <c r="AD686" i="19"/>
  <c r="J687" i="19"/>
  <c r="AH687" i="19" s="1"/>
  <c r="AF727" i="19"/>
  <c r="L730" i="19"/>
  <c r="AF730" i="19"/>
  <c r="AD732" i="19"/>
  <c r="J733" i="19"/>
  <c r="AD734" i="19"/>
  <c r="AI740" i="19"/>
  <c r="AD776" i="19"/>
  <c r="AI812" i="19"/>
  <c r="AD848" i="19"/>
  <c r="T932" i="19"/>
  <c r="AD767" i="19"/>
  <c r="AD782" i="19"/>
  <c r="J783" i="19"/>
  <c r="AF816" i="19"/>
  <c r="T824" i="19"/>
  <c r="T843" i="19"/>
  <c r="L848" i="19"/>
  <c r="T925" i="19"/>
  <c r="AF931" i="19"/>
  <c r="AD932" i="19"/>
  <c r="T946" i="19"/>
  <c r="T948" i="19"/>
  <c r="V951" i="19"/>
  <c r="AF954" i="19"/>
  <c r="AF955" i="19"/>
  <c r="AF956" i="19"/>
  <c r="AF958" i="19"/>
  <c r="J976" i="19"/>
  <c r="J1000" i="19"/>
  <c r="AD1000" i="19"/>
  <c r="AD1001" i="19"/>
  <c r="V764" i="19"/>
  <c r="AF766" i="19"/>
  <c r="L767" i="19"/>
  <c r="AF767" i="19"/>
  <c r="AF782" i="19"/>
  <c r="L783" i="19"/>
  <c r="AF848" i="19"/>
  <c r="T892" i="19"/>
  <c r="AF927" i="19"/>
  <c r="T927" i="19"/>
  <c r="V928" i="19"/>
  <c r="V930" i="19"/>
  <c r="AF932" i="19"/>
  <c r="V946" i="19"/>
  <c r="T953" i="19"/>
  <c r="AF1000" i="19"/>
  <c r="AF1001" i="19"/>
  <c r="T681" i="19"/>
  <c r="AF686" i="19"/>
  <c r="L694" i="19"/>
  <c r="AF694" i="19"/>
  <c r="AD695" i="19"/>
  <c r="V701" i="19"/>
  <c r="AD709" i="19"/>
  <c r="T766" i="19"/>
  <c r="T767" i="19"/>
  <c r="T783" i="19"/>
  <c r="AD794" i="19"/>
  <c r="J795" i="19"/>
  <c r="AD795" i="19"/>
  <c r="J796" i="19"/>
  <c r="AD799" i="19"/>
  <c r="L808" i="19"/>
  <c r="J824" i="19"/>
  <c r="J825" i="19"/>
  <c r="AD825" i="19"/>
  <c r="AD842" i="19"/>
  <c r="AH842" i="19" s="1"/>
  <c r="V848" i="19"/>
  <c r="L854" i="19"/>
  <c r="J862" i="19"/>
  <c r="AD862" i="19"/>
  <c r="L890" i="19"/>
  <c r="J927" i="19"/>
  <c r="AI942" i="19"/>
  <c r="AF966" i="19"/>
  <c r="J967" i="19"/>
  <c r="T973" i="19"/>
  <c r="T976" i="19"/>
  <c r="T980" i="19"/>
  <c r="T984" i="19"/>
  <c r="T1000" i="19"/>
  <c r="T1001" i="19"/>
  <c r="AF709" i="19"/>
  <c r="AF710" i="19"/>
  <c r="L713" i="19"/>
  <c r="J726" i="19"/>
  <c r="J727" i="19"/>
  <c r="AD736" i="19"/>
  <c r="V741" i="19"/>
  <c r="V748" i="19"/>
  <c r="AI749" i="19"/>
  <c r="T750" i="19"/>
  <c r="T753" i="19"/>
  <c r="V767" i="19"/>
  <c r="T770" i="19"/>
  <c r="T772" i="19"/>
  <c r="T773" i="19"/>
  <c r="L777" i="19"/>
  <c r="AF777" i="19"/>
  <c r="AI779" i="19"/>
  <c r="V783" i="19"/>
  <c r="V784" i="19"/>
  <c r="T785" i="19"/>
  <c r="L794" i="19"/>
  <c r="AF794" i="19"/>
  <c r="T799" i="19"/>
  <c r="J805" i="19"/>
  <c r="AF808" i="19"/>
  <c r="AF824" i="19"/>
  <c r="L834" i="19"/>
  <c r="AF842" i="19"/>
  <c r="J846" i="19"/>
  <c r="AD846" i="19"/>
  <c r="T852" i="19"/>
  <c r="T854" i="19"/>
  <c r="AF862" i="19"/>
  <c r="AF863" i="19"/>
  <c r="AF872" i="19"/>
  <c r="AI920" i="19"/>
  <c r="AF924" i="19"/>
  <c r="V932" i="19"/>
  <c r="V933" i="19"/>
  <c r="V974" i="19"/>
  <c r="V976" i="19"/>
  <c r="V982" i="19"/>
  <c r="V1000" i="19"/>
  <c r="J714" i="19"/>
  <c r="J717" i="19"/>
  <c r="AF726" i="19"/>
  <c r="J730" i="19"/>
  <c r="AD730" i="19"/>
  <c r="J731" i="19"/>
  <c r="AD731" i="19"/>
  <c r="T742" i="19"/>
  <c r="V756" i="19"/>
  <c r="AF757" i="19"/>
  <c r="AD761" i="19"/>
  <c r="V770" i="19"/>
  <c r="AI781" i="19"/>
  <c r="T801" i="19"/>
  <c r="J814" i="19"/>
  <c r="AD814" i="19"/>
  <c r="AI826" i="19"/>
  <c r="AD830" i="19"/>
  <c r="T835" i="19"/>
  <c r="T836" i="19"/>
  <c r="AD838" i="19"/>
  <c r="T840" i="19"/>
  <c r="L846" i="19"/>
  <c r="AF846" i="19"/>
  <c r="V850" i="19"/>
  <c r="T856" i="19"/>
  <c r="L892" i="19"/>
  <c r="J893" i="19"/>
  <c r="AD893" i="19"/>
  <c r="J894" i="19"/>
  <c r="AD894" i="19"/>
  <c r="J899" i="19"/>
  <c r="AD899" i="19"/>
  <c r="T911" i="19"/>
  <c r="V922" i="19"/>
  <c r="AI950" i="19"/>
  <c r="AI951" i="19"/>
  <c r="L952" i="19"/>
  <c r="AD952" i="19"/>
  <c r="T965" i="19"/>
  <c r="T966" i="19"/>
  <c r="V967" i="19"/>
  <c r="L970" i="19"/>
  <c r="AD970" i="19"/>
  <c r="J972" i="19"/>
  <c r="AD972" i="19"/>
  <c r="L1000" i="19"/>
  <c r="V702" i="19"/>
  <c r="L703" i="19"/>
  <c r="L704" i="19"/>
  <c r="AF708" i="19"/>
  <c r="J710" i="19"/>
  <c r="AD710" i="19"/>
  <c r="J713" i="19"/>
  <c r="T718" i="19"/>
  <c r="AH718" i="19" s="1"/>
  <c r="AI725" i="19"/>
  <c r="AF741" i="19"/>
  <c r="T745" i="19"/>
  <c r="AF749" i="19"/>
  <c r="AF750" i="19"/>
  <c r="AD753" i="19"/>
  <c r="J754" i="19"/>
  <c r="AD754" i="19"/>
  <c r="AD755" i="19"/>
  <c r="T759" i="19"/>
  <c r="T760" i="19"/>
  <c r="T761" i="19"/>
  <c r="AI772" i="19"/>
  <c r="L773" i="19"/>
  <c r="AF773" i="19"/>
  <c r="AF783" i="19"/>
  <c r="L784" i="19"/>
  <c r="AD785" i="19"/>
  <c r="V808" i="19"/>
  <c r="J815" i="19"/>
  <c r="AD815" i="19"/>
  <c r="AD822" i="19"/>
  <c r="L825" i="19"/>
  <c r="V842" i="19"/>
  <c r="V843" i="19"/>
  <c r="T845" i="19"/>
  <c r="T846" i="19"/>
  <c r="V861" i="19"/>
  <c r="T863" i="19"/>
  <c r="T864" i="19"/>
  <c r="AH864" i="19" s="1"/>
  <c r="L873" i="19"/>
  <c r="AD873" i="19"/>
  <c r="AD874" i="19"/>
  <c r="J875" i="19"/>
  <c r="V876" i="19"/>
  <c r="V878" i="19"/>
  <c r="AD890" i="19"/>
  <c r="L911" i="19"/>
  <c r="AF911" i="19"/>
  <c r="AI912" i="19"/>
  <c r="AD912" i="19"/>
  <c r="J913" i="19"/>
  <c r="AD913" i="19"/>
  <c r="J914" i="19"/>
  <c r="AD916" i="19"/>
  <c r="J918" i="19"/>
  <c r="AD918" i="19"/>
  <c r="AD922" i="19"/>
  <c r="J923" i="19"/>
  <c r="V924" i="19"/>
  <c r="T926" i="19"/>
  <c r="AD930" i="19"/>
  <c r="J931" i="19"/>
  <c r="AF944" i="19"/>
  <c r="AD945" i="19"/>
  <c r="J946" i="19"/>
  <c r="AD946" i="19"/>
  <c r="V959" i="19"/>
  <c r="AI960" i="19"/>
  <c r="T962" i="19"/>
  <c r="AH962" i="19" s="1"/>
  <c r="AF965" i="19"/>
  <c r="AF970" i="19"/>
  <c r="AI975" i="19"/>
  <c r="AD976" i="19"/>
  <c r="J980" i="19"/>
  <c r="AD980" i="19"/>
  <c r="AD981" i="19"/>
  <c r="V986" i="19"/>
  <c r="AD991" i="19"/>
  <c r="J992" i="19"/>
  <c r="J1001" i="19"/>
  <c r="V811" i="19"/>
  <c r="AJ811" i="19" s="1"/>
  <c r="AF814" i="19"/>
  <c r="J817" i="19"/>
  <c r="T822" i="19"/>
  <c r="AD826" i="19"/>
  <c r="J829" i="19"/>
  <c r="AD832" i="19"/>
  <c r="AH832" i="19" s="1"/>
  <c r="V846" i="19"/>
  <c r="AD850" i="19"/>
  <c r="AD852" i="19"/>
  <c r="J854" i="19"/>
  <c r="J855" i="19"/>
  <c r="V862" i="19"/>
  <c r="AF866" i="19"/>
  <c r="AI867" i="19"/>
  <c r="AI868" i="19"/>
  <c r="AI869" i="19"/>
  <c r="AF873" i="19"/>
  <c r="AF874" i="19"/>
  <c r="AI875" i="19"/>
  <c r="AF890" i="19"/>
  <c r="J892" i="19"/>
  <c r="AD892" i="19"/>
  <c r="AF912" i="19"/>
  <c r="L913" i="19"/>
  <c r="AF913" i="19"/>
  <c r="L916" i="19"/>
  <c r="AF916" i="19"/>
  <c r="AI917" i="19"/>
  <c r="AF921" i="19"/>
  <c r="AF922" i="19"/>
  <c r="V925" i="19"/>
  <c r="AF928" i="19"/>
  <c r="AF929" i="19"/>
  <c r="L930" i="19"/>
  <c r="AD931" i="19"/>
  <c r="J932" i="19"/>
  <c r="AF945" i="19"/>
  <c r="L946" i="19"/>
  <c r="AD951" i="19"/>
  <c r="J952" i="19"/>
  <c r="L963" i="19"/>
  <c r="L966" i="19"/>
  <c r="AD966" i="19"/>
  <c r="AF976" i="19"/>
  <c r="L980" i="19"/>
  <c r="AF980" i="19"/>
  <c r="AI982" i="19"/>
  <c r="AD983" i="19"/>
  <c r="J984" i="19"/>
  <c r="AD984" i="19"/>
  <c r="J993" i="19"/>
  <c r="AF996" i="19"/>
  <c r="L1001" i="19"/>
  <c r="AI27" i="19"/>
  <c r="L27" i="19"/>
  <c r="V115" i="19"/>
  <c r="AI115" i="19"/>
  <c r="AI176" i="19"/>
  <c r="L176" i="19"/>
  <c r="AD198" i="19"/>
  <c r="L198" i="19"/>
  <c r="L60" i="19"/>
  <c r="AJ60" i="19" s="1"/>
  <c r="AI60" i="19"/>
  <c r="AH391" i="19"/>
  <c r="T138" i="19"/>
  <c r="T198" i="19"/>
  <c r="AF244" i="19"/>
  <c r="L274" i="19"/>
  <c r="AI274" i="19"/>
  <c r="L307" i="19"/>
  <c r="AI307" i="19"/>
  <c r="AF233" i="19"/>
  <c r="AI233" i="19"/>
  <c r="T22" i="19"/>
  <c r="J218" i="19"/>
  <c r="T218" i="19"/>
  <c r="L162" i="19"/>
  <c r="AI162" i="19"/>
  <c r="L163" i="19"/>
  <c r="AI163" i="19"/>
  <c r="T203" i="19"/>
  <c r="L216" i="19"/>
  <c r="AI216" i="19"/>
  <c r="AF218" i="19"/>
  <c r="T269" i="19"/>
  <c r="AI429" i="19"/>
  <c r="L429" i="19"/>
  <c r="V218" i="19"/>
  <c r="J12" i="19"/>
  <c r="AF318" i="19"/>
  <c r="AI944" i="19"/>
  <c r="L944" i="19"/>
  <c r="T271" i="19"/>
  <c r="T286" i="19"/>
  <c r="V318" i="19"/>
  <c r="AI352" i="19"/>
  <c r="V387" i="19"/>
  <c r="V636" i="19"/>
  <c r="AI636" i="19"/>
  <c r="AI918" i="19"/>
  <c r="L918" i="19"/>
  <c r="V3" i="19"/>
  <c r="V12" i="19"/>
  <c r="AI18" i="19"/>
  <c r="V22" i="19"/>
  <c r="V23" i="19"/>
  <c r="AI39" i="19"/>
  <c r="AF45" i="19"/>
  <c r="V45" i="19"/>
  <c r="L74" i="19"/>
  <c r="V78" i="19"/>
  <c r="V79" i="19"/>
  <c r="V95" i="19"/>
  <c r="V96" i="19"/>
  <c r="T98" i="19"/>
  <c r="T99" i="19"/>
  <c r="V139" i="19"/>
  <c r="L146" i="19"/>
  <c r="AI146" i="19"/>
  <c r="T159" i="19"/>
  <c r="T160" i="19"/>
  <c r="T161" i="19"/>
  <c r="T173" i="19"/>
  <c r="T174" i="19"/>
  <c r="L194" i="19"/>
  <c r="L210" i="19"/>
  <c r="T214" i="19"/>
  <c r="V259" i="19"/>
  <c r="V288" i="19"/>
  <c r="AH325" i="19"/>
  <c r="AI343" i="19"/>
  <c r="AI356" i="19"/>
  <c r="L356" i="19"/>
  <c r="T398" i="19"/>
  <c r="AI398" i="19"/>
  <c r="AI399" i="19"/>
  <c r="L437" i="19"/>
  <c r="AI437" i="19"/>
  <c r="L508" i="19"/>
  <c r="L509" i="19"/>
  <c r="AI509" i="19"/>
  <c r="V572" i="19"/>
  <c r="T740" i="19"/>
  <c r="AI789" i="19"/>
  <c r="L789" i="19"/>
  <c r="AF836" i="19"/>
  <c r="AI836" i="19"/>
  <c r="AI852" i="19"/>
  <c r="L852" i="19"/>
  <c r="T2" i="19"/>
  <c r="T23" i="19"/>
  <c r="V244" i="19"/>
  <c r="T288" i="19"/>
  <c r="AF5" i="19"/>
  <c r="V161" i="19"/>
  <c r="V173" i="19"/>
  <c r="AD473" i="19"/>
  <c r="AF473" i="19"/>
  <c r="AD498" i="19"/>
  <c r="AF498" i="19"/>
  <c r="J504" i="19"/>
  <c r="T504" i="19"/>
  <c r="L507" i="19"/>
  <c r="V723" i="19"/>
  <c r="AI723" i="19"/>
  <c r="L897" i="19"/>
  <c r="AI897" i="19"/>
  <c r="AF915" i="19"/>
  <c r="T915" i="19"/>
  <c r="L924" i="19"/>
  <c r="AI924" i="19"/>
  <c r="L981" i="19"/>
  <c r="AI981" i="19"/>
  <c r="AI991" i="19"/>
  <c r="L991" i="19"/>
  <c r="AI992" i="19"/>
  <c r="L992" i="19"/>
  <c r="T259" i="19"/>
  <c r="L165" i="19"/>
  <c r="AI165" i="19"/>
  <c r="AI166" i="19"/>
  <c r="L166" i="19"/>
  <c r="V174" i="19"/>
  <c r="V188" i="19"/>
  <c r="V37" i="19"/>
  <c r="V56" i="19"/>
  <c r="T71" i="19"/>
  <c r="T72" i="19"/>
  <c r="T73" i="19"/>
  <c r="L90" i="19"/>
  <c r="V106" i="19"/>
  <c r="V107" i="19"/>
  <c r="T108" i="19"/>
  <c r="AI148" i="19"/>
  <c r="J203" i="19"/>
  <c r="V207" i="19"/>
  <c r="V208" i="19"/>
  <c r="AD218" i="19"/>
  <c r="AI242" i="19"/>
  <c r="L244" i="19"/>
  <c r="AD244" i="19"/>
  <c r="L266" i="19"/>
  <c r="V298" i="19"/>
  <c r="AI298" i="19"/>
  <c r="T300" i="19"/>
  <c r="T310" i="19"/>
  <c r="L347" i="19"/>
  <c r="AI347" i="19"/>
  <c r="L413" i="19"/>
  <c r="T413" i="19"/>
  <c r="AF413" i="19"/>
  <c r="L415" i="19"/>
  <c r="AD415" i="19"/>
  <c r="AD466" i="19"/>
  <c r="AF466" i="19"/>
  <c r="T473" i="19"/>
  <c r="T474" i="19"/>
  <c r="T498" i="19"/>
  <c r="AI566" i="19"/>
  <c r="L566" i="19"/>
  <c r="T676" i="19"/>
  <c r="T79" i="19"/>
  <c r="T139" i="19"/>
  <c r="T4" i="19"/>
  <c r="V14" i="19"/>
  <c r="AD2" i="19"/>
  <c r="V4" i="19"/>
  <c r="AD12" i="19"/>
  <c r="AD23" i="19"/>
  <c r="V38" i="19"/>
  <c r="V51" i="19"/>
  <c r="L66" i="19"/>
  <c r="AF66" i="19"/>
  <c r="V70" i="19"/>
  <c r="V71" i="19"/>
  <c r="V72" i="19"/>
  <c r="AD79" i="19"/>
  <c r="AD96" i="19"/>
  <c r="L116" i="19"/>
  <c r="AF116" i="19"/>
  <c r="AF117" i="19"/>
  <c r="V120" i="19"/>
  <c r="AJ120" i="19" s="1"/>
  <c r="T121" i="19"/>
  <c r="AF126" i="19"/>
  <c r="AF127" i="19"/>
  <c r="L138" i="19"/>
  <c r="AD138" i="19"/>
  <c r="T142" i="19"/>
  <c r="AH142" i="19" s="1"/>
  <c r="T143" i="19"/>
  <c r="T144" i="19"/>
  <c r="T145" i="19"/>
  <c r="L172" i="19"/>
  <c r="AJ172" i="19" s="1"/>
  <c r="AI172" i="19"/>
  <c r="T226" i="19"/>
  <c r="V242" i="19"/>
  <c r="J245" i="19"/>
  <c r="AD245" i="19"/>
  <c r="V250" i="19"/>
  <c r="T251" i="19"/>
  <c r="T278" i="19"/>
  <c r="J281" i="19"/>
  <c r="L282" i="19"/>
  <c r="L296" i="19"/>
  <c r="T341" i="19"/>
  <c r="T342" i="19"/>
  <c r="L375" i="19"/>
  <c r="AF375" i="19"/>
  <c r="AJ375" i="19" s="1"/>
  <c r="AI385" i="19"/>
  <c r="L385" i="19"/>
  <c r="AI396" i="19"/>
  <c r="L396" i="19"/>
  <c r="J398" i="19"/>
  <c r="T415" i="19"/>
  <c r="T417" i="19"/>
  <c r="L445" i="19"/>
  <c r="AI445" i="19"/>
  <c r="L451" i="19"/>
  <c r="AI451" i="19"/>
  <c r="V498" i="19"/>
  <c r="AI600" i="19"/>
  <c r="L600" i="19"/>
  <c r="T95" i="19"/>
  <c r="L177" i="19"/>
  <c r="AI177" i="19"/>
  <c r="L17" i="19"/>
  <c r="AI2" i="19"/>
  <c r="L2" i="19"/>
  <c r="L3" i="19"/>
  <c r="AI11" i="19"/>
  <c r="L12" i="19"/>
  <c r="AF12" i="19"/>
  <c r="J14" i="19"/>
  <c r="AF22" i="19"/>
  <c r="AF23" i="19"/>
  <c r="L24" i="19"/>
  <c r="J25" i="19"/>
  <c r="AD25" i="19"/>
  <c r="V29" i="19"/>
  <c r="AF53" i="19"/>
  <c r="L65" i="19"/>
  <c r="L67" i="19"/>
  <c r="AF78" i="19"/>
  <c r="AF79" i="19"/>
  <c r="L80" i="19"/>
  <c r="AI128" i="19"/>
  <c r="AF138" i="19"/>
  <c r="AD140" i="19"/>
  <c r="V142" i="19"/>
  <c r="AJ142" i="19" s="1"/>
  <c r="V143" i="19"/>
  <c r="V145" i="19"/>
  <c r="L150" i="19"/>
  <c r="AD151" i="19"/>
  <c r="AD161" i="19"/>
  <c r="AD174" i="19"/>
  <c r="AI188" i="19"/>
  <c r="T196" i="19"/>
  <c r="AF198" i="19"/>
  <c r="AI202" i="19"/>
  <c r="AD214" i="19"/>
  <c r="L222" i="19"/>
  <c r="V226" i="19"/>
  <c r="AD232" i="19"/>
  <c r="J233" i="19"/>
  <c r="L240" i="19"/>
  <c r="L245" i="19"/>
  <c r="AF245" i="19"/>
  <c r="AD317" i="19"/>
  <c r="L317" i="19"/>
  <c r="V323" i="19"/>
  <c r="L333" i="19"/>
  <c r="AJ333" i="19" s="1"/>
  <c r="V413" i="19"/>
  <c r="T12" i="19"/>
  <c r="T96" i="19"/>
  <c r="L154" i="19"/>
  <c r="AI154" i="19"/>
  <c r="T188" i="19"/>
  <c r="L75" i="19"/>
  <c r="AI75" i="19"/>
  <c r="V159" i="19"/>
  <c r="L313" i="19"/>
  <c r="AI313" i="19"/>
  <c r="V15" i="19"/>
  <c r="L20" i="19"/>
  <c r="AJ20" i="19" s="1"/>
  <c r="AI20" i="19"/>
  <c r="AD15" i="19"/>
  <c r="AF24" i="19"/>
  <c r="AF25" i="19"/>
  <c r="AI26" i="19"/>
  <c r="AD45" i="19"/>
  <c r="J70" i="19"/>
  <c r="AF80" i="19"/>
  <c r="AI82" i="19"/>
  <c r="AF98" i="19"/>
  <c r="L99" i="19"/>
  <c r="AF99" i="19"/>
  <c r="J131" i="19"/>
  <c r="AH136" i="19"/>
  <c r="AF150" i="19"/>
  <c r="L151" i="19"/>
  <c r="AF151" i="19"/>
  <c r="AI152" i="19"/>
  <c r="L161" i="19"/>
  <c r="AF161" i="19"/>
  <c r="L174" i="19"/>
  <c r="AF174" i="19"/>
  <c r="V179" i="19"/>
  <c r="L182" i="19"/>
  <c r="J185" i="19"/>
  <c r="AF188" i="19"/>
  <c r="V196" i="19"/>
  <c r="V197" i="19"/>
  <c r="AF202" i="19"/>
  <c r="T202" i="19"/>
  <c r="AH202" i="19" s="1"/>
  <c r="J208" i="19"/>
  <c r="V211" i="19"/>
  <c r="L214" i="19"/>
  <c r="T236" i="19"/>
  <c r="T237" i="19"/>
  <c r="L248" i="19"/>
  <c r="AI248" i="19"/>
  <c r="V264" i="19"/>
  <c r="V265" i="19"/>
  <c r="J290" i="19"/>
  <c r="AD290" i="19"/>
  <c r="T295" i="19"/>
  <c r="J298" i="19"/>
  <c r="T317" i="19"/>
  <c r="V375" i="19"/>
  <c r="AI387" i="19"/>
  <c r="AI409" i="19"/>
  <c r="AD462" i="19"/>
  <c r="T482" i="19"/>
  <c r="V486" i="19"/>
  <c r="AI537" i="19"/>
  <c r="V537" i="19"/>
  <c r="J2" i="19"/>
  <c r="J7" i="19"/>
  <c r="AI14" i="19"/>
  <c r="AD14" i="19"/>
  <c r="V16" i="19"/>
  <c r="AJ16" i="19" s="1"/>
  <c r="J22" i="19"/>
  <c r="V24" i="19"/>
  <c r="T25" i="19"/>
  <c r="V30" i="19"/>
  <c r="L36" i="19"/>
  <c r="AD36" i="19"/>
  <c r="AI42" i="19"/>
  <c r="AD51" i="19"/>
  <c r="J56" i="19"/>
  <c r="J63" i="19"/>
  <c r="V65" i="19"/>
  <c r="T66" i="19"/>
  <c r="L70" i="19"/>
  <c r="AD70" i="19"/>
  <c r="V73" i="19"/>
  <c r="J78" i="19"/>
  <c r="V80" i="19"/>
  <c r="L86" i="19"/>
  <c r="AD86" i="19"/>
  <c r="T90" i="19"/>
  <c r="T91" i="19"/>
  <c r="J95" i="19"/>
  <c r="V98" i="19"/>
  <c r="V99" i="19"/>
  <c r="J106" i="19"/>
  <c r="T109" i="19"/>
  <c r="AI114" i="19"/>
  <c r="AD114" i="19"/>
  <c r="T117" i="19"/>
  <c r="J120" i="19"/>
  <c r="V121" i="19"/>
  <c r="AJ121" i="19" s="1"/>
  <c r="V126" i="19"/>
  <c r="T127" i="19"/>
  <c r="AD128" i="19"/>
  <c r="V131" i="19"/>
  <c r="T137" i="19"/>
  <c r="V150" i="19"/>
  <c r="T151" i="19"/>
  <c r="L152" i="19"/>
  <c r="J156" i="19"/>
  <c r="T165" i="19"/>
  <c r="V175" i="19"/>
  <c r="L178" i="19"/>
  <c r="AD178" i="19"/>
  <c r="AI180" i="19"/>
  <c r="T181" i="19"/>
  <c r="T184" i="19"/>
  <c r="T187" i="19"/>
  <c r="J196" i="19"/>
  <c r="V198" i="19"/>
  <c r="AI200" i="19"/>
  <c r="T201" i="19"/>
  <c r="AI218" i="19"/>
  <c r="V223" i="19"/>
  <c r="V227" i="19"/>
  <c r="AF229" i="19"/>
  <c r="AI231" i="19"/>
  <c r="AI232" i="19"/>
  <c r="V233" i="19"/>
  <c r="J235" i="19"/>
  <c r="T238" i="19"/>
  <c r="J244" i="19"/>
  <c r="T245" i="19"/>
  <c r="AI251" i="19"/>
  <c r="AI262" i="19"/>
  <c r="T290" i="19"/>
  <c r="V295" i="19"/>
  <c r="AJ295" i="19" s="1"/>
  <c r="T301" i="19"/>
  <c r="AH305" i="19"/>
  <c r="AD323" i="19"/>
  <c r="V341" i="19"/>
  <c r="V342" i="19"/>
  <c r="T345" i="19"/>
  <c r="V351" i="19"/>
  <c r="V380" i="19"/>
  <c r="AD413" i="19"/>
  <c r="V415" i="19"/>
  <c r="L444" i="19"/>
  <c r="V444" i="19"/>
  <c r="V473" i="19"/>
  <c r="V474" i="19"/>
  <c r="AF477" i="19"/>
  <c r="T477" i="19"/>
  <c r="AH477" i="19" s="1"/>
  <c r="T506" i="19"/>
  <c r="T507" i="19"/>
  <c r="L545" i="19"/>
  <c r="AI545" i="19"/>
  <c r="T562" i="19"/>
  <c r="T563" i="19"/>
  <c r="T564" i="19"/>
  <c r="L567" i="19"/>
  <c r="AI567" i="19"/>
  <c r="AF597" i="19"/>
  <c r="AI620" i="19"/>
  <c r="L620" i="19"/>
  <c r="L643" i="19"/>
  <c r="AI643" i="19"/>
  <c r="T697" i="19"/>
  <c r="T711" i="19"/>
  <c r="AH711" i="19" s="1"/>
  <c r="T712" i="19"/>
  <c r="L775" i="19"/>
  <c r="AF775" i="19"/>
  <c r="J15" i="19"/>
  <c r="L22" i="19"/>
  <c r="AD22" i="19"/>
  <c r="V25" i="19"/>
  <c r="L33" i="19"/>
  <c r="L34" i="19"/>
  <c r="AF36" i="19"/>
  <c r="J37" i="19"/>
  <c r="AD37" i="19"/>
  <c r="J38" i="19"/>
  <c r="AI43" i="19"/>
  <c r="AI49" i="19"/>
  <c r="AI50" i="19"/>
  <c r="L51" i="19"/>
  <c r="AF51" i="19"/>
  <c r="V53" i="19"/>
  <c r="L56" i="19"/>
  <c r="AD57" i="19"/>
  <c r="AF61" i="19"/>
  <c r="L63" i="19"/>
  <c r="J71" i="19"/>
  <c r="L78" i="19"/>
  <c r="AD78" i="19"/>
  <c r="J87" i="19"/>
  <c r="V90" i="19"/>
  <c r="AI95" i="19"/>
  <c r="J96" i="19"/>
  <c r="AI106" i="19"/>
  <c r="AD106" i="19"/>
  <c r="J107" i="19"/>
  <c r="AD107" i="19"/>
  <c r="V109" i="19"/>
  <c r="AF114" i="19"/>
  <c r="J115" i="19"/>
  <c r="AD115" i="19"/>
  <c r="V117" i="19"/>
  <c r="V127" i="19"/>
  <c r="AD129" i="19"/>
  <c r="AD135" i="19"/>
  <c r="V137" i="19"/>
  <c r="J139" i="19"/>
  <c r="J140" i="19"/>
  <c r="J143" i="19"/>
  <c r="AD143" i="19"/>
  <c r="AD144" i="19"/>
  <c r="J149" i="19"/>
  <c r="V151" i="19"/>
  <c r="L156" i="19"/>
  <c r="AJ156" i="19" s="1"/>
  <c r="AD160" i="19"/>
  <c r="AI164" i="19"/>
  <c r="AI168" i="19"/>
  <c r="AD173" i="19"/>
  <c r="J174" i="19"/>
  <c r="AI181" i="19"/>
  <c r="V186" i="19"/>
  <c r="AI195" i="19"/>
  <c r="AD197" i="19"/>
  <c r="V201" i="19"/>
  <c r="AJ201" i="19" s="1"/>
  <c r="AD206" i="19"/>
  <c r="AD207" i="19"/>
  <c r="J215" i="19"/>
  <c r="L218" i="19"/>
  <c r="V228" i="19"/>
  <c r="T229" i="19"/>
  <c r="L232" i="19"/>
  <c r="L235" i="19"/>
  <c r="AD235" i="19"/>
  <c r="J236" i="19"/>
  <c r="V237" i="19"/>
  <c r="V245" i="19"/>
  <c r="L250" i="19"/>
  <c r="V252" i="19"/>
  <c r="T253" i="19"/>
  <c r="T255" i="19"/>
  <c r="AI268" i="19"/>
  <c r="V280" i="19"/>
  <c r="J294" i="19"/>
  <c r="AF298" i="19"/>
  <c r="AI300" i="19"/>
  <c r="V301" i="19"/>
  <c r="AJ301" i="19" s="1"/>
  <c r="V302" i="19"/>
  <c r="AJ302" i="19" s="1"/>
  <c r="J324" i="19"/>
  <c r="V330" i="19"/>
  <c r="V331" i="19"/>
  <c r="V372" i="19"/>
  <c r="AD375" i="19"/>
  <c r="L386" i="19"/>
  <c r="J387" i="19"/>
  <c r="AD398" i="19"/>
  <c r="L438" i="19"/>
  <c r="L455" i="19"/>
  <c r="J466" i="19"/>
  <c r="J489" i="19"/>
  <c r="V506" i="19"/>
  <c r="T529" i="19"/>
  <c r="V562" i="19"/>
  <c r="T588" i="19"/>
  <c r="L591" i="19"/>
  <c r="AI591" i="19"/>
  <c r="T598" i="19"/>
  <c r="L609" i="19"/>
  <c r="T654" i="19"/>
  <c r="T656" i="19"/>
  <c r="V676" i="19"/>
  <c r="AF2" i="19"/>
  <c r="AD3" i="19"/>
  <c r="AF7" i="19"/>
  <c r="L8" i="19"/>
  <c r="J9" i="19"/>
  <c r="AD9" i="19"/>
  <c r="AF13" i="19"/>
  <c r="AI15" i="19"/>
  <c r="J23" i="19"/>
  <c r="V26" i="19"/>
  <c r="AJ26" i="19" s="1"/>
  <c r="L28" i="19"/>
  <c r="AD28" i="19"/>
  <c r="J29" i="19"/>
  <c r="AD29" i="19"/>
  <c r="J30" i="19"/>
  <c r="V32" i="19"/>
  <c r="AJ32" i="19" s="1"/>
  <c r="T35" i="19"/>
  <c r="AI37" i="19"/>
  <c r="AI38" i="19"/>
  <c r="AD38" i="19"/>
  <c r="V40" i="19"/>
  <c r="AJ40" i="19" s="1"/>
  <c r="L41" i="19"/>
  <c r="L44" i="19"/>
  <c r="AD44" i="19"/>
  <c r="V46" i="19"/>
  <c r="V54" i="19"/>
  <c r="AJ54" i="19" s="1"/>
  <c r="AF56" i="19"/>
  <c r="AI57" i="19"/>
  <c r="AI58" i="19"/>
  <c r="AD59" i="19"/>
  <c r="J64" i="19"/>
  <c r="AF69" i="19"/>
  <c r="AI71" i="19"/>
  <c r="J72" i="19"/>
  <c r="V75" i="19"/>
  <c r="J79" i="19"/>
  <c r="V82" i="19"/>
  <c r="V83" i="19"/>
  <c r="J88" i="19"/>
  <c r="T93" i="19"/>
  <c r="AH93" i="19" s="1"/>
  <c r="AF95" i="19"/>
  <c r="L96" i="19"/>
  <c r="J97" i="19"/>
  <c r="AD97" i="19"/>
  <c r="J98" i="19"/>
  <c r="V101" i="19"/>
  <c r="AJ101" i="19" s="1"/>
  <c r="L106" i="19"/>
  <c r="AF106" i="19"/>
  <c r="L107" i="19"/>
  <c r="AF107" i="19"/>
  <c r="V110" i="19"/>
  <c r="T111" i="19"/>
  <c r="L115" i="19"/>
  <c r="AF115" i="19"/>
  <c r="V118" i="19"/>
  <c r="AJ118" i="19" s="1"/>
  <c r="AD120" i="19"/>
  <c r="J126" i="19"/>
  <c r="AI130" i="19"/>
  <c r="AD130" i="19"/>
  <c r="T133" i="19"/>
  <c r="L139" i="19"/>
  <c r="AF139" i="19"/>
  <c r="L140" i="19"/>
  <c r="L143" i="19"/>
  <c r="AF143" i="19"/>
  <c r="AI144" i="19"/>
  <c r="J145" i="19"/>
  <c r="AD145" i="19"/>
  <c r="T147" i="19"/>
  <c r="L149" i="19"/>
  <c r="AD149" i="19"/>
  <c r="J150" i="19"/>
  <c r="V153" i="19"/>
  <c r="AF159" i="19"/>
  <c r="AI160" i="19"/>
  <c r="AF160" i="19"/>
  <c r="L170" i="19"/>
  <c r="AD170" i="19"/>
  <c r="L173" i="19"/>
  <c r="AF173" i="19"/>
  <c r="V177" i="19"/>
  <c r="J180" i="19"/>
  <c r="J189" i="19"/>
  <c r="AF196" i="19"/>
  <c r="AF206" i="19"/>
  <c r="L207" i="19"/>
  <c r="AF207" i="19"/>
  <c r="AD211" i="19"/>
  <c r="AH211" i="19" s="1"/>
  <c r="AD213" i="19"/>
  <c r="AF214" i="19"/>
  <c r="AD222" i="19"/>
  <c r="AF235" i="19"/>
  <c r="V247" i="19"/>
  <c r="V253" i="19"/>
  <c r="J259" i="19"/>
  <c r="AD259" i="19"/>
  <c r="AD265" i="19"/>
  <c r="L268" i="19"/>
  <c r="AD288" i="19"/>
  <c r="V315" i="19"/>
  <c r="AF317" i="19"/>
  <c r="J350" i="19"/>
  <c r="AD378" i="19"/>
  <c r="T382" i="19"/>
  <c r="T383" i="19"/>
  <c r="T384" i="19"/>
  <c r="L387" i="19"/>
  <c r="AI397" i="19"/>
  <c r="V397" i="19"/>
  <c r="AD407" i="19"/>
  <c r="T423" i="19"/>
  <c r="T424" i="19"/>
  <c r="L426" i="19"/>
  <c r="V432" i="19"/>
  <c r="AF438" i="19"/>
  <c r="AI471" i="19"/>
  <c r="L472" i="19"/>
  <c r="AJ472" i="19" s="1"/>
  <c r="J473" i="19"/>
  <c r="V477" i="19"/>
  <c r="AF489" i="19"/>
  <c r="V528" i="19"/>
  <c r="V529" i="19"/>
  <c r="J572" i="19"/>
  <c r="V588" i="19"/>
  <c r="AI644" i="19"/>
  <c r="AF3" i="19"/>
  <c r="V5" i="19"/>
  <c r="AF8" i="19"/>
  <c r="AI9" i="19"/>
  <c r="AF9" i="19"/>
  <c r="AI10" i="19"/>
  <c r="AD11" i="19"/>
  <c r="J16" i="19"/>
  <c r="AH16" i="19" s="1"/>
  <c r="AF21" i="19"/>
  <c r="J24" i="19"/>
  <c r="V27" i="19"/>
  <c r="AF28" i="19"/>
  <c r="L30" i="19"/>
  <c r="AD30" i="19"/>
  <c r="T36" i="19"/>
  <c r="AI36" i="19"/>
  <c r="J39" i="19"/>
  <c r="V43" i="19"/>
  <c r="AF44" i="19"/>
  <c r="J45" i="19"/>
  <c r="V47" i="19"/>
  <c r="L49" i="19"/>
  <c r="L50" i="19"/>
  <c r="AI51" i="19"/>
  <c r="L52" i="19"/>
  <c r="AD52" i="19"/>
  <c r="L58" i="19"/>
  <c r="AF58" i="19"/>
  <c r="AI59" i="19"/>
  <c r="AF59" i="19"/>
  <c r="V61" i="19"/>
  <c r="L64" i="19"/>
  <c r="J65" i="19"/>
  <c r="AD65" i="19"/>
  <c r="J66" i="19"/>
  <c r="AF71" i="19"/>
  <c r="L72" i="19"/>
  <c r="J73" i="19"/>
  <c r="AD73" i="19"/>
  <c r="J74" i="19"/>
  <c r="L79" i="19"/>
  <c r="J80" i="19"/>
  <c r="T85" i="19"/>
  <c r="AH85" i="19" s="1"/>
  <c r="AF87" i="19"/>
  <c r="L88" i="19"/>
  <c r="J89" i="19"/>
  <c r="AD89" i="19"/>
  <c r="J90" i="19"/>
  <c r="V93" i="19"/>
  <c r="AF96" i="19"/>
  <c r="L97" i="19"/>
  <c r="AF97" i="19"/>
  <c r="AI98" i="19"/>
  <c r="AD98" i="19"/>
  <c r="J99" i="19"/>
  <c r="AD99" i="19"/>
  <c r="V102" i="19"/>
  <c r="AJ102" i="19" s="1"/>
  <c r="T103" i="19"/>
  <c r="V111" i="19"/>
  <c r="V112" i="19"/>
  <c r="T113" i="19"/>
  <c r="J121" i="19"/>
  <c r="AD121" i="19"/>
  <c r="AF125" i="19"/>
  <c r="L130" i="19"/>
  <c r="AD131" i="19"/>
  <c r="J132" i="19"/>
  <c r="AI133" i="19"/>
  <c r="AI136" i="19"/>
  <c r="L145" i="19"/>
  <c r="AF145" i="19"/>
  <c r="AI147" i="19"/>
  <c r="AF149" i="19"/>
  <c r="J157" i="19"/>
  <c r="AD157" i="19"/>
  <c r="V163" i="19"/>
  <c r="J171" i="19"/>
  <c r="AD175" i="19"/>
  <c r="AI178" i="19"/>
  <c r="L179" i="19"/>
  <c r="AD189" i="19"/>
  <c r="AF195" i="19"/>
  <c r="T205" i="19"/>
  <c r="V210" i="19"/>
  <c r="T213" i="19"/>
  <c r="V217" i="19"/>
  <c r="T221" i="19"/>
  <c r="L227" i="19"/>
  <c r="AD227" i="19"/>
  <c r="J228" i="19"/>
  <c r="AD233" i="19"/>
  <c r="J237" i="19"/>
  <c r="J248" i="19"/>
  <c r="L249" i="19"/>
  <c r="J251" i="19"/>
  <c r="AD251" i="19"/>
  <c r="J252" i="19"/>
  <c r="L259" i="19"/>
  <c r="AF259" i="19"/>
  <c r="T263" i="19"/>
  <c r="L265" i="19"/>
  <c r="J272" i="19"/>
  <c r="L286" i="19"/>
  <c r="AI289" i="19"/>
  <c r="J300" i="19"/>
  <c r="J310" i="19"/>
  <c r="AD310" i="19"/>
  <c r="J341" i="19"/>
  <c r="AD341" i="19"/>
  <c r="J342" i="19"/>
  <c r="AD342" i="19"/>
  <c r="AD350" i="19"/>
  <c r="J351" i="19"/>
  <c r="AD351" i="19"/>
  <c r="L368" i="19"/>
  <c r="L371" i="19"/>
  <c r="AD371" i="19"/>
  <c r="AF376" i="19"/>
  <c r="AF378" i="19"/>
  <c r="L379" i="19"/>
  <c r="AI379" i="19"/>
  <c r="J380" i="19"/>
  <c r="AI382" i="19"/>
  <c r="V383" i="19"/>
  <c r="V384" i="19"/>
  <c r="V423" i="19"/>
  <c r="AD447" i="19"/>
  <c r="T454" i="19"/>
  <c r="T470" i="19"/>
  <c r="T471" i="19"/>
  <c r="V471" i="19"/>
  <c r="V542" i="19"/>
  <c r="T579" i="19"/>
  <c r="AF593" i="19"/>
  <c r="AI593" i="19"/>
  <c r="L610" i="19"/>
  <c r="AI610" i="19"/>
  <c r="L637" i="19"/>
  <c r="AI637" i="19"/>
  <c r="L352" i="19"/>
  <c r="J357" i="19"/>
  <c r="AI362" i="19"/>
  <c r="V364" i="19"/>
  <c r="L366" i="19"/>
  <c r="T369" i="19"/>
  <c r="J375" i="19"/>
  <c r="V376" i="19"/>
  <c r="AJ376" i="19" s="1"/>
  <c r="T378" i="19"/>
  <c r="AI381" i="19"/>
  <c r="J390" i="19"/>
  <c r="L398" i="19"/>
  <c r="V424" i="19"/>
  <c r="AI427" i="19"/>
  <c r="AI438" i="19"/>
  <c r="AI441" i="19"/>
  <c r="J462" i="19"/>
  <c r="L473" i="19"/>
  <c r="AI502" i="19"/>
  <c r="L502" i="19"/>
  <c r="AF521" i="19"/>
  <c r="T521" i="19"/>
  <c r="AH521" i="19" s="1"/>
  <c r="L531" i="19"/>
  <c r="AD531" i="19"/>
  <c r="V543" i="19"/>
  <c r="AF545" i="19"/>
  <c r="AI570" i="19"/>
  <c r="L571" i="19"/>
  <c r="AI571" i="19"/>
  <c r="T584" i="19"/>
  <c r="AF584" i="19"/>
  <c r="T667" i="19"/>
  <c r="J676" i="19"/>
  <c r="T775" i="19"/>
  <c r="L780" i="19"/>
  <c r="AI780" i="19"/>
  <c r="AD828" i="19"/>
  <c r="L828" i="19"/>
  <c r="AI278" i="19"/>
  <c r="AD278" i="19"/>
  <c r="AD286" i="19"/>
  <c r="L290" i="19"/>
  <c r="AD297" i="19"/>
  <c r="J301" i="19"/>
  <c r="AD306" i="19"/>
  <c r="L310" i="19"/>
  <c r="J311" i="19"/>
  <c r="J318" i="19"/>
  <c r="L319" i="19"/>
  <c r="AI321" i="19"/>
  <c r="AI322" i="19"/>
  <c r="AD322" i="19"/>
  <c r="V324" i="19"/>
  <c r="AD330" i="19"/>
  <c r="J331" i="19"/>
  <c r="AI345" i="19"/>
  <c r="AD345" i="19"/>
  <c r="AI349" i="19"/>
  <c r="L357" i="19"/>
  <c r="L359" i="19"/>
  <c r="L362" i="19"/>
  <c r="AD363" i="19"/>
  <c r="V368" i="19"/>
  <c r="J372" i="19"/>
  <c r="J383" i="19"/>
  <c r="AH383" i="19" s="1"/>
  <c r="L390" i="19"/>
  <c r="L399" i="19"/>
  <c r="J404" i="19"/>
  <c r="AI405" i="19"/>
  <c r="T410" i="19"/>
  <c r="J432" i="19"/>
  <c r="L443" i="19"/>
  <c r="AD443" i="19"/>
  <c r="V447" i="19"/>
  <c r="V448" i="19"/>
  <c r="T457" i="19"/>
  <c r="T458" i="19"/>
  <c r="T460" i="19"/>
  <c r="L462" i="19"/>
  <c r="AI462" i="19"/>
  <c r="AI488" i="19"/>
  <c r="J498" i="19"/>
  <c r="L499" i="19"/>
  <c r="L500" i="19"/>
  <c r="AH513" i="19"/>
  <c r="T532" i="19"/>
  <c r="AD559" i="19"/>
  <c r="AD572" i="19"/>
  <c r="AD588" i="19"/>
  <c r="V667" i="19"/>
  <c r="AD768" i="19"/>
  <c r="V775" i="19"/>
  <c r="V776" i="19"/>
  <c r="T777" i="19"/>
  <c r="T891" i="19"/>
  <c r="L253" i="19"/>
  <c r="AF253" i="19"/>
  <c r="AI254" i="19"/>
  <c r="L255" i="19"/>
  <c r="V257" i="19"/>
  <c r="AF269" i="19"/>
  <c r="AF270" i="19"/>
  <c r="L271" i="19"/>
  <c r="L278" i="19"/>
  <c r="AF286" i="19"/>
  <c r="L288" i="19"/>
  <c r="AF290" i="19"/>
  <c r="L294" i="19"/>
  <c r="AD294" i="19"/>
  <c r="J295" i="19"/>
  <c r="AF297" i="19"/>
  <c r="AF300" i="19"/>
  <c r="AD307" i="19"/>
  <c r="AH307" i="19" s="1"/>
  <c r="V312" i="19"/>
  <c r="T313" i="19"/>
  <c r="J315" i="19"/>
  <c r="V319" i="19"/>
  <c r="L323" i="19"/>
  <c r="L327" i="19"/>
  <c r="AF330" i="19"/>
  <c r="AI335" i="19"/>
  <c r="AD335" i="19"/>
  <c r="J336" i="19"/>
  <c r="AD336" i="19"/>
  <c r="L343" i="19"/>
  <c r="L345" i="19"/>
  <c r="AF345" i="19"/>
  <c r="L349" i="19"/>
  <c r="V352" i="19"/>
  <c r="AJ352" i="19" s="1"/>
  <c r="T353" i="19"/>
  <c r="T354" i="19"/>
  <c r="V359" i="19"/>
  <c r="AI363" i="19"/>
  <c r="AF366" i="19"/>
  <c r="L372" i="19"/>
  <c r="J373" i="19"/>
  <c r="AH373" i="19" s="1"/>
  <c r="J379" i="19"/>
  <c r="V388" i="19"/>
  <c r="AI393" i="19"/>
  <c r="AD393" i="19"/>
  <c r="V399" i="19"/>
  <c r="L400" i="19"/>
  <c r="AI402" i="19"/>
  <c r="L403" i="19"/>
  <c r="AI404" i="19"/>
  <c r="L404" i="19"/>
  <c r="J408" i="19"/>
  <c r="AI416" i="19"/>
  <c r="AD417" i="19"/>
  <c r="J423" i="19"/>
  <c r="AI432" i="19"/>
  <c r="AD432" i="19"/>
  <c r="J444" i="19"/>
  <c r="J447" i="19"/>
  <c r="J454" i="19"/>
  <c r="V460" i="19"/>
  <c r="AD470" i="19"/>
  <c r="J471" i="19"/>
  <c r="L474" i="19"/>
  <c r="AH483" i="19"/>
  <c r="AI489" i="19"/>
  <c r="L498" i="19"/>
  <c r="J506" i="19"/>
  <c r="J514" i="19"/>
  <c r="V521" i="19"/>
  <c r="V531" i="19"/>
  <c r="V532" i="19"/>
  <c r="L540" i="19"/>
  <c r="T545" i="19"/>
  <c r="J561" i="19"/>
  <c r="AD561" i="19"/>
  <c r="J562" i="19"/>
  <c r="AD562" i="19"/>
  <c r="L569" i="19"/>
  <c r="L578" i="19"/>
  <c r="J579" i="19"/>
  <c r="V585" i="19"/>
  <c r="T612" i="19"/>
  <c r="AF622" i="19"/>
  <c r="L624" i="19"/>
  <c r="AI634" i="19"/>
  <c r="L634" i="19"/>
  <c r="L656" i="19"/>
  <c r="AF656" i="19"/>
  <c r="L657" i="19"/>
  <c r="AI748" i="19"/>
  <c r="L748" i="19"/>
  <c r="T806" i="19"/>
  <c r="L823" i="19"/>
  <c r="AI823" i="19"/>
  <c r="T247" i="19"/>
  <c r="J250" i="19"/>
  <c r="AI260" i="19"/>
  <c r="AF263" i="19"/>
  <c r="L272" i="19"/>
  <c r="AD275" i="19"/>
  <c r="AD277" i="19"/>
  <c r="J283" i="19"/>
  <c r="AH283" i="19" s="1"/>
  <c r="T285" i="19"/>
  <c r="AF288" i="19"/>
  <c r="T292" i="19"/>
  <c r="AH292" i="19" s="1"/>
  <c r="AF294" i="19"/>
  <c r="AD295" i="19"/>
  <c r="J296" i="19"/>
  <c r="AD298" i="19"/>
  <c r="AI299" i="19"/>
  <c r="J302" i="19"/>
  <c r="L305" i="19"/>
  <c r="AJ305" i="19" s="1"/>
  <c r="V306" i="19"/>
  <c r="V308" i="19"/>
  <c r="AD311" i="19"/>
  <c r="AI315" i="19"/>
  <c r="AF316" i="19"/>
  <c r="AD318" i="19"/>
  <c r="V320" i="19"/>
  <c r="V321" i="19"/>
  <c r="V325" i="19"/>
  <c r="T326" i="19"/>
  <c r="AH326" i="19" s="1"/>
  <c r="T327" i="19"/>
  <c r="AI332" i="19"/>
  <c r="V334" i="19"/>
  <c r="AI336" i="19"/>
  <c r="AF336" i="19"/>
  <c r="AD337" i="19"/>
  <c r="L342" i="19"/>
  <c r="J343" i="19"/>
  <c r="AD364" i="19"/>
  <c r="J365" i="19"/>
  <c r="T366" i="19"/>
  <c r="AH366" i="19" s="1"/>
  <c r="J368" i="19"/>
  <c r="J376" i="19"/>
  <c r="AD376" i="19"/>
  <c r="AH376" i="19" s="1"/>
  <c r="L381" i="19"/>
  <c r="AF383" i="19"/>
  <c r="AD387" i="19"/>
  <c r="AI389" i="19"/>
  <c r="AF390" i="19"/>
  <c r="L391" i="19"/>
  <c r="AJ391" i="19" s="1"/>
  <c r="L393" i="19"/>
  <c r="AF407" i="19"/>
  <c r="J414" i="19"/>
  <c r="AF417" i="19"/>
  <c r="J424" i="19"/>
  <c r="AD424" i="19"/>
  <c r="AF432" i="19"/>
  <c r="AF434" i="19"/>
  <c r="AI436" i="19"/>
  <c r="J438" i="19"/>
  <c r="AH438" i="19" s="1"/>
  <c r="J445" i="19"/>
  <c r="AH445" i="19" s="1"/>
  <c r="AI447" i="19"/>
  <c r="AD454" i="19"/>
  <c r="AF470" i="19"/>
  <c r="L471" i="19"/>
  <c r="AD471" i="19"/>
  <c r="AF474" i="19"/>
  <c r="V476" i="19"/>
  <c r="T488" i="19"/>
  <c r="L489" i="19"/>
  <c r="AD489" i="19"/>
  <c r="AH490" i="19"/>
  <c r="AD492" i="19"/>
  <c r="L492" i="19"/>
  <c r="AI494" i="19"/>
  <c r="V496" i="19"/>
  <c r="AD506" i="19"/>
  <c r="AF528" i="19"/>
  <c r="AI542" i="19"/>
  <c r="L542" i="19"/>
  <c r="J551" i="19"/>
  <c r="T556" i="19"/>
  <c r="AF562" i="19"/>
  <c r="AF563" i="19"/>
  <c r="V575" i="19"/>
  <c r="AF579" i="19"/>
  <c r="T603" i="19"/>
  <c r="V619" i="19"/>
  <c r="T629" i="19"/>
  <c r="AF630" i="19"/>
  <c r="T630" i="19"/>
  <c r="V630" i="19"/>
  <c r="AF744" i="19"/>
  <c r="AD744" i="19"/>
  <c r="V806" i="19"/>
  <c r="J503" i="19"/>
  <c r="AD503" i="19"/>
  <c r="AI504" i="19"/>
  <c r="V507" i="19"/>
  <c r="AJ507" i="19" s="1"/>
  <c r="V512" i="19"/>
  <c r="V522" i="19"/>
  <c r="L523" i="19"/>
  <c r="AI526" i="19"/>
  <c r="J528" i="19"/>
  <c r="J531" i="19"/>
  <c r="L538" i="19"/>
  <c r="V539" i="19"/>
  <c r="AF540" i="19"/>
  <c r="AD542" i="19"/>
  <c r="AI550" i="19"/>
  <c r="J556" i="19"/>
  <c r="L561" i="19"/>
  <c r="V563" i="19"/>
  <c r="L570" i="19"/>
  <c r="AI572" i="19"/>
  <c r="AI582" i="19"/>
  <c r="AI584" i="19"/>
  <c r="AI588" i="19"/>
  <c r="T591" i="19"/>
  <c r="AH591" i="19" s="1"/>
  <c r="V597" i="19"/>
  <c r="AI606" i="19"/>
  <c r="AD622" i="19"/>
  <c r="L632" i="19"/>
  <c r="J636" i="19"/>
  <c r="T700" i="19"/>
  <c r="T728" i="19"/>
  <c r="AD733" i="19"/>
  <c r="L733" i="19"/>
  <c r="T768" i="19"/>
  <c r="AF791" i="19"/>
  <c r="L791" i="19"/>
  <c r="T978" i="19"/>
  <c r="T979" i="19"/>
  <c r="J442" i="19"/>
  <c r="AD442" i="19"/>
  <c r="AI444" i="19"/>
  <c r="T450" i="19"/>
  <c r="AI457" i="19"/>
  <c r="J458" i="19"/>
  <c r="AD458" i="19"/>
  <c r="AF462" i="19"/>
  <c r="J463" i="19"/>
  <c r="L466" i="19"/>
  <c r="V467" i="19"/>
  <c r="L469" i="19"/>
  <c r="AI470" i="19"/>
  <c r="J478" i="19"/>
  <c r="J479" i="19"/>
  <c r="AH479" i="19" s="1"/>
  <c r="AI491" i="19"/>
  <c r="L496" i="19"/>
  <c r="AD496" i="19"/>
  <c r="V499" i="19"/>
  <c r="T500" i="19"/>
  <c r="L503" i="19"/>
  <c r="AD510" i="19"/>
  <c r="V520" i="19"/>
  <c r="L528" i="19"/>
  <c r="AD528" i="19"/>
  <c r="AI531" i="19"/>
  <c r="T541" i="19"/>
  <c r="AF542" i="19"/>
  <c r="J543" i="19"/>
  <c r="J544" i="19"/>
  <c r="L550" i="19"/>
  <c r="AD551" i="19"/>
  <c r="AI555" i="19"/>
  <c r="AD556" i="19"/>
  <c r="V559" i="19"/>
  <c r="AF561" i="19"/>
  <c r="J566" i="19"/>
  <c r="T569" i="19"/>
  <c r="L572" i="19"/>
  <c r="AD579" i="19"/>
  <c r="L588" i="19"/>
  <c r="V591" i="19"/>
  <c r="L594" i="19"/>
  <c r="L596" i="19"/>
  <c r="AD602" i="19"/>
  <c r="J609" i="19"/>
  <c r="J615" i="19"/>
  <c r="J624" i="19"/>
  <c r="J629" i="19"/>
  <c r="T632" i="19"/>
  <c r="L635" i="19"/>
  <c r="AI635" i="19"/>
  <c r="V637" i="19"/>
  <c r="AI640" i="19"/>
  <c r="J651" i="19"/>
  <c r="T662" i="19"/>
  <c r="L665" i="19"/>
  <c r="T671" i="19"/>
  <c r="V686" i="19"/>
  <c r="AD712" i="19"/>
  <c r="J758" i="19"/>
  <c r="T839" i="19"/>
  <c r="T849" i="19"/>
  <c r="V977" i="19"/>
  <c r="V450" i="19"/>
  <c r="AI453" i="19"/>
  <c r="AF458" i="19"/>
  <c r="L460" i="19"/>
  <c r="T462" i="19"/>
  <c r="AI463" i="19"/>
  <c r="AD469" i="19"/>
  <c r="AI479" i="19"/>
  <c r="AF481" i="19"/>
  <c r="AD482" i="19"/>
  <c r="AD485" i="19"/>
  <c r="J486" i="19"/>
  <c r="L506" i="19"/>
  <c r="AJ506" i="19" s="1"/>
  <c r="AF510" i="19"/>
  <c r="J512" i="19"/>
  <c r="L514" i="19"/>
  <c r="AD515" i="19"/>
  <c r="V523" i="19"/>
  <c r="J529" i="19"/>
  <c r="J532" i="19"/>
  <c r="V535" i="19"/>
  <c r="J539" i="19"/>
  <c r="AI551" i="19"/>
  <c r="AF556" i="19"/>
  <c r="AJ556" i="19" s="1"/>
  <c r="T566" i="19"/>
  <c r="AF574" i="19"/>
  <c r="J580" i="19"/>
  <c r="AD585" i="19"/>
  <c r="AF588" i="19"/>
  <c r="V600" i="19"/>
  <c r="J603" i="19"/>
  <c r="AI607" i="19"/>
  <c r="AD609" i="19"/>
  <c r="J612" i="19"/>
  <c r="V613" i="19"/>
  <c r="AJ613" i="19" s="1"/>
  <c r="V620" i="19"/>
  <c r="AD624" i="19"/>
  <c r="L629" i="19"/>
  <c r="J630" i="19"/>
  <c r="V631" i="19"/>
  <c r="V632" i="19"/>
  <c r="V638" i="19"/>
  <c r="V662" i="19"/>
  <c r="V671" i="19"/>
  <c r="T673" i="19"/>
  <c r="AI674" i="19"/>
  <c r="AD689" i="19"/>
  <c r="L689" i="19"/>
  <c r="L705" i="19"/>
  <c r="AF712" i="19"/>
  <c r="V721" i="19"/>
  <c r="L744" i="19"/>
  <c r="AJ744" i="19" s="1"/>
  <c r="J764" i="19"/>
  <c r="V791" i="19"/>
  <c r="V792" i="19"/>
  <c r="V839" i="19"/>
  <c r="AI839" i="19"/>
  <c r="V840" i="19"/>
  <c r="L891" i="19"/>
  <c r="AD404" i="19"/>
  <c r="J405" i="19"/>
  <c r="J407" i="19"/>
  <c r="AI413" i="19"/>
  <c r="T414" i="19"/>
  <c r="L421" i="19"/>
  <c r="V430" i="19"/>
  <c r="AJ430" i="19" s="1"/>
  <c r="L431" i="19"/>
  <c r="L439" i="19"/>
  <c r="L440" i="19"/>
  <c r="AJ440" i="19" s="1"/>
  <c r="V445" i="19"/>
  <c r="L446" i="19"/>
  <c r="L448" i="19"/>
  <c r="J451" i="19"/>
  <c r="L453" i="19"/>
  <c r="AF460" i="19"/>
  <c r="L463" i="19"/>
  <c r="V465" i="19"/>
  <c r="J467" i="19"/>
  <c r="AF469" i="19"/>
  <c r="J470" i="19"/>
  <c r="J474" i="19"/>
  <c r="L479" i="19"/>
  <c r="V480" i="19"/>
  <c r="T481" i="19"/>
  <c r="AH481" i="19" s="1"/>
  <c r="L482" i="19"/>
  <c r="AF482" i="19"/>
  <c r="L484" i="19"/>
  <c r="AF485" i="19"/>
  <c r="L486" i="19"/>
  <c r="J487" i="19"/>
  <c r="J488" i="19"/>
  <c r="L490" i="19"/>
  <c r="L497" i="19"/>
  <c r="AJ497" i="19" s="1"/>
  <c r="J499" i="19"/>
  <c r="V502" i="19"/>
  <c r="AI503" i="19"/>
  <c r="L504" i="19"/>
  <c r="AD504" i="19"/>
  <c r="J507" i="19"/>
  <c r="AD507" i="19"/>
  <c r="J508" i="19"/>
  <c r="AD512" i="19"/>
  <c r="AF514" i="19"/>
  <c r="AF515" i="19"/>
  <c r="AI516" i="19"/>
  <c r="J519" i="19"/>
  <c r="AD519" i="19"/>
  <c r="J520" i="19"/>
  <c r="L522" i="19"/>
  <c r="AJ522" i="19" s="1"/>
  <c r="L529" i="19"/>
  <c r="AF531" i="19"/>
  <c r="AF532" i="19"/>
  <c r="AI534" i="19"/>
  <c r="AI536" i="19"/>
  <c r="AD539" i="19"/>
  <c r="J540" i="19"/>
  <c r="T542" i="19"/>
  <c r="AD544" i="19"/>
  <c r="J550" i="19"/>
  <c r="AI552" i="19"/>
  <c r="V553" i="19"/>
  <c r="AD558" i="19"/>
  <c r="T561" i="19"/>
  <c r="L562" i="19"/>
  <c r="J563" i="19"/>
  <c r="AD563" i="19"/>
  <c r="AF572" i="19"/>
  <c r="V581" i="19"/>
  <c r="T583" i="19"/>
  <c r="AF585" i="19"/>
  <c r="V587" i="19"/>
  <c r="V593" i="19"/>
  <c r="V595" i="19"/>
  <c r="AD598" i="19"/>
  <c r="AI601" i="19"/>
  <c r="L603" i="19"/>
  <c r="AD603" i="19"/>
  <c r="V605" i="19"/>
  <c r="AJ605" i="19" s="1"/>
  <c r="T606" i="19"/>
  <c r="AF609" i="19"/>
  <c r="J613" i="19"/>
  <c r="J616" i="19"/>
  <c r="AD617" i="19"/>
  <c r="J619" i="19"/>
  <c r="AF624" i="19"/>
  <c r="AF629" i="19"/>
  <c r="L630" i="19"/>
  <c r="AF636" i="19"/>
  <c r="J654" i="19"/>
  <c r="AD654" i="19"/>
  <c r="AD656" i="19"/>
  <c r="V672" i="19"/>
  <c r="T678" i="19"/>
  <c r="T679" i="19"/>
  <c r="AI684" i="19"/>
  <c r="J685" i="19"/>
  <c r="T689" i="19"/>
  <c r="L692" i="19"/>
  <c r="AD739" i="19"/>
  <c r="L739" i="19"/>
  <c r="AF760" i="19"/>
  <c r="AI764" i="19"/>
  <c r="L764" i="19"/>
  <c r="AH809" i="19"/>
  <c r="AF891" i="19"/>
  <c r="L912" i="19"/>
  <c r="AD925" i="19"/>
  <c r="J925" i="19"/>
  <c r="AF925" i="19"/>
  <c r="AD926" i="19"/>
  <c r="V926" i="19"/>
  <c r="L636" i="19"/>
  <c r="AD644" i="19"/>
  <c r="AH661" i="19"/>
  <c r="V663" i="19"/>
  <c r="AI668" i="19"/>
  <c r="J671" i="19"/>
  <c r="AI676" i="19"/>
  <c r="AF684" i="19"/>
  <c r="V703" i="19"/>
  <c r="T704" i="19"/>
  <c r="AI708" i="19"/>
  <c r="J711" i="19"/>
  <c r="AD711" i="19"/>
  <c r="T733" i="19"/>
  <c r="V744" i="19"/>
  <c r="J750" i="19"/>
  <c r="L758" i="19"/>
  <c r="AI758" i="19"/>
  <c r="J775" i="19"/>
  <c r="L790" i="19"/>
  <c r="AI790" i="19"/>
  <c r="T816" i="19"/>
  <c r="J822" i="19"/>
  <c r="V834" i="19"/>
  <c r="J839" i="19"/>
  <c r="L845" i="19"/>
  <c r="J845" i="19"/>
  <c r="T877" i="19"/>
  <c r="V978" i="19"/>
  <c r="T624" i="19"/>
  <c r="AI627" i="19"/>
  <c r="V629" i="19"/>
  <c r="J631" i="19"/>
  <c r="V634" i="19"/>
  <c r="AD636" i="19"/>
  <c r="L639" i="19"/>
  <c r="V645" i="19"/>
  <c r="L646" i="19"/>
  <c r="AD649" i="19"/>
  <c r="V652" i="19"/>
  <c r="T653" i="19"/>
  <c r="L654" i="19"/>
  <c r="J656" i="19"/>
  <c r="J662" i="19"/>
  <c r="V664" i="19"/>
  <c r="AI666" i="19"/>
  <c r="J667" i="19"/>
  <c r="AD667" i="19"/>
  <c r="AI671" i="19"/>
  <c r="J672" i="19"/>
  <c r="L676" i="19"/>
  <c r="AD678" i="19"/>
  <c r="L687" i="19"/>
  <c r="AI689" i="19"/>
  <c r="V694" i="19"/>
  <c r="L695" i="19"/>
  <c r="AI697" i="19"/>
  <c r="AD697" i="19"/>
  <c r="V700" i="19"/>
  <c r="AJ700" i="19" s="1"/>
  <c r="V704" i="19"/>
  <c r="L711" i="19"/>
  <c r="T714" i="19"/>
  <c r="J720" i="19"/>
  <c r="L728" i="19"/>
  <c r="J736" i="19"/>
  <c r="T746" i="19"/>
  <c r="L750" i="19"/>
  <c r="AI750" i="19"/>
  <c r="J768" i="19"/>
  <c r="J791" i="19"/>
  <c r="V796" i="19"/>
  <c r="L796" i="19"/>
  <c r="AD802" i="19"/>
  <c r="AD803" i="19"/>
  <c r="V816" i="19"/>
  <c r="L821" i="19"/>
  <c r="AI821" i="19"/>
  <c r="V830" i="19"/>
  <c r="AF839" i="19"/>
  <c r="J840" i="19"/>
  <c r="AD883" i="19"/>
  <c r="L883" i="19"/>
  <c r="V919" i="19"/>
  <c r="AI919" i="19"/>
  <c r="AI631" i="19"/>
  <c r="L640" i="19"/>
  <c r="AF641" i="19"/>
  <c r="AH645" i="19"/>
  <c r="AF646" i="19"/>
  <c r="AF647" i="19"/>
  <c r="AJ647" i="19" s="1"/>
  <c r="AI648" i="19"/>
  <c r="AF648" i="19"/>
  <c r="L649" i="19"/>
  <c r="AF654" i="19"/>
  <c r="L662" i="19"/>
  <c r="J663" i="19"/>
  <c r="L667" i="19"/>
  <c r="AI667" i="19"/>
  <c r="AF667" i="19"/>
  <c r="AF671" i="19"/>
  <c r="AI672" i="19"/>
  <c r="AD672" i="19"/>
  <c r="AD673" i="19"/>
  <c r="AF678" i="19"/>
  <c r="J680" i="19"/>
  <c r="AD680" i="19"/>
  <c r="AD681" i="19"/>
  <c r="AF685" i="19"/>
  <c r="AF697" i="19"/>
  <c r="J700" i="19"/>
  <c r="AH700" i="19" s="1"/>
  <c r="J703" i="19"/>
  <c r="AI712" i="19"/>
  <c r="V714" i="19"/>
  <c r="V715" i="19"/>
  <c r="AD720" i="19"/>
  <c r="AD722" i="19"/>
  <c r="AF728" i="19"/>
  <c r="AI734" i="19"/>
  <c r="L736" i="19"/>
  <c r="AD737" i="19"/>
  <c r="J739" i="19"/>
  <c r="J751" i="19"/>
  <c r="AD751" i="19"/>
  <c r="L759" i="19"/>
  <c r="L768" i="19"/>
  <c r="L776" i="19"/>
  <c r="V780" i="19"/>
  <c r="V786" i="19"/>
  <c r="L798" i="19"/>
  <c r="AJ798" i="19" s="1"/>
  <c r="V799" i="19"/>
  <c r="AI802" i="19"/>
  <c r="L802" i="19"/>
  <c r="AD806" i="19"/>
  <c r="T811" i="19"/>
  <c r="L818" i="19"/>
  <c r="V824" i="19"/>
  <c r="L840" i="19"/>
  <c r="AD849" i="19"/>
  <c r="L860" i="19"/>
  <c r="AI860" i="19"/>
  <c r="AD868" i="19"/>
  <c r="L868" i="19"/>
  <c r="AF914" i="19"/>
  <c r="AD914" i="19"/>
  <c r="L914" i="19"/>
  <c r="L921" i="19"/>
  <c r="AI921" i="19"/>
  <c r="T928" i="19"/>
  <c r="T930" i="19"/>
  <c r="J585" i="19"/>
  <c r="J588" i="19"/>
  <c r="V589" i="19"/>
  <c r="AD593" i="19"/>
  <c r="AH593" i="19" s="1"/>
  <c r="J599" i="19"/>
  <c r="AD599" i="19"/>
  <c r="V609" i="19"/>
  <c r="AI613" i="19"/>
  <c r="AF615" i="19"/>
  <c r="L616" i="19"/>
  <c r="J620" i="19"/>
  <c r="T621" i="19"/>
  <c r="L622" i="19"/>
  <c r="AJ622" i="19" s="1"/>
  <c r="V626" i="19"/>
  <c r="L628" i="19"/>
  <c r="AD628" i="19"/>
  <c r="J632" i="19"/>
  <c r="AD632" i="19"/>
  <c r="AD633" i="19"/>
  <c r="V635" i="19"/>
  <c r="L638" i="19"/>
  <c r="L645" i="19"/>
  <c r="AD651" i="19"/>
  <c r="J652" i="19"/>
  <c r="AD657" i="19"/>
  <c r="AF662" i="19"/>
  <c r="L663" i="19"/>
  <c r="AD663" i="19"/>
  <c r="J664" i="19"/>
  <c r="AI680" i="19"/>
  <c r="L681" i="19"/>
  <c r="AF681" i="19"/>
  <c r="T685" i="19"/>
  <c r="L686" i="19"/>
  <c r="L688" i="19"/>
  <c r="AF689" i="19"/>
  <c r="V692" i="19"/>
  <c r="V695" i="19"/>
  <c r="L696" i="19"/>
  <c r="AI699" i="19"/>
  <c r="AI700" i="19"/>
  <c r="T708" i="19"/>
  <c r="L712" i="19"/>
  <c r="V717" i="19"/>
  <c r="AF721" i="19"/>
  <c r="AI722" i="19"/>
  <c r="L722" i="19"/>
  <c r="J744" i="19"/>
  <c r="AI751" i="19"/>
  <c r="L751" i="19"/>
  <c r="T758" i="19"/>
  <c r="AD764" i="19"/>
  <c r="J765" i="19"/>
  <c r="V797" i="19"/>
  <c r="AI806" i="19"/>
  <c r="L806" i="19"/>
  <c r="AF806" i="19"/>
  <c r="L826" i="19"/>
  <c r="AF828" i="19"/>
  <c r="AF832" i="19"/>
  <c r="AF833" i="19"/>
  <c r="AI834" i="19"/>
  <c r="AD834" i="19"/>
  <c r="J835" i="19"/>
  <c r="AF840" i="19"/>
  <c r="L849" i="19"/>
  <c r="V854" i="19"/>
  <c r="AJ854" i="19" s="1"/>
  <c r="T914" i="19"/>
  <c r="J715" i="19"/>
  <c r="AD715" i="19"/>
  <c r="AF725" i="19"/>
  <c r="V727" i="19"/>
  <c r="V728" i="19"/>
  <c r="T729" i="19"/>
  <c r="AD742" i="19"/>
  <c r="L745" i="19"/>
  <c r="T751" i="19"/>
  <c r="AI754" i="19"/>
  <c r="AD758" i="19"/>
  <c r="AF764" i="19"/>
  <c r="AF768" i="19"/>
  <c r="AD771" i="19"/>
  <c r="AF774" i="19"/>
  <c r="J786" i="19"/>
  <c r="V789" i="19"/>
  <c r="AI791" i="19"/>
  <c r="AD796" i="19"/>
  <c r="J799" i="19"/>
  <c r="L800" i="19"/>
  <c r="AF802" i="19"/>
  <c r="L803" i="19"/>
  <c r="AF803" i="19"/>
  <c r="J816" i="19"/>
  <c r="V818" i="19"/>
  <c r="T827" i="19"/>
  <c r="L832" i="19"/>
  <c r="V845" i="19"/>
  <c r="J863" i="19"/>
  <c r="J872" i="19"/>
  <c r="T883" i="19"/>
  <c r="L896" i="19"/>
  <c r="V900" i="19"/>
  <c r="AF903" i="19"/>
  <c r="AI904" i="19"/>
  <c r="V929" i="19"/>
  <c r="AF985" i="19"/>
  <c r="AD708" i="19"/>
  <c r="L710" i="19"/>
  <c r="V712" i="19"/>
  <c r="AF714" i="19"/>
  <c r="AD721" i="19"/>
  <c r="J734" i="19"/>
  <c r="J746" i="19"/>
  <c r="T748" i="19"/>
  <c r="V751" i="19"/>
  <c r="V752" i="19"/>
  <c r="L754" i="19"/>
  <c r="J759" i="19"/>
  <c r="AD759" i="19"/>
  <c r="J776" i="19"/>
  <c r="AI786" i="19"/>
  <c r="AD786" i="19"/>
  <c r="AD791" i="19"/>
  <c r="AD805" i="19"/>
  <c r="J806" i="19"/>
  <c r="L816" i="19"/>
  <c r="L822" i="19"/>
  <c r="V826" i="19"/>
  <c r="V827" i="19"/>
  <c r="T828" i="19"/>
  <c r="AI829" i="19"/>
  <c r="J830" i="19"/>
  <c r="AD833" i="19"/>
  <c r="AI842" i="19"/>
  <c r="AD844" i="19"/>
  <c r="V849" i="19"/>
  <c r="L858" i="19"/>
  <c r="L872" i="19"/>
  <c r="T895" i="19"/>
  <c r="T896" i="19"/>
  <c r="L899" i="19"/>
  <c r="AF902" i="19"/>
  <c r="AD902" i="19"/>
  <c r="L904" i="19"/>
  <c r="L925" i="19"/>
  <c r="AI925" i="19"/>
  <c r="J928" i="19"/>
  <c r="V953" i="19"/>
  <c r="L958" i="19"/>
  <c r="AI959" i="19"/>
  <c r="L959" i="19"/>
  <c r="J977" i="19"/>
  <c r="AI999" i="19"/>
  <c r="V999" i="19"/>
  <c r="L844" i="19"/>
  <c r="AI870" i="19"/>
  <c r="V870" i="19"/>
  <c r="AJ870" i="19" s="1"/>
  <c r="AD872" i="19"/>
  <c r="AF877" i="19"/>
  <c r="AH985" i="19"/>
  <c r="AF722" i="19"/>
  <c r="AD727" i="19"/>
  <c r="J728" i="19"/>
  <c r="T732" i="19"/>
  <c r="J735" i="19"/>
  <c r="AH735" i="19" s="1"/>
  <c r="V736" i="19"/>
  <c r="T738" i="19"/>
  <c r="AI741" i="19"/>
  <c r="AD747" i="19"/>
  <c r="AD750" i="19"/>
  <c r="AI756" i="19"/>
  <c r="L760" i="19"/>
  <c r="AF765" i="19"/>
  <c r="L766" i="19"/>
  <c r="AD766" i="19"/>
  <c r="AH766" i="19" s="1"/>
  <c r="V768" i="19"/>
  <c r="AD777" i="19"/>
  <c r="AF781" i="19"/>
  <c r="AI788" i="19"/>
  <c r="AD789" i="19"/>
  <c r="L792" i="19"/>
  <c r="AH798" i="19"/>
  <c r="J800" i="19"/>
  <c r="T802" i="19"/>
  <c r="T803" i="19"/>
  <c r="J807" i="19"/>
  <c r="L810" i="19"/>
  <c r="AJ810" i="19" s="1"/>
  <c r="AI813" i="19"/>
  <c r="AD813" i="19"/>
  <c r="AF822" i="19"/>
  <c r="J826" i="19"/>
  <c r="AF834" i="19"/>
  <c r="L839" i="19"/>
  <c r="AD839" i="19"/>
  <c r="J849" i="19"/>
  <c r="AD854" i="19"/>
  <c r="V858" i="19"/>
  <c r="V865" i="19"/>
  <c r="AF868" i="19"/>
  <c r="AD889" i="19"/>
  <c r="L889" i="19"/>
  <c r="J891" i="19"/>
  <c r="L920" i="19"/>
  <c r="AJ920" i="19" s="1"/>
  <c r="J926" i="19"/>
  <c r="AH926" i="19" s="1"/>
  <c r="AD928" i="19"/>
  <c r="AD948" i="19"/>
  <c r="L948" i="19"/>
  <c r="L951" i="19"/>
  <c r="T971" i="19"/>
  <c r="V984" i="19"/>
  <c r="V985" i="19"/>
  <c r="AH994" i="19"/>
  <c r="V988" i="19"/>
  <c r="T859" i="19"/>
  <c r="AI862" i="19"/>
  <c r="V863" i="19"/>
  <c r="J865" i="19"/>
  <c r="V866" i="19"/>
  <c r="T867" i="19"/>
  <c r="AI881" i="19"/>
  <c r="J883" i="19"/>
  <c r="AI884" i="19"/>
  <c r="J889" i="19"/>
  <c r="V897" i="19"/>
  <c r="J898" i="19"/>
  <c r="V915" i="19"/>
  <c r="L928" i="19"/>
  <c r="AI928" i="19"/>
  <c r="V934" i="19"/>
  <c r="AI940" i="19"/>
  <c r="J953" i="19"/>
  <c r="L955" i="19"/>
  <c r="AD956" i="19"/>
  <c r="J960" i="19"/>
  <c r="AI984" i="19"/>
  <c r="AD988" i="19"/>
  <c r="L940" i="19"/>
  <c r="J948" i="19"/>
  <c r="L953" i="19"/>
  <c r="AD953" i="19"/>
  <c r="AD977" i="19"/>
  <c r="T981" i="19"/>
  <c r="L984" i="19"/>
  <c r="L988" i="19"/>
  <c r="J811" i="19"/>
  <c r="AF818" i="19"/>
  <c r="AI819" i="19"/>
  <c r="L820" i="19"/>
  <c r="AF820" i="19"/>
  <c r="J827" i="19"/>
  <c r="V831" i="19"/>
  <c r="J833" i="19"/>
  <c r="AI838" i="19"/>
  <c r="AF849" i="19"/>
  <c r="J866" i="19"/>
  <c r="V873" i="19"/>
  <c r="AF875" i="19"/>
  <c r="AI876" i="19"/>
  <c r="J877" i="19"/>
  <c r="J884" i="19"/>
  <c r="AI893" i="19"/>
  <c r="AD900" i="19"/>
  <c r="L903" i="19"/>
  <c r="AD907" i="19"/>
  <c r="V912" i="19"/>
  <c r="L926" i="19"/>
  <c r="J929" i="19"/>
  <c r="L933" i="19"/>
  <c r="AI933" i="19"/>
  <c r="AD933" i="19"/>
  <c r="L939" i="19"/>
  <c r="AF953" i="19"/>
  <c r="L954" i="19"/>
  <c r="V955" i="19"/>
  <c r="V956" i="19"/>
  <c r="AF960" i="19"/>
  <c r="AF977" i="19"/>
  <c r="AD978" i="19"/>
  <c r="AF984" i="19"/>
  <c r="AF988" i="19"/>
  <c r="L993" i="19"/>
  <c r="J644" i="19"/>
  <c r="T649" i="19"/>
  <c r="J650" i="19"/>
  <c r="J653" i="19"/>
  <c r="V654" i="19"/>
  <c r="AI658" i="19"/>
  <c r="AI659" i="19"/>
  <c r="AF663" i="19"/>
  <c r="AD664" i="19"/>
  <c r="V666" i="19"/>
  <c r="AJ666" i="19" s="1"/>
  <c r="L668" i="19"/>
  <c r="AD668" i="19"/>
  <c r="AF672" i="19"/>
  <c r="AI673" i="19"/>
  <c r="AF673" i="19"/>
  <c r="AD676" i="19"/>
  <c r="L678" i="19"/>
  <c r="AD679" i="19"/>
  <c r="J693" i="19"/>
  <c r="AF703" i="19"/>
  <c r="T710" i="19"/>
  <c r="J712" i="19"/>
  <c r="AI717" i="19"/>
  <c r="AF720" i="19"/>
  <c r="J722" i="19"/>
  <c r="T725" i="19"/>
  <c r="AH725" i="19" s="1"/>
  <c r="L726" i="19"/>
  <c r="AD726" i="19"/>
  <c r="AF732" i="19"/>
  <c r="AF736" i="19"/>
  <c r="L737" i="19"/>
  <c r="AF737" i="19"/>
  <c r="AF738" i="19"/>
  <c r="AI739" i="19"/>
  <c r="V746" i="19"/>
  <c r="J749" i="19"/>
  <c r="AF751" i="19"/>
  <c r="L752" i="19"/>
  <c r="J760" i="19"/>
  <c r="V762" i="19"/>
  <c r="AF769" i="19"/>
  <c r="L771" i="19"/>
  <c r="AI773" i="19"/>
  <c r="AI775" i="19"/>
  <c r="AD775" i="19"/>
  <c r="AD780" i="19"/>
  <c r="V781" i="19"/>
  <c r="AD783" i="19"/>
  <c r="J792" i="19"/>
  <c r="AH792" i="19" s="1"/>
  <c r="AF799" i="19"/>
  <c r="L801" i="19"/>
  <c r="L809" i="19"/>
  <c r="AJ809" i="19" s="1"/>
  <c r="AI811" i="19"/>
  <c r="AD811" i="19"/>
  <c r="L817" i="19"/>
  <c r="AJ817" i="19" s="1"/>
  <c r="J823" i="19"/>
  <c r="L824" i="19"/>
  <c r="AF826" i="19"/>
  <c r="L829" i="19"/>
  <c r="L833" i="19"/>
  <c r="AJ833" i="19" s="1"/>
  <c r="J834" i="19"/>
  <c r="L837" i="19"/>
  <c r="L838" i="19"/>
  <c r="AJ838" i="19" s="1"/>
  <c r="V841" i="19"/>
  <c r="L842" i="19"/>
  <c r="L847" i="19"/>
  <c r="J851" i="19"/>
  <c r="J858" i="19"/>
  <c r="T862" i="19"/>
  <c r="V879" i="19"/>
  <c r="L893" i="19"/>
  <c r="AD895" i="19"/>
  <c r="AD897" i="19"/>
  <c r="J904" i="19"/>
  <c r="J912" i="19"/>
  <c r="AH912" i="19" s="1"/>
  <c r="L915" i="19"/>
  <c r="AD915" i="19"/>
  <c r="L927" i="19"/>
  <c r="L929" i="19"/>
  <c r="AD929" i="19"/>
  <c r="J934" i="19"/>
  <c r="AD934" i="19"/>
  <c r="J935" i="19"/>
  <c r="V938" i="19"/>
  <c r="AJ938" i="19" s="1"/>
  <c r="T939" i="19"/>
  <c r="AD949" i="19"/>
  <c r="T963" i="19"/>
  <c r="J968" i="19"/>
  <c r="AF971" i="19"/>
  <c r="AI972" i="19"/>
  <c r="L972" i="19"/>
  <c r="AF978" i="19"/>
  <c r="AI990" i="19"/>
  <c r="AI998" i="19"/>
  <c r="L999" i="19"/>
  <c r="T868" i="19"/>
  <c r="J873" i="19"/>
  <c r="AD877" i="19"/>
  <c r="J878" i="19"/>
  <c r="T879" i="19"/>
  <c r="AH879" i="19" s="1"/>
  <c r="AI882" i="19"/>
  <c r="AF882" i="19"/>
  <c r="AF886" i="19"/>
  <c r="AJ886" i="19" s="1"/>
  <c r="AI889" i="19"/>
  <c r="L895" i="19"/>
  <c r="J896" i="19"/>
  <c r="AD896" i="19"/>
  <c r="J897" i="19"/>
  <c r="AF899" i="19"/>
  <c r="AF901" i="19"/>
  <c r="AJ901" i="19" s="1"/>
  <c r="L902" i="19"/>
  <c r="AI906" i="19"/>
  <c r="V911" i="19"/>
  <c r="V913" i="19"/>
  <c r="J915" i="19"/>
  <c r="J921" i="19"/>
  <c r="AD924" i="19"/>
  <c r="AI926" i="19"/>
  <c r="J930" i="19"/>
  <c r="V931" i="19"/>
  <c r="AF933" i="19"/>
  <c r="V935" i="19"/>
  <c r="T940" i="19"/>
  <c r="AI943" i="19"/>
  <c r="AD943" i="19"/>
  <c r="J944" i="19"/>
  <c r="AF946" i="19"/>
  <c r="J954" i="19"/>
  <c r="T956" i="19"/>
  <c r="J958" i="19"/>
  <c r="L960" i="19"/>
  <c r="AD960" i="19"/>
  <c r="J969" i="19"/>
  <c r="AF972" i="19"/>
  <c r="AF973" i="19"/>
  <c r="AD974" i="19"/>
  <c r="J975" i="19"/>
  <c r="V980" i="19"/>
  <c r="AD987" i="19"/>
  <c r="J988" i="19"/>
  <c r="L994" i="19"/>
  <c r="AD998" i="19"/>
  <c r="J999" i="19"/>
  <c r="AD847" i="19"/>
  <c r="AH847" i="19" s="1"/>
  <c r="J850" i="19"/>
  <c r="AI854" i="19"/>
  <c r="AD863" i="19"/>
  <c r="AF865" i="19"/>
  <c r="AD871" i="19"/>
  <c r="V875" i="19"/>
  <c r="AF876" i="19"/>
  <c r="T880" i="19"/>
  <c r="V882" i="19"/>
  <c r="AF883" i="19"/>
  <c r="L884" i="19"/>
  <c r="AD884" i="19"/>
  <c r="V885" i="19"/>
  <c r="V904" i="19"/>
  <c r="AF907" i="19"/>
  <c r="AI908" i="19"/>
  <c r="J909" i="19"/>
  <c r="AD909" i="19"/>
  <c r="L919" i="19"/>
  <c r="AF919" i="19"/>
  <c r="T929" i="19"/>
  <c r="AF930" i="19"/>
  <c r="T933" i="19"/>
  <c r="AD944" i="19"/>
  <c r="AF948" i="19"/>
  <c r="L949" i="19"/>
  <c r="J951" i="19"/>
  <c r="V952" i="19"/>
  <c r="AI963" i="19"/>
  <c r="AF963" i="19"/>
  <c r="AI964" i="19"/>
  <c r="AD965" i="19"/>
  <c r="T972" i="19"/>
  <c r="T977" i="19"/>
  <c r="L978" i="19"/>
  <c r="AI983" i="19"/>
  <c r="L986" i="19"/>
  <c r="V991" i="19"/>
  <c r="T996" i="19"/>
  <c r="AD999" i="19"/>
  <c r="V1001" i="19"/>
  <c r="V287" i="19"/>
  <c r="J287" i="19"/>
  <c r="T287" i="19"/>
  <c r="L287" i="19"/>
  <c r="AI316" i="19"/>
  <c r="L316" i="19"/>
  <c r="V459" i="19"/>
  <c r="J459" i="19"/>
  <c r="AD459" i="19"/>
  <c r="L459" i="19"/>
  <c r="AF459" i="19"/>
  <c r="T459" i="19"/>
  <c r="T10" i="19"/>
  <c r="T57" i="19"/>
  <c r="AF187" i="19"/>
  <c r="AI187" i="19"/>
  <c r="AI330" i="19"/>
  <c r="L330" i="19"/>
  <c r="AI533" i="19"/>
  <c r="L533" i="19"/>
  <c r="V10" i="19"/>
  <c r="V57" i="19"/>
  <c r="L59" i="19"/>
  <c r="T81" i="19"/>
  <c r="AI450" i="19"/>
  <c r="L450" i="19"/>
  <c r="V17" i="19"/>
  <c r="V34" i="19"/>
  <c r="T58" i="19"/>
  <c r="V81" i="19"/>
  <c r="V168" i="19"/>
  <c r="J168" i="19"/>
  <c r="L168" i="19"/>
  <c r="AI4" i="19"/>
  <c r="J10" i="19"/>
  <c r="J33" i="19"/>
  <c r="V41" i="19"/>
  <c r="L43" i="19"/>
  <c r="AF49" i="19"/>
  <c r="AD50" i="19"/>
  <c r="V58" i="19"/>
  <c r="T89" i="19"/>
  <c r="L105" i="19"/>
  <c r="AF105" i="19"/>
  <c r="AI121" i="19"/>
  <c r="L129" i="19"/>
  <c r="T168" i="19"/>
  <c r="V182" i="19"/>
  <c r="AF190" i="19"/>
  <c r="T190" i="19"/>
  <c r="V190" i="19"/>
  <c r="L190" i="19"/>
  <c r="V192" i="19"/>
  <c r="J192" i="19"/>
  <c r="L192" i="19"/>
  <c r="V203" i="19"/>
  <c r="AF203" i="19"/>
  <c r="AI374" i="19"/>
  <c r="V374" i="19"/>
  <c r="L541" i="19"/>
  <c r="AI541" i="19"/>
  <c r="T50" i="19"/>
  <c r="L314" i="19"/>
  <c r="AI314" i="19"/>
  <c r="V50" i="19"/>
  <c r="AI281" i="19"/>
  <c r="L281" i="19"/>
  <c r="AI512" i="19"/>
  <c r="L512" i="19"/>
  <c r="T17" i="19"/>
  <c r="AI466" i="19"/>
  <c r="V466" i="19"/>
  <c r="AI520" i="19"/>
  <c r="L520" i="19"/>
  <c r="AI420" i="19"/>
  <c r="L420" i="19"/>
  <c r="L477" i="19"/>
  <c r="AI477" i="19"/>
  <c r="AD10" i="19"/>
  <c r="V18" i="19"/>
  <c r="AI19" i="19"/>
  <c r="AI28" i="19"/>
  <c r="AI29" i="19"/>
  <c r="J34" i="19"/>
  <c r="AI46" i="19"/>
  <c r="AF50" i="19"/>
  <c r="J57" i="19"/>
  <c r="V89" i="19"/>
  <c r="AJ89" i="19" s="1"/>
  <c r="AI91" i="19"/>
  <c r="AI124" i="19"/>
  <c r="V157" i="19"/>
  <c r="AI157" i="19"/>
  <c r="L196" i="19"/>
  <c r="AI196" i="19"/>
  <c r="V254" i="19"/>
  <c r="J254" i="19"/>
  <c r="L254" i="19"/>
  <c r="AF271" i="19"/>
  <c r="AI271" i="19"/>
  <c r="L304" i="19"/>
  <c r="AI304" i="19"/>
  <c r="AF411" i="19"/>
  <c r="T411" i="19"/>
  <c r="J411" i="19"/>
  <c r="L481" i="19"/>
  <c r="AI481" i="19"/>
  <c r="V493" i="19"/>
  <c r="J493" i="19"/>
  <c r="L257" i="19"/>
  <c r="AI257" i="19"/>
  <c r="V549" i="19"/>
  <c r="J549" i="19"/>
  <c r="AD549" i="19"/>
  <c r="L549" i="19"/>
  <c r="V33" i="19"/>
  <c r="L137" i="19"/>
  <c r="AI137" i="19"/>
  <c r="T34" i="19"/>
  <c r="L153" i="19"/>
  <c r="AI153" i="19"/>
  <c r="AI312" i="19"/>
  <c r="L312" i="19"/>
  <c r="V401" i="19"/>
  <c r="J401" i="19"/>
  <c r="T401" i="19"/>
  <c r="AD401" i="19"/>
  <c r="L401" i="19"/>
  <c r="J50" i="19"/>
  <c r="AF10" i="19"/>
  <c r="J17" i="19"/>
  <c r="AI23" i="19"/>
  <c r="AF33" i="19"/>
  <c r="AD34" i="19"/>
  <c r="V42" i="19"/>
  <c r="AJ42" i="19" s="1"/>
  <c r="AI52" i="19"/>
  <c r="AI53" i="19"/>
  <c r="J58" i="19"/>
  <c r="J81" i="19"/>
  <c r="AD81" i="19"/>
  <c r="T97" i="19"/>
  <c r="AH97" i="19" s="1"/>
  <c r="J182" i="19"/>
  <c r="T254" i="19"/>
  <c r="L326" i="19"/>
  <c r="AI326" i="19"/>
  <c r="V433" i="19"/>
  <c r="J433" i="19"/>
  <c r="L433" i="19"/>
  <c r="AF433" i="19"/>
  <c r="AI527" i="19"/>
  <c r="L527" i="19"/>
  <c r="T33" i="19"/>
  <c r="L283" i="19"/>
  <c r="AI283" i="19"/>
  <c r="AI485" i="19"/>
  <c r="L485" i="19"/>
  <c r="L35" i="19"/>
  <c r="AJ35" i="19" s="1"/>
  <c r="AF169" i="19"/>
  <c r="AI169" i="19"/>
  <c r="AI83" i="19"/>
  <c r="AI103" i="19"/>
  <c r="AF255" i="19"/>
  <c r="AI255" i="19"/>
  <c r="V2" i="19"/>
  <c r="AI12" i="19"/>
  <c r="J18" i="19"/>
  <c r="AF34" i="19"/>
  <c r="J41" i="19"/>
  <c r="V49" i="19"/>
  <c r="AF57" i="19"/>
  <c r="AD58" i="19"/>
  <c r="V66" i="19"/>
  <c r="L81" i="19"/>
  <c r="AF81" i="19"/>
  <c r="AI87" i="19"/>
  <c r="AI93" i="19"/>
  <c r="V97" i="19"/>
  <c r="AI99" i="19"/>
  <c r="T105" i="19"/>
  <c r="AH105" i="19" s="1"/>
  <c r="L131" i="19"/>
  <c r="AI131" i="19"/>
  <c r="L318" i="19"/>
  <c r="AI318" i="19"/>
  <c r="AD338" i="19"/>
  <c r="J338" i="19"/>
  <c r="V338" i="19"/>
  <c r="V377" i="19"/>
  <c r="J377" i="19"/>
  <c r="AD377" i="19"/>
  <c r="L377" i="19"/>
  <c r="AF377" i="19"/>
  <c r="V411" i="19"/>
  <c r="T433" i="19"/>
  <c r="V436" i="19"/>
  <c r="AI482" i="19"/>
  <c r="V482" i="19"/>
  <c r="L488" i="19"/>
  <c r="AF511" i="19"/>
  <c r="T511" i="19"/>
  <c r="V812" i="19"/>
  <c r="J812" i="19"/>
  <c r="AI22" i="19"/>
  <c r="L29" i="19"/>
  <c r="L37" i="19"/>
  <c r="L53" i="19"/>
  <c r="L93" i="19"/>
  <c r="L109" i="19"/>
  <c r="AI120" i="19"/>
  <c r="AD123" i="19"/>
  <c r="J135" i="19"/>
  <c r="AI141" i="19"/>
  <c r="AI161" i="19"/>
  <c r="AD171" i="19"/>
  <c r="V181" i="19"/>
  <c r="L219" i="19"/>
  <c r="AI219" i="19"/>
  <c r="V279" i="19"/>
  <c r="L280" i="19"/>
  <c r="AI348" i="19"/>
  <c r="L348" i="19"/>
  <c r="AF363" i="19"/>
  <c r="T363" i="19"/>
  <c r="J363" i="19"/>
  <c r="V363" i="19"/>
  <c r="AI68" i="19"/>
  <c r="AI76" i="19"/>
  <c r="AI84" i="19"/>
  <c r="AI108" i="19"/>
  <c r="AI116" i="19"/>
  <c r="L125" i="19"/>
  <c r="J129" i="19"/>
  <c r="AI241" i="19"/>
  <c r="V262" i="19"/>
  <c r="J262" i="19"/>
  <c r="AF262" i="19"/>
  <c r="V269" i="19"/>
  <c r="AF395" i="19"/>
  <c r="T395" i="19"/>
  <c r="AD395" i="19"/>
  <c r="V395" i="19"/>
  <c r="AF412" i="19"/>
  <c r="T412" i="19"/>
  <c r="J412" i="19"/>
  <c r="AD564" i="19"/>
  <c r="L564" i="19"/>
  <c r="AF564" i="19"/>
  <c r="AI5" i="19"/>
  <c r="AI21" i="19"/>
  <c r="AI61" i="19"/>
  <c r="AI69" i="19"/>
  <c r="AI85" i="19"/>
  <c r="L92" i="19"/>
  <c r="L100" i="19"/>
  <c r="AI101" i="19"/>
  <c r="AD125" i="19"/>
  <c r="AI149" i="19"/>
  <c r="AI150" i="19"/>
  <c r="L164" i="19"/>
  <c r="AD179" i="19"/>
  <c r="AF189" i="19"/>
  <c r="T189" i="19"/>
  <c r="AI235" i="19"/>
  <c r="V270" i="19"/>
  <c r="J270" i="19"/>
  <c r="T270" i="19"/>
  <c r="AF272" i="19"/>
  <c r="T272" i="19"/>
  <c r="L325" i="19"/>
  <c r="V389" i="19"/>
  <c r="V392" i="19"/>
  <c r="V526" i="19"/>
  <c r="J526" i="19"/>
  <c r="V533" i="19"/>
  <c r="J533" i="19"/>
  <c r="V536" i="19"/>
  <c r="V576" i="19"/>
  <c r="J576" i="19"/>
  <c r="AF576" i="19"/>
  <c r="T576" i="19"/>
  <c r="AD576" i="19"/>
  <c r="L576" i="19"/>
  <c r="AF582" i="19"/>
  <c r="T582" i="19"/>
  <c r="L582" i="19"/>
  <c r="J582" i="19"/>
  <c r="AI30" i="19"/>
  <c r="AI62" i="19"/>
  <c r="AI70" i="19"/>
  <c r="AI78" i="19"/>
  <c r="AI86" i="19"/>
  <c r="AI94" i="19"/>
  <c r="AI110" i="19"/>
  <c r="L117" i="19"/>
  <c r="AI118" i="19"/>
  <c r="AI119" i="19"/>
  <c r="L123" i="19"/>
  <c r="AI127" i="19"/>
  <c r="AI139" i="19"/>
  <c r="AI142" i="19"/>
  <c r="V144" i="19"/>
  <c r="J144" i="19"/>
  <c r="V147" i="19"/>
  <c r="AF170" i="19"/>
  <c r="T170" i="19"/>
  <c r="V185" i="19"/>
  <c r="AI259" i="19"/>
  <c r="AI294" i="19"/>
  <c r="V294" i="19"/>
  <c r="AH303" i="19"/>
  <c r="AI311" i="19"/>
  <c r="L411" i="19"/>
  <c r="L458" i="19"/>
  <c r="AI458" i="19"/>
  <c r="AF487" i="19"/>
  <c r="T487" i="19"/>
  <c r="V511" i="19"/>
  <c r="L38" i="19"/>
  <c r="AI47" i="19"/>
  <c r="AI63" i="19"/>
  <c r="AI79" i="19"/>
  <c r="AJ119" i="19"/>
  <c r="AF123" i="19"/>
  <c r="AI140" i="19"/>
  <c r="L148" i="19"/>
  <c r="AD163" i="19"/>
  <c r="AF171" i="19"/>
  <c r="J177" i="19"/>
  <c r="AF182" i="19"/>
  <c r="L188" i="19"/>
  <c r="L189" i="19"/>
  <c r="J195" i="19"/>
  <c r="J213" i="19"/>
  <c r="AF216" i="19"/>
  <c r="T216" i="19"/>
  <c r="L217" i="19"/>
  <c r="AD254" i="19"/>
  <c r="L264" i="19"/>
  <c r="AD269" i="19"/>
  <c r="V271" i="19"/>
  <c r="AJ271" i="19" s="1"/>
  <c r="V285" i="19"/>
  <c r="AI305" i="19"/>
  <c r="L328" i="19"/>
  <c r="L338" i="19"/>
  <c r="AI338" i="19"/>
  <c r="AI342" i="19"/>
  <c r="AD433" i="19"/>
  <c r="L501" i="19"/>
  <c r="L513" i="19"/>
  <c r="AI513" i="19"/>
  <c r="AI544" i="19"/>
  <c r="V544" i="19"/>
  <c r="V582" i="19"/>
  <c r="L7" i="19"/>
  <c r="AI8" i="19"/>
  <c r="L15" i="19"/>
  <c r="AI16" i="19"/>
  <c r="L23" i="19"/>
  <c r="AI24" i="19"/>
  <c r="L31" i="19"/>
  <c r="AI32" i="19"/>
  <c r="L39" i="19"/>
  <c r="AI40" i="19"/>
  <c r="AI48" i="19"/>
  <c r="L55" i="19"/>
  <c r="AI56" i="19"/>
  <c r="AI64" i="19"/>
  <c r="L71" i="19"/>
  <c r="AI72" i="19"/>
  <c r="AI80" i="19"/>
  <c r="L87" i="19"/>
  <c r="AI88" i="19"/>
  <c r="L95" i="19"/>
  <c r="AI96" i="19"/>
  <c r="L103" i="19"/>
  <c r="AI104" i="19"/>
  <c r="L111" i="19"/>
  <c r="AI112" i="19"/>
  <c r="J127" i="19"/>
  <c r="V133" i="19"/>
  <c r="AJ133" i="19" s="1"/>
  <c r="AI134" i="19"/>
  <c r="AI138" i="19"/>
  <c r="L144" i="19"/>
  <c r="AI145" i="19"/>
  <c r="AF154" i="19"/>
  <c r="T154" i="19"/>
  <c r="AD155" i="19"/>
  <c r="AF163" i="19"/>
  <c r="J167" i="19"/>
  <c r="J169" i="19"/>
  <c r="L175" i="19"/>
  <c r="T179" i="19"/>
  <c r="V180" i="19"/>
  <c r="J183" i="19"/>
  <c r="AI184" i="19"/>
  <c r="AI186" i="19"/>
  <c r="J187" i="19"/>
  <c r="J193" i="19"/>
  <c r="AD195" i="19"/>
  <c r="L197" i="19"/>
  <c r="J205" i="19"/>
  <c r="V206" i="19"/>
  <c r="J206" i="19"/>
  <c r="AI207" i="19"/>
  <c r="AF208" i="19"/>
  <c r="T208" i="19"/>
  <c r="L209" i="19"/>
  <c r="AD209" i="19"/>
  <c r="J229" i="19"/>
  <c r="L231" i="19"/>
  <c r="AI249" i="19"/>
  <c r="V251" i="19"/>
  <c r="AF254" i="19"/>
  <c r="AI258" i="19"/>
  <c r="L262" i="19"/>
  <c r="AI265" i="19"/>
  <c r="V281" i="19"/>
  <c r="AD287" i="19"/>
  <c r="AI290" i="19"/>
  <c r="V300" i="19"/>
  <c r="AD304" i="19"/>
  <c r="AF304" i="19"/>
  <c r="L306" i="19"/>
  <c r="AI306" i="19"/>
  <c r="V316" i="19"/>
  <c r="J320" i="19"/>
  <c r="AD320" i="19"/>
  <c r="L322" i="19"/>
  <c r="L336" i="19"/>
  <c r="AF340" i="19"/>
  <c r="T340" i="19"/>
  <c r="L360" i="19"/>
  <c r="AF360" i="19"/>
  <c r="AD360" i="19"/>
  <c r="L370" i="19"/>
  <c r="AI403" i="19"/>
  <c r="L427" i="19"/>
  <c r="AJ439" i="19"/>
  <c r="AI442" i="19"/>
  <c r="L442" i="19"/>
  <c r="AJ442" i="19" s="1"/>
  <c r="V457" i="19"/>
  <c r="J457" i="19"/>
  <c r="AD457" i="19"/>
  <c r="L457" i="19"/>
  <c r="AD484" i="19"/>
  <c r="AH505" i="19"/>
  <c r="J511" i="19"/>
  <c r="V550" i="19"/>
  <c r="AI561" i="19"/>
  <c r="V561" i="19"/>
  <c r="AI155" i="19"/>
  <c r="AI201" i="19"/>
  <c r="AF280" i="19"/>
  <c r="T280" i="19"/>
  <c r="L297" i="19"/>
  <c r="AI297" i="19"/>
  <c r="V329" i="19"/>
  <c r="J329" i="19"/>
  <c r="AD329" i="19"/>
  <c r="L329" i="19"/>
  <c r="AI13" i="19"/>
  <c r="AI45" i="19"/>
  <c r="AI77" i="19"/>
  <c r="L122" i="19"/>
  <c r="V152" i="19"/>
  <c r="J152" i="19"/>
  <c r="AI156" i="19"/>
  <c r="AF178" i="19"/>
  <c r="T178" i="19"/>
  <c r="AH178" i="19" s="1"/>
  <c r="V229" i="19"/>
  <c r="AF315" i="19"/>
  <c r="T315" i="19"/>
  <c r="AF355" i="19"/>
  <c r="T355" i="19"/>
  <c r="V355" i="19"/>
  <c r="AI54" i="19"/>
  <c r="AI102" i="19"/>
  <c r="L171" i="19"/>
  <c r="L224" i="19"/>
  <c r="L247" i="19"/>
  <c r="AI267" i="19"/>
  <c r="AD279" i="19"/>
  <c r="L279" i="19"/>
  <c r="AI288" i="19"/>
  <c r="V310" i="19"/>
  <c r="V332" i="19"/>
  <c r="L344" i="19"/>
  <c r="AD344" i="19"/>
  <c r="AI388" i="19"/>
  <c r="V410" i="19"/>
  <c r="J410" i="19"/>
  <c r="AD410" i="19"/>
  <c r="L410" i="19"/>
  <c r="V452" i="19"/>
  <c r="V518" i="19"/>
  <c r="V557" i="19"/>
  <c r="J557" i="19"/>
  <c r="L623" i="19"/>
  <c r="T623" i="19"/>
  <c r="L14" i="19"/>
  <c r="AJ14" i="19" s="1"/>
  <c r="L46" i="19"/>
  <c r="AF129" i="19"/>
  <c r="T130" i="19"/>
  <c r="AF130" i="19"/>
  <c r="AF162" i="19"/>
  <c r="T162" i="19"/>
  <c r="J175" i="19"/>
  <c r="J239" i="19"/>
  <c r="V246" i="19"/>
  <c r="J246" i="19"/>
  <c r="AD246" i="19"/>
  <c r="L246" i="19"/>
  <c r="J332" i="19"/>
  <c r="L341" i="19"/>
  <c r="AJ431" i="19"/>
  <c r="V487" i="19"/>
  <c r="T516" i="19"/>
  <c r="AD516" i="19"/>
  <c r="L516" i="19"/>
  <c r="AF549" i="19"/>
  <c r="L551" i="19"/>
  <c r="AI651" i="19"/>
  <c r="L651" i="19"/>
  <c r="AI73" i="19"/>
  <c r="AI81" i="19"/>
  <c r="AI89" i="19"/>
  <c r="AI97" i="19"/>
  <c r="AI105" i="19"/>
  <c r="AI113" i="19"/>
  <c r="T123" i="19"/>
  <c r="L127" i="19"/>
  <c r="T129" i="19"/>
  <c r="AI129" i="19"/>
  <c r="J130" i="19"/>
  <c r="AH130" i="19" s="1"/>
  <c r="AI132" i="19"/>
  <c r="AF146" i="19"/>
  <c r="T146" i="19"/>
  <c r="AH146" i="19" s="1"/>
  <c r="AD147" i="19"/>
  <c r="AF155" i="19"/>
  <c r="J159" i="19"/>
  <c r="J161" i="19"/>
  <c r="L167" i="19"/>
  <c r="AJ167" i="19" s="1"/>
  <c r="T171" i="19"/>
  <c r="AI179" i="19"/>
  <c r="L181" i="19"/>
  <c r="AD181" i="19"/>
  <c r="T182" i="19"/>
  <c r="AI183" i="19"/>
  <c r="AI185" i="19"/>
  <c r="AI191" i="19"/>
  <c r="AI193" i="19"/>
  <c r="L195" i="19"/>
  <c r="AF197" i="19"/>
  <c r="J198" i="19"/>
  <c r="L205" i="19"/>
  <c r="AI205" i="19"/>
  <c r="T207" i="19"/>
  <c r="AF209" i="19"/>
  <c r="L211" i="19"/>
  <c r="AJ211" i="19" s="1"/>
  <c r="AI211" i="19"/>
  <c r="AD215" i="19"/>
  <c r="L215" i="19"/>
  <c r="J223" i="19"/>
  <c r="AD223" i="19"/>
  <c r="L225" i="19"/>
  <c r="L229" i="19"/>
  <c r="AI234" i="19"/>
  <c r="L239" i="19"/>
  <c r="AI250" i="19"/>
  <c r="AI270" i="19"/>
  <c r="J279" i="19"/>
  <c r="J285" i="19"/>
  <c r="AF287" i="19"/>
  <c r="V299" i="19"/>
  <c r="L315" i="19"/>
  <c r="AD315" i="19"/>
  <c r="L320" i="19"/>
  <c r="AF331" i="19"/>
  <c r="T331" i="19"/>
  <c r="AD331" i="19"/>
  <c r="L331" i="19"/>
  <c r="AJ331" i="19" s="1"/>
  <c r="L332" i="19"/>
  <c r="AD332" i="19"/>
  <c r="L334" i="19"/>
  <c r="AI334" i="19"/>
  <c r="AF335" i="19"/>
  <c r="T335" i="19"/>
  <c r="L335" i="19"/>
  <c r="V340" i="19"/>
  <c r="AI354" i="19"/>
  <c r="J355" i="19"/>
  <c r="AD355" i="19"/>
  <c r="T360" i="19"/>
  <c r="L373" i="19"/>
  <c r="AI373" i="19"/>
  <c r="AI378" i="19"/>
  <c r="V382" i="19"/>
  <c r="AD392" i="19"/>
  <c r="J395" i="19"/>
  <c r="AF401" i="19"/>
  <c r="AD412" i="19"/>
  <c r="L414" i="19"/>
  <c r="AI414" i="19"/>
  <c r="AD416" i="19"/>
  <c r="V418" i="19"/>
  <c r="J418" i="19"/>
  <c r="AH418" i="19" s="1"/>
  <c r="L419" i="19"/>
  <c r="V426" i="19"/>
  <c r="J426" i="19"/>
  <c r="V438" i="19"/>
  <c r="L454" i="19"/>
  <c r="AI454" i="19"/>
  <c r="V500" i="19"/>
  <c r="AJ500" i="19" s="1"/>
  <c r="L505" i="19"/>
  <c r="AJ505" i="19" s="1"/>
  <c r="AI505" i="19"/>
  <c r="V517" i="19"/>
  <c r="J517" i="19"/>
  <c r="L518" i="19"/>
  <c r="AD518" i="19"/>
  <c r="L526" i="19"/>
  <c r="AD526" i="19"/>
  <c r="L547" i="19"/>
  <c r="AJ547" i="19" s="1"/>
  <c r="AD547" i="19"/>
  <c r="T548" i="19"/>
  <c r="L548" i="19"/>
  <c r="AI549" i="19"/>
  <c r="AI612" i="19"/>
  <c r="V612" i="19"/>
  <c r="AJ612" i="19" s="1"/>
  <c r="AF675" i="19"/>
  <c r="T675" i="19"/>
  <c r="AI135" i="19"/>
  <c r="V160" i="19"/>
  <c r="J160" i="19"/>
  <c r="J280" i="19"/>
  <c r="L350" i="19"/>
  <c r="AI350" i="19"/>
  <c r="AF452" i="19"/>
  <c r="T452" i="19"/>
  <c r="L452" i="19"/>
  <c r="V213" i="19"/>
  <c r="AI236" i="19"/>
  <c r="AF264" i="19"/>
  <c r="T264" i="19"/>
  <c r="AD264" i="19"/>
  <c r="L273" i="19"/>
  <c r="L321" i="19"/>
  <c r="T416" i="19"/>
  <c r="V434" i="19"/>
  <c r="J434" i="19"/>
  <c r="V564" i="19"/>
  <c r="AI6" i="19"/>
  <c r="AD182" i="19"/>
  <c r="J231" i="19"/>
  <c r="AF232" i="19"/>
  <c r="T232" i="19"/>
  <c r="J232" i="19"/>
  <c r="V232" i="19"/>
  <c r="AI263" i="19"/>
  <c r="L275" i="19"/>
  <c r="AI275" i="19"/>
  <c r="V362" i="19"/>
  <c r="J362" i="19"/>
  <c r="L558" i="19"/>
  <c r="AI599" i="19"/>
  <c r="L599" i="19"/>
  <c r="AF699" i="19"/>
  <c r="T699" i="19"/>
  <c r="J699" i="19"/>
  <c r="L135" i="19"/>
  <c r="AI252" i="19"/>
  <c r="AD272" i="19"/>
  <c r="AI301" i="19"/>
  <c r="V344" i="19"/>
  <c r="AI358" i="19"/>
  <c r="V358" i="19"/>
  <c r="V478" i="19"/>
  <c r="AH485" i="19"/>
  <c r="L621" i="19"/>
  <c r="AI621" i="19"/>
  <c r="J3" i="19"/>
  <c r="T5" i="19"/>
  <c r="J11" i="19"/>
  <c r="T13" i="19"/>
  <c r="J19" i="19"/>
  <c r="T21" i="19"/>
  <c r="AH21" i="19" s="1"/>
  <c r="J27" i="19"/>
  <c r="AH27" i="19" s="1"/>
  <c r="T29" i="19"/>
  <c r="J35" i="19"/>
  <c r="T37" i="19"/>
  <c r="J43" i="19"/>
  <c r="T45" i="19"/>
  <c r="J51" i="19"/>
  <c r="T53" i="19"/>
  <c r="J59" i="19"/>
  <c r="T61" i="19"/>
  <c r="J67" i="19"/>
  <c r="T69" i="19"/>
  <c r="AH69" i="19" s="1"/>
  <c r="AI125" i="19"/>
  <c r="AI126" i="19"/>
  <c r="V129" i="19"/>
  <c r="AD139" i="19"/>
  <c r="AF147" i="19"/>
  <c r="J151" i="19"/>
  <c r="J153" i="19"/>
  <c r="L159" i="19"/>
  <c r="T163" i="19"/>
  <c r="AI173" i="19"/>
  <c r="AI174" i="19"/>
  <c r="V176" i="19"/>
  <c r="AJ176" i="19" s="1"/>
  <c r="J176" i="19"/>
  <c r="AH176" i="19" s="1"/>
  <c r="AF177" i="19"/>
  <c r="AF181" i="19"/>
  <c r="L183" i="19"/>
  <c r="V184" i="19"/>
  <c r="J184" i="19"/>
  <c r="L185" i="19"/>
  <c r="AF186" i="19"/>
  <c r="T186" i="19"/>
  <c r="AH186" i="19" s="1"/>
  <c r="AD187" i="19"/>
  <c r="L191" i="19"/>
  <c r="L193" i="19"/>
  <c r="V194" i="19"/>
  <c r="J194" i="19"/>
  <c r="AI198" i="19"/>
  <c r="AI199" i="19"/>
  <c r="AI204" i="19"/>
  <c r="AF205" i="19"/>
  <c r="L208" i="19"/>
  <c r="AD208" i="19"/>
  <c r="AF213" i="19"/>
  <c r="AI214" i="19"/>
  <c r="AD216" i="19"/>
  <c r="V221" i="19"/>
  <c r="L223" i="19"/>
  <c r="AF224" i="19"/>
  <c r="T224" i="19"/>
  <c r="V224" i="19"/>
  <c r="V238" i="19"/>
  <c r="J238" i="19"/>
  <c r="L238" i="19"/>
  <c r="AF239" i="19"/>
  <c r="V243" i="19"/>
  <c r="AJ243" i="19" s="1"/>
  <c r="AI244" i="19"/>
  <c r="L270" i="19"/>
  <c r="AD270" i="19"/>
  <c r="AD271" i="19"/>
  <c r="L285" i="19"/>
  <c r="AD285" i="19"/>
  <c r="J304" i="19"/>
  <c r="J316" i="19"/>
  <c r="T324" i="19"/>
  <c r="J327" i="19"/>
  <c r="AF332" i="19"/>
  <c r="L339" i="19"/>
  <c r="AI355" i="19"/>
  <c r="L355" i="19"/>
  <c r="V360" i="19"/>
  <c r="L378" i="19"/>
  <c r="AI383" i="19"/>
  <c r="L395" i="19"/>
  <c r="AI395" i="19"/>
  <c r="AF403" i="19"/>
  <c r="T403" i="19"/>
  <c r="L406" i="19"/>
  <c r="AI406" i="19"/>
  <c r="L412" i="19"/>
  <c r="AF416" i="19"/>
  <c r="L434" i="19"/>
  <c r="AD434" i="19"/>
  <c r="AH453" i="19"/>
  <c r="AH456" i="19"/>
  <c r="V468" i="19"/>
  <c r="AJ468" i="19" s="1"/>
  <c r="AI468" i="19"/>
  <c r="AI473" i="19"/>
  <c r="L487" i="19"/>
  <c r="AI487" i="19"/>
  <c r="T493" i="19"/>
  <c r="V525" i="19"/>
  <c r="J525" i="19"/>
  <c r="AF526" i="19"/>
  <c r="AD533" i="19"/>
  <c r="T549" i="19"/>
  <c r="AI565" i="19"/>
  <c r="AF608" i="19"/>
  <c r="T608" i="19"/>
  <c r="V608" i="19"/>
  <c r="J608" i="19"/>
  <c r="V675" i="19"/>
  <c r="AF683" i="19"/>
  <c r="T683" i="19"/>
  <c r="V683" i="19"/>
  <c r="T185" i="19"/>
  <c r="V199" i="19"/>
  <c r="L203" i="19"/>
  <c r="J207" i="19"/>
  <c r="L213" i="19"/>
  <c r="T217" i="19"/>
  <c r="AI227" i="19"/>
  <c r="AI228" i="19"/>
  <c r="V230" i="19"/>
  <c r="J230" i="19"/>
  <c r="AF231" i="19"/>
  <c r="AI238" i="19"/>
  <c r="V255" i="19"/>
  <c r="AF256" i="19"/>
  <c r="AJ256" i="19" s="1"/>
  <c r="T256" i="19"/>
  <c r="AD257" i="19"/>
  <c r="AF265" i="19"/>
  <c r="J269" i="19"/>
  <c r="J271" i="19"/>
  <c r="L277" i="19"/>
  <c r="T281" i="19"/>
  <c r="V286" i="19"/>
  <c r="J286" i="19"/>
  <c r="T306" i="19"/>
  <c r="AI308" i="19"/>
  <c r="AI309" i="19"/>
  <c r="AD314" i="19"/>
  <c r="T321" i="19"/>
  <c r="AH321" i="19" s="1"/>
  <c r="J344" i="19"/>
  <c r="AF347" i="19"/>
  <c r="T347" i="19"/>
  <c r="V354" i="19"/>
  <c r="J354" i="19"/>
  <c r="J360" i="19"/>
  <c r="AI364" i="19"/>
  <c r="AI365" i="19"/>
  <c r="V369" i="19"/>
  <c r="J369" i="19"/>
  <c r="L369" i="19"/>
  <c r="AF380" i="19"/>
  <c r="T380" i="19"/>
  <c r="L380" i="19"/>
  <c r="AF388" i="19"/>
  <c r="T388" i="19"/>
  <c r="AF396" i="19"/>
  <c r="T396" i="19"/>
  <c r="AH396" i="19" s="1"/>
  <c r="AD400" i="19"/>
  <c r="V402" i="19"/>
  <c r="AJ402" i="19" s="1"/>
  <c r="J402" i="19"/>
  <c r="AD403" i="19"/>
  <c r="V412" i="19"/>
  <c r="V416" i="19"/>
  <c r="L418" i="19"/>
  <c r="AF419" i="19"/>
  <c r="T419" i="19"/>
  <c r="AH419" i="19" s="1"/>
  <c r="V419" i="19"/>
  <c r="L424" i="19"/>
  <c r="AF424" i="19"/>
  <c r="V449" i="19"/>
  <c r="J449" i="19"/>
  <c r="AD449" i="19"/>
  <c r="L449" i="19"/>
  <c r="AD476" i="19"/>
  <c r="AF476" i="19"/>
  <c r="L478" i="19"/>
  <c r="AI478" i="19"/>
  <c r="V484" i="19"/>
  <c r="AI490" i="19"/>
  <c r="AF491" i="19"/>
  <c r="AI495" i="19"/>
  <c r="L495" i="19"/>
  <c r="AI535" i="19"/>
  <c r="AI543" i="19"/>
  <c r="AJ546" i="19"/>
  <c r="L555" i="19"/>
  <c r="AF555" i="19"/>
  <c r="T555" i="19"/>
  <c r="AH555" i="19" s="1"/>
  <c r="L602" i="19"/>
  <c r="AI602" i="19"/>
  <c r="AI652" i="19"/>
  <c r="L652" i="19"/>
  <c r="AI143" i="19"/>
  <c r="AI151" i="19"/>
  <c r="AI159" i="19"/>
  <c r="AI167" i="19"/>
  <c r="AI175" i="19"/>
  <c r="V191" i="19"/>
  <c r="AD203" i="19"/>
  <c r="T209" i="19"/>
  <c r="AI220" i="19"/>
  <c r="V222" i="19"/>
  <c r="J222" i="19"/>
  <c r="AH222" i="19" s="1"/>
  <c r="AF223" i="19"/>
  <c r="AI226" i="19"/>
  <c r="AI230" i="19"/>
  <c r="T239" i="19"/>
  <c r="AF248" i="19"/>
  <c r="T248" i="19"/>
  <c r="AD249" i="19"/>
  <c r="AF257" i="19"/>
  <c r="J261" i="19"/>
  <c r="L269" i="19"/>
  <c r="T273" i="19"/>
  <c r="AI284" i="19"/>
  <c r="AI319" i="19"/>
  <c r="AF320" i="19"/>
  <c r="AF323" i="19"/>
  <c r="T323" i="19"/>
  <c r="AD324" i="19"/>
  <c r="AI327" i="19"/>
  <c r="AF334" i="19"/>
  <c r="T334" i="19"/>
  <c r="AH334" i="19" s="1"/>
  <c r="T338" i="19"/>
  <c r="AI360" i="19"/>
  <c r="AI368" i="19"/>
  <c r="AI375" i="19"/>
  <c r="AI407" i="19"/>
  <c r="L408" i="19"/>
  <c r="AD408" i="19"/>
  <c r="AF427" i="19"/>
  <c r="T427" i="19"/>
  <c r="J427" i="19"/>
  <c r="V427" i="19"/>
  <c r="V441" i="19"/>
  <c r="J441" i="19"/>
  <c r="AD441" i="19"/>
  <c r="L441" i="19"/>
  <c r="T444" i="19"/>
  <c r="AI452" i="19"/>
  <c r="L480" i="19"/>
  <c r="AI480" i="19"/>
  <c r="J484" i="19"/>
  <c r="AD525" i="19"/>
  <c r="AF533" i="19"/>
  <c r="AH553" i="19"/>
  <c r="AD575" i="19"/>
  <c r="L575" i="19"/>
  <c r="L579" i="19"/>
  <c r="AI579" i="19"/>
  <c r="L742" i="19"/>
  <c r="AI742" i="19"/>
  <c r="V183" i="19"/>
  <c r="J191" i="19"/>
  <c r="AD201" i="19"/>
  <c r="V205" i="19"/>
  <c r="AI206" i="19"/>
  <c r="AI212" i="19"/>
  <c r="V214" i="19"/>
  <c r="J214" i="19"/>
  <c r="AF215" i="19"/>
  <c r="AI222" i="19"/>
  <c r="T231" i="19"/>
  <c r="V239" i="19"/>
  <c r="AF240" i="19"/>
  <c r="T240" i="19"/>
  <c r="AD241" i="19"/>
  <c r="AF249" i="19"/>
  <c r="J255" i="19"/>
  <c r="L261" i="19"/>
  <c r="T265" i="19"/>
  <c r="AI276" i="19"/>
  <c r="V278" i="19"/>
  <c r="J278" i="19"/>
  <c r="AF279" i="19"/>
  <c r="AI286" i="19"/>
  <c r="V290" i="19"/>
  <c r="AI291" i="19"/>
  <c r="AD313" i="19"/>
  <c r="AF324" i="19"/>
  <c r="AD327" i="19"/>
  <c r="AF329" i="19"/>
  <c r="AF339" i="19"/>
  <c r="T339" i="19"/>
  <c r="AH339" i="19" s="1"/>
  <c r="L340" i="19"/>
  <c r="AD340" i="19"/>
  <c r="V346" i="19"/>
  <c r="J346" i="19"/>
  <c r="AD346" i="19"/>
  <c r="L346" i="19"/>
  <c r="AF348" i="19"/>
  <c r="T348" i="19"/>
  <c r="L363" i="19"/>
  <c r="V370" i="19"/>
  <c r="J370" i="19"/>
  <c r="AI384" i="19"/>
  <c r="V385" i="19"/>
  <c r="J385" i="19"/>
  <c r="L388" i="19"/>
  <c r="V393" i="19"/>
  <c r="J393" i="19"/>
  <c r="AF393" i="19"/>
  <c r="AI401" i="19"/>
  <c r="AF404" i="19"/>
  <c r="T404" i="19"/>
  <c r="V408" i="19"/>
  <c r="J416" i="19"/>
  <c r="AI422" i="19"/>
  <c r="V422" i="19"/>
  <c r="AI434" i="19"/>
  <c r="AI440" i="19"/>
  <c r="J476" i="19"/>
  <c r="AI484" i="19"/>
  <c r="L491" i="19"/>
  <c r="V491" i="19"/>
  <c r="V504" i="19"/>
  <c r="J516" i="19"/>
  <c r="L519" i="19"/>
  <c r="L525" i="19"/>
  <c r="AI525" i="19"/>
  <c r="AF543" i="19"/>
  <c r="T543" i="19"/>
  <c r="AD548" i="19"/>
  <c r="L553" i="19"/>
  <c r="AJ553" i="19" s="1"/>
  <c r="AI553" i="19"/>
  <c r="AF568" i="19"/>
  <c r="T568" i="19"/>
  <c r="AI577" i="19"/>
  <c r="AD589" i="19"/>
  <c r="AF589" i="19"/>
  <c r="AI669" i="19"/>
  <c r="V669" i="19"/>
  <c r="AF707" i="19"/>
  <c r="T707" i="19"/>
  <c r="L707" i="19"/>
  <c r="J707" i="19"/>
  <c r="V707" i="19"/>
  <c r="L708" i="19"/>
  <c r="J288" i="19"/>
  <c r="AI292" i="19"/>
  <c r="AI302" i="19"/>
  <c r="AI303" i="19"/>
  <c r="AD316" i="19"/>
  <c r="AF322" i="19"/>
  <c r="T330" i="19"/>
  <c r="V337" i="19"/>
  <c r="J337" i="19"/>
  <c r="AI344" i="19"/>
  <c r="V361" i="19"/>
  <c r="J361" i="19"/>
  <c r="AF362" i="19"/>
  <c r="AI366" i="19"/>
  <c r="AI367" i="19"/>
  <c r="AI369" i="19"/>
  <c r="AF372" i="19"/>
  <c r="T372" i="19"/>
  <c r="AF387" i="19"/>
  <c r="T387" i="19"/>
  <c r="AD388" i="19"/>
  <c r="V394" i="19"/>
  <c r="AJ394" i="19" s="1"/>
  <c r="J394" i="19"/>
  <c r="J400" i="19"/>
  <c r="AI408" i="19"/>
  <c r="V425" i="19"/>
  <c r="J425" i="19"/>
  <c r="AF426" i="19"/>
  <c r="AI430" i="19"/>
  <c r="AI431" i="19"/>
  <c r="AI433" i="19"/>
  <c r="AF436" i="19"/>
  <c r="T436" i="19"/>
  <c r="AI460" i="19"/>
  <c r="AI461" i="19"/>
  <c r="L476" i="19"/>
  <c r="AI483" i="19"/>
  <c r="AF484" i="19"/>
  <c r="AD487" i="19"/>
  <c r="AF488" i="19"/>
  <c r="AD493" i="19"/>
  <c r="AF519" i="19"/>
  <c r="T519" i="19"/>
  <c r="AD532" i="19"/>
  <c r="J548" i="19"/>
  <c r="AH554" i="19"/>
  <c r="AD557" i="19"/>
  <c r="AI560" i="19"/>
  <c r="V560" i="19"/>
  <c r="AJ560" i="19" s="1"/>
  <c r="L568" i="19"/>
  <c r="AD568" i="19"/>
  <c r="J575" i="19"/>
  <c r="AI592" i="19"/>
  <c r="L592" i="19"/>
  <c r="V606" i="19"/>
  <c r="J606" i="19"/>
  <c r="L606" i="19"/>
  <c r="AF649" i="19"/>
  <c r="AI649" i="19"/>
  <c r="V658" i="19"/>
  <c r="J658" i="19"/>
  <c r="L677" i="19"/>
  <c r="AI677" i="19"/>
  <c r="AI733" i="19"/>
  <c r="V733" i="19"/>
  <c r="L799" i="19"/>
  <c r="AI799" i="19"/>
  <c r="AI213" i="19"/>
  <c r="AI221" i="19"/>
  <c r="AI229" i="19"/>
  <c r="AI237" i="19"/>
  <c r="AI245" i="19"/>
  <c r="AI253" i="19"/>
  <c r="AI261" i="19"/>
  <c r="AI269" i="19"/>
  <c r="AI277" i="19"/>
  <c r="AI285" i="19"/>
  <c r="AI293" i="19"/>
  <c r="AI295" i="19"/>
  <c r="AD308" i="19"/>
  <c r="AF314" i="19"/>
  <c r="T322" i="19"/>
  <c r="V353" i="19"/>
  <c r="AJ353" i="19" s="1"/>
  <c r="J353" i="19"/>
  <c r="AF354" i="19"/>
  <c r="AI357" i="19"/>
  <c r="AI359" i="19"/>
  <c r="AI361" i="19"/>
  <c r="AF364" i="19"/>
  <c r="AJ364" i="19" s="1"/>
  <c r="T364" i="19"/>
  <c r="T370" i="19"/>
  <c r="AF379" i="19"/>
  <c r="T379" i="19"/>
  <c r="AD380" i="19"/>
  <c r="V386" i="19"/>
  <c r="J386" i="19"/>
  <c r="J392" i="19"/>
  <c r="AI400" i="19"/>
  <c r="V417" i="19"/>
  <c r="J417" i="19"/>
  <c r="AF418" i="19"/>
  <c r="AI421" i="19"/>
  <c r="AI423" i="19"/>
  <c r="AI425" i="19"/>
  <c r="AF428" i="19"/>
  <c r="T428" i="19"/>
  <c r="T434" i="19"/>
  <c r="AF443" i="19"/>
  <c r="T443" i="19"/>
  <c r="AD444" i="19"/>
  <c r="AF451" i="19"/>
  <c r="T451" i="19"/>
  <c r="AD452" i="19"/>
  <c r="T478" i="19"/>
  <c r="L493" i="19"/>
  <c r="J500" i="19"/>
  <c r="V501" i="19"/>
  <c r="J501" i="19"/>
  <c r="AI507" i="19"/>
  <c r="L511" i="19"/>
  <c r="AD517" i="19"/>
  <c r="V519" i="19"/>
  <c r="J523" i="19"/>
  <c r="AI539" i="19"/>
  <c r="L543" i="19"/>
  <c r="AI548" i="19"/>
  <c r="AF551" i="19"/>
  <c r="T551" i="19"/>
  <c r="L552" i="19"/>
  <c r="V555" i="19"/>
  <c r="L557" i="19"/>
  <c r="L559" i="19"/>
  <c r="J564" i="19"/>
  <c r="V565" i="19"/>
  <c r="J565" i="19"/>
  <c r="AI575" i="19"/>
  <c r="AI583" i="19"/>
  <c r="AF619" i="19"/>
  <c r="T619" i="19"/>
  <c r="AF623" i="19"/>
  <c r="L709" i="19"/>
  <c r="AI709" i="19"/>
  <c r="AI715" i="19"/>
  <c r="L715" i="19"/>
  <c r="V788" i="19"/>
  <c r="J788" i="19"/>
  <c r="L788" i="19"/>
  <c r="AI287" i="19"/>
  <c r="AD300" i="19"/>
  <c r="AF306" i="19"/>
  <c r="T314" i="19"/>
  <c r="V328" i="19"/>
  <c r="AF338" i="19"/>
  <c r="V345" i="19"/>
  <c r="J345" i="19"/>
  <c r="AF346" i="19"/>
  <c r="AI351" i="19"/>
  <c r="AI353" i="19"/>
  <c r="AF356" i="19"/>
  <c r="T356" i="19"/>
  <c r="L361" i="19"/>
  <c r="AJ361" i="19" s="1"/>
  <c r="T362" i="19"/>
  <c r="AF371" i="19"/>
  <c r="T371" i="19"/>
  <c r="AD372" i="19"/>
  <c r="V378" i="19"/>
  <c r="J378" i="19"/>
  <c r="J384" i="19"/>
  <c r="AI392" i="19"/>
  <c r="V409" i="19"/>
  <c r="AJ409" i="19" s="1"/>
  <c r="J409" i="19"/>
  <c r="AF410" i="19"/>
  <c r="AI415" i="19"/>
  <c r="AI417" i="19"/>
  <c r="AF420" i="19"/>
  <c r="T420" i="19"/>
  <c r="AH420" i="19" s="1"/>
  <c r="L425" i="19"/>
  <c r="T426" i="19"/>
  <c r="AF435" i="19"/>
  <c r="T435" i="19"/>
  <c r="AD436" i="19"/>
  <c r="AF444" i="19"/>
  <c r="AD486" i="19"/>
  <c r="AD500" i="19"/>
  <c r="V508" i="19"/>
  <c r="AJ508" i="19" s="1"/>
  <c r="AF516" i="19"/>
  <c r="L517" i="19"/>
  <c r="AF517" i="19"/>
  <c r="L521" i="19"/>
  <c r="AI521" i="19"/>
  <c r="AI523" i="19"/>
  <c r="AD523" i="19"/>
  <c r="T525" i="19"/>
  <c r="V540" i="19"/>
  <c r="V551" i="19"/>
  <c r="L583" i="19"/>
  <c r="L608" i="19"/>
  <c r="AI633" i="19"/>
  <c r="L633" i="19"/>
  <c r="L682" i="19"/>
  <c r="AI682" i="19"/>
  <c r="J683" i="19"/>
  <c r="V729" i="19"/>
  <c r="J729" i="19"/>
  <c r="AF729" i="19"/>
  <c r="AI731" i="19"/>
  <c r="L731" i="19"/>
  <c r="J460" i="19"/>
  <c r="AI464" i="19"/>
  <c r="AI474" i="19"/>
  <c r="AI475" i="19"/>
  <c r="AD488" i="19"/>
  <c r="V492" i="19"/>
  <c r="T494" i="19"/>
  <c r="AI496" i="19"/>
  <c r="AI497" i="19"/>
  <c r="AI500" i="19"/>
  <c r="AF503" i="19"/>
  <c r="T503" i="19"/>
  <c r="AD511" i="19"/>
  <c r="J515" i="19"/>
  <c r="V524" i="19"/>
  <c r="AJ524" i="19" s="1"/>
  <c r="T526" i="19"/>
  <c r="AI528" i="19"/>
  <c r="AI529" i="19"/>
  <c r="AI532" i="19"/>
  <c r="V534" i="19"/>
  <c r="AF535" i="19"/>
  <c r="T535" i="19"/>
  <c r="AD543" i="19"/>
  <c r="J547" i="19"/>
  <c r="T558" i="19"/>
  <c r="AI564" i="19"/>
  <c r="V566" i="19"/>
  <c r="AI573" i="19"/>
  <c r="AI574" i="19"/>
  <c r="AD582" i="19"/>
  <c r="V598" i="19"/>
  <c r="J598" i="19"/>
  <c r="L617" i="19"/>
  <c r="AI617" i="19"/>
  <c r="AI619" i="19"/>
  <c r="L619" i="19"/>
  <c r="V625" i="19"/>
  <c r="J625" i="19"/>
  <c r="AF691" i="19"/>
  <c r="T691" i="19"/>
  <c r="L871" i="19"/>
  <c r="AI871" i="19"/>
  <c r="AI448" i="19"/>
  <c r="AI456" i="19"/>
  <c r="AI465" i="19"/>
  <c r="AI467" i="19"/>
  <c r="AF486" i="19"/>
  <c r="AF493" i="19"/>
  <c r="T501" i="19"/>
  <c r="V509" i="19"/>
  <c r="J509" i="19"/>
  <c r="AI515" i="19"/>
  <c r="AF518" i="19"/>
  <c r="AF525" i="19"/>
  <c r="T533" i="19"/>
  <c r="V541" i="19"/>
  <c r="J541" i="19"/>
  <c r="AI547" i="19"/>
  <c r="AF550" i="19"/>
  <c r="AF557" i="19"/>
  <c r="T565" i="19"/>
  <c r="AJ585" i="19"/>
  <c r="J597" i="19"/>
  <c r="V616" i="19"/>
  <c r="AI616" i="19"/>
  <c r="T648" i="19"/>
  <c r="AD648" i="19"/>
  <c r="L648" i="19"/>
  <c r="T655" i="19"/>
  <c r="V691" i="19"/>
  <c r="L693" i="19"/>
  <c r="AI693" i="19"/>
  <c r="AI459" i="19"/>
  <c r="AD472" i="19"/>
  <c r="AH472" i="19" s="1"/>
  <c r="AF478" i="19"/>
  <c r="T486" i="19"/>
  <c r="AI492" i="19"/>
  <c r="AF495" i="19"/>
  <c r="T495" i="19"/>
  <c r="AH495" i="19" s="1"/>
  <c r="V516" i="19"/>
  <c r="T518" i="19"/>
  <c r="AI524" i="19"/>
  <c r="AF527" i="19"/>
  <c r="T527" i="19"/>
  <c r="AH527" i="19" s="1"/>
  <c r="V548" i="19"/>
  <c r="T550" i="19"/>
  <c r="AI556" i="19"/>
  <c r="AF559" i="19"/>
  <c r="T559" i="19"/>
  <c r="J581" i="19"/>
  <c r="L584" i="19"/>
  <c r="V584" i="19"/>
  <c r="J584" i="19"/>
  <c r="AI590" i="19"/>
  <c r="AF592" i="19"/>
  <c r="T592" i="19"/>
  <c r="V592" i="19"/>
  <c r="L597" i="19"/>
  <c r="AD597" i="19"/>
  <c r="AD623" i="19"/>
  <c r="L650" i="19"/>
  <c r="AI650" i="19"/>
  <c r="AD650" i="19"/>
  <c r="V655" i="19"/>
  <c r="AD658" i="19"/>
  <c r="L755" i="19"/>
  <c r="AI755" i="19"/>
  <c r="V804" i="19"/>
  <c r="AF804" i="19"/>
  <c r="T804" i="19"/>
  <c r="AD804" i="19"/>
  <c r="L804" i="19"/>
  <c r="J804" i="19"/>
  <c r="L805" i="19"/>
  <c r="L814" i="19"/>
  <c r="AI814" i="19"/>
  <c r="AI830" i="19"/>
  <c r="AD619" i="19"/>
  <c r="L625" i="19"/>
  <c r="J640" i="19"/>
  <c r="AD647" i="19"/>
  <c r="J655" i="19"/>
  <c r="L675" i="19"/>
  <c r="L680" i="19"/>
  <c r="L685" i="19"/>
  <c r="AI685" i="19"/>
  <c r="L701" i="19"/>
  <c r="AI701" i="19"/>
  <c r="AI732" i="19"/>
  <c r="L732" i="19"/>
  <c r="V740" i="19"/>
  <c r="L740" i="19"/>
  <c r="J740" i="19"/>
  <c r="L774" i="19"/>
  <c r="AI774" i="19"/>
  <c r="L869" i="19"/>
  <c r="J869" i="19"/>
  <c r="AD917" i="19"/>
  <c r="L917" i="19"/>
  <c r="AI498" i="19"/>
  <c r="AI506" i="19"/>
  <c r="AI514" i="19"/>
  <c r="AI522" i="19"/>
  <c r="AI530" i="19"/>
  <c r="AI538" i="19"/>
  <c r="AI546" i="19"/>
  <c r="AI554" i="19"/>
  <c r="AI562" i="19"/>
  <c r="AF567" i="19"/>
  <c r="AF569" i="19"/>
  <c r="AF575" i="19"/>
  <c r="T577" i="19"/>
  <c r="L581" i="19"/>
  <c r="AI586" i="19"/>
  <c r="L587" i="19"/>
  <c r="J589" i="19"/>
  <c r="V623" i="19"/>
  <c r="AD640" i="19"/>
  <c r="AF643" i="19"/>
  <c r="T643" i="19"/>
  <c r="J648" i="19"/>
  <c r="AF651" i="19"/>
  <c r="T651" i="19"/>
  <c r="AD655" i="19"/>
  <c r="V657" i="19"/>
  <c r="J657" i="19"/>
  <c r="L658" i="19"/>
  <c r="L673" i="19"/>
  <c r="AF680" i="19"/>
  <c r="V690" i="19"/>
  <c r="J690" i="19"/>
  <c r="AD690" i="19"/>
  <c r="L690" i="19"/>
  <c r="L691" i="19"/>
  <c r="AD691" i="19"/>
  <c r="L782" i="19"/>
  <c r="AI782" i="19"/>
  <c r="L862" i="19"/>
  <c r="AI907" i="19"/>
  <c r="L907" i="19"/>
  <c r="T567" i="19"/>
  <c r="J573" i="19"/>
  <c r="AI580" i="19"/>
  <c r="V583" i="19"/>
  <c r="AD587" i="19"/>
  <c r="L589" i="19"/>
  <c r="V590" i="19"/>
  <c r="AJ590" i="19" s="1"/>
  <c r="J590" i="19"/>
  <c r="AF591" i="19"/>
  <c r="T599" i="19"/>
  <c r="AF600" i="19"/>
  <c r="T600" i="19"/>
  <c r="AI604" i="19"/>
  <c r="AD608" i="19"/>
  <c r="L618" i="19"/>
  <c r="AD618" i="19"/>
  <c r="J626" i="19"/>
  <c r="AF640" i="19"/>
  <c r="V651" i="19"/>
  <c r="AF655" i="19"/>
  <c r="V668" i="19"/>
  <c r="V679" i="19"/>
  <c r="L683" i="19"/>
  <c r="AD683" i="19"/>
  <c r="V698" i="19"/>
  <c r="J698" i="19"/>
  <c r="AD698" i="19"/>
  <c r="L698" i="19"/>
  <c r="L699" i="19"/>
  <c r="AD699" i="19"/>
  <c r="T706" i="19"/>
  <c r="AI711" i="19"/>
  <c r="V711" i="19"/>
  <c r="V716" i="19"/>
  <c r="L716" i="19"/>
  <c r="J716" i="19"/>
  <c r="AD778" i="19"/>
  <c r="L778" i="19"/>
  <c r="L861" i="19"/>
  <c r="J861" i="19"/>
  <c r="L573" i="19"/>
  <c r="AJ573" i="19" s="1"/>
  <c r="T575" i="19"/>
  <c r="AI598" i="19"/>
  <c r="V599" i="19"/>
  <c r="AF606" i="19"/>
  <c r="J623" i="19"/>
  <c r="T625" i="19"/>
  <c r="V633" i="19"/>
  <c r="J633" i="19"/>
  <c r="AI641" i="19"/>
  <c r="L653" i="19"/>
  <c r="AI653" i="19"/>
  <c r="V706" i="19"/>
  <c r="J706" i="19"/>
  <c r="AD706" i="19"/>
  <c r="L706" i="19"/>
  <c r="AD707" i="19"/>
  <c r="AJ719" i="19"/>
  <c r="J724" i="19"/>
  <c r="V724" i="19"/>
  <c r="AF779" i="19"/>
  <c r="T779" i="19"/>
  <c r="AI587" i="19"/>
  <c r="AI595" i="19"/>
  <c r="AI603" i="19"/>
  <c r="AI611" i="19"/>
  <c r="AI623" i="19"/>
  <c r="AF626" i="19"/>
  <c r="AF633" i="19"/>
  <c r="V649" i="19"/>
  <c r="J649" i="19"/>
  <c r="AI655" i="19"/>
  <c r="AF658" i="19"/>
  <c r="AF665" i="19"/>
  <c r="V681" i="19"/>
  <c r="J681" i="19"/>
  <c r="AI687" i="19"/>
  <c r="AI695" i="19"/>
  <c r="AI703" i="19"/>
  <c r="AJ704" i="19"/>
  <c r="L720" i="19"/>
  <c r="AI720" i="19"/>
  <c r="AF731" i="19"/>
  <c r="T731" i="19"/>
  <c r="V778" i="19"/>
  <c r="AF793" i="19"/>
  <c r="L853" i="19"/>
  <c r="V853" i="19"/>
  <c r="J853" i="19"/>
  <c r="AI892" i="19"/>
  <c r="V892" i="19"/>
  <c r="L906" i="19"/>
  <c r="J906" i="19"/>
  <c r="V906" i="19"/>
  <c r="AI961" i="19"/>
  <c r="V961" i="19"/>
  <c r="AI614" i="19"/>
  <c r="AI615" i="19"/>
  <c r="V624" i="19"/>
  <c r="T626" i="19"/>
  <c r="AI628" i="19"/>
  <c r="AI629" i="19"/>
  <c r="AI632" i="19"/>
  <c r="AF635" i="19"/>
  <c r="T635" i="19"/>
  <c r="AH635" i="19" s="1"/>
  <c r="AD643" i="19"/>
  <c r="J647" i="19"/>
  <c r="V656" i="19"/>
  <c r="T658" i="19"/>
  <c r="AI660" i="19"/>
  <c r="AI661" i="19"/>
  <c r="AI664" i="19"/>
  <c r="AD675" i="19"/>
  <c r="J679" i="19"/>
  <c r="AD729" i="19"/>
  <c r="V731" i="19"/>
  <c r="V734" i="19"/>
  <c r="AI735" i="19"/>
  <c r="AI747" i="19"/>
  <c r="L747" i="19"/>
  <c r="AD788" i="19"/>
  <c r="T797" i="19"/>
  <c r="AF797" i="19"/>
  <c r="L797" i="19"/>
  <c r="J797" i="19"/>
  <c r="AD859" i="19"/>
  <c r="L859" i="19"/>
  <c r="AI589" i="19"/>
  <c r="AI597" i="19"/>
  <c r="AI605" i="19"/>
  <c r="AJ614" i="19"/>
  <c r="AF618" i="19"/>
  <c r="AF625" i="19"/>
  <c r="T633" i="19"/>
  <c r="V641" i="19"/>
  <c r="J641" i="19"/>
  <c r="AI647" i="19"/>
  <c r="AF650" i="19"/>
  <c r="AF657" i="19"/>
  <c r="T665" i="19"/>
  <c r="V673" i="19"/>
  <c r="J673" i="19"/>
  <c r="AI679" i="19"/>
  <c r="AF682" i="19"/>
  <c r="J688" i="19"/>
  <c r="J696" i="19"/>
  <c r="J704" i="19"/>
  <c r="T705" i="19"/>
  <c r="AI716" i="19"/>
  <c r="AD716" i="19"/>
  <c r="V737" i="19"/>
  <c r="J737" i="19"/>
  <c r="T737" i="19"/>
  <c r="AD762" i="19"/>
  <c r="L762" i="19"/>
  <c r="AF763" i="19"/>
  <c r="T763" i="19"/>
  <c r="V793" i="19"/>
  <c r="J793" i="19"/>
  <c r="AI795" i="19"/>
  <c r="L795" i="19"/>
  <c r="L815" i="19"/>
  <c r="AI815" i="19"/>
  <c r="AD612" i="19"/>
  <c r="AF617" i="19"/>
  <c r="T618" i="19"/>
  <c r="AI624" i="19"/>
  <c r="AF627" i="19"/>
  <c r="AJ627" i="19" s="1"/>
  <c r="T627" i="19"/>
  <c r="AH627" i="19" s="1"/>
  <c r="V648" i="19"/>
  <c r="T650" i="19"/>
  <c r="AI656" i="19"/>
  <c r="AF659" i="19"/>
  <c r="T659" i="19"/>
  <c r="V665" i="19"/>
  <c r="V680" i="19"/>
  <c r="T682" i="19"/>
  <c r="AI688" i="19"/>
  <c r="V689" i="19"/>
  <c r="J689" i="19"/>
  <c r="AF690" i="19"/>
  <c r="AI696" i="19"/>
  <c r="V697" i="19"/>
  <c r="AJ697" i="19" s="1"/>
  <c r="J697" i="19"/>
  <c r="AF698" i="19"/>
  <c r="AI704" i="19"/>
  <c r="V705" i="19"/>
  <c r="J705" i="19"/>
  <c r="AF706" i="19"/>
  <c r="AH712" i="19"/>
  <c r="T715" i="19"/>
  <c r="AF715" i="19"/>
  <c r="AF716" i="19"/>
  <c r="AI718" i="19"/>
  <c r="V718" i="19"/>
  <c r="AJ718" i="19" s="1"/>
  <c r="AF723" i="19"/>
  <c r="T723" i="19"/>
  <c r="AD723" i="19"/>
  <c r="L723" i="19"/>
  <c r="L724" i="19"/>
  <c r="AD724" i="19"/>
  <c r="AI730" i="19"/>
  <c r="AD738" i="19"/>
  <c r="L738" i="19"/>
  <c r="AF747" i="19"/>
  <c r="T747" i="19"/>
  <c r="V749" i="19"/>
  <c r="AI766" i="19"/>
  <c r="V766" i="19"/>
  <c r="V773" i="19"/>
  <c r="AF787" i="19"/>
  <c r="T787" i="19"/>
  <c r="T793" i="19"/>
  <c r="L812" i="19"/>
  <c r="AI622" i="19"/>
  <c r="AI630" i="19"/>
  <c r="AI638" i="19"/>
  <c r="AI646" i="19"/>
  <c r="AI654" i="19"/>
  <c r="AI662" i="19"/>
  <c r="AI670" i="19"/>
  <c r="AI678" i="19"/>
  <c r="AI686" i="19"/>
  <c r="AI694" i="19"/>
  <c r="AI702" i="19"/>
  <c r="AI710" i="19"/>
  <c r="AI719" i="19"/>
  <c r="J723" i="19"/>
  <c r="AF724" i="19"/>
  <c r="AI767" i="19"/>
  <c r="L772" i="19"/>
  <c r="V772" i="19"/>
  <c r="J778" i="19"/>
  <c r="AD787" i="19"/>
  <c r="AF795" i="19"/>
  <c r="T795" i="19"/>
  <c r="AF813" i="19"/>
  <c r="T813" i="19"/>
  <c r="J813" i="19"/>
  <c r="V813" i="19"/>
  <c r="AJ813" i="19" s="1"/>
  <c r="AD851" i="19"/>
  <c r="L851" i="19"/>
  <c r="V859" i="19"/>
  <c r="AD867" i="19"/>
  <c r="L867" i="19"/>
  <c r="AI883" i="19"/>
  <c r="V883" i="19"/>
  <c r="J942" i="19"/>
  <c r="V942" i="19"/>
  <c r="L977" i="19"/>
  <c r="AI977" i="19"/>
  <c r="AI663" i="19"/>
  <c r="AI713" i="19"/>
  <c r="AI714" i="19"/>
  <c r="T716" i="19"/>
  <c r="AI726" i="19"/>
  <c r="AI727" i="19"/>
  <c r="L729" i="19"/>
  <c r="J738" i="19"/>
  <c r="AF755" i="19"/>
  <c r="T755" i="19"/>
  <c r="L756" i="19"/>
  <c r="AI759" i="19"/>
  <c r="J763" i="19"/>
  <c r="AD763" i="19"/>
  <c r="L787" i="19"/>
  <c r="V794" i="19"/>
  <c r="AI822" i="19"/>
  <c r="T851" i="19"/>
  <c r="L881" i="19"/>
  <c r="L714" i="19"/>
  <c r="J721" i="19"/>
  <c r="T722" i="19"/>
  <c r="T724" i="19"/>
  <c r="AI738" i="19"/>
  <c r="V739" i="19"/>
  <c r="AD740" i="19"/>
  <c r="AI757" i="19"/>
  <c r="V761" i="19"/>
  <c r="J761" i="19"/>
  <c r="AF762" i="19"/>
  <c r="AI763" i="19"/>
  <c r="L763" i="19"/>
  <c r="AD770" i="19"/>
  <c r="L770" i="19"/>
  <c r="AD779" i="19"/>
  <c r="AH784" i="19"/>
  <c r="V851" i="19"/>
  <c r="L855" i="19"/>
  <c r="AI855" i="19"/>
  <c r="L880" i="19"/>
  <c r="J880" i="19"/>
  <c r="L721" i="19"/>
  <c r="AF739" i="19"/>
  <c r="T739" i="19"/>
  <c r="AF740" i="19"/>
  <c r="AI743" i="19"/>
  <c r="AI765" i="19"/>
  <c r="V765" i="19"/>
  <c r="J772" i="19"/>
  <c r="L779" i="19"/>
  <c r="L793" i="19"/>
  <c r="AD793" i="19"/>
  <c r="AI818" i="19"/>
  <c r="L863" i="19"/>
  <c r="AI863" i="19"/>
  <c r="AI746" i="19"/>
  <c r="V747" i="19"/>
  <c r="V753" i="19"/>
  <c r="AJ753" i="19" s="1"/>
  <c r="J753" i="19"/>
  <c r="AF754" i="19"/>
  <c r="J755" i="19"/>
  <c r="AH755" i="19" s="1"/>
  <c r="AF756" i="19"/>
  <c r="T762" i="19"/>
  <c r="T764" i="19"/>
  <c r="AI778" i="19"/>
  <c r="V779" i="19"/>
  <c r="AJ784" i="19"/>
  <c r="V785" i="19"/>
  <c r="J785" i="19"/>
  <c r="AF786" i="19"/>
  <c r="J787" i="19"/>
  <c r="AF788" i="19"/>
  <c r="T794" i="19"/>
  <c r="V802" i="19"/>
  <c r="J802" i="19"/>
  <c r="AF805" i="19"/>
  <c r="T805" i="19"/>
  <c r="V805" i="19"/>
  <c r="AD812" i="19"/>
  <c r="AF821" i="19"/>
  <c r="T821" i="19"/>
  <c r="AI831" i="19"/>
  <c r="T837" i="19"/>
  <c r="J843" i="19"/>
  <c r="AI850" i="19"/>
  <c r="V867" i="19"/>
  <c r="L947" i="19"/>
  <c r="T947" i="19"/>
  <c r="L979" i="19"/>
  <c r="AF979" i="19"/>
  <c r="V745" i="19"/>
  <c r="J745" i="19"/>
  <c r="AF746" i="19"/>
  <c r="J747" i="19"/>
  <c r="AF748" i="19"/>
  <c r="T754" i="19"/>
  <c r="T756" i="19"/>
  <c r="AI770" i="19"/>
  <c r="V771" i="19"/>
  <c r="V777" i="19"/>
  <c r="J777" i="19"/>
  <c r="AF778" i="19"/>
  <c r="J779" i="19"/>
  <c r="AF780" i="19"/>
  <c r="T786" i="19"/>
  <c r="T788" i="19"/>
  <c r="AI803" i="19"/>
  <c r="V819" i="19"/>
  <c r="L819" i="19"/>
  <c r="AD827" i="19"/>
  <c r="L827" i="19"/>
  <c r="V837" i="19"/>
  <c r="AI847" i="19"/>
  <c r="T853" i="19"/>
  <c r="J859" i="19"/>
  <c r="AI866" i="19"/>
  <c r="AI877" i="19"/>
  <c r="AI879" i="19"/>
  <c r="AF879" i="19"/>
  <c r="AF941" i="19"/>
  <c r="AI941" i="19"/>
  <c r="J762" i="19"/>
  <c r="AF771" i="19"/>
  <c r="T771" i="19"/>
  <c r="AD772" i="19"/>
  <c r="AI783" i="19"/>
  <c r="J794" i="19"/>
  <c r="AF796" i="19"/>
  <c r="T796" i="19"/>
  <c r="L807" i="19"/>
  <c r="AI807" i="19"/>
  <c r="AD835" i="19"/>
  <c r="L835" i="19"/>
  <c r="AI846" i="19"/>
  <c r="T861" i="19"/>
  <c r="J867" i="19"/>
  <c r="V887" i="19"/>
  <c r="J887" i="19"/>
  <c r="T887" i="19"/>
  <c r="L900" i="19"/>
  <c r="AI900" i="19"/>
  <c r="V910" i="19"/>
  <c r="J910" i="19"/>
  <c r="T910" i="19"/>
  <c r="AF910" i="19"/>
  <c r="AI968" i="19"/>
  <c r="V968" i="19"/>
  <c r="L976" i="19"/>
  <c r="AI976" i="19"/>
  <c r="AI762" i="19"/>
  <c r="V763" i="19"/>
  <c r="V769" i="19"/>
  <c r="J769" i="19"/>
  <c r="AF770" i="19"/>
  <c r="J771" i="19"/>
  <c r="AF772" i="19"/>
  <c r="T778" i="19"/>
  <c r="T780" i="19"/>
  <c r="AI794" i="19"/>
  <c r="V795" i="19"/>
  <c r="T812" i="19"/>
  <c r="V835" i="19"/>
  <c r="J837" i="19"/>
  <c r="AD843" i="19"/>
  <c r="L843" i="19"/>
  <c r="T869" i="19"/>
  <c r="AI874" i="19"/>
  <c r="L876" i="19"/>
  <c r="AD876" i="19"/>
  <c r="AD888" i="19"/>
  <c r="L888" i="19"/>
  <c r="AI891" i="19"/>
  <c r="V891" i="19"/>
  <c r="AD797" i="19"/>
  <c r="AI809" i="19"/>
  <c r="V820" i="19"/>
  <c r="J820" i="19"/>
  <c r="AD821" i="19"/>
  <c r="AI827" i="19"/>
  <c r="AI835" i="19"/>
  <c r="AI843" i="19"/>
  <c r="AI851" i="19"/>
  <c r="AI859" i="19"/>
  <c r="V898" i="19"/>
  <c r="V939" i="19"/>
  <c r="V950" i="19"/>
  <c r="J950" i="19"/>
  <c r="AI728" i="19"/>
  <c r="AI736" i="19"/>
  <c r="AI744" i="19"/>
  <c r="AI752" i="19"/>
  <c r="AI760" i="19"/>
  <c r="AI768" i="19"/>
  <c r="AI776" i="19"/>
  <c r="AI784" i="19"/>
  <c r="AI792" i="19"/>
  <c r="V803" i="19"/>
  <c r="J803" i="19"/>
  <c r="AI817" i="19"/>
  <c r="AF819" i="19"/>
  <c r="V828" i="19"/>
  <c r="J828" i="19"/>
  <c r="AD829" i="19"/>
  <c r="V836" i="19"/>
  <c r="AJ836" i="19" s="1"/>
  <c r="J836" i="19"/>
  <c r="AD837" i="19"/>
  <c r="V844" i="19"/>
  <c r="J844" i="19"/>
  <c r="AH844" i="19" s="1"/>
  <c r="AF844" i="19"/>
  <c r="AD845" i="19"/>
  <c r="V852" i="19"/>
  <c r="J852" i="19"/>
  <c r="AD853" i="19"/>
  <c r="V860" i="19"/>
  <c r="J860" i="19"/>
  <c r="AD861" i="19"/>
  <c r="V868" i="19"/>
  <c r="J868" i="19"/>
  <c r="AH868" i="19" s="1"/>
  <c r="AD869" i="19"/>
  <c r="J876" i="19"/>
  <c r="AD887" i="19"/>
  <c r="AF905" i="19"/>
  <c r="T905" i="19"/>
  <c r="AD905" i="19"/>
  <c r="L905" i="19"/>
  <c r="AD906" i="19"/>
  <c r="L934" i="19"/>
  <c r="AI934" i="19"/>
  <c r="AI721" i="19"/>
  <c r="AI729" i="19"/>
  <c r="AI737" i="19"/>
  <c r="AI745" i="19"/>
  <c r="AI753" i="19"/>
  <c r="AI761" i="19"/>
  <c r="AI769" i="19"/>
  <c r="AI777" i="19"/>
  <c r="AI785" i="19"/>
  <c r="AI793" i="19"/>
  <c r="AF827" i="19"/>
  <c r="AF829" i="19"/>
  <c r="AF835" i="19"/>
  <c r="AF837" i="19"/>
  <c r="AF843" i="19"/>
  <c r="AF845" i="19"/>
  <c r="AF851" i="19"/>
  <c r="AF853" i="19"/>
  <c r="AF859" i="19"/>
  <c r="AF861" i="19"/>
  <c r="AF867" i="19"/>
  <c r="AF869" i="19"/>
  <c r="L874" i="19"/>
  <c r="V874" i="19"/>
  <c r="J874" i="19"/>
  <c r="AH874" i="19" s="1"/>
  <c r="V877" i="19"/>
  <c r="AD880" i="19"/>
  <c r="T881" i="19"/>
  <c r="AF881" i="19"/>
  <c r="L882" i="19"/>
  <c r="L887" i="19"/>
  <c r="AF887" i="19"/>
  <c r="AF888" i="19"/>
  <c r="V896" i="19"/>
  <c r="L909" i="19"/>
  <c r="AD910" i="19"/>
  <c r="AI935" i="19"/>
  <c r="L935" i="19"/>
  <c r="L957" i="19"/>
  <c r="AI980" i="19"/>
  <c r="AF982" i="19"/>
  <c r="T982" i="19"/>
  <c r="J982" i="19"/>
  <c r="L983" i="19"/>
  <c r="L985" i="19"/>
  <c r="AI985" i="19"/>
  <c r="AI997" i="19"/>
  <c r="L997" i="19"/>
  <c r="AI801" i="19"/>
  <c r="AI810" i="19"/>
  <c r="AF812" i="19"/>
  <c r="J818" i="19"/>
  <c r="T819" i="19"/>
  <c r="V884" i="19"/>
  <c r="AI885" i="19"/>
  <c r="L898" i="19"/>
  <c r="AD908" i="19"/>
  <c r="L908" i="19"/>
  <c r="J908" i="19"/>
  <c r="L910" i="19"/>
  <c r="L932" i="19"/>
  <c r="AI932" i="19"/>
  <c r="AI808" i="19"/>
  <c r="AI816" i="19"/>
  <c r="AI824" i="19"/>
  <c r="AI832" i="19"/>
  <c r="AI840" i="19"/>
  <c r="AI848" i="19"/>
  <c r="AI856" i="19"/>
  <c r="AI864" i="19"/>
  <c r="AI872" i="19"/>
  <c r="AI878" i="19"/>
  <c r="AI880" i="19"/>
  <c r="T882" i="19"/>
  <c r="AH882" i="19" s="1"/>
  <c r="AI896" i="19"/>
  <c r="V903" i="19"/>
  <c r="J903" i="19"/>
  <c r="AH903" i="19" s="1"/>
  <c r="AF904" i="19"/>
  <c r="J905" i="19"/>
  <c r="AF906" i="19"/>
  <c r="AI911" i="19"/>
  <c r="L945" i="19"/>
  <c r="AI945" i="19"/>
  <c r="AD950" i="19"/>
  <c r="AI967" i="19"/>
  <c r="AF975" i="19"/>
  <c r="T975" i="19"/>
  <c r="V979" i="19"/>
  <c r="L982" i="19"/>
  <c r="AI825" i="19"/>
  <c r="AI833" i="19"/>
  <c r="AI841" i="19"/>
  <c r="AI849" i="19"/>
  <c r="AI857" i="19"/>
  <c r="AI865" i="19"/>
  <c r="AI873" i="19"/>
  <c r="J888" i="19"/>
  <c r="AF897" i="19"/>
  <c r="T897" i="19"/>
  <c r="AD898" i="19"/>
  <c r="V947" i="19"/>
  <c r="L969" i="19"/>
  <c r="AI969" i="19"/>
  <c r="V975" i="19"/>
  <c r="L998" i="19"/>
  <c r="AI888" i="19"/>
  <c r="V889" i="19"/>
  <c r="V895" i="19"/>
  <c r="J895" i="19"/>
  <c r="AF896" i="19"/>
  <c r="AF898" i="19"/>
  <c r="T904" i="19"/>
  <c r="T906" i="19"/>
  <c r="J917" i="19"/>
  <c r="AI922" i="19"/>
  <c r="AF967" i="19"/>
  <c r="T967" i="19"/>
  <c r="L974" i="19"/>
  <c r="AI974" i="19"/>
  <c r="V997" i="19"/>
  <c r="J997" i="19"/>
  <c r="AF880" i="19"/>
  <c r="V881" i="19"/>
  <c r="AF889" i="19"/>
  <c r="T889" i="19"/>
  <c r="AI901" i="19"/>
  <c r="AF908" i="19"/>
  <c r="AF939" i="19"/>
  <c r="AF964" i="19"/>
  <c r="L964" i="19"/>
  <c r="V989" i="19"/>
  <c r="J989" i="19"/>
  <c r="AH993" i="19"/>
  <c r="AI913" i="19"/>
  <c r="AI914" i="19"/>
  <c r="V916" i="19"/>
  <c r="J916" i="19"/>
  <c r="AF917" i="19"/>
  <c r="AI927" i="19"/>
  <c r="AI930" i="19"/>
  <c r="AI936" i="19"/>
  <c r="AI937" i="19"/>
  <c r="L942" i="19"/>
  <c r="AD942" i="19"/>
  <c r="V957" i="19"/>
  <c r="J957" i="19"/>
  <c r="AD964" i="19"/>
  <c r="L987" i="19"/>
  <c r="AF987" i="19"/>
  <c r="AD989" i="19"/>
  <c r="AI995" i="19"/>
  <c r="AI886" i="19"/>
  <c r="AI894" i="19"/>
  <c r="AI902" i="19"/>
  <c r="AI916" i="19"/>
  <c r="AD939" i="19"/>
  <c r="J947" i="19"/>
  <c r="L967" i="19"/>
  <c r="L971" i="19"/>
  <c r="AD971" i="19"/>
  <c r="AF983" i="19"/>
  <c r="T983" i="19"/>
  <c r="V983" i="19"/>
  <c r="L989" i="19"/>
  <c r="AF990" i="19"/>
  <c r="T990" i="19"/>
  <c r="V990" i="19"/>
  <c r="AF998" i="19"/>
  <c r="T998" i="19"/>
  <c r="J998" i="19"/>
  <c r="V998" i="19"/>
  <c r="AI887" i="19"/>
  <c r="AI895" i="19"/>
  <c r="AI903" i="19"/>
  <c r="AI910" i="19"/>
  <c r="T917" i="19"/>
  <c r="J940" i="19"/>
  <c r="AF943" i="19"/>
  <c r="T943" i="19"/>
  <c r="AD947" i="19"/>
  <c r="V949" i="19"/>
  <c r="J949" i="19"/>
  <c r="L950" i="19"/>
  <c r="V960" i="19"/>
  <c r="AI965" i="19"/>
  <c r="V971" i="19"/>
  <c r="L975" i="19"/>
  <c r="AD975" i="19"/>
  <c r="AD979" i="19"/>
  <c r="V981" i="19"/>
  <c r="J981" i="19"/>
  <c r="AD982" i="19"/>
  <c r="L995" i="19"/>
  <c r="T995" i="19"/>
  <c r="AF995" i="19"/>
  <c r="V917" i="19"/>
  <c r="AF918" i="19"/>
  <c r="T918" i="19"/>
  <c r="AD919" i="19"/>
  <c r="AH919" i="19" s="1"/>
  <c r="T935" i="19"/>
  <c r="AF935" i="19"/>
  <c r="V943" i="19"/>
  <c r="AF947" i="19"/>
  <c r="L965" i="19"/>
  <c r="AI973" i="19"/>
  <c r="J990" i="19"/>
  <c r="AD997" i="19"/>
  <c r="AI929" i="19"/>
  <c r="AI931" i="19"/>
  <c r="AD935" i="19"/>
  <c r="V941" i="19"/>
  <c r="J941" i="19"/>
  <c r="AI947" i="19"/>
  <c r="AF950" i="19"/>
  <c r="AF957" i="19"/>
  <c r="V973" i="19"/>
  <c r="J973" i="19"/>
  <c r="J979" i="19"/>
  <c r="AI987" i="19"/>
  <c r="AI923" i="19"/>
  <c r="J939" i="19"/>
  <c r="V948" i="19"/>
  <c r="T950" i="19"/>
  <c r="AI952" i="19"/>
  <c r="AI953" i="19"/>
  <c r="AI956" i="19"/>
  <c r="V958" i="19"/>
  <c r="AF959" i="19"/>
  <c r="T959" i="19"/>
  <c r="AD967" i="19"/>
  <c r="J971" i="19"/>
  <c r="AI979" i="19"/>
  <c r="V996" i="19"/>
  <c r="J996" i="19"/>
  <c r="AF997" i="19"/>
  <c r="AI1000" i="19"/>
  <c r="AI1001" i="19"/>
  <c r="AI915" i="19"/>
  <c r="AF934" i="19"/>
  <c r="AI939" i="19"/>
  <c r="AF942" i="19"/>
  <c r="AF949" i="19"/>
  <c r="T955" i="19"/>
  <c r="AH955" i="19" s="1"/>
  <c r="L956" i="19"/>
  <c r="T957" i="19"/>
  <c r="V965" i="19"/>
  <c r="J965" i="19"/>
  <c r="AI971" i="19"/>
  <c r="AF974" i="19"/>
  <c r="AF989" i="19"/>
  <c r="AI993" i="19"/>
  <c r="AI994" i="19"/>
  <c r="AI996" i="19"/>
  <c r="AF999" i="19"/>
  <c r="T999" i="19"/>
  <c r="AF926" i="19"/>
  <c r="T934" i="19"/>
  <c r="V940" i="19"/>
  <c r="T942" i="19"/>
  <c r="AI948" i="19"/>
  <c r="AF951" i="19"/>
  <c r="T951" i="19"/>
  <c r="V972" i="19"/>
  <c r="L973" i="19"/>
  <c r="AD973" i="19"/>
  <c r="T974" i="19"/>
  <c r="AF981" i="19"/>
  <c r="AI986" i="19"/>
  <c r="AI988" i="19"/>
  <c r="AF991" i="19"/>
  <c r="T991" i="19"/>
  <c r="T997" i="19"/>
  <c r="AI938" i="19"/>
  <c r="AI946" i="19"/>
  <c r="AI954" i="19"/>
  <c r="AI962" i="19"/>
  <c r="AI970" i="19"/>
  <c r="AI978" i="19"/>
  <c r="F8" i="18"/>
  <c r="F10" i="18"/>
  <c r="F7" i="18"/>
  <c r="F6" i="18"/>
  <c r="F5" i="18"/>
  <c r="F9" i="18"/>
  <c r="F2" i="18"/>
  <c r="R2" i="18" s="1"/>
  <c r="F4" i="18"/>
  <c r="F11" i="18"/>
  <c r="F3" i="18"/>
  <c r="G7" i="18"/>
  <c r="K3" i="18"/>
  <c r="K6" i="18"/>
  <c r="K11" i="18"/>
  <c r="C3" i="18"/>
  <c r="K10" i="18"/>
  <c r="K2" i="18"/>
  <c r="G3" i="18"/>
  <c r="C7" i="18"/>
  <c r="K7" i="18"/>
  <c r="C11" i="18"/>
  <c r="G11" i="18"/>
  <c r="C4" i="18"/>
  <c r="G8" i="18"/>
  <c r="K8" i="18"/>
  <c r="C9" i="18"/>
  <c r="G9" i="18"/>
  <c r="G4" i="18"/>
  <c r="K4" i="18"/>
  <c r="C5" i="18"/>
  <c r="K5" i="18"/>
  <c r="C6" i="18"/>
  <c r="K9" i="18"/>
  <c r="C10" i="18"/>
  <c r="C8" i="18"/>
  <c r="G5" i="18"/>
  <c r="G2" i="18"/>
  <c r="G6" i="18"/>
  <c r="G10" i="18"/>
  <c r="K7" i="15"/>
  <c r="K6" i="15"/>
  <c r="N6" i="15" s="1"/>
  <c r="K5" i="15"/>
  <c r="K4" i="15"/>
  <c r="K11" i="15"/>
  <c r="N11" i="15" s="1"/>
  <c r="K3" i="15"/>
  <c r="N3" i="15" s="1"/>
  <c r="K10" i="15"/>
  <c r="K2" i="15"/>
  <c r="L7" i="15"/>
  <c r="L9" i="15"/>
  <c r="N9" i="15" s="1"/>
  <c r="L8" i="15"/>
  <c r="N8" i="15" s="1"/>
  <c r="L6" i="15"/>
  <c r="L5" i="15"/>
  <c r="M7" i="15"/>
  <c r="L4" i="15"/>
  <c r="L11" i="15"/>
  <c r="L3" i="15"/>
  <c r="L10" i="15"/>
  <c r="L2" i="15"/>
  <c r="M9" i="15"/>
  <c r="M8" i="15"/>
  <c r="M6" i="15"/>
  <c r="M5" i="15"/>
  <c r="M4" i="15"/>
  <c r="M11" i="15"/>
  <c r="M3" i="15"/>
  <c r="M10" i="15"/>
  <c r="M2" i="15"/>
  <c r="P9" i="15"/>
  <c r="O8" i="15"/>
  <c r="O7" i="15"/>
  <c r="P6" i="15"/>
  <c r="O5" i="15"/>
  <c r="O4" i="15"/>
  <c r="O11" i="15"/>
  <c r="O3" i="15"/>
  <c r="O10" i="15"/>
  <c r="O2" i="15"/>
  <c r="AG596" i="17"/>
  <c r="R167" i="17"/>
  <c r="T167" i="17" s="1"/>
  <c r="R335" i="17"/>
  <c r="T335" i="17" s="1"/>
  <c r="R962" i="17"/>
  <c r="T962" i="17" s="1"/>
  <c r="AH928" i="17"/>
  <c r="R413" i="17"/>
  <c r="T413" i="17" s="1"/>
  <c r="R230" i="17"/>
  <c r="T230" i="17" s="1"/>
  <c r="R71" i="17"/>
  <c r="T71" i="17" s="1"/>
  <c r="I255" i="17"/>
  <c r="K255" i="17" s="1"/>
  <c r="R354" i="17"/>
  <c r="T354" i="17" s="1"/>
  <c r="R364" i="17"/>
  <c r="T364" i="17" s="1"/>
  <c r="R448" i="17"/>
  <c r="T448" i="17" s="1"/>
  <c r="AG740" i="17"/>
  <c r="AG620" i="17"/>
  <c r="AG588" i="17"/>
  <c r="AG548" i="17"/>
  <c r="AG516" i="17"/>
  <c r="AG500" i="17"/>
  <c r="AG492" i="17"/>
  <c r="AG468" i="17"/>
  <c r="AG460" i="17"/>
  <c r="AG444" i="17"/>
  <c r="AG428" i="17"/>
  <c r="AG412" i="17"/>
  <c r="AG396" i="17"/>
  <c r="AG380" i="17"/>
  <c r="AG332" i="17"/>
  <c r="AG316" i="17"/>
  <c r="AG292" i="17"/>
  <c r="AG276" i="17"/>
  <c r="AG268" i="17"/>
  <c r="AG244" i="17"/>
  <c r="AG228" i="17"/>
  <c r="AG220" i="17"/>
  <c r="AG212" i="17"/>
  <c r="AG172" i="17"/>
  <c r="AG84" i="17"/>
  <c r="AG52" i="17"/>
  <c r="AG36" i="17"/>
  <c r="AG12" i="17"/>
  <c r="AG267" i="17"/>
  <c r="AG147" i="17"/>
  <c r="AG59" i="17"/>
  <c r="R15" i="17"/>
  <c r="T15" i="17" s="1"/>
  <c r="R300" i="17"/>
  <c r="T300" i="17" s="1"/>
  <c r="AG916" i="17"/>
  <c r="AG564" i="17"/>
  <c r="AG524" i="17"/>
  <c r="AG452" i="17"/>
  <c r="AG372" i="17"/>
  <c r="AG284" i="17"/>
  <c r="AG196" i="17"/>
  <c r="AG164" i="17"/>
  <c r="AG124" i="17"/>
  <c r="AG92" i="17"/>
  <c r="AG891" i="17"/>
  <c r="AG843" i="17"/>
  <c r="AG731" i="17"/>
  <c r="AG507" i="17"/>
  <c r="AG339" i="17"/>
  <c r="AG331" i="17"/>
  <c r="AG315" i="17"/>
  <c r="AG219" i="17"/>
  <c r="AG43" i="17"/>
  <c r="R79" i="17"/>
  <c r="T79" i="17" s="1"/>
  <c r="R295" i="17"/>
  <c r="T295" i="17" s="1"/>
  <c r="R615" i="17"/>
  <c r="T615" i="17" s="1"/>
  <c r="I118" i="17"/>
  <c r="K118" i="17" s="1"/>
  <c r="AG692" i="17"/>
  <c r="AG556" i="17"/>
  <c r="AG404" i="17"/>
  <c r="AG236" i="17"/>
  <c r="AG180" i="17"/>
  <c r="AG148" i="17"/>
  <c r="AG108" i="17"/>
  <c r="AG68" i="17"/>
  <c r="AG28" i="17"/>
  <c r="R67" i="17"/>
  <c r="T67" i="17" s="1"/>
  <c r="R476" i="17"/>
  <c r="T476" i="17" s="1"/>
  <c r="AG604" i="17"/>
  <c r="AG540" i="17"/>
  <c r="AG476" i="17"/>
  <c r="AG436" i="17"/>
  <c r="AG364" i="17"/>
  <c r="AG300" i="17"/>
  <c r="AG188" i="17"/>
  <c r="AG156" i="17"/>
  <c r="AG132" i="17"/>
  <c r="AG100" i="17"/>
  <c r="AG44" i="17"/>
  <c r="AG4" i="17"/>
  <c r="R642" i="17"/>
  <c r="T642" i="17" s="1"/>
  <c r="R320" i="17"/>
  <c r="T320" i="17" s="1"/>
  <c r="R240" i="17"/>
  <c r="T240" i="17" s="1"/>
  <c r="R452" i="17"/>
  <c r="T452" i="17" s="1"/>
  <c r="R775" i="17"/>
  <c r="T775" i="17" s="1"/>
  <c r="AH471" i="17"/>
  <c r="R551" i="17"/>
  <c r="T551" i="17" s="1"/>
  <c r="AG340" i="17"/>
  <c r="AG308" i="17"/>
  <c r="AG260" i="17"/>
  <c r="AG140" i="17"/>
  <c r="AG76" i="17"/>
  <c r="R252" i="17"/>
  <c r="T252" i="17" s="1"/>
  <c r="R313" i="17"/>
  <c r="T313" i="17" s="1"/>
  <c r="R404" i="17"/>
  <c r="T404" i="17" s="1"/>
  <c r="R646" i="17"/>
  <c r="T646" i="17" s="1"/>
  <c r="I700" i="17"/>
  <c r="AH16" i="17"/>
  <c r="R363" i="17"/>
  <c r="T363" i="17" s="1"/>
  <c r="R889" i="17"/>
  <c r="T889" i="17" s="1"/>
  <c r="R388" i="17"/>
  <c r="T388" i="17" s="1"/>
  <c r="R420" i="17"/>
  <c r="T420" i="17" s="1"/>
  <c r="R495" i="17"/>
  <c r="T495" i="17" s="1"/>
  <c r="R681" i="17"/>
  <c r="T681" i="17" s="1"/>
  <c r="I729" i="17"/>
  <c r="K729" i="17" s="1"/>
  <c r="AG805" i="17"/>
  <c r="AG381" i="17"/>
  <c r="AG285" i="17"/>
  <c r="AG261" i="17"/>
  <c r="AG173" i="17"/>
  <c r="AG133" i="17"/>
  <c r="R206" i="17"/>
  <c r="T206" i="17" s="1"/>
  <c r="R726" i="17"/>
  <c r="T726" i="17" s="1"/>
  <c r="AG940" i="17"/>
  <c r="AG437" i="17"/>
  <c r="R429" i="17"/>
  <c r="T429" i="17" s="1"/>
  <c r="AG990" i="17"/>
  <c r="AH22" i="17"/>
  <c r="AG157" i="17"/>
  <c r="AG972" i="17"/>
  <c r="AG964" i="17"/>
  <c r="AG956" i="17"/>
  <c r="AG948" i="17"/>
  <c r="AG932" i="17"/>
  <c r="AG924" i="17"/>
  <c r="AG908" i="17"/>
  <c r="AG884" i="17"/>
  <c r="AG876" i="17"/>
  <c r="AG868" i="17"/>
  <c r="AG860" i="17"/>
  <c r="AG852" i="17"/>
  <c r="AG836" i="17"/>
  <c r="AG828" i="17"/>
  <c r="AG812" i="17"/>
  <c r="AG804" i="17"/>
  <c r="AG764" i="17"/>
  <c r="AG732" i="17"/>
  <c r="AG716" i="17"/>
  <c r="AG700" i="17"/>
  <c r="AG684" i="17"/>
  <c r="AG676" i="17"/>
  <c r="AG668" i="17"/>
  <c r="AG660" i="17"/>
  <c r="AG652" i="17"/>
  <c r="AG636" i="17"/>
  <c r="AG628" i="17"/>
  <c r="AG532" i="17"/>
  <c r="AG484" i="17"/>
  <c r="AG356" i="17"/>
  <c r="R710" i="17"/>
  <c r="T710" i="17" s="1"/>
  <c r="R754" i="17"/>
  <c r="T754" i="17" s="1"/>
  <c r="AG820" i="17"/>
  <c r="R930" i="17"/>
  <c r="T930" i="17" s="1"/>
  <c r="AG995" i="17"/>
  <c r="AG987" i="17"/>
  <c r="AG979" i="17"/>
  <c r="AG971" i="17"/>
  <c r="AG963" i="17"/>
  <c r="AG955" i="17"/>
  <c r="AG947" i="17"/>
  <c r="AG939" i="17"/>
  <c r="AG931" i="17"/>
  <c r="AG923" i="17"/>
  <c r="AG915" i="17"/>
  <c r="AG907" i="17"/>
  <c r="AG899" i="17"/>
  <c r="AG883" i="17"/>
  <c r="AG875" i="17"/>
  <c r="AG867" i="17"/>
  <c r="AG859" i="17"/>
  <c r="AG851" i="17"/>
  <c r="AG835" i="17"/>
  <c r="AG827" i="17"/>
  <c r="AG819" i="17"/>
  <c r="AG811" i="17"/>
  <c r="AG803" i="17"/>
  <c r="AG795" i="17"/>
  <c r="AG787" i="17"/>
  <c r="AG779" i="17"/>
  <c r="AG771" i="17"/>
  <c r="AG763" i="17"/>
  <c r="AG755" i="17"/>
  <c r="AG747" i="17"/>
  <c r="AG739" i="17"/>
  <c r="AG723" i="17"/>
  <c r="AG715" i="17"/>
  <c r="AG707" i="17"/>
  <c r="AG699" i="17"/>
  <c r="AG691" i="17"/>
  <c r="AG683" i="17"/>
  <c r="AG675" i="17"/>
  <c r="AG667" i="17"/>
  <c r="AG659" i="17"/>
  <c r="AG651" i="17"/>
  <c r="AG643" i="17"/>
  <c r="AG635" i="17"/>
  <c r="AG627" i="17"/>
  <c r="AG619" i="17"/>
  <c r="AG611" i="17"/>
  <c r="AG603" i="17"/>
  <c r="AG595" i="17"/>
  <c r="AG587" i="17"/>
  <c r="AG579" i="17"/>
  <c r="AG571" i="17"/>
  <c r="AG563" i="17"/>
  <c r="AG555" i="17"/>
  <c r="AG547" i="17"/>
  <c r="AG539" i="17"/>
  <c r="AG531" i="17"/>
  <c r="AG523" i="17"/>
  <c r="AG515" i="17"/>
  <c r="AG499" i="17"/>
  <c r="AG491" i="17"/>
  <c r="AG483" i="17"/>
  <c r="AG475" i="17"/>
  <c r="AG467" i="17"/>
  <c r="AG459" i="17"/>
  <c r="AG451" i="17"/>
  <c r="AG443" i="17"/>
  <c r="AG435" i="17"/>
  <c r="AG427" i="17"/>
  <c r="AG419" i="17"/>
  <c r="AG411" i="17"/>
  <c r="AG403" i="17"/>
  <c r="AG395" i="17"/>
  <c r="AG387" i="17"/>
  <c r="AG379" i="17"/>
  <c r="AG371" i="17"/>
  <c r="AG363" i="17"/>
  <c r="AG355" i="17"/>
  <c r="AG347" i="17"/>
  <c r="AG323" i="17"/>
  <c r="AG307" i="17"/>
  <c r="AG299" i="17"/>
  <c r="AG291" i="17"/>
  <c r="AG283" i="17"/>
  <c r="AG275" i="17"/>
  <c r="AG259" i="17"/>
  <c r="AG251" i="17"/>
  <c r="AG243" i="17"/>
  <c r="AG235" i="17"/>
  <c r="AG227" i="17"/>
  <c r="AG211" i="17"/>
  <c r="AG203" i="17"/>
  <c r="AG195" i="17"/>
  <c r="AG187" i="17"/>
  <c r="AG179" i="17"/>
  <c r="AG171" i="17"/>
  <c r="AG163" i="17"/>
  <c r="AG155" i="17"/>
  <c r="AG139" i="17"/>
  <c r="AG131" i="17"/>
  <c r="AG123" i="17"/>
  <c r="AG115" i="17"/>
  <c r="AG107" i="17"/>
  <c r="AG99" i="17"/>
  <c r="AG91" i="17"/>
  <c r="AG83" i="17"/>
  <c r="AG75" i="17"/>
  <c r="AG67" i="17"/>
  <c r="AG51" i="17"/>
  <c r="AG35" i="17"/>
  <c r="AG27" i="17"/>
  <c r="AG19" i="17"/>
  <c r="AG11" i="17"/>
  <c r="AG3" i="17"/>
  <c r="R995" i="17"/>
  <c r="T995" i="17" s="1"/>
  <c r="R971" i="17"/>
  <c r="T971" i="17" s="1"/>
  <c r="R939" i="17"/>
  <c r="T939" i="17" s="1"/>
  <c r="R907" i="17"/>
  <c r="T907" i="17" s="1"/>
  <c r="R859" i="17"/>
  <c r="T859" i="17" s="1"/>
  <c r="R851" i="17"/>
  <c r="T851" i="17" s="1"/>
  <c r="R827" i="17"/>
  <c r="T827" i="17" s="1"/>
  <c r="R795" i="17"/>
  <c r="T795" i="17" s="1"/>
  <c r="R771" i="17"/>
  <c r="T771" i="17" s="1"/>
  <c r="R755" i="17"/>
  <c r="T755" i="17" s="1"/>
  <c r="R739" i="17"/>
  <c r="T739" i="17" s="1"/>
  <c r="R699" i="17"/>
  <c r="T699" i="17" s="1"/>
  <c r="R659" i="17"/>
  <c r="T659" i="17" s="1"/>
  <c r="R555" i="17"/>
  <c r="T555" i="17" s="1"/>
  <c r="R523" i="17"/>
  <c r="T523" i="17" s="1"/>
  <c r="R491" i="17"/>
  <c r="T491" i="17" s="1"/>
  <c r="R459" i="17"/>
  <c r="T459" i="17" s="1"/>
  <c r="R435" i="17"/>
  <c r="T435" i="17" s="1"/>
  <c r="R387" i="17"/>
  <c r="T387" i="17" s="1"/>
  <c r="R339" i="17"/>
  <c r="T339" i="17" s="1"/>
  <c r="R275" i="17"/>
  <c r="T275" i="17" s="1"/>
  <c r="R227" i="17"/>
  <c r="T227" i="17" s="1"/>
  <c r="R179" i="17"/>
  <c r="T179" i="17" s="1"/>
  <c r="R155" i="17"/>
  <c r="T155" i="17" s="1"/>
  <c r="R139" i="17"/>
  <c r="T139" i="17" s="1"/>
  <c r="R131" i="17"/>
  <c r="T131" i="17" s="1"/>
  <c r="I155" i="17"/>
  <c r="K155" i="17" s="1"/>
  <c r="I107" i="17"/>
  <c r="K107" i="17" s="1"/>
  <c r="I486" i="17"/>
  <c r="K486" i="17" s="1"/>
  <c r="R124" i="17"/>
  <c r="T124" i="17" s="1"/>
  <c r="R226" i="17"/>
  <c r="T226" i="17" s="1"/>
  <c r="R434" i="17"/>
  <c r="T434" i="17" s="1"/>
  <c r="R908" i="17"/>
  <c r="T908" i="17" s="1"/>
  <c r="AG306" i="17"/>
  <c r="AG282" i="17"/>
  <c r="AG242" i="17"/>
  <c r="AG114" i="17"/>
  <c r="AG98" i="17"/>
  <c r="AG954" i="17"/>
  <c r="AG341" i="17"/>
  <c r="AG317" i="17"/>
  <c r="AG181" i="17"/>
  <c r="R293" i="17"/>
  <c r="T293" i="17" s="1"/>
  <c r="R280" i="17"/>
  <c r="T280" i="17" s="1"/>
  <c r="R480" i="17"/>
  <c r="T480" i="17" s="1"/>
  <c r="R535" i="17"/>
  <c r="T535" i="17" s="1"/>
  <c r="AG580" i="17"/>
  <c r="AG612" i="17"/>
  <c r="AG644" i="17"/>
  <c r="R794" i="17"/>
  <c r="T794" i="17" s="1"/>
  <c r="AG900" i="17"/>
  <c r="AG93" i="17"/>
  <c r="AG13" i="17"/>
  <c r="R695" i="17"/>
  <c r="T695" i="17" s="1"/>
  <c r="AG708" i="17"/>
  <c r="R906" i="17"/>
  <c r="T906" i="17" s="1"/>
  <c r="R199" i="17"/>
  <c r="T199" i="17" s="1"/>
  <c r="AG10" i="17"/>
  <c r="AG26" i="17"/>
  <c r="AG130" i="17"/>
  <c r="AG162" i="17"/>
  <c r="AG186" i="17"/>
  <c r="I205" i="17"/>
  <c r="K205" i="17" s="1"/>
  <c r="R327" i="17"/>
  <c r="T327" i="17" s="1"/>
  <c r="AG418" i="17"/>
  <c r="AG434" i="17"/>
  <c r="AG546" i="17"/>
  <c r="AG610" i="17"/>
  <c r="AG642" i="17"/>
  <c r="AG658" i="17"/>
  <c r="AG674" i="17"/>
  <c r="AG738" i="17"/>
  <c r="AG794" i="17"/>
  <c r="AG834" i="17"/>
  <c r="AG850" i="17"/>
  <c r="AG930" i="17"/>
  <c r="AG986" i="17"/>
  <c r="R884" i="17"/>
  <c r="T884" i="17" s="1"/>
  <c r="R804" i="17"/>
  <c r="T804" i="17" s="1"/>
  <c r="R764" i="17"/>
  <c r="T764" i="17" s="1"/>
  <c r="R732" i="17"/>
  <c r="T732" i="17" s="1"/>
  <c r="R676" i="17"/>
  <c r="T676" i="17" s="1"/>
  <c r="R580" i="17"/>
  <c r="T580" i="17" s="1"/>
  <c r="AG530" i="17"/>
  <c r="AG626" i="17"/>
  <c r="AG818" i="17"/>
  <c r="R259" i="17"/>
  <c r="T259" i="17" s="1"/>
  <c r="AG824" i="17"/>
  <c r="AG752" i="17"/>
  <c r="AG82" i="17"/>
  <c r="I110" i="17"/>
  <c r="K110" i="17" s="1"/>
  <c r="R123" i="17"/>
  <c r="T123" i="17" s="1"/>
  <c r="AG178" i="17"/>
  <c r="AG258" i="17"/>
  <c r="AG346" i="17"/>
  <c r="AG394" i="17"/>
  <c r="AG410" i="17"/>
  <c r="AG466" i="17"/>
  <c r="R499" i="17"/>
  <c r="T499" i="17" s="1"/>
  <c r="AG514" i="17"/>
  <c r="I664" i="17"/>
  <c r="K664" i="17" s="1"/>
  <c r="R803" i="17"/>
  <c r="T803" i="17" s="1"/>
  <c r="AG858" i="17"/>
  <c r="AG914" i="17"/>
  <c r="R221" i="17"/>
  <c r="T221" i="17" s="1"/>
  <c r="AG874" i="17"/>
  <c r="AG994" i="17"/>
  <c r="R451" i="17"/>
  <c r="T451" i="17" s="1"/>
  <c r="R19" i="17"/>
  <c r="T19" i="17" s="1"/>
  <c r="AG34" i="17"/>
  <c r="AG50" i="17"/>
  <c r="AG66" i="17"/>
  <c r="R91" i="17"/>
  <c r="T91" i="17" s="1"/>
  <c r="AG154" i="17"/>
  <c r="AG194" i="17"/>
  <c r="AG210" i="17"/>
  <c r="AG322" i="17"/>
  <c r="AG362" i="17"/>
  <c r="R370" i="17"/>
  <c r="T370" i="17" s="1"/>
  <c r="R414" i="17"/>
  <c r="T414" i="17" s="1"/>
  <c r="AG450" i="17"/>
  <c r="AG482" i="17"/>
  <c r="R562" i="17"/>
  <c r="T562" i="17" s="1"/>
  <c r="R638" i="17"/>
  <c r="T638" i="17" s="1"/>
  <c r="AG682" i="17"/>
  <c r="R711" i="17"/>
  <c r="T711" i="17" s="1"/>
  <c r="AG778" i="17"/>
  <c r="R818" i="17"/>
  <c r="T818" i="17" s="1"/>
  <c r="R823" i="17"/>
  <c r="T823" i="17" s="1"/>
  <c r="R840" i="17"/>
  <c r="T840" i="17" s="1"/>
  <c r="R862" i="17"/>
  <c r="T862" i="17" s="1"/>
  <c r="AG898" i="17"/>
  <c r="R946" i="17"/>
  <c r="T946" i="17" s="1"/>
  <c r="AG970" i="17"/>
  <c r="R961" i="17"/>
  <c r="T961" i="17" s="1"/>
  <c r="R481" i="17"/>
  <c r="T481" i="17" s="1"/>
  <c r="R393" i="17"/>
  <c r="T393" i="17" s="1"/>
  <c r="R281" i="17"/>
  <c r="T281" i="17" s="1"/>
  <c r="R265" i="17"/>
  <c r="T265" i="17" s="1"/>
  <c r="R249" i="17"/>
  <c r="T249" i="17" s="1"/>
  <c r="R209" i="17"/>
  <c r="T209" i="17" s="1"/>
  <c r="R201" i="17"/>
  <c r="T201" i="17" s="1"/>
  <c r="R97" i="17"/>
  <c r="T97" i="17" s="1"/>
  <c r="R89" i="17"/>
  <c r="T89" i="17" s="1"/>
  <c r="R9" i="17"/>
  <c r="T9" i="17" s="1"/>
  <c r="I785" i="17"/>
  <c r="K785" i="17" s="1"/>
  <c r="R127" i="17"/>
  <c r="T127" i="17" s="1"/>
  <c r="AG594" i="17"/>
  <c r="AG946" i="17"/>
  <c r="R627" i="17"/>
  <c r="T627" i="17" s="1"/>
  <c r="R579" i="17"/>
  <c r="T579" i="17" s="1"/>
  <c r="I35" i="17"/>
  <c r="K35" i="17" s="1"/>
  <c r="AG536" i="17"/>
  <c r="AG456" i="17"/>
  <c r="I63" i="17"/>
  <c r="K63" i="17" s="1"/>
  <c r="AG106" i="17"/>
  <c r="AG122" i="17"/>
  <c r="AG138" i="17"/>
  <c r="AG170" i="17"/>
  <c r="R178" i="17"/>
  <c r="T178" i="17" s="1"/>
  <c r="AG234" i="17"/>
  <c r="R248" i="17"/>
  <c r="T248" i="17" s="1"/>
  <c r="R258" i="17"/>
  <c r="T258" i="17" s="1"/>
  <c r="AG274" i="17"/>
  <c r="R278" i="17"/>
  <c r="T278" i="17" s="1"/>
  <c r="R288" i="17"/>
  <c r="T288" i="17" s="1"/>
  <c r="R292" i="17"/>
  <c r="T292" i="17" s="1"/>
  <c r="AG338" i="17"/>
  <c r="R380" i="17"/>
  <c r="T380" i="17" s="1"/>
  <c r="R410" i="17"/>
  <c r="T410" i="17" s="1"/>
  <c r="AG426" i="17"/>
  <c r="R439" i="17"/>
  <c r="T439" i="17" s="1"/>
  <c r="AG498" i="17"/>
  <c r="AG538" i="17"/>
  <c r="AG554" i="17"/>
  <c r="R567" i="17"/>
  <c r="T567" i="17" s="1"/>
  <c r="AG586" i="17"/>
  <c r="AG602" i="17"/>
  <c r="R606" i="17"/>
  <c r="T606" i="17" s="1"/>
  <c r="AG634" i="17"/>
  <c r="R686" i="17"/>
  <c r="T686" i="17" s="1"/>
  <c r="AG730" i="17"/>
  <c r="AG746" i="17"/>
  <c r="R751" i="17"/>
  <c r="T751" i="17" s="1"/>
  <c r="AG762" i="17"/>
  <c r="AG802" i="17"/>
  <c r="R858" i="17"/>
  <c r="T858" i="17" s="1"/>
  <c r="AG882" i="17"/>
  <c r="AG938" i="17"/>
  <c r="R904" i="17"/>
  <c r="T904" i="17" s="1"/>
  <c r="R872" i="17"/>
  <c r="T872" i="17" s="1"/>
  <c r="R856" i="17"/>
  <c r="T856" i="17" s="1"/>
  <c r="R808" i="17"/>
  <c r="T808" i="17" s="1"/>
  <c r="R800" i="17"/>
  <c r="T800" i="17" s="1"/>
  <c r="R680" i="17"/>
  <c r="T680" i="17" s="1"/>
  <c r="R544" i="17"/>
  <c r="T544" i="17" s="1"/>
  <c r="AG845" i="17"/>
  <c r="AG589" i="17"/>
  <c r="AG453" i="17"/>
  <c r="AG117" i="17"/>
  <c r="AG109" i="17"/>
  <c r="AG61" i="17"/>
  <c r="AH885" i="17"/>
  <c r="AG370" i="17"/>
  <c r="AG562" i="17"/>
  <c r="AG578" i="17"/>
  <c r="AG690" i="17"/>
  <c r="AG722" i="17"/>
  <c r="AG2" i="17"/>
  <c r="R12" i="17"/>
  <c r="T12" i="17" s="1"/>
  <c r="AG18" i="17"/>
  <c r="R43" i="17"/>
  <c r="T43" i="17" s="1"/>
  <c r="I46" i="17"/>
  <c r="K46" i="17" s="1"/>
  <c r="AG90" i="17"/>
  <c r="R110" i="17"/>
  <c r="T110" i="17" s="1"/>
  <c r="R164" i="17"/>
  <c r="T164" i="17" s="1"/>
  <c r="I213" i="17"/>
  <c r="K213" i="17" s="1"/>
  <c r="AG226" i="17"/>
  <c r="R268" i="17"/>
  <c r="T268" i="17" s="1"/>
  <c r="R291" i="17"/>
  <c r="T291" i="17" s="1"/>
  <c r="AG298" i="17"/>
  <c r="AG314" i="17"/>
  <c r="AG354" i="17"/>
  <c r="R362" i="17"/>
  <c r="T362" i="17" s="1"/>
  <c r="R376" i="17"/>
  <c r="T376" i="17" s="1"/>
  <c r="AG522" i="17"/>
  <c r="R558" i="17"/>
  <c r="T558" i="17" s="1"/>
  <c r="R605" i="17"/>
  <c r="T605" i="17" s="1"/>
  <c r="AG618" i="17"/>
  <c r="R628" i="17"/>
  <c r="T628" i="17" s="1"/>
  <c r="R639" i="17"/>
  <c r="T639" i="17" s="1"/>
  <c r="AG666" i="17"/>
  <c r="R671" i="17"/>
  <c r="T671" i="17" s="1"/>
  <c r="R682" i="17"/>
  <c r="T682" i="17" s="1"/>
  <c r="AG698" i="17"/>
  <c r="R774" i="17"/>
  <c r="T774" i="17" s="1"/>
  <c r="AG842" i="17"/>
  <c r="AH916" i="17"/>
  <c r="AG706" i="17"/>
  <c r="R899" i="17"/>
  <c r="T899" i="17" s="1"/>
  <c r="R595" i="17"/>
  <c r="T595" i="17" s="1"/>
  <c r="AG544" i="17"/>
  <c r="I38" i="17"/>
  <c r="K38" i="17" s="1"/>
  <c r="AG42" i="17"/>
  <c r="AG74" i="17"/>
  <c r="R147" i="17"/>
  <c r="T147" i="17" s="1"/>
  <c r="R174" i="17"/>
  <c r="T174" i="17" s="1"/>
  <c r="AG202" i="17"/>
  <c r="R234" i="17"/>
  <c r="T234" i="17" s="1"/>
  <c r="R237" i="17"/>
  <c r="T237" i="17" s="1"/>
  <c r="R244" i="17"/>
  <c r="T244" i="17" s="1"/>
  <c r="AG250" i="17"/>
  <c r="R284" i="17"/>
  <c r="T284" i="17" s="1"/>
  <c r="AG290" i="17"/>
  <c r="R338" i="17"/>
  <c r="T338" i="17" s="1"/>
  <c r="R358" i="17"/>
  <c r="T358" i="17" s="1"/>
  <c r="R367" i="17"/>
  <c r="T367" i="17" s="1"/>
  <c r="AG386" i="17"/>
  <c r="AG402" i="17"/>
  <c r="R416" i="17"/>
  <c r="T416" i="17" s="1"/>
  <c r="AG474" i="17"/>
  <c r="R591" i="17"/>
  <c r="T591" i="17" s="1"/>
  <c r="R623" i="17"/>
  <c r="T623" i="17" s="1"/>
  <c r="AG650" i="17"/>
  <c r="AG714" i="17"/>
  <c r="R730" i="17"/>
  <c r="T730" i="17" s="1"/>
  <c r="AG770" i="17"/>
  <c r="AG786" i="17"/>
  <c r="AG826" i="17"/>
  <c r="AG906" i="17"/>
  <c r="AG922" i="17"/>
  <c r="R943" i="17"/>
  <c r="T943" i="17" s="1"/>
  <c r="AG978" i="17"/>
  <c r="AG799" i="17"/>
  <c r="AG783" i="17"/>
  <c r="AH301" i="17"/>
  <c r="AG200" i="17"/>
  <c r="AG136" i="17"/>
  <c r="AG96" i="17"/>
  <c r="AG88" i="17"/>
  <c r="AG80" i="17"/>
  <c r="AG24" i="17"/>
  <c r="AG16" i="17"/>
  <c r="AG215" i="17"/>
  <c r="AG55" i="17"/>
  <c r="R220" i="17"/>
  <c r="T220" i="17" s="1"/>
  <c r="R298" i="17"/>
  <c r="T298" i="17" s="1"/>
  <c r="AG881" i="17"/>
  <c r="AG673" i="17"/>
  <c r="AG545" i="17"/>
  <c r="AG353" i="17"/>
  <c r="AG297" i="17"/>
  <c r="AG273" i="17"/>
  <c r="AG257" i="17"/>
  <c r="AG241" i="17"/>
  <c r="AG193" i="17"/>
  <c r="AG185" i="17"/>
  <c r="AG177" i="17"/>
  <c r="AG169" i="17"/>
  <c r="AG161" i="17"/>
  <c r="AG153" i="17"/>
  <c r="AG145" i="17"/>
  <c r="AG137" i="17"/>
  <c r="AG121" i="17"/>
  <c r="AG113" i="17"/>
  <c r="AG105" i="17"/>
  <c r="AG97" i="17"/>
  <c r="AG81" i="17"/>
  <c r="AG73" i="17"/>
  <c r="AG33" i="17"/>
  <c r="AG17" i="17"/>
  <c r="AG713" i="17"/>
  <c r="AG585" i="17"/>
  <c r="AG457" i="17"/>
  <c r="AG385" i="17"/>
  <c r="AG489" i="17"/>
  <c r="AG433" i="17"/>
  <c r="AG345" i="17"/>
  <c r="R974" i="17"/>
  <c r="T974" i="17" s="1"/>
  <c r="AG736" i="17"/>
  <c r="AG704" i="17"/>
  <c r="AG648" i="17"/>
  <c r="AG592" i="17"/>
  <c r="AG568" i="17"/>
  <c r="AG520" i="17"/>
  <c r="AG488" i="17"/>
  <c r="AG472" i="17"/>
  <c r="AG448" i="17"/>
  <c r="AG424" i="17"/>
  <c r="AG400" i="17"/>
  <c r="AG368" i="17"/>
  <c r="AG336" i="17"/>
  <c r="AG312" i="17"/>
  <c r="AG288" i="17"/>
  <c r="AG264" i="17"/>
  <c r="AG240" i="17"/>
  <c r="AG208" i="17"/>
  <c r="AG184" i="17"/>
  <c r="AG160" i="17"/>
  <c r="AG128" i="17"/>
  <c r="AG56" i="17"/>
  <c r="R487" i="17"/>
  <c r="T487" i="17" s="1"/>
  <c r="R575" i="17"/>
  <c r="T575" i="17" s="1"/>
  <c r="AG873" i="17"/>
  <c r="AG793" i="17"/>
  <c r="AG441" i="17"/>
  <c r="AG369" i="17"/>
  <c r="AG201" i="17"/>
  <c r="R356" i="17"/>
  <c r="T356" i="17" s="1"/>
  <c r="R72" i="17"/>
  <c r="T72" i="17" s="1"/>
  <c r="I90" i="17"/>
  <c r="K90" i="17" s="1"/>
  <c r="AG999" i="17"/>
  <c r="AG959" i="17"/>
  <c r="AG927" i="17"/>
  <c r="AG895" i="17"/>
  <c r="AG871" i="17"/>
  <c r="AG839" i="17"/>
  <c r="AG815" i="17"/>
  <c r="AG735" i="17"/>
  <c r="AG703" i="17"/>
  <c r="AG671" i="17"/>
  <c r="AG639" i="17"/>
  <c r="AG607" i="17"/>
  <c r="AG575" i="17"/>
  <c r="AG543" i="17"/>
  <c r="AG511" i="17"/>
  <c r="AG479" i="17"/>
  <c r="AG447" i="17"/>
  <c r="AG431" i="17"/>
  <c r="AG399" i="17"/>
  <c r="AG367" i="17"/>
  <c r="AG327" i="17"/>
  <c r="AG295" i="17"/>
  <c r="AG263" i="17"/>
  <c r="AG231" i="17"/>
  <c r="AG199" i="17"/>
  <c r="AG175" i="17"/>
  <c r="AG143" i="17"/>
  <c r="AG111" i="17"/>
  <c r="AG87" i="17"/>
  <c r="AG63" i="17"/>
  <c r="AG31" i="17"/>
  <c r="R10" i="17"/>
  <c r="T10" i="17" s="1"/>
  <c r="R200" i="17"/>
  <c r="T200" i="17" s="1"/>
  <c r="R250" i="17"/>
  <c r="T250" i="17" s="1"/>
  <c r="R458" i="17"/>
  <c r="T458" i="17" s="1"/>
  <c r="I566" i="17"/>
  <c r="K566" i="17" s="1"/>
  <c r="R875" i="17"/>
  <c r="T875" i="17" s="1"/>
  <c r="R811" i="17"/>
  <c r="T811" i="17" s="1"/>
  <c r="R427" i="17"/>
  <c r="T427" i="17" s="1"/>
  <c r="R419" i="17"/>
  <c r="T419" i="17" s="1"/>
  <c r="R403" i="17"/>
  <c r="T403" i="17" s="1"/>
  <c r="R379" i="17"/>
  <c r="T379" i="17" s="1"/>
  <c r="R323" i="17"/>
  <c r="T323" i="17" s="1"/>
  <c r="R235" i="17"/>
  <c r="T235" i="17" s="1"/>
  <c r="R203" i="17"/>
  <c r="T203" i="17" s="1"/>
  <c r="R195" i="17"/>
  <c r="T195" i="17" s="1"/>
  <c r="I99" i="17"/>
  <c r="K99" i="17" s="1"/>
  <c r="AG517" i="17"/>
  <c r="AG509" i="17"/>
  <c r="AG477" i="17"/>
  <c r="AG469" i="17"/>
  <c r="AG301" i="17"/>
  <c r="AG269" i="17"/>
  <c r="AG189" i="17"/>
  <c r="AG165" i="17"/>
  <c r="AG69" i="17"/>
  <c r="AG53" i="17"/>
  <c r="AG37" i="17"/>
  <c r="AG29" i="17"/>
  <c r="I23" i="17"/>
  <c r="K23" i="17" s="1"/>
  <c r="R23" i="17"/>
  <c r="T23" i="17" s="1"/>
  <c r="R34" i="17"/>
  <c r="T34" i="17" s="1"/>
  <c r="R918" i="17"/>
  <c r="T918" i="17" s="1"/>
  <c r="AG905" i="17"/>
  <c r="AG601" i="17"/>
  <c r="AG497" i="17"/>
  <c r="AG401" i="17"/>
  <c r="AG329" i="17"/>
  <c r="R319" i="17"/>
  <c r="T319" i="17" s="1"/>
  <c r="R650" i="17"/>
  <c r="T650" i="17" s="1"/>
  <c r="R767" i="17"/>
  <c r="T767" i="17" s="1"/>
  <c r="AG919" i="17"/>
  <c r="AG887" i="17"/>
  <c r="AG855" i="17"/>
  <c r="AG823" i="17"/>
  <c r="AG791" i="17"/>
  <c r="AG743" i="17"/>
  <c r="AG711" i="17"/>
  <c r="AG679" i="17"/>
  <c r="AG647" i="17"/>
  <c r="AG615" i="17"/>
  <c r="AG583" i="17"/>
  <c r="AG559" i="17"/>
  <c r="AG535" i="17"/>
  <c r="AG503" i="17"/>
  <c r="AG439" i="17"/>
  <c r="AG407" i="17"/>
  <c r="AG391" i="17"/>
  <c r="AG351" i="17"/>
  <c r="AG303" i="17"/>
  <c r="AG271" i="17"/>
  <c r="AG247" i="17"/>
  <c r="AG191" i="17"/>
  <c r="AG151" i="17"/>
  <c r="AG119" i="17"/>
  <c r="AG15" i="17"/>
  <c r="I207" i="17"/>
  <c r="K207" i="17" s="1"/>
  <c r="R359" i="17"/>
  <c r="T359" i="17" s="1"/>
  <c r="R602" i="17"/>
  <c r="T602" i="17" s="1"/>
  <c r="I838" i="17"/>
  <c r="K838" i="17" s="1"/>
  <c r="R927" i="17"/>
  <c r="T927" i="17" s="1"/>
  <c r="I231" i="17"/>
  <c r="K231" i="17" s="1"/>
  <c r="R231" i="17"/>
  <c r="T231" i="17" s="1"/>
  <c r="R246" i="17"/>
  <c r="T246" i="17" s="1"/>
  <c r="R306" i="17"/>
  <c r="T306" i="17" s="1"/>
  <c r="R332" i="17"/>
  <c r="T332" i="17" s="1"/>
  <c r="R351" i="17"/>
  <c r="T351" i="17" s="1"/>
  <c r="R394" i="17"/>
  <c r="T394" i="17" s="1"/>
  <c r="R470" i="17"/>
  <c r="T470" i="17" s="1"/>
  <c r="R519" i="17"/>
  <c r="T519" i="17" s="1"/>
  <c r="I731" i="17"/>
  <c r="K731" i="17" s="1"/>
  <c r="R743" i="17"/>
  <c r="T743" i="17" s="1"/>
  <c r="R791" i="17"/>
  <c r="T791" i="17" s="1"/>
  <c r="R910" i="17"/>
  <c r="T910" i="17" s="1"/>
  <c r="R655" i="17"/>
  <c r="T655" i="17" s="1"/>
  <c r="AG449" i="17"/>
  <c r="AG377" i="17"/>
  <c r="AG305" i="17"/>
  <c r="R831" i="17"/>
  <c r="T831" i="17" s="1"/>
  <c r="R887" i="17"/>
  <c r="T887" i="17" s="1"/>
  <c r="AG848" i="17"/>
  <c r="AG640" i="17"/>
  <c r="AG584" i="17"/>
  <c r="AG552" i="17"/>
  <c r="AG528" i="17"/>
  <c r="AG496" i="17"/>
  <c r="AG464" i="17"/>
  <c r="AG440" i="17"/>
  <c r="AG416" i="17"/>
  <c r="AG392" i="17"/>
  <c r="AG360" i="17"/>
  <c r="AG344" i="17"/>
  <c r="AG320" i="17"/>
  <c r="AG296" i="17"/>
  <c r="AG272" i="17"/>
  <c r="AG248" i="17"/>
  <c r="AG224" i="17"/>
  <c r="AG192" i="17"/>
  <c r="AG168" i="17"/>
  <c r="AG144" i="17"/>
  <c r="AG104" i="17"/>
  <c r="AG64" i="17"/>
  <c r="AG40" i="17"/>
  <c r="I34" i="17"/>
  <c r="K34" i="17" s="1"/>
  <c r="R87" i="17"/>
  <c r="T87" i="17" s="1"/>
  <c r="I87" i="17"/>
  <c r="K87" i="17" s="1"/>
  <c r="AG975" i="17"/>
  <c r="AG943" i="17"/>
  <c r="AG911" i="17"/>
  <c r="AG863" i="17"/>
  <c r="AG831" i="17"/>
  <c r="AG751" i="17"/>
  <c r="AG719" i="17"/>
  <c r="AG695" i="17"/>
  <c r="AG663" i="17"/>
  <c r="AG631" i="17"/>
  <c r="AG599" i="17"/>
  <c r="AG567" i="17"/>
  <c r="AG527" i="17"/>
  <c r="AG495" i="17"/>
  <c r="AG455" i="17"/>
  <c r="AG415" i="17"/>
  <c r="AG375" i="17"/>
  <c r="AG319" i="17"/>
  <c r="AG287" i="17"/>
  <c r="AG239" i="17"/>
  <c r="AG207" i="17"/>
  <c r="AG159" i="17"/>
  <c r="AG127" i="17"/>
  <c r="AG103" i="17"/>
  <c r="AG79" i="17"/>
  <c r="AG47" i="17"/>
  <c r="AG23" i="17"/>
  <c r="R310" i="17"/>
  <c r="T310" i="17" s="1"/>
  <c r="R698" i="17"/>
  <c r="T698" i="17" s="1"/>
  <c r="R322" i="17"/>
  <c r="T322" i="17" s="1"/>
  <c r="R6" i="17"/>
  <c r="T6" i="17" s="1"/>
  <c r="I10" i="17"/>
  <c r="K10" i="17" s="1"/>
  <c r="R238" i="17"/>
  <c r="T238" i="17" s="1"/>
  <c r="R276" i="17"/>
  <c r="T276" i="17" s="1"/>
  <c r="R857" i="17"/>
  <c r="T857" i="17" s="1"/>
  <c r="R841" i="17"/>
  <c r="T841" i="17" s="1"/>
  <c r="R817" i="17"/>
  <c r="T817" i="17" s="1"/>
  <c r="R561" i="17"/>
  <c r="T561" i="17" s="1"/>
  <c r="R513" i="17"/>
  <c r="T513" i="17" s="1"/>
  <c r="R233" i="17"/>
  <c r="T233" i="17" s="1"/>
  <c r="R193" i="17"/>
  <c r="T193" i="17" s="1"/>
  <c r="R81" i="17"/>
  <c r="T81" i="17" s="1"/>
  <c r="I1001" i="17"/>
  <c r="K1001" i="17" s="1"/>
  <c r="R776" i="17"/>
  <c r="T776" i="17" s="1"/>
  <c r="AG641" i="17"/>
  <c r="AG529" i="17"/>
  <c r="AG417" i="17"/>
  <c r="AG337" i="17"/>
  <c r="AG720" i="17"/>
  <c r="AG696" i="17"/>
  <c r="AG672" i="17"/>
  <c r="AG656" i="17"/>
  <c r="AG600" i="17"/>
  <c r="AG576" i="17"/>
  <c r="AG560" i="17"/>
  <c r="AG512" i="17"/>
  <c r="AG504" i="17"/>
  <c r="AG480" i="17"/>
  <c r="AG432" i="17"/>
  <c r="AG408" i="17"/>
  <c r="AG384" i="17"/>
  <c r="AG376" i="17"/>
  <c r="AG352" i="17"/>
  <c r="AG328" i="17"/>
  <c r="AG304" i="17"/>
  <c r="AG280" i="17"/>
  <c r="AG256" i="17"/>
  <c r="AG232" i="17"/>
  <c r="AG216" i="17"/>
  <c r="AG176" i="17"/>
  <c r="AG152" i="17"/>
  <c r="AG112" i="17"/>
  <c r="AG72" i="17"/>
  <c r="AG8" i="17"/>
  <c r="R294" i="17"/>
  <c r="T294" i="17" s="1"/>
  <c r="R408" i="17"/>
  <c r="T408" i="17" s="1"/>
  <c r="R422" i="17"/>
  <c r="T422" i="17" s="1"/>
  <c r="R540" i="17"/>
  <c r="T540" i="17" s="1"/>
  <c r="R718" i="17"/>
  <c r="T718" i="17" s="1"/>
  <c r="AG983" i="17"/>
  <c r="AG935" i="17"/>
  <c r="AG903" i="17"/>
  <c r="AG847" i="17"/>
  <c r="AG807" i="17"/>
  <c r="AG767" i="17"/>
  <c r="AG727" i="17"/>
  <c r="AG687" i="17"/>
  <c r="AG655" i="17"/>
  <c r="AG623" i="17"/>
  <c r="AG591" i="17"/>
  <c r="AG551" i="17"/>
  <c r="AG519" i="17"/>
  <c r="AG487" i="17"/>
  <c r="AG463" i="17"/>
  <c r="AG423" i="17"/>
  <c r="AG383" i="17"/>
  <c r="AG343" i="17"/>
  <c r="AG311" i="17"/>
  <c r="AG279" i="17"/>
  <c r="AG255" i="17"/>
  <c r="AG183" i="17"/>
  <c r="AG135" i="17"/>
  <c r="AG95" i="17"/>
  <c r="AG71" i="17"/>
  <c r="AG39" i="17"/>
  <c r="AG7" i="17"/>
  <c r="R143" i="17"/>
  <c r="T143" i="17" s="1"/>
  <c r="R272" i="17"/>
  <c r="T272" i="17" s="1"/>
  <c r="R262" i="17"/>
  <c r="T262" i="17" s="1"/>
  <c r="R58" i="17"/>
  <c r="T58" i="17" s="1"/>
  <c r="I111" i="17"/>
  <c r="K111" i="17" s="1"/>
  <c r="I344" i="17"/>
  <c r="K344" i="17" s="1"/>
  <c r="R191" i="17"/>
  <c r="T191" i="17" s="1"/>
  <c r="I191" i="17"/>
  <c r="K191" i="17" s="1"/>
  <c r="R208" i="17"/>
  <c r="T208" i="17" s="1"/>
  <c r="R212" i="17"/>
  <c r="T212" i="17" s="1"/>
  <c r="R326" i="17"/>
  <c r="T326" i="17" s="1"/>
  <c r="R342" i="17"/>
  <c r="T342" i="17" s="1"/>
  <c r="R722" i="17"/>
  <c r="T722" i="17" s="1"/>
  <c r="R842" i="17"/>
  <c r="T842" i="17" s="1"/>
  <c r="R923" i="17"/>
  <c r="T923" i="17" s="1"/>
  <c r="I139" i="17"/>
  <c r="K139" i="17" s="1"/>
  <c r="R163" i="17"/>
  <c r="T163" i="17" s="1"/>
  <c r="R217" i="17"/>
  <c r="T217" i="17" s="1"/>
  <c r="R382" i="17"/>
  <c r="T382" i="17" s="1"/>
  <c r="R395" i="17"/>
  <c r="T395" i="17" s="1"/>
  <c r="R447" i="17"/>
  <c r="T447" i="17" s="1"/>
  <c r="R498" i="17"/>
  <c r="T498" i="17" s="1"/>
  <c r="R787" i="17"/>
  <c r="T787" i="17" s="1"/>
  <c r="R792" i="17"/>
  <c r="T792" i="17" s="1"/>
  <c r="R584" i="17"/>
  <c r="T584" i="17" s="1"/>
  <c r="R520" i="17"/>
  <c r="T520" i="17" s="1"/>
  <c r="R512" i="17"/>
  <c r="T512" i="17" s="1"/>
  <c r="I672" i="17"/>
  <c r="K672" i="17" s="1"/>
  <c r="AG837" i="17"/>
  <c r="AG621" i="17"/>
  <c r="AG309" i="17"/>
  <c r="AG245" i="17"/>
  <c r="AG85" i="17"/>
  <c r="AG21" i="17"/>
  <c r="R59" i="17"/>
  <c r="T59" i="17" s="1"/>
  <c r="R83" i="17"/>
  <c r="T83" i="17" s="1"/>
  <c r="R169" i="17"/>
  <c r="T169" i="17" s="1"/>
  <c r="R438" i="17"/>
  <c r="T438" i="17" s="1"/>
  <c r="R466" i="17"/>
  <c r="T466" i="17" s="1"/>
  <c r="R494" i="17"/>
  <c r="T494" i="17" s="1"/>
  <c r="R759" i="17"/>
  <c r="T759" i="17" s="1"/>
  <c r="R783" i="17"/>
  <c r="T783" i="17" s="1"/>
  <c r="R819" i="17"/>
  <c r="T819" i="17" s="1"/>
  <c r="AG892" i="17"/>
  <c r="AG844" i="17"/>
  <c r="AG796" i="17"/>
  <c r="AG788" i="17"/>
  <c r="AG780" i="17"/>
  <c r="AG772" i="17"/>
  <c r="AG756" i="17"/>
  <c r="AG748" i="17"/>
  <c r="AG724" i="17"/>
  <c r="AG572" i="17"/>
  <c r="AG508" i="17"/>
  <c r="AG613" i="17"/>
  <c r="AG485" i="17"/>
  <c r="AG205" i="17"/>
  <c r="AG77" i="17"/>
  <c r="AG45" i="17"/>
  <c r="R51" i="17"/>
  <c r="T51" i="17" s="1"/>
  <c r="R129" i="17"/>
  <c r="T129" i="17" s="1"/>
  <c r="I434" i="17"/>
  <c r="K434" i="17" s="1"/>
  <c r="R490" i="17"/>
  <c r="T490" i="17" s="1"/>
  <c r="R835" i="17"/>
  <c r="T835" i="17" s="1"/>
  <c r="R879" i="17"/>
  <c r="T879" i="17" s="1"/>
  <c r="R914" i="17"/>
  <c r="T914" i="17" s="1"/>
  <c r="R970" i="17"/>
  <c r="T970" i="17" s="1"/>
  <c r="AG957" i="17"/>
  <c r="AG941" i="17"/>
  <c r="AG797" i="17"/>
  <c r="AG781" i="17"/>
  <c r="AG773" i="17"/>
  <c r="AG757" i="17"/>
  <c r="AG213" i="17"/>
  <c r="R965" i="17"/>
  <c r="T965" i="17" s="1"/>
  <c r="R717" i="17"/>
  <c r="T717" i="17" s="1"/>
  <c r="R653" i="17"/>
  <c r="T653" i="17" s="1"/>
  <c r="R373" i="17"/>
  <c r="T373" i="17" s="1"/>
  <c r="R181" i="17"/>
  <c r="T181" i="17" s="1"/>
  <c r="R157" i="17"/>
  <c r="T157" i="17" s="1"/>
  <c r="R37" i="17"/>
  <c r="T37" i="17" s="1"/>
  <c r="R21" i="17"/>
  <c r="T21" i="17" s="1"/>
  <c r="I861" i="17"/>
  <c r="K861" i="17" s="1"/>
  <c r="I173" i="17"/>
  <c r="K173" i="17" s="1"/>
  <c r="AG389" i="17"/>
  <c r="AG149" i="17"/>
  <c r="AG5" i="17"/>
  <c r="R27" i="17"/>
  <c r="T27" i="17" s="1"/>
  <c r="I55" i="17"/>
  <c r="K55" i="17" s="1"/>
  <c r="R176" i="17"/>
  <c r="T176" i="17" s="1"/>
  <c r="R184" i="17"/>
  <c r="T184" i="17" s="1"/>
  <c r="R188" i="17"/>
  <c r="T188" i="17" s="1"/>
  <c r="R228" i="17"/>
  <c r="T228" i="17" s="1"/>
  <c r="R232" i="17"/>
  <c r="T232" i="17" s="1"/>
  <c r="R255" i="17"/>
  <c r="T255" i="17" s="1"/>
  <c r="R348" i="17"/>
  <c r="T348" i="17" s="1"/>
  <c r="R355" i="17"/>
  <c r="T355" i="17" s="1"/>
  <c r="I393" i="17"/>
  <c r="K393" i="17" s="1"/>
  <c r="R400" i="17"/>
  <c r="T400" i="17" s="1"/>
  <c r="R407" i="17"/>
  <c r="T407" i="17" s="1"/>
  <c r="R455" i="17"/>
  <c r="T455" i="17" s="1"/>
  <c r="R462" i="17"/>
  <c r="T462" i="17" s="1"/>
  <c r="R484" i="17"/>
  <c r="T484" i="17" s="1"/>
  <c r="R503" i="17"/>
  <c r="T503" i="17" s="1"/>
  <c r="R508" i="17"/>
  <c r="T508" i="17" s="1"/>
  <c r="R599" i="17"/>
  <c r="T599" i="17" s="1"/>
  <c r="R622" i="17"/>
  <c r="T622" i="17" s="1"/>
  <c r="R666" i="17"/>
  <c r="T666" i="17" s="1"/>
  <c r="R707" i="17"/>
  <c r="T707" i="17" s="1"/>
  <c r="I755" i="17"/>
  <c r="K755" i="17" s="1"/>
  <c r="R846" i="17"/>
  <c r="T846" i="17" s="1"/>
  <c r="R866" i="17"/>
  <c r="T866" i="17" s="1"/>
  <c r="R938" i="17"/>
  <c r="T938" i="17" s="1"/>
  <c r="R932" i="17"/>
  <c r="T932" i="17" s="1"/>
  <c r="R660" i="17"/>
  <c r="T660" i="17" s="1"/>
  <c r="R596" i="17"/>
  <c r="T596" i="17" s="1"/>
  <c r="R588" i="17"/>
  <c r="T588" i="17" s="1"/>
  <c r="R516" i="17"/>
  <c r="T516" i="17" s="1"/>
  <c r="R316" i="17"/>
  <c r="T316" i="17" s="1"/>
  <c r="I564" i="17"/>
  <c r="K564" i="17" s="1"/>
  <c r="R574" i="17"/>
  <c r="T574" i="17" s="1"/>
  <c r="R663" i="17"/>
  <c r="T663" i="17" s="1"/>
  <c r="R691" i="17"/>
  <c r="T691" i="17" s="1"/>
  <c r="R758" i="17"/>
  <c r="T758" i="17" s="1"/>
  <c r="R766" i="17"/>
  <c r="T766" i="17" s="1"/>
  <c r="R770" i="17"/>
  <c r="T770" i="17" s="1"/>
  <c r="R786" i="17"/>
  <c r="T786" i="17" s="1"/>
  <c r="R798" i="17"/>
  <c r="T798" i="17" s="1"/>
  <c r="R834" i="17"/>
  <c r="T834" i="17" s="1"/>
  <c r="R874" i="17"/>
  <c r="T874" i="17" s="1"/>
  <c r="R876" i="17"/>
  <c r="T876" i="17" s="1"/>
  <c r="R878" i="17"/>
  <c r="T878" i="17" s="1"/>
  <c r="R882" i="17"/>
  <c r="T882" i="17" s="1"/>
  <c r="R886" i="17"/>
  <c r="T886" i="17" s="1"/>
  <c r="I892" i="17"/>
  <c r="K892" i="17" s="1"/>
  <c r="AH892" i="17" s="1"/>
  <c r="R926" i="17"/>
  <c r="T926" i="17" s="1"/>
  <c r="R959" i="17"/>
  <c r="T959" i="17" s="1"/>
  <c r="I325" i="17"/>
  <c r="K325" i="17" s="1"/>
  <c r="R409" i="17"/>
  <c r="T409" i="17" s="1"/>
  <c r="R465" i="17"/>
  <c r="T465" i="17" s="1"/>
  <c r="R538" i="17"/>
  <c r="T538" i="17" s="1"/>
  <c r="I984" i="17"/>
  <c r="K984" i="17" s="1"/>
  <c r="AG968" i="17"/>
  <c r="AG960" i="17"/>
  <c r="AG952" i="17"/>
  <c r="AG944" i="17"/>
  <c r="AG936" i="17"/>
  <c r="AG928" i="17"/>
  <c r="AG920" i="17"/>
  <c r="AG912" i="17"/>
  <c r="AG904" i="17"/>
  <c r="AG896" i="17"/>
  <c r="AG888" i="17"/>
  <c r="AG880" i="17"/>
  <c r="AG872" i="17"/>
  <c r="AG864" i="17"/>
  <c r="AG856" i="17"/>
  <c r="AG840" i="17"/>
  <c r="AG832" i="17"/>
  <c r="AG816" i="17"/>
  <c r="AG808" i="17"/>
  <c r="AG800" i="17"/>
  <c r="AG792" i="17"/>
  <c r="AG784" i="17"/>
  <c r="AG776" i="17"/>
  <c r="AG768" i="17"/>
  <c r="AG760" i="17"/>
  <c r="AG744" i="17"/>
  <c r="AG728" i="17"/>
  <c r="AG712" i="17"/>
  <c r="AG688" i="17"/>
  <c r="AG680" i="17"/>
  <c r="AG664" i="17"/>
  <c r="AG632" i="17"/>
  <c r="AG624" i="17"/>
  <c r="AG616" i="17"/>
  <c r="AG608" i="17"/>
  <c r="AG777" i="17"/>
  <c r="AG991" i="17"/>
  <c r="AG967" i="17"/>
  <c r="AG951" i="17"/>
  <c r="AG921" i="17"/>
  <c r="AG993" i="17"/>
  <c r="AG801" i="17"/>
  <c r="R396" i="17"/>
  <c r="T396" i="17" s="1"/>
  <c r="R426" i="17"/>
  <c r="R592" i="17"/>
  <c r="T592" i="17" s="1"/>
  <c r="R670" i="17"/>
  <c r="T670" i="17" s="1"/>
  <c r="R684" i="17"/>
  <c r="T684" i="17" s="1"/>
  <c r="R949" i="17"/>
  <c r="T949" i="17" s="1"/>
  <c r="I6" i="17"/>
  <c r="K6" i="17" s="1"/>
  <c r="R78" i="17"/>
  <c r="T78" i="17" s="1"/>
  <c r="R94" i="17"/>
  <c r="T94" i="17" s="1"/>
  <c r="R397" i="17"/>
  <c r="T397" i="17" s="1"/>
  <c r="I413" i="17"/>
  <c r="K413" i="17" s="1"/>
  <c r="I422" i="17"/>
  <c r="K422" i="17" s="1"/>
  <c r="AH422" i="17" s="1"/>
  <c r="R473" i="17"/>
  <c r="T473" i="17" s="1"/>
  <c r="I650" i="17"/>
  <c r="K650" i="17" s="1"/>
  <c r="AH650" i="17" s="1"/>
  <c r="R725" i="17"/>
  <c r="T725" i="17" s="1"/>
  <c r="I810" i="17"/>
  <c r="K810" i="17" s="1"/>
  <c r="R865" i="17"/>
  <c r="T865" i="17" s="1"/>
  <c r="R992" i="17"/>
  <c r="T992" i="17" s="1"/>
  <c r="R984" i="17"/>
  <c r="T984" i="17" s="1"/>
  <c r="R980" i="17"/>
  <c r="T980" i="17" s="1"/>
  <c r="R900" i="17"/>
  <c r="T900" i="17" s="1"/>
  <c r="R888" i="17"/>
  <c r="T888" i="17" s="1"/>
  <c r="R868" i="17"/>
  <c r="T868" i="17" s="1"/>
  <c r="R852" i="17"/>
  <c r="T852" i="17" s="1"/>
  <c r="R844" i="17"/>
  <c r="T844" i="17" s="1"/>
  <c r="R824" i="17"/>
  <c r="T824" i="17" s="1"/>
  <c r="R820" i="17"/>
  <c r="T820" i="17" s="1"/>
  <c r="R788" i="17"/>
  <c r="T788" i="17" s="1"/>
  <c r="R772" i="17"/>
  <c r="T772" i="17" s="1"/>
  <c r="R756" i="17"/>
  <c r="T756" i="17" s="1"/>
  <c r="R752" i="17"/>
  <c r="T752" i="17" s="1"/>
  <c r="R748" i="17"/>
  <c r="T748" i="17" s="1"/>
  <c r="R740" i="17"/>
  <c r="T740" i="17" s="1"/>
  <c r="R736" i="17"/>
  <c r="T736" i="17" s="1"/>
  <c r="R704" i="17"/>
  <c r="T704" i="17" s="1"/>
  <c r="R692" i="17"/>
  <c r="T692" i="17" s="1"/>
  <c r="R672" i="17"/>
  <c r="T672" i="17" s="1"/>
  <c r="R656" i="17"/>
  <c r="T656" i="17" s="1"/>
  <c r="R612" i="17"/>
  <c r="T612" i="17" s="1"/>
  <c r="AH612" i="17" s="1"/>
  <c r="R224" i="17"/>
  <c r="T224" i="17" s="1"/>
  <c r="R830" i="17"/>
  <c r="T830" i="17" s="1"/>
  <c r="R809" i="17"/>
  <c r="T809" i="17" s="1"/>
  <c r="I18" i="17"/>
  <c r="K18" i="17" s="1"/>
  <c r="I31" i="17"/>
  <c r="K31" i="17" s="1"/>
  <c r="I39" i="17"/>
  <c r="K39" i="17" s="1"/>
  <c r="I74" i="17"/>
  <c r="K74" i="17" s="1"/>
  <c r="I79" i="17"/>
  <c r="K79" i="17" s="1"/>
  <c r="I82" i="17"/>
  <c r="K82" i="17" s="1"/>
  <c r="AH82" i="17" s="1"/>
  <c r="I94" i="17"/>
  <c r="I95" i="17"/>
  <c r="I106" i="17"/>
  <c r="K106" i="17" s="1"/>
  <c r="I119" i="17"/>
  <c r="K119" i="17" s="1"/>
  <c r="I199" i="17"/>
  <c r="K199" i="17" s="1"/>
  <c r="I271" i="17"/>
  <c r="K271" i="17" s="1"/>
  <c r="R365" i="17"/>
  <c r="T365" i="17" s="1"/>
  <c r="I376" i="17"/>
  <c r="K376" i="17" s="1"/>
  <c r="R581" i="17"/>
  <c r="T581" i="17" s="1"/>
  <c r="I638" i="17"/>
  <c r="K638" i="17" s="1"/>
  <c r="I658" i="17"/>
  <c r="K658" i="17" s="1"/>
  <c r="I701" i="17"/>
  <c r="K701" i="17" s="1"/>
  <c r="R213" i="17"/>
  <c r="T213" i="17" s="1"/>
  <c r="R444" i="17"/>
  <c r="T444" i="17" s="1"/>
  <c r="R782" i="17"/>
  <c r="T782" i="17" s="1"/>
  <c r="R843" i="17"/>
  <c r="T843" i="17" s="1"/>
  <c r="R883" i="17"/>
  <c r="T883" i="17" s="1"/>
  <c r="R937" i="17"/>
  <c r="T937" i="17" s="1"/>
  <c r="R909" i="17"/>
  <c r="T909" i="17" s="1"/>
  <c r="AG917" i="17"/>
  <c r="I47" i="17"/>
  <c r="K47" i="17" s="1"/>
  <c r="I91" i="17"/>
  <c r="K91" i="17" s="1"/>
  <c r="R177" i="17"/>
  <c r="T177" i="17" s="1"/>
  <c r="I296" i="17"/>
  <c r="K296" i="17" s="1"/>
  <c r="I433" i="17"/>
  <c r="K433" i="17" s="1"/>
  <c r="R461" i="17"/>
  <c r="T461" i="17" s="1"/>
  <c r="R505" i="17"/>
  <c r="T505" i="17" s="1"/>
  <c r="I518" i="17"/>
  <c r="K518" i="17" s="1"/>
  <c r="I556" i="17"/>
  <c r="K556" i="17" s="1"/>
  <c r="I634" i="17"/>
  <c r="K634" i="17" s="1"/>
  <c r="R307" i="17"/>
  <c r="T307" i="17" s="1"/>
  <c r="R454" i="17"/>
  <c r="T454" i="17" s="1"/>
  <c r="R746" i="17"/>
  <c r="T746" i="17" s="1"/>
  <c r="I19" i="17"/>
  <c r="K19" i="17" s="1"/>
  <c r="I26" i="17"/>
  <c r="K26" i="17" s="1"/>
  <c r="I66" i="17"/>
  <c r="K66" i="17" s="1"/>
  <c r="R74" i="17"/>
  <c r="T74" i="17" s="1"/>
  <c r="I102" i="17"/>
  <c r="K102" i="17" s="1"/>
  <c r="I123" i="17"/>
  <c r="K123" i="17" s="1"/>
  <c r="I126" i="17"/>
  <c r="K126" i="17" s="1"/>
  <c r="I163" i="17"/>
  <c r="K163" i="17" s="1"/>
  <c r="AH163" i="17" s="1"/>
  <c r="R271" i="17"/>
  <c r="T271" i="17" s="1"/>
  <c r="I538" i="17"/>
  <c r="K538" i="17" s="1"/>
  <c r="I550" i="17"/>
  <c r="K550" i="17" s="1"/>
  <c r="R566" i="17"/>
  <c r="T566" i="17" s="1"/>
  <c r="R964" i="17"/>
  <c r="T964" i="17" s="1"/>
  <c r="R952" i="17"/>
  <c r="T952" i="17" s="1"/>
  <c r="R944" i="17"/>
  <c r="T944" i="17" s="1"/>
  <c r="R192" i="17"/>
  <c r="T192" i="17" s="1"/>
  <c r="R325" i="17"/>
  <c r="T325" i="17" s="1"/>
  <c r="R386" i="17"/>
  <c r="T386" i="17" s="1"/>
  <c r="R543" i="17"/>
  <c r="T543" i="17" s="1"/>
  <c r="R568" i="17"/>
  <c r="T568" i="17" s="1"/>
  <c r="R768" i="17"/>
  <c r="T768" i="17" s="1"/>
  <c r="R113" i="17"/>
  <c r="T113" i="17" s="1"/>
  <c r="R8" i="17"/>
  <c r="T8" i="17" s="1"/>
  <c r="R160" i="17"/>
  <c r="T160" i="17" s="1"/>
  <c r="R190" i="17"/>
  <c r="T190" i="17" s="1"/>
  <c r="R239" i="17"/>
  <c r="T239" i="17" s="1"/>
  <c r="R290" i="17"/>
  <c r="T290" i="17" s="1"/>
  <c r="R423" i="17"/>
  <c r="T423" i="17" s="1"/>
  <c r="R430" i="17"/>
  <c r="T430" i="17" s="1"/>
  <c r="R578" i="17"/>
  <c r="T578" i="17" s="1"/>
  <c r="R603" i="17"/>
  <c r="T603" i="17" s="1"/>
  <c r="R632" i="17"/>
  <c r="T632" i="17" s="1"/>
  <c r="R154" i="17"/>
  <c r="T154" i="17" s="1"/>
  <c r="R18" i="17"/>
  <c r="T18" i="17" s="1"/>
  <c r="R47" i="17"/>
  <c r="T47" i="17" s="1"/>
  <c r="I50" i="17"/>
  <c r="K50" i="17" s="1"/>
  <c r="R107" i="17"/>
  <c r="T107" i="17" s="1"/>
  <c r="I114" i="17"/>
  <c r="K114" i="17" s="1"/>
  <c r="I175" i="17"/>
  <c r="K175" i="17" s="1"/>
  <c r="I328" i="17"/>
  <c r="K328" i="17" s="1"/>
  <c r="AF344" i="17"/>
  <c r="I522" i="17"/>
  <c r="K522" i="17" s="1"/>
  <c r="I540" i="17"/>
  <c r="K540" i="17" s="1"/>
  <c r="R556" i="17"/>
  <c r="T556" i="17" s="1"/>
  <c r="R564" i="17"/>
  <c r="T564" i="17" s="1"/>
  <c r="R993" i="17"/>
  <c r="T993" i="17" s="1"/>
  <c r="R989" i="17"/>
  <c r="T989" i="17" s="1"/>
  <c r="R981" i="17"/>
  <c r="T981" i="17" s="1"/>
  <c r="R977" i="17"/>
  <c r="T977" i="17" s="1"/>
  <c r="R957" i="17"/>
  <c r="T957" i="17" s="1"/>
  <c r="R634" i="17"/>
  <c r="T634" i="17" s="1"/>
  <c r="R976" i="17"/>
  <c r="T976" i="17" s="1"/>
  <c r="R328" i="17"/>
  <c r="T328" i="17" s="1"/>
  <c r="I409" i="17"/>
  <c r="K409" i="17" s="1"/>
  <c r="I598" i="17"/>
  <c r="K598" i="17" s="1"/>
  <c r="I704" i="17"/>
  <c r="K704" i="17" s="1"/>
  <c r="I743" i="17"/>
  <c r="K743" i="17" s="1"/>
  <c r="R763" i="17"/>
  <c r="T763" i="17" s="1"/>
  <c r="I787" i="17"/>
  <c r="K787" i="17" s="1"/>
  <c r="R790" i="17"/>
  <c r="T790" i="17" s="1"/>
  <c r="R777" i="17"/>
  <c r="T777" i="17" s="1"/>
  <c r="R242" i="17"/>
  <c r="T242" i="17" s="1"/>
  <c r="I42" i="17"/>
  <c r="K42" i="17" s="1"/>
  <c r="I187" i="17"/>
  <c r="K187" i="17" s="1"/>
  <c r="R486" i="17"/>
  <c r="T486" i="17" s="1"/>
  <c r="R511" i="17"/>
  <c r="T511" i="17" s="1"/>
  <c r="R550" i="17"/>
  <c r="T550" i="17" s="1"/>
  <c r="I596" i="17"/>
  <c r="K596" i="17" s="1"/>
  <c r="I642" i="17"/>
  <c r="K642" i="17" s="1"/>
  <c r="R658" i="17"/>
  <c r="T658" i="17" s="1"/>
  <c r="I666" i="17"/>
  <c r="K666" i="17" s="1"/>
  <c r="R747" i="17"/>
  <c r="T747" i="17" s="1"/>
  <c r="I794" i="17"/>
  <c r="K794" i="17" s="1"/>
  <c r="R988" i="17"/>
  <c r="T988" i="17" s="1"/>
  <c r="R170" i="17"/>
  <c r="T170" i="17" s="1"/>
  <c r="I78" i="17"/>
  <c r="K78" i="17" s="1"/>
  <c r="I83" i="17"/>
  <c r="K83" i="17" s="1"/>
  <c r="R82" i="17"/>
  <c r="T82" i="17" s="1"/>
  <c r="R90" i="17"/>
  <c r="T90" i="17" s="1"/>
  <c r="R102" i="17"/>
  <c r="T102" i="17" s="1"/>
  <c r="R106" i="17"/>
  <c r="T106" i="17" s="1"/>
  <c r="R296" i="17"/>
  <c r="T296" i="17" s="1"/>
  <c r="R406" i="17"/>
  <c r="T406" i="17" s="1"/>
  <c r="R518" i="17"/>
  <c r="T518" i="17" s="1"/>
  <c r="R522" i="17"/>
  <c r="T522" i="17" s="1"/>
  <c r="R554" i="17"/>
  <c r="T554" i="17" s="1"/>
  <c r="R810" i="17"/>
  <c r="T810" i="17" s="1"/>
  <c r="R187" i="17"/>
  <c r="T187" i="17" s="1"/>
  <c r="R26" i="17"/>
  <c r="T26" i="17" s="1"/>
  <c r="R35" i="17"/>
  <c r="T35" i="17" s="1"/>
  <c r="R46" i="17"/>
  <c r="T46" i="17" s="1"/>
  <c r="R50" i="17"/>
  <c r="T50" i="17" s="1"/>
  <c r="R66" i="17"/>
  <c r="T66" i="17" s="1"/>
  <c r="R99" i="17"/>
  <c r="T99" i="17" s="1"/>
  <c r="R114" i="17"/>
  <c r="T114" i="17" s="1"/>
  <c r="R175" i="17"/>
  <c r="T175" i="17" s="1"/>
  <c r="R678" i="17"/>
  <c r="T678" i="17" s="1"/>
  <c r="R826" i="17"/>
  <c r="T826" i="17" s="1"/>
  <c r="R860" i="17"/>
  <c r="T860" i="17" s="1"/>
  <c r="R892" i="17"/>
  <c r="T892" i="17" s="1"/>
  <c r="R935" i="17"/>
  <c r="T935" i="17" s="1"/>
  <c r="I936" i="17"/>
  <c r="K936" i="17" s="1"/>
  <c r="R985" i="17"/>
  <c r="T985" i="17" s="1"/>
  <c r="R945" i="17"/>
  <c r="T945" i="17" s="1"/>
  <c r="R933" i="17"/>
  <c r="T933" i="17" s="1"/>
  <c r="R929" i="17"/>
  <c r="T929" i="17" s="1"/>
  <c r="R921" i="17"/>
  <c r="T921" i="17" s="1"/>
  <c r="R917" i="17"/>
  <c r="T917" i="17" s="1"/>
  <c r="R913" i="17"/>
  <c r="T913" i="17" s="1"/>
  <c r="R905" i="17"/>
  <c r="T905" i="17" s="1"/>
  <c r="R885" i="17"/>
  <c r="T885" i="17" s="1"/>
  <c r="R881" i="17"/>
  <c r="T881" i="17" s="1"/>
  <c r="R877" i="17"/>
  <c r="T877" i="17" s="1"/>
  <c r="R873" i="17"/>
  <c r="T873" i="17" s="1"/>
  <c r="R869" i="17"/>
  <c r="T869" i="17" s="1"/>
  <c r="R861" i="17"/>
  <c r="T861" i="17" s="1"/>
  <c r="R845" i="17"/>
  <c r="T845" i="17" s="1"/>
  <c r="R837" i="17"/>
  <c r="T837" i="17" s="1"/>
  <c r="R833" i="17"/>
  <c r="T833" i="17" s="1"/>
  <c r="R825" i="17"/>
  <c r="T825" i="17" s="1"/>
  <c r="R821" i="17"/>
  <c r="T821" i="17" s="1"/>
  <c r="R805" i="17"/>
  <c r="T805" i="17" s="1"/>
  <c r="R801" i="17"/>
  <c r="T801" i="17" s="1"/>
  <c r="R797" i="17"/>
  <c r="T797" i="17" s="1"/>
  <c r="R793" i="17"/>
  <c r="T793" i="17" s="1"/>
  <c r="R785" i="17"/>
  <c r="T785" i="17" s="1"/>
  <c r="R781" i="17"/>
  <c r="T781" i="17" s="1"/>
  <c r="R773" i="17"/>
  <c r="T773" i="17" s="1"/>
  <c r="R761" i="17"/>
  <c r="T761" i="17" s="1"/>
  <c r="R753" i="17"/>
  <c r="T753" i="17" s="1"/>
  <c r="R745" i="17"/>
  <c r="T745" i="17" s="1"/>
  <c r="R737" i="17"/>
  <c r="T737" i="17" s="1"/>
  <c r="R733" i="17"/>
  <c r="T733" i="17" s="1"/>
  <c r="R729" i="17"/>
  <c r="T729" i="17" s="1"/>
  <c r="R721" i="17"/>
  <c r="T721" i="17" s="1"/>
  <c r="R713" i="17"/>
  <c r="T713" i="17" s="1"/>
  <c r="R701" i="17"/>
  <c r="T701" i="17" s="1"/>
  <c r="R689" i="17"/>
  <c r="T689" i="17" s="1"/>
  <c r="R685" i="17"/>
  <c r="T685" i="17" s="1"/>
  <c r="R673" i="17"/>
  <c r="T673" i="17" s="1"/>
  <c r="R669" i="17"/>
  <c r="T669" i="17" s="1"/>
  <c r="R665" i="17"/>
  <c r="T665" i="17" s="1"/>
  <c r="R657" i="17"/>
  <c r="T657" i="17" s="1"/>
  <c r="R649" i="17"/>
  <c r="T649" i="17" s="1"/>
  <c r="R645" i="17"/>
  <c r="T645" i="17" s="1"/>
  <c r="R641" i="17"/>
  <c r="T641" i="17" s="1"/>
  <c r="R633" i="17"/>
  <c r="T633" i="17" s="1"/>
  <c r="R629" i="17"/>
  <c r="T629" i="17" s="1"/>
  <c r="R609" i="17"/>
  <c r="T609" i="17" s="1"/>
  <c r="R585" i="17"/>
  <c r="T585" i="17" s="1"/>
  <c r="R577" i="17"/>
  <c r="T577" i="17" s="1"/>
  <c r="R565" i="17"/>
  <c r="T565" i="17" s="1"/>
  <c r="R557" i="17"/>
  <c r="T557" i="17" s="1"/>
  <c r="R545" i="17"/>
  <c r="T545" i="17" s="1"/>
  <c r="R541" i="17"/>
  <c r="T541" i="17" s="1"/>
  <c r="R533" i="17"/>
  <c r="T533" i="17" s="1"/>
  <c r="R529" i="17"/>
  <c r="T529" i="17" s="1"/>
  <c r="R517" i="17"/>
  <c r="T517" i="17" s="1"/>
  <c r="R509" i="17"/>
  <c r="T509" i="17" s="1"/>
  <c r="R489" i="17"/>
  <c r="T489" i="17" s="1"/>
  <c r="R485" i="17"/>
  <c r="T485" i="17" s="1"/>
  <c r="R477" i="17"/>
  <c r="T477" i="17" s="1"/>
  <c r="R469" i="17"/>
  <c r="T469" i="17" s="1"/>
  <c r="R453" i="17"/>
  <c r="T453" i="17" s="1"/>
  <c r="R449" i="17"/>
  <c r="T449" i="17" s="1"/>
  <c r="R441" i="17"/>
  <c r="T441" i="17" s="1"/>
  <c r="R437" i="17"/>
  <c r="T437" i="17" s="1"/>
  <c r="R433" i="17"/>
  <c r="T433" i="17" s="1"/>
  <c r="R385" i="17"/>
  <c r="T385" i="17" s="1"/>
  <c r="R381" i="17"/>
  <c r="T381" i="17" s="1"/>
  <c r="R377" i="17"/>
  <c r="T377" i="17" s="1"/>
  <c r="R369" i="17"/>
  <c r="T369" i="17" s="1"/>
  <c r="R345" i="17"/>
  <c r="T345" i="17" s="1"/>
  <c r="R341" i="17"/>
  <c r="T341" i="17" s="1"/>
  <c r="R329" i="17"/>
  <c r="T329" i="17" s="1"/>
  <c r="R309" i="17"/>
  <c r="T309" i="17" s="1"/>
  <c r="R297" i="17"/>
  <c r="T297" i="17" s="1"/>
  <c r="R269" i="17"/>
  <c r="T269" i="17" s="1"/>
  <c r="R261" i="17"/>
  <c r="T261" i="17" s="1"/>
  <c r="R245" i="17"/>
  <c r="T245" i="17" s="1"/>
  <c r="R241" i="17"/>
  <c r="T241" i="17" s="1"/>
  <c r="R205" i="17"/>
  <c r="T205" i="17" s="1"/>
  <c r="R173" i="17"/>
  <c r="T173" i="17" s="1"/>
  <c r="R105" i="17"/>
  <c r="T105" i="17" s="1"/>
  <c r="R69" i="17"/>
  <c r="T69" i="17" s="1"/>
  <c r="R61" i="17"/>
  <c r="T61" i="17" s="1"/>
  <c r="R53" i="17"/>
  <c r="T53" i="17" s="1"/>
  <c r="R45" i="17"/>
  <c r="T45" i="17" s="1"/>
  <c r="R29" i="17"/>
  <c r="T29" i="17" s="1"/>
  <c r="R17" i="17"/>
  <c r="T17" i="17" s="1"/>
  <c r="R5" i="17"/>
  <c r="T5" i="17" s="1"/>
  <c r="I877" i="17"/>
  <c r="K877" i="17" s="1"/>
  <c r="I873" i="17"/>
  <c r="K873" i="17" s="1"/>
  <c r="I869" i="17"/>
  <c r="K869" i="17" s="1"/>
  <c r="I865" i="17"/>
  <c r="K865" i="17" s="1"/>
  <c r="I817" i="17"/>
  <c r="K817" i="17" s="1"/>
  <c r="I797" i="17"/>
  <c r="K797" i="17" s="1"/>
  <c r="I733" i="17"/>
  <c r="K733" i="17" s="1"/>
  <c r="I473" i="17"/>
  <c r="K473" i="17" s="1"/>
  <c r="I461" i="17"/>
  <c r="K461" i="17" s="1"/>
  <c r="I453" i="17"/>
  <c r="K453" i="17" s="1"/>
  <c r="I441" i="17"/>
  <c r="K441" i="17" s="1"/>
  <c r="I397" i="17"/>
  <c r="K397" i="17" s="1"/>
  <c r="I341" i="17"/>
  <c r="K341" i="17" s="1"/>
  <c r="I309" i="17"/>
  <c r="K309" i="17" s="1"/>
  <c r="I281" i="17"/>
  <c r="K281" i="17" s="1"/>
  <c r="I261" i="17"/>
  <c r="K261" i="17" s="1"/>
  <c r="I201" i="17"/>
  <c r="K201" i="17" s="1"/>
  <c r="I193" i="17"/>
  <c r="K193" i="17" s="1"/>
  <c r="I181" i="17"/>
  <c r="K181" i="17" s="1"/>
  <c r="I177" i="17"/>
  <c r="K177" i="17" s="1"/>
  <c r="AG997" i="17"/>
  <c r="AG989" i="17"/>
  <c r="AG985" i="17"/>
  <c r="AG981" i="17"/>
  <c r="AG977" i="17"/>
  <c r="AG973" i="17"/>
  <c r="AG965" i="17"/>
  <c r="AG961" i="17"/>
  <c r="AG949" i="17"/>
  <c r="AG945" i="17"/>
  <c r="AG937" i="17"/>
  <c r="AG933" i="17"/>
  <c r="AG929" i="17"/>
  <c r="AG925" i="17"/>
  <c r="AG909" i="17"/>
  <c r="AG901" i="17"/>
  <c r="AG897" i="17"/>
  <c r="AG893" i="17"/>
  <c r="AG889" i="17"/>
  <c r="AG885" i="17"/>
  <c r="AG877" i="17"/>
  <c r="AG869" i="17"/>
  <c r="AG865" i="17"/>
  <c r="AG861" i="17"/>
  <c r="AG857" i="17"/>
  <c r="AG853" i="17"/>
  <c r="AG849" i="17"/>
  <c r="AG841" i="17"/>
  <c r="AG833" i="17"/>
  <c r="AG829" i="17"/>
  <c r="AG825" i="17"/>
  <c r="AG821" i="17"/>
  <c r="AG817" i="17"/>
  <c r="AG813" i="17"/>
  <c r="AG809" i="17"/>
  <c r="AG789" i="17"/>
  <c r="AG785" i="17"/>
  <c r="AG769" i="17"/>
  <c r="AG765" i="17"/>
  <c r="AG761" i="17"/>
  <c r="AG753" i="17"/>
  <c r="AG749" i="17"/>
  <c r="AG745" i="17"/>
  <c r="AG741" i="17"/>
  <c r="AG737" i="17"/>
  <c r="AG733" i="17"/>
  <c r="AG729" i="17"/>
  <c r="AG725" i="17"/>
  <c r="AG721" i="17"/>
  <c r="AG717" i="17"/>
  <c r="AG709" i="17"/>
  <c r="AG705" i="17"/>
  <c r="AG701" i="17"/>
  <c r="AG697" i="17"/>
  <c r="AG693" i="17"/>
  <c r="AG689" i="17"/>
  <c r="R987" i="17"/>
  <c r="T987" i="17" s="1"/>
  <c r="R955" i="17"/>
  <c r="T955" i="17" s="1"/>
  <c r="R956" i="17"/>
  <c r="T956" i="17" s="1"/>
  <c r="AG685" i="17"/>
  <c r="AG681" i="17"/>
  <c r="AG677" i="17"/>
  <c r="AG669" i="17"/>
  <c r="AG665" i="17"/>
  <c r="AG661" i="17"/>
  <c r="AG657" i="17"/>
  <c r="AG653" i="17"/>
  <c r="AG649" i="17"/>
  <c r="AG645" i="17"/>
  <c r="AG637" i="17"/>
  <c r="AG633" i="17"/>
  <c r="AG629" i="17"/>
  <c r="AG625" i="17"/>
  <c r="AG617" i="17"/>
  <c r="AG609" i="17"/>
  <c r="AG605" i="17"/>
  <c r="AG597" i="17"/>
  <c r="AG593" i="17"/>
  <c r="AG581" i="17"/>
  <c r="AG577" i="17"/>
  <c r="AG573" i="17"/>
  <c r="AG569" i="17"/>
  <c r="AG565" i="17"/>
  <c r="AG561" i="17"/>
  <c r="AG557" i="17"/>
  <c r="AG553" i="17"/>
  <c r="AG549" i="17"/>
  <c r="AG541" i="17"/>
  <c r="AG537" i="17"/>
  <c r="AG533" i="17"/>
  <c r="AG525" i="17"/>
  <c r="AG521" i="17"/>
  <c r="AG513" i="17"/>
  <c r="AG505" i="17"/>
  <c r="AG501" i="17"/>
  <c r="AG493" i="17"/>
  <c r="AG481" i="17"/>
  <c r="AG473" i="17"/>
  <c r="AG465" i="17"/>
  <c r="AG461" i="17"/>
  <c r="AG445" i="17"/>
  <c r="AG429" i="17"/>
  <c r="AG425" i="17"/>
  <c r="AG421" i="17"/>
  <c r="AG413" i="17"/>
  <c r="AG409" i="17"/>
  <c r="AG405" i="17"/>
  <c r="AG397" i="17"/>
  <c r="AG393" i="17"/>
  <c r="AG373" i="17"/>
  <c r="AG365" i="17"/>
  <c r="AG361" i="17"/>
  <c r="AG357" i="17"/>
  <c r="AG349" i="17"/>
  <c r="AG333" i="17"/>
  <c r="AG325" i="17"/>
  <c r="AG321" i="17"/>
  <c r="AG313" i="17"/>
  <c r="AG293" i="17"/>
  <c r="AG289" i="17"/>
  <c r="AG281" i="17"/>
  <c r="AG277" i="17"/>
  <c r="AG265" i="17"/>
  <c r="AG253" i="17"/>
  <c r="AG249" i="17"/>
  <c r="AG237" i="17"/>
  <c r="AG233" i="17"/>
  <c r="AG229" i="17"/>
  <c r="AG225" i="17"/>
  <c r="AG221" i="17"/>
  <c r="AG217" i="17"/>
  <c r="AG209" i="17"/>
  <c r="AG197" i="17"/>
  <c r="AG141" i="17"/>
  <c r="AG129" i="17"/>
  <c r="AG125" i="17"/>
  <c r="AG101" i="17"/>
  <c r="AG89" i="17"/>
  <c r="AG65" i="17"/>
  <c r="AG57" i="17"/>
  <c r="AG49" i="17"/>
  <c r="AG41" i="17"/>
  <c r="AG25" i="17"/>
  <c r="AG9" i="17"/>
  <c r="R999" i="17"/>
  <c r="T999" i="17" s="1"/>
  <c r="R963" i="17"/>
  <c r="T963" i="17" s="1"/>
  <c r="R30" i="17"/>
  <c r="T30" i="17" s="1"/>
  <c r="R54" i="17"/>
  <c r="T54" i="17" s="1"/>
  <c r="R62" i="17"/>
  <c r="T62" i="17" s="1"/>
  <c r="R390" i="17"/>
  <c r="T390" i="17" s="1"/>
  <c r="I580" i="17"/>
  <c r="K580" i="17" s="1"/>
  <c r="R652" i="17"/>
  <c r="T652" i="17" s="1"/>
  <c r="R735" i="17"/>
  <c r="T735" i="17" s="1"/>
  <c r="I868" i="17"/>
  <c r="K868" i="17" s="1"/>
  <c r="R931" i="17"/>
  <c r="T931" i="17" s="1"/>
  <c r="R990" i="17"/>
  <c r="T990" i="17" s="1"/>
  <c r="I293" i="17"/>
  <c r="K293" i="17" s="1"/>
  <c r="I14" i="17"/>
  <c r="K14" i="17" s="1"/>
  <c r="R158" i="17"/>
  <c r="T158" i="17" s="1"/>
  <c r="I220" i="17"/>
  <c r="K220" i="17" s="1"/>
  <c r="I252" i="17"/>
  <c r="K252" i="17" s="1"/>
  <c r="I390" i="17"/>
  <c r="K390" i="17" s="1"/>
  <c r="R762" i="17"/>
  <c r="T762" i="17" s="1"/>
  <c r="R3" i="17"/>
  <c r="T3" i="17" s="1"/>
  <c r="I7" i="18" s="1"/>
  <c r="I30" i="17"/>
  <c r="K30" i="17" s="1"/>
  <c r="I54" i="17"/>
  <c r="K54" i="17" s="1"/>
  <c r="I62" i="17"/>
  <c r="K62" i="17" s="1"/>
  <c r="R150" i="17"/>
  <c r="T150" i="17" s="1"/>
  <c r="R216" i="17"/>
  <c r="T216" i="17" s="1"/>
  <c r="R312" i="17"/>
  <c r="T312" i="17" s="1"/>
  <c r="I502" i="17"/>
  <c r="K502" i="17" s="1"/>
  <c r="I526" i="17"/>
  <c r="K526" i="17" s="1"/>
  <c r="R635" i="17"/>
  <c r="T635" i="17" s="1"/>
  <c r="R778" i="17"/>
  <c r="T778" i="17" s="1"/>
  <c r="R839" i="17"/>
  <c r="T839" i="17" s="1"/>
  <c r="I876" i="17"/>
  <c r="K876" i="17" s="1"/>
  <c r="I908" i="17"/>
  <c r="K908" i="17" s="1"/>
  <c r="R22" i="17"/>
  <c r="T22" i="17" s="1"/>
  <c r="R98" i="17"/>
  <c r="T98" i="17" s="1"/>
  <c r="R166" i="17"/>
  <c r="T166" i="17" s="1"/>
  <c r="I236" i="17"/>
  <c r="K236" i="17" s="1"/>
  <c r="R366" i="17"/>
  <c r="T366" i="17" s="1"/>
  <c r="R604" i="17"/>
  <c r="T604" i="17" s="1"/>
  <c r="I889" i="17"/>
  <c r="K889" i="17" s="1"/>
  <c r="I505" i="17"/>
  <c r="K505" i="17" s="1"/>
  <c r="R2" i="17"/>
  <c r="T2" i="17" s="1"/>
  <c r="R14" i="17"/>
  <c r="T14" i="17" s="1"/>
  <c r="I22" i="17"/>
  <c r="K22" i="17" s="1"/>
  <c r="I71" i="17"/>
  <c r="K71" i="17" s="1"/>
  <c r="I115" i="17"/>
  <c r="K115" i="17" s="1"/>
  <c r="I166" i="17"/>
  <c r="K166" i="17" s="1"/>
  <c r="I364" i="17"/>
  <c r="K364" i="17" s="1"/>
  <c r="R534" i="17"/>
  <c r="T534" i="17" s="1"/>
  <c r="I604" i="17"/>
  <c r="K604" i="17" s="1"/>
  <c r="R618" i="17"/>
  <c r="T618" i="17" s="1"/>
  <c r="I618" i="17"/>
  <c r="K618" i="17" s="1"/>
  <c r="I652" i="17"/>
  <c r="K652" i="17" s="1"/>
  <c r="R928" i="17"/>
  <c r="T928" i="17" s="1"/>
  <c r="I43" i="17"/>
  <c r="K43" i="17" s="1"/>
  <c r="R86" i="17"/>
  <c r="T86" i="17" s="1"/>
  <c r="I158" i="17"/>
  <c r="K158" i="17" s="1"/>
  <c r="I2" i="17"/>
  <c r="K2" i="17" s="1"/>
  <c r="I3" i="17"/>
  <c r="K3" i="17" s="1"/>
  <c r="I8" i="17"/>
  <c r="K8" i="17" s="1"/>
  <c r="I15" i="17"/>
  <c r="K15" i="17" s="1"/>
  <c r="I27" i="17"/>
  <c r="K27" i="17" s="1"/>
  <c r="R38" i="17"/>
  <c r="T38" i="17" s="1"/>
  <c r="R42" i="17"/>
  <c r="T42" i="17" s="1"/>
  <c r="I51" i="17"/>
  <c r="K51" i="17" s="1"/>
  <c r="I59" i="17"/>
  <c r="K59" i="17" s="1"/>
  <c r="I67" i="17"/>
  <c r="K67" i="17" s="1"/>
  <c r="I86" i="17"/>
  <c r="K86" i="17" s="1"/>
  <c r="AH86" i="17" s="1"/>
  <c r="R88" i="17"/>
  <c r="T88" i="17" s="1"/>
  <c r="I103" i="17"/>
  <c r="K103" i="17" s="1"/>
  <c r="R118" i="17"/>
  <c r="T118" i="17" s="1"/>
  <c r="R126" i="17"/>
  <c r="T126" i="17" s="1"/>
  <c r="I150" i="17"/>
  <c r="K150" i="17" s="1"/>
  <c r="I228" i="17"/>
  <c r="K228" i="17" s="1"/>
  <c r="R264" i="17"/>
  <c r="T264" i="17" s="1"/>
  <c r="I312" i="17"/>
  <c r="K312" i="17" s="1"/>
  <c r="I360" i="17"/>
  <c r="K360" i="17" s="1"/>
  <c r="I626" i="17"/>
  <c r="K626" i="17" s="1"/>
  <c r="R731" i="17"/>
  <c r="T731" i="17" s="1"/>
  <c r="R814" i="17"/>
  <c r="T814" i="17" s="1"/>
  <c r="I814" i="17"/>
  <c r="K814" i="17" s="1"/>
  <c r="R924" i="17"/>
  <c r="T924" i="17" s="1"/>
  <c r="R951" i="17"/>
  <c r="T951" i="17" s="1"/>
  <c r="I990" i="17"/>
  <c r="K990" i="17" s="1"/>
  <c r="R925" i="17"/>
  <c r="T925" i="17" s="1"/>
  <c r="R849" i="17"/>
  <c r="T849" i="17" s="1"/>
  <c r="R301" i="17"/>
  <c r="T301" i="17" s="1"/>
  <c r="AG1001" i="17"/>
  <c r="AG969" i="17"/>
  <c r="AG953" i="17"/>
  <c r="AG913" i="17"/>
  <c r="R330" i="17"/>
  <c r="T330" i="17" s="1"/>
  <c r="R352" i="17"/>
  <c r="T352" i="17" s="1"/>
  <c r="R368" i="17"/>
  <c r="T368" i="17" s="1"/>
  <c r="R374" i="17"/>
  <c r="T374" i="17" s="1"/>
  <c r="R375" i="17"/>
  <c r="T375" i="17" s="1"/>
  <c r="R532" i="17"/>
  <c r="T532" i="17" s="1"/>
  <c r="R548" i="17"/>
  <c r="T548" i="17" s="1"/>
  <c r="R571" i="17"/>
  <c r="T571" i="17" s="1"/>
  <c r="R572" i="17"/>
  <c r="T572" i="17" s="1"/>
  <c r="I681" i="17"/>
  <c r="K681" i="17" s="1"/>
  <c r="R734" i="17"/>
  <c r="T734" i="17" s="1"/>
  <c r="R750" i="17"/>
  <c r="T750" i="17" s="1"/>
  <c r="R757" i="17"/>
  <c r="T757" i="17" s="1"/>
  <c r="I857" i="17"/>
  <c r="K857" i="17" s="1"/>
  <c r="AH857" i="17" s="1"/>
  <c r="R903" i="17"/>
  <c r="T903" i="17" s="1"/>
  <c r="R912" i="17"/>
  <c r="T912" i="17" s="1"/>
  <c r="R1001" i="17"/>
  <c r="T1001" i="17" s="1"/>
  <c r="R983" i="17"/>
  <c r="T983" i="17" s="1"/>
  <c r="R662" i="17"/>
  <c r="T662" i="17" s="1"/>
  <c r="R257" i="17"/>
  <c r="T257" i="17" s="1"/>
  <c r="R587" i="17"/>
  <c r="T587" i="17" s="1"/>
  <c r="I244" i="17"/>
  <c r="K244" i="17" s="1"/>
  <c r="I368" i="17"/>
  <c r="K368" i="17" s="1"/>
  <c r="I374" i="17"/>
  <c r="K374" i="17" s="1"/>
  <c r="I437" i="17"/>
  <c r="K437" i="17" s="1"/>
  <c r="I489" i="17"/>
  <c r="K489" i="17" s="1"/>
  <c r="I532" i="17"/>
  <c r="K532" i="17" s="1"/>
  <c r="I548" i="17"/>
  <c r="K548" i="17" s="1"/>
  <c r="AH548" i="17" s="1"/>
  <c r="I574" i="17"/>
  <c r="K574" i="17" s="1"/>
  <c r="I606" i="17"/>
  <c r="K606" i="17" s="1"/>
  <c r="I628" i="17"/>
  <c r="K628" i="17" s="1"/>
  <c r="AH628" i="17" s="1"/>
  <c r="R664" i="17"/>
  <c r="T664" i="17" s="1"/>
  <c r="I676" i="17"/>
  <c r="K676" i="17" s="1"/>
  <c r="I684" i="17"/>
  <c r="K684" i="17" s="1"/>
  <c r="I688" i="17"/>
  <c r="K688" i="17" s="1"/>
  <c r="I736" i="17"/>
  <c r="K736" i="17" s="1"/>
  <c r="R769" i="17"/>
  <c r="T769" i="17" s="1"/>
  <c r="R799" i="17"/>
  <c r="T799" i="17" s="1"/>
  <c r="I872" i="17"/>
  <c r="K872" i="17" s="1"/>
  <c r="R880" i="17"/>
  <c r="T880" i="17" s="1"/>
  <c r="I925" i="17"/>
  <c r="K925" i="17" s="1"/>
  <c r="R969" i="17"/>
  <c r="T969" i="17" s="1"/>
  <c r="R973" i="17"/>
  <c r="T973" i="17" s="1"/>
  <c r="R847" i="17"/>
  <c r="T847" i="17" s="1"/>
  <c r="R806" i="17"/>
  <c r="T806" i="17" s="1"/>
  <c r="R742" i="17"/>
  <c r="T742" i="17" s="1"/>
  <c r="I558" i="17"/>
  <c r="K558" i="17" s="1"/>
  <c r="I588" i="17"/>
  <c r="K588" i="17" s="1"/>
  <c r="I602" i="17"/>
  <c r="K602" i="17" s="1"/>
  <c r="I612" i="17"/>
  <c r="K612" i="17" s="1"/>
  <c r="R693" i="17"/>
  <c r="T693" i="17" s="1"/>
  <c r="I713" i="17"/>
  <c r="K713" i="17" s="1"/>
  <c r="R741" i="17"/>
  <c r="T741" i="17" s="1"/>
  <c r="I845" i="17"/>
  <c r="K845" i="17" s="1"/>
  <c r="I860" i="17"/>
  <c r="K860" i="17" s="1"/>
  <c r="R864" i="17"/>
  <c r="T864" i="17" s="1"/>
  <c r="I905" i="17"/>
  <c r="K905" i="17" s="1"/>
  <c r="I920" i="17"/>
  <c r="K920" i="17" s="1"/>
  <c r="R934" i="17"/>
  <c r="T934" i="17" s="1"/>
  <c r="R960" i="17"/>
  <c r="T960" i="17" s="1"/>
  <c r="R967" i="17"/>
  <c r="T967" i="17" s="1"/>
  <c r="R972" i="17"/>
  <c r="T972" i="17" s="1"/>
  <c r="I976" i="17"/>
  <c r="K976" i="17" s="1"/>
  <c r="R940" i="17"/>
  <c r="T940" i="17" s="1"/>
  <c r="R598" i="17"/>
  <c r="T598" i="17" s="1"/>
  <c r="R991" i="17"/>
  <c r="T991" i="17" s="1"/>
  <c r="R891" i="17"/>
  <c r="T891" i="17" s="1"/>
  <c r="R871" i="17"/>
  <c r="T871" i="17" s="1"/>
  <c r="R855" i="17"/>
  <c r="T855" i="17" s="1"/>
  <c r="R619" i="17"/>
  <c r="T619" i="17" s="1"/>
  <c r="R979" i="17"/>
  <c r="T979" i="17" s="1"/>
  <c r="AG1000" i="17"/>
  <c r="AG996" i="17"/>
  <c r="AG992" i="17"/>
  <c r="AG988" i="17"/>
  <c r="AG984" i="17"/>
  <c r="AG980" i="17"/>
  <c r="AG976" i="17"/>
  <c r="I276" i="17"/>
  <c r="K276" i="17" s="1"/>
  <c r="I572" i="17"/>
  <c r="K572" i="17" s="1"/>
  <c r="I670" i="17"/>
  <c r="K670" i="17" s="1"/>
  <c r="R75" i="17"/>
  <c r="T75" i="17" s="1"/>
  <c r="R84" i="17"/>
  <c r="T84" i="17" s="1"/>
  <c r="R100" i="17"/>
  <c r="T100" i="17" s="1"/>
  <c r="R116" i="17"/>
  <c r="T116" i="17" s="1"/>
  <c r="R122" i="17"/>
  <c r="T122" i="17" s="1"/>
  <c r="R132" i="17"/>
  <c r="T132" i="17" s="1"/>
  <c r="R136" i="17"/>
  <c r="T136" i="17" s="1"/>
  <c r="R140" i="17"/>
  <c r="T140" i="17" s="1"/>
  <c r="R148" i="17"/>
  <c r="T148" i="17" s="1"/>
  <c r="R210" i="17"/>
  <c r="T210" i="17" s="1"/>
  <c r="R218" i="17"/>
  <c r="T218" i="17" s="1"/>
  <c r="R256" i="17"/>
  <c r="T256" i="17" s="1"/>
  <c r="R263" i="17"/>
  <c r="T263" i="17" s="1"/>
  <c r="R270" i="17"/>
  <c r="T270" i="17" s="1"/>
  <c r="I285" i="17"/>
  <c r="K285" i="17" s="1"/>
  <c r="I317" i="17"/>
  <c r="K317" i="17" s="1"/>
  <c r="R474" i="17"/>
  <c r="T474" i="17" s="1"/>
  <c r="R478" i="17"/>
  <c r="T478" i="17" s="1"/>
  <c r="R482" i="17"/>
  <c r="T482" i="17" s="1"/>
  <c r="R492" i="17"/>
  <c r="T492" i="17" s="1"/>
  <c r="R496" i="17"/>
  <c r="T496" i="17" s="1"/>
  <c r="R610" i="17"/>
  <c r="T610" i="17" s="1"/>
  <c r="R643" i="17"/>
  <c r="T643" i="17" s="1"/>
  <c r="I696" i="17"/>
  <c r="K696" i="17" s="1"/>
  <c r="R696" i="17"/>
  <c r="T696" i="17" s="1"/>
  <c r="R853" i="17"/>
  <c r="T853" i="17" s="1"/>
  <c r="I288" i="17"/>
  <c r="K288" i="17" s="1"/>
  <c r="I320" i="17"/>
  <c r="K320" i="17" s="1"/>
  <c r="I352" i="17"/>
  <c r="K352" i="17" s="1"/>
  <c r="I75" i="17"/>
  <c r="K75" i="17" s="1"/>
  <c r="R92" i="17"/>
  <c r="T92" i="17" s="1"/>
  <c r="R108" i="17"/>
  <c r="T108" i="17" s="1"/>
  <c r="R125" i="17"/>
  <c r="T125" i="17" s="1"/>
  <c r="R128" i="17"/>
  <c r="T128" i="17" s="1"/>
  <c r="R144" i="17"/>
  <c r="T144" i="17" s="1"/>
  <c r="R151" i="17"/>
  <c r="T151" i="17" s="1"/>
  <c r="R161" i="17"/>
  <c r="T161" i="17" s="1"/>
  <c r="I171" i="17"/>
  <c r="K171" i="17" s="1"/>
  <c r="R171" i="17"/>
  <c r="T171" i="17" s="1"/>
  <c r="I185" i="17"/>
  <c r="K185" i="17" s="1"/>
  <c r="R185" i="17"/>
  <c r="T185" i="17" s="1"/>
  <c r="R198" i="17"/>
  <c r="T198" i="17" s="1"/>
  <c r="R204" i="17"/>
  <c r="T204" i="17" s="1"/>
  <c r="R214" i="17"/>
  <c r="T214" i="17" s="1"/>
  <c r="R260" i="17"/>
  <c r="T260" i="17" s="1"/>
  <c r="R266" i="17"/>
  <c r="T266" i="17" s="1"/>
  <c r="R273" i="17"/>
  <c r="T273" i="17" s="1"/>
  <c r="R277" i="17"/>
  <c r="T277" i="17" s="1"/>
  <c r="R285" i="17"/>
  <c r="T285" i="17" s="1"/>
  <c r="R317" i="17"/>
  <c r="T317" i="17" s="1"/>
  <c r="R321" i="17"/>
  <c r="T321" i="17" s="1"/>
  <c r="AG348" i="17"/>
  <c r="I349" i="17"/>
  <c r="K349" i="17" s="1"/>
  <c r="AH349" i="17" s="1"/>
  <c r="R349" i="17"/>
  <c r="T349" i="17" s="1"/>
  <c r="R353" i="17"/>
  <c r="T353" i="17" s="1"/>
  <c r="R411" i="17"/>
  <c r="T411" i="17" s="1"/>
  <c r="R415" i="17"/>
  <c r="T415" i="17" s="1"/>
  <c r="R500" i="17"/>
  <c r="T500" i="17" s="1"/>
  <c r="I530" i="17"/>
  <c r="K530" i="17" s="1"/>
  <c r="R530" i="17"/>
  <c r="T530" i="17" s="1"/>
  <c r="I610" i="17"/>
  <c r="K610" i="17" s="1"/>
  <c r="I4" i="17"/>
  <c r="K4" i="17" s="1"/>
  <c r="R4" i="17"/>
  <c r="T4" i="17" s="1"/>
  <c r="I11" i="18" s="1"/>
  <c r="R7" i="17"/>
  <c r="T7" i="17" s="1"/>
  <c r="R13" i="17"/>
  <c r="T13" i="17" s="1"/>
  <c r="R16" i="17"/>
  <c r="T16" i="17" s="1"/>
  <c r="R24" i="17"/>
  <c r="T24" i="17" s="1"/>
  <c r="R32" i="17"/>
  <c r="T32" i="17" s="1"/>
  <c r="R40" i="17"/>
  <c r="T40" i="17" s="1"/>
  <c r="R48" i="17"/>
  <c r="T48" i="17" s="1"/>
  <c r="R56" i="17"/>
  <c r="T56" i="17" s="1"/>
  <c r="R64" i="17"/>
  <c r="T64" i="17" s="1"/>
  <c r="I70" i="17"/>
  <c r="K70" i="17" s="1"/>
  <c r="R70" i="17"/>
  <c r="T70" i="17" s="1"/>
  <c r="R73" i="17"/>
  <c r="T73" i="17" s="1"/>
  <c r="R76" i="17"/>
  <c r="T76" i="17" s="1"/>
  <c r="R85" i="17"/>
  <c r="T85" i="17" s="1"/>
  <c r="R93" i="17"/>
  <c r="T93" i="17" s="1"/>
  <c r="R101" i="17"/>
  <c r="T101" i="17" s="1"/>
  <c r="R109" i="17"/>
  <c r="T109" i="17" s="1"/>
  <c r="R117" i="17"/>
  <c r="T117" i="17" s="1"/>
  <c r="R133" i="17"/>
  <c r="T133" i="17" s="1"/>
  <c r="R137" i="17"/>
  <c r="T137" i="17" s="1"/>
  <c r="R141" i="17"/>
  <c r="T141" i="17" s="1"/>
  <c r="R145" i="17"/>
  <c r="T145" i="17" s="1"/>
  <c r="R149" i="17"/>
  <c r="T149" i="17" s="1"/>
  <c r="R152" i="17"/>
  <c r="T152" i="17" s="1"/>
  <c r="R162" i="17"/>
  <c r="T162" i="17" s="1"/>
  <c r="R165" i="17"/>
  <c r="T165" i="17" s="1"/>
  <c r="R168" i="17"/>
  <c r="T168" i="17" s="1"/>
  <c r="R182" i="17"/>
  <c r="T182" i="17" s="1"/>
  <c r="R196" i="17"/>
  <c r="T196" i="17" s="1"/>
  <c r="R253" i="17"/>
  <c r="T253" i="17" s="1"/>
  <c r="R282" i="17"/>
  <c r="T282" i="17" s="1"/>
  <c r="I304" i="17"/>
  <c r="K304" i="17" s="1"/>
  <c r="R304" i="17"/>
  <c r="T304" i="17" s="1"/>
  <c r="R308" i="17"/>
  <c r="T308" i="17" s="1"/>
  <c r="R311" i="17"/>
  <c r="T311" i="17" s="1"/>
  <c r="R314" i="17"/>
  <c r="T314" i="17" s="1"/>
  <c r="I336" i="17"/>
  <c r="K336" i="17" s="1"/>
  <c r="R336" i="17"/>
  <c r="T336" i="17" s="1"/>
  <c r="R340" i="17"/>
  <c r="T340" i="17" s="1"/>
  <c r="R343" i="17"/>
  <c r="T343" i="17" s="1"/>
  <c r="R346" i="17"/>
  <c r="T346" i="17" s="1"/>
  <c r="I401" i="17"/>
  <c r="K401" i="17" s="1"/>
  <c r="R401" i="17"/>
  <c r="T401" i="17" s="1"/>
  <c r="R405" i="17"/>
  <c r="T405" i="17" s="1"/>
  <c r="R431" i="17"/>
  <c r="T431" i="17" s="1"/>
  <c r="I445" i="17"/>
  <c r="K445" i="17" s="1"/>
  <c r="R445" i="17"/>
  <c r="T445" i="17" s="1"/>
  <c r="I449" i="17"/>
  <c r="K449" i="17" s="1"/>
  <c r="R456" i="17"/>
  <c r="T456" i="17" s="1"/>
  <c r="R460" i="17"/>
  <c r="T460" i="17" s="1"/>
  <c r="R463" i="17"/>
  <c r="T463" i="17" s="1"/>
  <c r="R467" i="17"/>
  <c r="T467" i="17" s="1"/>
  <c r="R471" i="17"/>
  <c r="T471" i="17" s="1"/>
  <c r="R479" i="17"/>
  <c r="T479" i="17" s="1"/>
  <c r="R501" i="17"/>
  <c r="T501" i="17" s="1"/>
  <c r="R597" i="17"/>
  <c r="T597" i="17" s="1"/>
  <c r="R607" i="17"/>
  <c r="T607" i="17" s="1"/>
  <c r="I636" i="17"/>
  <c r="K636" i="17" s="1"/>
  <c r="AH636" i="17" s="1"/>
  <c r="R636" i="17"/>
  <c r="T636" i="17" s="1"/>
  <c r="I693" i="17"/>
  <c r="K693" i="17" s="1"/>
  <c r="I708" i="17"/>
  <c r="K708" i="17" s="1"/>
  <c r="AH708" i="17" s="1"/>
  <c r="R708" i="17"/>
  <c r="T708" i="17" s="1"/>
  <c r="R719" i="17"/>
  <c r="T719" i="17" s="1"/>
  <c r="I953" i="17"/>
  <c r="K953" i="17" s="1"/>
  <c r="R953" i="17"/>
  <c r="T953" i="17" s="1"/>
  <c r="R25" i="17"/>
  <c r="T25" i="17" s="1"/>
  <c r="R33" i="17"/>
  <c r="T33" i="17" s="1"/>
  <c r="R41" i="17"/>
  <c r="T41" i="17" s="1"/>
  <c r="R49" i="17"/>
  <c r="T49" i="17" s="1"/>
  <c r="R57" i="17"/>
  <c r="T57" i="17" s="1"/>
  <c r="R65" i="17"/>
  <c r="T65" i="17" s="1"/>
  <c r="I179" i="17"/>
  <c r="K179" i="17" s="1"/>
  <c r="I279" i="17"/>
  <c r="K279" i="17" s="1"/>
  <c r="I301" i="17"/>
  <c r="K301" i="17" s="1"/>
  <c r="I333" i="17"/>
  <c r="K333" i="17" s="1"/>
  <c r="AH333" i="17" s="1"/>
  <c r="I386" i="17"/>
  <c r="K386" i="17" s="1"/>
  <c r="I389" i="17"/>
  <c r="K389" i="17" s="1"/>
  <c r="R389" i="17"/>
  <c r="T389" i="17" s="1"/>
  <c r="R392" i="17"/>
  <c r="T392" i="17" s="1"/>
  <c r="R398" i="17"/>
  <c r="T398" i="17" s="1"/>
  <c r="I417" i="17"/>
  <c r="K417" i="17" s="1"/>
  <c r="R417" i="17"/>
  <c r="T417" i="17" s="1"/>
  <c r="I421" i="17"/>
  <c r="K421" i="17" s="1"/>
  <c r="R421" i="17"/>
  <c r="T421" i="17" s="1"/>
  <c r="R424" i="17"/>
  <c r="T424" i="17" s="1"/>
  <c r="R442" i="17"/>
  <c r="T442" i="17" s="1"/>
  <c r="R506" i="17"/>
  <c r="T506" i="17" s="1"/>
  <c r="R510" i="17"/>
  <c r="T510" i="17" s="1"/>
  <c r="R514" i="17"/>
  <c r="T514" i="17" s="1"/>
  <c r="R521" i="17"/>
  <c r="T521" i="17" s="1"/>
  <c r="R524" i="17"/>
  <c r="T524" i="17" s="1"/>
  <c r="I536" i="17"/>
  <c r="K536" i="17" s="1"/>
  <c r="R536" i="17"/>
  <c r="T536" i="17" s="1"/>
  <c r="I582" i="17"/>
  <c r="K582" i="17" s="1"/>
  <c r="R582" i="17"/>
  <c r="T582" i="17" s="1"/>
  <c r="R586" i="17"/>
  <c r="T586" i="17" s="1"/>
  <c r="I630" i="17"/>
  <c r="K630" i="17" s="1"/>
  <c r="R630" i="17"/>
  <c r="T630" i="17" s="1"/>
  <c r="R677" i="17"/>
  <c r="T677" i="17" s="1"/>
  <c r="R705" i="17"/>
  <c r="T705" i="17" s="1"/>
  <c r="R897" i="17"/>
  <c r="T897" i="17" s="1"/>
  <c r="R901" i="17"/>
  <c r="T901" i="17" s="1"/>
  <c r="R919" i="17"/>
  <c r="T919" i="17" s="1"/>
  <c r="I950" i="17"/>
  <c r="K950" i="17" s="1"/>
  <c r="R950" i="17"/>
  <c r="T950" i="17" s="1"/>
  <c r="R527" i="17"/>
  <c r="T527" i="17" s="1"/>
  <c r="R539" i="17"/>
  <c r="T539" i="17" s="1"/>
  <c r="I542" i="17"/>
  <c r="K542" i="17" s="1"/>
  <c r="R542" i="17"/>
  <c r="T542" i="17" s="1"/>
  <c r="R546" i="17"/>
  <c r="T546" i="17" s="1"/>
  <c r="R549" i="17"/>
  <c r="T549" i="17" s="1"/>
  <c r="R552" i="17"/>
  <c r="T552" i="17" s="1"/>
  <c r="R559" i="17"/>
  <c r="T559" i="17" s="1"/>
  <c r="R563" i="17"/>
  <c r="T563" i="17" s="1"/>
  <c r="R569" i="17"/>
  <c r="T569" i="17" s="1"/>
  <c r="R576" i="17"/>
  <c r="T576" i="17" s="1"/>
  <c r="R589" i="17"/>
  <c r="T589" i="17" s="1"/>
  <c r="R593" i="17"/>
  <c r="T593" i="17" s="1"/>
  <c r="R600" i="17"/>
  <c r="T600" i="17" s="1"/>
  <c r="R613" i="17"/>
  <c r="T613" i="17" s="1"/>
  <c r="R617" i="17"/>
  <c r="T617" i="17" s="1"/>
  <c r="I620" i="17"/>
  <c r="K620" i="17" s="1"/>
  <c r="R620" i="17"/>
  <c r="T620" i="17" s="1"/>
  <c r="R624" i="17"/>
  <c r="T624" i="17" s="1"/>
  <c r="R640" i="17"/>
  <c r="T640" i="17" s="1"/>
  <c r="R647" i="17"/>
  <c r="T647" i="17" s="1"/>
  <c r="R651" i="17"/>
  <c r="T651" i="17" s="1"/>
  <c r="R654" i="17"/>
  <c r="T654" i="17" s="1"/>
  <c r="R661" i="17"/>
  <c r="T661" i="17" s="1"/>
  <c r="R667" i="17"/>
  <c r="T667" i="17" s="1"/>
  <c r="R674" i="17"/>
  <c r="T674" i="17" s="1"/>
  <c r="R687" i="17"/>
  <c r="T687" i="17" s="1"/>
  <c r="R690" i="17"/>
  <c r="T690" i="17" s="1"/>
  <c r="R702" i="17"/>
  <c r="T702" i="17" s="1"/>
  <c r="R712" i="17"/>
  <c r="T712" i="17" s="1"/>
  <c r="R715" i="17"/>
  <c r="T715" i="17" s="1"/>
  <c r="R723" i="17"/>
  <c r="T723" i="17" s="1"/>
  <c r="R727" i="17"/>
  <c r="T727" i="17" s="1"/>
  <c r="I789" i="17"/>
  <c r="K789" i="17" s="1"/>
  <c r="R789" i="17"/>
  <c r="T789" i="17" s="1"/>
  <c r="R815" i="17"/>
  <c r="T815" i="17" s="1"/>
  <c r="R822" i="17"/>
  <c r="T822" i="17" s="1"/>
  <c r="I853" i="17"/>
  <c r="K853" i="17" s="1"/>
  <c r="AH853" i="17" s="1"/>
  <c r="R863" i="17"/>
  <c r="T863" i="17" s="1"/>
  <c r="R867" i="17"/>
  <c r="T867" i="17" s="1"/>
  <c r="R893" i="17"/>
  <c r="T893" i="17" s="1"/>
  <c r="R911" i="17"/>
  <c r="T911" i="17" s="1"/>
  <c r="R915" i="17"/>
  <c r="T915" i="17" s="1"/>
  <c r="R922" i="17"/>
  <c r="T922" i="17" s="1"/>
  <c r="R947" i="17"/>
  <c r="T947" i="17" s="1"/>
  <c r="I11" i="17"/>
  <c r="K11" i="17" s="1"/>
  <c r="R11" i="17"/>
  <c r="T11" i="17" s="1"/>
  <c r="I5" i="18" s="1"/>
  <c r="R20" i="17"/>
  <c r="T20" i="17" s="1"/>
  <c r="R28" i="17"/>
  <c r="T28" i="17" s="1"/>
  <c r="R36" i="17"/>
  <c r="T36" i="17" s="1"/>
  <c r="R44" i="17"/>
  <c r="T44" i="17" s="1"/>
  <c r="R52" i="17"/>
  <c r="T52" i="17" s="1"/>
  <c r="R60" i="17"/>
  <c r="T60" i="17" s="1"/>
  <c r="R68" i="17"/>
  <c r="T68" i="17" s="1"/>
  <c r="R77" i="17"/>
  <c r="T77" i="17" s="1"/>
  <c r="R80" i="17"/>
  <c r="T80" i="17" s="1"/>
  <c r="R96" i="17"/>
  <c r="T96" i="17" s="1"/>
  <c r="R104" i="17"/>
  <c r="T104" i="17" s="1"/>
  <c r="R112" i="17"/>
  <c r="T112" i="17" s="1"/>
  <c r="R120" i="17"/>
  <c r="T120" i="17" s="1"/>
  <c r="R130" i="17"/>
  <c r="T130" i="17" s="1"/>
  <c r="R134" i="17"/>
  <c r="T134" i="17" s="1"/>
  <c r="R138" i="17"/>
  <c r="T138" i="17" s="1"/>
  <c r="I142" i="17"/>
  <c r="K142" i="17" s="1"/>
  <c r="R142" i="17"/>
  <c r="T142" i="17" s="1"/>
  <c r="R146" i="17"/>
  <c r="T146" i="17" s="1"/>
  <c r="R153" i="17"/>
  <c r="T153" i="17" s="1"/>
  <c r="R156" i="17"/>
  <c r="T156" i="17" s="1"/>
  <c r="R159" i="17"/>
  <c r="T159" i="17" s="1"/>
  <c r="R172" i="17"/>
  <c r="T172" i="17" s="1"/>
  <c r="R180" i="17"/>
  <c r="T180" i="17" s="1"/>
  <c r="I183" i="17"/>
  <c r="K183" i="17" s="1"/>
  <c r="R183" i="17"/>
  <c r="T183" i="17" s="1"/>
  <c r="R186" i="17"/>
  <c r="T186" i="17" s="1"/>
  <c r="I189" i="17"/>
  <c r="K189" i="17" s="1"/>
  <c r="AH189" i="17" s="1"/>
  <c r="R189" i="17"/>
  <c r="T189" i="17" s="1"/>
  <c r="R194" i="17"/>
  <c r="T194" i="17" s="1"/>
  <c r="I197" i="17"/>
  <c r="K197" i="17" s="1"/>
  <c r="R197" i="17"/>
  <c r="T197" i="17" s="1"/>
  <c r="R211" i="17"/>
  <c r="T211" i="17" s="1"/>
  <c r="I215" i="17"/>
  <c r="K215" i="17" s="1"/>
  <c r="R215" i="17"/>
  <c r="T215" i="17" s="1"/>
  <c r="R219" i="17"/>
  <c r="T219" i="17" s="1"/>
  <c r="R222" i="17"/>
  <c r="T222" i="17" s="1"/>
  <c r="R225" i="17"/>
  <c r="T225" i="17" s="1"/>
  <c r="R229" i="17"/>
  <c r="T229" i="17" s="1"/>
  <c r="R243" i="17"/>
  <c r="T243" i="17" s="1"/>
  <c r="I247" i="17"/>
  <c r="K247" i="17" s="1"/>
  <c r="R247" i="17"/>
  <c r="T247" i="17" s="1"/>
  <c r="R251" i="17"/>
  <c r="T251" i="17" s="1"/>
  <c r="R254" i="17"/>
  <c r="T254" i="17" s="1"/>
  <c r="I257" i="17"/>
  <c r="K257" i="17" s="1"/>
  <c r="R267" i="17"/>
  <c r="T267" i="17" s="1"/>
  <c r="R274" i="17"/>
  <c r="T274" i="17" s="1"/>
  <c r="R283" i="17"/>
  <c r="T283" i="17" s="1"/>
  <c r="R286" i="17"/>
  <c r="T286" i="17" s="1"/>
  <c r="R289" i="17"/>
  <c r="T289" i="17" s="1"/>
  <c r="R299" i="17"/>
  <c r="T299" i="17" s="1"/>
  <c r="R302" i="17"/>
  <c r="T302" i="17" s="1"/>
  <c r="R305" i="17"/>
  <c r="T305" i="17" s="1"/>
  <c r="R315" i="17"/>
  <c r="T315" i="17" s="1"/>
  <c r="R318" i="17"/>
  <c r="T318" i="17" s="1"/>
  <c r="R331" i="17"/>
  <c r="T331" i="17" s="1"/>
  <c r="R334" i="17"/>
  <c r="T334" i="17" s="1"/>
  <c r="R337" i="17"/>
  <c r="T337" i="17" s="1"/>
  <c r="R347" i="17"/>
  <c r="T347" i="17" s="1"/>
  <c r="R350" i="17"/>
  <c r="T350" i="17" s="1"/>
  <c r="R357" i="17"/>
  <c r="T357" i="17" s="1"/>
  <c r="R361" i="17"/>
  <c r="T361" i="17" s="1"/>
  <c r="R371" i="17"/>
  <c r="T371" i="17" s="1"/>
  <c r="R378" i="17"/>
  <c r="T378" i="17" s="1"/>
  <c r="R399" i="17"/>
  <c r="T399" i="17" s="1"/>
  <c r="R402" i="17"/>
  <c r="T402" i="17" s="1"/>
  <c r="R412" i="17"/>
  <c r="T412" i="17" s="1"/>
  <c r="I418" i="17"/>
  <c r="K418" i="17" s="1"/>
  <c r="R418" i="17"/>
  <c r="T418" i="17" s="1"/>
  <c r="R425" i="17"/>
  <c r="T425" i="17" s="1"/>
  <c r="R428" i="17"/>
  <c r="T428" i="17" s="1"/>
  <c r="R432" i="17"/>
  <c r="T432" i="17" s="1"/>
  <c r="R440" i="17"/>
  <c r="T440" i="17" s="1"/>
  <c r="R443" i="17"/>
  <c r="T443" i="17" s="1"/>
  <c r="R446" i="17"/>
  <c r="T446" i="17" s="1"/>
  <c r="R450" i="17"/>
  <c r="T450" i="17" s="1"/>
  <c r="R457" i="17"/>
  <c r="T457" i="17" s="1"/>
  <c r="R464" i="17"/>
  <c r="T464" i="17" s="1"/>
  <c r="R468" i="17"/>
  <c r="T468" i="17" s="1"/>
  <c r="R472" i="17"/>
  <c r="T472" i="17" s="1"/>
  <c r="R475" i="17"/>
  <c r="T475" i="17" s="1"/>
  <c r="R483" i="17"/>
  <c r="T483" i="17" s="1"/>
  <c r="R493" i="17"/>
  <c r="T493" i="17" s="1"/>
  <c r="R497" i="17"/>
  <c r="T497" i="17" s="1"/>
  <c r="R504" i="17"/>
  <c r="T504" i="17" s="1"/>
  <c r="R507" i="17"/>
  <c r="T507" i="17" s="1"/>
  <c r="R515" i="17"/>
  <c r="T515" i="17" s="1"/>
  <c r="R525" i="17"/>
  <c r="T525" i="17" s="1"/>
  <c r="R528" i="17"/>
  <c r="T528" i="17" s="1"/>
  <c r="R531" i="17"/>
  <c r="T531" i="17" s="1"/>
  <c r="I534" i="17"/>
  <c r="K534" i="17" s="1"/>
  <c r="R537" i="17"/>
  <c r="T537" i="17" s="1"/>
  <c r="R547" i="17"/>
  <c r="T547" i="17" s="1"/>
  <c r="R553" i="17"/>
  <c r="T553" i="17" s="1"/>
  <c r="R560" i="17"/>
  <c r="T560" i="17" s="1"/>
  <c r="R570" i="17"/>
  <c r="T570" i="17" s="1"/>
  <c r="R573" i="17"/>
  <c r="T573" i="17" s="1"/>
  <c r="R583" i="17"/>
  <c r="T583" i="17" s="1"/>
  <c r="I590" i="17"/>
  <c r="K590" i="17" s="1"/>
  <c r="R590" i="17"/>
  <c r="T590" i="17" s="1"/>
  <c r="R594" i="17"/>
  <c r="T594" i="17" s="1"/>
  <c r="R601" i="17"/>
  <c r="T601" i="17" s="1"/>
  <c r="R608" i="17"/>
  <c r="T608" i="17" s="1"/>
  <c r="R611" i="17"/>
  <c r="T611" i="17" s="1"/>
  <c r="I614" i="17"/>
  <c r="K614" i="17" s="1"/>
  <c r="R614" i="17"/>
  <c r="T614" i="17" s="1"/>
  <c r="R621" i="17"/>
  <c r="T621" i="17" s="1"/>
  <c r="R625" i="17"/>
  <c r="T625" i="17" s="1"/>
  <c r="R631" i="17"/>
  <c r="T631" i="17" s="1"/>
  <c r="R637" i="17"/>
  <c r="T637" i="17" s="1"/>
  <c r="I644" i="17"/>
  <c r="K644" i="17" s="1"/>
  <c r="R644" i="17"/>
  <c r="T644" i="17" s="1"/>
  <c r="R648" i="17"/>
  <c r="T648" i="17" s="1"/>
  <c r="R668" i="17"/>
  <c r="T668" i="17" s="1"/>
  <c r="R675" i="17"/>
  <c r="T675" i="17" s="1"/>
  <c r="R694" i="17"/>
  <c r="T694" i="17" s="1"/>
  <c r="R697" i="17"/>
  <c r="T697" i="17" s="1"/>
  <c r="R703" i="17"/>
  <c r="T703" i="17" s="1"/>
  <c r="R706" i="17"/>
  <c r="T706" i="17" s="1"/>
  <c r="R709" i="17"/>
  <c r="T709" i="17" s="1"/>
  <c r="R716" i="17"/>
  <c r="T716" i="17" s="1"/>
  <c r="I779" i="17"/>
  <c r="K779" i="17" s="1"/>
  <c r="R779" i="17"/>
  <c r="T779" i="17" s="1"/>
  <c r="I798" i="17"/>
  <c r="K798" i="17" s="1"/>
  <c r="I802" i="17"/>
  <c r="K802" i="17" s="1"/>
  <c r="R802" i="17"/>
  <c r="T802" i="17" s="1"/>
  <c r="R812" i="17"/>
  <c r="T812" i="17" s="1"/>
  <c r="I850" i="17"/>
  <c r="K850" i="17" s="1"/>
  <c r="R850" i="17"/>
  <c r="T850" i="17" s="1"/>
  <c r="R890" i="17"/>
  <c r="T890" i="17" s="1"/>
  <c r="R916" i="17"/>
  <c r="T916" i="17" s="1"/>
  <c r="I941" i="17"/>
  <c r="K941" i="17" s="1"/>
  <c r="R941" i="17"/>
  <c r="T941" i="17" s="1"/>
  <c r="R948" i="17"/>
  <c r="T948" i="17" s="1"/>
  <c r="I974" i="17"/>
  <c r="K974" i="17" s="1"/>
  <c r="I992" i="17"/>
  <c r="K992" i="17" s="1"/>
  <c r="R996" i="17"/>
  <c r="T996" i="17" s="1"/>
  <c r="R1000" i="17"/>
  <c r="T1000" i="17" s="1"/>
  <c r="I740" i="17"/>
  <c r="K740" i="17" s="1"/>
  <c r="R975" i="17"/>
  <c r="T975" i="17" s="1"/>
  <c r="R978" i="17"/>
  <c r="T978" i="17" s="1"/>
  <c r="R982" i="17"/>
  <c r="T982" i="17" s="1"/>
  <c r="I986" i="17"/>
  <c r="K986" i="17" s="1"/>
  <c r="R986" i="17"/>
  <c r="T986" i="17" s="1"/>
  <c r="R720" i="17"/>
  <c r="T720" i="17" s="1"/>
  <c r="R724" i="17"/>
  <c r="T724" i="17" s="1"/>
  <c r="R728" i="17"/>
  <c r="T728" i="17" s="1"/>
  <c r="R738" i="17"/>
  <c r="T738" i="17" s="1"/>
  <c r="I745" i="17"/>
  <c r="K745" i="17" s="1"/>
  <c r="I749" i="17"/>
  <c r="K749" i="17" s="1"/>
  <c r="R749" i="17"/>
  <c r="T749" i="17" s="1"/>
  <c r="R765" i="17"/>
  <c r="T765" i="17" s="1"/>
  <c r="R780" i="17"/>
  <c r="T780" i="17" s="1"/>
  <c r="R784" i="17"/>
  <c r="T784" i="17" s="1"/>
  <c r="R796" i="17"/>
  <c r="T796" i="17" s="1"/>
  <c r="R807" i="17"/>
  <c r="T807" i="17" s="1"/>
  <c r="I813" i="17"/>
  <c r="K813" i="17" s="1"/>
  <c r="R813" i="17"/>
  <c r="T813" i="17" s="1"/>
  <c r="R816" i="17"/>
  <c r="T816" i="17" s="1"/>
  <c r="I826" i="17"/>
  <c r="K826" i="17" s="1"/>
  <c r="R828" i="17"/>
  <c r="T828" i="17" s="1"/>
  <c r="R832" i="17"/>
  <c r="T832" i="17" s="1"/>
  <c r="R836" i="17"/>
  <c r="T836" i="17" s="1"/>
  <c r="R848" i="17"/>
  <c r="T848" i="17" s="1"/>
  <c r="R854" i="17"/>
  <c r="T854" i="17" s="1"/>
  <c r="R870" i="17"/>
  <c r="T870" i="17" s="1"/>
  <c r="R894" i="17"/>
  <c r="T894" i="17" s="1"/>
  <c r="R898" i="17"/>
  <c r="T898" i="17" s="1"/>
  <c r="R902" i="17"/>
  <c r="T902" i="17" s="1"/>
  <c r="R942" i="17"/>
  <c r="T942" i="17" s="1"/>
  <c r="R954" i="17"/>
  <c r="T954" i="17" s="1"/>
  <c r="I9" i="17"/>
  <c r="K9" i="17" s="1"/>
  <c r="I25" i="17"/>
  <c r="K25" i="17" s="1"/>
  <c r="I41" i="17"/>
  <c r="K41" i="17" s="1"/>
  <c r="I73" i="17"/>
  <c r="K73" i="17" s="1"/>
  <c r="I113" i="17"/>
  <c r="K113" i="17" s="1"/>
  <c r="AG120" i="17"/>
  <c r="I121" i="17"/>
  <c r="K121" i="17" s="1"/>
  <c r="I124" i="17"/>
  <c r="K124" i="17" s="1"/>
  <c r="I127" i="17"/>
  <c r="K127" i="17" s="1"/>
  <c r="I131" i="17"/>
  <c r="K131" i="17" s="1"/>
  <c r="I36" i="17"/>
  <c r="K36" i="17" s="1"/>
  <c r="I44" i="17"/>
  <c r="K44" i="17" s="1"/>
  <c r="I52" i="17"/>
  <c r="K52" i="17" s="1"/>
  <c r="I60" i="17"/>
  <c r="K60" i="17" s="1"/>
  <c r="I68" i="17"/>
  <c r="K68" i="17" s="1"/>
  <c r="I76" i="17"/>
  <c r="K76" i="17" s="1"/>
  <c r="I84" i="17"/>
  <c r="K84" i="17" s="1"/>
  <c r="I92" i="17"/>
  <c r="K92" i="17" s="1"/>
  <c r="I100" i="17"/>
  <c r="K100" i="17" s="1"/>
  <c r="I108" i="17"/>
  <c r="K108" i="17" s="1"/>
  <c r="I116" i="17"/>
  <c r="K116" i="17" s="1"/>
  <c r="I122" i="17"/>
  <c r="K122" i="17" s="1"/>
  <c r="I125" i="17"/>
  <c r="K125" i="17" s="1"/>
  <c r="I128" i="17"/>
  <c r="I132" i="17"/>
  <c r="K132" i="17" s="1"/>
  <c r="I136" i="17"/>
  <c r="K136" i="17" s="1"/>
  <c r="I146" i="17"/>
  <c r="K146" i="17" s="1"/>
  <c r="I153" i="17"/>
  <c r="K153" i="17" s="1"/>
  <c r="I156" i="17"/>
  <c r="K156" i="17" s="1"/>
  <c r="I159" i="17"/>
  <c r="K159" i="17" s="1"/>
  <c r="I169" i="17"/>
  <c r="K169" i="17" s="1"/>
  <c r="I172" i="17"/>
  <c r="K172" i="17" s="1"/>
  <c r="I186" i="17"/>
  <c r="K186" i="17" s="1"/>
  <c r="I196" i="17"/>
  <c r="K196" i="17" s="1"/>
  <c r="I198" i="17"/>
  <c r="K198" i="17" s="1"/>
  <c r="I204" i="17"/>
  <c r="K204" i="17" s="1"/>
  <c r="I210" i="17"/>
  <c r="K210" i="17" s="1"/>
  <c r="I216" i="17"/>
  <c r="K216" i="17" s="1"/>
  <c r="I226" i="17"/>
  <c r="K226" i="17" s="1"/>
  <c r="I229" i="17"/>
  <c r="K229" i="17" s="1"/>
  <c r="I232" i="17"/>
  <c r="K232" i="17" s="1"/>
  <c r="I242" i="17"/>
  <c r="K242" i="17" s="1"/>
  <c r="I245" i="17"/>
  <c r="K245" i="17" s="1"/>
  <c r="I248" i="17"/>
  <c r="K248" i="17" s="1"/>
  <c r="I267" i="17"/>
  <c r="K267" i="17" s="1"/>
  <c r="I274" i="17"/>
  <c r="K274" i="17" s="1"/>
  <c r="I277" i="17"/>
  <c r="K277" i="17" s="1"/>
  <c r="I280" i="17"/>
  <c r="K280" i="17" s="1"/>
  <c r="I283" i="17"/>
  <c r="K283" i="17" s="1"/>
  <c r="I286" i="17"/>
  <c r="K286" i="17" s="1"/>
  <c r="I289" i="17"/>
  <c r="K289" i="17" s="1"/>
  <c r="I299" i="17"/>
  <c r="K299" i="17" s="1"/>
  <c r="I302" i="17"/>
  <c r="K302" i="17" s="1"/>
  <c r="I305" i="17"/>
  <c r="K305" i="17" s="1"/>
  <c r="I315" i="17"/>
  <c r="K315" i="17" s="1"/>
  <c r="I318" i="17"/>
  <c r="K318" i="17" s="1"/>
  <c r="I321" i="17"/>
  <c r="K321" i="17" s="1"/>
  <c r="I331" i="17"/>
  <c r="K331" i="17" s="1"/>
  <c r="I334" i="17"/>
  <c r="K334" i="17" s="1"/>
  <c r="I337" i="17"/>
  <c r="K337" i="17" s="1"/>
  <c r="AH337" i="17" s="1"/>
  <c r="I347" i="17"/>
  <c r="K347" i="17" s="1"/>
  <c r="I350" i="17"/>
  <c r="K350" i="17" s="1"/>
  <c r="AH350" i="17" s="1"/>
  <c r="I353" i="17"/>
  <c r="K353" i="17" s="1"/>
  <c r="I357" i="17"/>
  <c r="K357" i="17" s="1"/>
  <c r="I367" i="17"/>
  <c r="K367" i="17" s="1"/>
  <c r="I370" i="17"/>
  <c r="K370" i="17" s="1"/>
  <c r="I380" i="17"/>
  <c r="K380" i="17" s="1"/>
  <c r="I383" i="17"/>
  <c r="K383" i="17" s="1"/>
  <c r="I387" i="17"/>
  <c r="K387" i="17" s="1"/>
  <c r="I392" i="17"/>
  <c r="K392" i="17" s="1"/>
  <c r="I395" i="17"/>
  <c r="K395" i="17" s="1"/>
  <c r="I407" i="17"/>
  <c r="K407" i="17" s="1"/>
  <c r="I410" i="17"/>
  <c r="K410" i="17" s="1"/>
  <c r="I416" i="17"/>
  <c r="K416" i="17" s="1"/>
  <c r="I424" i="17"/>
  <c r="K424" i="17" s="1"/>
  <c r="I429" i="17"/>
  <c r="K429" i="17" s="1"/>
  <c r="I435" i="17"/>
  <c r="K435" i="17" s="1"/>
  <c r="I438" i="17"/>
  <c r="K438" i="17" s="1"/>
  <c r="I444" i="17"/>
  <c r="K444" i="17" s="1"/>
  <c r="I456" i="17"/>
  <c r="K456" i="17" s="1"/>
  <c r="I460" i="17"/>
  <c r="K460" i="17" s="1"/>
  <c r="I463" i="17"/>
  <c r="K463" i="17" s="1"/>
  <c r="I467" i="17"/>
  <c r="K467" i="17" s="1"/>
  <c r="AH467" i="17" s="1"/>
  <c r="I471" i="17"/>
  <c r="K471" i="17" s="1"/>
  <c r="I474" i="17"/>
  <c r="K474" i="17" s="1"/>
  <c r="I478" i="17"/>
  <c r="K478" i="17" s="1"/>
  <c r="I482" i="17"/>
  <c r="K482" i="17" s="1"/>
  <c r="I492" i="17"/>
  <c r="K492" i="17" s="1"/>
  <c r="I496" i="17"/>
  <c r="K496" i="17" s="1"/>
  <c r="I500" i="17"/>
  <c r="K500" i="17" s="1"/>
  <c r="I503" i="17"/>
  <c r="K503" i="17" s="1"/>
  <c r="I506" i="17"/>
  <c r="K506" i="17" s="1"/>
  <c r="I510" i="17"/>
  <c r="K510" i="17" s="1"/>
  <c r="I514" i="17"/>
  <c r="K514" i="17" s="1"/>
  <c r="I521" i="17"/>
  <c r="K521" i="17" s="1"/>
  <c r="I529" i="17"/>
  <c r="K529" i="17" s="1"/>
  <c r="I537" i="17"/>
  <c r="K537" i="17" s="1"/>
  <c r="I546" i="17"/>
  <c r="K546" i="17" s="1"/>
  <c r="I549" i="17"/>
  <c r="K549" i="17" s="1"/>
  <c r="I552" i="17"/>
  <c r="K552" i="17" s="1"/>
  <c r="I562" i="17"/>
  <c r="K562" i="17" s="1"/>
  <c r="I565" i="17"/>
  <c r="K565" i="17" s="1"/>
  <c r="I568" i="17"/>
  <c r="K568" i="17" s="1"/>
  <c r="I578" i="17"/>
  <c r="K578" i="17" s="1"/>
  <c r="I581" i="17"/>
  <c r="K581" i="17" s="1"/>
  <c r="I584" i="17"/>
  <c r="K584" i="17" s="1"/>
  <c r="I594" i="17"/>
  <c r="K594" i="17" s="1"/>
  <c r="I597" i="17"/>
  <c r="K597" i="17" s="1"/>
  <c r="I600" i="17"/>
  <c r="K600" i="17" s="1"/>
  <c r="AH600" i="17" s="1"/>
  <c r="I603" i="17"/>
  <c r="K603" i="17" s="1"/>
  <c r="I609" i="17"/>
  <c r="K609" i="17" s="1"/>
  <c r="I624" i="17"/>
  <c r="K624" i="17" s="1"/>
  <c r="I627" i="17"/>
  <c r="K627" i="17" s="1"/>
  <c r="I633" i="17"/>
  <c r="K633" i="17" s="1"/>
  <c r="I648" i="17"/>
  <c r="K648" i="17" s="1"/>
  <c r="I651" i="17"/>
  <c r="K651" i="17" s="1"/>
  <c r="I654" i="17"/>
  <c r="K654" i="17" s="1"/>
  <c r="I661" i="17"/>
  <c r="K661" i="17" s="1"/>
  <c r="I682" i="17"/>
  <c r="K682" i="17" s="1"/>
  <c r="I685" i="17"/>
  <c r="K685" i="17" s="1"/>
  <c r="I692" i="17"/>
  <c r="K692" i="17" s="1"/>
  <c r="AH692" i="17" s="1"/>
  <c r="I695" i="17"/>
  <c r="K695" i="17" s="1"/>
  <c r="I698" i="17"/>
  <c r="K698" i="17" s="1"/>
  <c r="I707" i="17"/>
  <c r="K707" i="17" s="1"/>
  <c r="I720" i="17"/>
  <c r="K720" i="17" s="1"/>
  <c r="I724" i="17"/>
  <c r="K724" i="17" s="1"/>
  <c r="I728" i="17"/>
  <c r="K728" i="17" s="1"/>
  <c r="I752" i="17"/>
  <c r="K752" i="17" s="1"/>
  <c r="I759" i="17"/>
  <c r="K759" i="17" s="1"/>
  <c r="I778" i="17"/>
  <c r="K778" i="17" s="1"/>
  <c r="I781" i="17"/>
  <c r="K781" i="17" s="1"/>
  <c r="I788" i="17"/>
  <c r="K788" i="17" s="1"/>
  <c r="I791" i="17"/>
  <c r="K791" i="17" s="1"/>
  <c r="I825" i="17"/>
  <c r="K825" i="17" s="1"/>
  <c r="I827" i="17"/>
  <c r="K827" i="17" s="1"/>
  <c r="I830" i="17"/>
  <c r="K830" i="17" s="1"/>
  <c r="I841" i="17"/>
  <c r="K841" i="17" s="1"/>
  <c r="I843" i="17"/>
  <c r="K843" i="17" s="1"/>
  <c r="I846" i="17"/>
  <c r="K846" i="17" s="1"/>
  <c r="I859" i="17"/>
  <c r="K859" i="17" s="1"/>
  <c r="I875" i="17"/>
  <c r="K875" i="17" s="1"/>
  <c r="I900" i="17"/>
  <c r="K900" i="17" s="1"/>
  <c r="AG167" i="17"/>
  <c r="I7" i="17"/>
  <c r="K7" i="17" s="1"/>
  <c r="I5" i="17"/>
  <c r="K5" i="17" s="1"/>
  <c r="I13" i="17"/>
  <c r="K13" i="17" s="1"/>
  <c r="I21" i="17"/>
  <c r="K21" i="17" s="1"/>
  <c r="I29" i="17"/>
  <c r="K29" i="17" s="1"/>
  <c r="I37" i="17"/>
  <c r="K37" i="17" s="1"/>
  <c r="I45" i="17"/>
  <c r="K45" i="17" s="1"/>
  <c r="I53" i="17"/>
  <c r="K53" i="17" s="1"/>
  <c r="I61" i="17"/>
  <c r="K61" i="17" s="1"/>
  <c r="I69" i="17"/>
  <c r="K69" i="17" s="1"/>
  <c r="I77" i="17"/>
  <c r="K77" i="17" s="1"/>
  <c r="I85" i="17"/>
  <c r="K85" i="17" s="1"/>
  <c r="I93" i="17"/>
  <c r="K93" i="17" s="1"/>
  <c r="I101" i="17"/>
  <c r="K101" i="17" s="1"/>
  <c r="I109" i="17"/>
  <c r="K109" i="17" s="1"/>
  <c r="I117" i="17"/>
  <c r="K117" i="17" s="1"/>
  <c r="I129" i="17"/>
  <c r="K129" i="17" s="1"/>
  <c r="I133" i="17"/>
  <c r="K133" i="17" s="1"/>
  <c r="I137" i="17"/>
  <c r="K137" i="17" s="1"/>
  <c r="I140" i="17"/>
  <c r="K140" i="17" s="1"/>
  <c r="I143" i="17"/>
  <c r="K143" i="17" s="1"/>
  <c r="I147" i="17"/>
  <c r="K147" i="17" s="1"/>
  <c r="I154" i="17"/>
  <c r="K154" i="17" s="1"/>
  <c r="I157" i="17"/>
  <c r="K157" i="17" s="1"/>
  <c r="I160" i="17"/>
  <c r="K160" i="17" s="1"/>
  <c r="AH160" i="17" s="1"/>
  <c r="I170" i="17"/>
  <c r="K170" i="17" s="1"/>
  <c r="I182" i="17"/>
  <c r="K182" i="17" s="1"/>
  <c r="I184" i="17"/>
  <c r="K184" i="17" s="1"/>
  <c r="I194" i="17"/>
  <c r="K194" i="17" s="1"/>
  <c r="I211" i="17"/>
  <c r="K211" i="17" s="1"/>
  <c r="I214" i="17"/>
  <c r="K214" i="17" s="1"/>
  <c r="I217" i="17"/>
  <c r="K217" i="17" s="1"/>
  <c r="I227" i="17"/>
  <c r="K227" i="17" s="1"/>
  <c r="AH227" i="17" s="1"/>
  <c r="I230" i="17"/>
  <c r="K230" i="17" s="1"/>
  <c r="I233" i="17"/>
  <c r="K233" i="17" s="1"/>
  <c r="I243" i="17"/>
  <c r="K243" i="17" s="1"/>
  <c r="I246" i="17"/>
  <c r="K246" i="17" s="1"/>
  <c r="I249" i="17"/>
  <c r="K249" i="17" s="1"/>
  <c r="I258" i="17"/>
  <c r="K258" i="17" s="1"/>
  <c r="I268" i="17"/>
  <c r="K268" i="17" s="1"/>
  <c r="I275" i="17"/>
  <c r="K275" i="17" s="1"/>
  <c r="I278" i="17"/>
  <c r="K278" i="17" s="1"/>
  <c r="AH278" i="17" s="1"/>
  <c r="I284" i="17"/>
  <c r="K284" i="17" s="1"/>
  <c r="I287" i="17"/>
  <c r="K287" i="17" s="1"/>
  <c r="I290" i="17"/>
  <c r="K290" i="17" s="1"/>
  <c r="I300" i="17"/>
  <c r="K300" i="17" s="1"/>
  <c r="I303" i="17"/>
  <c r="K303" i="17" s="1"/>
  <c r="I306" i="17"/>
  <c r="K306" i="17" s="1"/>
  <c r="I316" i="17"/>
  <c r="K316" i="17" s="1"/>
  <c r="I319" i="17"/>
  <c r="K319" i="17" s="1"/>
  <c r="I322" i="17"/>
  <c r="K322" i="17" s="1"/>
  <c r="I332" i="17"/>
  <c r="K332" i="17" s="1"/>
  <c r="I335" i="17"/>
  <c r="K335" i="17" s="1"/>
  <c r="I338" i="17"/>
  <c r="K338" i="17" s="1"/>
  <c r="I348" i="17"/>
  <c r="K348" i="17" s="1"/>
  <c r="I351" i="17"/>
  <c r="K351" i="17" s="1"/>
  <c r="I354" i="17"/>
  <c r="K354" i="17" s="1"/>
  <c r="I358" i="17"/>
  <c r="K358" i="17" s="1"/>
  <c r="AH358" i="17" s="1"/>
  <c r="I361" i="17"/>
  <c r="K361" i="17" s="1"/>
  <c r="I371" i="17"/>
  <c r="K371" i="17" s="1"/>
  <c r="I377" i="17"/>
  <c r="K377" i="17" s="1"/>
  <c r="I384" i="17"/>
  <c r="K384" i="17" s="1"/>
  <c r="I388" i="17"/>
  <c r="K388" i="17" s="1"/>
  <c r="I398" i="17"/>
  <c r="K398" i="17" s="1"/>
  <c r="I404" i="17"/>
  <c r="K404" i="17" s="1"/>
  <c r="I408" i="17"/>
  <c r="K408" i="17" s="1"/>
  <c r="AH408" i="17" s="1"/>
  <c r="I411" i="17"/>
  <c r="K411" i="17" s="1"/>
  <c r="I419" i="17"/>
  <c r="K419" i="17" s="1"/>
  <c r="I427" i="17"/>
  <c r="K427" i="17" s="1"/>
  <c r="I430" i="17"/>
  <c r="K430" i="17" s="1"/>
  <c r="I436" i="17"/>
  <c r="K436" i="17" s="1"/>
  <c r="AH436" i="17" s="1"/>
  <c r="I447" i="17"/>
  <c r="K447" i="17" s="1"/>
  <c r="I450" i="17"/>
  <c r="K450" i="17" s="1"/>
  <c r="I457" i="17"/>
  <c r="K457" i="17" s="1"/>
  <c r="I464" i="17"/>
  <c r="K464" i="17" s="1"/>
  <c r="I468" i="17"/>
  <c r="K468" i="17" s="1"/>
  <c r="I472" i="17"/>
  <c r="K472" i="17" s="1"/>
  <c r="I475" i="17"/>
  <c r="K475" i="17" s="1"/>
  <c r="I479" i="17"/>
  <c r="K479" i="17" s="1"/>
  <c r="I483" i="17"/>
  <c r="K483" i="17" s="1"/>
  <c r="I493" i="17"/>
  <c r="K493" i="17" s="1"/>
  <c r="I497" i="17"/>
  <c r="K497" i="17" s="1"/>
  <c r="I501" i="17"/>
  <c r="K501" i="17" s="1"/>
  <c r="I504" i="17"/>
  <c r="K504" i="17" s="1"/>
  <c r="I507" i="17"/>
  <c r="K507" i="17" s="1"/>
  <c r="I511" i="17"/>
  <c r="K511" i="17" s="1"/>
  <c r="I515" i="17"/>
  <c r="K515" i="17" s="1"/>
  <c r="I524" i="17"/>
  <c r="K524" i="17" s="1"/>
  <c r="I535" i="17"/>
  <c r="K535" i="17" s="1"/>
  <c r="I543" i="17"/>
  <c r="K543" i="17" s="1"/>
  <c r="I547" i="17"/>
  <c r="K547" i="17" s="1"/>
  <c r="I553" i="17"/>
  <c r="K553" i="17" s="1"/>
  <c r="I559" i="17"/>
  <c r="K559" i="17" s="1"/>
  <c r="I563" i="17"/>
  <c r="K563" i="17" s="1"/>
  <c r="I569" i="17"/>
  <c r="K569" i="17" s="1"/>
  <c r="I575" i="17"/>
  <c r="K575" i="17" s="1"/>
  <c r="I579" i="17"/>
  <c r="K579" i="17" s="1"/>
  <c r="I585" i="17"/>
  <c r="K585" i="17" s="1"/>
  <c r="I591" i="17"/>
  <c r="K591" i="17" s="1"/>
  <c r="I595" i="17"/>
  <c r="K595" i="17" s="1"/>
  <c r="I601" i="17"/>
  <c r="K601" i="17" s="1"/>
  <c r="I615" i="17"/>
  <c r="K615" i="17" s="1"/>
  <c r="I621" i="17"/>
  <c r="K621" i="17" s="1"/>
  <c r="I625" i="17"/>
  <c r="K625" i="17" s="1"/>
  <c r="I639" i="17"/>
  <c r="K639" i="17" s="1"/>
  <c r="I645" i="17"/>
  <c r="K645" i="17" s="1"/>
  <c r="I649" i="17"/>
  <c r="K649" i="17" s="1"/>
  <c r="I655" i="17"/>
  <c r="K655" i="17" s="1"/>
  <c r="I667" i="17"/>
  <c r="K667" i="17" s="1"/>
  <c r="I680" i="17"/>
  <c r="K680" i="17" s="1"/>
  <c r="I683" i="17"/>
  <c r="I686" i="17"/>
  <c r="K686" i="17" s="1"/>
  <c r="I689" i="17"/>
  <c r="K689" i="17" s="1"/>
  <c r="I699" i="17"/>
  <c r="K699" i="17" s="1"/>
  <c r="AH699" i="17" s="1"/>
  <c r="I717" i="17"/>
  <c r="K717" i="17" s="1"/>
  <c r="I721" i="17"/>
  <c r="K721" i="17" s="1"/>
  <c r="I725" i="17"/>
  <c r="K725" i="17" s="1"/>
  <c r="I767" i="17"/>
  <c r="K767" i="17" s="1"/>
  <c r="I771" i="17"/>
  <c r="K771" i="17" s="1"/>
  <c r="I775" i="17"/>
  <c r="K775" i="17" s="1"/>
  <c r="I786" i="17"/>
  <c r="K786" i="17" s="1"/>
  <c r="I816" i="17"/>
  <c r="K816" i="17" s="1"/>
  <c r="I819" i="17"/>
  <c r="K819" i="17" s="1"/>
  <c r="I822" i="17"/>
  <c r="K822" i="17" s="1"/>
  <c r="I887" i="17"/>
  <c r="K887" i="17" s="1"/>
  <c r="I890" i="17"/>
  <c r="K890" i="17" s="1"/>
  <c r="I893" i="17"/>
  <c r="K893" i="17" s="1"/>
  <c r="I897" i="17"/>
  <c r="K897" i="17" s="1"/>
  <c r="I919" i="17"/>
  <c r="K919" i="17" s="1"/>
  <c r="I922" i="17"/>
  <c r="K922" i="17" s="1"/>
  <c r="I17" i="17"/>
  <c r="K17" i="17" s="1"/>
  <c r="AG30" i="17"/>
  <c r="AG32" i="17"/>
  <c r="I33" i="17"/>
  <c r="K33" i="17" s="1"/>
  <c r="AG48" i="17"/>
  <c r="I49" i="17"/>
  <c r="K49" i="17" s="1"/>
  <c r="I57" i="17"/>
  <c r="K57" i="17" s="1"/>
  <c r="I89" i="17"/>
  <c r="K89" i="17" s="1"/>
  <c r="AH89" i="17" s="1"/>
  <c r="I97" i="17"/>
  <c r="K97" i="17" s="1"/>
  <c r="AH97" i="17" s="1"/>
  <c r="I135" i="17"/>
  <c r="K135" i="17" s="1"/>
  <c r="I149" i="17"/>
  <c r="K149" i="17" s="1"/>
  <c r="I162" i="17"/>
  <c r="K162" i="17" s="1"/>
  <c r="I168" i="17"/>
  <c r="K168" i="17" s="1"/>
  <c r="I12" i="17"/>
  <c r="K12" i="17" s="1"/>
  <c r="I20" i="17"/>
  <c r="K20" i="17" s="1"/>
  <c r="I28" i="17"/>
  <c r="K28" i="17" s="1"/>
  <c r="I16" i="17"/>
  <c r="K16" i="17" s="1"/>
  <c r="I24" i="17"/>
  <c r="K24" i="17" s="1"/>
  <c r="I32" i="17"/>
  <c r="K32" i="17" s="1"/>
  <c r="I40" i="17"/>
  <c r="K40" i="17" s="1"/>
  <c r="I48" i="17"/>
  <c r="K48" i="17" s="1"/>
  <c r="I56" i="17"/>
  <c r="K56" i="17" s="1"/>
  <c r="I64" i="17"/>
  <c r="K64" i="17" s="1"/>
  <c r="I72" i="17"/>
  <c r="K72" i="17" s="1"/>
  <c r="I80" i="17"/>
  <c r="K80" i="17" s="1"/>
  <c r="I88" i="17"/>
  <c r="K88" i="17" s="1"/>
  <c r="I96" i="17"/>
  <c r="K96" i="17" s="1"/>
  <c r="I104" i="17"/>
  <c r="K104" i="17" s="1"/>
  <c r="I112" i="17"/>
  <c r="K112" i="17" s="1"/>
  <c r="I120" i="17"/>
  <c r="K120" i="17" s="1"/>
  <c r="I130" i="17"/>
  <c r="K130" i="17" s="1"/>
  <c r="I134" i="17"/>
  <c r="K134" i="17" s="1"/>
  <c r="I138" i="17"/>
  <c r="K138" i="17" s="1"/>
  <c r="AH138" i="17" s="1"/>
  <c r="I141" i="17"/>
  <c r="K141" i="17" s="1"/>
  <c r="AH141" i="17" s="1"/>
  <c r="I144" i="17"/>
  <c r="K144" i="17" s="1"/>
  <c r="I148" i="17"/>
  <c r="K148" i="17" s="1"/>
  <c r="I151" i="17"/>
  <c r="K151" i="17" s="1"/>
  <c r="I161" i="17"/>
  <c r="K161" i="17" s="1"/>
  <c r="I164" i="17"/>
  <c r="K164" i="17" s="1"/>
  <c r="I167" i="17"/>
  <c r="K167" i="17" s="1"/>
  <c r="I176" i="17"/>
  <c r="K176" i="17" s="1"/>
  <c r="I178" i="17"/>
  <c r="K178" i="17" s="1"/>
  <c r="I180" i="17"/>
  <c r="K180" i="17" s="1"/>
  <c r="I192" i="17"/>
  <c r="K192" i="17" s="1"/>
  <c r="I202" i="17"/>
  <c r="I208" i="17"/>
  <c r="K208" i="17" s="1"/>
  <c r="I212" i="17"/>
  <c r="K212" i="17" s="1"/>
  <c r="I218" i="17"/>
  <c r="K218" i="17" s="1"/>
  <c r="I221" i="17"/>
  <c r="K221" i="17" s="1"/>
  <c r="I224" i="17"/>
  <c r="K224" i="17" s="1"/>
  <c r="I234" i="17"/>
  <c r="K234" i="17" s="1"/>
  <c r="I237" i="17"/>
  <c r="K237" i="17" s="1"/>
  <c r="I240" i="17"/>
  <c r="K240" i="17" s="1"/>
  <c r="I250" i="17"/>
  <c r="K250" i="17" s="1"/>
  <c r="I253" i="17"/>
  <c r="K253" i="17" s="1"/>
  <c r="I256" i="17"/>
  <c r="K256" i="17" s="1"/>
  <c r="I259" i="17"/>
  <c r="K259" i="17" s="1"/>
  <c r="I262" i="17"/>
  <c r="K262" i="17" s="1"/>
  <c r="I265" i="17"/>
  <c r="K265" i="17" s="1"/>
  <c r="I269" i="17"/>
  <c r="K269" i="17" s="1"/>
  <c r="AH269" i="17" s="1"/>
  <c r="I272" i="17"/>
  <c r="K272" i="17" s="1"/>
  <c r="I291" i="17"/>
  <c r="K291" i="17" s="1"/>
  <c r="I294" i="17"/>
  <c r="K294" i="17" s="1"/>
  <c r="I297" i="17"/>
  <c r="K297" i="17" s="1"/>
  <c r="I307" i="17"/>
  <c r="K307" i="17" s="1"/>
  <c r="I310" i="17"/>
  <c r="K310" i="17" s="1"/>
  <c r="I313" i="17"/>
  <c r="K313" i="17" s="1"/>
  <c r="I323" i="17"/>
  <c r="K323" i="17" s="1"/>
  <c r="I326" i="17"/>
  <c r="K326" i="17" s="1"/>
  <c r="I329" i="17"/>
  <c r="K329" i="17" s="1"/>
  <c r="I339" i="17"/>
  <c r="K339" i="17" s="1"/>
  <c r="I342" i="17"/>
  <c r="K342" i="17" s="1"/>
  <c r="I345" i="17"/>
  <c r="K345" i="17" s="1"/>
  <c r="AH345" i="17" s="1"/>
  <c r="I355" i="17"/>
  <c r="K355" i="17" s="1"/>
  <c r="I359" i="17"/>
  <c r="K359" i="17" s="1"/>
  <c r="I362" i="17"/>
  <c r="K362" i="17" s="1"/>
  <c r="I365" i="17"/>
  <c r="K365" i="17" s="1"/>
  <c r="I372" i="17"/>
  <c r="K372" i="17" s="1"/>
  <c r="I375" i="17"/>
  <c r="K375" i="17" s="1"/>
  <c r="I378" i="17"/>
  <c r="K378" i="17" s="1"/>
  <c r="I385" i="17"/>
  <c r="K385" i="17" s="1"/>
  <c r="I396" i="17"/>
  <c r="K396" i="17" s="1"/>
  <c r="I399" i="17"/>
  <c r="K399" i="17" s="1"/>
  <c r="I402" i="17"/>
  <c r="K402" i="17" s="1"/>
  <c r="I405" i="17"/>
  <c r="K405" i="17" s="1"/>
  <c r="AH405" i="17" s="1"/>
  <c r="I414" i="17"/>
  <c r="K414" i="17" s="1"/>
  <c r="I420" i="17"/>
  <c r="K420" i="17" s="1"/>
  <c r="I425" i="17"/>
  <c r="K425" i="17" s="1"/>
  <c r="I431" i="17"/>
  <c r="K431" i="17" s="1"/>
  <c r="I439" i="17"/>
  <c r="K439" i="17" s="1"/>
  <c r="I442" i="17"/>
  <c r="K442" i="17" s="1"/>
  <c r="I448" i="17"/>
  <c r="K448" i="17" s="1"/>
  <c r="I451" i="17"/>
  <c r="K451" i="17" s="1"/>
  <c r="I454" i="17"/>
  <c r="K454" i="17" s="1"/>
  <c r="I458" i="17"/>
  <c r="K458" i="17" s="1"/>
  <c r="I465" i="17"/>
  <c r="K465" i="17" s="1"/>
  <c r="AH465" i="17" s="1"/>
  <c r="I469" i="17"/>
  <c r="K469" i="17" s="1"/>
  <c r="I476" i="17"/>
  <c r="K476" i="17" s="1"/>
  <c r="I480" i="17"/>
  <c r="K480" i="17" s="1"/>
  <c r="I484" i="17"/>
  <c r="K484" i="17" s="1"/>
  <c r="I487" i="17"/>
  <c r="K487" i="17" s="1"/>
  <c r="AH487" i="17" s="1"/>
  <c r="I490" i="17"/>
  <c r="K490" i="17" s="1"/>
  <c r="I494" i="17"/>
  <c r="K494" i="17" s="1"/>
  <c r="I498" i="17"/>
  <c r="K498" i="17" s="1"/>
  <c r="I508" i="17"/>
  <c r="K508" i="17" s="1"/>
  <c r="I512" i="17"/>
  <c r="K512" i="17" s="1"/>
  <c r="I516" i="17"/>
  <c r="K516" i="17" s="1"/>
  <c r="I519" i="17"/>
  <c r="K519" i="17" s="1"/>
  <c r="I525" i="17"/>
  <c r="K525" i="17" s="1"/>
  <c r="I527" i="17"/>
  <c r="K527" i="17" s="1"/>
  <c r="I533" i="17"/>
  <c r="K533" i="17" s="1"/>
  <c r="I541" i="17"/>
  <c r="K541" i="17" s="1"/>
  <c r="AH541" i="17" s="1"/>
  <c r="I544" i="17"/>
  <c r="K544" i="17" s="1"/>
  <c r="I554" i="17"/>
  <c r="K554" i="17" s="1"/>
  <c r="I557" i="17"/>
  <c r="K557" i="17" s="1"/>
  <c r="I560" i="17"/>
  <c r="K560" i="17" s="1"/>
  <c r="I570" i="17"/>
  <c r="K570" i="17" s="1"/>
  <c r="I573" i="17"/>
  <c r="K573" i="17" s="1"/>
  <c r="I576" i="17"/>
  <c r="K576" i="17" s="1"/>
  <c r="I586" i="17"/>
  <c r="K586" i="17" s="1"/>
  <c r="I589" i="17"/>
  <c r="K589" i="17" s="1"/>
  <c r="I592" i="17"/>
  <c r="K592" i="17" s="1"/>
  <c r="I607" i="17"/>
  <c r="K607" i="17" s="1"/>
  <c r="I613" i="17"/>
  <c r="K613" i="17" s="1"/>
  <c r="I616" i="17"/>
  <c r="K616" i="17" s="1"/>
  <c r="I619" i="17"/>
  <c r="K619" i="17" s="1"/>
  <c r="I622" i="17"/>
  <c r="K622" i="17" s="1"/>
  <c r="I631" i="17"/>
  <c r="K631" i="17" s="1"/>
  <c r="I637" i="17"/>
  <c r="K637" i="17" s="1"/>
  <c r="I640" i="17"/>
  <c r="K640" i="17" s="1"/>
  <c r="I643" i="17"/>
  <c r="K643" i="17" s="1"/>
  <c r="I646" i="17"/>
  <c r="K646" i="17" s="1"/>
  <c r="I656" i="17"/>
  <c r="K656" i="17" s="1"/>
  <c r="I659" i="17"/>
  <c r="K659" i="17" s="1"/>
  <c r="I665" i="17"/>
  <c r="K665" i="17" s="1"/>
  <c r="I668" i="17"/>
  <c r="K668" i="17" s="1"/>
  <c r="I671" i="17"/>
  <c r="K671" i="17" s="1"/>
  <c r="I674" i="17"/>
  <c r="K674" i="17" s="1"/>
  <c r="I677" i="17"/>
  <c r="K677" i="17" s="1"/>
  <c r="I687" i="17"/>
  <c r="K687" i="17" s="1"/>
  <c r="AH687" i="17" s="1"/>
  <c r="I690" i="17"/>
  <c r="K690" i="17" s="1"/>
  <c r="I711" i="17"/>
  <c r="K711" i="17" s="1"/>
  <c r="I714" i="17"/>
  <c r="I718" i="17"/>
  <c r="K718" i="17" s="1"/>
  <c r="I732" i="17"/>
  <c r="K732" i="17" s="1"/>
  <c r="I735" i="17"/>
  <c r="K735" i="17" s="1"/>
  <c r="I738" i="17"/>
  <c r="K738" i="17" s="1"/>
  <c r="I741" i="17"/>
  <c r="K741" i="17" s="1"/>
  <c r="I744" i="17"/>
  <c r="K744" i="17" s="1"/>
  <c r="I747" i="17"/>
  <c r="K747" i="17" s="1"/>
  <c r="I750" i="17"/>
  <c r="K750" i="17" s="1"/>
  <c r="I754" i="17"/>
  <c r="K754" i="17" s="1"/>
  <c r="I757" i="17"/>
  <c r="K757" i="17" s="1"/>
  <c r="I761" i="17"/>
  <c r="K761" i="17" s="1"/>
  <c r="I764" i="17"/>
  <c r="K764" i="17" s="1"/>
  <c r="I768" i="17"/>
  <c r="K768" i="17" s="1"/>
  <c r="I772" i="17"/>
  <c r="K772" i="17" s="1"/>
  <c r="I783" i="17"/>
  <c r="K783" i="17" s="1"/>
  <c r="I795" i="17"/>
  <c r="K795" i="17" s="1"/>
  <c r="I811" i="17"/>
  <c r="K811" i="17" s="1"/>
  <c r="I851" i="17"/>
  <c r="K851" i="17" s="1"/>
  <c r="I854" i="17"/>
  <c r="K854" i="17" s="1"/>
  <c r="I867" i="17"/>
  <c r="K867" i="17" s="1"/>
  <c r="I884" i="17"/>
  <c r="K884" i="17" s="1"/>
  <c r="I916" i="17"/>
  <c r="K916" i="17" s="1"/>
  <c r="I931" i="17"/>
  <c r="K931" i="17" s="1"/>
  <c r="AG62" i="17"/>
  <c r="I65" i="17"/>
  <c r="K65" i="17" s="1"/>
  <c r="I81" i="17"/>
  <c r="K81" i="17" s="1"/>
  <c r="I105" i="17"/>
  <c r="K105" i="17" s="1"/>
  <c r="I145" i="17"/>
  <c r="K145" i="17" s="1"/>
  <c r="I152" i="17"/>
  <c r="K152" i="17" s="1"/>
  <c r="I165" i="17"/>
  <c r="K165" i="17" s="1"/>
  <c r="I174" i="17"/>
  <c r="K174" i="17" s="1"/>
  <c r="I188" i="17"/>
  <c r="K188" i="17" s="1"/>
  <c r="I190" i="17"/>
  <c r="K190" i="17" s="1"/>
  <c r="I200" i="17"/>
  <c r="K200" i="17" s="1"/>
  <c r="I203" i="17"/>
  <c r="K203" i="17" s="1"/>
  <c r="I206" i="17"/>
  <c r="K206" i="17" s="1"/>
  <c r="I209" i="17"/>
  <c r="K209" i="17" s="1"/>
  <c r="I219" i="17"/>
  <c r="K219" i="17" s="1"/>
  <c r="I222" i="17"/>
  <c r="K222" i="17" s="1"/>
  <c r="I225" i="17"/>
  <c r="K225" i="17" s="1"/>
  <c r="AH225" i="17" s="1"/>
  <c r="I235" i="17"/>
  <c r="K235" i="17" s="1"/>
  <c r="I238" i="17"/>
  <c r="K238" i="17" s="1"/>
  <c r="I241" i="17"/>
  <c r="K241" i="17" s="1"/>
  <c r="I251" i="17"/>
  <c r="K251" i="17" s="1"/>
  <c r="I254" i="17"/>
  <c r="K254" i="17" s="1"/>
  <c r="I260" i="17"/>
  <c r="K260" i="17" s="1"/>
  <c r="I263" i="17"/>
  <c r="K263" i="17" s="1"/>
  <c r="I266" i="17"/>
  <c r="K266" i="17" s="1"/>
  <c r="I270" i="17"/>
  <c r="K270" i="17" s="1"/>
  <c r="I273" i="17"/>
  <c r="K273" i="17" s="1"/>
  <c r="I282" i="17"/>
  <c r="K282" i="17" s="1"/>
  <c r="I292" i="17"/>
  <c r="K292" i="17" s="1"/>
  <c r="I295" i="17"/>
  <c r="K295" i="17" s="1"/>
  <c r="I298" i="17"/>
  <c r="K298" i="17" s="1"/>
  <c r="I308" i="17"/>
  <c r="K308" i="17" s="1"/>
  <c r="AH308" i="17" s="1"/>
  <c r="I311" i="17"/>
  <c r="K311" i="17" s="1"/>
  <c r="I314" i="17"/>
  <c r="I324" i="17"/>
  <c r="K324" i="17" s="1"/>
  <c r="I327" i="17"/>
  <c r="K327" i="17" s="1"/>
  <c r="I330" i="17"/>
  <c r="K330" i="17" s="1"/>
  <c r="I340" i="17"/>
  <c r="K340" i="17" s="1"/>
  <c r="I343" i="17"/>
  <c r="K343" i="17" s="1"/>
  <c r="I346" i="17"/>
  <c r="K346" i="17" s="1"/>
  <c r="I356" i="17"/>
  <c r="K356" i="17" s="1"/>
  <c r="I363" i="17"/>
  <c r="K363" i="17" s="1"/>
  <c r="I366" i="17"/>
  <c r="K366" i="17" s="1"/>
  <c r="I369" i="17"/>
  <c r="K369" i="17" s="1"/>
  <c r="I373" i="17"/>
  <c r="K373" i="17" s="1"/>
  <c r="I379" i="17"/>
  <c r="K379" i="17" s="1"/>
  <c r="I382" i="17"/>
  <c r="K382" i="17" s="1"/>
  <c r="I391" i="17"/>
  <c r="K391" i="17" s="1"/>
  <c r="I394" i="17"/>
  <c r="K394" i="17" s="1"/>
  <c r="I400" i="17"/>
  <c r="K400" i="17" s="1"/>
  <c r="I403" i="17"/>
  <c r="K403" i="17" s="1"/>
  <c r="I406" i="17"/>
  <c r="K406" i="17" s="1"/>
  <c r="I412" i="17"/>
  <c r="K412" i="17" s="1"/>
  <c r="I415" i="17"/>
  <c r="K415" i="17" s="1"/>
  <c r="I423" i="17"/>
  <c r="K423" i="17" s="1"/>
  <c r="I428" i="17"/>
  <c r="K428" i="17" s="1"/>
  <c r="I432" i="17"/>
  <c r="K432" i="17" s="1"/>
  <c r="I440" i="17"/>
  <c r="K440" i="17" s="1"/>
  <c r="I443" i="17"/>
  <c r="K443" i="17" s="1"/>
  <c r="I446" i="17"/>
  <c r="K446" i="17" s="1"/>
  <c r="I452" i="17"/>
  <c r="K452" i="17" s="1"/>
  <c r="I455" i="17"/>
  <c r="K455" i="17" s="1"/>
  <c r="I459" i="17"/>
  <c r="K459" i="17" s="1"/>
  <c r="I462" i="17"/>
  <c r="K462" i="17" s="1"/>
  <c r="I466" i="17"/>
  <c r="K466" i="17" s="1"/>
  <c r="I470" i="17"/>
  <c r="K470" i="17" s="1"/>
  <c r="I477" i="17"/>
  <c r="K477" i="17" s="1"/>
  <c r="I481" i="17"/>
  <c r="K481" i="17" s="1"/>
  <c r="I485" i="17"/>
  <c r="K485" i="17" s="1"/>
  <c r="I488" i="17"/>
  <c r="K488" i="17" s="1"/>
  <c r="I491" i="17"/>
  <c r="K491" i="17" s="1"/>
  <c r="I495" i="17"/>
  <c r="K495" i="17" s="1"/>
  <c r="I499" i="17"/>
  <c r="K499" i="17" s="1"/>
  <c r="I509" i="17"/>
  <c r="K509" i="17" s="1"/>
  <c r="I513" i="17"/>
  <c r="K513" i="17" s="1"/>
  <c r="I517" i="17"/>
  <c r="K517" i="17" s="1"/>
  <c r="I520" i="17"/>
  <c r="K520" i="17" s="1"/>
  <c r="I523" i="17"/>
  <c r="K523" i="17" s="1"/>
  <c r="I528" i="17"/>
  <c r="I531" i="17"/>
  <c r="K531" i="17" s="1"/>
  <c r="I539" i="17"/>
  <c r="K539" i="17" s="1"/>
  <c r="I545" i="17"/>
  <c r="K545" i="17" s="1"/>
  <c r="I551" i="17"/>
  <c r="K551" i="17" s="1"/>
  <c r="I555" i="17"/>
  <c r="K555" i="17" s="1"/>
  <c r="I561" i="17"/>
  <c r="K561" i="17" s="1"/>
  <c r="I567" i="17"/>
  <c r="K567" i="17" s="1"/>
  <c r="I571" i="17"/>
  <c r="K571" i="17" s="1"/>
  <c r="I577" i="17"/>
  <c r="K577" i="17" s="1"/>
  <c r="I583" i="17"/>
  <c r="K583" i="17" s="1"/>
  <c r="I587" i="17"/>
  <c r="K587" i="17" s="1"/>
  <c r="I593" i="17"/>
  <c r="K593" i="17" s="1"/>
  <c r="I599" i="17"/>
  <c r="K599" i="17" s="1"/>
  <c r="I605" i="17"/>
  <c r="K605" i="17" s="1"/>
  <c r="I608" i="17"/>
  <c r="K608" i="17" s="1"/>
  <c r="I611" i="17"/>
  <c r="K611" i="17" s="1"/>
  <c r="I617" i="17"/>
  <c r="K617" i="17" s="1"/>
  <c r="I623" i="17"/>
  <c r="K623" i="17" s="1"/>
  <c r="I629" i="17"/>
  <c r="K629" i="17" s="1"/>
  <c r="I632" i="17"/>
  <c r="K632" i="17" s="1"/>
  <c r="I635" i="17"/>
  <c r="K635" i="17" s="1"/>
  <c r="I641" i="17"/>
  <c r="K641" i="17" s="1"/>
  <c r="I647" i="17"/>
  <c r="K647" i="17" s="1"/>
  <c r="I653" i="17"/>
  <c r="K653" i="17" s="1"/>
  <c r="I657" i="17"/>
  <c r="K657" i="17" s="1"/>
  <c r="I660" i="17"/>
  <c r="K660" i="17" s="1"/>
  <c r="I663" i="17"/>
  <c r="K663" i="17" s="1"/>
  <c r="I669" i="17"/>
  <c r="K669" i="17" s="1"/>
  <c r="I675" i="17"/>
  <c r="K675" i="17" s="1"/>
  <c r="I678" i="17"/>
  <c r="K678" i="17" s="1"/>
  <c r="AH678" i="17" s="1"/>
  <c r="I694" i="17"/>
  <c r="K694" i="17" s="1"/>
  <c r="I697" i="17"/>
  <c r="K697" i="17" s="1"/>
  <c r="I703" i="17"/>
  <c r="K703" i="17" s="1"/>
  <c r="I706" i="17"/>
  <c r="K706" i="17" s="1"/>
  <c r="I709" i="17"/>
  <c r="K709" i="17" s="1"/>
  <c r="I712" i="17"/>
  <c r="K712" i="17" s="1"/>
  <c r="I715" i="17"/>
  <c r="K715" i="17" s="1"/>
  <c r="I723" i="17"/>
  <c r="K723" i="17" s="1"/>
  <c r="I727" i="17"/>
  <c r="K727" i="17" s="1"/>
  <c r="I730" i="17"/>
  <c r="K730" i="17" s="1"/>
  <c r="I739" i="17"/>
  <c r="K739" i="17" s="1"/>
  <c r="I742" i="17"/>
  <c r="K742" i="17" s="1"/>
  <c r="I748" i="17"/>
  <c r="K748" i="17" s="1"/>
  <c r="I751" i="17"/>
  <c r="K751" i="17" s="1"/>
  <c r="I758" i="17"/>
  <c r="K758" i="17" s="1"/>
  <c r="I762" i="17"/>
  <c r="K762" i="17" s="1"/>
  <c r="I765" i="17"/>
  <c r="K765" i="17" s="1"/>
  <c r="I790" i="17"/>
  <c r="K790" i="17" s="1"/>
  <c r="I793" i="17"/>
  <c r="K793" i="17" s="1"/>
  <c r="I796" i="17"/>
  <c r="K796" i="17" s="1"/>
  <c r="I806" i="17"/>
  <c r="K806" i="17" s="1"/>
  <c r="I833" i="17"/>
  <c r="K833" i="17" s="1"/>
  <c r="I849" i="17"/>
  <c r="K849" i="17" s="1"/>
  <c r="I881" i="17"/>
  <c r="K881" i="17" s="1"/>
  <c r="I903" i="17"/>
  <c r="K903" i="17" s="1"/>
  <c r="I906" i="17"/>
  <c r="K906" i="17" s="1"/>
  <c r="I909" i="17"/>
  <c r="K909" i="17" s="1"/>
  <c r="I913" i="17"/>
  <c r="K913" i="17" s="1"/>
  <c r="I926" i="17"/>
  <c r="K926" i="17" s="1"/>
  <c r="I929" i="17"/>
  <c r="K929" i="17" s="1"/>
  <c r="I998" i="17"/>
  <c r="K998" i="17" s="1"/>
  <c r="AH998" i="17" s="1"/>
  <c r="I994" i="17"/>
  <c r="K994" i="17" s="1"/>
  <c r="I982" i="17"/>
  <c r="K982" i="17" s="1"/>
  <c r="I978" i="17"/>
  <c r="K978" i="17" s="1"/>
  <c r="I970" i="17"/>
  <c r="K970" i="17" s="1"/>
  <c r="I966" i="17"/>
  <c r="K966" i="17" s="1"/>
  <c r="I962" i="17"/>
  <c r="K962" i="17" s="1"/>
  <c r="I958" i="17"/>
  <c r="K958" i="17" s="1"/>
  <c r="I954" i="17"/>
  <c r="K954" i="17" s="1"/>
  <c r="I946" i="17"/>
  <c r="K946" i="17" s="1"/>
  <c r="I942" i="17"/>
  <c r="K942" i="17" s="1"/>
  <c r="I938" i="17"/>
  <c r="K938" i="17" s="1"/>
  <c r="I930" i="17"/>
  <c r="K930" i="17" s="1"/>
  <c r="I918" i="17"/>
  <c r="K918" i="17" s="1"/>
  <c r="I912" i="17"/>
  <c r="K912" i="17" s="1"/>
  <c r="I907" i="17"/>
  <c r="K907" i="17" s="1"/>
  <c r="I902" i="17"/>
  <c r="K902" i="17" s="1"/>
  <c r="I896" i="17"/>
  <c r="K896" i="17" s="1"/>
  <c r="AH896" i="17" s="1"/>
  <c r="I891" i="17"/>
  <c r="K891" i="17" s="1"/>
  <c r="I886" i="17"/>
  <c r="K886" i="17" s="1"/>
  <c r="I880" i="17"/>
  <c r="K880" i="17" s="1"/>
  <c r="I870" i="17"/>
  <c r="K870" i="17" s="1"/>
  <c r="I864" i="17"/>
  <c r="K864" i="17" s="1"/>
  <c r="I847" i="17"/>
  <c r="K847" i="17" s="1"/>
  <c r="I831" i="17"/>
  <c r="K831" i="17" s="1"/>
  <c r="I821" i="17"/>
  <c r="K821" i="17" s="1"/>
  <c r="I799" i="17"/>
  <c r="K799" i="17" s="1"/>
  <c r="AH799" i="17" s="1"/>
  <c r="I746" i="17"/>
  <c r="K746" i="17" s="1"/>
  <c r="I800" i="17"/>
  <c r="K800" i="17" s="1"/>
  <c r="I807" i="17"/>
  <c r="K807" i="17" s="1"/>
  <c r="I812" i="17"/>
  <c r="K812" i="17" s="1"/>
  <c r="I828" i="17"/>
  <c r="K828" i="17" s="1"/>
  <c r="AH828" i="17" s="1"/>
  <c r="I836" i="17"/>
  <c r="K836" i="17" s="1"/>
  <c r="I844" i="17"/>
  <c r="K844" i="17" s="1"/>
  <c r="I997" i="17"/>
  <c r="K997" i="17" s="1"/>
  <c r="AH997" i="17" s="1"/>
  <c r="I993" i="17"/>
  <c r="K993" i="17" s="1"/>
  <c r="I989" i="17"/>
  <c r="K989" i="17" s="1"/>
  <c r="AH989" i="17" s="1"/>
  <c r="I985" i="17"/>
  <c r="K985" i="17" s="1"/>
  <c r="I981" i="17"/>
  <c r="K981" i="17" s="1"/>
  <c r="AH981" i="17" s="1"/>
  <c r="I977" i="17"/>
  <c r="K977" i="17" s="1"/>
  <c r="I973" i="17"/>
  <c r="K973" i="17" s="1"/>
  <c r="I969" i="17"/>
  <c r="K969" i="17" s="1"/>
  <c r="I965" i="17"/>
  <c r="K965" i="17" s="1"/>
  <c r="I961" i="17"/>
  <c r="K961" i="17" s="1"/>
  <c r="I957" i="17"/>
  <c r="K957" i="17" s="1"/>
  <c r="I949" i="17"/>
  <c r="K949" i="17" s="1"/>
  <c r="AH949" i="17" s="1"/>
  <c r="I945" i="17"/>
  <c r="K945" i="17" s="1"/>
  <c r="I937" i="17"/>
  <c r="K937" i="17" s="1"/>
  <c r="I933" i="17"/>
  <c r="K933" i="17" s="1"/>
  <c r="AH933" i="17" s="1"/>
  <c r="I921" i="17"/>
  <c r="K921" i="17" s="1"/>
  <c r="AH921" i="17" s="1"/>
  <c r="I911" i="17"/>
  <c r="K911" i="17" s="1"/>
  <c r="I895" i="17"/>
  <c r="K895" i="17" s="1"/>
  <c r="I879" i="17"/>
  <c r="K879" i="17" s="1"/>
  <c r="I874" i="17"/>
  <c r="K874" i="17" s="1"/>
  <c r="I863" i="17"/>
  <c r="K863" i="17" s="1"/>
  <c r="AH863" i="17" s="1"/>
  <c r="I858" i="17"/>
  <c r="K858" i="17" s="1"/>
  <c r="I852" i="17"/>
  <c r="K852" i="17" s="1"/>
  <c r="I839" i="17"/>
  <c r="K839" i="17" s="1"/>
  <c r="I809" i="17"/>
  <c r="K809" i="17" s="1"/>
  <c r="I777" i="17"/>
  <c r="K777" i="17" s="1"/>
  <c r="I766" i="17"/>
  <c r="K766" i="17" s="1"/>
  <c r="I734" i="17"/>
  <c r="K734" i="17" s="1"/>
  <c r="I702" i="17"/>
  <c r="K702" i="17" s="1"/>
  <c r="I691" i="17"/>
  <c r="K691" i="17" s="1"/>
  <c r="I673" i="17"/>
  <c r="K673" i="17" s="1"/>
  <c r="I679" i="17"/>
  <c r="K679" i="17" s="1"/>
  <c r="AH679" i="17" s="1"/>
  <c r="I705" i="17"/>
  <c r="K705" i="17" s="1"/>
  <c r="I710" i="17"/>
  <c r="K710" i="17" s="1"/>
  <c r="I716" i="17"/>
  <c r="K716" i="17" s="1"/>
  <c r="I722" i="17"/>
  <c r="K722" i="17" s="1"/>
  <c r="I726" i="17"/>
  <c r="K726" i="17" s="1"/>
  <c r="I737" i="17"/>
  <c r="K737" i="17" s="1"/>
  <c r="I753" i="17"/>
  <c r="K753" i="17" s="1"/>
  <c r="I756" i="17"/>
  <c r="K756" i="17" s="1"/>
  <c r="I760" i="17"/>
  <c r="K760" i="17" s="1"/>
  <c r="I763" i="17"/>
  <c r="K763" i="17" s="1"/>
  <c r="I769" i="17"/>
  <c r="K769" i="17" s="1"/>
  <c r="I776" i="17"/>
  <c r="K776" i="17" s="1"/>
  <c r="I784" i="17"/>
  <c r="K784" i="17" s="1"/>
  <c r="I801" i="17"/>
  <c r="K801" i="17" s="1"/>
  <c r="I804" i="17"/>
  <c r="K804" i="17" s="1"/>
  <c r="I808" i="17"/>
  <c r="K808" i="17" s="1"/>
  <c r="I820" i="17"/>
  <c r="K820" i="17" s="1"/>
  <c r="I823" i="17"/>
  <c r="K823" i="17" s="1"/>
  <c r="I834" i="17"/>
  <c r="K834" i="17" s="1"/>
  <c r="I885" i="17"/>
  <c r="K885" i="17" s="1"/>
  <c r="I901" i="17"/>
  <c r="K901" i="17" s="1"/>
  <c r="AH901" i="17" s="1"/>
  <c r="I917" i="17"/>
  <c r="K917" i="17" s="1"/>
  <c r="AH917" i="17" s="1"/>
  <c r="I1000" i="17"/>
  <c r="K1000" i="17" s="1"/>
  <c r="I996" i="17"/>
  <c r="K996" i="17" s="1"/>
  <c r="AH996" i="17" s="1"/>
  <c r="I988" i="17"/>
  <c r="K988" i="17" s="1"/>
  <c r="AH988" i="17" s="1"/>
  <c r="I980" i="17"/>
  <c r="K980" i="17" s="1"/>
  <c r="AH980" i="17" s="1"/>
  <c r="I972" i="17"/>
  <c r="K972" i="17" s="1"/>
  <c r="I968" i="17"/>
  <c r="K968" i="17" s="1"/>
  <c r="I964" i="17"/>
  <c r="K964" i="17" s="1"/>
  <c r="I960" i="17"/>
  <c r="K960" i="17" s="1"/>
  <c r="I956" i="17"/>
  <c r="K956" i="17" s="1"/>
  <c r="I952" i="17"/>
  <c r="K952" i="17" s="1"/>
  <c r="I948" i="17"/>
  <c r="K948" i="17" s="1"/>
  <c r="AH948" i="17" s="1"/>
  <c r="I944" i="17"/>
  <c r="K944" i="17" s="1"/>
  <c r="I940" i="17"/>
  <c r="K940" i="17" s="1"/>
  <c r="I932" i="17"/>
  <c r="K932" i="17" s="1"/>
  <c r="I928" i="17"/>
  <c r="K928" i="17" s="1"/>
  <c r="I924" i="17"/>
  <c r="K924" i="17" s="1"/>
  <c r="I915" i="17"/>
  <c r="K915" i="17" s="1"/>
  <c r="I910" i="17"/>
  <c r="K910" i="17" s="1"/>
  <c r="I904" i="17"/>
  <c r="K904" i="17" s="1"/>
  <c r="AH904" i="17" s="1"/>
  <c r="I899" i="17"/>
  <c r="K899" i="17" s="1"/>
  <c r="I894" i="17"/>
  <c r="K894" i="17" s="1"/>
  <c r="I888" i="17"/>
  <c r="K888" i="17" s="1"/>
  <c r="I883" i="17"/>
  <c r="K883" i="17" s="1"/>
  <c r="I878" i="17"/>
  <c r="K878" i="17" s="1"/>
  <c r="I862" i="17"/>
  <c r="K862" i="17" s="1"/>
  <c r="I856" i="17"/>
  <c r="K856" i="17" s="1"/>
  <c r="I837" i="17"/>
  <c r="K837" i="17" s="1"/>
  <c r="I815" i="17"/>
  <c r="K815" i="17" s="1"/>
  <c r="I805" i="17"/>
  <c r="K805" i="17" s="1"/>
  <c r="I773" i="17"/>
  <c r="K773" i="17" s="1"/>
  <c r="I719" i="17"/>
  <c r="K719" i="17" s="1"/>
  <c r="I770" i="17"/>
  <c r="K770" i="17" s="1"/>
  <c r="I774" i="17"/>
  <c r="K774" i="17" s="1"/>
  <c r="I780" i="17"/>
  <c r="K780" i="17" s="1"/>
  <c r="I792" i="17"/>
  <c r="K792" i="17" s="1"/>
  <c r="I818" i="17"/>
  <c r="K818" i="17" s="1"/>
  <c r="I824" i="17"/>
  <c r="K824" i="17" s="1"/>
  <c r="I829" i="17"/>
  <c r="K829" i="17" s="1"/>
  <c r="I832" i="17"/>
  <c r="K832" i="17" s="1"/>
  <c r="I840" i="17"/>
  <c r="K840" i="17" s="1"/>
  <c r="I848" i="17"/>
  <c r="K848" i="17" s="1"/>
  <c r="I999" i="17"/>
  <c r="K999" i="17" s="1"/>
  <c r="I995" i="17"/>
  <c r="K995" i="17" s="1"/>
  <c r="I991" i="17"/>
  <c r="K991" i="17" s="1"/>
  <c r="I987" i="17"/>
  <c r="K987" i="17" s="1"/>
  <c r="I983" i="17"/>
  <c r="K983" i="17" s="1"/>
  <c r="I979" i="17"/>
  <c r="K979" i="17" s="1"/>
  <c r="I975" i="17"/>
  <c r="K975" i="17" s="1"/>
  <c r="I971" i="17"/>
  <c r="K971" i="17" s="1"/>
  <c r="I967" i="17"/>
  <c r="K967" i="17" s="1"/>
  <c r="I963" i="17"/>
  <c r="K963" i="17" s="1"/>
  <c r="I959" i="17"/>
  <c r="K959" i="17" s="1"/>
  <c r="AH959" i="17" s="1"/>
  <c r="I955" i="17"/>
  <c r="K955" i="17" s="1"/>
  <c r="I951" i="17"/>
  <c r="K951" i="17" s="1"/>
  <c r="I947" i="17"/>
  <c r="K947" i="17" s="1"/>
  <c r="I943" i="17"/>
  <c r="K943" i="17" s="1"/>
  <c r="I939" i="17"/>
  <c r="K939" i="17" s="1"/>
  <c r="I935" i="17"/>
  <c r="K935" i="17" s="1"/>
  <c r="I927" i="17"/>
  <c r="K927" i="17" s="1"/>
  <c r="I923" i="17"/>
  <c r="K923" i="17" s="1"/>
  <c r="I914" i="17"/>
  <c r="K914" i="17" s="1"/>
  <c r="I898" i="17"/>
  <c r="K898" i="17" s="1"/>
  <c r="I882" i="17"/>
  <c r="K882" i="17" s="1"/>
  <c r="I871" i="17"/>
  <c r="K871" i="17" s="1"/>
  <c r="I866" i="17"/>
  <c r="K866" i="17" s="1"/>
  <c r="I855" i="17"/>
  <c r="K855" i="17" s="1"/>
  <c r="I835" i="17"/>
  <c r="K835" i="17" s="1"/>
  <c r="I803" i="17"/>
  <c r="K803" i="17" s="1"/>
  <c r="I782" i="17"/>
  <c r="K782" i="17" s="1"/>
  <c r="AG54" i="17"/>
  <c r="M5" i="18" l="1"/>
  <c r="I4" i="18"/>
  <c r="AH750" i="17"/>
  <c r="I3" i="18"/>
  <c r="I10" i="18"/>
  <c r="M11" i="18"/>
  <c r="M10" i="18"/>
  <c r="M6" i="18"/>
  <c r="M4" i="18"/>
  <c r="E11" i="18"/>
  <c r="AH607" i="17"/>
  <c r="AH940" i="17"/>
  <c r="AH620" i="17"/>
  <c r="M7" i="18"/>
  <c r="M3" i="18"/>
  <c r="I8" i="18"/>
  <c r="I6" i="18"/>
  <c r="I2" i="18"/>
  <c r="M9" i="18"/>
  <c r="E3" i="18"/>
  <c r="E2" i="18"/>
  <c r="AF314" i="17"/>
  <c r="K314" i="17"/>
  <c r="E9" i="18"/>
  <c r="L5" i="18"/>
  <c r="H10" i="18"/>
  <c r="AF714" i="17"/>
  <c r="K714" i="17"/>
  <c r="AH714" i="17" s="1"/>
  <c r="AF128" i="17"/>
  <c r="K128" i="17"/>
  <c r="AF95" i="17"/>
  <c r="K95" i="17"/>
  <c r="AH95" i="17" s="1"/>
  <c r="AF426" i="17"/>
  <c r="T426" i="17"/>
  <c r="I9" i="18" s="1"/>
  <c r="L4" i="18"/>
  <c r="H3" i="18"/>
  <c r="AF94" i="17"/>
  <c r="K94" i="17"/>
  <c r="AH94" i="17" s="1"/>
  <c r="L11" i="18"/>
  <c r="H5" i="18"/>
  <c r="H11" i="18"/>
  <c r="AF528" i="17"/>
  <c r="K528" i="17"/>
  <c r="AF202" i="17"/>
  <c r="K202" i="17"/>
  <c r="AF683" i="17"/>
  <c r="K683" i="17"/>
  <c r="E7" i="18" s="1"/>
  <c r="E8" i="18"/>
  <c r="L3" i="18"/>
  <c r="H6" i="18"/>
  <c r="H4" i="18"/>
  <c r="L9" i="18"/>
  <c r="L10" i="18"/>
  <c r="H7" i="18"/>
  <c r="AF700" i="17"/>
  <c r="K700" i="17"/>
  <c r="E5" i="18" s="1"/>
  <c r="L8" i="18"/>
  <c r="L2" i="18"/>
  <c r="H8" i="18"/>
  <c r="L7" i="18"/>
  <c r="H9" i="18"/>
  <c r="E4" i="18"/>
  <c r="L6" i="18"/>
  <c r="H2" i="18"/>
  <c r="AH353" i="17"/>
  <c r="AH596" i="17"/>
  <c r="AH932" i="17"/>
  <c r="AH964" i="17"/>
  <c r="AH153" i="17"/>
  <c r="AH401" i="17"/>
  <c r="AH617" i="17"/>
  <c r="AH825" i="17"/>
  <c r="AF660" i="17"/>
  <c r="AF223" i="17"/>
  <c r="AH927" i="17"/>
  <c r="AH536" i="17"/>
  <c r="AF628" i="17"/>
  <c r="AF434" i="17"/>
  <c r="D10" i="18"/>
  <c r="D4" i="18"/>
  <c r="D7" i="18"/>
  <c r="D6" i="18"/>
  <c r="D2" i="18"/>
  <c r="D8" i="18"/>
  <c r="D11" i="18"/>
  <c r="D5" i="18"/>
  <c r="D9" i="18"/>
  <c r="D3" i="18"/>
  <c r="AH61" i="17"/>
  <c r="AH477" i="17"/>
  <c r="AH411" i="17"/>
  <c r="AH797" i="17"/>
  <c r="AH845" i="17"/>
  <c r="AH861" i="17"/>
  <c r="AH877" i="17"/>
  <c r="AH893" i="17"/>
  <c r="AH925" i="17"/>
  <c r="AH21" i="17"/>
  <c r="AH85" i="17"/>
  <c r="AH117" i="17"/>
  <c r="AH181" i="17"/>
  <c r="AH245" i="17"/>
  <c r="AH469" i="17"/>
  <c r="AH14" i="17"/>
  <c r="AF926" i="17"/>
  <c r="AF541" i="17"/>
  <c r="AF465" i="17"/>
  <c r="AF218" i="17"/>
  <c r="AH77" i="17"/>
  <c r="AH941" i="17"/>
  <c r="AH837" i="17"/>
  <c r="AH869" i="17"/>
  <c r="AH303" i="17"/>
  <c r="AH210" i="17"/>
  <c r="AF404" i="17"/>
  <c r="AF354" i="17"/>
  <c r="AH45" i="17"/>
  <c r="AH357" i="17"/>
  <c r="AH56" i="17"/>
  <c r="AH658" i="17"/>
  <c r="AH514" i="17"/>
  <c r="AH27" i="17"/>
  <c r="AF679" i="17"/>
  <c r="AF250" i="17"/>
  <c r="AH216" i="17"/>
  <c r="AF646" i="17"/>
  <c r="AF887" i="17"/>
  <c r="AF788" i="17"/>
  <c r="AF766" i="17"/>
  <c r="R9" i="18"/>
  <c r="AF957" i="17"/>
  <c r="AF592" i="17"/>
  <c r="AF184" i="17"/>
  <c r="AF743" i="17"/>
  <c r="AF840" i="17"/>
  <c r="AF240" i="17"/>
  <c r="AH642" i="17"/>
  <c r="AF864" i="17"/>
  <c r="AF448" i="17"/>
  <c r="AF362" i="17"/>
  <c r="AF230" i="17"/>
  <c r="AH347" i="17"/>
  <c r="AH671" i="17"/>
  <c r="AH166" i="17"/>
  <c r="AF87" i="17"/>
  <c r="AH144" i="17"/>
  <c r="AH5" i="17"/>
  <c r="AH325" i="17"/>
  <c r="AH808" i="17"/>
  <c r="AH868" i="17"/>
  <c r="AH733" i="17"/>
  <c r="AH488" i="17"/>
  <c r="AH793" i="17"/>
  <c r="AH653" i="17"/>
  <c r="AH736" i="17"/>
  <c r="AH485" i="17"/>
  <c r="AH561" i="17"/>
  <c r="AH55" i="17"/>
  <c r="AH694" i="17"/>
  <c r="AH623" i="17"/>
  <c r="AH962" i="17"/>
  <c r="AH142" i="17"/>
  <c r="AH809" i="17"/>
  <c r="AH214" i="17"/>
  <c r="AH111" i="17"/>
  <c r="AH287" i="17"/>
  <c r="AH8" i="17"/>
  <c r="AH670" i="17"/>
  <c r="AH25" i="17"/>
  <c r="AH81" i="17"/>
  <c r="AH121" i="17"/>
  <c r="AH155" i="17"/>
  <c r="AH219" i="17"/>
  <c r="AH700" i="17"/>
  <c r="AH37" i="17"/>
  <c r="AH197" i="17"/>
  <c r="AH870" i="17"/>
  <c r="AH359" i="17"/>
  <c r="AH697" i="17"/>
  <c r="AH563" i="17"/>
  <c r="AH691" i="17"/>
  <c r="AH763" i="17"/>
  <c r="AH827" i="17"/>
  <c r="AH899" i="17"/>
  <c r="AH963" i="17"/>
  <c r="AH956" i="17"/>
  <c r="AH589" i="17"/>
  <c r="AH952" i="17"/>
  <c r="AH316" i="17"/>
  <c r="AH668" i="17"/>
  <c r="AH65" i="17"/>
  <c r="AH924" i="17"/>
  <c r="AH725" i="17"/>
  <c r="AH950" i="17"/>
  <c r="AH447" i="17"/>
  <c r="AH352" i="17"/>
  <c r="AH985" i="17"/>
  <c r="AH346" i="17"/>
  <c r="AH18" i="17"/>
  <c r="AH90" i="17"/>
  <c r="AH280" i="17"/>
  <c r="AH728" i="17"/>
  <c r="AH338" i="17"/>
  <c r="AH101" i="17"/>
  <c r="O4" i="18"/>
  <c r="AH26" i="17"/>
  <c r="AH154" i="17"/>
  <c r="AH480" i="17"/>
  <c r="AH672" i="17"/>
  <c r="AH282" i="17"/>
  <c r="AH73" i="17"/>
  <c r="AH801" i="17"/>
  <c r="AH929" i="17"/>
  <c r="AH218" i="17"/>
  <c r="AH191" i="17"/>
  <c r="AF647" i="17"/>
  <c r="AF455" i="17"/>
  <c r="AF28" i="17"/>
  <c r="AF338" i="17"/>
  <c r="AF116" i="17"/>
  <c r="AF139" i="17"/>
  <c r="AH135" i="17"/>
  <c r="AH281" i="17"/>
  <c r="AH300" i="17"/>
  <c r="AH406" i="17"/>
  <c r="AH742" i="17"/>
  <c r="AH495" i="17"/>
  <c r="AH677" i="17"/>
  <c r="AH741" i="17"/>
  <c r="AH934" i="17"/>
  <c r="AH394" i="17"/>
  <c r="AH176" i="17"/>
  <c r="AH944" i="17"/>
  <c r="AH410" i="17"/>
  <c r="AH265" i="17"/>
  <c r="R5" i="18"/>
  <c r="AF366" i="17"/>
  <c r="AF583" i="17"/>
  <c r="AF194" i="17"/>
  <c r="AH17" i="17"/>
  <c r="AH373" i="17"/>
  <c r="AH689" i="17"/>
  <c r="AH891" i="17"/>
  <c r="AH10" i="17"/>
  <c r="AH74" i="17"/>
  <c r="AH384" i="17"/>
  <c r="AH330" i="17"/>
  <c r="AH823" i="17"/>
  <c r="AH318" i="17"/>
  <c r="AH521" i="17"/>
  <c r="AH785" i="17"/>
  <c r="AH817" i="17"/>
  <c r="AH849" i="17"/>
  <c r="AH913" i="17"/>
  <c r="AH723" i="17"/>
  <c r="AH599" i="17"/>
  <c r="AH472" i="17"/>
  <c r="AH584" i="17"/>
  <c r="AH202" i="17"/>
  <c r="AH266" i="17"/>
  <c r="AH578" i="17"/>
  <c r="AH786" i="17"/>
  <c r="AH858" i="17"/>
  <c r="AH970" i="17"/>
  <c r="R6" i="18"/>
  <c r="R3" i="18"/>
  <c r="R11" i="18"/>
  <c r="AF932" i="17"/>
  <c r="AH222" i="17"/>
  <c r="AH324" i="17"/>
  <c r="AH635" i="17"/>
  <c r="AH938" i="17"/>
  <c r="AH780" i="17"/>
  <c r="AH38" i="17"/>
  <c r="AH876" i="17"/>
  <c r="AH874" i="17"/>
  <c r="AF938" i="17"/>
  <c r="AF168" i="17"/>
  <c r="AH435" i="17"/>
  <c r="AH664" i="17"/>
  <c r="AH224" i="17"/>
  <c r="AH873" i="17"/>
  <c r="AH914" i="17"/>
  <c r="AH226" i="17"/>
  <c r="AH666" i="17"/>
  <c r="AH790" i="17"/>
  <c r="AF927" i="17"/>
  <c r="AF254" i="17"/>
  <c r="AF484" i="17"/>
  <c r="AF162" i="17"/>
  <c r="AF300" i="17"/>
  <c r="AF179" i="17"/>
  <c r="AH32" i="17"/>
  <c r="AH252" i="17"/>
  <c r="AH796" i="17"/>
  <c r="AH702" i="17"/>
  <c r="AH795" i="17"/>
  <c r="AH710" i="17"/>
  <c r="AH753" i="17"/>
  <c r="O8" i="18"/>
  <c r="AF855" i="17"/>
  <c r="AF607" i="17"/>
  <c r="AF516" i="17"/>
  <c r="AF442" i="17"/>
  <c r="AF359" i="17"/>
  <c r="AF234" i="17"/>
  <c r="AF144" i="17"/>
  <c r="AF96" i="17"/>
  <c r="AF248" i="17"/>
  <c r="AF204" i="17"/>
  <c r="AH70" i="17"/>
  <c r="AH158" i="17"/>
  <c r="AH286" i="17"/>
  <c r="AH71" i="17"/>
  <c r="AH175" i="17"/>
  <c r="AH295" i="17"/>
  <c r="AH120" i="17"/>
  <c r="AH200" i="17"/>
  <c r="AH320" i="17"/>
  <c r="AH209" i="17"/>
  <c r="AH4" i="17"/>
  <c r="AH68" i="17"/>
  <c r="AH132" i="17"/>
  <c r="AH196" i="17"/>
  <c r="AH3" i="17"/>
  <c r="AH67" i="17"/>
  <c r="AH131" i="17"/>
  <c r="AH195" i="17"/>
  <c r="AH259" i="17"/>
  <c r="AH323" i="17"/>
  <c r="AH387" i="17"/>
  <c r="AH451" i="17"/>
  <c r="AH515" i="17"/>
  <c r="AH292" i="17"/>
  <c r="AH356" i="17"/>
  <c r="AH420" i="17"/>
  <c r="AH484" i="17"/>
  <c r="AH676" i="17"/>
  <c r="AH740" i="17"/>
  <c r="AH804" i="17"/>
  <c r="AH125" i="17"/>
  <c r="AH205" i="17"/>
  <c r="AH285" i="17"/>
  <c r="AH445" i="17"/>
  <c r="AH118" i="17"/>
  <c r="AH334" i="17"/>
  <c r="AH398" i="17"/>
  <c r="AH486" i="17"/>
  <c r="AH566" i="17"/>
  <c r="AH646" i="17"/>
  <c r="AH718" i="17"/>
  <c r="AH822" i="17"/>
  <c r="AH79" i="17"/>
  <c r="AH279" i="17"/>
  <c r="AH399" i="17"/>
  <c r="AH551" i="17"/>
  <c r="AH639" i="17"/>
  <c r="AH727" i="17"/>
  <c r="AH807" i="17"/>
  <c r="AH911" i="17"/>
  <c r="AH193" i="17"/>
  <c r="AH433" i="17"/>
  <c r="AH513" i="17"/>
  <c r="AH585" i="17"/>
  <c r="AH673" i="17"/>
  <c r="AH737" i="17"/>
  <c r="AH603" i="17"/>
  <c r="AH667" i="17"/>
  <c r="AH739" i="17"/>
  <c r="AH803" i="17"/>
  <c r="AH875" i="17"/>
  <c r="AH939" i="17"/>
  <c r="AH836" i="17"/>
  <c r="AH565" i="17"/>
  <c r="AH629" i="17"/>
  <c r="AH701" i="17"/>
  <c r="AH773" i="17"/>
  <c r="AH63" i="17"/>
  <c r="AH455" i="17"/>
  <c r="AH726" i="17"/>
  <c r="AH926" i="17"/>
  <c r="AH990" i="17"/>
  <c r="AH761" i="17"/>
  <c r="AH937" i="17"/>
  <c r="AH58" i="17"/>
  <c r="AH168" i="17"/>
  <c r="AH360" i="17"/>
  <c r="AH432" i="17"/>
  <c r="AH552" i="17"/>
  <c r="AH632" i="17"/>
  <c r="AH704" i="17"/>
  <c r="AH776" i="17"/>
  <c r="AH872" i="17"/>
  <c r="AH936" i="17"/>
  <c r="AH178" i="17"/>
  <c r="AH242" i="17"/>
  <c r="AH314" i="17"/>
  <c r="AH402" i="17"/>
  <c r="AH474" i="17"/>
  <c r="AH546" i="17"/>
  <c r="AH618" i="17"/>
  <c r="AH682" i="17"/>
  <c r="AH746" i="17"/>
  <c r="AH215" i="17"/>
  <c r="AH759" i="17"/>
  <c r="AF834" i="17"/>
  <c r="AF857" i="17"/>
  <c r="AH1001" i="17"/>
  <c r="AH290" i="17"/>
  <c r="AH722" i="17"/>
  <c r="AH802" i="17"/>
  <c r="R7" i="18"/>
  <c r="AF906" i="17"/>
  <c r="AH499" i="17"/>
  <c r="AH417" i="17"/>
  <c r="AH887" i="17"/>
  <c r="AH752" i="17"/>
  <c r="AH920" i="17"/>
  <c r="AF995" i="17"/>
  <c r="AF997" i="17"/>
  <c r="AF519" i="17"/>
  <c r="AF511" i="17"/>
  <c r="AF387" i="17"/>
  <c r="AH59" i="17"/>
  <c r="AH507" i="17"/>
  <c r="AH931" i="17"/>
  <c r="AH829" i="17"/>
  <c r="AH190" i="17"/>
  <c r="AH982" i="17"/>
  <c r="AH152" i="17"/>
  <c r="AF836" i="17"/>
  <c r="AF954" i="17"/>
  <c r="AF476" i="17"/>
  <c r="AF178" i="17"/>
  <c r="AF287" i="17"/>
  <c r="AF846" i="17"/>
  <c r="AF503" i="17"/>
  <c r="AF198" i="17"/>
  <c r="AF100" i="17"/>
  <c r="AH78" i="17"/>
  <c r="AH198" i="17"/>
  <c r="AH326" i="17"/>
  <c r="AH183" i="17"/>
  <c r="AH64" i="17"/>
  <c r="AH128" i="17"/>
  <c r="AH328" i="17"/>
  <c r="AH217" i="17"/>
  <c r="AH12" i="17"/>
  <c r="AH76" i="17"/>
  <c r="AH140" i="17"/>
  <c r="AH204" i="17"/>
  <c r="AH11" i="17"/>
  <c r="AH75" i="17"/>
  <c r="AH139" i="17"/>
  <c r="AH203" i="17"/>
  <c r="AH267" i="17"/>
  <c r="AH331" i="17"/>
  <c r="AH395" i="17"/>
  <c r="AH459" i="17"/>
  <c r="AH523" i="17"/>
  <c r="AH364" i="17"/>
  <c r="AH428" i="17"/>
  <c r="AH492" i="17"/>
  <c r="AH556" i="17"/>
  <c r="AH684" i="17"/>
  <c r="AH748" i="17"/>
  <c r="AH812" i="17"/>
  <c r="AH53" i="17"/>
  <c r="AH133" i="17"/>
  <c r="AH213" i="17"/>
  <c r="AH365" i="17"/>
  <c r="AH453" i="17"/>
  <c r="AH126" i="17"/>
  <c r="AH342" i="17"/>
  <c r="AH494" i="17"/>
  <c r="AH582" i="17"/>
  <c r="AH654" i="17"/>
  <c r="AH830" i="17"/>
  <c r="AH87" i="17"/>
  <c r="AH335" i="17"/>
  <c r="AH407" i="17"/>
  <c r="AH559" i="17"/>
  <c r="AH655" i="17"/>
  <c r="AH743" i="17"/>
  <c r="AH831" i="17"/>
  <c r="AH9" i="17"/>
  <c r="AH201" i="17"/>
  <c r="AH441" i="17"/>
  <c r="AH529" i="17"/>
  <c r="AH593" i="17"/>
  <c r="AH681" i="17"/>
  <c r="AH547" i="17"/>
  <c r="AH611" i="17"/>
  <c r="AH675" i="17"/>
  <c r="AH747" i="17"/>
  <c r="AH811" i="17"/>
  <c r="AH883" i="17"/>
  <c r="AH947" i="17"/>
  <c r="AH844" i="17"/>
  <c r="AH165" i="17"/>
  <c r="AH501" i="17"/>
  <c r="AH573" i="17"/>
  <c r="AH637" i="17"/>
  <c r="AH709" i="17"/>
  <c r="AH781" i="17"/>
  <c r="AH296" i="17"/>
  <c r="AH862" i="17"/>
  <c r="AH751" i="17"/>
  <c r="AH943" i="17"/>
  <c r="AH327" i="17"/>
  <c r="AH199" i="17"/>
  <c r="AH2" i="17"/>
  <c r="AH66" i="17"/>
  <c r="AH734" i="17"/>
  <c r="AH368" i="17"/>
  <c r="AH448" i="17"/>
  <c r="AH560" i="17"/>
  <c r="AH640" i="17"/>
  <c r="AH712" i="17"/>
  <c r="AH784" i="17"/>
  <c r="AH880" i="17"/>
  <c r="AH186" i="17"/>
  <c r="AH250" i="17"/>
  <c r="AH322" i="17"/>
  <c r="AH482" i="17"/>
  <c r="AH554" i="17"/>
  <c r="AH626" i="17"/>
  <c r="AH690" i="17"/>
  <c r="AH754" i="17"/>
  <c r="AH575" i="17"/>
  <c r="AH260" i="17"/>
  <c r="AH389" i="17"/>
  <c r="AH553" i="17"/>
  <c r="AH571" i="17"/>
  <c r="AH907" i="17"/>
  <c r="AH669" i="17"/>
  <c r="AH98" i="17"/>
  <c r="AH354" i="17"/>
  <c r="AH866" i="17"/>
  <c r="AH615" i="17"/>
  <c r="AH813" i="17"/>
  <c r="AH879" i="17"/>
  <c r="AH616" i="17"/>
  <c r="AH665" i="17"/>
  <c r="AH865" i="17"/>
  <c r="AH34" i="17"/>
  <c r="O5" i="18"/>
  <c r="AF574" i="17"/>
  <c r="AH371" i="17"/>
  <c r="AH174" i="17"/>
  <c r="AH945" i="17"/>
  <c r="AH957" i="17"/>
  <c r="AH765" i="17"/>
  <c r="AH249" i="17"/>
  <c r="AF965" i="17"/>
  <c r="AF523" i="17"/>
  <c r="AF295" i="17"/>
  <c r="AF687" i="17"/>
  <c r="AF192" i="17"/>
  <c r="AF615" i="17"/>
  <c r="AH188" i="17"/>
  <c r="AH814" i="17"/>
  <c r="AH425" i="17"/>
  <c r="AH621" i="17"/>
  <c r="AH918" i="17"/>
  <c r="AH953" i="17"/>
  <c r="AH973" i="17"/>
  <c r="AH162" i="17"/>
  <c r="AH674" i="17"/>
  <c r="AH62" i="17"/>
  <c r="AF917" i="17"/>
  <c r="AF958" i="17"/>
  <c r="AF324" i="17"/>
  <c r="AF176" i="17"/>
  <c r="AF16" i="17"/>
  <c r="AF286" i="17"/>
  <c r="AF602" i="17"/>
  <c r="AF18" i="17"/>
  <c r="AH103" i="17"/>
  <c r="AH72" i="17"/>
  <c r="AH136" i="17"/>
  <c r="AH208" i="17"/>
  <c r="AH19" i="17"/>
  <c r="AH83" i="17"/>
  <c r="AH147" i="17"/>
  <c r="AH211" i="17"/>
  <c r="AH339" i="17"/>
  <c r="AH403" i="17"/>
  <c r="AH372" i="17"/>
  <c r="AH500" i="17"/>
  <c r="AH756" i="17"/>
  <c r="AH149" i="17"/>
  <c r="AH221" i="17"/>
  <c r="AH309" i="17"/>
  <c r="AH461" i="17"/>
  <c r="AH182" i="17"/>
  <c r="AH590" i="17"/>
  <c r="AH662" i="17"/>
  <c r="AH143" i="17"/>
  <c r="AH351" i="17"/>
  <c r="AH415" i="17"/>
  <c r="AH567" i="17"/>
  <c r="AH663" i="17"/>
  <c r="AH49" i="17"/>
  <c r="AH257" i="17"/>
  <c r="AH449" i="17"/>
  <c r="AH537" i="17"/>
  <c r="AH601" i="17"/>
  <c r="AH555" i="17"/>
  <c r="AH619" i="17"/>
  <c r="AH755" i="17"/>
  <c r="AH819" i="17"/>
  <c r="AH955" i="17"/>
  <c r="AH544" i="17"/>
  <c r="AH509" i="17"/>
  <c r="AH581" i="17"/>
  <c r="AH645" i="17"/>
  <c r="AH717" i="17"/>
  <c r="AH789" i="17"/>
  <c r="AH456" i="17"/>
  <c r="AH798" i="17"/>
  <c r="AH942" i="17"/>
  <c r="AH520" i="17"/>
  <c r="AH343" i="17"/>
  <c r="AH951" i="17"/>
  <c r="AH497" i="17"/>
  <c r="AH777" i="17"/>
  <c r="AH841" i="17"/>
  <c r="AH905" i="17"/>
  <c r="AH977" i="17"/>
  <c r="AH106" i="17"/>
  <c r="AH466" i="17"/>
  <c r="AH319" i="17"/>
  <c r="AH232" i="17"/>
  <c r="AH464" i="17"/>
  <c r="AH576" i="17"/>
  <c r="AH648" i="17"/>
  <c r="AH720" i="17"/>
  <c r="AH792" i="17"/>
  <c r="AH888" i="17"/>
  <c r="AH194" i="17"/>
  <c r="AH258" i="17"/>
  <c r="AH570" i="17"/>
  <c r="AH634" i="17"/>
  <c r="AH698" i="17"/>
  <c r="AH762" i="17"/>
  <c r="AH850" i="17"/>
  <c r="R4" i="18"/>
  <c r="R10" i="18"/>
  <c r="R8" i="18"/>
  <c r="AJ900" i="19"/>
  <c r="AH715" i="19"/>
  <c r="AJ273" i="19"/>
  <c r="AJ336" i="19"/>
  <c r="AH610" i="19"/>
  <c r="AJ894" i="19"/>
  <c r="AH986" i="19"/>
  <c r="AH590" i="19"/>
  <c r="AJ978" i="19"/>
  <c r="AH878" i="19"/>
  <c r="AJ717" i="19"/>
  <c r="AJ593" i="19"/>
  <c r="AH520" i="19"/>
  <c r="AH507" i="19"/>
  <c r="AJ671" i="19"/>
  <c r="AJ611" i="19"/>
  <c r="AJ577" i="19"/>
  <c r="AJ398" i="19"/>
  <c r="AJ258" i="19"/>
  <c r="AH77" i="19"/>
  <c r="AH717" i="19"/>
  <c r="AJ992" i="19"/>
  <c r="AH158" i="19"/>
  <c r="AJ267" i="19"/>
  <c r="AH546" i="19"/>
  <c r="AH492" i="19"/>
  <c r="AJ994" i="19"/>
  <c r="AJ670" i="19"/>
  <c r="AJ644" i="19"/>
  <c r="AH741" i="19"/>
  <c r="AH659" i="19"/>
  <c r="AJ199" i="19"/>
  <c r="AH807" i="19"/>
  <c r="AJ470" i="19"/>
  <c r="AH702" i="19"/>
  <c r="AJ668" i="19"/>
  <c r="AJ476" i="19"/>
  <c r="AH361" i="19"/>
  <c r="AH215" i="19"/>
  <c r="AH954" i="19"/>
  <c r="AH968" i="19"/>
  <c r="AJ841" i="19"/>
  <c r="AH823" i="19"/>
  <c r="AJ993" i="19"/>
  <c r="AJ615" i="19"/>
  <c r="AH629" i="19"/>
  <c r="AH297" i="19"/>
  <c r="AH502" i="19"/>
  <c r="AJ586" i="19"/>
  <c r="AJ494" i="19"/>
  <c r="AH995" i="19"/>
  <c r="AJ860" i="19"/>
  <c r="AH665" i="19"/>
  <c r="AJ544" i="19"/>
  <c r="AJ43" i="19"/>
  <c r="AJ946" i="19"/>
  <c r="AJ902" i="19"/>
  <c r="AJ953" i="19"/>
  <c r="AJ447" i="19"/>
  <c r="AH781" i="19"/>
  <c r="AJ855" i="19"/>
  <c r="AH592" i="19"/>
  <c r="AH541" i="19"/>
  <c r="AJ871" i="19"/>
  <c r="AJ552" i="19"/>
  <c r="AJ428" i="19"/>
  <c r="AJ103" i="19"/>
  <c r="AH545" i="19"/>
  <c r="AJ309" i="19"/>
  <c r="AJ284" i="19"/>
  <c r="AJ607" i="19"/>
  <c r="AH210" i="19"/>
  <c r="AH596" i="19"/>
  <c r="AH938" i="19"/>
  <c r="AH920" i="19"/>
  <c r="AH835" i="19"/>
  <c r="AJ815" i="19"/>
  <c r="AH308" i="19"/>
  <c r="AJ194" i="19"/>
  <c r="AJ169" i="19"/>
  <c r="AJ931" i="19"/>
  <c r="AH956" i="19"/>
  <c r="AH865" i="19"/>
  <c r="AH531" i="19"/>
  <c r="AH149" i="19"/>
  <c r="AH88" i="19"/>
  <c r="AJ13" i="19"/>
  <c r="AH244" i="19"/>
  <c r="AH856" i="19"/>
  <c r="AJ241" i="19"/>
  <c r="AH47" i="19"/>
  <c r="AH692" i="19"/>
  <c r="AH62" i="19"/>
  <c r="AJ55" i="19"/>
  <c r="AJ92" i="19"/>
  <c r="AJ311" i="19"/>
  <c r="AJ155" i="19"/>
  <c r="AH401" i="19"/>
  <c r="AJ137" i="19"/>
  <c r="AH963" i="19"/>
  <c r="AJ893" i="19"/>
  <c r="AH907" i="19"/>
  <c r="AH734" i="19"/>
  <c r="AJ453" i="19"/>
  <c r="AJ139" i="19"/>
  <c r="AH108" i="19"/>
  <c r="AJ918" i="19"/>
  <c r="AJ969" i="19"/>
  <c r="AJ277" i="19"/>
  <c r="AJ382" i="19"/>
  <c r="AH748" i="19"/>
  <c r="AH299" i="19"/>
  <c r="AJ909" i="19"/>
  <c r="AJ708" i="19"/>
  <c r="AH152" i="19"/>
  <c r="AJ157" i="19"/>
  <c r="AH866" i="19"/>
  <c r="AH826" i="19"/>
  <c r="AH800" i="19"/>
  <c r="AJ725" i="19"/>
  <c r="AJ664" i="19"/>
  <c r="AJ610" i="19"/>
  <c r="AJ227" i="19"/>
  <c r="AH74" i="19"/>
  <c r="AJ397" i="19"/>
  <c r="AH137" i="19"/>
  <c r="AH7" i="19"/>
  <c r="AH848" i="19"/>
  <c r="AJ730" i="19"/>
  <c r="AJ252" i="19"/>
  <c r="AH916" i="19"/>
  <c r="AH769" i="19"/>
  <c r="AH559" i="19"/>
  <c r="AH394" i="19"/>
  <c r="AH160" i="19"/>
  <c r="AJ111" i="19"/>
  <c r="AJ182" i="19"/>
  <c r="AJ97" i="19"/>
  <c r="AJ986" i="19"/>
  <c r="AH871" i="19"/>
  <c r="AH900" i="19"/>
  <c r="AH470" i="19"/>
  <c r="AJ571" i="19"/>
  <c r="AH36" i="19"/>
  <c r="AH86" i="19"/>
  <c r="AJ1000" i="19"/>
  <c r="AH814" i="19"/>
  <c r="AJ601" i="19"/>
  <c r="AJ45" i="19"/>
  <c r="AJ769" i="19"/>
  <c r="AH618" i="19"/>
  <c r="AJ640" i="19"/>
  <c r="AJ509" i="19"/>
  <c r="AH249" i="19"/>
  <c r="AJ558" i="19"/>
  <c r="AH858" i="19"/>
  <c r="AH765" i="19"/>
  <c r="AJ399" i="19"/>
  <c r="AJ357" i="19"/>
  <c r="AJ282" i="19"/>
  <c r="AJ825" i="19"/>
  <c r="AH713" i="19"/>
  <c r="AH894" i="19"/>
  <c r="AJ808" i="19"/>
  <c r="AJ713" i="19"/>
  <c r="AJ848" i="19"/>
  <c r="AH674" i="19"/>
  <c r="AH571" i="19"/>
  <c r="AJ400" i="19"/>
  <c r="AH49" i="19"/>
  <c r="AH945" i="19"/>
  <c r="AH870" i="19"/>
  <c r="AJ63" i="19"/>
  <c r="AH359" i="19"/>
  <c r="AH101" i="19"/>
  <c r="AH55" i="19"/>
  <c r="AH100" i="19"/>
  <c r="AJ937" i="19"/>
  <c r="AJ735" i="19"/>
  <c r="AJ538" i="19"/>
  <c r="AH904" i="19"/>
  <c r="AJ221" i="19"/>
  <c r="AJ330" i="19"/>
  <c r="AH693" i="19"/>
  <c r="AH830" i="19"/>
  <c r="AJ832" i="19"/>
  <c r="AJ921" i="19"/>
  <c r="AH508" i="19"/>
  <c r="AJ88" i="19"/>
  <c r="AJ9" i="19"/>
  <c r="AH180" i="19"/>
  <c r="AJ25" i="19"/>
  <c r="AJ307" i="19"/>
  <c r="AJ922" i="19"/>
  <c r="AJ970" i="19"/>
  <c r="AJ392" i="19"/>
  <c r="AH253" i="19"/>
  <c r="AJ77" i="19"/>
  <c r="AH274" i="19"/>
  <c r="AJ165" i="19"/>
  <c r="AH970" i="19"/>
  <c r="AJ923" i="19"/>
  <c r="AJ291" i="19"/>
  <c r="AH266" i="19"/>
  <c r="AH677" i="19"/>
  <c r="AJ801" i="19"/>
  <c r="AJ200" i="19"/>
  <c r="AH923" i="19"/>
  <c r="AJ759" i="19"/>
  <c r="AJ628" i="19"/>
  <c r="AJ414" i="19"/>
  <c r="AJ33" i="19"/>
  <c r="AH118" i="19"/>
  <c r="AJ124" i="19"/>
  <c r="AH790" i="19"/>
  <c r="AH721" i="19"/>
  <c r="AJ734" i="19"/>
  <c r="AH573" i="19"/>
  <c r="AJ451" i="19"/>
  <c r="AH61" i="19"/>
  <c r="AH181" i="19"/>
  <c r="AH147" i="19"/>
  <c r="AJ53" i="19"/>
  <c r="AJ686" i="19"/>
  <c r="AH822" i="19"/>
  <c r="AJ349" i="19"/>
  <c r="AH111" i="19"/>
  <c r="AH117" i="19"/>
  <c r="AJ73" i="19"/>
  <c r="AJ4" i="19"/>
  <c r="AH893" i="19"/>
  <c r="AH730" i="19"/>
  <c r="AH421" i="19"/>
  <c r="AJ866" i="19"/>
  <c r="AH801" i="19"/>
  <c r="AJ674" i="19"/>
  <c r="AH204" i="19"/>
  <c r="AH199" i="19"/>
  <c r="AJ962" i="19"/>
  <c r="AH94" i="19"/>
  <c r="AJ936" i="19"/>
  <c r="AJ367" i="19"/>
  <c r="AH774" i="19"/>
  <c r="AH243" i="19"/>
  <c r="AH820" i="19"/>
  <c r="AJ968" i="19"/>
  <c r="AH59" i="19"/>
  <c r="AJ17" i="19"/>
  <c r="AJ885" i="19"/>
  <c r="AH969" i="19"/>
  <c r="AH902" i="19"/>
  <c r="AH580" i="19"/>
  <c r="AJ492" i="19"/>
  <c r="AH318" i="19"/>
  <c r="AJ237" i="19"/>
  <c r="AH114" i="19"/>
  <c r="AH91" i="19"/>
  <c r="AJ847" i="19"/>
  <c r="AH469" i="19"/>
  <c r="AJ381" i="19"/>
  <c r="AH126" i="19"/>
  <c r="AH860" i="19"/>
  <c r="AJ807" i="19"/>
  <c r="AH400" i="19"/>
  <c r="AJ146" i="19"/>
  <c r="AH726" i="19"/>
  <c r="AH653" i="19"/>
  <c r="AJ603" i="19"/>
  <c r="AH496" i="19"/>
  <c r="AJ268" i="19"/>
  <c r="AJ455" i="19"/>
  <c r="AJ36" i="19"/>
  <c r="AJ179" i="19"/>
  <c r="AJ696" i="19"/>
  <c r="AH164" i="19"/>
  <c r="AH141" i="19"/>
  <c r="AJ76" i="19"/>
  <c r="AJ642" i="19"/>
  <c r="AJ661" i="19"/>
  <c r="AJ6" i="19"/>
  <c r="AH838" i="19"/>
  <c r="AJ830" i="19"/>
  <c r="AH446" i="19"/>
  <c r="AH267" i="19"/>
  <c r="AH260" i="19"/>
  <c r="AH389" i="19"/>
  <c r="AH352" i="19"/>
  <c r="AJ236" i="19"/>
  <c r="AJ41" i="19"/>
  <c r="AH172" i="19"/>
  <c r="AH68" i="19"/>
  <c r="AH941" i="19"/>
  <c r="AJ876" i="19"/>
  <c r="AH682" i="19"/>
  <c r="AJ685" i="19"/>
  <c r="AH207" i="19"/>
  <c r="AJ315" i="19"/>
  <c r="AJ206" i="19"/>
  <c r="AH154" i="19"/>
  <c r="AJ39" i="19"/>
  <c r="AJ164" i="19"/>
  <c r="AH262" i="19"/>
  <c r="AH915" i="19"/>
  <c r="AJ502" i="19"/>
  <c r="AJ448" i="19"/>
  <c r="AJ631" i="19"/>
  <c r="AH609" i="19"/>
  <c r="AJ368" i="19"/>
  <c r="AJ438" i="19"/>
  <c r="AH143" i="19"/>
  <c r="AJ474" i="19"/>
  <c r="AH4" i="19"/>
  <c r="AJ437" i="19"/>
  <c r="AJ924" i="19"/>
  <c r="AH913" i="19"/>
  <c r="AJ741" i="19"/>
  <c r="AH767" i="19"/>
  <c r="AH927" i="19"/>
  <c r="AJ710" i="19"/>
  <c r="AJ467" i="19"/>
  <c r="AH116" i="19"/>
  <c r="AH128" i="19"/>
  <c r="AH637" i="19"/>
  <c r="AH6" i="19"/>
  <c r="AH808" i="19"/>
  <c r="AH686" i="19"/>
  <c r="AH166" i="19"/>
  <c r="AH240" i="19"/>
  <c r="AH961" i="19"/>
  <c r="AJ999" i="19"/>
  <c r="AH867" i="19"/>
  <c r="AJ679" i="19"/>
  <c r="AJ441" i="19"/>
  <c r="AH184" i="19"/>
  <c r="AJ358" i="19"/>
  <c r="AJ180" i="19"/>
  <c r="AH168" i="19"/>
  <c r="AJ760" i="19"/>
  <c r="AH563" i="19"/>
  <c r="AJ529" i="19"/>
  <c r="AJ446" i="19"/>
  <c r="AH662" i="19"/>
  <c r="AJ359" i="19"/>
  <c r="AH44" i="19"/>
  <c r="AJ235" i="19"/>
  <c r="AH140" i="19"/>
  <c r="AJ202" i="19"/>
  <c r="AJ490" i="19"/>
  <c r="AH634" i="19"/>
  <c r="AJ594" i="19"/>
  <c r="AH432" i="19"/>
  <c r="AH604" i="19"/>
  <c r="AH104" i="19"/>
  <c r="AJ653" i="19"/>
  <c r="AJ684" i="19"/>
  <c r="AH622" i="19"/>
  <c r="AH440" i="19"/>
  <c r="AJ587" i="19"/>
  <c r="AH404" i="19"/>
  <c r="AJ171" i="19"/>
  <c r="AJ31" i="19"/>
  <c r="AJ678" i="19"/>
  <c r="AJ955" i="19"/>
  <c r="AJ791" i="19"/>
  <c r="AJ775" i="19"/>
  <c r="AH227" i="19"/>
  <c r="AH65" i="19"/>
  <c r="AJ140" i="19"/>
  <c r="AH197" i="19"/>
  <c r="AJ166" i="19"/>
  <c r="AH952" i="19"/>
  <c r="AH850" i="19"/>
  <c r="AH922" i="19"/>
  <c r="AJ846" i="19"/>
  <c r="AJ783" i="19"/>
  <c r="AH976" i="19"/>
  <c r="AH464" i="19"/>
  <c r="AJ954" i="19"/>
  <c r="AJ758" i="19"/>
  <c r="AH522" i="19"/>
  <c r="AH220" i="19"/>
  <c r="AH709" i="19"/>
  <c r="AH312" i="19"/>
  <c r="AH934" i="19"/>
  <c r="AH770" i="19"/>
  <c r="AJ773" i="19"/>
  <c r="AJ659" i="19"/>
  <c r="AJ701" i="19"/>
  <c r="AH191" i="19"/>
  <c r="AH286" i="19"/>
  <c r="AH13" i="19"/>
  <c r="AJ247" i="19"/>
  <c r="AJ254" i="19"/>
  <c r="AH972" i="19"/>
  <c r="AJ911" i="19"/>
  <c r="AH873" i="19"/>
  <c r="AJ826" i="19"/>
  <c r="AH776" i="19"/>
  <c r="AJ800" i="19"/>
  <c r="AH840" i="19"/>
  <c r="AH539" i="19"/>
  <c r="AJ510" i="19"/>
  <c r="AH251" i="19"/>
  <c r="AJ149" i="19"/>
  <c r="AJ115" i="19"/>
  <c r="AH64" i="19"/>
  <c r="AJ44" i="19"/>
  <c r="AH15" i="19"/>
  <c r="AH165" i="19"/>
  <c r="AJ266" i="19"/>
  <c r="AJ74" i="19"/>
  <c r="AH594" i="19"/>
  <c r="AH510" i="19"/>
  <c r="AJ422" i="19"/>
  <c r="AH349" i="19"/>
  <c r="AJ407" i="19"/>
  <c r="AH381" i="19"/>
  <c r="AH572" i="19"/>
  <c r="AJ220" i="19"/>
  <c r="AJ132" i="19"/>
  <c r="AH937" i="19"/>
  <c r="AH467" i="19"/>
  <c r="AH825" i="19"/>
  <c r="AH777" i="19"/>
  <c r="AH958" i="19"/>
  <c r="AJ173" i="19"/>
  <c r="AH319" i="19"/>
  <c r="AJ972" i="19"/>
  <c r="AJ884" i="19"/>
  <c r="AH745" i="19"/>
  <c r="AJ356" i="19"/>
  <c r="AH386" i="19"/>
  <c r="AJ652" i="19"/>
  <c r="AJ299" i="19"/>
  <c r="AJ122" i="19"/>
  <c r="AJ37" i="19"/>
  <c r="AH664" i="19"/>
  <c r="AJ928" i="19"/>
  <c r="AJ818" i="19"/>
  <c r="AH703" i="19"/>
  <c r="AJ629" i="19"/>
  <c r="AJ834" i="19"/>
  <c r="AH750" i="19"/>
  <c r="AJ764" i="19"/>
  <c r="AH89" i="19"/>
  <c r="AH156" i="19"/>
  <c r="AJ1001" i="19"/>
  <c r="AH892" i="19"/>
  <c r="AH931" i="19"/>
  <c r="AH890" i="19"/>
  <c r="AH1000" i="19"/>
  <c r="AH605" i="19"/>
  <c r="AH309" i="19"/>
  <c r="AJ292" i="19"/>
  <c r="AH112" i="19"/>
  <c r="AH52" i="19"/>
  <c r="AJ5" i="19"/>
  <c r="AH82" i="19"/>
  <c r="AJ695" i="19"/>
  <c r="AH276" i="19"/>
  <c r="AJ234" i="19"/>
  <c r="AH374" i="19"/>
  <c r="AH242" i="19"/>
  <c r="AH148" i="19"/>
  <c r="AJ743" i="19"/>
  <c r="AH124" i="19"/>
  <c r="AH75" i="19"/>
  <c r="AH60" i="19"/>
  <c r="AH743" i="19"/>
  <c r="AJ48" i="19"/>
  <c r="AJ948" i="19"/>
  <c r="AH948" i="19"/>
  <c r="AH607" i="19"/>
  <c r="AJ863" i="19"/>
  <c r="AH704" i="19"/>
  <c r="AH494" i="19"/>
  <c r="AH281" i="19"/>
  <c r="AJ193" i="19"/>
  <c r="AH41" i="19"/>
  <c r="AJ875" i="19"/>
  <c r="AJ489" i="19"/>
  <c r="AJ776" i="19"/>
  <c r="AH375" i="19"/>
  <c r="AJ637" i="19"/>
  <c r="AJ384" i="19"/>
  <c r="AJ72" i="19"/>
  <c r="AJ30" i="19"/>
  <c r="AH133" i="19"/>
  <c r="AJ228" i="19"/>
  <c r="AJ313" i="19"/>
  <c r="AH99" i="19"/>
  <c r="AJ944" i="19"/>
  <c r="AH932" i="19"/>
  <c r="AJ726" i="19"/>
  <c r="AH846" i="19"/>
  <c r="AH1001" i="19"/>
  <c r="AH782" i="19"/>
  <c r="AH752" i="19"/>
  <c r="AH578" i="19"/>
  <c r="AJ351" i="19"/>
  <c r="AJ423" i="19"/>
  <c r="AH367" i="19"/>
  <c r="AH959" i="19"/>
  <c r="AH350" i="19"/>
  <c r="AH818" i="19"/>
  <c r="AH696" i="19"/>
  <c r="AH731" i="19"/>
  <c r="AJ535" i="19"/>
  <c r="AJ742" i="19"/>
  <c r="AH67" i="19"/>
  <c r="AH628" i="19"/>
  <c r="AH733" i="19"/>
  <c r="AJ570" i="19"/>
  <c r="AH488" i="19"/>
  <c r="AJ65" i="19"/>
  <c r="AH855" i="19"/>
  <c r="AH773" i="19"/>
  <c r="AJ639" i="19"/>
  <c r="AJ365" i="19"/>
  <c r="AJ539" i="19"/>
  <c r="AJ112" i="19"/>
  <c r="AJ878" i="19"/>
  <c r="AH831" i="19"/>
  <c r="AJ727" i="19"/>
  <c r="AH936" i="19"/>
  <c r="AH742" i="19"/>
  <c r="AH263" i="19"/>
  <c r="AH694" i="19"/>
  <c r="AH109" i="19"/>
  <c r="AH983" i="19"/>
  <c r="AH881" i="19"/>
  <c r="AH756" i="19"/>
  <c r="AJ754" i="19"/>
  <c r="AH647" i="19"/>
  <c r="AH435" i="19"/>
  <c r="AH443" i="19"/>
  <c r="AH261" i="19"/>
  <c r="AH151" i="19"/>
  <c r="AH279" i="19"/>
  <c r="AH556" i="19"/>
  <c r="AH250" i="19"/>
  <c r="AH447" i="19"/>
  <c r="AJ499" i="19"/>
  <c r="AH132" i="19"/>
  <c r="AH817" i="19"/>
  <c r="AH966" i="19"/>
  <c r="AJ850" i="19"/>
  <c r="AH714" i="19"/>
  <c r="AJ842" i="19"/>
  <c r="AH824" i="19"/>
  <c r="AH32" i="19"/>
  <c r="AH992" i="19"/>
  <c r="AH439" i="19"/>
  <c r="AH358" i="19"/>
  <c r="AH918" i="19"/>
  <c r="AH964" i="19"/>
  <c r="AH888" i="19"/>
  <c r="AJ976" i="19"/>
  <c r="AH754" i="19"/>
  <c r="AH753" i="19"/>
  <c r="AJ761" i="19"/>
  <c r="AJ566" i="19"/>
  <c r="AJ435" i="19"/>
  <c r="AH409" i="19"/>
  <c r="AJ579" i="19"/>
  <c r="AH167" i="19"/>
  <c r="AJ513" i="19"/>
  <c r="AJ326" i="19"/>
  <c r="AJ520" i="19"/>
  <c r="AJ952" i="19"/>
  <c r="AH862" i="19"/>
  <c r="AH617" i="19"/>
  <c r="AJ514" i="19"/>
  <c r="AJ839" i="19"/>
  <c r="AJ588" i="19"/>
  <c r="AJ496" i="19"/>
  <c r="AJ561" i="19"/>
  <c r="AH103" i="19"/>
  <c r="AH465" i="19"/>
  <c r="AH638" i="19"/>
  <c r="AH134" i="19"/>
  <c r="AH42" i="19"/>
  <c r="AJ19" i="19"/>
  <c r="AH397" i="19"/>
  <c r="AH448" i="19"/>
  <c r="AJ128" i="19"/>
  <c r="AJ263" i="19"/>
  <c r="AJ294" i="19"/>
  <c r="AH245" i="19"/>
  <c r="AH258" i="19"/>
  <c r="AH771" i="19"/>
  <c r="AH414" i="19"/>
  <c r="AH173" i="19"/>
  <c r="AH84" i="19"/>
  <c r="AJ239" i="19"/>
  <c r="AJ195" i="19"/>
  <c r="AJ692" i="19"/>
  <c r="AH235" i="19"/>
  <c r="AJ562" i="19"/>
  <c r="AJ71" i="19"/>
  <c r="AH177" i="19"/>
  <c r="AJ105" i="19"/>
  <c r="AH616" i="19"/>
  <c r="AJ792" i="19"/>
  <c r="AH630" i="19"/>
  <c r="AJ47" i="19"/>
  <c r="AJ83" i="19"/>
  <c r="AJ461" i="19"/>
  <c r="AJ68" i="19"/>
  <c r="AH898" i="19"/>
  <c r="AH876" i="19"/>
  <c r="AJ844" i="19"/>
  <c r="AJ785" i="19"/>
  <c r="AH688" i="19"/>
  <c r="AH599" i="19"/>
  <c r="AH648" i="19"/>
  <c r="AH606" i="19"/>
  <c r="AH393" i="19"/>
  <c r="AJ214" i="19"/>
  <c r="AH408" i="19"/>
  <c r="AH216" i="19"/>
  <c r="AJ135" i="19"/>
  <c r="AJ350" i="19"/>
  <c r="AH193" i="19"/>
  <c r="AH169" i="19"/>
  <c r="AJ482" i="19"/>
  <c r="AH18" i="19"/>
  <c r="AJ18" i="19"/>
  <c r="AH192" i="19"/>
  <c r="AH987" i="19"/>
  <c r="AH921" i="19"/>
  <c r="AJ751" i="19"/>
  <c r="AJ688" i="19"/>
  <c r="AH620" i="19"/>
  <c r="AH631" i="19"/>
  <c r="AJ636" i="19"/>
  <c r="AH613" i="19"/>
  <c r="AJ595" i="19"/>
  <c r="AH542" i="19"/>
  <c r="AH615" i="19"/>
  <c r="AJ498" i="19"/>
  <c r="AJ288" i="19"/>
  <c r="AJ82" i="19"/>
  <c r="AJ114" i="19"/>
  <c r="AH38" i="19"/>
  <c r="AJ473" i="19"/>
  <c r="AJ242" i="19"/>
  <c r="AH218" i="19"/>
  <c r="AH911" i="19"/>
  <c r="AJ767" i="19"/>
  <c r="AJ580" i="19"/>
  <c r="AH225" i="19"/>
  <c r="AJ464" i="19"/>
  <c r="AH221" i="19"/>
  <c r="AH63" i="19"/>
  <c r="AH534" i="19"/>
  <c r="AH9" i="19"/>
  <c r="AH567" i="19"/>
  <c r="AH425" i="19"/>
  <c r="AH324" i="19"/>
  <c r="AH247" i="19"/>
  <c r="AJ966" i="19"/>
  <c r="AJ991" i="19"/>
  <c r="AH949" i="19"/>
  <c r="AJ987" i="19"/>
  <c r="AJ903" i="19"/>
  <c r="AH821" i="19"/>
  <c r="AJ802" i="19"/>
  <c r="AH641" i="19"/>
  <c r="AH675" i="19"/>
  <c r="AJ892" i="19"/>
  <c r="AJ534" i="19"/>
  <c r="AH384" i="19"/>
  <c r="AJ443" i="19"/>
  <c r="AJ387" i="19"/>
  <c r="AJ290" i="19"/>
  <c r="AJ261" i="19"/>
  <c r="AH273" i="19"/>
  <c r="AH203" i="19"/>
  <c r="AH306" i="19"/>
  <c r="AJ184" i="19"/>
  <c r="AH163" i="19"/>
  <c r="AJ275" i="19"/>
  <c r="AJ454" i="19"/>
  <c r="AJ251" i="19"/>
  <c r="AJ148" i="19"/>
  <c r="AH125" i="19"/>
  <c r="AJ915" i="19"/>
  <c r="AH749" i="19"/>
  <c r="AH978" i="19"/>
  <c r="AH849" i="19"/>
  <c r="AH789" i="19"/>
  <c r="AH834" i="19"/>
  <c r="AJ806" i="19"/>
  <c r="AJ432" i="19"/>
  <c r="AH498" i="19"/>
  <c r="AH107" i="19"/>
  <c r="AH87" i="19"/>
  <c r="AJ545" i="19"/>
  <c r="AJ86" i="19"/>
  <c r="AH138" i="19"/>
  <c r="AJ963" i="19"/>
  <c r="AJ929" i="19"/>
  <c r="AJ913" i="19"/>
  <c r="AJ873" i="19"/>
  <c r="AH980" i="19"/>
  <c r="AH946" i="19"/>
  <c r="AH422" i="19"/>
  <c r="AH212" i="19"/>
  <c r="AJ932" i="19"/>
  <c r="AH819" i="19"/>
  <c r="AH836" i="19"/>
  <c r="AJ777" i="19"/>
  <c r="AH761" i="19"/>
  <c r="AH722" i="19"/>
  <c r="AJ794" i="19"/>
  <c r="AH673" i="19"/>
  <c r="AJ641" i="19"/>
  <c r="AH478" i="19"/>
  <c r="AJ379" i="19"/>
  <c r="AH436" i="19"/>
  <c r="AH385" i="19"/>
  <c r="AH255" i="19"/>
  <c r="AJ269" i="19"/>
  <c r="AH347" i="19"/>
  <c r="AJ406" i="19"/>
  <c r="AJ355" i="19"/>
  <c r="AH37" i="19"/>
  <c r="AH5" i="19"/>
  <c r="AJ321" i="19"/>
  <c r="AJ152" i="19"/>
  <c r="AH195" i="19"/>
  <c r="AJ374" i="19"/>
  <c r="AH728" i="19"/>
  <c r="AJ752" i="19"/>
  <c r="AH652" i="19"/>
  <c r="AJ768" i="19"/>
  <c r="AJ687" i="19"/>
  <c r="AJ645" i="19"/>
  <c r="AH365" i="19"/>
  <c r="AH277" i="19"/>
  <c r="AJ823" i="19"/>
  <c r="AJ327" i="19"/>
  <c r="AH252" i="19"/>
  <c r="AH39" i="19"/>
  <c r="AH382" i="19"/>
  <c r="AH72" i="19"/>
  <c r="AH317" i="19"/>
  <c r="AJ174" i="19"/>
  <c r="AH174" i="19"/>
  <c r="AH79" i="19"/>
  <c r="AH310" i="19"/>
  <c r="AJ56" i="19"/>
  <c r="AJ12" i="19"/>
  <c r="AJ429" i="19"/>
  <c r="AJ465" i="19"/>
  <c r="AJ389" i="19"/>
  <c r="AH268" i="19"/>
  <c r="AJ757" i="19"/>
  <c r="AH678" i="19"/>
  <c r="AH595" i="19"/>
  <c r="AH639" i="19"/>
  <c r="AH407" i="19"/>
  <c r="AH351" i="19"/>
  <c r="AH234" i="19"/>
  <c r="AJ343" i="19"/>
  <c r="AH80" i="19"/>
  <c r="AH991" i="19"/>
  <c r="AH265" i="19"/>
  <c r="AJ70" i="19"/>
  <c r="AH196" i="19"/>
  <c r="AH226" i="19"/>
  <c r="AJ259" i="19"/>
  <c r="AH875" i="19"/>
  <c r="AJ945" i="19"/>
  <c r="AJ820" i="19"/>
  <c r="AJ746" i="19"/>
  <c r="AJ821" i="19"/>
  <c r="AH764" i="19"/>
  <c r="AH795" i="19"/>
  <c r="AJ626" i="19"/>
  <c r="AJ862" i="19"/>
  <c r="AH577" i="19"/>
  <c r="AJ584" i="19"/>
  <c r="AJ616" i="19"/>
  <c r="AH356" i="19"/>
  <c r="AJ385" i="19"/>
  <c r="AH201" i="19"/>
  <c r="AH257" i="19"/>
  <c r="AJ230" i="19"/>
  <c r="AH185" i="19"/>
  <c r="AH224" i="19"/>
  <c r="AH153" i="19"/>
  <c r="AJ160" i="19"/>
  <c r="AJ373" i="19"/>
  <c r="AJ87" i="19"/>
  <c r="AJ325" i="19"/>
  <c r="AJ100" i="19"/>
  <c r="AJ219" i="19"/>
  <c r="AJ109" i="19"/>
  <c r="AH190" i="19"/>
  <c r="AJ58" i="19"/>
  <c r="AH933" i="19"/>
  <c r="AH833" i="19"/>
  <c r="AH583" i="19"/>
  <c r="AJ479" i="19"/>
  <c r="AH450" i="19"/>
  <c r="AH454" i="19"/>
  <c r="AJ366" i="19"/>
  <c r="AH357" i="19"/>
  <c r="AJ64" i="19"/>
  <c r="AH294" i="19"/>
  <c r="AJ99" i="19"/>
  <c r="AH131" i="19"/>
  <c r="AH188" i="19"/>
  <c r="AJ226" i="19"/>
  <c r="AH461" i="19"/>
  <c r="AJ158" i="19"/>
  <c r="AJ108" i="19"/>
  <c r="AH219" i="19"/>
  <c r="AH354" i="19"/>
  <c r="AJ694" i="19"/>
  <c r="AH368" i="19"/>
  <c r="AH302" i="19"/>
  <c r="AJ578" i="19"/>
  <c r="AJ930" i="19"/>
  <c r="AJ890" i="19"/>
  <c r="AJ996" i="19"/>
  <c r="AH943" i="19"/>
  <c r="AJ967" i="19"/>
  <c r="AJ964" i="19"/>
  <c r="AH829" i="19"/>
  <c r="AJ729" i="19"/>
  <c r="AJ749" i="19"/>
  <c r="AH650" i="19"/>
  <c r="AJ635" i="19"/>
  <c r="AH587" i="19"/>
  <c r="AJ804" i="19"/>
  <c r="AJ597" i="19"/>
  <c r="AJ693" i="19"/>
  <c r="AH509" i="19"/>
  <c r="AH337" i="19"/>
  <c r="AH288" i="19"/>
  <c r="AH516" i="19"/>
  <c r="AJ404" i="19"/>
  <c r="AJ324" i="19"/>
  <c r="AH427" i="19"/>
  <c r="AH344" i="19"/>
  <c r="AH29" i="19"/>
  <c r="AH198" i="19"/>
  <c r="AJ341" i="19"/>
  <c r="AH205" i="19"/>
  <c r="AJ154" i="19"/>
  <c r="AJ125" i="19"/>
  <c r="AJ477" i="19"/>
  <c r="AJ168" i="19"/>
  <c r="AJ450" i="19"/>
  <c r="AJ831" i="19"/>
  <c r="AJ858" i="19"/>
  <c r="AH872" i="19"/>
  <c r="AJ790" i="19"/>
  <c r="AJ532" i="19"/>
  <c r="AH474" i="19"/>
  <c r="AJ421" i="19"/>
  <c r="AJ574" i="19"/>
  <c r="AJ630" i="19"/>
  <c r="AJ563" i="19"/>
  <c r="AJ61" i="19"/>
  <c r="AH473" i="19"/>
  <c r="AH150" i="19"/>
  <c r="AH120" i="19"/>
  <c r="AJ69" i="19"/>
  <c r="AH23" i="19"/>
  <c r="AJ150" i="19"/>
  <c r="AJ98" i="19"/>
  <c r="AH56" i="19"/>
  <c r="AH22" i="19"/>
  <c r="AH295" i="19"/>
  <c r="AH237" i="19"/>
  <c r="AH621" i="19"/>
  <c r="AH336" i="19"/>
  <c r="AJ293" i="19"/>
  <c r="AJ276" i="19"/>
  <c r="AH399" i="19"/>
  <c r="AH113" i="19"/>
  <c r="AH30" i="19"/>
  <c r="AH984" i="19"/>
  <c r="AH727" i="19"/>
  <c r="AJ212" i="19"/>
  <c r="AJ780" i="19"/>
  <c r="AH805" i="19"/>
  <c r="AH785" i="19"/>
  <c r="AH813" i="19"/>
  <c r="AJ859" i="19"/>
  <c r="AJ649" i="19"/>
  <c r="AH643" i="19"/>
  <c r="AH417" i="19"/>
  <c r="AH816" i="19"/>
  <c r="AH744" i="19"/>
  <c r="AH632" i="19"/>
  <c r="AJ868" i="19"/>
  <c r="AH301" i="19"/>
  <c r="AJ383" i="19"/>
  <c r="AH96" i="19"/>
  <c r="AH46" i="19"/>
  <c r="AH851" i="19"/>
  <c r="AJ703" i="19"/>
  <c r="AH314" i="19"/>
  <c r="AH468" i="19"/>
  <c r="AH965" i="19"/>
  <c r="AH996" i="19"/>
  <c r="AJ852" i="19"/>
  <c r="AJ681" i="19"/>
  <c r="AH371" i="19"/>
  <c r="AH238" i="19"/>
  <c r="AJ46" i="19"/>
  <c r="AJ257" i="19"/>
  <c r="AJ466" i="19"/>
  <c r="AH951" i="19"/>
  <c r="AJ781" i="19"/>
  <c r="AJ849" i="19"/>
  <c r="AH602" i="19"/>
  <c r="AH566" i="19"/>
  <c r="AJ390" i="19"/>
  <c r="AJ22" i="19"/>
  <c r="AH95" i="19"/>
  <c r="AH76" i="19"/>
  <c r="AJ531" i="19"/>
  <c r="AJ941" i="19"/>
  <c r="AH999" i="19"/>
  <c r="AJ981" i="19"/>
  <c r="AH460" i="19"/>
  <c r="AH974" i="19"/>
  <c r="AJ958" i="19"/>
  <c r="AJ943" i="19"/>
  <c r="AJ895" i="19"/>
  <c r="AJ803" i="19"/>
  <c r="AJ748" i="19"/>
  <c r="AJ797" i="19"/>
  <c r="AH518" i="19"/>
  <c r="AJ619" i="19"/>
  <c r="AJ371" i="19"/>
  <c r="AJ416" i="19"/>
  <c r="AH231" i="19"/>
  <c r="AJ536" i="19"/>
  <c r="AJ460" i="19"/>
  <c r="AJ52" i="19"/>
  <c r="AJ250" i="19"/>
  <c r="AH710" i="19"/>
  <c r="AH48" i="19"/>
  <c r="AJ21" i="19"/>
  <c r="AJ786" i="19"/>
  <c r="AJ907" i="19"/>
  <c r="AH644" i="19"/>
  <c r="AH914" i="19"/>
  <c r="AJ80" i="19"/>
  <c r="AJ990" i="19"/>
  <c r="AJ829" i="19"/>
  <c r="AH828" i="19"/>
  <c r="AH796" i="19"/>
  <c r="AJ787" i="19"/>
  <c r="AJ689" i="19"/>
  <c r="AH584" i="19"/>
  <c r="AH515" i="19"/>
  <c r="AH171" i="19"/>
  <c r="AJ632" i="19"/>
  <c r="AH424" i="19"/>
  <c r="AH296" i="19"/>
  <c r="AH275" i="19"/>
  <c r="AJ916" i="19"/>
  <c r="AH852" i="19"/>
  <c r="AJ891" i="19"/>
  <c r="AJ29" i="19"/>
  <c r="AJ926" i="19"/>
  <c r="AJ537" i="19"/>
  <c r="AH989" i="19"/>
  <c r="AJ828" i="19"/>
  <c r="AJ796" i="19"/>
  <c r="AJ977" i="19"/>
  <c r="AJ656" i="19"/>
  <c r="AH600" i="19"/>
  <c r="AJ602" i="19"/>
  <c r="AH256" i="19"/>
  <c r="AJ229" i="19"/>
  <c r="AJ49" i="19"/>
  <c r="AH736" i="19"/>
  <c r="AJ515" i="19"/>
  <c r="AJ523" i="19"/>
  <c r="AH343" i="19"/>
  <c r="AJ244" i="19"/>
  <c r="AH646" i="19"/>
  <c r="AH899" i="19"/>
  <c r="AH83" i="19"/>
  <c r="AJ660" i="19"/>
  <c r="AJ732" i="19"/>
  <c r="AJ598" i="19"/>
  <c r="AH558" i="19"/>
  <c r="AJ503" i="19"/>
  <c r="AH345" i="19"/>
  <c r="AJ565" i="19"/>
  <c r="AJ417" i="19"/>
  <c r="AJ677" i="19"/>
  <c r="AJ568" i="19"/>
  <c r="AH519" i="19"/>
  <c r="AJ337" i="19"/>
  <c r="AH346" i="19"/>
  <c r="AJ249" i="19"/>
  <c r="AJ222" i="19"/>
  <c r="AH369" i="19"/>
  <c r="AJ354" i="19"/>
  <c r="AH217" i="19"/>
  <c r="AJ270" i="19"/>
  <c r="AJ186" i="19"/>
  <c r="AJ621" i="19"/>
  <c r="AH452" i="19"/>
  <c r="AJ225" i="19"/>
  <c r="AH162" i="19"/>
  <c r="AH340" i="19"/>
  <c r="AH155" i="19"/>
  <c r="AH170" i="19"/>
  <c r="AH189" i="19"/>
  <c r="AH135" i="19"/>
  <c r="AJ283" i="19"/>
  <c r="AJ312" i="19"/>
  <c r="AH930" i="19"/>
  <c r="AH668" i="19"/>
  <c r="AH854" i="19"/>
  <c r="AJ822" i="19"/>
  <c r="AH499" i="19"/>
  <c r="AH651" i="19"/>
  <c r="AH624" i="19"/>
  <c r="AH579" i="19"/>
  <c r="AJ528" i="19"/>
  <c r="AH463" i="19"/>
  <c r="AJ733" i="19"/>
  <c r="AJ342" i="19"/>
  <c r="AJ308" i="19"/>
  <c r="AH676" i="19"/>
  <c r="AJ233" i="19"/>
  <c r="AH482" i="19"/>
  <c r="AJ79" i="19"/>
  <c r="AH25" i="19"/>
  <c r="AJ3" i="19"/>
  <c r="AH415" i="19"/>
  <c r="AH342" i="19"/>
  <c r="AJ126" i="19"/>
  <c r="AJ415" i="19"/>
  <c r="AH300" i="19"/>
  <c r="AH497" i="19"/>
  <c r="AH695" i="19"/>
  <c r="AH698" i="19"/>
  <c r="AH581" i="19"/>
  <c r="AJ521" i="19"/>
  <c r="AJ444" i="19"/>
  <c r="AJ709" i="19"/>
  <c r="AJ543" i="19"/>
  <c r="AH428" i="19"/>
  <c r="AH353" i="19"/>
  <c r="AH387" i="19"/>
  <c r="AH330" i="19"/>
  <c r="AH313" i="19"/>
  <c r="AH278" i="19"/>
  <c r="AH241" i="19"/>
  <c r="AJ480" i="19"/>
  <c r="AH271" i="19"/>
  <c r="AJ487" i="19"/>
  <c r="AJ185" i="19"/>
  <c r="AH53" i="19"/>
  <c r="AH335" i="19"/>
  <c r="AH159" i="19"/>
  <c r="AH183" i="19"/>
  <c r="AJ216" i="19"/>
  <c r="AJ170" i="19"/>
  <c r="AH272" i="19"/>
  <c r="AJ436" i="19"/>
  <c r="AJ66" i="19"/>
  <c r="AJ481" i="19"/>
  <c r="AJ512" i="19"/>
  <c r="AJ933" i="19"/>
  <c r="AJ988" i="19"/>
  <c r="AH889" i="19"/>
  <c r="AH732" i="19"/>
  <c r="AJ899" i="19"/>
  <c r="AH759" i="19"/>
  <c r="AH751" i="19"/>
  <c r="AJ667" i="19"/>
  <c r="AJ816" i="19"/>
  <c r="AJ750" i="19"/>
  <c r="AJ676" i="19"/>
  <c r="AH656" i="19"/>
  <c r="AH540" i="19"/>
  <c r="AH405" i="19"/>
  <c r="AJ572" i="19"/>
  <c r="AH514" i="19"/>
  <c r="AH667" i="19"/>
  <c r="AH233" i="19"/>
  <c r="AH66" i="19"/>
  <c r="AJ51" i="19"/>
  <c r="AH462" i="19"/>
  <c r="AJ24" i="19"/>
  <c r="AH398" i="19"/>
  <c r="AH536" i="19"/>
  <c r="AH110" i="19"/>
  <c r="AJ711" i="19"/>
  <c r="AJ814" i="19"/>
  <c r="AH451" i="19"/>
  <c r="AH392" i="19"/>
  <c r="AH214" i="19"/>
  <c r="AH209" i="19"/>
  <c r="AH402" i="19"/>
  <c r="AH304" i="19"/>
  <c r="AH194" i="19"/>
  <c r="AH19" i="19"/>
  <c r="AJ127" i="19"/>
  <c r="AJ130" i="19"/>
  <c r="AJ262" i="19"/>
  <c r="AH213" i="19"/>
  <c r="AJ38" i="19"/>
  <c r="AJ272" i="19"/>
  <c r="AJ187" i="19"/>
  <c r="AJ865" i="19"/>
  <c r="AH988" i="19"/>
  <c r="AH924" i="19"/>
  <c r="AJ927" i="19"/>
  <c r="AH783" i="19"/>
  <c r="AH877" i="19"/>
  <c r="AJ984" i="19"/>
  <c r="AJ940" i="19"/>
  <c r="AH891" i="19"/>
  <c r="AH799" i="19"/>
  <c r="AJ840" i="19"/>
  <c r="AH672" i="19"/>
  <c r="AJ654" i="19"/>
  <c r="AJ634" i="19"/>
  <c r="AH775" i="19"/>
  <c r="AH925" i="19"/>
  <c r="AJ463" i="19"/>
  <c r="AH758" i="19"/>
  <c r="AH569" i="19"/>
  <c r="AJ462" i="19"/>
  <c r="AH311" i="19"/>
  <c r="AH390" i="19"/>
  <c r="AH228" i="19"/>
  <c r="AH157" i="19"/>
  <c r="AH24" i="19"/>
  <c r="AJ110" i="19"/>
  <c r="AH28" i="19"/>
  <c r="AH106" i="19"/>
  <c r="AJ67" i="19"/>
  <c r="AJ296" i="19"/>
  <c r="AH504" i="19"/>
  <c r="AJ274" i="19"/>
  <c r="AH601" i="19"/>
  <c r="AJ782" i="19"/>
  <c r="AH535" i="19"/>
  <c r="AJ540" i="19"/>
  <c r="AH322" i="19"/>
  <c r="AH348" i="19"/>
  <c r="AJ323" i="19"/>
  <c r="AH230" i="19"/>
  <c r="AJ412" i="19"/>
  <c r="AJ378" i="19"/>
  <c r="AJ208" i="19"/>
  <c r="AJ159" i="19"/>
  <c r="AH43" i="19"/>
  <c r="AH280" i="19"/>
  <c r="AH315" i="19"/>
  <c r="AJ144" i="19"/>
  <c r="AJ117" i="19"/>
  <c r="AJ93" i="19"/>
  <c r="AJ57" i="19"/>
  <c r="AJ192" i="19"/>
  <c r="AH909" i="19"/>
  <c r="AJ980" i="19"/>
  <c r="AJ879" i="19"/>
  <c r="AH811" i="19"/>
  <c r="AH760" i="19"/>
  <c r="AJ872" i="19"/>
  <c r="AH708" i="19"/>
  <c r="AH588" i="19"/>
  <c r="AJ914" i="19"/>
  <c r="AH663" i="19"/>
  <c r="AJ638" i="19"/>
  <c r="AJ596" i="19"/>
  <c r="AH603" i="19"/>
  <c r="AJ471" i="19"/>
  <c r="AH458" i="19"/>
  <c r="AJ107" i="19"/>
  <c r="AH466" i="19"/>
  <c r="AH115" i="19"/>
  <c r="AJ75" i="19"/>
  <c r="AH815" i="19"/>
  <c r="AH8" i="19"/>
  <c r="AJ213" i="19"/>
  <c r="AH377" i="19"/>
  <c r="AJ712" i="19"/>
  <c r="AJ663" i="19"/>
  <c r="AH331" i="19"/>
  <c r="AJ567" i="19"/>
  <c r="AH679" i="19"/>
  <c r="AH442" i="19"/>
  <c r="AJ882" i="19"/>
  <c r="AJ770" i="19"/>
  <c r="AJ724" i="19"/>
  <c r="AH681" i="19"/>
  <c r="AJ589" i="19"/>
  <c r="AH551" i="19"/>
  <c r="AH812" i="19"/>
  <c r="AJ662" i="19"/>
  <c r="AJ310" i="19"/>
  <c r="AJ245" i="19"/>
  <c r="AH413" i="19"/>
  <c r="AJ78" i="19"/>
  <c r="AJ720" i="19"/>
  <c r="AH683" i="19"/>
  <c r="AH323" i="19"/>
  <c r="AH51" i="19"/>
  <c r="AH906" i="19"/>
  <c r="AJ919" i="19"/>
  <c r="AH859" i="19"/>
  <c r="AH649" i="19"/>
  <c r="AH739" i="19"/>
  <c r="AH998" i="19"/>
  <c r="AH697" i="19"/>
  <c r="AH444" i="19"/>
  <c r="AH45" i="19"/>
  <c r="AH179" i="19"/>
  <c r="AJ255" i="19"/>
  <c r="AJ959" i="19"/>
  <c r="AH746" i="19"/>
  <c r="AH863" i="19"/>
  <c r="AJ486" i="19"/>
  <c r="AJ143" i="19"/>
  <c r="AJ643" i="19"/>
  <c r="AH895" i="19"/>
  <c r="AJ883" i="19"/>
  <c r="AH939" i="19"/>
  <c r="AJ737" i="19"/>
  <c r="AJ853" i="19"/>
  <c r="AJ285" i="19"/>
  <c r="AJ175" i="19"/>
  <c r="AH884" i="19"/>
  <c r="AH654" i="19"/>
  <c r="AH768" i="19"/>
  <c r="AJ145" i="19"/>
  <c r="AH121" i="19"/>
  <c r="AH73" i="19"/>
  <c r="AH298" i="19"/>
  <c r="AH70" i="19"/>
  <c r="AH680" i="19"/>
  <c r="AH685" i="19"/>
  <c r="AJ956" i="19"/>
  <c r="AJ896" i="19"/>
  <c r="AH747" i="19"/>
  <c r="AH802" i="19"/>
  <c r="AH772" i="19"/>
  <c r="AJ714" i="19"/>
  <c r="AJ738" i="19"/>
  <c r="AH737" i="19"/>
  <c r="AJ600" i="19"/>
  <c r="AH657" i="19"/>
  <c r="AJ675" i="19"/>
  <c r="AH364" i="19"/>
  <c r="AH658" i="19"/>
  <c r="AH543" i="19"/>
  <c r="AJ393" i="19"/>
  <c r="AH484" i="19"/>
  <c r="AJ347" i="19"/>
  <c r="AH269" i="19"/>
  <c r="AH403" i="19"/>
  <c r="AH11" i="19"/>
  <c r="AH161" i="19"/>
  <c r="AH175" i="19"/>
  <c r="AJ23" i="19"/>
  <c r="AJ264" i="19"/>
  <c r="AJ189" i="19"/>
  <c r="AH144" i="19"/>
  <c r="AJ736" i="19"/>
  <c r="AJ728" i="19"/>
  <c r="AH839" i="19"/>
  <c r="AH544" i="19"/>
  <c r="AH528" i="19"/>
  <c r="AH471" i="19"/>
  <c r="AH423" i="19"/>
  <c r="AH341" i="19"/>
  <c r="AJ207" i="19"/>
  <c r="AJ620" i="19"/>
  <c r="AH290" i="19"/>
  <c r="AJ218" i="19"/>
  <c r="AJ198" i="19"/>
  <c r="AH585" i="19"/>
  <c r="AH562" i="19"/>
  <c r="AH979" i="19"/>
  <c r="AJ889" i="19"/>
  <c r="AJ982" i="19"/>
  <c r="AJ910" i="19"/>
  <c r="AJ877" i="19"/>
  <c r="AJ837" i="19"/>
  <c r="AJ765" i="19"/>
  <c r="AJ624" i="19"/>
  <c r="AJ683" i="19"/>
  <c r="AJ657" i="19"/>
  <c r="AJ581" i="19"/>
  <c r="AH869" i="19"/>
  <c r="AJ655" i="19"/>
  <c r="AH598" i="19"/>
  <c r="AJ345" i="19"/>
  <c r="AJ386" i="19"/>
  <c r="AH532" i="19"/>
  <c r="AH372" i="19"/>
  <c r="AJ388" i="19"/>
  <c r="AJ340" i="19"/>
  <c r="AJ278" i="19"/>
  <c r="AH441" i="19"/>
  <c r="AJ265" i="19"/>
  <c r="AJ203" i="19"/>
  <c r="AJ403" i="19"/>
  <c r="AJ426" i="19"/>
  <c r="AH410" i="19"/>
  <c r="AJ279" i="19"/>
  <c r="AJ163" i="19"/>
  <c r="AJ95" i="19"/>
  <c r="AJ188" i="19"/>
  <c r="AH129" i="19"/>
  <c r="AH363" i="19"/>
  <c r="AJ485" i="19"/>
  <c r="AJ196" i="19"/>
  <c r="AJ50" i="19"/>
  <c r="AH896" i="19"/>
  <c r="AH960" i="19"/>
  <c r="AH928" i="19"/>
  <c r="AH806" i="19"/>
  <c r="AJ722" i="19"/>
  <c r="AH720" i="19"/>
  <c r="AJ912" i="19"/>
  <c r="AH561" i="19"/>
  <c r="AH98" i="19"/>
  <c r="AH14" i="19"/>
  <c r="AJ413" i="19"/>
  <c r="AJ298" i="19"/>
  <c r="AH12" i="19"/>
  <c r="AH908" i="19"/>
  <c r="AJ935" i="19"/>
  <c r="AJ845" i="19"/>
  <c r="AJ771" i="19"/>
  <c r="AJ766" i="19"/>
  <c r="AH612" i="19"/>
  <c r="AH706" i="19"/>
  <c r="AJ591" i="19"/>
  <c r="AJ869" i="19"/>
  <c r="AH486" i="19"/>
  <c r="AH503" i="19"/>
  <c r="AH378" i="19"/>
  <c r="AH564" i="19"/>
  <c r="AJ372" i="19"/>
  <c r="AJ504" i="19"/>
  <c r="AJ240" i="19"/>
  <c r="AJ177" i="19"/>
  <c r="AH35" i="19"/>
  <c r="AH3" i="19"/>
  <c r="AJ162" i="19"/>
  <c r="AJ297" i="19"/>
  <c r="AH229" i="19"/>
  <c r="AH206" i="19"/>
  <c r="AJ15" i="19"/>
  <c r="AJ153" i="19"/>
  <c r="AJ10" i="19"/>
  <c r="AH791" i="19"/>
  <c r="AJ646" i="19"/>
  <c r="AH512" i="19"/>
  <c r="AJ469" i="19"/>
  <c r="AH529" i="19"/>
  <c r="AH78" i="19"/>
  <c r="AH2" i="19"/>
  <c r="AJ151" i="19"/>
  <c r="AJ116" i="19"/>
  <c r="AJ90" i="19"/>
  <c r="AJ210" i="19"/>
  <c r="AJ253" i="19"/>
  <c r="AH259" i="19"/>
  <c r="AJ951" i="19"/>
  <c r="AJ965" i="19"/>
  <c r="AH897" i="19"/>
  <c r="AH975" i="19"/>
  <c r="AH905" i="19"/>
  <c r="AJ908" i="19"/>
  <c r="AJ985" i="19"/>
  <c r="AH780" i="19"/>
  <c r="AH786" i="19"/>
  <c r="AJ745" i="19"/>
  <c r="AJ705" i="19"/>
  <c r="AH691" i="19"/>
  <c r="AH550" i="19"/>
  <c r="AH379" i="19"/>
  <c r="AJ799" i="19"/>
  <c r="AH248" i="19"/>
  <c r="AJ232" i="19"/>
  <c r="AH123" i="19"/>
  <c r="AJ550" i="19"/>
  <c r="AH127" i="19"/>
  <c r="AJ217" i="19"/>
  <c r="AJ458" i="19"/>
  <c r="AJ131" i="19"/>
  <c r="AJ2" i="19"/>
  <c r="AH10" i="19"/>
  <c r="AH944" i="19"/>
  <c r="AJ925" i="19"/>
  <c r="AH506" i="19"/>
  <c r="AJ319" i="19"/>
  <c r="AH145" i="19"/>
  <c r="AJ609" i="19"/>
  <c r="AH236" i="19"/>
  <c r="AJ317" i="19"/>
  <c r="AJ445" i="19"/>
  <c r="AJ138" i="19"/>
  <c r="AJ27" i="19"/>
  <c r="AJ106" i="19"/>
  <c r="AJ161" i="19"/>
  <c r="AH981" i="19"/>
  <c r="AJ960" i="19"/>
  <c r="AH940" i="19"/>
  <c r="AJ897" i="19"/>
  <c r="AJ904" i="19"/>
  <c r="AH845" i="19"/>
  <c r="AH803" i="19"/>
  <c r="AH827" i="19"/>
  <c r="AH787" i="19"/>
  <c r="AJ721" i="19"/>
  <c r="AH689" i="19"/>
  <c r="AH861" i="19"/>
  <c r="AJ569" i="19"/>
  <c r="AJ774" i="19"/>
  <c r="AH788" i="19"/>
  <c r="AJ248" i="19"/>
  <c r="AJ396" i="19"/>
  <c r="AJ286" i="19"/>
  <c r="AH139" i="19"/>
  <c r="AJ551" i="19"/>
  <c r="AJ178" i="19"/>
  <c r="AH511" i="19"/>
  <c r="AJ300" i="19"/>
  <c r="AJ7" i="19"/>
  <c r="AJ318" i="19"/>
  <c r="AJ34" i="19"/>
  <c r="AH411" i="19"/>
  <c r="AJ59" i="19"/>
  <c r="AH929" i="19"/>
  <c r="AJ824" i="19"/>
  <c r="AH953" i="19"/>
  <c r="AH977" i="19"/>
  <c r="AH883" i="19"/>
  <c r="AJ672" i="19"/>
  <c r="AH636" i="19"/>
  <c r="AJ542" i="19"/>
  <c r="AH90" i="19"/>
  <c r="AJ96" i="19"/>
  <c r="AJ28" i="19"/>
  <c r="AJ8" i="19"/>
  <c r="AH489" i="19"/>
  <c r="AH71" i="19"/>
  <c r="AJ789" i="19"/>
  <c r="AJ949" i="19"/>
  <c r="AH950" i="19"/>
  <c r="AJ665" i="19"/>
  <c r="AJ362" i="19"/>
  <c r="AJ332" i="19"/>
  <c r="AH320" i="19"/>
  <c r="AH935" i="19"/>
  <c r="AH619" i="19"/>
  <c r="AH608" i="19"/>
  <c r="AJ314" i="19"/>
  <c r="AH246" i="19"/>
  <c r="AJ939" i="19"/>
  <c r="AJ795" i="19"/>
  <c r="AH264" i="19"/>
  <c r="AJ861" i="19"/>
  <c r="AH360" i="19"/>
  <c r="AH329" i="19"/>
  <c r="AJ147" i="19"/>
  <c r="AH837" i="19"/>
  <c r="AH910" i="19"/>
  <c r="AJ867" i="19"/>
  <c r="AH487" i="19"/>
  <c r="AJ739" i="19"/>
  <c r="AH738" i="19"/>
  <c r="AJ906" i="19"/>
  <c r="AH707" i="19"/>
  <c r="AJ424" i="19"/>
  <c r="AJ623" i="19"/>
  <c r="AH17" i="19"/>
  <c r="AH254" i="19"/>
  <c r="AJ971" i="19"/>
  <c r="AJ942" i="19"/>
  <c r="AJ974" i="19"/>
  <c r="AH917" i="19"/>
  <c r="AJ983" i="19"/>
  <c r="AJ819" i="19"/>
  <c r="AH779" i="19"/>
  <c r="AH763" i="19"/>
  <c r="AH705" i="19"/>
  <c r="AH793" i="19"/>
  <c r="AJ706" i="19"/>
  <c r="AJ778" i="19"/>
  <c r="AJ691" i="19"/>
  <c r="AJ673" i="19"/>
  <c r="AH655" i="19"/>
  <c r="AJ682" i="19"/>
  <c r="AJ583" i="19"/>
  <c r="AJ425" i="19"/>
  <c r="AJ559" i="19"/>
  <c r="AH501" i="19"/>
  <c r="AH548" i="19"/>
  <c r="AJ707" i="19"/>
  <c r="AJ525" i="19"/>
  <c r="AJ491" i="19"/>
  <c r="AJ346" i="19"/>
  <c r="AJ369" i="19"/>
  <c r="AH327" i="19"/>
  <c r="AJ599" i="19"/>
  <c r="AH426" i="19"/>
  <c r="AJ335" i="19"/>
  <c r="AH285" i="19"/>
  <c r="AH557" i="19"/>
  <c r="AJ360" i="19"/>
  <c r="AJ501" i="19"/>
  <c r="AJ338" i="19"/>
  <c r="AH582" i="19"/>
  <c r="AH576" i="19"/>
  <c r="AJ564" i="19"/>
  <c r="AJ377" i="19"/>
  <c r="AH50" i="19"/>
  <c r="AJ549" i="19"/>
  <c r="AJ304" i="19"/>
  <c r="AH34" i="19"/>
  <c r="AJ129" i="19"/>
  <c r="AJ316" i="19"/>
  <c r="AJ973" i="19"/>
  <c r="AJ950" i="19"/>
  <c r="AJ989" i="19"/>
  <c r="AH967" i="19"/>
  <c r="AH982" i="19"/>
  <c r="AJ887" i="19"/>
  <c r="AJ874" i="19"/>
  <c r="AH843" i="19"/>
  <c r="AJ812" i="19"/>
  <c r="AH633" i="19"/>
  <c r="AJ690" i="19"/>
  <c r="AJ617" i="19"/>
  <c r="AJ731" i="19"/>
  <c r="AJ633" i="19"/>
  <c r="AJ557" i="19"/>
  <c r="AH523" i="19"/>
  <c r="AJ592" i="19"/>
  <c r="AJ484" i="19"/>
  <c r="AJ449" i="19"/>
  <c r="AH388" i="19"/>
  <c r="AJ516" i="19"/>
  <c r="AH332" i="19"/>
  <c r="AJ457" i="19"/>
  <c r="AJ427" i="19"/>
  <c r="AJ197" i="19"/>
  <c r="AJ328" i="19"/>
  <c r="AJ582" i="19"/>
  <c r="AH270" i="19"/>
  <c r="AJ81" i="19"/>
  <c r="AJ541" i="19"/>
  <c r="AH997" i="19"/>
  <c r="AJ898" i="19"/>
  <c r="AJ934" i="19"/>
  <c r="AJ888" i="19"/>
  <c r="AJ979" i="19"/>
  <c r="AJ756" i="19"/>
  <c r="AJ851" i="19"/>
  <c r="AH723" i="19"/>
  <c r="AH797" i="19"/>
  <c r="AJ747" i="19"/>
  <c r="AJ699" i="19"/>
  <c r="AH589" i="19"/>
  <c r="AJ517" i="19"/>
  <c r="AJ715" i="19"/>
  <c r="AH500" i="19"/>
  <c r="AJ519" i="19"/>
  <c r="AH370" i="19"/>
  <c r="AJ526" i="19"/>
  <c r="AJ419" i="19"/>
  <c r="AH239" i="19"/>
  <c r="AJ344" i="19"/>
  <c r="AJ209" i="19"/>
  <c r="AJ348" i="19"/>
  <c r="AJ433" i="19"/>
  <c r="AH58" i="19"/>
  <c r="AH549" i="19"/>
  <c r="AJ287" i="19"/>
  <c r="AH990" i="19"/>
  <c r="AJ975" i="19"/>
  <c r="AH947" i="19"/>
  <c r="AJ793" i="19"/>
  <c r="AJ763" i="19"/>
  <c r="AH778" i="19"/>
  <c r="AH716" i="19"/>
  <c r="AJ698" i="19"/>
  <c r="AH626" i="19"/>
  <c r="AH690" i="19"/>
  <c r="AJ658" i="19"/>
  <c r="AH740" i="19"/>
  <c r="AH640" i="19"/>
  <c r="AJ648" i="19"/>
  <c r="AJ493" i="19"/>
  <c r="AH476" i="19"/>
  <c r="AH416" i="19"/>
  <c r="AH449" i="19"/>
  <c r="AJ434" i="19"/>
  <c r="AH232" i="19"/>
  <c r="AH395" i="19"/>
  <c r="AJ320" i="19"/>
  <c r="AH223" i="19"/>
  <c r="AJ205" i="19"/>
  <c r="AJ224" i="19"/>
  <c r="AH457" i="19"/>
  <c r="AJ306" i="19"/>
  <c r="AH208" i="19"/>
  <c r="AH533" i="19"/>
  <c r="AH412" i="19"/>
  <c r="AH433" i="19"/>
  <c r="AJ401" i="19"/>
  <c r="AH493" i="19"/>
  <c r="AJ459" i="19"/>
  <c r="AH81" i="19"/>
  <c r="AH971" i="19"/>
  <c r="AJ998" i="19"/>
  <c r="AJ997" i="19"/>
  <c r="AJ905" i="19"/>
  <c r="AJ843" i="19"/>
  <c r="AH794" i="19"/>
  <c r="AH762" i="19"/>
  <c r="AJ947" i="19"/>
  <c r="AJ779" i="19"/>
  <c r="AH880" i="19"/>
  <c r="AH942" i="19"/>
  <c r="AJ723" i="19"/>
  <c r="AH853" i="19"/>
  <c r="AH623" i="19"/>
  <c r="AJ716" i="19"/>
  <c r="AJ917" i="19"/>
  <c r="AJ740" i="19"/>
  <c r="AJ805" i="19"/>
  <c r="AJ755" i="19"/>
  <c r="AH625" i="19"/>
  <c r="AH547" i="19"/>
  <c r="AH729" i="19"/>
  <c r="AH568" i="19"/>
  <c r="AJ363" i="19"/>
  <c r="AJ408" i="19"/>
  <c r="AJ555" i="19"/>
  <c r="AJ478" i="19"/>
  <c r="AJ418" i="19"/>
  <c r="AJ380" i="19"/>
  <c r="AH525" i="19"/>
  <c r="AJ339" i="19"/>
  <c r="AH316" i="19"/>
  <c r="AJ238" i="19"/>
  <c r="AJ183" i="19"/>
  <c r="AJ518" i="19"/>
  <c r="AJ334" i="19"/>
  <c r="AJ215" i="19"/>
  <c r="AJ651" i="19"/>
  <c r="AJ410" i="19"/>
  <c r="AH187" i="19"/>
  <c r="AJ411" i="19"/>
  <c r="AJ576" i="19"/>
  <c r="AJ280" i="19"/>
  <c r="AJ488" i="19"/>
  <c r="AH182" i="19"/>
  <c r="AH57" i="19"/>
  <c r="AJ420" i="19"/>
  <c r="AJ190" i="19"/>
  <c r="AH33" i="19"/>
  <c r="AH287" i="19"/>
  <c r="AH973" i="19"/>
  <c r="AJ995" i="19"/>
  <c r="AH957" i="19"/>
  <c r="AJ957" i="19"/>
  <c r="AH887" i="19"/>
  <c r="AJ835" i="19"/>
  <c r="AJ827" i="19"/>
  <c r="AJ880" i="19"/>
  <c r="AJ881" i="19"/>
  <c r="AJ772" i="19"/>
  <c r="AJ762" i="19"/>
  <c r="AH724" i="19"/>
  <c r="AJ618" i="19"/>
  <c r="AJ680" i="19"/>
  <c r="AJ625" i="19"/>
  <c r="AH804" i="19"/>
  <c r="AJ650" i="19"/>
  <c r="AH597" i="19"/>
  <c r="AJ608" i="19"/>
  <c r="AJ788" i="19"/>
  <c r="AH565" i="19"/>
  <c r="AJ511" i="19"/>
  <c r="AJ606" i="19"/>
  <c r="AH575" i="19"/>
  <c r="AJ575" i="19"/>
  <c r="AJ495" i="19"/>
  <c r="AH380" i="19"/>
  <c r="AJ395" i="19"/>
  <c r="AJ223" i="19"/>
  <c r="AJ191" i="19"/>
  <c r="AH699" i="19"/>
  <c r="AH362" i="19"/>
  <c r="AH434" i="19"/>
  <c r="AJ452" i="19"/>
  <c r="AJ548" i="19"/>
  <c r="AH517" i="19"/>
  <c r="AH355" i="19"/>
  <c r="AJ181" i="19"/>
  <c r="AJ246" i="19"/>
  <c r="AJ329" i="19"/>
  <c r="AJ370" i="19"/>
  <c r="AJ322" i="19"/>
  <c r="AJ231" i="19"/>
  <c r="AJ123" i="19"/>
  <c r="AH526" i="19"/>
  <c r="AH338" i="19"/>
  <c r="AJ527" i="19"/>
  <c r="AJ281" i="19"/>
  <c r="AJ533" i="19"/>
  <c r="AH459" i="19"/>
  <c r="O10" i="18"/>
  <c r="O7" i="18"/>
  <c r="O3" i="18"/>
  <c r="O2" i="18"/>
  <c r="O9" i="18"/>
  <c r="O11" i="18"/>
  <c r="O6" i="18"/>
  <c r="N4" i="15"/>
  <c r="N5" i="15"/>
  <c r="N7" i="15"/>
  <c r="N2" i="15"/>
  <c r="N10" i="15"/>
  <c r="AH493" i="17"/>
  <c r="AH794" i="17"/>
  <c r="AH294" i="17"/>
  <c r="AH369" i="17"/>
  <c r="AF327" i="17"/>
  <c r="AF207" i="17"/>
  <c r="AH206" i="17"/>
  <c r="AH7" i="17"/>
  <c r="AH311" i="17"/>
  <c r="AH105" i="17"/>
  <c r="AH20" i="17"/>
  <c r="AH84" i="17"/>
  <c r="AH148" i="17"/>
  <c r="AH212" i="17"/>
  <c r="AH275" i="17"/>
  <c r="AH531" i="17"/>
  <c r="AH564" i="17"/>
  <c r="AH820" i="17"/>
  <c r="AH414" i="17"/>
  <c r="AH502" i="17"/>
  <c r="AH846" i="17"/>
  <c r="AH503" i="17"/>
  <c r="AH767" i="17"/>
  <c r="AH839" i="17"/>
  <c r="AH361" i="17"/>
  <c r="AH884" i="17"/>
  <c r="AF804" i="17"/>
  <c r="AF849" i="17"/>
  <c r="AF715" i="17"/>
  <c r="AF105" i="17"/>
  <c r="AF135" i="17"/>
  <c r="AF334" i="17"/>
  <c r="AF610" i="17"/>
  <c r="AH815" i="17"/>
  <c r="AF599" i="17"/>
  <c r="AF369" i="17"/>
  <c r="AF203" i="17"/>
  <c r="AF468" i="17"/>
  <c r="AH504" i="17"/>
  <c r="AH568" i="17"/>
  <c r="AH625" i="17"/>
  <c r="AH993" i="17"/>
  <c r="AH418" i="17"/>
  <c r="AF770" i="17"/>
  <c r="AF691" i="17"/>
  <c r="AF828" i="17"/>
  <c r="AF757" i="17"/>
  <c r="AF717" i="17"/>
  <c r="AF322" i="17"/>
  <c r="AF695" i="17"/>
  <c r="AF220" i="17"/>
  <c r="AH248" i="17"/>
  <c r="AH92" i="17"/>
  <c r="AH91" i="17"/>
  <c r="AH572" i="17"/>
  <c r="AH758" i="17"/>
  <c r="AH423" i="17"/>
  <c r="AH775" i="17"/>
  <c r="AH305" i="17"/>
  <c r="AH609" i="17"/>
  <c r="AH392" i="17"/>
  <c r="AH498" i="17"/>
  <c r="AH826" i="17"/>
  <c r="AH39" i="17"/>
  <c r="AH33" i="17"/>
  <c r="AH36" i="17"/>
  <c r="AH228" i="17"/>
  <c r="AH355" i="17"/>
  <c r="AH483" i="17"/>
  <c r="AH388" i="17"/>
  <c r="AH580" i="17"/>
  <c r="AH772" i="17"/>
  <c r="AH366" i="17"/>
  <c r="AH606" i="17"/>
  <c r="AH766" i="17"/>
  <c r="AH431" i="17"/>
  <c r="AH113" i="17"/>
  <c r="AH900" i="17"/>
  <c r="AH293" i="17"/>
  <c r="AH597" i="17"/>
  <c r="AH838" i="17"/>
  <c r="AH975" i="17"/>
  <c r="AH400" i="17"/>
  <c r="AH434" i="17"/>
  <c r="AH834" i="17"/>
  <c r="AH898" i="17"/>
  <c r="AH978" i="17"/>
  <c r="AH979" i="17"/>
  <c r="AH525" i="17"/>
  <c r="AH641" i="17"/>
  <c r="AH968" i="17"/>
  <c r="AF200" i="17"/>
  <c r="AF546" i="17"/>
  <c r="AF606" i="17"/>
  <c r="AH6" i="17"/>
  <c r="AH223" i="17"/>
  <c r="AH28" i="17"/>
  <c r="AH283" i="17"/>
  <c r="AH539" i="17"/>
  <c r="AH508" i="17"/>
  <c r="AH229" i="17"/>
  <c r="AH230" i="17"/>
  <c r="AH598" i="17"/>
  <c r="AH385" i="17"/>
  <c r="AH840" i="17"/>
  <c r="AH661" i="17"/>
  <c r="AH967" i="17"/>
  <c r="AH656" i="17"/>
  <c r="AH976" i="17"/>
  <c r="AH706" i="17"/>
  <c r="AH241" i="17"/>
  <c r="AF901" i="17"/>
  <c r="AF863" i="17"/>
  <c r="AF363" i="17"/>
  <c r="AF586" i="17"/>
  <c r="AF342" i="17"/>
  <c r="AF358" i="17"/>
  <c r="AF759" i="17"/>
  <c r="AF410" i="17"/>
  <c r="AF195" i="17"/>
  <c r="AH110" i="17"/>
  <c r="AH119" i="17"/>
  <c r="AH256" i="17"/>
  <c r="AH273" i="17"/>
  <c r="AH164" i="17"/>
  <c r="AH35" i="17"/>
  <c r="AH419" i="17"/>
  <c r="AH516" i="17"/>
  <c r="AH173" i="17"/>
  <c r="AH454" i="17"/>
  <c r="AH207" i="17"/>
  <c r="AH519" i="17"/>
  <c r="AH783" i="17"/>
  <c r="AH313" i="17"/>
  <c r="AH705" i="17"/>
  <c r="AH771" i="17"/>
  <c r="AH971" i="17"/>
  <c r="AH960" i="17"/>
  <c r="AH533" i="17"/>
  <c r="AH805" i="17"/>
  <c r="AH550" i="17"/>
  <c r="AH818" i="17"/>
  <c r="AH288" i="17"/>
  <c r="AH816" i="17"/>
  <c r="AH506" i="17"/>
  <c r="AF898" i="17"/>
  <c r="AF829" i="17"/>
  <c r="AF968" i="17"/>
  <c r="AF776" i="17"/>
  <c r="AF706" i="17"/>
  <c r="AF623" i="17"/>
  <c r="AF394" i="17"/>
  <c r="AF266" i="17"/>
  <c r="AF420" i="17"/>
  <c r="AF164" i="17"/>
  <c r="AF639" i="17"/>
  <c r="AF579" i="17"/>
  <c r="AF535" i="17"/>
  <c r="AF685" i="17"/>
  <c r="AF124" i="17"/>
  <c r="AF23" i="17"/>
  <c r="AF861" i="17"/>
  <c r="AF99" i="17"/>
  <c r="AF794" i="17"/>
  <c r="AH134" i="17"/>
  <c r="AH262" i="17"/>
  <c r="AH47" i="17"/>
  <c r="AH239" i="17"/>
  <c r="AH264" i="17"/>
  <c r="AH41" i="17"/>
  <c r="AH44" i="17"/>
  <c r="AH108" i="17"/>
  <c r="AH172" i="17"/>
  <c r="AH236" i="17"/>
  <c r="AH43" i="17"/>
  <c r="AH107" i="17"/>
  <c r="AH171" i="17"/>
  <c r="AH235" i="17"/>
  <c r="AH299" i="17"/>
  <c r="AH363" i="17"/>
  <c r="AH427" i="17"/>
  <c r="AH491" i="17"/>
  <c r="AH268" i="17"/>
  <c r="AH332" i="17"/>
  <c r="AH396" i="17"/>
  <c r="AH460" i="17"/>
  <c r="AH524" i="17"/>
  <c r="AH588" i="17"/>
  <c r="AH652" i="17"/>
  <c r="AH716" i="17"/>
  <c r="AH13" i="17"/>
  <c r="AH413" i="17"/>
  <c r="AH246" i="17"/>
  <c r="AH374" i="17"/>
  <c r="AH462" i="17"/>
  <c r="AH526" i="17"/>
  <c r="AH614" i="17"/>
  <c r="AH686" i="17"/>
  <c r="AH782" i="17"/>
  <c r="AH886" i="17"/>
  <c r="AH255" i="17"/>
  <c r="AH375" i="17"/>
  <c r="AH439" i="17"/>
  <c r="AH527" i="17"/>
  <c r="AH703" i="17"/>
  <c r="AH871" i="17"/>
  <c r="AH137" i="17"/>
  <c r="AH321" i="17"/>
  <c r="AH409" i="17"/>
  <c r="AH473" i="17"/>
  <c r="AH633" i="17"/>
  <c r="AH713" i="17"/>
  <c r="AH579" i="17"/>
  <c r="AH643" i="17"/>
  <c r="AH707" i="17"/>
  <c r="AH779" i="17"/>
  <c r="AH843" i="17"/>
  <c r="AH915" i="17"/>
  <c r="AH987" i="17"/>
  <c r="AH104" i="17"/>
  <c r="AH440" i="17"/>
  <c r="AH908" i="17"/>
  <c r="AH972" i="17"/>
  <c r="AH954" i="17"/>
  <c r="AH397" i="17"/>
  <c r="AH605" i="17"/>
  <c r="AH965" i="17"/>
  <c r="AH558" i="17"/>
  <c r="AH854" i="17"/>
  <c r="AH958" i="17"/>
  <c r="AH647" i="17"/>
  <c r="AH983" i="17"/>
  <c r="AH302" i="17"/>
  <c r="AH881" i="17"/>
  <c r="AH274" i="17"/>
  <c r="AH114" i="17"/>
  <c r="AH48" i="17"/>
  <c r="AH304" i="17"/>
  <c r="AH496" i="17"/>
  <c r="AH680" i="17"/>
  <c r="AH744" i="17"/>
  <c r="AH832" i="17"/>
  <c r="AH912" i="17"/>
  <c r="AH992" i="17"/>
  <c r="AH362" i="17"/>
  <c r="AH442" i="17"/>
  <c r="AH522" i="17"/>
  <c r="AH594" i="17"/>
  <c r="AH770" i="17"/>
  <c r="AH842" i="17"/>
  <c r="AH906" i="17"/>
  <c r="AH986" i="17"/>
  <c r="AH129" i="17"/>
  <c r="AH446" i="17"/>
  <c r="AH774" i="17"/>
  <c r="AH122" i="17"/>
  <c r="AH490" i="17"/>
  <c r="AH810" i="17"/>
  <c r="AH31" i="17"/>
  <c r="AH80" i="17"/>
  <c r="AH233" i="17"/>
  <c r="AH220" i="17"/>
  <c r="AH475" i="17"/>
  <c r="AH444" i="17"/>
  <c r="AH764" i="17"/>
  <c r="AH157" i="17"/>
  <c r="AH510" i="17"/>
  <c r="AH511" i="17"/>
  <c r="AH545" i="17"/>
  <c r="AH627" i="17"/>
  <c r="AH40" i="17"/>
  <c r="AH517" i="17"/>
  <c r="AH800" i="17"/>
  <c r="AH890" i="17"/>
  <c r="AF702" i="17"/>
  <c r="AF378" i="17"/>
  <c r="AF256" i="17"/>
  <c r="AF367" i="17"/>
  <c r="AH231" i="17"/>
  <c r="AH145" i="17"/>
  <c r="AH100" i="17"/>
  <c r="AH99" i="17"/>
  <c r="AH291" i="17"/>
  <c r="AH452" i="17"/>
  <c r="AH644" i="17"/>
  <c r="AH237" i="17"/>
  <c r="AH238" i="17"/>
  <c r="AH518" i="17"/>
  <c r="AH878" i="17"/>
  <c r="AH367" i="17"/>
  <c r="AH855" i="17"/>
  <c r="AH835" i="17"/>
  <c r="AH376" i="17"/>
  <c r="AH824" i="17"/>
  <c r="AH583" i="17"/>
  <c r="AH745" i="17"/>
  <c r="AH170" i="17"/>
  <c r="AH592" i="17"/>
  <c r="AH984" i="17"/>
  <c r="AH586" i="17"/>
  <c r="AF800" i="17"/>
  <c r="AF495" i="17"/>
  <c r="AF428" i="17"/>
  <c r="AF391" i="17"/>
  <c r="AF346" i="17"/>
  <c r="AF711" i="17"/>
  <c r="AF619" i="17"/>
  <c r="AF414" i="17"/>
  <c r="AF12" i="17"/>
  <c r="AF775" i="17"/>
  <c r="AF625" i="17"/>
  <c r="AF447" i="17"/>
  <c r="AF351" i="17"/>
  <c r="AF827" i="17"/>
  <c r="AF568" i="17"/>
  <c r="AF121" i="17"/>
  <c r="AF31" i="17"/>
  <c r="AF688" i="17"/>
  <c r="AF90" i="17"/>
  <c r="AF540" i="17"/>
  <c r="AF376" i="17"/>
  <c r="AF10" i="17"/>
  <c r="AH30" i="17"/>
  <c r="AH270" i="17"/>
  <c r="AH159" i="17"/>
  <c r="AH247" i="17"/>
  <c r="AH96" i="17"/>
  <c r="AH184" i="17"/>
  <c r="AH272" i="17"/>
  <c r="AH57" i="17"/>
  <c r="AH161" i="17"/>
  <c r="AH289" i="17"/>
  <c r="AH52" i="17"/>
  <c r="AH116" i="17"/>
  <c r="AH180" i="17"/>
  <c r="AH244" i="17"/>
  <c r="AH51" i="17"/>
  <c r="AH115" i="17"/>
  <c r="AH179" i="17"/>
  <c r="AH243" i="17"/>
  <c r="AH307" i="17"/>
  <c r="AH276" i="17"/>
  <c r="AH340" i="17"/>
  <c r="AH404" i="17"/>
  <c r="AH468" i="17"/>
  <c r="AH532" i="17"/>
  <c r="AH660" i="17"/>
  <c r="AH724" i="17"/>
  <c r="AH788" i="17"/>
  <c r="AH109" i="17"/>
  <c r="AH253" i="17"/>
  <c r="AH341" i="17"/>
  <c r="AH429" i="17"/>
  <c r="AH54" i="17"/>
  <c r="AH254" i="17"/>
  <c r="AH382" i="17"/>
  <c r="AH470" i="17"/>
  <c r="AH534" i="17"/>
  <c r="AH622" i="17"/>
  <c r="AH806" i="17"/>
  <c r="AH15" i="17"/>
  <c r="AH263" i="17"/>
  <c r="AH383" i="17"/>
  <c r="AH463" i="17"/>
  <c r="AH535" i="17"/>
  <c r="AH711" i="17"/>
  <c r="AH791" i="17"/>
  <c r="AH895" i="17"/>
  <c r="AH177" i="17"/>
  <c r="AH329" i="17"/>
  <c r="AH481" i="17"/>
  <c r="AH569" i="17"/>
  <c r="AH649" i="17"/>
  <c r="AH721" i="17"/>
  <c r="AH587" i="17"/>
  <c r="AH651" i="17"/>
  <c r="AH715" i="17"/>
  <c r="AH787" i="17"/>
  <c r="AH851" i="17"/>
  <c r="AH923" i="17"/>
  <c r="AH852" i="17"/>
  <c r="AH29" i="17"/>
  <c r="AH549" i="17"/>
  <c r="AH613" i="17"/>
  <c r="AH685" i="17"/>
  <c r="AH749" i="17"/>
  <c r="AH821" i="17"/>
  <c r="AH127" i="17"/>
  <c r="AH574" i="17"/>
  <c r="AH894" i="17"/>
  <c r="AH966" i="17"/>
  <c r="AH695" i="17"/>
  <c r="AH919" i="17"/>
  <c r="AH991" i="17"/>
  <c r="AH24" i="17"/>
  <c r="AH864" i="17"/>
  <c r="AH995" i="17"/>
  <c r="AH889" i="17"/>
  <c r="AH961" i="17"/>
  <c r="AH946" i="17"/>
  <c r="AH42" i="17"/>
  <c r="AH130" i="17"/>
  <c r="AH112" i="17"/>
  <c r="AH336" i="17"/>
  <c r="AH416" i="17"/>
  <c r="AH512" i="17"/>
  <c r="AH608" i="17"/>
  <c r="AH688" i="17"/>
  <c r="AH760" i="17"/>
  <c r="AH848" i="17"/>
  <c r="AH1000" i="17"/>
  <c r="AH298" i="17"/>
  <c r="AH378" i="17"/>
  <c r="AH450" i="17"/>
  <c r="AH530" i="17"/>
  <c r="AH602" i="17"/>
  <c r="AH730" i="17"/>
  <c r="AH778" i="17"/>
  <c r="AH922" i="17"/>
  <c r="AH505" i="17"/>
  <c r="AH393" i="17"/>
  <c r="AH867" i="17"/>
  <c r="AH882" i="17"/>
  <c r="AF858" i="17"/>
  <c r="AF907" i="17"/>
  <c r="AF81" i="17"/>
  <c r="AF370" i="17"/>
  <c r="AF63" i="17"/>
  <c r="AH156" i="17"/>
  <c r="AH380" i="17"/>
  <c r="AH69" i="17"/>
  <c r="AH317" i="17"/>
  <c r="AH438" i="17"/>
  <c r="AH151" i="17"/>
  <c r="AH591" i="17"/>
  <c r="AH847" i="17"/>
  <c r="AH457" i="17"/>
  <c r="AH277" i="17"/>
  <c r="AH430" i="17"/>
  <c r="AH562" i="17"/>
  <c r="AH426" i="17"/>
  <c r="AF883" i="17"/>
  <c r="AF806" i="17"/>
  <c r="AF754" i="17"/>
  <c r="AF631" i="17"/>
  <c r="AF321" i="17"/>
  <c r="AF959" i="17"/>
  <c r="AF818" i="17"/>
  <c r="AF815" i="17"/>
  <c r="AF899" i="17"/>
  <c r="AF980" i="17"/>
  <c r="AF710" i="17"/>
  <c r="AF423" i="17"/>
  <c r="AF326" i="17"/>
  <c r="AF272" i="17"/>
  <c r="AF48" i="17"/>
  <c r="AF771" i="17"/>
  <c r="AF515" i="17"/>
  <c r="AF348" i="17"/>
  <c r="AF303" i="17"/>
  <c r="AF258" i="17"/>
  <c r="AF214" i="17"/>
  <c r="AF154" i="17"/>
  <c r="AF45" i="17"/>
  <c r="AF231" i="17"/>
  <c r="AF588" i="17"/>
  <c r="AF486" i="17"/>
  <c r="AH46" i="17"/>
  <c r="AH150" i="17"/>
  <c r="AH167" i="17"/>
  <c r="AH192" i="17"/>
  <c r="AH312" i="17"/>
  <c r="AH169" i="17"/>
  <c r="AH297" i="17"/>
  <c r="AH60" i="17"/>
  <c r="AH124" i="17"/>
  <c r="AH123" i="17"/>
  <c r="AH187" i="17"/>
  <c r="AH251" i="17"/>
  <c r="AH315" i="17"/>
  <c r="AH379" i="17"/>
  <c r="AH443" i="17"/>
  <c r="AH284" i="17"/>
  <c r="AH348" i="17"/>
  <c r="AH412" i="17"/>
  <c r="AH476" i="17"/>
  <c r="AH540" i="17"/>
  <c r="AH604" i="17"/>
  <c r="AH732" i="17"/>
  <c r="AH261" i="17"/>
  <c r="AH437" i="17"/>
  <c r="AH102" i="17"/>
  <c r="AH310" i="17"/>
  <c r="AH390" i="17"/>
  <c r="AH478" i="17"/>
  <c r="AH542" i="17"/>
  <c r="AH638" i="17"/>
  <c r="AH23" i="17"/>
  <c r="AH271" i="17"/>
  <c r="AH391" i="17"/>
  <c r="AH479" i="17"/>
  <c r="AH543" i="17"/>
  <c r="AH631" i="17"/>
  <c r="AH719" i="17"/>
  <c r="AH903" i="17"/>
  <c r="AH185" i="17"/>
  <c r="AH489" i="17"/>
  <c r="AH577" i="17"/>
  <c r="AH657" i="17"/>
  <c r="AH729" i="17"/>
  <c r="AH595" i="17"/>
  <c r="AH659" i="17"/>
  <c r="AH731" i="17"/>
  <c r="AH859" i="17"/>
  <c r="AH860" i="17"/>
  <c r="AH93" i="17"/>
  <c r="AH421" i="17"/>
  <c r="AH557" i="17"/>
  <c r="AH693" i="17"/>
  <c r="AH757" i="17"/>
  <c r="AH909" i="17"/>
  <c r="AH630" i="17"/>
  <c r="AH910" i="17"/>
  <c r="AH974" i="17"/>
  <c r="AH88" i="17"/>
  <c r="AH240" i="17"/>
  <c r="AH735" i="17"/>
  <c r="AH935" i="17"/>
  <c r="AH999" i="17"/>
  <c r="AH377" i="17"/>
  <c r="AH769" i="17"/>
  <c r="AH833" i="17"/>
  <c r="AH897" i="17"/>
  <c r="AH969" i="17"/>
  <c r="AH370" i="17"/>
  <c r="AH994" i="17"/>
  <c r="AH50" i="17"/>
  <c r="AH146" i="17"/>
  <c r="AH344" i="17"/>
  <c r="AH424" i="17"/>
  <c r="AH528" i="17"/>
  <c r="AH624" i="17"/>
  <c r="AH696" i="17"/>
  <c r="AH768" i="17"/>
  <c r="AH856" i="17"/>
  <c r="AH234" i="17"/>
  <c r="AH306" i="17"/>
  <c r="AH386" i="17"/>
  <c r="AH458" i="17"/>
  <c r="AH538" i="17"/>
  <c r="AH610" i="17"/>
  <c r="AH738" i="17"/>
  <c r="AH902" i="17"/>
  <c r="AH930" i="17"/>
  <c r="AF390" i="17"/>
  <c r="AF873" i="17"/>
  <c r="AF641" i="17"/>
  <c r="AF512" i="17"/>
  <c r="AF726" i="17"/>
  <c r="AF960" i="17"/>
  <c r="AF396" i="17"/>
  <c r="AF112" i="17"/>
  <c r="AF157" i="17"/>
  <c r="AF875" i="17"/>
  <c r="AF514" i="17"/>
  <c r="AF9" i="17"/>
  <c r="AF320" i="17"/>
  <c r="AF532" i="17"/>
  <c r="AF658" i="17"/>
  <c r="AF107" i="17"/>
  <c r="AF573" i="17"/>
  <c r="AF212" i="17"/>
  <c r="AF268" i="17"/>
  <c r="AF871" i="17"/>
  <c r="AF758" i="17"/>
  <c r="AF970" i="17"/>
  <c r="AF909" i="17"/>
  <c r="AF33" i="17"/>
  <c r="AF655" i="17"/>
  <c r="AF182" i="17"/>
  <c r="AF859" i="17"/>
  <c r="AF707" i="17"/>
  <c r="AF510" i="17"/>
  <c r="AF392" i="17"/>
  <c r="AF350" i="17"/>
  <c r="AF274" i="17"/>
  <c r="AF860" i="17"/>
  <c r="AF642" i="17"/>
  <c r="AF762" i="17"/>
  <c r="AF872" i="17"/>
  <c r="AF650" i="17"/>
  <c r="AF58" i="17"/>
  <c r="AF453" i="17"/>
  <c r="AF810" i="17"/>
  <c r="AF210" i="17"/>
  <c r="AF998" i="17"/>
  <c r="AF555" i="17"/>
  <c r="AF282" i="17"/>
  <c r="AF480" i="17"/>
  <c r="AF454" i="17"/>
  <c r="AF384" i="17"/>
  <c r="AF109" i="17"/>
  <c r="AF830" i="17"/>
  <c r="AF44" i="17"/>
  <c r="AF693" i="17"/>
  <c r="AF393" i="17"/>
  <c r="AF564" i="17"/>
  <c r="AF638" i="17"/>
  <c r="AF155" i="17"/>
  <c r="AF340" i="17"/>
  <c r="AF501" i="17"/>
  <c r="AF596" i="17"/>
  <c r="AF882" i="17"/>
  <c r="AF722" i="17"/>
  <c r="AF929" i="17"/>
  <c r="AF751" i="17"/>
  <c r="AF712" i="17"/>
  <c r="AF551" i="17"/>
  <c r="AF477" i="17"/>
  <c r="AF443" i="17"/>
  <c r="AF851" i="17"/>
  <c r="AF560" i="17"/>
  <c r="AF919" i="17"/>
  <c r="AF456" i="17"/>
  <c r="AF276" i="17"/>
  <c r="AF193" i="17"/>
  <c r="AF206" i="17"/>
  <c r="AF774" i="17"/>
  <c r="AF956" i="17"/>
  <c r="AF284" i="17"/>
  <c r="AF724" i="17"/>
  <c r="AF280" i="17"/>
  <c r="AF232" i="17"/>
  <c r="AF136" i="17"/>
  <c r="AF459" i="17"/>
  <c r="AF866" i="17"/>
  <c r="AF939" i="17"/>
  <c r="AF971" i="17"/>
  <c r="AF792" i="17"/>
  <c r="AF784" i="17"/>
  <c r="AF881" i="17"/>
  <c r="AF694" i="17"/>
  <c r="AF488" i="17"/>
  <c r="AF544" i="17"/>
  <c r="AF786" i="17"/>
  <c r="AF559" i="17"/>
  <c r="AF137" i="17"/>
  <c r="AF791" i="17"/>
  <c r="AF438" i="17"/>
  <c r="AF395" i="17"/>
  <c r="AF745" i="17"/>
  <c r="AF941" i="17"/>
  <c r="AF542" i="17"/>
  <c r="AF389" i="17"/>
  <c r="AF755" i="17"/>
  <c r="AF489" i="17"/>
  <c r="AF244" i="17"/>
  <c r="AF8" i="17"/>
  <c r="AF6" i="17"/>
  <c r="AF633" i="17"/>
  <c r="AF823" i="17"/>
  <c r="AF943" i="17"/>
  <c r="AF948" i="17"/>
  <c r="AF673" i="17"/>
  <c r="AF605" i="17"/>
  <c r="AF561" i="17"/>
  <c r="AF671" i="17"/>
  <c r="AF120" i="17"/>
  <c r="AF436" i="17"/>
  <c r="AF319" i="17"/>
  <c r="AF246" i="17"/>
  <c r="AF77" i="17"/>
  <c r="AF435" i="17"/>
  <c r="AF226" i="17"/>
  <c r="AF172" i="17"/>
  <c r="AF738" i="17"/>
  <c r="AF487" i="17"/>
  <c r="AF257" i="17"/>
  <c r="AF782" i="17"/>
  <c r="AF874" i="17"/>
  <c r="AF966" i="17"/>
  <c r="AF663" i="17"/>
  <c r="AF400" i="17"/>
  <c r="AF439" i="17"/>
  <c r="AF32" i="17"/>
  <c r="AF649" i="17"/>
  <c r="AF475" i="17"/>
  <c r="AF427" i="17"/>
  <c r="AF692" i="17"/>
  <c r="AF289" i="17"/>
  <c r="AF91" i="17"/>
  <c r="AF558" i="17"/>
  <c r="AF82" i="17"/>
  <c r="AF915" i="17"/>
  <c r="AF584" i="17"/>
  <c r="AF803" i="17"/>
  <c r="AF763" i="17"/>
  <c r="AF879" i="17"/>
  <c r="AF989" i="17"/>
  <c r="AF844" i="17"/>
  <c r="AF930" i="17"/>
  <c r="AF311" i="17"/>
  <c r="AF225" i="17"/>
  <c r="AF188" i="17"/>
  <c r="AF795" i="17"/>
  <c r="AF262" i="17"/>
  <c r="AF237" i="17"/>
  <c r="AF686" i="17"/>
  <c r="AF624" i="17"/>
  <c r="AF578" i="17"/>
  <c r="AF496" i="17"/>
  <c r="AF974" i="17"/>
  <c r="AF288" i="17"/>
  <c r="AF704" i="17"/>
  <c r="AF945" i="17"/>
  <c r="AF60" i="17"/>
  <c r="AF773" i="17"/>
  <c r="AF888" i="17"/>
  <c r="AF760" i="17"/>
  <c r="AF777" i="17"/>
  <c r="AF961" i="17"/>
  <c r="AF978" i="17"/>
  <c r="AF931" i="17"/>
  <c r="AF783" i="17"/>
  <c r="AF732" i="17"/>
  <c r="AF656" i="17"/>
  <c r="AF527" i="17"/>
  <c r="AF508" i="17"/>
  <c r="AF375" i="17"/>
  <c r="AF294" i="17"/>
  <c r="AF80" i="17"/>
  <c r="AF419" i="17"/>
  <c r="AF278" i="17"/>
  <c r="AF682" i="17"/>
  <c r="AF492" i="17"/>
  <c r="AF283" i="17"/>
  <c r="AF119" i="17"/>
  <c r="AF984" i="17"/>
  <c r="AF981" i="17"/>
  <c r="AF316" i="17"/>
  <c r="AF191" i="17"/>
  <c r="AF809" i="17"/>
  <c r="AF730" i="17"/>
  <c r="AF653" i="17"/>
  <c r="AF491" i="17"/>
  <c r="AF298" i="17"/>
  <c r="AF219" i="17"/>
  <c r="AF916" i="17"/>
  <c r="AF718" i="17"/>
  <c r="AF291" i="17"/>
  <c r="AF922" i="17"/>
  <c r="AF816" i="17"/>
  <c r="AF680" i="17"/>
  <c r="AF825" i="17"/>
  <c r="AF603" i="17"/>
  <c r="AF565" i="17"/>
  <c r="AF817" i="17"/>
  <c r="AF556" i="17"/>
  <c r="AF34" i="17"/>
  <c r="AF110" i="17"/>
  <c r="AF923" i="17"/>
  <c r="AF991" i="17"/>
  <c r="AF824" i="17"/>
  <c r="AF985" i="17"/>
  <c r="AF748" i="17"/>
  <c r="AF709" i="17"/>
  <c r="AF587" i="17"/>
  <c r="AF545" i="17"/>
  <c r="AF509" i="17"/>
  <c r="AF470" i="17"/>
  <c r="AF440" i="17"/>
  <c r="AF235" i="17"/>
  <c r="AF65" i="17"/>
  <c r="AF811" i="17"/>
  <c r="AF735" i="17"/>
  <c r="AF329" i="17"/>
  <c r="AF269" i="17"/>
  <c r="AF167" i="17"/>
  <c r="AF767" i="17"/>
  <c r="AF398" i="17"/>
  <c r="AF781" i="17"/>
  <c r="AF698" i="17"/>
  <c r="AF267" i="17"/>
  <c r="AF169" i="17"/>
  <c r="AF992" i="17"/>
  <c r="AF920" i="17"/>
  <c r="AF842" i="17"/>
  <c r="AF461" i="17"/>
  <c r="AF422" i="17"/>
  <c r="AF79" i="17"/>
  <c r="AF935" i="17"/>
  <c r="AF805" i="17"/>
  <c r="AF886" i="17"/>
  <c r="AF790" i="17"/>
  <c r="AF657" i="17"/>
  <c r="AF577" i="17"/>
  <c r="AF462" i="17"/>
  <c r="AF174" i="17"/>
  <c r="AF405" i="17"/>
  <c r="AF323" i="17"/>
  <c r="AF822" i="17"/>
  <c r="AF117" i="17"/>
  <c r="AF53" i="17"/>
  <c r="AF841" i="17"/>
  <c r="AF627" i="17"/>
  <c r="AF581" i="17"/>
  <c r="AF537" i="17"/>
  <c r="AF463" i="17"/>
  <c r="AF424" i="17"/>
  <c r="AF380" i="17"/>
  <c r="AF156" i="17"/>
  <c r="AF113" i="17"/>
  <c r="AF534" i="17"/>
  <c r="AF636" i="17"/>
  <c r="AF676" i="17"/>
  <c r="AF662" i="17"/>
  <c r="AF46" i="17"/>
  <c r="AF47" i="17"/>
  <c r="AF944" i="17"/>
  <c r="AF765" i="17"/>
  <c r="AF571" i="17"/>
  <c r="AF382" i="17"/>
  <c r="AF343" i="17"/>
  <c r="AF260" i="17"/>
  <c r="AF677" i="17"/>
  <c r="AF589" i="17"/>
  <c r="AF525" i="17"/>
  <c r="AF332" i="17"/>
  <c r="AF275" i="17"/>
  <c r="AF752" i="17"/>
  <c r="AF416" i="17"/>
  <c r="AF802" i="17"/>
  <c r="AF630" i="17"/>
  <c r="AF417" i="17"/>
  <c r="AF199" i="17"/>
  <c r="AF664" i="17"/>
  <c r="AF548" i="17"/>
  <c r="AF388" i="17"/>
  <c r="AF383" i="17"/>
  <c r="AF904" i="17"/>
  <c r="AF988" i="17"/>
  <c r="AF89" i="17"/>
  <c r="AF249" i="17"/>
  <c r="AF143" i="17"/>
  <c r="AF37" i="17"/>
  <c r="AF798" i="17"/>
  <c r="AF1001" i="17"/>
  <c r="AF580" i="17"/>
  <c r="AF78" i="17"/>
  <c r="AF672" i="17"/>
  <c r="AF566" i="17"/>
  <c r="AF472" i="17"/>
  <c r="AF337" i="17"/>
  <c r="AF921" i="17"/>
  <c r="AF946" i="17"/>
  <c r="AF567" i="17"/>
  <c r="AF451" i="17"/>
  <c r="AF72" i="17"/>
  <c r="AF464" i="17"/>
  <c r="AF947" i="17"/>
  <c r="AF856" i="17"/>
  <c r="AF996" i="17"/>
  <c r="AF808" i="17"/>
  <c r="AF902" i="17"/>
  <c r="AF412" i="17"/>
  <c r="AF373" i="17"/>
  <c r="AF292" i="17"/>
  <c r="AF867" i="17"/>
  <c r="AF616" i="17"/>
  <c r="AF576" i="17"/>
  <c r="AF399" i="17"/>
  <c r="AF313" i="17"/>
  <c r="AF130" i="17"/>
  <c r="AF547" i="17"/>
  <c r="AF290" i="17"/>
  <c r="AF140" i="17"/>
  <c r="AF661" i="17"/>
  <c r="AF92" i="17"/>
  <c r="AF70" i="17"/>
  <c r="AF55" i="17"/>
  <c r="AF255" i="17"/>
  <c r="AF713" i="17"/>
  <c r="AF736" i="17"/>
  <c r="AF360" i="17"/>
  <c r="AF118" i="17"/>
  <c r="AF177" i="17"/>
  <c r="AF106" i="17"/>
  <c r="AF271" i="17"/>
  <c r="AF499" i="17"/>
  <c r="AF843" i="17"/>
  <c r="AF820" i="17"/>
  <c r="AF884" i="17"/>
  <c r="AF408" i="17"/>
  <c r="AF862" i="17"/>
  <c r="AF847" i="17"/>
  <c r="AF833" i="17"/>
  <c r="AF446" i="17"/>
  <c r="AF764" i="17"/>
  <c r="AF741" i="17"/>
  <c r="AF668" i="17"/>
  <c r="AF494" i="17"/>
  <c r="AF310" i="17"/>
  <c r="AF591" i="17"/>
  <c r="AF85" i="17"/>
  <c r="AF654" i="17"/>
  <c r="AF600" i="17"/>
  <c r="AF562" i="17"/>
  <c r="AF132" i="17"/>
  <c r="AF127" i="17"/>
  <c r="AF111" i="17"/>
  <c r="AF517" i="17"/>
  <c r="AF425" i="17"/>
  <c r="AF372" i="17"/>
  <c r="AF148" i="17"/>
  <c r="AF411" i="17"/>
  <c r="AF778" i="17"/>
  <c r="AF471" i="17"/>
  <c r="AF364" i="17"/>
  <c r="AF62" i="17"/>
  <c r="AF252" i="17"/>
  <c r="AF201" i="17"/>
  <c r="AF666" i="17"/>
  <c r="AF949" i="17"/>
  <c r="AF807" i="17"/>
  <c r="AF870" i="17"/>
  <c r="AF918" i="17"/>
  <c r="AF593" i="17"/>
  <c r="AF513" i="17"/>
  <c r="AF403" i="17"/>
  <c r="AF273" i="17"/>
  <c r="AF238" i="17"/>
  <c r="AF498" i="17"/>
  <c r="AF339" i="17"/>
  <c r="AF224" i="17"/>
  <c r="AF64" i="17"/>
  <c r="AF575" i="17"/>
  <c r="AF213" i="17"/>
  <c r="AF228" i="17"/>
  <c r="AF38" i="17"/>
  <c r="AF838" i="17"/>
  <c r="AF539" i="17"/>
  <c r="AF466" i="17"/>
  <c r="AF432" i="17"/>
  <c r="AF356" i="17"/>
  <c r="AF490" i="17"/>
  <c r="AF141" i="17"/>
  <c r="AF893" i="17"/>
  <c r="AF699" i="17"/>
  <c r="AF667" i="17"/>
  <c r="AF160" i="17"/>
  <c r="AF153" i="17"/>
  <c r="AF108" i="17"/>
  <c r="AF333" i="17"/>
  <c r="AF115" i="17"/>
  <c r="AF505" i="17"/>
  <c r="AF797" i="17"/>
  <c r="AF975" i="17"/>
  <c r="AF301" i="17"/>
  <c r="AF71" i="17"/>
  <c r="AF889" i="17"/>
  <c r="AF35" i="17"/>
  <c r="AF910" i="17"/>
  <c r="AF994" i="17"/>
  <c r="AF165" i="17"/>
  <c r="AF750" i="17"/>
  <c r="AF622" i="17"/>
  <c r="AF585" i="17"/>
  <c r="AF217" i="17"/>
  <c r="AF407" i="17"/>
  <c r="AF11" i="17"/>
  <c r="AF905" i="17"/>
  <c r="AF865" i="17"/>
  <c r="AF538" i="17"/>
  <c r="AF951" i="17"/>
  <c r="AF983" i="17"/>
  <c r="AF852" i="17"/>
  <c r="AF831" i="17"/>
  <c r="AF727" i="17"/>
  <c r="AF458" i="17"/>
  <c r="AF208" i="17"/>
  <c r="AF450" i="17"/>
  <c r="AF306" i="17"/>
  <c r="AF13" i="17"/>
  <c r="AF478" i="17"/>
  <c r="AF353" i="17"/>
  <c r="AF315" i="17"/>
  <c r="AF277" i="17"/>
  <c r="AF229" i="17"/>
  <c r="AF186" i="17"/>
  <c r="AF84" i="17"/>
  <c r="AF352" i="17"/>
  <c r="AF39" i="17"/>
  <c r="AF684" i="17"/>
  <c r="AF181" i="17"/>
  <c r="AF74" i="17"/>
  <c r="AF914" i="17"/>
  <c r="AF878" i="17"/>
  <c r="AF678" i="17"/>
  <c r="AF520" i="17"/>
  <c r="AF452" i="17"/>
  <c r="AF330" i="17"/>
  <c r="AF768" i="17"/>
  <c r="AF554" i="17"/>
  <c r="AF431" i="17"/>
  <c r="AF97" i="17"/>
  <c r="AF819" i="17"/>
  <c r="AF211" i="17"/>
  <c r="AF5" i="17"/>
  <c r="AF597" i="17"/>
  <c r="AF474" i="17"/>
  <c r="AF612" i="17"/>
  <c r="AF51" i="17"/>
  <c r="AF701" i="17"/>
  <c r="AF936" i="17"/>
  <c r="AF787" i="17"/>
  <c r="AF835" i="17"/>
  <c r="AF979" i="17"/>
  <c r="AF780" i="17"/>
  <c r="AF937" i="17"/>
  <c r="AF608" i="17"/>
  <c r="AF415" i="17"/>
  <c r="AF379" i="17"/>
  <c r="AF270" i="17"/>
  <c r="AF152" i="17"/>
  <c r="AF772" i="17"/>
  <c r="AF747" i="17"/>
  <c r="AF40" i="17"/>
  <c r="AF601" i="17"/>
  <c r="AF569" i="17"/>
  <c r="AF371" i="17"/>
  <c r="AF227" i="17"/>
  <c r="AF101" i="17"/>
  <c r="AF651" i="17"/>
  <c r="AF552" i="17"/>
  <c r="AF305" i="17"/>
  <c r="AF76" i="17"/>
  <c r="AF813" i="17"/>
  <c r="AF189" i="17"/>
  <c r="AF183" i="17"/>
  <c r="AF620" i="17"/>
  <c r="AF950" i="17"/>
  <c r="AF536" i="17"/>
  <c r="AF708" i="17"/>
  <c r="AF336" i="17"/>
  <c r="AF185" i="17"/>
  <c r="AF845" i="17"/>
  <c r="AF990" i="17"/>
  <c r="AF264" i="17"/>
  <c r="AF86" i="17"/>
  <c r="AF15" i="17"/>
  <c r="AF158" i="17"/>
  <c r="AF341" i="17"/>
  <c r="AF433" i="17"/>
  <c r="AF518" i="17"/>
  <c r="AF999" i="17"/>
  <c r="AF952" i="17"/>
  <c r="AF911" i="17"/>
  <c r="AF962" i="17"/>
  <c r="AF903" i="17"/>
  <c r="AF485" i="17"/>
  <c r="AF251" i="17"/>
  <c r="AF145" i="17"/>
  <c r="AF674" i="17"/>
  <c r="AF365" i="17"/>
  <c r="AF297" i="17"/>
  <c r="AF138" i="17"/>
  <c r="AF725" i="17"/>
  <c r="AF129" i="17"/>
  <c r="AF61" i="17"/>
  <c r="AF29" i="17"/>
  <c r="AF900" i="17"/>
  <c r="AF594" i="17"/>
  <c r="AF429" i="17"/>
  <c r="AF347" i="17"/>
  <c r="AF302" i="17"/>
  <c r="AF614" i="17"/>
  <c r="AF418" i="17"/>
  <c r="AF215" i="17"/>
  <c r="AF421" i="17"/>
  <c r="AF953" i="17"/>
  <c r="AF530" i="17"/>
  <c r="AF696" i="17"/>
  <c r="AF317" i="17"/>
  <c r="AF670" i="17"/>
  <c r="AF934" i="17"/>
  <c r="AF731" i="17"/>
  <c r="AF173" i="17"/>
  <c r="AF296" i="17"/>
  <c r="AF413" i="17"/>
  <c r="AF325" i="17"/>
  <c r="AF163" i="17"/>
  <c r="AF955" i="17"/>
  <c r="AF894" i="17"/>
  <c r="AF972" i="17"/>
  <c r="AF753" i="17"/>
  <c r="AF821" i="17"/>
  <c r="AF896" i="17"/>
  <c r="AF531" i="17"/>
  <c r="AF481" i="17"/>
  <c r="AF308" i="17"/>
  <c r="AF854" i="17"/>
  <c r="AF744" i="17"/>
  <c r="AF659" i="17"/>
  <c r="AF345" i="17"/>
  <c r="AF307" i="17"/>
  <c r="AF221" i="17"/>
  <c r="AF161" i="17"/>
  <c r="AF88" i="17"/>
  <c r="AF49" i="17"/>
  <c r="AF897" i="17"/>
  <c r="AF689" i="17"/>
  <c r="AF595" i="17"/>
  <c r="AF543" i="17"/>
  <c r="AF504" i="17"/>
  <c r="AF430" i="17"/>
  <c r="AF377" i="17"/>
  <c r="AF335" i="17"/>
  <c r="AF243" i="17"/>
  <c r="AF147" i="17"/>
  <c r="AF21" i="17"/>
  <c r="AF521" i="17"/>
  <c r="AF467" i="17"/>
  <c r="AF444" i="17"/>
  <c r="AF357" i="17"/>
  <c r="AF318" i="17"/>
  <c r="AF299" i="17"/>
  <c r="AF196" i="17"/>
  <c r="AF159" i="17"/>
  <c r="AF122" i="17"/>
  <c r="AF131" i="17"/>
  <c r="AF986" i="17"/>
  <c r="AF779" i="17"/>
  <c r="AF590" i="17"/>
  <c r="AF142" i="17"/>
  <c r="AF582" i="17"/>
  <c r="AF4" i="17"/>
  <c r="AF171" i="17"/>
  <c r="AF75" i="17"/>
  <c r="AF572" i="17"/>
  <c r="AF437" i="17"/>
  <c r="AF312" i="17"/>
  <c r="AF150" i="17"/>
  <c r="AF98" i="17"/>
  <c r="AF441" i="17"/>
  <c r="AF205" i="17"/>
  <c r="AF381" i="17"/>
  <c r="AF729" i="17"/>
  <c r="AF785" i="17"/>
  <c r="AF892" i="17"/>
  <c r="AF634" i="17"/>
  <c r="AF239" i="17"/>
  <c r="AF522" i="17"/>
  <c r="AF963" i="17"/>
  <c r="AF848" i="17"/>
  <c r="AF832" i="17"/>
  <c r="AF940" i="17"/>
  <c r="AF1000" i="17"/>
  <c r="AF801" i="17"/>
  <c r="AF705" i="17"/>
  <c r="AF734" i="17"/>
  <c r="AF839" i="17"/>
  <c r="AF969" i="17"/>
  <c r="AF880" i="17"/>
  <c r="AF793" i="17"/>
  <c r="AF739" i="17"/>
  <c r="AF703" i="17"/>
  <c r="AF675" i="17"/>
  <c r="AF635" i="17"/>
  <c r="AF629" i="17"/>
  <c r="AF617" i="17"/>
  <c r="AF761" i="17"/>
  <c r="AF690" i="17"/>
  <c r="AF643" i="17"/>
  <c r="AF613" i="17"/>
  <c r="AF557" i="17"/>
  <c r="AF533" i="17"/>
  <c r="AF355" i="17"/>
  <c r="AF265" i="17"/>
  <c r="AF259" i="17"/>
  <c r="AF134" i="17"/>
  <c r="AF890" i="17"/>
  <c r="AF721" i="17"/>
  <c r="AF553" i="17"/>
  <c r="AF493" i="17"/>
  <c r="AF233" i="17"/>
  <c r="AF529" i="17"/>
  <c r="AF506" i="17"/>
  <c r="AF500" i="17"/>
  <c r="AF245" i="17"/>
  <c r="AF41" i="17"/>
  <c r="AF749" i="17"/>
  <c r="AF740" i="17"/>
  <c r="AF644" i="17"/>
  <c r="AF247" i="17"/>
  <c r="AF197" i="17"/>
  <c r="AF853" i="17"/>
  <c r="AF386" i="17"/>
  <c r="AF445" i="17"/>
  <c r="AF976" i="17"/>
  <c r="AF814" i="17"/>
  <c r="AF67" i="17"/>
  <c r="AF652" i="17"/>
  <c r="AF604" i="17"/>
  <c r="AF22" i="17"/>
  <c r="AF876" i="17"/>
  <c r="AF526" i="17"/>
  <c r="AF54" i="17"/>
  <c r="AF14" i="17"/>
  <c r="AF261" i="17"/>
  <c r="AF877" i="17"/>
  <c r="AF598" i="17"/>
  <c r="AF409" i="17"/>
  <c r="AF328" i="17"/>
  <c r="AF102" i="17"/>
  <c r="AF66" i="17"/>
  <c r="AF26" i="17"/>
  <c r="AF550" i="17"/>
  <c r="AF967" i="17"/>
  <c r="AF924" i="17"/>
  <c r="AF769" i="17"/>
  <c r="AF756" i="17"/>
  <c r="AF933" i="17"/>
  <c r="AF973" i="17"/>
  <c r="AF746" i="17"/>
  <c r="AF796" i="17"/>
  <c r="AF406" i="17"/>
  <c r="AF263" i="17"/>
  <c r="AF241" i="17"/>
  <c r="AF222" i="17"/>
  <c r="AF209" i="17"/>
  <c r="AF190" i="17"/>
  <c r="AF665" i="17"/>
  <c r="AF402" i="17"/>
  <c r="AF180" i="17"/>
  <c r="AF151" i="17"/>
  <c r="AF104" i="17"/>
  <c r="AF56" i="17"/>
  <c r="AF24" i="17"/>
  <c r="AF20" i="17"/>
  <c r="AF149" i="17"/>
  <c r="AF57" i="17"/>
  <c r="AF645" i="17"/>
  <c r="AF507" i="17"/>
  <c r="AF497" i="17"/>
  <c r="AF479" i="17"/>
  <c r="AF457" i="17"/>
  <c r="AF361" i="17"/>
  <c r="AF170" i="17"/>
  <c r="AF93" i="17"/>
  <c r="AF69" i="17"/>
  <c r="AF7" i="17"/>
  <c r="AF728" i="17"/>
  <c r="AF648" i="17"/>
  <c r="AF609" i="17"/>
  <c r="AF549" i="17"/>
  <c r="AF331" i="17"/>
  <c r="AF146" i="17"/>
  <c r="AF125" i="17"/>
  <c r="AF68" i="17"/>
  <c r="AF52" i="17"/>
  <c r="AF36" i="17"/>
  <c r="AF850" i="17"/>
  <c r="AF789" i="17"/>
  <c r="AF279" i="17"/>
  <c r="AF449" i="17"/>
  <c r="AF401" i="17"/>
  <c r="AF304" i="17"/>
  <c r="AF349" i="17"/>
  <c r="AF285" i="17"/>
  <c r="AF925" i="17"/>
  <c r="AF374" i="17"/>
  <c r="AF681" i="17"/>
  <c r="AF626" i="17"/>
  <c r="AF59" i="17"/>
  <c r="AF3" i="17"/>
  <c r="AF43" i="17"/>
  <c r="AF618" i="17"/>
  <c r="AF166" i="17"/>
  <c r="AF236" i="17"/>
  <c r="AF30" i="17"/>
  <c r="AF868" i="17"/>
  <c r="AF281" i="17"/>
  <c r="AF397" i="17"/>
  <c r="AF473" i="17"/>
  <c r="AF83" i="17"/>
  <c r="AF187" i="17"/>
  <c r="AF50" i="17"/>
  <c r="AF126" i="17"/>
  <c r="AF987" i="17"/>
  <c r="AF719" i="17"/>
  <c r="AF837" i="17"/>
  <c r="AF928" i="17"/>
  <c r="AF964" i="17"/>
  <c r="AF885" i="17"/>
  <c r="AF737" i="17"/>
  <c r="AF716" i="17"/>
  <c r="AF895" i="17"/>
  <c r="AF977" i="17"/>
  <c r="AF993" i="17"/>
  <c r="AF812" i="17"/>
  <c r="AF799" i="17"/>
  <c r="AF891" i="17"/>
  <c r="AF912" i="17"/>
  <c r="AF942" i="17"/>
  <c r="AF982" i="17"/>
  <c r="AF913" i="17"/>
  <c r="AF742" i="17"/>
  <c r="AF723" i="17"/>
  <c r="AF697" i="17"/>
  <c r="AF669" i="17"/>
  <c r="AF632" i="17"/>
  <c r="AF611" i="17"/>
  <c r="AF640" i="17"/>
  <c r="AF637" i="17"/>
  <c r="AF570" i="17"/>
  <c r="AF469" i="17"/>
  <c r="AF385" i="17"/>
  <c r="AF253" i="17"/>
  <c r="AF17" i="17"/>
  <c r="AF621" i="17"/>
  <c r="AF563" i="17"/>
  <c r="AF524" i="17"/>
  <c r="AF483" i="17"/>
  <c r="AF133" i="17"/>
  <c r="AF720" i="17"/>
  <c r="AF482" i="17"/>
  <c r="AF460" i="17"/>
  <c r="AF242" i="17"/>
  <c r="AF216" i="17"/>
  <c r="AF73" i="17"/>
  <c r="AF25" i="17"/>
  <c r="AF826" i="17"/>
  <c r="AF368" i="17"/>
  <c r="AF103" i="17"/>
  <c r="AF27" i="17"/>
  <c r="AF2" i="17"/>
  <c r="AF908" i="17"/>
  <c r="AF502" i="17"/>
  <c r="AF293" i="17"/>
  <c r="AF309" i="17"/>
  <c r="AF733" i="17"/>
  <c r="AF869" i="17"/>
  <c r="AF42" i="17"/>
  <c r="AF175" i="17"/>
  <c r="AF114" i="17"/>
  <c r="AF123" i="17"/>
  <c r="AF19" i="17"/>
  <c r="Q2" i="18" l="1"/>
  <c r="AH683" i="17"/>
  <c r="P2" i="18"/>
  <c r="S2" i="18" s="1"/>
  <c r="E6" i="18"/>
  <c r="Q6" i="18" s="1"/>
  <c r="S6" i="18" s="1"/>
  <c r="E10" i="18"/>
  <c r="Q10" i="18" s="1"/>
  <c r="S10" i="18" s="1"/>
  <c r="P6" i="18"/>
  <c r="P11" i="18"/>
  <c r="Q4" i="18"/>
  <c r="S4" i="18" s="1"/>
  <c r="P4" i="18"/>
  <c r="Q3" i="18"/>
  <c r="P10" i="18"/>
  <c r="P8" i="18"/>
  <c r="Q9" i="18"/>
  <c r="S9" i="18" s="1"/>
  <c r="Q8" i="18"/>
  <c r="P9" i="18"/>
  <c r="P7" i="18"/>
  <c r="Q5" i="18"/>
  <c r="Q7" i="18"/>
  <c r="Q11" i="18"/>
  <c r="S11" i="18" s="1"/>
  <c r="P3" i="18"/>
  <c r="P5" i="18"/>
  <c r="AI2" i="9"/>
  <c r="AI3" i="9"/>
  <c r="AI4" i="9"/>
  <c r="AI5" i="9"/>
  <c r="AI6" i="9"/>
  <c r="AI7"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38" i="9"/>
  <c r="AI39" i="9"/>
  <c r="AI40" i="9"/>
  <c r="AI41" i="9"/>
  <c r="AI42" i="9"/>
  <c r="AI43" i="9"/>
  <c r="AI44" i="9"/>
  <c r="AI45" i="9"/>
  <c r="AI46" i="9"/>
  <c r="AI47" i="9"/>
  <c r="AI48" i="9"/>
  <c r="AI49" i="9"/>
  <c r="AI50" i="9"/>
  <c r="AI51" i="9"/>
  <c r="AI52" i="9"/>
  <c r="AI53" i="9"/>
  <c r="AI54" i="9"/>
  <c r="AI55" i="9"/>
  <c r="AI56" i="9"/>
  <c r="AI57" i="9"/>
  <c r="AI58" i="9"/>
  <c r="AI59" i="9"/>
  <c r="AI60" i="9"/>
  <c r="AI61" i="9"/>
  <c r="AI62" i="9"/>
  <c r="AI63" i="9"/>
  <c r="AI64" i="9"/>
  <c r="AI65" i="9"/>
  <c r="AI66" i="9"/>
  <c r="AI67" i="9"/>
  <c r="AI68" i="9"/>
  <c r="AI69" i="9"/>
  <c r="AI70" i="9"/>
  <c r="AI71" i="9"/>
  <c r="AI72" i="9"/>
  <c r="AI73" i="9"/>
  <c r="AI74" i="9"/>
  <c r="AI75" i="9"/>
  <c r="AI76" i="9"/>
  <c r="AI77" i="9"/>
  <c r="AI78" i="9"/>
  <c r="AI79" i="9"/>
  <c r="AI80" i="9"/>
  <c r="AI81" i="9"/>
  <c r="AI82" i="9"/>
  <c r="AI83" i="9"/>
  <c r="AI84" i="9"/>
  <c r="AI85" i="9"/>
  <c r="AI86" i="9"/>
  <c r="AI87" i="9"/>
  <c r="AI88" i="9"/>
  <c r="AI89" i="9"/>
  <c r="AI90" i="9"/>
  <c r="AI91" i="9"/>
  <c r="AI92" i="9"/>
  <c r="AI93" i="9"/>
  <c r="AI94" i="9"/>
  <c r="AI95" i="9"/>
  <c r="AI96" i="9"/>
  <c r="AI97" i="9"/>
  <c r="AI98" i="9"/>
  <c r="AI99" i="9"/>
  <c r="AI100" i="9"/>
  <c r="AI101" i="9"/>
  <c r="AI102" i="9"/>
  <c r="AI103" i="9"/>
  <c r="AI104" i="9"/>
  <c r="AI105" i="9"/>
  <c r="AI106" i="9"/>
  <c r="AI107" i="9"/>
  <c r="AI108" i="9"/>
  <c r="AI109" i="9"/>
  <c r="AI110" i="9"/>
  <c r="AI111" i="9"/>
  <c r="AI112" i="9"/>
  <c r="AI113" i="9"/>
  <c r="AI114" i="9"/>
  <c r="AI115" i="9"/>
  <c r="AI116" i="9"/>
  <c r="AI117" i="9"/>
  <c r="AI118" i="9"/>
  <c r="AI119" i="9"/>
  <c r="AI120" i="9"/>
  <c r="AI121" i="9"/>
  <c r="AI122" i="9"/>
  <c r="AI123" i="9"/>
  <c r="AI124" i="9"/>
  <c r="AI125" i="9"/>
  <c r="AI126" i="9"/>
  <c r="AI127" i="9"/>
  <c r="AI128" i="9"/>
  <c r="AI129" i="9"/>
  <c r="AI130" i="9"/>
  <c r="AI131" i="9"/>
  <c r="AI132" i="9"/>
  <c r="AI133" i="9"/>
  <c r="AI134" i="9"/>
  <c r="AI135" i="9"/>
  <c r="AI136" i="9"/>
  <c r="AI137" i="9"/>
  <c r="AI138" i="9"/>
  <c r="AI139" i="9"/>
  <c r="AI140" i="9"/>
  <c r="AI141" i="9"/>
  <c r="AI142" i="9"/>
  <c r="AI143" i="9"/>
  <c r="AI144" i="9"/>
  <c r="AI145" i="9"/>
  <c r="AI146" i="9"/>
  <c r="AI147" i="9"/>
  <c r="AI148" i="9"/>
  <c r="AI149" i="9"/>
  <c r="AI150" i="9"/>
  <c r="AI151" i="9"/>
  <c r="AI152" i="9"/>
  <c r="AI153" i="9"/>
  <c r="AI154" i="9"/>
  <c r="AI155" i="9"/>
  <c r="AI156" i="9"/>
  <c r="AI157" i="9"/>
  <c r="AI158" i="9"/>
  <c r="AI159" i="9"/>
  <c r="AI160" i="9"/>
  <c r="AI161" i="9"/>
  <c r="AI162" i="9"/>
  <c r="AI163" i="9"/>
  <c r="AI164" i="9"/>
  <c r="AI165" i="9"/>
  <c r="AI166" i="9"/>
  <c r="AI167" i="9"/>
  <c r="AI168" i="9"/>
  <c r="AI169" i="9"/>
  <c r="AI170" i="9"/>
  <c r="AI171" i="9"/>
  <c r="AI172" i="9"/>
  <c r="AI173" i="9"/>
  <c r="AI174" i="9"/>
  <c r="AI175" i="9"/>
  <c r="AI176" i="9"/>
  <c r="AI177" i="9"/>
  <c r="AI178" i="9"/>
  <c r="AI179" i="9"/>
  <c r="AI180" i="9"/>
  <c r="AI181" i="9"/>
  <c r="AI182" i="9"/>
  <c r="AI183" i="9"/>
  <c r="AI184" i="9"/>
  <c r="AI185" i="9"/>
  <c r="AI186" i="9"/>
  <c r="AI187" i="9"/>
  <c r="AI188" i="9"/>
  <c r="AI189" i="9"/>
  <c r="AI190" i="9"/>
  <c r="AI191" i="9"/>
  <c r="AI192" i="9"/>
  <c r="AI193" i="9"/>
  <c r="AI194" i="9"/>
  <c r="AI195" i="9"/>
  <c r="AI196" i="9"/>
  <c r="AI197" i="9"/>
  <c r="AI198" i="9"/>
  <c r="AI199" i="9"/>
  <c r="AI200" i="9"/>
  <c r="AI201" i="9"/>
  <c r="AI202" i="9"/>
  <c r="AI203" i="9"/>
  <c r="AI204" i="9"/>
  <c r="AI205" i="9"/>
  <c r="AI206" i="9"/>
  <c r="AI207" i="9"/>
  <c r="AI208" i="9"/>
  <c r="AI209" i="9"/>
  <c r="AI210" i="9"/>
  <c r="AI211" i="9"/>
  <c r="AI212" i="9"/>
  <c r="AI213" i="9"/>
  <c r="AI214" i="9"/>
  <c r="AI215" i="9"/>
  <c r="AI216" i="9"/>
  <c r="AI217" i="9"/>
  <c r="AI218" i="9"/>
  <c r="AI219" i="9"/>
  <c r="AI220" i="9"/>
  <c r="AI221" i="9"/>
  <c r="AI222" i="9"/>
  <c r="AI223" i="9"/>
  <c r="AI224" i="9"/>
  <c r="AI225" i="9"/>
  <c r="AI226" i="9"/>
  <c r="AI227" i="9"/>
  <c r="AI228" i="9"/>
  <c r="AI229" i="9"/>
  <c r="AI230" i="9"/>
  <c r="AI231" i="9"/>
  <c r="AI232" i="9"/>
  <c r="AI233" i="9"/>
  <c r="AI234" i="9"/>
  <c r="AI235" i="9"/>
  <c r="AI236" i="9"/>
  <c r="AI237" i="9"/>
  <c r="AI238" i="9"/>
  <c r="AI239" i="9"/>
  <c r="AI240" i="9"/>
  <c r="AI241" i="9"/>
  <c r="AI242" i="9"/>
  <c r="AI243" i="9"/>
  <c r="AI244" i="9"/>
  <c r="AI245" i="9"/>
  <c r="AI246" i="9"/>
  <c r="AI247" i="9"/>
  <c r="AI248" i="9"/>
  <c r="AI249" i="9"/>
  <c r="AI250" i="9"/>
  <c r="AI251" i="9"/>
  <c r="AI252" i="9"/>
  <c r="AI253" i="9"/>
  <c r="AI254" i="9"/>
  <c r="AI255" i="9"/>
  <c r="AI256" i="9"/>
  <c r="AI257" i="9"/>
  <c r="AI258" i="9"/>
  <c r="AI259" i="9"/>
  <c r="AI260" i="9"/>
  <c r="AI261" i="9"/>
  <c r="AI262" i="9"/>
  <c r="AI263" i="9"/>
  <c r="AI264" i="9"/>
  <c r="AI265" i="9"/>
  <c r="AI266" i="9"/>
  <c r="AI267" i="9"/>
  <c r="AI268" i="9"/>
  <c r="AI269" i="9"/>
  <c r="AI270" i="9"/>
  <c r="AI271" i="9"/>
  <c r="AI272" i="9"/>
  <c r="AI273" i="9"/>
  <c r="AI274" i="9"/>
  <c r="AI275" i="9"/>
  <c r="AI276" i="9"/>
  <c r="AI277" i="9"/>
  <c r="AI278" i="9"/>
  <c r="AI279" i="9"/>
  <c r="AI280" i="9"/>
  <c r="AI281" i="9"/>
  <c r="AI282" i="9"/>
  <c r="AI283" i="9"/>
  <c r="AI284" i="9"/>
  <c r="AI285" i="9"/>
  <c r="AI286" i="9"/>
  <c r="AI287" i="9"/>
  <c r="AI288" i="9"/>
  <c r="AI289" i="9"/>
  <c r="AI290" i="9"/>
  <c r="AI291" i="9"/>
  <c r="AI292" i="9"/>
  <c r="AI293" i="9"/>
  <c r="AI294" i="9"/>
  <c r="AI295" i="9"/>
  <c r="AI296" i="9"/>
  <c r="AI297" i="9"/>
  <c r="AI298" i="9"/>
  <c r="AI299" i="9"/>
  <c r="AI300" i="9"/>
  <c r="AI301" i="9"/>
  <c r="AI302" i="9"/>
  <c r="AI303" i="9"/>
  <c r="AI304" i="9"/>
  <c r="AI305" i="9"/>
  <c r="AI306" i="9"/>
  <c r="AI307" i="9"/>
  <c r="AI308" i="9"/>
  <c r="AI309" i="9"/>
  <c r="AI310" i="9"/>
  <c r="AI311" i="9"/>
  <c r="AI312" i="9"/>
  <c r="AI313" i="9"/>
  <c r="AI314" i="9"/>
  <c r="AI315" i="9"/>
  <c r="AI316" i="9"/>
  <c r="AI317" i="9"/>
  <c r="AI318" i="9"/>
  <c r="AI319" i="9"/>
  <c r="AI320" i="9"/>
  <c r="AI321" i="9"/>
  <c r="AI322" i="9"/>
  <c r="AI323" i="9"/>
  <c r="AI324" i="9"/>
  <c r="AI325" i="9"/>
  <c r="AI326" i="9"/>
  <c r="AI327" i="9"/>
  <c r="AI328" i="9"/>
  <c r="AI329" i="9"/>
  <c r="AI330" i="9"/>
  <c r="AI331" i="9"/>
  <c r="AI332" i="9"/>
  <c r="AI333" i="9"/>
  <c r="AI334" i="9"/>
  <c r="AI335" i="9"/>
  <c r="AI336" i="9"/>
  <c r="AI337" i="9"/>
  <c r="AI338" i="9"/>
  <c r="AI339" i="9"/>
  <c r="AI340" i="9"/>
  <c r="AI341" i="9"/>
  <c r="AI342" i="9"/>
  <c r="AI343" i="9"/>
  <c r="AI344" i="9"/>
  <c r="AI345" i="9"/>
  <c r="AI346" i="9"/>
  <c r="AI347" i="9"/>
  <c r="AI348" i="9"/>
  <c r="AI349" i="9"/>
  <c r="AI350" i="9"/>
  <c r="AI351" i="9"/>
  <c r="AI352" i="9"/>
  <c r="AI353" i="9"/>
  <c r="AI354" i="9"/>
  <c r="AI355" i="9"/>
  <c r="AI356" i="9"/>
  <c r="AI357" i="9"/>
  <c r="AI358" i="9"/>
  <c r="AI359" i="9"/>
  <c r="AI360" i="9"/>
  <c r="AI361" i="9"/>
  <c r="AI362" i="9"/>
  <c r="AI363" i="9"/>
  <c r="AI364" i="9"/>
  <c r="AI365" i="9"/>
  <c r="AI366" i="9"/>
  <c r="AI367" i="9"/>
  <c r="AI368" i="9"/>
  <c r="AI369" i="9"/>
  <c r="AI370" i="9"/>
  <c r="AI371" i="9"/>
  <c r="AI372" i="9"/>
  <c r="AI373" i="9"/>
  <c r="AI374" i="9"/>
  <c r="AI375" i="9"/>
  <c r="AI376" i="9"/>
  <c r="AI377" i="9"/>
  <c r="AI378" i="9"/>
  <c r="AI379" i="9"/>
  <c r="AI380" i="9"/>
  <c r="AI381" i="9"/>
  <c r="AI382" i="9"/>
  <c r="AI383" i="9"/>
  <c r="AI384" i="9"/>
  <c r="AI385" i="9"/>
  <c r="AI386" i="9"/>
  <c r="AI387" i="9"/>
  <c r="AI388" i="9"/>
  <c r="AI389" i="9"/>
  <c r="AI390" i="9"/>
  <c r="AI391" i="9"/>
  <c r="AI392" i="9"/>
  <c r="AI393" i="9"/>
  <c r="AI394" i="9"/>
  <c r="AI395" i="9"/>
  <c r="AI396" i="9"/>
  <c r="AI397" i="9"/>
  <c r="AI398" i="9"/>
  <c r="AI399" i="9"/>
  <c r="AI400" i="9"/>
  <c r="AI401" i="9"/>
  <c r="AI402" i="9"/>
  <c r="AI403" i="9"/>
  <c r="AI404" i="9"/>
  <c r="AI405" i="9"/>
  <c r="AI406" i="9"/>
  <c r="AI407" i="9"/>
  <c r="AI408" i="9"/>
  <c r="AI409" i="9"/>
  <c r="AI410" i="9"/>
  <c r="AI411" i="9"/>
  <c r="AI412" i="9"/>
  <c r="AI413" i="9"/>
  <c r="AI414" i="9"/>
  <c r="AI415" i="9"/>
  <c r="AI416" i="9"/>
  <c r="AI417" i="9"/>
  <c r="AI418" i="9"/>
  <c r="AI419" i="9"/>
  <c r="AI420" i="9"/>
  <c r="AI421" i="9"/>
  <c r="AI422" i="9"/>
  <c r="AI423" i="9"/>
  <c r="AI424" i="9"/>
  <c r="AI425" i="9"/>
  <c r="AI426" i="9"/>
  <c r="AI427" i="9"/>
  <c r="AI428" i="9"/>
  <c r="AI429" i="9"/>
  <c r="AI430" i="9"/>
  <c r="AI431" i="9"/>
  <c r="AI432" i="9"/>
  <c r="AI433" i="9"/>
  <c r="AI434" i="9"/>
  <c r="AI435" i="9"/>
  <c r="AI436" i="9"/>
  <c r="AI437" i="9"/>
  <c r="AI438" i="9"/>
  <c r="AI439" i="9"/>
  <c r="AI440" i="9"/>
  <c r="AI441" i="9"/>
  <c r="AI442" i="9"/>
  <c r="AI443" i="9"/>
  <c r="AI444" i="9"/>
  <c r="AI445" i="9"/>
  <c r="AI446" i="9"/>
  <c r="AI447" i="9"/>
  <c r="AI448" i="9"/>
  <c r="AI449" i="9"/>
  <c r="AI450" i="9"/>
  <c r="AI451" i="9"/>
  <c r="AI452" i="9"/>
  <c r="AI453" i="9"/>
  <c r="AI454" i="9"/>
  <c r="AI455" i="9"/>
  <c r="AI456" i="9"/>
  <c r="AI457" i="9"/>
  <c r="AI458" i="9"/>
  <c r="AI459" i="9"/>
  <c r="AI460" i="9"/>
  <c r="AI461" i="9"/>
  <c r="AI462" i="9"/>
  <c r="AI463" i="9"/>
  <c r="AI464" i="9"/>
  <c r="AI465" i="9"/>
  <c r="AI466" i="9"/>
  <c r="AI467" i="9"/>
  <c r="AI468" i="9"/>
  <c r="AI469" i="9"/>
  <c r="AI470" i="9"/>
  <c r="AI471" i="9"/>
  <c r="AI472" i="9"/>
  <c r="AI473" i="9"/>
  <c r="AI474" i="9"/>
  <c r="AI475" i="9"/>
  <c r="AI476" i="9"/>
  <c r="AI477" i="9"/>
  <c r="AI478" i="9"/>
  <c r="AI479" i="9"/>
  <c r="AI480" i="9"/>
  <c r="AI481" i="9"/>
  <c r="AI482" i="9"/>
  <c r="AI483" i="9"/>
  <c r="AI484" i="9"/>
  <c r="AI485" i="9"/>
  <c r="AI486" i="9"/>
  <c r="AI487" i="9"/>
  <c r="AI488" i="9"/>
  <c r="AI489" i="9"/>
  <c r="AI490" i="9"/>
  <c r="AI491" i="9"/>
  <c r="AI492" i="9"/>
  <c r="AI493" i="9"/>
  <c r="AI494" i="9"/>
  <c r="AI495" i="9"/>
  <c r="AI496" i="9"/>
  <c r="AI497" i="9"/>
  <c r="AI498" i="9"/>
  <c r="AI499" i="9"/>
  <c r="AI500" i="9"/>
  <c r="AI501" i="9"/>
  <c r="AI502" i="9"/>
  <c r="AI503" i="9"/>
  <c r="AI504" i="9"/>
  <c r="AI505" i="9"/>
  <c r="AI506" i="9"/>
  <c r="AI507" i="9"/>
  <c r="AI508" i="9"/>
  <c r="AI509" i="9"/>
  <c r="AI510" i="9"/>
  <c r="AI511" i="9"/>
  <c r="AI512" i="9"/>
  <c r="AI513" i="9"/>
  <c r="AI514" i="9"/>
  <c r="AI515" i="9"/>
  <c r="AI516" i="9"/>
  <c r="AI517" i="9"/>
  <c r="AI518" i="9"/>
  <c r="AI519" i="9"/>
  <c r="AI520" i="9"/>
  <c r="AI521" i="9"/>
  <c r="AI522" i="9"/>
  <c r="AI523" i="9"/>
  <c r="AI524" i="9"/>
  <c r="AI525" i="9"/>
  <c r="AI526" i="9"/>
  <c r="AI527" i="9"/>
  <c r="AI528" i="9"/>
  <c r="AI529" i="9"/>
  <c r="AI530" i="9"/>
  <c r="AI531" i="9"/>
  <c r="AI532" i="9"/>
  <c r="AI533" i="9"/>
  <c r="AI534" i="9"/>
  <c r="AI535" i="9"/>
  <c r="AI536" i="9"/>
  <c r="AI537" i="9"/>
  <c r="AI538" i="9"/>
  <c r="AI539" i="9"/>
  <c r="AI540" i="9"/>
  <c r="AI541" i="9"/>
  <c r="AI542" i="9"/>
  <c r="AI543" i="9"/>
  <c r="AI544" i="9"/>
  <c r="AI545" i="9"/>
  <c r="AI546" i="9"/>
  <c r="AI547" i="9"/>
  <c r="AI548" i="9"/>
  <c r="AI549" i="9"/>
  <c r="AI550" i="9"/>
  <c r="AI551" i="9"/>
  <c r="AI552" i="9"/>
  <c r="AI553" i="9"/>
  <c r="AI554" i="9"/>
  <c r="AI555" i="9"/>
  <c r="AI556" i="9"/>
  <c r="AI557" i="9"/>
  <c r="AI558" i="9"/>
  <c r="AI559" i="9"/>
  <c r="AI560" i="9"/>
  <c r="AI561" i="9"/>
  <c r="AI562" i="9"/>
  <c r="AI563" i="9"/>
  <c r="AI564" i="9"/>
  <c r="AI565" i="9"/>
  <c r="AI566" i="9"/>
  <c r="AI567" i="9"/>
  <c r="AI568" i="9"/>
  <c r="AI569" i="9"/>
  <c r="AI570" i="9"/>
  <c r="AI571" i="9"/>
  <c r="AI572" i="9"/>
  <c r="AI573" i="9"/>
  <c r="AI574" i="9"/>
  <c r="AI575" i="9"/>
  <c r="AI576" i="9"/>
  <c r="AI577" i="9"/>
  <c r="AI578" i="9"/>
  <c r="AI579" i="9"/>
  <c r="AI580" i="9"/>
  <c r="AI581" i="9"/>
  <c r="AI582" i="9"/>
  <c r="AI583" i="9"/>
  <c r="AI584" i="9"/>
  <c r="AI585" i="9"/>
  <c r="AI586" i="9"/>
  <c r="AI587" i="9"/>
  <c r="AI588" i="9"/>
  <c r="AI589" i="9"/>
  <c r="AI590" i="9"/>
  <c r="AI591" i="9"/>
  <c r="AI592" i="9"/>
  <c r="AI593" i="9"/>
  <c r="AI594" i="9"/>
  <c r="AI595" i="9"/>
  <c r="AI596" i="9"/>
  <c r="AI597" i="9"/>
  <c r="AI598" i="9"/>
  <c r="AI599" i="9"/>
  <c r="AI600" i="9"/>
  <c r="AI601" i="9"/>
  <c r="AI602" i="9"/>
  <c r="AI603" i="9"/>
  <c r="AI604" i="9"/>
  <c r="AI605" i="9"/>
  <c r="AI606" i="9"/>
  <c r="AI607" i="9"/>
  <c r="AI608" i="9"/>
  <c r="AI609" i="9"/>
  <c r="AI610" i="9"/>
  <c r="AI611" i="9"/>
  <c r="AI612" i="9"/>
  <c r="AI613" i="9"/>
  <c r="AI614" i="9"/>
  <c r="AI615" i="9"/>
  <c r="AI616" i="9"/>
  <c r="AI617" i="9"/>
  <c r="AI618" i="9"/>
  <c r="AI619" i="9"/>
  <c r="AI620" i="9"/>
  <c r="AI621" i="9"/>
  <c r="AI622" i="9"/>
  <c r="AI623" i="9"/>
  <c r="AI624" i="9"/>
  <c r="AI625" i="9"/>
  <c r="AI626" i="9"/>
  <c r="AI627" i="9"/>
  <c r="AI628" i="9"/>
  <c r="AI629" i="9"/>
  <c r="AI630" i="9"/>
  <c r="AI631" i="9"/>
  <c r="AI632" i="9"/>
  <c r="AI633" i="9"/>
  <c r="AI634" i="9"/>
  <c r="AI635" i="9"/>
  <c r="AI636" i="9"/>
  <c r="AI637" i="9"/>
  <c r="AI638" i="9"/>
  <c r="AI639" i="9"/>
  <c r="AI640" i="9"/>
  <c r="AI641" i="9"/>
  <c r="AI642" i="9"/>
  <c r="AI643" i="9"/>
  <c r="AI644" i="9"/>
  <c r="AI645" i="9"/>
  <c r="AI646" i="9"/>
  <c r="AI647" i="9"/>
  <c r="AI648" i="9"/>
  <c r="AI649" i="9"/>
  <c r="AI650" i="9"/>
  <c r="AI651" i="9"/>
  <c r="AI652" i="9"/>
  <c r="AI653" i="9"/>
  <c r="AI654" i="9"/>
  <c r="AI655" i="9"/>
  <c r="AI656" i="9"/>
  <c r="AI657" i="9"/>
  <c r="AI658" i="9"/>
  <c r="AI659" i="9"/>
  <c r="AI660" i="9"/>
  <c r="AI661" i="9"/>
  <c r="AI662" i="9"/>
  <c r="AI663" i="9"/>
  <c r="AI664" i="9"/>
  <c r="AI665" i="9"/>
  <c r="AI666" i="9"/>
  <c r="AI667" i="9"/>
  <c r="AI668" i="9"/>
  <c r="AI669" i="9"/>
  <c r="AI670" i="9"/>
  <c r="AI671" i="9"/>
  <c r="AI672" i="9"/>
  <c r="AI673" i="9"/>
  <c r="AI674" i="9"/>
  <c r="AI675" i="9"/>
  <c r="AI676" i="9"/>
  <c r="AI677" i="9"/>
  <c r="AI678" i="9"/>
  <c r="AI679" i="9"/>
  <c r="AI680" i="9"/>
  <c r="AI681" i="9"/>
  <c r="AI682" i="9"/>
  <c r="AI683" i="9"/>
  <c r="AI684" i="9"/>
  <c r="AI685" i="9"/>
  <c r="AI686" i="9"/>
  <c r="AI687" i="9"/>
  <c r="AI688" i="9"/>
  <c r="AI689" i="9"/>
  <c r="AI690" i="9"/>
  <c r="AI691" i="9"/>
  <c r="AI692" i="9"/>
  <c r="AI693" i="9"/>
  <c r="AI694" i="9"/>
  <c r="AI695" i="9"/>
  <c r="AI696" i="9"/>
  <c r="AI697" i="9"/>
  <c r="AI698" i="9"/>
  <c r="AI699" i="9"/>
  <c r="AI700" i="9"/>
  <c r="AI701" i="9"/>
  <c r="AI702" i="9"/>
  <c r="AI703" i="9"/>
  <c r="AI704" i="9"/>
  <c r="AI705" i="9"/>
  <c r="AI706" i="9"/>
  <c r="AI707" i="9"/>
  <c r="AI708" i="9"/>
  <c r="AI709" i="9"/>
  <c r="AI710" i="9"/>
  <c r="AI711" i="9"/>
  <c r="AI712" i="9"/>
  <c r="AI713" i="9"/>
  <c r="AI714" i="9"/>
  <c r="AI715" i="9"/>
  <c r="AI716" i="9"/>
  <c r="AI717" i="9"/>
  <c r="AI718" i="9"/>
  <c r="AI719" i="9"/>
  <c r="AI720" i="9"/>
  <c r="AI721" i="9"/>
  <c r="AI722" i="9"/>
  <c r="AI723" i="9"/>
  <c r="AI724" i="9"/>
  <c r="AI725" i="9"/>
  <c r="AI726" i="9"/>
  <c r="AI727" i="9"/>
  <c r="AI728" i="9"/>
  <c r="AI729" i="9"/>
  <c r="AI730" i="9"/>
  <c r="AI731" i="9"/>
  <c r="AI732" i="9"/>
  <c r="AI733" i="9"/>
  <c r="AI734" i="9"/>
  <c r="AI735" i="9"/>
  <c r="AI736" i="9"/>
  <c r="AI737" i="9"/>
  <c r="AI738" i="9"/>
  <c r="AI739" i="9"/>
  <c r="AI740" i="9"/>
  <c r="AI741" i="9"/>
  <c r="AI742" i="9"/>
  <c r="AI743" i="9"/>
  <c r="AI744" i="9"/>
  <c r="AI745" i="9"/>
  <c r="AI746" i="9"/>
  <c r="AI747" i="9"/>
  <c r="AI748" i="9"/>
  <c r="AI749" i="9"/>
  <c r="AI750" i="9"/>
  <c r="AI751" i="9"/>
  <c r="AI752" i="9"/>
  <c r="AI753" i="9"/>
  <c r="AI754" i="9"/>
  <c r="AI755" i="9"/>
  <c r="AI756" i="9"/>
  <c r="AI757" i="9"/>
  <c r="AI758" i="9"/>
  <c r="AI759" i="9"/>
  <c r="AI760" i="9"/>
  <c r="AI761" i="9"/>
  <c r="AI762" i="9"/>
  <c r="AI763" i="9"/>
  <c r="AI764" i="9"/>
  <c r="AI765" i="9"/>
  <c r="AI766" i="9"/>
  <c r="AI767" i="9"/>
  <c r="AI768" i="9"/>
  <c r="AI769" i="9"/>
  <c r="AI770" i="9"/>
  <c r="AI771" i="9"/>
  <c r="AI772" i="9"/>
  <c r="AI773" i="9"/>
  <c r="AI774" i="9"/>
  <c r="AI775" i="9"/>
  <c r="AI776" i="9"/>
  <c r="AI777" i="9"/>
  <c r="AI778" i="9"/>
  <c r="AI779" i="9"/>
  <c r="AI780" i="9"/>
  <c r="AI781" i="9"/>
  <c r="AI782" i="9"/>
  <c r="AI783" i="9"/>
  <c r="AI784" i="9"/>
  <c r="AI785" i="9"/>
  <c r="AI786" i="9"/>
  <c r="AI787" i="9"/>
  <c r="AI788" i="9"/>
  <c r="AI789" i="9"/>
  <c r="AI790" i="9"/>
  <c r="AI791" i="9"/>
  <c r="AI792" i="9"/>
  <c r="AI793" i="9"/>
  <c r="AI794" i="9"/>
  <c r="AI795" i="9"/>
  <c r="AI796" i="9"/>
  <c r="AI797" i="9"/>
  <c r="AI798" i="9"/>
  <c r="AI799" i="9"/>
  <c r="AI800" i="9"/>
  <c r="AI801" i="9"/>
  <c r="AI802" i="9"/>
  <c r="AI803" i="9"/>
  <c r="AI804" i="9"/>
  <c r="AI805" i="9"/>
  <c r="AI806" i="9"/>
  <c r="AI807" i="9"/>
  <c r="AI808" i="9"/>
  <c r="AI809" i="9"/>
  <c r="AI810" i="9"/>
  <c r="AI811" i="9"/>
  <c r="AI812" i="9"/>
  <c r="AI813" i="9"/>
  <c r="AI814" i="9"/>
  <c r="AI815" i="9"/>
  <c r="AI816" i="9"/>
  <c r="AI817" i="9"/>
  <c r="AI818" i="9"/>
  <c r="AI819" i="9"/>
  <c r="AI820" i="9"/>
  <c r="AI821" i="9"/>
  <c r="AI822" i="9"/>
  <c r="AI823" i="9"/>
  <c r="AI824" i="9"/>
  <c r="AI825" i="9"/>
  <c r="AI826" i="9"/>
  <c r="AI827" i="9"/>
  <c r="AI828" i="9"/>
  <c r="AI829" i="9"/>
  <c r="AI830" i="9"/>
  <c r="AI831" i="9"/>
  <c r="AI832" i="9"/>
  <c r="AI833" i="9"/>
  <c r="AI834" i="9"/>
  <c r="AI835" i="9"/>
  <c r="AI836" i="9"/>
  <c r="AI837" i="9"/>
  <c r="AI838" i="9"/>
  <c r="AI839" i="9"/>
  <c r="AI840" i="9"/>
  <c r="AI841" i="9"/>
  <c r="AI842" i="9"/>
  <c r="AI843" i="9"/>
  <c r="AI844" i="9"/>
  <c r="AI845" i="9"/>
  <c r="AI846" i="9"/>
  <c r="AI847" i="9"/>
  <c r="AI848" i="9"/>
  <c r="AI849" i="9"/>
  <c r="AI850" i="9"/>
  <c r="AI851" i="9"/>
  <c r="AI852" i="9"/>
  <c r="AI853" i="9"/>
  <c r="AI854" i="9"/>
  <c r="AI855" i="9"/>
  <c r="AI856" i="9"/>
  <c r="AI857" i="9"/>
  <c r="AI858" i="9"/>
  <c r="AI859" i="9"/>
  <c r="AI860" i="9"/>
  <c r="AI861" i="9"/>
  <c r="AI862" i="9"/>
  <c r="AI863" i="9"/>
  <c r="AI864" i="9"/>
  <c r="AI865" i="9"/>
  <c r="AI866" i="9"/>
  <c r="AI867" i="9"/>
  <c r="AI868" i="9"/>
  <c r="AI869" i="9"/>
  <c r="AI870" i="9"/>
  <c r="AI871" i="9"/>
  <c r="AI872" i="9"/>
  <c r="AI873" i="9"/>
  <c r="AI874" i="9"/>
  <c r="AI875" i="9"/>
  <c r="AI876" i="9"/>
  <c r="AI877" i="9"/>
  <c r="AI878" i="9"/>
  <c r="AI879" i="9"/>
  <c r="AI880" i="9"/>
  <c r="AI881" i="9"/>
  <c r="AI882" i="9"/>
  <c r="AI883" i="9"/>
  <c r="AI884" i="9"/>
  <c r="AI885" i="9"/>
  <c r="AI886" i="9"/>
  <c r="AI887" i="9"/>
  <c r="AI888" i="9"/>
  <c r="AI889" i="9"/>
  <c r="AI890" i="9"/>
  <c r="AI891" i="9"/>
  <c r="AI892" i="9"/>
  <c r="AI893" i="9"/>
  <c r="AI894" i="9"/>
  <c r="AI895" i="9"/>
  <c r="AI896" i="9"/>
  <c r="AI897" i="9"/>
  <c r="AI898" i="9"/>
  <c r="AI899" i="9"/>
  <c r="AI900" i="9"/>
  <c r="AI901" i="9"/>
  <c r="AI902" i="9"/>
  <c r="AI903" i="9"/>
  <c r="AI904" i="9"/>
  <c r="AI905" i="9"/>
  <c r="AI906" i="9"/>
  <c r="AI907" i="9"/>
  <c r="AI908" i="9"/>
  <c r="AI909" i="9"/>
  <c r="AI910" i="9"/>
  <c r="AI911" i="9"/>
  <c r="AI912" i="9"/>
  <c r="AI913" i="9"/>
  <c r="AI914" i="9"/>
  <c r="AI915" i="9"/>
  <c r="AI916" i="9"/>
  <c r="AI917" i="9"/>
  <c r="AI918" i="9"/>
  <c r="AI919" i="9"/>
  <c r="AI920" i="9"/>
  <c r="AI921" i="9"/>
  <c r="AI922" i="9"/>
  <c r="AI923" i="9"/>
  <c r="AI924" i="9"/>
  <c r="AI925" i="9"/>
  <c r="AI926" i="9"/>
  <c r="AI927" i="9"/>
  <c r="AI928" i="9"/>
  <c r="AI929" i="9"/>
  <c r="AI930" i="9"/>
  <c r="AI931" i="9"/>
  <c r="AI932" i="9"/>
  <c r="AI933" i="9"/>
  <c r="AI934" i="9"/>
  <c r="AI935" i="9"/>
  <c r="AI936" i="9"/>
  <c r="AI937" i="9"/>
  <c r="AI938" i="9"/>
  <c r="AI939" i="9"/>
  <c r="AI940" i="9"/>
  <c r="AI941" i="9"/>
  <c r="AI942" i="9"/>
  <c r="AI943" i="9"/>
  <c r="AI944" i="9"/>
  <c r="AI945" i="9"/>
  <c r="AI946" i="9"/>
  <c r="AI947" i="9"/>
  <c r="AI948" i="9"/>
  <c r="AI949" i="9"/>
  <c r="AI950" i="9"/>
  <c r="AI951" i="9"/>
  <c r="AI952" i="9"/>
  <c r="AI953" i="9"/>
  <c r="AI954" i="9"/>
  <c r="AI955" i="9"/>
  <c r="AI956" i="9"/>
  <c r="AI957" i="9"/>
  <c r="AI958" i="9"/>
  <c r="AI959" i="9"/>
  <c r="AI960" i="9"/>
  <c r="AI961" i="9"/>
  <c r="AI962" i="9"/>
  <c r="AI963" i="9"/>
  <c r="AI964" i="9"/>
  <c r="AI965" i="9"/>
  <c r="AI966" i="9"/>
  <c r="AI967" i="9"/>
  <c r="AI968" i="9"/>
  <c r="AI969" i="9"/>
  <c r="AI970" i="9"/>
  <c r="AI971" i="9"/>
  <c r="AI972" i="9"/>
  <c r="AI973" i="9"/>
  <c r="AI974" i="9"/>
  <c r="AI975" i="9"/>
  <c r="AI976" i="9"/>
  <c r="AI977" i="9"/>
  <c r="AI978" i="9"/>
  <c r="AI979" i="9"/>
  <c r="AI980" i="9"/>
  <c r="AI981" i="9"/>
  <c r="AI982" i="9"/>
  <c r="AI983" i="9"/>
  <c r="AI984" i="9"/>
  <c r="AI985" i="9"/>
  <c r="AI986" i="9"/>
  <c r="AI987" i="9"/>
  <c r="AI988" i="9"/>
  <c r="AI989" i="9"/>
  <c r="AI990" i="9"/>
  <c r="AI991" i="9"/>
  <c r="AI992" i="9"/>
  <c r="AI993" i="9"/>
  <c r="AI994" i="9"/>
  <c r="AI995" i="9"/>
  <c r="AI996" i="9"/>
  <c r="AI997" i="9"/>
  <c r="AI998" i="9"/>
  <c r="AI999" i="9"/>
  <c r="AI1000" i="9"/>
  <c r="AI1001" i="9"/>
  <c r="W4" i="9"/>
  <c r="W6" i="9"/>
  <c r="W8" i="9"/>
  <c r="W9" i="9"/>
  <c r="W10" i="9"/>
  <c r="W11" i="9"/>
  <c r="W13" i="9"/>
  <c r="W17" i="9"/>
  <c r="W18" i="9"/>
  <c r="W19" i="9"/>
  <c r="W21" i="9"/>
  <c r="W22" i="9"/>
  <c r="W23" i="9"/>
  <c r="W24" i="9"/>
  <c r="W25" i="9"/>
  <c r="W26" i="9"/>
  <c r="W27" i="9"/>
  <c r="W29" i="9"/>
  <c r="W30" i="9"/>
  <c r="W32" i="9"/>
  <c r="W33" i="9"/>
  <c r="W34" i="9"/>
  <c r="W36" i="9"/>
  <c r="W37" i="9"/>
  <c r="W38" i="9"/>
  <c r="W39" i="9"/>
  <c r="W40" i="9"/>
  <c r="W42" i="9"/>
  <c r="W43" i="9"/>
  <c r="W44" i="9"/>
  <c r="W46" i="9"/>
  <c r="W48" i="9"/>
  <c r="W49" i="9"/>
  <c r="W50" i="9"/>
  <c r="W52" i="9"/>
  <c r="W54" i="9"/>
  <c r="W55" i="9"/>
  <c r="W56" i="9"/>
  <c r="W57" i="9"/>
  <c r="W58" i="9"/>
  <c r="W59" i="9"/>
  <c r="W60" i="9"/>
  <c r="W61" i="9"/>
  <c r="W62" i="9"/>
  <c r="W64" i="9"/>
  <c r="W65" i="9"/>
  <c r="W66" i="9"/>
  <c r="W69" i="9"/>
  <c r="W70" i="9"/>
  <c r="W72" i="9"/>
  <c r="W75" i="9"/>
  <c r="W76" i="9"/>
  <c r="W77" i="9"/>
  <c r="W80" i="9"/>
  <c r="W83" i="9"/>
  <c r="W84" i="9"/>
  <c r="W85" i="9"/>
  <c r="W87" i="9"/>
  <c r="W89" i="9"/>
  <c r="W90" i="9"/>
  <c r="W91" i="9"/>
  <c r="W92" i="9"/>
  <c r="W93" i="9"/>
  <c r="W94" i="9"/>
  <c r="W96" i="9"/>
  <c r="W97" i="9"/>
  <c r="W98" i="9"/>
  <c r="W102" i="9"/>
  <c r="W104" i="9"/>
  <c r="W105" i="9"/>
  <c r="W106" i="9"/>
  <c r="W107" i="9"/>
  <c r="W108" i="9"/>
  <c r="W109" i="9"/>
  <c r="W110" i="9"/>
  <c r="W111" i="9"/>
  <c r="W114" i="9"/>
  <c r="W115" i="9"/>
  <c r="W116" i="9"/>
  <c r="W117" i="9"/>
  <c r="W118" i="9"/>
  <c r="W119" i="9"/>
  <c r="W120" i="9"/>
  <c r="W122" i="9"/>
  <c r="W123" i="9"/>
  <c r="W124" i="9"/>
  <c r="W125" i="9"/>
  <c r="W126" i="9"/>
  <c r="W129" i="9"/>
  <c r="W130" i="9"/>
  <c r="W131" i="9"/>
  <c r="W132" i="9"/>
  <c r="W133" i="9"/>
  <c r="W137" i="9"/>
  <c r="W138" i="9"/>
  <c r="W140" i="9"/>
  <c r="W142" i="9"/>
  <c r="W144" i="9"/>
  <c r="W145" i="9"/>
  <c r="W147" i="9"/>
  <c r="W148" i="9"/>
  <c r="W149" i="9"/>
  <c r="W152" i="9"/>
  <c r="W153" i="9"/>
  <c r="W154" i="9"/>
  <c r="W155" i="9"/>
  <c r="W158" i="9"/>
  <c r="W159" i="9"/>
  <c r="W160" i="9"/>
  <c r="W162" i="9"/>
  <c r="W165" i="9"/>
  <c r="W166" i="9"/>
  <c r="W167" i="9"/>
  <c r="W168" i="9"/>
  <c r="W169" i="9"/>
  <c r="W170" i="9"/>
  <c r="W171" i="9"/>
  <c r="W173" i="9"/>
  <c r="W174" i="9"/>
  <c r="W175" i="9"/>
  <c r="W176" i="9"/>
  <c r="W177" i="9"/>
  <c r="W179" i="9"/>
  <c r="W180" i="9"/>
  <c r="W182" i="9"/>
  <c r="W183" i="9"/>
  <c r="W184" i="9"/>
  <c r="W185" i="9"/>
  <c r="W186" i="9"/>
  <c r="W187" i="9"/>
  <c r="W188" i="9"/>
  <c r="W189" i="9"/>
  <c r="W191" i="9"/>
  <c r="W193" i="9"/>
  <c r="W195" i="9"/>
  <c r="W197" i="9"/>
  <c r="W199" i="9"/>
  <c r="W200" i="9"/>
  <c r="W202" i="9"/>
  <c r="W204" i="9"/>
  <c r="W205" i="9"/>
  <c r="W206" i="9"/>
  <c r="W207" i="9"/>
  <c r="W209" i="9"/>
  <c r="W210" i="9"/>
  <c r="W212" i="9"/>
  <c r="W213" i="9"/>
  <c r="W214" i="9"/>
  <c r="W215" i="9"/>
  <c r="W216" i="9"/>
  <c r="W218" i="9"/>
  <c r="W219" i="9"/>
  <c r="W220" i="9"/>
  <c r="W222" i="9"/>
  <c r="W223" i="9"/>
  <c r="W224" i="9"/>
  <c r="W225" i="9"/>
  <c r="W226" i="9"/>
  <c r="W227" i="9"/>
  <c r="W228" i="9"/>
  <c r="W229" i="9"/>
  <c r="W231" i="9"/>
  <c r="W234" i="9"/>
  <c r="W235" i="9"/>
  <c r="W237" i="9"/>
  <c r="W238" i="9"/>
  <c r="W240" i="9"/>
  <c r="W241" i="9"/>
  <c r="W242" i="9"/>
  <c r="W243" i="9"/>
  <c r="W244" i="9"/>
  <c r="W245" i="9"/>
  <c r="W246" i="9"/>
  <c r="W247" i="9"/>
  <c r="W248" i="9"/>
  <c r="W251" i="9"/>
  <c r="W252" i="9"/>
  <c r="W254" i="9"/>
  <c r="W255" i="9"/>
  <c r="W258" i="9"/>
  <c r="W259" i="9"/>
  <c r="W260" i="9"/>
  <c r="W261" i="9"/>
  <c r="W262" i="9"/>
  <c r="W263" i="9"/>
  <c r="W264" i="9"/>
  <c r="W265" i="9"/>
  <c r="W266" i="9"/>
  <c r="W267" i="9"/>
  <c r="W268" i="9"/>
  <c r="W270" i="9"/>
  <c r="W271" i="9"/>
  <c r="W272" i="9"/>
  <c r="W273" i="9"/>
  <c r="W275" i="9"/>
  <c r="W276" i="9"/>
  <c r="W277" i="9"/>
  <c r="W278" i="9"/>
  <c r="W279" i="9"/>
  <c r="W280" i="9"/>
  <c r="W281" i="9"/>
  <c r="W282" i="9"/>
  <c r="W284" i="9"/>
  <c r="W285" i="9"/>
  <c r="W286" i="9"/>
  <c r="W287" i="9"/>
  <c r="W289" i="9"/>
  <c r="W291" i="9"/>
  <c r="W292" i="9"/>
  <c r="W293" i="9"/>
  <c r="W295" i="9"/>
  <c r="W296" i="9"/>
  <c r="W297" i="9"/>
  <c r="W298" i="9"/>
  <c r="W299" i="9"/>
  <c r="W300" i="9"/>
  <c r="W302" i="9"/>
  <c r="W303" i="9"/>
  <c r="W304" i="9"/>
  <c r="W305" i="9"/>
  <c r="W306" i="9"/>
  <c r="W307" i="9"/>
  <c r="W308" i="9"/>
  <c r="W309" i="9"/>
  <c r="W310" i="9"/>
  <c r="W311" i="9"/>
  <c r="W314" i="9"/>
  <c r="W315" i="9"/>
  <c r="W318" i="9"/>
  <c r="W320" i="9"/>
  <c r="W321" i="9"/>
  <c r="W323" i="9"/>
  <c r="W324" i="9"/>
  <c r="W327" i="9"/>
  <c r="W329" i="9"/>
  <c r="W331" i="9"/>
  <c r="W334" i="9"/>
  <c r="W335" i="9"/>
  <c r="W336" i="9"/>
  <c r="W338" i="9"/>
  <c r="W339" i="9"/>
  <c r="W340" i="9"/>
  <c r="W341" i="9"/>
  <c r="W342" i="9"/>
  <c r="W343" i="9"/>
  <c r="W344" i="9"/>
  <c r="W347" i="9"/>
  <c r="W348" i="9"/>
  <c r="W349" i="9"/>
  <c r="W350" i="9"/>
  <c r="W351" i="9"/>
  <c r="W352" i="9"/>
  <c r="W353" i="9"/>
  <c r="W354" i="9"/>
  <c r="W358" i="9"/>
  <c r="W360" i="9"/>
  <c r="W361" i="9"/>
  <c r="W362" i="9"/>
  <c r="W363" i="9"/>
  <c r="W364" i="9"/>
  <c r="W365" i="9"/>
  <c r="W366" i="9"/>
  <c r="W367" i="9"/>
  <c r="W368" i="9"/>
  <c r="W369" i="9"/>
  <c r="W370" i="9"/>
  <c r="W371" i="9"/>
  <c r="W374" i="9"/>
  <c r="W375" i="9"/>
  <c r="W376" i="9"/>
  <c r="W377" i="9"/>
  <c r="W378" i="9"/>
  <c r="W379" i="9"/>
  <c r="W382" i="9"/>
  <c r="W383" i="9"/>
  <c r="W385" i="9"/>
  <c r="W386" i="9"/>
  <c r="W387" i="9"/>
  <c r="W389" i="9"/>
  <c r="W390" i="9"/>
  <c r="W391" i="9"/>
  <c r="W393" i="9"/>
  <c r="W396" i="9"/>
  <c r="W398" i="9"/>
  <c r="W399" i="9"/>
  <c r="W400" i="9"/>
  <c r="W401" i="9"/>
  <c r="W402" i="9"/>
  <c r="W403" i="9"/>
  <c r="W404" i="9"/>
  <c r="W405" i="9"/>
  <c r="W407" i="9"/>
  <c r="W410" i="9"/>
  <c r="W411" i="9"/>
  <c r="W412" i="9"/>
  <c r="W413" i="9"/>
  <c r="W414" i="9"/>
  <c r="W415" i="9"/>
  <c r="W416" i="9"/>
  <c r="W417" i="9"/>
  <c r="W418" i="9"/>
  <c r="W420" i="9"/>
  <c r="W422" i="9"/>
  <c r="W423" i="9"/>
  <c r="W425" i="9"/>
  <c r="W426" i="9"/>
  <c r="W427" i="9"/>
  <c r="W428" i="9"/>
  <c r="W429" i="9"/>
  <c r="W430" i="9"/>
  <c r="W431" i="9"/>
  <c r="W432" i="9"/>
  <c r="W433" i="9"/>
  <c r="W435" i="9"/>
  <c r="W437" i="9"/>
  <c r="W438" i="9"/>
  <c r="W439" i="9"/>
  <c r="W440" i="9"/>
  <c r="W441" i="9"/>
  <c r="W442" i="9"/>
  <c r="W443" i="9"/>
  <c r="W444" i="9"/>
  <c r="W445" i="9"/>
  <c r="W446" i="9"/>
  <c r="W448" i="9"/>
  <c r="W449" i="9"/>
  <c r="W451" i="9"/>
  <c r="W452" i="9"/>
  <c r="W453" i="9"/>
  <c r="W454" i="9"/>
  <c r="W455" i="9"/>
  <c r="W456" i="9"/>
  <c r="W457" i="9"/>
  <c r="W458" i="9"/>
  <c r="W459" i="9"/>
  <c r="W461" i="9"/>
  <c r="W462" i="9"/>
  <c r="W463" i="9"/>
  <c r="W464" i="9"/>
  <c r="W465" i="9"/>
  <c r="W466" i="9"/>
  <c r="W467" i="9"/>
  <c r="W468" i="9"/>
  <c r="W469" i="9"/>
  <c r="W470" i="9"/>
  <c r="W472" i="9"/>
  <c r="W473" i="9"/>
  <c r="W474" i="9"/>
  <c r="W476" i="9"/>
  <c r="W477" i="9"/>
  <c r="W478" i="9"/>
  <c r="W480" i="9"/>
  <c r="W481" i="9"/>
  <c r="W483" i="9"/>
  <c r="W484" i="9"/>
  <c r="W485" i="9"/>
  <c r="W486" i="9"/>
  <c r="W488" i="9"/>
  <c r="W489" i="9"/>
  <c r="W490" i="9"/>
  <c r="W491" i="9"/>
  <c r="W498" i="9"/>
  <c r="W499" i="9"/>
  <c r="W500" i="9"/>
  <c r="W501" i="9"/>
  <c r="W502" i="9"/>
  <c r="W503" i="9"/>
  <c r="W504" i="9"/>
  <c r="W506" i="9"/>
  <c r="W508" i="9"/>
  <c r="W511" i="9"/>
  <c r="W512" i="9"/>
  <c r="W513" i="9"/>
  <c r="W514" i="9"/>
  <c r="W515" i="9"/>
  <c r="W516" i="9"/>
  <c r="W517" i="9"/>
  <c r="W518" i="9"/>
  <c r="W520" i="9"/>
  <c r="W521" i="9"/>
  <c r="W522" i="9"/>
  <c r="W523" i="9"/>
  <c r="W524" i="9"/>
  <c r="W525" i="9"/>
  <c r="W526" i="9"/>
  <c r="W528" i="9"/>
  <c r="W530" i="9"/>
  <c r="W532" i="9"/>
  <c r="W533" i="9"/>
  <c r="W534" i="9"/>
  <c r="W535" i="9"/>
  <c r="W536" i="9"/>
  <c r="W537" i="9"/>
  <c r="W538" i="9"/>
  <c r="W539" i="9"/>
  <c r="W540" i="9"/>
  <c r="W542" i="9"/>
  <c r="W544" i="9"/>
  <c r="W545" i="9"/>
  <c r="W546" i="9"/>
  <c r="W547" i="9"/>
  <c r="W549" i="9"/>
  <c r="W550" i="9"/>
  <c r="W551" i="9"/>
  <c r="W553" i="9"/>
  <c r="W554" i="9"/>
  <c r="W555" i="9"/>
  <c r="W557" i="9"/>
  <c r="W558" i="9"/>
  <c r="W559" i="9"/>
  <c r="W561" i="9"/>
  <c r="W562" i="9"/>
  <c r="W563" i="9"/>
  <c r="W564" i="9"/>
  <c r="W565" i="9"/>
  <c r="W567" i="9"/>
  <c r="W568" i="9"/>
  <c r="W569" i="9"/>
  <c r="W570" i="9"/>
  <c r="W573" i="9"/>
  <c r="W575" i="9"/>
  <c r="W576" i="9"/>
  <c r="W577" i="9"/>
  <c r="W579" i="9"/>
  <c r="W580" i="9"/>
  <c r="W582" i="9"/>
  <c r="W583" i="9"/>
  <c r="W584" i="9"/>
  <c r="W586" i="9"/>
  <c r="W587" i="9"/>
  <c r="W588" i="9"/>
  <c r="W589" i="9"/>
  <c r="W590" i="9"/>
  <c r="W592" i="9"/>
  <c r="W593" i="9"/>
  <c r="W594" i="9"/>
  <c r="W595" i="9"/>
  <c r="W597" i="9"/>
  <c r="W598" i="9"/>
  <c r="W599" i="9"/>
  <c r="W600" i="9"/>
  <c r="W601" i="9"/>
  <c r="W603" i="9"/>
  <c r="W605" i="9"/>
  <c r="W606" i="9"/>
  <c r="W607" i="9"/>
  <c r="W608" i="9"/>
  <c r="W610" i="9"/>
  <c r="W611" i="9"/>
  <c r="W612" i="9"/>
  <c r="W613" i="9"/>
  <c r="W614" i="9"/>
  <c r="W615" i="9"/>
  <c r="W617" i="9"/>
  <c r="W618" i="9"/>
  <c r="W620" i="9"/>
  <c r="W621" i="9"/>
  <c r="W622" i="9"/>
  <c r="W623" i="9"/>
  <c r="W624" i="9"/>
  <c r="W625" i="9"/>
  <c r="W628" i="9"/>
  <c r="W630" i="9"/>
  <c r="W632" i="9"/>
  <c r="W633" i="9"/>
  <c r="W634" i="9"/>
  <c r="W635" i="9"/>
  <c r="W636" i="9"/>
  <c r="W637" i="9"/>
  <c r="W639" i="9"/>
  <c r="W640" i="9"/>
  <c r="W641" i="9"/>
  <c r="W642" i="9"/>
  <c r="W643" i="9"/>
  <c r="W644" i="9"/>
  <c r="W645" i="9"/>
  <c r="W647" i="9"/>
  <c r="W648" i="9"/>
  <c r="W649" i="9"/>
  <c r="W651" i="9"/>
  <c r="W652" i="9"/>
  <c r="W655" i="9"/>
  <c r="W656" i="9"/>
  <c r="W657" i="9"/>
  <c r="W658" i="9"/>
  <c r="W663" i="9"/>
  <c r="W664" i="9"/>
  <c r="W667" i="9"/>
  <c r="W668" i="9"/>
  <c r="W669" i="9"/>
  <c r="W670" i="9"/>
  <c r="W672" i="9"/>
  <c r="W673" i="9"/>
  <c r="W674" i="9"/>
  <c r="W675" i="9"/>
  <c r="W677" i="9"/>
  <c r="W678" i="9"/>
  <c r="W681" i="9"/>
  <c r="W682" i="9"/>
  <c r="W683" i="9"/>
  <c r="W684" i="9"/>
  <c r="W685" i="9"/>
  <c r="W686" i="9"/>
  <c r="W687" i="9"/>
  <c r="W688" i="9"/>
  <c r="W689" i="9"/>
  <c r="W690" i="9"/>
  <c r="W691" i="9"/>
  <c r="W694" i="9"/>
  <c r="W695" i="9"/>
  <c r="W696" i="9"/>
  <c r="W697" i="9"/>
  <c r="W698" i="9"/>
  <c r="W699" i="9"/>
  <c r="W701" i="9"/>
  <c r="W702" i="9"/>
  <c r="W704" i="9"/>
  <c r="W705" i="9"/>
  <c r="W706" i="9"/>
  <c r="W707" i="9"/>
  <c r="W708" i="9"/>
  <c r="W710" i="9"/>
  <c r="W711" i="9"/>
  <c r="W713" i="9"/>
  <c r="W714" i="9"/>
  <c r="W715" i="9"/>
  <c r="W717" i="9"/>
  <c r="W719" i="9"/>
  <c r="W721" i="9"/>
  <c r="W722" i="9"/>
  <c r="W723" i="9"/>
  <c r="W725" i="9"/>
  <c r="W727" i="9"/>
  <c r="W728" i="9"/>
  <c r="W729" i="9"/>
  <c r="W730" i="9"/>
  <c r="W731" i="9"/>
  <c r="W732" i="9"/>
  <c r="W733" i="9"/>
  <c r="W734" i="9"/>
  <c r="W735" i="9"/>
  <c r="W737" i="9"/>
  <c r="W738" i="9"/>
  <c r="W741" i="9"/>
  <c r="W744" i="9"/>
  <c r="W746" i="9"/>
  <c r="W747" i="9"/>
  <c r="W749" i="9"/>
  <c r="W751" i="9"/>
  <c r="W752" i="9"/>
  <c r="W753" i="9"/>
  <c r="W754" i="9"/>
  <c r="W756" i="9"/>
  <c r="W757" i="9"/>
  <c r="W758" i="9"/>
  <c r="W760" i="9"/>
  <c r="W761" i="9"/>
  <c r="W762" i="9"/>
  <c r="W763" i="9"/>
  <c r="W764" i="9"/>
  <c r="W765" i="9"/>
  <c r="W766" i="9"/>
  <c r="W767" i="9"/>
  <c r="W768" i="9"/>
  <c r="W769" i="9"/>
  <c r="W770" i="9"/>
  <c r="W771" i="9"/>
  <c r="W772" i="9"/>
  <c r="W773" i="9"/>
  <c r="W774" i="9"/>
  <c r="W775" i="9"/>
  <c r="W778" i="9"/>
  <c r="W779" i="9"/>
  <c r="W780" i="9"/>
  <c r="W781" i="9"/>
  <c r="W782" i="9"/>
  <c r="W783" i="9"/>
  <c r="W786" i="9"/>
  <c r="W787" i="9"/>
  <c r="W789" i="9"/>
  <c r="W790" i="9"/>
  <c r="W791" i="9"/>
  <c r="W792" i="9"/>
  <c r="W793" i="9"/>
  <c r="W794" i="9"/>
  <c r="W796" i="9"/>
  <c r="W797" i="9"/>
  <c r="W798" i="9"/>
  <c r="W799" i="9"/>
  <c r="W800" i="9"/>
  <c r="W801" i="9"/>
  <c r="W803" i="9"/>
  <c r="W804" i="9"/>
  <c r="W805" i="9"/>
  <c r="W806" i="9"/>
  <c r="W807" i="9"/>
  <c r="W808" i="9"/>
  <c r="W812" i="9"/>
  <c r="W814" i="9"/>
  <c r="W815" i="9"/>
  <c r="W816" i="9"/>
  <c r="W817" i="9"/>
  <c r="W819" i="9"/>
  <c r="W820" i="9"/>
  <c r="W822" i="9"/>
  <c r="W825" i="9"/>
  <c r="W826" i="9"/>
  <c r="W827" i="9"/>
  <c r="W828" i="9"/>
  <c r="W829" i="9"/>
  <c r="W835" i="9"/>
  <c r="W836" i="9"/>
  <c r="W837" i="9"/>
  <c r="W838" i="9"/>
  <c r="W839" i="9"/>
  <c r="W840" i="9"/>
  <c r="W842" i="9"/>
  <c r="W843" i="9"/>
  <c r="W845" i="9"/>
  <c r="W848" i="9"/>
  <c r="W849" i="9"/>
  <c r="W850" i="9"/>
  <c r="W852" i="9"/>
  <c r="W854" i="9"/>
  <c r="W855" i="9"/>
  <c r="W856" i="9"/>
  <c r="W857" i="9"/>
  <c r="W860" i="9"/>
  <c r="W861" i="9"/>
  <c r="W862" i="9"/>
  <c r="W863" i="9"/>
  <c r="W864" i="9"/>
  <c r="W865" i="9"/>
  <c r="W866" i="9"/>
  <c r="W868" i="9"/>
  <c r="W869" i="9"/>
  <c r="W870" i="9"/>
  <c r="W871" i="9"/>
  <c r="W872" i="9"/>
  <c r="W873" i="9"/>
  <c r="W876" i="9"/>
  <c r="W877" i="9"/>
  <c r="W878" i="9"/>
  <c r="W880" i="9"/>
  <c r="W881" i="9"/>
  <c r="W883" i="9"/>
  <c r="W886" i="9"/>
  <c r="W888" i="9"/>
  <c r="W890" i="9"/>
  <c r="W892" i="9"/>
  <c r="W893" i="9"/>
  <c r="W895" i="9"/>
  <c r="W896" i="9"/>
  <c r="W898" i="9"/>
  <c r="W899" i="9"/>
  <c r="W900" i="9"/>
  <c r="W901" i="9"/>
  <c r="W902" i="9"/>
  <c r="W903" i="9"/>
  <c r="W904" i="9"/>
  <c r="W908" i="9"/>
  <c r="W910" i="9"/>
  <c r="W911" i="9"/>
  <c r="W912" i="9"/>
  <c r="W913" i="9"/>
  <c r="W914" i="9"/>
  <c r="W915" i="9"/>
  <c r="W916" i="9"/>
  <c r="W917" i="9"/>
  <c r="W920" i="9"/>
  <c r="W921" i="9"/>
  <c r="W922" i="9"/>
  <c r="W925" i="9"/>
  <c r="W926" i="9"/>
  <c r="W928" i="9"/>
  <c r="W929" i="9"/>
  <c r="W930" i="9"/>
  <c r="W931" i="9"/>
  <c r="W933" i="9"/>
  <c r="W934" i="9"/>
  <c r="W935" i="9"/>
  <c r="W936" i="9"/>
  <c r="W937" i="9"/>
  <c r="W940" i="9"/>
  <c r="W941" i="9"/>
  <c r="W942" i="9"/>
  <c r="W943" i="9"/>
  <c r="W945" i="9"/>
  <c r="W946" i="9"/>
  <c r="W947" i="9"/>
  <c r="W948" i="9"/>
  <c r="W951" i="9"/>
  <c r="W953" i="9"/>
  <c r="W954" i="9"/>
  <c r="W955" i="9"/>
  <c r="W958" i="9"/>
  <c r="W959" i="9"/>
  <c r="W962" i="9"/>
  <c r="W964" i="9"/>
  <c r="W965" i="9"/>
  <c r="W966" i="9"/>
  <c r="W971" i="9"/>
  <c r="W972" i="9"/>
  <c r="W974" i="9"/>
  <c r="W976" i="9"/>
  <c r="W978" i="9"/>
  <c r="W979" i="9"/>
  <c r="W980" i="9"/>
  <c r="W981" i="9"/>
  <c r="W982" i="9"/>
  <c r="W983" i="9"/>
  <c r="W984" i="9"/>
  <c r="W986" i="9"/>
  <c r="W987" i="9"/>
  <c r="W988" i="9"/>
  <c r="W992" i="9"/>
  <c r="W993" i="9"/>
  <c r="W994" i="9"/>
  <c r="W995" i="9"/>
  <c r="W996" i="9"/>
  <c r="W997" i="9"/>
  <c r="W998" i="9"/>
  <c r="W999" i="9"/>
  <c r="W1000" i="9"/>
  <c r="P8" i="9"/>
  <c r="P13" i="9"/>
  <c r="P17" i="9"/>
  <c r="P19" i="9"/>
  <c r="P21" i="9"/>
  <c r="P25" i="9"/>
  <c r="P30" i="9"/>
  <c r="P33" i="9"/>
  <c r="P34" i="9"/>
  <c r="P39" i="9"/>
  <c r="P40" i="9"/>
  <c r="P42" i="9"/>
  <c r="P43" i="9"/>
  <c r="P46" i="9"/>
  <c r="P49" i="9"/>
  <c r="P56" i="9"/>
  <c r="P58" i="9"/>
  <c r="P59" i="9"/>
  <c r="P61" i="9"/>
  <c r="P64" i="9"/>
  <c r="P66" i="9"/>
  <c r="P69" i="9"/>
  <c r="P75" i="9"/>
  <c r="P77" i="9"/>
  <c r="P84" i="9"/>
  <c r="P91" i="9"/>
  <c r="P92" i="9"/>
  <c r="P94" i="9"/>
  <c r="P96" i="9"/>
  <c r="P97" i="9"/>
  <c r="P106" i="9"/>
  <c r="P107" i="9"/>
  <c r="P109" i="9"/>
  <c r="P111" i="9"/>
  <c r="P115" i="9"/>
  <c r="P117" i="9"/>
  <c r="P118" i="9"/>
  <c r="P120" i="9"/>
  <c r="P123" i="9"/>
  <c r="P129" i="9"/>
  <c r="P130" i="9"/>
  <c r="P131" i="9"/>
  <c r="P138" i="9"/>
  <c r="P140" i="9"/>
  <c r="P145" i="9"/>
  <c r="P148" i="9"/>
  <c r="P149" i="9"/>
  <c r="P153" i="9"/>
  <c r="P155" i="9"/>
  <c r="P158" i="9"/>
  <c r="P160" i="9"/>
  <c r="P165" i="9"/>
  <c r="P166" i="9"/>
  <c r="P171" i="9"/>
  <c r="P175" i="9"/>
  <c r="P176" i="9"/>
  <c r="P180" i="9"/>
  <c r="P184" i="9"/>
  <c r="P195" i="9"/>
  <c r="P199" i="9"/>
  <c r="P200" i="9"/>
  <c r="P202" i="9"/>
  <c r="P206" i="9"/>
  <c r="P213" i="9"/>
  <c r="P215" i="9"/>
  <c r="P218" i="9"/>
  <c r="P223" i="9"/>
  <c r="P224" i="9"/>
  <c r="P225" i="9"/>
  <c r="P226" i="9"/>
  <c r="P228" i="9"/>
  <c r="P229" i="9"/>
  <c r="P237" i="9"/>
  <c r="P238" i="9"/>
  <c r="P240" i="9"/>
  <c r="P241" i="9"/>
  <c r="P243" i="9"/>
  <c r="P244" i="9"/>
  <c r="P246" i="9"/>
  <c r="P252" i="9"/>
  <c r="P255" i="9"/>
  <c r="P258" i="9"/>
  <c r="P259" i="9"/>
  <c r="P260" i="9"/>
  <c r="P261" i="9"/>
  <c r="P265" i="9"/>
  <c r="P266" i="9"/>
  <c r="P267" i="9"/>
  <c r="P268" i="9"/>
  <c r="P272" i="9"/>
  <c r="P273" i="9"/>
  <c r="P275" i="9"/>
  <c r="P276" i="9"/>
  <c r="P278" i="9"/>
  <c r="P280" i="9"/>
  <c r="P281" i="9"/>
  <c r="P282" i="9"/>
  <c r="P284" i="9"/>
  <c r="P285" i="9"/>
  <c r="P287" i="9"/>
  <c r="P293" i="9"/>
  <c r="P296" i="9"/>
  <c r="P298" i="9"/>
  <c r="P303" i="9"/>
  <c r="P305" i="9"/>
  <c r="P314" i="9"/>
  <c r="P315" i="9"/>
  <c r="P318" i="9"/>
  <c r="P323" i="9"/>
  <c r="P324" i="9"/>
  <c r="P327" i="9"/>
  <c r="P329" i="9"/>
  <c r="P331" i="9"/>
  <c r="P338" i="9"/>
  <c r="P339" i="9"/>
  <c r="P340" i="9"/>
  <c r="P342" i="9"/>
  <c r="P348" i="9"/>
  <c r="P351" i="9"/>
  <c r="P353" i="9"/>
  <c r="P360" i="9"/>
  <c r="P361" i="9"/>
  <c r="P365" i="9"/>
  <c r="P369" i="9"/>
  <c r="P370" i="9"/>
  <c r="P375" i="9"/>
  <c r="P376" i="9"/>
  <c r="P377" i="9"/>
  <c r="P386" i="9"/>
  <c r="P387" i="9"/>
  <c r="P389" i="9"/>
  <c r="P390" i="9"/>
  <c r="P391" i="9"/>
  <c r="P393" i="9"/>
  <c r="P396" i="9"/>
  <c r="P400" i="9"/>
  <c r="P402" i="9"/>
  <c r="P403" i="9"/>
  <c r="P405" i="9"/>
  <c r="P411" i="9"/>
  <c r="P412" i="9"/>
  <c r="P414" i="9"/>
  <c r="P417" i="9"/>
  <c r="P420" i="9"/>
  <c r="P422" i="9"/>
  <c r="P425" i="9"/>
  <c r="P427" i="9"/>
  <c r="P428" i="9"/>
  <c r="P429" i="9"/>
  <c r="P430" i="9"/>
  <c r="P438" i="9"/>
  <c r="P443" i="9"/>
  <c r="P444" i="9"/>
  <c r="P446" i="9"/>
  <c r="P448" i="9"/>
  <c r="P449" i="9"/>
  <c r="P451" i="9"/>
  <c r="P452" i="9"/>
  <c r="P453" i="9"/>
  <c r="P454" i="9"/>
  <c r="P461" i="9"/>
  <c r="P462" i="9"/>
  <c r="P463" i="9"/>
  <c r="P465" i="9"/>
  <c r="P466" i="9"/>
  <c r="P468" i="9"/>
  <c r="P469" i="9"/>
  <c r="P470" i="9"/>
  <c r="P473" i="9"/>
  <c r="P474" i="9"/>
  <c r="P478" i="9"/>
  <c r="P481" i="9"/>
  <c r="P483" i="9"/>
  <c r="P485" i="9"/>
  <c r="P486" i="9"/>
  <c r="P490" i="9"/>
  <c r="P491" i="9"/>
  <c r="P498" i="9"/>
  <c r="P501" i="9"/>
  <c r="P504" i="9"/>
  <c r="P511" i="9"/>
  <c r="P512" i="9"/>
  <c r="P513" i="9"/>
  <c r="P521" i="9"/>
  <c r="P530" i="9"/>
  <c r="P532" i="9"/>
  <c r="P535" i="9"/>
  <c r="P536" i="9"/>
  <c r="P539" i="9"/>
  <c r="P546" i="9"/>
  <c r="P549" i="9"/>
  <c r="P551" i="9"/>
  <c r="P553" i="9"/>
  <c r="P564" i="9"/>
  <c r="P565" i="9"/>
  <c r="P567" i="9"/>
  <c r="P568" i="9"/>
  <c r="P570" i="9"/>
  <c r="P573" i="9"/>
  <c r="P575" i="9"/>
  <c r="P576" i="9"/>
  <c r="P580" i="9"/>
  <c r="P582" i="9"/>
  <c r="P584" i="9"/>
  <c r="P586" i="9"/>
  <c r="P588" i="9"/>
  <c r="P589" i="9"/>
  <c r="P593" i="9"/>
  <c r="P598" i="9"/>
  <c r="P599" i="9"/>
  <c r="P601" i="9"/>
  <c r="P606" i="9"/>
  <c r="P613" i="9"/>
  <c r="P614" i="9"/>
  <c r="P617" i="9"/>
  <c r="P618" i="9"/>
  <c r="P621" i="9"/>
  <c r="P622" i="9"/>
  <c r="P628" i="9"/>
  <c r="P635" i="9"/>
  <c r="P637" i="9"/>
  <c r="P639" i="9"/>
  <c r="P640" i="9"/>
  <c r="P641" i="9"/>
  <c r="P642" i="9"/>
  <c r="P643" i="9"/>
  <c r="P644" i="9"/>
  <c r="P647" i="9"/>
  <c r="P651" i="9"/>
  <c r="P655" i="9"/>
  <c r="P657" i="9"/>
  <c r="P667" i="9"/>
  <c r="P668" i="9"/>
  <c r="P670" i="9"/>
  <c r="P672" i="9"/>
  <c r="P673" i="9"/>
  <c r="P674" i="9"/>
  <c r="P675" i="9"/>
  <c r="P678" i="9"/>
  <c r="P686" i="9"/>
  <c r="P688" i="9"/>
  <c r="P690" i="9"/>
  <c r="P695" i="9"/>
  <c r="P697" i="9"/>
  <c r="P698" i="9"/>
  <c r="P699" i="9"/>
  <c r="P702" i="9"/>
  <c r="P704" i="9"/>
  <c r="P706" i="9"/>
  <c r="P708" i="9"/>
  <c r="P711" i="9"/>
  <c r="P713" i="9"/>
  <c r="P717" i="9"/>
  <c r="P721" i="9"/>
  <c r="P722" i="9"/>
  <c r="P723" i="9"/>
  <c r="P727" i="9"/>
  <c r="P729" i="9"/>
  <c r="P730" i="9"/>
  <c r="P733" i="9"/>
  <c r="P737" i="9"/>
  <c r="P744" i="9"/>
  <c r="P746" i="9"/>
  <c r="P747" i="9"/>
  <c r="P749" i="9"/>
  <c r="P754" i="9"/>
  <c r="P756" i="9"/>
  <c r="P757" i="9"/>
  <c r="P760" i="9"/>
  <c r="P763" i="9"/>
  <c r="P765" i="9"/>
  <c r="P771" i="9"/>
  <c r="P772" i="9"/>
  <c r="P775" i="9"/>
  <c r="P779" i="9"/>
  <c r="P780" i="9"/>
  <c r="P782" i="9"/>
  <c r="P786" i="9"/>
  <c r="P787" i="9"/>
  <c r="P790" i="9"/>
  <c r="P793" i="9"/>
  <c r="P794" i="9"/>
  <c r="P797" i="9"/>
  <c r="P803" i="9"/>
  <c r="P806" i="9"/>
  <c r="P807" i="9"/>
  <c r="P808" i="9"/>
  <c r="P814" i="9"/>
  <c r="P816" i="9"/>
  <c r="P817" i="9"/>
  <c r="P825" i="9"/>
  <c r="P828" i="9"/>
  <c r="P835" i="9"/>
  <c r="P836" i="9"/>
  <c r="P837" i="9"/>
  <c r="P838" i="9"/>
  <c r="P839" i="9"/>
  <c r="P845" i="9"/>
  <c r="P850" i="9"/>
  <c r="P852" i="9"/>
  <c r="P854" i="9"/>
  <c r="P855" i="9"/>
  <c r="P860" i="9"/>
  <c r="P861" i="9"/>
  <c r="P862" i="9"/>
  <c r="P863" i="9"/>
  <c r="P864" i="9"/>
  <c r="P865" i="9"/>
  <c r="P866" i="9"/>
  <c r="P868" i="9"/>
  <c r="P870" i="9"/>
  <c r="P872" i="9"/>
  <c r="P873" i="9"/>
  <c r="P877" i="9"/>
  <c r="P878" i="9"/>
  <c r="P880" i="9"/>
  <c r="P883" i="9"/>
  <c r="P888" i="9"/>
  <c r="P900" i="9"/>
  <c r="P902" i="9"/>
  <c r="P904" i="9"/>
  <c r="P908" i="9"/>
  <c r="P910" i="9"/>
  <c r="P912" i="9"/>
  <c r="P915" i="9"/>
  <c r="P920" i="9"/>
  <c r="P921" i="9"/>
  <c r="P929" i="9"/>
  <c r="P931" i="9"/>
  <c r="P933" i="9"/>
  <c r="P941" i="9"/>
  <c r="P945" i="9"/>
  <c r="P947" i="9"/>
  <c r="P951" i="9"/>
  <c r="P953" i="9"/>
  <c r="P962" i="9"/>
  <c r="P964" i="9"/>
  <c r="P966" i="9"/>
  <c r="P972" i="9"/>
  <c r="P974" i="9"/>
  <c r="P976" i="9"/>
  <c r="P980" i="9"/>
  <c r="P982" i="9"/>
  <c r="P983" i="9"/>
  <c r="P986" i="9"/>
  <c r="P993" i="9"/>
  <c r="P997" i="9"/>
  <c r="P998" i="9"/>
  <c r="P999" i="9"/>
  <c r="AA92" i="9"/>
  <c r="AA340" i="9"/>
  <c r="AA390" i="9"/>
  <c r="AA438" i="9"/>
  <c r="AA582" i="9"/>
  <c r="AA790" i="9"/>
  <c r="AA870" i="9"/>
  <c r="F4" i="8"/>
  <c r="F5" i="8"/>
  <c r="F6" i="8"/>
  <c r="F7" i="8"/>
  <c r="F8" i="8"/>
  <c r="F9" i="8"/>
  <c r="F10" i="8"/>
  <c r="F11" i="8"/>
  <c r="AA228" i="9" s="1"/>
  <c r="F12" i="8"/>
  <c r="F3" i="8"/>
  <c r="V5" i="9"/>
  <c r="V2" i="9"/>
  <c r="V3" i="9"/>
  <c r="V4"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V115" i="9"/>
  <c r="V116" i="9"/>
  <c r="V117" i="9"/>
  <c r="V118" i="9"/>
  <c r="V119" i="9"/>
  <c r="V120" i="9"/>
  <c r="V121" i="9"/>
  <c r="V122" i="9"/>
  <c r="V123" i="9"/>
  <c r="V124" i="9"/>
  <c r="V125" i="9"/>
  <c r="V126" i="9"/>
  <c r="V127" i="9"/>
  <c r="V128" i="9"/>
  <c r="V129" i="9"/>
  <c r="V130" i="9"/>
  <c r="V131" i="9"/>
  <c r="V132" i="9"/>
  <c r="V133" i="9"/>
  <c r="V134" i="9"/>
  <c r="V135" i="9"/>
  <c r="V136" i="9"/>
  <c r="V137" i="9"/>
  <c r="V138" i="9"/>
  <c r="V139" i="9"/>
  <c r="V140" i="9"/>
  <c r="V141" i="9"/>
  <c r="V142" i="9"/>
  <c r="V143" i="9"/>
  <c r="V144" i="9"/>
  <c r="V145" i="9"/>
  <c r="V146" i="9"/>
  <c r="V147" i="9"/>
  <c r="V148" i="9"/>
  <c r="V149" i="9"/>
  <c r="V150" i="9"/>
  <c r="V151" i="9"/>
  <c r="V152" i="9"/>
  <c r="V153"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V183" i="9"/>
  <c r="V184" i="9"/>
  <c r="V185" i="9"/>
  <c r="V186" i="9"/>
  <c r="V187" i="9"/>
  <c r="V188" i="9"/>
  <c r="V189" i="9"/>
  <c r="V190" i="9"/>
  <c r="V191" i="9"/>
  <c r="V192" i="9"/>
  <c r="V193" i="9"/>
  <c r="V194" i="9"/>
  <c r="V195" i="9"/>
  <c r="V196" i="9"/>
  <c r="V197" i="9"/>
  <c r="V198" i="9"/>
  <c r="V199" i="9"/>
  <c r="V200" i="9"/>
  <c r="V201" i="9"/>
  <c r="V202" i="9"/>
  <c r="V203" i="9"/>
  <c r="V204" i="9"/>
  <c r="V205" i="9"/>
  <c r="V206" i="9"/>
  <c r="V207" i="9"/>
  <c r="V208" i="9"/>
  <c r="V209" i="9"/>
  <c r="V210" i="9"/>
  <c r="V211" i="9"/>
  <c r="V212" i="9"/>
  <c r="V213" i="9"/>
  <c r="V214" i="9"/>
  <c r="V215" i="9"/>
  <c r="V216" i="9"/>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53" i="9"/>
  <c r="V254" i="9"/>
  <c r="V255" i="9"/>
  <c r="V256" i="9"/>
  <c r="V257" i="9"/>
  <c r="V258" i="9"/>
  <c r="V259" i="9"/>
  <c r="V260" i="9"/>
  <c r="V261" i="9"/>
  <c r="V262" i="9"/>
  <c r="V263" i="9"/>
  <c r="V264" i="9"/>
  <c r="V265" i="9"/>
  <c r="V266" i="9"/>
  <c r="V267" i="9"/>
  <c r="V268" i="9"/>
  <c r="V269" i="9"/>
  <c r="V270" i="9"/>
  <c r="V271" i="9"/>
  <c r="V272" i="9"/>
  <c r="V273" i="9"/>
  <c r="V274" i="9"/>
  <c r="V275" i="9"/>
  <c r="V276" i="9"/>
  <c r="V277" i="9"/>
  <c r="V278" i="9"/>
  <c r="V279" i="9"/>
  <c r="V280" i="9"/>
  <c r="V281" i="9"/>
  <c r="V282" i="9"/>
  <c r="V283" i="9"/>
  <c r="V284" i="9"/>
  <c r="V285" i="9"/>
  <c r="V286" i="9"/>
  <c r="V287" i="9"/>
  <c r="V288" i="9"/>
  <c r="V289" i="9"/>
  <c r="V290" i="9"/>
  <c r="V291" i="9"/>
  <c r="V292" i="9"/>
  <c r="V293" i="9"/>
  <c r="V294" i="9"/>
  <c r="V295" i="9"/>
  <c r="V296" i="9"/>
  <c r="V297" i="9"/>
  <c r="V298" i="9"/>
  <c r="V299" i="9"/>
  <c r="V300" i="9"/>
  <c r="V301" i="9"/>
  <c r="V302" i="9"/>
  <c r="V303" i="9"/>
  <c r="V304" i="9"/>
  <c r="V305" i="9"/>
  <c r="V306" i="9"/>
  <c r="V307" i="9"/>
  <c r="V308" i="9"/>
  <c r="V309" i="9"/>
  <c r="V310" i="9"/>
  <c r="V311" i="9"/>
  <c r="V312" i="9"/>
  <c r="V313" i="9"/>
  <c r="V314" i="9"/>
  <c r="V315" i="9"/>
  <c r="V316" i="9"/>
  <c r="V317" i="9"/>
  <c r="V318" i="9"/>
  <c r="V319" i="9"/>
  <c r="V320" i="9"/>
  <c r="V321" i="9"/>
  <c r="V322" i="9"/>
  <c r="V323" i="9"/>
  <c r="V324" i="9"/>
  <c r="V325" i="9"/>
  <c r="V326" i="9"/>
  <c r="V327" i="9"/>
  <c r="V328" i="9"/>
  <c r="V329" i="9"/>
  <c r="V330" i="9"/>
  <c r="V331" i="9"/>
  <c r="V332" i="9"/>
  <c r="V333" i="9"/>
  <c r="V334" i="9"/>
  <c r="V335" i="9"/>
  <c r="V336" i="9"/>
  <c r="V337" i="9"/>
  <c r="V338" i="9"/>
  <c r="V339" i="9"/>
  <c r="V340" i="9"/>
  <c r="V341" i="9"/>
  <c r="V342" i="9"/>
  <c r="V343" i="9"/>
  <c r="V344" i="9"/>
  <c r="V345" i="9"/>
  <c r="V346" i="9"/>
  <c r="V347" i="9"/>
  <c r="V348" i="9"/>
  <c r="V349" i="9"/>
  <c r="V350" i="9"/>
  <c r="V351" i="9"/>
  <c r="V352" i="9"/>
  <c r="V353" i="9"/>
  <c r="V354" i="9"/>
  <c r="V355" i="9"/>
  <c r="V356" i="9"/>
  <c r="V357" i="9"/>
  <c r="V358" i="9"/>
  <c r="V359" i="9"/>
  <c r="V360" i="9"/>
  <c r="V361" i="9"/>
  <c r="V362" i="9"/>
  <c r="V363" i="9"/>
  <c r="V364" i="9"/>
  <c r="V365" i="9"/>
  <c r="V366" i="9"/>
  <c r="V367" i="9"/>
  <c r="V368" i="9"/>
  <c r="V369" i="9"/>
  <c r="V370" i="9"/>
  <c r="V371" i="9"/>
  <c r="V372" i="9"/>
  <c r="V373" i="9"/>
  <c r="V374" i="9"/>
  <c r="V375" i="9"/>
  <c r="V376" i="9"/>
  <c r="V377" i="9"/>
  <c r="V378" i="9"/>
  <c r="V379" i="9"/>
  <c r="V380" i="9"/>
  <c r="V381" i="9"/>
  <c r="V382" i="9"/>
  <c r="V383" i="9"/>
  <c r="V384" i="9"/>
  <c r="V385" i="9"/>
  <c r="V386" i="9"/>
  <c r="V387" i="9"/>
  <c r="V388" i="9"/>
  <c r="V389" i="9"/>
  <c r="V390" i="9"/>
  <c r="V391" i="9"/>
  <c r="V392" i="9"/>
  <c r="V393" i="9"/>
  <c r="V394" i="9"/>
  <c r="V395" i="9"/>
  <c r="V396" i="9"/>
  <c r="V397" i="9"/>
  <c r="V398" i="9"/>
  <c r="V399" i="9"/>
  <c r="V400" i="9"/>
  <c r="V401" i="9"/>
  <c r="V402" i="9"/>
  <c r="V403" i="9"/>
  <c r="V404" i="9"/>
  <c r="V405" i="9"/>
  <c r="V406" i="9"/>
  <c r="V407" i="9"/>
  <c r="V408" i="9"/>
  <c r="V409" i="9"/>
  <c r="V410" i="9"/>
  <c r="V411" i="9"/>
  <c r="V412" i="9"/>
  <c r="V413" i="9"/>
  <c r="V414" i="9"/>
  <c r="V415" i="9"/>
  <c r="V416" i="9"/>
  <c r="V417" i="9"/>
  <c r="V418" i="9"/>
  <c r="V419" i="9"/>
  <c r="V420" i="9"/>
  <c r="V421" i="9"/>
  <c r="V422" i="9"/>
  <c r="V423" i="9"/>
  <c r="V424" i="9"/>
  <c r="V425" i="9"/>
  <c r="V426" i="9"/>
  <c r="V427" i="9"/>
  <c r="V428" i="9"/>
  <c r="V429" i="9"/>
  <c r="V430" i="9"/>
  <c r="V431" i="9"/>
  <c r="V432" i="9"/>
  <c r="V433" i="9"/>
  <c r="V434" i="9"/>
  <c r="V435" i="9"/>
  <c r="V436" i="9"/>
  <c r="V437" i="9"/>
  <c r="V438" i="9"/>
  <c r="V439" i="9"/>
  <c r="V440" i="9"/>
  <c r="V441" i="9"/>
  <c r="V442" i="9"/>
  <c r="V443" i="9"/>
  <c r="V444" i="9"/>
  <c r="V445" i="9"/>
  <c r="V446" i="9"/>
  <c r="V447" i="9"/>
  <c r="V448" i="9"/>
  <c r="V449" i="9"/>
  <c r="V450" i="9"/>
  <c r="V451" i="9"/>
  <c r="V452" i="9"/>
  <c r="V453" i="9"/>
  <c r="V454" i="9"/>
  <c r="V455" i="9"/>
  <c r="V456" i="9"/>
  <c r="V457" i="9"/>
  <c r="V458" i="9"/>
  <c r="V459" i="9"/>
  <c r="V460" i="9"/>
  <c r="V461" i="9"/>
  <c r="V462" i="9"/>
  <c r="V463" i="9"/>
  <c r="V464" i="9"/>
  <c r="V465" i="9"/>
  <c r="V466" i="9"/>
  <c r="V467" i="9"/>
  <c r="V468" i="9"/>
  <c r="V469" i="9"/>
  <c r="V470" i="9"/>
  <c r="V471" i="9"/>
  <c r="V472" i="9"/>
  <c r="V473" i="9"/>
  <c r="V474" i="9"/>
  <c r="V475" i="9"/>
  <c r="V476" i="9"/>
  <c r="V477" i="9"/>
  <c r="V478" i="9"/>
  <c r="V479" i="9"/>
  <c r="V480" i="9"/>
  <c r="V481" i="9"/>
  <c r="V482" i="9"/>
  <c r="V483" i="9"/>
  <c r="V484" i="9"/>
  <c r="V485" i="9"/>
  <c r="V486" i="9"/>
  <c r="V487" i="9"/>
  <c r="V488" i="9"/>
  <c r="V489" i="9"/>
  <c r="V490" i="9"/>
  <c r="V491" i="9"/>
  <c r="V492" i="9"/>
  <c r="V493" i="9"/>
  <c r="V494" i="9"/>
  <c r="V495" i="9"/>
  <c r="V496" i="9"/>
  <c r="V497" i="9"/>
  <c r="V498" i="9"/>
  <c r="V499" i="9"/>
  <c r="V500" i="9"/>
  <c r="V501" i="9"/>
  <c r="V502" i="9"/>
  <c r="V503" i="9"/>
  <c r="V504" i="9"/>
  <c r="V505" i="9"/>
  <c r="V506" i="9"/>
  <c r="V507" i="9"/>
  <c r="V508" i="9"/>
  <c r="V509" i="9"/>
  <c r="V510" i="9"/>
  <c r="V511" i="9"/>
  <c r="V512" i="9"/>
  <c r="V513" i="9"/>
  <c r="V514" i="9"/>
  <c r="V515" i="9"/>
  <c r="V516" i="9"/>
  <c r="V517" i="9"/>
  <c r="V518" i="9"/>
  <c r="V519" i="9"/>
  <c r="V520" i="9"/>
  <c r="V521" i="9"/>
  <c r="V522" i="9"/>
  <c r="V523" i="9"/>
  <c r="V524" i="9"/>
  <c r="V525" i="9"/>
  <c r="V526" i="9"/>
  <c r="V527" i="9"/>
  <c r="V528" i="9"/>
  <c r="V529" i="9"/>
  <c r="V530" i="9"/>
  <c r="V531" i="9"/>
  <c r="V532" i="9"/>
  <c r="V533" i="9"/>
  <c r="V534" i="9"/>
  <c r="V535" i="9"/>
  <c r="V536" i="9"/>
  <c r="V537" i="9"/>
  <c r="V538" i="9"/>
  <c r="V539" i="9"/>
  <c r="V540" i="9"/>
  <c r="V541" i="9"/>
  <c r="V542" i="9"/>
  <c r="V543" i="9"/>
  <c r="V544" i="9"/>
  <c r="V545" i="9"/>
  <c r="V546" i="9"/>
  <c r="V547" i="9"/>
  <c r="V548" i="9"/>
  <c r="V549" i="9"/>
  <c r="V550" i="9"/>
  <c r="V551" i="9"/>
  <c r="V552" i="9"/>
  <c r="V553" i="9"/>
  <c r="V554" i="9"/>
  <c r="V555" i="9"/>
  <c r="V556" i="9"/>
  <c r="V557" i="9"/>
  <c r="V558" i="9"/>
  <c r="V559" i="9"/>
  <c r="V560" i="9"/>
  <c r="V561" i="9"/>
  <c r="V562" i="9"/>
  <c r="V563" i="9"/>
  <c r="V564" i="9"/>
  <c r="V565" i="9"/>
  <c r="V566" i="9"/>
  <c r="V567" i="9"/>
  <c r="V568" i="9"/>
  <c r="V569" i="9"/>
  <c r="V570" i="9"/>
  <c r="V571" i="9"/>
  <c r="V572" i="9"/>
  <c r="V573" i="9"/>
  <c r="V574" i="9"/>
  <c r="V575" i="9"/>
  <c r="V576" i="9"/>
  <c r="V577" i="9"/>
  <c r="V578" i="9"/>
  <c r="V579" i="9"/>
  <c r="V580" i="9"/>
  <c r="V581" i="9"/>
  <c r="V582" i="9"/>
  <c r="V583" i="9"/>
  <c r="V584" i="9"/>
  <c r="V585" i="9"/>
  <c r="V586" i="9"/>
  <c r="V587" i="9"/>
  <c r="V588" i="9"/>
  <c r="V589" i="9"/>
  <c r="V590" i="9"/>
  <c r="V591" i="9"/>
  <c r="V592" i="9"/>
  <c r="V593" i="9"/>
  <c r="V594" i="9"/>
  <c r="V595" i="9"/>
  <c r="V596" i="9"/>
  <c r="V597" i="9"/>
  <c r="V598" i="9"/>
  <c r="V599" i="9"/>
  <c r="V600" i="9"/>
  <c r="V601" i="9"/>
  <c r="V602" i="9"/>
  <c r="V603" i="9"/>
  <c r="V604" i="9"/>
  <c r="V605" i="9"/>
  <c r="V606" i="9"/>
  <c r="V607" i="9"/>
  <c r="V608" i="9"/>
  <c r="V609" i="9"/>
  <c r="V610" i="9"/>
  <c r="V611" i="9"/>
  <c r="V612" i="9"/>
  <c r="V613" i="9"/>
  <c r="V614" i="9"/>
  <c r="V615" i="9"/>
  <c r="V616" i="9"/>
  <c r="V617" i="9"/>
  <c r="V618" i="9"/>
  <c r="V619" i="9"/>
  <c r="V620" i="9"/>
  <c r="V621" i="9"/>
  <c r="V622" i="9"/>
  <c r="V623" i="9"/>
  <c r="V624" i="9"/>
  <c r="V625" i="9"/>
  <c r="V626" i="9"/>
  <c r="V627" i="9"/>
  <c r="V628" i="9"/>
  <c r="V629" i="9"/>
  <c r="V630" i="9"/>
  <c r="V631" i="9"/>
  <c r="V632" i="9"/>
  <c r="V633" i="9"/>
  <c r="V634" i="9"/>
  <c r="V635" i="9"/>
  <c r="V636" i="9"/>
  <c r="V637" i="9"/>
  <c r="V638" i="9"/>
  <c r="V639" i="9"/>
  <c r="V640" i="9"/>
  <c r="V641" i="9"/>
  <c r="V642" i="9"/>
  <c r="V643" i="9"/>
  <c r="V644" i="9"/>
  <c r="V645" i="9"/>
  <c r="V646" i="9"/>
  <c r="V647" i="9"/>
  <c r="V648" i="9"/>
  <c r="V649" i="9"/>
  <c r="V650" i="9"/>
  <c r="V651" i="9"/>
  <c r="V652" i="9"/>
  <c r="V653" i="9"/>
  <c r="V654" i="9"/>
  <c r="V655" i="9"/>
  <c r="V656" i="9"/>
  <c r="V657" i="9"/>
  <c r="V658" i="9"/>
  <c r="V659" i="9"/>
  <c r="V660" i="9"/>
  <c r="V661" i="9"/>
  <c r="V662" i="9"/>
  <c r="V663" i="9"/>
  <c r="V664" i="9"/>
  <c r="V665" i="9"/>
  <c r="V666" i="9"/>
  <c r="V667" i="9"/>
  <c r="V668" i="9"/>
  <c r="V669" i="9"/>
  <c r="V670" i="9"/>
  <c r="V671" i="9"/>
  <c r="V672" i="9"/>
  <c r="V673" i="9"/>
  <c r="V674" i="9"/>
  <c r="V675" i="9"/>
  <c r="V676" i="9"/>
  <c r="V677" i="9"/>
  <c r="V678" i="9"/>
  <c r="V679" i="9"/>
  <c r="V680" i="9"/>
  <c r="V681" i="9"/>
  <c r="V682" i="9"/>
  <c r="V683" i="9"/>
  <c r="V684" i="9"/>
  <c r="V685" i="9"/>
  <c r="V686" i="9"/>
  <c r="V687" i="9"/>
  <c r="V688" i="9"/>
  <c r="V689" i="9"/>
  <c r="V690" i="9"/>
  <c r="V691" i="9"/>
  <c r="V692" i="9"/>
  <c r="V693" i="9"/>
  <c r="V694" i="9"/>
  <c r="V695" i="9"/>
  <c r="V696" i="9"/>
  <c r="V697" i="9"/>
  <c r="V698" i="9"/>
  <c r="V699" i="9"/>
  <c r="V700" i="9"/>
  <c r="V701" i="9"/>
  <c r="V702" i="9"/>
  <c r="V703" i="9"/>
  <c r="V704" i="9"/>
  <c r="V705" i="9"/>
  <c r="V706" i="9"/>
  <c r="V707" i="9"/>
  <c r="V708" i="9"/>
  <c r="V709" i="9"/>
  <c r="V710" i="9"/>
  <c r="V711" i="9"/>
  <c r="V712" i="9"/>
  <c r="V713" i="9"/>
  <c r="V714" i="9"/>
  <c r="V715" i="9"/>
  <c r="V716" i="9"/>
  <c r="V717" i="9"/>
  <c r="V718" i="9"/>
  <c r="V719" i="9"/>
  <c r="V720" i="9"/>
  <c r="V721" i="9"/>
  <c r="V722" i="9"/>
  <c r="V723" i="9"/>
  <c r="V724" i="9"/>
  <c r="V725" i="9"/>
  <c r="V726" i="9"/>
  <c r="V727" i="9"/>
  <c r="V728" i="9"/>
  <c r="V729" i="9"/>
  <c r="V730" i="9"/>
  <c r="V731" i="9"/>
  <c r="V732" i="9"/>
  <c r="V733" i="9"/>
  <c r="V734" i="9"/>
  <c r="V735" i="9"/>
  <c r="V736" i="9"/>
  <c r="V737" i="9"/>
  <c r="V738" i="9"/>
  <c r="V739" i="9"/>
  <c r="V740" i="9"/>
  <c r="V741" i="9"/>
  <c r="V742" i="9"/>
  <c r="V743" i="9"/>
  <c r="V744" i="9"/>
  <c r="V745" i="9"/>
  <c r="V746" i="9"/>
  <c r="V747" i="9"/>
  <c r="V748" i="9"/>
  <c r="V749" i="9"/>
  <c r="V750" i="9"/>
  <c r="V751" i="9"/>
  <c r="V752" i="9"/>
  <c r="V753" i="9"/>
  <c r="V754" i="9"/>
  <c r="V755" i="9"/>
  <c r="V756" i="9"/>
  <c r="V757" i="9"/>
  <c r="V758" i="9"/>
  <c r="V759" i="9"/>
  <c r="V760" i="9"/>
  <c r="V761" i="9"/>
  <c r="V762" i="9"/>
  <c r="V763" i="9"/>
  <c r="V764" i="9"/>
  <c r="V765" i="9"/>
  <c r="V766" i="9"/>
  <c r="V767" i="9"/>
  <c r="V768" i="9"/>
  <c r="V769" i="9"/>
  <c r="V770" i="9"/>
  <c r="V771" i="9"/>
  <c r="V772" i="9"/>
  <c r="V773" i="9"/>
  <c r="V774" i="9"/>
  <c r="V775" i="9"/>
  <c r="V776" i="9"/>
  <c r="V777" i="9"/>
  <c r="V778" i="9"/>
  <c r="V779" i="9"/>
  <c r="V780" i="9"/>
  <c r="V781" i="9"/>
  <c r="V782" i="9"/>
  <c r="V783" i="9"/>
  <c r="V784" i="9"/>
  <c r="V785" i="9"/>
  <c r="V786" i="9"/>
  <c r="V787" i="9"/>
  <c r="V788" i="9"/>
  <c r="V789" i="9"/>
  <c r="V790" i="9"/>
  <c r="V791" i="9"/>
  <c r="V792" i="9"/>
  <c r="V793" i="9"/>
  <c r="V794" i="9"/>
  <c r="V795" i="9"/>
  <c r="V796" i="9"/>
  <c r="V797" i="9"/>
  <c r="V798" i="9"/>
  <c r="V799" i="9"/>
  <c r="V800" i="9"/>
  <c r="V801" i="9"/>
  <c r="V802" i="9"/>
  <c r="V803" i="9"/>
  <c r="V804" i="9"/>
  <c r="V805" i="9"/>
  <c r="V806" i="9"/>
  <c r="V807" i="9"/>
  <c r="V808" i="9"/>
  <c r="V809" i="9"/>
  <c r="V810" i="9"/>
  <c r="V811" i="9"/>
  <c r="V812" i="9"/>
  <c r="V813" i="9"/>
  <c r="V814" i="9"/>
  <c r="V815" i="9"/>
  <c r="V816" i="9"/>
  <c r="V817" i="9"/>
  <c r="V818" i="9"/>
  <c r="V819" i="9"/>
  <c r="V820" i="9"/>
  <c r="V821" i="9"/>
  <c r="V822" i="9"/>
  <c r="V823" i="9"/>
  <c r="V824" i="9"/>
  <c r="V825" i="9"/>
  <c r="V826" i="9"/>
  <c r="V827" i="9"/>
  <c r="V828" i="9"/>
  <c r="V829" i="9"/>
  <c r="V830" i="9"/>
  <c r="V831" i="9"/>
  <c r="V832" i="9"/>
  <c r="V833" i="9"/>
  <c r="V834" i="9"/>
  <c r="V835" i="9"/>
  <c r="V836" i="9"/>
  <c r="V837" i="9"/>
  <c r="V838" i="9"/>
  <c r="V839" i="9"/>
  <c r="V840" i="9"/>
  <c r="V841" i="9"/>
  <c r="V842" i="9"/>
  <c r="V843" i="9"/>
  <c r="V844" i="9"/>
  <c r="V845" i="9"/>
  <c r="V846" i="9"/>
  <c r="V847" i="9"/>
  <c r="V848" i="9"/>
  <c r="V849" i="9"/>
  <c r="V850" i="9"/>
  <c r="V851" i="9"/>
  <c r="V852" i="9"/>
  <c r="V853" i="9"/>
  <c r="V854" i="9"/>
  <c r="V855" i="9"/>
  <c r="V856" i="9"/>
  <c r="V857" i="9"/>
  <c r="V858" i="9"/>
  <c r="V859" i="9"/>
  <c r="V860" i="9"/>
  <c r="V861" i="9"/>
  <c r="V862" i="9"/>
  <c r="V863" i="9"/>
  <c r="V864" i="9"/>
  <c r="V865" i="9"/>
  <c r="V866" i="9"/>
  <c r="V867" i="9"/>
  <c r="V868" i="9"/>
  <c r="V869" i="9"/>
  <c r="V870" i="9"/>
  <c r="V871" i="9"/>
  <c r="V872" i="9"/>
  <c r="V873" i="9"/>
  <c r="V874" i="9"/>
  <c r="V875" i="9"/>
  <c r="V876" i="9"/>
  <c r="V877" i="9"/>
  <c r="V878" i="9"/>
  <c r="V879" i="9"/>
  <c r="V880" i="9"/>
  <c r="V881" i="9"/>
  <c r="V882" i="9"/>
  <c r="V883" i="9"/>
  <c r="V884" i="9"/>
  <c r="V885" i="9"/>
  <c r="V886" i="9"/>
  <c r="V887" i="9"/>
  <c r="V888" i="9"/>
  <c r="V889" i="9"/>
  <c r="V890" i="9"/>
  <c r="V891" i="9"/>
  <c r="V892" i="9"/>
  <c r="V893" i="9"/>
  <c r="V894" i="9"/>
  <c r="V895" i="9"/>
  <c r="V896" i="9"/>
  <c r="V897" i="9"/>
  <c r="V898" i="9"/>
  <c r="V899" i="9"/>
  <c r="V900" i="9"/>
  <c r="V901" i="9"/>
  <c r="V902" i="9"/>
  <c r="V903" i="9"/>
  <c r="V904" i="9"/>
  <c r="V905" i="9"/>
  <c r="V906" i="9"/>
  <c r="V907" i="9"/>
  <c r="V908" i="9"/>
  <c r="V909" i="9"/>
  <c r="V910" i="9"/>
  <c r="V911" i="9"/>
  <c r="V912" i="9"/>
  <c r="V913" i="9"/>
  <c r="V914" i="9"/>
  <c r="V915" i="9"/>
  <c r="V916" i="9"/>
  <c r="V917" i="9"/>
  <c r="V918" i="9"/>
  <c r="V919" i="9"/>
  <c r="V920" i="9"/>
  <c r="V921" i="9"/>
  <c r="V922" i="9"/>
  <c r="V923" i="9"/>
  <c r="V924" i="9"/>
  <c r="V925" i="9"/>
  <c r="V926" i="9"/>
  <c r="V927" i="9"/>
  <c r="V928" i="9"/>
  <c r="V929" i="9"/>
  <c r="V930" i="9"/>
  <c r="V931" i="9"/>
  <c r="V932" i="9"/>
  <c r="V933" i="9"/>
  <c r="V934" i="9"/>
  <c r="V935" i="9"/>
  <c r="V936" i="9"/>
  <c r="V937" i="9"/>
  <c r="V938" i="9"/>
  <c r="V939" i="9"/>
  <c r="V940" i="9"/>
  <c r="V941" i="9"/>
  <c r="V942" i="9"/>
  <c r="V943" i="9"/>
  <c r="V944" i="9"/>
  <c r="V945" i="9"/>
  <c r="V946" i="9"/>
  <c r="V947" i="9"/>
  <c r="V948" i="9"/>
  <c r="V949" i="9"/>
  <c r="V950" i="9"/>
  <c r="V951" i="9"/>
  <c r="V952" i="9"/>
  <c r="V953" i="9"/>
  <c r="V954" i="9"/>
  <c r="V955" i="9"/>
  <c r="V956" i="9"/>
  <c r="V957" i="9"/>
  <c r="V958" i="9"/>
  <c r="V959" i="9"/>
  <c r="V960" i="9"/>
  <c r="V961" i="9"/>
  <c r="V962" i="9"/>
  <c r="V963" i="9"/>
  <c r="V964" i="9"/>
  <c r="V965" i="9"/>
  <c r="V966" i="9"/>
  <c r="V967" i="9"/>
  <c r="V968" i="9"/>
  <c r="V969" i="9"/>
  <c r="V970" i="9"/>
  <c r="V971" i="9"/>
  <c r="V972" i="9"/>
  <c r="V973" i="9"/>
  <c r="V974" i="9"/>
  <c r="V975" i="9"/>
  <c r="V976" i="9"/>
  <c r="V977" i="9"/>
  <c r="V978" i="9"/>
  <c r="V979" i="9"/>
  <c r="V980" i="9"/>
  <c r="V981" i="9"/>
  <c r="V982" i="9"/>
  <c r="V983" i="9"/>
  <c r="V984" i="9"/>
  <c r="V985" i="9"/>
  <c r="V986" i="9"/>
  <c r="V987" i="9"/>
  <c r="V988" i="9"/>
  <c r="V989" i="9"/>
  <c r="V990" i="9"/>
  <c r="V991" i="9"/>
  <c r="V992" i="9"/>
  <c r="V993" i="9"/>
  <c r="V994" i="9"/>
  <c r="V995" i="9"/>
  <c r="V996" i="9"/>
  <c r="V997" i="9"/>
  <c r="V998" i="9"/>
  <c r="V999" i="9"/>
  <c r="V1000" i="9"/>
  <c r="V1001" i="9"/>
  <c r="O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O508" i="9"/>
  <c r="O509" i="9"/>
  <c r="O510" i="9"/>
  <c r="O511" i="9"/>
  <c r="O512" i="9"/>
  <c r="O513" i="9"/>
  <c r="O514" i="9"/>
  <c r="O515" i="9"/>
  <c r="O516" i="9"/>
  <c r="O517" i="9"/>
  <c r="O518" i="9"/>
  <c r="O519" i="9"/>
  <c r="O520" i="9"/>
  <c r="O521" i="9"/>
  <c r="O522" i="9"/>
  <c r="O523" i="9"/>
  <c r="O524" i="9"/>
  <c r="O525" i="9"/>
  <c r="O526" i="9"/>
  <c r="O527" i="9"/>
  <c r="O528" i="9"/>
  <c r="O529" i="9"/>
  <c r="O530" i="9"/>
  <c r="O531" i="9"/>
  <c r="O532" i="9"/>
  <c r="O533" i="9"/>
  <c r="O534" i="9"/>
  <c r="O535" i="9"/>
  <c r="O536" i="9"/>
  <c r="O537" i="9"/>
  <c r="O538" i="9"/>
  <c r="O539" i="9"/>
  <c r="O540" i="9"/>
  <c r="O541" i="9"/>
  <c r="O542" i="9"/>
  <c r="O543" i="9"/>
  <c r="O544" i="9"/>
  <c r="O545" i="9"/>
  <c r="O546" i="9"/>
  <c r="O547" i="9"/>
  <c r="O548" i="9"/>
  <c r="O549" i="9"/>
  <c r="O550" i="9"/>
  <c r="O551" i="9"/>
  <c r="O552" i="9"/>
  <c r="O553" i="9"/>
  <c r="O554" i="9"/>
  <c r="O555" i="9"/>
  <c r="O556" i="9"/>
  <c r="O557" i="9"/>
  <c r="O558" i="9"/>
  <c r="O559" i="9"/>
  <c r="O560" i="9"/>
  <c r="O561" i="9"/>
  <c r="O562" i="9"/>
  <c r="O563" i="9"/>
  <c r="O564" i="9"/>
  <c r="O565" i="9"/>
  <c r="O566" i="9"/>
  <c r="O567" i="9"/>
  <c r="O568" i="9"/>
  <c r="O569" i="9"/>
  <c r="O570" i="9"/>
  <c r="O571" i="9"/>
  <c r="O572" i="9"/>
  <c r="O573" i="9"/>
  <c r="O574" i="9"/>
  <c r="O575" i="9"/>
  <c r="O576" i="9"/>
  <c r="O577" i="9"/>
  <c r="O578" i="9"/>
  <c r="O579" i="9"/>
  <c r="O580" i="9"/>
  <c r="O581" i="9"/>
  <c r="O582" i="9"/>
  <c r="O583" i="9"/>
  <c r="O584" i="9"/>
  <c r="O585" i="9"/>
  <c r="O586" i="9"/>
  <c r="O587" i="9"/>
  <c r="O588" i="9"/>
  <c r="O589" i="9"/>
  <c r="O590" i="9"/>
  <c r="O591" i="9"/>
  <c r="O592" i="9"/>
  <c r="O593" i="9"/>
  <c r="O594" i="9"/>
  <c r="O595" i="9"/>
  <c r="O596" i="9"/>
  <c r="O597" i="9"/>
  <c r="O598" i="9"/>
  <c r="O599" i="9"/>
  <c r="O600" i="9"/>
  <c r="O601" i="9"/>
  <c r="O602" i="9"/>
  <c r="O603" i="9"/>
  <c r="O604" i="9"/>
  <c r="O605" i="9"/>
  <c r="O606" i="9"/>
  <c r="O607" i="9"/>
  <c r="O608" i="9"/>
  <c r="O609" i="9"/>
  <c r="O610" i="9"/>
  <c r="O611" i="9"/>
  <c r="O612" i="9"/>
  <c r="O613" i="9"/>
  <c r="O614" i="9"/>
  <c r="O615" i="9"/>
  <c r="O616" i="9"/>
  <c r="O617" i="9"/>
  <c r="O618" i="9"/>
  <c r="O619" i="9"/>
  <c r="O620" i="9"/>
  <c r="O621" i="9"/>
  <c r="O622" i="9"/>
  <c r="O623" i="9"/>
  <c r="O624" i="9"/>
  <c r="O625" i="9"/>
  <c r="O626" i="9"/>
  <c r="O627" i="9"/>
  <c r="O628" i="9"/>
  <c r="O629" i="9"/>
  <c r="O630" i="9"/>
  <c r="O631" i="9"/>
  <c r="O632" i="9"/>
  <c r="O633" i="9"/>
  <c r="O634" i="9"/>
  <c r="O635" i="9"/>
  <c r="O636" i="9"/>
  <c r="O637" i="9"/>
  <c r="O638" i="9"/>
  <c r="O639" i="9"/>
  <c r="O640" i="9"/>
  <c r="O641" i="9"/>
  <c r="O642" i="9"/>
  <c r="O643" i="9"/>
  <c r="O644" i="9"/>
  <c r="O645" i="9"/>
  <c r="O646" i="9"/>
  <c r="O647" i="9"/>
  <c r="O648" i="9"/>
  <c r="O649" i="9"/>
  <c r="O650" i="9"/>
  <c r="O651" i="9"/>
  <c r="O652" i="9"/>
  <c r="O653" i="9"/>
  <c r="O654" i="9"/>
  <c r="O655" i="9"/>
  <c r="O656" i="9"/>
  <c r="O657" i="9"/>
  <c r="O658" i="9"/>
  <c r="O659" i="9"/>
  <c r="O660" i="9"/>
  <c r="O661" i="9"/>
  <c r="O662" i="9"/>
  <c r="O663" i="9"/>
  <c r="O664" i="9"/>
  <c r="O665" i="9"/>
  <c r="O666" i="9"/>
  <c r="O667" i="9"/>
  <c r="O668" i="9"/>
  <c r="O669" i="9"/>
  <c r="O670" i="9"/>
  <c r="O671" i="9"/>
  <c r="O672" i="9"/>
  <c r="O673" i="9"/>
  <c r="O674" i="9"/>
  <c r="O675" i="9"/>
  <c r="O676" i="9"/>
  <c r="O677" i="9"/>
  <c r="O678" i="9"/>
  <c r="O679" i="9"/>
  <c r="O680" i="9"/>
  <c r="O681" i="9"/>
  <c r="O682" i="9"/>
  <c r="O683" i="9"/>
  <c r="O684" i="9"/>
  <c r="O685" i="9"/>
  <c r="O686" i="9"/>
  <c r="O687" i="9"/>
  <c r="O688" i="9"/>
  <c r="O689" i="9"/>
  <c r="O690" i="9"/>
  <c r="O691" i="9"/>
  <c r="O692" i="9"/>
  <c r="O693" i="9"/>
  <c r="O694" i="9"/>
  <c r="O695" i="9"/>
  <c r="O696" i="9"/>
  <c r="O697" i="9"/>
  <c r="O698" i="9"/>
  <c r="O699" i="9"/>
  <c r="O700" i="9"/>
  <c r="O701" i="9"/>
  <c r="O702" i="9"/>
  <c r="O703" i="9"/>
  <c r="O704" i="9"/>
  <c r="O705" i="9"/>
  <c r="O706" i="9"/>
  <c r="O707" i="9"/>
  <c r="O708" i="9"/>
  <c r="O709" i="9"/>
  <c r="O710" i="9"/>
  <c r="O711" i="9"/>
  <c r="O712" i="9"/>
  <c r="O713" i="9"/>
  <c r="O714" i="9"/>
  <c r="O715" i="9"/>
  <c r="O716" i="9"/>
  <c r="O717" i="9"/>
  <c r="O718" i="9"/>
  <c r="O719" i="9"/>
  <c r="O720" i="9"/>
  <c r="O721" i="9"/>
  <c r="O722" i="9"/>
  <c r="O723" i="9"/>
  <c r="O724" i="9"/>
  <c r="O725" i="9"/>
  <c r="O726" i="9"/>
  <c r="O727" i="9"/>
  <c r="O728" i="9"/>
  <c r="O729" i="9"/>
  <c r="O730" i="9"/>
  <c r="O731" i="9"/>
  <c r="O732" i="9"/>
  <c r="O733" i="9"/>
  <c r="O734" i="9"/>
  <c r="O735" i="9"/>
  <c r="O736" i="9"/>
  <c r="O737" i="9"/>
  <c r="O738" i="9"/>
  <c r="O739" i="9"/>
  <c r="O740" i="9"/>
  <c r="O741" i="9"/>
  <c r="O742" i="9"/>
  <c r="O743" i="9"/>
  <c r="O744" i="9"/>
  <c r="O745" i="9"/>
  <c r="O746" i="9"/>
  <c r="O747" i="9"/>
  <c r="O748" i="9"/>
  <c r="O749" i="9"/>
  <c r="O750" i="9"/>
  <c r="O751" i="9"/>
  <c r="O752" i="9"/>
  <c r="O753" i="9"/>
  <c r="O754" i="9"/>
  <c r="O755" i="9"/>
  <c r="O756" i="9"/>
  <c r="O757" i="9"/>
  <c r="O758" i="9"/>
  <c r="O759" i="9"/>
  <c r="O760" i="9"/>
  <c r="O761" i="9"/>
  <c r="O762" i="9"/>
  <c r="O763" i="9"/>
  <c r="O764" i="9"/>
  <c r="O765" i="9"/>
  <c r="O766" i="9"/>
  <c r="O767" i="9"/>
  <c r="O768" i="9"/>
  <c r="O769" i="9"/>
  <c r="O770" i="9"/>
  <c r="O771" i="9"/>
  <c r="O772" i="9"/>
  <c r="O773" i="9"/>
  <c r="O774" i="9"/>
  <c r="O775" i="9"/>
  <c r="O776" i="9"/>
  <c r="O777" i="9"/>
  <c r="O778" i="9"/>
  <c r="O779" i="9"/>
  <c r="O780" i="9"/>
  <c r="O781" i="9"/>
  <c r="O782" i="9"/>
  <c r="O783" i="9"/>
  <c r="O784" i="9"/>
  <c r="O785" i="9"/>
  <c r="O786"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0"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6"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H2" i="9"/>
  <c r="H3" i="9"/>
  <c r="H4" i="9"/>
  <c r="Y4" i="9" s="1"/>
  <c r="H5" i="9"/>
  <c r="H6" i="9"/>
  <c r="Y6" i="9" s="1"/>
  <c r="H7" i="9"/>
  <c r="Y7" i="9" s="1"/>
  <c r="H8" i="9"/>
  <c r="Y8" i="9" s="1"/>
  <c r="H9" i="9"/>
  <c r="H10" i="9"/>
  <c r="Y10" i="9" s="1"/>
  <c r="H11" i="9"/>
  <c r="Y11" i="9" s="1"/>
  <c r="H12" i="9"/>
  <c r="Y12" i="9" s="1"/>
  <c r="H13" i="9"/>
  <c r="H14" i="9"/>
  <c r="Y14" i="9" s="1"/>
  <c r="H15" i="9"/>
  <c r="Y15" i="9" s="1"/>
  <c r="H16" i="9"/>
  <c r="H17" i="9"/>
  <c r="H18" i="9"/>
  <c r="Y18" i="9" s="1"/>
  <c r="H19" i="9"/>
  <c r="Y19" i="9" s="1"/>
  <c r="H20" i="9"/>
  <c r="Y20" i="9" s="1"/>
  <c r="H21" i="9"/>
  <c r="H22" i="9"/>
  <c r="Y22" i="9" s="1"/>
  <c r="H23" i="9"/>
  <c r="Y23" i="9" s="1"/>
  <c r="H24" i="9"/>
  <c r="Y24" i="9" s="1"/>
  <c r="H25" i="9"/>
  <c r="H26" i="9"/>
  <c r="Y26" i="9" s="1"/>
  <c r="H27" i="9"/>
  <c r="Y27" i="9" s="1"/>
  <c r="H28" i="9"/>
  <c r="Y28" i="9" s="1"/>
  <c r="H29" i="9"/>
  <c r="H30" i="9"/>
  <c r="Y30" i="9" s="1"/>
  <c r="H31" i="9"/>
  <c r="Y31" i="9" s="1"/>
  <c r="H32" i="9"/>
  <c r="Y32" i="9" s="1"/>
  <c r="H33" i="9"/>
  <c r="H34" i="9"/>
  <c r="Y34" i="9" s="1"/>
  <c r="H35" i="9"/>
  <c r="Y35" i="9" s="1"/>
  <c r="H36" i="9"/>
  <c r="Y36" i="9" s="1"/>
  <c r="H37" i="9"/>
  <c r="H38" i="9"/>
  <c r="Y38" i="9" s="1"/>
  <c r="H39" i="9"/>
  <c r="Y39" i="9" s="1"/>
  <c r="H40" i="9"/>
  <c r="Y40" i="9" s="1"/>
  <c r="H41" i="9"/>
  <c r="H42" i="9"/>
  <c r="Y42" i="9" s="1"/>
  <c r="H43" i="9"/>
  <c r="H44" i="9"/>
  <c r="Y44" i="9" s="1"/>
  <c r="H45" i="9"/>
  <c r="H46" i="9"/>
  <c r="Y46" i="9" s="1"/>
  <c r="H47" i="9"/>
  <c r="Y47" i="9" s="1"/>
  <c r="H48" i="9"/>
  <c r="Y48" i="9" s="1"/>
  <c r="H49" i="9"/>
  <c r="H50" i="9"/>
  <c r="Y50" i="9" s="1"/>
  <c r="H51" i="9"/>
  <c r="Y51" i="9" s="1"/>
  <c r="H52" i="9"/>
  <c r="Y52" i="9" s="1"/>
  <c r="H53" i="9"/>
  <c r="H54" i="9"/>
  <c r="Y54" i="9" s="1"/>
  <c r="H55" i="9"/>
  <c r="Y55" i="9" s="1"/>
  <c r="H56" i="9"/>
  <c r="Y56" i="9" s="1"/>
  <c r="H57" i="9"/>
  <c r="H58" i="9"/>
  <c r="Y58" i="9" s="1"/>
  <c r="H59" i="9"/>
  <c r="H60" i="9"/>
  <c r="Y60" i="9" s="1"/>
  <c r="H61" i="9"/>
  <c r="H62" i="9"/>
  <c r="Y62" i="9" s="1"/>
  <c r="H63" i="9"/>
  <c r="Y63" i="9" s="1"/>
  <c r="H64" i="9"/>
  <c r="Y64" i="9" s="1"/>
  <c r="H65" i="9"/>
  <c r="H66" i="9"/>
  <c r="Y66" i="9" s="1"/>
  <c r="H67" i="9"/>
  <c r="Y67" i="9" s="1"/>
  <c r="H68" i="9"/>
  <c r="Y68" i="9" s="1"/>
  <c r="H69" i="9"/>
  <c r="H70" i="9"/>
  <c r="Y70" i="9" s="1"/>
  <c r="H71" i="9"/>
  <c r="Y71" i="9" s="1"/>
  <c r="H72" i="9"/>
  <c r="Y72" i="9" s="1"/>
  <c r="H73" i="9"/>
  <c r="H74" i="9"/>
  <c r="Y74" i="9" s="1"/>
  <c r="H75" i="9"/>
  <c r="Y75" i="9" s="1"/>
  <c r="H76" i="9"/>
  <c r="Y76" i="9" s="1"/>
  <c r="H77" i="9"/>
  <c r="H78" i="9"/>
  <c r="Y78" i="9" s="1"/>
  <c r="H79" i="9"/>
  <c r="Y79" i="9" s="1"/>
  <c r="H80" i="9"/>
  <c r="Y80" i="9" s="1"/>
  <c r="H81" i="9"/>
  <c r="H82" i="9"/>
  <c r="Y82" i="9" s="1"/>
  <c r="H83" i="9"/>
  <c r="Y83" i="9" s="1"/>
  <c r="H84" i="9"/>
  <c r="Y84" i="9" s="1"/>
  <c r="H85" i="9"/>
  <c r="H86" i="9"/>
  <c r="Y86" i="9" s="1"/>
  <c r="H87" i="9"/>
  <c r="Y87" i="9" s="1"/>
  <c r="H88" i="9"/>
  <c r="Y88" i="9" s="1"/>
  <c r="H89" i="9"/>
  <c r="H90" i="9"/>
  <c r="Y90" i="9" s="1"/>
  <c r="H91" i="9"/>
  <c r="Y91" i="9" s="1"/>
  <c r="H92" i="9"/>
  <c r="Y92" i="9" s="1"/>
  <c r="H93" i="9"/>
  <c r="H94" i="9"/>
  <c r="Y94" i="9" s="1"/>
  <c r="H95" i="9"/>
  <c r="Y95" i="9" s="1"/>
  <c r="H96" i="9"/>
  <c r="Y96" i="9" s="1"/>
  <c r="H97" i="9"/>
  <c r="H98" i="9"/>
  <c r="Y98" i="9" s="1"/>
  <c r="H99" i="9"/>
  <c r="Y99" i="9" s="1"/>
  <c r="H100" i="9"/>
  <c r="Y100" i="9" s="1"/>
  <c r="H101" i="9"/>
  <c r="H102" i="9"/>
  <c r="Y102" i="9" s="1"/>
  <c r="H103" i="9"/>
  <c r="Y103" i="9" s="1"/>
  <c r="H104" i="9"/>
  <c r="Y104" i="9" s="1"/>
  <c r="H105" i="9"/>
  <c r="H106" i="9"/>
  <c r="Y106" i="9" s="1"/>
  <c r="H107" i="9"/>
  <c r="H108" i="9"/>
  <c r="Y108" i="9" s="1"/>
  <c r="H109" i="9"/>
  <c r="H110" i="9"/>
  <c r="Y110" i="9" s="1"/>
  <c r="H111" i="9"/>
  <c r="Y111" i="9" s="1"/>
  <c r="H112" i="9"/>
  <c r="Y112" i="9" s="1"/>
  <c r="H113" i="9"/>
  <c r="H114" i="9"/>
  <c r="Y114" i="9" s="1"/>
  <c r="H115" i="9"/>
  <c r="Y115" i="9" s="1"/>
  <c r="H116" i="9"/>
  <c r="Y116" i="9" s="1"/>
  <c r="H117" i="9"/>
  <c r="H118" i="9"/>
  <c r="Y118" i="9" s="1"/>
  <c r="H119" i="9"/>
  <c r="Y119" i="9" s="1"/>
  <c r="H120" i="9"/>
  <c r="Y120" i="9" s="1"/>
  <c r="H121" i="9"/>
  <c r="H122" i="9"/>
  <c r="Y122" i="9" s="1"/>
  <c r="H123" i="9"/>
  <c r="H124" i="9"/>
  <c r="Y124" i="9" s="1"/>
  <c r="H125" i="9"/>
  <c r="H126" i="9"/>
  <c r="Y126" i="9" s="1"/>
  <c r="H127" i="9"/>
  <c r="Y127" i="9" s="1"/>
  <c r="H128" i="9"/>
  <c r="Y128" i="9" s="1"/>
  <c r="H129" i="9"/>
  <c r="H130" i="9"/>
  <c r="Y130" i="9" s="1"/>
  <c r="H131" i="9"/>
  <c r="Y131" i="9" s="1"/>
  <c r="H132" i="9"/>
  <c r="Y132" i="9" s="1"/>
  <c r="H133" i="9"/>
  <c r="H134" i="9"/>
  <c r="Y134" i="9" s="1"/>
  <c r="H135" i="9"/>
  <c r="Y135" i="9" s="1"/>
  <c r="H136" i="9"/>
  <c r="Y136" i="9" s="1"/>
  <c r="H137" i="9"/>
  <c r="H138" i="9"/>
  <c r="Y138" i="9" s="1"/>
  <c r="H139" i="9"/>
  <c r="Y139" i="9" s="1"/>
  <c r="H140" i="9"/>
  <c r="Y140" i="9" s="1"/>
  <c r="H141" i="9"/>
  <c r="H142" i="9"/>
  <c r="Y142" i="9" s="1"/>
  <c r="H143" i="9"/>
  <c r="Y143" i="9" s="1"/>
  <c r="H144" i="9"/>
  <c r="Y144" i="9" s="1"/>
  <c r="H145" i="9"/>
  <c r="H146" i="9"/>
  <c r="Y146" i="9" s="1"/>
  <c r="H147" i="9"/>
  <c r="Y147" i="9" s="1"/>
  <c r="H148" i="9"/>
  <c r="Y148" i="9" s="1"/>
  <c r="H149" i="9"/>
  <c r="H150" i="9"/>
  <c r="Y150" i="9" s="1"/>
  <c r="H151" i="9"/>
  <c r="Y151" i="9" s="1"/>
  <c r="H152" i="9"/>
  <c r="Y152" i="9" s="1"/>
  <c r="H153" i="9"/>
  <c r="H154" i="9"/>
  <c r="Y154" i="9" s="1"/>
  <c r="H155" i="9"/>
  <c r="Y155" i="9" s="1"/>
  <c r="H156" i="9"/>
  <c r="Y156" i="9" s="1"/>
  <c r="H157" i="9"/>
  <c r="H158" i="9"/>
  <c r="Y158" i="9" s="1"/>
  <c r="H159" i="9"/>
  <c r="Y159" i="9" s="1"/>
  <c r="H160" i="9"/>
  <c r="Y160" i="9" s="1"/>
  <c r="H161" i="9"/>
  <c r="H162" i="9"/>
  <c r="Y162" i="9" s="1"/>
  <c r="H163" i="9"/>
  <c r="Y163" i="9" s="1"/>
  <c r="H164" i="9"/>
  <c r="Y164" i="9" s="1"/>
  <c r="H165" i="9"/>
  <c r="H166" i="9"/>
  <c r="Y166" i="9" s="1"/>
  <c r="H167" i="9"/>
  <c r="Y167" i="9" s="1"/>
  <c r="H168" i="9"/>
  <c r="Y168" i="9" s="1"/>
  <c r="H169" i="9"/>
  <c r="H170" i="9"/>
  <c r="Y170" i="9" s="1"/>
  <c r="H171" i="9"/>
  <c r="H172" i="9"/>
  <c r="Y172" i="9" s="1"/>
  <c r="H173" i="9"/>
  <c r="H174" i="9"/>
  <c r="Y174" i="9" s="1"/>
  <c r="H175" i="9"/>
  <c r="Y175" i="9" s="1"/>
  <c r="H176" i="9"/>
  <c r="Y176" i="9" s="1"/>
  <c r="H177" i="9"/>
  <c r="H178" i="9"/>
  <c r="Y178" i="9" s="1"/>
  <c r="H179" i="9"/>
  <c r="Y179" i="9" s="1"/>
  <c r="H180" i="9"/>
  <c r="Y180" i="9" s="1"/>
  <c r="H181" i="9"/>
  <c r="H182" i="9"/>
  <c r="Y182" i="9" s="1"/>
  <c r="H183" i="9"/>
  <c r="Y183" i="9" s="1"/>
  <c r="H184" i="9"/>
  <c r="H185" i="9"/>
  <c r="H186" i="9"/>
  <c r="Y186" i="9" s="1"/>
  <c r="H187" i="9"/>
  <c r="H188" i="9"/>
  <c r="Y188" i="9" s="1"/>
  <c r="H189" i="9"/>
  <c r="H190" i="9"/>
  <c r="Y190" i="9" s="1"/>
  <c r="H191" i="9"/>
  <c r="Y191" i="9" s="1"/>
  <c r="H192" i="9"/>
  <c r="Y192" i="9" s="1"/>
  <c r="H193" i="9"/>
  <c r="H194" i="9"/>
  <c r="Y194" i="9" s="1"/>
  <c r="H195" i="9"/>
  <c r="Y195" i="9" s="1"/>
  <c r="H196" i="9"/>
  <c r="Y196" i="9" s="1"/>
  <c r="H197" i="9"/>
  <c r="H198" i="9"/>
  <c r="Y198" i="9" s="1"/>
  <c r="H199" i="9"/>
  <c r="Y199" i="9" s="1"/>
  <c r="H200" i="9"/>
  <c r="Y200" i="9" s="1"/>
  <c r="H201" i="9"/>
  <c r="H202" i="9"/>
  <c r="Y202" i="9" s="1"/>
  <c r="H203" i="9"/>
  <c r="Y203" i="9" s="1"/>
  <c r="H204" i="9"/>
  <c r="Y204" i="9" s="1"/>
  <c r="H205" i="9"/>
  <c r="H206" i="9"/>
  <c r="Y206" i="9" s="1"/>
  <c r="H207" i="9"/>
  <c r="Y207" i="9" s="1"/>
  <c r="H208" i="9"/>
  <c r="Y208" i="9" s="1"/>
  <c r="H209" i="9"/>
  <c r="H210" i="9"/>
  <c r="Y210" i="9" s="1"/>
  <c r="H211" i="9"/>
  <c r="Y211" i="9" s="1"/>
  <c r="H212" i="9"/>
  <c r="Y212" i="9" s="1"/>
  <c r="H213" i="9"/>
  <c r="H214" i="9"/>
  <c r="Y214" i="9" s="1"/>
  <c r="H215" i="9"/>
  <c r="Y215" i="9" s="1"/>
  <c r="H216" i="9"/>
  <c r="Y216" i="9" s="1"/>
  <c r="H217" i="9"/>
  <c r="H218" i="9"/>
  <c r="Y218" i="9" s="1"/>
  <c r="H219" i="9"/>
  <c r="Y219" i="9" s="1"/>
  <c r="H220" i="9"/>
  <c r="Y220" i="9" s="1"/>
  <c r="H221" i="9"/>
  <c r="H222" i="9"/>
  <c r="Y222" i="9" s="1"/>
  <c r="H223" i="9"/>
  <c r="Y223" i="9" s="1"/>
  <c r="H224" i="9"/>
  <c r="Y224" i="9" s="1"/>
  <c r="H225" i="9"/>
  <c r="H226" i="9"/>
  <c r="Y226" i="9" s="1"/>
  <c r="H227" i="9"/>
  <c r="Y227" i="9" s="1"/>
  <c r="H228" i="9"/>
  <c r="Y228" i="9" s="1"/>
  <c r="H229" i="9"/>
  <c r="H230" i="9"/>
  <c r="Y230" i="9" s="1"/>
  <c r="H231" i="9"/>
  <c r="Y231" i="9" s="1"/>
  <c r="H232" i="9"/>
  <c r="Y232" i="9" s="1"/>
  <c r="H233" i="9"/>
  <c r="H234" i="9"/>
  <c r="Y234" i="9" s="1"/>
  <c r="H235" i="9"/>
  <c r="H236" i="9"/>
  <c r="Y236" i="9" s="1"/>
  <c r="H237" i="9"/>
  <c r="H238" i="9"/>
  <c r="Y238" i="9" s="1"/>
  <c r="H239" i="9"/>
  <c r="Y239" i="9" s="1"/>
  <c r="H240" i="9"/>
  <c r="Y240" i="9" s="1"/>
  <c r="H241" i="9"/>
  <c r="H242" i="9"/>
  <c r="Y242" i="9" s="1"/>
  <c r="H243" i="9"/>
  <c r="Y243" i="9" s="1"/>
  <c r="H244" i="9"/>
  <c r="Y244" i="9" s="1"/>
  <c r="H245" i="9"/>
  <c r="H246" i="9"/>
  <c r="Y246" i="9" s="1"/>
  <c r="H247" i="9"/>
  <c r="Y247" i="9" s="1"/>
  <c r="H248" i="9"/>
  <c r="Y248" i="9" s="1"/>
  <c r="H249" i="9"/>
  <c r="H250" i="9"/>
  <c r="Y250" i="9" s="1"/>
  <c r="H251" i="9"/>
  <c r="H252" i="9"/>
  <c r="Y252" i="9" s="1"/>
  <c r="H253" i="9"/>
  <c r="H254" i="9"/>
  <c r="Y254" i="9" s="1"/>
  <c r="H255" i="9"/>
  <c r="Y255" i="9" s="1"/>
  <c r="H256" i="9"/>
  <c r="Y256" i="9" s="1"/>
  <c r="H257" i="9"/>
  <c r="H258" i="9"/>
  <c r="Y258" i="9" s="1"/>
  <c r="H259" i="9"/>
  <c r="Y259" i="9" s="1"/>
  <c r="H260" i="9"/>
  <c r="Y260" i="9" s="1"/>
  <c r="H261" i="9"/>
  <c r="H262" i="9"/>
  <c r="Y262" i="9" s="1"/>
  <c r="H263" i="9"/>
  <c r="Y263" i="9" s="1"/>
  <c r="H264" i="9"/>
  <c r="Y264" i="9" s="1"/>
  <c r="H265" i="9"/>
  <c r="H266" i="9"/>
  <c r="Y266" i="9" s="1"/>
  <c r="H267" i="9"/>
  <c r="Y267" i="9" s="1"/>
  <c r="H268" i="9"/>
  <c r="Y268" i="9" s="1"/>
  <c r="H269" i="9"/>
  <c r="H270" i="9"/>
  <c r="Y270" i="9" s="1"/>
  <c r="H271" i="9"/>
  <c r="Y271" i="9" s="1"/>
  <c r="H272" i="9"/>
  <c r="Y272" i="9" s="1"/>
  <c r="H273" i="9"/>
  <c r="H274" i="9"/>
  <c r="Y274" i="9" s="1"/>
  <c r="H275" i="9"/>
  <c r="Y275" i="9" s="1"/>
  <c r="H276" i="9"/>
  <c r="Y276" i="9" s="1"/>
  <c r="H277" i="9"/>
  <c r="H278" i="9"/>
  <c r="Y278" i="9" s="1"/>
  <c r="H279" i="9"/>
  <c r="Y279" i="9" s="1"/>
  <c r="H280" i="9"/>
  <c r="Y280" i="9" s="1"/>
  <c r="H281" i="9"/>
  <c r="H282" i="9"/>
  <c r="Y282" i="9" s="1"/>
  <c r="H283" i="9"/>
  <c r="Y283" i="9" s="1"/>
  <c r="H284" i="9"/>
  <c r="Y284" i="9" s="1"/>
  <c r="H285" i="9"/>
  <c r="H286" i="9"/>
  <c r="Y286" i="9" s="1"/>
  <c r="H287" i="9"/>
  <c r="Y287" i="9" s="1"/>
  <c r="H288" i="9"/>
  <c r="Y288" i="9" s="1"/>
  <c r="H289" i="9"/>
  <c r="H290" i="9"/>
  <c r="Y290" i="9" s="1"/>
  <c r="H291" i="9"/>
  <c r="Y291" i="9" s="1"/>
  <c r="H292" i="9"/>
  <c r="Y292" i="9" s="1"/>
  <c r="H293" i="9"/>
  <c r="H294" i="9"/>
  <c r="Y294" i="9" s="1"/>
  <c r="H295" i="9"/>
  <c r="Y295" i="9" s="1"/>
  <c r="H296" i="9"/>
  <c r="Y296" i="9" s="1"/>
  <c r="H297" i="9"/>
  <c r="H298" i="9"/>
  <c r="Y298" i="9" s="1"/>
  <c r="H299" i="9"/>
  <c r="H300" i="9"/>
  <c r="Y300" i="9" s="1"/>
  <c r="H301" i="9"/>
  <c r="H302" i="9"/>
  <c r="Y302" i="9" s="1"/>
  <c r="H303" i="9"/>
  <c r="Y303" i="9" s="1"/>
  <c r="H304" i="9"/>
  <c r="Y304" i="9" s="1"/>
  <c r="H305" i="9"/>
  <c r="H306" i="9"/>
  <c r="Y306" i="9" s="1"/>
  <c r="H307" i="9"/>
  <c r="Y307" i="9" s="1"/>
  <c r="H308" i="9"/>
  <c r="Y308" i="9" s="1"/>
  <c r="H309" i="9"/>
  <c r="H310" i="9"/>
  <c r="Y310" i="9" s="1"/>
  <c r="H311" i="9"/>
  <c r="Y311" i="9" s="1"/>
  <c r="H312" i="9"/>
  <c r="Y312" i="9" s="1"/>
  <c r="H313" i="9"/>
  <c r="H314" i="9"/>
  <c r="Y314" i="9" s="1"/>
  <c r="H315" i="9"/>
  <c r="H316" i="9"/>
  <c r="Y316" i="9" s="1"/>
  <c r="H317" i="9"/>
  <c r="H318" i="9"/>
  <c r="Y318" i="9" s="1"/>
  <c r="H319" i="9"/>
  <c r="Y319" i="9" s="1"/>
  <c r="H320" i="9"/>
  <c r="Y320" i="9" s="1"/>
  <c r="H321" i="9"/>
  <c r="H322" i="9"/>
  <c r="Y322" i="9" s="1"/>
  <c r="H323" i="9"/>
  <c r="H324" i="9"/>
  <c r="H325" i="9"/>
  <c r="H326" i="9"/>
  <c r="Y326" i="9" s="1"/>
  <c r="H327" i="9"/>
  <c r="Y327" i="9" s="1"/>
  <c r="H328" i="9"/>
  <c r="H329" i="9"/>
  <c r="H330" i="9"/>
  <c r="Y330" i="9" s="1"/>
  <c r="H331" i="9"/>
  <c r="Y331" i="9" s="1"/>
  <c r="H332" i="9"/>
  <c r="H333" i="9"/>
  <c r="H334" i="9"/>
  <c r="Y334" i="9" s="1"/>
  <c r="H335" i="9"/>
  <c r="Y335" i="9" s="1"/>
  <c r="H336" i="9"/>
  <c r="H337" i="9"/>
  <c r="H338" i="9"/>
  <c r="Y338" i="9" s="1"/>
  <c r="H339" i="9"/>
  <c r="H340" i="9"/>
  <c r="H341" i="9"/>
  <c r="H342" i="9"/>
  <c r="Y342" i="9" s="1"/>
  <c r="H343" i="9"/>
  <c r="Y343" i="9" s="1"/>
  <c r="H344" i="9"/>
  <c r="Y344" i="9" s="1"/>
  <c r="H345" i="9"/>
  <c r="H346" i="9"/>
  <c r="Y346" i="9" s="1"/>
  <c r="H347" i="9"/>
  <c r="Y347" i="9" s="1"/>
  <c r="H348" i="9"/>
  <c r="Y348" i="9" s="1"/>
  <c r="H349" i="9"/>
  <c r="H350" i="9"/>
  <c r="Y350" i="9" s="1"/>
  <c r="H351" i="9"/>
  <c r="Y351" i="9" s="1"/>
  <c r="H352" i="9"/>
  <c r="H353" i="9"/>
  <c r="H354" i="9"/>
  <c r="Y354" i="9" s="1"/>
  <c r="H355" i="9"/>
  <c r="Y355" i="9" s="1"/>
  <c r="H356" i="9"/>
  <c r="H357" i="9"/>
  <c r="H358" i="9"/>
  <c r="Y358" i="9" s="1"/>
  <c r="H359" i="9"/>
  <c r="Y359" i="9" s="1"/>
  <c r="H360" i="9"/>
  <c r="Y360" i="9" s="1"/>
  <c r="H361" i="9"/>
  <c r="H362" i="9"/>
  <c r="Y362" i="9" s="1"/>
  <c r="H363" i="9"/>
  <c r="Y363" i="9" s="1"/>
  <c r="H364" i="9"/>
  <c r="Y364" i="9" s="1"/>
  <c r="H365" i="9"/>
  <c r="H366" i="9"/>
  <c r="Y366" i="9" s="1"/>
  <c r="H367" i="9"/>
  <c r="Y367" i="9" s="1"/>
  <c r="H368" i="9"/>
  <c r="H369" i="9"/>
  <c r="H370" i="9"/>
  <c r="Y370" i="9" s="1"/>
  <c r="H371" i="9"/>
  <c r="Y371" i="9" s="1"/>
  <c r="H372" i="9"/>
  <c r="H373" i="9"/>
  <c r="H374" i="9"/>
  <c r="H375" i="9"/>
  <c r="Y375" i="9" s="1"/>
  <c r="H376" i="9"/>
  <c r="Y376" i="9" s="1"/>
  <c r="H377" i="9"/>
  <c r="H378" i="9"/>
  <c r="Y378" i="9" s="1"/>
  <c r="H379" i="9"/>
  <c r="Y379" i="9" s="1"/>
  <c r="H380" i="9"/>
  <c r="Y380" i="9" s="1"/>
  <c r="H381" i="9"/>
  <c r="H382" i="9"/>
  <c r="Y382" i="9" s="1"/>
  <c r="H383" i="9"/>
  <c r="Y383" i="9" s="1"/>
  <c r="H384" i="9"/>
  <c r="H385" i="9"/>
  <c r="H386" i="9"/>
  <c r="Y386" i="9" s="1"/>
  <c r="H387" i="9"/>
  <c r="Y387" i="9" s="1"/>
  <c r="H388" i="9"/>
  <c r="H389" i="9"/>
  <c r="H390" i="9"/>
  <c r="Y390" i="9" s="1"/>
  <c r="H391" i="9"/>
  <c r="Y391" i="9" s="1"/>
  <c r="H392" i="9"/>
  <c r="H393" i="9"/>
  <c r="H394" i="9"/>
  <c r="Y394" i="9" s="1"/>
  <c r="H395" i="9"/>
  <c r="Y395" i="9" s="1"/>
  <c r="H396" i="9"/>
  <c r="Y396" i="9" s="1"/>
  <c r="H397" i="9"/>
  <c r="H398" i="9"/>
  <c r="Y398" i="9" s="1"/>
  <c r="H399" i="9"/>
  <c r="Y399" i="9" s="1"/>
  <c r="H400" i="9"/>
  <c r="H401" i="9"/>
  <c r="H402" i="9"/>
  <c r="Y402" i="9" s="1"/>
  <c r="H403" i="9"/>
  <c r="Y403" i="9" s="1"/>
  <c r="H404" i="9"/>
  <c r="H405" i="9"/>
  <c r="H406" i="9"/>
  <c r="Y406" i="9" s="1"/>
  <c r="H407" i="9"/>
  <c r="Y407" i="9" s="1"/>
  <c r="H408" i="9"/>
  <c r="Y408" i="9" s="1"/>
  <c r="H409" i="9"/>
  <c r="H410" i="9"/>
  <c r="Y410" i="9" s="1"/>
  <c r="H411" i="9"/>
  <c r="Y411" i="9" s="1"/>
  <c r="H412" i="9"/>
  <c r="Y412" i="9" s="1"/>
  <c r="H413" i="9"/>
  <c r="H414" i="9"/>
  <c r="Y414" i="9" s="1"/>
  <c r="H415" i="9"/>
  <c r="Y415" i="9" s="1"/>
  <c r="H416" i="9"/>
  <c r="H417" i="9"/>
  <c r="H418" i="9"/>
  <c r="Y418" i="9" s="1"/>
  <c r="H419" i="9"/>
  <c r="Y419" i="9" s="1"/>
  <c r="H420" i="9"/>
  <c r="H421" i="9"/>
  <c r="H422" i="9"/>
  <c r="H423" i="9"/>
  <c r="Y423" i="9" s="1"/>
  <c r="H424" i="9"/>
  <c r="Y424" i="9" s="1"/>
  <c r="H425" i="9"/>
  <c r="H426" i="9"/>
  <c r="Y426" i="9" s="1"/>
  <c r="H427" i="9"/>
  <c r="Y427" i="9" s="1"/>
  <c r="H428" i="9"/>
  <c r="Y428" i="9" s="1"/>
  <c r="H429" i="9"/>
  <c r="H430" i="9"/>
  <c r="Y430" i="9" s="1"/>
  <c r="H431" i="9"/>
  <c r="Y431" i="9" s="1"/>
  <c r="H432" i="9"/>
  <c r="H433" i="9"/>
  <c r="H434" i="9"/>
  <c r="Y434" i="9" s="1"/>
  <c r="H435" i="9"/>
  <c r="Y435" i="9" s="1"/>
  <c r="H436" i="9"/>
  <c r="H437" i="9"/>
  <c r="H438" i="9"/>
  <c r="Y438" i="9" s="1"/>
  <c r="H439" i="9"/>
  <c r="Y439" i="9" s="1"/>
  <c r="H440" i="9"/>
  <c r="Y440" i="9" s="1"/>
  <c r="H441" i="9"/>
  <c r="H442" i="9"/>
  <c r="Y442" i="9" s="1"/>
  <c r="H443" i="9"/>
  <c r="Y443" i="9" s="1"/>
  <c r="H444" i="9"/>
  <c r="Y444" i="9" s="1"/>
  <c r="H445" i="9"/>
  <c r="H446" i="9"/>
  <c r="Y446" i="9" s="1"/>
  <c r="H447" i="9"/>
  <c r="Y447" i="9" s="1"/>
  <c r="H448" i="9"/>
  <c r="H449" i="9"/>
  <c r="H450" i="9"/>
  <c r="Y450" i="9" s="1"/>
  <c r="H451" i="9"/>
  <c r="Y451" i="9" s="1"/>
  <c r="H452" i="9"/>
  <c r="H453" i="9"/>
  <c r="H454" i="9"/>
  <c r="Y454" i="9" s="1"/>
  <c r="H455" i="9"/>
  <c r="Y455" i="9" s="1"/>
  <c r="H456" i="9"/>
  <c r="Y456" i="9" s="1"/>
  <c r="H457" i="9"/>
  <c r="H458" i="9"/>
  <c r="Y458" i="9" s="1"/>
  <c r="H459" i="9"/>
  <c r="Y459" i="9" s="1"/>
  <c r="H460" i="9"/>
  <c r="Y460" i="9" s="1"/>
  <c r="H461" i="9"/>
  <c r="H462" i="9"/>
  <c r="Y462" i="9" s="1"/>
  <c r="H463" i="9"/>
  <c r="Y463" i="9" s="1"/>
  <c r="H464" i="9"/>
  <c r="H465" i="9"/>
  <c r="H466" i="9"/>
  <c r="Y466" i="9" s="1"/>
  <c r="H467" i="9"/>
  <c r="Y467" i="9" s="1"/>
  <c r="H468" i="9"/>
  <c r="H469" i="9"/>
  <c r="H470" i="9"/>
  <c r="H471" i="9"/>
  <c r="Y471" i="9" s="1"/>
  <c r="H472" i="9"/>
  <c r="Y472" i="9" s="1"/>
  <c r="H473" i="9"/>
  <c r="H474" i="9"/>
  <c r="Y474" i="9" s="1"/>
  <c r="H475" i="9"/>
  <c r="Y475" i="9" s="1"/>
  <c r="H476" i="9"/>
  <c r="Y476" i="9" s="1"/>
  <c r="H477" i="9"/>
  <c r="H478" i="9"/>
  <c r="Y478" i="9" s="1"/>
  <c r="H479" i="9"/>
  <c r="Y479" i="9" s="1"/>
  <c r="H480" i="9"/>
  <c r="H481" i="9"/>
  <c r="H482" i="9"/>
  <c r="Y482" i="9" s="1"/>
  <c r="H483" i="9"/>
  <c r="Y483" i="9" s="1"/>
  <c r="H484" i="9"/>
  <c r="H485" i="9"/>
  <c r="H486" i="9"/>
  <c r="Y486" i="9" s="1"/>
  <c r="H487" i="9"/>
  <c r="Y487" i="9" s="1"/>
  <c r="H488" i="9"/>
  <c r="Y488" i="9" s="1"/>
  <c r="H489" i="9"/>
  <c r="H490" i="9"/>
  <c r="Y490" i="9" s="1"/>
  <c r="H491" i="9"/>
  <c r="Y491" i="9" s="1"/>
  <c r="H492" i="9"/>
  <c r="Y492" i="9" s="1"/>
  <c r="H493" i="9"/>
  <c r="H494" i="9"/>
  <c r="Y494" i="9" s="1"/>
  <c r="H495" i="9"/>
  <c r="Y495" i="9" s="1"/>
  <c r="H496" i="9"/>
  <c r="H497" i="9"/>
  <c r="H498" i="9"/>
  <c r="Y498" i="9" s="1"/>
  <c r="H499" i="9"/>
  <c r="Y499" i="9" s="1"/>
  <c r="H500" i="9"/>
  <c r="H501" i="9"/>
  <c r="H502" i="9"/>
  <c r="Y502" i="9" s="1"/>
  <c r="H503" i="9"/>
  <c r="Y503" i="9" s="1"/>
  <c r="H504" i="9"/>
  <c r="Y504" i="9" s="1"/>
  <c r="H505" i="9"/>
  <c r="H506" i="9"/>
  <c r="Y506" i="9" s="1"/>
  <c r="H507" i="9"/>
  <c r="Y507" i="9" s="1"/>
  <c r="H508" i="9"/>
  <c r="Y508" i="9" s="1"/>
  <c r="H509" i="9"/>
  <c r="H510" i="9"/>
  <c r="Y510" i="9" s="1"/>
  <c r="H511" i="9"/>
  <c r="Y511" i="9" s="1"/>
  <c r="H512" i="9"/>
  <c r="H513" i="9"/>
  <c r="H514" i="9"/>
  <c r="Y514" i="9" s="1"/>
  <c r="H515" i="9"/>
  <c r="Y515" i="9" s="1"/>
  <c r="H516" i="9"/>
  <c r="H517" i="9"/>
  <c r="H518" i="9"/>
  <c r="Y518" i="9" s="1"/>
  <c r="H519" i="9"/>
  <c r="Y519" i="9" s="1"/>
  <c r="H520" i="9"/>
  <c r="Y520" i="9" s="1"/>
  <c r="H521" i="9"/>
  <c r="H522" i="9"/>
  <c r="Y522" i="9" s="1"/>
  <c r="H523" i="9"/>
  <c r="Y523" i="9" s="1"/>
  <c r="H524" i="9"/>
  <c r="Y524" i="9" s="1"/>
  <c r="H525" i="9"/>
  <c r="H526" i="9"/>
  <c r="Y526" i="9" s="1"/>
  <c r="H527" i="9"/>
  <c r="Y527" i="9" s="1"/>
  <c r="H528" i="9"/>
  <c r="H529" i="9"/>
  <c r="H530" i="9"/>
  <c r="Y530" i="9" s="1"/>
  <c r="H531" i="9"/>
  <c r="Y531" i="9" s="1"/>
  <c r="H532" i="9"/>
  <c r="H533" i="9"/>
  <c r="H534" i="9"/>
  <c r="Y534" i="9" s="1"/>
  <c r="H535" i="9"/>
  <c r="Y535" i="9" s="1"/>
  <c r="H536" i="9"/>
  <c r="Y536" i="9" s="1"/>
  <c r="H537" i="9"/>
  <c r="H538" i="9"/>
  <c r="Y538" i="9" s="1"/>
  <c r="H539" i="9"/>
  <c r="Y539" i="9" s="1"/>
  <c r="H540" i="9"/>
  <c r="Y540" i="9" s="1"/>
  <c r="H541" i="9"/>
  <c r="H542" i="9"/>
  <c r="Y542" i="9" s="1"/>
  <c r="H543" i="9"/>
  <c r="Y543" i="9" s="1"/>
  <c r="H544" i="9"/>
  <c r="H545" i="9"/>
  <c r="H546" i="9"/>
  <c r="Y546" i="9" s="1"/>
  <c r="H547" i="9"/>
  <c r="Y547" i="9" s="1"/>
  <c r="H548" i="9"/>
  <c r="H549" i="9"/>
  <c r="H550" i="9"/>
  <c r="Y550" i="9" s="1"/>
  <c r="H551" i="9"/>
  <c r="Y551" i="9" s="1"/>
  <c r="H552" i="9"/>
  <c r="Y552" i="9" s="1"/>
  <c r="H553" i="9"/>
  <c r="H554" i="9"/>
  <c r="Y554" i="9" s="1"/>
  <c r="H555" i="9"/>
  <c r="Y555" i="9" s="1"/>
  <c r="H556" i="9"/>
  <c r="Y556" i="9" s="1"/>
  <c r="H557" i="9"/>
  <c r="H558" i="9"/>
  <c r="Y558" i="9" s="1"/>
  <c r="H559" i="9"/>
  <c r="Y559" i="9" s="1"/>
  <c r="H560" i="9"/>
  <c r="H561" i="9"/>
  <c r="H562" i="9"/>
  <c r="Y562" i="9" s="1"/>
  <c r="H563" i="9"/>
  <c r="Y563" i="9" s="1"/>
  <c r="H564" i="9"/>
  <c r="H565" i="9"/>
  <c r="H566" i="9"/>
  <c r="Y566" i="9" s="1"/>
  <c r="H567" i="9"/>
  <c r="Y567" i="9" s="1"/>
  <c r="H568" i="9"/>
  <c r="Y568" i="9" s="1"/>
  <c r="H569" i="9"/>
  <c r="H570" i="9"/>
  <c r="Y570" i="9" s="1"/>
  <c r="H571" i="9"/>
  <c r="Y571" i="9" s="1"/>
  <c r="H572" i="9"/>
  <c r="Y572" i="9" s="1"/>
  <c r="H573" i="9"/>
  <c r="H574" i="9"/>
  <c r="Y574" i="9" s="1"/>
  <c r="H575" i="9"/>
  <c r="Y575" i="9" s="1"/>
  <c r="H576" i="9"/>
  <c r="H577" i="9"/>
  <c r="H578" i="9"/>
  <c r="Y578" i="9" s="1"/>
  <c r="H579" i="9"/>
  <c r="Y579" i="9" s="1"/>
  <c r="H580" i="9"/>
  <c r="H581" i="9"/>
  <c r="H582" i="9"/>
  <c r="Y582" i="9" s="1"/>
  <c r="H583" i="9"/>
  <c r="Y583" i="9" s="1"/>
  <c r="H584" i="9"/>
  <c r="Y584" i="9" s="1"/>
  <c r="H585" i="9"/>
  <c r="H586" i="9"/>
  <c r="Y586" i="9" s="1"/>
  <c r="H587" i="9"/>
  <c r="Y587" i="9" s="1"/>
  <c r="H588" i="9"/>
  <c r="Y588" i="9" s="1"/>
  <c r="H589" i="9"/>
  <c r="H590" i="9"/>
  <c r="Y590" i="9" s="1"/>
  <c r="H591" i="9"/>
  <c r="Y591" i="9" s="1"/>
  <c r="H592" i="9"/>
  <c r="H593" i="9"/>
  <c r="H594" i="9"/>
  <c r="Y594" i="9" s="1"/>
  <c r="H595" i="9"/>
  <c r="Y595" i="9" s="1"/>
  <c r="H596" i="9"/>
  <c r="H597" i="9"/>
  <c r="H598" i="9"/>
  <c r="Y598" i="9" s="1"/>
  <c r="H599" i="9"/>
  <c r="Y599" i="9" s="1"/>
  <c r="H600" i="9"/>
  <c r="Y600" i="9" s="1"/>
  <c r="H601" i="9"/>
  <c r="H602" i="9"/>
  <c r="Y602" i="9" s="1"/>
  <c r="H603" i="9"/>
  <c r="Y603" i="9" s="1"/>
  <c r="H604" i="9"/>
  <c r="Y604" i="9" s="1"/>
  <c r="H605" i="9"/>
  <c r="H606" i="9"/>
  <c r="Y606" i="9" s="1"/>
  <c r="H607" i="9"/>
  <c r="Y607" i="9" s="1"/>
  <c r="H608" i="9"/>
  <c r="H609" i="9"/>
  <c r="H610" i="9"/>
  <c r="Y610" i="9" s="1"/>
  <c r="H611" i="9"/>
  <c r="Y611" i="9" s="1"/>
  <c r="H612" i="9"/>
  <c r="H613" i="9"/>
  <c r="H614" i="9"/>
  <c r="Y614" i="9" s="1"/>
  <c r="H615" i="9"/>
  <c r="Y615" i="9" s="1"/>
  <c r="H616" i="9"/>
  <c r="Y616" i="9" s="1"/>
  <c r="H617" i="9"/>
  <c r="H618" i="9"/>
  <c r="Y618" i="9" s="1"/>
  <c r="H619" i="9"/>
  <c r="Y619" i="9" s="1"/>
  <c r="H620" i="9"/>
  <c r="Y620" i="9" s="1"/>
  <c r="H621" i="9"/>
  <c r="H622" i="9"/>
  <c r="Y622" i="9" s="1"/>
  <c r="H623" i="9"/>
  <c r="Y623" i="9" s="1"/>
  <c r="H624" i="9"/>
  <c r="H625" i="9"/>
  <c r="H626" i="9"/>
  <c r="Y626" i="9" s="1"/>
  <c r="H627" i="9"/>
  <c r="Y627" i="9" s="1"/>
  <c r="H628" i="9"/>
  <c r="H629" i="9"/>
  <c r="H630" i="9"/>
  <c r="Y630" i="9" s="1"/>
  <c r="H631" i="9"/>
  <c r="Y631" i="9" s="1"/>
  <c r="H632" i="9"/>
  <c r="Y632" i="9" s="1"/>
  <c r="H633" i="9"/>
  <c r="H634" i="9"/>
  <c r="Y634" i="9" s="1"/>
  <c r="H635" i="9"/>
  <c r="Y635" i="9" s="1"/>
  <c r="H636" i="9"/>
  <c r="Y636" i="9" s="1"/>
  <c r="H637" i="9"/>
  <c r="H638" i="9"/>
  <c r="Y638" i="9" s="1"/>
  <c r="H639" i="9"/>
  <c r="Y639" i="9" s="1"/>
  <c r="H640" i="9"/>
  <c r="H641" i="9"/>
  <c r="H642" i="9"/>
  <c r="Y642" i="9" s="1"/>
  <c r="H643" i="9"/>
  <c r="Y643" i="9" s="1"/>
  <c r="H644" i="9"/>
  <c r="H645" i="9"/>
  <c r="H646" i="9"/>
  <c r="Y646" i="9" s="1"/>
  <c r="H647" i="9"/>
  <c r="Y647" i="9" s="1"/>
  <c r="H648" i="9"/>
  <c r="Y648" i="9" s="1"/>
  <c r="H649" i="9"/>
  <c r="H650" i="9"/>
  <c r="Y650" i="9" s="1"/>
  <c r="H651" i="9"/>
  <c r="Y651" i="9" s="1"/>
  <c r="H652" i="9"/>
  <c r="Y652" i="9" s="1"/>
  <c r="H653" i="9"/>
  <c r="H654" i="9"/>
  <c r="Y654" i="9" s="1"/>
  <c r="H655" i="9"/>
  <c r="Y655" i="9" s="1"/>
  <c r="H656" i="9"/>
  <c r="H657" i="9"/>
  <c r="H658" i="9"/>
  <c r="Y658" i="9" s="1"/>
  <c r="H659" i="9"/>
  <c r="Y659" i="9" s="1"/>
  <c r="H660" i="9"/>
  <c r="H661" i="9"/>
  <c r="H662" i="9"/>
  <c r="Y662" i="9" s="1"/>
  <c r="H663" i="9"/>
  <c r="Y663" i="9" s="1"/>
  <c r="H664" i="9"/>
  <c r="Y664" i="9" s="1"/>
  <c r="H665" i="9"/>
  <c r="H666" i="9"/>
  <c r="Y666" i="9" s="1"/>
  <c r="H667" i="9"/>
  <c r="Y667" i="9" s="1"/>
  <c r="H668" i="9"/>
  <c r="Y668" i="9" s="1"/>
  <c r="H669" i="9"/>
  <c r="H670" i="9"/>
  <c r="Y670" i="9" s="1"/>
  <c r="H671" i="9"/>
  <c r="Y671" i="9" s="1"/>
  <c r="H672" i="9"/>
  <c r="Y672" i="9" s="1"/>
  <c r="H673" i="9"/>
  <c r="H674" i="9"/>
  <c r="Y674" i="9" s="1"/>
  <c r="H675" i="9"/>
  <c r="Y675" i="9" s="1"/>
  <c r="H676" i="9"/>
  <c r="Y676" i="9" s="1"/>
  <c r="H677" i="9"/>
  <c r="H678" i="9"/>
  <c r="Y678" i="9" s="1"/>
  <c r="H679" i="9"/>
  <c r="Y679" i="9" s="1"/>
  <c r="H680" i="9"/>
  <c r="Y680" i="9" s="1"/>
  <c r="H681" i="9"/>
  <c r="H682" i="9"/>
  <c r="Y682" i="9" s="1"/>
  <c r="H683" i="9"/>
  <c r="Y683" i="9" s="1"/>
  <c r="H684" i="9"/>
  <c r="H685" i="9"/>
  <c r="H686" i="9"/>
  <c r="Y686" i="9" s="1"/>
  <c r="H687" i="9"/>
  <c r="Y687" i="9" s="1"/>
  <c r="H688" i="9"/>
  <c r="H689" i="9"/>
  <c r="H690" i="9"/>
  <c r="Y690" i="9" s="1"/>
  <c r="H691" i="9"/>
  <c r="Y691" i="9" s="1"/>
  <c r="H692" i="9"/>
  <c r="Y692" i="9" s="1"/>
  <c r="H693" i="9"/>
  <c r="H694" i="9"/>
  <c r="Y694" i="9" s="1"/>
  <c r="H695" i="9"/>
  <c r="Y695" i="9" s="1"/>
  <c r="H696" i="9"/>
  <c r="Y696" i="9" s="1"/>
  <c r="H697" i="9"/>
  <c r="H698" i="9"/>
  <c r="Y698" i="9" s="1"/>
  <c r="H699" i="9"/>
  <c r="Y699" i="9" s="1"/>
  <c r="H700" i="9"/>
  <c r="H701" i="9"/>
  <c r="H702" i="9"/>
  <c r="Y702" i="9" s="1"/>
  <c r="H703" i="9"/>
  <c r="Y703" i="9" s="1"/>
  <c r="H704" i="9"/>
  <c r="H705" i="9"/>
  <c r="H706" i="9"/>
  <c r="Y706" i="9" s="1"/>
  <c r="H707" i="9"/>
  <c r="Y707" i="9" s="1"/>
  <c r="H708" i="9"/>
  <c r="Y708" i="9" s="1"/>
  <c r="H709" i="9"/>
  <c r="H710" i="9"/>
  <c r="Y710" i="9" s="1"/>
  <c r="H711" i="9"/>
  <c r="Y711" i="9" s="1"/>
  <c r="H712" i="9"/>
  <c r="Y712" i="9" s="1"/>
  <c r="H713" i="9"/>
  <c r="H714" i="9"/>
  <c r="Y714" i="9" s="1"/>
  <c r="H715" i="9"/>
  <c r="Y715" i="9" s="1"/>
  <c r="H716" i="9"/>
  <c r="H717" i="9"/>
  <c r="H718" i="9"/>
  <c r="Y718" i="9" s="1"/>
  <c r="H719" i="9"/>
  <c r="Y719" i="9" s="1"/>
  <c r="H720" i="9"/>
  <c r="H721" i="9"/>
  <c r="H722" i="9"/>
  <c r="Y722" i="9" s="1"/>
  <c r="H723" i="9"/>
  <c r="Y723" i="9" s="1"/>
  <c r="H724" i="9"/>
  <c r="Y724" i="9" s="1"/>
  <c r="H725" i="9"/>
  <c r="H726" i="9"/>
  <c r="Y726" i="9" s="1"/>
  <c r="H727" i="9"/>
  <c r="Y727" i="9" s="1"/>
  <c r="H728" i="9"/>
  <c r="Y728" i="9" s="1"/>
  <c r="H729" i="9"/>
  <c r="H730" i="9"/>
  <c r="Y730" i="9" s="1"/>
  <c r="H731" i="9"/>
  <c r="Y731" i="9" s="1"/>
  <c r="H732" i="9"/>
  <c r="H733" i="9"/>
  <c r="H734" i="9"/>
  <c r="Y734" i="9" s="1"/>
  <c r="H735" i="9"/>
  <c r="Y735" i="9" s="1"/>
  <c r="H736" i="9"/>
  <c r="H737" i="9"/>
  <c r="H738" i="9"/>
  <c r="Y738" i="9" s="1"/>
  <c r="H739" i="9"/>
  <c r="Y739" i="9" s="1"/>
  <c r="H740" i="9"/>
  <c r="Y740" i="9" s="1"/>
  <c r="H741" i="9"/>
  <c r="H742" i="9"/>
  <c r="Y742" i="9" s="1"/>
  <c r="H743" i="9"/>
  <c r="Y743" i="9" s="1"/>
  <c r="H744" i="9"/>
  <c r="Y744" i="9" s="1"/>
  <c r="H745" i="9"/>
  <c r="H746" i="9"/>
  <c r="Y746" i="9" s="1"/>
  <c r="H747" i="9"/>
  <c r="Y747" i="9" s="1"/>
  <c r="H748" i="9"/>
  <c r="H749" i="9"/>
  <c r="H750" i="9"/>
  <c r="Y750" i="9" s="1"/>
  <c r="H751" i="9"/>
  <c r="Y751" i="9" s="1"/>
  <c r="H752" i="9"/>
  <c r="H753" i="9"/>
  <c r="H754" i="9"/>
  <c r="Y754" i="9" s="1"/>
  <c r="H755" i="9"/>
  <c r="Y755" i="9" s="1"/>
  <c r="H756" i="9"/>
  <c r="Y756" i="9" s="1"/>
  <c r="H757" i="9"/>
  <c r="H758" i="9"/>
  <c r="Y758" i="9" s="1"/>
  <c r="H759" i="9"/>
  <c r="Y759" i="9" s="1"/>
  <c r="H760" i="9"/>
  <c r="Y760" i="9" s="1"/>
  <c r="H761" i="9"/>
  <c r="H762" i="9"/>
  <c r="Y762" i="9" s="1"/>
  <c r="H763" i="9"/>
  <c r="Y763" i="9" s="1"/>
  <c r="H764" i="9"/>
  <c r="H765" i="9"/>
  <c r="H766" i="9"/>
  <c r="Y766" i="9" s="1"/>
  <c r="H767" i="9"/>
  <c r="Y767" i="9" s="1"/>
  <c r="H768" i="9"/>
  <c r="H769" i="9"/>
  <c r="H770" i="9"/>
  <c r="Y770" i="9" s="1"/>
  <c r="H771" i="9"/>
  <c r="Y771" i="9" s="1"/>
  <c r="H772" i="9"/>
  <c r="Y772" i="9" s="1"/>
  <c r="H773" i="9"/>
  <c r="H774" i="9"/>
  <c r="H775" i="9"/>
  <c r="Y775" i="9" s="1"/>
  <c r="H776" i="9"/>
  <c r="Y776" i="9" s="1"/>
  <c r="H777" i="9"/>
  <c r="H778" i="9"/>
  <c r="Y778" i="9" s="1"/>
  <c r="H779" i="9"/>
  <c r="Y779" i="9" s="1"/>
  <c r="H780" i="9"/>
  <c r="H781" i="9"/>
  <c r="H782" i="9"/>
  <c r="Y782" i="9" s="1"/>
  <c r="H783" i="9"/>
  <c r="Y783" i="9" s="1"/>
  <c r="H784" i="9"/>
  <c r="H785" i="9"/>
  <c r="H786" i="9"/>
  <c r="Y786" i="9" s="1"/>
  <c r="H787" i="9"/>
  <c r="Y787" i="9" s="1"/>
  <c r="H788" i="9"/>
  <c r="Y788" i="9" s="1"/>
  <c r="H789" i="9"/>
  <c r="H790" i="9"/>
  <c r="Y790" i="9" s="1"/>
  <c r="H791" i="9"/>
  <c r="Y791" i="9" s="1"/>
  <c r="H792" i="9"/>
  <c r="Y792" i="9" s="1"/>
  <c r="H793" i="9"/>
  <c r="H794" i="9"/>
  <c r="Y794" i="9" s="1"/>
  <c r="H795" i="9"/>
  <c r="Y795" i="9" s="1"/>
  <c r="H796" i="9"/>
  <c r="H797" i="9"/>
  <c r="H798" i="9"/>
  <c r="Y798" i="9" s="1"/>
  <c r="H799" i="9"/>
  <c r="Y799" i="9" s="1"/>
  <c r="H800" i="9"/>
  <c r="H801" i="9"/>
  <c r="H802" i="9"/>
  <c r="Y802" i="9" s="1"/>
  <c r="H803" i="9"/>
  <c r="Y803" i="9" s="1"/>
  <c r="H804" i="9"/>
  <c r="Y804" i="9" s="1"/>
  <c r="H805" i="9"/>
  <c r="H806" i="9"/>
  <c r="Y806" i="9" s="1"/>
  <c r="H807" i="9"/>
  <c r="Y807" i="9" s="1"/>
  <c r="H808" i="9"/>
  <c r="Y808" i="9" s="1"/>
  <c r="H809" i="9"/>
  <c r="H810" i="9"/>
  <c r="Y810" i="9" s="1"/>
  <c r="H811" i="9"/>
  <c r="Y811" i="9" s="1"/>
  <c r="H812" i="9"/>
  <c r="H813" i="9"/>
  <c r="H814" i="9"/>
  <c r="Y814" i="9" s="1"/>
  <c r="H815" i="9"/>
  <c r="Y815" i="9" s="1"/>
  <c r="H816" i="9"/>
  <c r="H817" i="9"/>
  <c r="H818" i="9"/>
  <c r="Y818" i="9" s="1"/>
  <c r="H819" i="9"/>
  <c r="Y819" i="9" s="1"/>
  <c r="H820" i="9"/>
  <c r="Y820" i="9" s="1"/>
  <c r="H821" i="9"/>
  <c r="H822" i="9"/>
  <c r="Y822" i="9" s="1"/>
  <c r="H823" i="9"/>
  <c r="Y823" i="9" s="1"/>
  <c r="H824" i="9"/>
  <c r="Y824" i="9" s="1"/>
  <c r="H825" i="9"/>
  <c r="H826" i="9"/>
  <c r="Y826" i="9" s="1"/>
  <c r="H827" i="9"/>
  <c r="Y827" i="9" s="1"/>
  <c r="H828" i="9"/>
  <c r="H829" i="9"/>
  <c r="H830" i="9"/>
  <c r="Y830" i="9" s="1"/>
  <c r="H831" i="9"/>
  <c r="Y831" i="9" s="1"/>
  <c r="H832" i="9"/>
  <c r="H833" i="9"/>
  <c r="H834" i="9"/>
  <c r="Y834" i="9" s="1"/>
  <c r="H835" i="9"/>
  <c r="Y835" i="9" s="1"/>
  <c r="H836" i="9"/>
  <c r="Y836" i="9" s="1"/>
  <c r="H837" i="9"/>
  <c r="H838" i="9"/>
  <c r="Y838" i="9" s="1"/>
  <c r="H839" i="9"/>
  <c r="Y839" i="9" s="1"/>
  <c r="H840" i="9"/>
  <c r="Y840" i="9" s="1"/>
  <c r="H841" i="9"/>
  <c r="H842" i="9"/>
  <c r="Y842" i="9" s="1"/>
  <c r="H843" i="9"/>
  <c r="Y843" i="9" s="1"/>
  <c r="H844" i="9"/>
  <c r="H845" i="9"/>
  <c r="H846" i="9"/>
  <c r="Y846" i="9" s="1"/>
  <c r="H847" i="9"/>
  <c r="Y847" i="9" s="1"/>
  <c r="H848" i="9"/>
  <c r="H849" i="9"/>
  <c r="H850" i="9"/>
  <c r="Y850" i="9" s="1"/>
  <c r="H851" i="9"/>
  <c r="Y851" i="9" s="1"/>
  <c r="H852" i="9"/>
  <c r="Y852" i="9" s="1"/>
  <c r="H853" i="9"/>
  <c r="H854" i="9"/>
  <c r="Y854" i="9" s="1"/>
  <c r="H855" i="9"/>
  <c r="Y855" i="9" s="1"/>
  <c r="H856" i="9"/>
  <c r="Y856" i="9" s="1"/>
  <c r="H857" i="9"/>
  <c r="H858" i="9"/>
  <c r="Y858" i="9" s="1"/>
  <c r="H859" i="9"/>
  <c r="Y859" i="9" s="1"/>
  <c r="H860" i="9"/>
  <c r="H861" i="9"/>
  <c r="H862" i="9"/>
  <c r="Y862" i="9" s="1"/>
  <c r="H863" i="9"/>
  <c r="Y863" i="9" s="1"/>
  <c r="H864" i="9"/>
  <c r="H865" i="9"/>
  <c r="H866" i="9"/>
  <c r="Y866" i="9" s="1"/>
  <c r="H867" i="9"/>
  <c r="Y867" i="9" s="1"/>
  <c r="H868" i="9"/>
  <c r="Y868" i="9" s="1"/>
  <c r="H869" i="9"/>
  <c r="H870" i="9"/>
  <c r="Y870" i="9" s="1"/>
  <c r="H871" i="9"/>
  <c r="Y871" i="9" s="1"/>
  <c r="H872" i="9"/>
  <c r="Y872" i="9" s="1"/>
  <c r="H873" i="9"/>
  <c r="H874" i="9"/>
  <c r="Y874" i="9" s="1"/>
  <c r="H875" i="9"/>
  <c r="Y875" i="9" s="1"/>
  <c r="H876" i="9"/>
  <c r="H877" i="9"/>
  <c r="H878" i="9"/>
  <c r="Y878" i="9" s="1"/>
  <c r="H879" i="9"/>
  <c r="Y879" i="9" s="1"/>
  <c r="H880" i="9"/>
  <c r="H881" i="9"/>
  <c r="H882" i="9"/>
  <c r="Y882" i="9" s="1"/>
  <c r="H883" i="9"/>
  <c r="Y883" i="9" s="1"/>
  <c r="H884" i="9"/>
  <c r="Y884" i="9" s="1"/>
  <c r="H885" i="9"/>
  <c r="H886" i="9"/>
  <c r="Y886" i="9" s="1"/>
  <c r="H887" i="9"/>
  <c r="Y887" i="9" s="1"/>
  <c r="H888" i="9"/>
  <c r="Y888" i="9" s="1"/>
  <c r="H889" i="9"/>
  <c r="H890" i="9"/>
  <c r="Y890" i="9" s="1"/>
  <c r="H891" i="9"/>
  <c r="Y891" i="9" s="1"/>
  <c r="H892" i="9"/>
  <c r="H893" i="9"/>
  <c r="H894" i="9"/>
  <c r="Y894" i="9" s="1"/>
  <c r="H895" i="9"/>
  <c r="Y895" i="9" s="1"/>
  <c r="H896" i="9"/>
  <c r="H897" i="9"/>
  <c r="H898" i="9"/>
  <c r="Y898" i="9" s="1"/>
  <c r="H899" i="9"/>
  <c r="Y899" i="9" s="1"/>
  <c r="H900" i="9"/>
  <c r="Y900" i="9" s="1"/>
  <c r="H901" i="9"/>
  <c r="H902" i="9"/>
  <c r="Y902" i="9" s="1"/>
  <c r="H903" i="9"/>
  <c r="Y903" i="9" s="1"/>
  <c r="H904" i="9"/>
  <c r="Y904" i="9" s="1"/>
  <c r="H905" i="9"/>
  <c r="H906" i="9"/>
  <c r="Y906" i="9" s="1"/>
  <c r="H907" i="9"/>
  <c r="Y907" i="9" s="1"/>
  <c r="H908" i="9"/>
  <c r="H909" i="9"/>
  <c r="H910" i="9"/>
  <c r="Y910" i="9" s="1"/>
  <c r="H911" i="9"/>
  <c r="Y911" i="9" s="1"/>
  <c r="H912" i="9"/>
  <c r="H913" i="9"/>
  <c r="H914" i="9"/>
  <c r="Y914" i="9" s="1"/>
  <c r="H915" i="9"/>
  <c r="Y915" i="9" s="1"/>
  <c r="H916" i="9"/>
  <c r="Y916" i="9" s="1"/>
  <c r="H917" i="9"/>
  <c r="H918" i="9"/>
  <c r="Y918" i="9" s="1"/>
  <c r="H919" i="9"/>
  <c r="Y919" i="9" s="1"/>
  <c r="H920" i="9"/>
  <c r="Y920" i="9" s="1"/>
  <c r="H921" i="9"/>
  <c r="H922" i="9"/>
  <c r="Y922" i="9" s="1"/>
  <c r="H923" i="9"/>
  <c r="Y923" i="9" s="1"/>
  <c r="H924" i="9"/>
  <c r="H925" i="9"/>
  <c r="H926" i="9"/>
  <c r="Y926" i="9" s="1"/>
  <c r="H927" i="9"/>
  <c r="Y927" i="9" s="1"/>
  <c r="H928" i="9"/>
  <c r="H929" i="9"/>
  <c r="H930" i="9"/>
  <c r="Y930" i="9" s="1"/>
  <c r="H931" i="9"/>
  <c r="Y931" i="9" s="1"/>
  <c r="H932" i="9"/>
  <c r="Y932" i="9" s="1"/>
  <c r="H933" i="9"/>
  <c r="H934" i="9"/>
  <c r="Y934" i="9" s="1"/>
  <c r="H935" i="9"/>
  <c r="Y935" i="9" s="1"/>
  <c r="H936" i="9"/>
  <c r="Y936" i="9" s="1"/>
  <c r="H937" i="9"/>
  <c r="H938" i="9"/>
  <c r="Y938" i="9" s="1"/>
  <c r="H939" i="9"/>
  <c r="Y939" i="9" s="1"/>
  <c r="H940" i="9"/>
  <c r="H941" i="9"/>
  <c r="H942" i="9"/>
  <c r="Y942" i="9" s="1"/>
  <c r="H943" i="9"/>
  <c r="Y943" i="9" s="1"/>
  <c r="H944" i="9"/>
  <c r="H945" i="9"/>
  <c r="H946" i="9"/>
  <c r="Y946" i="9" s="1"/>
  <c r="H947" i="9"/>
  <c r="Y947" i="9" s="1"/>
  <c r="H948" i="9"/>
  <c r="Y948" i="9" s="1"/>
  <c r="H949" i="9"/>
  <c r="H950" i="9"/>
  <c r="Y950" i="9" s="1"/>
  <c r="H951" i="9"/>
  <c r="Y951" i="9" s="1"/>
  <c r="H952" i="9"/>
  <c r="Y952" i="9" s="1"/>
  <c r="H953" i="9"/>
  <c r="H954" i="9"/>
  <c r="Y954" i="9" s="1"/>
  <c r="H955" i="9"/>
  <c r="Y955" i="9" s="1"/>
  <c r="H956" i="9"/>
  <c r="H957" i="9"/>
  <c r="H958" i="9"/>
  <c r="Y958" i="9" s="1"/>
  <c r="H959" i="9"/>
  <c r="Y959" i="9" s="1"/>
  <c r="H960" i="9"/>
  <c r="H961" i="9"/>
  <c r="H962" i="9"/>
  <c r="Y962" i="9" s="1"/>
  <c r="H963" i="9"/>
  <c r="Y963" i="9" s="1"/>
  <c r="H964" i="9"/>
  <c r="Y964" i="9" s="1"/>
  <c r="H965" i="9"/>
  <c r="H966" i="9"/>
  <c r="Y966" i="9" s="1"/>
  <c r="H967" i="9"/>
  <c r="Y967" i="9" s="1"/>
  <c r="H968" i="9"/>
  <c r="Y968" i="9" s="1"/>
  <c r="H969" i="9"/>
  <c r="H970" i="9"/>
  <c r="Y970" i="9" s="1"/>
  <c r="H971" i="9"/>
  <c r="Y971" i="9" s="1"/>
  <c r="H972" i="9"/>
  <c r="H973" i="9"/>
  <c r="H974" i="9"/>
  <c r="Y974" i="9" s="1"/>
  <c r="H975" i="9"/>
  <c r="Y975" i="9" s="1"/>
  <c r="H976" i="9"/>
  <c r="H977" i="9"/>
  <c r="H978" i="9"/>
  <c r="Y978" i="9" s="1"/>
  <c r="H979" i="9"/>
  <c r="Y979" i="9" s="1"/>
  <c r="H980" i="9"/>
  <c r="Y980" i="9" s="1"/>
  <c r="H981" i="9"/>
  <c r="H982" i="9"/>
  <c r="Y982" i="9" s="1"/>
  <c r="H983" i="9"/>
  <c r="Y983" i="9" s="1"/>
  <c r="H984" i="9"/>
  <c r="Y984" i="9" s="1"/>
  <c r="H985" i="9"/>
  <c r="H986" i="9"/>
  <c r="Y986" i="9" s="1"/>
  <c r="H987" i="9"/>
  <c r="Y987" i="9" s="1"/>
  <c r="H988" i="9"/>
  <c r="H989" i="9"/>
  <c r="H990" i="9"/>
  <c r="Y990" i="9" s="1"/>
  <c r="H991" i="9"/>
  <c r="Y991" i="9" s="1"/>
  <c r="H992" i="9"/>
  <c r="H993" i="9"/>
  <c r="H994" i="9"/>
  <c r="Y994" i="9" s="1"/>
  <c r="H995" i="9"/>
  <c r="Y995" i="9" s="1"/>
  <c r="H996" i="9"/>
  <c r="Y996" i="9" s="1"/>
  <c r="H997" i="9"/>
  <c r="H998" i="9"/>
  <c r="Y998" i="9" s="1"/>
  <c r="H999" i="9"/>
  <c r="Y999" i="9" s="1"/>
  <c r="H1000" i="9"/>
  <c r="Y1000" i="9" s="1"/>
  <c r="H1001" i="9"/>
  <c r="AD2" i="9"/>
  <c r="AD3" i="9"/>
  <c r="AD4" i="9"/>
  <c r="AD5" i="9"/>
  <c r="AD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152" i="9"/>
  <c r="AD153" i="9"/>
  <c r="AD154" i="9"/>
  <c r="AD155" i="9"/>
  <c r="AD156" i="9"/>
  <c r="AD157" i="9"/>
  <c r="AD158" i="9"/>
  <c r="AD159" i="9"/>
  <c r="AD160" i="9"/>
  <c r="AD161" i="9"/>
  <c r="AD162" i="9"/>
  <c r="AD163" i="9"/>
  <c r="AD164" i="9"/>
  <c r="AD165" i="9"/>
  <c r="AD166" i="9"/>
  <c r="AD167" i="9"/>
  <c r="AD168" i="9"/>
  <c r="AD169" i="9"/>
  <c r="AD170" i="9"/>
  <c r="AD171" i="9"/>
  <c r="AD172" i="9"/>
  <c r="AD173" i="9"/>
  <c r="AD174" i="9"/>
  <c r="AD175" i="9"/>
  <c r="AD176" i="9"/>
  <c r="AD177" i="9"/>
  <c r="AD178" i="9"/>
  <c r="AD179" i="9"/>
  <c r="AD180" i="9"/>
  <c r="AD181" i="9"/>
  <c r="AD182" i="9"/>
  <c r="AD183" i="9"/>
  <c r="AD184" i="9"/>
  <c r="AD185" i="9"/>
  <c r="AD186" i="9"/>
  <c r="AD187" i="9"/>
  <c r="AD188" i="9"/>
  <c r="AD189" i="9"/>
  <c r="AD190" i="9"/>
  <c r="AD191" i="9"/>
  <c r="AD192" i="9"/>
  <c r="AD193" i="9"/>
  <c r="AD194" i="9"/>
  <c r="AD195" i="9"/>
  <c r="AD196" i="9"/>
  <c r="AD197" i="9"/>
  <c r="AD198" i="9"/>
  <c r="AD199" i="9"/>
  <c r="AD200" i="9"/>
  <c r="AD201" i="9"/>
  <c r="AD202" i="9"/>
  <c r="AD203" i="9"/>
  <c r="AD204" i="9"/>
  <c r="AD205" i="9"/>
  <c r="AD206" i="9"/>
  <c r="AD207" i="9"/>
  <c r="AD208" i="9"/>
  <c r="AD209" i="9"/>
  <c r="AD210" i="9"/>
  <c r="AD211" i="9"/>
  <c r="AD212" i="9"/>
  <c r="AD213" i="9"/>
  <c r="AD214" i="9"/>
  <c r="AD215" i="9"/>
  <c r="AD216" i="9"/>
  <c r="AD217" i="9"/>
  <c r="AD218" i="9"/>
  <c r="AD219" i="9"/>
  <c r="AD220" i="9"/>
  <c r="AD221" i="9"/>
  <c r="AD222" i="9"/>
  <c r="AD223" i="9"/>
  <c r="AD224" i="9"/>
  <c r="AD225" i="9"/>
  <c r="AD226" i="9"/>
  <c r="AD227" i="9"/>
  <c r="AD228" i="9"/>
  <c r="AD229" i="9"/>
  <c r="AD230" i="9"/>
  <c r="AD231" i="9"/>
  <c r="AD232" i="9"/>
  <c r="AD233" i="9"/>
  <c r="AD234" i="9"/>
  <c r="AD235" i="9"/>
  <c r="AD236" i="9"/>
  <c r="AD237" i="9"/>
  <c r="AD238" i="9"/>
  <c r="AD239" i="9"/>
  <c r="AD240" i="9"/>
  <c r="AD241" i="9"/>
  <c r="AD242" i="9"/>
  <c r="AD243" i="9"/>
  <c r="AD244" i="9"/>
  <c r="AD245" i="9"/>
  <c r="AD246" i="9"/>
  <c r="AD247" i="9"/>
  <c r="AD248" i="9"/>
  <c r="AD249" i="9"/>
  <c r="AD250" i="9"/>
  <c r="AD251" i="9"/>
  <c r="AD252" i="9"/>
  <c r="AD253" i="9"/>
  <c r="AD254" i="9"/>
  <c r="AD255" i="9"/>
  <c r="AD256" i="9"/>
  <c r="AD257" i="9"/>
  <c r="AD258" i="9"/>
  <c r="AD259" i="9"/>
  <c r="AD260" i="9"/>
  <c r="AD261" i="9"/>
  <c r="AD262" i="9"/>
  <c r="AD263" i="9"/>
  <c r="AD264" i="9"/>
  <c r="AD265" i="9"/>
  <c r="AD266" i="9"/>
  <c r="AD267" i="9"/>
  <c r="AD268" i="9"/>
  <c r="AD269" i="9"/>
  <c r="AD270" i="9"/>
  <c r="AD271" i="9"/>
  <c r="AD272" i="9"/>
  <c r="AD273" i="9"/>
  <c r="AD274" i="9"/>
  <c r="AD275" i="9"/>
  <c r="AD276" i="9"/>
  <c r="AD277" i="9"/>
  <c r="AD278" i="9"/>
  <c r="AD279" i="9"/>
  <c r="AD280" i="9"/>
  <c r="AD281" i="9"/>
  <c r="AD282" i="9"/>
  <c r="AD283" i="9"/>
  <c r="AD284" i="9"/>
  <c r="AD285" i="9"/>
  <c r="AD286" i="9"/>
  <c r="AD287" i="9"/>
  <c r="AD288" i="9"/>
  <c r="AD289" i="9"/>
  <c r="AD290" i="9"/>
  <c r="AD291" i="9"/>
  <c r="AD292" i="9"/>
  <c r="AD293" i="9"/>
  <c r="AD294" i="9"/>
  <c r="AD295" i="9"/>
  <c r="AD296" i="9"/>
  <c r="AD297" i="9"/>
  <c r="AD298" i="9"/>
  <c r="AD299" i="9"/>
  <c r="AD300" i="9"/>
  <c r="AD301" i="9"/>
  <c r="AD302" i="9"/>
  <c r="AD303" i="9"/>
  <c r="AD304" i="9"/>
  <c r="AD305" i="9"/>
  <c r="AD306" i="9"/>
  <c r="AD307" i="9"/>
  <c r="AD308" i="9"/>
  <c r="AD309" i="9"/>
  <c r="AD310" i="9"/>
  <c r="AD311" i="9"/>
  <c r="AD312" i="9"/>
  <c r="AD313" i="9"/>
  <c r="AD314" i="9"/>
  <c r="AD315" i="9"/>
  <c r="AD316" i="9"/>
  <c r="AD317" i="9"/>
  <c r="AD318" i="9"/>
  <c r="AD319" i="9"/>
  <c r="AD320" i="9"/>
  <c r="AD321" i="9"/>
  <c r="AD322" i="9"/>
  <c r="AD323" i="9"/>
  <c r="AD324" i="9"/>
  <c r="AD325" i="9"/>
  <c r="AD326" i="9"/>
  <c r="AD327" i="9"/>
  <c r="AD328" i="9"/>
  <c r="AD329" i="9"/>
  <c r="AD330" i="9"/>
  <c r="AD331" i="9"/>
  <c r="AD332" i="9"/>
  <c r="AD333" i="9"/>
  <c r="AD334" i="9"/>
  <c r="AD335" i="9"/>
  <c r="AD336" i="9"/>
  <c r="AD337" i="9"/>
  <c r="AD338" i="9"/>
  <c r="AD339" i="9"/>
  <c r="AD340" i="9"/>
  <c r="AD341" i="9"/>
  <c r="AD342" i="9"/>
  <c r="AD343" i="9"/>
  <c r="AD344" i="9"/>
  <c r="AD345" i="9"/>
  <c r="AD346" i="9"/>
  <c r="AD347" i="9"/>
  <c r="AD348" i="9"/>
  <c r="AD349" i="9"/>
  <c r="AD350" i="9"/>
  <c r="AD351" i="9"/>
  <c r="AD352" i="9"/>
  <c r="AD353" i="9"/>
  <c r="AD354" i="9"/>
  <c r="AD355" i="9"/>
  <c r="AD356" i="9"/>
  <c r="AD357" i="9"/>
  <c r="AD358" i="9"/>
  <c r="AD359" i="9"/>
  <c r="AD360" i="9"/>
  <c r="AD361" i="9"/>
  <c r="AD362" i="9"/>
  <c r="AD363" i="9"/>
  <c r="AD364" i="9"/>
  <c r="AD365" i="9"/>
  <c r="AD366" i="9"/>
  <c r="AD367" i="9"/>
  <c r="AD368" i="9"/>
  <c r="AD369" i="9"/>
  <c r="AD370" i="9"/>
  <c r="AD371" i="9"/>
  <c r="AD372" i="9"/>
  <c r="AD373" i="9"/>
  <c r="AD374" i="9"/>
  <c r="AD375" i="9"/>
  <c r="AD376" i="9"/>
  <c r="AD377" i="9"/>
  <c r="AD378" i="9"/>
  <c r="AD379" i="9"/>
  <c r="AD380" i="9"/>
  <c r="AD381" i="9"/>
  <c r="AD382" i="9"/>
  <c r="AD383" i="9"/>
  <c r="AD384" i="9"/>
  <c r="AD385" i="9"/>
  <c r="AD386" i="9"/>
  <c r="AD387" i="9"/>
  <c r="AD388" i="9"/>
  <c r="AD389" i="9"/>
  <c r="AD390" i="9"/>
  <c r="AD391" i="9"/>
  <c r="AD392" i="9"/>
  <c r="AD393" i="9"/>
  <c r="AD394" i="9"/>
  <c r="AD395" i="9"/>
  <c r="AD396" i="9"/>
  <c r="AD397" i="9"/>
  <c r="AD398" i="9"/>
  <c r="AD399" i="9"/>
  <c r="AD400" i="9"/>
  <c r="AD401" i="9"/>
  <c r="AD402" i="9"/>
  <c r="AD403" i="9"/>
  <c r="AD404" i="9"/>
  <c r="AD405" i="9"/>
  <c r="AD406" i="9"/>
  <c r="AD407" i="9"/>
  <c r="AD408" i="9"/>
  <c r="AD409" i="9"/>
  <c r="AD410" i="9"/>
  <c r="AD411" i="9"/>
  <c r="AD412" i="9"/>
  <c r="AD413" i="9"/>
  <c r="AD414" i="9"/>
  <c r="AD415" i="9"/>
  <c r="AD416" i="9"/>
  <c r="AD417" i="9"/>
  <c r="AD418" i="9"/>
  <c r="AD419" i="9"/>
  <c r="AD420" i="9"/>
  <c r="AD421" i="9"/>
  <c r="AD422" i="9"/>
  <c r="AD423" i="9"/>
  <c r="AD424" i="9"/>
  <c r="AD425" i="9"/>
  <c r="AD426" i="9"/>
  <c r="AD427" i="9"/>
  <c r="AD428" i="9"/>
  <c r="AD429" i="9"/>
  <c r="AD430" i="9"/>
  <c r="AD431" i="9"/>
  <c r="AD432" i="9"/>
  <c r="AD433" i="9"/>
  <c r="AD434" i="9"/>
  <c r="AD435" i="9"/>
  <c r="AD436" i="9"/>
  <c r="AD437" i="9"/>
  <c r="AD438" i="9"/>
  <c r="AD439" i="9"/>
  <c r="AD440" i="9"/>
  <c r="AD441" i="9"/>
  <c r="AD442" i="9"/>
  <c r="AD443" i="9"/>
  <c r="AD444" i="9"/>
  <c r="AD445" i="9"/>
  <c r="AD446" i="9"/>
  <c r="AD447" i="9"/>
  <c r="AD448" i="9"/>
  <c r="AD449" i="9"/>
  <c r="AD450" i="9"/>
  <c r="AD451" i="9"/>
  <c r="AD452" i="9"/>
  <c r="AD453" i="9"/>
  <c r="AD454" i="9"/>
  <c r="AD455" i="9"/>
  <c r="AD456" i="9"/>
  <c r="AD457" i="9"/>
  <c r="AD458" i="9"/>
  <c r="AD459" i="9"/>
  <c r="AD460" i="9"/>
  <c r="AD461" i="9"/>
  <c r="AD462" i="9"/>
  <c r="AD463" i="9"/>
  <c r="AD464" i="9"/>
  <c r="AD465" i="9"/>
  <c r="AD466" i="9"/>
  <c r="AD467" i="9"/>
  <c r="AD468" i="9"/>
  <c r="AD469" i="9"/>
  <c r="AD470" i="9"/>
  <c r="AD471" i="9"/>
  <c r="AD472" i="9"/>
  <c r="AD473" i="9"/>
  <c r="AD474" i="9"/>
  <c r="AD475" i="9"/>
  <c r="AD476" i="9"/>
  <c r="AD477" i="9"/>
  <c r="AD478" i="9"/>
  <c r="AD479" i="9"/>
  <c r="AD480" i="9"/>
  <c r="AD481" i="9"/>
  <c r="AD482" i="9"/>
  <c r="AD483" i="9"/>
  <c r="AD484" i="9"/>
  <c r="AD485" i="9"/>
  <c r="AD486" i="9"/>
  <c r="AD487" i="9"/>
  <c r="AD488" i="9"/>
  <c r="AD489" i="9"/>
  <c r="AD490" i="9"/>
  <c r="AD491" i="9"/>
  <c r="AD492" i="9"/>
  <c r="AD493" i="9"/>
  <c r="AD494" i="9"/>
  <c r="AD495" i="9"/>
  <c r="AD496" i="9"/>
  <c r="AD497" i="9"/>
  <c r="AD498" i="9"/>
  <c r="AD499" i="9"/>
  <c r="AD500" i="9"/>
  <c r="AD501" i="9"/>
  <c r="AD502" i="9"/>
  <c r="AD503" i="9"/>
  <c r="AD504" i="9"/>
  <c r="AD505" i="9"/>
  <c r="AD506" i="9"/>
  <c r="AD507" i="9"/>
  <c r="AD508" i="9"/>
  <c r="AD509" i="9"/>
  <c r="AD510" i="9"/>
  <c r="AD511" i="9"/>
  <c r="AD512" i="9"/>
  <c r="AD513" i="9"/>
  <c r="AD514" i="9"/>
  <c r="AD515" i="9"/>
  <c r="AD516" i="9"/>
  <c r="AD517" i="9"/>
  <c r="AD518" i="9"/>
  <c r="AD519" i="9"/>
  <c r="AD520" i="9"/>
  <c r="AD521" i="9"/>
  <c r="AD522" i="9"/>
  <c r="AD523" i="9"/>
  <c r="AD524" i="9"/>
  <c r="AD525" i="9"/>
  <c r="AD526" i="9"/>
  <c r="AD527" i="9"/>
  <c r="AD528" i="9"/>
  <c r="AD529" i="9"/>
  <c r="AD530" i="9"/>
  <c r="AD531" i="9"/>
  <c r="AD532" i="9"/>
  <c r="AD533" i="9"/>
  <c r="AD534" i="9"/>
  <c r="AD535" i="9"/>
  <c r="AD536" i="9"/>
  <c r="AD537" i="9"/>
  <c r="AD538" i="9"/>
  <c r="AD539" i="9"/>
  <c r="AD540" i="9"/>
  <c r="AD541" i="9"/>
  <c r="AD542" i="9"/>
  <c r="AD543" i="9"/>
  <c r="AD544" i="9"/>
  <c r="AD545" i="9"/>
  <c r="AD546" i="9"/>
  <c r="AD547" i="9"/>
  <c r="AD548" i="9"/>
  <c r="AD549" i="9"/>
  <c r="AD550" i="9"/>
  <c r="AD551" i="9"/>
  <c r="AD552" i="9"/>
  <c r="AD553" i="9"/>
  <c r="AD554" i="9"/>
  <c r="AD555" i="9"/>
  <c r="AD556" i="9"/>
  <c r="AD557" i="9"/>
  <c r="AD558" i="9"/>
  <c r="AD559" i="9"/>
  <c r="AD560" i="9"/>
  <c r="AD561" i="9"/>
  <c r="AD562" i="9"/>
  <c r="AD563" i="9"/>
  <c r="AD564" i="9"/>
  <c r="AD565" i="9"/>
  <c r="AD566" i="9"/>
  <c r="AD567" i="9"/>
  <c r="AD568" i="9"/>
  <c r="AD569" i="9"/>
  <c r="AD570" i="9"/>
  <c r="AD571" i="9"/>
  <c r="AD572" i="9"/>
  <c r="AD573" i="9"/>
  <c r="AD574" i="9"/>
  <c r="AD575" i="9"/>
  <c r="AD576" i="9"/>
  <c r="AD577" i="9"/>
  <c r="AD578" i="9"/>
  <c r="AD579" i="9"/>
  <c r="AD580" i="9"/>
  <c r="AD581" i="9"/>
  <c r="AD582" i="9"/>
  <c r="AD583" i="9"/>
  <c r="AD584" i="9"/>
  <c r="AD585" i="9"/>
  <c r="AD586" i="9"/>
  <c r="AD587" i="9"/>
  <c r="AD588" i="9"/>
  <c r="AD589" i="9"/>
  <c r="AD590" i="9"/>
  <c r="AD591" i="9"/>
  <c r="AD592" i="9"/>
  <c r="AD593" i="9"/>
  <c r="AD594" i="9"/>
  <c r="AD595" i="9"/>
  <c r="AD596" i="9"/>
  <c r="AD597" i="9"/>
  <c r="AD598" i="9"/>
  <c r="AD599" i="9"/>
  <c r="AD600" i="9"/>
  <c r="AD601" i="9"/>
  <c r="AD602" i="9"/>
  <c r="AD603" i="9"/>
  <c r="AD604" i="9"/>
  <c r="AD605" i="9"/>
  <c r="AD606" i="9"/>
  <c r="AD607" i="9"/>
  <c r="AD608" i="9"/>
  <c r="AD609" i="9"/>
  <c r="AD610" i="9"/>
  <c r="AD611" i="9"/>
  <c r="AD612" i="9"/>
  <c r="AD613" i="9"/>
  <c r="AD614" i="9"/>
  <c r="AD615" i="9"/>
  <c r="AD616" i="9"/>
  <c r="AD617" i="9"/>
  <c r="AD618" i="9"/>
  <c r="AD619" i="9"/>
  <c r="AD620" i="9"/>
  <c r="AD621" i="9"/>
  <c r="AD622" i="9"/>
  <c r="AD623" i="9"/>
  <c r="AD624" i="9"/>
  <c r="AD625" i="9"/>
  <c r="AD626" i="9"/>
  <c r="AD627" i="9"/>
  <c r="AD628" i="9"/>
  <c r="AD629" i="9"/>
  <c r="AD630" i="9"/>
  <c r="AD631" i="9"/>
  <c r="AD632" i="9"/>
  <c r="AD633" i="9"/>
  <c r="AD634" i="9"/>
  <c r="AD635" i="9"/>
  <c r="AD636" i="9"/>
  <c r="AD637" i="9"/>
  <c r="AD638" i="9"/>
  <c r="AD639" i="9"/>
  <c r="AD640" i="9"/>
  <c r="AD641" i="9"/>
  <c r="AD642" i="9"/>
  <c r="AD643" i="9"/>
  <c r="AD644" i="9"/>
  <c r="AD645" i="9"/>
  <c r="AD646" i="9"/>
  <c r="AD647" i="9"/>
  <c r="AD648" i="9"/>
  <c r="AD649" i="9"/>
  <c r="AD650" i="9"/>
  <c r="AD651" i="9"/>
  <c r="AD652" i="9"/>
  <c r="AD653" i="9"/>
  <c r="AD654" i="9"/>
  <c r="AD655" i="9"/>
  <c r="AD656" i="9"/>
  <c r="AD657" i="9"/>
  <c r="AD658" i="9"/>
  <c r="AD659" i="9"/>
  <c r="AD660" i="9"/>
  <c r="AD661" i="9"/>
  <c r="AD662" i="9"/>
  <c r="AD663" i="9"/>
  <c r="AD664" i="9"/>
  <c r="AD665" i="9"/>
  <c r="AD666" i="9"/>
  <c r="AD667" i="9"/>
  <c r="AD668" i="9"/>
  <c r="AD669" i="9"/>
  <c r="AD670" i="9"/>
  <c r="AD671" i="9"/>
  <c r="AD672" i="9"/>
  <c r="AD673" i="9"/>
  <c r="AD674" i="9"/>
  <c r="AD675" i="9"/>
  <c r="AD676" i="9"/>
  <c r="AD677" i="9"/>
  <c r="AD678" i="9"/>
  <c r="AD679" i="9"/>
  <c r="AD680" i="9"/>
  <c r="AD681" i="9"/>
  <c r="AD682" i="9"/>
  <c r="AD683" i="9"/>
  <c r="AD684" i="9"/>
  <c r="AD685" i="9"/>
  <c r="AD686" i="9"/>
  <c r="AD687" i="9"/>
  <c r="AD688" i="9"/>
  <c r="AD689" i="9"/>
  <c r="AD690" i="9"/>
  <c r="AD691" i="9"/>
  <c r="AD692" i="9"/>
  <c r="AD693" i="9"/>
  <c r="AD694" i="9"/>
  <c r="AD695" i="9"/>
  <c r="AD696" i="9"/>
  <c r="AD697" i="9"/>
  <c r="AD698" i="9"/>
  <c r="AD699" i="9"/>
  <c r="AD700" i="9"/>
  <c r="AD701" i="9"/>
  <c r="AD702" i="9"/>
  <c r="AD703" i="9"/>
  <c r="AD704" i="9"/>
  <c r="AD705" i="9"/>
  <c r="AD706" i="9"/>
  <c r="AD707" i="9"/>
  <c r="AD708" i="9"/>
  <c r="AD709" i="9"/>
  <c r="AD710" i="9"/>
  <c r="AD711" i="9"/>
  <c r="AD712" i="9"/>
  <c r="AD713" i="9"/>
  <c r="AD714" i="9"/>
  <c r="AD715" i="9"/>
  <c r="AD716" i="9"/>
  <c r="AD717" i="9"/>
  <c r="AD718" i="9"/>
  <c r="AD719" i="9"/>
  <c r="AD720" i="9"/>
  <c r="AD721" i="9"/>
  <c r="AD722" i="9"/>
  <c r="AD723" i="9"/>
  <c r="AD724" i="9"/>
  <c r="AD725" i="9"/>
  <c r="AD726" i="9"/>
  <c r="AD727" i="9"/>
  <c r="AD728" i="9"/>
  <c r="AD729" i="9"/>
  <c r="AD730" i="9"/>
  <c r="AD731" i="9"/>
  <c r="AD732" i="9"/>
  <c r="AD733" i="9"/>
  <c r="AD734" i="9"/>
  <c r="AD735" i="9"/>
  <c r="AD736" i="9"/>
  <c r="AD737" i="9"/>
  <c r="AD738" i="9"/>
  <c r="AD739" i="9"/>
  <c r="AD740" i="9"/>
  <c r="AD741" i="9"/>
  <c r="AD742" i="9"/>
  <c r="AD743" i="9"/>
  <c r="AD744" i="9"/>
  <c r="AD745" i="9"/>
  <c r="AD746" i="9"/>
  <c r="AD747" i="9"/>
  <c r="AD748" i="9"/>
  <c r="AD749" i="9"/>
  <c r="AD750" i="9"/>
  <c r="AD751" i="9"/>
  <c r="AD752" i="9"/>
  <c r="AD753" i="9"/>
  <c r="AD754" i="9"/>
  <c r="AD755" i="9"/>
  <c r="AD756" i="9"/>
  <c r="AD757" i="9"/>
  <c r="AD758" i="9"/>
  <c r="AD759" i="9"/>
  <c r="AD760" i="9"/>
  <c r="AD761" i="9"/>
  <c r="AD762" i="9"/>
  <c r="AD763" i="9"/>
  <c r="AD764" i="9"/>
  <c r="AD765" i="9"/>
  <c r="AD766" i="9"/>
  <c r="AD767" i="9"/>
  <c r="AD768" i="9"/>
  <c r="AD769" i="9"/>
  <c r="AD770" i="9"/>
  <c r="AD771" i="9"/>
  <c r="AD772" i="9"/>
  <c r="AD773" i="9"/>
  <c r="AD774" i="9"/>
  <c r="AD775" i="9"/>
  <c r="AD776" i="9"/>
  <c r="AD777" i="9"/>
  <c r="AD778" i="9"/>
  <c r="AD779" i="9"/>
  <c r="AD780" i="9"/>
  <c r="AD781" i="9"/>
  <c r="AD782" i="9"/>
  <c r="AD783" i="9"/>
  <c r="AD784" i="9"/>
  <c r="AD785" i="9"/>
  <c r="AD786" i="9"/>
  <c r="AD787" i="9"/>
  <c r="AD788" i="9"/>
  <c r="AD789" i="9"/>
  <c r="AD790" i="9"/>
  <c r="AD791" i="9"/>
  <c r="AD792" i="9"/>
  <c r="AD793" i="9"/>
  <c r="AD794" i="9"/>
  <c r="AD795" i="9"/>
  <c r="AD796" i="9"/>
  <c r="AD797" i="9"/>
  <c r="AD798" i="9"/>
  <c r="AD799" i="9"/>
  <c r="AD800" i="9"/>
  <c r="AD801" i="9"/>
  <c r="AD802" i="9"/>
  <c r="AD803" i="9"/>
  <c r="AD804" i="9"/>
  <c r="AD805" i="9"/>
  <c r="AD806" i="9"/>
  <c r="AD807" i="9"/>
  <c r="AD808" i="9"/>
  <c r="AD809" i="9"/>
  <c r="AD810" i="9"/>
  <c r="AD811" i="9"/>
  <c r="AD812" i="9"/>
  <c r="AD813" i="9"/>
  <c r="AD814" i="9"/>
  <c r="AD815" i="9"/>
  <c r="AD816" i="9"/>
  <c r="AD817" i="9"/>
  <c r="AD818" i="9"/>
  <c r="AD819" i="9"/>
  <c r="AD820" i="9"/>
  <c r="AD821" i="9"/>
  <c r="AD822" i="9"/>
  <c r="AD823" i="9"/>
  <c r="AD824" i="9"/>
  <c r="AD825" i="9"/>
  <c r="AD826" i="9"/>
  <c r="AD827" i="9"/>
  <c r="AD828" i="9"/>
  <c r="AD829" i="9"/>
  <c r="AD830" i="9"/>
  <c r="AD831" i="9"/>
  <c r="AD832" i="9"/>
  <c r="AD833" i="9"/>
  <c r="AD834" i="9"/>
  <c r="AD835" i="9"/>
  <c r="AD836" i="9"/>
  <c r="AD837" i="9"/>
  <c r="AD838" i="9"/>
  <c r="AD839" i="9"/>
  <c r="AD840" i="9"/>
  <c r="AD841" i="9"/>
  <c r="AD842" i="9"/>
  <c r="AD843" i="9"/>
  <c r="AD844" i="9"/>
  <c r="AD845" i="9"/>
  <c r="AD846" i="9"/>
  <c r="AD847" i="9"/>
  <c r="AD848" i="9"/>
  <c r="AD849" i="9"/>
  <c r="AD850" i="9"/>
  <c r="AD851" i="9"/>
  <c r="AD852" i="9"/>
  <c r="AD853" i="9"/>
  <c r="AD854" i="9"/>
  <c r="AD855" i="9"/>
  <c r="AD856" i="9"/>
  <c r="AD857" i="9"/>
  <c r="AD858" i="9"/>
  <c r="AD859" i="9"/>
  <c r="AD860" i="9"/>
  <c r="AD861" i="9"/>
  <c r="AD862" i="9"/>
  <c r="AD863" i="9"/>
  <c r="AD864" i="9"/>
  <c r="AD865" i="9"/>
  <c r="AD866" i="9"/>
  <c r="AD867" i="9"/>
  <c r="AD868" i="9"/>
  <c r="AD869" i="9"/>
  <c r="AD870" i="9"/>
  <c r="AD871" i="9"/>
  <c r="AD872" i="9"/>
  <c r="AD873" i="9"/>
  <c r="AD874" i="9"/>
  <c r="AD875" i="9"/>
  <c r="AD876" i="9"/>
  <c r="AD877" i="9"/>
  <c r="AD878" i="9"/>
  <c r="AD879" i="9"/>
  <c r="AD880" i="9"/>
  <c r="AD881" i="9"/>
  <c r="AD882" i="9"/>
  <c r="AD883" i="9"/>
  <c r="AD884" i="9"/>
  <c r="AD885" i="9"/>
  <c r="AD886" i="9"/>
  <c r="AD887" i="9"/>
  <c r="AD888" i="9"/>
  <c r="AD889" i="9"/>
  <c r="AD890" i="9"/>
  <c r="AD891" i="9"/>
  <c r="AD892" i="9"/>
  <c r="AD893" i="9"/>
  <c r="AD894" i="9"/>
  <c r="AD895" i="9"/>
  <c r="AD896" i="9"/>
  <c r="AD897" i="9"/>
  <c r="AD898" i="9"/>
  <c r="AD899" i="9"/>
  <c r="AD900" i="9"/>
  <c r="AD901" i="9"/>
  <c r="AD902" i="9"/>
  <c r="AD903" i="9"/>
  <c r="AD904" i="9"/>
  <c r="AD905" i="9"/>
  <c r="AD906" i="9"/>
  <c r="AD907" i="9"/>
  <c r="AD908" i="9"/>
  <c r="AD909" i="9"/>
  <c r="AD910" i="9"/>
  <c r="AD911" i="9"/>
  <c r="AD912" i="9"/>
  <c r="AD913" i="9"/>
  <c r="AD914" i="9"/>
  <c r="AD915" i="9"/>
  <c r="AD916" i="9"/>
  <c r="AD917" i="9"/>
  <c r="AD918" i="9"/>
  <c r="AD919" i="9"/>
  <c r="AD920" i="9"/>
  <c r="AD921" i="9"/>
  <c r="AD922" i="9"/>
  <c r="AD923" i="9"/>
  <c r="AD924" i="9"/>
  <c r="AD925" i="9"/>
  <c r="AD926" i="9"/>
  <c r="AD927" i="9"/>
  <c r="AD928" i="9"/>
  <c r="AD929" i="9"/>
  <c r="AD930" i="9"/>
  <c r="AD931" i="9"/>
  <c r="AD932" i="9"/>
  <c r="AD933" i="9"/>
  <c r="AD934" i="9"/>
  <c r="AD935" i="9"/>
  <c r="AD936" i="9"/>
  <c r="AD937" i="9"/>
  <c r="AD938" i="9"/>
  <c r="AD939" i="9"/>
  <c r="AD940" i="9"/>
  <c r="AD941" i="9"/>
  <c r="AD942" i="9"/>
  <c r="AD943" i="9"/>
  <c r="AD944" i="9"/>
  <c r="AD945" i="9"/>
  <c r="AD946" i="9"/>
  <c r="AD947" i="9"/>
  <c r="AD948" i="9"/>
  <c r="AD949" i="9"/>
  <c r="AD950" i="9"/>
  <c r="AD951" i="9"/>
  <c r="AD952" i="9"/>
  <c r="AD953" i="9"/>
  <c r="AD954" i="9"/>
  <c r="AD955" i="9"/>
  <c r="AD956" i="9"/>
  <c r="AD957" i="9"/>
  <c r="AD958" i="9"/>
  <c r="AD959" i="9"/>
  <c r="AD960" i="9"/>
  <c r="AD961" i="9"/>
  <c r="AD962" i="9"/>
  <c r="AD963" i="9"/>
  <c r="AD964" i="9"/>
  <c r="AD965" i="9"/>
  <c r="AD966" i="9"/>
  <c r="AD967" i="9"/>
  <c r="AD968" i="9"/>
  <c r="AD969" i="9"/>
  <c r="AD970" i="9"/>
  <c r="AD971" i="9"/>
  <c r="AD972" i="9"/>
  <c r="AD973" i="9"/>
  <c r="AD974" i="9"/>
  <c r="AD975" i="9"/>
  <c r="AD976" i="9"/>
  <c r="AD977" i="9"/>
  <c r="AD978" i="9"/>
  <c r="AD979" i="9"/>
  <c r="AD980" i="9"/>
  <c r="AD981" i="9"/>
  <c r="AD982" i="9"/>
  <c r="AD983" i="9"/>
  <c r="AD984" i="9"/>
  <c r="AD985" i="9"/>
  <c r="AD986" i="9"/>
  <c r="AD987" i="9"/>
  <c r="AD988" i="9"/>
  <c r="AD989" i="9"/>
  <c r="AD990" i="9"/>
  <c r="AD991" i="9"/>
  <c r="AD992" i="9"/>
  <c r="AD993" i="9"/>
  <c r="AD994" i="9"/>
  <c r="AD995" i="9"/>
  <c r="AD996" i="9"/>
  <c r="AD997" i="9"/>
  <c r="AD998" i="9"/>
  <c r="AD999" i="9"/>
  <c r="AD1000" i="9"/>
  <c r="AD1001" i="9"/>
  <c r="S2"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E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96" i="9"/>
  <c r="S397" i="9"/>
  <c r="S398" i="9"/>
  <c r="S399" i="9"/>
  <c r="S400" i="9"/>
  <c r="S401" i="9"/>
  <c r="S402" i="9"/>
  <c r="S403" i="9"/>
  <c r="S404" i="9"/>
  <c r="S405" i="9"/>
  <c r="S406" i="9"/>
  <c r="S407" i="9"/>
  <c r="S408" i="9"/>
  <c r="S409" i="9"/>
  <c r="S410" i="9"/>
  <c r="S411" i="9"/>
  <c r="S412" i="9"/>
  <c r="S413" i="9"/>
  <c r="S414" i="9"/>
  <c r="S415" i="9"/>
  <c r="S416" i="9"/>
  <c r="S417" i="9"/>
  <c r="S418" i="9"/>
  <c r="S419" i="9"/>
  <c r="S420" i="9"/>
  <c r="S421" i="9"/>
  <c r="S422" i="9"/>
  <c r="S423" i="9"/>
  <c r="S424" i="9"/>
  <c r="S425" i="9"/>
  <c r="S426" i="9"/>
  <c r="S427" i="9"/>
  <c r="S428" i="9"/>
  <c r="S429" i="9"/>
  <c r="S430" i="9"/>
  <c r="S431" i="9"/>
  <c r="S432" i="9"/>
  <c r="S433" i="9"/>
  <c r="S434" i="9"/>
  <c r="S435" i="9"/>
  <c r="S436" i="9"/>
  <c r="S437" i="9"/>
  <c r="S438" i="9"/>
  <c r="S439" i="9"/>
  <c r="S440" i="9"/>
  <c r="S441" i="9"/>
  <c r="S442" i="9"/>
  <c r="S443" i="9"/>
  <c r="S444" i="9"/>
  <c r="S445" i="9"/>
  <c r="S446" i="9"/>
  <c r="S447" i="9"/>
  <c r="S448" i="9"/>
  <c r="S449" i="9"/>
  <c r="S450" i="9"/>
  <c r="S451" i="9"/>
  <c r="S452" i="9"/>
  <c r="S453" i="9"/>
  <c r="S454" i="9"/>
  <c r="S455" i="9"/>
  <c r="S456" i="9"/>
  <c r="S457" i="9"/>
  <c r="S458" i="9"/>
  <c r="S459" i="9"/>
  <c r="S460" i="9"/>
  <c r="S461" i="9"/>
  <c r="S462" i="9"/>
  <c r="S463" i="9"/>
  <c r="S464" i="9"/>
  <c r="S465" i="9"/>
  <c r="S466" i="9"/>
  <c r="S467" i="9"/>
  <c r="S468" i="9"/>
  <c r="S469" i="9"/>
  <c r="S470" i="9"/>
  <c r="S471" i="9"/>
  <c r="S472" i="9"/>
  <c r="S473" i="9"/>
  <c r="S474" i="9"/>
  <c r="S475" i="9"/>
  <c r="S476" i="9"/>
  <c r="S477" i="9"/>
  <c r="S478" i="9"/>
  <c r="S479" i="9"/>
  <c r="S480" i="9"/>
  <c r="S481" i="9"/>
  <c r="S482" i="9"/>
  <c r="S483" i="9"/>
  <c r="S484" i="9"/>
  <c r="S485" i="9"/>
  <c r="S486" i="9"/>
  <c r="S487" i="9"/>
  <c r="S488" i="9"/>
  <c r="S489" i="9"/>
  <c r="S490" i="9"/>
  <c r="S491" i="9"/>
  <c r="S492" i="9"/>
  <c r="S493" i="9"/>
  <c r="S494" i="9"/>
  <c r="S495" i="9"/>
  <c r="S496" i="9"/>
  <c r="S497" i="9"/>
  <c r="S498" i="9"/>
  <c r="S499" i="9"/>
  <c r="S500" i="9"/>
  <c r="S501" i="9"/>
  <c r="S502" i="9"/>
  <c r="S503" i="9"/>
  <c r="S504" i="9"/>
  <c r="S505" i="9"/>
  <c r="S506" i="9"/>
  <c r="S507" i="9"/>
  <c r="S508" i="9"/>
  <c r="S509" i="9"/>
  <c r="S510" i="9"/>
  <c r="S511" i="9"/>
  <c r="S512" i="9"/>
  <c r="S513" i="9"/>
  <c r="S514" i="9"/>
  <c r="S515" i="9"/>
  <c r="S516" i="9"/>
  <c r="S517" i="9"/>
  <c r="S518" i="9"/>
  <c r="S519" i="9"/>
  <c r="S520" i="9"/>
  <c r="S521" i="9"/>
  <c r="S522" i="9"/>
  <c r="S523" i="9"/>
  <c r="S524" i="9"/>
  <c r="S525" i="9"/>
  <c r="S526" i="9"/>
  <c r="S527" i="9"/>
  <c r="S528" i="9"/>
  <c r="S529" i="9"/>
  <c r="S530" i="9"/>
  <c r="S531" i="9"/>
  <c r="S532" i="9"/>
  <c r="S533" i="9"/>
  <c r="S534" i="9"/>
  <c r="S535" i="9"/>
  <c r="S536" i="9"/>
  <c r="S537" i="9"/>
  <c r="S538" i="9"/>
  <c r="S539" i="9"/>
  <c r="S540" i="9"/>
  <c r="S541" i="9"/>
  <c r="S542" i="9"/>
  <c r="S543" i="9"/>
  <c r="S544" i="9"/>
  <c r="S545" i="9"/>
  <c r="S546" i="9"/>
  <c r="S547" i="9"/>
  <c r="S548" i="9"/>
  <c r="S549" i="9"/>
  <c r="S550" i="9"/>
  <c r="S551" i="9"/>
  <c r="S552" i="9"/>
  <c r="S553" i="9"/>
  <c r="S554" i="9"/>
  <c r="S555" i="9"/>
  <c r="S556" i="9"/>
  <c r="S557" i="9"/>
  <c r="S558" i="9"/>
  <c r="S559" i="9"/>
  <c r="S560" i="9"/>
  <c r="S561" i="9"/>
  <c r="S562" i="9"/>
  <c r="S563" i="9"/>
  <c r="S564" i="9"/>
  <c r="S565" i="9"/>
  <c r="S566" i="9"/>
  <c r="S567" i="9"/>
  <c r="S568" i="9"/>
  <c r="S569" i="9"/>
  <c r="S570" i="9"/>
  <c r="S571" i="9"/>
  <c r="S572" i="9"/>
  <c r="S573" i="9"/>
  <c r="S574" i="9"/>
  <c r="S575" i="9"/>
  <c r="S576" i="9"/>
  <c r="S577" i="9"/>
  <c r="S578" i="9"/>
  <c r="S579" i="9"/>
  <c r="S580" i="9"/>
  <c r="S581" i="9"/>
  <c r="S582" i="9"/>
  <c r="S583" i="9"/>
  <c r="S584" i="9"/>
  <c r="S585" i="9"/>
  <c r="S586" i="9"/>
  <c r="S587" i="9"/>
  <c r="S588" i="9"/>
  <c r="S589" i="9"/>
  <c r="S590" i="9"/>
  <c r="S591" i="9"/>
  <c r="S592" i="9"/>
  <c r="S593" i="9"/>
  <c r="S594" i="9"/>
  <c r="S595" i="9"/>
  <c r="S596" i="9"/>
  <c r="S597" i="9"/>
  <c r="S598" i="9"/>
  <c r="S599" i="9"/>
  <c r="S600" i="9"/>
  <c r="S601" i="9"/>
  <c r="S602" i="9"/>
  <c r="S603" i="9"/>
  <c r="S604" i="9"/>
  <c r="S605" i="9"/>
  <c r="S606" i="9"/>
  <c r="S607" i="9"/>
  <c r="S608" i="9"/>
  <c r="S609" i="9"/>
  <c r="S610" i="9"/>
  <c r="S611" i="9"/>
  <c r="S612" i="9"/>
  <c r="S613" i="9"/>
  <c r="S614" i="9"/>
  <c r="S615" i="9"/>
  <c r="S616" i="9"/>
  <c r="S617" i="9"/>
  <c r="S618" i="9"/>
  <c r="S619" i="9"/>
  <c r="S620" i="9"/>
  <c r="S621" i="9"/>
  <c r="S622" i="9"/>
  <c r="S623" i="9"/>
  <c r="S624" i="9"/>
  <c r="S625" i="9"/>
  <c r="S626" i="9"/>
  <c r="S627" i="9"/>
  <c r="S628" i="9"/>
  <c r="S629" i="9"/>
  <c r="S630" i="9"/>
  <c r="S631" i="9"/>
  <c r="S632" i="9"/>
  <c r="S633" i="9"/>
  <c r="S634" i="9"/>
  <c r="S635" i="9"/>
  <c r="S636" i="9"/>
  <c r="S637" i="9"/>
  <c r="S638" i="9"/>
  <c r="S639" i="9"/>
  <c r="S640" i="9"/>
  <c r="S641" i="9"/>
  <c r="S642" i="9"/>
  <c r="S643" i="9"/>
  <c r="S644" i="9"/>
  <c r="S645" i="9"/>
  <c r="S646" i="9"/>
  <c r="S647" i="9"/>
  <c r="S648" i="9"/>
  <c r="S649" i="9"/>
  <c r="S650" i="9"/>
  <c r="S651" i="9"/>
  <c r="S652" i="9"/>
  <c r="S653" i="9"/>
  <c r="S654" i="9"/>
  <c r="S655" i="9"/>
  <c r="S656" i="9"/>
  <c r="S657" i="9"/>
  <c r="S658" i="9"/>
  <c r="S659" i="9"/>
  <c r="S660" i="9"/>
  <c r="S661" i="9"/>
  <c r="S662" i="9"/>
  <c r="S663" i="9"/>
  <c r="S664" i="9"/>
  <c r="S665" i="9"/>
  <c r="S666" i="9"/>
  <c r="S667" i="9"/>
  <c r="S668" i="9"/>
  <c r="S669" i="9"/>
  <c r="S670" i="9"/>
  <c r="S671" i="9"/>
  <c r="S672" i="9"/>
  <c r="S673" i="9"/>
  <c r="S674" i="9"/>
  <c r="S675" i="9"/>
  <c r="S676" i="9"/>
  <c r="S677" i="9"/>
  <c r="S678" i="9"/>
  <c r="S679" i="9"/>
  <c r="S680" i="9"/>
  <c r="S681" i="9"/>
  <c r="S682" i="9"/>
  <c r="S683" i="9"/>
  <c r="S684" i="9"/>
  <c r="S685" i="9"/>
  <c r="S686" i="9"/>
  <c r="S687" i="9"/>
  <c r="S688" i="9"/>
  <c r="S689" i="9"/>
  <c r="S690" i="9"/>
  <c r="S691" i="9"/>
  <c r="S692" i="9"/>
  <c r="S693" i="9"/>
  <c r="S694" i="9"/>
  <c r="S695" i="9"/>
  <c r="S696" i="9"/>
  <c r="S697" i="9"/>
  <c r="S698" i="9"/>
  <c r="S699" i="9"/>
  <c r="S700" i="9"/>
  <c r="S701" i="9"/>
  <c r="S702" i="9"/>
  <c r="S703" i="9"/>
  <c r="S704" i="9"/>
  <c r="S705" i="9"/>
  <c r="S706" i="9"/>
  <c r="S707" i="9"/>
  <c r="S708" i="9"/>
  <c r="S709" i="9"/>
  <c r="S710" i="9"/>
  <c r="S711" i="9"/>
  <c r="S712" i="9"/>
  <c r="S713" i="9"/>
  <c r="S714" i="9"/>
  <c r="S715" i="9"/>
  <c r="S716" i="9"/>
  <c r="S717" i="9"/>
  <c r="S718" i="9"/>
  <c r="S719" i="9"/>
  <c r="S720" i="9"/>
  <c r="S721" i="9"/>
  <c r="S722" i="9"/>
  <c r="S723" i="9"/>
  <c r="S724" i="9"/>
  <c r="S725" i="9"/>
  <c r="S726" i="9"/>
  <c r="S727" i="9"/>
  <c r="S728" i="9"/>
  <c r="S729" i="9"/>
  <c r="S730" i="9"/>
  <c r="S731" i="9"/>
  <c r="S732" i="9"/>
  <c r="S733" i="9"/>
  <c r="S734" i="9"/>
  <c r="S735" i="9"/>
  <c r="S736" i="9"/>
  <c r="S737" i="9"/>
  <c r="S738" i="9"/>
  <c r="S739" i="9"/>
  <c r="S740" i="9"/>
  <c r="S741" i="9"/>
  <c r="S742" i="9"/>
  <c r="S743" i="9"/>
  <c r="S744" i="9"/>
  <c r="S745" i="9"/>
  <c r="S746" i="9"/>
  <c r="S747" i="9"/>
  <c r="S748" i="9"/>
  <c r="S749" i="9"/>
  <c r="S750" i="9"/>
  <c r="S751" i="9"/>
  <c r="S752" i="9"/>
  <c r="S753" i="9"/>
  <c r="S754" i="9"/>
  <c r="S755" i="9"/>
  <c r="S756" i="9"/>
  <c r="S757" i="9"/>
  <c r="S758" i="9"/>
  <c r="S759" i="9"/>
  <c r="S760" i="9"/>
  <c r="S761" i="9"/>
  <c r="S762" i="9"/>
  <c r="S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S851" i="9"/>
  <c r="S852" i="9"/>
  <c r="S853" i="9"/>
  <c r="S854" i="9"/>
  <c r="S855" i="9"/>
  <c r="S856" i="9"/>
  <c r="S857" i="9"/>
  <c r="S858" i="9"/>
  <c r="S859" i="9"/>
  <c r="S860" i="9"/>
  <c r="S861" i="9"/>
  <c r="S862" i="9"/>
  <c r="S863" i="9"/>
  <c r="S864" i="9"/>
  <c r="S865" i="9"/>
  <c r="S866" i="9"/>
  <c r="S867" i="9"/>
  <c r="S868" i="9"/>
  <c r="S869" i="9"/>
  <c r="S870" i="9"/>
  <c r="S871" i="9"/>
  <c r="S872" i="9"/>
  <c r="S873" i="9"/>
  <c r="S874" i="9"/>
  <c r="S875" i="9"/>
  <c r="S876" i="9"/>
  <c r="S877" i="9"/>
  <c r="S878" i="9"/>
  <c r="S879" i="9"/>
  <c r="S880" i="9"/>
  <c r="S881" i="9"/>
  <c r="S882" i="9"/>
  <c r="S883" i="9"/>
  <c r="S884" i="9"/>
  <c r="S885" i="9"/>
  <c r="S886" i="9"/>
  <c r="S887" i="9"/>
  <c r="S888" i="9"/>
  <c r="S889" i="9"/>
  <c r="S890" i="9"/>
  <c r="S891" i="9"/>
  <c r="S892" i="9"/>
  <c r="S893" i="9"/>
  <c r="S894" i="9"/>
  <c r="S895" i="9"/>
  <c r="S896" i="9"/>
  <c r="S897" i="9"/>
  <c r="S898" i="9"/>
  <c r="S899" i="9"/>
  <c r="S900" i="9"/>
  <c r="S901" i="9"/>
  <c r="S902" i="9"/>
  <c r="S903" i="9"/>
  <c r="S904" i="9"/>
  <c r="S905" i="9"/>
  <c r="S906" i="9"/>
  <c r="S907" i="9"/>
  <c r="S908" i="9"/>
  <c r="S909" i="9"/>
  <c r="S910" i="9"/>
  <c r="S911" i="9"/>
  <c r="S912" i="9"/>
  <c r="S913" i="9"/>
  <c r="S914" i="9"/>
  <c r="S915" i="9"/>
  <c r="S916" i="9"/>
  <c r="S917" i="9"/>
  <c r="S918" i="9"/>
  <c r="S919" i="9"/>
  <c r="S920" i="9"/>
  <c r="S921" i="9"/>
  <c r="S922" i="9"/>
  <c r="S923" i="9"/>
  <c r="S924" i="9"/>
  <c r="S925" i="9"/>
  <c r="S926" i="9"/>
  <c r="S927" i="9"/>
  <c r="S928" i="9"/>
  <c r="S929" i="9"/>
  <c r="S930" i="9"/>
  <c r="S931" i="9"/>
  <c r="S932" i="9"/>
  <c r="S933" i="9"/>
  <c r="S934" i="9"/>
  <c r="S935" i="9"/>
  <c r="S936" i="9"/>
  <c r="S937" i="9"/>
  <c r="S938" i="9"/>
  <c r="S939" i="9"/>
  <c r="S940" i="9"/>
  <c r="S941" i="9"/>
  <c r="S942" i="9"/>
  <c r="S943" i="9"/>
  <c r="S944" i="9"/>
  <c r="S945" i="9"/>
  <c r="S946" i="9"/>
  <c r="S947" i="9"/>
  <c r="S948" i="9"/>
  <c r="S949" i="9"/>
  <c r="S950" i="9"/>
  <c r="S951" i="9"/>
  <c r="S952" i="9"/>
  <c r="S953" i="9"/>
  <c r="S954" i="9"/>
  <c r="S955" i="9"/>
  <c r="S956" i="9"/>
  <c r="S957" i="9"/>
  <c r="S958" i="9"/>
  <c r="S959" i="9"/>
  <c r="S960" i="9"/>
  <c r="S961" i="9"/>
  <c r="S962" i="9"/>
  <c r="S963" i="9"/>
  <c r="S964" i="9"/>
  <c r="S965" i="9"/>
  <c r="S966" i="9"/>
  <c r="S967" i="9"/>
  <c r="S968" i="9"/>
  <c r="S969" i="9"/>
  <c r="S970" i="9"/>
  <c r="S971" i="9"/>
  <c r="S972" i="9"/>
  <c r="S973" i="9"/>
  <c r="S974" i="9"/>
  <c r="S975" i="9"/>
  <c r="S976" i="9"/>
  <c r="S977" i="9"/>
  <c r="S978" i="9"/>
  <c r="S979" i="9"/>
  <c r="S980" i="9"/>
  <c r="S981" i="9"/>
  <c r="S982" i="9"/>
  <c r="S983" i="9"/>
  <c r="S984" i="9"/>
  <c r="S985" i="9"/>
  <c r="S986" i="9"/>
  <c r="S987" i="9"/>
  <c r="S988" i="9"/>
  <c r="S989" i="9"/>
  <c r="S990" i="9"/>
  <c r="S991" i="9"/>
  <c r="S992" i="9"/>
  <c r="S993" i="9"/>
  <c r="S994" i="9"/>
  <c r="S995" i="9"/>
  <c r="S996" i="9"/>
  <c r="S997" i="9"/>
  <c r="S998" i="9"/>
  <c r="S999" i="9"/>
  <c r="S1000" i="9"/>
  <c r="S1001" i="9"/>
  <c r="Y9" i="9"/>
  <c r="Y13" i="9"/>
  <c r="Y16" i="9"/>
  <c r="Y17" i="9"/>
  <c r="Y21" i="9"/>
  <c r="Y25" i="9"/>
  <c r="Y29" i="9"/>
  <c r="Y33" i="9"/>
  <c r="Y37" i="9"/>
  <c r="Y41" i="9"/>
  <c r="Y43" i="9"/>
  <c r="Y45" i="9"/>
  <c r="Y49" i="9"/>
  <c r="Y53" i="9"/>
  <c r="Y57" i="9"/>
  <c r="Y59" i="9"/>
  <c r="Y61" i="9"/>
  <c r="Y65" i="9"/>
  <c r="Y69" i="9"/>
  <c r="Y73" i="9"/>
  <c r="Y77" i="9"/>
  <c r="Y81" i="9"/>
  <c r="Y85" i="9"/>
  <c r="Y89" i="9"/>
  <c r="Y93" i="9"/>
  <c r="Y97" i="9"/>
  <c r="Y101" i="9"/>
  <c r="Y105" i="9"/>
  <c r="Y107" i="9"/>
  <c r="Z107" i="9" s="1"/>
  <c r="Y109" i="9"/>
  <c r="Y113" i="9"/>
  <c r="Y117" i="9"/>
  <c r="Y121" i="9"/>
  <c r="Y123" i="9"/>
  <c r="Y125" i="9"/>
  <c r="Y129" i="9"/>
  <c r="Y133" i="9"/>
  <c r="Y137" i="9"/>
  <c r="Y141" i="9"/>
  <c r="Y145" i="9"/>
  <c r="Y149" i="9"/>
  <c r="Y153" i="9"/>
  <c r="Y157" i="9"/>
  <c r="Y161" i="9"/>
  <c r="Y165" i="9"/>
  <c r="Y169" i="9"/>
  <c r="Y171" i="9"/>
  <c r="Z171" i="9" s="1"/>
  <c r="Y173" i="9"/>
  <c r="Y177" i="9"/>
  <c r="Y181" i="9"/>
  <c r="Y185" i="9"/>
  <c r="Y187" i="9"/>
  <c r="Y189" i="9"/>
  <c r="Y193" i="9"/>
  <c r="Y197" i="9"/>
  <c r="Y201" i="9"/>
  <c r="Y205" i="9"/>
  <c r="Y209" i="9"/>
  <c r="Y213" i="9"/>
  <c r="Y217" i="9"/>
  <c r="Y221" i="9"/>
  <c r="Y225" i="9"/>
  <c r="Y229" i="9"/>
  <c r="Y233" i="9"/>
  <c r="Y235" i="9"/>
  <c r="Y237" i="9"/>
  <c r="Y241" i="9"/>
  <c r="Y245" i="9"/>
  <c r="Y249" i="9"/>
  <c r="Y251" i="9"/>
  <c r="Y253" i="9"/>
  <c r="Y257" i="9"/>
  <c r="Y261" i="9"/>
  <c r="Y265" i="9"/>
  <c r="Y269" i="9"/>
  <c r="Y273" i="9"/>
  <c r="Y277" i="9"/>
  <c r="Y281" i="9"/>
  <c r="Y285" i="9"/>
  <c r="Y289" i="9"/>
  <c r="Y293" i="9"/>
  <c r="Y297" i="9"/>
  <c r="Y299" i="9"/>
  <c r="Y301" i="9"/>
  <c r="Y305" i="9"/>
  <c r="Y309" i="9"/>
  <c r="Y313" i="9"/>
  <c r="Y315" i="9"/>
  <c r="Z315" i="9" s="1"/>
  <c r="Y317" i="9"/>
  <c r="Y321" i="9"/>
  <c r="Y333" i="9"/>
  <c r="Y374" i="9"/>
  <c r="Y422" i="9"/>
  <c r="Y470" i="9"/>
  <c r="Y774" i="9"/>
  <c r="X2" i="9"/>
  <c r="X3" i="9"/>
  <c r="X4" i="9"/>
  <c r="X5" i="9"/>
  <c r="X6" i="9"/>
  <c r="X7" i="9"/>
  <c r="X8" i="9"/>
  <c r="X9" i="9"/>
  <c r="X10" i="9"/>
  <c r="X11" i="9"/>
  <c r="X12" i="9"/>
  <c r="X13" i="9"/>
  <c r="X14" i="9"/>
  <c r="X15" i="9"/>
  <c r="X16" i="9"/>
  <c r="X17" i="9"/>
  <c r="X18" i="9"/>
  <c r="X19" i="9"/>
  <c r="X20" i="9"/>
  <c r="X21" i="9"/>
  <c r="X22"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53" i="9"/>
  <c r="X254" i="9"/>
  <c r="X255" i="9"/>
  <c r="X256" i="9"/>
  <c r="X257" i="9"/>
  <c r="X258" i="9"/>
  <c r="X259" i="9"/>
  <c r="X260" i="9"/>
  <c r="X261" i="9"/>
  <c r="X262" i="9"/>
  <c r="X263" i="9"/>
  <c r="X264" i="9"/>
  <c r="X265" i="9"/>
  <c r="X266" i="9"/>
  <c r="X267" i="9"/>
  <c r="X268" i="9"/>
  <c r="X269" i="9"/>
  <c r="X270" i="9"/>
  <c r="X271" i="9"/>
  <c r="X272" i="9"/>
  <c r="X273" i="9"/>
  <c r="X274" i="9"/>
  <c r="X275" i="9"/>
  <c r="X276" i="9"/>
  <c r="X277" i="9"/>
  <c r="X278" i="9"/>
  <c r="X279" i="9"/>
  <c r="X280" i="9"/>
  <c r="X281" i="9"/>
  <c r="X282" i="9"/>
  <c r="X283" i="9"/>
  <c r="X284" i="9"/>
  <c r="X285" i="9"/>
  <c r="X286" i="9"/>
  <c r="X287" i="9"/>
  <c r="X288" i="9"/>
  <c r="X289" i="9"/>
  <c r="X290" i="9"/>
  <c r="X291" i="9"/>
  <c r="X292" i="9"/>
  <c r="X293" i="9"/>
  <c r="X294" i="9"/>
  <c r="X295" i="9"/>
  <c r="X296" i="9"/>
  <c r="X297" i="9"/>
  <c r="X298" i="9"/>
  <c r="X299" i="9"/>
  <c r="X300" i="9"/>
  <c r="X301" i="9"/>
  <c r="X302" i="9"/>
  <c r="X303" i="9"/>
  <c r="X304" i="9"/>
  <c r="X305" i="9"/>
  <c r="X306" i="9"/>
  <c r="X307" i="9"/>
  <c r="X308" i="9"/>
  <c r="X309" i="9"/>
  <c r="X310" i="9"/>
  <c r="X311" i="9"/>
  <c r="X312" i="9"/>
  <c r="X313" i="9"/>
  <c r="X314" i="9"/>
  <c r="X315" i="9"/>
  <c r="X316" i="9"/>
  <c r="X317" i="9"/>
  <c r="X318" i="9"/>
  <c r="X319" i="9"/>
  <c r="X320" i="9"/>
  <c r="X321" i="9"/>
  <c r="X322" i="9"/>
  <c r="X323" i="9"/>
  <c r="X324" i="9"/>
  <c r="X325" i="9"/>
  <c r="X326" i="9"/>
  <c r="X327" i="9"/>
  <c r="X328" i="9"/>
  <c r="X329" i="9"/>
  <c r="X330" i="9"/>
  <c r="X331" i="9"/>
  <c r="X332" i="9"/>
  <c r="X333" i="9"/>
  <c r="X334" i="9"/>
  <c r="X335" i="9"/>
  <c r="X336" i="9"/>
  <c r="X337" i="9"/>
  <c r="X338" i="9"/>
  <c r="X339" i="9"/>
  <c r="X340" i="9"/>
  <c r="X341" i="9"/>
  <c r="X342" i="9"/>
  <c r="X343" i="9"/>
  <c r="X344" i="9"/>
  <c r="X345" i="9"/>
  <c r="X346" i="9"/>
  <c r="X347" i="9"/>
  <c r="X348" i="9"/>
  <c r="X349" i="9"/>
  <c r="X350" i="9"/>
  <c r="X351" i="9"/>
  <c r="X352" i="9"/>
  <c r="X353" i="9"/>
  <c r="X354" i="9"/>
  <c r="X355" i="9"/>
  <c r="X356" i="9"/>
  <c r="X357" i="9"/>
  <c r="X358" i="9"/>
  <c r="X359" i="9"/>
  <c r="X360" i="9"/>
  <c r="X361" i="9"/>
  <c r="X362" i="9"/>
  <c r="X363" i="9"/>
  <c r="X364" i="9"/>
  <c r="X365" i="9"/>
  <c r="X366" i="9"/>
  <c r="X367" i="9"/>
  <c r="X368" i="9"/>
  <c r="X369" i="9"/>
  <c r="X370" i="9"/>
  <c r="X371" i="9"/>
  <c r="X372" i="9"/>
  <c r="X373" i="9"/>
  <c r="X374" i="9"/>
  <c r="X375" i="9"/>
  <c r="X376" i="9"/>
  <c r="X377" i="9"/>
  <c r="X378" i="9"/>
  <c r="X379" i="9"/>
  <c r="X380" i="9"/>
  <c r="X381" i="9"/>
  <c r="X382" i="9"/>
  <c r="X383" i="9"/>
  <c r="X384" i="9"/>
  <c r="X385" i="9"/>
  <c r="X386" i="9"/>
  <c r="X387" i="9"/>
  <c r="X388" i="9"/>
  <c r="X389" i="9"/>
  <c r="X390" i="9"/>
  <c r="X391" i="9"/>
  <c r="X392" i="9"/>
  <c r="X393" i="9"/>
  <c r="X394" i="9"/>
  <c r="X395" i="9"/>
  <c r="X396" i="9"/>
  <c r="X397" i="9"/>
  <c r="X398" i="9"/>
  <c r="X399" i="9"/>
  <c r="X400" i="9"/>
  <c r="X401" i="9"/>
  <c r="X402" i="9"/>
  <c r="X403" i="9"/>
  <c r="X404" i="9"/>
  <c r="X405" i="9"/>
  <c r="X406" i="9"/>
  <c r="X407" i="9"/>
  <c r="X408" i="9"/>
  <c r="X409" i="9"/>
  <c r="X410" i="9"/>
  <c r="X411" i="9"/>
  <c r="X412" i="9"/>
  <c r="X413" i="9"/>
  <c r="X414" i="9"/>
  <c r="X415" i="9"/>
  <c r="X416" i="9"/>
  <c r="X417" i="9"/>
  <c r="X418" i="9"/>
  <c r="X419" i="9"/>
  <c r="X420" i="9"/>
  <c r="X421" i="9"/>
  <c r="X422" i="9"/>
  <c r="X423" i="9"/>
  <c r="X424" i="9"/>
  <c r="X425" i="9"/>
  <c r="X426" i="9"/>
  <c r="X427" i="9"/>
  <c r="X428" i="9"/>
  <c r="X429" i="9"/>
  <c r="X430" i="9"/>
  <c r="X431" i="9"/>
  <c r="X432" i="9"/>
  <c r="X433" i="9"/>
  <c r="X434" i="9"/>
  <c r="X435" i="9"/>
  <c r="X436" i="9"/>
  <c r="X437" i="9"/>
  <c r="X438" i="9"/>
  <c r="X439" i="9"/>
  <c r="X440" i="9"/>
  <c r="X441" i="9"/>
  <c r="X442" i="9"/>
  <c r="X443" i="9"/>
  <c r="X444" i="9"/>
  <c r="X445" i="9"/>
  <c r="X446" i="9"/>
  <c r="X447" i="9"/>
  <c r="X448" i="9"/>
  <c r="X449" i="9"/>
  <c r="X450" i="9"/>
  <c r="X451" i="9"/>
  <c r="X452" i="9"/>
  <c r="X453" i="9"/>
  <c r="X454" i="9"/>
  <c r="X455" i="9"/>
  <c r="X456" i="9"/>
  <c r="X457" i="9"/>
  <c r="X458" i="9"/>
  <c r="X459" i="9"/>
  <c r="X460" i="9"/>
  <c r="X461" i="9"/>
  <c r="X462" i="9"/>
  <c r="X463" i="9"/>
  <c r="X464" i="9"/>
  <c r="X465" i="9"/>
  <c r="X466" i="9"/>
  <c r="X467" i="9"/>
  <c r="X468" i="9"/>
  <c r="X469" i="9"/>
  <c r="X470" i="9"/>
  <c r="X471" i="9"/>
  <c r="X472" i="9"/>
  <c r="X473" i="9"/>
  <c r="X474" i="9"/>
  <c r="X475" i="9"/>
  <c r="X476" i="9"/>
  <c r="X477" i="9"/>
  <c r="X478" i="9"/>
  <c r="X479" i="9"/>
  <c r="X480" i="9"/>
  <c r="X481" i="9"/>
  <c r="X482" i="9"/>
  <c r="X483" i="9"/>
  <c r="X484" i="9"/>
  <c r="X485" i="9"/>
  <c r="X486" i="9"/>
  <c r="X487" i="9"/>
  <c r="X488" i="9"/>
  <c r="X489" i="9"/>
  <c r="X490" i="9"/>
  <c r="X491" i="9"/>
  <c r="X492" i="9"/>
  <c r="X493" i="9"/>
  <c r="X494" i="9"/>
  <c r="X495" i="9"/>
  <c r="X496" i="9"/>
  <c r="X497" i="9"/>
  <c r="X498" i="9"/>
  <c r="X499" i="9"/>
  <c r="X500" i="9"/>
  <c r="X501" i="9"/>
  <c r="X502" i="9"/>
  <c r="X503" i="9"/>
  <c r="X504" i="9"/>
  <c r="X505" i="9"/>
  <c r="X506" i="9"/>
  <c r="X507" i="9"/>
  <c r="X508" i="9"/>
  <c r="X509" i="9"/>
  <c r="X510" i="9"/>
  <c r="X511" i="9"/>
  <c r="X512" i="9"/>
  <c r="X513" i="9"/>
  <c r="X514" i="9"/>
  <c r="X515" i="9"/>
  <c r="X516" i="9"/>
  <c r="X517" i="9"/>
  <c r="X518" i="9"/>
  <c r="X519" i="9"/>
  <c r="X520" i="9"/>
  <c r="X521" i="9"/>
  <c r="X522" i="9"/>
  <c r="X523" i="9"/>
  <c r="X524" i="9"/>
  <c r="X525" i="9"/>
  <c r="X526" i="9"/>
  <c r="X527" i="9"/>
  <c r="X528" i="9"/>
  <c r="X529" i="9"/>
  <c r="X530" i="9"/>
  <c r="X531" i="9"/>
  <c r="X532" i="9"/>
  <c r="X533" i="9"/>
  <c r="X534" i="9"/>
  <c r="X535" i="9"/>
  <c r="X536" i="9"/>
  <c r="X537" i="9"/>
  <c r="X538" i="9"/>
  <c r="X539" i="9"/>
  <c r="X540" i="9"/>
  <c r="X541" i="9"/>
  <c r="X542" i="9"/>
  <c r="X543" i="9"/>
  <c r="X544" i="9"/>
  <c r="X545" i="9"/>
  <c r="X546" i="9"/>
  <c r="X547" i="9"/>
  <c r="X548" i="9"/>
  <c r="X549" i="9"/>
  <c r="X550" i="9"/>
  <c r="X551" i="9"/>
  <c r="X552" i="9"/>
  <c r="X553" i="9"/>
  <c r="X554" i="9"/>
  <c r="X555" i="9"/>
  <c r="X556" i="9"/>
  <c r="X557" i="9"/>
  <c r="X558" i="9"/>
  <c r="X559" i="9"/>
  <c r="X560" i="9"/>
  <c r="X561" i="9"/>
  <c r="X562" i="9"/>
  <c r="X563" i="9"/>
  <c r="X564" i="9"/>
  <c r="X565" i="9"/>
  <c r="X566" i="9"/>
  <c r="X567" i="9"/>
  <c r="X568" i="9"/>
  <c r="X569" i="9"/>
  <c r="X570" i="9"/>
  <c r="X571" i="9"/>
  <c r="X572" i="9"/>
  <c r="X573" i="9"/>
  <c r="X574" i="9"/>
  <c r="X575" i="9"/>
  <c r="X576" i="9"/>
  <c r="X577" i="9"/>
  <c r="X578" i="9"/>
  <c r="X579" i="9"/>
  <c r="X580" i="9"/>
  <c r="X581" i="9"/>
  <c r="X582" i="9"/>
  <c r="X583" i="9"/>
  <c r="X584" i="9"/>
  <c r="X585" i="9"/>
  <c r="X586" i="9"/>
  <c r="X587" i="9"/>
  <c r="X588" i="9"/>
  <c r="X589" i="9"/>
  <c r="X590" i="9"/>
  <c r="X591" i="9"/>
  <c r="X592" i="9"/>
  <c r="X593" i="9"/>
  <c r="X594" i="9"/>
  <c r="X595" i="9"/>
  <c r="X596" i="9"/>
  <c r="X597" i="9"/>
  <c r="X598" i="9"/>
  <c r="X599" i="9"/>
  <c r="X600" i="9"/>
  <c r="X601" i="9"/>
  <c r="X602" i="9"/>
  <c r="X603" i="9"/>
  <c r="X604" i="9"/>
  <c r="X605" i="9"/>
  <c r="X606" i="9"/>
  <c r="X607" i="9"/>
  <c r="X608" i="9"/>
  <c r="X609" i="9"/>
  <c r="X610" i="9"/>
  <c r="X611" i="9"/>
  <c r="X612" i="9"/>
  <c r="X613" i="9"/>
  <c r="X614" i="9"/>
  <c r="X615" i="9"/>
  <c r="X616" i="9"/>
  <c r="X617" i="9"/>
  <c r="X618" i="9"/>
  <c r="X619" i="9"/>
  <c r="X620" i="9"/>
  <c r="X621" i="9"/>
  <c r="X622" i="9"/>
  <c r="X623" i="9"/>
  <c r="X624" i="9"/>
  <c r="X625" i="9"/>
  <c r="X626" i="9"/>
  <c r="X627" i="9"/>
  <c r="X628" i="9"/>
  <c r="X629" i="9"/>
  <c r="X630" i="9"/>
  <c r="X631" i="9"/>
  <c r="X632" i="9"/>
  <c r="X633" i="9"/>
  <c r="X634" i="9"/>
  <c r="X635" i="9"/>
  <c r="X636" i="9"/>
  <c r="X637" i="9"/>
  <c r="X638" i="9"/>
  <c r="X639" i="9"/>
  <c r="X640" i="9"/>
  <c r="X641" i="9"/>
  <c r="X642" i="9"/>
  <c r="X643" i="9"/>
  <c r="X644" i="9"/>
  <c r="X645" i="9"/>
  <c r="X646" i="9"/>
  <c r="X647" i="9"/>
  <c r="X648" i="9"/>
  <c r="X649" i="9"/>
  <c r="X650" i="9"/>
  <c r="X651" i="9"/>
  <c r="X652" i="9"/>
  <c r="X653" i="9"/>
  <c r="X654" i="9"/>
  <c r="X655" i="9"/>
  <c r="X656" i="9"/>
  <c r="X657" i="9"/>
  <c r="X658" i="9"/>
  <c r="X659" i="9"/>
  <c r="X660" i="9"/>
  <c r="X661" i="9"/>
  <c r="X662" i="9"/>
  <c r="X663" i="9"/>
  <c r="X664" i="9"/>
  <c r="X665" i="9"/>
  <c r="X666" i="9"/>
  <c r="X667" i="9"/>
  <c r="X668" i="9"/>
  <c r="X669" i="9"/>
  <c r="X670" i="9"/>
  <c r="X671" i="9"/>
  <c r="X672" i="9"/>
  <c r="X673" i="9"/>
  <c r="X674" i="9"/>
  <c r="X675" i="9"/>
  <c r="X676" i="9"/>
  <c r="X677" i="9"/>
  <c r="X678" i="9"/>
  <c r="X679" i="9"/>
  <c r="X680" i="9"/>
  <c r="X681" i="9"/>
  <c r="X682" i="9"/>
  <c r="X683" i="9"/>
  <c r="X684" i="9"/>
  <c r="X685" i="9"/>
  <c r="X686" i="9"/>
  <c r="X687" i="9"/>
  <c r="X688" i="9"/>
  <c r="X689" i="9"/>
  <c r="X690" i="9"/>
  <c r="X691" i="9"/>
  <c r="X692" i="9"/>
  <c r="X693" i="9"/>
  <c r="X694" i="9"/>
  <c r="X695" i="9"/>
  <c r="X696" i="9"/>
  <c r="X697" i="9"/>
  <c r="X698" i="9"/>
  <c r="X699" i="9"/>
  <c r="X700" i="9"/>
  <c r="X701" i="9"/>
  <c r="X702" i="9"/>
  <c r="X703" i="9"/>
  <c r="X704" i="9"/>
  <c r="X705" i="9"/>
  <c r="X706" i="9"/>
  <c r="X707" i="9"/>
  <c r="X708" i="9"/>
  <c r="X709" i="9"/>
  <c r="X710" i="9"/>
  <c r="X711" i="9"/>
  <c r="X712" i="9"/>
  <c r="X713" i="9"/>
  <c r="X714" i="9"/>
  <c r="X715" i="9"/>
  <c r="X716" i="9"/>
  <c r="X717" i="9"/>
  <c r="X718" i="9"/>
  <c r="X719" i="9"/>
  <c r="X720" i="9"/>
  <c r="X721" i="9"/>
  <c r="X722" i="9"/>
  <c r="X723" i="9"/>
  <c r="X724" i="9"/>
  <c r="X725" i="9"/>
  <c r="X726" i="9"/>
  <c r="X727" i="9"/>
  <c r="X728" i="9"/>
  <c r="X729" i="9"/>
  <c r="X730" i="9"/>
  <c r="X731" i="9"/>
  <c r="X732" i="9"/>
  <c r="X733" i="9"/>
  <c r="X734" i="9"/>
  <c r="X735" i="9"/>
  <c r="X736" i="9"/>
  <c r="X737" i="9"/>
  <c r="X738" i="9"/>
  <c r="X739" i="9"/>
  <c r="X740" i="9"/>
  <c r="X741" i="9"/>
  <c r="X742" i="9"/>
  <c r="X743" i="9"/>
  <c r="X744" i="9"/>
  <c r="X745" i="9"/>
  <c r="X746" i="9"/>
  <c r="X747" i="9"/>
  <c r="X748" i="9"/>
  <c r="X749" i="9"/>
  <c r="X750" i="9"/>
  <c r="X751" i="9"/>
  <c r="X752" i="9"/>
  <c r="X753" i="9"/>
  <c r="X754" i="9"/>
  <c r="X755" i="9"/>
  <c r="X756" i="9"/>
  <c r="X757" i="9"/>
  <c r="X758" i="9"/>
  <c r="X759" i="9"/>
  <c r="X760" i="9"/>
  <c r="X761" i="9"/>
  <c r="X762" i="9"/>
  <c r="X763" i="9"/>
  <c r="X764" i="9"/>
  <c r="X765" i="9"/>
  <c r="X766" i="9"/>
  <c r="X767" i="9"/>
  <c r="X768" i="9"/>
  <c r="X769" i="9"/>
  <c r="X770" i="9"/>
  <c r="X771" i="9"/>
  <c r="X772" i="9"/>
  <c r="X773" i="9"/>
  <c r="X774" i="9"/>
  <c r="X775" i="9"/>
  <c r="X776" i="9"/>
  <c r="X777" i="9"/>
  <c r="X778" i="9"/>
  <c r="X779" i="9"/>
  <c r="X780" i="9"/>
  <c r="X781" i="9"/>
  <c r="X782" i="9"/>
  <c r="X783" i="9"/>
  <c r="X784" i="9"/>
  <c r="X785" i="9"/>
  <c r="X786" i="9"/>
  <c r="X787" i="9"/>
  <c r="X788" i="9"/>
  <c r="X789" i="9"/>
  <c r="X790" i="9"/>
  <c r="X791" i="9"/>
  <c r="X792" i="9"/>
  <c r="X793" i="9"/>
  <c r="X794" i="9"/>
  <c r="X795" i="9"/>
  <c r="X796" i="9"/>
  <c r="X797" i="9"/>
  <c r="X798" i="9"/>
  <c r="X799" i="9"/>
  <c r="X800" i="9"/>
  <c r="X801" i="9"/>
  <c r="X802" i="9"/>
  <c r="X803" i="9"/>
  <c r="X804" i="9"/>
  <c r="X805" i="9"/>
  <c r="X806" i="9"/>
  <c r="X807" i="9"/>
  <c r="X808" i="9"/>
  <c r="X809" i="9"/>
  <c r="X810" i="9"/>
  <c r="X811" i="9"/>
  <c r="X812" i="9"/>
  <c r="X813" i="9"/>
  <c r="X814" i="9"/>
  <c r="X815" i="9"/>
  <c r="X816" i="9"/>
  <c r="X817" i="9"/>
  <c r="X818" i="9"/>
  <c r="X819" i="9"/>
  <c r="X820" i="9"/>
  <c r="X821" i="9"/>
  <c r="X822" i="9"/>
  <c r="X823" i="9"/>
  <c r="X824" i="9"/>
  <c r="X825" i="9"/>
  <c r="X826" i="9"/>
  <c r="X827" i="9"/>
  <c r="X828" i="9"/>
  <c r="X829" i="9"/>
  <c r="X830" i="9"/>
  <c r="X831" i="9"/>
  <c r="X832" i="9"/>
  <c r="X833" i="9"/>
  <c r="X834" i="9"/>
  <c r="X835" i="9"/>
  <c r="X836" i="9"/>
  <c r="X837" i="9"/>
  <c r="X838" i="9"/>
  <c r="X839" i="9"/>
  <c r="X840" i="9"/>
  <c r="X841" i="9"/>
  <c r="X842" i="9"/>
  <c r="X843" i="9"/>
  <c r="X844" i="9"/>
  <c r="X845" i="9"/>
  <c r="X846" i="9"/>
  <c r="X847" i="9"/>
  <c r="X848" i="9"/>
  <c r="X849" i="9"/>
  <c r="X850" i="9"/>
  <c r="X851" i="9"/>
  <c r="X852" i="9"/>
  <c r="X853" i="9"/>
  <c r="X854" i="9"/>
  <c r="X855" i="9"/>
  <c r="X856" i="9"/>
  <c r="X857" i="9"/>
  <c r="X858" i="9"/>
  <c r="X859" i="9"/>
  <c r="X860" i="9"/>
  <c r="X861" i="9"/>
  <c r="X862" i="9"/>
  <c r="X863" i="9"/>
  <c r="X864" i="9"/>
  <c r="X865" i="9"/>
  <c r="X866" i="9"/>
  <c r="X867" i="9"/>
  <c r="X868" i="9"/>
  <c r="X869" i="9"/>
  <c r="X870" i="9"/>
  <c r="X871" i="9"/>
  <c r="X872" i="9"/>
  <c r="X873" i="9"/>
  <c r="X874" i="9"/>
  <c r="X875" i="9"/>
  <c r="X876" i="9"/>
  <c r="X877" i="9"/>
  <c r="X878" i="9"/>
  <c r="X879" i="9"/>
  <c r="X880" i="9"/>
  <c r="X881" i="9"/>
  <c r="X882" i="9"/>
  <c r="X883" i="9"/>
  <c r="X884" i="9"/>
  <c r="X885" i="9"/>
  <c r="X886" i="9"/>
  <c r="X887" i="9"/>
  <c r="X888" i="9"/>
  <c r="X889" i="9"/>
  <c r="X890" i="9"/>
  <c r="X891" i="9"/>
  <c r="X892" i="9"/>
  <c r="X893" i="9"/>
  <c r="X894" i="9"/>
  <c r="X895" i="9"/>
  <c r="X896" i="9"/>
  <c r="X897" i="9"/>
  <c r="X898" i="9"/>
  <c r="X899" i="9"/>
  <c r="X900" i="9"/>
  <c r="X901" i="9"/>
  <c r="X902" i="9"/>
  <c r="X903" i="9"/>
  <c r="X904" i="9"/>
  <c r="X905" i="9"/>
  <c r="X906" i="9"/>
  <c r="X907" i="9"/>
  <c r="X908" i="9"/>
  <c r="X909" i="9"/>
  <c r="X910" i="9"/>
  <c r="X911" i="9"/>
  <c r="X912" i="9"/>
  <c r="X913" i="9"/>
  <c r="X914" i="9"/>
  <c r="X915" i="9"/>
  <c r="X916" i="9"/>
  <c r="X917" i="9"/>
  <c r="X918" i="9"/>
  <c r="X919" i="9"/>
  <c r="X920" i="9"/>
  <c r="X921" i="9"/>
  <c r="X922" i="9"/>
  <c r="X923" i="9"/>
  <c r="X924" i="9"/>
  <c r="X925" i="9"/>
  <c r="X926" i="9"/>
  <c r="X927" i="9"/>
  <c r="X928" i="9"/>
  <c r="X929" i="9"/>
  <c r="X930" i="9"/>
  <c r="X931" i="9"/>
  <c r="X932" i="9"/>
  <c r="X933" i="9"/>
  <c r="X934" i="9"/>
  <c r="X935" i="9"/>
  <c r="X936" i="9"/>
  <c r="X937" i="9"/>
  <c r="X938" i="9"/>
  <c r="X939" i="9"/>
  <c r="X940" i="9"/>
  <c r="X941" i="9"/>
  <c r="X942" i="9"/>
  <c r="X943" i="9"/>
  <c r="X944" i="9"/>
  <c r="X945" i="9"/>
  <c r="X946" i="9"/>
  <c r="X947" i="9"/>
  <c r="X948" i="9"/>
  <c r="X949" i="9"/>
  <c r="X950" i="9"/>
  <c r="X951" i="9"/>
  <c r="X952" i="9"/>
  <c r="X953" i="9"/>
  <c r="X954" i="9"/>
  <c r="X955" i="9"/>
  <c r="X956" i="9"/>
  <c r="X957" i="9"/>
  <c r="X958" i="9"/>
  <c r="X959" i="9"/>
  <c r="X960" i="9"/>
  <c r="X961" i="9"/>
  <c r="X962" i="9"/>
  <c r="X963" i="9"/>
  <c r="X964" i="9"/>
  <c r="X965" i="9"/>
  <c r="X966" i="9"/>
  <c r="X967" i="9"/>
  <c r="X968" i="9"/>
  <c r="X969" i="9"/>
  <c r="X970" i="9"/>
  <c r="X971" i="9"/>
  <c r="X972" i="9"/>
  <c r="X973" i="9"/>
  <c r="X974" i="9"/>
  <c r="X975" i="9"/>
  <c r="X976" i="9"/>
  <c r="X977" i="9"/>
  <c r="X978" i="9"/>
  <c r="X979" i="9"/>
  <c r="X980" i="9"/>
  <c r="X981" i="9"/>
  <c r="X982" i="9"/>
  <c r="X983" i="9"/>
  <c r="X984" i="9"/>
  <c r="X985" i="9"/>
  <c r="X986" i="9"/>
  <c r="X987" i="9"/>
  <c r="X988" i="9"/>
  <c r="X989" i="9"/>
  <c r="X990" i="9"/>
  <c r="X991" i="9"/>
  <c r="X992" i="9"/>
  <c r="X993" i="9"/>
  <c r="X994" i="9"/>
  <c r="X995" i="9"/>
  <c r="X996" i="9"/>
  <c r="X997" i="9"/>
  <c r="X998" i="9"/>
  <c r="X999" i="9"/>
  <c r="X1000" i="9"/>
  <c r="X1001" i="9"/>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S7" i="18" l="1"/>
  <c r="S5" i="18"/>
  <c r="S8" i="18"/>
  <c r="S3" i="18"/>
  <c r="AB870" i="9"/>
  <c r="AB790" i="9"/>
  <c r="Y184" i="9"/>
  <c r="AB340" i="9"/>
  <c r="AB228" i="9"/>
  <c r="AA962" i="9"/>
  <c r="AB962" i="9" s="1"/>
  <c r="AA614" i="9"/>
  <c r="AB614" i="9" s="1"/>
  <c r="AB390" i="9"/>
  <c r="AA446" i="9"/>
  <c r="AB446" i="9" s="1"/>
  <c r="AA244" i="9"/>
  <c r="AB244" i="9" s="1"/>
  <c r="AB582" i="9"/>
  <c r="AB438" i="9"/>
  <c r="AB92" i="9"/>
  <c r="AA386" i="9"/>
  <c r="AB386" i="9" s="1"/>
  <c r="AA986" i="9"/>
  <c r="AB986" i="9" s="1"/>
  <c r="AA931" i="9"/>
  <c r="AB931" i="9" s="1"/>
  <c r="AA865" i="9"/>
  <c r="AB865" i="9" s="1"/>
  <c r="AA678" i="9"/>
  <c r="AB678" i="9" s="1"/>
  <c r="AA486" i="9"/>
  <c r="AB486" i="9" s="1"/>
  <c r="AA998" i="9"/>
  <c r="AB998" i="9" s="1"/>
  <c r="AA983" i="9"/>
  <c r="AB983" i="9" s="1"/>
  <c r="AA806" i="9"/>
  <c r="AB806" i="9" s="1"/>
  <c r="AA598" i="9"/>
  <c r="AB598" i="9" s="1"/>
  <c r="AA470" i="9"/>
  <c r="AB470" i="9" s="1"/>
  <c r="AA966" i="9"/>
  <c r="AB966" i="9" s="1"/>
  <c r="AA902" i="9"/>
  <c r="AB902" i="9" s="1"/>
  <c r="AA838" i="9"/>
  <c r="AB838" i="9" s="1"/>
  <c r="Z219" i="9"/>
  <c r="Z203" i="9"/>
  <c r="Z139" i="9"/>
  <c r="Y392" i="9"/>
  <c r="Z291" i="9"/>
  <c r="Z243" i="9"/>
  <c r="Z211" i="9"/>
  <c r="Z179" i="9"/>
  <c r="Z147" i="9"/>
  <c r="Z115" i="9"/>
  <c r="Z71" i="9"/>
  <c r="Z23" i="9"/>
  <c r="Y3" i="9"/>
  <c r="Z3" i="9" s="1"/>
  <c r="W99" i="9"/>
  <c r="W139" i="9"/>
  <c r="W619" i="9"/>
  <c r="P23" i="9"/>
  <c r="P27" i="9"/>
  <c r="P47" i="9"/>
  <c r="W28" i="9"/>
  <c r="W192" i="9"/>
  <c r="W312" i="9"/>
  <c r="W316" i="9"/>
  <c r="W356" i="9"/>
  <c r="W392" i="9"/>
  <c r="W692" i="9"/>
  <c r="W700" i="9"/>
  <c r="W788" i="9"/>
  <c r="W968" i="9"/>
  <c r="P12" i="9"/>
  <c r="P32" i="9"/>
  <c r="W157" i="9"/>
  <c r="W233" i="9"/>
  <c r="W373" i="9"/>
  <c r="W581" i="9"/>
  <c r="W653" i="9"/>
  <c r="W693" i="9"/>
  <c r="W833" i="9"/>
  <c r="P29" i="9"/>
  <c r="W194" i="9"/>
  <c r="W346" i="9"/>
  <c r="W566" i="9"/>
  <c r="W578" i="9"/>
  <c r="W718" i="9"/>
  <c r="W834" i="9"/>
  <c r="P10" i="9"/>
  <c r="P18" i="9"/>
  <c r="P26" i="9"/>
  <c r="P76" i="9"/>
  <c r="P196" i="9"/>
  <c r="P236" i="9"/>
  <c r="P328" i="9"/>
  <c r="P364" i="9"/>
  <c r="P404" i="9"/>
  <c r="P460" i="9"/>
  <c r="P476" i="9"/>
  <c r="P524" i="9"/>
  <c r="P560" i="9"/>
  <c r="P89" i="9"/>
  <c r="P121" i="9"/>
  <c r="P137" i="9"/>
  <c r="P141" i="9"/>
  <c r="P189" i="9"/>
  <c r="P217" i="9"/>
  <c r="P277" i="9"/>
  <c r="P321" i="9"/>
  <c r="P325" i="9"/>
  <c r="P445" i="9"/>
  <c r="P525" i="9"/>
  <c r="P577" i="9"/>
  <c r="P358" i="9"/>
  <c r="AA358" i="9" s="1"/>
  <c r="AB358" i="9" s="1"/>
  <c r="P366" i="9"/>
  <c r="P494" i="9"/>
  <c r="P87" i="9"/>
  <c r="P187" i="9"/>
  <c r="P211" i="9"/>
  <c r="P263" i="9"/>
  <c r="P283" i="9"/>
  <c r="P343" i="9"/>
  <c r="P355" i="9"/>
  <c r="P359" i="9"/>
  <c r="P431" i="9"/>
  <c r="P523" i="9"/>
  <c r="P543" i="9"/>
  <c r="P571" i="9"/>
  <c r="P579" i="9"/>
  <c r="P602" i="9"/>
  <c r="P846" i="9"/>
  <c r="P914" i="9"/>
  <c r="P930" i="9"/>
  <c r="P950" i="9"/>
  <c r="P970" i="9"/>
  <c r="AA34" i="9"/>
  <c r="AB34" i="9" s="1"/>
  <c r="AA66" i="9"/>
  <c r="AB66" i="9" s="1"/>
  <c r="P659" i="9"/>
  <c r="P703" i="9"/>
  <c r="P707" i="9"/>
  <c r="P596" i="9"/>
  <c r="P632" i="9"/>
  <c r="P748" i="9"/>
  <c r="P633" i="9"/>
  <c r="P665" i="9"/>
  <c r="P781" i="9"/>
  <c r="P833" i="9"/>
  <c r="P961" i="9"/>
  <c r="P1001" i="9"/>
  <c r="AA13" i="9"/>
  <c r="AB13" i="9" s="1"/>
  <c r="P895" i="9"/>
  <c r="AA120" i="9"/>
  <c r="AB120" i="9" s="1"/>
  <c r="AA229" i="9"/>
  <c r="AB229" i="9" s="1"/>
  <c r="P979" i="9"/>
  <c r="AA979" i="9" s="1"/>
  <c r="AB979" i="9" s="1"/>
  <c r="AA111" i="9"/>
  <c r="AB111" i="9" s="1"/>
  <c r="AA19" i="9"/>
  <c r="AB19" i="9" s="1"/>
  <c r="AA59" i="9"/>
  <c r="AB59" i="9" s="1"/>
  <c r="AA75" i="9"/>
  <c r="AB75" i="9" s="1"/>
  <c r="AA96" i="9"/>
  <c r="AB96" i="9" s="1"/>
  <c r="AA123" i="9"/>
  <c r="AB123" i="9" s="1"/>
  <c r="AA287" i="9"/>
  <c r="AB287" i="9" s="1"/>
  <c r="AA639" i="9"/>
  <c r="AB639" i="9" s="1"/>
  <c r="AA695" i="9"/>
  <c r="AB695" i="9" s="1"/>
  <c r="AA779" i="9"/>
  <c r="AB779" i="9" s="1"/>
  <c r="AA835" i="9"/>
  <c r="AB835" i="9" s="1"/>
  <c r="P843" i="9"/>
  <c r="AA412" i="9"/>
  <c r="AB412" i="9" s="1"/>
  <c r="AA448" i="9"/>
  <c r="AB448" i="9" s="1"/>
  <c r="AA576" i="9"/>
  <c r="AB576" i="9" s="1"/>
  <c r="AA584" i="9"/>
  <c r="AB584" i="9" s="1"/>
  <c r="AA912" i="9"/>
  <c r="AB912" i="9" s="1"/>
  <c r="AA617" i="9"/>
  <c r="AB617" i="9" s="1"/>
  <c r="AA637" i="9"/>
  <c r="AB637" i="9" s="1"/>
  <c r="AA697" i="9"/>
  <c r="AB697" i="9" s="1"/>
  <c r="AA737" i="9"/>
  <c r="AB737" i="9" s="1"/>
  <c r="W7" i="9"/>
  <c r="W163" i="9"/>
  <c r="W395" i="9"/>
  <c r="W479" i="9"/>
  <c r="W543" i="9"/>
  <c r="W923" i="9"/>
  <c r="W927" i="9"/>
  <c r="W128" i="9"/>
  <c r="W164" i="9"/>
  <c r="W256" i="9"/>
  <c r="W460" i="9"/>
  <c r="W740" i="9"/>
  <c r="W5" i="9"/>
  <c r="W357" i="9"/>
  <c r="W397" i="9"/>
  <c r="W493" i="9"/>
  <c r="W977" i="9"/>
  <c r="P57" i="9"/>
  <c r="W82" i="9"/>
  <c r="W394" i="9"/>
  <c r="W494" i="9"/>
  <c r="W626" i="9"/>
  <c r="W810" i="9"/>
  <c r="W990" i="9"/>
  <c r="P54" i="9"/>
  <c r="P108" i="9"/>
  <c r="P136" i="9"/>
  <c r="P212" i="9"/>
  <c r="AA212" i="9" s="1"/>
  <c r="AB212" i="9" s="1"/>
  <c r="P248" i="9"/>
  <c r="P304" i="9"/>
  <c r="P308" i="9"/>
  <c r="AA308" i="9" s="1"/>
  <c r="AB308" i="9" s="1"/>
  <c r="P320" i="9"/>
  <c r="P384" i="9"/>
  <c r="P388" i="9"/>
  <c r="P436" i="9"/>
  <c r="P440" i="9"/>
  <c r="P508" i="9"/>
  <c r="P185" i="9"/>
  <c r="P201" i="9"/>
  <c r="P209" i="9"/>
  <c r="P253" i="9"/>
  <c r="P269" i="9"/>
  <c r="P437" i="9"/>
  <c r="P98" i="9"/>
  <c r="P250" i="9"/>
  <c r="P330" i="9"/>
  <c r="P374" i="9"/>
  <c r="AA374" i="9" s="1"/>
  <c r="AB374" i="9" s="1"/>
  <c r="P506" i="9"/>
  <c r="P578" i="9"/>
  <c r="P139" i="9"/>
  <c r="P143" i="9"/>
  <c r="P163" i="9"/>
  <c r="P251" i="9"/>
  <c r="P335" i="9"/>
  <c r="P347" i="9"/>
  <c r="P531" i="9"/>
  <c r="P555" i="9"/>
  <c r="P830" i="9"/>
  <c r="P834" i="9"/>
  <c r="P874" i="9"/>
  <c r="P898" i="9"/>
  <c r="AA18" i="9"/>
  <c r="AB18" i="9" s="1"/>
  <c r="AA26" i="9"/>
  <c r="AB26" i="9" s="1"/>
  <c r="P595" i="9"/>
  <c r="P623" i="9"/>
  <c r="P663" i="9"/>
  <c r="P687" i="9"/>
  <c r="P719" i="9"/>
  <c r="P767" i="9"/>
  <c r="P728" i="9"/>
  <c r="P736" i="9"/>
  <c r="P804" i="9"/>
  <c r="P812" i="9"/>
  <c r="P820" i="9"/>
  <c r="P832" i="9"/>
  <c r="P645" i="9"/>
  <c r="P849" i="9"/>
  <c r="P857" i="9"/>
  <c r="P897" i="9"/>
  <c r="P917" i="9"/>
  <c r="P985" i="9"/>
  <c r="AA23" i="9"/>
  <c r="AB23" i="9" s="1"/>
  <c r="AA39" i="9"/>
  <c r="AB39" i="9" s="1"/>
  <c r="AA109" i="9"/>
  <c r="AB109" i="9" s="1"/>
  <c r="AA115" i="9"/>
  <c r="AB115" i="9" s="1"/>
  <c r="P871" i="9"/>
  <c r="P991" i="9"/>
  <c r="P1000" i="9"/>
  <c r="AA8" i="9"/>
  <c r="AB8" i="9" s="1"/>
  <c r="AA32" i="9"/>
  <c r="AB32" i="9" s="1"/>
  <c r="AA175" i="9"/>
  <c r="AB175" i="9" s="1"/>
  <c r="AA218" i="9"/>
  <c r="AB218" i="9" s="1"/>
  <c r="P955" i="9"/>
  <c r="AA955" i="9" s="1"/>
  <c r="AB955" i="9" s="1"/>
  <c r="P975" i="9"/>
  <c r="AA375" i="9"/>
  <c r="AB375" i="9" s="1"/>
  <c r="AA535" i="9"/>
  <c r="AB535" i="9" s="1"/>
  <c r="AA675" i="9"/>
  <c r="AB675" i="9" s="1"/>
  <c r="AA727" i="9"/>
  <c r="AB727" i="9" s="1"/>
  <c r="AA145" i="9"/>
  <c r="AB145" i="9" s="1"/>
  <c r="AA512" i="9"/>
  <c r="AB512" i="9" s="1"/>
  <c r="AA744" i="9"/>
  <c r="AB744" i="9" s="1"/>
  <c r="AA808" i="9"/>
  <c r="AB808" i="9" s="1"/>
  <c r="AA900" i="9"/>
  <c r="AB900" i="9" s="1"/>
  <c r="AA904" i="9"/>
  <c r="AB904" i="9" s="1"/>
  <c r="AA129" i="9"/>
  <c r="AB129" i="9" s="1"/>
  <c r="AA369" i="9"/>
  <c r="AB369" i="9" s="1"/>
  <c r="AA417" i="9"/>
  <c r="AB417" i="9" s="1"/>
  <c r="AA449" i="9"/>
  <c r="AB449" i="9" s="1"/>
  <c r="AA469" i="9"/>
  <c r="AB469" i="9" s="1"/>
  <c r="AA549" i="9"/>
  <c r="AB549" i="9" s="1"/>
  <c r="AA757" i="9"/>
  <c r="AB757" i="9" s="1"/>
  <c r="W79" i="9"/>
  <c r="W203" i="9"/>
  <c r="W359" i="9"/>
  <c r="W831" i="9"/>
  <c r="W847" i="9"/>
  <c r="W867" i="9"/>
  <c r="W172" i="9"/>
  <c r="W328" i="9"/>
  <c r="W712" i="9"/>
  <c r="W832" i="9"/>
  <c r="W45" i="9"/>
  <c r="W345" i="9"/>
  <c r="W381" i="9"/>
  <c r="W745" i="9"/>
  <c r="W178" i="9"/>
  <c r="W654" i="9"/>
  <c r="W726" i="9"/>
  <c r="W750" i="9"/>
  <c r="P80" i="9"/>
  <c r="P116" i="9"/>
  <c r="P192" i="9"/>
  <c r="P344" i="9"/>
  <c r="P408" i="9"/>
  <c r="P464" i="9"/>
  <c r="P484" i="9"/>
  <c r="P528" i="9"/>
  <c r="P552" i="9"/>
  <c r="P93" i="9"/>
  <c r="P105" i="9"/>
  <c r="P169" i="9"/>
  <c r="P177" i="9"/>
  <c r="P181" i="9"/>
  <c r="P205" i="9"/>
  <c r="P221" i="9"/>
  <c r="P313" i="9"/>
  <c r="P401" i="9"/>
  <c r="P509" i="9"/>
  <c r="P561" i="9"/>
  <c r="P63" i="9"/>
  <c r="P78" i="9"/>
  <c r="P82" i="9"/>
  <c r="P114" i="9"/>
  <c r="P198" i="9"/>
  <c r="P214" i="9"/>
  <c r="P290" i="9"/>
  <c r="P294" i="9"/>
  <c r="P306" i="9"/>
  <c r="P350" i="9"/>
  <c r="P406" i="9"/>
  <c r="P410" i="9"/>
  <c r="P450" i="9"/>
  <c r="P119" i="9"/>
  <c r="P147" i="9"/>
  <c r="P295" i="9"/>
  <c r="P363" i="9"/>
  <c r="P507" i="9"/>
  <c r="P515" i="9"/>
  <c r="P559" i="9"/>
  <c r="P583" i="9"/>
  <c r="P626" i="9"/>
  <c r="P710" i="9"/>
  <c r="AA710" i="9" s="1"/>
  <c r="AB710" i="9" s="1"/>
  <c r="P810" i="9"/>
  <c r="P942" i="9"/>
  <c r="AA942" i="9" s="1"/>
  <c r="AB942" i="9" s="1"/>
  <c r="AA30" i="9"/>
  <c r="AB30" i="9" s="1"/>
  <c r="AA94" i="9"/>
  <c r="AB94" i="9" s="1"/>
  <c r="P611" i="9"/>
  <c r="P759" i="9"/>
  <c r="P724" i="9"/>
  <c r="P764" i="9"/>
  <c r="P784" i="9"/>
  <c r="P605" i="9"/>
  <c r="P629" i="9"/>
  <c r="P661" i="9"/>
  <c r="P773" i="9"/>
  <c r="P841" i="9"/>
  <c r="P881" i="9"/>
  <c r="AA881" i="9" s="1"/>
  <c r="AB881" i="9" s="1"/>
  <c r="AA25" i="9"/>
  <c r="AB25" i="9" s="1"/>
  <c r="P952" i="9"/>
  <c r="P971" i="9"/>
  <c r="AA971" i="9" s="1"/>
  <c r="AB971" i="9" s="1"/>
  <c r="AA213" i="9"/>
  <c r="AB213" i="9" s="1"/>
  <c r="AA84" i="9"/>
  <c r="AB84" i="9" s="1"/>
  <c r="AA148" i="9"/>
  <c r="AB148" i="9" s="1"/>
  <c r="AA153" i="9"/>
  <c r="AB153" i="9" s="1"/>
  <c r="AA238" i="9"/>
  <c r="AB238" i="9" s="1"/>
  <c r="P867" i="9"/>
  <c r="P891" i="9"/>
  <c r="P936" i="9"/>
  <c r="P943" i="9"/>
  <c r="AA943" i="9" s="1"/>
  <c r="AB943" i="9" s="1"/>
  <c r="P967" i="9"/>
  <c r="AA107" i="9"/>
  <c r="AB107" i="9" s="1"/>
  <c r="AA117" i="9"/>
  <c r="AB117" i="9" s="1"/>
  <c r="AA160" i="9"/>
  <c r="AB160" i="9" s="1"/>
  <c r="AA251" i="9"/>
  <c r="AB251" i="9" s="1"/>
  <c r="AA275" i="9"/>
  <c r="AB275" i="9" s="1"/>
  <c r="AA97" i="9"/>
  <c r="AB97" i="9" s="1"/>
  <c r="AA391" i="9"/>
  <c r="AB391" i="9" s="1"/>
  <c r="AA463" i="9"/>
  <c r="AB463" i="9" s="1"/>
  <c r="AA588" i="9"/>
  <c r="AB588" i="9" s="1"/>
  <c r="AA688" i="9"/>
  <c r="AB688" i="9" s="1"/>
  <c r="AA780" i="9"/>
  <c r="AB780" i="9" s="1"/>
  <c r="AA804" i="9"/>
  <c r="AB804" i="9" s="1"/>
  <c r="AA87" i="9"/>
  <c r="AB87" i="9" s="1"/>
  <c r="AA224" i="9"/>
  <c r="AB224" i="9" s="1"/>
  <c r="AA240" i="9"/>
  <c r="AB240" i="9" s="1"/>
  <c r="AA272" i="9"/>
  <c r="AB272" i="9" s="1"/>
  <c r="AA521" i="9"/>
  <c r="AB521" i="9" s="1"/>
  <c r="AA633" i="9"/>
  <c r="AB633" i="9" s="1"/>
  <c r="AA733" i="9"/>
  <c r="AB733" i="9" s="1"/>
  <c r="AA999" i="9"/>
  <c r="AB999" i="9" s="1"/>
  <c r="AA951" i="9"/>
  <c r="AB951" i="9" s="1"/>
  <c r="AA947" i="9"/>
  <c r="AB947" i="9" s="1"/>
  <c r="AA854" i="9"/>
  <c r="AB854" i="9" s="1"/>
  <c r="AA814" i="9"/>
  <c r="AB814" i="9" s="1"/>
  <c r="AA454" i="9"/>
  <c r="AB454" i="9" s="1"/>
  <c r="AA422" i="9"/>
  <c r="AB422" i="9" s="1"/>
  <c r="AA177" i="9"/>
  <c r="AB177" i="9" s="1"/>
  <c r="W355" i="9"/>
  <c r="W495" i="9"/>
  <c r="W631" i="9"/>
  <c r="W859" i="9"/>
  <c r="W875" i="9"/>
  <c r="W887" i="9"/>
  <c r="W919" i="9"/>
  <c r="W939" i="9"/>
  <c r="W967" i="9"/>
  <c r="W975" i="9"/>
  <c r="P31" i="9"/>
  <c r="P51" i="9"/>
  <c r="W68" i="9"/>
  <c r="W156" i="9"/>
  <c r="W332" i="9"/>
  <c r="W372" i="9"/>
  <c r="W436" i="9"/>
  <c r="W496" i="9"/>
  <c r="W604" i="9"/>
  <c r="W748" i="9"/>
  <c r="W784" i="9"/>
  <c r="W884" i="9"/>
  <c r="W932" i="9"/>
  <c r="W952" i="9"/>
  <c r="W956" i="9"/>
  <c r="P4" i="9"/>
  <c r="P20" i="9"/>
  <c r="P60" i="9"/>
  <c r="W101" i="9"/>
  <c r="W113" i="9"/>
  <c r="W221" i="9"/>
  <c r="W497" i="9"/>
  <c r="W709" i="9"/>
  <c r="W853" i="9"/>
  <c r="W973" i="9"/>
  <c r="P37" i="9"/>
  <c r="W2" i="9"/>
  <c r="W134" i="9"/>
  <c r="W274" i="9"/>
  <c r="W666" i="9"/>
  <c r="W742" i="9"/>
  <c r="W918" i="9"/>
  <c r="P50" i="9"/>
  <c r="P104" i="9"/>
  <c r="P128" i="9"/>
  <c r="P132" i="9"/>
  <c r="P208" i="9"/>
  <c r="P232" i="9"/>
  <c r="P264" i="9"/>
  <c r="P432" i="9"/>
  <c r="P520" i="9"/>
  <c r="P540" i="9"/>
  <c r="P193" i="9"/>
  <c r="P457" i="9"/>
  <c r="P122" i="9"/>
  <c r="P126" i="9"/>
  <c r="P142" i="9"/>
  <c r="P162" i="9"/>
  <c r="P174" i="9"/>
  <c r="P190" i="9"/>
  <c r="P210" i="9"/>
  <c r="P286" i="9"/>
  <c r="P334" i="9"/>
  <c r="P482" i="9"/>
  <c r="P526" i="9"/>
  <c r="P574" i="9"/>
  <c r="P103" i="9"/>
  <c r="P127" i="9"/>
  <c r="P191" i="9"/>
  <c r="P319" i="9"/>
  <c r="P419" i="9"/>
  <c r="P487" i="9"/>
  <c r="P658" i="9"/>
  <c r="P774" i="9"/>
  <c r="AA774" i="9" s="1"/>
  <c r="AB774" i="9" s="1"/>
  <c r="P958" i="9"/>
  <c r="P990" i="9"/>
  <c r="AA58" i="9"/>
  <c r="AB58" i="9" s="1"/>
  <c r="AA118" i="9"/>
  <c r="AB118" i="9" s="1"/>
  <c r="AA158" i="9"/>
  <c r="AB158" i="9" s="1"/>
  <c r="AA166" i="9"/>
  <c r="AB166" i="9" s="1"/>
  <c r="P603" i="9"/>
  <c r="P627" i="9"/>
  <c r="P631" i="9"/>
  <c r="P683" i="9"/>
  <c r="P735" i="9"/>
  <c r="P751" i="9"/>
  <c r="P783" i="9"/>
  <c r="P676" i="9"/>
  <c r="P716" i="9"/>
  <c r="P732" i="9"/>
  <c r="P792" i="9"/>
  <c r="P824" i="9"/>
  <c r="P649" i="9"/>
  <c r="P785" i="9"/>
  <c r="P913" i="9"/>
  <c r="AA913" i="9" s="1"/>
  <c r="AB913" i="9" s="1"/>
  <c r="P949" i="9"/>
  <c r="AA61" i="9"/>
  <c r="AB61" i="9" s="1"/>
  <c r="P988" i="9"/>
  <c r="AA293" i="9"/>
  <c r="AB293" i="9" s="1"/>
  <c r="P856" i="9"/>
  <c r="P903" i="9"/>
  <c r="AA180" i="9"/>
  <c r="AB180" i="9" s="1"/>
  <c r="P899" i="9"/>
  <c r="AA149" i="9"/>
  <c r="AB149" i="9" s="1"/>
  <c r="AA259" i="9"/>
  <c r="AB259" i="9" s="1"/>
  <c r="P927" i="9"/>
  <c r="AA927" i="9" s="1"/>
  <c r="AB927" i="9" s="1"/>
  <c r="AA351" i="9"/>
  <c r="AB351" i="9" s="1"/>
  <c r="AA411" i="9"/>
  <c r="AB411" i="9" s="1"/>
  <c r="AA431" i="9"/>
  <c r="AB431" i="9" s="1"/>
  <c r="AA511" i="9"/>
  <c r="AB511" i="9" s="1"/>
  <c r="AA539" i="9"/>
  <c r="AB539" i="9" s="1"/>
  <c r="AA623" i="9"/>
  <c r="AB623" i="9" s="1"/>
  <c r="AA643" i="9"/>
  <c r="AB643" i="9" s="1"/>
  <c r="AA655" i="9"/>
  <c r="AB655" i="9" s="1"/>
  <c r="AA775" i="9"/>
  <c r="AB775" i="9" s="1"/>
  <c r="P968" i="9"/>
  <c r="AA464" i="9"/>
  <c r="AB464" i="9" s="1"/>
  <c r="AA632" i="9"/>
  <c r="AB632" i="9" s="1"/>
  <c r="AA339" i="9"/>
  <c r="AB339" i="9" s="1"/>
  <c r="AA361" i="9"/>
  <c r="AB361" i="9" s="1"/>
  <c r="AA377" i="9"/>
  <c r="AB377" i="9" s="1"/>
  <c r="AA405" i="9"/>
  <c r="AB405" i="9" s="1"/>
  <c r="AA429" i="9"/>
  <c r="AB429" i="9" s="1"/>
  <c r="AA589" i="9"/>
  <c r="AB589" i="9" s="1"/>
  <c r="W47" i="9"/>
  <c r="W95" i="9"/>
  <c r="W283" i="9"/>
  <c r="W627" i="9"/>
  <c r="W851" i="9"/>
  <c r="W907" i="9"/>
  <c r="P3" i="9"/>
  <c r="W196" i="9"/>
  <c r="W384" i="9"/>
  <c r="W492" i="9"/>
  <c r="W616" i="9"/>
  <c r="W724" i="9"/>
  <c r="P36" i="9"/>
  <c r="P48" i="9"/>
  <c r="W585" i="9"/>
  <c r="W777" i="9"/>
  <c r="W897" i="9"/>
  <c r="W905" i="9"/>
  <c r="W949" i="9"/>
  <c r="W957" i="9"/>
  <c r="P45" i="9"/>
  <c r="W510" i="9"/>
  <c r="W650" i="9"/>
  <c r="W858" i="9"/>
  <c r="W882" i="9"/>
  <c r="W906" i="9"/>
  <c r="P70" i="9"/>
  <c r="P72" i="9"/>
  <c r="P544" i="9"/>
  <c r="P556" i="9"/>
  <c r="P125" i="9"/>
  <c r="P157" i="9"/>
  <c r="P289" i="9"/>
  <c r="P337" i="9"/>
  <c r="P381" i="9"/>
  <c r="P385" i="9"/>
  <c r="P421" i="9"/>
  <c r="P493" i="9"/>
  <c r="P505" i="9"/>
  <c r="P102" i="9"/>
  <c r="P182" i="9"/>
  <c r="P262" i="9"/>
  <c r="P362" i="9"/>
  <c r="P394" i="9"/>
  <c r="P398" i="9"/>
  <c r="P442" i="9"/>
  <c r="P542" i="9"/>
  <c r="P550" i="9"/>
  <c r="AA550" i="9" s="1"/>
  <c r="AB550" i="9" s="1"/>
  <c r="P135" i="9"/>
  <c r="P159" i="9"/>
  <c r="P183" i="9"/>
  <c r="P231" i="9"/>
  <c r="P235" i="9"/>
  <c r="P239" i="9"/>
  <c r="P379" i="9"/>
  <c r="P383" i="9"/>
  <c r="P439" i="9"/>
  <c r="P610" i="9"/>
  <c r="P634" i="9"/>
  <c r="P654" i="9"/>
  <c r="P662" i="9"/>
  <c r="P682" i="9"/>
  <c r="P758" i="9"/>
  <c r="P802" i="9"/>
  <c r="P822" i="9"/>
  <c r="AA822" i="9" s="1"/>
  <c r="AB822" i="9" s="1"/>
  <c r="P906" i="9"/>
  <c r="P918" i="9"/>
  <c r="AA918" i="9" s="1"/>
  <c r="AB918" i="9" s="1"/>
  <c r="P954" i="9"/>
  <c r="AA954" i="9" s="1"/>
  <c r="AB954" i="9" s="1"/>
  <c r="AA138" i="9"/>
  <c r="AB138" i="9" s="1"/>
  <c r="AA162" i="9"/>
  <c r="AB162" i="9" s="1"/>
  <c r="P619" i="9"/>
  <c r="P679" i="9"/>
  <c r="P620" i="9"/>
  <c r="P660" i="9"/>
  <c r="P664" i="9"/>
  <c r="P720" i="9"/>
  <c r="P768" i="9"/>
  <c r="P653" i="9"/>
  <c r="P677" i="9"/>
  <c r="P681" i="9"/>
  <c r="P709" i="9"/>
  <c r="P853" i="9"/>
  <c r="P937" i="9"/>
  <c r="P989" i="9"/>
  <c r="AA33" i="9"/>
  <c r="AB33" i="9" s="1"/>
  <c r="P875" i="9"/>
  <c r="P959" i="9"/>
  <c r="AA959" i="9" s="1"/>
  <c r="AB959" i="9" s="1"/>
  <c r="AA281" i="9"/>
  <c r="AB281" i="9" s="1"/>
  <c r="AA305" i="9"/>
  <c r="AB305" i="9" s="1"/>
  <c r="P876" i="9"/>
  <c r="P916" i="9"/>
  <c r="P923" i="9"/>
  <c r="P935" i="9"/>
  <c r="AA935" i="9" s="1"/>
  <c r="AB935" i="9" s="1"/>
  <c r="AA202" i="9"/>
  <c r="AB202" i="9" s="1"/>
  <c r="AA282" i="9"/>
  <c r="AB282" i="9" s="1"/>
  <c r="AA298" i="9"/>
  <c r="AB298" i="9" s="1"/>
  <c r="P859" i="9"/>
  <c r="AA859" i="9" s="1"/>
  <c r="AB859" i="9" s="1"/>
  <c r="AA27" i="9"/>
  <c r="AB27" i="9" s="1"/>
  <c r="AA43" i="9"/>
  <c r="AB43" i="9" s="1"/>
  <c r="AA165" i="9"/>
  <c r="AB165" i="9" s="1"/>
  <c r="AA171" i="9"/>
  <c r="AB171" i="9" s="1"/>
  <c r="AA264" i="9"/>
  <c r="AB264" i="9" s="1"/>
  <c r="AA280" i="9"/>
  <c r="AB280" i="9" s="1"/>
  <c r="AA387" i="9"/>
  <c r="AB387" i="9" s="1"/>
  <c r="AA403" i="9"/>
  <c r="AB403" i="9" s="1"/>
  <c r="AA427" i="9"/>
  <c r="AB427" i="9" s="1"/>
  <c r="AA559" i="9"/>
  <c r="AB559" i="9" s="1"/>
  <c r="AA575" i="9"/>
  <c r="AB575" i="9" s="1"/>
  <c r="AA599" i="9"/>
  <c r="AB599" i="9" s="1"/>
  <c r="AA603" i="9"/>
  <c r="AB603" i="9" s="1"/>
  <c r="AA651" i="9"/>
  <c r="AB651" i="9" s="1"/>
  <c r="AA707" i="9"/>
  <c r="AB707" i="9" s="1"/>
  <c r="AA711" i="9"/>
  <c r="AB711" i="9" s="1"/>
  <c r="AA747" i="9"/>
  <c r="AB747" i="9" s="1"/>
  <c r="AA839" i="9"/>
  <c r="AB839" i="9" s="1"/>
  <c r="P819" i="9"/>
  <c r="AA672" i="9"/>
  <c r="AB672" i="9" s="1"/>
  <c r="AA872" i="9"/>
  <c r="AB872" i="9" s="1"/>
  <c r="AA920" i="9"/>
  <c r="AB920" i="9" s="1"/>
  <c r="AA453" i="9"/>
  <c r="AB453" i="9" s="1"/>
  <c r="AA565" i="9"/>
  <c r="AB565" i="9" s="1"/>
  <c r="AA641" i="9"/>
  <c r="AB641" i="9" s="1"/>
  <c r="AA729" i="9"/>
  <c r="AB729" i="9" s="1"/>
  <c r="W31" i="9"/>
  <c r="W127" i="9"/>
  <c r="W151" i="9"/>
  <c r="W211" i="9"/>
  <c r="W239" i="9"/>
  <c r="W475" i="9"/>
  <c r="W487" i="9"/>
  <c r="W527" i="9"/>
  <c r="W739" i="9"/>
  <c r="W759" i="9"/>
  <c r="W811" i="9"/>
  <c r="W88" i="9"/>
  <c r="W208" i="9"/>
  <c r="W380" i="9"/>
  <c r="W408" i="9"/>
  <c r="W552" i="9"/>
  <c r="W560" i="9"/>
  <c r="W960" i="9"/>
  <c r="P16" i="9"/>
  <c r="P44" i="9"/>
  <c r="W53" i="9"/>
  <c r="W73" i="9"/>
  <c r="W217" i="9"/>
  <c r="W337" i="9"/>
  <c r="W421" i="9"/>
  <c r="W509" i="9"/>
  <c r="W661" i="9"/>
  <c r="W821" i="9"/>
  <c r="W985" i="9"/>
  <c r="W74" i="9"/>
  <c r="W146" i="9"/>
  <c r="W150" i="9"/>
  <c r="W294" i="9"/>
  <c r="W406" i="9"/>
  <c r="W802" i="9"/>
  <c r="W970" i="9"/>
  <c r="P100" i="9"/>
  <c r="P204" i="9"/>
  <c r="P336" i="9"/>
  <c r="P356" i="9"/>
  <c r="P392" i="9"/>
  <c r="P496" i="9"/>
  <c r="P133" i="9"/>
  <c r="P373" i="9"/>
  <c r="P397" i="9"/>
  <c r="P489" i="9"/>
  <c r="P497" i="9"/>
  <c r="P517" i="9"/>
  <c r="P533" i="9"/>
  <c r="P537" i="9"/>
  <c r="P541" i="9"/>
  <c r="P86" i="9"/>
  <c r="P270" i="9"/>
  <c r="P326" i="9"/>
  <c r="P518" i="9"/>
  <c r="AA518" i="9" s="1"/>
  <c r="AB518" i="9" s="1"/>
  <c r="P522" i="9"/>
  <c r="P562" i="9"/>
  <c r="P566" i="9"/>
  <c r="P247" i="9"/>
  <c r="P307" i="9"/>
  <c r="P455" i="9"/>
  <c r="P471" i="9"/>
  <c r="P479" i="9"/>
  <c r="P590" i="9"/>
  <c r="P646" i="9"/>
  <c r="P694" i="9"/>
  <c r="P770" i="9"/>
  <c r="P826" i="9"/>
  <c r="P926" i="9"/>
  <c r="P994" i="9"/>
  <c r="AA46" i="9"/>
  <c r="AB46" i="9" s="1"/>
  <c r="AA174" i="9"/>
  <c r="AB174" i="9" s="1"/>
  <c r="P587" i="9"/>
  <c r="P799" i="9"/>
  <c r="P612" i="9"/>
  <c r="P652" i="9"/>
  <c r="P776" i="9"/>
  <c r="P769" i="9"/>
  <c r="P777" i="9"/>
  <c r="P789" i="9"/>
  <c r="P869" i="9"/>
  <c r="P965" i="9"/>
  <c r="P973" i="9"/>
  <c r="AA69" i="9"/>
  <c r="AB69" i="9" s="1"/>
  <c r="P928" i="9"/>
  <c r="P995" i="9"/>
  <c r="AA77" i="9"/>
  <c r="AB77" i="9" s="1"/>
  <c r="AA184" i="9"/>
  <c r="AB184" i="9" s="1"/>
  <c r="AA261" i="9"/>
  <c r="AB261" i="9" s="1"/>
  <c r="P984" i="9"/>
  <c r="AA64" i="9"/>
  <c r="AB64" i="9" s="1"/>
  <c r="AA226" i="9"/>
  <c r="AB226" i="9" s="1"/>
  <c r="AA262" i="9"/>
  <c r="AB262" i="9" s="1"/>
  <c r="AA278" i="9"/>
  <c r="AB278" i="9" s="1"/>
  <c r="AA338" i="9"/>
  <c r="AB338" i="9" s="1"/>
  <c r="AA342" i="9"/>
  <c r="AB342" i="9" s="1"/>
  <c r="P827" i="9"/>
  <c r="P840" i="9"/>
  <c r="P919" i="9"/>
  <c r="AA195" i="9"/>
  <c r="AB195" i="9" s="1"/>
  <c r="AA199" i="9"/>
  <c r="AB199" i="9" s="1"/>
  <c r="AA295" i="9"/>
  <c r="AB295" i="9" s="1"/>
  <c r="AA315" i="9"/>
  <c r="AB315" i="9" s="1"/>
  <c r="AA140" i="9"/>
  <c r="AB140" i="9" s="1"/>
  <c r="AA200" i="9"/>
  <c r="AB200" i="9" s="1"/>
  <c r="AA296" i="9"/>
  <c r="AB296" i="9" s="1"/>
  <c r="AA331" i="9"/>
  <c r="AB331" i="9" s="1"/>
  <c r="AA647" i="9"/>
  <c r="AB647" i="9" s="1"/>
  <c r="AA803" i="9"/>
  <c r="AB803" i="9" s="1"/>
  <c r="AA807" i="9"/>
  <c r="AB807" i="9" s="1"/>
  <c r="P939" i="9"/>
  <c r="AA939" i="9" s="1"/>
  <c r="AB939" i="9" s="1"/>
  <c r="AA348" i="9"/>
  <c r="AB348" i="9" s="1"/>
  <c r="AA420" i="9"/>
  <c r="AB420" i="9" s="1"/>
  <c r="AA520" i="9"/>
  <c r="AB520" i="9" s="1"/>
  <c r="AA640" i="9"/>
  <c r="AB640" i="9" s="1"/>
  <c r="AA668" i="9"/>
  <c r="AB668" i="9" s="1"/>
  <c r="AA708" i="9"/>
  <c r="AB708" i="9" s="1"/>
  <c r="AA772" i="9"/>
  <c r="AB772" i="9" s="1"/>
  <c r="AA852" i="9"/>
  <c r="AB852" i="9" s="1"/>
  <c r="AA860" i="9"/>
  <c r="AB860" i="9" s="1"/>
  <c r="AA888" i="9"/>
  <c r="AB888" i="9" s="1"/>
  <c r="AA916" i="9"/>
  <c r="AB916" i="9" s="1"/>
  <c r="AA389" i="9"/>
  <c r="AB389" i="9" s="1"/>
  <c r="AA573" i="9"/>
  <c r="AB573" i="9" s="1"/>
  <c r="AA649" i="9"/>
  <c r="AB649" i="9" s="1"/>
  <c r="AA653" i="9"/>
  <c r="AB653" i="9" s="1"/>
  <c r="AA657" i="9"/>
  <c r="AB657" i="9" s="1"/>
  <c r="AA721" i="9"/>
  <c r="AB721" i="9" s="1"/>
  <c r="AA994" i="9"/>
  <c r="AB994" i="9" s="1"/>
  <c r="AA990" i="9"/>
  <c r="AB990" i="9" s="1"/>
  <c r="AA982" i="9"/>
  <c r="AB982" i="9" s="1"/>
  <c r="AA974" i="9"/>
  <c r="AB974" i="9" s="1"/>
  <c r="AA958" i="9"/>
  <c r="AB958" i="9" s="1"/>
  <c r="AA930" i="9"/>
  <c r="AB930" i="9" s="1"/>
  <c r="AA906" i="9"/>
  <c r="AB906" i="9" s="1"/>
  <c r="AA895" i="9"/>
  <c r="AB895" i="9" s="1"/>
  <c r="AA869" i="9"/>
  <c r="AB869" i="9" s="1"/>
  <c r="AA863" i="9"/>
  <c r="AB863" i="9" s="1"/>
  <c r="AA845" i="9"/>
  <c r="AB845" i="9" s="1"/>
  <c r="AA837" i="9"/>
  <c r="AB837" i="9" s="1"/>
  <c r="AA797" i="9"/>
  <c r="AB797" i="9" s="1"/>
  <c r="AA786" i="9"/>
  <c r="AB786" i="9" s="1"/>
  <c r="AA754" i="9"/>
  <c r="AB754" i="9" s="1"/>
  <c r="AA722" i="9"/>
  <c r="AB722" i="9" s="1"/>
  <c r="AA706" i="9"/>
  <c r="AB706" i="9" s="1"/>
  <c r="AA690" i="9"/>
  <c r="AB690" i="9" s="1"/>
  <c r="AA674" i="9"/>
  <c r="AB674" i="9" s="1"/>
  <c r="AA642" i="9"/>
  <c r="AB642" i="9" s="1"/>
  <c r="AA626" i="9"/>
  <c r="AB626" i="9" s="1"/>
  <c r="AA562" i="9"/>
  <c r="AB562" i="9" s="1"/>
  <c r="AA546" i="9"/>
  <c r="AB546" i="9" s="1"/>
  <c r="AA530" i="9"/>
  <c r="AB530" i="9" s="1"/>
  <c r="AA498" i="9"/>
  <c r="AB498" i="9" s="1"/>
  <c r="AA466" i="9"/>
  <c r="AB466" i="9" s="1"/>
  <c r="AA402" i="9"/>
  <c r="AB402" i="9" s="1"/>
  <c r="AA370" i="9"/>
  <c r="AB370" i="9" s="1"/>
  <c r="P932" i="9"/>
  <c r="W3" i="9"/>
  <c r="W447" i="9"/>
  <c r="W591" i="9"/>
  <c r="W659" i="9"/>
  <c r="W671" i="9"/>
  <c r="W743" i="9"/>
  <c r="W755" i="9"/>
  <c r="W795" i="9"/>
  <c r="W891" i="9"/>
  <c r="W963" i="9"/>
  <c r="P55" i="9"/>
  <c r="W16" i="9"/>
  <c r="W676" i="9"/>
  <c r="W680" i="9"/>
  <c r="W716" i="9"/>
  <c r="W720" i="9"/>
  <c r="P24" i="9"/>
  <c r="W121" i="9"/>
  <c r="W141" i="9"/>
  <c r="W161" i="9"/>
  <c r="W181" i="9"/>
  <c r="W253" i="9"/>
  <c r="W257" i="9"/>
  <c r="W313" i="9"/>
  <c r="W325" i="9"/>
  <c r="W989" i="9"/>
  <c r="W230" i="9"/>
  <c r="W290" i="9"/>
  <c r="W322" i="9"/>
  <c r="W818" i="9"/>
  <c r="W830" i="9"/>
  <c r="W894" i="9"/>
  <c r="P22" i="9"/>
  <c r="P156" i="9"/>
  <c r="P164" i="9"/>
  <c r="P168" i="9"/>
  <c r="P172" i="9"/>
  <c r="P256" i="9"/>
  <c r="P288" i="9"/>
  <c r="P312" i="9"/>
  <c r="P332" i="9"/>
  <c r="P352" i="9"/>
  <c r="P368" i="9"/>
  <c r="P416" i="9"/>
  <c r="P424" i="9"/>
  <c r="P516" i="9"/>
  <c r="P548" i="9"/>
  <c r="P173" i="9"/>
  <c r="P245" i="9"/>
  <c r="P257" i="9"/>
  <c r="P301" i="9"/>
  <c r="P317" i="9"/>
  <c r="P345" i="9"/>
  <c r="P349" i="9"/>
  <c r="P357" i="9"/>
  <c r="P441" i="9"/>
  <c r="P477" i="9"/>
  <c r="P557" i="9"/>
  <c r="P146" i="9"/>
  <c r="P170" i="9"/>
  <c r="P194" i="9"/>
  <c r="P254" i="9"/>
  <c r="P274" i="9"/>
  <c r="P354" i="9"/>
  <c r="P71" i="9"/>
  <c r="P79" i="9"/>
  <c r="P99" i="9"/>
  <c r="P151" i="9"/>
  <c r="P179" i="9"/>
  <c r="P527" i="9"/>
  <c r="P563" i="9"/>
  <c r="P594" i="9"/>
  <c r="P650" i="9"/>
  <c r="P734" i="9"/>
  <c r="P750" i="9"/>
  <c r="P922" i="9"/>
  <c r="P938" i="9"/>
  <c r="AA42" i="9"/>
  <c r="AB42" i="9" s="1"/>
  <c r="P615" i="9"/>
  <c r="P715" i="9"/>
  <c r="P731" i="9"/>
  <c r="P791" i="9"/>
  <c r="P600" i="9"/>
  <c r="P604" i="9"/>
  <c r="P608" i="9"/>
  <c r="P616" i="9"/>
  <c r="P648" i="9"/>
  <c r="P684" i="9"/>
  <c r="P696" i="9"/>
  <c r="P700" i="9"/>
  <c r="P712" i="9"/>
  <c r="P740" i="9"/>
  <c r="P752" i="9"/>
  <c r="P585" i="9"/>
  <c r="P669" i="9"/>
  <c r="P701" i="9"/>
  <c r="P725" i="9"/>
  <c r="P753" i="9"/>
  <c r="P809" i="9"/>
  <c r="P813" i="9"/>
  <c r="P885" i="9"/>
  <c r="P905" i="9"/>
  <c r="P981" i="9"/>
  <c r="P815" i="9"/>
  <c r="P831" i="9"/>
  <c r="AA131" i="9"/>
  <c r="AB131" i="9" s="1"/>
  <c r="AA221" i="9"/>
  <c r="AB221" i="9" s="1"/>
  <c r="AA253" i="9"/>
  <c r="AB253" i="9" s="1"/>
  <c r="AA273" i="9"/>
  <c r="AB273" i="9" s="1"/>
  <c r="AA321" i="9"/>
  <c r="AB321" i="9" s="1"/>
  <c r="AA40" i="9"/>
  <c r="AB40" i="9" s="1"/>
  <c r="AA206" i="9"/>
  <c r="AB206" i="9" s="1"/>
  <c r="AA314" i="9"/>
  <c r="AB314" i="9" s="1"/>
  <c r="AA334" i="9"/>
  <c r="AB334" i="9" s="1"/>
  <c r="P811" i="9"/>
  <c r="P847" i="9"/>
  <c r="P911" i="9"/>
  <c r="AA911" i="9" s="1"/>
  <c r="AB911" i="9" s="1"/>
  <c r="P924" i="9"/>
  <c r="AA91" i="9"/>
  <c r="AB91" i="9" s="1"/>
  <c r="AA235" i="9"/>
  <c r="AB235" i="9" s="1"/>
  <c r="AA451" i="9"/>
  <c r="AB451" i="9" s="1"/>
  <c r="AA631" i="9"/>
  <c r="AB631" i="9" s="1"/>
  <c r="AA635" i="9"/>
  <c r="AB635" i="9" s="1"/>
  <c r="AA667" i="9"/>
  <c r="AB667" i="9" s="1"/>
  <c r="AA723" i="9"/>
  <c r="AB723" i="9" s="1"/>
  <c r="AA763" i="9"/>
  <c r="AB763" i="9" s="1"/>
  <c r="AA771" i="9"/>
  <c r="AB771" i="9" s="1"/>
  <c r="P892" i="9"/>
  <c r="P907" i="9"/>
  <c r="AA204" i="9"/>
  <c r="AB204" i="9" s="1"/>
  <c r="AA252" i="9"/>
  <c r="AB252" i="9" s="1"/>
  <c r="AA268" i="9"/>
  <c r="AB268" i="9" s="1"/>
  <c r="AA284" i="9"/>
  <c r="AB284" i="9" s="1"/>
  <c r="AA400" i="9"/>
  <c r="AB400" i="9" s="1"/>
  <c r="AA428" i="9"/>
  <c r="AB428" i="9" s="1"/>
  <c r="AA444" i="9"/>
  <c r="AB444" i="9" s="1"/>
  <c r="AA452" i="9"/>
  <c r="AB452" i="9" s="1"/>
  <c r="AA628" i="9"/>
  <c r="AB628" i="9" s="1"/>
  <c r="AA652" i="9"/>
  <c r="AB652" i="9" s="1"/>
  <c r="AA756" i="9"/>
  <c r="AB756" i="9" s="1"/>
  <c r="AA792" i="9"/>
  <c r="AB792" i="9" s="1"/>
  <c r="AA812" i="9"/>
  <c r="AB812" i="9" s="1"/>
  <c r="AA816" i="9"/>
  <c r="AB816" i="9" s="1"/>
  <c r="AA836" i="9"/>
  <c r="AB836" i="9" s="1"/>
  <c r="AA401" i="9"/>
  <c r="AB401" i="9" s="1"/>
  <c r="AA489" i="9"/>
  <c r="AB489" i="9" s="1"/>
  <c r="AA501" i="9"/>
  <c r="AB501" i="9" s="1"/>
  <c r="AA513" i="9"/>
  <c r="AB513" i="9" s="1"/>
  <c r="AA533" i="9"/>
  <c r="AB533" i="9" s="1"/>
  <c r="AA553" i="9"/>
  <c r="AB553" i="9" s="1"/>
  <c r="AA749" i="9"/>
  <c r="AB749" i="9" s="1"/>
  <c r="W35" i="9"/>
  <c r="W63" i="9"/>
  <c r="W71" i="9"/>
  <c r="W471" i="9"/>
  <c r="W531" i="9"/>
  <c r="W703" i="9"/>
  <c r="P7" i="9"/>
  <c r="P15" i="9"/>
  <c r="W100" i="9"/>
  <c r="W232" i="9"/>
  <c r="W288" i="9"/>
  <c r="W548" i="9"/>
  <c r="W944" i="9"/>
  <c r="P68" i="9"/>
  <c r="W301" i="9"/>
  <c r="W333" i="9"/>
  <c r="W529" i="9"/>
  <c r="W541" i="9"/>
  <c r="W609" i="9"/>
  <c r="W629" i="9"/>
  <c r="W665" i="9"/>
  <c r="W841" i="9"/>
  <c r="W885" i="9"/>
  <c r="W961" i="9"/>
  <c r="W969" i="9"/>
  <c r="P5" i="9"/>
  <c r="P9" i="9"/>
  <c r="P41" i="9"/>
  <c r="P65" i="9"/>
  <c r="W86" i="9"/>
  <c r="W434" i="9"/>
  <c r="W638" i="9"/>
  <c r="W846" i="9"/>
  <c r="W874" i="9"/>
  <c r="P6" i="9"/>
  <c r="P38" i="9"/>
  <c r="P144" i="9"/>
  <c r="P220" i="9"/>
  <c r="P372" i="9"/>
  <c r="P380" i="9"/>
  <c r="P492" i="9"/>
  <c r="P572" i="9"/>
  <c r="P233" i="9"/>
  <c r="P249" i="9"/>
  <c r="P333" i="9"/>
  <c r="P433" i="9"/>
  <c r="P529" i="9"/>
  <c r="P545" i="9"/>
  <c r="P569" i="9"/>
  <c r="P90" i="9"/>
  <c r="P110" i="9"/>
  <c r="P302" i="9"/>
  <c r="P322" i="9"/>
  <c r="P382" i="9"/>
  <c r="P418" i="9"/>
  <c r="P458" i="9"/>
  <c r="P502" i="9"/>
  <c r="AA502" i="9" s="1"/>
  <c r="AB502" i="9" s="1"/>
  <c r="P554" i="9"/>
  <c r="P83" i="9"/>
  <c r="P95" i="9"/>
  <c r="P219" i="9"/>
  <c r="P291" i="9"/>
  <c r="P311" i="9"/>
  <c r="P367" i="9"/>
  <c r="P399" i="9"/>
  <c r="P407" i="9"/>
  <c r="P423" i="9"/>
  <c r="P447" i="9"/>
  <c r="P459" i="9"/>
  <c r="P467" i="9"/>
  <c r="P547" i="9"/>
  <c r="P666" i="9"/>
  <c r="P718" i="9"/>
  <c r="P766" i="9"/>
  <c r="P890" i="9"/>
  <c r="P946" i="9"/>
  <c r="P607" i="9"/>
  <c r="P743" i="9"/>
  <c r="P755" i="9"/>
  <c r="P795" i="9"/>
  <c r="P592" i="9"/>
  <c r="P680" i="9"/>
  <c r="P796" i="9"/>
  <c r="P597" i="9"/>
  <c r="P689" i="9"/>
  <c r="P761" i="9"/>
  <c r="P821" i="9"/>
  <c r="P889" i="9"/>
  <c r="P893" i="9"/>
  <c r="P957" i="9"/>
  <c r="AA21" i="9"/>
  <c r="AB21" i="9" s="1"/>
  <c r="AA29" i="9"/>
  <c r="AB29" i="9" s="1"/>
  <c r="AA265" i="9"/>
  <c r="AB265" i="9" s="1"/>
  <c r="P996" i="9"/>
  <c r="AA16" i="9"/>
  <c r="AB16" i="9" s="1"/>
  <c r="AA116" i="9"/>
  <c r="AB116" i="9" s="1"/>
  <c r="AA246" i="9"/>
  <c r="AB246" i="9" s="1"/>
  <c r="P948" i="9"/>
  <c r="AA176" i="9"/>
  <c r="AB176" i="9" s="1"/>
  <c r="AA215" i="9"/>
  <c r="AB215" i="9" s="1"/>
  <c r="AA303" i="9"/>
  <c r="AB303" i="9" s="1"/>
  <c r="P956" i="9"/>
  <c r="AA312" i="9"/>
  <c r="AB312" i="9" s="1"/>
  <c r="AA443" i="9"/>
  <c r="AB443" i="9" s="1"/>
  <c r="AA471" i="9"/>
  <c r="AB471" i="9" s="1"/>
  <c r="AA527" i="9"/>
  <c r="AB527" i="9" s="1"/>
  <c r="AA615" i="9"/>
  <c r="AB615" i="9" s="1"/>
  <c r="AA699" i="9"/>
  <c r="AB699" i="9" s="1"/>
  <c r="AA787" i="9"/>
  <c r="AB787" i="9" s="1"/>
  <c r="AA819" i="9"/>
  <c r="AB819" i="9" s="1"/>
  <c r="AA416" i="9"/>
  <c r="AB416" i="9" s="1"/>
  <c r="AA476" i="9"/>
  <c r="AB476" i="9" s="1"/>
  <c r="AA524" i="9"/>
  <c r="AB524" i="9" s="1"/>
  <c r="AA580" i="9"/>
  <c r="AB580" i="9" s="1"/>
  <c r="AA600" i="9"/>
  <c r="AB600" i="9" s="1"/>
  <c r="AA644" i="9"/>
  <c r="AB644" i="9" s="1"/>
  <c r="AA868" i="9"/>
  <c r="AB868" i="9" s="1"/>
  <c r="P987" i="9"/>
  <c r="AA987" i="9" s="1"/>
  <c r="AB987" i="9" s="1"/>
  <c r="AA172" i="9"/>
  <c r="AB172" i="9" s="1"/>
  <c r="AA328" i="9"/>
  <c r="AB328" i="9" s="1"/>
  <c r="AA357" i="9"/>
  <c r="AB357" i="9" s="1"/>
  <c r="AA393" i="9"/>
  <c r="AB393" i="9" s="1"/>
  <c r="AA561" i="9"/>
  <c r="AB561" i="9" s="1"/>
  <c r="AA577" i="9"/>
  <c r="AB577" i="9" s="1"/>
  <c r="AA601" i="9"/>
  <c r="AB601" i="9" s="1"/>
  <c r="AA997" i="9"/>
  <c r="AB997" i="9" s="1"/>
  <c r="AA993" i="9"/>
  <c r="AB993" i="9" s="1"/>
  <c r="AA981" i="9"/>
  <c r="AB981" i="9" s="1"/>
  <c r="AA961" i="9"/>
  <c r="AB961" i="9" s="1"/>
  <c r="AA953" i="9"/>
  <c r="AB953" i="9" s="1"/>
  <c r="AA945" i="9"/>
  <c r="AB945" i="9" s="1"/>
  <c r="AA941" i="9"/>
  <c r="AB941" i="9" s="1"/>
  <c r="AA937" i="9"/>
  <c r="AB937" i="9" s="1"/>
  <c r="AA933" i="9"/>
  <c r="AB933" i="9" s="1"/>
  <c r="AA929" i="9"/>
  <c r="AB929" i="9" s="1"/>
  <c r="AA921" i="9"/>
  <c r="AB921" i="9" s="1"/>
  <c r="AA915" i="9"/>
  <c r="AB915" i="9" s="1"/>
  <c r="AA910" i="9"/>
  <c r="AB910" i="9" s="1"/>
  <c r="AA883" i="9"/>
  <c r="AB883" i="9" s="1"/>
  <c r="AA878" i="9"/>
  <c r="AB878" i="9" s="1"/>
  <c r="AA873" i="9"/>
  <c r="AB873" i="9" s="1"/>
  <c r="AA867" i="9"/>
  <c r="AB867" i="9" s="1"/>
  <c r="AA862" i="9"/>
  <c r="AB862" i="9" s="1"/>
  <c r="AA857" i="9"/>
  <c r="AB857" i="9" s="1"/>
  <c r="AA850" i="9"/>
  <c r="AB850" i="9" s="1"/>
  <c r="AA810" i="9"/>
  <c r="AB810" i="9" s="1"/>
  <c r="AA794" i="9"/>
  <c r="AB794" i="9" s="1"/>
  <c r="AA782" i="9"/>
  <c r="AB782" i="9" s="1"/>
  <c r="AA766" i="9"/>
  <c r="AB766" i="9" s="1"/>
  <c r="AA702" i="9"/>
  <c r="AB702" i="9" s="1"/>
  <c r="AA686" i="9"/>
  <c r="AB686" i="9" s="1"/>
  <c r="AA670" i="9"/>
  <c r="AB670" i="9" s="1"/>
  <c r="AA654" i="9"/>
  <c r="AB654" i="9" s="1"/>
  <c r="AA622" i="9"/>
  <c r="AB622" i="9" s="1"/>
  <c r="AA606" i="9"/>
  <c r="AB606" i="9" s="1"/>
  <c r="AA590" i="9"/>
  <c r="AB590" i="9" s="1"/>
  <c r="AA526" i="9"/>
  <c r="AB526" i="9" s="1"/>
  <c r="AA478" i="9"/>
  <c r="AB478" i="9" s="1"/>
  <c r="AA462" i="9"/>
  <c r="AB462" i="9" s="1"/>
  <c r="AA430" i="9"/>
  <c r="AB430" i="9" s="1"/>
  <c r="AA414" i="9"/>
  <c r="AB414" i="9" s="1"/>
  <c r="AA398" i="9"/>
  <c r="AB398" i="9" s="1"/>
  <c r="AA382" i="9"/>
  <c r="AB382" i="9" s="1"/>
  <c r="AA366" i="9"/>
  <c r="AB366" i="9" s="1"/>
  <c r="AA329" i="9"/>
  <c r="AB329" i="9" s="1"/>
  <c r="AA276" i="9"/>
  <c r="AB276" i="9" s="1"/>
  <c r="P944" i="9"/>
  <c r="P884" i="9"/>
  <c r="P848" i="9"/>
  <c r="W51" i="9"/>
  <c r="W103" i="9"/>
  <c r="W143" i="9"/>
  <c r="W419" i="9"/>
  <c r="W507" i="9"/>
  <c r="W519" i="9"/>
  <c r="W571" i="9"/>
  <c r="W679" i="9"/>
  <c r="P35" i="9"/>
  <c r="W112" i="9"/>
  <c r="W136" i="9"/>
  <c r="W388" i="9"/>
  <c r="W424" i="9"/>
  <c r="W556" i="9"/>
  <c r="W572" i="9"/>
  <c r="W596" i="9"/>
  <c r="W660" i="9"/>
  <c r="W844" i="9"/>
  <c r="P52" i="9"/>
  <c r="W81" i="9"/>
  <c r="W201" i="9"/>
  <c r="W269" i="9"/>
  <c r="W409" i="9"/>
  <c r="W505" i="9"/>
  <c r="W809" i="9"/>
  <c r="W813" i="9"/>
  <c r="W889" i="9"/>
  <c r="W909" i="9"/>
  <c r="P53" i="9"/>
  <c r="W190" i="9"/>
  <c r="W198" i="9"/>
  <c r="W450" i="9"/>
  <c r="W482" i="9"/>
  <c r="W574" i="9"/>
  <c r="W662" i="9"/>
  <c r="W938" i="9"/>
  <c r="P2" i="9"/>
  <c r="P88" i="9"/>
  <c r="P124" i="9"/>
  <c r="P216" i="9"/>
  <c r="P292" i="9"/>
  <c r="P456" i="9"/>
  <c r="P472" i="9"/>
  <c r="P480" i="9"/>
  <c r="P67" i="9"/>
  <c r="P101" i="9"/>
  <c r="P113" i="9"/>
  <c r="P309" i="9"/>
  <c r="P581" i="9"/>
  <c r="P74" i="9"/>
  <c r="P150" i="9"/>
  <c r="P178" i="9"/>
  <c r="P186" i="9"/>
  <c r="P230" i="9"/>
  <c r="P234" i="9"/>
  <c r="P242" i="9"/>
  <c r="P346" i="9"/>
  <c r="P378" i="9"/>
  <c r="P426" i="9"/>
  <c r="P538" i="9"/>
  <c r="P203" i="9"/>
  <c r="P227" i="9"/>
  <c r="P371" i="9"/>
  <c r="P395" i="9"/>
  <c r="P630" i="9"/>
  <c r="AA630" i="9" s="1"/>
  <c r="AB630" i="9" s="1"/>
  <c r="P742" i="9"/>
  <c r="P762" i="9"/>
  <c r="P798" i="9"/>
  <c r="AA798" i="9" s="1"/>
  <c r="AB798" i="9" s="1"/>
  <c r="P818" i="9"/>
  <c r="P894" i="9"/>
  <c r="AA54" i="9"/>
  <c r="AB54" i="9" s="1"/>
  <c r="AA102" i="9"/>
  <c r="AB102" i="9" s="1"/>
  <c r="AA106" i="9"/>
  <c r="AB106" i="9" s="1"/>
  <c r="AA114" i="9"/>
  <c r="AB114" i="9" s="1"/>
  <c r="AA122" i="9"/>
  <c r="AB122" i="9" s="1"/>
  <c r="P591" i="9"/>
  <c r="P671" i="9"/>
  <c r="P739" i="9"/>
  <c r="P624" i="9"/>
  <c r="P636" i="9"/>
  <c r="P656" i="9"/>
  <c r="P692" i="9"/>
  <c r="P788" i="9"/>
  <c r="P800" i="9"/>
  <c r="P625" i="9"/>
  <c r="P685" i="9"/>
  <c r="P693" i="9"/>
  <c r="P705" i="9"/>
  <c r="P741" i="9"/>
  <c r="P805" i="9"/>
  <c r="P829" i="9"/>
  <c r="P901" i="9"/>
  <c r="P925" i="9"/>
  <c r="P969" i="9"/>
  <c r="P977" i="9"/>
  <c r="P879" i="9"/>
  <c r="P940" i="9"/>
  <c r="AA225" i="9"/>
  <c r="AB225" i="9" s="1"/>
  <c r="P851" i="9"/>
  <c r="AA56" i="9"/>
  <c r="AB56" i="9" s="1"/>
  <c r="AA258" i="9"/>
  <c r="AB258" i="9" s="1"/>
  <c r="AA191" i="9"/>
  <c r="AB191" i="9" s="1"/>
  <c r="AA267" i="9"/>
  <c r="AB267" i="9" s="1"/>
  <c r="AA323" i="9"/>
  <c r="AB323" i="9" s="1"/>
  <c r="AA347" i="9"/>
  <c r="AB347" i="9" s="1"/>
  <c r="AA355" i="9"/>
  <c r="AB355" i="9" s="1"/>
  <c r="AA383" i="9"/>
  <c r="AB383" i="9" s="1"/>
  <c r="AA491" i="9"/>
  <c r="AB491" i="9" s="1"/>
  <c r="AA595" i="9"/>
  <c r="AB595" i="9" s="1"/>
  <c r="AA327" i="9"/>
  <c r="AB327" i="9" s="1"/>
  <c r="AA396" i="9"/>
  <c r="AB396" i="9" s="1"/>
  <c r="AA408" i="9"/>
  <c r="AB408" i="9" s="1"/>
  <c r="AA504" i="9"/>
  <c r="AB504" i="9" s="1"/>
  <c r="AA532" i="9"/>
  <c r="AB532" i="9" s="1"/>
  <c r="AA568" i="9"/>
  <c r="AB568" i="9" s="1"/>
  <c r="AA740" i="9"/>
  <c r="AB740" i="9" s="1"/>
  <c r="AA796" i="9"/>
  <c r="AB796" i="9" s="1"/>
  <c r="AA832" i="9"/>
  <c r="AB832" i="9" s="1"/>
  <c r="AA880" i="9"/>
  <c r="AB880" i="9" s="1"/>
  <c r="AA892" i="9"/>
  <c r="AB892" i="9" s="1"/>
  <c r="AA908" i="9"/>
  <c r="AB908" i="9" s="1"/>
  <c r="P963" i="9"/>
  <c r="AA963" i="9" s="1"/>
  <c r="AB963" i="9" s="1"/>
  <c r="AA385" i="9"/>
  <c r="AB385" i="9" s="1"/>
  <c r="AA425" i="9"/>
  <c r="AB425" i="9" s="1"/>
  <c r="AA445" i="9"/>
  <c r="AB445" i="9" s="1"/>
  <c r="AA465" i="9"/>
  <c r="AB465" i="9" s="1"/>
  <c r="AA473" i="9"/>
  <c r="AB473" i="9" s="1"/>
  <c r="AA481" i="9"/>
  <c r="AB481" i="9" s="1"/>
  <c r="AA645" i="9"/>
  <c r="AB645" i="9" s="1"/>
  <c r="AA713" i="9"/>
  <c r="AB713" i="9" s="1"/>
  <c r="AA717" i="9"/>
  <c r="AB717" i="9" s="1"/>
  <c r="AA781" i="9"/>
  <c r="AB781" i="9" s="1"/>
  <c r="W15" i="9"/>
  <c r="W67" i="9"/>
  <c r="W135" i="9"/>
  <c r="W319" i="9"/>
  <c r="W823" i="9"/>
  <c r="W879" i="9"/>
  <c r="W991" i="9"/>
  <c r="P11" i="9"/>
  <c r="W12" i="9"/>
  <c r="W20" i="9"/>
  <c r="W236" i="9"/>
  <c r="W736" i="9"/>
  <c r="W776" i="9"/>
  <c r="W824" i="9"/>
  <c r="W924" i="9"/>
  <c r="P28" i="9"/>
  <c r="W41" i="9"/>
  <c r="W249" i="9"/>
  <c r="W317" i="9"/>
  <c r="W785" i="9"/>
  <c r="W1001" i="9"/>
  <c r="W14" i="9"/>
  <c r="W78" i="9"/>
  <c r="W250" i="9"/>
  <c r="W326" i="9"/>
  <c r="W330" i="9"/>
  <c r="W602" i="9"/>
  <c r="W646" i="9"/>
  <c r="W950" i="9"/>
  <c r="P14" i="9"/>
  <c r="P62" i="9"/>
  <c r="P112" i="9"/>
  <c r="P152" i="9"/>
  <c r="P188" i="9"/>
  <c r="P300" i="9"/>
  <c r="P316" i="9"/>
  <c r="P488" i="9"/>
  <c r="P500" i="9"/>
  <c r="P73" i="9"/>
  <c r="P81" i="9"/>
  <c r="P85" i="9"/>
  <c r="P161" i="9"/>
  <c r="P197" i="9"/>
  <c r="P297" i="9"/>
  <c r="P341" i="9"/>
  <c r="P409" i="9"/>
  <c r="P413" i="9"/>
  <c r="P134" i="9"/>
  <c r="P154" i="9"/>
  <c r="P222" i="9"/>
  <c r="P310" i="9"/>
  <c r="P434" i="9"/>
  <c r="P510" i="9"/>
  <c r="P514" i="9"/>
  <c r="P534" i="9"/>
  <c r="AA534" i="9" s="1"/>
  <c r="AB534" i="9" s="1"/>
  <c r="P558" i="9"/>
  <c r="P167" i="9"/>
  <c r="P207" i="9"/>
  <c r="P271" i="9"/>
  <c r="P279" i="9"/>
  <c r="P299" i="9"/>
  <c r="P415" i="9"/>
  <c r="P435" i="9"/>
  <c r="P475" i="9"/>
  <c r="P495" i="9"/>
  <c r="P499" i="9"/>
  <c r="P503" i="9"/>
  <c r="P519" i="9"/>
  <c r="P638" i="9"/>
  <c r="P714" i="9"/>
  <c r="P726" i="9"/>
  <c r="P738" i="9"/>
  <c r="P778" i="9"/>
  <c r="P842" i="9"/>
  <c r="P858" i="9"/>
  <c r="P882" i="9"/>
  <c r="P886" i="9"/>
  <c r="AA886" i="9" s="1"/>
  <c r="AB886" i="9" s="1"/>
  <c r="P934" i="9"/>
  <c r="P978" i="9"/>
  <c r="AA130" i="9"/>
  <c r="AB130" i="9" s="1"/>
  <c r="AA150" i="9"/>
  <c r="AB150" i="9" s="1"/>
  <c r="P691" i="9"/>
  <c r="P609" i="9"/>
  <c r="P745" i="9"/>
  <c r="P801" i="9"/>
  <c r="P909" i="9"/>
  <c r="AA17" i="9"/>
  <c r="AB17" i="9" s="1"/>
  <c r="AA49" i="9"/>
  <c r="AB49" i="9" s="1"/>
  <c r="P823" i="9"/>
  <c r="P844" i="9"/>
  <c r="P887" i="9"/>
  <c r="AA93" i="9"/>
  <c r="AB93" i="9" s="1"/>
  <c r="AA157" i="9"/>
  <c r="AB157" i="9" s="1"/>
  <c r="AA237" i="9"/>
  <c r="AB237" i="9" s="1"/>
  <c r="AA241" i="9"/>
  <c r="AB241" i="9" s="1"/>
  <c r="AA285" i="9"/>
  <c r="AB285" i="9" s="1"/>
  <c r="P896" i="9"/>
  <c r="P960" i="9"/>
  <c r="AA132" i="9"/>
  <c r="AB132" i="9" s="1"/>
  <c r="AA266" i="9"/>
  <c r="AB266" i="9" s="1"/>
  <c r="AA318" i="9"/>
  <c r="AB318" i="9" s="1"/>
  <c r="P992" i="9"/>
  <c r="AA155" i="9"/>
  <c r="AB155" i="9" s="1"/>
  <c r="AA203" i="9"/>
  <c r="AB203" i="9" s="1"/>
  <c r="AA223" i="9"/>
  <c r="AB223" i="9" s="1"/>
  <c r="AA243" i="9"/>
  <c r="AB243" i="9" s="1"/>
  <c r="AA247" i="9"/>
  <c r="AB247" i="9" s="1"/>
  <c r="AA255" i="9"/>
  <c r="AB255" i="9" s="1"/>
  <c r="AA183" i="9"/>
  <c r="AB183" i="9" s="1"/>
  <c r="AA399" i="9"/>
  <c r="AB399" i="9" s="1"/>
  <c r="AA447" i="9"/>
  <c r="AB447" i="9" s="1"/>
  <c r="AA483" i="9"/>
  <c r="AB483" i="9" s="1"/>
  <c r="AA551" i="9"/>
  <c r="AB551" i="9" s="1"/>
  <c r="AA567" i="9"/>
  <c r="AB567" i="9" s="1"/>
  <c r="AA360" i="9"/>
  <c r="AB360" i="9" s="1"/>
  <c r="AA376" i="9"/>
  <c r="AB376" i="9" s="1"/>
  <c r="AA468" i="9"/>
  <c r="AB468" i="9" s="1"/>
  <c r="AA508" i="9"/>
  <c r="AB508" i="9" s="1"/>
  <c r="AA536" i="9"/>
  <c r="AB536" i="9" s="1"/>
  <c r="AA564" i="9"/>
  <c r="AB564" i="9" s="1"/>
  <c r="AA572" i="9"/>
  <c r="AB572" i="9" s="1"/>
  <c r="AA684" i="9"/>
  <c r="AB684" i="9" s="1"/>
  <c r="AA704" i="9"/>
  <c r="AB704" i="9" s="1"/>
  <c r="AA760" i="9"/>
  <c r="AB760" i="9" s="1"/>
  <c r="AA764" i="9"/>
  <c r="AB764" i="9" s="1"/>
  <c r="AA828" i="9"/>
  <c r="AB828" i="9" s="1"/>
  <c r="AA864" i="9"/>
  <c r="AB864" i="9" s="1"/>
  <c r="AA353" i="9"/>
  <c r="AB353" i="9" s="1"/>
  <c r="AA365" i="9"/>
  <c r="AB365" i="9" s="1"/>
  <c r="AA441" i="9"/>
  <c r="AB441" i="9" s="1"/>
  <c r="AA461" i="9"/>
  <c r="AB461" i="9" s="1"/>
  <c r="AA485" i="9"/>
  <c r="AB485" i="9" s="1"/>
  <c r="AA593" i="9"/>
  <c r="AB593" i="9" s="1"/>
  <c r="AA613" i="9"/>
  <c r="AB613" i="9" s="1"/>
  <c r="AA621" i="9"/>
  <c r="AB621" i="9" s="1"/>
  <c r="AA673" i="9"/>
  <c r="AB673" i="9" s="1"/>
  <c r="AA677" i="9"/>
  <c r="AB677" i="9" s="1"/>
  <c r="AA741" i="9"/>
  <c r="AB741" i="9" s="1"/>
  <c r="AA765" i="9"/>
  <c r="AB765" i="9" s="1"/>
  <c r="AA996" i="9"/>
  <c r="AB996" i="9" s="1"/>
  <c r="AA988" i="9"/>
  <c r="AB988" i="9" s="1"/>
  <c r="AA980" i="9"/>
  <c r="AB980" i="9" s="1"/>
  <c r="AA976" i="9"/>
  <c r="AB976" i="9" s="1"/>
  <c r="AA972" i="9"/>
  <c r="AB972" i="9" s="1"/>
  <c r="AA964" i="9"/>
  <c r="AB964" i="9" s="1"/>
  <c r="AA960" i="9"/>
  <c r="AB960" i="9" s="1"/>
  <c r="AA956" i="9"/>
  <c r="AB956" i="9" s="1"/>
  <c r="AA948" i="9"/>
  <c r="AB948" i="9" s="1"/>
  <c r="AA932" i="9"/>
  <c r="AB932" i="9" s="1"/>
  <c r="AA914" i="9"/>
  <c r="AB914" i="9" s="1"/>
  <c r="AA903" i="9"/>
  <c r="AB903" i="9" s="1"/>
  <c r="AA893" i="9"/>
  <c r="AB893" i="9" s="1"/>
  <c r="AA877" i="9"/>
  <c r="AB877" i="9" s="1"/>
  <c r="AA866" i="9"/>
  <c r="AB866" i="9" s="1"/>
  <c r="AA861" i="9"/>
  <c r="AB861" i="9" s="1"/>
  <c r="AA855" i="9"/>
  <c r="AB855" i="9" s="1"/>
  <c r="AA849" i="9"/>
  <c r="AB849" i="9" s="1"/>
  <c r="AA841" i="9"/>
  <c r="AB841" i="9" s="1"/>
  <c r="AA833" i="9"/>
  <c r="AB833" i="9" s="1"/>
  <c r="AA825" i="9"/>
  <c r="AB825" i="9" s="1"/>
  <c r="AA817" i="9"/>
  <c r="AB817" i="9" s="1"/>
  <c r="AA809" i="9"/>
  <c r="AB809" i="9" s="1"/>
  <c r="AA801" i="9"/>
  <c r="AB801" i="9" s="1"/>
  <c r="AA793" i="9"/>
  <c r="AB793" i="9" s="1"/>
  <c r="AA778" i="9"/>
  <c r="AB778" i="9" s="1"/>
  <c r="AA762" i="9"/>
  <c r="AB762" i="9" s="1"/>
  <c r="AA746" i="9"/>
  <c r="AB746" i="9" s="1"/>
  <c r="AA730" i="9"/>
  <c r="AB730" i="9" s="1"/>
  <c r="AA714" i="9"/>
  <c r="AB714" i="9" s="1"/>
  <c r="AA698" i="9"/>
  <c r="AB698" i="9" s="1"/>
  <c r="AA682" i="9"/>
  <c r="AB682" i="9" s="1"/>
  <c r="AA618" i="9"/>
  <c r="AB618" i="9" s="1"/>
  <c r="AA586" i="9"/>
  <c r="AB586" i="9" s="1"/>
  <c r="AA570" i="9"/>
  <c r="AB570" i="9" s="1"/>
  <c r="AA554" i="9"/>
  <c r="AB554" i="9" s="1"/>
  <c r="AA490" i="9"/>
  <c r="AB490" i="9" s="1"/>
  <c r="AA474" i="9"/>
  <c r="AB474" i="9" s="1"/>
  <c r="AA458" i="9"/>
  <c r="AB458" i="9" s="1"/>
  <c r="AA442" i="9"/>
  <c r="AB442" i="9" s="1"/>
  <c r="AA426" i="9"/>
  <c r="AB426" i="9" s="1"/>
  <c r="AA410" i="9"/>
  <c r="AB410" i="9" s="1"/>
  <c r="AA394" i="9"/>
  <c r="AB394" i="9" s="1"/>
  <c r="AA362" i="9"/>
  <c r="AB362" i="9" s="1"/>
  <c r="AA324" i="9"/>
  <c r="AB324" i="9" s="1"/>
  <c r="AA260" i="9"/>
  <c r="AB260" i="9" s="1"/>
  <c r="AA196" i="9"/>
  <c r="AB196" i="9" s="1"/>
  <c r="G8" i="15"/>
  <c r="G4" i="15"/>
  <c r="G7" i="15"/>
  <c r="G6" i="15"/>
  <c r="C2" i="15"/>
  <c r="G9" i="15"/>
  <c r="G11" i="15"/>
  <c r="G10" i="15"/>
  <c r="C9" i="15"/>
  <c r="G3" i="15"/>
  <c r="C8" i="15"/>
  <c r="G2" i="15"/>
  <c r="C11" i="15"/>
  <c r="G5" i="15"/>
  <c r="C6" i="15"/>
  <c r="C5" i="15"/>
  <c r="C4" i="15"/>
  <c r="C10" i="15"/>
  <c r="C7" i="15"/>
  <c r="C3" i="15"/>
  <c r="D3" i="15"/>
  <c r="D11" i="15"/>
  <c r="D7" i="15"/>
  <c r="D4" i="15"/>
  <c r="D10" i="15"/>
  <c r="H3" i="15"/>
  <c r="D8" i="15"/>
  <c r="D2" i="15"/>
  <c r="D6" i="15"/>
  <c r="D9" i="15"/>
  <c r="H6" i="15"/>
  <c r="H5" i="15"/>
  <c r="H10" i="15"/>
  <c r="H9" i="15"/>
  <c r="H2" i="15"/>
  <c r="D5" i="15"/>
  <c r="H8" i="15"/>
  <c r="H11" i="15"/>
  <c r="H4" i="15"/>
  <c r="H7" i="15"/>
  <c r="I8" i="15"/>
  <c r="E4" i="15"/>
  <c r="I4" i="15"/>
  <c r="E8" i="15"/>
  <c r="E3" i="15"/>
  <c r="I11" i="15"/>
  <c r="E2" i="15"/>
  <c r="E6" i="15"/>
  <c r="I10" i="15"/>
  <c r="E5" i="15"/>
  <c r="E9" i="15"/>
  <c r="I7" i="15"/>
  <c r="I6" i="15"/>
  <c r="I9" i="15"/>
  <c r="E11" i="15"/>
  <c r="I3" i="15"/>
  <c r="I2" i="15"/>
  <c r="I5" i="15"/>
  <c r="E7" i="15"/>
  <c r="E10" i="15"/>
  <c r="Y5" i="9"/>
  <c r="Z5" i="9" s="1"/>
  <c r="Y2" i="9"/>
  <c r="Z2" i="9" s="1"/>
  <c r="Z979" i="9"/>
  <c r="Z971" i="9"/>
  <c r="Z947" i="9"/>
  <c r="Z703" i="9"/>
  <c r="Z995" i="9"/>
  <c r="Z775" i="9"/>
  <c r="Z679" i="9"/>
  <c r="Z647" i="9"/>
  <c r="Z495" i="9"/>
  <c r="Z463" i="9"/>
  <c r="Z903" i="9"/>
  <c r="Z671" i="9"/>
  <c r="Z543" i="9"/>
  <c r="Z519" i="9"/>
  <c r="Z455" i="9"/>
  <c r="Z963" i="9"/>
  <c r="Z655" i="9"/>
  <c r="Z575" i="9"/>
  <c r="Z431" i="9"/>
  <c r="Z399" i="9"/>
  <c r="Z367" i="9"/>
  <c r="Y1001" i="9"/>
  <c r="Y997" i="9"/>
  <c r="Z997" i="9" s="1"/>
  <c r="Y993" i="9"/>
  <c r="Z993" i="9" s="1"/>
  <c r="Y989" i="9"/>
  <c r="Z989" i="9" s="1"/>
  <c r="Y985" i="9"/>
  <c r="Z985" i="9" s="1"/>
  <c r="Y981" i="9"/>
  <c r="Z981" i="9" s="1"/>
  <c r="Y977" i="9"/>
  <c r="Z977" i="9" s="1"/>
  <c r="Y973" i="9"/>
  <c r="Z973" i="9" s="1"/>
  <c r="Y969" i="9"/>
  <c r="Z969" i="9" s="1"/>
  <c r="Y965" i="9"/>
  <c r="Y961" i="9"/>
  <c r="Z961" i="9" s="1"/>
  <c r="Y957" i="9"/>
  <c r="Z957" i="9" s="1"/>
  <c r="Y953" i="9"/>
  <c r="Z953" i="9" s="1"/>
  <c r="Y949" i="9"/>
  <c r="Z949" i="9" s="1"/>
  <c r="Y945" i="9"/>
  <c r="Z945" i="9" s="1"/>
  <c r="Y941" i="9"/>
  <c r="Z941" i="9" s="1"/>
  <c r="Y937" i="9"/>
  <c r="Z937" i="9" s="1"/>
  <c r="Y933" i="9"/>
  <c r="Y929" i="9"/>
  <c r="Z929" i="9" s="1"/>
  <c r="Y925" i="9"/>
  <c r="Z925" i="9" s="1"/>
  <c r="Y921" i="9"/>
  <c r="Z921" i="9" s="1"/>
  <c r="Y917" i="9"/>
  <c r="Z917" i="9" s="1"/>
  <c r="Y913" i="9"/>
  <c r="Z913" i="9" s="1"/>
  <c r="Y909" i="9"/>
  <c r="Z909" i="9" s="1"/>
  <c r="Y905" i="9"/>
  <c r="Z905" i="9" s="1"/>
  <c r="Y901" i="9"/>
  <c r="Z901" i="9" s="1"/>
  <c r="Y897" i="9"/>
  <c r="Z897" i="9" s="1"/>
  <c r="Y893" i="9"/>
  <c r="Z893" i="9" s="1"/>
  <c r="Y889" i="9"/>
  <c r="Z889" i="9" s="1"/>
  <c r="Y885" i="9"/>
  <c r="Z885" i="9" s="1"/>
  <c r="Y881" i="9"/>
  <c r="Z881" i="9" s="1"/>
  <c r="Y877" i="9"/>
  <c r="Z877" i="9" s="1"/>
  <c r="Y873" i="9"/>
  <c r="Z873" i="9" s="1"/>
  <c r="Y869" i="9"/>
  <c r="Z869" i="9" s="1"/>
  <c r="Y865" i="9"/>
  <c r="Z865" i="9" s="1"/>
  <c r="Y861" i="9"/>
  <c r="Z861" i="9" s="1"/>
  <c r="Y857" i="9"/>
  <c r="Z857" i="9" s="1"/>
  <c r="Y853" i="9"/>
  <c r="Z853" i="9" s="1"/>
  <c r="Y849" i="9"/>
  <c r="Z849" i="9" s="1"/>
  <c r="Y845" i="9"/>
  <c r="Z845" i="9" s="1"/>
  <c r="Y841" i="9"/>
  <c r="Z841" i="9" s="1"/>
  <c r="Y837" i="9"/>
  <c r="Z837" i="9" s="1"/>
  <c r="Y833" i="9"/>
  <c r="Z833" i="9" s="1"/>
  <c r="Y829" i="9"/>
  <c r="Z829" i="9" s="1"/>
  <c r="Y825" i="9"/>
  <c r="Z825" i="9" s="1"/>
  <c r="Y821" i="9"/>
  <c r="Z821" i="9" s="1"/>
  <c r="Y817" i="9"/>
  <c r="Z817" i="9" s="1"/>
  <c r="Y813" i="9"/>
  <c r="Z813" i="9" s="1"/>
  <c r="Y809" i="9"/>
  <c r="Z809" i="9" s="1"/>
  <c r="Y805" i="9"/>
  <c r="Z805" i="9" s="1"/>
  <c r="Y801" i="9"/>
  <c r="Z801" i="9" s="1"/>
  <c r="Y793" i="9"/>
  <c r="Z793" i="9" s="1"/>
  <c r="Y789" i="9"/>
  <c r="Z789" i="9" s="1"/>
  <c r="Y785" i="9"/>
  <c r="Z785" i="9" s="1"/>
  <c r="Y781" i="9"/>
  <c r="Z781" i="9" s="1"/>
  <c r="Y777" i="9"/>
  <c r="Z777" i="9" s="1"/>
  <c r="Y773" i="9"/>
  <c r="Z773" i="9" s="1"/>
  <c r="Y769" i="9"/>
  <c r="Z769" i="9" s="1"/>
  <c r="Y765" i="9"/>
  <c r="Z765" i="9" s="1"/>
  <c r="Y761" i="9"/>
  <c r="Z761" i="9" s="1"/>
  <c r="Y757" i="9"/>
  <c r="Y753" i="9"/>
  <c r="Z753" i="9" s="1"/>
  <c r="Y749" i="9"/>
  <c r="Z749" i="9" s="1"/>
  <c r="Y745" i="9"/>
  <c r="Z745" i="9" s="1"/>
  <c r="Y741" i="9"/>
  <c r="Z741" i="9" s="1"/>
  <c r="Y737" i="9"/>
  <c r="Z737" i="9" s="1"/>
  <c r="Y733" i="9"/>
  <c r="Z733" i="9" s="1"/>
  <c r="Y729" i="9"/>
  <c r="Z729" i="9" s="1"/>
  <c r="Y725" i="9"/>
  <c r="Z725" i="9" s="1"/>
  <c r="Y721" i="9"/>
  <c r="Z721" i="9" s="1"/>
  <c r="Y717" i="9"/>
  <c r="Z717" i="9" s="1"/>
  <c r="Y713" i="9"/>
  <c r="Z713" i="9" s="1"/>
  <c r="Y709" i="9"/>
  <c r="Z709" i="9" s="1"/>
  <c r="Y705" i="9"/>
  <c r="Z705" i="9" s="1"/>
  <c r="Y701" i="9"/>
  <c r="Z701" i="9" s="1"/>
  <c r="Y697" i="9"/>
  <c r="Z697" i="9" s="1"/>
  <c r="Y693" i="9"/>
  <c r="Z693" i="9" s="1"/>
  <c r="Y689" i="9"/>
  <c r="Z689" i="9" s="1"/>
  <c r="Y685" i="9"/>
  <c r="Z685" i="9" s="1"/>
  <c r="Y681" i="9"/>
  <c r="Z681" i="9" s="1"/>
  <c r="Y677" i="9"/>
  <c r="Z677" i="9" s="1"/>
  <c r="Y673" i="9"/>
  <c r="Z673" i="9" s="1"/>
  <c r="Y669" i="9"/>
  <c r="Z669" i="9" s="1"/>
  <c r="Y665" i="9"/>
  <c r="Z665" i="9" s="1"/>
  <c r="Y661" i="9"/>
  <c r="Z661" i="9" s="1"/>
  <c r="Y657" i="9"/>
  <c r="Z657" i="9" s="1"/>
  <c r="Y653" i="9"/>
  <c r="Z653" i="9" s="1"/>
  <c r="Y649" i="9"/>
  <c r="Z649" i="9" s="1"/>
  <c r="Y645" i="9"/>
  <c r="Z645" i="9" s="1"/>
  <c r="Y641" i="9"/>
  <c r="Z641" i="9" s="1"/>
  <c r="Y637" i="9"/>
  <c r="Z637" i="9" s="1"/>
  <c r="Y633" i="9"/>
  <c r="Z633" i="9" s="1"/>
  <c r="Y629" i="9"/>
  <c r="Z629" i="9" s="1"/>
  <c r="Y625" i="9"/>
  <c r="Z625" i="9" s="1"/>
  <c r="Y621" i="9"/>
  <c r="Z621" i="9" s="1"/>
  <c r="Y617" i="9"/>
  <c r="Z617" i="9" s="1"/>
  <c r="Y613" i="9"/>
  <c r="Z613" i="9" s="1"/>
  <c r="Y609" i="9"/>
  <c r="Z609" i="9" s="1"/>
  <c r="Y605" i="9"/>
  <c r="Z605" i="9" s="1"/>
  <c r="Y601" i="9"/>
  <c r="Z601" i="9" s="1"/>
  <c r="Y597" i="9"/>
  <c r="Z597" i="9" s="1"/>
  <c r="Y593" i="9"/>
  <c r="Z593" i="9" s="1"/>
  <c r="Y589" i="9"/>
  <c r="Z589" i="9" s="1"/>
  <c r="Y585" i="9"/>
  <c r="Z585" i="9" s="1"/>
  <c r="Y581" i="9"/>
  <c r="Z581" i="9" s="1"/>
  <c r="Y577" i="9"/>
  <c r="Z577" i="9" s="1"/>
  <c r="Y573" i="9"/>
  <c r="Z573" i="9" s="1"/>
  <c r="Y569" i="9"/>
  <c r="Z569" i="9" s="1"/>
  <c r="Y565" i="9"/>
  <c r="Z565" i="9" s="1"/>
  <c r="Y561" i="9"/>
  <c r="Y557" i="9"/>
  <c r="Z557" i="9" s="1"/>
  <c r="Y553" i="9"/>
  <c r="Z553" i="9" s="1"/>
  <c r="Y549" i="9"/>
  <c r="Z549" i="9" s="1"/>
  <c r="Y545" i="9"/>
  <c r="Z545" i="9" s="1"/>
  <c r="Y541" i="9"/>
  <c r="Z541" i="9" s="1"/>
  <c r="Y537" i="9"/>
  <c r="Z537" i="9" s="1"/>
  <c r="Y533" i="9"/>
  <c r="Z533" i="9" s="1"/>
  <c r="Y529" i="9"/>
  <c r="Z529" i="9" s="1"/>
  <c r="Y525" i="9"/>
  <c r="Z525" i="9" s="1"/>
  <c r="Y521" i="9"/>
  <c r="Z521" i="9" s="1"/>
  <c r="Y517" i="9"/>
  <c r="Z517" i="9" s="1"/>
  <c r="Y513" i="9"/>
  <c r="Z513" i="9" s="1"/>
  <c r="Y509" i="9"/>
  <c r="Z509" i="9" s="1"/>
  <c r="Y505" i="9"/>
  <c r="Z505" i="9" s="1"/>
  <c r="Y501" i="9"/>
  <c r="Z501" i="9" s="1"/>
  <c r="Y497" i="9"/>
  <c r="Z497" i="9" s="1"/>
  <c r="Y493" i="9"/>
  <c r="Z493" i="9" s="1"/>
  <c r="Y489" i="9"/>
  <c r="Z489" i="9" s="1"/>
  <c r="Y485" i="9"/>
  <c r="Z485" i="9" s="1"/>
  <c r="Y481" i="9"/>
  <c r="Z481" i="9" s="1"/>
  <c r="Y477" i="9"/>
  <c r="Z477" i="9" s="1"/>
  <c r="Y473" i="9"/>
  <c r="Z473" i="9" s="1"/>
  <c r="Y469" i="9"/>
  <c r="Z469" i="9" s="1"/>
  <c r="Y465" i="9"/>
  <c r="Z465" i="9" s="1"/>
  <c r="Y461" i="9"/>
  <c r="Z461" i="9" s="1"/>
  <c r="Y457" i="9"/>
  <c r="Z457" i="9" s="1"/>
  <c r="Y453" i="9"/>
  <c r="Z453" i="9" s="1"/>
  <c r="Y449" i="9"/>
  <c r="Z449" i="9" s="1"/>
  <c r="Y445" i="9"/>
  <c r="Z445" i="9" s="1"/>
  <c r="Y441" i="9"/>
  <c r="Z441" i="9" s="1"/>
  <c r="Y437" i="9"/>
  <c r="Z437" i="9" s="1"/>
  <c r="Y433" i="9"/>
  <c r="Z433" i="9" s="1"/>
  <c r="Y429" i="9"/>
  <c r="Z429" i="9" s="1"/>
  <c r="Y425" i="9"/>
  <c r="Z425" i="9" s="1"/>
  <c r="Y421" i="9"/>
  <c r="Z421" i="9" s="1"/>
  <c r="Y417" i="9"/>
  <c r="Z417" i="9" s="1"/>
  <c r="Y413" i="9"/>
  <c r="Z413" i="9" s="1"/>
  <c r="Y409" i="9"/>
  <c r="Z409" i="9" s="1"/>
  <c r="Y405" i="9"/>
  <c r="Z405" i="9" s="1"/>
  <c r="Y401" i="9"/>
  <c r="Z401" i="9" s="1"/>
  <c r="Y397" i="9"/>
  <c r="Z397" i="9" s="1"/>
  <c r="Y393" i="9"/>
  <c r="Z393" i="9" s="1"/>
  <c r="Y389" i="9"/>
  <c r="Z389" i="9" s="1"/>
  <c r="Y385" i="9"/>
  <c r="Y381" i="9"/>
  <c r="Z381" i="9" s="1"/>
  <c r="Y377" i="9"/>
  <c r="Z377" i="9" s="1"/>
  <c r="Y373" i="9"/>
  <c r="Z373" i="9" s="1"/>
  <c r="Y369" i="9"/>
  <c r="Z369" i="9" s="1"/>
  <c r="Y365" i="9"/>
  <c r="Z365" i="9" s="1"/>
  <c r="Y361" i="9"/>
  <c r="Z361" i="9" s="1"/>
  <c r="Y357" i="9"/>
  <c r="Z357" i="9" s="1"/>
  <c r="Y353" i="9"/>
  <c r="Z353" i="9" s="1"/>
  <c r="Y349" i="9"/>
  <c r="Z349" i="9" s="1"/>
  <c r="Y345" i="9"/>
  <c r="Z345" i="9" s="1"/>
  <c r="Y341" i="9"/>
  <c r="Z341" i="9" s="1"/>
  <c r="Y337" i="9"/>
  <c r="Z337" i="9" s="1"/>
  <c r="Y329" i="9"/>
  <c r="Z329" i="9" s="1"/>
  <c r="Y325" i="9"/>
  <c r="Z325" i="9" s="1"/>
  <c r="Y992" i="9"/>
  <c r="Z992" i="9" s="1"/>
  <c r="Y988" i="9"/>
  <c r="Z988" i="9" s="1"/>
  <c r="Y976" i="9"/>
  <c r="Z976" i="9" s="1"/>
  <c r="Y972" i="9"/>
  <c r="Z972" i="9" s="1"/>
  <c r="Y960" i="9"/>
  <c r="Z960" i="9" s="1"/>
  <c r="Y956" i="9"/>
  <c r="Z956" i="9" s="1"/>
  <c r="Y944" i="9"/>
  <c r="Z944" i="9" s="1"/>
  <c r="Y940" i="9"/>
  <c r="Y928" i="9"/>
  <c r="Z928" i="9" s="1"/>
  <c r="Y924" i="9"/>
  <c r="Z924" i="9" s="1"/>
  <c r="Y912" i="9"/>
  <c r="Z912" i="9" s="1"/>
  <c r="Y908" i="9"/>
  <c r="Z908" i="9" s="1"/>
  <c r="Y896" i="9"/>
  <c r="Z896" i="9" s="1"/>
  <c r="Y892" i="9"/>
  <c r="Z892" i="9" s="1"/>
  <c r="Y880" i="9"/>
  <c r="Z880" i="9" s="1"/>
  <c r="Y876" i="9"/>
  <c r="Z876" i="9" s="1"/>
  <c r="Y864" i="9"/>
  <c r="Z864" i="9" s="1"/>
  <c r="Y860" i="9"/>
  <c r="Z860" i="9" s="1"/>
  <c r="Y848" i="9"/>
  <c r="Z848" i="9" s="1"/>
  <c r="Y844" i="9"/>
  <c r="Z844" i="9" s="1"/>
  <c r="Y832" i="9"/>
  <c r="Z832" i="9" s="1"/>
  <c r="Y828" i="9"/>
  <c r="Z828" i="9" s="1"/>
  <c r="Y816" i="9"/>
  <c r="Z816" i="9" s="1"/>
  <c r="Y812" i="9"/>
  <c r="Z812" i="9" s="1"/>
  <c r="Y800" i="9"/>
  <c r="Z800" i="9" s="1"/>
  <c r="Y796" i="9"/>
  <c r="Z796" i="9" s="1"/>
  <c r="Y784" i="9"/>
  <c r="Z784" i="9" s="1"/>
  <c r="Y780" i="9"/>
  <c r="Z780" i="9" s="1"/>
  <c r="Y768" i="9"/>
  <c r="Z768" i="9" s="1"/>
  <c r="Y764" i="9"/>
  <c r="Z764" i="9" s="1"/>
  <c r="Y752" i="9"/>
  <c r="Z752" i="9" s="1"/>
  <c r="Y748" i="9"/>
  <c r="Z748" i="9" s="1"/>
  <c r="Y736" i="9"/>
  <c r="Z736" i="9" s="1"/>
  <c r="Y732" i="9"/>
  <c r="Z732" i="9" s="1"/>
  <c r="Y720" i="9"/>
  <c r="Z720" i="9" s="1"/>
  <c r="Y716" i="9"/>
  <c r="Z716" i="9" s="1"/>
  <c r="Y704" i="9"/>
  <c r="Z704" i="9" s="1"/>
  <c r="Y700" i="9"/>
  <c r="Z700" i="9" s="1"/>
  <c r="Y688" i="9"/>
  <c r="Z688" i="9" s="1"/>
  <c r="Y684" i="9"/>
  <c r="Z684" i="9" s="1"/>
  <c r="Y660" i="9"/>
  <c r="Z660" i="9" s="1"/>
  <c r="Y656" i="9"/>
  <c r="Z656" i="9" s="1"/>
  <c r="Y644" i="9"/>
  <c r="Z644" i="9" s="1"/>
  <c r="Y640" i="9"/>
  <c r="Z640" i="9" s="1"/>
  <c r="Y628" i="9"/>
  <c r="Z628" i="9" s="1"/>
  <c r="Y624" i="9"/>
  <c r="Z624" i="9" s="1"/>
  <c r="Y612" i="9"/>
  <c r="Z612" i="9" s="1"/>
  <c r="Y608" i="9"/>
  <c r="Z608" i="9" s="1"/>
  <c r="Y596" i="9"/>
  <c r="Z596" i="9" s="1"/>
  <c r="Y592" i="9"/>
  <c r="Z592" i="9" s="1"/>
  <c r="Y580" i="9"/>
  <c r="Z580" i="9" s="1"/>
  <c r="Y576" i="9"/>
  <c r="Z576" i="9" s="1"/>
  <c r="Y564" i="9"/>
  <c r="Z564" i="9" s="1"/>
  <c r="Y560" i="9"/>
  <c r="Z560" i="9" s="1"/>
  <c r="Y548" i="9"/>
  <c r="Z548" i="9" s="1"/>
  <c r="Y544" i="9"/>
  <c r="Z544" i="9" s="1"/>
  <c r="Y532" i="9"/>
  <c r="Z532" i="9" s="1"/>
  <c r="Y528" i="9"/>
  <c r="Y516" i="9"/>
  <c r="Z516" i="9" s="1"/>
  <c r="Y512" i="9"/>
  <c r="Z512" i="9" s="1"/>
  <c r="Y500" i="9"/>
  <c r="Z500" i="9" s="1"/>
  <c r="Y496" i="9"/>
  <c r="Z496" i="9" s="1"/>
  <c r="Y484" i="9"/>
  <c r="Z484" i="9" s="1"/>
  <c r="Y480" i="9"/>
  <c r="Z480" i="9" s="1"/>
  <c r="Y468" i="9"/>
  <c r="Z468" i="9" s="1"/>
  <c r="Y464" i="9"/>
  <c r="Z464" i="9" s="1"/>
  <c r="Y452" i="9"/>
  <c r="Z452" i="9" s="1"/>
  <c r="Y448" i="9"/>
  <c r="Z448" i="9" s="1"/>
  <c r="Y436" i="9"/>
  <c r="Z436" i="9" s="1"/>
  <c r="Y432" i="9"/>
  <c r="Z432" i="9" s="1"/>
  <c r="Y420" i="9"/>
  <c r="Z420" i="9" s="1"/>
  <c r="Y416" i="9"/>
  <c r="Z416" i="9" s="1"/>
  <c r="Y404" i="9"/>
  <c r="Z404" i="9" s="1"/>
  <c r="Y400" i="9"/>
  <c r="Z400" i="9" s="1"/>
  <c r="Y388" i="9"/>
  <c r="Z388" i="9" s="1"/>
  <c r="Y384" i="9"/>
  <c r="Z384" i="9" s="1"/>
  <c r="Y372" i="9"/>
  <c r="Z372" i="9" s="1"/>
  <c r="Y368" i="9"/>
  <c r="Z368" i="9" s="1"/>
  <c r="Y356" i="9"/>
  <c r="Z356" i="9" s="1"/>
  <c r="Y352" i="9"/>
  <c r="Z352" i="9" s="1"/>
  <c r="Y340" i="9"/>
  <c r="Z340" i="9" s="1"/>
  <c r="Y336" i="9"/>
  <c r="Y332" i="9"/>
  <c r="Z332" i="9" s="1"/>
  <c r="Y328" i="9"/>
  <c r="Z328" i="9" s="1"/>
  <c r="Y324" i="9"/>
  <c r="Z324" i="9" s="1"/>
  <c r="Y797" i="9"/>
  <c r="Z797" i="9" s="1"/>
  <c r="Y339" i="9"/>
  <c r="Z339" i="9" s="1"/>
  <c r="Y323" i="9"/>
  <c r="Z323" i="9" s="1"/>
  <c r="Z1001" i="9"/>
  <c r="Z927" i="9"/>
  <c r="Z911" i="9"/>
  <c r="Z831" i="9"/>
  <c r="Z799" i="9"/>
  <c r="Z751" i="9"/>
  <c r="Z478" i="9"/>
  <c r="Z218" i="9"/>
  <c r="Z22" i="9"/>
  <c r="Z987" i="9"/>
  <c r="Z320" i="9"/>
  <c r="Z288" i="9"/>
  <c r="Z273" i="9"/>
  <c r="Z990" i="9"/>
  <c r="Z926" i="9"/>
  <c r="Z798" i="9"/>
  <c r="Z734" i="9"/>
  <c r="Z670" i="9"/>
  <c r="Z982" i="9"/>
  <c r="Z978" i="9"/>
  <c r="Z970" i="9"/>
  <c r="Z962" i="9"/>
  <c r="Z950" i="9"/>
  <c r="Z938" i="9"/>
  <c r="Z934" i="9"/>
  <c r="Z922" i="9"/>
  <c r="Z914" i="9"/>
  <c r="Z902" i="9"/>
  <c r="Z890" i="9"/>
  <c r="Z886" i="9"/>
  <c r="Z882" i="9"/>
  <c r="Z874" i="9"/>
  <c r="Z858" i="9"/>
  <c r="Z854" i="9"/>
  <c r="Z850" i="9"/>
  <c r="Z842" i="9"/>
  <c r="Z826" i="9"/>
  <c r="Z810" i="9"/>
  <c r="Z806" i="9"/>
  <c r="Z802" i="9"/>
  <c r="Z786" i="9"/>
  <c r="Z778" i="9"/>
  <c r="Z774" i="9"/>
  <c r="Z762" i="9"/>
  <c r="Z754" i="9"/>
  <c r="Z742" i="9"/>
  <c r="Z730" i="9"/>
  <c r="Z722" i="9"/>
  <c r="Z698" i="9"/>
  <c r="Z694" i="9"/>
  <c r="Z690" i="9"/>
  <c r="Z678" i="9"/>
  <c r="Z658" i="9"/>
  <c r="Z642" i="9"/>
  <c r="Z634" i="9"/>
  <c r="Z630" i="9"/>
  <c r="Z626" i="9"/>
  <c r="Z614" i="9"/>
  <c r="Z602" i="9"/>
  <c r="Z598" i="9"/>
  <c r="Z582" i="9"/>
  <c r="Z554" i="9"/>
  <c r="Z550" i="9"/>
  <c r="Z546" i="9"/>
  <c r="Z538" i="9"/>
  <c r="Z534" i="9"/>
  <c r="Z530" i="9"/>
  <c r="Z522" i="9"/>
  <c r="Z506" i="9"/>
  <c r="Z486" i="9"/>
  <c r="Z482" i="9"/>
  <c r="Z466" i="9"/>
  <c r="Z454" i="9"/>
  <c r="Z333" i="9"/>
  <c r="Z317" i="9"/>
  <c r="Z301" i="9"/>
  <c r="Z285" i="9"/>
  <c r="Z269" i="9"/>
  <c r="Z253" i="9"/>
  <c r="Z237" i="9"/>
  <c r="Z221" i="9"/>
  <c r="Z205" i="9"/>
  <c r="Z189" i="9"/>
  <c r="Z173" i="9"/>
  <c r="Z157" i="9"/>
  <c r="Z141" i="9"/>
  <c r="Z125" i="9"/>
  <c r="Z109" i="9"/>
  <c r="Z93" i="9"/>
  <c r="Z77" i="9"/>
  <c r="Z61" i="9"/>
  <c r="Z45" i="9"/>
  <c r="Z29" i="9"/>
  <c r="Z13" i="9"/>
  <c r="Z974" i="9"/>
  <c r="Z910" i="9"/>
  <c r="Z718" i="9"/>
  <c r="Z654" i="9"/>
  <c r="Z590" i="9"/>
  <c r="Z394" i="9"/>
  <c r="Z330" i="9"/>
  <c r="Z202" i="9"/>
  <c r="Z134" i="9"/>
  <c r="Z70" i="9"/>
  <c r="Z313" i="9"/>
  <c r="Z297" i="9"/>
  <c r="Z281" i="9"/>
  <c r="Z265" i="9"/>
  <c r="Z249" i="9"/>
  <c r="Z233" i="9"/>
  <c r="Z217" i="9"/>
  <c r="Z201" i="9"/>
  <c r="Z185" i="9"/>
  <c r="Z169" i="9"/>
  <c r="Z153" i="9"/>
  <c r="Z137" i="9"/>
  <c r="Z121" i="9"/>
  <c r="Z105" i="9"/>
  <c r="Z89" i="9"/>
  <c r="Z73" i="9"/>
  <c r="Z57" i="9"/>
  <c r="Z41" i="9"/>
  <c r="Z25" i="9"/>
  <c r="Z9" i="9"/>
  <c r="Z958" i="9"/>
  <c r="Z830" i="9"/>
  <c r="Z574" i="9"/>
  <c r="Z510" i="9"/>
  <c r="Z446" i="9"/>
  <c r="Z378" i="9"/>
  <c r="Z314" i="9"/>
  <c r="Z186" i="9"/>
  <c r="Z118" i="9"/>
  <c r="Z309" i="9"/>
  <c r="Z293" i="9"/>
  <c r="Z277" i="9"/>
  <c r="Z261" i="9"/>
  <c r="Z245" i="9"/>
  <c r="Z229" i="9"/>
  <c r="Z213" i="9"/>
  <c r="Z197" i="9"/>
  <c r="Z181" i="9"/>
  <c r="Z165" i="9"/>
  <c r="Z149" i="9"/>
  <c r="Z133" i="9"/>
  <c r="Z117" i="9"/>
  <c r="Z101" i="9"/>
  <c r="Z85" i="9"/>
  <c r="Z69" i="9"/>
  <c r="Z53" i="9"/>
  <c r="Z37" i="9"/>
  <c r="Z21" i="9"/>
  <c r="Z814" i="9"/>
  <c r="Z750" i="9"/>
  <c r="Z558" i="9"/>
  <c r="Z430" i="9"/>
  <c r="Z362" i="9"/>
  <c r="Z298" i="9"/>
  <c r="Z234" i="9"/>
  <c r="Z38" i="9"/>
  <c r="Z442" i="9"/>
  <c r="Z434" i="9"/>
  <c r="Z426" i="9"/>
  <c r="Z414" i="9"/>
  <c r="Z402" i="9"/>
  <c r="Z390" i="9"/>
  <c r="Z382" i="9"/>
  <c r="Z370" i="9"/>
  <c r="Z366" i="9"/>
  <c r="Z354" i="9"/>
  <c r="Z350" i="9"/>
  <c r="Z342" i="9"/>
  <c r="Z338" i="9"/>
  <c r="Z326" i="9"/>
  <c r="Z318" i="9"/>
  <c r="Z306" i="9"/>
  <c r="Z302" i="9"/>
  <c r="Z294" i="9"/>
  <c r="Z286" i="9"/>
  <c r="Z278" i="9"/>
  <c r="Z274" i="9"/>
  <c r="Z262" i="9"/>
  <c r="Z258" i="9"/>
  <c r="Z254" i="9"/>
  <c r="Z242" i="9"/>
  <c r="Z226" i="9"/>
  <c r="Z222" i="9"/>
  <c r="Z210" i="9"/>
  <c r="Z206" i="9"/>
  <c r="Z198" i="9"/>
  <c r="Z194" i="9"/>
  <c r="Z190" i="9"/>
  <c r="Z182" i="9"/>
  <c r="Z178" i="9"/>
  <c r="Z174" i="9"/>
  <c r="Z170" i="9"/>
  <c r="Z162" i="9"/>
  <c r="Z158" i="9"/>
  <c r="Z146" i="9"/>
  <c r="Z142" i="9"/>
  <c r="Z138" i="9"/>
  <c r="Z130" i="9"/>
  <c r="Z126" i="9"/>
  <c r="Z114" i="9"/>
  <c r="Z110" i="9"/>
  <c r="Z106" i="9"/>
  <c r="Z98" i="9"/>
  <c r="Z94" i="9"/>
  <c r="Z82" i="9"/>
  <c r="Z78" i="9"/>
  <c r="Z74" i="9"/>
  <c r="Z66" i="9"/>
  <c r="Z62" i="9"/>
  <c r="Z50" i="9"/>
  <c r="Z46" i="9"/>
  <c r="Z42" i="9"/>
  <c r="Z30" i="9"/>
  <c r="Z10" i="9"/>
  <c r="Z6" i="9"/>
  <c r="Z879" i="9"/>
  <c r="Z783" i="9"/>
  <c r="Z423" i="9"/>
  <c r="Z391" i="9"/>
  <c r="Z359" i="9"/>
  <c r="Z966" i="9"/>
  <c r="Z561" i="9"/>
  <c r="Z385" i="9"/>
  <c r="Z321" i="9"/>
  <c r="Z305" i="9"/>
  <c r="Z257" i="9"/>
  <c r="Z241" i="9"/>
  <c r="Z225" i="9"/>
  <c r="Z807" i="9"/>
  <c r="Z954" i="9"/>
  <c r="Z946" i="9"/>
  <c r="Z942" i="9"/>
  <c r="Z930" i="9"/>
  <c r="Z918" i="9"/>
  <c r="Z906" i="9"/>
  <c r="Z898" i="9"/>
  <c r="Z894" i="9"/>
  <c r="Z878" i="9"/>
  <c r="Z870" i="9"/>
  <c r="Z866" i="9"/>
  <c r="Z862" i="9"/>
  <c r="Z846" i="9"/>
  <c r="Z838" i="9"/>
  <c r="Z834" i="9"/>
  <c r="Z822" i="9"/>
  <c r="Z818" i="9"/>
  <c r="Z794" i="9"/>
  <c r="Z790" i="9"/>
  <c r="Z782" i="9"/>
  <c r="Z770" i="9"/>
  <c r="Z766" i="9"/>
  <c r="Z758" i="9"/>
  <c r="Z746" i="9"/>
  <c r="Z738" i="9"/>
  <c r="Z726" i="9"/>
  <c r="Z714" i="9"/>
  <c r="Z710" i="9"/>
  <c r="Z706" i="9"/>
  <c r="Z702" i="9"/>
  <c r="Z686" i="9"/>
  <c r="Z682" i="9"/>
  <c r="Z674" i="9"/>
  <c r="Z666" i="9"/>
  <c r="Z662" i="9"/>
  <c r="Z650" i="9"/>
  <c r="Z646" i="9"/>
  <c r="Z638" i="9"/>
  <c r="Z622" i="9"/>
  <c r="Z618" i="9"/>
  <c r="Z610" i="9"/>
  <c r="Z606" i="9"/>
  <c r="Z594" i="9"/>
  <c r="Z586" i="9"/>
  <c r="Z578" i="9"/>
  <c r="Z570" i="9"/>
  <c r="Z562" i="9"/>
  <c r="Z542" i="9"/>
  <c r="Z526" i="9"/>
  <c r="Z514" i="9"/>
  <c r="Z498" i="9"/>
  <c r="Z494" i="9"/>
  <c r="Z490" i="9"/>
  <c r="Z474" i="9"/>
  <c r="Z462" i="9"/>
  <c r="Z458" i="9"/>
  <c r="Z450" i="9"/>
  <c r="Z418" i="9"/>
  <c r="Z410" i="9"/>
  <c r="Z386" i="9"/>
  <c r="Z358" i="9"/>
  <c r="Z346" i="9"/>
  <c r="Z334" i="9"/>
  <c r="Z322" i="9"/>
  <c r="Z290" i="9"/>
  <c r="Z282" i="9"/>
  <c r="Z270" i="9"/>
  <c r="Z266" i="9"/>
  <c r="Z250" i="9"/>
  <c r="Z238" i="9"/>
  <c r="Z230" i="9"/>
  <c r="Z214" i="9"/>
  <c r="Z166" i="9"/>
  <c r="Z154" i="9"/>
  <c r="Z150" i="9"/>
  <c r="Z122" i="9"/>
  <c r="Z102" i="9"/>
  <c r="Z90" i="9"/>
  <c r="Z86" i="9"/>
  <c r="Z58" i="9"/>
  <c r="Z54" i="9"/>
  <c r="Z34" i="9"/>
  <c r="Z26" i="9"/>
  <c r="Z18" i="9"/>
  <c r="Z14" i="9"/>
  <c r="Z209" i="9"/>
  <c r="Z193" i="9"/>
  <c r="Z177" i="9"/>
  <c r="Z161" i="9"/>
  <c r="Z145" i="9"/>
  <c r="Z129" i="9"/>
  <c r="Z113" i="9"/>
  <c r="Z97" i="9"/>
  <c r="Z81" i="9"/>
  <c r="Z65" i="9"/>
  <c r="Z49" i="9"/>
  <c r="Z33" i="9"/>
  <c r="Z17" i="9"/>
  <c r="Z566" i="9"/>
  <c r="Z518" i="9"/>
  <c r="Z502" i="9"/>
  <c r="Z470" i="9"/>
  <c r="Z438" i="9"/>
  <c r="Z422" i="9"/>
  <c r="Z406" i="9"/>
  <c r="Z374" i="9"/>
  <c r="Z986" i="9"/>
  <c r="Z246" i="9"/>
  <c r="Z994" i="9"/>
  <c r="Z933" i="9"/>
  <c r="Z998" i="9"/>
  <c r="Z398" i="9"/>
  <c r="Z310" i="9"/>
  <c r="Z965" i="9"/>
  <c r="Z757" i="9"/>
  <c r="Z289" i="9"/>
  <c r="Z955" i="9"/>
  <c r="Z623" i="9"/>
  <c r="Z551" i="9"/>
  <c r="Z527" i="9"/>
  <c r="Z999" i="9"/>
  <c r="Z991" i="9"/>
  <c r="Z983" i="9"/>
  <c r="Z975" i="9"/>
  <c r="Z967" i="9"/>
  <c r="Z959" i="9"/>
  <c r="Z951" i="9"/>
  <c r="Z943" i="9"/>
  <c r="Z895" i="9"/>
  <c r="Z871" i="9"/>
  <c r="Z863" i="9"/>
  <c r="Z847" i="9"/>
  <c r="Z839" i="9"/>
  <c r="Z815" i="9"/>
  <c r="Z767" i="9"/>
  <c r="Z743" i="9"/>
  <c r="Z735" i="9"/>
  <c r="Z719" i="9"/>
  <c r="Z711" i="9"/>
  <c r="Z687" i="9"/>
  <c r="Z639" i="9"/>
  <c r="Z615" i="9"/>
  <c r="Z607" i="9"/>
  <c r="Z591" i="9"/>
  <c r="Z583" i="9"/>
  <c r="Z559" i="9"/>
  <c r="Z511" i="9"/>
  <c r="Z487" i="9"/>
  <c r="Z479" i="9"/>
  <c r="Z471" i="9"/>
  <c r="Z447" i="9"/>
  <c r="Z439" i="9"/>
  <c r="Z415" i="9"/>
  <c r="Z407" i="9"/>
  <c r="Z383" i="9"/>
  <c r="Z375" i="9"/>
  <c r="Z351" i="9"/>
  <c r="Z343" i="9"/>
  <c r="Z307" i="9"/>
  <c r="Z283" i="9"/>
  <c r="Z275" i="9"/>
  <c r="Z259" i="9"/>
  <c r="Z251" i="9"/>
  <c r="Z227" i="9"/>
  <c r="Z195" i="9"/>
  <c r="Z187" i="9"/>
  <c r="Z163" i="9"/>
  <c r="Z155" i="9"/>
  <c r="Z131" i="9"/>
  <c r="Z123" i="9"/>
  <c r="Z99" i="9"/>
  <c r="Z91" i="9"/>
  <c r="Z63" i="9"/>
  <c r="Z55" i="9"/>
  <c r="Z39" i="9"/>
  <c r="Z31" i="9"/>
  <c r="Z7" i="9"/>
  <c r="Z939" i="9"/>
  <c r="Z935" i="9"/>
  <c r="Z931" i="9"/>
  <c r="Z923" i="9"/>
  <c r="Z919" i="9"/>
  <c r="Z915" i="9"/>
  <c r="Z907" i="9"/>
  <c r="Z899" i="9"/>
  <c r="Z891" i="9"/>
  <c r="Z887" i="9"/>
  <c r="Z883" i="9"/>
  <c r="Z875" i="9"/>
  <c r="Z867" i="9"/>
  <c r="Z859" i="9"/>
  <c r="Z855" i="9"/>
  <c r="Z851" i="9"/>
  <c r="Z843" i="9"/>
  <c r="Z835" i="9"/>
  <c r="Z827" i="9"/>
  <c r="Z823" i="9"/>
  <c r="Z819" i="9"/>
  <c r="Z811" i="9"/>
  <c r="Z803" i="9"/>
  <c r="Z795" i="9"/>
  <c r="Z791" i="9"/>
  <c r="Z787" i="9"/>
  <c r="Z779" i="9"/>
  <c r="Z771" i="9"/>
  <c r="Z763" i="9"/>
  <c r="Z759" i="9"/>
  <c r="Z755" i="9"/>
  <c r="Z747" i="9"/>
  <c r="Z739" i="9"/>
  <c r="Z731" i="9"/>
  <c r="Z727" i="9"/>
  <c r="Z723" i="9"/>
  <c r="Z715" i="9"/>
  <c r="Z707" i="9"/>
  <c r="Z699" i="9"/>
  <c r="Z695" i="9"/>
  <c r="Z691" i="9"/>
  <c r="Z683" i="9"/>
  <c r="Z675" i="9"/>
  <c r="Z667" i="9"/>
  <c r="Z663" i="9"/>
  <c r="Z659" i="9"/>
  <c r="Z651" i="9"/>
  <c r="Z643" i="9"/>
  <c r="Z635" i="9"/>
  <c r="Z631" i="9"/>
  <c r="Z627" i="9"/>
  <c r="Z619" i="9"/>
  <c r="Z611" i="9"/>
  <c r="Z603" i="9"/>
  <c r="Z599" i="9"/>
  <c r="Z595" i="9"/>
  <c r="Z587" i="9"/>
  <c r="Z579" i="9"/>
  <c r="Z571" i="9"/>
  <c r="Z567" i="9"/>
  <c r="Z563" i="9"/>
  <c r="Z555" i="9"/>
  <c r="Z547" i="9"/>
  <c r="Z539" i="9"/>
  <c r="Z535" i="9"/>
  <c r="Z531" i="9"/>
  <c r="Z523" i="9"/>
  <c r="Z515" i="9"/>
  <c r="Z507" i="9"/>
  <c r="Z503" i="9"/>
  <c r="Z499" i="9"/>
  <c r="Z491" i="9"/>
  <c r="Z483" i="9"/>
  <c r="Z475" i="9"/>
  <c r="Z467" i="9"/>
  <c r="Z459" i="9"/>
  <c r="Z451" i="9"/>
  <c r="Z443" i="9"/>
  <c r="Z435" i="9"/>
  <c r="Z427" i="9"/>
  <c r="Z419" i="9"/>
  <c r="Z411" i="9"/>
  <c r="Z403" i="9"/>
  <c r="Z395" i="9"/>
  <c r="Z387" i="9"/>
  <c r="Z379" i="9"/>
  <c r="Z371" i="9"/>
  <c r="Z363" i="9"/>
  <c r="Z355" i="9"/>
  <c r="Z347" i="9"/>
  <c r="Z335" i="9"/>
  <c r="Z331" i="9"/>
  <c r="Z327" i="9"/>
  <c r="Z319" i="9"/>
  <c r="Z311" i="9"/>
  <c r="Z303" i="9"/>
  <c r="Z299" i="9"/>
  <c r="Z295" i="9"/>
  <c r="Z287" i="9"/>
  <c r="Z279" i="9"/>
  <c r="Z271" i="9"/>
  <c r="Z267" i="9"/>
  <c r="Z263" i="9"/>
  <c r="Z255" i="9"/>
  <c r="Z247" i="9"/>
  <c r="Z239" i="9"/>
  <c r="Z235" i="9"/>
  <c r="Z231" i="9"/>
  <c r="Z223" i="9"/>
  <c r="Z215" i="9"/>
  <c r="Z207" i="9"/>
  <c r="Z199" i="9"/>
  <c r="Z191" i="9"/>
  <c r="Z183" i="9"/>
  <c r="Z175" i="9"/>
  <c r="Z167" i="9"/>
  <c r="Z159" i="9"/>
  <c r="Z151" i="9"/>
  <c r="Z143" i="9"/>
  <c r="Z135" i="9"/>
  <c r="Z127" i="9"/>
  <c r="Z119" i="9"/>
  <c r="Z111" i="9"/>
  <c r="Z103" i="9"/>
  <c r="Z95" i="9"/>
  <c r="Z87" i="9"/>
  <c r="Z83" i="9"/>
  <c r="Z79" i="9"/>
  <c r="Z75" i="9"/>
  <c r="Z67" i="9"/>
  <c r="Z59" i="9"/>
  <c r="Z51" i="9"/>
  <c r="Z47" i="9"/>
  <c r="Z43" i="9"/>
  <c r="Z35" i="9"/>
  <c r="Z27" i="9"/>
  <c r="Z19" i="9"/>
  <c r="Z15" i="9"/>
  <c r="Z11" i="9"/>
  <c r="Z1000" i="9"/>
  <c r="Z996" i="9"/>
  <c r="Z984" i="9"/>
  <c r="Z980" i="9"/>
  <c r="Z968" i="9"/>
  <c r="Z964" i="9"/>
  <c r="Z952" i="9"/>
  <c r="Z948" i="9"/>
  <c r="Z940" i="9"/>
  <c r="Z936" i="9"/>
  <c r="Z932" i="9"/>
  <c r="Z920" i="9"/>
  <c r="Z916" i="9"/>
  <c r="Z904" i="9"/>
  <c r="Z900" i="9"/>
  <c r="Z888" i="9"/>
  <c r="Z884" i="9"/>
  <c r="Z872" i="9"/>
  <c r="Z868" i="9"/>
  <c r="Z856" i="9"/>
  <c r="Z852" i="9"/>
  <c r="Z840" i="9"/>
  <c r="Z836" i="9"/>
  <c r="Z824" i="9"/>
  <c r="Z820" i="9"/>
  <c r="Z808" i="9"/>
  <c r="Z804" i="9"/>
  <c r="Z792" i="9"/>
  <c r="Z788" i="9"/>
  <c r="Z776" i="9"/>
  <c r="Z772" i="9"/>
  <c r="Z760" i="9"/>
  <c r="Z756" i="9"/>
  <c r="Z744" i="9"/>
  <c r="Z740" i="9"/>
  <c r="Z728" i="9"/>
  <c r="Z724" i="9"/>
  <c r="Z712" i="9"/>
  <c r="Z708" i="9"/>
  <c r="Z696" i="9"/>
  <c r="Z692" i="9"/>
  <c r="Z680" i="9"/>
  <c r="Z676" i="9"/>
  <c r="Z672" i="9"/>
  <c r="Z668" i="9"/>
  <c r="Z664" i="9"/>
  <c r="Z652" i="9"/>
  <c r="Z648" i="9"/>
  <c r="Z636" i="9"/>
  <c r="Z632" i="9"/>
  <c r="Z620" i="9"/>
  <c r="Z616" i="9"/>
  <c r="Z604" i="9"/>
  <c r="Z600" i="9"/>
  <c r="Z588" i="9"/>
  <c r="Z584" i="9"/>
  <c r="Z572" i="9"/>
  <c r="Z568" i="9"/>
  <c r="Z556" i="9"/>
  <c r="Z552" i="9"/>
  <c r="Z540" i="9"/>
  <c r="Z536" i="9"/>
  <c r="Z528" i="9"/>
  <c r="Z524" i="9"/>
  <c r="Z520" i="9"/>
  <c r="Z508" i="9"/>
  <c r="Z504" i="9"/>
  <c r="Z492" i="9"/>
  <c r="Z488" i="9"/>
  <c r="Z476" i="9"/>
  <c r="Z472" i="9"/>
  <c r="Z460" i="9"/>
  <c r="Z456" i="9"/>
  <c r="Z444" i="9"/>
  <c r="Z440" i="9"/>
  <c r="Z428" i="9"/>
  <c r="Z424" i="9"/>
  <c r="Z412" i="9"/>
  <c r="Z408" i="9"/>
  <c r="Z396" i="9"/>
  <c r="Z392" i="9"/>
  <c r="Z380" i="9"/>
  <c r="Z376" i="9"/>
  <c r="Z364" i="9"/>
  <c r="Z360" i="9"/>
  <c r="Z348" i="9"/>
  <c r="Z344" i="9"/>
  <c r="Z336" i="9"/>
  <c r="Z316" i="9"/>
  <c r="Z312" i="9"/>
  <c r="Z308" i="9"/>
  <c r="Z304" i="9"/>
  <c r="Z300" i="9"/>
  <c r="Z296" i="9"/>
  <c r="Z292" i="9"/>
  <c r="Z284" i="9"/>
  <c r="Z280" i="9"/>
  <c r="Z276" i="9"/>
  <c r="Z272" i="9"/>
  <c r="Z268" i="9"/>
  <c r="Z264" i="9"/>
  <c r="Z260" i="9"/>
  <c r="Z256" i="9"/>
  <c r="Z252" i="9"/>
  <c r="Z248" i="9"/>
  <c r="Z244" i="9"/>
  <c r="Z240" i="9"/>
  <c r="Z236" i="9"/>
  <c r="Z232" i="9"/>
  <c r="Z228" i="9"/>
  <c r="Z224" i="9"/>
  <c r="Z220" i="9"/>
  <c r="Z216" i="9"/>
  <c r="Z212" i="9"/>
  <c r="Z208" i="9"/>
  <c r="Z204" i="9"/>
  <c r="Z200" i="9"/>
  <c r="Z196" i="9"/>
  <c r="Z192" i="9"/>
  <c r="Z188" i="9"/>
  <c r="Z184" i="9"/>
  <c r="Z180" i="9"/>
  <c r="Z176" i="9"/>
  <c r="Z172" i="9"/>
  <c r="Z168" i="9"/>
  <c r="Z164" i="9"/>
  <c r="Z160" i="9"/>
  <c r="Z156" i="9"/>
  <c r="Z152" i="9"/>
  <c r="Z148" i="9"/>
  <c r="Z144" i="9"/>
  <c r="Z140" i="9"/>
  <c r="Z136" i="9"/>
  <c r="Z132" i="9"/>
  <c r="Z128" i="9"/>
  <c r="Z124" i="9"/>
  <c r="Z120" i="9"/>
  <c r="Z116" i="9"/>
  <c r="Z112" i="9"/>
  <c r="Z108" i="9"/>
  <c r="Z104" i="9"/>
  <c r="Z100" i="9"/>
  <c r="Z96" i="9"/>
  <c r="Z92" i="9"/>
  <c r="Z88" i="9"/>
  <c r="Z84" i="9"/>
  <c r="Z80" i="9"/>
  <c r="Z76" i="9"/>
  <c r="Z72" i="9"/>
  <c r="Z68" i="9"/>
  <c r="Z64" i="9"/>
  <c r="Z60" i="9"/>
  <c r="Z56" i="9"/>
  <c r="Z52" i="9"/>
  <c r="Z48" i="9"/>
  <c r="Z44" i="9"/>
  <c r="Z40" i="9"/>
  <c r="Z36" i="9"/>
  <c r="Z32" i="9"/>
  <c r="Z28" i="9"/>
  <c r="Z24" i="9"/>
  <c r="Z20" i="9"/>
  <c r="Z16" i="9"/>
  <c r="Z12" i="9"/>
  <c r="Z8" i="9"/>
  <c r="Z4" i="9"/>
  <c r="AA975" i="9" l="1"/>
  <c r="AB975" i="9" s="1"/>
  <c r="AA634" i="9"/>
  <c r="AB634" i="9" s="1"/>
  <c r="AA484" i="9"/>
  <c r="AB484" i="9" s="1"/>
  <c r="AA726" i="9"/>
  <c r="AB726" i="9" s="1"/>
  <c r="AA629" i="9"/>
  <c r="AB629" i="9" s="1"/>
  <c r="AA185" i="9"/>
  <c r="AB185" i="9" s="1"/>
  <c r="AA578" i="9"/>
  <c r="AB578" i="9" s="1"/>
  <c r="AA917" i="9"/>
  <c r="AB917" i="9" s="1"/>
  <c r="AA343" i="9"/>
  <c r="AB343" i="9" s="1"/>
  <c r="AA89" i="9"/>
  <c r="AB89" i="9" s="1"/>
  <c r="AA4" i="9"/>
  <c r="AB4" i="9" s="1"/>
  <c r="AA522" i="9"/>
  <c r="AB522" i="9" s="1"/>
  <c r="AA650" i="9"/>
  <c r="AB650" i="9" s="1"/>
  <c r="AA871" i="9"/>
  <c r="AB871" i="9" s="1"/>
  <c r="AA856" i="9"/>
  <c r="AB856" i="9" s="1"/>
  <c r="AA552" i="9"/>
  <c r="AB552" i="9" s="1"/>
  <c r="AA759" i="9"/>
  <c r="AB759" i="9" s="1"/>
  <c r="AA242" i="9"/>
  <c r="AB242" i="9" s="1"/>
  <c r="AA557" i="9"/>
  <c r="AB557" i="9" s="1"/>
  <c r="AA349" i="9"/>
  <c r="AB349" i="9" s="1"/>
  <c r="AA843" i="9"/>
  <c r="AB843" i="9" s="1"/>
  <c r="AA44" i="9"/>
  <c r="AB44" i="9" s="1"/>
  <c r="AA47" i="9"/>
  <c r="AB47" i="9" s="1"/>
  <c r="AA9" i="9"/>
  <c r="AB9" i="9" s="1"/>
  <c r="AA742" i="9"/>
  <c r="AB742" i="9" s="1"/>
  <c r="AA542" i="9"/>
  <c r="AB542" i="9" s="1"/>
  <c r="AA734" i="9"/>
  <c r="AB734" i="9" s="1"/>
  <c r="AA826" i="9"/>
  <c r="AB826" i="9" s="1"/>
  <c r="AA899" i="9"/>
  <c r="AB899" i="9" s="1"/>
  <c r="AA985" i="9"/>
  <c r="AB985" i="9" s="1"/>
  <c r="AA791" i="9"/>
  <c r="AB791" i="9" s="1"/>
  <c r="AA232" i="9"/>
  <c r="AB232" i="9" s="1"/>
  <c r="AA189" i="9"/>
  <c r="AB189" i="9" s="1"/>
  <c r="AA31" i="9"/>
  <c r="AB31" i="9" s="1"/>
  <c r="AA6" i="9"/>
  <c r="AB6" i="9" s="1"/>
  <c r="AA509" i="9"/>
  <c r="AB509" i="9" s="1"/>
  <c r="AA373" i="9"/>
  <c r="AB373" i="9" s="1"/>
  <c r="AA460" i="9"/>
  <c r="AB460" i="9" s="1"/>
  <c r="AA907" i="9"/>
  <c r="AB907" i="9" s="1"/>
  <c r="AA141" i="9"/>
  <c r="AB141" i="9" s="1"/>
  <c r="AA594" i="9"/>
  <c r="AB594" i="9" s="1"/>
  <c r="AA658" i="9"/>
  <c r="AB658" i="9" s="1"/>
  <c r="AA853" i="9"/>
  <c r="AB853" i="9" s="1"/>
  <c r="AA970" i="9"/>
  <c r="AB970" i="9" s="1"/>
  <c r="AA681" i="9"/>
  <c r="AB681" i="9" s="1"/>
  <c r="AA620" i="9"/>
  <c r="AB620" i="9" s="1"/>
  <c r="AA214" i="9"/>
  <c r="AB214" i="9" s="1"/>
  <c r="AA10" i="9"/>
  <c r="AB10" i="9" s="1"/>
  <c r="AA724" i="9"/>
  <c r="AB724" i="9" s="1"/>
  <c r="AA579" i="9"/>
  <c r="AB579" i="9" s="1"/>
  <c r="AA555" i="9"/>
  <c r="AB555" i="9" s="1"/>
  <c r="AA248" i="9"/>
  <c r="AB248" i="9" s="1"/>
  <c r="AA304" i="9"/>
  <c r="AB304" i="9" s="1"/>
  <c r="AA119" i="9"/>
  <c r="AB119" i="9" s="1"/>
  <c r="AA139" i="9"/>
  <c r="AB139" i="9" s="1"/>
  <c r="AA113" i="9"/>
  <c r="AB113" i="9" s="1"/>
  <c r="AA538" i="9"/>
  <c r="AB538" i="9" s="1"/>
  <c r="AA602" i="9"/>
  <c r="AB602" i="9" s="1"/>
  <c r="AA898" i="9"/>
  <c r="AB898" i="9" s="1"/>
  <c r="AA919" i="9"/>
  <c r="AB919" i="9" s="1"/>
  <c r="AA984" i="9"/>
  <c r="AB984" i="9" s="1"/>
  <c r="AA523" i="9"/>
  <c r="AB523" i="9" s="1"/>
  <c r="AA216" i="9"/>
  <c r="AB216" i="9" s="1"/>
  <c r="AA187" i="9"/>
  <c r="AB187" i="9" s="1"/>
  <c r="AA164" i="9"/>
  <c r="AB164" i="9" s="1"/>
  <c r="AA309" i="9"/>
  <c r="AB309" i="9" s="1"/>
  <c r="AA5" i="9"/>
  <c r="AB5" i="9" s="1"/>
  <c r="AA82" i="9"/>
  <c r="AB82" i="9" s="1"/>
  <c r="AA208" i="9"/>
  <c r="AB208" i="9" s="1"/>
  <c r="AA735" i="9"/>
  <c r="AB735" i="9" s="1"/>
  <c r="AA254" i="9"/>
  <c r="AB254" i="9" s="1"/>
  <c r="AA350" i="9"/>
  <c r="AB350" i="9" s="1"/>
  <c r="AA973" i="9"/>
  <c r="AB973" i="9" s="1"/>
  <c r="AA989" i="9"/>
  <c r="AB989" i="9" s="1"/>
  <c r="AA543" i="9"/>
  <c r="AB543" i="9" s="1"/>
  <c r="AA57" i="9"/>
  <c r="AB57" i="9" s="1"/>
  <c r="AA337" i="9"/>
  <c r="AB337" i="9" s="1"/>
  <c r="AA335" i="9"/>
  <c r="AB335" i="9" s="1"/>
  <c r="AA610" i="9"/>
  <c r="AB610" i="9" s="1"/>
  <c r="AA147" i="9"/>
  <c r="AB147" i="9" s="1"/>
  <c r="AA566" i="9"/>
  <c r="AB566" i="9" s="1"/>
  <c r="AA875" i="9"/>
  <c r="AB875" i="9" s="1"/>
  <c r="AA404" i="9"/>
  <c r="AB404" i="9" s="1"/>
  <c r="AA719" i="9"/>
  <c r="AB719" i="9" s="1"/>
  <c r="AA62" i="9"/>
  <c r="AB62" i="9" s="1"/>
  <c r="AA889" i="9"/>
  <c r="AB889" i="9" s="1"/>
  <c r="AA371" i="9"/>
  <c r="AB371" i="9" s="1"/>
  <c r="AA607" i="9"/>
  <c r="AB607" i="9" s="1"/>
  <c r="AA68" i="9"/>
  <c r="AB68" i="9" s="1"/>
  <c r="AA354" i="9"/>
  <c r="AB354" i="9" s="1"/>
  <c r="AA978" i="9"/>
  <c r="AB978" i="9" s="1"/>
  <c r="AA648" i="9"/>
  <c r="AB648" i="9" s="1"/>
  <c r="AA52" i="9"/>
  <c r="AB52" i="9" s="1"/>
  <c r="AA646" i="9"/>
  <c r="AB646" i="9" s="1"/>
  <c r="AA517" i="9"/>
  <c r="AB517" i="9" s="1"/>
  <c r="AA503" i="9"/>
  <c r="AB503" i="9" s="1"/>
  <c r="AA168" i="9"/>
  <c r="AB168" i="9" s="1"/>
  <c r="AA433" i="9"/>
  <c r="AB433" i="9" s="1"/>
  <c r="AA703" i="9"/>
  <c r="AB703" i="9" s="1"/>
  <c r="AA73" i="9"/>
  <c r="AB73" i="9" s="1"/>
  <c r="AA967" i="9"/>
  <c r="AB967" i="9" s="1"/>
  <c r="AA406" i="9"/>
  <c r="AB406" i="9" s="1"/>
  <c r="AA830" i="9"/>
  <c r="AB830" i="9" s="1"/>
  <c r="AA969" i="9"/>
  <c r="AB969" i="9" s="1"/>
  <c r="AA625" i="9"/>
  <c r="AB625" i="9" s="1"/>
  <c r="AA413" i="9"/>
  <c r="AB413" i="9" s="1"/>
  <c r="AA388" i="9"/>
  <c r="AB388" i="9" s="1"/>
  <c r="AA250" i="9"/>
  <c r="AB250" i="9" s="1"/>
  <c r="AA95" i="9"/>
  <c r="AB95" i="9" s="1"/>
  <c r="AA53" i="9"/>
  <c r="AB53" i="9" s="1"/>
  <c r="AA292" i="9"/>
  <c r="AB292" i="9" s="1"/>
  <c r="AA821" i="9"/>
  <c r="AB821" i="9" s="1"/>
  <c r="AA874" i="9"/>
  <c r="AB874" i="9" s="1"/>
  <c r="AA922" i="9"/>
  <c r="AB922" i="9" s="1"/>
  <c r="AA495" i="9"/>
  <c r="AB495" i="9" s="1"/>
  <c r="AA310" i="9"/>
  <c r="AB310" i="9" s="1"/>
  <c r="AA317" i="9"/>
  <c r="AB317" i="9" s="1"/>
  <c r="AA134" i="9"/>
  <c r="AB134" i="9" s="1"/>
  <c r="AA480" i="9"/>
  <c r="AB480" i="9" s="1"/>
  <c r="AA823" i="9"/>
  <c r="AB823" i="9" s="1"/>
  <c r="AA659" i="9"/>
  <c r="AB659" i="9" s="1"/>
  <c r="AA291" i="9"/>
  <c r="AB291" i="9" s="1"/>
  <c r="AA86" i="9"/>
  <c r="AB86" i="9" s="1"/>
  <c r="AA662" i="9"/>
  <c r="AB662" i="9" s="1"/>
  <c r="AA581" i="9"/>
  <c r="AB581" i="9" s="1"/>
  <c r="AA608" i="9"/>
  <c r="AB608" i="9" s="1"/>
  <c r="AA379" i="9"/>
  <c r="AB379" i="9" s="1"/>
  <c r="AA79" i="9"/>
  <c r="AB79" i="9" s="1"/>
  <c r="AA152" i="9"/>
  <c r="AB152" i="9" s="1"/>
  <c r="AA110" i="9"/>
  <c r="AB110" i="9" s="1"/>
  <c r="AA758" i="9"/>
  <c r="AB758" i="9" s="1"/>
  <c r="AA995" i="9"/>
  <c r="AB995" i="9" s="1"/>
  <c r="AA884" i="9"/>
  <c r="AB884" i="9" s="1"/>
  <c r="AA624" i="9"/>
  <c r="AB624" i="9" s="1"/>
  <c r="AA436" i="9"/>
  <c r="AB436" i="9" s="1"/>
  <c r="AA783" i="9"/>
  <c r="AB783" i="9" s="1"/>
  <c r="AA41" i="9"/>
  <c r="AB41" i="9" s="1"/>
  <c r="AA516" i="9"/>
  <c r="AB516" i="9" s="1"/>
  <c r="AA159" i="9"/>
  <c r="AB159" i="9" s="1"/>
  <c r="AA50" i="9"/>
  <c r="AB50" i="9" s="1"/>
  <c r="AA437" i="9"/>
  <c r="AB437" i="9" s="1"/>
  <c r="AA108" i="9"/>
  <c r="AB108" i="9" s="1"/>
  <c r="AA716" i="9"/>
  <c r="AB716" i="9" s="1"/>
  <c r="AA687" i="9"/>
  <c r="AB687" i="9" s="1"/>
  <c r="AA367" i="9"/>
  <c r="AB367" i="9" s="1"/>
  <c r="AA231" i="9"/>
  <c r="AB231" i="9" s="1"/>
  <c r="AA290" i="9"/>
  <c r="AB290" i="9" s="1"/>
  <c r="AA105" i="9"/>
  <c r="AB105" i="9" s="1"/>
  <c r="AA301" i="9"/>
  <c r="AB301" i="9" s="1"/>
  <c r="AA205" i="9"/>
  <c r="AB205" i="9" s="1"/>
  <c r="AA55" i="9"/>
  <c r="AB55" i="9" s="1"/>
  <c r="AA1001" i="9"/>
  <c r="AB1001" i="9" s="1"/>
  <c r="AA170" i="9"/>
  <c r="AB170" i="9" s="1"/>
  <c r="AA2" i="9"/>
  <c r="AB2" i="9" s="1"/>
  <c r="AA891" i="9"/>
  <c r="AB891" i="9" s="1"/>
  <c r="AA991" i="9"/>
  <c r="AB991" i="9" s="1"/>
  <c r="AA569" i="9"/>
  <c r="AB569" i="9" s="1"/>
  <c r="AA332" i="9"/>
  <c r="AB332" i="9" s="1"/>
  <c r="AA67" i="9"/>
  <c r="AB67" i="9" s="1"/>
  <c r="AA112" i="9"/>
  <c r="AB112" i="9" s="1"/>
  <c r="AA217" i="9"/>
  <c r="AB217" i="9" s="1"/>
  <c r="AA424" i="9"/>
  <c r="AB424" i="9" s="1"/>
  <c r="AA897" i="9"/>
  <c r="AB897" i="9" s="1"/>
  <c r="AA127" i="9"/>
  <c r="AB127" i="9" s="1"/>
  <c r="AA421" i="9"/>
  <c r="AB421" i="9" s="1"/>
  <c r="AA827" i="9"/>
  <c r="AB827" i="9" s="1"/>
  <c r="AA583" i="9"/>
  <c r="AB583" i="9" s="1"/>
  <c r="AA35" i="9"/>
  <c r="AB35" i="9" s="1"/>
  <c r="AA179" i="9"/>
  <c r="AB179" i="9" s="1"/>
  <c r="AA844" i="9"/>
  <c r="AB844" i="9" s="1"/>
  <c r="AA811" i="9"/>
  <c r="AB811" i="9" s="1"/>
  <c r="AA345" i="9"/>
  <c r="AB345" i="9" s="1"/>
  <c r="AA666" i="9"/>
  <c r="AB666" i="9" s="1"/>
  <c r="AA936" i="9"/>
  <c r="AB936" i="9" s="1"/>
  <c r="AA952" i="9"/>
  <c r="AB952" i="9" s="1"/>
  <c r="AA968" i="9"/>
  <c r="AB968" i="9" s="1"/>
  <c r="AA1000" i="9"/>
  <c r="AB1000" i="9" s="1"/>
  <c r="AA728" i="9"/>
  <c r="AB728" i="9" s="1"/>
  <c r="AA604" i="9"/>
  <c r="AB604" i="9" s="1"/>
  <c r="AA715" i="9"/>
  <c r="AB715" i="9" s="1"/>
  <c r="AA322" i="9"/>
  <c r="AB322" i="9" s="1"/>
  <c r="AA313" i="9"/>
  <c r="AB313" i="9" s="1"/>
  <c r="AA126" i="9"/>
  <c r="AB126" i="9" s="1"/>
  <c r="AA36" i="9"/>
  <c r="AB36" i="9" s="1"/>
  <c r="AA494" i="9"/>
  <c r="AB494" i="9" s="1"/>
  <c r="AA558" i="9"/>
  <c r="AB558" i="9" s="1"/>
  <c r="AA750" i="9"/>
  <c r="AB750" i="9" s="1"/>
  <c r="AA802" i="9"/>
  <c r="AB802" i="9" s="1"/>
  <c r="AA834" i="9"/>
  <c r="AB834" i="9" s="1"/>
  <c r="AA905" i="9"/>
  <c r="AB905" i="9" s="1"/>
  <c r="AA925" i="9"/>
  <c r="AB925" i="9" s="1"/>
  <c r="AA957" i="9"/>
  <c r="AB957" i="9" s="1"/>
  <c r="AA609" i="9"/>
  <c r="AB609" i="9" s="1"/>
  <c r="AA505" i="9"/>
  <c r="AB505" i="9" s="1"/>
  <c r="AA636" i="9"/>
  <c r="AB636" i="9" s="1"/>
  <c r="AA364" i="9"/>
  <c r="AB364" i="9" s="1"/>
  <c r="AA395" i="9"/>
  <c r="AB395" i="9" s="1"/>
  <c r="AA207" i="9"/>
  <c r="AB207" i="9" s="1"/>
  <c r="AA306" i="9"/>
  <c r="AB306" i="9" s="1"/>
  <c r="AA194" i="9"/>
  <c r="AB194" i="9" s="1"/>
  <c r="AA136" i="9"/>
  <c r="AB136" i="9" s="1"/>
  <c r="AA785" i="9"/>
  <c r="AB785" i="9" s="1"/>
  <c r="AA60" i="9"/>
  <c r="AB60" i="9" s="1"/>
  <c r="AA664" i="9"/>
  <c r="AB664" i="9" s="1"/>
  <c r="AA679" i="9"/>
  <c r="AB679" i="9" s="1"/>
  <c r="AA619" i="9"/>
  <c r="AB619" i="9" s="1"/>
  <c r="AA407" i="9"/>
  <c r="AB407" i="9" s="1"/>
  <c r="AA219" i="9"/>
  <c r="AB219" i="9" s="1"/>
  <c r="AA326" i="9"/>
  <c r="AB326" i="9" s="1"/>
  <c r="AA269" i="9"/>
  <c r="AB269" i="9" s="1"/>
  <c r="AA418" i="9"/>
  <c r="AB418" i="9" s="1"/>
  <c r="AA482" i="9"/>
  <c r="AB482" i="9" s="1"/>
  <c r="AA738" i="9"/>
  <c r="AB738" i="9" s="1"/>
  <c r="AA829" i="9"/>
  <c r="AB829" i="9" s="1"/>
  <c r="AA858" i="9"/>
  <c r="AB858" i="9" s="1"/>
  <c r="AA879" i="9"/>
  <c r="AB879" i="9" s="1"/>
  <c r="AA901" i="9"/>
  <c r="AB901" i="9" s="1"/>
  <c r="AA926" i="9"/>
  <c r="AB926" i="9" s="1"/>
  <c r="AA946" i="9"/>
  <c r="AB946" i="9" s="1"/>
  <c r="AA477" i="9"/>
  <c r="AB477" i="9" s="1"/>
  <c r="AA660" i="9"/>
  <c r="AB660" i="9" s="1"/>
  <c r="AA596" i="9"/>
  <c r="AB596" i="9" s="1"/>
  <c r="AA300" i="9"/>
  <c r="AB300" i="9" s="1"/>
  <c r="AA487" i="9"/>
  <c r="AB487" i="9" s="1"/>
  <c r="AA3" i="9"/>
  <c r="AB3" i="9" s="1"/>
  <c r="AA70" i="9"/>
  <c r="AB70" i="9" s="1"/>
  <c r="AA725" i="9"/>
  <c r="AB725" i="9" s="1"/>
  <c r="AA545" i="9"/>
  <c r="AB545" i="9" s="1"/>
  <c r="AA333" i="9"/>
  <c r="AB333" i="9" s="1"/>
  <c r="AA800" i="9"/>
  <c r="AB800" i="9" s="1"/>
  <c r="AA696" i="9"/>
  <c r="AB696" i="9" s="1"/>
  <c r="AA384" i="9"/>
  <c r="AB384" i="9" s="1"/>
  <c r="AA755" i="9"/>
  <c r="AB755" i="9" s="1"/>
  <c r="AA507" i="9"/>
  <c r="AB507" i="9" s="1"/>
  <c r="AA423" i="9"/>
  <c r="AB423" i="9" s="1"/>
  <c r="AA325" i="9"/>
  <c r="AB325" i="9" s="1"/>
  <c r="AA76" i="9"/>
  <c r="AB76" i="9" s="1"/>
  <c r="AA283" i="9"/>
  <c r="AB283" i="9" s="1"/>
  <c r="AA80" i="9"/>
  <c r="AB80" i="9" s="1"/>
  <c r="AA302" i="9"/>
  <c r="AB302" i="9" s="1"/>
  <c r="AA173" i="9"/>
  <c r="AB173" i="9" s="1"/>
  <c r="AA186" i="9"/>
  <c r="AB186" i="9" s="1"/>
  <c r="AA777" i="9"/>
  <c r="AB777" i="9" s="1"/>
  <c r="AA669" i="9"/>
  <c r="AB669" i="9" s="1"/>
  <c r="AA525" i="9"/>
  <c r="AB525" i="9" s="1"/>
  <c r="AA256" i="9"/>
  <c r="AB256" i="9" s="1"/>
  <c r="AA592" i="9"/>
  <c r="AB592" i="9" s="1"/>
  <c r="AA380" i="9"/>
  <c r="AB380" i="9" s="1"/>
  <c r="AA459" i="9"/>
  <c r="AB459" i="9" s="1"/>
  <c r="AA359" i="9"/>
  <c r="AB359" i="9" s="1"/>
  <c r="AA101" i="9"/>
  <c r="AB101" i="9" s="1"/>
  <c r="AA143" i="9"/>
  <c r="AB143" i="9" s="1"/>
  <c r="AA74" i="9"/>
  <c r="AB74" i="9" s="1"/>
  <c r="AA923" i="9"/>
  <c r="AB923" i="9" s="1"/>
  <c r="AA597" i="9"/>
  <c r="AB597" i="9" s="1"/>
  <c r="AA876" i="9"/>
  <c r="AB876" i="9" s="1"/>
  <c r="AA720" i="9"/>
  <c r="AB720" i="9" s="1"/>
  <c r="AA455" i="9"/>
  <c r="AB455" i="9" s="1"/>
  <c r="AA210" i="9"/>
  <c r="AB210" i="9" s="1"/>
  <c r="AA125" i="9"/>
  <c r="AB125" i="9" s="1"/>
  <c r="AA689" i="9"/>
  <c r="AB689" i="9" s="1"/>
  <c r="AA537" i="9"/>
  <c r="AB537" i="9" s="1"/>
  <c r="AA616" i="9"/>
  <c r="AB616" i="9" s="1"/>
  <c r="AA815" i="9"/>
  <c r="AB815" i="9" s="1"/>
  <c r="AA547" i="9"/>
  <c r="AB547" i="9" s="1"/>
  <c r="AA467" i="9"/>
  <c r="AB467" i="9" s="1"/>
  <c r="AA12" i="9"/>
  <c r="AB12" i="9" s="1"/>
  <c r="AA121" i="9"/>
  <c r="AB121" i="9" s="1"/>
  <c r="AA163" i="9"/>
  <c r="AB163" i="9" s="1"/>
  <c r="AA99" i="9"/>
  <c r="AB99" i="9" s="1"/>
  <c r="AA705" i="9"/>
  <c r="AB705" i="9" s="1"/>
  <c r="AA605" i="9"/>
  <c r="AB605" i="9" s="1"/>
  <c r="AA397" i="9"/>
  <c r="AB397" i="9" s="1"/>
  <c r="AA784" i="9"/>
  <c r="AB784" i="9" s="1"/>
  <c r="AA712" i="9"/>
  <c r="AB712" i="9" s="1"/>
  <c r="AA544" i="9"/>
  <c r="AB544" i="9" s="1"/>
  <c r="AA352" i="9"/>
  <c r="AB352" i="9" s="1"/>
  <c r="AA161" i="9"/>
  <c r="AB161" i="9" s="1"/>
  <c r="AA190" i="9"/>
  <c r="AB190" i="9" s="1"/>
  <c r="AA72" i="9"/>
  <c r="AB72" i="9" s="1"/>
  <c r="AA245" i="9"/>
  <c r="AB245" i="9" s="1"/>
  <c r="AA193" i="9"/>
  <c r="AB193" i="9" s="1"/>
  <c r="AA98" i="9"/>
  <c r="AB98" i="9" s="1"/>
  <c r="AA591" i="9"/>
  <c r="AB591" i="9" s="1"/>
  <c r="AA680" i="9"/>
  <c r="AB680" i="9" s="1"/>
  <c r="AA103" i="9"/>
  <c r="AB103" i="9" s="1"/>
  <c r="AA701" i="9"/>
  <c r="AB701" i="9" s="1"/>
  <c r="AA799" i="9"/>
  <c r="AB799" i="9" s="1"/>
  <c r="AA372" i="9"/>
  <c r="AB372" i="9" s="1"/>
  <c r="AA882" i="9"/>
  <c r="AB882" i="9" s="1"/>
  <c r="AA924" i="9"/>
  <c r="AB924" i="9" s="1"/>
  <c r="AA940" i="9"/>
  <c r="AB940" i="9" s="1"/>
  <c r="AA192" i="9"/>
  <c r="AB192" i="9" s="1"/>
  <c r="AA820" i="9"/>
  <c r="AB820" i="9" s="1"/>
  <c r="AA611" i="9"/>
  <c r="AB611" i="9" s="1"/>
  <c r="AA227" i="9"/>
  <c r="AB227" i="9" s="1"/>
  <c r="AA14" i="9"/>
  <c r="AB14" i="9" s="1"/>
  <c r="AA556" i="9"/>
  <c r="AB556" i="9" s="1"/>
  <c r="AA492" i="9"/>
  <c r="AB492" i="9" s="1"/>
  <c r="AA222" i="9"/>
  <c r="AB222" i="9" s="1"/>
  <c r="AA135" i="9"/>
  <c r="AB135" i="9" s="1"/>
  <c r="AA510" i="9"/>
  <c r="AB510" i="9" s="1"/>
  <c r="AA574" i="9"/>
  <c r="AB574" i="9" s="1"/>
  <c r="AA638" i="9"/>
  <c r="AB638" i="9" s="1"/>
  <c r="AA842" i="9"/>
  <c r="AB842" i="9" s="1"/>
  <c r="AA977" i="9"/>
  <c r="AB977" i="9" s="1"/>
  <c r="AA493" i="9"/>
  <c r="AB493" i="9" s="1"/>
  <c r="AA440" i="9"/>
  <c r="AB440" i="9" s="1"/>
  <c r="AA167" i="9"/>
  <c r="AB167" i="9" s="1"/>
  <c r="AA297" i="9"/>
  <c r="AB297" i="9" s="1"/>
  <c r="AA88" i="9"/>
  <c r="AB88" i="9" s="1"/>
  <c r="AA178" i="9"/>
  <c r="AB178" i="9" s="1"/>
  <c r="AA316" i="9"/>
  <c r="AB316" i="9" s="1"/>
  <c r="AA363" i="9"/>
  <c r="AB363" i="9" s="1"/>
  <c r="AA144" i="9"/>
  <c r="AB144" i="9" s="1"/>
  <c r="AA198" i="9"/>
  <c r="AB198" i="9" s="1"/>
  <c r="AA146" i="9"/>
  <c r="AB146" i="9" s="1"/>
  <c r="AA434" i="9"/>
  <c r="AB434" i="9" s="1"/>
  <c r="AA805" i="9"/>
  <c r="AB805" i="9" s="1"/>
  <c r="AA885" i="9"/>
  <c r="AB885" i="9" s="1"/>
  <c r="AA950" i="9"/>
  <c r="AB950" i="9" s="1"/>
  <c r="AA761" i="9"/>
  <c r="AB761" i="9" s="1"/>
  <c r="AA743" i="9"/>
  <c r="AB743" i="9" s="1"/>
  <c r="AA24" i="9"/>
  <c r="AB24" i="9" s="1"/>
  <c r="AA209" i="9"/>
  <c r="AB209" i="9" s="1"/>
  <c r="AA37" i="9"/>
  <c r="AB37" i="9" s="1"/>
  <c r="AA182" i="9"/>
  <c r="AB182" i="9" s="1"/>
  <c r="AA665" i="9"/>
  <c r="AB665" i="9" s="1"/>
  <c r="AA288" i="9"/>
  <c r="AB288" i="9" s="1"/>
  <c r="AA776" i="9"/>
  <c r="AB776" i="9" s="1"/>
  <c r="AA368" i="9"/>
  <c r="AB368" i="9" s="1"/>
  <c r="AA851" i="9"/>
  <c r="AB851" i="9" s="1"/>
  <c r="AA691" i="9"/>
  <c r="AB691" i="9" s="1"/>
  <c r="AA563" i="9"/>
  <c r="AB563" i="9" s="1"/>
  <c r="AA319" i="9"/>
  <c r="AB319" i="9" s="1"/>
  <c r="AA263" i="9"/>
  <c r="AB263" i="9" s="1"/>
  <c r="AA769" i="9"/>
  <c r="AB769" i="9" s="1"/>
  <c r="AA661" i="9"/>
  <c r="AB661" i="9" s="1"/>
  <c r="AA28" i="9"/>
  <c r="AB28" i="9" s="1"/>
  <c r="AA500" i="9"/>
  <c r="AB500" i="9" s="1"/>
  <c r="AA81" i="9"/>
  <c r="AB81" i="9" s="1"/>
  <c r="AA137" i="9"/>
  <c r="AB137" i="9" s="1"/>
  <c r="AA154" i="9"/>
  <c r="AB154" i="9" s="1"/>
  <c r="AA846" i="9"/>
  <c r="AB846" i="9" s="1"/>
  <c r="AA753" i="9"/>
  <c r="AB753" i="9" s="1"/>
  <c r="AA529" i="9"/>
  <c r="AB529" i="9" s="1"/>
  <c r="AA692" i="9"/>
  <c r="AB692" i="9" s="1"/>
  <c r="AA560" i="9"/>
  <c r="AB560" i="9" s="1"/>
  <c r="AA392" i="9"/>
  <c r="AB392" i="9" s="1"/>
  <c r="AA663" i="9"/>
  <c r="AB663" i="9" s="1"/>
  <c r="AA435" i="9"/>
  <c r="AB435" i="9" s="1"/>
  <c r="AA289" i="9"/>
  <c r="AB289" i="9" s="1"/>
  <c r="AA90" i="9"/>
  <c r="AB90" i="9" s="1"/>
  <c r="AA685" i="9"/>
  <c r="AB685" i="9" s="1"/>
  <c r="AA840" i="9"/>
  <c r="AB840" i="9" s="1"/>
  <c r="AA612" i="9"/>
  <c r="AB612" i="9" s="1"/>
  <c r="AA496" i="9"/>
  <c r="AB496" i="9" s="1"/>
  <c r="AA847" i="9"/>
  <c r="AB847" i="9" s="1"/>
  <c r="AA751" i="9"/>
  <c r="AB751" i="9" s="1"/>
  <c r="AA671" i="9"/>
  <c r="AB671" i="9" s="1"/>
  <c r="AA439" i="9"/>
  <c r="AB439" i="9" s="1"/>
  <c r="AA63" i="9"/>
  <c r="AB63" i="9" s="1"/>
  <c r="AA541" i="9"/>
  <c r="AB541" i="9" s="1"/>
  <c r="AA344" i="9"/>
  <c r="AB344" i="9" s="1"/>
  <c r="AA896" i="9"/>
  <c r="AB896" i="9" s="1"/>
  <c r="AA768" i="9"/>
  <c r="AB768" i="9" s="1"/>
  <c r="AA656" i="9"/>
  <c r="AB656" i="9" s="1"/>
  <c r="AA767" i="9"/>
  <c r="AB767" i="9" s="1"/>
  <c r="AA475" i="9"/>
  <c r="AB475" i="9" s="1"/>
  <c r="AA299" i="9"/>
  <c r="AB299" i="9" s="1"/>
  <c r="AA169" i="9"/>
  <c r="AB169" i="9" s="1"/>
  <c r="AA48" i="9"/>
  <c r="AB48" i="9" s="1"/>
  <c r="AA233" i="9"/>
  <c r="AB233" i="9" s="1"/>
  <c r="AA45" i="9"/>
  <c r="AB45" i="9" s="1"/>
  <c r="AA230" i="9"/>
  <c r="AB230" i="9" s="1"/>
  <c r="AA938" i="9"/>
  <c r="AB938" i="9" s="1"/>
  <c r="AA824" i="9"/>
  <c r="AB824" i="9" s="1"/>
  <c r="AA456" i="9"/>
  <c r="AB456" i="9" s="1"/>
  <c r="AA409" i="9"/>
  <c r="AB409" i="9" s="1"/>
  <c r="AA336" i="9"/>
  <c r="AB336" i="9" s="1"/>
  <c r="AA181" i="9"/>
  <c r="AB181" i="9" s="1"/>
  <c r="AA748" i="9"/>
  <c r="AB748" i="9" s="1"/>
  <c r="AA188" i="9"/>
  <c r="AB188" i="9" s="1"/>
  <c r="AA479" i="9"/>
  <c r="AB479" i="9" s="1"/>
  <c r="AA104" i="9"/>
  <c r="AB104" i="9" s="1"/>
  <c r="AA378" i="9"/>
  <c r="AB378" i="9" s="1"/>
  <c r="AA506" i="9"/>
  <c r="AB506" i="9" s="1"/>
  <c r="AA887" i="9"/>
  <c r="AB887" i="9" s="1"/>
  <c r="AA909" i="9"/>
  <c r="AB909" i="9" s="1"/>
  <c r="AA928" i="9"/>
  <c r="AB928" i="9" s="1"/>
  <c r="AA944" i="9"/>
  <c r="AB944" i="9" s="1"/>
  <c r="AA992" i="9"/>
  <c r="AB992" i="9" s="1"/>
  <c r="AA700" i="9"/>
  <c r="AB700" i="9" s="1"/>
  <c r="AA795" i="9"/>
  <c r="AB795" i="9" s="1"/>
  <c r="AA51" i="9"/>
  <c r="AB51" i="9" s="1"/>
  <c r="AA15" i="9"/>
  <c r="AB15" i="9" s="1"/>
  <c r="AA773" i="9"/>
  <c r="AB773" i="9" s="1"/>
  <c r="AA381" i="9"/>
  <c r="AB381" i="9" s="1"/>
  <c r="AA540" i="9"/>
  <c r="AB540" i="9" s="1"/>
  <c r="AA432" i="9"/>
  <c r="AB432" i="9" s="1"/>
  <c r="AA236" i="9"/>
  <c r="AB236" i="9" s="1"/>
  <c r="AA531" i="9"/>
  <c r="AB531" i="9" s="1"/>
  <c r="AA197" i="9"/>
  <c r="AB197" i="9" s="1"/>
  <c r="AA65" i="9"/>
  <c r="AB65" i="9" s="1"/>
  <c r="AA718" i="9"/>
  <c r="AB718" i="9" s="1"/>
  <c r="AA818" i="9"/>
  <c r="AB818" i="9" s="1"/>
  <c r="AA894" i="9"/>
  <c r="AB894" i="9" s="1"/>
  <c r="AA949" i="9"/>
  <c r="AB949" i="9" s="1"/>
  <c r="AA965" i="9"/>
  <c r="AB965" i="9" s="1"/>
  <c r="AA457" i="9"/>
  <c r="AB457" i="9" s="1"/>
  <c r="AA788" i="9"/>
  <c r="AB788" i="9" s="1"/>
  <c r="AA279" i="9"/>
  <c r="AB279" i="9" s="1"/>
  <c r="AA11" i="9"/>
  <c r="AB11" i="9" s="1"/>
  <c r="AA234" i="9"/>
  <c r="AB234" i="9" s="1"/>
  <c r="AA100" i="9"/>
  <c r="AB100" i="9" s="1"/>
  <c r="AA71" i="9"/>
  <c r="AB71" i="9" s="1"/>
  <c r="AA78" i="9"/>
  <c r="AB78" i="9" s="1"/>
  <c r="AA693" i="9"/>
  <c r="AB693" i="9" s="1"/>
  <c r="AA732" i="9"/>
  <c r="AB732" i="9" s="1"/>
  <c r="AA20" i="9"/>
  <c r="AB20" i="9" s="1"/>
  <c r="AA571" i="9"/>
  <c r="AB571" i="9" s="1"/>
  <c r="AA239" i="9"/>
  <c r="AB239" i="9" s="1"/>
  <c r="AA270" i="9"/>
  <c r="AB270" i="9" s="1"/>
  <c r="AA277" i="9"/>
  <c r="AB277" i="9" s="1"/>
  <c r="AA156" i="9"/>
  <c r="AB156" i="9" s="1"/>
  <c r="AA450" i="9"/>
  <c r="AB450" i="9" s="1"/>
  <c r="AA514" i="9"/>
  <c r="AB514" i="9" s="1"/>
  <c r="AA770" i="9"/>
  <c r="AB770" i="9" s="1"/>
  <c r="AA813" i="9"/>
  <c r="AB813" i="9" s="1"/>
  <c r="AA890" i="9"/>
  <c r="AB890" i="9" s="1"/>
  <c r="AA934" i="9"/>
  <c r="AB934" i="9" s="1"/>
  <c r="AA320" i="9"/>
  <c r="AB320" i="9" s="1"/>
  <c r="AA676" i="9"/>
  <c r="AB676" i="9" s="1"/>
  <c r="AA472" i="9"/>
  <c r="AB472" i="9" s="1"/>
  <c r="AA311" i="9"/>
  <c r="AB311" i="9" s="1"/>
  <c r="AA128" i="9"/>
  <c r="AB128" i="9" s="1"/>
  <c r="AA330" i="9"/>
  <c r="AB330" i="9" s="1"/>
  <c r="AA201" i="9"/>
  <c r="AB201" i="9" s="1"/>
  <c r="AA22" i="9"/>
  <c r="AB22" i="9" s="1"/>
  <c r="AA745" i="9"/>
  <c r="AB745" i="9" s="1"/>
  <c r="AA752" i="9"/>
  <c r="AB752" i="9" s="1"/>
  <c r="AA488" i="9"/>
  <c r="AB488" i="9" s="1"/>
  <c r="AA124" i="9"/>
  <c r="AB124" i="9" s="1"/>
  <c r="AA731" i="9"/>
  <c r="AB731" i="9" s="1"/>
  <c r="AA683" i="9"/>
  <c r="AB683" i="9" s="1"/>
  <c r="AA499" i="9"/>
  <c r="AB499" i="9" s="1"/>
  <c r="AA307" i="9"/>
  <c r="AB307" i="9" s="1"/>
  <c r="AA211" i="9"/>
  <c r="AB211" i="9" s="1"/>
  <c r="AA133" i="9"/>
  <c r="AB133" i="9" s="1"/>
  <c r="AA294" i="9"/>
  <c r="AB294" i="9" s="1"/>
  <c r="AA7" i="9"/>
  <c r="AB7" i="9" s="1"/>
  <c r="AA709" i="9"/>
  <c r="AB709" i="9" s="1"/>
  <c r="AA519" i="9"/>
  <c r="AB519" i="9" s="1"/>
  <c r="AA341" i="9"/>
  <c r="AB341" i="9" s="1"/>
  <c r="AA274" i="9"/>
  <c r="AB274" i="9" s="1"/>
  <c r="AA38" i="9"/>
  <c r="AB38" i="9" s="1"/>
  <c r="AA694" i="9"/>
  <c r="AB694" i="9" s="1"/>
  <c r="AA548" i="9"/>
  <c r="AB548" i="9" s="1"/>
  <c r="AA220" i="9"/>
  <c r="AB220" i="9" s="1"/>
  <c r="AA587" i="9"/>
  <c r="AB587" i="9" s="1"/>
  <c r="AA286" i="9"/>
  <c r="AB286" i="9" s="1"/>
  <c r="AA249" i="9"/>
  <c r="AB249" i="9" s="1"/>
  <c r="AA789" i="9"/>
  <c r="AB789" i="9" s="1"/>
  <c r="AA585" i="9"/>
  <c r="AB585" i="9" s="1"/>
  <c r="AA528" i="9"/>
  <c r="AB528" i="9" s="1"/>
  <c r="AA356" i="9"/>
  <c r="AB356" i="9" s="1"/>
  <c r="AA831" i="9"/>
  <c r="AB831" i="9" s="1"/>
  <c r="AA739" i="9"/>
  <c r="AB739" i="9" s="1"/>
  <c r="AA627" i="9"/>
  <c r="AB627" i="9" s="1"/>
  <c r="AA515" i="9"/>
  <c r="AB515" i="9" s="1"/>
  <c r="AA415" i="9"/>
  <c r="AB415" i="9" s="1"/>
  <c r="AA271" i="9"/>
  <c r="AB271" i="9" s="1"/>
  <c r="AA257" i="9"/>
  <c r="AB257" i="9" s="1"/>
  <c r="AA142" i="9"/>
  <c r="AB142" i="9" s="1"/>
  <c r="AA497" i="9"/>
  <c r="AB497" i="9" s="1"/>
  <c r="AA151" i="9"/>
  <c r="AB151" i="9" s="1"/>
  <c r="AA848" i="9"/>
  <c r="AB848" i="9" s="1"/>
  <c r="AA736" i="9"/>
  <c r="AB736" i="9" s="1"/>
  <c r="AA419" i="9"/>
  <c r="AB419" i="9" s="1"/>
  <c r="AA85" i="9"/>
  <c r="AB85" i="9" s="1"/>
  <c r="AA346" i="9"/>
  <c r="AB346" i="9" s="1"/>
  <c r="AA83" i="9"/>
  <c r="AB83" i="9" s="1"/>
  <c r="Q5" i="15"/>
  <c r="Q9" i="15"/>
  <c r="Q6" i="15"/>
  <c r="Q10" i="15"/>
  <c r="R10" i="15" s="1"/>
  <c r="Q3" i="15"/>
  <c r="Q7" i="15"/>
  <c r="Q11" i="15"/>
  <c r="Q4" i="15"/>
  <c r="Q8" i="15"/>
  <c r="Q2" i="15"/>
  <c r="F3" i="15"/>
  <c r="F8" i="15"/>
  <c r="J11" i="15"/>
  <c r="F2" i="15"/>
  <c r="J4" i="15"/>
  <c r="F4" i="15"/>
  <c r="J5" i="15"/>
  <c r="J3" i="15"/>
  <c r="F7" i="15"/>
  <c r="F6" i="15"/>
  <c r="F11" i="15"/>
  <c r="F9" i="15"/>
  <c r="J10" i="15"/>
  <c r="J7" i="15"/>
  <c r="J8" i="15"/>
  <c r="F10" i="15"/>
  <c r="F5" i="15"/>
  <c r="J2" i="15"/>
  <c r="J9" i="15"/>
  <c r="J6" i="15"/>
  <c r="R6" i="15" l="1"/>
  <c r="R7" i="15"/>
  <c r="R4" i="15"/>
  <c r="R9" i="15"/>
  <c r="R11" i="15"/>
  <c r="R8" i="15"/>
  <c r="R3" i="15"/>
  <c r="R2" i="15"/>
  <c r="R5"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700-000002000000}">
      <text>
        <r>
          <rPr>
            <sz val="10"/>
            <color rgb="FF000000"/>
            <rFont val="Arial"/>
            <family val="2"/>
          </rPr>
          <t>Isi sendiri, bebas karena Brand sendiri</t>
        </r>
      </text>
    </comment>
    <comment ref="E2" authorId="0" shapeId="0" xr:uid="{00000000-0006-0000-0700-000003000000}">
      <text>
        <r>
          <rPr>
            <sz val="10"/>
            <color rgb="FF000000"/>
            <rFont val="Arial"/>
            <family val="2"/>
            <scheme val="minor"/>
          </rPr>
          <t>Isi sendiri, bebas karena Brand sendiri</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<sst xmlns="http://schemas.openxmlformats.org/spreadsheetml/2006/main" count="18334" uniqueCount="291">
  <si>
    <t>Kode diskon</t>
  </si>
  <si>
    <t>Diskon</t>
  </si>
  <si>
    <t>Jenis promo</t>
  </si>
  <si>
    <t>Marketplace</t>
  </si>
  <si>
    <t>Tanggal terjual</t>
  </si>
  <si>
    <t>Lokasi pembeli</t>
  </si>
  <si>
    <t>DISC10</t>
  </si>
  <si>
    <t>Shopee</t>
  </si>
  <si>
    <t>DISC20</t>
  </si>
  <si>
    <t>Promo Lebaran</t>
  </si>
  <si>
    <t>Tokopedia</t>
  </si>
  <si>
    <t>-</t>
  </si>
  <si>
    <t>Bukalapak</t>
  </si>
  <si>
    <t>DISC15</t>
  </si>
  <si>
    <t>BliBli</t>
  </si>
  <si>
    <t>Celana Pendek</t>
  </si>
  <si>
    <t>Flat Shoes</t>
  </si>
  <si>
    <t>Jaket Hoodie</t>
  </si>
  <si>
    <t>Jaket Jeans</t>
  </si>
  <si>
    <t>Kaftan</t>
  </si>
  <si>
    <t>Kaos Polo</t>
  </si>
  <si>
    <t>Sandal Slip On</t>
  </si>
  <si>
    <t>No</t>
  </si>
  <si>
    <t>OrderID</t>
  </si>
  <si>
    <t>Qty A</t>
  </si>
  <si>
    <t>Qty B</t>
  </si>
  <si>
    <t>Qty C</t>
  </si>
  <si>
    <t>Total Qty</t>
  </si>
  <si>
    <t>BELI44</t>
  </si>
  <si>
    <t>Promo 4.4</t>
  </si>
  <si>
    <t>DISCAPRIL</t>
  </si>
  <si>
    <t>LEBAR10</t>
  </si>
  <si>
    <t>BUKALEBAR</t>
  </si>
  <si>
    <t>Kategori</t>
  </si>
  <si>
    <t>Nama Barang</t>
  </si>
  <si>
    <t>Harga Produksi</t>
  </si>
  <si>
    <t>Pakaian Wanita</t>
  </si>
  <si>
    <t>Pakaian Pria</t>
  </si>
  <si>
    <t>Pakaian Unisex</t>
  </si>
  <si>
    <t>Sepatu Pria</t>
  </si>
  <si>
    <t>Sepatu Wanita</t>
  </si>
  <si>
    <t>Guide pengerjaan sheet Main Data dan Final Project</t>
  </si>
  <si>
    <t>Contoh :</t>
  </si>
  <si>
    <t>Platform</t>
  </si>
  <si>
    <t>Jenis Promo</t>
  </si>
  <si>
    <t>Kode Diskon</t>
  </si>
  <si>
    <t>Besar Diskon</t>
  </si>
  <si>
    <t>Keterangan</t>
  </si>
  <si>
    <t>Nomor data</t>
  </si>
  <si>
    <t>ID pesanan</t>
  </si>
  <si>
    <t>Besar diskon (dalam %)</t>
  </si>
  <si>
    <t>Jenis promo dari kode diskon yang digunakan</t>
  </si>
  <si>
    <t>Tanggal dilakukannya pembelian</t>
  </si>
  <si>
    <t>Harga Jual</t>
  </si>
  <si>
    <t>Kode Barang</t>
  </si>
  <si>
    <t>Dress</t>
  </si>
  <si>
    <t>Blouse</t>
  </si>
  <si>
    <t>Sneakers</t>
  </si>
  <si>
    <t>PW001</t>
  </si>
  <si>
    <t>PW002</t>
  </si>
  <si>
    <t>PW003</t>
  </si>
  <si>
    <t>PP001</t>
  </si>
  <si>
    <t>PP002</t>
  </si>
  <si>
    <t>PP003</t>
  </si>
  <si>
    <t>PU001</t>
  </si>
  <si>
    <t>SP001</t>
  </si>
  <si>
    <t>SP002</t>
  </si>
  <si>
    <t>SW001</t>
  </si>
  <si>
    <t>Item A</t>
  </si>
  <si>
    <t>Item B</t>
  </si>
  <si>
    <t>Item C</t>
  </si>
  <si>
    <t>Harga Barang A</t>
  </si>
  <si>
    <t>Harga Barang B</t>
  </si>
  <si>
    <t>Harga Barang C</t>
  </si>
  <si>
    <t>Total Transaksi</t>
  </si>
  <si>
    <t>DI Yogyakarta</t>
  </si>
  <si>
    <t>Jawa Tengah</t>
  </si>
  <si>
    <t>Banten</t>
  </si>
  <si>
    <t>Jawa Barat</t>
  </si>
  <si>
    <t>Jawa Timur</t>
  </si>
  <si>
    <t>Jabodetabek</t>
  </si>
  <si>
    <t>1. Mengisi data pada kolom OrderID dengan format = ORD-(Kode Marketplace)-(No)-(Tanggal Terjual dengan format dd/mm/yy)</t>
  </si>
  <si>
    <t>2. Merapihkan data item, quantity dan rating dari setiap transaksi</t>
  </si>
  <si>
    <t>3. Menghitung total quantity per transaksi dan total nilai transaksi</t>
  </si>
  <si>
    <t>4. Melakukan pemrosesan untuk melengkapi data sebelum melakukan analisa (perhitungan, lookup, dll.)</t>
  </si>
  <si>
    <t>`</t>
  </si>
  <si>
    <t>Provinsi asal pembeli</t>
  </si>
  <si>
    <t>Platform tempat terjualnya barang</t>
  </si>
  <si>
    <t>Kode diskon yang digunakan dalam transaksi</t>
  </si>
  <si>
    <t>Rating A</t>
  </si>
  <si>
    <t>Rating B</t>
  </si>
  <si>
    <t>Rating C</t>
  </si>
  <si>
    <t>Rating barang pembelian ke-1</t>
  </si>
  <si>
    <t>Rating barang pembelian ke-2</t>
  </si>
  <si>
    <t>Rating barang pembelian ke-3</t>
  </si>
  <si>
    <t>Ketentuan kode marketplace:</t>
  </si>
  <si>
    <t>5. Lakukan analisa terkait data transaksi untuk menghasilkan inisght penjualan, contoh:</t>
  </si>
  <si>
    <t>6. Untuk menampilkan insight tersebut, buatlah visualisasi data dalam bentuk Dashboard (minimal 4 chart + 1 slicer dan gunakan Pivot Table)</t>
  </si>
  <si>
    <t>7. Sajikan data dengan baik dan presentasikan tentang bagaimana cara mendapatkan insight dari data penjualan dalam 1 bulan ini dan apa saja yang akan dilakukan anda sebagai Brand Owner</t>
  </si>
  <si>
    <t>8. Anda bebas menambahkan parameter lain di "Main Data" seperti pada file contoh (contoh: Total margin produksi, Total Profit, Jumlah item per Tansaksi, dll.)</t>
  </si>
  <si>
    <t xml:space="preserve">   Tokopedia = TK</t>
  </si>
  <si>
    <t xml:space="preserve">   Shopee = SP</t>
  </si>
  <si>
    <t xml:space="preserve">   BliBli = BB</t>
  </si>
  <si>
    <t xml:space="preserve">   Bukalapak = BL</t>
  </si>
  <si>
    <t>ORD-BB-0001-05/04/23</t>
  </si>
  <si>
    <t>ORD-SP-0978-20/04/23</t>
  </si>
  <si>
    <t>KATALOG MODA by GPT</t>
  </si>
  <si>
    <t>Kode Diskon MODA by GPT Bulan April 2023</t>
  </si>
  <si>
    <t>marketplace</t>
  </si>
  <si>
    <t>kode</t>
  </si>
  <si>
    <t>TK</t>
  </si>
  <si>
    <t>SP</t>
  </si>
  <si>
    <t>BB</t>
  </si>
  <si>
    <t>BL</t>
  </si>
  <si>
    <t>ItemID A</t>
  </si>
  <si>
    <t>ItemID B</t>
  </si>
  <si>
    <t>ItemID C</t>
  </si>
  <si>
    <t>Kategori A</t>
  </si>
  <si>
    <t>Kategori B</t>
  </si>
  <si>
    <t>Kategori C</t>
  </si>
  <si>
    <t>Profit</t>
  </si>
  <si>
    <t>Profit A</t>
  </si>
  <si>
    <t>Profit B</t>
  </si>
  <si>
    <t>Profit C</t>
  </si>
  <si>
    <t>Total Harga</t>
  </si>
  <si>
    <t>Hari terjual</t>
  </si>
  <si>
    <t>Row Labels</t>
  </si>
  <si>
    <t>Grand Total</t>
  </si>
  <si>
    <t>Total Profit</t>
  </si>
  <si>
    <t>Sum of Total Transaksi</t>
  </si>
  <si>
    <t>Tujuan 1: Meningkatkan Performa Penjualan</t>
  </si>
  <si>
    <t>1. Item apa yang memiliki penjualan tertinggi dan terendah?</t>
  </si>
  <si>
    <t>2. Kategori produk apa yang paling diminati?</t>
  </si>
  <si>
    <t>3. Produk apa yang paling banyak terjual?</t>
  </si>
  <si>
    <t>4. Bagaimana performa penjualan di berbagai lokasi pembeli?</t>
  </si>
  <si>
    <t>5. Lokasi dengan penjualan tertinggi &amp; terendah</t>
  </si>
  <si>
    <t>6. Pada hari apa saja penjualan paling tinggi?</t>
  </si>
  <si>
    <t>7. Bagaimana distribusi penjualan berdasarkan tanggal terjual?</t>
  </si>
  <si>
    <t>8. Apakah terdapat tren penjualan pada hari-hari tertentu?</t>
  </si>
  <si>
    <t>9. Apakah ada tren penjualan per minggu?</t>
  </si>
  <si>
    <t>10. Berapa total penjualan dalam bulan ini?</t>
  </si>
  <si>
    <t>Tujuan 2: Memantau Efektivitas Diskon dan Promosi</t>
  </si>
  <si>
    <t>1. Bagaimana pengaruh diskon terhadap jumlah penjualan dan keuntungan?</t>
  </si>
  <si>
    <t>2. Bagaimana promo mempengaruhi penjualan dan keuntungan?</t>
  </si>
  <si>
    <t>3. Diskon mana yang paling efektif memberikan peningkatan penjualan?</t>
  </si>
  <si>
    <t>4. Bagaimana performa promo di tiap marketplace?</t>
  </si>
  <si>
    <t>5. Jenis promo apa yang paling efektif dalam meningkatkan penjualan?</t>
  </si>
  <si>
    <t>6. Berapa nilai diskon rata-rata per transaksi?</t>
  </si>
  <si>
    <t>7. Jenis diskon apa yang paling sering digunakan?</t>
  </si>
  <si>
    <t>8. Berapa total nilai diskon yang diberikan?</t>
  </si>
  <si>
    <t>9. Berapa persentase total penjualan yang didiskon?</t>
  </si>
  <si>
    <t>10. Apakah terdapat tren penggunaan diskon di hari atau tanggal tertentu?</t>
  </si>
  <si>
    <t>Tujuan 3: Mengetahui Kepuasan Pelanggan Berdasarkan Rating</t>
  </si>
  <si>
    <t>1. Bagaimana rating mempengaruhi penjualan dan keuntungan?</t>
  </si>
  <si>
    <t>2. Item mana yang memiliki rating tertinggi dan terendah?</t>
  </si>
  <si>
    <t>3. Berapa nilai rata-rata pembelanjaan per pelanggan?</t>
  </si>
  <si>
    <t>4. Bagaimana rating produk secara keseluruhan?</t>
  </si>
  <si>
    <t>5. Apakah ada perbedaan signifikan dalam rating produk di berbagai marketplace?</t>
  </si>
  <si>
    <t>6. Banyaknya rating yang diberikan per item</t>
  </si>
  <si>
    <t>1. Bagaimana performa berbagai marketplace dalam penjualan dan keuntungan?</t>
  </si>
  <si>
    <t>2. Produk apa yang paling banyak dan paling sedikit dibeli di tiap marketplace?</t>
  </si>
  <si>
    <t>3. Revenue yang diperoleh tiap marketplace</t>
  </si>
  <si>
    <t>4. Revenue dari setiap lokasi pembelian</t>
  </si>
  <si>
    <t>5. Revenue penjualan setiap hari</t>
  </si>
  <si>
    <t>6. Revenue dari item yang terjual</t>
  </si>
  <si>
    <t>7. Produk apa yang paling menguntungkan?</t>
  </si>
  <si>
    <t>8. Kategori produk apa yang paling menguntungkan?</t>
  </si>
  <si>
    <t>9. Bagaimana margin keuntungan rata-rata per produk?</t>
  </si>
  <si>
    <t>10. Berapa rata-rata item per order?</t>
  </si>
  <si>
    <t>11. Bagaimana distribusi total transaksi per order?</t>
  </si>
  <si>
    <t>12. Berapa rata-rata profit per order?</t>
  </si>
  <si>
    <t>13. Trend penjualan mingguan</t>
  </si>
  <si>
    <t>Pertanyaan Lain</t>
  </si>
  <si>
    <t>kategori</t>
  </si>
  <si>
    <t>Item</t>
  </si>
  <si>
    <t>Rating</t>
  </si>
  <si>
    <t>Qty</t>
  </si>
  <si>
    <t>Harga A</t>
  </si>
  <si>
    <t>Harga B</t>
  </si>
  <si>
    <t>Harga</t>
  </si>
  <si>
    <t>Harga C</t>
  </si>
  <si>
    <t>Porfit B</t>
  </si>
  <si>
    <t>Profit non Diskon</t>
  </si>
  <si>
    <t>Sum of Qty</t>
  </si>
  <si>
    <t>Minggu Terjual</t>
  </si>
  <si>
    <t>Harga Asli A</t>
  </si>
  <si>
    <t>Harga Asli B</t>
  </si>
  <si>
    <t>Harga Asli C</t>
  </si>
  <si>
    <t>Provit B + Diskon</t>
  </si>
  <si>
    <t>Provit C + Diskon</t>
  </si>
  <si>
    <t>Harga + Diskon B</t>
  </si>
  <si>
    <t>Harga + Diskon C</t>
  </si>
  <si>
    <t>Total Provit + Diskon</t>
  </si>
  <si>
    <t>Harga A + Diskon</t>
  </si>
  <si>
    <t>Provit A + Diskon</t>
  </si>
  <si>
    <t>Total Penjualan (setelah Disc)</t>
  </si>
  <si>
    <t>Total Nett Profit</t>
  </si>
  <si>
    <t>No. of Customer</t>
  </si>
  <si>
    <t>Tanggal</t>
  </si>
  <si>
    <t>Count of OrderID</t>
  </si>
  <si>
    <t>Transaksi</t>
  </si>
  <si>
    <t>Kota</t>
  </si>
  <si>
    <t>Total Order</t>
  </si>
  <si>
    <t>Quantity</t>
  </si>
  <si>
    <t>delete kolom TableBaru![Transaksi A Sebelum Diskon]</t>
  </si>
  <si>
    <t>item (2)</t>
  </si>
  <si>
    <t>Data 2</t>
  </si>
  <si>
    <t>Tanggal Terjual2</t>
  </si>
  <si>
    <t>tambah hari terjual</t>
  </si>
  <si>
    <t>tambah minggu terjual</t>
  </si>
  <si>
    <t>sheet</t>
  </si>
  <si>
    <t>No.</t>
  </si>
  <si>
    <t>SUMIFS('Data 2'!R:R,'Data 2'!E:E,[@Item])</t>
  </si>
  <si>
    <t>SUMIFS(cadangan[Harga B + Diskon],cadangan[Item B],[@Item])</t>
  </si>
  <si>
    <t>tambah sheet pivot (untuk membagi pivot berdasarkan sumber datanya)</t>
  </si>
  <si>
    <t>SUMIFS(cadangan[Harga C + Diskon],cadangan[Item A],[@Item])</t>
  </si>
  <si>
    <t>SUMIFS(cadangan[Harga C + Diskon],cadangan[Item C],[@Item])</t>
  </si>
  <si>
    <t>sama untuk kolom profit &amp; rating</t>
  </si>
  <si>
    <t>Total Biaya Porduksi</t>
  </si>
  <si>
    <t>tambah kolom total biaya produksi</t>
  </si>
  <si>
    <t>Item (2)</t>
  </si>
  <si>
    <t>Harga Normal A</t>
  </si>
  <si>
    <t>Harga Diskon A</t>
  </si>
  <si>
    <t>Profit Normal A</t>
  </si>
  <si>
    <t>Profit Diskon A</t>
  </si>
  <si>
    <t>Harga Normal B</t>
  </si>
  <si>
    <t>Harga Diskon B</t>
  </si>
  <si>
    <t>Profit Normal B</t>
  </si>
  <si>
    <t>Profit Diskon B</t>
  </si>
  <si>
    <t>Harga Diskon C</t>
  </si>
  <si>
    <t>Harga Normal C</t>
  </si>
  <si>
    <t>Profit Normal C</t>
  </si>
  <si>
    <t>Profit Diskon C</t>
  </si>
  <si>
    <t>Total Harga Normal</t>
  </si>
  <si>
    <t>Total Profit Diskon</t>
  </si>
  <si>
    <t>Ganti Nama Kolom</t>
  </si>
  <si>
    <t>Guide</t>
  </si>
  <si>
    <t>Kategori pembelian ke-1</t>
  </si>
  <si>
    <t>Nama item pembelian ke-1</t>
  </si>
  <si>
    <t>Harga item sebelum diskon pembelian ke-1</t>
  </si>
  <si>
    <t>Profit item sebelum diskon pembelian ke-1</t>
  </si>
  <si>
    <t>Harga item setelah diskon pembelian ke-1</t>
  </si>
  <si>
    <t>Quantity item pembelian ke-1</t>
  </si>
  <si>
    <t>Kode item pembelian ke-1</t>
  </si>
  <si>
    <t>Profit item setelah diskon pembelian ke-1</t>
  </si>
  <si>
    <t>Kode item pembelian ke-2</t>
  </si>
  <si>
    <t>Nama item pembelian ke-2</t>
  </si>
  <si>
    <t>Kategori pembelian ke-2</t>
  </si>
  <si>
    <t>Quantity item pembelian ke-2</t>
  </si>
  <si>
    <t>Harga item sebelum diskon pembelian ke-2</t>
  </si>
  <si>
    <t>Harga item setelah diskon pembelian ke-2</t>
  </si>
  <si>
    <t>Profit item sebelum diskon pembelian ke-2</t>
  </si>
  <si>
    <t>Profit item setelah diskon pembelian ke-2</t>
  </si>
  <si>
    <t>Kode item pembelian ke-3</t>
  </si>
  <si>
    <t>Kategori pembelian ke-3</t>
  </si>
  <si>
    <t>Nama item pembelian ke-3</t>
  </si>
  <si>
    <t>Quantity item pembelian ke-3</t>
  </si>
  <si>
    <t>Harga item sebelum diskon pembelian ke-3</t>
  </si>
  <si>
    <t>Harga item setelah diskon pembelian ke-3</t>
  </si>
  <si>
    <t>Profit item sebelum diskon pembelian ke-3</t>
  </si>
  <si>
    <t>Profit item setelah diskon pembelian ke-3</t>
  </si>
  <si>
    <t>Jumlah item yang dibeli</t>
  </si>
  <si>
    <t>Total harga sebelum diskon</t>
  </si>
  <si>
    <t>Total harga setelah diskon/Harga yang dibayar oleh pembeli</t>
  </si>
  <si>
    <t>Profit sebelum diskon</t>
  </si>
  <si>
    <t>Profit setelah diskon</t>
  </si>
  <si>
    <t>extract tanggal dari tanggal terjual</t>
  </si>
  <si>
    <t>Hari item terjual (Monday-Sunday)</t>
  </si>
  <si>
    <t>minggu ke berapa item terjual</t>
  </si>
  <si>
    <t>Transaksi A (Diskon)</t>
  </si>
  <si>
    <t>Profit A (Diskon)</t>
  </si>
  <si>
    <t>Transaksi B (Diskon)</t>
  </si>
  <si>
    <t>Profit B (Diskon)</t>
  </si>
  <si>
    <t>Transaksi C (Diskon)</t>
  </si>
  <si>
    <t>Profit C (Diskon)</t>
  </si>
  <si>
    <t>mengubah rumus profiy diskon ABC</t>
  </si>
  <si>
    <t>Total Penjualan (sebelum Disc)</t>
  </si>
  <si>
    <t>Sum of Total Qty</t>
  </si>
  <si>
    <t>Average of Rating</t>
  </si>
  <si>
    <t>Total Profit Normal</t>
  </si>
  <si>
    <t>Column Labels</t>
  </si>
  <si>
    <t>melengkapi keterangan</t>
  </si>
  <si>
    <t>Minggu ke-1</t>
  </si>
  <si>
    <t>Minggu ke-2</t>
  </si>
  <si>
    <t>Minggu ke-3</t>
  </si>
  <si>
    <t>Count of Total Qty</t>
  </si>
  <si>
    <t>Count of Qty A</t>
  </si>
  <si>
    <t>Count of Qty B</t>
  </si>
  <si>
    <t>Count of Qty C</t>
  </si>
  <si>
    <t>Minggu ke-4</t>
  </si>
  <si>
    <t>Tidak 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</si>
</sst>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quot;Rp&quot;* #,##0.00_-;\-&quot;Rp&quot;* #,##0.00_-;_-&quot;Rp&quot;* &quot;-&quot;??_-;_-@_-"/>
    <numFmt numFmtId="165" formatCode="_(&quot;Rp&quot;* #,##0.00_);_(&quot;Rp&quot;* \(#,##0.00\);_(&quot;Rp&quot;* &quot;-&quot;??_);_(@_)"/>
    <numFmt numFmtId="166" formatCode="[$Rp]#,##0"/>
    <numFmt numFmtId="167" formatCode="_(\R\p* #,##0_);_(\R\p* \(#,##0\);_(\R\p* &quot;-&quot;_);_(@_)"/>
    <numFmt numFmtId="168" formatCode="_(\R\p* #,##0.00_);_(\R\p* \(#,##0.00\);_(\R\p* &quot;-&quot;_);_(@_)"/>
    <numFmt numFmtId="169" formatCode="_-&quot;Rp&quot;* #,##0_-;\-&quot;Rp&quot;* #,##0_-;_-&quot;Rp&quot;* &quot;-&quot;??_-;_-@_-"/>
    <numFmt numFmtId="170" formatCode="#,###,&quot;Jt&quot;"/>
    <numFmt numFmtId="171" formatCode="_(\R\p* #,##0_);_(\R\p* \(#,##0\);_(\R\p* &quot;0&quot;_);_(@_)"/>
  </numFmts>
  <fonts count="14" x14ac:knownFonts="1">
    <font>
      <sz val="10"/>
      <color rgb="FF000000"/>
      <name val="Arial"/>
      <scheme val="minor"/>
    </font>
    <font>
      <sz val="10"/>
      <color theme="1"/>
      <name val="Arial"/>
      <family val="2"/>
      <scheme val="minor"/>
    </font>
    <font>
      <b/>
      <sz val="10"/>
      <color rgb="FF000000"/>
      <name val="Arial"/>
      <family val="2"/>
    </font>
    <font>
      <sz val="10"/>
      <color theme="1"/>
      <name val="Arial"/>
      <family val="2"/>
    </font>
    <font>
      <sz val="10"/>
      <color rgb="FF000000"/>
      <name val="Arial"/>
      <family val="2"/>
    </font>
    <font>
      <sz val="10"/>
      <color rgb="FF000000"/>
      <name val="Arial"/>
      <family val="2"/>
      <scheme val="minor"/>
    </font>
    <font>
      <b/>
      <sz val="11"/>
      <color theme="1"/>
      <name val="Arial"/>
      <family val="2"/>
      <scheme val="minor"/>
    </font>
    <font>
      <b/>
      <sz val="11"/>
      <color rgb="FF000000"/>
      <name val="Arial"/>
      <family val="2"/>
      <scheme val="minor"/>
    </font>
    <font>
      <sz val="10"/>
      <color rgb="FF000000"/>
      <name val="Arial"/>
      <family val="2"/>
      <scheme val="minor"/>
    </font>
    <font>
      <b/>
      <sz val="13.5"/>
      <color rgb="FF000000"/>
      <name val="Arial"/>
      <family val="2"/>
      <scheme val="minor"/>
    </font>
    <font>
      <sz val="10"/>
      <color rgb="FF000000"/>
      <name val="Arial"/>
      <scheme val="minor"/>
    </font>
    <font>
      <sz val="8"/>
      <name val="Arial"/>
      <scheme val="minor"/>
    </font>
    <font>
      <sz val="10"/>
      <color rgb="FFFF0000"/>
      <name val="Arial"/>
      <family val="2"/>
      <scheme val="minor"/>
    </font>
    <font>
      <b/>
      <sz val="10"/>
      <color rgb="FF000000"/>
      <name val="Montserrat"/>
    </font>
  </fonts>
  <fills count="8">
    <fill>
      <patternFill patternType="none"/>
    </fill>
    <fill>
      <patternFill patternType="gray125"/>
    </fill>
    <fill>
      <patternFill patternType="solid">
        <fgColor rgb="FFFFE599"/>
        <bgColor rgb="FFFFE599"/>
      </patternFill>
    </fill>
    <fill>
      <patternFill patternType="solid">
        <fgColor rgb="FFCCCCCC"/>
        <bgColor rgb="FFCCCCCC"/>
      </patternFill>
    </fill>
    <fill>
      <patternFill patternType="solid">
        <fgColor theme="6" tint="0.79998168889431442"/>
        <bgColor indexed="64"/>
      </patternFill>
    </fill>
    <fill>
      <patternFill patternType="solid">
        <fgColor rgb="FF92D050"/>
        <bgColor indexed="64"/>
      </patternFill>
    </fill>
    <fill>
      <patternFill patternType="solid">
        <fgColor theme="6" tint="0.59999389629810485"/>
        <bgColor indexed="64"/>
      </patternFill>
    </fill>
    <fill>
      <patternFill patternType="solid">
        <fgColor rgb="FF1E2D31"/>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
      <left style="thick">
        <color auto="1"/>
      </left>
      <right style="thin">
        <color auto="1"/>
      </right>
      <top style="thick">
        <color auto="1"/>
      </top>
      <bottom style="medium">
        <color indexed="64"/>
      </bottom>
      <diagonal/>
    </border>
    <border>
      <left style="thin">
        <color auto="1"/>
      </left>
      <right style="thick">
        <color auto="1"/>
      </right>
      <top style="thick">
        <color auto="1"/>
      </top>
      <bottom style="medium">
        <color indexed="64"/>
      </bottom>
      <diagonal/>
    </border>
  </borders>
  <cellStyleXfs count="3">
    <xf numFmtId="0" fontId="0" fillId="0" borderId="0"/>
    <xf numFmtId="9" fontId="8" fillId="0" borderId="0" applyFont="0" applyFill="0" applyBorder="0" applyAlignment="0" applyProtection="0"/>
    <xf numFmtId="164" fontId="10" fillId="0" borderId="0" applyFont="0" applyFill="0" applyBorder="0" applyAlignment="0" applyProtection="0"/>
  </cellStyleXfs>
  <cellXfs count="75">
    <xf numFmtId="0" fontId="0" fillId="0" borderId="0" xfId="0"/>
    <xf numFmtId="0" fontId="1" fillId="0" borderId="0" xfId="0" applyFont="1"/>
    <xf numFmtId="0" fontId="1" fillId="3" borderId="0" xfId="0" applyFont="1" applyFill="1"/>
    <xf numFmtId="165" fontId="1" fillId="3" borderId="0" xfId="0" applyNumberFormat="1" applyFont="1" applyFill="1"/>
    <xf numFmtId="165" fontId="1" fillId="2" borderId="0" xfId="0" applyNumberFormat="1" applyFont="1" applyFill="1"/>
    <xf numFmtId="0" fontId="1" fillId="3" borderId="1" xfId="0" applyFont="1" applyFill="1" applyBorder="1" applyAlignment="1">
      <alignment horizontal="center"/>
    </xf>
    <xf numFmtId="9" fontId="1" fillId="3" borderId="1" xfId="0" applyNumberFormat="1" applyFont="1" applyFill="1" applyBorder="1" applyAlignment="1">
      <alignment horizontal="center"/>
    </xf>
    <xf numFmtId="0" fontId="1" fillId="0" borderId="1" xfId="0" applyFont="1" applyBorder="1"/>
    <xf numFmtId="9" fontId="1" fillId="0" borderId="1" xfId="0" applyNumberFormat="1" applyFont="1" applyBorder="1"/>
    <xf numFmtId="0" fontId="5" fillId="0" borderId="0" xfId="0" applyFont="1"/>
    <xf numFmtId="0" fontId="6" fillId="0" borderId="0" xfId="0" applyFont="1"/>
    <xf numFmtId="0" fontId="7" fillId="0" borderId="0" xfId="0" applyFont="1"/>
    <xf numFmtId="14" fontId="0" fillId="0" borderId="0" xfId="0" applyNumberFormat="1"/>
    <xf numFmtId="9" fontId="0" fillId="0" borderId="0" xfId="1" applyFont="1"/>
    <xf numFmtId="167" fontId="0" fillId="0" borderId="0" xfId="0" applyNumberFormat="1"/>
    <xf numFmtId="0" fontId="2" fillId="0" borderId="0" xfId="0" applyFont="1" applyAlignment="1">
      <alignment horizontal="center" vertical="center"/>
    </xf>
    <xf numFmtId="167" fontId="2" fillId="0" borderId="0" xfId="0" applyNumberFormat="1" applyFont="1" applyAlignment="1">
      <alignment horizontal="center" vertical="center"/>
    </xf>
    <xf numFmtId="166" fontId="2" fillId="0" borderId="0" xfId="0" applyNumberFormat="1" applyFont="1" applyAlignment="1">
      <alignment horizontal="center" vertical="center"/>
    </xf>
    <xf numFmtId="9" fontId="2" fillId="0" borderId="0" xfId="1" applyFont="1" applyFill="1" applyBorder="1" applyAlignment="1">
      <alignment horizontal="center" vertical="center"/>
    </xf>
    <xf numFmtId="14" fontId="2" fillId="0" borderId="0" xfId="0" applyNumberFormat="1" applyFont="1" applyAlignment="1">
      <alignment horizontal="center" vertical="center"/>
    </xf>
    <xf numFmtId="1" fontId="3" fillId="0" borderId="0" xfId="0" applyNumberFormat="1" applyFont="1" applyAlignment="1">
      <alignment horizontal="right"/>
    </xf>
    <xf numFmtId="0" fontId="3" fillId="0" borderId="0" xfId="0" applyFont="1" applyAlignment="1">
      <alignment horizontal="left"/>
    </xf>
    <xf numFmtId="167" fontId="3" fillId="0" borderId="0" xfId="0" applyNumberFormat="1" applyFont="1" applyAlignment="1">
      <alignment horizontal="left"/>
    </xf>
    <xf numFmtId="166" fontId="3" fillId="0" borderId="0" xfId="0" applyNumberFormat="1" applyFont="1" applyAlignment="1">
      <alignment horizontal="left"/>
    </xf>
    <xf numFmtId="14" fontId="3" fillId="0" borderId="0" xfId="0" applyNumberFormat="1" applyFont="1" applyAlignment="1">
      <alignment horizontal="left"/>
    </xf>
    <xf numFmtId="0" fontId="1" fillId="0" borderId="2" xfId="0" applyFont="1" applyBorder="1"/>
    <xf numFmtId="0" fontId="5" fillId="0" borderId="3" xfId="0" applyFont="1" applyBorder="1"/>
    <xf numFmtId="0" fontId="1" fillId="0" borderId="4" xfId="0" applyFont="1" applyBorder="1"/>
    <xf numFmtId="0" fontId="5" fillId="0" borderId="5" xfId="0" applyFont="1" applyBorder="1"/>
    <xf numFmtId="0" fontId="1" fillId="0" borderId="6" xfId="0" applyFont="1" applyBorder="1"/>
    <xf numFmtId="0" fontId="5" fillId="0" borderId="7" xfId="0" applyFont="1" applyBorder="1"/>
    <xf numFmtId="0" fontId="5" fillId="4" borderId="8" xfId="0" applyFont="1" applyFill="1" applyBorder="1"/>
    <xf numFmtId="0" fontId="5" fillId="4" borderId="9" xfId="0" applyFont="1" applyFill="1" applyBorder="1"/>
    <xf numFmtId="0" fontId="1" fillId="5" borderId="0" xfId="0" applyFont="1" applyFill="1"/>
    <xf numFmtId="168" fontId="1" fillId="6" borderId="0" xfId="0" applyNumberFormat="1" applyFont="1" applyFill="1"/>
    <xf numFmtId="165" fontId="3" fillId="0" borderId="0" xfId="0" applyNumberFormat="1" applyFont="1" applyAlignment="1">
      <alignment horizontal="left"/>
    </xf>
    <xf numFmtId="167" fontId="3" fillId="0" borderId="0" xfId="0" applyNumberFormat="1" applyFont="1" applyAlignment="1">
      <alignment horizontal="right"/>
    </xf>
    <xf numFmtId="9" fontId="3" fillId="0" borderId="0" xfId="1" applyFont="1" applyFill="1" applyBorder="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9" fillId="0" borderId="0" xfId="0" applyFont="1" applyAlignment="1">
      <alignment vertical="center"/>
    </xf>
    <xf numFmtId="0" fontId="0" fillId="0" borderId="0" xfId="0" applyAlignment="1">
      <alignment horizontal="left" vertical="center" indent="1"/>
    </xf>
    <xf numFmtId="0" fontId="5" fillId="0" borderId="0" xfId="0" applyFont="1" applyAlignment="1">
      <alignment horizontal="left" vertical="center" indent="1"/>
    </xf>
    <xf numFmtId="2" fontId="0" fillId="0" borderId="0" xfId="0" applyNumberFormat="1"/>
    <xf numFmtId="169" fontId="0" fillId="0" borderId="0" xfId="2" applyNumberFormat="1" applyFont="1"/>
    <xf numFmtId="2" fontId="0" fillId="0" borderId="0" xfId="2" applyNumberFormat="1" applyFont="1"/>
    <xf numFmtId="169" fontId="0" fillId="0" borderId="0" xfId="0" applyNumberFormat="1"/>
    <xf numFmtId="1" fontId="0" fillId="0" borderId="0" xfId="0" applyNumberFormat="1"/>
    <xf numFmtId="0" fontId="2" fillId="0" borderId="0" xfId="0" applyFont="1" applyAlignment="1">
      <alignment horizontal="center"/>
    </xf>
    <xf numFmtId="0" fontId="0" fillId="0" borderId="0" xfId="0" applyAlignment="1">
      <alignment horizontal="right"/>
    </xf>
    <xf numFmtId="0" fontId="5" fillId="0" borderId="0" xfId="0" applyFont="1" applyAlignment="1">
      <alignment horizontal="right"/>
    </xf>
    <xf numFmtId="0" fontId="5" fillId="0" borderId="0" xfId="0" applyFont="1" applyAlignment="1">
      <alignment horizontal="left"/>
    </xf>
    <xf numFmtId="0" fontId="3" fillId="0" borderId="0" xfId="0" applyFont="1" applyAlignment="1">
      <alignment horizontal="right"/>
    </xf>
    <xf numFmtId="9" fontId="0" fillId="0" borderId="0" xfId="1" applyFont="1" applyAlignment="1">
      <alignment horizontal="right"/>
    </xf>
    <xf numFmtId="14" fontId="3" fillId="0" borderId="0" xfId="0" applyNumberFormat="1" applyFont="1" applyAlignment="1">
      <alignment horizontal="right"/>
    </xf>
    <xf numFmtId="14" fontId="0" fillId="0" borderId="0" xfId="0" applyNumberFormat="1" applyAlignment="1">
      <alignment horizontal="right"/>
    </xf>
    <xf numFmtId="166" fontId="2" fillId="0" borderId="0" xfId="0" applyNumberFormat="1" applyFont="1" applyAlignment="1">
      <alignment horizontal="center"/>
    </xf>
    <xf numFmtId="9" fontId="2" fillId="0" borderId="0" xfId="1" applyFont="1" applyFill="1" applyBorder="1" applyAlignment="1">
      <alignment horizontal="center"/>
    </xf>
    <xf numFmtId="14" fontId="2" fillId="0" borderId="0" xfId="0" applyNumberFormat="1" applyFont="1" applyAlignment="1">
      <alignment horizontal="center"/>
    </xf>
    <xf numFmtId="0" fontId="5" fillId="0" borderId="0" xfId="0" applyFont="1" applyAlignment="1">
      <alignment horizontal="center"/>
    </xf>
    <xf numFmtId="2" fontId="3" fillId="0" borderId="0" xfId="0" applyNumberFormat="1" applyFont="1" applyAlignment="1">
      <alignment horizontal="left"/>
    </xf>
    <xf numFmtId="169" fontId="13" fillId="0" borderId="0" xfId="0" applyNumberFormat="1" applyFont="1"/>
    <xf numFmtId="2" fontId="13" fillId="0" borderId="0" xfId="0" applyNumberFormat="1" applyFont="1"/>
    <xf numFmtId="1" fontId="13" fillId="0" borderId="0" xfId="0" applyNumberFormat="1" applyFont="1"/>
    <xf numFmtId="0" fontId="12" fillId="7" borderId="0" xfId="0" applyFont="1" applyFill="1"/>
    <xf numFmtId="170" fontId="0" fillId="0" borderId="0" xfId="0" applyNumberFormat="1"/>
    <xf numFmtId="0" fontId="0" fillId="0" borderId="0" xfId="0"/>
    <xf numFmtId="0" fontId="0" fillId="0" borderId="0" xfId="0" applyNumberFormat="1"/>
    <xf numFmtId="0" fontId="13" fillId="0" borderId="0" xfId="0" applyNumberFormat="1" applyFont="1"/>
    <xf numFmtId="0" fontId="1" fillId="2" borderId="0" xfId="0" applyFont="1" applyFill="1" applyAlignment="1">
      <alignment horizontal="center"/>
    </xf>
    <xf numFmtId="0" fontId="0" fillId="0" borderId="0" xfId="0"/>
    <xf numFmtId="171" fontId="2" fillId="0" borderId="0" xfId="0" applyNumberFormat="1" applyFont="1" applyAlignment="1">
      <alignment horizontal="center"/>
    </xf>
    <xf numFmtId="171" fontId="3" fillId="0" borderId="0" xfId="0" applyNumberFormat="1" applyFont="1" applyAlignment="1">
      <alignment horizontal="left"/>
    </xf>
    <xf numFmtId="171" fontId="0" fillId="0" borderId="0" xfId="0" applyNumberFormat="1" applyAlignment="1">
      <alignment horizontal="left"/>
    </xf>
  </cellXfs>
  <cellStyles count="3">
    <cellStyle name="Currency" xfId="2" builtinId="4"/>
    <cellStyle name="Normal" xfId="0" builtinId="0"/>
    <cellStyle name="Percent" xfId="1" builtinId="5"/>
  </cellStyles>
  <dxfs count="630">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font>
        <name val="Montserrat"/>
        <scheme val="none"/>
      </font>
    </dxf>
    <dxf>
      <font>
        <b/>
      </font>
    </dxf>
    <dxf>
      <numFmt numFmtId="1" formatCode="0"/>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0" formatCode="General"/>
    </dxf>
    <dxf>
      <numFmt numFmtId="0" formatCode="General"/>
    </dxf>
    <dxf>
      <numFmt numFmtId="169" formatCode="_-&quot;Rp&quot;* #,##0_-;\-&quot;Rp&quot;* #,##0_-;_-&quot;Rp&quot;* &quot;-&quot;??_-;_-@_-"/>
    </dxf>
    <dxf>
      <numFmt numFmtId="170" formatCode="#,###,&quot;Jt&quot;"/>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2" formatCode="0.00"/>
    </dxf>
    <dxf>
      <font>
        <name val="Montserrat"/>
        <scheme val="none"/>
      </font>
    </dxf>
    <dxf>
      <font>
        <b/>
      </font>
    </dxf>
    <dxf>
      <numFmt numFmtId="1" formatCode="0"/>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0" formatCode="General"/>
    </dxf>
    <dxf>
      <numFmt numFmtId="0" formatCode="General"/>
    </dxf>
    <dxf>
      <numFmt numFmtId="169" formatCode="_-&quot;Rp&quot;* #,##0_-;\-&quot;Rp&quot;* #,##0_-;_-&quot;Rp&quot;* &quot;-&quot;??_-;_-@_-"/>
    </dxf>
    <dxf>
      <numFmt numFmtId="170" formatCode="#,###,&quot;Jt&quot;"/>
    </dxf>
    <dxf>
      <numFmt numFmtId="2" formatCode="0.00"/>
    </dxf>
    <dxf>
      <font>
        <name val="Montserrat"/>
        <scheme val="none"/>
      </font>
    </dxf>
    <dxf>
      <font>
        <b/>
      </font>
    </dxf>
    <dxf>
      <numFmt numFmtId="1" formatCode="0"/>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0" formatCode="General"/>
    </dxf>
    <dxf>
      <numFmt numFmtId="0" formatCode="General"/>
    </dxf>
    <dxf>
      <numFmt numFmtId="169" formatCode="_-&quot;Rp&quot;* #,##0_-;\-&quot;Rp&quot;* #,##0_-;_-&quot;Rp&quot;* &quot;-&quot;??_-;_-@_-"/>
    </dxf>
    <dxf>
      <numFmt numFmtId="170" formatCode="#,###,&quot;Jt&quot;"/>
    </dxf>
    <dxf>
      <numFmt numFmtId="2" formatCode="0.00"/>
    </dxf>
    <dxf>
      <font>
        <name val="Montserrat"/>
        <scheme val="none"/>
      </font>
    </dxf>
    <dxf>
      <font>
        <b/>
      </font>
    </dxf>
    <dxf>
      <numFmt numFmtId="1" formatCode="0"/>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0" formatCode="General"/>
    </dxf>
    <dxf>
      <numFmt numFmtId="0" formatCode="General"/>
    </dxf>
    <dxf>
      <numFmt numFmtId="169" formatCode="_-&quot;Rp&quot;* #,##0_-;\-&quot;Rp&quot;* #,##0_-;_-&quot;Rp&quot;* &quot;-&quot;??_-;_-@_-"/>
    </dxf>
    <dxf>
      <numFmt numFmtId="170" formatCode="#,###,&quot;Jt&quot;"/>
    </dxf>
    <dxf>
      <numFmt numFmtId="2" formatCode="0.00"/>
    </dxf>
    <dxf>
      <font>
        <name val="Montserrat"/>
        <scheme val="none"/>
      </font>
    </dxf>
    <dxf>
      <font>
        <b/>
      </font>
    </dxf>
    <dxf>
      <numFmt numFmtId="1" formatCode="0"/>
    </dxf>
    <dxf>
      <numFmt numFmtId="2" formatCode="0.00"/>
    </dxf>
    <dxf>
      <numFmt numFmtId="0" formatCode="General"/>
    </dxf>
    <dxf>
      <numFmt numFmtId="0" formatCode="General"/>
    </dxf>
    <dxf>
      <numFmt numFmtId="0" formatCode="General"/>
    </dxf>
    <dxf>
      <numFmt numFmtId="2" formatCode="0.00"/>
    </dxf>
    <dxf>
      <font>
        <name val="Montserrat"/>
        <scheme val="none"/>
      </font>
    </dxf>
    <dxf>
      <font>
        <b/>
      </font>
    </dxf>
    <dxf>
      <numFmt numFmtId="0" formatCode="General"/>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2" formatCode="0.00"/>
    </dxf>
    <dxf>
      <numFmt numFmtId="169" formatCode="_-&quot;Rp&quot;* #,##0_-;\-&quot;Rp&quot;* #,##0_-;_-&quot;Rp&quot;* &quot;-&quot;??_-;_-@_-"/>
    </dxf>
    <dxf>
      <numFmt numFmtId="169" formatCode="_-&quot;Rp&quot;* #,##0_-;\-&quot;Rp&quot;* #,##0_-;_-&quot;Rp&quot;* &quot;-&quot;??_-;_-@_-"/>
    </dxf>
    <dxf>
      <numFmt numFmtId="170" formatCode="#,###,&quot;Jt&quot;"/>
    </dxf>
    <dxf>
      <numFmt numFmtId="170" formatCode="#,###,&quot;Jt&quot;"/>
    </dxf>
    <dxf>
      <numFmt numFmtId="0" formatCode="General"/>
    </dxf>
    <dxf>
      <numFmt numFmtId="169" formatCode="_-&quot;Rp&quot;* #,##0_-;\-&quot;Rp&quot;* #,##0_-;_-&quot;Rp&quot;* &quot;-&quot;??_-;_-@_-"/>
    </dxf>
    <dxf>
      <numFmt numFmtId="170" formatCode="#,###,&quot;Jt&quot;"/>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69" formatCode="_-&quot;Rp&quot;* #,##0_-;\-&quot;Rp&quot;* #,##0_-;_-&quot;Rp&quot;* &quot;-&quot;??_-;_-@_-"/>
    </dxf>
    <dxf>
      <numFmt numFmtId="170" formatCode="#,###,&quot;Jt&quot;"/>
    </dxf>
    <dxf>
      <numFmt numFmtId="170" formatCode="#,###,&quot;Jt&quot;"/>
    </dxf>
    <dxf>
      <numFmt numFmtId="2" formatCode="0.00"/>
    </dxf>
    <dxf>
      <font>
        <name val="Montserrat"/>
        <scheme val="none"/>
      </font>
    </dxf>
    <dxf>
      <font>
        <b/>
      </font>
    </dxf>
    <dxf>
      <numFmt numFmtId="1" formatCode="0"/>
    </dxf>
    <dxf>
      <numFmt numFmtId="0" formatCode="General"/>
    </dxf>
    <dxf>
      <font>
        <name val="Montserrat"/>
        <scheme val="none"/>
      </font>
    </dxf>
    <dxf>
      <font>
        <b/>
      </font>
    </dxf>
    <dxf>
      <numFmt numFmtId="2" formatCode="0.00"/>
    </dxf>
    <dxf>
      <font>
        <name val="Montserrat"/>
        <scheme val="none"/>
      </font>
    </dxf>
    <dxf>
      <font>
        <b/>
      </font>
    </dxf>
    <dxf>
      <numFmt numFmtId="169" formatCode="_-&quot;Rp&quot;* #,##0_-;\-&quot;Rp&quot;* #,##0_-;_-&quot;Rp&quot;* &quot;-&quot;??_-;_-@_-"/>
    </dxf>
    <dxf>
      <font>
        <b/>
        <family val="2"/>
      </font>
    </dxf>
    <dxf>
      <font>
        <name val="Montserrat"/>
        <scheme val="none"/>
      </font>
    </dxf>
    <dxf>
      <numFmt numFmtId="169" formatCode="_-&quot;Rp&quot;* #,##0_-;\-&quot;Rp&quot;* #,##0_-;_-&quot;Rp&quot;* &quot;-&quot;??_-;_-@_-"/>
    </dxf>
    <dxf>
      <font>
        <name val="Montserrat"/>
        <scheme val="none"/>
      </font>
    </dxf>
    <dxf>
      <font>
        <b/>
      </font>
    </dxf>
    <dxf>
      <numFmt numFmtId="169" formatCode="_-&quot;Rp&quot;* #,##0_-;\-&quot;Rp&quot;* #,##0_-;_-&quot;Rp&quot;* &quot;-&quot;??_-;_-@_-"/>
    </dxf>
    <dxf>
      <font>
        <name val="Montserrat"/>
        <scheme val="none"/>
      </font>
    </dxf>
    <dxf>
      <font>
        <b/>
      </font>
    </dxf>
    <dxf>
      <font>
        <b val="0"/>
        <i val="0"/>
        <strike val="0"/>
        <condense val="0"/>
        <extend val="0"/>
        <outline val="0"/>
        <shadow val="0"/>
        <u val="none"/>
        <vertAlign val="baseline"/>
        <sz val="10"/>
        <color theme="1"/>
        <name val="Arial"/>
        <family val="2"/>
        <scheme val="none"/>
      </font>
      <numFmt numFmtId="171" formatCode="_(\R\p* #,##0_);_(\R\p* \(#,##0\);_(\R\p* &quot;0&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1" formatCode="_(\R\p* #,##0_);_(\R\p* \(#,##0\);_(\R\p* &quot;0&quot;_);_(@_)"/>
      <fill>
        <patternFill patternType="none">
          <fgColor indexed="64"/>
          <bgColor indexed="65"/>
        </patternFill>
      </fil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0" formatCode="General"/>
    </dxf>
    <dxf>
      <font>
        <b val="0"/>
        <i val="0"/>
        <strike val="0"/>
        <condense val="0"/>
        <extend val="0"/>
        <outline val="0"/>
        <shadow val="0"/>
        <u val="none"/>
        <vertAlign val="baseline"/>
        <sz val="10"/>
        <color rgb="FF000000"/>
        <name val="Arial"/>
        <family val="2"/>
        <scheme val="minor"/>
      </font>
    </dxf>
    <dxf>
      <numFmt numFmtId="169" formatCode="_-&quot;Rp&quot;* #,##0_-;\-&quot;Rp&quot;* #,##0_-;_-&quot;Rp&quot;* &quot;-&quot;??_-;_-@_-"/>
    </dxf>
    <dxf>
      <numFmt numFmtId="0" formatCode="General"/>
    </dxf>
    <dxf>
      <numFmt numFmtId="169" formatCode="_-&quot;Rp&quot;* #,##0_-;\-&quot;Rp&quot;* #,##0_-;_-&quot;Rp&quot;* &quot;-&quot;??_-;_-@_-"/>
    </dxf>
    <dxf>
      <numFmt numFmtId="169" formatCode="_-&quot;Rp&quot;* #,##0_-;\-&quot;Rp&quot;* #,##0_-;_-&quot;Rp&quot;* &quot;-&quot;??_-;_-@_-"/>
    </dxf>
    <dxf>
      <numFmt numFmtId="2" formatCode="0.00"/>
    </dxf>
    <dxf>
      <numFmt numFmtId="2" formatCode="0.00"/>
    </dxf>
    <dxf>
      <numFmt numFmtId="169" formatCode="_-&quot;Rp&quot;* #,##0_-;\-&quot;Rp&quot;* #,##0_-;_-&quot;Rp&quot;* &quot;-&quot;??_-;_-@_-"/>
    </dxf>
    <dxf>
      <numFmt numFmtId="169" formatCode="_-&quot;Rp&quot;* #,##0_-;\-&quot;Rp&quot;* #,##0_-;_-&quot;Rp&quot;* &quot;-&quot;??_-;_-@_-"/>
    </dxf>
    <dxf>
      <font>
        <b val="0"/>
        <i val="0"/>
        <strike val="0"/>
        <condense val="0"/>
        <extend val="0"/>
        <outline val="0"/>
        <shadow val="0"/>
        <u val="none"/>
        <vertAlign val="baseline"/>
        <sz val="10"/>
        <color rgb="FF000000"/>
        <name val="Arial"/>
        <scheme val="minor"/>
      </font>
      <numFmt numFmtId="2" formatCode="0.00"/>
    </dxf>
    <dxf>
      <numFmt numFmtId="169" formatCode="_-&quot;Rp&quot;* #,##0_-;\-&quot;Rp&quot;* #,##0_-;_-&quot;Rp&quot;* &quot;-&quot;??_-;_-@_-"/>
    </dxf>
    <dxf>
      <numFmt numFmtId="169" formatCode="_-&quot;Rp&quot;* #,##0_-;\-&quot;Rp&quot;* #,##0_-;_-&quot;Rp&quot;* &quot;-&quot;??_-;_-@_-"/>
    </dxf>
    <dxf>
      <font>
        <b val="0"/>
        <i val="0"/>
        <strike val="0"/>
        <condense val="0"/>
        <extend val="0"/>
        <outline val="0"/>
        <shadow val="0"/>
        <u val="none"/>
        <vertAlign val="baseline"/>
        <sz val="10"/>
        <color rgb="FF000000"/>
        <name val="Arial"/>
        <scheme val="minor"/>
      </font>
      <numFmt numFmtId="2" formatCode="0.00"/>
    </dxf>
    <dxf>
      <font>
        <b val="0"/>
        <i val="0"/>
        <strike val="0"/>
        <condense val="0"/>
        <extend val="0"/>
        <outline val="0"/>
        <shadow val="0"/>
        <u val="none"/>
        <vertAlign val="baseline"/>
        <sz val="10"/>
        <color rgb="FF000000"/>
        <name val="Arial"/>
        <scheme val="minor"/>
      </font>
      <numFmt numFmtId="169" formatCode="_-&quot;Rp&quot;* #,##0_-;\-&quot;Rp&quot;* #,##0_-;_-&quot;Rp&quot;* &quot;-&quot;??_-;_-@_-"/>
    </dxf>
    <dxf>
      <numFmt numFmtId="169" formatCode="_-&quot;Rp&quot;* #,##0_-;\-&quot;Rp&quot;* #,##0_-;_-&quot;Rp&quot;* &quot;-&quot;??_-;_-@_-"/>
    </dxf>
    <dxf>
      <font>
        <b val="0"/>
        <i val="0"/>
        <strike val="0"/>
        <condense val="0"/>
        <extend val="0"/>
        <outline val="0"/>
        <shadow val="0"/>
        <u val="none"/>
        <vertAlign val="baseline"/>
        <sz val="10"/>
        <color rgb="FF000000"/>
        <name val="Arial"/>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border diagonalUp="0" diagonalDown="0">
        <left style="medium">
          <color rgb="FF46BDC6"/>
        </left>
        <right style="medium">
          <color rgb="FF46BDC6"/>
        </right>
        <top style="medium">
          <color rgb="FF46BDC6"/>
        </top>
        <bottom style="medium">
          <color rgb="FF46BDC6"/>
        </bottom>
      </border>
    </dxf>
    <dxf>
      <font>
        <b val="0"/>
        <i val="0"/>
        <strike val="0"/>
        <condense val="0"/>
        <extend val="0"/>
        <outline val="0"/>
        <shadow val="0"/>
        <u val="none"/>
        <vertAlign val="baseline"/>
        <sz val="10"/>
        <color rgb="FF000000"/>
        <name val="Arial"/>
        <family val="2"/>
        <scheme val="none"/>
      </font>
      <fill>
        <patternFill patternType="none">
          <fgColor rgb="FF000000"/>
          <bgColor rgb="FFFFFFFF"/>
        </patternFill>
      </fill>
      <alignment horizontal="left"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numFmt numFmtId="166" formatCode="[$Rp]#,##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5" formatCode="_(&quot;Rp&quot;* #,##0.00_);_(&quot;Rp&quot;* \(#,##0.00\);_(&quot;Rp&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R\p* #,##0_);_(\R\p* \(#,##0\);_(\R\p*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border diagonalUp="0" diagonalDown="0">
        <left style="medium">
          <color theme="9"/>
        </left>
        <right style="medium">
          <color theme="9"/>
        </right>
        <top style="medium">
          <color theme="9"/>
        </top>
        <bottom style="medium">
          <color theme="9"/>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numFmt numFmtId="166" formatCode="[$Rp]#,##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2" formatCode="0.0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border diagonalUp="0" diagonalDown="0">
        <left style="medium">
          <color theme="9"/>
        </left>
        <right style="medium">
          <color theme="9"/>
        </right>
        <top style="medium">
          <color theme="9"/>
        </top>
        <bottom style="medium">
          <color theme="9"/>
        </bottom>
      </border>
    </dxf>
    <dxf>
      <font>
        <b val="0"/>
        <i val="0"/>
        <strike val="0"/>
        <condense val="0"/>
        <extend val="0"/>
        <outline val="0"/>
        <shadow val="0"/>
        <u val="none"/>
        <vertAlign val="baseline"/>
        <sz val="10"/>
        <color theme="1"/>
        <name val="Arial"/>
        <family val="2"/>
        <scheme val="none"/>
      </font>
      <numFmt numFmtId="166" formatCode="[$Rp]#,##0"/>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numFmt numFmtId="166" formatCode="[$Rp]#,##0"/>
      <fill>
        <patternFill patternType="none">
          <fgColor indexed="64"/>
          <bgColor indexed="65"/>
        </patternFill>
      </fill>
      <alignment horizontal="center" vertical="bottom" textRotation="0" wrapText="0" indent="0" justifyLastLine="0" shrinkToFit="0" readingOrder="0"/>
    </dxf>
    <dxf>
      <font>
        <b/>
      </font>
    </dxf>
    <dxf>
      <font>
        <name val="Montserrat"/>
        <scheme val="none"/>
      </font>
    </dxf>
    <dxf>
      <numFmt numFmtId="169" formatCode="_-&quot;Rp&quot;* #,##0_-;\-&quot;Rp&quot;* #,##0_-;_-&quot;Rp&quot;* &quot;-&quot;??_-;_-@_-"/>
    </dxf>
    <dxf>
      <font>
        <b/>
      </font>
    </dxf>
    <dxf>
      <font>
        <name val="Montserrat"/>
        <scheme val="none"/>
      </font>
    </dxf>
    <dxf>
      <numFmt numFmtId="169" formatCode="_-&quot;Rp&quot;* #,##0_-;\-&quot;Rp&quot;* #,##0_-;_-&quot;Rp&quot;* &quot;-&quot;??_-;_-@_-"/>
    </dxf>
    <dxf>
      <font>
        <name val="Montserrat"/>
        <scheme val="none"/>
      </font>
    </dxf>
    <dxf>
      <font>
        <b/>
        <family val="2"/>
      </font>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font>
        <b/>
      </font>
    </dxf>
    <dxf>
      <font>
        <name val="Montserrat"/>
        <scheme val="none"/>
      </font>
    </dxf>
    <dxf>
      <numFmt numFmtId="2" formatCode="0.00"/>
    </dxf>
    <dxf>
      <font>
        <b/>
      </font>
    </dxf>
    <dxf>
      <font>
        <name val="Montserrat"/>
        <scheme val="none"/>
      </font>
    </dxf>
    <dxf>
      <numFmt numFmtId="0" formatCode="General"/>
    </dxf>
    <dxf>
      <numFmt numFmtId="1" formatCode="0"/>
    </dxf>
    <dxf>
      <font>
        <b/>
      </font>
    </dxf>
    <dxf>
      <font>
        <name val="Montserrat"/>
        <scheme val="none"/>
      </font>
    </dxf>
    <dxf>
      <numFmt numFmtId="2" formatCode="0.00"/>
    </dxf>
    <dxf>
      <numFmt numFmtId="169" formatCode="_-&quot;Rp&quot;* #,##0_-;\-&quot;Rp&quot;* #,##0_-;_-&quot;Rp&quot;* &quot;-&quot;??_-;_-@_-"/>
    </dxf>
    <dxf>
      <numFmt numFmtId="170" formatCode="#,###,&quot;Jt&quot;"/>
    </dxf>
    <dxf>
      <numFmt numFmtId="170" formatCode="#,###,&quot;Jt&quot;"/>
    </dxf>
    <dxf>
      <numFmt numFmtId="169" formatCode="_-&quot;Rp&quot;* #,##0_-;\-&quot;Rp&quot;* #,##0_-;_-&quot;Rp&quot;* &quot;-&quot;??_-;_-@_-"/>
    </dxf>
    <dxf>
      <numFmt numFmtId="2" formatCode="0.00"/>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70" formatCode="#,###,&quot;Jt&quot;"/>
    </dxf>
    <dxf>
      <numFmt numFmtId="169" formatCode="_-&quot;Rp&quot;* #,##0_-;\-&quot;Rp&quot;* #,##0_-;_-&quot;Rp&quot;* &quot;-&quot;??_-;_-@_-"/>
    </dxf>
    <dxf>
      <numFmt numFmtId="0" formatCode="General"/>
    </dxf>
    <dxf>
      <font>
        <sz val="12"/>
        <color theme="0"/>
      </font>
      <fill>
        <gradientFill degree="180">
          <stop position="0">
            <color rgb="FF2B8944"/>
          </stop>
          <stop position="1">
            <color rgb="FF232227"/>
          </stop>
        </gradientFill>
      </fill>
      <border>
        <left style="thin">
          <color rgb="FF2B8944"/>
        </left>
        <right style="thin">
          <color rgb="FF2B8944"/>
        </right>
        <top style="thin">
          <color rgb="FF2B8944"/>
        </top>
        <bottom style="thin">
          <color rgb="FF2B8944"/>
        </bottom>
      </border>
    </dxf>
    <dxf>
      <font>
        <sz val="12"/>
        <name val="Montserrat Medium"/>
        <scheme val="none"/>
      </font>
      <fill>
        <patternFill patternType="solid">
          <fgColor auto="1"/>
          <bgColor rgb="FF1E2D31"/>
        </patternFill>
      </fill>
      <border diagonalUp="0" diagonalDown="0">
        <left style="thin">
          <color rgb="FF2B8944"/>
        </left>
        <right style="thin">
          <color rgb="FF2B8944"/>
        </right>
        <top style="thin">
          <color rgb="FF2B8944"/>
        </top>
        <bottom style="thin">
          <color rgb="FF2B8944"/>
        </bottom>
        <vertical/>
        <horizontal/>
      </border>
    </dxf>
  </dxfs>
  <tableStyles count="1" defaultTableStyle="TableStyleMedium2" defaultPivotStyle="PivotStyleLight16">
    <tableStyle name="Slicer Style 1" pivot="0" table="0" count="6" xr9:uid="{286986BA-1351-44CA-8532-2E1062C128A9}">
      <tableStyleElement type="wholeTable" dxfId="629"/>
      <tableStyleElement type="headerRow" dxfId="628"/>
    </tableStyle>
  </tableStyles>
  <colors>
    <mruColors>
      <color rgb="FF60CE7D"/>
      <color rgb="FF2B8944"/>
      <color rgb="FF1A5429"/>
      <color rgb="FFD5D511"/>
      <color rgb="FFE5F230"/>
      <color rgb="FF2F292D"/>
      <color rgb="FF1E2D31"/>
      <color rgb="FF232227"/>
      <color rgb="FF0A0F27"/>
      <color rgb="FF5CEA99"/>
    </mruColors>
  </colors>
  <extLst>
    <ext xmlns:x14="http://schemas.microsoft.com/office/spreadsheetml/2009/9/main" uri="{46F421CA-312F-682f-3DD2-61675219B42D}">
      <x14:dxfs count="4">
        <dxf>
          <font>
            <color theme="0"/>
          </font>
          <fill>
            <gradientFill>
              <stop position="0">
                <color rgb="FFE5F230"/>
              </stop>
              <stop position="1">
                <color rgb="FF2B8944"/>
              </stop>
            </gradientFill>
          </fill>
        </dxf>
        <dxf>
          <font>
            <color theme="0"/>
          </font>
        </dxf>
        <dxf>
          <font>
            <color theme="0"/>
          </font>
          <fill>
            <patternFill>
              <fgColor theme="7" tint="-0.24994659260841701"/>
            </patternFill>
          </fill>
        </dxf>
        <dxf>
          <font>
            <color theme="0"/>
          </font>
          <fill>
            <gradientFill degree="180">
              <stop position="0">
                <color rgb="FF2B8944"/>
              </stop>
              <stop position="1">
                <color rgb="FF1E2D31"/>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B2.xlsx]Pivot!PivotTable36</c:name>
    <c:fmtId val="7"/>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Pivot!$B$22</c:f>
              <c:strCache>
                <c:ptCount val="1"/>
                <c:pt idx="0">
                  <c:v>Total Order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Pivot!$B$23:$B$53</c:f>
              <c:numCache>
                <c:formatCode>General</c:formatCode>
                <c:ptCount val="30"/>
                <c:pt idx="0">
                  <c:v>89</c:v>
                </c:pt>
                <c:pt idx="1">
                  <c:v>69</c:v>
                </c:pt>
                <c:pt idx="2">
                  <c:v>80</c:v>
                </c:pt>
                <c:pt idx="3">
                  <c:v>88</c:v>
                </c:pt>
                <c:pt idx="4">
                  <c:v>78</c:v>
                </c:pt>
                <c:pt idx="5">
                  <c:v>88</c:v>
                </c:pt>
                <c:pt idx="6">
                  <c:v>18</c:v>
                </c:pt>
                <c:pt idx="7">
                  <c:v>22</c:v>
                </c:pt>
                <c:pt idx="8">
                  <c:v>16</c:v>
                </c:pt>
                <c:pt idx="9">
                  <c:v>9</c:v>
                </c:pt>
                <c:pt idx="10">
                  <c:v>11</c:v>
                </c:pt>
                <c:pt idx="11">
                  <c:v>11</c:v>
                </c:pt>
                <c:pt idx="12">
                  <c:v>18</c:v>
                </c:pt>
                <c:pt idx="13">
                  <c:v>14</c:v>
                </c:pt>
                <c:pt idx="14">
                  <c:v>16</c:v>
                </c:pt>
                <c:pt idx="15">
                  <c:v>34</c:v>
                </c:pt>
                <c:pt idx="16">
                  <c:v>28</c:v>
                </c:pt>
                <c:pt idx="17">
                  <c:v>19</c:v>
                </c:pt>
                <c:pt idx="18">
                  <c:v>21</c:v>
                </c:pt>
                <c:pt idx="19">
                  <c:v>28</c:v>
                </c:pt>
                <c:pt idx="20">
                  <c:v>27</c:v>
                </c:pt>
                <c:pt idx="21">
                  <c:v>18</c:v>
                </c:pt>
                <c:pt idx="22">
                  <c:v>18</c:v>
                </c:pt>
                <c:pt idx="23">
                  <c:v>21</c:v>
                </c:pt>
                <c:pt idx="24">
                  <c:v>26</c:v>
                </c:pt>
                <c:pt idx="25">
                  <c:v>36</c:v>
                </c:pt>
                <c:pt idx="26">
                  <c:v>20</c:v>
                </c:pt>
                <c:pt idx="27">
                  <c:v>29</c:v>
                </c:pt>
                <c:pt idx="28">
                  <c:v>22</c:v>
                </c:pt>
                <c:pt idx="29">
                  <c:v>26</c:v>
                </c:pt>
              </c:numCache>
            </c:numRef>
          </c:val>
          <c:smooth val="0"/>
          <c:extLst>
            <c:ext xmlns:c16="http://schemas.microsoft.com/office/drawing/2014/chart" uri="{C3380CC4-5D6E-409C-BE32-E72D297353CC}">
              <c16:uniqueId val="{00000000-CCB5-4403-BC97-6D040516058F}"/>
            </c:ext>
          </c:extLst>
        </c:ser>
        <c:ser>
          <c:idx val="1"/>
          <c:order val="1"/>
          <c:tx>
            <c:strRef>
              <c:f>Pivot!$C$22</c:f>
              <c:strCache>
                <c:ptCount val="1"/>
                <c:pt idx="0">
                  <c:v>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Pivot!$C$23:$C$53</c:f>
              <c:numCache>
                <c:formatCode>General</c:formatCode>
                <c:ptCount val="30"/>
                <c:pt idx="0">
                  <c:v>338</c:v>
                </c:pt>
                <c:pt idx="1">
                  <c:v>309</c:v>
                </c:pt>
                <c:pt idx="2">
                  <c:v>336</c:v>
                </c:pt>
                <c:pt idx="3">
                  <c:v>381</c:v>
                </c:pt>
                <c:pt idx="4">
                  <c:v>318</c:v>
                </c:pt>
                <c:pt idx="5">
                  <c:v>351</c:v>
                </c:pt>
                <c:pt idx="6">
                  <c:v>63</c:v>
                </c:pt>
                <c:pt idx="7">
                  <c:v>81</c:v>
                </c:pt>
                <c:pt idx="8">
                  <c:v>72</c:v>
                </c:pt>
                <c:pt idx="9">
                  <c:v>32</c:v>
                </c:pt>
                <c:pt idx="10">
                  <c:v>50</c:v>
                </c:pt>
                <c:pt idx="11">
                  <c:v>48</c:v>
                </c:pt>
                <c:pt idx="12">
                  <c:v>78</c:v>
                </c:pt>
                <c:pt idx="13">
                  <c:v>63</c:v>
                </c:pt>
                <c:pt idx="14">
                  <c:v>66</c:v>
                </c:pt>
                <c:pt idx="15">
                  <c:v>142</c:v>
                </c:pt>
                <c:pt idx="16">
                  <c:v>111</c:v>
                </c:pt>
                <c:pt idx="17">
                  <c:v>72</c:v>
                </c:pt>
                <c:pt idx="18">
                  <c:v>78</c:v>
                </c:pt>
                <c:pt idx="19">
                  <c:v>110</c:v>
                </c:pt>
                <c:pt idx="20">
                  <c:v>116</c:v>
                </c:pt>
                <c:pt idx="21">
                  <c:v>84</c:v>
                </c:pt>
                <c:pt idx="22">
                  <c:v>74</c:v>
                </c:pt>
                <c:pt idx="23">
                  <c:v>83</c:v>
                </c:pt>
                <c:pt idx="24">
                  <c:v>119</c:v>
                </c:pt>
                <c:pt idx="25">
                  <c:v>147</c:v>
                </c:pt>
                <c:pt idx="26">
                  <c:v>77</c:v>
                </c:pt>
                <c:pt idx="27">
                  <c:v>109</c:v>
                </c:pt>
                <c:pt idx="28">
                  <c:v>84</c:v>
                </c:pt>
                <c:pt idx="29">
                  <c:v>88</c:v>
                </c:pt>
              </c:numCache>
            </c:numRef>
          </c:val>
          <c:smooth val="0"/>
          <c:extLst>
            <c:ext xmlns:c16="http://schemas.microsoft.com/office/drawing/2014/chart" uri="{C3380CC4-5D6E-409C-BE32-E72D297353CC}">
              <c16:uniqueId val="{00000001-CCB5-4403-BC97-6D040516058F}"/>
            </c:ext>
          </c:extLst>
        </c:ser>
        <c:dLbls>
          <c:showLegendKey val="0"/>
          <c:showVal val="0"/>
          <c:showCatName val="0"/>
          <c:showSerName val="0"/>
          <c:showPercent val="0"/>
          <c:showBubbleSize val="0"/>
        </c:dLbls>
        <c:marker val="1"/>
        <c:smooth val="0"/>
        <c:axId val="992417551"/>
        <c:axId val="992405071"/>
      </c:lineChart>
      <c:catAx>
        <c:axId val="9924175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05071"/>
        <c:crosses val="autoZero"/>
        <c:auto val="1"/>
        <c:lblAlgn val="ctr"/>
        <c:lblOffset val="100"/>
        <c:noMultiLvlLbl val="0"/>
      </c:catAx>
      <c:valAx>
        <c:axId val="99240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CD-41C7-BAAF-D66CBBEC0A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CD-41C7-BAAF-D66CBBEC0A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CD-41C7-BAAF-D66CBBEC0A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Pivot!$A$8:$A$11</c:f>
              <c:strCache>
                <c:ptCount val="3"/>
                <c:pt idx="0">
                  <c:v>Promo 4.4</c:v>
                </c:pt>
                <c:pt idx="1">
                  <c:v>Promo Lebaran</c:v>
                </c:pt>
                <c:pt idx="2">
                  <c:v>Tidak Ada</c:v>
                </c:pt>
              </c:strCache>
            </c:strRef>
          </c:cat>
          <c:val>
            <c:numRef>
              <c:f>Pivot!$B$8:$B$11</c:f>
              <c:numCache>
                <c:formatCode>General</c:formatCode>
                <c:ptCount val="3"/>
                <c:pt idx="0">
                  <c:v>492</c:v>
                </c:pt>
                <c:pt idx="1">
                  <c:v>373</c:v>
                </c:pt>
                <c:pt idx="2">
                  <c:v>135</c:v>
                </c:pt>
              </c:numCache>
            </c:numRef>
          </c:val>
          <c:extLst>
            <c:ext xmlns:c16="http://schemas.microsoft.com/office/drawing/2014/chart" uri="{C3380CC4-5D6E-409C-BE32-E72D297353CC}">
              <c16:uniqueId val="{00000000-88AE-40C7-B973-A80D5B9E08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Pivot!$B$13</c:f>
              <c:strCache>
                <c:ptCount val="1"/>
                <c:pt idx="0">
                  <c:v>Total</c:v>
                </c:pt>
              </c:strCache>
            </c:strRef>
          </c:tx>
          <c:spPr>
            <a:solidFill>
              <a:schemeClr val="accent1"/>
            </a:solidFill>
            <a:ln>
              <a:noFill/>
            </a:ln>
            <a:effectLst/>
          </c:spPr>
          <c:invertIfNegative val="0"/>
          <c:cat>
            <c:strRef>
              <c:f>Pivot!$A$14:$A$20</c:f>
              <c:strCache>
                <c:ptCount val="6"/>
                <c:pt idx="0">
                  <c:v>Banten</c:v>
                </c:pt>
                <c:pt idx="1">
                  <c:v>DI Yogyakarta</c:v>
                </c:pt>
                <c:pt idx="2">
                  <c:v>Jabodetabek</c:v>
                </c:pt>
                <c:pt idx="3">
                  <c:v>Jawa Barat</c:v>
                </c:pt>
                <c:pt idx="4">
                  <c:v>Jawa Tengah</c:v>
                </c:pt>
                <c:pt idx="5">
                  <c:v>Jawa Timur</c:v>
                </c:pt>
              </c:strCache>
            </c:strRef>
          </c:cat>
          <c:val>
            <c:numRef>
              <c:f>Pivot!$B$14:$B$20</c:f>
              <c:numCache>
                <c:formatCode>#,###,"Jt"</c:formatCode>
                <c:ptCount val="6"/>
                <c:pt idx="0">
                  <c:v>99734500</c:v>
                </c:pt>
                <c:pt idx="1">
                  <c:v>174517000</c:v>
                </c:pt>
                <c:pt idx="2">
                  <c:v>343170500</c:v>
                </c:pt>
                <c:pt idx="3">
                  <c:v>61411500</c:v>
                </c:pt>
                <c:pt idx="4">
                  <c:v>154779500</c:v>
                </c:pt>
                <c:pt idx="5">
                  <c:v>148675500</c:v>
                </c:pt>
              </c:numCache>
            </c:numRef>
          </c:val>
          <c:extLst>
            <c:ext xmlns:c16="http://schemas.microsoft.com/office/drawing/2014/chart" uri="{C3380CC4-5D6E-409C-BE32-E72D297353CC}">
              <c16:uniqueId val="{00000000-75C2-4DB0-8C66-0DEAE5C86C67}"/>
            </c:ext>
          </c:extLst>
        </c:ser>
        <c:dLbls>
          <c:showLegendKey val="0"/>
          <c:showVal val="0"/>
          <c:showCatName val="0"/>
          <c:showSerName val="0"/>
          <c:showPercent val="0"/>
          <c:showBubbleSize val="0"/>
        </c:dLbls>
        <c:gapWidth val="182"/>
        <c:axId val="1149230975"/>
        <c:axId val="1149229535"/>
      </c:barChart>
      <c:catAx>
        <c:axId val="114923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229535"/>
        <c:crosses val="autoZero"/>
        <c:auto val="1"/>
        <c:lblAlgn val="ctr"/>
        <c:lblOffset val="100"/>
        <c:noMultiLvlLbl val="0"/>
      </c:catAx>
      <c:valAx>
        <c:axId val="1149229535"/>
        <c:scaling>
          <c:orientation val="minMax"/>
          <c:max val="350000000"/>
        </c:scaling>
        <c:delete val="0"/>
        <c:axPos val="b"/>
        <c:majorGridlines>
          <c:spPr>
            <a:ln w="9525" cap="flat" cmpd="sng" algn="ctr">
              <a:solidFill>
                <a:schemeClr val="tx1">
                  <a:lumMod val="15000"/>
                  <a:lumOff val="85000"/>
                </a:schemeClr>
              </a:solidFill>
              <a:round/>
            </a:ln>
            <a:effectLst/>
          </c:spPr>
        </c:majorGridlines>
        <c:numFmt formatCode="#,###,&quot;J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23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B2.xlsx]Pivot!PivotTable36</c:name>
    <c:fmtId val="19"/>
  </c:pivotSource>
  <c:chart>
    <c:autoTitleDeleted val="0"/>
    <c:pivotFmts>
      <c:pivotFmt>
        <c:idx val="0"/>
        <c:spPr>
          <a:solidFill>
            <a:srgbClr val="2B89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E5F2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c:f>
              <c:strCache>
                <c:ptCount val="1"/>
                <c:pt idx="0">
                  <c:v>Total Order</c:v>
                </c:pt>
              </c:strCache>
            </c:strRef>
          </c:tx>
          <c:spPr>
            <a:solidFill>
              <a:srgbClr val="2B8944"/>
            </a:solidFill>
            <a:ln>
              <a:noFill/>
            </a:ln>
            <a:effectLst/>
          </c:spPr>
          <c:invertIfNegative val="0"/>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Pivot!$B$23:$B$53</c:f>
              <c:numCache>
                <c:formatCode>General</c:formatCode>
                <c:ptCount val="30"/>
                <c:pt idx="0">
                  <c:v>89</c:v>
                </c:pt>
                <c:pt idx="1">
                  <c:v>69</c:v>
                </c:pt>
                <c:pt idx="2">
                  <c:v>80</c:v>
                </c:pt>
                <c:pt idx="3">
                  <c:v>88</c:v>
                </c:pt>
                <c:pt idx="4">
                  <c:v>78</c:v>
                </c:pt>
                <c:pt idx="5">
                  <c:v>88</c:v>
                </c:pt>
                <c:pt idx="6">
                  <c:v>18</c:v>
                </c:pt>
                <c:pt idx="7">
                  <c:v>22</c:v>
                </c:pt>
                <c:pt idx="8">
                  <c:v>16</c:v>
                </c:pt>
                <c:pt idx="9">
                  <c:v>9</c:v>
                </c:pt>
                <c:pt idx="10">
                  <c:v>11</c:v>
                </c:pt>
                <c:pt idx="11">
                  <c:v>11</c:v>
                </c:pt>
                <c:pt idx="12">
                  <c:v>18</c:v>
                </c:pt>
                <c:pt idx="13">
                  <c:v>14</c:v>
                </c:pt>
                <c:pt idx="14">
                  <c:v>16</c:v>
                </c:pt>
                <c:pt idx="15">
                  <c:v>34</c:v>
                </c:pt>
                <c:pt idx="16">
                  <c:v>28</c:v>
                </c:pt>
                <c:pt idx="17">
                  <c:v>19</c:v>
                </c:pt>
                <c:pt idx="18">
                  <c:v>21</c:v>
                </c:pt>
                <c:pt idx="19">
                  <c:v>28</c:v>
                </c:pt>
                <c:pt idx="20">
                  <c:v>27</c:v>
                </c:pt>
                <c:pt idx="21">
                  <c:v>18</c:v>
                </c:pt>
                <c:pt idx="22">
                  <c:v>18</c:v>
                </c:pt>
                <c:pt idx="23">
                  <c:v>21</c:v>
                </c:pt>
                <c:pt idx="24">
                  <c:v>26</c:v>
                </c:pt>
                <c:pt idx="25">
                  <c:v>36</c:v>
                </c:pt>
                <c:pt idx="26">
                  <c:v>20</c:v>
                </c:pt>
                <c:pt idx="27">
                  <c:v>29</c:v>
                </c:pt>
                <c:pt idx="28">
                  <c:v>22</c:v>
                </c:pt>
                <c:pt idx="29">
                  <c:v>26</c:v>
                </c:pt>
              </c:numCache>
            </c:numRef>
          </c:val>
          <c:extLst>
            <c:ext xmlns:c16="http://schemas.microsoft.com/office/drawing/2014/chart" uri="{C3380CC4-5D6E-409C-BE32-E72D297353CC}">
              <c16:uniqueId val="{00000000-7487-4800-AF15-8D7AEF493798}"/>
            </c:ext>
          </c:extLst>
        </c:ser>
        <c:dLbls>
          <c:showLegendKey val="0"/>
          <c:showVal val="0"/>
          <c:showCatName val="0"/>
          <c:showSerName val="0"/>
          <c:showPercent val="0"/>
          <c:showBubbleSize val="0"/>
        </c:dLbls>
        <c:gapWidth val="219"/>
        <c:overlap val="-27"/>
        <c:axId val="1277627039"/>
        <c:axId val="1223357695"/>
      </c:barChart>
      <c:lineChart>
        <c:grouping val="standard"/>
        <c:varyColors val="0"/>
        <c:ser>
          <c:idx val="1"/>
          <c:order val="1"/>
          <c:tx>
            <c:strRef>
              <c:f>Pivot!$C$22</c:f>
              <c:strCache>
                <c:ptCount val="1"/>
                <c:pt idx="0">
                  <c:v>Quantity</c:v>
                </c:pt>
              </c:strCache>
            </c:strRef>
          </c:tx>
          <c:spPr>
            <a:ln w="28575" cap="rnd">
              <a:solidFill>
                <a:srgbClr val="E5F230"/>
              </a:solidFill>
              <a:round/>
            </a:ln>
            <a:effectLst/>
          </c:spPr>
          <c:marker>
            <c:symbol val="none"/>
          </c:marker>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Pivot!$C$23:$C$53</c:f>
              <c:numCache>
                <c:formatCode>General</c:formatCode>
                <c:ptCount val="30"/>
                <c:pt idx="0">
                  <c:v>338</c:v>
                </c:pt>
                <c:pt idx="1">
                  <c:v>309</c:v>
                </c:pt>
                <c:pt idx="2">
                  <c:v>336</c:v>
                </c:pt>
                <c:pt idx="3">
                  <c:v>381</c:v>
                </c:pt>
                <c:pt idx="4">
                  <c:v>318</c:v>
                </c:pt>
                <c:pt idx="5">
                  <c:v>351</c:v>
                </c:pt>
                <c:pt idx="6">
                  <c:v>63</c:v>
                </c:pt>
                <c:pt idx="7">
                  <c:v>81</c:v>
                </c:pt>
                <c:pt idx="8">
                  <c:v>72</c:v>
                </c:pt>
                <c:pt idx="9">
                  <c:v>32</c:v>
                </c:pt>
                <c:pt idx="10">
                  <c:v>50</c:v>
                </c:pt>
                <c:pt idx="11">
                  <c:v>48</c:v>
                </c:pt>
                <c:pt idx="12">
                  <c:v>78</c:v>
                </c:pt>
                <c:pt idx="13">
                  <c:v>63</c:v>
                </c:pt>
                <c:pt idx="14">
                  <c:v>66</c:v>
                </c:pt>
                <c:pt idx="15">
                  <c:v>142</c:v>
                </c:pt>
                <c:pt idx="16">
                  <c:v>111</c:v>
                </c:pt>
                <c:pt idx="17">
                  <c:v>72</c:v>
                </c:pt>
                <c:pt idx="18">
                  <c:v>78</c:v>
                </c:pt>
                <c:pt idx="19">
                  <c:v>110</c:v>
                </c:pt>
                <c:pt idx="20">
                  <c:v>116</c:v>
                </c:pt>
                <c:pt idx="21">
                  <c:v>84</c:v>
                </c:pt>
                <c:pt idx="22">
                  <c:v>74</c:v>
                </c:pt>
                <c:pt idx="23">
                  <c:v>83</c:v>
                </c:pt>
                <c:pt idx="24">
                  <c:v>119</c:v>
                </c:pt>
                <c:pt idx="25">
                  <c:v>147</c:v>
                </c:pt>
                <c:pt idx="26">
                  <c:v>77</c:v>
                </c:pt>
                <c:pt idx="27">
                  <c:v>109</c:v>
                </c:pt>
                <c:pt idx="28">
                  <c:v>84</c:v>
                </c:pt>
                <c:pt idx="29">
                  <c:v>88</c:v>
                </c:pt>
              </c:numCache>
            </c:numRef>
          </c:val>
          <c:smooth val="1"/>
          <c:extLst>
            <c:ext xmlns:c16="http://schemas.microsoft.com/office/drawing/2014/chart" uri="{C3380CC4-5D6E-409C-BE32-E72D297353CC}">
              <c16:uniqueId val="{00000001-7487-4800-AF15-8D7AEF493798}"/>
            </c:ext>
          </c:extLst>
        </c:ser>
        <c:dLbls>
          <c:showLegendKey val="0"/>
          <c:showVal val="0"/>
          <c:showCatName val="0"/>
          <c:showSerName val="0"/>
          <c:showPercent val="0"/>
          <c:showBubbleSize val="0"/>
        </c:dLbls>
        <c:marker val="1"/>
        <c:smooth val="0"/>
        <c:axId val="1157452863"/>
        <c:axId val="536382207"/>
      </c:lineChart>
      <c:catAx>
        <c:axId val="115745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82207"/>
        <c:crosses val="autoZero"/>
        <c:auto val="1"/>
        <c:lblAlgn val="ctr"/>
        <c:lblOffset val="100"/>
        <c:noMultiLvlLbl val="0"/>
      </c:catAx>
      <c:valAx>
        <c:axId val="53638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52863"/>
        <c:crosses val="autoZero"/>
        <c:crossBetween val="between"/>
      </c:valAx>
      <c:valAx>
        <c:axId val="12233576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627039"/>
        <c:crosses val="max"/>
        <c:crossBetween val="between"/>
      </c:valAx>
      <c:catAx>
        <c:axId val="1277627039"/>
        <c:scaling>
          <c:orientation val="minMax"/>
        </c:scaling>
        <c:delete val="1"/>
        <c:axPos val="b"/>
        <c:numFmt formatCode="General" sourceLinked="1"/>
        <c:majorTickMark val="out"/>
        <c:minorTickMark val="none"/>
        <c:tickLblPos val="nextTo"/>
        <c:crossAx val="12233576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Pivot!$A$58:$A$61</c:f>
              <c:strCache>
                <c:ptCount val="3"/>
                <c:pt idx="0">
                  <c:v>Promo 4.4</c:v>
                </c:pt>
                <c:pt idx="1">
                  <c:v>Promo Lebaran</c:v>
                </c:pt>
                <c:pt idx="2">
                  <c:v>Tidak Ada</c:v>
                </c:pt>
              </c:strCache>
            </c:strRef>
          </c:cat>
          <c:val>
            <c:numRef>
              <c:f>Pivot!$B$58:$B$61</c:f>
              <c:numCache>
                <c:formatCode>#,###,"Jt"</c:formatCode>
                <c:ptCount val="3"/>
                <c:pt idx="0">
                  <c:v>487110500</c:v>
                </c:pt>
                <c:pt idx="1">
                  <c:v>342668000</c:v>
                </c:pt>
                <c:pt idx="2">
                  <c:v>152510000</c:v>
                </c:pt>
              </c:numCache>
            </c:numRef>
          </c:val>
          <c:extLst>
            <c:ext xmlns:c16="http://schemas.microsoft.com/office/drawing/2014/chart" uri="{C3380CC4-5D6E-409C-BE32-E72D297353CC}">
              <c16:uniqueId val="{00000000-3C5D-4FB5-B1BA-93407AF1A59B}"/>
            </c:ext>
          </c:extLst>
        </c:ser>
        <c:dLbls>
          <c:showLegendKey val="0"/>
          <c:showVal val="1"/>
          <c:showCatName val="0"/>
          <c:showSerName val="0"/>
          <c:showPercent val="0"/>
          <c:showBubbleSize val="0"/>
        </c:dLbls>
        <c:gapWidth val="75"/>
        <c:axId val="1074928511"/>
        <c:axId val="1074917951"/>
      </c:barChart>
      <c:catAx>
        <c:axId val="107492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17951"/>
        <c:crosses val="autoZero"/>
        <c:auto val="1"/>
        <c:lblAlgn val="ctr"/>
        <c:lblOffset val="100"/>
        <c:noMultiLvlLbl val="0"/>
      </c:catAx>
      <c:valAx>
        <c:axId val="1074917951"/>
        <c:scaling>
          <c:orientation val="minMax"/>
        </c:scaling>
        <c:delete val="1"/>
        <c:axPos val="l"/>
        <c:numFmt formatCode="#,###,&quot;Jt&quot;" sourceLinked="1"/>
        <c:majorTickMark val="none"/>
        <c:minorTickMark val="none"/>
        <c:tickLblPos val="nextTo"/>
        <c:crossAx val="1074928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Pivot!$N$2</c:f>
              <c:strCache>
                <c:ptCount val="1"/>
                <c:pt idx="0">
                  <c:v>Total</c:v>
                </c:pt>
              </c:strCache>
            </c:strRef>
          </c:tx>
          <c:spPr>
            <a:solidFill>
              <a:schemeClr val="accent1"/>
            </a:solidFill>
            <a:ln>
              <a:noFill/>
            </a:ln>
            <a:effectLst/>
          </c:spPr>
          <c:invertIfNegative val="0"/>
          <c:cat>
            <c:strRef>
              <c:f>Pivot!$M$3:$M$13</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Pivot!$N$3:$N$13</c:f>
              <c:numCache>
                <c:formatCode>General</c:formatCode>
                <c:ptCount val="10"/>
                <c:pt idx="0">
                  <c:v>430</c:v>
                </c:pt>
                <c:pt idx="1">
                  <c:v>384</c:v>
                </c:pt>
                <c:pt idx="2">
                  <c:v>372</c:v>
                </c:pt>
                <c:pt idx="3">
                  <c:v>403</c:v>
                </c:pt>
                <c:pt idx="4">
                  <c:v>405</c:v>
                </c:pt>
                <c:pt idx="5">
                  <c:v>451</c:v>
                </c:pt>
                <c:pt idx="6">
                  <c:v>322</c:v>
                </c:pt>
                <c:pt idx="7">
                  <c:v>399</c:v>
                </c:pt>
                <c:pt idx="8">
                  <c:v>492</c:v>
                </c:pt>
                <c:pt idx="9">
                  <c:v>422</c:v>
                </c:pt>
              </c:numCache>
            </c:numRef>
          </c:val>
          <c:extLst>
            <c:ext xmlns:c16="http://schemas.microsoft.com/office/drawing/2014/chart" uri="{C3380CC4-5D6E-409C-BE32-E72D297353CC}">
              <c16:uniqueId val="{00000000-E942-48F8-B681-9DC5C4BB1877}"/>
            </c:ext>
          </c:extLst>
        </c:ser>
        <c:dLbls>
          <c:showLegendKey val="0"/>
          <c:showVal val="0"/>
          <c:showCatName val="0"/>
          <c:showSerName val="0"/>
          <c:showPercent val="0"/>
          <c:showBubbleSize val="0"/>
        </c:dLbls>
        <c:gapWidth val="182"/>
        <c:axId val="272722224"/>
        <c:axId val="272721744"/>
      </c:barChart>
      <c:catAx>
        <c:axId val="272722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721744"/>
        <c:crosses val="autoZero"/>
        <c:auto val="1"/>
        <c:lblAlgn val="ctr"/>
        <c:lblOffset val="100"/>
        <c:noMultiLvlLbl val="0"/>
      </c:catAx>
      <c:valAx>
        <c:axId val="272721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7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Pivot!$N$15</c:f>
              <c:strCache>
                <c:ptCount val="1"/>
                <c:pt idx="0">
                  <c:v>Profit</c:v>
                </c:pt>
              </c:strCache>
            </c:strRef>
          </c:tx>
          <c:spPr>
            <a:solidFill>
              <a:schemeClr val="accent1"/>
            </a:solidFill>
            <a:ln>
              <a:noFill/>
            </a:ln>
            <a:effectLst/>
          </c:spPr>
          <c:invertIfNegative val="0"/>
          <c:cat>
            <c:strRef>
              <c:f>Pivot!$M$16:$M$26</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Pivot!$N$16:$N$26</c:f>
              <c:numCache>
                <c:formatCode>#,###,"Jt"</c:formatCode>
                <c:ptCount val="10"/>
                <c:pt idx="0">
                  <c:v>13482500</c:v>
                </c:pt>
                <c:pt idx="1">
                  <c:v>18906000</c:v>
                </c:pt>
                <c:pt idx="2">
                  <c:v>24375000</c:v>
                </c:pt>
                <c:pt idx="3">
                  <c:v>27700000</c:v>
                </c:pt>
                <c:pt idx="4">
                  <c:v>34940000</c:v>
                </c:pt>
                <c:pt idx="5">
                  <c:v>48090000</c:v>
                </c:pt>
                <c:pt idx="6">
                  <c:v>23037500</c:v>
                </c:pt>
                <c:pt idx="7">
                  <c:v>22610000</c:v>
                </c:pt>
                <c:pt idx="8">
                  <c:v>21097500</c:v>
                </c:pt>
                <c:pt idx="9">
                  <c:v>59050000</c:v>
                </c:pt>
              </c:numCache>
            </c:numRef>
          </c:val>
          <c:extLst>
            <c:ext xmlns:c16="http://schemas.microsoft.com/office/drawing/2014/chart" uri="{C3380CC4-5D6E-409C-BE32-E72D297353CC}">
              <c16:uniqueId val="{00000000-25EE-4214-B551-00BBF72BE32B}"/>
            </c:ext>
          </c:extLst>
        </c:ser>
        <c:ser>
          <c:idx val="1"/>
          <c:order val="1"/>
          <c:tx>
            <c:strRef>
              <c:f>Pivot!$O$15</c:f>
              <c:strCache>
                <c:ptCount val="1"/>
                <c:pt idx="0">
                  <c:v>Transaksi</c:v>
                </c:pt>
              </c:strCache>
            </c:strRef>
          </c:tx>
          <c:spPr>
            <a:solidFill>
              <a:schemeClr val="accent2"/>
            </a:solidFill>
            <a:ln>
              <a:noFill/>
            </a:ln>
            <a:effectLst/>
          </c:spPr>
          <c:invertIfNegative val="0"/>
          <c:cat>
            <c:strRef>
              <c:f>Pivot!$M$16:$M$26</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Pivot!$O$16:$O$26</c:f>
              <c:numCache>
                <c:formatCode>#,###,"Jt"</c:formatCode>
                <c:ptCount val="10"/>
                <c:pt idx="0">
                  <c:v>56482500</c:v>
                </c:pt>
                <c:pt idx="1">
                  <c:v>61146000</c:v>
                </c:pt>
                <c:pt idx="2">
                  <c:v>98775000</c:v>
                </c:pt>
                <c:pt idx="3">
                  <c:v>88150000</c:v>
                </c:pt>
                <c:pt idx="4">
                  <c:v>124040000</c:v>
                </c:pt>
                <c:pt idx="5">
                  <c:v>160840000</c:v>
                </c:pt>
                <c:pt idx="6">
                  <c:v>71337500</c:v>
                </c:pt>
                <c:pt idx="7">
                  <c:v>70490000</c:v>
                </c:pt>
                <c:pt idx="8">
                  <c:v>65377500</c:v>
                </c:pt>
                <c:pt idx="9">
                  <c:v>185650000</c:v>
                </c:pt>
              </c:numCache>
            </c:numRef>
          </c:val>
          <c:extLst>
            <c:ext xmlns:c16="http://schemas.microsoft.com/office/drawing/2014/chart" uri="{C3380CC4-5D6E-409C-BE32-E72D297353CC}">
              <c16:uniqueId val="{00000001-25EE-4214-B551-00BBF72BE32B}"/>
            </c:ext>
          </c:extLst>
        </c:ser>
        <c:dLbls>
          <c:showLegendKey val="0"/>
          <c:showVal val="0"/>
          <c:showCatName val="0"/>
          <c:showSerName val="0"/>
          <c:showPercent val="0"/>
          <c:showBubbleSize val="0"/>
        </c:dLbls>
        <c:gapWidth val="182"/>
        <c:axId val="602859039"/>
        <c:axId val="602860959"/>
      </c:barChart>
      <c:catAx>
        <c:axId val="60285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60959"/>
        <c:crosses val="autoZero"/>
        <c:auto val="1"/>
        <c:lblAlgn val="ctr"/>
        <c:lblOffset val="100"/>
        <c:noMultiLvlLbl val="0"/>
      </c:catAx>
      <c:valAx>
        <c:axId val="602860959"/>
        <c:scaling>
          <c:orientation val="minMax"/>
        </c:scaling>
        <c:delete val="0"/>
        <c:axPos val="b"/>
        <c:majorGridlines>
          <c:spPr>
            <a:ln w="9525" cap="flat" cmpd="sng" algn="ctr">
              <a:solidFill>
                <a:schemeClr val="tx1">
                  <a:lumMod val="15000"/>
                  <a:lumOff val="85000"/>
                </a:schemeClr>
              </a:solidFill>
              <a:round/>
            </a:ln>
            <a:effectLst/>
          </c:spPr>
        </c:majorGridlines>
        <c:numFmt formatCode="#,###,&quot;J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5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solidFill>
          <a:ln w="19050">
            <a:noFill/>
          </a:ln>
          <a:effectLst/>
        </c:spPr>
      </c:pivotFmt>
      <c:pivotFmt>
        <c:idx val="7"/>
        <c:spPr>
          <a:solidFill>
            <a:srgbClr val="2B8944"/>
          </a:solidFill>
          <a:ln w="19050">
            <a:noFill/>
          </a:ln>
          <a:effectLst/>
        </c:spPr>
      </c:pivotFmt>
      <c:pivotFmt>
        <c:idx val="8"/>
        <c:spPr>
          <a:solidFill>
            <a:srgbClr val="E5F230"/>
          </a:solidFill>
          <a:ln w="19050">
            <a:noFill/>
          </a:ln>
          <a:effectLst/>
        </c:spPr>
      </c:pivotFmt>
      <c:pivotFmt>
        <c:idx val="9"/>
        <c:spPr>
          <a:solidFill>
            <a:schemeClr val="accent1"/>
          </a:solidFill>
          <a:ln w="19050">
            <a:noFill/>
          </a:ln>
          <a:effectLst/>
        </c:spPr>
      </c:pivotFmt>
    </c:pivotFmts>
    <c:plotArea>
      <c:layout/>
      <c:doughnutChart>
        <c:varyColors val="1"/>
        <c:ser>
          <c:idx val="0"/>
          <c:order val="0"/>
          <c:tx>
            <c:strRef>
              <c:f>Pivot!$B$7</c:f>
              <c:strCache>
                <c:ptCount val="1"/>
                <c:pt idx="0">
                  <c:v>Total</c:v>
                </c:pt>
              </c:strCache>
            </c:strRef>
          </c:tx>
          <c:spPr>
            <a:ln>
              <a:noFill/>
            </a:ln>
          </c:spPr>
          <c:dPt>
            <c:idx val="0"/>
            <c:bubble3D val="0"/>
            <c:spPr>
              <a:solidFill>
                <a:srgbClr val="2B8944"/>
              </a:solidFill>
              <a:ln w="19050">
                <a:noFill/>
              </a:ln>
              <a:effectLst/>
            </c:spPr>
            <c:extLst>
              <c:ext xmlns:c16="http://schemas.microsoft.com/office/drawing/2014/chart" uri="{C3380CC4-5D6E-409C-BE32-E72D297353CC}">
                <c16:uniqueId val="{00000001-0790-4690-9962-1B15EB23D555}"/>
              </c:ext>
            </c:extLst>
          </c:dPt>
          <c:dPt>
            <c:idx val="1"/>
            <c:bubble3D val="0"/>
            <c:spPr>
              <a:solidFill>
                <a:srgbClr val="E5F230"/>
              </a:solidFill>
              <a:ln w="19050">
                <a:noFill/>
              </a:ln>
              <a:effectLst/>
            </c:spPr>
            <c:extLst>
              <c:ext xmlns:c16="http://schemas.microsoft.com/office/drawing/2014/chart" uri="{C3380CC4-5D6E-409C-BE32-E72D297353CC}">
                <c16:uniqueId val="{00000003-0790-4690-9962-1B15EB23D555}"/>
              </c:ext>
            </c:extLst>
          </c:dPt>
          <c:dPt>
            <c:idx val="2"/>
            <c:bubble3D val="0"/>
            <c:spPr>
              <a:solidFill>
                <a:schemeClr val="accent1"/>
              </a:solidFill>
              <a:ln w="19050">
                <a:noFill/>
              </a:ln>
              <a:effectLst/>
            </c:spPr>
            <c:extLst>
              <c:ext xmlns:c16="http://schemas.microsoft.com/office/drawing/2014/chart" uri="{C3380CC4-5D6E-409C-BE32-E72D297353CC}">
                <c16:uniqueId val="{00000005-0790-4690-9962-1B15EB23D5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Pivot!$A$8:$A$11</c:f>
              <c:strCache>
                <c:ptCount val="3"/>
                <c:pt idx="0">
                  <c:v>Promo 4.4</c:v>
                </c:pt>
                <c:pt idx="1">
                  <c:v>Promo Lebaran</c:v>
                </c:pt>
                <c:pt idx="2">
                  <c:v>Tidak Ada</c:v>
                </c:pt>
              </c:strCache>
            </c:strRef>
          </c:cat>
          <c:val>
            <c:numRef>
              <c:f>Pivot!$B$8:$B$11</c:f>
              <c:numCache>
                <c:formatCode>General</c:formatCode>
                <c:ptCount val="3"/>
                <c:pt idx="0">
                  <c:v>492</c:v>
                </c:pt>
                <c:pt idx="1">
                  <c:v>373</c:v>
                </c:pt>
                <c:pt idx="2">
                  <c:v>135</c:v>
                </c:pt>
              </c:numCache>
            </c:numRef>
          </c:val>
          <c:extLst>
            <c:ext xmlns:c16="http://schemas.microsoft.com/office/drawing/2014/chart" uri="{C3380CC4-5D6E-409C-BE32-E72D297353CC}">
              <c16:uniqueId val="{00000006-0790-4690-9962-1B15EB23D5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
          <c:y val="0"/>
          <c:w val="1"/>
          <c:h val="0.13614087181768281"/>
        </c:manualLayout>
      </c:layout>
      <c:overlay val="1"/>
      <c:spPr>
        <a:noFill/>
        <a:ln>
          <a:noFill/>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5000">
                <a:srgbClr val="2B8944"/>
              </a:gs>
              <a:gs pos="0">
                <a:srgbClr val="E5F230"/>
              </a:gs>
              <a:gs pos="100000">
                <a:srgbClr val="1A5429"/>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22013627861723E-2"/>
          <c:y val="6.2176366353523825E-2"/>
          <c:w val="0.84136551603118748"/>
          <c:h val="0.863657435647188"/>
        </c:manualLayout>
      </c:layout>
      <c:barChart>
        <c:barDir val="bar"/>
        <c:grouping val="clustered"/>
        <c:varyColors val="0"/>
        <c:ser>
          <c:idx val="0"/>
          <c:order val="0"/>
          <c:tx>
            <c:strRef>
              <c:f>Pivot!$B$13</c:f>
              <c:strCache>
                <c:ptCount val="1"/>
                <c:pt idx="0">
                  <c:v>Total</c:v>
                </c:pt>
              </c:strCache>
            </c:strRef>
          </c:tx>
          <c:spPr>
            <a:gradFill>
              <a:gsLst>
                <a:gs pos="55000">
                  <a:srgbClr val="2B8944"/>
                </a:gs>
                <a:gs pos="0">
                  <a:srgbClr val="E5F230"/>
                </a:gs>
                <a:gs pos="100000">
                  <a:srgbClr val="1A5429"/>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Pivot!$A$14:$A$20</c:f>
              <c:strCache>
                <c:ptCount val="6"/>
                <c:pt idx="0">
                  <c:v>Banten</c:v>
                </c:pt>
                <c:pt idx="1">
                  <c:v>DI Yogyakarta</c:v>
                </c:pt>
                <c:pt idx="2">
                  <c:v>Jabodetabek</c:v>
                </c:pt>
                <c:pt idx="3">
                  <c:v>Jawa Barat</c:v>
                </c:pt>
                <c:pt idx="4">
                  <c:v>Jawa Tengah</c:v>
                </c:pt>
                <c:pt idx="5">
                  <c:v>Jawa Timur</c:v>
                </c:pt>
              </c:strCache>
            </c:strRef>
          </c:cat>
          <c:val>
            <c:numRef>
              <c:f>Pivot!$B$14:$B$20</c:f>
              <c:numCache>
                <c:formatCode>#,###,"Jt"</c:formatCode>
                <c:ptCount val="6"/>
                <c:pt idx="0">
                  <c:v>99734500</c:v>
                </c:pt>
                <c:pt idx="1">
                  <c:v>174517000</c:v>
                </c:pt>
                <c:pt idx="2">
                  <c:v>343170500</c:v>
                </c:pt>
                <c:pt idx="3">
                  <c:v>61411500</c:v>
                </c:pt>
                <c:pt idx="4">
                  <c:v>154779500</c:v>
                </c:pt>
                <c:pt idx="5">
                  <c:v>148675500</c:v>
                </c:pt>
              </c:numCache>
            </c:numRef>
          </c:val>
          <c:extLst>
            <c:ext xmlns:c16="http://schemas.microsoft.com/office/drawing/2014/chart" uri="{C3380CC4-5D6E-409C-BE32-E72D297353CC}">
              <c16:uniqueId val="{00000000-64BC-40F4-A371-0E63E8917F3E}"/>
            </c:ext>
          </c:extLst>
        </c:ser>
        <c:dLbls>
          <c:showLegendKey val="0"/>
          <c:showVal val="1"/>
          <c:showCatName val="0"/>
          <c:showSerName val="0"/>
          <c:showPercent val="0"/>
          <c:showBubbleSize val="0"/>
        </c:dLbls>
        <c:gapWidth val="150"/>
        <c:overlap val="-25"/>
        <c:axId val="1149230975"/>
        <c:axId val="1149229535"/>
      </c:barChart>
      <c:catAx>
        <c:axId val="114923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9229535"/>
        <c:crosses val="autoZero"/>
        <c:auto val="1"/>
        <c:lblAlgn val="ctr"/>
        <c:lblOffset val="100"/>
        <c:noMultiLvlLbl val="0"/>
      </c:catAx>
      <c:valAx>
        <c:axId val="1149229535"/>
        <c:scaling>
          <c:orientation val="minMax"/>
          <c:max val="350000000"/>
        </c:scaling>
        <c:delete val="1"/>
        <c:axPos val="b"/>
        <c:numFmt formatCode="#,###,&quot;Jt&quot;" sourceLinked="1"/>
        <c:majorTickMark val="none"/>
        <c:minorTickMark val="none"/>
        <c:tickLblPos val="nextTo"/>
        <c:crossAx val="114923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B2.xlsx]Pivot!PivotTable36</c:name>
    <c:fmtId val="23"/>
  </c:pivotSource>
  <c:chart>
    <c:autoTitleDeleted val="0"/>
    <c:pivotFmts>
      <c:pivotFmt>
        <c:idx val="0"/>
        <c:spPr>
          <a:gradFill>
            <a:gsLst>
              <a:gs pos="74000">
                <a:srgbClr val="2B8944"/>
              </a:gs>
              <a:gs pos="100000">
                <a:srgbClr val="1E2D3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4000">
                <a:srgbClr val="2B8944"/>
              </a:gs>
              <a:gs pos="100000">
                <a:srgbClr val="1E2D3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B89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5F2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82922429763068"/>
          <c:y val="0.15100082364220596"/>
          <c:w val="0.84550823031953581"/>
          <c:h val="0.74826954595743855"/>
        </c:manualLayout>
      </c:layout>
      <c:barChart>
        <c:barDir val="col"/>
        <c:grouping val="clustered"/>
        <c:varyColors val="0"/>
        <c:ser>
          <c:idx val="0"/>
          <c:order val="0"/>
          <c:tx>
            <c:strRef>
              <c:f>Pivot!$B$22</c:f>
              <c:strCache>
                <c:ptCount val="1"/>
                <c:pt idx="0">
                  <c:v>Total Order</c:v>
                </c:pt>
              </c:strCache>
            </c:strRef>
          </c:tx>
          <c:spPr>
            <a:solidFill>
              <a:srgbClr val="2B8944"/>
            </a:solidFill>
            <a:ln>
              <a:noFill/>
            </a:ln>
            <a:effectLst/>
          </c:spPr>
          <c:invertIfNegative val="0"/>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Pivot!$B$23:$B$53</c:f>
              <c:numCache>
                <c:formatCode>General</c:formatCode>
                <c:ptCount val="30"/>
                <c:pt idx="0">
                  <c:v>89</c:v>
                </c:pt>
                <c:pt idx="1">
                  <c:v>69</c:v>
                </c:pt>
                <c:pt idx="2">
                  <c:v>80</c:v>
                </c:pt>
                <c:pt idx="3">
                  <c:v>88</c:v>
                </c:pt>
                <c:pt idx="4">
                  <c:v>78</c:v>
                </c:pt>
                <c:pt idx="5">
                  <c:v>88</c:v>
                </c:pt>
                <c:pt idx="6">
                  <c:v>18</c:v>
                </c:pt>
                <c:pt idx="7">
                  <c:v>22</c:v>
                </c:pt>
                <c:pt idx="8">
                  <c:v>16</c:v>
                </c:pt>
                <c:pt idx="9">
                  <c:v>9</c:v>
                </c:pt>
                <c:pt idx="10">
                  <c:v>11</c:v>
                </c:pt>
                <c:pt idx="11">
                  <c:v>11</c:v>
                </c:pt>
                <c:pt idx="12">
                  <c:v>18</c:v>
                </c:pt>
                <c:pt idx="13">
                  <c:v>14</c:v>
                </c:pt>
                <c:pt idx="14">
                  <c:v>16</c:v>
                </c:pt>
                <c:pt idx="15">
                  <c:v>34</c:v>
                </c:pt>
                <c:pt idx="16">
                  <c:v>28</c:v>
                </c:pt>
                <c:pt idx="17">
                  <c:v>19</c:v>
                </c:pt>
                <c:pt idx="18">
                  <c:v>21</c:v>
                </c:pt>
                <c:pt idx="19">
                  <c:v>28</c:v>
                </c:pt>
                <c:pt idx="20">
                  <c:v>27</c:v>
                </c:pt>
                <c:pt idx="21">
                  <c:v>18</c:v>
                </c:pt>
                <c:pt idx="22">
                  <c:v>18</c:v>
                </c:pt>
                <c:pt idx="23">
                  <c:v>21</c:v>
                </c:pt>
                <c:pt idx="24">
                  <c:v>26</c:v>
                </c:pt>
                <c:pt idx="25">
                  <c:v>36</c:v>
                </c:pt>
                <c:pt idx="26">
                  <c:v>20</c:v>
                </c:pt>
                <c:pt idx="27">
                  <c:v>29</c:v>
                </c:pt>
                <c:pt idx="28">
                  <c:v>22</c:v>
                </c:pt>
                <c:pt idx="29">
                  <c:v>26</c:v>
                </c:pt>
              </c:numCache>
            </c:numRef>
          </c:val>
          <c:extLst>
            <c:ext xmlns:c16="http://schemas.microsoft.com/office/drawing/2014/chart" uri="{C3380CC4-5D6E-409C-BE32-E72D297353CC}">
              <c16:uniqueId val="{00000000-CD0C-49EE-8346-6F9D0D8C873B}"/>
            </c:ext>
          </c:extLst>
        </c:ser>
        <c:dLbls>
          <c:showLegendKey val="0"/>
          <c:showVal val="0"/>
          <c:showCatName val="0"/>
          <c:showSerName val="0"/>
          <c:showPercent val="0"/>
          <c:showBubbleSize val="0"/>
        </c:dLbls>
        <c:gapWidth val="200"/>
        <c:overlap val="-27"/>
        <c:axId val="1277627039"/>
        <c:axId val="1223357695"/>
      </c:barChart>
      <c:lineChart>
        <c:grouping val="standard"/>
        <c:varyColors val="0"/>
        <c:ser>
          <c:idx val="1"/>
          <c:order val="1"/>
          <c:tx>
            <c:strRef>
              <c:f>Pivot!$C$22</c:f>
              <c:strCache>
                <c:ptCount val="1"/>
                <c:pt idx="0">
                  <c:v>Quantity</c:v>
                </c:pt>
              </c:strCache>
            </c:strRef>
          </c:tx>
          <c:spPr>
            <a:ln w="28575" cap="rnd">
              <a:solidFill>
                <a:srgbClr val="E5F230"/>
              </a:solidFill>
              <a:round/>
            </a:ln>
            <a:effectLst/>
          </c:spPr>
          <c:marker>
            <c:symbol val="none"/>
          </c:marker>
          <c:cat>
            <c:strRef>
              <c:f>Pivot!$A$23:$A$53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Pivot!$C$23:$C$53</c:f>
              <c:numCache>
                <c:formatCode>General</c:formatCode>
                <c:ptCount val="30"/>
                <c:pt idx="0">
                  <c:v>338</c:v>
                </c:pt>
                <c:pt idx="1">
                  <c:v>309</c:v>
                </c:pt>
                <c:pt idx="2">
                  <c:v>336</c:v>
                </c:pt>
                <c:pt idx="3">
                  <c:v>381</c:v>
                </c:pt>
                <c:pt idx="4">
                  <c:v>318</c:v>
                </c:pt>
                <c:pt idx="5">
                  <c:v>351</c:v>
                </c:pt>
                <c:pt idx="6">
                  <c:v>63</c:v>
                </c:pt>
                <c:pt idx="7">
                  <c:v>81</c:v>
                </c:pt>
                <c:pt idx="8">
                  <c:v>72</c:v>
                </c:pt>
                <c:pt idx="9">
                  <c:v>32</c:v>
                </c:pt>
                <c:pt idx="10">
                  <c:v>50</c:v>
                </c:pt>
                <c:pt idx="11">
                  <c:v>48</c:v>
                </c:pt>
                <c:pt idx="12">
                  <c:v>78</c:v>
                </c:pt>
                <c:pt idx="13">
                  <c:v>63</c:v>
                </c:pt>
                <c:pt idx="14">
                  <c:v>66</c:v>
                </c:pt>
                <c:pt idx="15">
                  <c:v>142</c:v>
                </c:pt>
                <c:pt idx="16">
                  <c:v>111</c:v>
                </c:pt>
                <c:pt idx="17">
                  <c:v>72</c:v>
                </c:pt>
                <c:pt idx="18">
                  <c:v>78</c:v>
                </c:pt>
                <c:pt idx="19">
                  <c:v>110</c:v>
                </c:pt>
                <c:pt idx="20">
                  <c:v>116</c:v>
                </c:pt>
                <c:pt idx="21">
                  <c:v>84</c:v>
                </c:pt>
                <c:pt idx="22">
                  <c:v>74</c:v>
                </c:pt>
                <c:pt idx="23">
                  <c:v>83</c:v>
                </c:pt>
                <c:pt idx="24">
                  <c:v>119</c:v>
                </c:pt>
                <c:pt idx="25">
                  <c:v>147</c:v>
                </c:pt>
                <c:pt idx="26">
                  <c:v>77</c:v>
                </c:pt>
                <c:pt idx="27">
                  <c:v>109</c:v>
                </c:pt>
                <c:pt idx="28">
                  <c:v>84</c:v>
                </c:pt>
                <c:pt idx="29">
                  <c:v>88</c:v>
                </c:pt>
              </c:numCache>
            </c:numRef>
          </c:val>
          <c:smooth val="1"/>
          <c:extLst>
            <c:ext xmlns:c16="http://schemas.microsoft.com/office/drawing/2014/chart" uri="{C3380CC4-5D6E-409C-BE32-E72D297353CC}">
              <c16:uniqueId val="{00000001-CD0C-49EE-8346-6F9D0D8C873B}"/>
            </c:ext>
          </c:extLst>
        </c:ser>
        <c:dLbls>
          <c:showLegendKey val="0"/>
          <c:showVal val="0"/>
          <c:showCatName val="0"/>
          <c:showSerName val="0"/>
          <c:showPercent val="0"/>
          <c:showBubbleSize val="0"/>
        </c:dLbls>
        <c:marker val="1"/>
        <c:smooth val="0"/>
        <c:axId val="1157452863"/>
        <c:axId val="536382207"/>
      </c:lineChart>
      <c:catAx>
        <c:axId val="115745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382207"/>
        <c:crosses val="autoZero"/>
        <c:auto val="1"/>
        <c:lblAlgn val="ctr"/>
        <c:lblOffset val="100"/>
        <c:noMultiLvlLbl val="0"/>
      </c:catAx>
      <c:valAx>
        <c:axId val="536382207"/>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57452863"/>
        <c:crosses val="autoZero"/>
        <c:crossBetween val="between"/>
      </c:valAx>
      <c:valAx>
        <c:axId val="1223357695"/>
        <c:scaling>
          <c:orientation val="minMax"/>
          <c:max val="9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627039"/>
        <c:crosses val="max"/>
        <c:crossBetween val="between"/>
      </c:valAx>
      <c:catAx>
        <c:axId val="1277627039"/>
        <c:scaling>
          <c:orientation val="minMax"/>
        </c:scaling>
        <c:delete val="1"/>
        <c:axPos val="b"/>
        <c:numFmt formatCode="General" sourceLinked="1"/>
        <c:majorTickMark val="out"/>
        <c:minorTickMark val="none"/>
        <c:tickLblPos val="nextTo"/>
        <c:crossAx val="12233576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B2.xlsx]Pivot!PivotTable7</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E5F230"/>
          </a:solidFill>
          <a:ln>
            <a:noFill/>
          </a:ln>
          <a:effectLst/>
        </c:spPr>
      </c:pivotFmt>
      <c:pivotFmt>
        <c:idx val="4"/>
        <c:spPr>
          <a:solidFill>
            <a:srgbClr val="2B8944"/>
          </a:solidFill>
          <a:ln>
            <a:noFill/>
          </a:ln>
          <a:effectLst/>
        </c:spPr>
      </c:pivotFmt>
      <c:pivotFmt>
        <c:idx val="5"/>
        <c:spPr>
          <a:solidFill>
            <a:schemeClr val="bg1"/>
          </a:solidFill>
          <a:ln>
            <a:noFill/>
          </a:ln>
          <a:effectLst/>
        </c:spPr>
      </c:pivotFmt>
      <c:pivotFmt>
        <c:idx val="6"/>
        <c:spPr>
          <a:solidFill>
            <a:schemeClr val="accent1"/>
          </a:solidFill>
          <a:ln>
            <a:noFill/>
          </a:ln>
          <a:effectLst/>
        </c:spPr>
      </c:pivotFmt>
    </c:pivotFmts>
    <c:plotArea>
      <c:layout/>
      <c:barChart>
        <c:barDir val="col"/>
        <c:grouping val="clustered"/>
        <c:varyColors val="0"/>
        <c:ser>
          <c:idx val="0"/>
          <c:order val="0"/>
          <c:tx>
            <c:strRef>
              <c:f>Pivot!$B$57</c:f>
              <c:strCache>
                <c:ptCount val="1"/>
                <c:pt idx="0">
                  <c:v>Total</c:v>
                </c:pt>
              </c:strCache>
            </c:strRef>
          </c:tx>
          <c:spPr>
            <a:solidFill>
              <a:schemeClr val="accent1"/>
            </a:solidFill>
            <a:ln>
              <a:noFill/>
            </a:ln>
            <a:effectLst/>
          </c:spPr>
          <c:invertIfNegative val="0"/>
          <c:dPt>
            <c:idx val="0"/>
            <c:invertIfNegative val="0"/>
            <c:bubble3D val="0"/>
            <c:spPr>
              <a:solidFill>
                <a:srgbClr val="2B8944"/>
              </a:solidFill>
              <a:ln>
                <a:noFill/>
              </a:ln>
              <a:effectLst/>
            </c:spPr>
            <c:extLst>
              <c:ext xmlns:c16="http://schemas.microsoft.com/office/drawing/2014/chart" uri="{C3380CC4-5D6E-409C-BE32-E72D297353CC}">
                <c16:uniqueId val="{00000003-3024-40EA-AFDE-5539DD917C20}"/>
              </c:ext>
            </c:extLst>
          </c:dPt>
          <c:dPt>
            <c:idx val="1"/>
            <c:invertIfNegative val="0"/>
            <c:bubble3D val="0"/>
            <c:spPr>
              <a:solidFill>
                <a:srgbClr val="E5F230"/>
              </a:solidFill>
              <a:ln>
                <a:noFill/>
              </a:ln>
              <a:effectLst/>
            </c:spPr>
            <c:extLst>
              <c:ext xmlns:c16="http://schemas.microsoft.com/office/drawing/2014/chart" uri="{C3380CC4-5D6E-409C-BE32-E72D297353CC}">
                <c16:uniqueId val="{00000002-3024-40EA-AFDE-5539DD917C2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3024-40EA-AFDE-5539DD917C20}"/>
              </c:ext>
            </c:extLst>
          </c:dPt>
          <c:dLbls>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Pivot!$A$58:$A$61</c:f>
              <c:strCache>
                <c:ptCount val="3"/>
                <c:pt idx="0">
                  <c:v>Promo 4.4</c:v>
                </c:pt>
                <c:pt idx="1">
                  <c:v>Promo Lebaran</c:v>
                </c:pt>
                <c:pt idx="2">
                  <c:v>Tidak Ada</c:v>
                </c:pt>
              </c:strCache>
            </c:strRef>
          </c:cat>
          <c:val>
            <c:numRef>
              <c:f>Pivot!$B$58:$B$61</c:f>
              <c:numCache>
                <c:formatCode>#,###,"Jt"</c:formatCode>
                <c:ptCount val="3"/>
                <c:pt idx="0">
                  <c:v>487110500</c:v>
                </c:pt>
                <c:pt idx="1">
                  <c:v>342668000</c:v>
                </c:pt>
                <c:pt idx="2">
                  <c:v>152510000</c:v>
                </c:pt>
              </c:numCache>
            </c:numRef>
          </c:val>
          <c:extLst>
            <c:ext xmlns:c16="http://schemas.microsoft.com/office/drawing/2014/chart" uri="{C3380CC4-5D6E-409C-BE32-E72D297353CC}">
              <c16:uniqueId val="{00000000-3024-40EA-AFDE-5539DD917C20}"/>
            </c:ext>
          </c:extLst>
        </c:ser>
        <c:dLbls>
          <c:showLegendKey val="0"/>
          <c:showVal val="1"/>
          <c:showCatName val="0"/>
          <c:showSerName val="0"/>
          <c:showPercent val="0"/>
          <c:showBubbleSize val="0"/>
        </c:dLbls>
        <c:gapWidth val="150"/>
        <c:overlap val="-25"/>
        <c:axId val="1074928511"/>
        <c:axId val="1074917951"/>
      </c:barChart>
      <c:catAx>
        <c:axId val="107492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4917951"/>
        <c:crosses val="autoZero"/>
        <c:auto val="1"/>
        <c:lblAlgn val="ctr"/>
        <c:lblOffset val="100"/>
        <c:noMultiLvlLbl val="0"/>
      </c:catAx>
      <c:valAx>
        <c:axId val="1074917951"/>
        <c:scaling>
          <c:orientation val="minMax"/>
        </c:scaling>
        <c:delete val="1"/>
        <c:axPos val="l"/>
        <c:numFmt formatCode="#,###,&quot;Jt&quot;" sourceLinked="1"/>
        <c:majorTickMark val="none"/>
        <c:minorTickMark val="none"/>
        <c:tickLblPos val="nextTo"/>
        <c:crossAx val="10749285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rgbClr val="2B894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5000">
                <a:srgbClr val="2B8944"/>
              </a:gs>
              <a:gs pos="0">
                <a:srgbClr val="E5F230"/>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55000">
                <a:srgbClr val="2B8944"/>
              </a:gs>
              <a:gs pos="0">
                <a:srgbClr val="E5F230"/>
              </a:gs>
            </a:gsLst>
            <a:lin ang="0" scaled="1"/>
          </a:gradFill>
          <a:ln>
            <a:noFill/>
          </a:ln>
          <a:effectLst/>
        </c:spPr>
      </c:pivotFmt>
    </c:pivotFmts>
    <c:plotArea>
      <c:layout/>
      <c:barChart>
        <c:barDir val="bar"/>
        <c:grouping val="clustered"/>
        <c:varyColors val="0"/>
        <c:ser>
          <c:idx val="0"/>
          <c:order val="0"/>
          <c:tx>
            <c:strRef>
              <c:f>Pivot!$N$2</c:f>
              <c:strCache>
                <c:ptCount val="1"/>
                <c:pt idx="0">
                  <c:v>Total</c:v>
                </c:pt>
              </c:strCache>
            </c:strRef>
          </c:tx>
          <c:spPr>
            <a:gradFill>
              <a:gsLst>
                <a:gs pos="55000">
                  <a:srgbClr val="2B8944"/>
                </a:gs>
                <a:gs pos="0">
                  <a:srgbClr val="E5F230"/>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Pivot!$M$3:$M$13</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Pivot!$N$3:$N$13</c:f>
              <c:numCache>
                <c:formatCode>General</c:formatCode>
                <c:ptCount val="10"/>
                <c:pt idx="0">
                  <c:v>430</c:v>
                </c:pt>
                <c:pt idx="1">
                  <c:v>384</c:v>
                </c:pt>
                <c:pt idx="2">
                  <c:v>372</c:v>
                </c:pt>
                <c:pt idx="3">
                  <c:v>403</c:v>
                </c:pt>
                <c:pt idx="4">
                  <c:v>405</c:v>
                </c:pt>
                <c:pt idx="5">
                  <c:v>451</c:v>
                </c:pt>
                <c:pt idx="6">
                  <c:v>322</c:v>
                </c:pt>
                <c:pt idx="7">
                  <c:v>399</c:v>
                </c:pt>
                <c:pt idx="8">
                  <c:v>492</c:v>
                </c:pt>
                <c:pt idx="9">
                  <c:v>422</c:v>
                </c:pt>
              </c:numCache>
            </c:numRef>
          </c:val>
          <c:extLst>
            <c:ext xmlns:c16="http://schemas.microsoft.com/office/drawing/2014/chart" uri="{C3380CC4-5D6E-409C-BE32-E72D297353CC}">
              <c16:uniqueId val="{00000000-3096-4A77-A8DB-E886147A4E6E}"/>
            </c:ext>
          </c:extLst>
        </c:ser>
        <c:dLbls>
          <c:showLegendKey val="0"/>
          <c:showVal val="1"/>
          <c:showCatName val="0"/>
          <c:showSerName val="0"/>
          <c:showPercent val="0"/>
          <c:showBubbleSize val="0"/>
        </c:dLbls>
        <c:gapWidth val="75"/>
        <c:axId val="272722224"/>
        <c:axId val="272721744"/>
      </c:barChart>
      <c:catAx>
        <c:axId val="27272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2721744"/>
        <c:crosses val="autoZero"/>
        <c:auto val="1"/>
        <c:lblAlgn val="ctr"/>
        <c:lblOffset val="100"/>
        <c:noMultiLvlLbl val="0"/>
      </c:catAx>
      <c:valAx>
        <c:axId val="272721744"/>
        <c:scaling>
          <c:orientation val="minMax"/>
        </c:scaling>
        <c:delete val="1"/>
        <c:axPos val="b"/>
        <c:numFmt formatCode="General" sourceLinked="1"/>
        <c:majorTickMark val="none"/>
        <c:minorTickMark val="none"/>
        <c:tickLblPos val="nextTo"/>
        <c:crossAx val="27272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Brand Fashion v2 - B2.xlsx]Pivot!PivotTable2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B89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5F2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Pivot!$N$15</c:f>
              <c:strCache>
                <c:ptCount val="1"/>
                <c:pt idx="0">
                  <c:v>Profit</c:v>
                </c:pt>
              </c:strCache>
            </c:strRef>
          </c:tx>
          <c:spPr>
            <a:solidFill>
              <a:srgbClr val="2B8944"/>
            </a:solidFill>
            <a:ln>
              <a:noFill/>
            </a:ln>
            <a:effectLst/>
          </c:spPr>
          <c:invertIfNegative val="0"/>
          <c:cat>
            <c:strRef>
              <c:f>Pivot!$M$16:$M$26</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Pivot!$N$16:$N$26</c:f>
              <c:numCache>
                <c:formatCode>#,###,"Jt"</c:formatCode>
                <c:ptCount val="10"/>
                <c:pt idx="0">
                  <c:v>13482500</c:v>
                </c:pt>
                <c:pt idx="1">
                  <c:v>18906000</c:v>
                </c:pt>
                <c:pt idx="2">
                  <c:v>24375000</c:v>
                </c:pt>
                <c:pt idx="3">
                  <c:v>27700000</c:v>
                </c:pt>
                <c:pt idx="4">
                  <c:v>34940000</c:v>
                </c:pt>
                <c:pt idx="5">
                  <c:v>48090000</c:v>
                </c:pt>
                <c:pt idx="6">
                  <c:v>23037500</c:v>
                </c:pt>
                <c:pt idx="7">
                  <c:v>22610000</c:v>
                </c:pt>
                <c:pt idx="8">
                  <c:v>21097500</c:v>
                </c:pt>
                <c:pt idx="9">
                  <c:v>59050000</c:v>
                </c:pt>
              </c:numCache>
            </c:numRef>
          </c:val>
          <c:extLst>
            <c:ext xmlns:c16="http://schemas.microsoft.com/office/drawing/2014/chart" uri="{C3380CC4-5D6E-409C-BE32-E72D297353CC}">
              <c16:uniqueId val="{00000000-CCF2-41B7-ABB5-1A50B6E88755}"/>
            </c:ext>
          </c:extLst>
        </c:ser>
        <c:ser>
          <c:idx val="1"/>
          <c:order val="1"/>
          <c:tx>
            <c:strRef>
              <c:f>Pivot!$O$15</c:f>
              <c:strCache>
                <c:ptCount val="1"/>
                <c:pt idx="0">
                  <c:v>Transaksi</c:v>
                </c:pt>
              </c:strCache>
            </c:strRef>
          </c:tx>
          <c:spPr>
            <a:solidFill>
              <a:srgbClr val="E5F230"/>
            </a:solidFill>
            <a:ln>
              <a:noFill/>
            </a:ln>
            <a:effectLst/>
          </c:spPr>
          <c:invertIfNegative val="0"/>
          <c:cat>
            <c:strRef>
              <c:f>Pivot!$M$16:$M$26</c:f>
              <c:strCache>
                <c:ptCount val="10"/>
                <c:pt idx="0">
                  <c:v>Blouse</c:v>
                </c:pt>
                <c:pt idx="1">
                  <c:v>Celana Pendek</c:v>
                </c:pt>
                <c:pt idx="2">
                  <c:v>Dress</c:v>
                </c:pt>
                <c:pt idx="3">
                  <c:v>Flat Shoes</c:v>
                </c:pt>
                <c:pt idx="4">
                  <c:v>Jaket Hoodie</c:v>
                </c:pt>
                <c:pt idx="5">
                  <c:v>Jaket Jeans</c:v>
                </c:pt>
                <c:pt idx="6">
                  <c:v>Kaftan</c:v>
                </c:pt>
                <c:pt idx="7">
                  <c:v>Kaos Polo</c:v>
                </c:pt>
                <c:pt idx="8">
                  <c:v>Sandal Slip On</c:v>
                </c:pt>
                <c:pt idx="9">
                  <c:v>Sneakers</c:v>
                </c:pt>
              </c:strCache>
            </c:strRef>
          </c:cat>
          <c:val>
            <c:numRef>
              <c:f>Pivot!$O$16:$O$26</c:f>
              <c:numCache>
                <c:formatCode>#,###,"Jt"</c:formatCode>
                <c:ptCount val="10"/>
                <c:pt idx="0">
                  <c:v>56482500</c:v>
                </c:pt>
                <c:pt idx="1">
                  <c:v>61146000</c:v>
                </c:pt>
                <c:pt idx="2">
                  <c:v>98775000</c:v>
                </c:pt>
                <c:pt idx="3">
                  <c:v>88150000</c:v>
                </c:pt>
                <c:pt idx="4">
                  <c:v>124040000</c:v>
                </c:pt>
                <c:pt idx="5">
                  <c:v>160840000</c:v>
                </c:pt>
                <c:pt idx="6">
                  <c:v>71337500</c:v>
                </c:pt>
                <c:pt idx="7">
                  <c:v>70490000</c:v>
                </c:pt>
                <c:pt idx="8">
                  <c:v>65377500</c:v>
                </c:pt>
                <c:pt idx="9">
                  <c:v>185650000</c:v>
                </c:pt>
              </c:numCache>
            </c:numRef>
          </c:val>
          <c:extLst>
            <c:ext xmlns:c16="http://schemas.microsoft.com/office/drawing/2014/chart" uri="{C3380CC4-5D6E-409C-BE32-E72D297353CC}">
              <c16:uniqueId val="{00000001-CCF2-41B7-ABB5-1A50B6E88755}"/>
            </c:ext>
          </c:extLst>
        </c:ser>
        <c:dLbls>
          <c:showLegendKey val="0"/>
          <c:showVal val="0"/>
          <c:showCatName val="0"/>
          <c:showSerName val="0"/>
          <c:showPercent val="0"/>
          <c:showBubbleSize val="0"/>
        </c:dLbls>
        <c:gapWidth val="182"/>
        <c:axId val="602859039"/>
        <c:axId val="602860959"/>
      </c:barChart>
      <c:catAx>
        <c:axId val="60285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2860959"/>
        <c:crosses val="autoZero"/>
        <c:auto val="1"/>
        <c:lblAlgn val="ctr"/>
        <c:lblOffset val="100"/>
        <c:noMultiLvlLbl val="0"/>
      </c:catAx>
      <c:valAx>
        <c:axId val="602860959"/>
        <c:scaling>
          <c:orientation val="minMax"/>
        </c:scaling>
        <c:delete val="0"/>
        <c:axPos val="b"/>
        <c:majorGridlines>
          <c:spPr>
            <a:ln w="9525" cap="flat" cmpd="sng" algn="ctr">
              <a:solidFill>
                <a:schemeClr val="tx1">
                  <a:lumMod val="15000"/>
                  <a:lumOff val="85000"/>
                </a:schemeClr>
              </a:solidFill>
              <a:round/>
            </a:ln>
            <a:effectLst/>
          </c:spPr>
        </c:majorGridlines>
        <c:numFmt formatCode="#,##0,&quot;J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2859039"/>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rgbClr val="2B894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8.xml"/><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5</xdr:col>
      <xdr:colOff>992620</xdr:colOff>
      <xdr:row>0</xdr:row>
      <xdr:rowOff>134054</xdr:rowOff>
    </xdr:from>
    <xdr:to>
      <xdr:col>7</xdr:col>
      <xdr:colOff>462390</xdr:colOff>
      <xdr:row>7</xdr:row>
      <xdr:rowOff>143621</xdr:rowOff>
    </xdr:to>
    <mc:AlternateContent xmlns:mc="http://schemas.openxmlformats.org/markup-compatibility/2006" xmlns:a14="http://schemas.microsoft.com/office/drawing/2010/main">
      <mc:Choice Requires="a14">
        <xdr:graphicFrame macro="">
          <xdr:nvGraphicFramePr>
            <xdr:cNvPr id="5" name="Marketplace 1">
              <a:extLst>
                <a:ext uri="{FF2B5EF4-FFF2-40B4-BE49-F238E27FC236}">
                  <a16:creationId xmlns:a16="http://schemas.microsoft.com/office/drawing/2014/main" id="{D7452DB5-A132-43B3-BD62-4379294C2761}"/>
                </a:ext>
              </a:extLst>
            </xdr:cNvPr>
            <xdr:cNvGraphicFramePr/>
          </xdr:nvGraphicFramePr>
          <xdr:xfrm>
            <a:off x="0" y="0"/>
            <a:ext cx="0" cy="0"/>
          </xdr:xfrm>
          <a:graphic>
            <a:graphicData uri="http://schemas.microsoft.com/office/drawing/2010/slicer">
              <sle:slicer xmlns:sle="http://schemas.microsoft.com/office/drawing/2010/slicer" name="Marketplace 1"/>
            </a:graphicData>
          </a:graphic>
        </xdr:graphicFrame>
      </mc:Choice>
      <mc:Fallback xmlns="">
        <xdr:sp macro="" textlink="">
          <xdr:nvSpPr>
            <xdr:cNvPr id="0" name=""/>
            <xdr:cNvSpPr>
              <a:spLocks noTextEdit="1"/>
            </xdr:cNvSpPr>
          </xdr:nvSpPr>
          <xdr:spPr>
            <a:xfrm>
              <a:off x="5542208" y="134054"/>
              <a:ext cx="1696006" cy="118244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288224</xdr:colOff>
      <xdr:row>19</xdr:row>
      <xdr:rowOff>83786</xdr:rowOff>
    </xdr:from>
    <xdr:to>
      <xdr:col>8</xdr:col>
      <xdr:colOff>427181</xdr:colOff>
      <xdr:row>33</xdr:row>
      <xdr:rowOff>88993</xdr:rowOff>
    </xdr:to>
    <xdr:graphicFrame macro="">
      <xdr:nvGraphicFramePr>
        <xdr:cNvPr id="10" name="Chart 9">
          <a:extLst>
            <a:ext uri="{FF2B5EF4-FFF2-40B4-BE49-F238E27FC236}">
              <a16:creationId xmlns:a16="http://schemas.microsoft.com/office/drawing/2014/main" id="{20942A24-DF25-1877-E482-4994747EE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293174</xdr:colOff>
      <xdr:row>34</xdr:row>
      <xdr:rowOff>32824</xdr:rowOff>
    </xdr:from>
    <xdr:to>
      <xdr:col>7</xdr:col>
      <xdr:colOff>524084</xdr:colOff>
      <xdr:row>53</xdr:row>
      <xdr:rowOff>109023</xdr:rowOff>
    </xdr:to>
    <xdr:graphicFrame macro="">
      <xdr:nvGraphicFramePr>
        <xdr:cNvPr id="2" name="Chart 1">
          <a:extLst>
            <a:ext uri="{FF2B5EF4-FFF2-40B4-BE49-F238E27FC236}">
              <a16:creationId xmlns:a16="http://schemas.microsoft.com/office/drawing/2014/main" id="{A299070C-ABDC-6DE6-949F-C5B8DCA28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247402</xdr:colOff>
      <xdr:row>54</xdr:row>
      <xdr:rowOff>102097</xdr:rowOff>
    </xdr:from>
    <xdr:to>
      <xdr:col>13</xdr:col>
      <xdr:colOff>1374734</xdr:colOff>
      <xdr:row>71</xdr:row>
      <xdr:rowOff>95830</xdr:rowOff>
    </xdr:to>
    <xdr:graphicFrame macro="">
      <xdr:nvGraphicFramePr>
        <xdr:cNvPr id="3" name="Chart 2">
          <a:extLst>
            <a:ext uri="{FF2B5EF4-FFF2-40B4-BE49-F238E27FC236}">
              <a16:creationId xmlns:a16="http://schemas.microsoft.com/office/drawing/2014/main" id="{58970CC8-C7A0-4BE6-5CFA-5A284B341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249792</xdr:colOff>
      <xdr:row>72</xdr:row>
      <xdr:rowOff>68449</xdr:rowOff>
    </xdr:from>
    <xdr:to>
      <xdr:col>7</xdr:col>
      <xdr:colOff>248885</xdr:colOff>
      <xdr:row>89</xdr:row>
      <xdr:rowOff>114548</xdr:rowOff>
    </xdr:to>
    <xdr:graphicFrame macro="">
      <xdr:nvGraphicFramePr>
        <xdr:cNvPr id="7" name="Chart 6">
          <a:extLst>
            <a:ext uri="{FF2B5EF4-FFF2-40B4-BE49-F238E27FC236}">
              <a16:creationId xmlns:a16="http://schemas.microsoft.com/office/drawing/2014/main" id="{BBA6478A-BFFE-A7A4-9DBD-8404D62BE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483260</xdr:colOff>
      <xdr:row>72</xdr:row>
      <xdr:rowOff>127659</xdr:rowOff>
    </xdr:from>
    <xdr:to>
      <xdr:col>13</xdr:col>
      <xdr:colOff>23092</xdr:colOff>
      <xdr:row>89</xdr:row>
      <xdr:rowOff>123041</xdr:rowOff>
    </xdr:to>
    <xdr:graphicFrame macro="">
      <xdr:nvGraphicFramePr>
        <xdr:cNvPr id="11" name="Chart 10">
          <a:extLst>
            <a:ext uri="{FF2B5EF4-FFF2-40B4-BE49-F238E27FC236}">
              <a16:creationId xmlns:a16="http://schemas.microsoft.com/office/drawing/2014/main" id="{7EE3797D-0BE0-1847-D973-75FBDFBFE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354943</xdr:colOff>
      <xdr:row>21</xdr:row>
      <xdr:rowOff>18144</xdr:rowOff>
    </xdr:from>
    <xdr:to>
      <xdr:col>11</xdr:col>
      <xdr:colOff>526146</xdr:colOff>
      <xdr:row>30</xdr:row>
      <xdr:rowOff>99209</xdr:rowOff>
    </xdr:to>
    <mc:AlternateContent xmlns:mc="http://schemas.openxmlformats.org/markup-compatibility/2006" xmlns:a14="http://schemas.microsoft.com/office/drawing/2010/main">
      <mc:Choice Requires="a14">
        <xdr:graphicFrame macro="">
          <xdr:nvGraphicFramePr>
            <xdr:cNvPr id="12" name="kategori">
              <a:extLst>
                <a:ext uri="{FF2B5EF4-FFF2-40B4-BE49-F238E27FC236}">
                  <a16:creationId xmlns:a16="http://schemas.microsoft.com/office/drawing/2014/main" id="{258A5C5F-D7E4-99A4-F1B2-36A1519D850B}"/>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mlns="">
        <xdr:sp macro="" textlink="">
          <xdr:nvSpPr>
            <xdr:cNvPr id="0" name=""/>
            <xdr:cNvSpPr>
              <a:spLocks noTextEdit="1"/>
            </xdr:cNvSpPr>
          </xdr:nvSpPr>
          <xdr:spPr>
            <a:xfrm>
              <a:off x="8834061" y="3387379"/>
              <a:ext cx="1814731" cy="149300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689429</xdr:colOff>
      <xdr:row>0</xdr:row>
      <xdr:rowOff>143329</xdr:rowOff>
    </xdr:from>
    <xdr:to>
      <xdr:col>21</xdr:col>
      <xdr:colOff>435429</xdr:colOff>
      <xdr:row>17</xdr:row>
      <xdr:rowOff>56243</xdr:rowOff>
    </xdr:to>
    <xdr:graphicFrame macro="">
      <xdr:nvGraphicFramePr>
        <xdr:cNvPr id="6" name="Chart 5">
          <a:extLst>
            <a:ext uri="{FF2B5EF4-FFF2-40B4-BE49-F238E27FC236}">
              <a16:creationId xmlns:a16="http://schemas.microsoft.com/office/drawing/2014/main" id="{1EF79F8E-3D2A-AD8F-6C55-7841B9342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762000</xdr:colOff>
      <xdr:row>18</xdr:row>
      <xdr:rowOff>88901</xdr:rowOff>
    </xdr:from>
    <xdr:to>
      <xdr:col>21</xdr:col>
      <xdr:colOff>508000</xdr:colOff>
      <xdr:row>35</xdr:row>
      <xdr:rowOff>56243</xdr:rowOff>
    </xdr:to>
    <xdr:graphicFrame macro="">
      <xdr:nvGraphicFramePr>
        <xdr:cNvPr id="4" name="Chart 3">
          <a:extLst>
            <a:ext uri="{FF2B5EF4-FFF2-40B4-BE49-F238E27FC236}">
              <a16:creationId xmlns:a16="http://schemas.microsoft.com/office/drawing/2014/main" id="{6370BA5F-95C5-8AAA-A1ED-A032C29BA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489686</xdr:colOff>
      <xdr:row>1</xdr:row>
      <xdr:rowOff>16333</xdr:rowOff>
    </xdr:from>
    <xdr:to>
      <xdr:col>9</xdr:col>
      <xdr:colOff>607692</xdr:colOff>
      <xdr:row>8</xdr:row>
      <xdr:rowOff>115744</xdr:rowOff>
    </xdr:to>
    <mc:AlternateContent xmlns:mc="http://schemas.openxmlformats.org/markup-compatibility/2006" xmlns:a14="http://schemas.microsoft.com/office/drawing/2010/main">
      <mc:Choice Requires="a14">
        <xdr:graphicFrame macro="">
          <xdr:nvGraphicFramePr>
            <xdr:cNvPr id="8" name="Minggu Terjual">
              <a:extLst>
                <a:ext uri="{FF2B5EF4-FFF2-40B4-BE49-F238E27FC236}">
                  <a16:creationId xmlns:a16="http://schemas.microsoft.com/office/drawing/2014/main" id="{7FA31656-E289-95A2-3FB5-4E37F2C2D3E6}"/>
                </a:ext>
              </a:extLst>
            </xdr:cNvPr>
            <xdr:cNvGraphicFramePr/>
          </xdr:nvGraphicFramePr>
          <xdr:xfrm>
            <a:off x="0" y="0"/>
            <a:ext cx="0" cy="0"/>
          </xdr:xfrm>
          <a:graphic>
            <a:graphicData uri="http://schemas.microsoft.com/office/drawing/2010/slicer">
              <sle:slicer xmlns:sle="http://schemas.microsoft.com/office/drawing/2010/slicer" name="Minggu Terjual"/>
            </a:graphicData>
          </a:graphic>
        </xdr:graphicFrame>
      </mc:Choice>
      <mc:Fallback xmlns="">
        <xdr:sp macro="" textlink="">
          <xdr:nvSpPr>
            <xdr:cNvPr id="0" name=""/>
            <xdr:cNvSpPr>
              <a:spLocks noTextEdit="1"/>
            </xdr:cNvSpPr>
          </xdr:nvSpPr>
          <xdr:spPr>
            <a:xfrm>
              <a:off x="7265510" y="173215"/>
              <a:ext cx="1821300" cy="12722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69850</xdr:colOff>
      <xdr:row>12</xdr:row>
      <xdr:rowOff>122959</xdr:rowOff>
    </xdr:from>
    <xdr:to>
      <xdr:col>7</xdr:col>
      <xdr:colOff>12700</xdr:colOff>
      <xdr:row>31</xdr:row>
      <xdr:rowOff>76200</xdr:rowOff>
    </xdr:to>
    <xdr:sp macro="" textlink="">
      <xdr:nvSpPr>
        <xdr:cNvPr id="69" name="Rectangle: Rounded Corners 68">
          <a:extLst>
            <a:ext uri="{FF2B5EF4-FFF2-40B4-BE49-F238E27FC236}">
              <a16:creationId xmlns:a16="http://schemas.microsoft.com/office/drawing/2014/main" id="{06B72340-C8F4-8B1B-8319-40C6CDCBED76}"/>
            </a:ext>
          </a:extLst>
        </xdr:cNvPr>
        <xdr:cNvSpPr/>
      </xdr:nvSpPr>
      <xdr:spPr>
        <a:xfrm>
          <a:off x="69850" y="2027959"/>
          <a:ext cx="4210050" cy="2969491"/>
        </a:xfrm>
        <a:prstGeom prst="roundRect">
          <a:avLst/>
        </a:prstGeom>
        <a:gradFill>
          <a:gsLst>
            <a:gs pos="100000">
              <a:srgbClr val="2F292D"/>
            </a:gs>
            <a:gs pos="56900">
              <a:srgbClr val="232227"/>
            </a:gs>
            <a:gs pos="0">
              <a:srgbClr val="1E2D31"/>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51758</xdr:colOff>
      <xdr:row>2</xdr:row>
      <xdr:rowOff>73923</xdr:rowOff>
    </xdr:from>
    <xdr:to>
      <xdr:col>4</xdr:col>
      <xdr:colOff>249208</xdr:colOff>
      <xdr:row>4</xdr:row>
      <xdr:rowOff>73923</xdr:rowOff>
    </xdr:to>
    <xdr:sp macro="" textlink="">
      <xdr:nvSpPr>
        <xdr:cNvPr id="7" name="Rectangle: Rounded Corners 6">
          <a:extLst>
            <a:ext uri="{FF2B5EF4-FFF2-40B4-BE49-F238E27FC236}">
              <a16:creationId xmlns:a16="http://schemas.microsoft.com/office/drawing/2014/main" id="{500CF880-F26F-4003-9913-8EC3E03211E8}"/>
            </a:ext>
          </a:extLst>
        </xdr:cNvPr>
        <xdr:cNvSpPr/>
      </xdr:nvSpPr>
      <xdr:spPr>
        <a:xfrm>
          <a:off x="660400" y="390225"/>
          <a:ext cx="2023374" cy="3163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600">
            <a:solidFill>
              <a:schemeClr val="tx1"/>
            </a:solidFill>
          </a:endParaRPr>
        </a:p>
      </xdr:txBody>
    </xdr:sp>
    <xdr:clientData/>
  </xdr:twoCellAnchor>
  <xdr:twoCellAnchor>
    <xdr:from>
      <xdr:col>1</xdr:col>
      <xdr:colOff>524050</xdr:colOff>
      <xdr:row>0</xdr:row>
      <xdr:rowOff>52456</xdr:rowOff>
    </xdr:from>
    <xdr:to>
      <xdr:col>4</xdr:col>
      <xdr:colOff>491435</xdr:colOff>
      <xdr:row>3</xdr:row>
      <xdr:rowOff>24848</xdr:rowOff>
    </xdr:to>
    <xdr:sp macro="" textlink="">
      <xdr:nvSpPr>
        <xdr:cNvPr id="20" name="Rectangle: Rounded Corners 19">
          <a:extLst>
            <a:ext uri="{FF2B5EF4-FFF2-40B4-BE49-F238E27FC236}">
              <a16:creationId xmlns:a16="http://schemas.microsoft.com/office/drawing/2014/main" id="{5482635D-2832-0B0B-58D2-F7BE8CACE5C5}"/>
            </a:ext>
          </a:extLst>
        </xdr:cNvPr>
        <xdr:cNvSpPr/>
      </xdr:nvSpPr>
      <xdr:spPr>
        <a:xfrm>
          <a:off x="1131441" y="52456"/>
          <a:ext cx="1789559" cy="4527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latin typeface="HelveticaNowText Black" panose="020B0A04030202020204" pitchFamily="34" charset="0"/>
            <a:cs typeface="HelveticaNowText Black" panose="020B0A04030202020204" pitchFamily="34" charset="0"/>
          </a:endParaRPr>
        </a:p>
      </xdr:txBody>
    </xdr:sp>
    <xdr:clientData/>
  </xdr:twoCellAnchor>
  <xdr:twoCellAnchor>
    <xdr:from>
      <xdr:col>0</xdr:col>
      <xdr:colOff>0</xdr:colOff>
      <xdr:row>0</xdr:row>
      <xdr:rowOff>38140</xdr:rowOff>
    </xdr:from>
    <xdr:to>
      <xdr:col>36</xdr:col>
      <xdr:colOff>292100</xdr:colOff>
      <xdr:row>66</xdr:row>
      <xdr:rowOff>115455</xdr:rowOff>
    </xdr:to>
    <xdr:sp macro="" textlink="">
      <xdr:nvSpPr>
        <xdr:cNvPr id="25" name="Rectangle: Rounded Corners 24">
          <a:extLst>
            <a:ext uri="{FF2B5EF4-FFF2-40B4-BE49-F238E27FC236}">
              <a16:creationId xmlns:a16="http://schemas.microsoft.com/office/drawing/2014/main" id="{5EEFE79E-F0C2-93AB-D674-4901C4921857}"/>
            </a:ext>
          </a:extLst>
        </xdr:cNvPr>
        <xdr:cNvSpPr/>
      </xdr:nvSpPr>
      <xdr:spPr>
        <a:xfrm>
          <a:off x="0" y="38140"/>
          <a:ext cx="22237700" cy="10554815"/>
        </a:xfrm>
        <a:prstGeom prst="roundRect">
          <a:avLst>
            <a:gd name="adj" fmla="val 3562"/>
          </a:avLst>
        </a:prstGeom>
        <a:solidFill>
          <a:srgbClr val="2B89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chemeClr val="tx1"/>
            </a:solidFill>
          </a:endParaRPr>
        </a:p>
      </xdr:txBody>
    </xdr:sp>
    <xdr:clientData/>
  </xdr:twoCellAnchor>
  <xdr:twoCellAnchor>
    <xdr:from>
      <xdr:col>0</xdr:col>
      <xdr:colOff>97384</xdr:colOff>
      <xdr:row>0</xdr:row>
      <xdr:rowOff>135601</xdr:rowOff>
    </xdr:from>
    <xdr:to>
      <xdr:col>36</xdr:col>
      <xdr:colOff>233219</xdr:colOff>
      <xdr:row>66</xdr:row>
      <xdr:rowOff>8601</xdr:rowOff>
    </xdr:to>
    <xdr:sp macro="" textlink="">
      <xdr:nvSpPr>
        <xdr:cNvPr id="29" name="Rectangle: Rounded Corners 28">
          <a:extLst>
            <a:ext uri="{FF2B5EF4-FFF2-40B4-BE49-F238E27FC236}">
              <a16:creationId xmlns:a16="http://schemas.microsoft.com/office/drawing/2014/main" id="{A29272DA-8954-44B3-9C90-286D7649B4C4}"/>
            </a:ext>
          </a:extLst>
        </xdr:cNvPr>
        <xdr:cNvSpPr/>
      </xdr:nvSpPr>
      <xdr:spPr>
        <a:xfrm>
          <a:off x="97384" y="135601"/>
          <a:ext cx="22001922" cy="10441609"/>
        </a:xfrm>
        <a:prstGeom prst="roundRect">
          <a:avLst>
            <a:gd name="adj" fmla="val 3562"/>
          </a:avLst>
        </a:prstGeom>
        <a:gradFill>
          <a:gsLst>
            <a:gs pos="55000">
              <a:srgbClr val="232227">
                <a:lumMod val="99000"/>
              </a:srgbClr>
            </a:gs>
            <a:gs pos="0">
              <a:srgbClr val="1E2D31"/>
            </a:gs>
            <a:gs pos="100000">
              <a:srgbClr val="2F292D"/>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p>
      </xdr:txBody>
    </xdr:sp>
    <xdr:clientData/>
  </xdr:twoCellAnchor>
  <xdr:twoCellAnchor>
    <xdr:from>
      <xdr:col>1</xdr:col>
      <xdr:colOff>76202</xdr:colOff>
      <xdr:row>2</xdr:row>
      <xdr:rowOff>43544</xdr:rowOff>
    </xdr:from>
    <xdr:to>
      <xdr:col>3</xdr:col>
      <xdr:colOff>123372</xdr:colOff>
      <xdr:row>4</xdr:row>
      <xdr:rowOff>10886</xdr:rowOff>
    </xdr:to>
    <xdr:sp macro="" textlink="">
      <xdr:nvSpPr>
        <xdr:cNvPr id="36" name="Rectangle: Rounded Corners 35">
          <a:extLst>
            <a:ext uri="{FF2B5EF4-FFF2-40B4-BE49-F238E27FC236}">
              <a16:creationId xmlns:a16="http://schemas.microsoft.com/office/drawing/2014/main" id="{4DDAF082-77C6-E334-D3A0-506526136E71}"/>
            </a:ext>
          </a:extLst>
        </xdr:cNvPr>
        <xdr:cNvSpPr/>
      </xdr:nvSpPr>
      <xdr:spPr>
        <a:xfrm>
          <a:off x="685802" y="362858"/>
          <a:ext cx="1266370" cy="2866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latin typeface="HelveticaNowText Black" panose="020B0A04030202020204" pitchFamily="34" charset="0"/>
            <a:cs typeface="HelveticaNowText Black" panose="020B0A04030202020204" pitchFamily="34" charset="0"/>
          </a:endParaRPr>
        </a:p>
      </xdr:txBody>
    </xdr:sp>
    <xdr:clientData/>
  </xdr:twoCellAnchor>
  <xdr:twoCellAnchor>
    <xdr:from>
      <xdr:col>0</xdr:col>
      <xdr:colOff>591276</xdr:colOff>
      <xdr:row>2</xdr:row>
      <xdr:rowOff>13511</xdr:rowOff>
    </xdr:from>
    <xdr:to>
      <xdr:col>4</xdr:col>
      <xdr:colOff>396518</xdr:colOff>
      <xdr:row>4</xdr:row>
      <xdr:rowOff>75813</xdr:rowOff>
    </xdr:to>
    <xdr:sp macro="" textlink="">
      <xdr:nvSpPr>
        <xdr:cNvPr id="37" name="Rectangle: Rounded Corners 36">
          <a:extLst>
            <a:ext uri="{FF2B5EF4-FFF2-40B4-BE49-F238E27FC236}">
              <a16:creationId xmlns:a16="http://schemas.microsoft.com/office/drawing/2014/main" id="{63839A61-1313-CAF1-F148-680829D0C1D8}"/>
            </a:ext>
          </a:extLst>
        </xdr:cNvPr>
        <xdr:cNvSpPr/>
      </xdr:nvSpPr>
      <xdr:spPr>
        <a:xfrm>
          <a:off x="591276" y="332362"/>
          <a:ext cx="2247965" cy="3811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ID" sz="2000">
            <a:latin typeface="HelveticaNowText Black" panose="020B0A04030202020204" pitchFamily="34" charset="0"/>
            <a:cs typeface="HelveticaNowText Black" panose="020B0A04030202020204" pitchFamily="34" charset="0"/>
          </a:endParaRPr>
        </a:p>
      </xdr:txBody>
    </xdr:sp>
    <xdr:clientData/>
  </xdr:twoCellAnchor>
  <xdr:twoCellAnchor editAs="oneCell">
    <xdr:from>
      <xdr:col>0</xdr:col>
      <xdr:colOff>450271</xdr:colOff>
      <xdr:row>18</xdr:row>
      <xdr:rowOff>150629</xdr:rowOff>
    </xdr:from>
    <xdr:to>
      <xdr:col>9</xdr:col>
      <xdr:colOff>404091</xdr:colOff>
      <xdr:row>27</xdr:row>
      <xdr:rowOff>105997</xdr:rowOff>
    </xdr:to>
    <mc:AlternateContent xmlns:mc="http://schemas.openxmlformats.org/markup-compatibility/2006" xmlns:a14="http://schemas.microsoft.com/office/drawing/2010/main">
      <mc:Choice Requires="a14">
        <xdr:graphicFrame macro="">
          <xdr:nvGraphicFramePr>
            <xdr:cNvPr id="58" name="Marketplace 2">
              <a:extLst>
                <a:ext uri="{FF2B5EF4-FFF2-40B4-BE49-F238E27FC236}">
                  <a16:creationId xmlns:a16="http://schemas.microsoft.com/office/drawing/2014/main" id="{6E17D7D8-3842-40E5-BAF9-F7C62F095303}"/>
                </a:ext>
              </a:extLst>
            </xdr:cNvPr>
            <xdr:cNvGraphicFramePr/>
          </xdr:nvGraphicFramePr>
          <xdr:xfrm>
            <a:off x="0" y="0"/>
            <a:ext cx="0" cy="0"/>
          </xdr:xfrm>
          <a:graphic>
            <a:graphicData uri="http://schemas.microsoft.com/office/drawing/2010/slicer">
              <sle:slicer xmlns:sle="http://schemas.microsoft.com/office/drawing/2010/slicer" name="Marketplace 2"/>
            </a:graphicData>
          </a:graphic>
        </xdr:graphicFrame>
      </mc:Choice>
      <mc:Fallback xmlns="">
        <xdr:sp macro="" textlink="">
          <xdr:nvSpPr>
            <xdr:cNvPr id="0" name=""/>
            <xdr:cNvSpPr>
              <a:spLocks noTextEdit="1"/>
            </xdr:cNvSpPr>
          </xdr:nvSpPr>
          <xdr:spPr>
            <a:xfrm>
              <a:off x="450271" y="3060084"/>
              <a:ext cx="5461002" cy="141009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10469</xdr:colOff>
      <xdr:row>6</xdr:row>
      <xdr:rowOff>38331</xdr:rowOff>
    </xdr:from>
    <xdr:to>
      <xdr:col>19</xdr:col>
      <xdr:colOff>17749</xdr:colOff>
      <xdr:row>8</xdr:row>
      <xdr:rowOff>91695</xdr:rowOff>
    </xdr:to>
    <xdr:sp macro="" textlink="">
      <xdr:nvSpPr>
        <xdr:cNvPr id="43" name="Rectangle: Rounded Corners 42">
          <a:extLst>
            <a:ext uri="{FF2B5EF4-FFF2-40B4-BE49-F238E27FC236}">
              <a16:creationId xmlns:a16="http://schemas.microsoft.com/office/drawing/2014/main" id="{FF71FA5E-C9FC-4049-A926-007D6D982A1A}"/>
            </a:ext>
          </a:extLst>
        </xdr:cNvPr>
        <xdr:cNvSpPr/>
      </xdr:nvSpPr>
      <xdr:spPr>
        <a:xfrm>
          <a:off x="9121339" y="999114"/>
          <a:ext cx="2436845" cy="373624"/>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800">
            <a:solidFill>
              <a:srgbClr val="232227"/>
            </a:solidFill>
            <a:latin typeface="Futura PT Bold" panose="020B0902020204020203" pitchFamily="34" charset="0"/>
            <a:cs typeface="HelveticaNowText Black" panose="020B0A04030202020204" pitchFamily="34" charset="0"/>
          </a:endParaRPr>
        </a:p>
      </xdr:txBody>
    </xdr:sp>
    <xdr:clientData/>
  </xdr:twoCellAnchor>
  <xdr:twoCellAnchor>
    <xdr:from>
      <xdr:col>18</xdr:col>
      <xdr:colOff>383491</xdr:colOff>
      <xdr:row>6</xdr:row>
      <xdr:rowOff>39355</xdr:rowOff>
    </xdr:from>
    <xdr:to>
      <xdr:col>22</xdr:col>
      <xdr:colOff>490553</xdr:colOff>
      <xdr:row>9</xdr:row>
      <xdr:rowOff>58048</xdr:rowOff>
    </xdr:to>
    <xdr:sp macro="" textlink="">
      <xdr:nvSpPr>
        <xdr:cNvPr id="51" name="Rectangle: Rounded Corners 50">
          <a:extLst>
            <a:ext uri="{FF2B5EF4-FFF2-40B4-BE49-F238E27FC236}">
              <a16:creationId xmlns:a16="http://schemas.microsoft.com/office/drawing/2014/main" id="{FE11EA60-054F-FB4B-1CEC-8710EBE07517}"/>
            </a:ext>
          </a:extLst>
        </xdr:cNvPr>
        <xdr:cNvSpPr/>
      </xdr:nvSpPr>
      <xdr:spPr>
        <a:xfrm>
          <a:off x="11316534" y="1000138"/>
          <a:ext cx="2536628" cy="499084"/>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800" b="1">
            <a:solidFill>
              <a:srgbClr val="232227"/>
            </a:solidFill>
            <a:latin typeface="Futura PT Bold" panose="020B0902020204020203" pitchFamily="34" charset="0"/>
          </a:endParaRPr>
        </a:p>
      </xdr:txBody>
    </xdr:sp>
    <xdr:clientData/>
  </xdr:twoCellAnchor>
  <xdr:twoCellAnchor>
    <xdr:from>
      <xdr:col>15</xdr:col>
      <xdr:colOff>7796</xdr:colOff>
      <xdr:row>10</xdr:row>
      <xdr:rowOff>143073</xdr:rowOff>
    </xdr:from>
    <xdr:to>
      <xdr:col>18</xdr:col>
      <xdr:colOff>502647</xdr:colOff>
      <xdr:row>13</xdr:row>
      <xdr:rowOff>82571</xdr:rowOff>
    </xdr:to>
    <xdr:sp macro="" textlink="">
      <xdr:nvSpPr>
        <xdr:cNvPr id="56" name="Rectangle: Rounded Corners 55">
          <a:extLst>
            <a:ext uri="{FF2B5EF4-FFF2-40B4-BE49-F238E27FC236}">
              <a16:creationId xmlns:a16="http://schemas.microsoft.com/office/drawing/2014/main" id="{C489F6D9-2C77-CC73-94DA-19D15599AF4A}"/>
            </a:ext>
          </a:extLst>
        </xdr:cNvPr>
        <xdr:cNvSpPr/>
      </xdr:nvSpPr>
      <xdr:spPr>
        <a:xfrm>
          <a:off x="9118666" y="1744377"/>
          <a:ext cx="2317024" cy="419890"/>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800">
            <a:solidFill>
              <a:srgbClr val="232227"/>
            </a:solidFill>
            <a:latin typeface="Futura PT Bold" panose="020B0902020204020203" pitchFamily="34" charset="0"/>
          </a:endParaRPr>
        </a:p>
      </xdr:txBody>
    </xdr:sp>
    <xdr:clientData/>
  </xdr:twoCellAnchor>
  <xdr:twoCellAnchor>
    <xdr:from>
      <xdr:col>18</xdr:col>
      <xdr:colOff>405796</xdr:colOff>
      <xdr:row>10</xdr:row>
      <xdr:rowOff>134849</xdr:rowOff>
    </xdr:from>
    <xdr:to>
      <xdr:col>21</xdr:col>
      <xdr:colOff>470133</xdr:colOff>
      <xdr:row>13</xdr:row>
      <xdr:rowOff>32947</xdr:rowOff>
    </xdr:to>
    <xdr:sp macro="" textlink="">
      <xdr:nvSpPr>
        <xdr:cNvPr id="57" name="Rectangle: Rounded Corners 56">
          <a:extLst>
            <a:ext uri="{FF2B5EF4-FFF2-40B4-BE49-F238E27FC236}">
              <a16:creationId xmlns:a16="http://schemas.microsoft.com/office/drawing/2014/main" id="{276C3A44-0E98-2ED1-A78E-025AA139CF86}"/>
            </a:ext>
          </a:extLst>
        </xdr:cNvPr>
        <xdr:cNvSpPr/>
      </xdr:nvSpPr>
      <xdr:spPr>
        <a:xfrm>
          <a:off x="11338839" y="1736153"/>
          <a:ext cx="1886511" cy="378490"/>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800">
            <a:solidFill>
              <a:srgbClr val="232227"/>
            </a:solidFill>
            <a:latin typeface="Futura PT Bold" panose="020B0902020204020203" pitchFamily="34" charset="0"/>
          </a:endParaRPr>
        </a:p>
      </xdr:txBody>
    </xdr:sp>
    <xdr:clientData/>
  </xdr:twoCellAnchor>
  <xdr:twoCellAnchor>
    <xdr:from>
      <xdr:col>0</xdr:col>
      <xdr:colOff>365611</xdr:colOff>
      <xdr:row>46</xdr:row>
      <xdr:rowOff>111085</xdr:rowOff>
    </xdr:from>
    <xdr:to>
      <xdr:col>13</xdr:col>
      <xdr:colOff>168371</xdr:colOff>
      <xdr:row>63</xdr:row>
      <xdr:rowOff>40986</xdr:rowOff>
    </xdr:to>
    <xdr:sp macro="" textlink="">
      <xdr:nvSpPr>
        <xdr:cNvPr id="73" name="Rectangle: Rounded Corners 72">
          <a:extLst>
            <a:ext uri="{FF2B5EF4-FFF2-40B4-BE49-F238E27FC236}">
              <a16:creationId xmlns:a16="http://schemas.microsoft.com/office/drawing/2014/main" id="{46A978E6-C991-8C33-A6E0-D49269A0B4F5}"/>
            </a:ext>
          </a:extLst>
        </xdr:cNvPr>
        <xdr:cNvSpPr/>
      </xdr:nvSpPr>
      <xdr:spPr>
        <a:xfrm>
          <a:off x="365611" y="7546358"/>
          <a:ext cx="7757578" cy="2677719"/>
        </a:xfrm>
        <a:prstGeom prst="roundRect">
          <a:avLst>
            <a:gd name="adj" fmla="val 3936"/>
          </a:avLst>
        </a:prstGeom>
        <a:noFill/>
        <a:ln w="12700">
          <a:solidFill>
            <a:srgbClr val="2B8944">
              <a:alpha val="95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558384</xdr:colOff>
      <xdr:row>61</xdr:row>
      <xdr:rowOff>89388</xdr:rowOff>
    </xdr:from>
    <xdr:to>
      <xdr:col>9</xdr:col>
      <xdr:colOff>22626</xdr:colOff>
      <xdr:row>63</xdr:row>
      <xdr:rowOff>3735</xdr:rowOff>
    </xdr:to>
    <xdr:sp macro="" textlink="">
      <xdr:nvSpPr>
        <xdr:cNvPr id="77" name="Rectangle: Rounded Corners 76">
          <a:extLst>
            <a:ext uri="{FF2B5EF4-FFF2-40B4-BE49-F238E27FC236}">
              <a16:creationId xmlns:a16="http://schemas.microsoft.com/office/drawing/2014/main" id="{F85A8604-BB20-E85C-0B85-591BCDC986E3}"/>
            </a:ext>
          </a:extLst>
        </xdr:cNvPr>
        <xdr:cNvSpPr/>
      </xdr:nvSpPr>
      <xdr:spPr>
        <a:xfrm>
          <a:off x="2989527" y="10049817"/>
          <a:ext cx="2503170" cy="240918"/>
        </a:xfrm>
        <a:prstGeom prst="roundRect">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April</a:t>
          </a:r>
          <a:r>
            <a:rPr lang="en-ID" sz="1100" baseline="0"/>
            <a:t> </a:t>
          </a:r>
          <a:r>
            <a:rPr lang="en-ID" sz="1100" b="0" baseline="0"/>
            <a:t>2023</a:t>
          </a:r>
          <a:endParaRPr lang="en-ID" sz="1100" b="0"/>
        </a:p>
      </xdr:txBody>
    </xdr:sp>
    <xdr:clientData/>
  </xdr:twoCellAnchor>
  <xdr:twoCellAnchor>
    <xdr:from>
      <xdr:col>0</xdr:col>
      <xdr:colOff>401146</xdr:colOff>
      <xdr:row>46</xdr:row>
      <xdr:rowOff>83226</xdr:rowOff>
    </xdr:from>
    <xdr:to>
      <xdr:col>1</xdr:col>
      <xdr:colOff>180627</xdr:colOff>
      <xdr:row>63</xdr:row>
      <xdr:rowOff>22275</xdr:rowOff>
    </xdr:to>
    <xdr:sp macro="" textlink="">
      <xdr:nvSpPr>
        <xdr:cNvPr id="78" name="Rectangle: Rounded Corners 77">
          <a:extLst>
            <a:ext uri="{FF2B5EF4-FFF2-40B4-BE49-F238E27FC236}">
              <a16:creationId xmlns:a16="http://schemas.microsoft.com/office/drawing/2014/main" id="{1ABE2A89-2D99-702D-2817-C3B2357E3163}"/>
            </a:ext>
          </a:extLst>
        </xdr:cNvPr>
        <xdr:cNvSpPr/>
      </xdr:nvSpPr>
      <xdr:spPr>
        <a:xfrm rot="16200000">
          <a:off x="-746593" y="8666238"/>
          <a:ext cx="2686867" cy="391390"/>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Total Quantity</a:t>
          </a:r>
          <a:endParaRPr lang="en-ID" sz="1100">
            <a:latin typeface="+mn-lt"/>
          </a:endParaRPr>
        </a:p>
      </xdr:txBody>
    </xdr:sp>
    <xdr:clientData/>
  </xdr:twoCellAnchor>
  <xdr:twoCellAnchor>
    <xdr:from>
      <xdr:col>3</xdr:col>
      <xdr:colOff>350694</xdr:colOff>
      <xdr:row>6</xdr:row>
      <xdr:rowOff>16942</xdr:rowOff>
    </xdr:from>
    <xdr:to>
      <xdr:col>10</xdr:col>
      <xdr:colOff>52756</xdr:colOff>
      <xdr:row>8</xdr:row>
      <xdr:rowOff>75053</xdr:rowOff>
    </xdr:to>
    <xdr:sp macro="" textlink="">
      <xdr:nvSpPr>
        <xdr:cNvPr id="12" name="Rectangle: Rounded Corners 11">
          <a:extLst>
            <a:ext uri="{FF2B5EF4-FFF2-40B4-BE49-F238E27FC236}">
              <a16:creationId xmlns:a16="http://schemas.microsoft.com/office/drawing/2014/main" id="{292877FD-5327-4750-B2D5-043C361A299A}"/>
            </a:ext>
          </a:extLst>
        </xdr:cNvPr>
        <xdr:cNvSpPr/>
      </xdr:nvSpPr>
      <xdr:spPr>
        <a:xfrm>
          <a:off x="2179494" y="969442"/>
          <a:ext cx="3969262" cy="375611"/>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400">
            <a:solidFill>
              <a:srgbClr val="232227"/>
            </a:solidFill>
            <a:latin typeface="Futura PT Bold" panose="020B0902020204020203" pitchFamily="34" charset="0"/>
          </a:endParaRPr>
        </a:p>
      </xdr:txBody>
    </xdr:sp>
    <xdr:clientData/>
  </xdr:twoCellAnchor>
  <xdr:twoCellAnchor>
    <xdr:from>
      <xdr:col>1</xdr:col>
      <xdr:colOff>502226</xdr:colOff>
      <xdr:row>28</xdr:row>
      <xdr:rowOff>31436</xdr:rowOff>
    </xdr:from>
    <xdr:to>
      <xdr:col>9</xdr:col>
      <xdr:colOff>195932</xdr:colOff>
      <xdr:row>30</xdr:row>
      <xdr:rowOff>81013</xdr:rowOff>
    </xdr:to>
    <xdr:sp macro="" textlink="">
      <xdr:nvSpPr>
        <xdr:cNvPr id="46" name="Rectangle: Rounded Corners 45">
          <a:extLst>
            <a:ext uri="{FF2B5EF4-FFF2-40B4-BE49-F238E27FC236}">
              <a16:creationId xmlns:a16="http://schemas.microsoft.com/office/drawing/2014/main" id="{62F93C30-C440-94B1-89A4-65D87B98D2D2}"/>
            </a:ext>
          </a:extLst>
        </xdr:cNvPr>
        <xdr:cNvSpPr/>
      </xdr:nvSpPr>
      <xdr:spPr>
        <a:xfrm>
          <a:off x="1110012" y="4603436"/>
          <a:ext cx="4555991" cy="376148"/>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600">
              <a:latin typeface="Futura PT Bold" panose="020B0902020204020203" pitchFamily="34" charset="0"/>
            </a:rPr>
            <a:t>Penjualan</a:t>
          </a:r>
          <a:r>
            <a:rPr lang="en-ID" sz="1600" baseline="0">
              <a:latin typeface="Futura PT Bold" panose="020B0902020204020203" pitchFamily="34" charset="0"/>
            </a:rPr>
            <a:t> per Lokasi</a:t>
          </a:r>
          <a:endParaRPr lang="en-ID" sz="1600">
            <a:latin typeface="Futura PT Bold" panose="020B0902020204020203" pitchFamily="34" charset="0"/>
          </a:endParaRPr>
        </a:p>
      </xdr:txBody>
    </xdr:sp>
    <xdr:clientData/>
  </xdr:twoCellAnchor>
  <xdr:twoCellAnchor>
    <xdr:from>
      <xdr:col>12</xdr:col>
      <xdr:colOff>360671</xdr:colOff>
      <xdr:row>47</xdr:row>
      <xdr:rowOff>22143</xdr:rowOff>
    </xdr:from>
    <xdr:to>
      <xdr:col>13</xdr:col>
      <xdr:colOff>117062</xdr:colOff>
      <xdr:row>62</xdr:row>
      <xdr:rowOff>143865</xdr:rowOff>
    </xdr:to>
    <xdr:sp macro="" textlink="">
      <xdr:nvSpPr>
        <xdr:cNvPr id="52" name="Rectangle: Rounded Corners 51">
          <a:extLst>
            <a:ext uri="{FF2B5EF4-FFF2-40B4-BE49-F238E27FC236}">
              <a16:creationId xmlns:a16="http://schemas.microsoft.com/office/drawing/2014/main" id="{54AC4AF4-C01E-E890-F20F-4A68FE3DF531}"/>
            </a:ext>
          </a:extLst>
        </xdr:cNvPr>
        <xdr:cNvSpPr/>
      </xdr:nvSpPr>
      <xdr:spPr>
        <a:xfrm rot="5400000">
          <a:off x="6614596" y="8708036"/>
          <a:ext cx="2546268" cy="368300"/>
        </a:xfrm>
        <a:prstGeom prst="roundRect">
          <a:avLst/>
        </a:prstGeom>
        <a:noFill/>
        <a:ln w="1079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latin typeface="+mj-lt"/>
            </a:rPr>
            <a:t>Total</a:t>
          </a:r>
          <a:r>
            <a:rPr lang="en-ID" sz="1100" baseline="0">
              <a:latin typeface="+mj-lt"/>
            </a:rPr>
            <a:t> Order</a:t>
          </a:r>
          <a:endParaRPr lang="en-ID" sz="1100">
            <a:latin typeface="+mj-lt"/>
          </a:endParaRPr>
        </a:p>
      </xdr:txBody>
    </xdr:sp>
    <xdr:clientData/>
  </xdr:twoCellAnchor>
  <xdr:twoCellAnchor editAs="oneCell">
    <xdr:from>
      <xdr:col>19</xdr:col>
      <xdr:colOff>57726</xdr:colOff>
      <xdr:row>19</xdr:row>
      <xdr:rowOff>18140</xdr:rowOff>
    </xdr:from>
    <xdr:to>
      <xdr:col>35</xdr:col>
      <xdr:colOff>69272</xdr:colOff>
      <xdr:row>27</xdr:row>
      <xdr:rowOff>119577</xdr:rowOff>
    </xdr:to>
    <mc:AlternateContent xmlns:mc="http://schemas.openxmlformats.org/markup-compatibility/2006" xmlns:a14="http://schemas.microsoft.com/office/drawing/2010/main">
      <mc:Choice Requires="a14">
        <xdr:graphicFrame macro="">
          <xdr:nvGraphicFramePr>
            <xdr:cNvPr id="63" name="kategori 1">
              <a:extLst>
                <a:ext uri="{FF2B5EF4-FFF2-40B4-BE49-F238E27FC236}">
                  <a16:creationId xmlns:a16="http://schemas.microsoft.com/office/drawing/2014/main" id="{148FB471-5D79-4A79-B2BC-4BBCB5FEB0DD}"/>
                </a:ext>
              </a:extLst>
            </xdr:cNvPr>
            <xdr:cNvGraphicFramePr/>
          </xdr:nvGraphicFramePr>
          <xdr:xfrm>
            <a:off x="0" y="0"/>
            <a:ext cx="0" cy="0"/>
          </xdr:xfrm>
          <a:graphic>
            <a:graphicData uri="http://schemas.microsoft.com/office/drawing/2010/slicer">
              <sle:slicer xmlns:sle="http://schemas.microsoft.com/office/drawing/2010/slicer" name="kategori 1"/>
            </a:graphicData>
          </a:graphic>
        </xdr:graphicFrame>
      </mc:Choice>
      <mc:Fallback xmlns="">
        <xdr:sp macro="" textlink="">
          <xdr:nvSpPr>
            <xdr:cNvPr id="0" name=""/>
            <xdr:cNvSpPr>
              <a:spLocks noTextEdit="1"/>
            </xdr:cNvSpPr>
          </xdr:nvSpPr>
          <xdr:spPr>
            <a:xfrm>
              <a:off x="11683999" y="3089231"/>
              <a:ext cx="9802091" cy="139452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77070</xdr:colOff>
      <xdr:row>30</xdr:row>
      <xdr:rowOff>34636</xdr:rowOff>
    </xdr:from>
    <xdr:to>
      <xdr:col>29</xdr:col>
      <xdr:colOff>300181</xdr:colOff>
      <xdr:row>43</xdr:row>
      <xdr:rowOff>135372</xdr:rowOff>
    </xdr:to>
    <xdr:sp macro="" textlink="">
      <xdr:nvSpPr>
        <xdr:cNvPr id="4" name="Rectangle: Rounded Corners 3">
          <a:extLst>
            <a:ext uri="{FF2B5EF4-FFF2-40B4-BE49-F238E27FC236}">
              <a16:creationId xmlns:a16="http://schemas.microsoft.com/office/drawing/2014/main" id="{78A6666F-C245-4D99-9519-07CCD573F445}"/>
            </a:ext>
          </a:extLst>
        </xdr:cNvPr>
        <xdr:cNvSpPr/>
      </xdr:nvSpPr>
      <xdr:spPr>
        <a:xfrm>
          <a:off x="11703343" y="4883727"/>
          <a:ext cx="6342202" cy="2202009"/>
        </a:xfrm>
        <a:prstGeom prst="roundRect">
          <a:avLst>
            <a:gd name="adj" fmla="val 3936"/>
          </a:avLst>
        </a:prstGeom>
        <a:noFill/>
        <a:ln w="12700">
          <a:solidFill>
            <a:srgbClr val="2B8944">
              <a:alpha val="97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53398</xdr:colOff>
      <xdr:row>53</xdr:row>
      <xdr:rowOff>124199</xdr:rowOff>
    </xdr:from>
    <xdr:to>
      <xdr:col>9</xdr:col>
      <xdr:colOff>371486</xdr:colOff>
      <xdr:row>56</xdr:row>
      <xdr:rowOff>22633</xdr:rowOff>
    </xdr:to>
    <xdr:sp macro="" textlink="">
      <xdr:nvSpPr>
        <xdr:cNvPr id="5" name="Rectangle: Rounded Corners 4">
          <a:extLst>
            <a:ext uri="{FF2B5EF4-FFF2-40B4-BE49-F238E27FC236}">
              <a16:creationId xmlns:a16="http://schemas.microsoft.com/office/drawing/2014/main" id="{782DA8FC-91D3-4872-BBE7-C6E819776A10}"/>
            </a:ext>
          </a:extLst>
        </xdr:cNvPr>
        <xdr:cNvSpPr/>
      </xdr:nvSpPr>
      <xdr:spPr>
        <a:xfrm>
          <a:off x="1863148" y="8537949"/>
          <a:ext cx="3937588" cy="374684"/>
        </a:xfrm>
        <a:prstGeom prst="roundRect">
          <a:avLst/>
        </a:prstGeom>
        <a:noFill/>
        <a:ln w="1079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ID" sz="1400">
            <a:latin typeface="Futura PT Bold" panose="020B0902020204020203" pitchFamily="34" charset="0"/>
          </a:endParaRPr>
        </a:p>
      </xdr:txBody>
    </xdr:sp>
    <xdr:clientData/>
  </xdr:twoCellAnchor>
  <xdr:twoCellAnchor>
    <xdr:from>
      <xdr:col>18</xdr:col>
      <xdr:colOff>545523</xdr:colOff>
      <xdr:row>18</xdr:row>
      <xdr:rowOff>69272</xdr:rowOff>
    </xdr:from>
    <xdr:to>
      <xdr:col>35</xdr:col>
      <xdr:colOff>230909</xdr:colOff>
      <xdr:row>64</xdr:row>
      <xdr:rowOff>115455</xdr:rowOff>
    </xdr:to>
    <xdr:sp macro="" textlink="">
      <xdr:nvSpPr>
        <xdr:cNvPr id="13" name="Rectangle: Rounded Corners 12">
          <a:extLst>
            <a:ext uri="{FF2B5EF4-FFF2-40B4-BE49-F238E27FC236}">
              <a16:creationId xmlns:a16="http://schemas.microsoft.com/office/drawing/2014/main" id="{D9D8281B-B0A2-3FAC-8E18-E2BE4FC90A68}"/>
            </a:ext>
          </a:extLst>
        </xdr:cNvPr>
        <xdr:cNvSpPr/>
      </xdr:nvSpPr>
      <xdr:spPr>
        <a:xfrm>
          <a:off x="11559887" y="2978727"/>
          <a:ext cx="10087840" cy="7481455"/>
        </a:xfrm>
        <a:prstGeom prst="roundRect">
          <a:avLst>
            <a:gd name="adj" fmla="val 2318"/>
          </a:avLst>
        </a:prstGeom>
        <a:noFill/>
        <a:ln w="38100">
          <a:gradFill>
            <a:gsLst>
              <a:gs pos="0">
                <a:srgbClr val="E5F230"/>
              </a:gs>
              <a:gs pos="55000">
                <a:srgbClr val="2B8944"/>
              </a:gs>
              <a:gs pos="100000">
                <a:srgbClr val="2F292D"/>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9</xdr:col>
      <xdr:colOff>461818</xdr:colOff>
      <xdr:row>19</xdr:row>
      <xdr:rowOff>6081</xdr:rowOff>
    </xdr:from>
    <xdr:to>
      <xdr:col>18</xdr:col>
      <xdr:colOff>311726</xdr:colOff>
      <xdr:row>27</xdr:row>
      <xdr:rowOff>124967</xdr:rowOff>
    </xdr:to>
    <mc:AlternateContent xmlns:mc="http://schemas.openxmlformats.org/markup-compatibility/2006" xmlns:a14="http://schemas.microsoft.com/office/drawing/2010/main">
      <mc:Choice Requires="a14">
        <xdr:graphicFrame macro="">
          <xdr:nvGraphicFramePr>
            <xdr:cNvPr id="28" name="Minggu Terjual 1">
              <a:extLst>
                <a:ext uri="{FF2B5EF4-FFF2-40B4-BE49-F238E27FC236}">
                  <a16:creationId xmlns:a16="http://schemas.microsoft.com/office/drawing/2014/main" id="{8B755FEA-DB67-4FBE-8DD3-BCDC845B6B8A}"/>
                </a:ext>
              </a:extLst>
            </xdr:cNvPr>
            <xdr:cNvGraphicFramePr/>
          </xdr:nvGraphicFramePr>
          <xdr:xfrm>
            <a:off x="0" y="0"/>
            <a:ext cx="0" cy="0"/>
          </xdr:xfrm>
          <a:graphic>
            <a:graphicData uri="http://schemas.microsoft.com/office/drawing/2010/slicer">
              <sle:slicer xmlns:sle="http://schemas.microsoft.com/office/drawing/2010/slicer" name="Minggu Terjual 1"/>
            </a:graphicData>
          </a:graphic>
        </xdr:graphicFrame>
      </mc:Choice>
      <mc:Fallback xmlns="">
        <xdr:sp macro="" textlink="">
          <xdr:nvSpPr>
            <xdr:cNvPr id="0" name=""/>
            <xdr:cNvSpPr>
              <a:spLocks noTextEdit="1"/>
            </xdr:cNvSpPr>
          </xdr:nvSpPr>
          <xdr:spPr>
            <a:xfrm>
              <a:off x="5969000" y="3077172"/>
              <a:ext cx="5357090" cy="141197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78540</xdr:colOff>
      <xdr:row>6</xdr:row>
      <xdr:rowOff>35518</xdr:rowOff>
    </xdr:from>
    <xdr:to>
      <xdr:col>13</xdr:col>
      <xdr:colOff>445340</xdr:colOff>
      <xdr:row>8</xdr:row>
      <xdr:rowOff>93629</xdr:rowOff>
    </xdr:to>
    <xdr:sp macro="" textlink="">
      <xdr:nvSpPr>
        <xdr:cNvPr id="17" name="Rectangle: Rounded Corners 16">
          <a:extLst>
            <a:ext uri="{FF2B5EF4-FFF2-40B4-BE49-F238E27FC236}">
              <a16:creationId xmlns:a16="http://schemas.microsoft.com/office/drawing/2014/main" id="{F637940D-2DB4-430F-AE6C-82154EE27D2A}"/>
            </a:ext>
          </a:extLst>
        </xdr:cNvPr>
        <xdr:cNvSpPr/>
      </xdr:nvSpPr>
      <xdr:spPr>
        <a:xfrm>
          <a:off x="5591834" y="976812"/>
          <a:ext cx="2817153" cy="371876"/>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400">
            <a:solidFill>
              <a:srgbClr val="232227"/>
            </a:solidFill>
            <a:latin typeface="Futura PT Bold" panose="020B0902020204020203" pitchFamily="34" charset="0"/>
          </a:endParaRPr>
        </a:p>
      </xdr:txBody>
    </xdr:sp>
    <xdr:clientData/>
  </xdr:twoCellAnchor>
  <xdr:twoCellAnchor>
    <xdr:from>
      <xdr:col>0</xdr:col>
      <xdr:colOff>283482</xdr:colOff>
      <xdr:row>18</xdr:row>
      <xdr:rowOff>46180</xdr:rowOff>
    </xdr:from>
    <xdr:to>
      <xdr:col>18</xdr:col>
      <xdr:colOff>427181</xdr:colOff>
      <xdr:row>64</xdr:row>
      <xdr:rowOff>92363</xdr:rowOff>
    </xdr:to>
    <xdr:sp macro="" textlink="">
      <xdr:nvSpPr>
        <xdr:cNvPr id="34" name="Rectangle: Rounded Corners 33">
          <a:extLst>
            <a:ext uri="{FF2B5EF4-FFF2-40B4-BE49-F238E27FC236}">
              <a16:creationId xmlns:a16="http://schemas.microsoft.com/office/drawing/2014/main" id="{0B1FD470-0EDF-428B-8541-023EF46C4F51}"/>
            </a:ext>
          </a:extLst>
        </xdr:cNvPr>
        <xdr:cNvSpPr/>
      </xdr:nvSpPr>
      <xdr:spPr>
        <a:xfrm>
          <a:off x="283482" y="2955635"/>
          <a:ext cx="11158063" cy="7481455"/>
        </a:xfrm>
        <a:prstGeom prst="roundRect">
          <a:avLst>
            <a:gd name="adj" fmla="val 2318"/>
          </a:avLst>
        </a:prstGeom>
        <a:noFill/>
        <a:ln w="38100">
          <a:gradFill>
            <a:gsLst>
              <a:gs pos="0">
                <a:srgbClr val="E5F230"/>
              </a:gs>
              <a:gs pos="55000">
                <a:srgbClr val="2B8944"/>
              </a:gs>
              <a:gs pos="100000">
                <a:srgbClr val="2F292D"/>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563635</xdr:colOff>
      <xdr:row>1</xdr:row>
      <xdr:rowOff>134949</xdr:rowOff>
    </xdr:from>
    <xdr:to>
      <xdr:col>14</xdr:col>
      <xdr:colOff>15362</xdr:colOff>
      <xdr:row>6</xdr:row>
      <xdr:rowOff>19710</xdr:rowOff>
    </xdr:to>
    <xdr:pic>
      <xdr:nvPicPr>
        <xdr:cNvPr id="32" name="Picture 31">
          <a:extLst>
            <a:ext uri="{FF2B5EF4-FFF2-40B4-BE49-F238E27FC236}">
              <a16:creationId xmlns:a16="http://schemas.microsoft.com/office/drawing/2014/main" id="{EA8AA755-B9E0-B477-30A0-5AF5CE3090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2563621">
          <a:off x="7906544" y="296585"/>
          <a:ext cx="675545" cy="692943"/>
        </a:xfrm>
        <a:prstGeom prst="rect">
          <a:avLst/>
        </a:prstGeom>
      </xdr:spPr>
    </xdr:pic>
    <xdr:clientData/>
  </xdr:twoCellAnchor>
  <xdr:twoCellAnchor>
    <xdr:from>
      <xdr:col>9</xdr:col>
      <xdr:colOff>265332</xdr:colOff>
      <xdr:row>3</xdr:row>
      <xdr:rowOff>70351</xdr:rowOff>
    </xdr:from>
    <xdr:to>
      <xdr:col>26</xdr:col>
      <xdr:colOff>365517</xdr:colOff>
      <xdr:row>7</xdr:row>
      <xdr:rowOff>46370</xdr:rowOff>
    </xdr:to>
    <xdr:sp macro="" textlink="">
      <xdr:nvSpPr>
        <xdr:cNvPr id="35" name="Rectangle: Rounded Corners 34">
          <a:extLst>
            <a:ext uri="{FF2B5EF4-FFF2-40B4-BE49-F238E27FC236}">
              <a16:creationId xmlns:a16="http://schemas.microsoft.com/office/drawing/2014/main" id="{A8C6C621-F8CC-9A0A-163B-D909BC656E55}"/>
            </a:ext>
          </a:extLst>
        </xdr:cNvPr>
        <xdr:cNvSpPr/>
      </xdr:nvSpPr>
      <xdr:spPr>
        <a:xfrm>
          <a:off x="5772514" y="555260"/>
          <a:ext cx="10502639" cy="622565"/>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D" sz="2000">
              <a:solidFill>
                <a:schemeClr val="bg1"/>
              </a:solidFill>
              <a:latin typeface="HelveticaNowText Black" panose="020B0A04030202020204" pitchFamily="34" charset="0"/>
              <a:cs typeface="HelveticaNowText Black" panose="020B0A04030202020204" pitchFamily="34" charset="0"/>
            </a:rPr>
            <a:t>SALES</a:t>
          </a:r>
          <a:r>
            <a:rPr lang="en-ID" sz="2000" baseline="0">
              <a:solidFill>
                <a:schemeClr val="bg1"/>
              </a:solidFill>
              <a:latin typeface="HelveticaNowText Black" panose="020B0A04030202020204" pitchFamily="34" charset="0"/>
              <a:cs typeface="HelveticaNowText Black" panose="020B0A04030202020204" pitchFamily="34" charset="0"/>
            </a:rPr>
            <a:t> DASHBOARD APRIL 2023</a:t>
          </a:r>
          <a:endParaRPr lang="en-ID" sz="2000">
            <a:solidFill>
              <a:schemeClr val="bg1"/>
            </a:solidFill>
            <a:latin typeface="HelveticaNowText Black" panose="020B0A04030202020204" pitchFamily="34" charset="0"/>
            <a:cs typeface="HelveticaNowText Black" panose="020B0A04030202020204" pitchFamily="34" charset="0"/>
          </a:endParaRPr>
        </a:p>
      </xdr:txBody>
    </xdr:sp>
    <xdr:clientData/>
  </xdr:twoCellAnchor>
  <xdr:twoCellAnchor>
    <xdr:from>
      <xdr:col>13</xdr:col>
      <xdr:colOff>207204</xdr:colOff>
      <xdr:row>0</xdr:row>
      <xdr:rowOff>82387</xdr:rowOff>
    </xdr:from>
    <xdr:to>
      <xdr:col>22</xdr:col>
      <xdr:colOff>204212</xdr:colOff>
      <xdr:row>5</xdr:row>
      <xdr:rowOff>157335</xdr:rowOff>
    </xdr:to>
    <xdr:sp macro="" textlink="">
      <xdr:nvSpPr>
        <xdr:cNvPr id="38" name="Rectangle: Rounded Corners 37">
          <a:extLst>
            <a:ext uri="{FF2B5EF4-FFF2-40B4-BE49-F238E27FC236}">
              <a16:creationId xmlns:a16="http://schemas.microsoft.com/office/drawing/2014/main" id="{35C0AD7C-2ED7-B6C7-E344-AC6C5E8F4BE9}"/>
            </a:ext>
          </a:extLst>
        </xdr:cNvPr>
        <xdr:cNvSpPr/>
      </xdr:nvSpPr>
      <xdr:spPr>
        <a:xfrm>
          <a:off x="8162022" y="82387"/>
          <a:ext cx="5504190" cy="883130"/>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4800">
              <a:solidFill>
                <a:schemeClr val="accent4">
                  <a:lumMod val="75000"/>
                </a:schemeClr>
              </a:solidFill>
              <a:latin typeface="Futura PT Heavy" panose="020B0802020204020303" pitchFamily="34" charset="0"/>
            </a:rPr>
            <a:t>MODABYGPT</a:t>
          </a:r>
        </a:p>
      </xdr:txBody>
    </xdr:sp>
    <xdr:clientData/>
  </xdr:twoCellAnchor>
  <xdr:twoCellAnchor>
    <xdr:from>
      <xdr:col>3</xdr:col>
      <xdr:colOff>540569</xdr:colOff>
      <xdr:row>44</xdr:row>
      <xdr:rowOff>6622</xdr:rowOff>
    </xdr:from>
    <xdr:to>
      <xdr:col>10</xdr:col>
      <xdr:colOff>248712</xdr:colOff>
      <xdr:row>46</xdr:row>
      <xdr:rowOff>72351</xdr:rowOff>
    </xdr:to>
    <xdr:sp macro="" textlink="">
      <xdr:nvSpPr>
        <xdr:cNvPr id="74" name="Rectangle: Rounded Corners 73">
          <a:extLst>
            <a:ext uri="{FF2B5EF4-FFF2-40B4-BE49-F238E27FC236}">
              <a16:creationId xmlns:a16="http://schemas.microsoft.com/office/drawing/2014/main" id="{2C4D0ED8-D770-FCC5-E1CF-CEF3D704AE69}"/>
            </a:ext>
          </a:extLst>
        </xdr:cNvPr>
        <xdr:cNvSpPr/>
      </xdr:nvSpPr>
      <xdr:spPr>
        <a:xfrm>
          <a:off x="2376296" y="7118622"/>
          <a:ext cx="3991507" cy="389002"/>
        </a:xfrm>
        <a:prstGeom prst="roundRect">
          <a:avLst/>
        </a:prstGeom>
        <a:noFill/>
        <a:ln w="1079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Total Quantity dan Order</a:t>
          </a:r>
          <a:r>
            <a:rPr lang="en-ID" sz="1400" baseline="0">
              <a:latin typeface="Futura PT Bold" panose="020B0902020204020203" pitchFamily="34" charset="0"/>
            </a:rPr>
            <a:t> per Tanggal</a:t>
          </a:r>
          <a:endParaRPr lang="en-ID" sz="1400">
            <a:latin typeface="Futura PT Bold" panose="020B0902020204020203" pitchFamily="34" charset="0"/>
          </a:endParaRPr>
        </a:p>
      </xdr:txBody>
    </xdr:sp>
    <xdr:clientData/>
  </xdr:twoCellAnchor>
  <xdr:twoCellAnchor>
    <xdr:from>
      <xdr:col>13</xdr:col>
      <xdr:colOff>346364</xdr:colOff>
      <xdr:row>30</xdr:row>
      <xdr:rowOff>134422</xdr:rowOff>
    </xdr:from>
    <xdr:to>
      <xdr:col>18</xdr:col>
      <xdr:colOff>252350</xdr:colOff>
      <xdr:row>43</xdr:row>
      <xdr:rowOff>131754</xdr:rowOff>
    </xdr:to>
    <xdr:graphicFrame macro="">
      <xdr:nvGraphicFramePr>
        <xdr:cNvPr id="2" name="Chart 1">
          <a:extLst>
            <a:ext uri="{FF2B5EF4-FFF2-40B4-BE49-F238E27FC236}">
              <a16:creationId xmlns:a16="http://schemas.microsoft.com/office/drawing/2014/main" id="{1A04485F-6347-4A6E-8467-34778E66C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388924</xdr:colOff>
      <xdr:row>28</xdr:row>
      <xdr:rowOff>40008</xdr:rowOff>
    </xdr:from>
    <xdr:to>
      <xdr:col>18</xdr:col>
      <xdr:colOff>187083</xdr:colOff>
      <xdr:row>30</xdr:row>
      <xdr:rowOff>90712</xdr:rowOff>
    </xdr:to>
    <xdr:sp macro="" textlink="">
      <xdr:nvSpPr>
        <xdr:cNvPr id="31" name="Rectangle: Rounded Corners 30">
          <a:extLst>
            <a:ext uri="{FF2B5EF4-FFF2-40B4-BE49-F238E27FC236}">
              <a16:creationId xmlns:a16="http://schemas.microsoft.com/office/drawing/2014/main" id="{38B184DC-A9D8-F5FC-BC8D-561F02964E19}"/>
            </a:ext>
          </a:extLst>
        </xdr:cNvPr>
        <xdr:cNvSpPr/>
      </xdr:nvSpPr>
      <xdr:spPr>
        <a:xfrm>
          <a:off x="8343742" y="4565826"/>
          <a:ext cx="2857705" cy="373977"/>
        </a:xfrm>
        <a:prstGeom prst="roundRect">
          <a:avLst/>
        </a:prstGeom>
        <a:noFill/>
        <a:ln w="1079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Persentase</a:t>
          </a:r>
          <a:r>
            <a:rPr lang="en-ID" sz="1400" baseline="0">
              <a:latin typeface="Futura PT Bold" panose="020B0902020204020203" pitchFamily="34" charset="0"/>
            </a:rPr>
            <a:t> </a:t>
          </a:r>
          <a:r>
            <a:rPr lang="en-ID" sz="1400">
              <a:latin typeface="Futura PT Bold" panose="020B0902020204020203" pitchFamily="34" charset="0"/>
            </a:rPr>
            <a:t>Penggunaan Promo</a:t>
          </a:r>
        </a:p>
      </xdr:txBody>
    </xdr:sp>
    <xdr:clientData/>
  </xdr:twoCellAnchor>
  <xdr:twoCellAnchor>
    <xdr:from>
      <xdr:col>0</xdr:col>
      <xdr:colOff>365152</xdr:colOff>
      <xdr:row>30</xdr:row>
      <xdr:rowOff>115454</xdr:rowOff>
    </xdr:from>
    <xdr:to>
      <xdr:col>10</xdr:col>
      <xdr:colOff>138544</xdr:colOff>
      <xdr:row>43</xdr:row>
      <xdr:rowOff>132703</xdr:rowOff>
    </xdr:to>
    <xdr:graphicFrame macro="">
      <xdr:nvGraphicFramePr>
        <xdr:cNvPr id="42" name="Chart 41">
          <a:extLst>
            <a:ext uri="{FF2B5EF4-FFF2-40B4-BE49-F238E27FC236}">
              <a16:creationId xmlns:a16="http://schemas.microsoft.com/office/drawing/2014/main" id="{486DB7DA-3102-4404-B0BF-1AB7393EB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562347</xdr:colOff>
      <xdr:row>47</xdr:row>
      <xdr:rowOff>23757</xdr:rowOff>
    </xdr:from>
    <xdr:to>
      <xdr:col>12</xdr:col>
      <xdr:colOff>547385</xdr:colOff>
      <xdr:row>61</xdr:row>
      <xdr:rowOff>108856</xdr:rowOff>
    </xdr:to>
    <xdr:graphicFrame macro="">
      <xdr:nvGraphicFramePr>
        <xdr:cNvPr id="49" name="Chart 48">
          <a:extLst>
            <a:ext uri="{FF2B5EF4-FFF2-40B4-BE49-F238E27FC236}">
              <a16:creationId xmlns:a16="http://schemas.microsoft.com/office/drawing/2014/main" id="{B8500CA5-8709-45C1-A3C3-F269A695F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327496</xdr:colOff>
      <xdr:row>44</xdr:row>
      <xdr:rowOff>12765</xdr:rowOff>
    </xdr:from>
    <xdr:to>
      <xdr:col>18</xdr:col>
      <xdr:colOff>294181</xdr:colOff>
      <xdr:row>46</xdr:row>
      <xdr:rowOff>95264</xdr:rowOff>
    </xdr:to>
    <xdr:sp macro="" textlink="">
      <xdr:nvSpPr>
        <xdr:cNvPr id="59" name="Rectangle: Rounded Corners 58">
          <a:extLst>
            <a:ext uri="{FF2B5EF4-FFF2-40B4-BE49-F238E27FC236}">
              <a16:creationId xmlns:a16="http://schemas.microsoft.com/office/drawing/2014/main" id="{DAE35D1D-6BB4-8C18-C786-0E5F461177C3}"/>
            </a:ext>
          </a:extLst>
        </xdr:cNvPr>
        <xdr:cNvSpPr/>
      </xdr:nvSpPr>
      <xdr:spPr>
        <a:xfrm>
          <a:off x="8282314" y="7124765"/>
          <a:ext cx="3026231" cy="405772"/>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Total</a:t>
          </a:r>
          <a:r>
            <a:rPr lang="en-ID" sz="1400" baseline="0">
              <a:latin typeface="Futura PT Bold" panose="020B0902020204020203" pitchFamily="34" charset="0"/>
            </a:rPr>
            <a:t> Promo</a:t>
          </a:r>
          <a:endParaRPr lang="en-ID" sz="1400">
            <a:latin typeface="Futura PT Bold" panose="020B0902020204020203" pitchFamily="34" charset="0"/>
          </a:endParaRPr>
        </a:p>
      </xdr:txBody>
    </xdr:sp>
    <xdr:clientData/>
  </xdr:twoCellAnchor>
  <xdr:twoCellAnchor>
    <xdr:from>
      <xdr:col>13</xdr:col>
      <xdr:colOff>349943</xdr:colOff>
      <xdr:row>46</xdr:row>
      <xdr:rowOff>115007</xdr:rowOff>
    </xdr:from>
    <xdr:to>
      <xdr:col>18</xdr:col>
      <xdr:colOff>278472</xdr:colOff>
      <xdr:row>63</xdr:row>
      <xdr:rowOff>46349</xdr:rowOff>
    </xdr:to>
    <xdr:graphicFrame macro="">
      <xdr:nvGraphicFramePr>
        <xdr:cNvPr id="61" name="Chart 60">
          <a:extLst>
            <a:ext uri="{FF2B5EF4-FFF2-40B4-BE49-F238E27FC236}">
              <a16:creationId xmlns:a16="http://schemas.microsoft.com/office/drawing/2014/main" id="{C5901754-3578-4588-8A56-4D21BDC69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82547</xdr:colOff>
      <xdr:row>30</xdr:row>
      <xdr:rowOff>27775</xdr:rowOff>
    </xdr:from>
    <xdr:to>
      <xdr:col>30</xdr:col>
      <xdr:colOff>63362</xdr:colOff>
      <xdr:row>44</xdr:row>
      <xdr:rowOff>98964</xdr:rowOff>
    </xdr:to>
    <xdr:graphicFrame macro="">
      <xdr:nvGraphicFramePr>
        <xdr:cNvPr id="3" name="Chart 2">
          <a:extLst>
            <a:ext uri="{FF2B5EF4-FFF2-40B4-BE49-F238E27FC236}">
              <a16:creationId xmlns:a16="http://schemas.microsoft.com/office/drawing/2014/main" id="{CDAAB911-16C6-4E02-B220-AD1781832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87823</xdr:colOff>
      <xdr:row>46</xdr:row>
      <xdr:rowOff>143081</xdr:rowOff>
    </xdr:from>
    <xdr:to>
      <xdr:col>35</xdr:col>
      <xdr:colOff>47624</xdr:colOff>
      <xdr:row>63</xdr:row>
      <xdr:rowOff>34636</xdr:rowOff>
    </xdr:to>
    <xdr:graphicFrame macro="">
      <xdr:nvGraphicFramePr>
        <xdr:cNvPr id="6" name="Chart 5">
          <a:extLst>
            <a:ext uri="{FF2B5EF4-FFF2-40B4-BE49-F238E27FC236}">
              <a16:creationId xmlns:a16="http://schemas.microsoft.com/office/drawing/2014/main" id="{54B38A9A-D7DB-4BA9-8930-ACB97EBF5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502501</xdr:colOff>
      <xdr:row>28</xdr:row>
      <xdr:rowOff>1824</xdr:rowOff>
    </xdr:from>
    <xdr:to>
      <xdr:col>27</xdr:col>
      <xdr:colOff>138069</xdr:colOff>
      <xdr:row>30</xdr:row>
      <xdr:rowOff>34541</xdr:rowOff>
    </xdr:to>
    <xdr:sp macro="" textlink="">
      <xdr:nvSpPr>
        <xdr:cNvPr id="9" name="Rectangle: Rounded Corners 8">
          <a:extLst>
            <a:ext uri="{FF2B5EF4-FFF2-40B4-BE49-F238E27FC236}">
              <a16:creationId xmlns:a16="http://schemas.microsoft.com/office/drawing/2014/main" id="{6604D86C-1D3D-1204-D905-CF0742A7DE84}"/>
            </a:ext>
          </a:extLst>
        </xdr:cNvPr>
        <xdr:cNvSpPr/>
      </xdr:nvSpPr>
      <xdr:spPr>
        <a:xfrm>
          <a:off x="13352592" y="4527642"/>
          <a:ext cx="3307022" cy="355990"/>
        </a:xfrm>
        <a:prstGeom prst="roundRect">
          <a:avLst/>
        </a:prstGeom>
        <a:noFill/>
        <a:ln w="1016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Total</a:t>
          </a:r>
          <a:r>
            <a:rPr lang="en-ID" sz="1400" baseline="0">
              <a:latin typeface="Futura PT Bold" panose="020B0902020204020203" pitchFamily="34" charset="0"/>
            </a:rPr>
            <a:t> Penjualan per Item</a:t>
          </a:r>
          <a:endParaRPr lang="en-ID" sz="1400">
            <a:latin typeface="Futura PT Bold" panose="020B0902020204020203" pitchFamily="34" charset="0"/>
          </a:endParaRPr>
        </a:p>
      </xdr:txBody>
    </xdr:sp>
    <xdr:clientData/>
  </xdr:twoCellAnchor>
  <xdr:twoCellAnchor>
    <xdr:from>
      <xdr:col>23</xdr:col>
      <xdr:colOff>301854</xdr:colOff>
      <xdr:row>44</xdr:row>
      <xdr:rowOff>90364</xdr:rowOff>
    </xdr:from>
    <xdr:to>
      <xdr:col>30</xdr:col>
      <xdr:colOff>379407</xdr:colOff>
      <xdr:row>46</xdr:row>
      <xdr:rowOff>97396</xdr:rowOff>
    </xdr:to>
    <xdr:sp macro="" textlink="">
      <xdr:nvSpPr>
        <xdr:cNvPr id="11" name="Rectangle: Rounded Corners 10">
          <a:extLst>
            <a:ext uri="{FF2B5EF4-FFF2-40B4-BE49-F238E27FC236}">
              <a16:creationId xmlns:a16="http://schemas.microsoft.com/office/drawing/2014/main" id="{1362F718-BD8F-6F4D-374F-2BA919DED0E6}"/>
            </a:ext>
          </a:extLst>
        </xdr:cNvPr>
        <xdr:cNvSpPr/>
      </xdr:nvSpPr>
      <xdr:spPr>
        <a:xfrm>
          <a:off x="14375763" y="7202364"/>
          <a:ext cx="4360917" cy="330305"/>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Total Transaksi &amp;</a:t>
          </a:r>
          <a:r>
            <a:rPr lang="en-ID" sz="1400" baseline="0">
              <a:latin typeface="Futura PT Bold" panose="020B0902020204020203" pitchFamily="34" charset="0"/>
            </a:rPr>
            <a:t> Profit per Item</a:t>
          </a:r>
          <a:endParaRPr lang="en-ID" sz="1400">
            <a:latin typeface="Futura PT Bold" panose="020B0902020204020203" pitchFamily="34" charset="0"/>
          </a:endParaRPr>
        </a:p>
      </xdr:txBody>
    </xdr:sp>
    <xdr:clientData/>
  </xdr:twoCellAnchor>
  <xdr:twoCellAnchor>
    <xdr:from>
      <xdr:col>0</xdr:col>
      <xdr:colOff>496025</xdr:colOff>
      <xdr:row>8</xdr:row>
      <xdr:rowOff>75443</xdr:rowOff>
    </xdr:from>
    <xdr:to>
      <xdr:col>35</xdr:col>
      <xdr:colOff>120566</xdr:colOff>
      <xdr:row>17</xdr:row>
      <xdr:rowOff>102358</xdr:rowOff>
    </xdr:to>
    <xdr:grpSp>
      <xdr:nvGrpSpPr>
        <xdr:cNvPr id="8" name="Group 7">
          <a:extLst>
            <a:ext uri="{FF2B5EF4-FFF2-40B4-BE49-F238E27FC236}">
              <a16:creationId xmlns:a16="http://schemas.microsoft.com/office/drawing/2014/main" id="{19C81509-ED6A-3841-59C8-F087CAF36FAE}"/>
            </a:ext>
          </a:extLst>
        </xdr:cNvPr>
        <xdr:cNvGrpSpPr/>
      </xdr:nvGrpSpPr>
      <xdr:grpSpPr>
        <a:xfrm>
          <a:off x="496025" y="1330502"/>
          <a:ext cx="20019247" cy="1438856"/>
          <a:chOff x="623025" y="1229989"/>
          <a:chExt cx="21041359" cy="1481642"/>
        </a:xfrm>
      </xdr:grpSpPr>
      <xdr:grpSp>
        <xdr:nvGrpSpPr>
          <xdr:cNvPr id="30" name="Group 29">
            <a:extLst>
              <a:ext uri="{FF2B5EF4-FFF2-40B4-BE49-F238E27FC236}">
                <a16:creationId xmlns:a16="http://schemas.microsoft.com/office/drawing/2014/main" id="{6FDC5802-2659-B8B4-AE5B-84A56453A680}"/>
              </a:ext>
            </a:extLst>
          </xdr:cNvPr>
          <xdr:cNvGrpSpPr/>
        </xdr:nvGrpSpPr>
        <xdr:grpSpPr>
          <a:xfrm>
            <a:off x="623025" y="1229989"/>
            <a:ext cx="21041359" cy="1481642"/>
            <a:chOff x="2093163" y="950221"/>
            <a:chExt cx="20902246" cy="1502796"/>
          </a:xfrm>
        </xdr:grpSpPr>
        <xdr:sp macro="" textlink="Pivot!A5">
          <xdr:nvSpPr>
            <xdr:cNvPr id="10" name="Rectangle: Rounded Corners 9">
              <a:extLst>
                <a:ext uri="{FF2B5EF4-FFF2-40B4-BE49-F238E27FC236}">
                  <a16:creationId xmlns:a16="http://schemas.microsoft.com/office/drawing/2014/main" id="{8BB81F5E-8737-4E7D-A9F8-BD68C742A2E7}"/>
                </a:ext>
              </a:extLst>
            </xdr:cNvPr>
            <xdr:cNvSpPr/>
          </xdr:nvSpPr>
          <xdr:spPr>
            <a:xfrm>
              <a:off x="2093163" y="961708"/>
              <a:ext cx="3470478" cy="1458431"/>
            </a:xfrm>
            <a:prstGeom prst="roundRect">
              <a:avLst/>
            </a:prstGeom>
            <a:gradFill>
              <a:gsLst>
                <a:gs pos="100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2B9F61C-7950-43D7-B00A-0AD30144C1C3}" type="TxLink">
                <a:rPr lang="en-US" sz="2400" b="1" i="0" u="none" strike="noStrike">
                  <a:solidFill>
                    <a:srgbClr val="000000"/>
                  </a:solidFill>
                  <a:latin typeface="Futura PT Bold" panose="020B0902020204020203" pitchFamily="34" charset="0"/>
                </a:rPr>
                <a:pPr algn="l"/>
                <a:t> Rp982,288,500 </a:t>
              </a:fld>
              <a:endParaRPr lang="en-US" sz="2400" b="1" i="0" u="none" strike="noStrike">
                <a:latin typeface="Futura PT Bold" panose="020B0902020204020203" pitchFamily="34" charset="0"/>
              </a:endParaRPr>
            </a:p>
          </xdr:txBody>
        </xdr:sp>
        <xdr:pic>
          <xdr:nvPicPr>
            <xdr:cNvPr id="22" name="Picture 21">
              <a:extLst>
                <a:ext uri="{FF2B5EF4-FFF2-40B4-BE49-F238E27FC236}">
                  <a16:creationId xmlns:a16="http://schemas.microsoft.com/office/drawing/2014/main" id="{A5F5022E-A5FB-40B3-96E0-2FBE20ABFA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63891" y="1165837"/>
              <a:ext cx="1068719" cy="1062888"/>
            </a:xfrm>
            <a:prstGeom prst="rect">
              <a:avLst/>
            </a:prstGeom>
            <a:effectLst>
              <a:outerShdw blurRad="50800" dist="50800" dir="5400000" algn="ctr" rotWithShape="0">
                <a:srgbClr val="000000">
                  <a:alpha val="99000"/>
                </a:srgbClr>
              </a:outerShdw>
            </a:effectLst>
          </xdr:spPr>
        </xdr:pic>
        <xdr:sp macro="" textlink="Pivot!C3">
          <xdr:nvSpPr>
            <xdr:cNvPr id="16" name="Rectangle: Rounded Corners 15">
              <a:extLst>
                <a:ext uri="{FF2B5EF4-FFF2-40B4-BE49-F238E27FC236}">
                  <a16:creationId xmlns:a16="http://schemas.microsoft.com/office/drawing/2014/main" id="{EE6CDBEE-D5BB-4F1D-8343-7DEF60C8448A}"/>
                </a:ext>
              </a:extLst>
            </xdr:cNvPr>
            <xdr:cNvSpPr/>
          </xdr:nvSpPr>
          <xdr:spPr>
            <a:xfrm>
              <a:off x="5496720" y="972629"/>
              <a:ext cx="3472293" cy="1458431"/>
            </a:xfrm>
            <a:prstGeom prst="roundRect">
              <a:avLst/>
            </a:prstGeom>
            <a:gradFill>
              <a:gsLst>
                <a:gs pos="95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36FCC8B-3A31-44EA-8235-051853B086D2}" type="TxLink">
                <a:rPr lang="en-US" sz="2400" b="1" i="0" u="none" strike="noStrike">
                  <a:solidFill>
                    <a:srgbClr val="000000"/>
                  </a:solidFill>
                  <a:latin typeface="Futura PT Bold" panose="020B0902020204020203" pitchFamily="34" charset="0"/>
                </a:rPr>
                <a:pPr algn="l"/>
                <a:t> Rp293,288,500 </a:t>
              </a:fld>
              <a:endParaRPr lang="en-US" sz="2400" b="1" i="0" u="none" strike="noStrike">
                <a:solidFill>
                  <a:srgbClr val="000000"/>
                </a:solidFill>
                <a:latin typeface="Futura PT Bold" panose="020B0902020204020203" pitchFamily="34" charset="0"/>
              </a:endParaRPr>
            </a:p>
          </xdr:txBody>
        </xdr:sp>
        <xdr:pic>
          <xdr:nvPicPr>
            <xdr:cNvPr id="18" name="Graphic 17" descr="Piggy Bank with solid fill">
              <a:extLst>
                <a:ext uri="{FF2B5EF4-FFF2-40B4-BE49-F238E27FC236}">
                  <a16:creationId xmlns:a16="http://schemas.microsoft.com/office/drawing/2014/main" id="{444F408F-FD98-441A-A201-846B3BF64B0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039578" y="987185"/>
              <a:ext cx="1652188" cy="1337227"/>
            </a:xfrm>
            <a:prstGeom prst="rect">
              <a:avLst/>
            </a:prstGeom>
            <a:effectLst>
              <a:outerShdw blurRad="50800" dist="50800" dir="5400000" algn="ctr" rotWithShape="0">
                <a:srgbClr val="000000">
                  <a:alpha val="99000"/>
                </a:srgbClr>
              </a:outerShdw>
            </a:effectLst>
          </xdr:spPr>
        </xdr:pic>
        <xdr:sp macro="" textlink="Pivot!A3">
          <xdr:nvSpPr>
            <xdr:cNvPr id="15" name="Rectangle: Rounded Corners 14">
              <a:extLst>
                <a:ext uri="{FF2B5EF4-FFF2-40B4-BE49-F238E27FC236}">
                  <a16:creationId xmlns:a16="http://schemas.microsoft.com/office/drawing/2014/main" id="{4DD7D2A6-90E1-43D9-BA64-367BE1457C70}"/>
                </a:ext>
              </a:extLst>
            </xdr:cNvPr>
            <xdr:cNvSpPr/>
          </xdr:nvSpPr>
          <xdr:spPr>
            <a:xfrm>
              <a:off x="9023512" y="950221"/>
              <a:ext cx="3471799" cy="1456642"/>
            </a:xfrm>
            <a:prstGeom prst="roundRect">
              <a:avLst/>
            </a:prstGeom>
            <a:gradFill>
              <a:gsLst>
                <a:gs pos="100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3AACD7A-1590-41EE-A1E8-1A0377377AC0}" type="TxLink">
                <a:rPr lang="en-US" sz="2400" b="1" i="0" u="none" strike="noStrike">
                  <a:solidFill>
                    <a:srgbClr val="000000"/>
                  </a:solidFill>
                  <a:latin typeface="Futura PT Bold" panose="020B0902020204020203" pitchFamily="34" charset="0"/>
                </a:rPr>
                <a:pPr algn="l"/>
                <a:t> Rp1,113,220,000 </a:t>
              </a:fld>
              <a:endParaRPr lang="en-US" sz="2400" b="1" i="0" u="none" strike="noStrike">
                <a:solidFill>
                  <a:srgbClr val="000000"/>
                </a:solidFill>
                <a:latin typeface="Futura PT Bold" panose="020B0902020204020203" pitchFamily="34" charset="0"/>
              </a:endParaRPr>
            </a:p>
          </xdr:txBody>
        </xdr:sp>
        <xdr:pic>
          <xdr:nvPicPr>
            <xdr:cNvPr id="14" name="Graphic 13" descr="Money with solid fill">
              <a:extLst>
                <a:ext uri="{FF2B5EF4-FFF2-40B4-BE49-F238E27FC236}">
                  <a16:creationId xmlns:a16="http://schemas.microsoft.com/office/drawing/2014/main" id="{87CAE8D3-9F90-43D6-BF1B-1A13677D185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857909" y="997857"/>
              <a:ext cx="1052073" cy="1133929"/>
            </a:xfrm>
            <a:prstGeom prst="rect">
              <a:avLst/>
            </a:prstGeom>
            <a:effectLst>
              <a:outerShdw blurRad="50800" dist="50800" dir="5400000" algn="ctr" rotWithShape="0">
                <a:srgbClr val="000000">
                  <a:alpha val="99000"/>
                </a:srgbClr>
              </a:outerShdw>
            </a:effectLst>
          </xdr:spPr>
        </xdr:pic>
        <xdr:sp macro="" textlink="Pivot!C5">
          <xdr:nvSpPr>
            <xdr:cNvPr id="21" name="Rectangle: Rounded Corners 20">
              <a:extLst>
                <a:ext uri="{FF2B5EF4-FFF2-40B4-BE49-F238E27FC236}">
                  <a16:creationId xmlns:a16="http://schemas.microsoft.com/office/drawing/2014/main" id="{3D109E00-B9C7-4140-856A-71246902A680}"/>
                </a:ext>
              </a:extLst>
            </xdr:cNvPr>
            <xdr:cNvSpPr/>
          </xdr:nvSpPr>
          <xdr:spPr>
            <a:xfrm>
              <a:off x="12443276" y="965725"/>
              <a:ext cx="3467677" cy="1456642"/>
            </a:xfrm>
            <a:prstGeom prst="roundRect">
              <a:avLst/>
            </a:prstGeom>
            <a:gradFill>
              <a:gsLst>
                <a:gs pos="100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EA006CE-880D-425E-B042-BC8B4C8CCFDA}" type="TxLink">
                <a:rPr lang="en-US" sz="2400" b="1" i="0" u="none" strike="noStrike">
                  <a:solidFill>
                    <a:srgbClr val="000000"/>
                  </a:solidFill>
                  <a:latin typeface="Futura PT Bold" panose="020B0902020204020203" pitchFamily="34" charset="0"/>
                </a:rPr>
                <a:pPr algn="l"/>
                <a:t>1000</a:t>
              </a:fld>
              <a:endParaRPr lang="en-US" sz="2400" b="1" i="0" u="none" strike="noStrike">
                <a:solidFill>
                  <a:srgbClr val="000000"/>
                </a:solidFill>
                <a:latin typeface="Futura PT Bold" panose="020B0902020204020203" pitchFamily="34" charset="0"/>
              </a:endParaRPr>
            </a:p>
          </xdr:txBody>
        </xdr:sp>
        <xdr:pic>
          <xdr:nvPicPr>
            <xdr:cNvPr id="24" name="Graphic 23" descr="Users with solid fill">
              <a:extLst>
                <a:ext uri="{FF2B5EF4-FFF2-40B4-BE49-F238E27FC236}">
                  <a16:creationId xmlns:a16="http://schemas.microsoft.com/office/drawing/2014/main" id="{C4E5BBFB-DBDD-2E21-A1C6-B95CA7873A4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851475" y="1032392"/>
              <a:ext cx="1399577" cy="1420625"/>
            </a:xfrm>
            <a:prstGeom prst="rect">
              <a:avLst/>
            </a:prstGeom>
            <a:effectLst>
              <a:outerShdw blurRad="50800" dist="50800" dir="5400000" algn="ctr" rotWithShape="0">
                <a:srgbClr val="000000">
                  <a:alpha val="99000"/>
                </a:srgbClr>
              </a:outerShdw>
            </a:effectLst>
          </xdr:spPr>
        </xdr:pic>
        <xdr:sp macro="" textlink="Pivot!E5">
          <xdr:nvSpPr>
            <xdr:cNvPr id="23" name="Rectangle: Rounded Corners 22">
              <a:extLst>
                <a:ext uri="{FF2B5EF4-FFF2-40B4-BE49-F238E27FC236}">
                  <a16:creationId xmlns:a16="http://schemas.microsoft.com/office/drawing/2014/main" id="{40351BEF-66A4-44D0-A86C-7FE986754E9A}"/>
                </a:ext>
              </a:extLst>
            </xdr:cNvPr>
            <xdr:cNvSpPr/>
          </xdr:nvSpPr>
          <xdr:spPr>
            <a:xfrm>
              <a:off x="15985917" y="961436"/>
              <a:ext cx="3471799" cy="1456642"/>
            </a:xfrm>
            <a:prstGeom prst="roundRect">
              <a:avLst/>
            </a:prstGeom>
            <a:gradFill>
              <a:gsLst>
                <a:gs pos="100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20E02D90-48B2-41BA-8A69-63D249D7D068}" type="TxLink">
                <a:rPr lang="en-US" sz="2400" b="1" i="0" u="none" strike="noStrike">
                  <a:solidFill>
                    <a:srgbClr val="000000"/>
                  </a:solidFill>
                  <a:latin typeface="Futura PT Bold" panose="020B0902020204020203" pitchFamily="34" charset="0"/>
                </a:rPr>
                <a:pPr algn="l"/>
                <a:t>4080</a:t>
              </a:fld>
              <a:endParaRPr lang="en-US" sz="2400" b="1" i="0" u="none" strike="noStrike">
                <a:solidFill>
                  <a:srgbClr val="000000"/>
                </a:solidFill>
                <a:latin typeface="Futura PT Bold" panose="020B0902020204020203" pitchFamily="34" charset="0"/>
              </a:endParaRPr>
            </a:p>
          </xdr:txBody>
        </xdr:sp>
        <xdr:pic>
          <xdr:nvPicPr>
            <xdr:cNvPr id="27" name="Graphic 26" descr="Shopping cart with solid fill">
              <a:extLst>
                <a:ext uri="{FF2B5EF4-FFF2-40B4-BE49-F238E27FC236}">
                  <a16:creationId xmlns:a16="http://schemas.microsoft.com/office/drawing/2014/main" id="{54D77C0B-8C46-7F6A-34D6-E17291CBE65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8530884" y="1126755"/>
              <a:ext cx="1123113" cy="1113889"/>
            </a:xfrm>
            <a:prstGeom prst="rect">
              <a:avLst/>
            </a:prstGeom>
            <a:effectLst>
              <a:outerShdw blurRad="50800" dist="50800" dir="5400000" algn="ctr" rotWithShape="0">
                <a:srgbClr val="000000">
                  <a:alpha val="99000"/>
                </a:srgbClr>
              </a:outerShdw>
            </a:effectLst>
          </xdr:spPr>
        </xdr:pic>
        <xdr:sp macro="" textlink="Pivot!E3">
          <xdr:nvSpPr>
            <xdr:cNvPr id="26" name="Rectangle: Rounded Corners 25">
              <a:extLst>
                <a:ext uri="{FF2B5EF4-FFF2-40B4-BE49-F238E27FC236}">
                  <a16:creationId xmlns:a16="http://schemas.microsoft.com/office/drawing/2014/main" id="{A129DEA2-AAB9-4B69-9ED1-F0C9CEAA4BCD}"/>
                </a:ext>
              </a:extLst>
            </xdr:cNvPr>
            <xdr:cNvSpPr/>
          </xdr:nvSpPr>
          <xdr:spPr>
            <a:xfrm>
              <a:off x="19519485" y="991785"/>
              <a:ext cx="3475924" cy="1454993"/>
            </a:xfrm>
            <a:prstGeom prst="roundRect">
              <a:avLst/>
            </a:prstGeom>
            <a:gradFill>
              <a:gsLst>
                <a:gs pos="100000">
                  <a:srgbClr val="232227"/>
                </a:gs>
                <a:gs pos="0">
                  <a:srgbClr val="E5F230"/>
                </a:gs>
                <a:gs pos="84000">
                  <a:schemeClr val="accent4">
                    <a:lumMod val="5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3A43B8F9-80D6-4FF0-82C2-B5534842EAD0}" type="TxLink">
                <a:rPr lang="en-US" sz="2400" b="1" i="0" u="none" strike="noStrike">
                  <a:solidFill>
                    <a:srgbClr val="000000"/>
                  </a:solidFill>
                  <a:latin typeface="Futura PT Bold" panose="020B0902020204020203" pitchFamily="34" charset="0"/>
                </a:rPr>
                <a:pPr algn="l"/>
                <a:t>3.06</a:t>
              </a:fld>
              <a:endParaRPr lang="en-US" sz="2400" b="1" i="0" u="none" strike="noStrike">
                <a:solidFill>
                  <a:srgbClr val="000000"/>
                </a:solidFill>
                <a:latin typeface="Futura PT Bold" panose="020B0902020204020203" pitchFamily="34" charset="0"/>
              </a:endParaRPr>
            </a:p>
          </xdr:txBody>
        </xdr:sp>
        <xdr:pic>
          <xdr:nvPicPr>
            <xdr:cNvPr id="60" name="Graphic 59" descr="Star with solid fill">
              <a:extLst>
                <a:ext uri="{FF2B5EF4-FFF2-40B4-BE49-F238E27FC236}">
                  <a16:creationId xmlns:a16="http://schemas.microsoft.com/office/drawing/2014/main" id="{53F0BF64-CED9-0DB3-4071-C8A09469DA2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1989144" y="1267127"/>
              <a:ext cx="838032" cy="798621"/>
            </a:xfrm>
            <a:prstGeom prst="rect">
              <a:avLst/>
            </a:prstGeom>
            <a:effectLst>
              <a:outerShdw blurRad="50800" dist="50800" dir="5400000" algn="ctr" rotWithShape="0">
                <a:srgbClr val="000000">
                  <a:alpha val="99000"/>
                </a:srgbClr>
              </a:outerShdw>
            </a:effectLst>
          </xdr:spPr>
        </xdr:pic>
      </xdr:grpSp>
      <xdr:sp macro="" textlink="">
        <xdr:nvSpPr>
          <xdr:cNvPr id="40" name="Rectangle: Rounded Corners 39">
            <a:extLst>
              <a:ext uri="{FF2B5EF4-FFF2-40B4-BE49-F238E27FC236}">
                <a16:creationId xmlns:a16="http://schemas.microsoft.com/office/drawing/2014/main" id="{4D4A1EB1-E957-EAD4-E624-CEA4F0DA833A}"/>
              </a:ext>
            </a:extLst>
          </xdr:cNvPr>
          <xdr:cNvSpPr/>
        </xdr:nvSpPr>
        <xdr:spPr>
          <a:xfrm>
            <a:off x="647133" y="1279804"/>
            <a:ext cx="4146160" cy="384960"/>
          </a:xfrm>
          <a:prstGeom prst="roundRect">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Total Penjualan (setelah</a:t>
            </a:r>
            <a:r>
              <a:rPr lang="en-ID" sz="1100" baseline="0">
                <a:solidFill>
                  <a:schemeClr val="tx1"/>
                </a:solidFill>
                <a:latin typeface="Futura PT Bold" panose="020B0902020204020203" pitchFamily="34" charset="0"/>
              </a:rPr>
              <a:t> disc)</a:t>
            </a:r>
            <a:endParaRPr lang="en-ID" sz="1100">
              <a:solidFill>
                <a:schemeClr val="tx1"/>
              </a:solidFill>
              <a:latin typeface="Futura PT Bold" panose="020B0902020204020203" pitchFamily="34" charset="0"/>
            </a:endParaRPr>
          </a:p>
        </xdr:txBody>
      </xdr:sp>
      <xdr:sp macro="" textlink="">
        <xdr:nvSpPr>
          <xdr:cNvPr id="48" name="Rectangle: Rounded Corners 47">
            <a:extLst>
              <a:ext uri="{FF2B5EF4-FFF2-40B4-BE49-F238E27FC236}">
                <a16:creationId xmlns:a16="http://schemas.microsoft.com/office/drawing/2014/main" id="{2C2C1D68-D0ED-9ABF-2E90-E83F325AA3BC}"/>
              </a:ext>
            </a:extLst>
          </xdr:cNvPr>
          <xdr:cNvSpPr/>
        </xdr:nvSpPr>
        <xdr:spPr>
          <a:xfrm>
            <a:off x="4084891" y="1285009"/>
            <a:ext cx="3081904" cy="383565"/>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Nett.</a:t>
            </a:r>
            <a:r>
              <a:rPr lang="en-ID" sz="1100" baseline="0">
                <a:solidFill>
                  <a:schemeClr val="tx1"/>
                </a:solidFill>
                <a:latin typeface="Futura PT Bold" panose="020B0902020204020203" pitchFamily="34" charset="0"/>
              </a:rPr>
              <a:t> Profit</a:t>
            </a:r>
            <a:endParaRPr lang="en-ID" sz="1100">
              <a:solidFill>
                <a:schemeClr val="tx1"/>
              </a:solidFill>
              <a:latin typeface="Futura PT Bold" panose="020B0902020204020203" pitchFamily="34" charset="0"/>
            </a:endParaRPr>
          </a:p>
        </xdr:txBody>
      </xdr:sp>
      <xdr:sp macro="" textlink="">
        <xdr:nvSpPr>
          <xdr:cNvPr id="50" name="Rectangle: Rounded Corners 49">
            <a:extLst>
              <a:ext uri="{FF2B5EF4-FFF2-40B4-BE49-F238E27FC236}">
                <a16:creationId xmlns:a16="http://schemas.microsoft.com/office/drawing/2014/main" id="{3D2B875A-62C1-4BD0-98F9-CD995C70A964}"/>
              </a:ext>
            </a:extLst>
          </xdr:cNvPr>
          <xdr:cNvSpPr/>
        </xdr:nvSpPr>
        <xdr:spPr>
          <a:xfrm>
            <a:off x="7642522" y="1258037"/>
            <a:ext cx="3081901" cy="383565"/>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Total</a:t>
            </a:r>
            <a:r>
              <a:rPr lang="en-ID" sz="1100" baseline="0">
                <a:solidFill>
                  <a:schemeClr val="tx1"/>
                </a:solidFill>
                <a:latin typeface="Futura PT Bold" panose="020B0902020204020203" pitchFamily="34" charset="0"/>
              </a:rPr>
              <a:t> Penjualan (sebelum disc)</a:t>
            </a:r>
            <a:endParaRPr lang="en-ID" sz="1100">
              <a:solidFill>
                <a:schemeClr val="tx1"/>
              </a:solidFill>
              <a:latin typeface="Futura PT Bold" panose="020B0902020204020203" pitchFamily="34" charset="0"/>
            </a:endParaRPr>
          </a:p>
        </xdr:txBody>
      </xdr:sp>
      <xdr:sp macro="" textlink="">
        <xdr:nvSpPr>
          <xdr:cNvPr id="54" name="Rectangle: Rounded Corners 53">
            <a:extLst>
              <a:ext uri="{FF2B5EF4-FFF2-40B4-BE49-F238E27FC236}">
                <a16:creationId xmlns:a16="http://schemas.microsoft.com/office/drawing/2014/main" id="{DDEF715D-6FCC-4E7F-A3E1-FA76E67EA7BE}"/>
              </a:ext>
            </a:extLst>
          </xdr:cNvPr>
          <xdr:cNvSpPr/>
        </xdr:nvSpPr>
        <xdr:spPr>
          <a:xfrm>
            <a:off x="11083750" y="1288027"/>
            <a:ext cx="3081904" cy="384308"/>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Jumlah</a:t>
            </a:r>
            <a:r>
              <a:rPr lang="en-ID" sz="1100" baseline="0">
                <a:solidFill>
                  <a:schemeClr val="tx1"/>
                </a:solidFill>
                <a:latin typeface="Futura PT Bold" panose="020B0902020204020203" pitchFamily="34" charset="0"/>
              </a:rPr>
              <a:t> Order</a:t>
            </a:r>
            <a:endParaRPr lang="en-ID" sz="1100">
              <a:solidFill>
                <a:schemeClr val="tx1"/>
              </a:solidFill>
              <a:latin typeface="Futura PT Bold" panose="020B0902020204020203" pitchFamily="34" charset="0"/>
            </a:endParaRPr>
          </a:p>
        </xdr:txBody>
      </xdr:sp>
      <xdr:sp macro="" textlink="">
        <xdr:nvSpPr>
          <xdr:cNvPr id="62" name="Rectangle: Rounded Corners 61">
            <a:extLst>
              <a:ext uri="{FF2B5EF4-FFF2-40B4-BE49-F238E27FC236}">
                <a16:creationId xmlns:a16="http://schemas.microsoft.com/office/drawing/2014/main" id="{6BDCF8A0-5E68-46A8-A6CC-B915ACB311D1}"/>
              </a:ext>
            </a:extLst>
          </xdr:cNvPr>
          <xdr:cNvSpPr/>
        </xdr:nvSpPr>
        <xdr:spPr>
          <a:xfrm>
            <a:off x="14639284" y="1255193"/>
            <a:ext cx="3081902" cy="383565"/>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Total</a:t>
            </a:r>
            <a:r>
              <a:rPr lang="en-ID" sz="1100" baseline="0">
                <a:solidFill>
                  <a:schemeClr val="tx1"/>
                </a:solidFill>
                <a:latin typeface="Futura PT Bold" panose="020B0902020204020203" pitchFamily="34" charset="0"/>
              </a:rPr>
              <a:t> Kuantiti</a:t>
            </a:r>
            <a:endParaRPr lang="en-ID" sz="1100">
              <a:solidFill>
                <a:schemeClr val="tx1"/>
              </a:solidFill>
              <a:latin typeface="Futura PT Bold" panose="020B0902020204020203" pitchFamily="34" charset="0"/>
            </a:endParaRPr>
          </a:p>
        </xdr:txBody>
      </xdr:sp>
      <xdr:sp macro="" textlink="">
        <xdr:nvSpPr>
          <xdr:cNvPr id="64" name="Rectangle: Rounded Corners 63">
            <a:extLst>
              <a:ext uri="{FF2B5EF4-FFF2-40B4-BE49-F238E27FC236}">
                <a16:creationId xmlns:a16="http://schemas.microsoft.com/office/drawing/2014/main" id="{93069E95-B019-48B1-9727-6BADF6FA08B4}"/>
              </a:ext>
            </a:extLst>
          </xdr:cNvPr>
          <xdr:cNvSpPr/>
        </xdr:nvSpPr>
        <xdr:spPr>
          <a:xfrm>
            <a:off x="18210909" y="1308279"/>
            <a:ext cx="3081905" cy="374071"/>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solidFill>
                  <a:schemeClr val="tx1"/>
                </a:solidFill>
                <a:latin typeface="Futura PT Bold" panose="020B0902020204020203" pitchFamily="34" charset="0"/>
              </a:rPr>
              <a:t>Rating</a:t>
            </a:r>
            <a:r>
              <a:rPr lang="en-ID" sz="1100" baseline="0">
                <a:solidFill>
                  <a:schemeClr val="tx1"/>
                </a:solidFill>
                <a:latin typeface="Futura PT Bold" panose="020B0902020204020203" pitchFamily="34" charset="0"/>
              </a:rPr>
              <a:t> Avg.</a:t>
            </a:r>
            <a:endParaRPr lang="en-ID" sz="1100">
              <a:solidFill>
                <a:schemeClr val="tx1"/>
              </a:solidFill>
              <a:latin typeface="Futura PT Bold" panose="020B0902020204020203" pitchFamily="34" charset="0"/>
            </a:endParaRPr>
          </a:p>
        </xdr:txBody>
      </xdr:sp>
    </xdr:grpSp>
    <xdr:clientData/>
  </xdr:twoCellAnchor>
  <xdr:twoCellAnchor>
    <xdr:from>
      <xdr:col>10</xdr:col>
      <xdr:colOff>224118</xdr:colOff>
      <xdr:row>31</xdr:row>
      <xdr:rowOff>1</xdr:rowOff>
    </xdr:from>
    <xdr:to>
      <xdr:col>13</xdr:col>
      <xdr:colOff>205102</xdr:colOff>
      <xdr:row>34</xdr:row>
      <xdr:rowOff>107950</xdr:rowOff>
    </xdr:to>
    <xdr:sp macro="" textlink="Pivot!E12">
      <xdr:nvSpPr>
        <xdr:cNvPr id="44" name="Rectangle: Rounded Corners 43">
          <a:extLst>
            <a:ext uri="{FF2B5EF4-FFF2-40B4-BE49-F238E27FC236}">
              <a16:creationId xmlns:a16="http://schemas.microsoft.com/office/drawing/2014/main" id="{6329E274-49E0-48B5-857C-463D9501EBE1}"/>
            </a:ext>
          </a:extLst>
        </xdr:cNvPr>
        <xdr:cNvSpPr/>
      </xdr:nvSpPr>
      <xdr:spPr>
        <a:xfrm>
          <a:off x="6350000" y="4863354"/>
          <a:ext cx="1818749" cy="578596"/>
        </a:xfrm>
        <a:prstGeom prst="roundRect">
          <a:avLst>
            <a:gd name="adj" fmla="val 4512"/>
          </a:avLst>
        </a:prstGeom>
        <a:noFill/>
        <a:ln>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1EC0C6D-A016-4E60-967B-918B58D59DB6}" type="TxLink">
            <a:rPr lang="en-US" sz="1800" b="0" i="0" u="none" strike="noStrike">
              <a:solidFill>
                <a:schemeClr val="bg1"/>
              </a:solidFill>
              <a:latin typeface="Futura PT Bold" panose="020B0902020204020203" pitchFamily="34" charset="0"/>
              <a:cs typeface="Arial"/>
            </a:rPr>
            <a:pPr algn="ctr"/>
            <a:t>1421</a:t>
          </a:fld>
          <a:endParaRPr lang="en-US" sz="1800" i="0" u="none" strike="noStrike">
            <a:solidFill>
              <a:schemeClr val="bg1"/>
            </a:solidFill>
            <a:latin typeface="Futura PT Bold" panose="020B0902020204020203" pitchFamily="34" charset="0"/>
          </a:endParaRPr>
        </a:p>
      </xdr:txBody>
    </xdr:sp>
    <xdr:clientData/>
  </xdr:twoCellAnchor>
  <xdr:twoCellAnchor>
    <xdr:from>
      <xdr:col>10</xdr:col>
      <xdr:colOff>224118</xdr:colOff>
      <xdr:row>30</xdr:row>
      <xdr:rowOff>156655</xdr:rowOff>
    </xdr:from>
    <xdr:to>
      <xdr:col>13</xdr:col>
      <xdr:colOff>205102</xdr:colOff>
      <xdr:row>34</xdr:row>
      <xdr:rowOff>26259</xdr:rowOff>
    </xdr:to>
    <xdr:sp macro="" textlink="Pivot!D12">
      <xdr:nvSpPr>
        <xdr:cNvPr id="68" name="Rectangle: Rounded Corners 67">
          <a:extLst>
            <a:ext uri="{FF2B5EF4-FFF2-40B4-BE49-F238E27FC236}">
              <a16:creationId xmlns:a16="http://schemas.microsoft.com/office/drawing/2014/main" id="{AFC7C857-C1E8-4ADB-9790-395516DB374C}"/>
            </a:ext>
          </a:extLst>
        </xdr:cNvPr>
        <xdr:cNvSpPr/>
      </xdr:nvSpPr>
      <xdr:spPr>
        <a:xfrm>
          <a:off x="6350000" y="4863126"/>
          <a:ext cx="1818749" cy="497133"/>
        </a:xfrm>
        <a:prstGeom prst="roundRect">
          <a:avLst>
            <a:gd name="adj" fmla="val 4512"/>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B391D4B-8167-4F05-AFBC-0ABB084DADCB}" type="TxLink">
            <a:rPr lang="en-US" sz="1200" b="0" i="0" u="none" strike="noStrike">
              <a:solidFill>
                <a:schemeClr val="bg1"/>
              </a:solidFill>
              <a:latin typeface="Futura PT Bold" panose="020B0902020204020203" pitchFamily="34" charset="0"/>
              <a:cs typeface="Arial"/>
            </a:rPr>
            <a:pPr algn="ctr"/>
            <a:t>Jabodetabek</a:t>
          </a:fld>
          <a:endParaRPr lang="en-US" sz="1200" b="0" i="0" u="none" strike="noStrike">
            <a:solidFill>
              <a:schemeClr val="bg1"/>
            </a:solidFill>
            <a:latin typeface="Futura PT Bold" panose="020B0902020204020203" pitchFamily="34" charset="0"/>
            <a:cs typeface="Arial"/>
          </a:endParaRPr>
        </a:p>
      </xdr:txBody>
    </xdr:sp>
    <xdr:clientData/>
  </xdr:twoCellAnchor>
  <xdr:twoCellAnchor>
    <xdr:from>
      <xdr:col>10</xdr:col>
      <xdr:colOff>239059</xdr:colOff>
      <xdr:row>35</xdr:row>
      <xdr:rowOff>104363</xdr:rowOff>
    </xdr:from>
    <xdr:to>
      <xdr:col>13</xdr:col>
      <xdr:colOff>220043</xdr:colOff>
      <xdr:row>39</xdr:row>
      <xdr:rowOff>38101</xdr:rowOff>
    </xdr:to>
    <xdr:sp macro="" textlink="Pivot!E13">
      <xdr:nvSpPr>
        <xdr:cNvPr id="70" name="Rectangle: Rounded Corners 69">
          <a:extLst>
            <a:ext uri="{FF2B5EF4-FFF2-40B4-BE49-F238E27FC236}">
              <a16:creationId xmlns:a16="http://schemas.microsoft.com/office/drawing/2014/main" id="{9BBC77B9-156D-4F9C-B11A-87951124E2D1}"/>
            </a:ext>
          </a:extLst>
        </xdr:cNvPr>
        <xdr:cNvSpPr/>
      </xdr:nvSpPr>
      <xdr:spPr>
        <a:xfrm>
          <a:off x="6335059" y="5660613"/>
          <a:ext cx="1809784" cy="568738"/>
        </a:xfrm>
        <a:prstGeom prst="roundRect">
          <a:avLst>
            <a:gd name="adj" fmla="val 4512"/>
          </a:avLst>
        </a:prstGeom>
        <a:noFill/>
        <a:ln>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E7944C2-2339-4E9B-AC0F-B7DCA3FAC29C}" type="TxLink">
            <a:rPr lang="en-US" sz="1800" b="0" i="0" u="none" strike="noStrike">
              <a:solidFill>
                <a:schemeClr val="bg1"/>
              </a:solidFill>
              <a:latin typeface="Futura PT Bold" panose="020B0902020204020203" pitchFamily="34" charset="0"/>
              <a:cs typeface="Arial"/>
            </a:rPr>
            <a:pPr algn="ctr"/>
            <a:t>711</a:t>
          </a:fld>
          <a:endParaRPr lang="en-US" sz="1800" b="0" i="0" u="none" strike="noStrike">
            <a:solidFill>
              <a:schemeClr val="bg1"/>
            </a:solidFill>
            <a:latin typeface="Futura PT Bold" panose="020B0902020204020203" pitchFamily="34" charset="0"/>
            <a:cs typeface="Arial"/>
          </a:endParaRPr>
        </a:p>
      </xdr:txBody>
    </xdr:sp>
    <xdr:clientData/>
  </xdr:twoCellAnchor>
  <xdr:twoCellAnchor>
    <xdr:from>
      <xdr:col>10</xdr:col>
      <xdr:colOff>246529</xdr:colOff>
      <xdr:row>35</xdr:row>
      <xdr:rowOff>96892</xdr:rowOff>
    </xdr:from>
    <xdr:to>
      <xdr:col>13</xdr:col>
      <xdr:colOff>227513</xdr:colOff>
      <xdr:row>38</xdr:row>
      <xdr:rowOff>123378</xdr:rowOff>
    </xdr:to>
    <xdr:sp macro="" textlink="Pivot!D13">
      <xdr:nvSpPr>
        <xdr:cNvPr id="71" name="Rectangle: Rounded Corners 70">
          <a:extLst>
            <a:ext uri="{FF2B5EF4-FFF2-40B4-BE49-F238E27FC236}">
              <a16:creationId xmlns:a16="http://schemas.microsoft.com/office/drawing/2014/main" id="{3380E86F-BB70-4F4A-B63E-28F6D7966504}"/>
            </a:ext>
          </a:extLst>
        </xdr:cNvPr>
        <xdr:cNvSpPr/>
      </xdr:nvSpPr>
      <xdr:spPr>
        <a:xfrm>
          <a:off x="6372411" y="5587774"/>
          <a:ext cx="1818749" cy="497133"/>
        </a:xfrm>
        <a:prstGeom prst="roundRect">
          <a:avLst>
            <a:gd name="adj" fmla="val 4512"/>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A70436A-896D-4A59-9470-8994B77C1941}" type="TxLink">
            <a:rPr lang="en-US" sz="1200" b="0" i="0" u="none" strike="noStrike">
              <a:solidFill>
                <a:schemeClr val="bg1"/>
              </a:solidFill>
              <a:latin typeface="Futura PT Bold" panose="020B0902020204020203" pitchFamily="34" charset="0"/>
              <a:cs typeface="Arial"/>
            </a:rPr>
            <a:pPr algn="ctr"/>
            <a:t>DI Yogyakarta</a:t>
          </a:fld>
          <a:endParaRPr lang="en-US" sz="1200" b="0" i="0" u="none" strike="noStrike">
            <a:solidFill>
              <a:schemeClr val="bg1"/>
            </a:solidFill>
            <a:latin typeface="Futura PT Bold" panose="020B0902020204020203" pitchFamily="34" charset="0"/>
            <a:cs typeface="Arial"/>
          </a:endParaRPr>
        </a:p>
      </xdr:txBody>
    </xdr:sp>
    <xdr:clientData/>
  </xdr:twoCellAnchor>
  <xdr:twoCellAnchor>
    <xdr:from>
      <xdr:col>10</xdr:col>
      <xdr:colOff>239059</xdr:colOff>
      <xdr:row>40</xdr:row>
      <xdr:rowOff>44597</xdr:rowOff>
    </xdr:from>
    <xdr:to>
      <xdr:col>13</xdr:col>
      <xdr:colOff>220043</xdr:colOff>
      <xdr:row>43</xdr:row>
      <xdr:rowOff>139700</xdr:rowOff>
    </xdr:to>
    <xdr:sp macro="" textlink="Pivot!E14">
      <xdr:nvSpPr>
        <xdr:cNvPr id="72" name="Rectangle: Rounded Corners 71">
          <a:extLst>
            <a:ext uri="{FF2B5EF4-FFF2-40B4-BE49-F238E27FC236}">
              <a16:creationId xmlns:a16="http://schemas.microsoft.com/office/drawing/2014/main" id="{D8A96564-371C-4921-BF58-2004DD6F4D25}"/>
            </a:ext>
          </a:extLst>
        </xdr:cNvPr>
        <xdr:cNvSpPr/>
      </xdr:nvSpPr>
      <xdr:spPr>
        <a:xfrm>
          <a:off x="6335059" y="6394597"/>
          <a:ext cx="1809784" cy="571353"/>
        </a:xfrm>
        <a:prstGeom prst="roundRect">
          <a:avLst>
            <a:gd name="adj" fmla="val 4512"/>
          </a:avLst>
        </a:prstGeom>
        <a:noFill/>
        <a:ln>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5E5AE60-63D7-41CF-9995-2D6CD5BE6A96}" type="TxLink">
            <a:rPr lang="en-US" sz="1800" b="0" i="0" u="none" strike="noStrike">
              <a:solidFill>
                <a:schemeClr val="bg1"/>
              </a:solidFill>
              <a:latin typeface="Futura PT Bold" panose="020B0902020204020203" pitchFamily="34" charset="0"/>
              <a:cs typeface="Arial"/>
            </a:rPr>
            <a:pPr algn="ctr"/>
            <a:t>645</a:t>
          </a:fld>
          <a:endParaRPr lang="en-US" sz="1800" b="0" i="0" u="none" strike="noStrike">
            <a:solidFill>
              <a:schemeClr val="bg1"/>
            </a:solidFill>
            <a:latin typeface="Futura PT Bold" panose="020B0902020204020203" pitchFamily="34" charset="0"/>
            <a:cs typeface="Arial"/>
          </a:endParaRPr>
        </a:p>
      </xdr:txBody>
    </xdr:sp>
    <xdr:clientData/>
  </xdr:twoCellAnchor>
  <xdr:twoCellAnchor>
    <xdr:from>
      <xdr:col>10</xdr:col>
      <xdr:colOff>239059</xdr:colOff>
      <xdr:row>40</xdr:row>
      <xdr:rowOff>44597</xdr:rowOff>
    </xdr:from>
    <xdr:to>
      <xdr:col>13</xdr:col>
      <xdr:colOff>220043</xdr:colOff>
      <xdr:row>43</xdr:row>
      <xdr:rowOff>71083</xdr:rowOff>
    </xdr:to>
    <xdr:sp macro="" textlink="Pivot!D14">
      <xdr:nvSpPr>
        <xdr:cNvPr id="75" name="Rectangle: Rounded Corners 74">
          <a:extLst>
            <a:ext uri="{FF2B5EF4-FFF2-40B4-BE49-F238E27FC236}">
              <a16:creationId xmlns:a16="http://schemas.microsoft.com/office/drawing/2014/main" id="{BEB724B3-19B4-43C9-8A49-DCB3D3BB7D74}"/>
            </a:ext>
          </a:extLst>
        </xdr:cNvPr>
        <xdr:cNvSpPr/>
      </xdr:nvSpPr>
      <xdr:spPr>
        <a:xfrm>
          <a:off x="6364941" y="6319891"/>
          <a:ext cx="1818749" cy="497133"/>
        </a:xfrm>
        <a:prstGeom prst="roundRect">
          <a:avLst>
            <a:gd name="adj" fmla="val 4512"/>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0DC29F-19B6-4B76-8F45-428372BE034D}" type="TxLink">
            <a:rPr lang="en-US" sz="1200" b="0" i="0" u="none" strike="noStrike">
              <a:solidFill>
                <a:schemeClr val="bg1"/>
              </a:solidFill>
              <a:latin typeface="Futura PT Bold" panose="020B0902020204020203" pitchFamily="34" charset="0"/>
              <a:cs typeface="Arial"/>
            </a:rPr>
            <a:pPr algn="ctr"/>
            <a:t>Jawa Tengah</a:t>
          </a:fld>
          <a:endParaRPr lang="en-US" sz="1200" b="0" i="0" u="none" strike="noStrike">
            <a:solidFill>
              <a:schemeClr val="bg1"/>
            </a:solidFill>
            <a:latin typeface="Futura PT Bold" panose="020B0902020204020203" pitchFamily="34" charset="0"/>
            <a:cs typeface="Arial"/>
          </a:endParaRPr>
        </a:p>
      </xdr:txBody>
    </xdr:sp>
    <xdr:clientData/>
  </xdr:twoCellAnchor>
  <xdr:twoCellAnchor>
    <xdr:from>
      <xdr:col>12</xdr:col>
      <xdr:colOff>522942</xdr:colOff>
      <xdr:row>42</xdr:row>
      <xdr:rowOff>91044</xdr:rowOff>
    </xdr:from>
    <xdr:to>
      <xdr:col>13</xdr:col>
      <xdr:colOff>269400</xdr:colOff>
      <xdr:row>44</xdr:row>
      <xdr:rowOff>113682</xdr:rowOff>
    </xdr:to>
    <xdr:pic>
      <xdr:nvPicPr>
        <xdr:cNvPr id="76" name="Graphic 75" descr="Shopping cart with solid fill">
          <a:extLst>
            <a:ext uri="{FF2B5EF4-FFF2-40B4-BE49-F238E27FC236}">
              <a16:creationId xmlns:a16="http://schemas.microsoft.com/office/drawing/2014/main" id="{F49F4136-B092-4CAF-B702-5F777A07A35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11638" y="6816522"/>
          <a:ext cx="353849" cy="342899"/>
        </a:xfrm>
        <a:prstGeom prst="rect">
          <a:avLst/>
        </a:prstGeom>
        <a:effectLst>
          <a:outerShdw blurRad="50800" dist="50800" dir="5400000" algn="ctr" rotWithShape="0">
            <a:srgbClr val="000000">
              <a:alpha val="99000"/>
            </a:srgbClr>
          </a:outerShdw>
        </a:effectLst>
      </xdr:spPr>
    </xdr:pic>
    <xdr:clientData/>
  </xdr:twoCellAnchor>
  <xdr:twoCellAnchor>
    <xdr:from>
      <xdr:col>12</xdr:col>
      <xdr:colOff>526188</xdr:colOff>
      <xdr:row>37</xdr:row>
      <xdr:rowOff>149917</xdr:rowOff>
    </xdr:from>
    <xdr:to>
      <xdr:col>13</xdr:col>
      <xdr:colOff>272646</xdr:colOff>
      <xdr:row>40</xdr:row>
      <xdr:rowOff>12425</xdr:rowOff>
    </xdr:to>
    <xdr:pic>
      <xdr:nvPicPr>
        <xdr:cNvPr id="79" name="Graphic 78" descr="Shopping cart with solid fill">
          <a:extLst>
            <a:ext uri="{FF2B5EF4-FFF2-40B4-BE49-F238E27FC236}">
              <a16:creationId xmlns:a16="http://schemas.microsoft.com/office/drawing/2014/main" id="{2885D53D-C0DE-49FC-98A1-BE3E2081EDF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14884" y="6074743"/>
          <a:ext cx="353849" cy="342899"/>
        </a:xfrm>
        <a:prstGeom prst="rect">
          <a:avLst/>
        </a:prstGeom>
        <a:effectLst>
          <a:outerShdw blurRad="50800" dist="50800" dir="5400000" algn="ctr" rotWithShape="0">
            <a:srgbClr val="000000">
              <a:alpha val="99000"/>
            </a:srgbClr>
          </a:outerShdw>
        </a:effectLst>
      </xdr:spPr>
    </xdr:pic>
    <xdr:clientData/>
  </xdr:twoCellAnchor>
  <xdr:twoCellAnchor>
    <xdr:from>
      <xdr:col>12</xdr:col>
      <xdr:colOff>516770</xdr:colOff>
      <xdr:row>33</xdr:row>
      <xdr:rowOff>51077</xdr:rowOff>
    </xdr:from>
    <xdr:to>
      <xdr:col>13</xdr:col>
      <xdr:colOff>263228</xdr:colOff>
      <xdr:row>35</xdr:row>
      <xdr:rowOff>73715</xdr:rowOff>
    </xdr:to>
    <xdr:pic>
      <xdr:nvPicPr>
        <xdr:cNvPr id="80" name="Graphic 79" descr="Shopping cart with solid fill">
          <a:extLst>
            <a:ext uri="{FF2B5EF4-FFF2-40B4-BE49-F238E27FC236}">
              <a16:creationId xmlns:a16="http://schemas.microsoft.com/office/drawing/2014/main" id="{73F2DA1B-FF4D-4B2C-8AA9-AD472F0DD7D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05466" y="5335381"/>
          <a:ext cx="353849" cy="342899"/>
        </a:xfrm>
        <a:prstGeom prst="rect">
          <a:avLst/>
        </a:prstGeom>
        <a:effectLst>
          <a:outerShdw blurRad="50800" dist="50800" dir="5400000" algn="ctr" rotWithShape="0">
            <a:srgbClr val="000000">
              <a:alpha val="99000"/>
            </a:srgbClr>
          </a:outerShdw>
        </a:effectLst>
      </xdr:spPr>
    </xdr:pic>
    <xdr:clientData/>
  </xdr:twoCellAnchor>
  <xdr:twoCellAnchor>
    <xdr:from>
      <xdr:col>9</xdr:col>
      <xdr:colOff>554446</xdr:colOff>
      <xdr:row>30</xdr:row>
      <xdr:rowOff>84870</xdr:rowOff>
    </xdr:from>
    <xdr:to>
      <xdr:col>11</xdr:col>
      <xdr:colOff>256274</xdr:colOff>
      <xdr:row>34</xdr:row>
      <xdr:rowOff>67235</xdr:rowOff>
    </xdr:to>
    <xdr:sp macro="" textlink="">
      <xdr:nvSpPr>
        <xdr:cNvPr id="81" name="Rectangle: Rounded Corners 80">
          <a:extLst>
            <a:ext uri="{FF2B5EF4-FFF2-40B4-BE49-F238E27FC236}">
              <a16:creationId xmlns:a16="http://schemas.microsoft.com/office/drawing/2014/main" id="{8408BFF7-99B7-49E3-AE67-0106B0D7D04B}"/>
            </a:ext>
          </a:extLst>
        </xdr:cNvPr>
        <xdr:cNvSpPr/>
      </xdr:nvSpPr>
      <xdr:spPr>
        <a:xfrm>
          <a:off x="6067740" y="4791341"/>
          <a:ext cx="927005" cy="609894"/>
        </a:xfrm>
        <a:prstGeom prst="roundRect">
          <a:avLst>
            <a:gd name="adj" fmla="val 4512"/>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600" b="0" i="0" u="none" strike="noStrike">
            <a:solidFill>
              <a:schemeClr val="bg1"/>
            </a:solidFill>
            <a:latin typeface="Futura PT Bold" panose="020B0902020204020203" pitchFamily="34" charset="0"/>
            <a:cs typeface="Arial"/>
          </a:endParaRPr>
        </a:p>
      </xdr:txBody>
    </xdr:sp>
    <xdr:clientData/>
  </xdr:twoCellAnchor>
  <xdr:twoCellAnchor>
    <xdr:from>
      <xdr:col>9</xdr:col>
      <xdr:colOff>115046</xdr:colOff>
      <xdr:row>31</xdr:row>
      <xdr:rowOff>47585</xdr:rowOff>
    </xdr:from>
    <xdr:to>
      <xdr:col>12</xdr:col>
      <xdr:colOff>96030</xdr:colOff>
      <xdr:row>36</xdr:row>
      <xdr:rowOff>44823</xdr:rowOff>
    </xdr:to>
    <xdr:sp macro="" textlink="">
      <xdr:nvSpPr>
        <xdr:cNvPr id="82" name="Rectangle: Rounded Corners 81">
          <a:extLst>
            <a:ext uri="{FF2B5EF4-FFF2-40B4-BE49-F238E27FC236}">
              <a16:creationId xmlns:a16="http://schemas.microsoft.com/office/drawing/2014/main" id="{809F42C4-0114-435A-A19C-5C8FBD42FE33}"/>
            </a:ext>
          </a:extLst>
        </xdr:cNvPr>
        <xdr:cNvSpPr/>
      </xdr:nvSpPr>
      <xdr:spPr>
        <a:xfrm>
          <a:off x="5628340" y="4910938"/>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1.</a:t>
          </a:r>
        </a:p>
      </xdr:txBody>
    </xdr:sp>
    <xdr:clientData/>
  </xdr:twoCellAnchor>
  <xdr:twoCellAnchor>
    <xdr:from>
      <xdr:col>9</xdr:col>
      <xdr:colOff>113682</xdr:colOff>
      <xdr:row>35</xdr:row>
      <xdr:rowOff>134243</xdr:rowOff>
    </xdr:from>
    <xdr:to>
      <xdr:col>12</xdr:col>
      <xdr:colOff>94666</xdr:colOff>
      <xdr:row>40</xdr:row>
      <xdr:rowOff>131481</xdr:rowOff>
    </xdr:to>
    <xdr:sp macro="" textlink="">
      <xdr:nvSpPr>
        <xdr:cNvPr id="83" name="Rectangle: Rounded Corners 82">
          <a:extLst>
            <a:ext uri="{FF2B5EF4-FFF2-40B4-BE49-F238E27FC236}">
              <a16:creationId xmlns:a16="http://schemas.microsoft.com/office/drawing/2014/main" id="{48BDB091-2F4A-4BC6-AFE8-09F8B1291BC7}"/>
            </a:ext>
          </a:extLst>
        </xdr:cNvPr>
        <xdr:cNvSpPr/>
      </xdr:nvSpPr>
      <xdr:spPr>
        <a:xfrm>
          <a:off x="5626976" y="5625125"/>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2.</a:t>
          </a:r>
        </a:p>
      </xdr:txBody>
    </xdr:sp>
    <xdr:clientData/>
  </xdr:twoCellAnchor>
  <xdr:twoCellAnchor>
    <xdr:from>
      <xdr:col>9</xdr:col>
      <xdr:colOff>134471</xdr:colOff>
      <xdr:row>40</xdr:row>
      <xdr:rowOff>74479</xdr:rowOff>
    </xdr:from>
    <xdr:to>
      <xdr:col>12</xdr:col>
      <xdr:colOff>115455</xdr:colOff>
      <xdr:row>45</xdr:row>
      <xdr:rowOff>71717</xdr:rowOff>
    </xdr:to>
    <xdr:sp macro="" textlink="">
      <xdr:nvSpPr>
        <xdr:cNvPr id="84" name="Rectangle: Rounded Corners 83">
          <a:extLst>
            <a:ext uri="{FF2B5EF4-FFF2-40B4-BE49-F238E27FC236}">
              <a16:creationId xmlns:a16="http://schemas.microsoft.com/office/drawing/2014/main" id="{5A988710-11A5-442A-94A2-8F29B9D95D7C}"/>
            </a:ext>
          </a:extLst>
        </xdr:cNvPr>
        <xdr:cNvSpPr/>
      </xdr:nvSpPr>
      <xdr:spPr>
        <a:xfrm>
          <a:off x="5647765" y="6349773"/>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3.</a:t>
          </a:r>
        </a:p>
      </xdr:txBody>
    </xdr:sp>
    <xdr:clientData/>
  </xdr:twoCellAnchor>
  <xdr:twoCellAnchor>
    <xdr:from>
      <xdr:col>29</xdr:col>
      <xdr:colOff>452983</xdr:colOff>
      <xdr:row>30</xdr:row>
      <xdr:rowOff>38619</xdr:rowOff>
    </xdr:from>
    <xdr:to>
      <xdr:col>35</xdr:col>
      <xdr:colOff>55418</xdr:colOff>
      <xdr:row>34</xdr:row>
      <xdr:rowOff>53787</xdr:rowOff>
    </xdr:to>
    <xdr:sp macro="" textlink="Pivot!Q38">
      <xdr:nvSpPr>
        <xdr:cNvPr id="85" name="Rectangle: Rounded Corners 84">
          <a:extLst>
            <a:ext uri="{FF2B5EF4-FFF2-40B4-BE49-F238E27FC236}">
              <a16:creationId xmlns:a16="http://schemas.microsoft.com/office/drawing/2014/main" id="{A2C5B4BE-4C59-4D76-BA75-87025B514720}"/>
            </a:ext>
          </a:extLst>
        </xdr:cNvPr>
        <xdr:cNvSpPr/>
      </xdr:nvSpPr>
      <xdr:spPr>
        <a:xfrm>
          <a:off x="18131383" y="4801119"/>
          <a:ext cx="3260035" cy="650168"/>
        </a:xfrm>
        <a:prstGeom prst="roundRect">
          <a:avLst>
            <a:gd name="adj" fmla="val 4512"/>
          </a:avLst>
        </a:prstGeom>
        <a:noFill/>
        <a:ln w="12700">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1BB7584-F977-4846-BB2C-5693986411EC}" type="TxLink">
            <a:rPr lang="en-US" sz="2000" b="0" i="0" u="none" strike="noStrike">
              <a:solidFill>
                <a:schemeClr val="bg1"/>
              </a:solidFill>
              <a:latin typeface="Futura PT Bold" panose="020B0902020204020203" pitchFamily="34" charset="0"/>
              <a:cs typeface="Arial"/>
            </a:rPr>
            <a:pPr algn="ctr"/>
            <a:t>Sneakers</a:t>
          </a:fld>
          <a:endParaRPr lang="en-US" sz="2000" b="0" i="0" u="none" strike="noStrike">
            <a:solidFill>
              <a:schemeClr val="bg1"/>
            </a:solidFill>
            <a:latin typeface="Futura PT Bold" panose="020B0902020204020203" pitchFamily="34" charset="0"/>
            <a:cs typeface="Arial"/>
          </a:endParaRPr>
        </a:p>
      </xdr:txBody>
    </xdr:sp>
    <xdr:clientData/>
  </xdr:twoCellAnchor>
  <xdr:twoCellAnchor>
    <xdr:from>
      <xdr:col>29</xdr:col>
      <xdr:colOff>452983</xdr:colOff>
      <xdr:row>34</xdr:row>
      <xdr:rowOff>155160</xdr:rowOff>
    </xdr:from>
    <xdr:to>
      <xdr:col>35</xdr:col>
      <xdr:colOff>55418</xdr:colOff>
      <xdr:row>39</xdr:row>
      <xdr:rowOff>11578</xdr:rowOff>
    </xdr:to>
    <xdr:sp macro="" textlink="Pivot!Q39">
      <xdr:nvSpPr>
        <xdr:cNvPr id="87" name="Rectangle: Rounded Corners 86">
          <a:extLst>
            <a:ext uri="{FF2B5EF4-FFF2-40B4-BE49-F238E27FC236}">
              <a16:creationId xmlns:a16="http://schemas.microsoft.com/office/drawing/2014/main" id="{D39400A9-8492-4B28-B9AD-78C76960630F}"/>
            </a:ext>
          </a:extLst>
        </xdr:cNvPr>
        <xdr:cNvSpPr/>
      </xdr:nvSpPr>
      <xdr:spPr>
        <a:xfrm>
          <a:off x="18131383" y="5552660"/>
          <a:ext cx="3260035" cy="650168"/>
        </a:xfrm>
        <a:prstGeom prst="roundRect">
          <a:avLst>
            <a:gd name="adj" fmla="val 4512"/>
          </a:avLst>
        </a:prstGeom>
        <a:noFill/>
        <a:ln w="12700">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5818393-A7ED-41F2-9EB4-A6BB74528499}" type="TxLink">
            <a:rPr lang="en-US" sz="2000" b="0" i="0" u="none" strike="noStrike">
              <a:solidFill>
                <a:schemeClr val="bg1"/>
              </a:solidFill>
              <a:latin typeface="Futura PT Bold" panose="020B0902020204020203" pitchFamily="34" charset="0"/>
              <a:cs typeface="Arial"/>
            </a:rPr>
            <a:pPr algn="ctr"/>
            <a:t>Jaket Jeans</a:t>
          </a:fld>
          <a:endParaRPr lang="en-US" sz="2000" b="0" i="0" u="none" strike="noStrike">
            <a:solidFill>
              <a:schemeClr val="bg1"/>
            </a:solidFill>
            <a:latin typeface="Futura PT Bold" panose="020B0902020204020203" pitchFamily="34" charset="0"/>
            <a:cs typeface="Arial"/>
          </a:endParaRPr>
        </a:p>
      </xdr:txBody>
    </xdr:sp>
    <xdr:clientData/>
  </xdr:twoCellAnchor>
  <xdr:twoCellAnchor>
    <xdr:from>
      <xdr:col>29</xdr:col>
      <xdr:colOff>460080</xdr:colOff>
      <xdr:row>39</xdr:row>
      <xdr:rowOff>107349</xdr:rowOff>
    </xdr:from>
    <xdr:to>
      <xdr:col>35</xdr:col>
      <xdr:colOff>62515</xdr:colOff>
      <xdr:row>43</xdr:row>
      <xdr:rowOff>122516</xdr:rowOff>
    </xdr:to>
    <xdr:sp macro="" textlink="Pivot!Q40">
      <xdr:nvSpPr>
        <xdr:cNvPr id="88" name="Rectangle: Rounded Corners 87">
          <a:extLst>
            <a:ext uri="{FF2B5EF4-FFF2-40B4-BE49-F238E27FC236}">
              <a16:creationId xmlns:a16="http://schemas.microsoft.com/office/drawing/2014/main" id="{B68A049D-C970-4A16-8A8C-889BB2273208}"/>
            </a:ext>
          </a:extLst>
        </xdr:cNvPr>
        <xdr:cNvSpPr/>
      </xdr:nvSpPr>
      <xdr:spPr>
        <a:xfrm>
          <a:off x="18138480" y="6298599"/>
          <a:ext cx="3260035" cy="650167"/>
        </a:xfrm>
        <a:prstGeom prst="roundRect">
          <a:avLst>
            <a:gd name="adj" fmla="val 4512"/>
          </a:avLst>
        </a:prstGeom>
        <a:noFill/>
        <a:ln w="12700">
          <a:solidFill>
            <a:srgbClr val="2B894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CB791CF-EE5B-4A3D-99A9-C7DC66E4C696}" type="TxLink">
            <a:rPr lang="en-US" sz="2000" b="0" i="0" u="none" strike="noStrike">
              <a:solidFill>
                <a:schemeClr val="bg1"/>
              </a:solidFill>
              <a:latin typeface="Futura PT Bold" panose="020B0902020204020203" pitchFamily="34" charset="0"/>
              <a:cs typeface="Arial"/>
            </a:rPr>
            <a:pPr algn="ctr"/>
            <a:t>Jaket Hoodie</a:t>
          </a:fld>
          <a:endParaRPr lang="en-US" sz="2000" b="0" i="0" u="none" strike="noStrike">
            <a:solidFill>
              <a:schemeClr val="bg1"/>
            </a:solidFill>
            <a:latin typeface="Futura PT Bold" panose="020B0902020204020203" pitchFamily="34" charset="0"/>
            <a:cs typeface="Arial"/>
          </a:endParaRPr>
        </a:p>
      </xdr:txBody>
    </xdr:sp>
    <xdr:clientData/>
  </xdr:twoCellAnchor>
  <xdr:twoCellAnchor>
    <xdr:from>
      <xdr:col>29</xdr:col>
      <xdr:colOff>469792</xdr:colOff>
      <xdr:row>31</xdr:row>
      <xdr:rowOff>120650</xdr:rowOff>
    </xdr:from>
    <xdr:to>
      <xdr:col>35</xdr:col>
      <xdr:colOff>72227</xdr:colOff>
      <xdr:row>34</xdr:row>
      <xdr:rowOff>38100</xdr:rowOff>
    </xdr:to>
    <xdr:sp macro="" textlink="Pivot!R38">
      <xdr:nvSpPr>
        <xdr:cNvPr id="89" name="Rectangle: Rounded Corners 88">
          <a:extLst>
            <a:ext uri="{FF2B5EF4-FFF2-40B4-BE49-F238E27FC236}">
              <a16:creationId xmlns:a16="http://schemas.microsoft.com/office/drawing/2014/main" id="{7111197A-B42E-4D0E-AD4C-90330E369667}"/>
            </a:ext>
          </a:extLst>
        </xdr:cNvPr>
        <xdr:cNvSpPr/>
      </xdr:nvSpPr>
      <xdr:spPr>
        <a:xfrm>
          <a:off x="18148192" y="5041900"/>
          <a:ext cx="3260035" cy="393700"/>
        </a:xfrm>
        <a:prstGeom prst="roundRect">
          <a:avLst>
            <a:gd name="adj" fmla="val 4512"/>
          </a:avLst>
        </a:prstGeom>
        <a:noFill/>
        <a:ln w="920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F73A789-108E-41DB-A7D8-DC52CA4E6456}" type="TxLink">
            <a:rPr lang="en-US" sz="1400" b="0" i="0" u="none" strike="noStrike">
              <a:solidFill>
                <a:schemeClr val="bg1"/>
              </a:solidFill>
              <a:latin typeface="Futura PT Bold" panose="020B0902020204020203" pitchFamily="34" charset="0"/>
              <a:cs typeface="Arial"/>
            </a:rPr>
            <a:pPr algn="ctr"/>
            <a:t> Rp185,650,000 </a:t>
          </a:fld>
          <a:endParaRPr lang="en-US" sz="1400" b="0" i="0" u="none" strike="noStrike">
            <a:solidFill>
              <a:schemeClr val="bg1"/>
            </a:solidFill>
            <a:latin typeface="Futura PT Bold" panose="020B0902020204020203" pitchFamily="34" charset="0"/>
            <a:cs typeface="Arial"/>
          </a:endParaRPr>
        </a:p>
      </xdr:txBody>
    </xdr:sp>
    <xdr:clientData/>
  </xdr:twoCellAnchor>
  <xdr:twoCellAnchor>
    <xdr:from>
      <xdr:col>29</xdr:col>
      <xdr:colOff>465683</xdr:colOff>
      <xdr:row>36</xdr:row>
      <xdr:rowOff>53560</xdr:rowOff>
    </xdr:from>
    <xdr:to>
      <xdr:col>35</xdr:col>
      <xdr:colOff>68118</xdr:colOff>
      <xdr:row>38</xdr:row>
      <xdr:rowOff>129760</xdr:rowOff>
    </xdr:to>
    <xdr:sp macro="" textlink="Pivot!R39">
      <xdr:nvSpPr>
        <xdr:cNvPr id="90" name="Rectangle: Rounded Corners 89">
          <a:extLst>
            <a:ext uri="{FF2B5EF4-FFF2-40B4-BE49-F238E27FC236}">
              <a16:creationId xmlns:a16="http://schemas.microsoft.com/office/drawing/2014/main" id="{59636E5E-B673-47D6-BB9E-277A1FD8EDB5}"/>
            </a:ext>
          </a:extLst>
        </xdr:cNvPr>
        <xdr:cNvSpPr/>
      </xdr:nvSpPr>
      <xdr:spPr>
        <a:xfrm>
          <a:off x="18144083" y="5768560"/>
          <a:ext cx="3260035" cy="393700"/>
        </a:xfrm>
        <a:prstGeom prst="roundRect">
          <a:avLst>
            <a:gd name="adj" fmla="val 4512"/>
          </a:avLst>
        </a:prstGeom>
        <a:noFill/>
        <a:ln w="920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A3B77D1-8B69-4BF6-A0BC-70F1EE7C27D1}" type="TxLink">
            <a:rPr lang="en-US" sz="1400" b="0" i="0" u="none" strike="noStrike">
              <a:solidFill>
                <a:schemeClr val="bg1"/>
              </a:solidFill>
              <a:latin typeface="Futura PT Bold" panose="020B0902020204020203" pitchFamily="34" charset="0"/>
              <a:cs typeface="Arial"/>
            </a:rPr>
            <a:pPr algn="ctr"/>
            <a:t> Rp160,840,000 </a:t>
          </a:fld>
          <a:endParaRPr lang="en-US" sz="1400" b="0" i="0" u="none" strike="noStrike">
            <a:solidFill>
              <a:schemeClr val="bg1"/>
            </a:solidFill>
            <a:latin typeface="Futura PT Bold" panose="020B0902020204020203" pitchFamily="34" charset="0"/>
            <a:cs typeface="Arial"/>
          </a:endParaRPr>
        </a:p>
      </xdr:txBody>
    </xdr:sp>
    <xdr:clientData/>
  </xdr:twoCellAnchor>
  <xdr:twoCellAnchor>
    <xdr:from>
      <xdr:col>29</xdr:col>
      <xdr:colOff>447380</xdr:colOff>
      <xdr:row>41</xdr:row>
      <xdr:rowOff>12099</xdr:rowOff>
    </xdr:from>
    <xdr:to>
      <xdr:col>35</xdr:col>
      <xdr:colOff>49815</xdr:colOff>
      <xdr:row>43</xdr:row>
      <xdr:rowOff>88299</xdr:rowOff>
    </xdr:to>
    <xdr:sp macro="" textlink="Pivot!R40">
      <xdr:nvSpPr>
        <xdr:cNvPr id="91" name="Rectangle: Rounded Corners 90">
          <a:extLst>
            <a:ext uri="{FF2B5EF4-FFF2-40B4-BE49-F238E27FC236}">
              <a16:creationId xmlns:a16="http://schemas.microsoft.com/office/drawing/2014/main" id="{A950ADBC-0C9A-46C0-981E-771EC752D0FC}"/>
            </a:ext>
          </a:extLst>
        </xdr:cNvPr>
        <xdr:cNvSpPr/>
      </xdr:nvSpPr>
      <xdr:spPr>
        <a:xfrm>
          <a:off x="18125780" y="6520849"/>
          <a:ext cx="3260035" cy="393700"/>
        </a:xfrm>
        <a:prstGeom prst="roundRect">
          <a:avLst>
            <a:gd name="adj" fmla="val 4512"/>
          </a:avLst>
        </a:prstGeom>
        <a:noFill/>
        <a:ln w="920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F9C23AB-A02E-4D18-96F9-1ED82691BC00}" type="TxLink">
            <a:rPr lang="en-US" sz="1400" b="0" i="0" u="none" strike="noStrike">
              <a:solidFill>
                <a:schemeClr val="bg1"/>
              </a:solidFill>
              <a:latin typeface="Futura PT Bold" panose="020B0902020204020203" pitchFamily="34" charset="0"/>
              <a:cs typeface="Arial"/>
            </a:rPr>
            <a:pPr algn="ctr"/>
            <a:t> Rp124,040,000 </a:t>
          </a:fld>
          <a:endParaRPr lang="en-US" sz="1400" b="0" i="0" u="none" strike="noStrike">
            <a:solidFill>
              <a:schemeClr val="bg1"/>
            </a:solidFill>
            <a:latin typeface="Futura PT Bold" panose="020B0902020204020203" pitchFamily="34" charset="0"/>
            <a:cs typeface="Arial"/>
          </a:endParaRPr>
        </a:p>
      </xdr:txBody>
    </xdr:sp>
    <xdr:clientData/>
  </xdr:twoCellAnchor>
  <xdr:twoCellAnchor>
    <xdr:from>
      <xdr:col>8</xdr:col>
      <xdr:colOff>66330</xdr:colOff>
      <xdr:row>28</xdr:row>
      <xdr:rowOff>46120</xdr:rowOff>
    </xdr:from>
    <xdr:to>
      <xdr:col>15</xdr:col>
      <xdr:colOff>372624</xdr:colOff>
      <xdr:row>30</xdr:row>
      <xdr:rowOff>95697</xdr:rowOff>
    </xdr:to>
    <xdr:sp macro="" textlink="">
      <xdr:nvSpPr>
        <xdr:cNvPr id="92" name="Rectangle: Rounded Corners 91">
          <a:extLst>
            <a:ext uri="{FF2B5EF4-FFF2-40B4-BE49-F238E27FC236}">
              <a16:creationId xmlns:a16="http://schemas.microsoft.com/office/drawing/2014/main" id="{FE9CCB1D-71F2-42C9-BFED-2B14B61AF435}"/>
            </a:ext>
          </a:extLst>
        </xdr:cNvPr>
        <xdr:cNvSpPr/>
      </xdr:nvSpPr>
      <xdr:spPr>
        <a:xfrm>
          <a:off x="4967036" y="4438826"/>
          <a:ext cx="4594412" cy="363342"/>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Top</a:t>
          </a:r>
          <a:r>
            <a:rPr lang="en-ID" sz="1400" baseline="0">
              <a:latin typeface="Futura PT Bold" panose="020B0902020204020203" pitchFamily="34" charset="0"/>
            </a:rPr>
            <a:t> 3 Lokasi</a:t>
          </a:r>
          <a:endParaRPr lang="en-ID" sz="1400">
            <a:latin typeface="Futura PT Bold" panose="020B0902020204020203" pitchFamily="34" charset="0"/>
          </a:endParaRPr>
        </a:p>
      </xdr:txBody>
    </xdr:sp>
    <xdr:clientData/>
  </xdr:twoCellAnchor>
  <xdr:twoCellAnchor>
    <xdr:from>
      <xdr:col>28</xdr:col>
      <xdr:colOff>389520</xdr:colOff>
      <xdr:row>28</xdr:row>
      <xdr:rowOff>37285</xdr:rowOff>
    </xdr:from>
    <xdr:to>
      <xdr:col>36</xdr:col>
      <xdr:colOff>83225</xdr:colOff>
      <xdr:row>30</xdr:row>
      <xdr:rowOff>86862</xdr:rowOff>
    </xdr:to>
    <xdr:sp macro="" textlink="">
      <xdr:nvSpPr>
        <xdr:cNvPr id="93" name="Rectangle: Rounded Corners 92">
          <a:extLst>
            <a:ext uri="{FF2B5EF4-FFF2-40B4-BE49-F238E27FC236}">
              <a16:creationId xmlns:a16="http://schemas.microsoft.com/office/drawing/2014/main" id="{895607C5-F0B0-4C60-A1CB-7A2D4EA1C23F}"/>
            </a:ext>
          </a:extLst>
        </xdr:cNvPr>
        <xdr:cNvSpPr/>
      </xdr:nvSpPr>
      <xdr:spPr>
        <a:xfrm>
          <a:off x="17407520" y="4609285"/>
          <a:ext cx="4555991" cy="376148"/>
        </a:xfrm>
        <a:prstGeom prst="roundRect">
          <a:avLst/>
        </a:prstGeom>
        <a:noFill/>
        <a:ln w="889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latin typeface="Futura PT Bold" panose="020B0902020204020203" pitchFamily="34" charset="0"/>
            </a:rPr>
            <a:t>Top</a:t>
          </a:r>
          <a:r>
            <a:rPr lang="en-ID" sz="1400" baseline="0">
              <a:latin typeface="Futura PT Bold" panose="020B0902020204020203" pitchFamily="34" charset="0"/>
            </a:rPr>
            <a:t> 3 Item</a:t>
          </a:r>
          <a:endParaRPr lang="en-ID" sz="1400">
            <a:latin typeface="Futura PT Bold" panose="020B0902020204020203" pitchFamily="34" charset="0"/>
          </a:endParaRPr>
        </a:p>
      </xdr:txBody>
    </xdr:sp>
    <xdr:clientData/>
  </xdr:twoCellAnchor>
  <xdr:twoCellAnchor>
    <xdr:from>
      <xdr:col>29</xdr:col>
      <xdr:colOff>52559</xdr:colOff>
      <xdr:row>30</xdr:row>
      <xdr:rowOff>117060</xdr:rowOff>
    </xdr:from>
    <xdr:to>
      <xdr:col>32</xdr:col>
      <xdr:colOff>33543</xdr:colOff>
      <xdr:row>35</xdr:row>
      <xdr:rowOff>114299</xdr:rowOff>
    </xdr:to>
    <xdr:sp macro="" textlink="">
      <xdr:nvSpPr>
        <xdr:cNvPr id="45" name="Rectangle: Rounded Corners 44">
          <a:extLst>
            <a:ext uri="{FF2B5EF4-FFF2-40B4-BE49-F238E27FC236}">
              <a16:creationId xmlns:a16="http://schemas.microsoft.com/office/drawing/2014/main" id="{6B089613-9F25-41C7-BDCA-C4F04938C77D}"/>
            </a:ext>
          </a:extLst>
        </xdr:cNvPr>
        <xdr:cNvSpPr/>
      </xdr:nvSpPr>
      <xdr:spPr>
        <a:xfrm>
          <a:off x="17817618" y="4823531"/>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1.</a:t>
          </a:r>
        </a:p>
      </xdr:txBody>
    </xdr:sp>
    <xdr:clientData/>
  </xdr:twoCellAnchor>
  <xdr:twoCellAnchor>
    <xdr:from>
      <xdr:col>29</xdr:col>
      <xdr:colOff>52559</xdr:colOff>
      <xdr:row>35</xdr:row>
      <xdr:rowOff>54307</xdr:rowOff>
    </xdr:from>
    <xdr:to>
      <xdr:col>32</xdr:col>
      <xdr:colOff>33543</xdr:colOff>
      <xdr:row>40</xdr:row>
      <xdr:rowOff>51545</xdr:rowOff>
    </xdr:to>
    <xdr:sp macro="" textlink="">
      <xdr:nvSpPr>
        <xdr:cNvPr id="47" name="Rectangle: Rounded Corners 46">
          <a:extLst>
            <a:ext uri="{FF2B5EF4-FFF2-40B4-BE49-F238E27FC236}">
              <a16:creationId xmlns:a16="http://schemas.microsoft.com/office/drawing/2014/main" id="{13A18B33-BAA3-4344-BE54-9AAE52585E33}"/>
            </a:ext>
          </a:extLst>
        </xdr:cNvPr>
        <xdr:cNvSpPr/>
      </xdr:nvSpPr>
      <xdr:spPr>
        <a:xfrm>
          <a:off x="17817618" y="5545189"/>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2.</a:t>
          </a:r>
        </a:p>
      </xdr:txBody>
    </xdr:sp>
    <xdr:clientData/>
  </xdr:twoCellAnchor>
  <xdr:twoCellAnchor>
    <xdr:from>
      <xdr:col>29</xdr:col>
      <xdr:colOff>52559</xdr:colOff>
      <xdr:row>40</xdr:row>
      <xdr:rowOff>39366</xdr:rowOff>
    </xdr:from>
    <xdr:to>
      <xdr:col>32</xdr:col>
      <xdr:colOff>33543</xdr:colOff>
      <xdr:row>45</xdr:row>
      <xdr:rowOff>36604</xdr:rowOff>
    </xdr:to>
    <xdr:sp macro="" textlink="">
      <xdr:nvSpPr>
        <xdr:cNvPr id="53" name="Rectangle: Rounded Corners 52">
          <a:extLst>
            <a:ext uri="{FF2B5EF4-FFF2-40B4-BE49-F238E27FC236}">
              <a16:creationId xmlns:a16="http://schemas.microsoft.com/office/drawing/2014/main" id="{798153D1-724F-3275-8ADC-C15273A25963}"/>
            </a:ext>
          </a:extLst>
        </xdr:cNvPr>
        <xdr:cNvSpPr/>
      </xdr:nvSpPr>
      <xdr:spPr>
        <a:xfrm>
          <a:off x="17817618" y="6314660"/>
          <a:ext cx="1818749" cy="781650"/>
        </a:xfrm>
        <a:prstGeom prst="roundRect">
          <a:avLst>
            <a:gd name="adj" fmla="val 4512"/>
          </a:avLst>
        </a:prstGeom>
        <a:noFill/>
        <a:ln w="857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Futura PT Bold" panose="020B0902020204020203" pitchFamily="34" charset="0"/>
              <a:cs typeface="Arial"/>
            </a:rPr>
            <a:t>3.</a:t>
          </a:r>
        </a:p>
      </xdr:txBody>
    </xdr:sp>
    <xdr:clientData/>
  </xdr:twoCellAnchor>
  <xdr:twoCellAnchor>
    <xdr:from>
      <xdr:col>34</xdr:col>
      <xdr:colOff>356905</xdr:colOff>
      <xdr:row>32</xdr:row>
      <xdr:rowOff>146293</xdr:rowOff>
    </xdr:from>
    <xdr:to>
      <xdr:col>35</xdr:col>
      <xdr:colOff>103362</xdr:colOff>
      <xdr:row>35</xdr:row>
      <xdr:rowOff>8801</xdr:rowOff>
    </xdr:to>
    <xdr:pic>
      <xdr:nvPicPr>
        <xdr:cNvPr id="55" name="Graphic 54" descr="Shopping cart with solid fill">
          <a:extLst>
            <a:ext uri="{FF2B5EF4-FFF2-40B4-BE49-F238E27FC236}">
              <a16:creationId xmlns:a16="http://schemas.microsoft.com/office/drawing/2014/main" id="{B442F4CB-742C-48C3-903B-49DBE0E75B5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008209" y="5270467"/>
          <a:ext cx="353849" cy="342899"/>
        </a:xfrm>
        <a:prstGeom prst="rect">
          <a:avLst/>
        </a:prstGeom>
        <a:effectLst>
          <a:outerShdw blurRad="50800" dist="50800" dir="5400000" algn="ctr" rotWithShape="0">
            <a:srgbClr val="000000">
              <a:alpha val="99000"/>
            </a:srgbClr>
          </a:outerShdw>
        </a:effectLst>
      </xdr:spPr>
    </xdr:pic>
    <xdr:clientData/>
  </xdr:twoCellAnchor>
  <xdr:twoCellAnchor>
    <xdr:from>
      <xdr:col>34</xdr:col>
      <xdr:colOff>362427</xdr:colOff>
      <xdr:row>37</xdr:row>
      <xdr:rowOff>102704</xdr:rowOff>
    </xdr:from>
    <xdr:to>
      <xdr:col>35</xdr:col>
      <xdr:colOff>108884</xdr:colOff>
      <xdr:row>39</xdr:row>
      <xdr:rowOff>125342</xdr:rowOff>
    </xdr:to>
    <xdr:pic>
      <xdr:nvPicPr>
        <xdr:cNvPr id="65" name="Graphic 64" descr="Shopping cart with solid fill">
          <a:extLst>
            <a:ext uri="{FF2B5EF4-FFF2-40B4-BE49-F238E27FC236}">
              <a16:creationId xmlns:a16="http://schemas.microsoft.com/office/drawing/2014/main" id="{6F5045FB-0E55-4673-AD8C-0F96F6C0085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013731" y="6027530"/>
          <a:ext cx="353849" cy="342899"/>
        </a:xfrm>
        <a:prstGeom prst="rect">
          <a:avLst/>
        </a:prstGeom>
        <a:effectLst>
          <a:outerShdw blurRad="50800" dist="50800" dir="5400000" algn="ctr" rotWithShape="0">
            <a:srgbClr val="000000">
              <a:alpha val="99000"/>
            </a:srgbClr>
          </a:outerShdw>
        </a:effectLst>
      </xdr:spPr>
    </xdr:pic>
    <xdr:clientData/>
  </xdr:twoCellAnchor>
  <xdr:twoCellAnchor>
    <xdr:from>
      <xdr:col>34</xdr:col>
      <xdr:colOff>364002</xdr:colOff>
      <xdr:row>42</xdr:row>
      <xdr:rowOff>47991</xdr:rowOff>
    </xdr:from>
    <xdr:to>
      <xdr:col>35</xdr:col>
      <xdr:colOff>110459</xdr:colOff>
      <xdr:row>44</xdr:row>
      <xdr:rowOff>70629</xdr:rowOff>
    </xdr:to>
    <xdr:pic>
      <xdr:nvPicPr>
        <xdr:cNvPr id="66" name="Graphic 65" descr="Shopping cart with solid fill">
          <a:extLst>
            <a:ext uri="{FF2B5EF4-FFF2-40B4-BE49-F238E27FC236}">
              <a16:creationId xmlns:a16="http://schemas.microsoft.com/office/drawing/2014/main" id="{42065E03-77B6-4934-9613-8063B7A21B1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015306" y="6773469"/>
          <a:ext cx="353849" cy="342899"/>
        </a:xfrm>
        <a:prstGeom prst="rect">
          <a:avLst/>
        </a:prstGeom>
        <a:effectLst>
          <a:outerShdw blurRad="50800" dist="50800" dir="5400000" algn="ctr" rotWithShape="0">
            <a:srgbClr val="000000">
              <a:alpha val="99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419100</xdr:colOff>
      <xdr:row>4</xdr:row>
      <xdr:rowOff>85725</xdr:rowOff>
    </xdr:from>
    <xdr:to>
      <xdr:col>2</xdr:col>
      <xdr:colOff>1914734</xdr:colOff>
      <xdr:row>18</xdr:row>
      <xdr:rowOff>124147</xdr:rowOff>
    </xdr:to>
    <xdr:pic>
      <xdr:nvPicPr>
        <xdr:cNvPr id="2" name="Picture 1">
          <a:extLst>
            <a:ext uri="{FF2B5EF4-FFF2-40B4-BE49-F238E27FC236}">
              <a16:creationId xmlns:a16="http://schemas.microsoft.com/office/drawing/2014/main" id="{AC0FEA5B-BD7C-4CF8-9A9E-F790E494BAB2}"/>
            </a:ext>
          </a:extLst>
        </xdr:cNvPr>
        <xdr:cNvPicPr>
          <a:picLocks noChangeAspect="1"/>
        </xdr:cNvPicPr>
      </xdr:nvPicPr>
      <xdr:blipFill>
        <a:blip xmlns:r="http://schemas.openxmlformats.org/officeDocument/2006/relationships" r:embed="rId1"/>
        <a:stretch>
          <a:fillRect/>
        </a:stretch>
      </xdr:blipFill>
      <xdr:spPr>
        <a:xfrm>
          <a:off x="1028700" y="733425"/>
          <a:ext cx="1495634" cy="2305372"/>
        </a:xfrm>
        <a:prstGeom prst="rect">
          <a:avLst/>
        </a:prstGeom>
      </xdr:spPr>
    </xdr:pic>
    <xdr:clientData/>
  </xdr:twoCellAnchor>
  <xdr:twoCellAnchor editAs="oneCell">
    <xdr:from>
      <xdr:col>2</xdr:col>
      <xdr:colOff>390525</xdr:colOff>
      <xdr:row>20</xdr:row>
      <xdr:rowOff>47625</xdr:rowOff>
    </xdr:from>
    <xdr:to>
      <xdr:col>2</xdr:col>
      <xdr:colOff>1905211</xdr:colOff>
      <xdr:row>33</xdr:row>
      <xdr:rowOff>9813</xdr:rowOff>
    </xdr:to>
    <xdr:pic>
      <xdr:nvPicPr>
        <xdr:cNvPr id="3" name="Picture 2">
          <a:extLst>
            <a:ext uri="{FF2B5EF4-FFF2-40B4-BE49-F238E27FC236}">
              <a16:creationId xmlns:a16="http://schemas.microsoft.com/office/drawing/2014/main" id="{2528BF1B-4577-43E4-849A-42AA73EFFDA9}"/>
            </a:ext>
          </a:extLst>
        </xdr:cNvPr>
        <xdr:cNvPicPr>
          <a:picLocks noChangeAspect="1"/>
        </xdr:cNvPicPr>
      </xdr:nvPicPr>
      <xdr:blipFill>
        <a:blip xmlns:r="http://schemas.openxmlformats.org/officeDocument/2006/relationships" r:embed="rId2"/>
        <a:stretch>
          <a:fillRect/>
        </a:stretch>
      </xdr:blipFill>
      <xdr:spPr>
        <a:xfrm>
          <a:off x="1000125" y="3286125"/>
          <a:ext cx="1514686" cy="2067213"/>
        </a:xfrm>
        <a:prstGeom prst="rect">
          <a:avLst/>
        </a:prstGeom>
      </xdr:spPr>
    </xdr:pic>
    <xdr:clientData/>
  </xdr:twoCellAnchor>
  <xdr:twoCellAnchor editAs="oneCell">
    <xdr:from>
      <xdr:col>2</xdr:col>
      <xdr:colOff>590550</xdr:colOff>
      <xdr:row>35</xdr:row>
      <xdr:rowOff>38100</xdr:rowOff>
    </xdr:from>
    <xdr:to>
      <xdr:col>2</xdr:col>
      <xdr:colOff>2095710</xdr:colOff>
      <xdr:row>47</xdr:row>
      <xdr:rowOff>95529</xdr:rowOff>
    </xdr:to>
    <xdr:pic>
      <xdr:nvPicPr>
        <xdr:cNvPr id="4" name="Picture 3">
          <a:extLst>
            <a:ext uri="{FF2B5EF4-FFF2-40B4-BE49-F238E27FC236}">
              <a16:creationId xmlns:a16="http://schemas.microsoft.com/office/drawing/2014/main" id="{DD378CEE-CB54-4FB4-B868-511D8F0D83F7}"/>
            </a:ext>
          </a:extLst>
        </xdr:cNvPr>
        <xdr:cNvPicPr>
          <a:picLocks noChangeAspect="1"/>
        </xdr:cNvPicPr>
      </xdr:nvPicPr>
      <xdr:blipFill>
        <a:blip xmlns:r="http://schemas.openxmlformats.org/officeDocument/2006/relationships" r:embed="rId3"/>
        <a:stretch>
          <a:fillRect/>
        </a:stretch>
      </xdr:blipFill>
      <xdr:spPr>
        <a:xfrm>
          <a:off x="1200150" y="5705475"/>
          <a:ext cx="1505160" cy="2000529"/>
        </a:xfrm>
        <a:prstGeom prst="rect">
          <a:avLst/>
        </a:prstGeom>
      </xdr:spPr>
    </xdr:pic>
    <xdr:clientData/>
  </xdr:twoCellAnchor>
  <xdr:twoCellAnchor editAs="oneCell">
    <xdr:from>
      <xdr:col>2</xdr:col>
      <xdr:colOff>704850</xdr:colOff>
      <xdr:row>49</xdr:row>
      <xdr:rowOff>95250</xdr:rowOff>
    </xdr:from>
    <xdr:to>
      <xdr:col>2</xdr:col>
      <xdr:colOff>2210010</xdr:colOff>
      <xdr:row>62</xdr:row>
      <xdr:rowOff>281</xdr:rowOff>
    </xdr:to>
    <xdr:pic>
      <xdr:nvPicPr>
        <xdr:cNvPr id="5" name="Picture 4">
          <a:extLst>
            <a:ext uri="{FF2B5EF4-FFF2-40B4-BE49-F238E27FC236}">
              <a16:creationId xmlns:a16="http://schemas.microsoft.com/office/drawing/2014/main" id="{422D2E50-1DB9-4699-8027-40114EFB4A0E}"/>
            </a:ext>
          </a:extLst>
        </xdr:cNvPr>
        <xdr:cNvPicPr>
          <a:picLocks noChangeAspect="1"/>
        </xdr:cNvPicPr>
      </xdr:nvPicPr>
      <xdr:blipFill>
        <a:blip xmlns:r="http://schemas.openxmlformats.org/officeDocument/2006/relationships" r:embed="rId4"/>
        <a:stretch>
          <a:fillRect/>
        </a:stretch>
      </xdr:blipFill>
      <xdr:spPr>
        <a:xfrm>
          <a:off x="1314450" y="8029575"/>
          <a:ext cx="1505160" cy="201005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dhiil Dzaki" refreshedDate="45495.795492939818" createdVersion="8" refreshedVersion="7" minRefreshableVersion="3" recordCount="1000" xr:uid="{41A7547A-23D8-44A6-894F-1E56DBA481F4}">
  <cacheSource type="worksheet">
    <worksheetSource name="cadangan"/>
  </cacheSource>
  <cacheFields count="44">
    <cacheField name="No" numFmtId="1">
      <sharedItems containsSemiMixedTypes="0" containsString="0" containsNumber="1" containsInteger="1" minValue="1" maxValue="1000"/>
    </cacheField>
    <cacheField name="OrderID" numFmtId="0">
      <sharedItems/>
    </cacheField>
    <cacheField name="ItemID A" numFmtId="0">
      <sharedItems/>
    </cacheField>
    <cacheField name="Kategori A" numFmtId="0">
      <sharedItems/>
    </cacheField>
    <cacheField name="Item A" numFmtId="0">
      <sharedItems/>
    </cacheField>
    <cacheField name="Qty A" numFmtId="0">
      <sharedItems containsSemiMixedTypes="0" containsString="0" containsNumber="1" containsInteger="1" minValue="1" maxValue="7"/>
    </cacheField>
    <cacheField name="Rating A" numFmtId="0">
      <sharedItems containsSemiMixedTypes="0" containsString="0" containsNumber="1" containsInteger="1" minValue="1" maxValue="5"/>
    </cacheField>
    <cacheField name="Harga Normal A" numFmtId="171">
      <sharedItems containsSemiMixedTypes="0" containsString="0" containsNumber="1" containsInteger="1" minValue="150000" maxValue="3500000"/>
    </cacheField>
    <cacheField name="Harga Diskon A" numFmtId="171">
      <sharedItems containsSemiMixedTypes="0" containsString="0" containsNumber="1" containsInteger="1" minValue="120000" maxValue="3000000"/>
    </cacheField>
    <cacheField name="Profit Normal A" numFmtId="171">
      <sharedItems containsSemiMixedTypes="0" containsString="0" containsNumber="1" containsInteger="1" minValue="50000" maxValue="1400000"/>
    </cacheField>
    <cacheField name="Profit Diskon A" numFmtId="171">
      <sharedItems containsSemiMixedTypes="0" containsString="0" containsNumber="1" containsInteger="1" minValue="20000" maxValue="1200000"/>
    </cacheField>
    <cacheField name="ItemID B" numFmtId="0">
      <sharedItems containsBlank="1"/>
    </cacheField>
    <cacheField name="Kategori B" numFmtId="0">
      <sharedItems/>
    </cacheField>
    <cacheField name="Item B" numFmtId="0">
      <sharedItems/>
    </cacheField>
    <cacheField name="Qty B" numFmtId="0">
      <sharedItems containsString="0" containsBlank="1" containsNumber="1" containsInteger="1" minValue="1" maxValue="6"/>
    </cacheField>
    <cacheField name="Rating B" numFmtId="0">
      <sharedItems containsString="0" containsBlank="1" containsNumber="1" containsInteger="1" minValue="1" maxValue="5"/>
    </cacheField>
    <cacheField name="Harga Normal B" numFmtId="171">
      <sharedItems containsSemiMixedTypes="0" containsString="0" containsNumber="1" containsInteger="1" minValue="0" maxValue="2100000"/>
    </cacheField>
    <cacheField name="Harga Diskon B" numFmtId="171">
      <sharedItems containsSemiMixedTypes="0" containsString="0" containsNumber="1" containsInteger="1" minValue="0" maxValue="1890000"/>
    </cacheField>
    <cacheField name="Profit Normal B" numFmtId="171">
      <sharedItems containsSemiMixedTypes="0" containsString="0" containsNumber="1" containsInteger="1" minValue="0" maxValue="800000"/>
    </cacheField>
    <cacheField name="Profit Diskon B" numFmtId="171">
      <sharedItems containsSemiMixedTypes="0" containsString="0" containsNumber="1" containsInteger="1" minValue="0" maxValue="650000"/>
    </cacheField>
    <cacheField name="ItemID C" numFmtId="0">
      <sharedItems containsBlank="1"/>
    </cacheField>
    <cacheField name="Kategori C" numFmtId="0">
      <sharedItems/>
    </cacheField>
    <cacheField name="Item C" numFmtId="0">
      <sharedItems/>
    </cacheField>
    <cacheField name="Qty C" numFmtId="0">
      <sharedItems containsString="0" containsBlank="1" containsNumber="1" containsInteger="1" minValue="1" maxValue="5"/>
    </cacheField>
    <cacheField name="Rating C" numFmtId="0">
      <sharedItems containsString="0" containsBlank="1" containsNumber="1" containsInteger="1" minValue="1" maxValue="5"/>
    </cacheField>
    <cacheField name="Harga Normal C" numFmtId="171">
      <sharedItems containsSemiMixedTypes="0" containsString="0" containsNumber="1" containsInteger="1" minValue="0" maxValue="2000000"/>
    </cacheField>
    <cacheField name="Harga Diskon C" numFmtId="171">
      <sharedItems containsSemiMixedTypes="0" containsString="0" containsNumber="1" containsInteger="1" minValue="0" maxValue="1700000"/>
    </cacheField>
    <cacheField name="Profit Normal C" numFmtId="171">
      <sharedItems containsSemiMixedTypes="0" containsString="0" containsNumber="1" containsInteger="1" minValue="0" maxValue="800000"/>
    </cacheField>
    <cacheField name="Profit Diskon C" numFmtId="171">
      <sharedItems containsSemiMixedTypes="0" containsString="0" containsNumber="1" containsInteger="1" minValue="0" maxValue="600000"/>
    </cacheField>
    <cacheField name="Total Qty" numFmtId="0">
      <sharedItems containsSemiMixedTypes="0" containsString="0" containsNumber="1" containsInteger="1" minValue="1" maxValue="7"/>
    </cacheField>
    <cacheField name="Total Harga Normal" numFmtId="171">
      <sharedItems containsSemiMixedTypes="0" containsString="0" containsNumber="1" containsInteger="1" minValue="150000" maxValue="3500000"/>
    </cacheField>
    <cacheField name="Total Transaksi" numFmtId="171">
      <sharedItems containsSemiMixedTypes="0" containsString="0" containsNumber="1" containsInteger="1" minValue="120000" maxValue="3180000"/>
    </cacheField>
    <cacheField name="Total Profit Normal" numFmtId="171">
      <sharedItems containsSemiMixedTypes="0" containsString="0" containsNumber="1" containsInteger="1" minValue="50000" maxValue="1400000"/>
    </cacheField>
    <cacheField name="Total Profit Diskon" numFmtId="171">
      <sharedItems containsSemiMixedTypes="0" containsString="0" containsNumber="1" containsInteger="1" minValue="27500" maxValue="1270000"/>
    </cacheField>
    <cacheField name="Kode diskon" numFmtId="166">
      <sharedItems/>
    </cacheField>
    <cacheField name="Diskon" numFmtId="9">
      <sharedItems containsMixedTypes="1" containsNumber="1" minValue="0.1" maxValue="0.2"/>
    </cacheField>
    <cacheField name="Jenis promo" numFmtId="166">
      <sharedItems count="4">
        <s v="Promo 4.4"/>
        <s v="Promo Lebaran"/>
        <s v="Tidak Ada"/>
        <s v="-" u="1"/>
      </sharedItems>
    </cacheField>
    <cacheField name="Marketplace" numFmtId="166">
      <sharedItems count="4">
        <s v="BliBli"/>
        <s v="Tokopedia"/>
        <s v="Shopee"/>
        <s v="Bukalapak"/>
      </sharedItems>
    </cacheField>
    <cacheField name="Lokasi pembeli" numFmtId="166">
      <sharedItems count="6">
        <s v="DI Yogyakarta"/>
        <s v="Jawa Tengah"/>
        <s v="Banten"/>
        <s v="Jawa Barat"/>
        <s v="Jabodetabek"/>
        <s v="Jawa Timur"/>
      </sharedItems>
    </cacheField>
    <cacheField name="Tanggal terjual" numFmtId="14">
      <sharedItems containsSemiMixedTypes="0" containsNonDate="0" containsDate="1" containsString="0" minDate="2023-04-01T00:00:00" maxDate="2023-05-01T00:00:00"/>
    </cacheField>
    <cacheField name="Tanggal Terjual2" numFmtId="0">
      <sharedItems containsSemiMixedTypes="0" containsString="0" containsNumber="1" containsInteger="1" minValue="1" maxValue="30" count="30">
        <n v="1"/>
        <n v="2"/>
        <n v="3"/>
        <n v="17"/>
        <n v="24"/>
        <n v="20"/>
        <n v="25"/>
        <n v="4"/>
        <n v="6"/>
        <n v="5"/>
        <n v="9"/>
        <n v="28"/>
        <n v="30"/>
        <n v="29"/>
        <n v="12"/>
        <n v="26"/>
        <n v="15"/>
        <n v="16"/>
        <n v="27"/>
        <n v="19"/>
        <n v="21"/>
        <n v="13"/>
        <n v="14"/>
        <n v="10"/>
        <n v="18"/>
        <n v="23"/>
        <n v="8"/>
        <n v="22"/>
        <n v="7"/>
        <n v="11"/>
      </sharedItems>
    </cacheField>
    <cacheField name="Hari terjual" numFmtId="0">
      <sharedItems/>
    </cacheField>
    <cacheField name="Minggu Terjual" numFmtId="166">
      <sharedItems count="4">
        <s v="Minggu ke-1"/>
        <s v="Minggu ke-3"/>
        <s v="Minggu ke-4"/>
        <s v="Minggu ke-2"/>
      </sharedItems>
    </cacheField>
    <cacheField name="Rating" numFmtId="2">
      <sharedItems containsSemiMixedTypes="0" containsString="0" containsNumber="1" minValue="1" maxValue="5"/>
    </cacheField>
  </cacheFields>
  <extLst>
    <ext xmlns:x14="http://schemas.microsoft.com/office/spreadsheetml/2009/9/main" uri="{725AE2AE-9491-48be-B2B4-4EB974FC3084}">
      <x14:pivotCacheDefinition pivotCacheId="13422647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dhiil Dzaki" refreshedDate="45495.795496412036" createdVersion="7" refreshedVersion="7" minRefreshableVersion="3" recordCount="10" xr:uid="{FE105275-488F-4AC4-96F8-D7536BB7ECE9}">
  <cacheSource type="worksheet">
    <worksheetSource name="itemsell"/>
  </cacheSource>
  <cacheFields count="19">
    <cacheField name="kategori" numFmtId="0">
      <sharedItems/>
    </cacheField>
    <cacheField name="Item" numFmtId="0">
      <sharedItems count="10">
        <s v="Dress"/>
        <s v="Blouse"/>
        <s v="Kaftan"/>
        <s v="Kaos Polo"/>
        <s v="Celana Pendek"/>
        <s v="Jaket Jeans"/>
        <s v="Jaket Hoodie"/>
        <s v="Sneakers"/>
        <s v="Sandal Slip On"/>
        <s v="Flat Shoes"/>
      </sharedItems>
    </cacheField>
    <cacheField name="Qty A" numFmtId="0">
      <sharedItems containsSemiMixedTypes="0" containsString="0" containsNumber="1" containsInteger="1" minValue="202" maxValue="306"/>
    </cacheField>
    <cacheField name="Qty B" numFmtId="0">
      <sharedItems containsSemiMixedTypes="0" containsString="0" containsNumber="1" containsInteger="1" minValue="91" maxValue="147"/>
    </cacheField>
    <cacheField name="Qty C" numFmtId="0">
      <sharedItems containsSemiMixedTypes="0" containsString="0" containsNumber="1" containsInteger="1" minValue="29" maxValue="72"/>
    </cacheField>
    <cacheField name="Qty" numFmtId="0">
      <sharedItems containsSemiMixedTypes="0" containsString="0" containsNumber="1" containsInteger="1" minValue="322" maxValue="492"/>
    </cacheField>
    <cacheField name="Rating A" numFmtId="2">
      <sharedItems containsSemiMixedTypes="0" containsString="0" containsNumber="1" minValue="2.831578947368421" maxValue="3.1967213114754101"/>
    </cacheField>
    <cacheField name="Rating B" numFmtId="2">
      <sharedItems containsSemiMixedTypes="0" containsString="0" containsNumber="1" minValue="2.8548387096774195" maxValue="3.2380952380952381"/>
    </cacheField>
    <cacheField name="Rating C" numFmtId="2">
      <sharedItems containsSemiMixedTypes="0" containsString="0" containsNumber="1" minValue="2.6111111111111112" maxValue="3.5555555555555554"/>
    </cacheField>
    <cacheField name="Rating" numFmtId="2">
      <sharedItems containsSemiMixedTypes="0" containsString="0" containsNumber="1" minValue="2.9305806710870002" maxValue="3.25760582010582"/>
    </cacheField>
    <cacheField name="Harga A" numFmtId="0">
      <sharedItems containsSemiMixedTypes="0" containsString="0" containsNumber="1" containsInteger="1" minValue="40050000" maxValue="135000000"/>
    </cacheField>
    <cacheField name="Harga B" numFmtId="0">
      <sharedItems containsSemiMixedTypes="0" containsString="0" containsNumber="1" containsInteger="1" minValue="14700000" maxValue="47500000"/>
    </cacheField>
    <cacheField name="Harga C" numFmtId="0">
      <sharedItems containsSemiMixedTypes="0" containsString="0" containsNumber="1" containsInteger="1" minValue="7250000" maxValue="28500000"/>
    </cacheField>
    <cacheField name="Harga" numFmtId="0">
      <sharedItems containsSemiMixedTypes="0" containsString="0" containsNumber="1" containsInteger="1" minValue="64500000" maxValue="211000000"/>
    </cacheField>
    <cacheField name="Profit A" numFmtId="0">
      <sharedItems containsSemiMixedTypes="0" containsString="0" containsNumber="1" containsInteger="1" minValue="13350000" maxValue="54000000"/>
    </cacheField>
    <cacheField name="Porfit B" numFmtId="0">
      <sharedItems containsSemiMixedTypes="0" containsString="0" containsNumber="1" containsInteger="1" minValue="4900000" maxValue="19000000"/>
    </cacheField>
    <cacheField name="Profit C" numFmtId="0">
      <sharedItems containsSemiMixedTypes="0" containsString="0" containsNumber="1" containsInteger="1" minValue="2900000" maxValue="11400000"/>
    </cacheField>
    <cacheField name="Profit" numFmtId="0">
      <sharedItems containsSemiMixedTypes="0" containsString="0" containsNumber="1" containsInteger="1" minValue="21500000" maxValue="84400000"/>
    </cacheField>
    <cacheField name="Total Transaksi" numFmtId="0">
      <sharedItems containsNonDate="0" containsString="0" containsBlank="1"/>
    </cacheField>
  </cacheFields>
  <extLst>
    <ext xmlns:x14="http://schemas.microsoft.com/office/spreadsheetml/2009/9/main" uri="{725AE2AE-9491-48be-B2B4-4EB974FC3084}">
      <x14:pivotCacheDefinition pivotCacheId="79536574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dhiil Dzaki" refreshedDate="45495.79549675926" createdVersion="7" refreshedVersion="7" minRefreshableVersion="3" recordCount="1000" xr:uid="{AD1888CB-F9DC-443B-A9B1-8D935C8AC6AB}">
  <cacheSource type="worksheet">
    <worksheetSource name="Data"/>
  </cacheSource>
  <cacheFields count="36">
    <cacheField name="No" numFmtId="1">
      <sharedItems containsSemiMixedTypes="0" containsString="0" containsNumber="1" containsInteger="1" minValue="1" maxValue="1000"/>
    </cacheField>
    <cacheField name="OrderID" numFmtId="0">
      <sharedItems/>
    </cacheField>
    <cacheField name="ItemID A" numFmtId="0">
      <sharedItems/>
    </cacheField>
    <cacheField name="Kategori A" numFmtId="0">
      <sharedItems/>
    </cacheField>
    <cacheField name="Item A" numFmtId="0">
      <sharedItems count="10">
        <s v="Dress"/>
        <s v="Blouse"/>
        <s v="Kaftan"/>
        <s v="Kaos Polo"/>
        <s v="Celana Pendek"/>
        <s v="Jaket Jeans"/>
        <s v="Jaket Hoodie"/>
        <s v="Sneakers"/>
        <s v="Sandal Slip On"/>
        <s v="Flat Shoes"/>
      </sharedItems>
    </cacheField>
    <cacheField name="Qty A" numFmtId="0">
      <sharedItems containsSemiMixedTypes="0" containsString="0" containsNumber="1" containsInteger="1" minValue="1" maxValue="7"/>
    </cacheField>
    <cacheField name="Rating A" numFmtId="0">
      <sharedItems containsSemiMixedTypes="0" containsString="0" containsNumber="1" containsInteger="1" minValue="1" maxValue="5"/>
    </cacheField>
    <cacheField name="Harga Barang A" numFmtId="167">
      <sharedItems containsSemiMixedTypes="0" containsString="0" containsNumber="1" containsInteger="1" minValue="150000" maxValue="3500000"/>
    </cacheField>
    <cacheField name="Profit A" numFmtId="167">
      <sharedItems containsSemiMixedTypes="0" containsString="0" containsNumber="1" containsInteger="1" minValue="50000" maxValue="1400000"/>
    </cacheField>
    <cacheField name="ItemID B" numFmtId="0">
      <sharedItems containsBlank="1"/>
    </cacheField>
    <cacheField name="Kategori B" numFmtId="0">
      <sharedItems/>
    </cacheField>
    <cacheField name="Item B" numFmtId="0">
      <sharedItems/>
    </cacheField>
    <cacheField name="Qty B" numFmtId="0">
      <sharedItems containsString="0" containsBlank="1" containsNumber="1" containsInteger="1" minValue="1" maxValue="6"/>
    </cacheField>
    <cacheField name="Rating B" numFmtId="0">
      <sharedItems containsString="0" containsBlank="1" containsNumber="1" containsInteger="1" minValue="1" maxValue="5"/>
    </cacheField>
    <cacheField name="Harga Barang B" numFmtId="167">
      <sharedItems containsMixedTypes="1" containsNumber="1" containsInteger="1" minValue="150000" maxValue="2100000"/>
    </cacheField>
    <cacheField name="Profit B" numFmtId="167">
      <sharedItems containsMixedTypes="1" containsNumber="1" containsInteger="1" minValue="50000" maxValue="800000"/>
    </cacheField>
    <cacheField name="ItemID C" numFmtId="0">
      <sharedItems containsBlank="1"/>
    </cacheField>
    <cacheField name="Kategori C" numFmtId="0">
      <sharedItems/>
    </cacheField>
    <cacheField name="Item C" numFmtId="0">
      <sharedItems/>
    </cacheField>
    <cacheField name="Qty C" numFmtId="0">
      <sharedItems containsString="0" containsBlank="1" containsNumber="1" containsInteger="1" minValue="1" maxValue="5"/>
    </cacheField>
    <cacheField name="Rating C" numFmtId="0">
      <sharedItems containsString="0" containsBlank="1" containsNumber="1" containsInteger="1" minValue="1" maxValue="5"/>
    </cacheField>
    <cacheField name="Harga Barang C" numFmtId="167">
      <sharedItems containsMixedTypes="1" containsNumber="1" containsInteger="1" minValue="150000" maxValue="2000000"/>
    </cacheField>
    <cacheField name="Profit C" numFmtId="167">
      <sharedItems containsMixedTypes="1" containsNumber="1" containsInteger="1" minValue="50000" maxValue="800000"/>
    </cacheField>
    <cacheField name="Total Qty" numFmtId="0">
      <sharedItems containsSemiMixedTypes="0" containsString="0" containsNumber="1" containsInteger="1" minValue="1" maxValue="7"/>
    </cacheField>
    <cacheField name="Total Harga" numFmtId="167">
      <sharedItems containsSemiMixedTypes="0" containsString="0" containsNumber="1" containsInteger="1" minValue="150000" maxValue="3500000"/>
    </cacheField>
    <cacheField name="Total Transaksi" numFmtId="165">
      <sharedItems containsSemiMixedTypes="0" containsString="0" containsNumber="1" containsInteger="1" minValue="120000" maxValue="3180000"/>
    </cacheField>
    <cacheField name="Profit non Diskon" numFmtId="165">
      <sharedItems containsSemiMixedTypes="0" containsString="0" containsNumber="1" containsInteger="1" minValue="50000" maxValue="1400000"/>
    </cacheField>
    <cacheField name="Total Profit" numFmtId="165">
      <sharedItems containsSemiMixedTypes="0" containsString="0" containsNumber="1" containsInteger="1" minValue="42500" maxValue="1270000"/>
    </cacheField>
    <cacheField name="Kode diskon" numFmtId="166">
      <sharedItems/>
    </cacheField>
    <cacheField name="Diskon" numFmtId="9">
      <sharedItems containsMixedTypes="1" containsNumber="1" minValue="0.1" maxValue="0.2"/>
    </cacheField>
    <cacheField name="Jenis promo" numFmtId="166">
      <sharedItems/>
    </cacheField>
    <cacheField name="Marketplace" numFmtId="166">
      <sharedItems/>
    </cacheField>
    <cacheField name="Lokasi pembeli" numFmtId="166">
      <sharedItems count="6">
        <s v="DI Yogyakarta"/>
        <s v="Jawa Tengah"/>
        <s v="Banten"/>
        <s v="Jawa Barat"/>
        <s v="Jabodetabek"/>
        <s v="Jawa Timur"/>
      </sharedItems>
    </cacheField>
    <cacheField name="Tanggal terjual" numFmtId="14">
      <sharedItems containsSemiMixedTypes="0" containsNonDate="0" containsDate="1" containsString="0" minDate="2023-04-01T00:00:00" maxDate="2023-05-01T00:00:00"/>
    </cacheField>
    <cacheField name="Hari terjual" numFmtId="166">
      <sharedItems/>
    </cacheField>
    <cacheField name="Minggu Terjual" numFmtId="0">
      <sharedItems/>
    </cacheField>
  </cacheFields>
  <extLst>
    <ext xmlns:x14="http://schemas.microsoft.com/office/spreadsheetml/2009/9/main" uri="{725AE2AE-9491-48be-B2B4-4EB974FC3084}">
      <x14:pivotCacheDefinition pivotCacheId="108896261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dhiil Dzaki" refreshedDate="45495.795496990744" createdVersion="8" refreshedVersion="7" minRefreshableVersion="3" recordCount="10" xr:uid="{DE52FA3D-2131-4AC1-BDF7-BF909B977625}">
  <cacheSource type="worksheet">
    <worksheetSource name="TableBaru"/>
  </cacheSource>
  <cacheFields count="19">
    <cacheField name="kategori" numFmtId="0">
      <sharedItems count="5">
        <s v="Pakaian Wanita"/>
        <s v="Pakaian Pria"/>
        <s v="Pakaian Unisex"/>
        <s v="Sepatu Pria"/>
        <s v="Sepatu Wanita"/>
      </sharedItems>
    </cacheField>
    <cacheField name="Item" numFmtId="0">
      <sharedItems count="10">
        <s v="Dress"/>
        <s v="Blouse"/>
        <s v="Kaftan"/>
        <s v="Kaos Polo"/>
        <s v="Celana Pendek"/>
        <s v="Jaket Jeans"/>
        <s v="Jaket Hoodie"/>
        <s v="Sneakers"/>
        <s v="Sandal Slip On"/>
        <s v="Flat Shoes"/>
      </sharedItems>
    </cacheField>
    <cacheField name="Qty A" numFmtId="0">
      <sharedItems containsSemiMixedTypes="0" containsString="0" containsNumber="1" containsInteger="1" minValue="202" maxValue="306"/>
    </cacheField>
    <cacheField name="Transaksi A (Diskon)" numFmtId="169">
      <sharedItems containsSemiMixedTypes="0" containsString="0" containsNumber="1" containsInteger="1" minValue="35115000" maxValue="119150000"/>
    </cacheField>
    <cacheField name="Profit A (Diskon)" numFmtId="169">
      <sharedItems containsSemiMixedTypes="0" containsString="0" containsNumber="1" containsInteger="1" minValue="8415000" maxValue="38150000"/>
    </cacheField>
    <cacheField name="Rating A" numFmtId="2">
      <sharedItems containsSemiMixedTypes="0" containsString="0" containsNumber="1" minValue="2.831578947368421" maxValue="3.1967213114754101"/>
    </cacheField>
    <cacheField name="Qty B" numFmtId="0">
      <sharedItems containsSemiMixedTypes="0" containsString="0" containsNumber="1" containsInteger="1" minValue="91" maxValue="147"/>
    </cacheField>
    <cacheField name="Transaksi B (Diskon)" numFmtId="169">
      <sharedItems containsSemiMixedTypes="0" containsString="0" containsNumber="1" containsInteger="1" minValue="12892500" maxValue="41500000"/>
    </cacheField>
    <cacheField name="Profit B (Diskon)" numFmtId="169">
      <sharedItems containsSemiMixedTypes="0" containsString="0" containsNumber="1" containsInteger="1" minValue="3092500" maxValue="13000000"/>
    </cacheField>
    <cacheField name="Rating B" numFmtId="2">
      <sharedItems containsSemiMixedTypes="0" containsString="0" containsNumber="1" minValue="2.8548387096774195" maxValue="3.2380952380952381"/>
    </cacheField>
    <cacheField name="Qty C" numFmtId="0">
      <sharedItems containsSemiMixedTypes="0" containsString="0" containsNumber="1" containsInteger="1" minValue="29" maxValue="72"/>
    </cacheField>
    <cacheField name="Transaksi C (Diskon)" numFmtId="169">
      <sharedItems containsSemiMixedTypes="0" containsString="0" containsNumber="1" containsInteger="1" minValue="6537500" maxValue="25000000"/>
    </cacheField>
    <cacheField name="Profit C (Diskon)" numFmtId="169">
      <sharedItems containsSemiMixedTypes="0" containsString="0" containsNumber="1" containsInteger="1" minValue="1975000" maxValue="7900000"/>
    </cacheField>
    <cacheField name="Rating C" numFmtId="2">
      <sharedItems containsSemiMixedTypes="0" containsString="0" containsNumber="1" minValue="2.6111111111111112" maxValue="3.5555555555555554"/>
    </cacheField>
    <cacheField name="Total Qty" numFmtId="1">
      <sharedItems containsSemiMixedTypes="0" containsString="0" containsNumber="1" containsInteger="1" minValue="322" maxValue="492"/>
    </cacheField>
    <cacheField name="Total Transaksi" numFmtId="169">
      <sharedItems containsSemiMixedTypes="0" containsString="0" containsNumber="1" containsInteger="1" minValue="56482500" maxValue="185650000"/>
    </cacheField>
    <cacheField name="Total Profit" numFmtId="169">
      <sharedItems containsSemiMixedTypes="0" containsString="0" containsNumber="1" containsInteger="1" minValue="13482500" maxValue="59050000"/>
    </cacheField>
    <cacheField name="Rating" numFmtId="2">
      <sharedItems containsSemiMixedTypes="0" containsString="0" containsNumber="1" minValue="2.9305806710870002" maxValue="3.25760582010582"/>
    </cacheField>
    <cacheField name="Total Biaya Porduksi" numFmtId="169">
      <sharedItems containsSemiMixedTypes="0" containsString="0" containsNumber="1" containsInteger="1" minValue="42240000" maxValue="126600000"/>
    </cacheField>
  </cacheFields>
  <extLst>
    <ext xmlns:x14="http://schemas.microsoft.com/office/spreadsheetml/2009/9/main" uri="{725AE2AE-9491-48be-B2B4-4EB974FC3084}">
      <x14:pivotCacheDefinition pivotCacheId="1382319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ORD-BB0001-01/04/23"/>
    <s v="PW001"/>
    <s v="Pakaian Wanita"/>
    <s v="Dress"/>
    <n v="1"/>
    <n v="4"/>
    <n v="300000"/>
    <n v="255000"/>
    <n v="100000"/>
    <n v="55000"/>
    <s v="SP001"/>
    <s v="Sepatu Pria"/>
    <s v="Sneakers"/>
    <n v="3"/>
    <n v="4"/>
    <n v="1500000"/>
    <n v="1275000"/>
    <n v="600000"/>
    <n v="375000"/>
    <s v="SW001"/>
    <s v="Sepatu Wanita"/>
    <s v="Flat Shoes"/>
    <n v="2"/>
    <n v="3"/>
    <n v="500000"/>
    <n v="425000"/>
    <n v="200000"/>
    <n v="125000"/>
    <n v="6"/>
    <n v="2300000"/>
    <n v="1955000"/>
    <n v="900000"/>
    <n v="555000"/>
    <s v="BELI44"/>
    <n v="0.15"/>
    <x v="0"/>
    <x v="0"/>
    <x v="0"/>
    <d v="2023-04-01T00:00:00"/>
    <x v="0"/>
    <s v="Saturday"/>
    <x v="0"/>
    <n v="3.6666666666666665"/>
  </r>
  <r>
    <n v="2"/>
    <s v="ORD-TK0002-02/04/23"/>
    <s v="PW002"/>
    <s v="Pakaian Wanita"/>
    <s v="Blouse"/>
    <n v="1"/>
    <n v="2"/>
    <n v="150000"/>
    <n v="135000"/>
    <n v="50000"/>
    <n v="35000"/>
    <s v="PP003"/>
    <s v="Pakaian Pria"/>
    <s v="Jaket Jeans"/>
    <n v="1"/>
    <n v="1"/>
    <n v="400000"/>
    <n v="360000"/>
    <n v="150000"/>
    <n v="110000"/>
    <s v="SP002"/>
    <s v="Sepatu Pria"/>
    <s v="Sandal Slip On"/>
    <n v="2"/>
    <n v="4"/>
    <n v="300000"/>
    <n v="270000"/>
    <n v="120000"/>
    <n v="90000"/>
    <n v="4"/>
    <n v="850000"/>
    <n v="765000"/>
    <n v="320000"/>
    <n v="235000"/>
    <s v="DISCAPRIL"/>
    <n v="0.1"/>
    <x v="0"/>
    <x v="1"/>
    <x v="0"/>
    <d v="2023-04-02T00:00:00"/>
    <x v="1"/>
    <s v="Sunday"/>
    <x v="0"/>
    <n v="2.3333333333333335"/>
  </r>
  <r>
    <n v="3"/>
    <s v="ORD-TK0003-03/04/23"/>
    <s v="PW003"/>
    <s v="Pakaian Wanita"/>
    <s v="Kaftan"/>
    <n v="2"/>
    <n v="3"/>
    <n v="500000"/>
    <n v="450000"/>
    <n v="200000"/>
    <n v="150000"/>
    <s v="SW001"/>
    <s v="Sepatu Wanita"/>
    <s v="Flat Shoes"/>
    <n v="1"/>
    <n v="5"/>
    <n v="250000"/>
    <n v="225000"/>
    <n v="100000"/>
    <n v="75000"/>
    <m/>
    <s v="-"/>
    <s v="-"/>
    <m/>
    <m/>
    <n v="0"/>
    <n v="0"/>
    <n v="0"/>
    <n v="0"/>
    <n v="3"/>
    <n v="750000"/>
    <n v="675000"/>
    <n v="300000"/>
    <n v="225000"/>
    <s v="DISCAPRIL"/>
    <n v="0.1"/>
    <x v="0"/>
    <x v="1"/>
    <x v="1"/>
    <d v="2023-04-03T00:00:00"/>
    <x v="2"/>
    <s v="Monday"/>
    <x v="0"/>
    <n v="4"/>
  </r>
  <r>
    <n v="4"/>
    <s v="ORD-SP0004-17/04/23"/>
    <s v="PP001"/>
    <s v="Pakaian Pria"/>
    <s v="Kaos Polo"/>
    <n v="1"/>
    <n v="1"/>
    <n v="200000"/>
    <n v="160000"/>
    <n v="80000"/>
    <n v="40000"/>
    <s v="PP002"/>
    <s v="Pakaian Pria"/>
    <s v="Celana Pendek"/>
    <n v="1"/>
    <n v="3"/>
    <n v="180000"/>
    <n v="144000"/>
    <n v="70000"/>
    <n v="34000"/>
    <s v="PU001"/>
    <s v="Pakaian Unisex"/>
    <s v="Jaket Hoodie"/>
    <n v="3"/>
    <n v="2"/>
    <n v="1050000"/>
    <n v="840000"/>
    <n v="390000"/>
    <n v="180000"/>
    <n v="5"/>
    <n v="1430000"/>
    <n v="1144000"/>
    <n v="540000"/>
    <n v="254000"/>
    <s v="DISC20"/>
    <n v="0.2"/>
    <x v="1"/>
    <x v="2"/>
    <x v="2"/>
    <d v="2023-04-17T00:00:00"/>
    <x v="3"/>
    <s v="Monday"/>
    <x v="1"/>
    <n v="2"/>
  </r>
  <r>
    <n v="5"/>
    <s v="ORD-TK0005-24/04/23"/>
    <s v="PP002"/>
    <s v="Pakaian Pria"/>
    <s v="Celana Pendek"/>
    <n v="2"/>
    <n v="3"/>
    <n v="360000"/>
    <n v="324000"/>
    <n v="140000"/>
    <n v="104000"/>
    <s v="PP002"/>
    <s v="Pakaian Pria"/>
    <s v="Celana Pendek"/>
    <n v="1"/>
    <n v="2"/>
    <n v="180000"/>
    <n v="162000"/>
    <n v="70000"/>
    <n v="52000"/>
    <m/>
    <s v="-"/>
    <s v="-"/>
    <m/>
    <m/>
    <n v="0"/>
    <n v="0"/>
    <n v="0"/>
    <n v="0"/>
    <n v="3"/>
    <n v="540000"/>
    <n v="486000"/>
    <n v="210000"/>
    <n v="156000"/>
    <s v="LEBAR10"/>
    <n v="0.1"/>
    <x v="1"/>
    <x v="1"/>
    <x v="3"/>
    <d v="2023-04-24T00:00:00"/>
    <x v="4"/>
    <s v="Monday"/>
    <x v="2"/>
    <n v="2.5"/>
  </r>
  <r>
    <n v="6"/>
    <s v="ORD-TK0006-20/04/23"/>
    <s v="PP003"/>
    <s v="Pakaian Pria"/>
    <s v="Jaket Jeans"/>
    <n v="2"/>
    <n v="4"/>
    <n v="800000"/>
    <n v="720000"/>
    <n v="300000"/>
    <n v="220000"/>
    <s v="PP002"/>
    <s v="Pakaian Pria"/>
    <s v="Celana Pendek"/>
    <n v="2"/>
    <n v="3"/>
    <n v="360000"/>
    <n v="324000"/>
    <n v="140000"/>
    <n v="104000"/>
    <s v="PU001"/>
    <s v="Pakaian Unisex"/>
    <s v="Jaket Hoodie"/>
    <n v="1"/>
    <n v="5"/>
    <n v="350000"/>
    <n v="315000"/>
    <n v="130000"/>
    <n v="95000"/>
    <n v="5"/>
    <n v="1510000"/>
    <n v="1359000"/>
    <n v="570000"/>
    <n v="419000"/>
    <s v="LEBAR10"/>
    <n v="0.1"/>
    <x v="1"/>
    <x v="1"/>
    <x v="4"/>
    <d v="2023-04-20T00:00:00"/>
    <x v="5"/>
    <s v="Thursday"/>
    <x v="1"/>
    <n v="4"/>
  </r>
  <r>
    <n v="7"/>
    <s v="ORD-BB0007-01/04/23"/>
    <s v="PU001"/>
    <s v="Pakaian Unisex"/>
    <s v="Jaket Hoodie"/>
    <n v="4"/>
    <n v="4"/>
    <n v="1400000"/>
    <n v="1190000"/>
    <n v="520000"/>
    <n v="310000"/>
    <m/>
    <s v="-"/>
    <s v="-"/>
    <m/>
    <m/>
    <n v="0"/>
    <n v="0"/>
    <n v="0"/>
    <n v="0"/>
    <m/>
    <s v="-"/>
    <s v="-"/>
    <m/>
    <m/>
    <n v="0"/>
    <n v="0"/>
    <n v="0"/>
    <n v="0"/>
    <n v="4"/>
    <n v="1400000"/>
    <n v="1190000"/>
    <n v="520000"/>
    <n v="310000"/>
    <s v="BELI44"/>
    <n v="0.15"/>
    <x v="0"/>
    <x v="0"/>
    <x v="5"/>
    <d v="2023-04-01T00:00:00"/>
    <x v="0"/>
    <s v="Saturday"/>
    <x v="0"/>
    <n v="4"/>
  </r>
  <r>
    <n v="8"/>
    <s v="ORD-BL0008-25/04/23"/>
    <s v="SP001"/>
    <s v="Sepatu Pria"/>
    <s v="Sneakers"/>
    <n v="4"/>
    <n v="1"/>
    <n v="2000000"/>
    <n v="1700000"/>
    <n v="800000"/>
    <n v="500000"/>
    <s v="PP002"/>
    <s v="Pakaian Pria"/>
    <s v="Celana Pendek"/>
    <n v="1"/>
    <n v="3"/>
    <n v="180000"/>
    <n v="153000"/>
    <n v="70000"/>
    <n v="43000"/>
    <m/>
    <s v="-"/>
    <s v="-"/>
    <m/>
    <m/>
    <n v="0"/>
    <n v="0"/>
    <n v="0"/>
    <n v="0"/>
    <n v="5"/>
    <n v="2180000"/>
    <n v="1853000"/>
    <n v="870000"/>
    <n v="543000"/>
    <s v="BUKALEBAR"/>
    <n v="0.15"/>
    <x v="1"/>
    <x v="3"/>
    <x v="0"/>
    <d v="2023-04-25T00:00:00"/>
    <x v="6"/>
    <s v="Tuesday"/>
    <x v="2"/>
    <n v="2"/>
  </r>
  <r>
    <n v="9"/>
    <s v="ORD-TK0009-20/04/23"/>
    <s v="PW002"/>
    <s v="Pakaian Wanita"/>
    <s v="Blouse"/>
    <n v="1"/>
    <n v="3"/>
    <n v="150000"/>
    <n v="135000"/>
    <n v="50000"/>
    <n v="35000"/>
    <s v="PW001"/>
    <s v="Pakaian Wanita"/>
    <s v="Dress"/>
    <n v="1"/>
    <n v="2"/>
    <n v="300000"/>
    <n v="270000"/>
    <n v="100000"/>
    <n v="70000"/>
    <m/>
    <s v="-"/>
    <s v="-"/>
    <m/>
    <m/>
    <n v="0"/>
    <n v="0"/>
    <n v="0"/>
    <n v="0"/>
    <n v="2"/>
    <n v="450000"/>
    <n v="405000"/>
    <n v="150000"/>
    <n v="105000"/>
    <s v="LEBAR10"/>
    <n v="0.1"/>
    <x v="1"/>
    <x v="1"/>
    <x v="5"/>
    <d v="2023-04-20T00:00:00"/>
    <x v="5"/>
    <s v="Thursday"/>
    <x v="1"/>
    <n v="2.5"/>
  </r>
  <r>
    <n v="10"/>
    <s v="ORD-SP0010-04/04/23"/>
    <s v="PP002"/>
    <s v="Pakaian Pria"/>
    <s v="Celana Pendek"/>
    <n v="3"/>
    <n v="4"/>
    <n v="540000"/>
    <n v="459000"/>
    <n v="210000"/>
    <n v="129000"/>
    <s v="PP001"/>
    <s v="Pakaian Pria"/>
    <s v="Kaos Polo"/>
    <n v="2"/>
    <n v="5"/>
    <n v="400000"/>
    <n v="340000"/>
    <n v="160000"/>
    <n v="100000"/>
    <m/>
    <s v="-"/>
    <s v="-"/>
    <m/>
    <m/>
    <n v="0"/>
    <n v="0"/>
    <n v="0"/>
    <n v="0"/>
    <n v="5"/>
    <n v="940000"/>
    <n v="799000"/>
    <n v="370000"/>
    <n v="229000"/>
    <s v="DISC15"/>
    <n v="0.15"/>
    <x v="0"/>
    <x v="2"/>
    <x v="1"/>
    <d v="2023-04-04T00:00:00"/>
    <x v="7"/>
    <s v="Tuesday"/>
    <x v="0"/>
    <n v="4.5"/>
  </r>
  <r>
    <n v="11"/>
    <s v="ORD-SP0011-06/04/23"/>
    <s v="PU001"/>
    <s v="Pakaian Unisex"/>
    <s v="Jaket Hoodie"/>
    <n v="3"/>
    <n v="5"/>
    <n v="1050000"/>
    <n v="892500"/>
    <n v="390000"/>
    <n v="232500"/>
    <s v="PW001"/>
    <s v="Pakaian Wanita"/>
    <s v="Dress"/>
    <n v="1"/>
    <n v="5"/>
    <n v="300000"/>
    <n v="255000"/>
    <n v="100000"/>
    <n v="55000"/>
    <s v="PP001"/>
    <s v="Pakaian Pria"/>
    <s v="Kaos Polo"/>
    <n v="1"/>
    <n v="4"/>
    <n v="200000"/>
    <n v="170000"/>
    <n v="80000"/>
    <n v="50000"/>
    <n v="5"/>
    <n v="1550000"/>
    <n v="1317500"/>
    <n v="570000"/>
    <n v="337500"/>
    <s v="DISC15"/>
    <n v="0.15"/>
    <x v="0"/>
    <x v="2"/>
    <x v="4"/>
    <d v="2023-04-06T00:00:00"/>
    <x v="8"/>
    <s v="Thursday"/>
    <x v="0"/>
    <n v="4.666666666666667"/>
  </r>
  <r>
    <n v="12"/>
    <s v="ORD-SP0012-04/04/23"/>
    <s v="PW001"/>
    <s v="Pakaian Wanita"/>
    <s v="Dress"/>
    <n v="1"/>
    <n v="3"/>
    <n v="300000"/>
    <n v="255000"/>
    <n v="100000"/>
    <n v="55000"/>
    <m/>
    <s v="-"/>
    <s v="-"/>
    <m/>
    <m/>
    <n v="0"/>
    <n v="0"/>
    <n v="0"/>
    <n v="0"/>
    <m/>
    <s v="-"/>
    <s v="-"/>
    <m/>
    <m/>
    <n v="0"/>
    <n v="0"/>
    <n v="0"/>
    <n v="0"/>
    <n v="1"/>
    <n v="300000"/>
    <n v="255000"/>
    <n v="100000"/>
    <n v="55000"/>
    <s v="DISC15"/>
    <n v="0.15"/>
    <x v="0"/>
    <x v="2"/>
    <x v="0"/>
    <d v="2023-04-04T00:00:00"/>
    <x v="7"/>
    <s v="Tuesday"/>
    <x v="0"/>
    <n v="3"/>
  </r>
  <r>
    <n v="13"/>
    <s v="ORD-TK0013-06/04/23"/>
    <s v="PP001"/>
    <s v="Pakaian Pria"/>
    <s v="Kaos Polo"/>
    <n v="3"/>
    <n v="1"/>
    <n v="600000"/>
    <n v="540000"/>
    <n v="240000"/>
    <n v="180000"/>
    <s v="PP001"/>
    <s v="Pakaian Pria"/>
    <s v="Kaos Polo"/>
    <n v="1"/>
    <n v="1"/>
    <n v="200000"/>
    <n v="180000"/>
    <n v="80000"/>
    <n v="60000"/>
    <s v="PP001"/>
    <s v="Pakaian Pria"/>
    <s v="Kaos Polo"/>
    <n v="1"/>
    <n v="4"/>
    <n v="200000"/>
    <n v="180000"/>
    <n v="80000"/>
    <n v="60000"/>
    <n v="5"/>
    <n v="1000000"/>
    <n v="900000"/>
    <n v="400000"/>
    <n v="300000"/>
    <s v="DISCAPRIL"/>
    <n v="0.1"/>
    <x v="0"/>
    <x v="1"/>
    <x v="2"/>
    <d v="2023-04-06T00:00:00"/>
    <x v="8"/>
    <s v="Thursday"/>
    <x v="0"/>
    <n v="2"/>
  </r>
  <r>
    <n v="14"/>
    <s v="ORD-SP0014-05/04/23"/>
    <s v="PP001"/>
    <s v="Pakaian Pria"/>
    <s v="Kaos Polo"/>
    <n v="1"/>
    <n v="2"/>
    <n v="200000"/>
    <n v="170000"/>
    <n v="80000"/>
    <n v="50000"/>
    <s v="PP002"/>
    <s v="Pakaian Pria"/>
    <s v="Celana Pendek"/>
    <n v="1"/>
    <n v="2"/>
    <n v="180000"/>
    <n v="153000"/>
    <n v="70000"/>
    <n v="43000"/>
    <s v="PP001"/>
    <s v="Pakaian Pria"/>
    <s v="Kaos Polo"/>
    <n v="1"/>
    <n v="5"/>
    <n v="200000"/>
    <n v="170000"/>
    <n v="80000"/>
    <n v="50000"/>
    <n v="3"/>
    <n v="580000"/>
    <n v="493000"/>
    <n v="230000"/>
    <n v="143000"/>
    <s v="DISC15"/>
    <n v="0.15"/>
    <x v="0"/>
    <x v="2"/>
    <x v="0"/>
    <d v="2023-04-05T00:00:00"/>
    <x v="9"/>
    <s v="Wednesday"/>
    <x v="0"/>
    <n v="3"/>
  </r>
  <r>
    <n v="15"/>
    <s v="ORD-BB0015-05/04/23"/>
    <s v="PP002"/>
    <s v="Pakaian Pria"/>
    <s v="Celana Pendek"/>
    <n v="1"/>
    <n v="2"/>
    <n v="180000"/>
    <n v="153000"/>
    <n v="70000"/>
    <n v="43000"/>
    <s v="PW002"/>
    <s v="Pakaian Wanita"/>
    <s v="Blouse"/>
    <n v="1"/>
    <n v="4"/>
    <n v="150000"/>
    <n v="127500"/>
    <n v="50000"/>
    <n v="27500"/>
    <s v="SP002"/>
    <s v="Sepatu Pria"/>
    <s v="Sandal Slip On"/>
    <n v="3"/>
    <n v="5"/>
    <n v="450000"/>
    <n v="382500"/>
    <n v="180000"/>
    <n v="112500"/>
    <n v="5"/>
    <n v="780000"/>
    <n v="663000"/>
    <n v="300000"/>
    <n v="183000"/>
    <s v="BELI44"/>
    <n v="0.15"/>
    <x v="0"/>
    <x v="0"/>
    <x v="0"/>
    <d v="2023-04-05T00:00:00"/>
    <x v="9"/>
    <s v="Wednesday"/>
    <x v="0"/>
    <n v="3.6666666666666665"/>
  </r>
  <r>
    <n v="16"/>
    <s v="ORD-SP0016-01/04/23"/>
    <s v="PP001"/>
    <s v="Pakaian Pria"/>
    <s v="Kaos Polo"/>
    <n v="1"/>
    <n v="1"/>
    <n v="200000"/>
    <n v="170000"/>
    <n v="80000"/>
    <n v="50000"/>
    <m/>
    <s v="-"/>
    <s v="-"/>
    <m/>
    <m/>
    <n v="0"/>
    <n v="0"/>
    <n v="0"/>
    <n v="0"/>
    <m/>
    <s v="-"/>
    <s v="-"/>
    <m/>
    <m/>
    <n v="0"/>
    <n v="0"/>
    <n v="0"/>
    <n v="0"/>
    <n v="1"/>
    <n v="200000"/>
    <n v="170000"/>
    <n v="80000"/>
    <n v="50000"/>
    <s v="DISC15"/>
    <n v="0.15"/>
    <x v="0"/>
    <x v="2"/>
    <x v="3"/>
    <d v="2023-04-01T00:00:00"/>
    <x v="0"/>
    <s v="Saturday"/>
    <x v="0"/>
    <n v="1"/>
  </r>
  <r>
    <n v="17"/>
    <s v="ORD-BB0017-05/04/23"/>
    <s v="PU001"/>
    <s v="Pakaian Unisex"/>
    <s v="Jaket Hoodie"/>
    <n v="2"/>
    <n v="4"/>
    <n v="700000"/>
    <n v="595000"/>
    <n v="260000"/>
    <n v="155000"/>
    <s v="PW001"/>
    <s v="Pakaian Wanita"/>
    <s v="Dress"/>
    <n v="1"/>
    <n v="5"/>
    <n v="300000"/>
    <n v="255000"/>
    <n v="100000"/>
    <n v="55000"/>
    <m/>
    <s v="-"/>
    <s v="-"/>
    <m/>
    <m/>
    <n v="0"/>
    <n v="0"/>
    <n v="0"/>
    <n v="0"/>
    <n v="3"/>
    <n v="1000000"/>
    <n v="850000"/>
    <n v="360000"/>
    <n v="210000"/>
    <s v="BELI44"/>
    <n v="0.15"/>
    <x v="0"/>
    <x v="0"/>
    <x v="4"/>
    <d v="2023-04-05T00:00:00"/>
    <x v="9"/>
    <s v="Wednesday"/>
    <x v="0"/>
    <n v="4.5"/>
  </r>
  <r>
    <n v="18"/>
    <s v="ORD-BB0018-06/04/23"/>
    <s v="PW001"/>
    <s v="Pakaian Wanita"/>
    <s v="Dress"/>
    <n v="1"/>
    <n v="4"/>
    <n v="300000"/>
    <n v="255000"/>
    <n v="100000"/>
    <n v="55000"/>
    <m/>
    <s v="-"/>
    <s v="-"/>
    <m/>
    <m/>
    <n v="0"/>
    <n v="0"/>
    <n v="0"/>
    <n v="0"/>
    <m/>
    <s v="-"/>
    <s v="-"/>
    <m/>
    <m/>
    <n v="0"/>
    <n v="0"/>
    <n v="0"/>
    <n v="0"/>
    <n v="1"/>
    <n v="300000"/>
    <n v="255000"/>
    <n v="100000"/>
    <n v="55000"/>
    <s v="BELI44"/>
    <n v="0.15"/>
    <x v="0"/>
    <x v="0"/>
    <x v="2"/>
    <d v="2023-04-06T00:00:00"/>
    <x v="8"/>
    <s v="Thursday"/>
    <x v="0"/>
    <n v="4"/>
  </r>
  <r>
    <n v="19"/>
    <s v="ORD-SP0019-02/04/23"/>
    <s v="SP002"/>
    <s v="Sepatu Pria"/>
    <s v="Sandal Slip On"/>
    <n v="1"/>
    <n v="4"/>
    <n v="150000"/>
    <n v="135000"/>
    <n v="60000"/>
    <n v="45000"/>
    <s v="SW001"/>
    <s v="Sepatu Wanita"/>
    <s v="Flat Shoes"/>
    <n v="2"/>
    <n v="2"/>
    <n v="500000"/>
    <n v="450000"/>
    <n v="200000"/>
    <n v="150000"/>
    <s v="PP001"/>
    <s v="Pakaian Pria"/>
    <s v="Kaos Polo"/>
    <n v="1"/>
    <n v="4"/>
    <n v="200000"/>
    <n v="180000"/>
    <n v="80000"/>
    <n v="60000"/>
    <n v="4"/>
    <n v="850000"/>
    <n v="765000"/>
    <n v="340000"/>
    <n v="255000"/>
    <s v="DISC10"/>
    <n v="0.1"/>
    <x v="0"/>
    <x v="2"/>
    <x v="3"/>
    <d v="2023-04-02T00:00:00"/>
    <x v="1"/>
    <s v="Sunday"/>
    <x v="0"/>
    <n v="3.3333333333333335"/>
  </r>
  <r>
    <n v="20"/>
    <s v="ORD-SP0020-09/04/23"/>
    <s v="PP002"/>
    <s v="Pakaian Pria"/>
    <s v="Celana Pendek"/>
    <n v="1"/>
    <n v="1"/>
    <n v="180000"/>
    <n v="180000"/>
    <n v="70000"/>
    <n v="70000"/>
    <m/>
    <s v="-"/>
    <s v="-"/>
    <m/>
    <m/>
    <n v="0"/>
    <n v="0"/>
    <n v="0"/>
    <n v="0"/>
    <m/>
    <s v="-"/>
    <s v="-"/>
    <m/>
    <m/>
    <n v="0"/>
    <n v="0"/>
    <n v="0"/>
    <n v="0"/>
    <n v="1"/>
    <n v="180000"/>
    <n v="180000"/>
    <n v="70000"/>
    <n v="70000"/>
    <s v="Tidak Ada"/>
    <s v="-"/>
    <x v="2"/>
    <x v="2"/>
    <x v="2"/>
    <d v="2023-04-09T00:00:00"/>
    <x v="10"/>
    <s v="Sunday"/>
    <x v="3"/>
    <n v="1"/>
  </r>
  <r>
    <n v="21"/>
    <s v="ORD-SP0021-04/04/23"/>
    <s v="PW002"/>
    <s v="Pakaian Wanita"/>
    <s v="Blouse"/>
    <n v="2"/>
    <n v="5"/>
    <n v="300000"/>
    <n v="270000"/>
    <n v="100000"/>
    <n v="70000"/>
    <s v="SP002"/>
    <s v="Sepatu Pria"/>
    <s v="Sandal Slip On"/>
    <n v="1"/>
    <n v="2"/>
    <n v="150000"/>
    <n v="135000"/>
    <n v="60000"/>
    <n v="45000"/>
    <m/>
    <s v="-"/>
    <s v="-"/>
    <m/>
    <m/>
    <n v="0"/>
    <n v="0"/>
    <n v="0"/>
    <n v="0"/>
    <n v="3"/>
    <n v="450000"/>
    <n v="405000"/>
    <n v="160000"/>
    <n v="115000"/>
    <s v="DISC10"/>
    <n v="0.1"/>
    <x v="0"/>
    <x v="2"/>
    <x v="4"/>
    <d v="2023-04-04T00:00:00"/>
    <x v="7"/>
    <s v="Tuesday"/>
    <x v="0"/>
    <n v="3.5"/>
  </r>
  <r>
    <n v="22"/>
    <s v="ORD-SP0022-28/04/23"/>
    <s v="PU001"/>
    <s v="Pakaian Unisex"/>
    <s v="Jaket Hoodie"/>
    <n v="1"/>
    <n v="1"/>
    <n v="350000"/>
    <n v="280000"/>
    <n v="130000"/>
    <n v="60000"/>
    <s v="PW001"/>
    <s v="Pakaian Wanita"/>
    <s v="Dress"/>
    <n v="3"/>
    <n v="1"/>
    <n v="900000"/>
    <n v="720000"/>
    <n v="300000"/>
    <n v="120000"/>
    <m/>
    <s v="-"/>
    <s v="-"/>
    <m/>
    <m/>
    <n v="0"/>
    <n v="0"/>
    <n v="0"/>
    <n v="0"/>
    <n v="4"/>
    <n v="1250000"/>
    <n v="1000000"/>
    <n v="430000"/>
    <n v="180000"/>
    <s v="DISC20"/>
    <n v="0.2"/>
    <x v="1"/>
    <x v="2"/>
    <x v="3"/>
    <d v="2023-04-28T00:00:00"/>
    <x v="11"/>
    <s v="Friday"/>
    <x v="2"/>
    <n v="1"/>
  </r>
  <r>
    <n v="23"/>
    <s v="ORD-SP0023-30/04/23"/>
    <s v="PW002"/>
    <s v="Pakaian Wanita"/>
    <s v="Blouse"/>
    <n v="3"/>
    <n v="2"/>
    <n v="450000"/>
    <n v="360000"/>
    <n v="150000"/>
    <n v="60000"/>
    <s v="SP002"/>
    <s v="Sepatu Pria"/>
    <s v="Sandal Slip On"/>
    <n v="1"/>
    <n v="5"/>
    <n v="150000"/>
    <n v="120000"/>
    <n v="60000"/>
    <n v="30000"/>
    <m/>
    <s v="-"/>
    <s v="-"/>
    <m/>
    <m/>
    <n v="0"/>
    <n v="0"/>
    <n v="0"/>
    <n v="0"/>
    <n v="4"/>
    <n v="600000"/>
    <n v="480000"/>
    <n v="210000"/>
    <n v="90000"/>
    <s v="DISC20"/>
    <n v="0.2"/>
    <x v="1"/>
    <x v="2"/>
    <x v="0"/>
    <d v="2023-04-30T00:00:00"/>
    <x v="12"/>
    <s v="Sunday"/>
    <x v="2"/>
    <n v="3.5"/>
  </r>
  <r>
    <n v="24"/>
    <s v="ORD-TK0024-06/04/23"/>
    <s v="PW003"/>
    <s v="Pakaian Wanita"/>
    <s v="Kaftan"/>
    <n v="7"/>
    <n v="4"/>
    <n v="1750000"/>
    <n v="1575000"/>
    <n v="700000"/>
    <n v="525000"/>
    <m/>
    <s v="-"/>
    <s v="-"/>
    <m/>
    <m/>
    <n v="0"/>
    <n v="0"/>
    <n v="0"/>
    <n v="0"/>
    <m/>
    <s v="-"/>
    <s v="-"/>
    <m/>
    <m/>
    <n v="0"/>
    <n v="0"/>
    <n v="0"/>
    <n v="0"/>
    <n v="7"/>
    <n v="1750000"/>
    <n v="1575000"/>
    <n v="700000"/>
    <n v="525000"/>
    <s v="DISCAPRIL"/>
    <n v="0.1"/>
    <x v="0"/>
    <x v="1"/>
    <x v="3"/>
    <d v="2023-04-06T00:00:00"/>
    <x v="8"/>
    <s v="Thursday"/>
    <x v="0"/>
    <n v="4"/>
  </r>
  <r>
    <n v="25"/>
    <s v="ORD-SP0025-02/04/23"/>
    <s v="PU001"/>
    <s v="Pakaian Unisex"/>
    <s v="Jaket Hoodie"/>
    <n v="1"/>
    <n v="1"/>
    <n v="350000"/>
    <n v="297500"/>
    <n v="130000"/>
    <n v="77500"/>
    <s v="PW001"/>
    <s v="Pakaian Wanita"/>
    <s v="Dress"/>
    <n v="6"/>
    <n v="5"/>
    <n v="1800000"/>
    <n v="1530000"/>
    <n v="600000"/>
    <n v="330000"/>
    <m/>
    <s v="-"/>
    <s v="-"/>
    <m/>
    <m/>
    <n v="0"/>
    <n v="0"/>
    <n v="0"/>
    <n v="0"/>
    <n v="7"/>
    <n v="2150000"/>
    <n v="1827500"/>
    <n v="730000"/>
    <n v="407500"/>
    <s v="DISC15"/>
    <n v="0.15"/>
    <x v="0"/>
    <x v="2"/>
    <x v="4"/>
    <d v="2023-04-02T00:00:00"/>
    <x v="1"/>
    <s v="Sunday"/>
    <x v="0"/>
    <n v="3"/>
  </r>
  <r>
    <n v="26"/>
    <s v="ORD-BL0026-25/04/23"/>
    <s v="PP003"/>
    <s v="Pakaian Pria"/>
    <s v="Jaket Jeans"/>
    <n v="2"/>
    <n v="3"/>
    <n v="800000"/>
    <n v="680000"/>
    <n v="300000"/>
    <n v="180000"/>
    <s v="PW001"/>
    <s v="Pakaian Wanita"/>
    <s v="Dress"/>
    <n v="3"/>
    <n v="1"/>
    <n v="900000"/>
    <n v="765000"/>
    <n v="300000"/>
    <n v="165000"/>
    <m/>
    <s v="-"/>
    <s v="-"/>
    <m/>
    <m/>
    <n v="0"/>
    <n v="0"/>
    <n v="0"/>
    <n v="0"/>
    <n v="5"/>
    <n v="1700000"/>
    <n v="1445000"/>
    <n v="600000"/>
    <n v="345000"/>
    <s v="BUKALEBAR"/>
    <n v="0.15"/>
    <x v="1"/>
    <x v="3"/>
    <x v="4"/>
    <d v="2023-04-25T00:00:00"/>
    <x v="6"/>
    <s v="Tuesday"/>
    <x v="2"/>
    <n v="2"/>
  </r>
  <r>
    <n v="27"/>
    <s v="ORD-BB0027-01/04/23"/>
    <s v="SW001"/>
    <s v="Sepatu Wanita"/>
    <s v="Flat Shoes"/>
    <n v="3"/>
    <n v="1"/>
    <n v="750000"/>
    <n v="637500"/>
    <n v="300000"/>
    <n v="187500"/>
    <s v="PP001"/>
    <s v="Pakaian Pria"/>
    <s v="Kaos Polo"/>
    <n v="2"/>
    <n v="3"/>
    <n v="400000"/>
    <n v="340000"/>
    <n v="160000"/>
    <n v="100000"/>
    <s v="PW001"/>
    <s v="Pakaian Wanita"/>
    <s v="Dress"/>
    <n v="1"/>
    <n v="3"/>
    <n v="300000"/>
    <n v="255000"/>
    <n v="100000"/>
    <n v="55000"/>
    <n v="6"/>
    <n v="1450000"/>
    <n v="1232500"/>
    <n v="560000"/>
    <n v="342500"/>
    <s v="BELI44"/>
    <n v="0.15"/>
    <x v="0"/>
    <x v="0"/>
    <x v="5"/>
    <d v="2023-04-01T00:00:00"/>
    <x v="0"/>
    <s v="Saturday"/>
    <x v="0"/>
    <n v="2.3333333333333335"/>
  </r>
  <r>
    <n v="28"/>
    <s v="ORD-BL0028-29/04/23"/>
    <s v="PP002"/>
    <s v="Pakaian Pria"/>
    <s v="Celana Pendek"/>
    <n v="5"/>
    <n v="2"/>
    <n v="900000"/>
    <n v="765000"/>
    <n v="350000"/>
    <n v="215000"/>
    <s v="PW001"/>
    <s v="Pakaian Wanita"/>
    <s v="Dress"/>
    <n v="2"/>
    <n v="1"/>
    <n v="600000"/>
    <n v="510000"/>
    <n v="200000"/>
    <n v="110000"/>
    <m/>
    <s v="-"/>
    <s v="-"/>
    <m/>
    <m/>
    <n v="0"/>
    <n v="0"/>
    <n v="0"/>
    <n v="0"/>
    <n v="7"/>
    <n v="1500000"/>
    <n v="1275000"/>
    <n v="550000"/>
    <n v="325000"/>
    <s v="BUKALEBAR"/>
    <n v="0.15"/>
    <x v="1"/>
    <x v="3"/>
    <x v="5"/>
    <d v="2023-04-29T00:00:00"/>
    <x v="13"/>
    <s v="Saturday"/>
    <x v="2"/>
    <n v="1.5"/>
  </r>
  <r>
    <n v="29"/>
    <s v="ORD-SP0029-30/04/23"/>
    <s v="PW003"/>
    <s v="Pakaian Wanita"/>
    <s v="Kaftan"/>
    <n v="1"/>
    <n v="1"/>
    <n v="250000"/>
    <n v="200000"/>
    <n v="100000"/>
    <n v="50000"/>
    <m/>
    <s v="-"/>
    <s v="-"/>
    <m/>
    <m/>
    <n v="0"/>
    <n v="0"/>
    <n v="0"/>
    <n v="0"/>
    <m/>
    <s v="-"/>
    <s v="-"/>
    <m/>
    <m/>
    <n v="0"/>
    <n v="0"/>
    <n v="0"/>
    <n v="0"/>
    <n v="1"/>
    <n v="250000"/>
    <n v="200000"/>
    <n v="100000"/>
    <n v="50000"/>
    <s v="DISC20"/>
    <n v="0.2"/>
    <x v="1"/>
    <x v="2"/>
    <x v="4"/>
    <d v="2023-04-30T00:00:00"/>
    <x v="12"/>
    <s v="Sunday"/>
    <x v="2"/>
    <n v="1"/>
  </r>
  <r>
    <n v="30"/>
    <s v="ORD-BB0030-04/04/23"/>
    <s v="PP002"/>
    <s v="Pakaian Pria"/>
    <s v="Celana Pendek"/>
    <n v="2"/>
    <n v="2"/>
    <n v="360000"/>
    <n v="306000"/>
    <n v="140000"/>
    <n v="86000"/>
    <s v="SW001"/>
    <s v="Sepatu Wanita"/>
    <s v="Flat Shoes"/>
    <n v="1"/>
    <n v="1"/>
    <n v="250000"/>
    <n v="212500"/>
    <n v="100000"/>
    <n v="62500"/>
    <s v="PW002"/>
    <s v="Pakaian Wanita"/>
    <s v="Blouse"/>
    <n v="3"/>
    <n v="1"/>
    <n v="450000"/>
    <n v="382500"/>
    <n v="150000"/>
    <n v="82500"/>
    <n v="6"/>
    <n v="1060000"/>
    <n v="901000"/>
    <n v="390000"/>
    <n v="231000"/>
    <s v="BELI44"/>
    <n v="0.15"/>
    <x v="0"/>
    <x v="0"/>
    <x v="4"/>
    <d v="2023-04-04T00:00:00"/>
    <x v="7"/>
    <s v="Tuesday"/>
    <x v="0"/>
    <n v="1.3333333333333333"/>
  </r>
  <r>
    <n v="31"/>
    <s v="ORD-SP0031-01/04/23"/>
    <s v="PU001"/>
    <s v="Pakaian Unisex"/>
    <s v="Jaket Hoodie"/>
    <n v="2"/>
    <n v="3"/>
    <n v="700000"/>
    <n v="595000"/>
    <n v="260000"/>
    <n v="155000"/>
    <s v="PW001"/>
    <s v="Pakaian Wanita"/>
    <s v="Dress"/>
    <n v="4"/>
    <n v="3"/>
    <n v="1200000"/>
    <n v="1020000"/>
    <n v="400000"/>
    <n v="220000"/>
    <m/>
    <s v="-"/>
    <s v="-"/>
    <m/>
    <m/>
    <n v="0"/>
    <n v="0"/>
    <n v="0"/>
    <n v="0"/>
    <n v="6"/>
    <n v="1900000"/>
    <n v="1615000"/>
    <n v="660000"/>
    <n v="375000"/>
    <s v="DISC15"/>
    <n v="0.15"/>
    <x v="0"/>
    <x v="2"/>
    <x v="5"/>
    <d v="2023-04-01T00:00:00"/>
    <x v="0"/>
    <s v="Saturday"/>
    <x v="0"/>
    <n v="3"/>
  </r>
  <r>
    <n v="32"/>
    <s v="ORD-SP0032-25/04/23"/>
    <s v="PP003"/>
    <s v="Pakaian Pria"/>
    <s v="Jaket Jeans"/>
    <n v="5"/>
    <n v="5"/>
    <n v="2000000"/>
    <n v="1600000"/>
    <n v="750000"/>
    <n v="350000"/>
    <m/>
    <s v="-"/>
    <s v="-"/>
    <m/>
    <m/>
    <n v="0"/>
    <n v="0"/>
    <n v="0"/>
    <n v="0"/>
    <m/>
    <s v="-"/>
    <s v="-"/>
    <m/>
    <m/>
    <n v="0"/>
    <n v="0"/>
    <n v="0"/>
    <n v="0"/>
    <n v="5"/>
    <n v="2000000"/>
    <n v="1600000"/>
    <n v="750000"/>
    <n v="350000"/>
    <s v="DISC20"/>
    <n v="0.2"/>
    <x v="1"/>
    <x v="2"/>
    <x v="2"/>
    <d v="2023-04-25T00:00:00"/>
    <x v="6"/>
    <s v="Tuesday"/>
    <x v="2"/>
    <n v="5"/>
  </r>
  <r>
    <n v="33"/>
    <s v="ORD-BB0033-06/04/23"/>
    <s v="PW001"/>
    <s v="Pakaian Wanita"/>
    <s v="Dress"/>
    <n v="4"/>
    <n v="1"/>
    <n v="1200000"/>
    <n v="1020000"/>
    <n v="400000"/>
    <n v="220000"/>
    <m/>
    <s v="-"/>
    <s v="-"/>
    <m/>
    <m/>
    <n v="0"/>
    <n v="0"/>
    <n v="0"/>
    <n v="0"/>
    <m/>
    <s v="-"/>
    <s v="-"/>
    <m/>
    <m/>
    <n v="0"/>
    <n v="0"/>
    <n v="0"/>
    <n v="0"/>
    <n v="4"/>
    <n v="1200000"/>
    <n v="1020000"/>
    <n v="400000"/>
    <n v="220000"/>
    <s v="BELI44"/>
    <n v="0.15"/>
    <x v="0"/>
    <x v="0"/>
    <x v="4"/>
    <d v="2023-04-06T00:00:00"/>
    <x v="8"/>
    <s v="Thursday"/>
    <x v="0"/>
    <n v="1"/>
  </r>
  <r>
    <n v="34"/>
    <s v="ORD-TK0034-04/04/23"/>
    <s v="PU001"/>
    <s v="Pakaian Unisex"/>
    <s v="Jaket Hoodie"/>
    <n v="2"/>
    <n v="1"/>
    <n v="700000"/>
    <n v="630000"/>
    <n v="260000"/>
    <n v="190000"/>
    <s v="SP001"/>
    <s v="Sepatu Pria"/>
    <s v="Sneakers"/>
    <n v="2"/>
    <n v="4"/>
    <n v="1000000"/>
    <n v="900000"/>
    <n v="400000"/>
    <n v="300000"/>
    <s v="PP002"/>
    <s v="Pakaian Pria"/>
    <s v="Celana Pendek"/>
    <n v="2"/>
    <n v="2"/>
    <n v="360000"/>
    <n v="324000"/>
    <n v="140000"/>
    <n v="104000"/>
    <n v="6"/>
    <n v="2060000"/>
    <n v="1854000"/>
    <n v="800000"/>
    <n v="594000"/>
    <s v="DISCAPRIL"/>
    <n v="0.1"/>
    <x v="0"/>
    <x v="1"/>
    <x v="0"/>
    <d v="2023-04-04T00:00:00"/>
    <x v="7"/>
    <s v="Tuesday"/>
    <x v="0"/>
    <n v="2.3333333333333335"/>
  </r>
  <r>
    <n v="35"/>
    <s v="ORD-TK0035-04/04/23"/>
    <s v="PW003"/>
    <s v="Pakaian Wanita"/>
    <s v="Kaftan"/>
    <n v="2"/>
    <n v="2"/>
    <n v="500000"/>
    <n v="450000"/>
    <n v="200000"/>
    <n v="150000"/>
    <s v="PP003"/>
    <s v="Pakaian Pria"/>
    <s v="Jaket Jeans"/>
    <n v="1"/>
    <n v="2"/>
    <n v="400000"/>
    <n v="360000"/>
    <n v="150000"/>
    <n v="110000"/>
    <m/>
    <s v="-"/>
    <s v="-"/>
    <m/>
    <m/>
    <n v="0"/>
    <n v="0"/>
    <n v="0"/>
    <n v="0"/>
    <n v="3"/>
    <n v="900000"/>
    <n v="810000"/>
    <n v="350000"/>
    <n v="260000"/>
    <s v="DISCAPRIL"/>
    <n v="0.1"/>
    <x v="0"/>
    <x v="1"/>
    <x v="4"/>
    <d v="2023-04-04T00:00:00"/>
    <x v="7"/>
    <s v="Tuesday"/>
    <x v="0"/>
    <n v="2"/>
  </r>
  <r>
    <n v="36"/>
    <s v="ORD-BL0036-12/04/23"/>
    <s v="PW002"/>
    <s v="Pakaian Wanita"/>
    <s v="Blouse"/>
    <n v="1"/>
    <n v="1"/>
    <n v="150000"/>
    <n v="150000"/>
    <n v="50000"/>
    <n v="50000"/>
    <s v="SW001"/>
    <s v="Sepatu Wanita"/>
    <s v="Flat Shoes"/>
    <n v="1"/>
    <n v="5"/>
    <n v="250000"/>
    <n v="250000"/>
    <n v="100000"/>
    <n v="100000"/>
    <m/>
    <s v="-"/>
    <s v="-"/>
    <m/>
    <m/>
    <n v="0"/>
    <n v="0"/>
    <n v="0"/>
    <n v="0"/>
    <n v="2"/>
    <n v="400000"/>
    <n v="400000"/>
    <n v="150000"/>
    <n v="150000"/>
    <s v="Tidak Ada"/>
    <s v="-"/>
    <x v="2"/>
    <x v="3"/>
    <x v="5"/>
    <d v="2023-04-12T00:00:00"/>
    <x v="14"/>
    <s v="Wednesday"/>
    <x v="3"/>
    <n v="3"/>
  </r>
  <r>
    <n v="37"/>
    <s v="ORD-BL0037-26/04/23"/>
    <s v="SW001"/>
    <s v="Sepatu Wanita"/>
    <s v="Flat Shoes"/>
    <n v="1"/>
    <n v="3"/>
    <n v="250000"/>
    <n v="212500"/>
    <n v="100000"/>
    <n v="62500"/>
    <s v="PP002"/>
    <s v="Pakaian Pria"/>
    <s v="Celana Pendek"/>
    <n v="2"/>
    <n v="2"/>
    <n v="360000"/>
    <n v="306000"/>
    <n v="140000"/>
    <n v="86000"/>
    <m/>
    <s v="-"/>
    <s v="-"/>
    <m/>
    <m/>
    <n v="0"/>
    <n v="0"/>
    <n v="0"/>
    <n v="0"/>
    <n v="3"/>
    <n v="610000"/>
    <n v="518500"/>
    <n v="240000"/>
    <n v="148500"/>
    <s v="BUKALEBAR"/>
    <n v="0.15"/>
    <x v="1"/>
    <x v="3"/>
    <x v="5"/>
    <d v="2023-04-26T00:00:00"/>
    <x v="15"/>
    <s v="Wednesday"/>
    <x v="2"/>
    <n v="2.5"/>
  </r>
  <r>
    <n v="38"/>
    <s v="ORD-BB0038-04/04/23"/>
    <s v="PU001"/>
    <s v="Pakaian Unisex"/>
    <s v="Jaket Hoodie"/>
    <n v="7"/>
    <n v="3"/>
    <n v="2450000"/>
    <n v="2082500"/>
    <n v="910000"/>
    <n v="542500"/>
    <m/>
    <s v="-"/>
    <s v="-"/>
    <m/>
    <m/>
    <n v="0"/>
    <n v="0"/>
    <n v="0"/>
    <n v="0"/>
    <m/>
    <s v="-"/>
    <s v="-"/>
    <m/>
    <m/>
    <n v="0"/>
    <n v="0"/>
    <n v="0"/>
    <n v="0"/>
    <n v="7"/>
    <n v="2450000"/>
    <n v="2082500"/>
    <n v="910000"/>
    <n v="542500"/>
    <s v="BELI44"/>
    <n v="0.15"/>
    <x v="0"/>
    <x v="0"/>
    <x v="4"/>
    <d v="2023-04-04T00:00:00"/>
    <x v="7"/>
    <s v="Tuesday"/>
    <x v="0"/>
    <n v="3"/>
  </r>
  <r>
    <n v="39"/>
    <s v="ORD-TK0039-25/04/23"/>
    <s v="SP002"/>
    <s v="Sepatu Pria"/>
    <s v="Sandal Slip On"/>
    <n v="6"/>
    <n v="4"/>
    <n v="900000"/>
    <n v="810000"/>
    <n v="360000"/>
    <n v="270000"/>
    <m/>
    <s v="-"/>
    <s v="-"/>
    <m/>
    <m/>
    <n v="0"/>
    <n v="0"/>
    <n v="0"/>
    <n v="0"/>
    <m/>
    <s v="-"/>
    <s v="-"/>
    <m/>
    <m/>
    <n v="0"/>
    <n v="0"/>
    <n v="0"/>
    <n v="0"/>
    <n v="6"/>
    <n v="900000"/>
    <n v="810000"/>
    <n v="360000"/>
    <n v="270000"/>
    <s v="LEBAR10"/>
    <n v="0.1"/>
    <x v="1"/>
    <x v="1"/>
    <x v="1"/>
    <d v="2023-04-25T00:00:00"/>
    <x v="6"/>
    <s v="Tuesday"/>
    <x v="2"/>
    <n v="4"/>
  </r>
  <r>
    <n v="40"/>
    <s v="ORD-TK0040-15/04/23"/>
    <s v="PW003"/>
    <s v="Pakaian Wanita"/>
    <s v="Kaftan"/>
    <n v="2"/>
    <n v="5"/>
    <n v="500000"/>
    <n v="500000"/>
    <n v="200000"/>
    <n v="200000"/>
    <s v="PP002"/>
    <s v="Pakaian Pria"/>
    <s v="Celana Pendek"/>
    <n v="3"/>
    <n v="3"/>
    <n v="540000"/>
    <n v="540000"/>
    <n v="210000"/>
    <n v="210000"/>
    <s v="PP001"/>
    <s v="Pakaian Pria"/>
    <s v="Kaos Polo"/>
    <n v="2"/>
    <n v="3"/>
    <n v="400000"/>
    <n v="400000"/>
    <n v="160000"/>
    <n v="160000"/>
    <n v="7"/>
    <n v="1440000"/>
    <n v="1440000"/>
    <n v="570000"/>
    <n v="570000"/>
    <s v="Tidak Ada"/>
    <s v="-"/>
    <x v="2"/>
    <x v="1"/>
    <x v="4"/>
    <d v="2023-04-15T00:00:00"/>
    <x v="16"/>
    <s v="Saturday"/>
    <x v="1"/>
    <n v="3.6666666666666665"/>
  </r>
  <r>
    <n v="41"/>
    <s v="ORD-TK0041-01/04/23"/>
    <s v="SP002"/>
    <s v="Sepatu Pria"/>
    <s v="Sandal Slip On"/>
    <n v="2"/>
    <n v="3"/>
    <n v="300000"/>
    <n v="270000"/>
    <n v="120000"/>
    <n v="90000"/>
    <m/>
    <s v="-"/>
    <s v="-"/>
    <m/>
    <m/>
    <n v="0"/>
    <n v="0"/>
    <n v="0"/>
    <n v="0"/>
    <m/>
    <s v="-"/>
    <s v="-"/>
    <m/>
    <m/>
    <n v="0"/>
    <n v="0"/>
    <n v="0"/>
    <n v="0"/>
    <n v="2"/>
    <n v="300000"/>
    <n v="270000"/>
    <n v="120000"/>
    <n v="90000"/>
    <s v="DISCAPRIL"/>
    <n v="0.1"/>
    <x v="0"/>
    <x v="1"/>
    <x v="4"/>
    <d v="2023-04-01T00:00:00"/>
    <x v="0"/>
    <s v="Saturday"/>
    <x v="0"/>
    <n v="3"/>
  </r>
  <r>
    <n v="42"/>
    <s v="ORD-BB0042-15/04/23"/>
    <s v="PP003"/>
    <s v="Pakaian Pria"/>
    <s v="Jaket Jeans"/>
    <n v="1"/>
    <n v="5"/>
    <n v="400000"/>
    <n v="400000"/>
    <n v="150000"/>
    <n v="150000"/>
    <m/>
    <s v="-"/>
    <s v="-"/>
    <m/>
    <m/>
    <n v="0"/>
    <n v="0"/>
    <n v="0"/>
    <n v="0"/>
    <m/>
    <s v="-"/>
    <s v="-"/>
    <m/>
    <m/>
    <n v="0"/>
    <n v="0"/>
    <n v="0"/>
    <n v="0"/>
    <n v="1"/>
    <n v="400000"/>
    <n v="400000"/>
    <n v="150000"/>
    <n v="150000"/>
    <s v="Tidak Ada"/>
    <s v="-"/>
    <x v="2"/>
    <x v="0"/>
    <x v="2"/>
    <d v="2023-04-15T00:00:00"/>
    <x v="16"/>
    <s v="Saturday"/>
    <x v="1"/>
    <n v="5"/>
  </r>
  <r>
    <n v="43"/>
    <s v="ORD-BB0043-05/04/23"/>
    <s v="SP001"/>
    <s v="Sepatu Pria"/>
    <s v="Sneakers"/>
    <n v="5"/>
    <n v="1"/>
    <n v="2500000"/>
    <n v="2125000"/>
    <n v="1000000"/>
    <n v="625000"/>
    <s v="PW002"/>
    <s v="Pakaian Wanita"/>
    <s v="Blouse"/>
    <n v="2"/>
    <n v="3"/>
    <n v="300000"/>
    <n v="255000"/>
    <n v="100000"/>
    <n v="55000"/>
    <m/>
    <s v="-"/>
    <s v="-"/>
    <m/>
    <m/>
    <n v="0"/>
    <n v="0"/>
    <n v="0"/>
    <n v="0"/>
    <n v="7"/>
    <n v="2800000"/>
    <n v="2380000"/>
    <n v="1100000"/>
    <n v="680000"/>
    <s v="BELI44"/>
    <n v="0.15"/>
    <x v="0"/>
    <x v="0"/>
    <x v="2"/>
    <d v="2023-04-05T00:00:00"/>
    <x v="9"/>
    <s v="Wednesday"/>
    <x v="0"/>
    <n v="2"/>
  </r>
  <r>
    <n v="44"/>
    <s v="ORD-SP0044-06/04/23"/>
    <s v="PW001"/>
    <s v="Pakaian Wanita"/>
    <s v="Dress"/>
    <n v="4"/>
    <n v="3"/>
    <n v="1200000"/>
    <n v="1020000"/>
    <n v="400000"/>
    <n v="220000"/>
    <s v="PP003"/>
    <s v="Pakaian Pria"/>
    <s v="Jaket Jeans"/>
    <n v="1"/>
    <n v="5"/>
    <n v="400000"/>
    <n v="340000"/>
    <n v="150000"/>
    <n v="90000"/>
    <s v="PW003"/>
    <s v="Pakaian Wanita"/>
    <s v="Kaftan"/>
    <n v="2"/>
    <n v="1"/>
    <n v="500000"/>
    <n v="425000"/>
    <n v="200000"/>
    <n v="125000"/>
    <n v="7"/>
    <n v="2100000"/>
    <n v="1785000"/>
    <n v="750000"/>
    <n v="435000"/>
    <s v="DISC15"/>
    <n v="0.15"/>
    <x v="0"/>
    <x v="2"/>
    <x v="4"/>
    <d v="2023-04-06T00:00:00"/>
    <x v="8"/>
    <s v="Thursday"/>
    <x v="0"/>
    <n v="3"/>
  </r>
  <r>
    <n v="45"/>
    <s v="ORD-BL0045-16/04/23"/>
    <s v="PW002"/>
    <s v="Pakaian Wanita"/>
    <s v="Blouse"/>
    <n v="2"/>
    <n v="3"/>
    <n v="300000"/>
    <n v="255000"/>
    <n v="100000"/>
    <n v="55000"/>
    <m/>
    <s v="-"/>
    <s v="-"/>
    <m/>
    <m/>
    <n v="0"/>
    <n v="0"/>
    <n v="0"/>
    <n v="0"/>
    <m/>
    <s v="-"/>
    <s v="-"/>
    <m/>
    <m/>
    <n v="0"/>
    <n v="0"/>
    <n v="0"/>
    <n v="0"/>
    <n v="2"/>
    <n v="300000"/>
    <n v="255000"/>
    <n v="100000"/>
    <n v="55000"/>
    <s v="BUKALEBAR"/>
    <n v="0.15"/>
    <x v="1"/>
    <x v="3"/>
    <x v="4"/>
    <d v="2023-04-16T00:00:00"/>
    <x v="17"/>
    <s v="Sunday"/>
    <x v="1"/>
    <n v="3"/>
  </r>
  <r>
    <n v="46"/>
    <s v="ORD-BL0046-28/04/23"/>
    <s v="SP001"/>
    <s v="Sepatu Pria"/>
    <s v="Sneakers"/>
    <n v="1"/>
    <n v="2"/>
    <n v="500000"/>
    <n v="425000"/>
    <n v="200000"/>
    <n v="125000"/>
    <s v="PW001"/>
    <s v="Pakaian Wanita"/>
    <s v="Dress"/>
    <n v="1"/>
    <n v="1"/>
    <n v="300000"/>
    <n v="255000"/>
    <n v="100000"/>
    <n v="55000"/>
    <s v="PP003"/>
    <s v="Pakaian Pria"/>
    <s v="Jaket Jeans"/>
    <n v="1"/>
    <n v="4"/>
    <n v="400000"/>
    <n v="340000"/>
    <n v="150000"/>
    <n v="90000"/>
    <n v="3"/>
    <n v="1200000"/>
    <n v="1020000"/>
    <n v="450000"/>
    <n v="270000"/>
    <s v="BUKALEBAR"/>
    <n v="0.15"/>
    <x v="1"/>
    <x v="3"/>
    <x v="2"/>
    <d v="2023-04-28T00:00:00"/>
    <x v="11"/>
    <s v="Friday"/>
    <x v="2"/>
    <n v="2.3333333333333335"/>
  </r>
  <r>
    <n v="47"/>
    <s v="ORD-SP0047-04/04/23"/>
    <s v="PW001"/>
    <s v="Pakaian Wanita"/>
    <s v="Dress"/>
    <n v="1"/>
    <n v="1"/>
    <n v="300000"/>
    <n v="270000"/>
    <n v="100000"/>
    <n v="70000"/>
    <s v="PP003"/>
    <s v="Pakaian Pria"/>
    <s v="Jaket Jeans"/>
    <n v="2"/>
    <n v="3"/>
    <n v="800000"/>
    <n v="720000"/>
    <n v="300000"/>
    <n v="220000"/>
    <m/>
    <s v="-"/>
    <s v="-"/>
    <m/>
    <m/>
    <n v="0"/>
    <n v="0"/>
    <n v="0"/>
    <n v="0"/>
    <n v="3"/>
    <n v="1100000"/>
    <n v="990000"/>
    <n v="400000"/>
    <n v="290000"/>
    <s v="DISC10"/>
    <n v="0.1"/>
    <x v="0"/>
    <x v="2"/>
    <x v="5"/>
    <d v="2023-04-04T00:00:00"/>
    <x v="7"/>
    <s v="Tuesday"/>
    <x v="0"/>
    <n v="2"/>
  </r>
  <r>
    <n v="48"/>
    <s v="ORD-SP0048-01/04/23"/>
    <s v="PP001"/>
    <s v="Pakaian Pria"/>
    <s v="Kaos Polo"/>
    <n v="4"/>
    <n v="1"/>
    <n v="800000"/>
    <n v="680000"/>
    <n v="320000"/>
    <n v="200000"/>
    <m/>
    <s v="-"/>
    <s v="-"/>
    <m/>
    <m/>
    <n v="0"/>
    <n v="0"/>
    <n v="0"/>
    <n v="0"/>
    <m/>
    <s v="-"/>
    <s v="-"/>
    <m/>
    <m/>
    <n v="0"/>
    <n v="0"/>
    <n v="0"/>
    <n v="0"/>
    <n v="4"/>
    <n v="800000"/>
    <n v="680000"/>
    <n v="320000"/>
    <n v="200000"/>
    <s v="DISC15"/>
    <n v="0.15"/>
    <x v="0"/>
    <x v="2"/>
    <x v="4"/>
    <d v="2023-04-01T00:00:00"/>
    <x v="0"/>
    <s v="Saturday"/>
    <x v="0"/>
    <n v="1"/>
  </r>
  <r>
    <n v="49"/>
    <s v="ORD-TK0049-05/04/23"/>
    <s v="PU001"/>
    <s v="Pakaian Unisex"/>
    <s v="Jaket Hoodie"/>
    <n v="1"/>
    <n v="3"/>
    <n v="350000"/>
    <n v="315000"/>
    <n v="130000"/>
    <n v="95000"/>
    <s v="SW001"/>
    <s v="Sepatu Wanita"/>
    <s v="Flat Shoes"/>
    <n v="4"/>
    <n v="3"/>
    <n v="1000000"/>
    <n v="900000"/>
    <n v="400000"/>
    <n v="300000"/>
    <m/>
    <s v="-"/>
    <s v="-"/>
    <m/>
    <m/>
    <n v="0"/>
    <n v="0"/>
    <n v="0"/>
    <n v="0"/>
    <n v="5"/>
    <n v="1350000"/>
    <n v="1215000"/>
    <n v="530000"/>
    <n v="395000"/>
    <s v="DISCAPRIL"/>
    <n v="0.1"/>
    <x v="0"/>
    <x v="1"/>
    <x v="1"/>
    <d v="2023-04-05T00:00:00"/>
    <x v="9"/>
    <s v="Wednesday"/>
    <x v="0"/>
    <n v="3"/>
  </r>
  <r>
    <n v="50"/>
    <s v="ORD-SP0050-03/04/23"/>
    <s v="PP001"/>
    <s v="Pakaian Pria"/>
    <s v="Kaos Polo"/>
    <n v="1"/>
    <n v="2"/>
    <n v="200000"/>
    <n v="170000"/>
    <n v="80000"/>
    <n v="50000"/>
    <s v="SW001"/>
    <s v="Sepatu Wanita"/>
    <s v="Flat Shoes"/>
    <n v="3"/>
    <n v="5"/>
    <n v="750000"/>
    <n v="637500"/>
    <n v="300000"/>
    <n v="187500"/>
    <s v="SP001"/>
    <s v="Sepatu Pria"/>
    <s v="Sneakers"/>
    <n v="3"/>
    <n v="2"/>
    <n v="1500000"/>
    <n v="1275000"/>
    <n v="600000"/>
    <n v="375000"/>
    <n v="7"/>
    <n v="2450000"/>
    <n v="2082500"/>
    <n v="980000"/>
    <n v="612500"/>
    <s v="DISC15"/>
    <n v="0.15"/>
    <x v="0"/>
    <x v="2"/>
    <x v="2"/>
    <d v="2023-04-03T00:00:00"/>
    <x v="2"/>
    <s v="Monday"/>
    <x v="0"/>
    <n v="3"/>
  </r>
  <r>
    <n v="51"/>
    <s v="ORD-BB0051-05/04/23"/>
    <s v="PW002"/>
    <s v="Pakaian Wanita"/>
    <s v="Blouse"/>
    <n v="5"/>
    <n v="4"/>
    <n v="750000"/>
    <n v="637500"/>
    <n v="250000"/>
    <n v="137500"/>
    <s v="SP001"/>
    <s v="Sepatu Pria"/>
    <s v="Sneakers"/>
    <n v="1"/>
    <n v="3"/>
    <n v="500000"/>
    <n v="425000"/>
    <n v="200000"/>
    <n v="125000"/>
    <m/>
    <s v="-"/>
    <s v="-"/>
    <m/>
    <m/>
    <n v="0"/>
    <n v="0"/>
    <n v="0"/>
    <n v="0"/>
    <n v="6"/>
    <n v="1250000"/>
    <n v="1062500"/>
    <n v="450000"/>
    <n v="262500"/>
    <s v="BELI44"/>
    <n v="0.15"/>
    <x v="0"/>
    <x v="0"/>
    <x v="2"/>
    <d v="2023-04-05T00:00:00"/>
    <x v="9"/>
    <s v="Wednesday"/>
    <x v="0"/>
    <n v="3.5"/>
  </r>
  <r>
    <n v="52"/>
    <s v="ORD-BL0052-27/04/23"/>
    <s v="SP002"/>
    <s v="Sepatu Pria"/>
    <s v="Sandal Slip On"/>
    <n v="2"/>
    <n v="1"/>
    <n v="300000"/>
    <n v="255000"/>
    <n v="120000"/>
    <n v="75000"/>
    <s v="SP001"/>
    <s v="Sepatu Pria"/>
    <s v="Sneakers"/>
    <n v="2"/>
    <n v="3"/>
    <n v="1000000"/>
    <n v="850000"/>
    <n v="400000"/>
    <n v="250000"/>
    <s v="PW002"/>
    <s v="Pakaian Wanita"/>
    <s v="Blouse"/>
    <n v="1"/>
    <n v="5"/>
    <n v="150000"/>
    <n v="127500"/>
    <n v="50000"/>
    <n v="27500"/>
    <n v="5"/>
    <n v="1450000"/>
    <n v="1232500"/>
    <n v="570000"/>
    <n v="352500"/>
    <s v="BUKALEBAR"/>
    <n v="0.15"/>
    <x v="1"/>
    <x v="3"/>
    <x v="4"/>
    <d v="2023-04-27T00:00:00"/>
    <x v="18"/>
    <s v="Thursday"/>
    <x v="2"/>
    <n v="3"/>
  </r>
  <r>
    <n v="53"/>
    <s v="ORD-BB0053-03/04/23"/>
    <s v="SP001"/>
    <s v="Sepatu Pria"/>
    <s v="Sneakers"/>
    <n v="2"/>
    <n v="1"/>
    <n v="1000000"/>
    <n v="850000"/>
    <n v="400000"/>
    <n v="250000"/>
    <s v="PU001"/>
    <s v="Pakaian Unisex"/>
    <s v="Jaket Hoodie"/>
    <n v="1"/>
    <n v="1"/>
    <n v="350000"/>
    <n v="297500"/>
    <n v="130000"/>
    <n v="77500"/>
    <m/>
    <s v="-"/>
    <s v="-"/>
    <m/>
    <m/>
    <n v="0"/>
    <n v="0"/>
    <n v="0"/>
    <n v="0"/>
    <n v="3"/>
    <n v="1350000"/>
    <n v="1147500"/>
    <n v="530000"/>
    <n v="327500"/>
    <s v="BELI44"/>
    <n v="0.15"/>
    <x v="0"/>
    <x v="0"/>
    <x v="4"/>
    <d v="2023-04-03T00:00:00"/>
    <x v="2"/>
    <s v="Monday"/>
    <x v="0"/>
    <n v="1"/>
  </r>
  <r>
    <n v="54"/>
    <s v="ORD-SP0054-03/04/23"/>
    <s v="PW001"/>
    <s v="Pakaian Wanita"/>
    <s v="Dress"/>
    <n v="1"/>
    <n v="1"/>
    <n v="300000"/>
    <n v="255000"/>
    <n v="100000"/>
    <n v="55000"/>
    <s v="SP002"/>
    <s v="Sepatu Pria"/>
    <s v="Sandal Slip On"/>
    <n v="5"/>
    <n v="5"/>
    <n v="750000"/>
    <n v="637500"/>
    <n v="300000"/>
    <n v="187500"/>
    <m/>
    <s v="-"/>
    <s v="-"/>
    <m/>
    <m/>
    <n v="0"/>
    <n v="0"/>
    <n v="0"/>
    <n v="0"/>
    <n v="6"/>
    <n v="1050000"/>
    <n v="892500"/>
    <n v="400000"/>
    <n v="242500"/>
    <s v="DISC15"/>
    <n v="0.15"/>
    <x v="0"/>
    <x v="2"/>
    <x v="5"/>
    <d v="2023-04-03T00:00:00"/>
    <x v="2"/>
    <s v="Monday"/>
    <x v="0"/>
    <n v="3"/>
  </r>
  <r>
    <n v="55"/>
    <s v="ORD-SP0055-05/04/23"/>
    <s v="SP001"/>
    <s v="Sepatu Pria"/>
    <s v="Sneakers"/>
    <n v="2"/>
    <n v="1"/>
    <n v="1000000"/>
    <n v="900000"/>
    <n v="400000"/>
    <n v="300000"/>
    <m/>
    <s v="-"/>
    <s v="-"/>
    <m/>
    <m/>
    <n v="0"/>
    <n v="0"/>
    <n v="0"/>
    <n v="0"/>
    <m/>
    <s v="-"/>
    <s v="-"/>
    <m/>
    <m/>
    <n v="0"/>
    <n v="0"/>
    <n v="0"/>
    <n v="0"/>
    <n v="2"/>
    <n v="1000000"/>
    <n v="900000"/>
    <n v="400000"/>
    <n v="300000"/>
    <s v="DISC10"/>
    <n v="0.1"/>
    <x v="0"/>
    <x v="2"/>
    <x v="4"/>
    <d v="2023-04-05T00:00:00"/>
    <x v="9"/>
    <s v="Wednesday"/>
    <x v="0"/>
    <n v="1"/>
  </r>
  <r>
    <n v="56"/>
    <s v="ORD-BB0056-06/04/23"/>
    <s v="PP002"/>
    <s v="Pakaian Pria"/>
    <s v="Celana Pendek"/>
    <n v="1"/>
    <n v="5"/>
    <n v="180000"/>
    <n v="153000"/>
    <n v="70000"/>
    <n v="43000"/>
    <s v="PU001"/>
    <s v="Pakaian Unisex"/>
    <s v="Jaket Hoodie"/>
    <n v="1"/>
    <n v="5"/>
    <n v="350000"/>
    <n v="297500"/>
    <n v="130000"/>
    <n v="77500"/>
    <m/>
    <s v="-"/>
    <s v="-"/>
    <m/>
    <m/>
    <n v="0"/>
    <n v="0"/>
    <n v="0"/>
    <n v="0"/>
    <n v="2"/>
    <n v="530000"/>
    <n v="450500"/>
    <n v="200000"/>
    <n v="120500"/>
    <s v="BELI44"/>
    <n v="0.15"/>
    <x v="0"/>
    <x v="0"/>
    <x v="1"/>
    <d v="2023-04-06T00:00:00"/>
    <x v="8"/>
    <s v="Thursday"/>
    <x v="0"/>
    <n v="5"/>
  </r>
  <r>
    <n v="57"/>
    <s v="ORD-SP0057-05/04/23"/>
    <s v="SW001"/>
    <s v="Sepatu Wanita"/>
    <s v="Flat Shoes"/>
    <n v="2"/>
    <n v="2"/>
    <n v="500000"/>
    <n v="450000"/>
    <n v="200000"/>
    <n v="150000"/>
    <m/>
    <s v="-"/>
    <s v="-"/>
    <m/>
    <m/>
    <n v="0"/>
    <n v="0"/>
    <n v="0"/>
    <n v="0"/>
    <m/>
    <s v="-"/>
    <s v="-"/>
    <m/>
    <m/>
    <n v="0"/>
    <n v="0"/>
    <n v="0"/>
    <n v="0"/>
    <n v="2"/>
    <n v="500000"/>
    <n v="450000"/>
    <n v="200000"/>
    <n v="150000"/>
    <s v="DISC10"/>
    <n v="0.1"/>
    <x v="0"/>
    <x v="2"/>
    <x v="2"/>
    <d v="2023-04-05T00:00:00"/>
    <x v="9"/>
    <s v="Wednesday"/>
    <x v="0"/>
    <n v="2"/>
  </r>
  <r>
    <n v="58"/>
    <s v="ORD-BB0058-06/04/23"/>
    <s v="PW001"/>
    <s v="Pakaian Wanita"/>
    <s v="Dress"/>
    <n v="2"/>
    <n v="5"/>
    <n v="600000"/>
    <n v="510000"/>
    <n v="200000"/>
    <n v="110000"/>
    <m/>
    <s v="-"/>
    <s v="-"/>
    <m/>
    <m/>
    <n v="0"/>
    <n v="0"/>
    <n v="0"/>
    <n v="0"/>
    <m/>
    <s v="-"/>
    <s v="-"/>
    <m/>
    <m/>
    <n v="0"/>
    <n v="0"/>
    <n v="0"/>
    <n v="0"/>
    <n v="2"/>
    <n v="600000"/>
    <n v="510000"/>
    <n v="200000"/>
    <n v="110000"/>
    <s v="BELI44"/>
    <n v="0.15"/>
    <x v="0"/>
    <x v="0"/>
    <x v="4"/>
    <d v="2023-04-06T00:00:00"/>
    <x v="8"/>
    <s v="Thursday"/>
    <x v="0"/>
    <n v="5"/>
  </r>
  <r>
    <n v="59"/>
    <s v="ORD-SP0059-04/04/23"/>
    <s v="SP002"/>
    <s v="Sepatu Pria"/>
    <s v="Sandal Slip On"/>
    <n v="5"/>
    <n v="5"/>
    <n v="750000"/>
    <n v="637500"/>
    <n v="300000"/>
    <n v="187500"/>
    <s v="SW001"/>
    <s v="Sepatu Wanita"/>
    <s v="Flat Shoes"/>
    <n v="1"/>
    <n v="4"/>
    <n v="250000"/>
    <n v="212500"/>
    <n v="100000"/>
    <n v="62500"/>
    <m/>
    <s v="-"/>
    <s v="-"/>
    <m/>
    <m/>
    <n v="0"/>
    <n v="0"/>
    <n v="0"/>
    <n v="0"/>
    <n v="6"/>
    <n v="1000000"/>
    <n v="850000"/>
    <n v="400000"/>
    <n v="250000"/>
    <s v="DISC15"/>
    <n v="0.15"/>
    <x v="0"/>
    <x v="2"/>
    <x v="4"/>
    <d v="2023-04-04T00:00:00"/>
    <x v="7"/>
    <s v="Tuesday"/>
    <x v="0"/>
    <n v="4.5"/>
  </r>
  <r>
    <n v="60"/>
    <s v="ORD-SP0060-02/04/23"/>
    <s v="SW001"/>
    <s v="Sepatu Wanita"/>
    <s v="Flat Shoes"/>
    <n v="5"/>
    <n v="5"/>
    <n v="1250000"/>
    <n v="1062500"/>
    <n v="500000"/>
    <n v="312500"/>
    <m/>
    <s v="-"/>
    <s v="-"/>
    <m/>
    <m/>
    <n v="0"/>
    <n v="0"/>
    <n v="0"/>
    <n v="0"/>
    <m/>
    <s v="-"/>
    <s v="-"/>
    <m/>
    <m/>
    <n v="0"/>
    <n v="0"/>
    <n v="0"/>
    <n v="0"/>
    <n v="5"/>
    <n v="1250000"/>
    <n v="1062500"/>
    <n v="500000"/>
    <n v="312500"/>
    <s v="DISC15"/>
    <n v="0.15"/>
    <x v="0"/>
    <x v="2"/>
    <x v="5"/>
    <d v="2023-04-02T00:00:00"/>
    <x v="1"/>
    <s v="Sunday"/>
    <x v="0"/>
    <n v="5"/>
  </r>
  <r>
    <n v="61"/>
    <s v="ORD-SP0061-03/04/23"/>
    <s v="SP001"/>
    <s v="Sepatu Pria"/>
    <s v="Sneakers"/>
    <n v="2"/>
    <n v="1"/>
    <n v="1000000"/>
    <n v="900000"/>
    <n v="400000"/>
    <n v="300000"/>
    <s v="PP001"/>
    <s v="Pakaian Pria"/>
    <s v="Kaos Polo"/>
    <n v="1"/>
    <n v="4"/>
    <n v="200000"/>
    <n v="180000"/>
    <n v="80000"/>
    <n v="60000"/>
    <m/>
    <s v="-"/>
    <s v="-"/>
    <m/>
    <m/>
    <n v="0"/>
    <n v="0"/>
    <n v="0"/>
    <n v="0"/>
    <n v="3"/>
    <n v="1200000"/>
    <n v="1080000"/>
    <n v="480000"/>
    <n v="360000"/>
    <s v="DISC10"/>
    <n v="0.1"/>
    <x v="0"/>
    <x v="2"/>
    <x v="2"/>
    <d v="2023-04-03T00:00:00"/>
    <x v="2"/>
    <s v="Monday"/>
    <x v="0"/>
    <n v="2.5"/>
  </r>
  <r>
    <n v="62"/>
    <s v="ORD-BL0062-12/04/23"/>
    <s v="PU001"/>
    <s v="Pakaian Unisex"/>
    <s v="Jaket Hoodie"/>
    <n v="1"/>
    <n v="4"/>
    <n v="350000"/>
    <n v="350000"/>
    <n v="130000"/>
    <n v="130000"/>
    <s v="PW003"/>
    <s v="Pakaian Wanita"/>
    <s v="Kaftan"/>
    <n v="1"/>
    <n v="2"/>
    <n v="250000"/>
    <n v="250000"/>
    <n v="100000"/>
    <n v="100000"/>
    <s v="PP002"/>
    <s v="Pakaian Pria"/>
    <s v="Celana Pendek"/>
    <n v="3"/>
    <n v="5"/>
    <n v="540000"/>
    <n v="540000"/>
    <n v="210000"/>
    <n v="210000"/>
    <n v="5"/>
    <n v="1140000"/>
    <n v="1140000"/>
    <n v="440000"/>
    <n v="440000"/>
    <s v="Tidak Ada"/>
    <s v="-"/>
    <x v="2"/>
    <x v="3"/>
    <x v="5"/>
    <d v="2023-04-12T00:00:00"/>
    <x v="14"/>
    <s v="Wednesday"/>
    <x v="3"/>
    <n v="3.6666666666666665"/>
  </r>
  <r>
    <n v="63"/>
    <s v="ORD-BL0063-16/04/23"/>
    <s v="PW002"/>
    <s v="Pakaian Wanita"/>
    <s v="Blouse"/>
    <n v="2"/>
    <n v="5"/>
    <n v="300000"/>
    <n v="255000"/>
    <n v="100000"/>
    <n v="55000"/>
    <m/>
    <s v="-"/>
    <s v="-"/>
    <m/>
    <m/>
    <n v="0"/>
    <n v="0"/>
    <n v="0"/>
    <n v="0"/>
    <m/>
    <s v="-"/>
    <s v="-"/>
    <m/>
    <m/>
    <n v="0"/>
    <n v="0"/>
    <n v="0"/>
    <n v="0"/>
    <n v="2"/>
    <n v="300000"/>
    <n v="255000"/>
    <n v="100000"/>
    <n v="55000"/>
    <s v="BUKALEBAR"/>
    <n v="0.15"/>
    <x v="1"/>
    <x v="3"/>
    <x v="4"/>
    <d v="2023-04-16T00:00:00"/>
    <x v="17"/>
    <s v="Sunday"/>
    <x v="1"/>
    <n v="5"/>
  </r>
  <r>
    <n v="64"/>
    <s v="ORD-BB0064-09/04/23"/>
    <s v="SP001"/>
    <s v="Sepatu Pria"/>
    <s v="Sneakers"/>
    <n v="6"/>
    <n v="1"/>
    <n v="3000000"/>
    <n v="3000000"/>
    <n v="1200000"/>
    <n v="1200000"/>
    <s v="PP002"/>
    <s v="Pakaian Pria"/>
    <s v="Celana Pendek"/>
    <n v="1"/>
    <n v="2"/>
    <n v="180000"/>
    <n v="180000"/>
    <n v="70000"/>
    <n v="70000"/>
    <m/>
    <s v="-"/>
    <s v="-"/>
    <m/>
    <m/>
    <n v="0"/>
    <n v="0"/>
    <n v="0"/>
    <n v="0"/>
    <n v="7"/>
    <n v="3180000"/>
    <n v="3180000"/>
    <n v="1270000"/>
    <n v="1270000"/>
    <s v="Tidak Ada"/>
    <s v="-"/>
    <x v="2"/>
    <x v="0"/>
    <x v="1"/>
    <d v="2023-04-09T00:00:00"/>
    <x v="10"/>
    <s v="Sunday"/>
    <x v="3"/>
    <n v="1.5"/>
  </r>
  <r>
    <n v="65"/>
    <s v="ORD-SP0065-26/04/23"/>
    <s v="PW001"/>
    <s v="Pakaian Wanita"/>
    <s v="Dress"/>
    <n v="1"/>
    <n v="5"/>
    <n v="300000"/>
    <n v="240000"/>
    <n v="100000"/>
    <n v="40000"/>
    <m/>
    <s v="-"/>
    <s v="-"/>
    <m/>
    <m/>
    <n v="0"/>
    <n v="0"/>
    <n v="0"/>
    <n v="0"/>
    <m/>
    <s v="-"/>
    <s v="-"/>
    <m/>
    <m/>
    <n v="0"/>
    <n v="0"/>
    <n v="0"/>
    <n v="0"/>
    <n v="1"/>
    <n v="300000"/>
    <n v="240000"/>
    <n v="100000"/>
    <n v="40000"/>
    <s v="DISC20"/>
    <n v="0.2"/>
    <x v="1"/>
    <x v="2"/>
    <x v="5"/>
    <d v="2023-04-26T00:00:00"/>
    <x v="15"/>
    <s v="Wednesday"/>
    <x v="2"/>
    <n v="5"/>
  </r>
  <r>
    <n v="66"/>
    <s v="ORD-TK0066-03/04/23"/>
    <s v="PW002"/>
    <s v="Pakaian Wanita"/>
    <s v="Blouse"/>
    <n v="1"/>
    <n v="2"/>
    <n v="150000"/>
    <n v="135000"/>
    <n v="50000"/>
    <n v="35000"/>
    <s v="SP001"/>
    <s v="Sepatu Pria"/>
    <s v="Sneakers"/>
    <n v="2"/>
    <n v="1"/>
    <n v="1000000"/>
    <n v="900000"/>
    <n v="400000"/>
    <n v="300000"/>
    <s v="PP001"/>
    <s v="Pakaian Pria"/>
    <s v="Kaos Polo"/>
    <n v="1"/>
    <n v="5"/>
    <n v="200000"/>
    <n v="180000"/>
    <n v="80000"/>
    <n v="60000"/>
    <n v="4"/>
    <n v="1350000"/>
    <n v="1215000"/>
    <n v="530000"/>
    <n v="395000"/>
    <s v="DISCAPRIL"/>
    <n v="0.1"/>
    <x v="0"/>
    <x v="1"/>
    <x v="4"/>
    <d v="2023-04-03T00:00:00"/>
    <x v="2"/>
    <s v="Monday"/>
    <x v="0"/>
    <n v="2.6666666666666665"/>
  </r>
  <r>
    <n v="67"/>
    <s v="ORD-SP0067-19/04/23"/>
    <s v="SP001"/>
    <s v="Sepatu Pria"/>
    <s v="Sneakers"/>
    <n v="3"/>
    <n v="1"/>
    <n v="1500000"/>
    <n v="1200000"/>
    <n v="600000"/>
    <n v="300000"/>
    <s v="PP002"/>
    <s v="Pakaian Pria"/>
    <s v="Celana Pendek"/>
    <n v="1"/>
    <n v="1"/>
    <n v="180000"/>
    <n v="144000"/>
    <n v="70000"/>
    <n v="34000"/>
    <s v="SW001"/>
    <s v="Sepatu Wanita"/>
    <s v="Flat Shoes"/>
    <n v="2"/>
    <n v="3"/>
    <n v="500000"/>
    <n v="400000"/>
    <n v="200000"/>
    <n v="100000"/>
    <n v="6"/>
    <n v="2180000"/>
    <n v="1744000"/>
    <n v="870000"/>
    <n v="434000"/>
    <s v="DISC20"/>
    <n v="0.2"/>
    <x v="1"/>
    <x v="2"/>
    <x v="4"/>
    <d v="2023-04-19T00:00:00"/>
    <x v="19"/>
    <s v="Wednesday"/>
    <x v="1"/>
    <n v="1.6666666666666667"/>
  </r>
  <r>
    <n v="68"/>
    <s v="ORD-SP0068-05/04/23"/>
    <s v="PW002"/>
    <s v="Pakaian Wanita"/>
    <s v="Blouse"/>
    <n v="2"/>
    <n v="3"/>
    <n v="300000"/>
    <n v="255000"/>
    <n v="100000"/>
    <n v="55000"/>
    <m/>
    <s v="-"/>
    <s v="-"/>
    <m/>
    <m/>
    <n v="0"/>
    <n v="0"/>
    <n v="0"/>
    <n v="0"/>
    <m/>
    <s v="-"/>
    <s v="-"/>
    <m/>
    <m/>
    <n v="0"/>
    <n v="0"/>
    <n v="0"/>
    <n v="0"/>
    <n v="2"/>
    <n v="300000"/>
    <n v="255000"/>
    <n v="100000"/>
    <n v="55000"/>
    <s v="DISC15"/>
    <n v="0.15"/>
    <x v="0"/>
    <x v="2"/>
    <x v="5"/>
    <d v="2023-04-05T00:00:00"/>
    <x v="9"/>
    <s v="Wednesday"/>
    <x v="0"/>
    <n v="3"/>
  </r>
  <r>
    <n v="69"/>
    <s v="ORD-TK0069-16/04/23"/>
    <s v="PW002"/>
    <s v="Pakaian Wanita"/>
    <s v="Blouse"/>
    <n v="4"/>
    <n v="5"/>
    <n v="600000"/>
    <n v="540000"/>
    <n v="200000"/>
    <n v="140000"/>
    <s v="PP003"/>
    <s v="Pakaian Pria"/>
    <s v="Jaket Jeans"/>
    <n v="3"/>
    <n v="1"/>
    <n v="1200000"/>
    <n v="1080000"/>
    <n v="450000"/>
    <n v="330000"/>
    <m/>
    <s v="-"/>
    <s v="-"/>
    <m/>
    <m/>
    <n v="0"/>
    <n v="0"/>
    <n v="0"/>
    <n v="0"/>
    <n v="7"/>
    <n v="1800000"/>
    <n v="1620000"/>
    <n v="650000"/>
    <n v="470000"/>
    <s v="LEBAR10"/>
    <n v="0.1"/>
    <x v="1"/>
    <x v="1"/>
    <x v="1"/>
    <d v="2023-04-16T00:00:00"/>
    <x v="17"/>
    <s v="Sunday"/>
    <x v="1"/>
    <n v="3"/>
  </r>
  <r>
    <n v="70"/>
    <s v="ORD-SP0070-01/04/23"/>
    <s v="PP002"/>
    <s v="Pakaian Pria"/>
    <s v="Celana Pendek"/>
    <n v="3"/>
    <n v="3"/>
    <n v="540000"/>
    <n v="486000"/>
    <n v="210000"/>
    <n v="156000"/>
    <s v="SP002"/>
    <s v="Sepatu Pria"/>
    <s v="Sandal Slip On"/>
    <n v="1"/>
    <n v="4"/>
    <n v="150000"/>
    <n v="135000"/>
    <n v="60000"/>
    <n v="45000"/>
    <s v="PP002"/>
    <s v="Pakaian Pria"/>
    <s v="Celana Pendek"/>
    <n v="1"/>
    <n v="5"/>
    <n v="180000"/>
    <n v="162000"/>
    <n v="70000"/>
    <n v="52000"/>
    <n v="5"/>
    <n v="870000"/>
    <n v="783000"/>
    <n v="340000"/>
    <n v="253000"/>
    <s v="DISC10"/>
    <n v="0.1"/>
    <x v="0"/>
    <x v="2"/>
    <x v="0"/>
    <d v="2023-04-01T00:00:00"/>
    <x v="0"/>
    <s v="Saturday"/>
    <x v="0"/>
    <n v="4"/>
  </r>
  <r>
    <n v="71"/>
    <s v="ORD-SP0071-06/04/23"/>
    <s v="PW001"/>
    <s v="Pakaian Wanita"/>
    <s v="Dress"/>
    <n v="4"/>
    <n v="2"/>
    <n v="1200000"/>
    <n v="1080000"/>
    <n v="400000"/>
    <n v="280000"/>
    <s v="PP003"/>
    <s v="Pakaian Pria"/>
    <s v="Jaket Jeans"/>
    <n v="1"/>
    <n v="3"/>
    <n v="400000"/>
    <n v="360000"/>
    <n v="150000"/>
    <n v="110000"/>
    <m/>
    <s v="-"/>
    <s v="-"/>
    <m/>
    <m/>
    <n v="0"/>
    <n v="0"/>
    <n v="0"/>
    <n v="0"/>
    <n v="5"/>
    <n v="1600000"/>
    <n v="1440000"/>
    <n v="550000"/>
    <n v="390000"/>
    <s v="DISC10"/>
    <n v="0.1"/>
    <x v="0"/>
    <x v="2"/>
    <x v="1"/>
    <d v="2023-04-06T00:00:00"/>
    <x v="8"/>
    <s v="Thursday"/>
    <x v="0"/>
    <n v="2.5"/>
  </r>
  <r>
    <n v="72"/>
    <s v="ORD-SP0072-02/04/23"/>
    <s v="SW001"/>
    <s v="Sepatu Wanita"/>
    <s v="Flat Shoes"/>
    <n v="3"/>
    <n v="4"/>
    <n v="750000"/>
    <n v="675000"/>
    <n v="300000"/>
    <n v="225000"/>
    <s v="PP001"/>
    <s v="Pakaian Pria"/>
    <s v="Kaos Polo"/>
    <n v="2"/>
    <n v="3"/>
    <n v="400000"/>
    <n v="360000"/>
    <n v="160000"/>
    <n v="120000"/>
    <s v="PW002"/>
    <s v="Pakaian Wanita"/>
    <s v="Blouse"/>
    <n v="1"/>
    <n v="1"/>
    <n v="150000"/>
    <n v="135000"/>
    <n v="50000"/>
    <n v="35000"/>
    <n v="6"/>
    <n v="1300000"/>
    <n v="1170000"/>
    <n v="510000"/>
    <n v="380000"/>
    <s v="DISC10"/>
    <n v="0.1"/>
    <x v="0"/>
    <x v="2"/>
    <x v="4"/>
    <d v="2023-04-02T00:00:00"/>
    <x v="1"/>
    <s v="Sunday"/>
    <x v="0"/>
    <n v="2.6666666666666665"/>
  </r>
  <r>
    <n v="73"/>
    <s v="ORD-BL0073-28/04/23"/>
    <s v="SW001"/>
    <s v="Sepatu Wanita"/>
    <s v="Flat Shoes"/>
    <n v="1"/>
    <n v="3"/>
    <n v="250000"/>
    <n v="212500"/>
    <n v="100000"/>
    <n v="62500"/>
    <s v="SP001"/>
    <s v="Sepatu Pria"/>
    <s v="Sneakers"/>
    <n v="2"/>
    <n v="2"/>
    <n v="1000000"/>
    <n v="850000"/>
    <n v="400000"/>
    <n v="250000"/>
    <s v="PW002"/>
    <s v="Pakaian Wanita"/>
    <s v="Blouse"/>
    <n v="3"/>
    <n v="4"/>
    <n v="450000"/>
    <n v="382500"/>
    <n v="150000"/>
    <n v="82500"/>
    <n v="6"/>
    <n v="1700000"/>
    <n v="1445000"/>
    <n v="650000"/>
    <n v="395000"/>
    <s v="BUKALEBAR"/>
    <n v="0.15"/>
    <x v="1"/>
    <x v="3"/>
    <x v="4"/>
    <d v="2023-04-28T00:00:00"/>
    <x v="11"/>
    <s v="Friday"/>
    <x v="2"/>
    <n v="3"/>
  </r>
  <r>
    <n v="74"/>
    <s v="ORD-TK0074-05/04/23"/>
    <s v="PW001"/>
    <s v="Pakaian Wanita"/>
    <s v="Dress"/>
    <n v="3"/>
    <n v="4"/>
    <n v="900000"/>
    <n v="810000"/>
    <n v="300000"/>
    <n v="210000"/>
    <m/>
    <s v="-"/>
    <s v="-"/>
    <m/>
    <m/>
    <n v="0"/>
    <n v="0"/>
    <n v="0"/>
    <n v="0"/>
    <m/>
    <s v="-"/>
    <s v="-"/>
    <m/>
    <m/>
    <n v="0"/>
    <n v="0"/>
    <n v="0"/>
    <n v="0"/>
    <n v="3"/>
    <n v="900000"/>
    <n v="810000"/>
    <n v="300000"/>
    <n v="210000"/>
    <s v="DISCAPRIL"/>
    <n v="0.1"/>
    <x v="0"/>
    <x v="1"/>
    <x v="5"/>
    <d v="2023-04-05T00:00:00"/>
    <x v="9"/>
    <s v="Wednesday"/>
    <x v="0"/>
    <n v="4"/>
  </r>
  <r>
    <n v="75"/>
    <s v="ORD-TK0075-03/04/23"/>
    <s v="PP003"/>
    <s v="Pakaian Pria"/>
    <s v="Jaket Jeans"/>
    <n v="6"/>
    <n v="4"/>
    <n v="2400000"/>
    <n v="2160000"/>
    <n v="900000"/>
    <n v="660000"/>
    <s v="PW001"/>
    <s v="Pakaian Wanita"/>
    <s v="Dress"/>
    <n v="1"/>
    <n v="1"/>
    <n v="300000"/>
    <n v="270000"/>
    <n v="100000"/>
    <n v="70000"/>
    <m/>
    <s v="-"/>
    <s v="-"/>
    <m/>
    <m/>
    <n v="0"/>
    <n v="0"/>
    <n v="0"/>
    <n v="0"/>
    <n v="7"/>
    <n v="2700000"/>
    <n v="2430000"/>
    <n v="1000000"/>
    <n v="730000"/>
    <s v="DISCAPRIL"/>
    <n v="0.1"/>
    <x v="0"/>
    <x v="1"/>
    <x v="5"/>
    <d v="2023-04-03T00:00:00"/>
    <x v="2"/>
    <s v="Monday"/>
    <x v="0"/>
    <n v="2.5"/>
  </r>
  <r>
    <n v="76"/>
    <s v="ORD-SP0076-26/04/23"/>
    <s v="PW002"/>
    <s v="Pakaian Wanita"/>
    <s v="Blouse"/>
    <n v="3"/>
    <n v="1"/>
    <n v="450000"/>
    <n v="360000"/>
    <n v="150000"/>
    <n v="60000"/>
    <m/>
    <s v="-"/>
    <s v="-"/>
    <m/>
    <m/>
    <n v="0"/>
    <n v="0"/>
    <n v="0"/>
    <n v="0"/>
    <m/>
    <s v="-"/>
    <s v="-"/>
    <m/>
    <m/>
    <n v="0"/>
    <n v="0"/>
    <n v="0"/>
    <n v="0"/>
    <n v="3"/>
    <n v="450000"/>
    <n v="360000"/>
    <n v="150000"/>
    <n v="60000"/>
    <s v="DISC20"/>
    <n v="0.2"/>
    <x v="1"/>
    <x v="2"/>
    <x v="1"/>
    <d v="2023-04-26T00:00:00"/>
    <x v="15"/>
    <s v="Wednesday"/>
    <x v="2"/>
    <n v="1"/>
  </r>
  <r>
    <n v="77"/>
    <s v="ORD-TK0077-17/04/23"/>
    <s v="PP002"/>
    <s v="Pakaian Pria"/>
    <s v="Celana Pendek"/>
    <n v="5"/>
    <n v="5"/>
    <n v="900000"/>
    <n v="810000"/>
    <n v="350000"/>
    <n v="260000"/>
    <s v="PW003"/>
    <s v="Pakaian Wanita"/>
    <s v="Kaftan"/>
    <n v="1"/>
    <n v="4"/>
    <n v="250000"/>
    <n v="225000"/>
    <n v="100000"/>
    <n v="75000"/>
    <s v="PP001"/>
    <s v="Pakaian Pria"/>
    <s v="Kaos Polo"/>
    <n v="1"/>
    <n v="3"/>
    <n v="200000"/>
    <n v="180000"/>
    <n v="80000"/>
    <n v="60000"/>
    <n v="7"/>
    <n v="1350000"/>
    <n v="1215000"/>
    <n v="530000"/>
    <n v="395000"/>
    <s v="LEBAR10"/>
    <n v="0.1"/>
    <x v="1"/>
    <x v="1"/>
    <x v="0"/>
    <d v="2023-04-17T00:00:00"/>
    <x v="3"/>
    <s v="Monday"/>
    <x v="1"/>
    <n v="4"/>
  </r>
  <r>
    <n v="78"/>
    <s v="ORD-SP0078-21/04/23"/>
    <s v="SW001"/>
    <s v="Sepatu Wanita"/>
    <s v="Flat Shoes"/>
    <n v="2"/>
    <n v="5"/>
    <n v="500000"/>
    <n v="400000"/>
    <n v="200000"/>
    <n v="100000"/>
    <s v="SP002"/>
    <s v="Sepatu Pria"/>
    <s v="Sandal Slip On"/>
    <n v="2"/>
    <n v="5"/>
    <n v="300000"/>
    <n v="240000"/>
    <n v="120000"/>
    <n v="60000"/>
    <s v="PW003"/>
    <s v="Pakaian Wanita"/>
    <s v="Kaftan"/>
    <n v="1"/>
    <n v="3"/>
    <n v="250000"/>
    <n v="200000"/>
    <n v="100000"/>
    <n v="50000"/>
    <n v="5"/>
    <n v="1050000"/>
    <n v="840000"/>
    <n v="420000"/>
    <n v="210000"/>
    <s v="DISC20"/>
    <n v="0.2"/>
    <x v="1"/>
    <x v="2"/>
    <x v="4"/>
    <d v="2023-04-21T00:00:00"/>
    <x v="20"/>
    <s v="Friday"/>
    <x v="1"/>
    <n v="4.333333333333333"/>
  </r>
  <r>
    <n v="79"/>
    <s v="ORD-BB0079-02/04/23"/>
    <s v="PP003"/>
    <s v="Pakaian Pria"/>
    <s v="Jaket Jeans"/>
    <n v="1"/>
    <n v="1"/>
    <n v="400000"/>
    <n v="340000"/>
    <n v="150000"/>
    <n v="90000"/>
    <s v="PW003"/>
    <s v="Pakaian Wanita"/>
    <s v="Kaftan"/>
    <n v="1"/>
    <n v="2"/>
    <n v="250000"/>
    <n v="212500"/>
    <n v="100000"/>
    <n v="62500"/>
    <m/>
    <s v="-"/>
    <s v="-"/>
    <m/>
    <m/>
    <n v="0"/>
    <n v="0"/>
    <n v="0"/>
    <n v="0"/>
    <n v="2"/>
    <n v="650000"/>
    <n v="552500"/>
    <n v="250000"/>
    <n v="152500"/>
    <s v="BELI44"/>
    <n v="0.15"/>
    <x v="0"/>
    <x v="0"/>
    <x v="4"/>
    <d v="2023-04-02T00:00:00"/>
    <x v="1"/>
    <s v="Sunday"/>
    <x v="0"/>
    <n v="1.5"/>
  </r>
  <r>
    <n v="80"/>
    <s v="ORD-BB0080-05/04/23"/>
    <s v="SW001"/>
    <s v="Sepatu Wanita"/>
    <s v="Flat Shoes"/>
    <n v="4"/>
    <n v="1"/>
    <n v="1000000"/>
    <n v="850000"/>
    <n v="400000"/>
    <n v="250000"/>
    <s v="PP001"/>
    <s v="Pakaian Pria"/>
    <s v="Kaos Polo"/>
    <n v="1"/>
    <n v="2"/>
    <n v="200000"/>
    <n v="170000"/>
    <n v="80000"/>
    <n v="50000"/>
    <s v="SP001"/>
    <s v="Sepatu Pria"/>
    <s v="Sneakers"/>
    <n v="2"/>
    <n v="1"/>
    <n v="1000000"/>
    <n v="850000"/>
    <n v="400000"/>
    <n v="250000"/>
    <n v="7"/>
    <n v="2200000"/>
    <n v="1870000"/>
    <n v="880000"/>
    <n v="550000"/>
    <s v="BELI44"/>
    <n v="0.15"/>
    <x v="0"/>
    <x v="0"/>
    <x v="3"/>
    <d v="2023-04-05T00:00:00"/>
    <x v="9"/>
    <s v="Wednesday"/>
    <x v="0"/>
    <n v="1.3333333333333333"/>
  </r>
  <r>
    <n v="81"/>
    <s v="ORD-SP0081-06/04/23"/>
    <s v="PP001"/>
    <s v="Pakaian Pria"/>
    <s v="Kaos Polo"/>
    <n v="1"/>
    <n v="5"/>
    <n v="200000"/>
    <n v="180000"/>
    <n v="80000"/>
    <n v="60000"/>
    <s v="PW003"/>
    <s v="Pakaian Wanita"/>
    <s v="Kaftan"/>
    <n v="1"/>
    <n v="1"/>
    <n v="250000"/>
    <n v="225000"/>
    <n v="100000"/>
    <n v="75000"/>
    <s v="PU001"/>
    <s v="Pakaian Unisex"/>
    <s v="Jaket Hoodie"/>
    <n v="1"/>
    <n v="3"/>
    <n v="350000"/>
    <n v="315000"/>
    <n v="130000"/>
    <n v="95000"/>
    <n v="3"/>
    <n v="800000"/>
    <n v="720000"/>
    <n v="310000"/>
    <n v="230000"/>
    <s v="DISC10"/>
    <n v="0.1"/>
    <x v="0"/>
    <x v="2"/>
    <x v="3"/>
    <d v="2023-04-06T00:00:00"/>
    <x v="8"/>
    <s v="Thursday"/>
    <x v="0"/>
    <n v="3"/>
  </r>
  <r>
    <n v="82"/>
    <s v="ORD-TK0082-04/04/23"/>
    <s v="PW001"/>
    <s v="Pakaian Wanita"/>
    <s v="Dress"/>
    <n v="2"/>
    <n v="3"/>
    <n v="600000"/>
    <n v="540000"/>
    <n v="200000"/>
    <n v="140000"/>
    <s v="PP002"/>
    <s v="Pakaian Pria"/>
    <s v="Celana Pendek"/>
    <n v="1"/>
    <n v="4"/>
    <n v="180000"/>
    <n v="162000"/>
    <n v="70000"/>
    <n v="52000"/>
    <m/>
    <s v="-"/>
    <s v="-"/>
    <m/>
    <m/>
    <n v="0"/>
    <n v="0"/>
    <n v="0"/>
    <n v="0"/>
    <n v="3"/>
    <n v="780000"/>
    <n v="702000"/>
    <n v="270000"/>
    <n v="192000"/>
    <s v="DISCAPRIL"/>
    <n v="0.1"/>
    <x v="0"/>
    <x v="1"/>
    <x v="4"/>
    <d v="2023-04-04T00:00:00"/>
    <x v="7"/>
    <s v="Tuesday"/>
    <x v="0"/>
    <n v="3.5"/>
  </r>
  <r>
    <n v="83"/>
    <s v="ORD-SP0083-03/04/23"/>
    <s v="PW003"/>
    <s v="Pakaian Wanita"/>
    <s v="Kaftan"/>
    <n v="1"/>
    <n v="3"/>
    <n v="250000"/>
    <n v="212500"/>
    <n v="100000"/>
    <n v="62500"/>
    <m/>
    <s v="-"/>
    <s v="-"/>
    <m/>
    <m/>
    <n v="0"/>
    <n v="0"/>
    <n v="0"/>
    <n v="0"/>
    <m/>
    <s v="-"/>
    <s v="-"/>
    <m/>
    <m/>
    <n v="0"/>
    <n v="0"/>
    <n v="0"/>
    <n v="0"/>
    <n v="1"/>
    <n v="250000"/>
    <n v="212500"/>
    <n v="100000"/>
    <n v="62500"/>
    <s v="DISC15"/>
    <n v="0.15"/>
    <x v="0"/>
    <x v="2"/>
    <x v="4"/>
    <d v="2023-04-03T00:00:00"/>
    <x v="2"/>
    <s v="Monday"/>
    <x v="0"/>
    <n v="3"/>
  </r>
  <r>
    <n v="84"/>
    <s v="ORD-BL0084-16/04/23"/>
    <s v="PW001"/>
    <s v="Pakaian Wanita"/>
    <s v="Dress"/>
    <n v="2"/>
    <n v="4"/>
    <n v="600000"/>
    <n v="510000"/>
    <n v="200000"/>
    <n v="110000"/>
    <s v="PP001"/>
    <s v="Pakaian Pria"/>
    <s v="Kaos Polo"/>
    <n v="1"/>
    <n v="3"/>
    <n v="200000"/>
    <n v="170000"/>
    <n v="80000"/>
    <n v="50000"/>
    <m/>
    <s v="-"/>
    <s v="-"/>
    <m/>
    <m/>
    <n v="0"/>
    <n v="0"/>
    <n v="0"/>
    <n v="0"/>
    <n v="3"/>
    <n v="800000"/>
    <n v="680000"/>
    <n v="280000"/>
    <n v="160000"/>
    <s v="BUKALEBAR"/>
    <n v="0.15"/>
    <x v="1"/>
    <x v="3"/>
    <x v="0"/>
    <d v="2023-04-16T00:00:00"/>
    <x v="17"/>
    <s v="Sunday"/>
    <x v="1"/>
    <n v="3.5"/>
  </r>
  <r>
    <n v="85"/>
    <s v="ORD-TK0085-02/04/23"/>
    <s v="PP003"/>
    <s v="Pakaian Pria"/>
    <s v="Jaket Jeans"/>
    <n v="2"/>
    <n v="1"/>
    <n v="800000"/>
    <n v="720000"/>
    <n v="300000"/>
    <n v="220000"/>
    <s v="PW002"/>
    <s v="Pakaian Wanita"/>
    <s v="Blouse"/>
    <n v="1"/>
    <n v="2"/>
    <n v="150000"/>
    <n v="135000"/>
    <n v="50000"/>
    <n v="35000"/>
    <s v="PP002"/>
    <s v="Pakaian Pria"/>
    <s v="Celana Pendek"/>
    <n v="1"/>
    <n v="4"/>
    <n v="180000"/>
    <n v="162000"/>
    <n v="70000"/>
    <n v="52000"/>
    <n v="4"/>
    <n v="1130000"/>
    <n v="1017000"/>
    <n v="420000"/>
    <n v="307000"/>
    <s v="DISCAPRIL"/>
    <n v="0.1"/>
    <x v="0"/>
    <x v="1"/>
    <x v="0"/>
    <d v="2023-04-02T00:00:00"/>
    <x v="1"/>
    <s v="Sunday"/>
    <x v="0"/>
    <n v="2.3333333333333335"/>
  </r>
  <r>
    <n v="86"/>
    <s v="ORD-SP0086-01/04/23"/>
    <s v="PW003"/>
    <s v="Pakaian Wanita"/>
    <s v="Kaftan"/>
    <n v="4"/>
    <n v="2"/>
    <n v="1000000"/>
    <n v="900000"/>
    <n v="400000"/>
    <n v="300000"/>
    <s v="PW001"/>
    <s v="Pakaian Wanita"/>
    <s v="Dress"/>
    <n v="1"/>
    <n v="5"/>
    <n v="300000"/>
    <n v="270000"/>
    <n v="100000"/>
    <n v="70000"/>
    <m/>
    <s v="-"/>
    <s v="-"/>
    <m/>
    <m/>
    <n v="0"/>
    <n v="0"/>
    <n v="0"/>
    <n v="0"/>
    <n v="5"/>
    <n v="1300000"/>
    <n v="1170000"/>
    <n v="500000"/>
    <n v="370000"/>
    <s v="DISC10"/>
    <n v="0.1"/>
    <x v="0"/>
    <x v="2"/>
    <x v="5"/>
    <d v="2023-04-01T00:00:00"/>
    <x v="0"/>
    <s v="Saturday"/>
    <x v="0"/>
    <n v="3.5"/>
  </r>
  <r>
    <n v="87"/>
    <s v="ORD-BL0087-30/04/23"/>
    <s v="PP002"/>
    <s v="Pakaian Pria"/>
    <s v="Celana Pendek"/>
    <n v="5"/>
    <n v="2"/>
    <n v="900000"/>
    <n v="765000"/>
    <n v="350000"/>
    <n v="215000"/>
    <s v="SP001"/>
    <s v="Sepatu Pria"/>
    <s v="Sneakers"/>
    <n v="1"/>
    <n v="4"/>
    <n v="500000"/>
    <n v="425000"/>
    <n v="200000"/>
    <n v="125000"/>
    <s v="PW002"/>
    <s v="Pakaian Wanita"/>
    <s v="Blouse"/>
    <n v="1"/>
    <n v="4"/>
    <n v="150000"/>
    <n v="127500"/>
    <n v="50000"/>
    <n v="27500"/>
    <n v="7"/>
    <n v="1550000"/>
    <n v="1317500"/>
    <n v="600000"/>
    <n v="367500"/>
    <s v="BUKALEBAR"/>
    <n v="0.15"/>
    <x v="1"/>
    <x v="3"/>
    <x v="1"/>
    <d v="2023-04-30T00:00:00"/>
    <x v="12"/>
    <s v="Sunday"/>
    <x v="2"/>
    <n v="3.3333333333333335"/>
  </r>
  <r>
    <n v="88"/>
    <s v="ORD-BL0088-16/04/23"/>
    <s v="SW001"/>
    <s v="Sepatu Wanita"/>
    <s v="Flat Shoes"/>
    <n v="2"/>
    <n v="3"/>
    <n v="500000"/>
    <n v="425000"/>
    <n v="200000"/>
    <n v="125000"/>
    <s v="PW001"/>
    <s v="Pakaian Wanita"/>
    <s v="Dress"/>
    <n v="3"/>
    <n v="1"/>
    <n v="900000"/>
    <n v="765000"/>
    <n v="300000"/>
    <n v="165000"/>
    <m/>
    <s v="-"/>
    <s v="-"/>
    <m/>
    <m/>
    <n v="0"/>
    <n v="0"/>
    <n v="0"/>
    <n v="0"/>
    <n v="5"/>
    <n v="1400000"/>
    <n v="1190000"/>
    <n v="500000"/>
    <n v="290000"/>
    <s v="BUKALEBAR"/>
    <n v="0.15"/>
    <x v="1"/>
    <x v="3"/>
    <x v="4"/>
    <d v="2023-04-16T00:00:00"/>
    <x v="17"/>
    <s v="Sunday"/>
    <x v="1"/>
    <n v="2"/>
  </r>
  <r>
    <n v="89"/>
    <s v="ORD-SP0089-05/04/23"/>
    <s v="PW003"/>
    <s v="Pakaian Wanita"/>
    <s v="Kaftan"/>
    <n v="1"/>
    <n v="2"/>
    <n v="250000"/>
    <n v="225000"/>
    <n v="100000"/>
    <n v="75000"/>
    <s v="PP002"/>
    <s v="Pakaian Pria"/>
    <s v="Celana Pendek"/>
    <n v="1"/>
    <n v="5"/>
    <n v="180000"/>
    <n v="162000"/>
    <n v="70000"/>
    <n v="52000"/>
    <m/>
    <s v="-"/>
    <s v="-"/>
    <m/>
    <m/>
    <n v="0"/>
    <n v="0"/>
    <n v="0"/>
    <n v="0"/>
    <n v="2"/>
    <n v="430000"/>
    <n v="387000"/>
    <n v="170000"/>
    <n v="127000"/>
    <s v="DISC10"/>
    <n v="0.1"/>
    <x v="0"/>
    <x v="2"/>
    <x v="1"/>
    <d v="2023-04-05T00:00:00"/>
    <x v="9"/>
    <s v="Wednesday"/>
    <x v="0"/>
    <n v="3.5"/>
  </r>
  <r>
    <n v="90"/>
    <s v="ORD-TK0090-01/04/23"/>
    <s v="SP002"/>
    <s v="Sepatu Pria"/>
    <s v="Sandal Slip On"/>
    <n v="1"/>
    <n v="1"/>
    <n v="150000"/>
    <n v="135000"/>
    <n v="60000"/>
    <n v="45000"/>
    <m/>
    <s v="-"/>
    <s v="-"/>
    <m/>
    <m/>
    <n v="0"/>
    <n v="0"/>
    <n v="0"/>
    <n v="0"/>
    <m/>
    <s v="-"/>
    <s v="-"/>
    <m/>
    <m/>
    <n v="0"/>
    <n v="0"/>
    <n v="0"/>
    <n v="0"/>
    <n v="1"/>
    <n v="150000"/>
    <n v="135000"/>
    <n v="60000"/>
    <n v="45000"/>
    <s v="DISCAPRIL"/>
    <n v="0.1"/>
    <x v="0"/>
    <x v="1"/>
    <x v="4"/>
    <d v="2023-04-01T00:00:00"/>
    <x v="0"/>
    <s v="Saturday"/>
    <x v="0"/>
    <n v="1"/>
  </r>
  <r>
    <n v="91"/>
    <s v="ORD-TK0091-28/04/23"/>
    <s v="PP003"/>
    <s v="Pakaian Pria"/>
    <s v="Jaket Jeans"/>
    <n v="1"/>
    <n v="5"/>
    <n v="400000"/>
    <n v="360000"/>
    <n v="150000"/>
    <n v="110000"/>
    <m/>
    <s v="-"/>
    <s v="-"/>
    <m/>
    <m/>
    <n v="0"/>
    <n v="0"/>
    <n v="0"/>
    <n v="0"/>
    <m/>
    <s v="-"/>
    <s v="-"/>
    <m/>
    <m/>
    <n v="0"/>
    <n v="0"/>
    <n v="0"/>
    <n v="0"/>
    <n v="1"/>
    <n v="400000"/>
    <n v="360000"/>
    <n v="150000"/>
    <n v="110000"/>
    <s v="LEBAR10"/>
    <n v="0.1"/>
    <x v="1"/>
    <x v="1"/>
    <x v="1"/>
    <d v="2023-04-28T00:00:00"/>
    <x v="11"/>
    <s v="Friday"/>
    <x v="2"/>
    <n v="5"/>
  </r>
  <r>
    <n v="92"/>
    <s v="ORD-TK0092-13/04/23"/>
    <s v="PP001"/>
    <s v="Pakaian Pria"/>
    <s v="Kaos Polo"/>
    <n v="3"/>
    <n v="1"/>
    <n v="600000"/>
    <n v="600000"/>
    <n v="240000"/>
    <n v="240000"/>
    <s v="PW003"/>
    <s v="Pakaian Wanita"/>
    <s v="Kaftan"/>
    <n v="1"/>
    <n v="2"/>
    <n v="250000"/>
    <n v="250000"/>
    <n v="100000"/>
    <n v="100000"/>
    <m/>
    <s v="-"/>
    <s v="-"/>
    <m/>
    <m/>
    <n v="0"/>
    <n v="0"/>
    <n v="0"/>
    <n v="0"/>
    <n v="4"/>
    <n v="850000"/>
    <n v="850000"/>
    <n v="340000"/>
    <n v="340000"/>
    <s v="Tidak Ada"/>
    <s v="-"/>
    <x v="2"/>
    <x v="1"/>
    <x v="4"/>
    <d v="2023-04-13T00:00:00"/>
    <x v="21"/>
    <s v="Thursday"/>
    <x v="3"/>
    <n v="1.5"/>
  </r>
  <r>
    <n v="93"/>
    <s v="ORD-BB0093-05/04/23"/>
    <s v="PW003"/>
    <s v="Pakaian Wanita"/>
    <s v="Kaftan"/>
    <n v="3"/>
    <n v="2"/>
    <n v="750000"/>
    <n v="637500"/>
    <n v="300000"/>
    <n v="187500"/>
    <m/>
    <s v="-"/>
    <s v="-"/>
    <m/>
    <m/>
    <n v="0"/>
    <n v="0"/>
    <n v="0"/>
    <n v="0"/>
    <m/>
    <s v="-"/>
    <s v="-"/>
    <m/>
    <m/>
    <n v="0"/>
    <n v="0"/>
    <n v="0"/>
    <n v="0"/>
    <n v="3"/>
    <n v="750000"/>
    <n v="637500"/>
    <n v="300000"/>
    <n v="187500"/>
    <s v="BELI44"/>
    <n v="0.15"/>
    <x v="0"/>
    <x v="0"/>
    <x v="4"/>
    <d v="2023-04-05T00:00:00"/>
    <x v="9"/>
    <s v="Wednesday"/>
    <x v="0"/>
    <n v="2"/>
  </r>
  <r>
    <n v="94"/>
    <s v="ORD-TK0094-26/04/23"/>
    <s v="SP002"/>
    <s v="Sepatu Pria"/>
    <s v="Sandal Slip On"/>
    <n v="1"/>
    <n v="2"/>
    <n v="150000"/>
    <n v="135000"/>
    <n v="60000"/>
    <n v="45000"/>
    <s v="PP002"/>
    <s v="Pakaian Pria"/>
    <s v="Celana Pendek"/>
    <n v="1"/>
    <n v="1"/>
    <n v="180000"/>
    <n v="162000"/>
    <n v="70000"/>
    <n v="52000"/>
    <s v="PP003"/>
    <s v="Pakaian Pria"/>
    <s v="Jaket Jeans"/>
    <n v="3"/>
    <n v="1"/>
    <n v="1200000"/>
    <n v="1080000"/>
    <n v="450000"/>
    <n v="330000"/>
    <n v="5"/>
    <n v="1530000"/>
    <n v="1377000"/>
    <n v="580000"/>
    <n v="427000"/>
    <s v="LEBAR10"/>
    <n v="0.1"/>
    <x v="1"/>
    <x v="1"/>
    <x v="0"/>
    <d v="2023-04-26T00:00:00"/>
    <x v="15"/>
    <s v="Wednesday"/>
    <x v="2"/>
    <n v="1.3333333333333333"/>
  </r>
  <r>
    <n v="95"/>
    <s v="ORD-BB0095-01/04/23"/>
    <s v="PW001"/>
    <s v="Pakaian Wanita"/>
    <s v="Dress"/>
    <n v="5"/>
    <n v="5"/>
    <n v="1500000"/>
    <n v="1275000"/>
    <n v="500000"/>
    <n v="275000"/>
    <m/>
    <s v="-"/>
    <s v="-"/>
    <m/>
    <m/>
    <n v="0"/>
    <n v="0"/>
    <n v="0"/>
    <n v="0"/>
    <m/>
    <s v="-"/>
    <s v="-"/>
    <m/>
    <m/>
    <n v="0"/>
    <n v="0"/>
    <n v="0"/>
    <n v="0"/>
    <n v="5"/>
    <n v="1500000"/>
    <n v="1275000"/>
    <n v="500000"/>
    <n v="275000"/>
    <s v="BELI44"/>
    <n v="0.15"/>
    <x v="0"/>
    <x v="0"/>
    <x v="2"/>
    <d v="2023-04-01T00:00:00"/>
    <x v="0"/>
    <s v="Saturday"/>
    <x v="0"/>
    <n v="5"/>
  </r>
  <r>
    <n v="96"/>
    <s v="ORD-TK0096-17/04/23"/>
    <s v="PW003"/>
    <s v="Pakaian Wanita"/>
    <s v="Kaftan"/>
    <n v="4"/>
    <n v="5"/>
    <n v="1000000"/>
    <n v="900000"/>
    <n v="400000"/>
    <n v="300000"/>
    <m/>
    <s v="-"/>
    <s v="-"/>
    <m/>
    <m/>
    <n v="0"/>
    <n v="0"/>
    <n v="0"/>
    <n v="0"/>
    <m/>
    <s v="-"/>
    <s v="-"/>
    <m/>
    <m/>
    <n v="0"/>
    <n v="0"/>
    <n v="0"/>
    <n v="0"/>
    <n v="4"/>
    <n v="1000000"/>
    <n v="900000"/>
    <n v="400000"/>
    <n v="300000"/>
    <s v="LEBAR10"/>
    <n v="0.1"/>
    <x v="1"/>
    <x v="1"/>
    <x v="5"/>
    <d v="2023-04-17T00:00:00"/>
    <x v="3"/>
    <s v="Monday"/>
    <x v="1"/>
    <n v="5"/>
  </r>
  <r>
    <n v="97"/>
    <s v="ORD-SP0097-06/04/23"/>
    <s v="PW001"/>
    <s v="Pakaian Wanita"/>
    <s v="Dress"/>
    <n v="1"/>
    <n v="1"/>
    <n v="300000"/>
    <n v="270000"/>
    <n v="100000"/>
    <n v="70000"/>
    <s v="PU001"/>
    <s v="Pakaian Unisex"/>
    <s v="Jaket Hoodie"/>
    <n v="1"/>
    <n v="5"/>
    <n v="350000"/>
    <n v="315000"/>
    <n v="130000"/>
    <n v="95000"/>
    <m/>
    <s v="-"/>
    <s v="-"/>
    <m/>
    <m/>
    <n v="0"/>
    <n v="0"/>
    <n v="0"/>
    <n v="0"/>
    <n v="2"/>
    <n v="650000"/>
    <n v="585000"/>
    <n v="230000"/>
    <n v="165000"/>
    <s v="DISC10"/>
    <n v="0.1"/>
    <x v="0"/>
    <x v="2"/>
    <x v="4"/>
    <d v="2023-04-06T00:00:00"/>
    <x v="8"/>
    <s v="Thursday"/>
    <x v="0"/>
    <n v="3"/>
  </r>
  <r>
    <n v="98"/>
    <s v="ORD-SP0098-20/04/23"/>
    <s v="PU001"/>
    <s v="Pakaian Unisex"/>
    <s v="Jaket Hoodie"/>
    <n v="1"/>
    <n v="3"/>
    <n v="350000"/>
    <n v="280000"/>
    <n v="130000"/>
    <n v="60000"/>
    <s v="SP002"/>
    <s v="Sepatu Pria"/>
    <s v="Sandal Slip On"/>
    <n v="2"/>
    <n v="4"/>
    <n v="300000"/>
    <n v="240000"/>
    <n v="120000"/>
    <n v="60000"/>
    <s v="PW001"/>
    <s v="Pakaian Wanita"/>
    <s v="Dress"/>
    <n v="1"/>
    <n v="5"/>
    <n v="300000"/>
    <n v="240000"/>
    <n v="100000"/>
    <n v="40000"/>
    <n v="4"/>
    <n v="950000"/>
    <n v="760000"/>
    <n v="350000"/>
    <n v="160000"/>
    <s v="DISC20"/>
    <n v="0.2"/>
    <x v="1"/>
    <x v="2"/>
    <x v="5"/>
    <d v="2023-04-20T00:00:00"/>
    <x v="5"/>
    <s v="Thursday"/>
    <x v="1"/>
    <n v="4"/>
  </r>
  <r>
    <n v="99"/>
    <s v="ORD-TK0099-06/04/23"/>
    <s v="PP002"/>
    <s v="Pakaian Pria"/>
    <s v="Celana Pendek"/>
    <n v="3"/>
    <n v="5"/>
    <n v="540000"/>
    <n v="486000"/>
    <n v="210000"/>
    <n v="156000"/>
    <s v="PW002"/>
    <s v="Pakaian Wanita"/>
    <s v="Blouse"/>
    <n v="1"/>
    <n v="5"/>
    <n v="150000"/>
    <n v="135000"/>
    <n v="50000"/>
    <n v="35000"/>
    <s v="PP002"/>
    <s v="Pakaian Pria"/>
    <s v="Celana Pendek"/>
    <n v="1"/>
    <n v="3"/>
    <n v="180000"/>
    <n v="162000"/>
    <n v="70000"/>
    <n v="52000"/>
    <n v="5"/>
    <n v="870000"/>
    <n v="783000"/>
    <n v="330000"/>
    <n v="243000"/>
    <s v="DISCAPRIL"/>
    <n v="0.1"/>
    <x v="0"/>
    <x v="1"/>
    <x v="5"/>
    <d v="2023-04-06T00:00:00"/>
    <x v="8"/>
    <s v="Thursday"/>
    <x v="0"/>
    <n v="4.333333333333333"/>
  </r>
  <r>
    <n v="100"/>
    <s v="ORD-TK0100-04/04/23"/>
    <s v="SW001"/>
    <s v="Sepatu Wanita"/>
    <s v="Flat Shoes"/>
    <n v="1"/>
    <n v="1"/>
    <n v="250000"/>
    <n v="225000"/>
    <n v="100000"/>
    <n v="75000"/>
    <s v="SP001"/>
    <s v="Sepatu Pria"/>
    <s v="Sneakers"/>
    <n v="1"/>
    <n v="2"/>
    <n v="500000"/>
    <n v="450000"/>
    <n v="200000"/>
    <n v="150000"/>
    <s v="SW001"/>
    <s v="Sepatu Wanita"/>
    <s v="Flat Shoes"/>
    <n v="1"/>
    <n v="1"/>
    <n v="250000"/>
    <n v="225000"/>
    <n v="100000"/>
    <n v="75000"/>
    <n v="3"/>
    <n v="1000000"/>
    <n v="900000"/>
    <n v="400000"/>
    <n v="300000"/>
    <s v="DISCAPRIL"/>
    <n v="0.1"/>
    <x v="0"/>
    <x v="1"/>
    <x v="1"/>
    <d v="2023-04-04T00:00:00"/>
    <x v="7"/>
    <s v="Tuesday"/>
    <x v="0"/>
    <n v="1.3333333333333333"/>
  </r>
  <r>
    <n v="101"/>
    <s v="ORD-SP0101-09/04/23"/>
    <s v="SP001"/>
    <s v="Sepatu Pria"/>
    <s v="Sneakers"/>
    <n v="4"/>
    <n v="5"/>
    <n v="2000000"/>
    <n v="2000000"/>
    <n v="800000"/>
    <n v="800000"/>
    <s v="PP003"/>
    <s v="Pakaian Pria"/>
    <s v="Jaket Jeans"/>
    <n v="1"/>
    <n v="1"/>
    <n v="400000"/>
    <n v="400000"/>
    <n v="150000"/>
    <n v="150000"/>
    <m/>
    <s v="-"/>
    <s v="-"/>
    <m/>
    <m/>
    <n v="0"/>
    <n v="0"/>
    <n v="0"/>
    <n v="0"/>
    <n v="5"/>
    <n v="2400000"/>
    <n v="2400000"/>
    <n v="950000"/>
    <n v="950000"/>
    <s v="Tidak Ada"/>
    <s v="-"/>
    <x v="2"/>
    <x v="2"/>
    <x v="4"/>
    <d v="2023-04-09T00:00:00"/>
    <x v="10"/>
    <s v="Sunday"/>
    <x v="3"/>
    <n v="3"/>
  </r>
  <r>
    <n v="102"/>
    <s v="ORD-TK0102-04/04/23"/>
    <s v="PP003"/>
    <s v="Pakaian Pria"/>
    <s v="Jaket Jeans"/>
    <n v="3"/>
    <n v="4"/>
    <n v="1200000"/>
    <n v="1080000"/>
    <n v="450000"/>
    <n v="330000"/>
    <s v="SW001"/>
    <s v="Sepatu Wanita"/>
    <s v="Flat Shoes"/>
    <n v="1"/>
    <n v="1"/>
    <n v="250000"/>
    <n v="225000"/>
    <n v="100000"/>
    <n v="75000"/>
    <s v="SP001"/>
    <s v="Sepatu Pria"/>
    <s v="Sneakers"/>
    <n v="1"/>
    <n v="5"/>
    <n v="500000"/>
    <n v="450000"/>
    <n v="200000"/>
    <n v="150000"/>
    <n v="5"/>
    <n v="1950000"/>
    <n v="1755000"/>
    <n v="750000"/>
    <n v="555000"/>
    <s v="DISCAPRIL"/>
    <n v="0.1"/>
    <x v="0"/>
    <x v="1"/>
    <x v="4"/>
    <d v="2023-04-04T00:00:00"/>
    <x v="7"/>
    <s v="Tuesday"/>
    <x v="0"/>
    <n v="3.3333333333333335"/>
  </r>
  <r>
    <n v="103"/>
    <s v="ORD-TK0103-17/04/23"/>
    <s v="PU001"/>
    <s v="Pakaian Unisex"/>
    <s v="Jaket Hoodie"/>
    <n v="1"/>
    <n v="5"/>
    <n v="350000"/>
    <n v="315000"/>
    <n v="130000"/>
    <n v="95000"/>
    <s v="SW001"/>
    <s v="Sepatu Wanita"/>
    <s v="Flat Shoes"/>
    <n v="1"/>
    <n v="5"/>
    <n v="250000"/>
    <n v="225000"/>
    <n v="100000"/>
    <n v="75000"/>
    <m/>
    <s v="-"/>
    <s v="-"/>
    <m/>
    <m/>
    <n v="0"/>
    <n v="0"/>
    <n v="0"/>
    <n v="0"/>
    <n v="2"/>
    <n v="600000"/>
    <n v="540000"/>
    <n v="230000"/>
    <n v="170000"/>
    <s v="LEBAR10"/>
    <n v="0.1"/>
    <x v="1"/>
    <x v="1"/>
    <x v="2"/>
    <d v="2023-04-17T00:00:00"/>
    <x v="3"/>
    <s v="Monday"/>
    <x v="1"/>
    <n v="5"/>
  </r>
  <r>
    <n v="104"/>
    <s v="ORD-SP0104-06/04/23"/>
    <s v="PW001"/>
    <s v="Pakaian Wanita"/>
    <s v="Dress"/>
    <n v="2"/>
    <n v="2"/>
    <n v="600000"/>
    <n v="510000"/>
    <n v="200000"/>
    <n v="110000"/>
    <s v="PW003"/>
    <s v="Pakaian Wanita"/>
    <s v="Kaftan"/>
    <n v="1"/>
    <n v="1"/>
    <n v="250000"/>
    <n v="212500"/>
    <n v="100000"/>
    <n v="62500"/>
    <m/>
    <s v="-"/>
    <s v="-"/>
    <m/>
    <m/>
    <n v="0"/>
    <n v="0"/>
    <n v="0"/>
    <n v="0"/>
    <n v="3"/>
    <n v="850000"/>
    <n v="722500"/>
    <n v="300000"/>
    <n v="172500"/>
    <s v="DISC15"/>
    <n v="0.15"/>
    <x v="0"/>
    <x v="2"/>
    <x v="0"/>
    <d v="2023-04-06T00:00:00"/>
    <x v="8"/>
    <s v="Thursday"/>
    <x v="0"/>
    <n v="1.5"/>
  </r>
  <r>
    <n v="105"/>
    <s v="ORD-SP0105-14/04/23"/>
    <s v="SP001"/>
    <s v="Sepatu Pria"/>
    <s v="Sneakers"/>
    <n v="3"/>
    <n v="5"/>
    <n v="1500000"/>
    <n v="1500000"/>
    <n v="600000"/>
    <n v="600000"/>
    <m/>
    <s v="-"/>
    <s v="-"/>
    <m/>
    <m/>
    <n v="0"/>
    <n v="0"/>
    <n v="0"/>
    <n v="0"/>
    <m/>
    <s v="-"/>
    <s v="-"/>
    <m/>
    <m/>
    <n v="0"/>
    <n v="0"/>
    <n v="0"/>
    <n v="0"/>
    <n v="3"/>
    <n v="1500000"/>
    <n v="1500000"/>
    <n v="600000"/>
    <n v="600000"/>
    <s v="Tidak Ada"/>
    <s v="-"/>
    <x v="2"/>
    <x v="2"/>
    <x v="0"/>
    <d v="2023-04-14T00:00:00"/>
    <x v="22"/>
    <s v="Friday"/>
    <x v="3"/>
    <n v="5"/>
  </r>
  <r>
    <n v="106"/>
    <s v="ORD-TK0106-21/04/23"/>
    <s v="PW003"/>
    <s v="Pakaian Wanita"/>
    <s v="Kaftan"/>
    <n v="5"/>
    <n v="4"/>
    <n v="1250000"/>
    <n v="1125000"/>
    <n v="500000"/>
    <n v="375000"/>
    <m/>
    <s v="-"/>
    <s v="-"/>
    <m/>
    <m/>
    <n v="0"/>
    <n v="0"/>
    <n v="0"/>
    <n v="0"/>
    <m/>
    <s v="-"/>
    <s v="-"/>
    <m/>
    <m/>
    <n v="0"/>
    <n v="0"/>
    <n v="0"/>
    <n v="0"/>
    <n v="5"/>
    <n v="1250000"/>
    <n v="1125000"/>
    <n v="500000"/>
    <n v="375000"/>
    <s v="LEBAR10"/>
    <n v="0.1"/>
    <x v="1"/>
    <x v="1"/>
    <x v="4"/>
    <d v="2023-04-21T00:00:00"/>
    <x v="20"/>
    <s v="Friday"/>
    <x v="1"/>
    <n v="4"/>
  </r>
  <r>
    <n v="107"/>
    <s v="ORD-BL0107-24/04/23"/>
    <s v="PW001"/>
    <s v="Pakaian Wanita"/>
    <s v="Dress"/>
    <n v="1"/>
    <n v="5"/>
    <n v="300000"/>
    <n v="255000"/>
    <n v="100000"/>
    <n v="55000"/>
    <s v="PU001"/>
    <s v="Pakaian Unisex"/>
    <s v="Jaket Hoodie"/>
    <n v="1"/>
    <n v="3"/>
    <n v="350000"/>
    <n v="297500"/>
    <n v="130000"/>
    <n v="77500"/>
    <m/>
    <s v="-"/>
    <s v="-"/>
    <m/>
    <m/>
    <n v="0"/>
    <n v="0"/>
    <n v="0"/>
    <n v="0"/>
    <n v="2"/>
    <n v="650000"/>
    <n v="552500"/>
    <n v="230000"/>
    <n v="132500"/>
    <s v="BUKALEBAR"/>
    <n v="0.15"/>
    <x v="1"/>
    <x v="3"/>
    <x v="3"/>
    <d v="2023-04-24T00:00:00"/>
    <x v="4"/>
    <s v="Monday"/>
    <x v="2"/>
    <n v="4"/>
  </r>
  <r>
    <n v="108"/>
    <s v="ORD-BB0108-05/04/23"/>
    <s v="PU001"/>
    <s v="Pakaian Unisex"/>
    <s v="Jaket Hoodie"/>
    <n v="7"/>
    <n v="4"/>
    <n v="2450000"/>
    <n v="2082500"/>
    <n v="910000"/>
    <n v="542500"/>
    <m/>
    <s v="-"/>
    <s v="-"/>
    <m/>
    <m/>
    <n v="0"/>
    <n v="0"/>
    <n v="0"/>
    <n v="0"/>
    <m/>
    <s v="-"/>
    <s v="-"/>
    <m/>
    <m/>
    <n v="0"/>
    <n v="0"/>
    <n v="0"/>
    <n v="0"/>
    <n v="7"/>
    <n v="2450000"/>
    <n v="2082500"/>
    <n v="910000"/>
    <n v="542500"/>
    <s v="BELI44"/>
    <n v="0.15"/>
    <x v="0"/>
    <x v="0"/>
    <x v="4"/>
    <d v="2023-04-05T00:00:00"/>
    <x v="9"/>
    <s v="Wednesday"/>
    <x v="0"/>
    <n v="4"/>
  </r>
  <r>
    <n v="109"/>
    <s v="ORD-SP0109-17/04/23"/>
    <s v="SW001"/>
    <s v="Sepatu Wanita"/>
    <s v="Flat Shoes"/>
    <n v="1"/>
    <n v="4"/>
    <n v="250000"/>
    <n v="200000"/>
    <n v="100000"/>
    <n v="50000"/>
    <s v="PP002"/>
    <s v="Pakaian Pria"/>
    <s v="Celana Pendek"/>
    <n v="1"/>
    <n v="3"/>
    <n v="180000"/>
    <n v="144000"/>
    <n v="70000"/>
    <n v="34000"/>
    <m/>
    <s v="-"/>
    <s v="-"/>
    <m/>
    <m/>
    <n v="0"/>
    <n v="0"/>
    <n v="0"/>
    <n v="0"/>
    <n v="2"/>
    <n v="430000"/>
    <n v="344000"/>
    <n v="170000"/>
    <n v="84000"/>
    <s v="DISC20"/>
    <n v="0.2"/>
    <x v="1"/>
    <x v="2"/>
    <x v="2"/>
    <d v="2023-04-17T00:00:00"/>
    <x v="3"/>
    <s v="Monday"/>
    <x v="1"/>
    <n v="3.5"/>
  </r>
  <r>
    <n v="110"/>
    <s v="ORD-SP0110-06/04/23"/>
    <s v="PW001"/>
    <s v="Pakaian Wanita"/>
    <s v="Dress"/>
    <n v="4"/>
    <n v="2"/>
    <n v="1200000"/>
    <n v="1080000"/>
    <n v="400000"/>
    <n v="280000"/>
    <m/>
    <s v="-"/>
    <s v="-"/>
    <m/>
    <m/>
    <n v="0"/>
    <n v="0"/>
    <n v="0"/>
    <n v="0"/>
    <m/>
    <s v="-"/>
    <s v="-"/>
    <m/>
    <m/>
    <n v="0"/>
    <n v="0"/>
    <n v="0"/>
    <n v="0"/>
    <n v="4"/>
    <n v="1200000"/>
    <n v="1080000"/>
    <n v="400000"/>
    <n v="280000"/>
    <s v="DISC10"/>
    <n v="0.1"/>
    <x v="0"/>
    <x v="2"/>
    <x v="0"/>
    <d v="2023-04-06T00:00:00"/>
    <x v="8"/>
    <s v="Thursday"/>
    <x v="0"/>
    <n v="2"/>
  </r>
  <r>
    <n v="111"/>
    <s v="ORD-BL0111-10/04/23"/>
    <s v="PP003"/>
    <s v="Pakaian Pria"/>
    <s v="Jaket Jeans"/>
    <n v="3"/>
    <n v="4"/>
    <n v="1200000"/>
    <n v="1200000"/>
    <n v="450000"/>
    <n v="450000"/>
    <s v="PP001"/>
    <s v="Pakaian Pria"/>
    <s v="Kaos Polo"/>
    <n v="2"/>
    <n v="5"/>
    <n v="400000"/>
    <n v="400000"/>
    <n v="160000"/>
    <n v="160000"/>
    <s v="SP001"/>
    <s v="Sepatu Pria"/>
    <s v="Sneakers"/>
    <n v="1"/>
    <n v="5"/>
    <n v="500000"/>
    <n v="500000"/>
    <n v="200000"/>
    <n v="200000"/>
    <n v="6"/>
    <n v="2100000"/>
    <n v="2100000"/>
    <n v="810000"/>
    <n v="810000"/>
    <s v="Tidak Ada"/>
    <s v="-"/>
    <x v="2"/>
    <x v="3"/>
    <x v="2"/>
    <d v="2023-04-10T00:00:00"/>
    <x v="23"/>
    <s v="Monday"/>
    <x v="3"/>
    <n v="4.666666666666667"/>
  </r>
  <r>
    <n v="112"/>
    <s v="ORD-TK0112-18/04/23"/>
    <s v="SW001"/>
    <s v="Sepatu Wanita"/>
    <s v="Flat Shoes"/>
    <n v="1"/>
    <n v="2"/>
    <n v="250000"/>
    <n v="225000"/>
    <n v="100000"/>
    <n v="75000"/>
    <s v="SP001"/>
    <s v="Sepatu Pria"/>
    <s v="Sneakers"/>
    <n v="1"/>
    <n v="2"/>
    <n v="500000"/>
    <n v="450000"/>
    <n v="200000"/>
    <n v="150000"/>
    <s v="SW001"/>
    <s v="Sepatu Wanita"/>
    <s v="Flat Shoes"/>
    <n v="2"/>
    <n v="5"/>
    <n v="500000"/>
    <n v="450000"/>
    <n v="200000"/>
    <n v="150000"/>
    <n v="4"/>
    <n v="1250000"/>
    <n v="1125000"/>
    <n v="500000"/>
    <n v="375000"/>
    <s v="LEBAR10"/>
    <n v="0.1"/>
    <x v="1"/>
    <x v="1"/>
    <x v="1"/>
    <d v="2023-04-18T00:00:00"/>
    <x v="24"/>
    <s v="Tuesday"/>
    <x v="1"/>
    <n v="3"/>
  </r>
  <r>
    <n v="113"/>
    <s v="ORD-BB0113-14/04/23"/>
    <s v="SP001"/>
    <s v="Sepatu Pria"/>
    <s v="Sneakers"/>
    <n v="3"/>
    <n v="1"/>
    <n v="1500000"/>
    <n v="1500000"/>
    <n v="600000"/>
    <n v="600000"/>
    <s v="PW003"/>
    <s v="Pakaian Wanita"/>
    <s v="Kaftan"/>
    <n v="1"/>
    <n v="4"/>
    <n v="250000"/>
    <n v="250000"/>
    <n v="100000"/>
    <n v="100000"/>
    <m/>
    <s v="-"/>
    <s v="-"/>
    <m/>
    <m/>
    <n v="0"/>
    <n v="0"/>
    <n v="0"/>
    <n v="0"/>
    <n v="4"/>
    <n v="1750000"/>
    <n v="1750000"/>
    <n v="700000"/>
    <n v="700000"/>
    <s v="Tidak Ada"/>
    <s v="-"/>
    <x v="2"/>
    <x v="0"/>
    <x v="0"/>
    <d v="2023-04-14T00:00:00"/>
    <x v="22"/>
    <s v="Friday"/>
    <x v="3"/>
    <n v="2.5"/>
  </r>
  <r>
    <n v="114"/>
    <s v="ORD-TK0114-04/04/23"/>
    <s v="PU001"/>
    <s v="Pakaian Unisex"/>
    <s v="Jaket Hoodie"/>
    <n v="2"/>
    <n v="3"/>
    <n v="700000"/>
    <n v="630000"/>
    <n v="260000"/>
    <n v="190000"/>
    <m/>
    <s v="-"/>
    <s v="-"/>
    <m/>
    <m/>
    <n v="0"/>
    <n v="0"/>
    <n v="0"/>
    <n v="0"/>
    <m/>
    <s v="-"/>
    <s v="-"/>
    <m/>
    <m/>
    <n v="0"/>
    <n v="0"/>
    <n v="0"/>
    <n v="0"/>
    <n v="2"/>
    <n v="700000"/>
    <n v="630000"/>
    <n v="260000"/>
    <n v="190000"/>
    <s v="DISCAPRIL"/>
    <n v="0.1"/>
    <x v="0"/>
    <x v="1"/>
    <x v="1"/>
    <d v="2023-04-04T00:00:00"/>
    <x v="7"/>
    <s v="Tuesday"/>
    <x v="0"/>
    <n v="3"/>
  </r>
  <r>
    <n v="115"/>
    <s v="ORD-TK0115-01/04/23"/>
    <s v="PP002"/>
    <s v="Pakaian Pria"/>
    <s v="Celana Pendek"/>
    <n v="2"/>
    <n v="3"/>
    <n v="360000"/>
    <n v="324000"/>
    <n v="140000"/>
    <n v="104000"/>
    <s v="PW003"/>
    <s v="Pakaian Wanita"/>
    <s v="Kaftan"/>
    <n v="1"/>
    <n v="4"/>
    <n v="250000"/>
    <n v="225000"/>
    <n v="100000"/>
    <n v="75000"/>
    <m/>
    <s v="-"/>
    <s v="-"/>
    <m/>
    <m/>
    <n v="0"/>
    <n v="0"/>
    <n v="0"/>
    <n v="0"/>
    <n v="3"/>
    <n v="610000"/>
    <n v="549000"/>
    <n v="240000"/>
    <n v="179000"/>
    <s v="DISCAPRIL"/>
    <n v="0.1"/>
    <x v="0"/>
    <x v="1"/>
    <x v="0"/>
    <d v="2023-04-01T00:00:00"/>
    <x v="0"/>
    <s v="Saturday"/>
    <x v="0"/>
    <n v="3.5"/>
  </r>
  <r>
    <n v="116"/>
    <s v="ORD-BB0116-01/04/23"/>
    <s v="PW003"/>
    <s v="Pakaian Wanita"/>
    <s v="Kaftan"/>
    <n v="1"/>
    <n v="1"/>
    <n v="250000"/>
    <n v="212500"/>
    <n v="100000"/>
    <n v="62500"/>
    <m/>
    <s v="-"/>
    <s v="-"/>
    <m/>
    <m/>
    <n v="0"/>
    <n v="0"/>
    <n v="0"/>
    <n v="0"/>
    <m/>
    <s v="-"/>
    <s v="-"/>
    <m/>
    <m/>
    <n v="0"/>
    <n v="0"/>
    <n v="0"/>
    <n v="0"/>
    <n v="1"/>
    <n v="250000"/>
    <n v="212500"/>
    <n v="100000"/>
    <n v="62500"/>
    <s v="BELI44"/>
    <n v="0.15"/>
    <x v="0"/>
    <x v="0"/>
    <x v="2"/>
    <d v="2023-04-01T00:00:00"/>
    <x v="0"/>
    <s v="Saturday"/>
    <x v="0"/>
    <n v="1"/>
  </r>
  <r>
    <n v="117"/>
    <s v="ORD-TK0117-02/04/23"/>
    <s v="SW001"/>
    <s v="Sepatu Wanita"/>
    <s v="Flat Shoes"/>
    <n v="4"/>
    <n v="4"/>
    <n v="1000000"/>
    <n v="900000"/>
    <n v="400000"/>
    <n v="300000"/>
    <m/>
    <s v="-"/>
    <s v="-"/>
    <m/>
    <m/>
    <n v="0"/>
    <n v="0"/>
    <n v="0"/>
    <n v="0"/>
    <m/>
    <s v="-"/>
    <s v="-"/>
    <m/>
    <m/>
    <n v="0"/>
    <n v="0"/>
    <n v="0"/>
    <n v="0"/>
    <n v="4"/>
    <n v="1000000"/>
    <n v="900000"/>
    <n v="400000"/>
    <n v="300000"/>
    <s v="DISCAPRIL"/>
    <n v="0.1"/>
    <x v="0"/>
    <x v="1"/>
    <x v="4"/>
    <d v="2023-04-02T00:00:00"/>
    <x v="1"/>
    <s v="Sunday"/>
    <x v="0"/>
    <n v="4"/>
  </r>
  <r>
    <n v="118"/>
    <s v="ORD-TK0118-23/04/23"/>
    <s v="SW001"/>
    <s v="Sepatu Wanita"/>
    <s v="Flat Shoes"/>
    <n v="1"/>
    <n v="5"/>
    <n v="250000"/>
    <n v="225000"/>
    <n v="100000"/>
    <n v="75000"/>
    <s v="PW003"/>
    <s v="Pakaian Wanita"/>
    <s v="Kaftan"/>
    <n v="1"/>
    <n v="2"/>
    <n v="250000"/>
    <n v="225000"/>
    <n v="100000"/>
    <n v="75000"/>
    <m/>
    <s v="-"/>
    <s v="-"/>
    <m/>
    <m/>
    <n v="0"/>
    <n v="0"/>
    <n v="0"/>
    <n v="0"/>
    <n v="2"/>
    <n v="500000"/>
    <n v="450000"/>
    <n v="200000"/>
    <n v="150000"/>
    <s v="LEBAR10"/>
    <n v="0.1"/>
    <x v="1"/>
    <x v="1"/>
    <x v="5"/>
    <d v="2023-04-23T00:00:00"/>
    <x v="25"/>
    <s v="Sunday"/>
    <x v="2"/>
    <n v="3.5"/>
  </r>
  <r>
    <n v="119"/>
    <s v="ORD-SP0119-02/04/23"/>
    <s v="PW001"/>
    <s v="Pakaian Wanita"/>
    <s v="Dress"/>
    <n v="5"/>
    <n v="4"/>
    <n v="1500000"/>
    <n v="1275000"/>
    <n v="500000"/>
    <n v="275000"/>
    <m/>
    <s v="-"/>
    <s v="-"/>
    <m/>
    <m/>
    <n v="0"/>
    <n v="0"/>
    <n v="0"/>
    <n v="0"/>
    <m/>
    <s v="-"/>
    <s v="-"/>
    <m/>
    <m/>
    <n v="0"/>
    <n v="0"/>
    <n v="0"/>
    <n v="0"/>
    <n v="5"/>
    <n v="1500000"/>
    <n v="1275000"/>
    <n v="500000"/>
    <n v="275000"/>
    <s v="DISC15"/>
    <n v="0.15"/>
    <x v="0"/>
    <x v="2"/>
    <x v="1"/>
    <d v="2023-04-02T00:00:00"/>
    <x v="1"/>
    <s v="Sunday"/>
    <x v="0"/>
    <n v="4"/>
  </r>
  <r>
    <n v="120"/>
    <s v="ORD-BL0120-21/04/23"/>
    <s v="PU001"/>
    <s v="Pakaian Unisex"/>
    <s v="Jaket Hoodie"/>
    <n v="2"/>
    <n v="1"/>
    <n v="700000"/>
    <n v="595000"/>
    <n v="260000"/>
    <n v="155000"/>
    <s v="PW001"/>
    <s v="Pakaian Wanita"/>
    <s v="Dress"/>
    <n v="2"/>
    <n v="5"/>
    <n v="600000"/>
    <n v="510000"/>
    <n v="200000"/>
    <n v="110000"/>
    <s v="SP002"/>
    <s v="Sepatu Pria"/>
    <s v="Sandal Slip On"/>
    <n v="3"/>
    <n v="3"/>
    <n v="450000"/>
    <n v="382500"/>
    <n v="180000"/>
    <n v="112500"/>
    <n v="7"/>
    <n v="1750000"/>
    <n v="1487500"/>
    <n v="640000"/>
    <n v="377500"/>
    <s v="BUKALEBAR"/>
    <n v="0.15"/>
    <x v="1"/>
    <x v="3"/>
    <x v="1"/>
    <d v="2023-04-21T00:00:00"/>
    <x v="20"/>
    <s v="Friday"/>
    <x v="1"/>
    <n v="3"/>
  </r>
  <r>
    <n v="121"/>
    <s v="ORD-TK0121-16/04/23"/>
    <s v="SP001"/>
    <s v="Sepatu Pria"/>
    <s v="Sneakers"/>
    <n v="2"/>
    <n v="3"/>
    <n v="1000000"/>
    <n v="900000"/>
    <n v="400000"/>
    <n v="300000"/>
    <s v="SW001"/>
    <s v="Sepatu Wanita"/>
    <s v="Flat Shoes"/>
    <n v="1"/>
    <n v="2"/>
    <n v="250000"/>
    <n v="225000"/>
    <n v="100000"/>
    <n v="75000"/>
    <m/>
    <s v="-"/>
    <s v="-"/>
    <m/>
    <m/>
    <n v="0"/>
    <n v="0"/>
    <n v="0"/>
    <n v="0"/>
    <n v="3"/>
    <n v="1250000"/>
    <n v="1125000"/>
    <n v="500000"/>
    <n v="375000"/>
    <s v="LEBAR10"/>
    <n v="0.1"/>
    <x v="1"/>
    <x v="1"/>
    <x v="4"/>
    <d v="2023-04-16T00:00:00"/>
    <x v="17"/>
    <s v="Sunday"/>
    <x v="1"/>
    <n v="2.5"/>
  </r>
  <r>
    <n v="122"/>
    <s v="ORD-TK0122-28/04/23"/>
    <s v="PW001"/>
    <s v="Pakaian Wanita"/>
    <s v="Dress"/>
    <n v="2"/>
    <n v="1"/>
    <n v="600000"/>
    <n v="540000"/>
    <n v="200000"/>
    <n v="140000"/>
    <m/>
    <s v="-"/>
    <s v="-"/>
    <m/>
    <m/>
    <n v="0"/>
    <n v="0"/>
    <n v="0"/>
    <n v="0"/>
    <m/>
    <s v="-"/>
    <s v="-"/>
    <m/>
    <m/>
    <n v="0"/>
    <n v="0"/>
    <n v="0"/>
    <n v="0"/>
    <n v="2"/>
    <n v="600000"/>
    <n v="540000"/>
    <n v="200000"/>
    <n v="140000"/>
    <s v="LEBAR10"/>
    <n v="0.1"/>
    <x v="1"/>
    <x v="1"/>
    <x v="4"/>
    <d v="2023-04-28T00:00:00"/>
    <x v="11"/>
    <s v="Friday"/>
    <x v="2"/>
    <n v="1"/>
  </r>
  <r>
    <n v="123"/>
    <s v="ORD-SP0123-04/04/23"/>
    <s v="PP003"/>
    <s v="Pakaian Pria"/>
    <s v="Jaket Jeans"/>
    <n v="3"/>
    <n v="5"/>
    <n v="1200000"/>
    <n v="1080000"/>
    <n v="450000"/>
    <n v="330000"/>
    <s v="SP001"/>
    <s v="Sepatu Pria"/>
    <s v="Sneakers"/>
    <n v="1"/>
    <n v="3"/>
    <n v="500000"/>
    <n v="450000"/>
    <n v="200000"/>
    <n v="150000"/>
    <m/>
    <s v="-"/>
    <s v="-"/>
    <m/>
    <m/>
    <n v="0"/>
    <n v="0"/>
    <n v="0"/>
    <n v="0"/>
    <n v="4"/>
    <n v="1700000"/>
    <n v="1530000"/>
    <n v="650000"/>
    <n v="480000"/>
    <s v="DISC10"/>
    <n v="0.1"/>
    <x v="0"/>
    <x v="2"/>
    <x v="1"/>
    <d v="2023-04-04T00:00:00"/>
    <x v="7"/>
    <s v="Tuesday"/>
    <x v="0"/>
    <n v="4"/>
  </r>
  <r>
    <n v="124"/>
    <s v="ORD-SP0124-04/04/23"/>
    <s v="PW003"/>
    <s v="Pakaian Wanita"/>
    <s v="Kaftan"/>
    <n v="2"/>
    <n v="5"/>
    <n v="500000"/>
    <n v="425000"/>
    <n v="200000"/>
    <n v="125000"/>
    <s v="PP003"/>
    <s v="Pakaian Pria"/>
    <s v="Jaket Jeans"/>
    <n v="2"/>
    <n v="2"/>
    <n v="800000"/>
    <n v="680000"/>
    <n v="300000"/>
    <n v="180000"/>
    <m/>
    <s v="-"/>
    <s v="-"/>
    <m/>
    <m/>
    <n v="0"/>
    <n v="0"/>
    <n v="0"/>
    <n v="0"/>
    <n v="4"/>
    <n v="1300000"/>
    <n v="1105000"/>
    <n v="500000"/>
    <n v="305000"/>
    <s v="DISC15"/>
    <n v="0.15"/>
    <x v="0"/>
    <x v="2"/>
    <x v="1"/>
    <d v="2023-04-04T00:00:00"/>
    <x v="7"/>
    <s v="Tuesday"/>
    <x v="0"/>
    <n v="3.5"/>
  </r>
  <r>
    <n v="125"/>
    <s v="ORD-SP0125-06/04/23"/>
    <s v="SP001"/>
    <s v="Sepatu Pria"/>
    <s v="Sneakers"/>
    <n v="1"/>
    <n v="5"/>
    <n v="500000"/>
    <n v="450000"/>
    <n v="200000"/>
    <n v="150000"/>
    <s v="SW001"/>
    <s v="Sepatu Wanita"/>
    <s v="Flat Shoes"/>
    <n v="1"/>
    <n v="4"/>
    <n v="250000"/>
    <n v="225000"/>
    <n v="100000"/>
    <n v="75000"/>
    <m/>
    <s v="-"/>
    <s v="-"/>
    <m/>
    <m/>
    <n v="0"/>
    <n v="0"/>
    <n v="0"/>
    <n v="0"/>
    <n v="2"/>
    <n v="750000"/>
    <n v="675000"/>
    <n v="300000"/>
    <n v="225000"/>
    <s v="DISC10"/>
    <n v="0.1"/>
    <x v="0"/>
    <x v="2"/>
    <x v="4"/>
    <d v="2023-04-06T00:00:00"/>
    <x v="8"/>
    <s v="Thursday"/>
    <x v="0"/>
    <n v="4.5"/>
  </r>
  <r>
    <n v="126"/>
    <s v="ORD-TK0126-17/04/23"/>
    <s v="PW003"/>
    <s v="Pakaian Wanita"/>
    <s v="Kaftan"/>
    <n v="4"/>
    <n v="5"/>
    <n v="1000000"/>
    <n v="900000"/>
    <n v="400000"/>
    <n v="300000"/>
    <s v="SW001"/>
    <s v="Sepatu Wanita"/>
    <s v="Flat Shoes"/>
    <n v="1"/>
    <n v="2"/>
    <n v="250000"/>
    <n v="225000"/>
    <n v="100000"/>
    <n v="75000"/>
    <s v="PW002"/>
    <s v="Pakaian Wanita"/>
    <s v="Blouse"/>
    <n v="2"/>
    <n v="5"/>
    <n v="300000"/>
    <n v="270000"/>
    <n v="100000"/>
    <n v="70000"/>
    <n v="7"/>
    <n v="1550000"/>
    <n v="1395000"/>
    <n v="600000"/>
    <n v="445000"/>
    <s v="LEBAR10"/>
    <n v="0.1"/>
    <x v="1"/>
    <x v="1"/>
    <x v="3"/>
    <d v="2023-04-17T00:00:00"/>
    <x v="3"/>
    <s v="Monday"/>
    <x v="1"/>
    <n v="4"/>
  </r>
  <r>
    <n v="127"/>
    <s v="ORD-BB0127-02/04/23"/>
    <s v="PW002"/>
    <s v="Pakaian Wanita"/>
    <s v="Blouse"/>
    <n v="3"/>
    <n v="2"/>
    <n v="450000"/>
    <n v="382500"/>
    <n v="150000"/>
    <n v="82500"/>
    <s v="SW001"/>
    <s v="Sepatu Wanita"/>
    <s v="Flat Shoes"/>
    <n v="2"/>
    <n v="4"/>
    <n v="500000"/>
    <n v="425000"/>
    <n v="200000"/>
    <n v="125000"/>
    <s v="PU001"/>
    <s v="Pakaian Unisex"/>
    <s v="Jaket Hoodie"/>
    <n v="1"/>
    <n v="1"/>
    <n v="350000"/>
    <n v="297500"/>
    <n v="130000"/>
    <n v="77500"/>
    <n v="6"/>
    <n v="1300000"/>
    <n v="1105000"/>
    <n v="480000"/>
    <n v="285000"/>
    <s v="BELI44"/>
    <n v="0.15"/>
    <x v="0"/>
    <x v="0"/>
    <x v="1"/>
    <d v="2023-04-02T00:00:00"/>
    <x v="1"/>
    <s v="Sunday"/>
    <x v="0"/>
    <n v="2.3333333333333335"/>
  </r>
  <r>
    <n v="128"/>
    <s v="ORD-BL0128-28/04/23"/>
    <s v="PU001"/>
    <s v="Pakaian Unisex"/>
    <s v="Jaket Hoodie"/>
    <n v="7"/>
    <n v="3"/>
    <n v="2450000"/>
    <n v="2082500"/>
    <n v="910000"/>
    <n v="542500"/>
    <m/>
    <s v="-"/>
    <s v="-"/>
    <m/>
    <m/>
    <n v="0"/>
    <n v="0"/>
    <n v="0"/>
    <n v="0"/>
    <m/>
    <s v="-"/>
    <s v="-"/>
    <m/>
    <m/>
    <n v="0"/>
    <n v="0"/>
    <n v="0"/>
    <n v="0"/>
    <n v="7"/>
    <n v="2450000"/>
    <n v="2082500"/>
    <n v="910000"/>
    <n v="542500"/>
    <s v="BUKALEBAR"/>
    <n v="0.15"/>
    <x v="1"/>
    <x v="3"/>
    <x v="4"/>
    <d v="2023-04-28T00:00:00"/>
    <x v="11"/>
    <s v="Friday"/>
    <x v="2"/>
    <n v="3"/>
  </r>
  <r>
    <n v="129"/>
    <s v="ORD-BB0129-06/04/23"/>
    <s v="PP001"/>
    <s v="Pakaian Pria"/>
    <s v="Kaos Polo"/>
    <n v="3"/>
    <n v="2"/>
    <n v="600000"/>
    <n v="510000"/>
    <n v="240000"/>
    <n v="150000"/>
    <m/>
    <s v="-"/>
    <s v="-"/>
    <m/>
    <m/>
    <n v="0"/>
    <n v="0"/>
    <n v="0"/>
    <n v="0"/>
    <m/>
    <s v="-"/>
    <s v="-"/>
    <m/>
    <m/>
    <n v="0"/>
    <n v="0"/>
    <n v="0"/>
    <n v="0"/>
    <n v="3"/>
    <n v="600000"/>
    <n v="510000"/>
    <n v="240000"/>
    <n v="150000"/>
    <s v="BELI44"/>
    <n v="0.15"/>
    <x v="0"/>
    <x v="0"/>
    <x v="4"/>
    <d v="2023-04-06T00:00:00"/>
    <x v="8"/>
    <s v="Thursday"/>
    <x v="0"/>
    <n v="2"/>
  </r>
  <r>
    <n v="130"/>
    <s v="ORD-TK0130-05/04/23"/>
    <s v="SP002"/>
    <s v="Sepatu Pria"/>
    <s v="Sandal Slip On"/>
    <n v="2"/>
    <n v="2"/>
    <n v="300000"/>
    <n v="270000"/>
    <n v="120000"/>
    <n v="90000"/>
    <m/>
    <s v="-"/>
    <s v="-"/>
    <m/>
    <m/>
    <n v="0"/>
    <n v="0"/>
    <n v="0"/>
    <n v="0"/>
    <m/>
    <s v="-"/>
    <s v="-"/>
    <m/>
    <m/>
    <n v="0"/>
    <n v="0"/>
    <n v="0"/>
    <n v="0"/>
    <n v="2"/>
    <n v="300000"/>
    <n v="270000"/>
    <n v="120000"/>
    <n v="90000"/>
    <s v="DISCAPRIL"/>
    <n v="0.1"/>
    <x v="0"/>
    <x v="1"/>
    <x v="4"/>
    <d v="2023-04-05T00:00:00"/>
    <x v="9"/>
    <s v="Wednesday"/>
    <x v="0"/>
    <n v="2"/>
  </r>
  <r>
    <n v="131"/>
    <s v="ORD-BB0131-08/04/23"/>
    <s v="PP001"/>
    <s v="Pakaian Pria"/>
    <s v="Kaos Polo"/>
    <n v="1"/>
    <n v="4"/>
    <n v="200000"/>
    <n v="200000"/>
    <n v="80000"/>
    <n v="80000"/>
    <s v="SW001"/>
    <s v="Sepatu Wanita"/>
    <s v="Flat Shoes"/>
    <n v="1"/>
    <n v="1"/>
    <n v="250000"/>
    <n v="250000"/>
    <n v="100000"/>
    <n v="100000"/>
    <m/>
    <s v="-"/>
    <s v="-"/>
    <m/>
    <m/>
    <n v="0"/>
    <n v="0"/>
    <n v="0"/>
    <n v="0"/>
    <n v="2"/>
    <n v="450000"/>
    <n v="450000"/>
    <n v="180000"/>
    <n v="180000"/>
    <s v="Tidak Ada"/>
    <s v="-"/>
    <x v="2"/>
    <x v="0"/>
    <x v="0"/>
    <d v="2023-04-08T00:00:00"/>
    <x v="26"/>
    <s v="Saturday"/>
    <x v="3"/>
    <n v="2.5"/>
  </r>
  <r>
    <n v="132"/>
    <s v="ORD-SP0132-30/04/23"/>
    <s v="PP003"/>
    <s v="Pakaian Pria"/>
    <s v="Jaket Jeans"/>
    <n v="5"/>
    <n v="5"/>
    <n v="2000000"/>
    <n v="1600000"/>
    <n v="750000"/>
    <n v="350000"/>
    <s v="PW002"/>
    <s v="Pakaian Wanita"/>
    <s v="Blouse"/>
    <n v="1"/>
    <n v="1"/>
    <n v="150000"/>
    <n v="120000"/>
    <n v="50000"/>
    <n v="20000"/>
    <m/>
    <s v="-"/>
    <s v="-"/>
    <m/>
    <m/>
    <n v="0"/>
    <n v="0"/>
    <n v="0"/>
    <n v="0"/>
    <n v="6"/>
    <n v="2150000"/>
    <n v="1720000"/>
    <n v="800000"/>
    <n v="370000"/>
    <s v="DISC20"/>
    <n v="0.2"/>
    <x v="1"/>
    <x v="2"/>
    <x v="4"/>
    <d v="2023-04-30T00:00:00"/>
    <x v="12"/>
    <s v="Sunday"/>
    <x v="2"/>
    <n v="3"/>
  </r>
  <r>
    <n v="133"/>
    <s v="ORD-SP0133-05/04/23"/>
    <s v="PW002"/>
    <s v="Pakaian Wanita"/>
    <s v="Blouse"/>
    <n v="1"/>
    <n v="4"/>
    <n v="150000"/>
    <n v="127500"/>
    <n v="50000"/>
    <n v="27500"/>
    <s v="PP001"/>
    <s v="Pakaian Pria"/>
    <s v="Kaos Polo"/>
    <n v="1"/>
    <n v="3"/>
    <n v="200000"/>
    <n v="170000"/>
    <n v="80000"/>
    <n v="50000"/>
    <s v="SW001"/>
    <s v="Sepatu Wanita"/>
    <s v="Flat Shoes"/>
    <n v="5"/>
    <n v="5"/>
    <n v="1250000"/>
    <n v="1062500"/>
    <n v="500000"/>
    <n v="312500"/>
    <n v="7"/>
    <n v="1600000"/>
    <n v="1360000"/>
    <n v="630000"/>
    <n v="390000"/>
    <s v="DISC15"/>
    <n v="0.15"/>
    <x v="0"/>
    <x v="2"/>
    <x v="0"/>
    <d v="2023-04-05T00:00:00"/>
    <x v="9"/>
    <s v="Wednesday"/>
    <x v="0"/>
    <n v="4"/>
  </r>
  <r>
    <n v="134"/>
    <s v="ORD-TK0134-06/04/23"/>
    <s v="PW002"/>
    <s v="Pakaian Wanita"/>
    <s v="Blouse"/>
    <n v="5"/>
    <n v="5"/>
    <n v="750000"/>
    <n v="675000"/>
    <n v="250000"/>
    <n v="175000"/>
    <s v="PP003"/>
    <s v="Pakaian Pria"/>
    <s v="Jaket Jeans"/>
    <n v="1"/>
    <n v="1"/>
    <n v="400000"/>
    <n v="360000"/>
    <n v="150000"/>
    <n v="110000"/>
    <s v="PP001"/>
    <s v="Pakaian Pria"/>
    <s v="Kaos Polo"/>
    <n v="1"/>
    <n v="5"/>
    <n v="200000"/>
    <n v="180000"/>
    <n v="80000"/>
    <n v="60000"/>
    <n v="7"/>
    <n v="1350000"/>
    <n v="1215000"/>
    <n v="480000"/>
    <n v="345000"/>
    <s v="DISCAPRIL"/>
    <n v="0.1"/>
    <x v="0"/>
    <x v="1"/>
    <x v="4"/>
    <d v="2023-04-06T00:00:00"/>
    <x v="8"/>
    <s v="Thursday"/>
    <x v="0"/>
    <n v="3.6666666666666665"/>
  </r>
  <r>
    <n v="135"/>
    <s v="ORD-BL0135-09/04/23"/>
    <s v="PP002"/>
    <s v="Pakaian Pria"/>
    <s v="Celana Pendek"/>
    <n v="2"/>
    <n v="3"/>
    <n v="360000"/>
    <n v="360000"/>
    <n v="140000"/>
    <n v="140000"/>
    <s v="PU001"/>
    <s v="Pakaian Unisex"/>
    <s v="Jaket Hoodie"/>
    <n v="2"/>
    <n v="3"/>
    <n v="700000"/>
    <n v="700000"/>
    <n v="260000"/>
    <n v="260000"/>
    <s v="SP001"/>
    <s v="Sepatu Pria"/>
    <s v="Sneakers"/>
    <n v="1"/>
    <n v="5"/>
    <n v="500000"/>
    <n v="500000"/>
    <n v="200000"/>
    <n v="200000"/>
    <n v="5"/>
    <n v="1560000"/>
    <n v="1560000"/>
    <n v="600000"/>
    <n v="600000"/>
    <s v="Tidak Ada"/>
    <s v="-"/>
    <x v="2"/>
    <x v="3"/>
    <x v="4"/>
    <d v="2023-04-09T00:00:00"/>
    <x v="10"/>
    <s v="Sunday"/>
    <x v="3"/>
    <n v="3.6666666666666665"/>
  </r>
  <r>
    <n v="136"/>
    <s v="ORD-SP0136-24/04/23"/>
    <s v="SW001"/>
    <s v="Sepatu Wanita"/>
    <s v="Flat Shoes"/>
    <n v="3"/>
    <n v="4"/>
    <n v="750000"/>
    <n v="600000"/>
    <n v="300000"/>
    <n v="150000"/>
    <s v="PW001"/>
    <s v="Pakaian Wanita"/>
    <s v="Dress"/>
    <n v="1"/>
    <n v="4"/>
    <n v="300000"/>
    <n v="240000"/>
    <n v="100000"/>
    <n v="40000"/>
    <m/>
    <s v="-"/>
    <s v="-"/>
    <m/>
    <m/>
    <n v="0"/>
    <n v="0"/>
    <n v="0"/>
    <n v="0"/>
    <n v="4"/>
    <n v="1050000"/>
    <n v="840000"/>
    <n v="400000"/>
    <n v="190000"/>
    <s v="DISC20"/>
    <n v="0.2"/>
    <x v="1"/>
    <x v="2"/>
    <x v="4"/>
    <d v="2023-04-24T00:00:00"/>
    <x v="4"/>
    <s v="Monday"/>
    <x v="2"/>
    <n v="4"/>
  </r>
  <r>
    <n v="137"/>
    <s v="ORD-BL0137-25/04/23"/>
    <s v="PP003"/>
    <s v="Pakaian Pria"/>
    <s v="Jaket Jeans"/>
    <n v="1"/>
    <n v="2"/>
    <n v="400000"/>
    <n v="340000"/>
    <n v="150000"/>
    <n v="90000"/>
    <m/>
    <s v="-"/>
    <s v="-"/>
    <m/>
    <m/>
    <n v="0"/>
    <n v="0"/>
    <n v="0"/>
    <n v="0"/>
    <m/>
    <s v="-"/>
    <s v="-"/>
    <m/>
    <m/>
    <n v="0"/>
    <n v="0"/>
    <n v="0"/>
    <n v="0"/>
    <n v="1"/>
    <n v="400000"/>
    <n v="340000"/>
    <n v="150000"/>
    <n v="90000"/>
    <s v="BUKALEBAR"/>
    <n v="0.15"/>
    <x v="1"/>
    <x v="3"/>
    <x v="1"/>
    <d v="2023-04-25T00:00:00"/>
    <x v="6"/>
    <s v="Tuesday"/>
    <x v="2"/>
    <n v="2"/>
  </r>
  <r>
    <n v="138"/>
    <s v="ORD-TK0138-23/04/23"/>
    <s v="SW001"/>
    <s v="Sepatu Wanita"/>
    <s v="Flat Shoes"/>
    <n v="1"/>
    <n v="2"/>
    <n v="250000"/>
    <n v="225000"/>
    <n v="100000"/>
    <n v="75000"/>
    <s v="PU001"/>
    <s v="Pakaian Unisex"/>
    <s v="Jaket Hoodie"/>
    <n v="1"/>
    <n v="4"/>
    <n v="350000"/>
    <n v="315000"/>
    <n v="130000"/>
    <n v="95000"/>
    <s v="PW001"/>
    <s v="Pakaian Wanita"/>
    <s v="Dress"/>
    <n v="3"/>
    <n v="3"/>
    <n v="900000"/>
    <n v="810000"/>
    <n v="300000"/>
    <n v="210000"/>
    <n v="5"/>
    <n v="1500000"/>
    <n v="1350000"/>
    <n v="530000"/>
    <n v="380000"/>
    <s v="LEBAR10"/>
    <n v="0.1"/>
    <x v="1"/>
    <x v="1"/>
    <x v="0"/>
    <d v="2023-04-23T00:00:00"/>
    <x v="25"/>
    <s v="Sunday"/>
    <x v="2"/>
    <n v="3"/>
  </r>
  <r>
    <n v="139"/>
    <s v="ORD-SP0139-23/04/23"/>
    <s v="PW002"/>
    <s v="Pakaian Wanita"/>
    <s v="Blouse"/>
    <n v="4"/>
    <n v="4"/>
    <n v="600000"/>
    <n v="480000"/>
    <n v="200000"/>
    <n v="80000"/>
    <m/>
    <s v="-"/>
    <s v="-"/>
    <m/>
    <m/>
    <n v="0"/>
    <n v="0"/>
    <n v="0"/>
    <n v="0"/>
    <m/>
    <s v="-"/>
    <s v="-"/>
    <m/>
    <m/>
    <n v="0"/>
    <n v="0"/>
    <n v="0"/>
    <n v="0"/>
    <n v="4"/>
    <n v="600000"/>
    <n v="480000"/>
    <n v="200000"/>
    <n v="80000"/>
    <s v="DISC20"/>
    <n v="0.2"/>
    <x v="1"/>
    <x v="2"/>
    <x v="5"/>
    <d v="2023-04-23T00:00:00"/>
    <x v="25"/>
    <s v="Sunday"/>
    <x v="2"/>
    <n v="4"/>
  </r>
  <r>
    <n v="140"/>
    <s v="ORD-BL0140-21/04/23"/>
    <s v="SP002"/>
    <s v="Sepatu Pria"/>
    <s v="Sandal Slip On"/>
    <n v="3"/>
    <n v="3"/>
    <n v="450000"/>
    <n v="382500"/>
    <n v="180000"/>
    <n v="112500"/>
    <s v="PW001"/>
    <s v="Pakaian Wanita"/>
    <s v="Dress"/>
    <n v="1"/>
    <n v="3"/>
    <n v="300000"/>
    <n v="255000"/>
    <n v="100000"/>
    <n v="55000"/>
    <s v="SP002"/>
    <s v="Sepatu Pria"/>
    <s v="Sandal Slip On"/>
    <n v="1"/>
    <n v="4"/>
    <n v="150000"/>
    <n v="127500"/>
    <n v="60000"/>
    <n v="37500"/>
    <n v="5"/>
    <n v="900000"/>
    <n v="765000"/>
    <n v="340000"/>
    <n v="205000"/>
    <s v="BUKALEBAR"/>
    <n v="0.15"/>
    <x v="1"/>
    <x v="3"/>
    <x v="0"/>
    <d v="2023-04-21T00:00:00"/>
    <x v="20"/>
    <s v="Friday"/>
    <x v="1"/>
    <n v="3.3333333333333335"/>
  </r>
  <r>
    <n v="141"/>
    <s v="ORD-BB0141-06/04/23"/>
    <s v="PU001"/>
    <s v="Pakaian Unisex"/>
    <s v="Jaket Hoodie"/>
    <n v="2"/>
    <n v="1"/>
    <n v="700000"/>
    <n v="595000"/>
    <n v="260000"/>
    <n v="155000"/>
    <s v="SW001"/>
    <s v="Sepatu Wanita"/>
    <s v="Flat Shoes"/>
    <n v="1"/>
    <n v="2"/>
    <n v="250000"/>
    <n v="212500"/>
    <n v="100000"/>
    <n v="62500"/>
    <m/>
    <s v="-"/>
    <s v="-"/>
    <m/>
    <m/>
    <n v="0"/>
    <n v="0"/>
    <n v="0"/>
    <n v="0"/>
    <n v="3"/>
    <n v="950000"/>
    <n v="807500"/>
    <n v="360000"/>
    <n v="217500"/>
    <s v="BELI44"/>
    <n v="0.15"/>
    <x v="0"/>
    <x v="0"/>
    <x v="5"/>
    <d v="2023-04-06T00:00:00"/>
    <x v="8"/>
    <s v="Thursday"/>
    <x v="0"/>
    <n v="1.5"/>
  </r>
  <r>
    <n v="142"/>
    <s v="ORD-BL0142-25/04/23"/>
    <s v="SW001"/>
    <s v="Sepatu Wanita"/>
    <s v="Flat Shoes"/>
    <n v="2"/>
    <n v="1"/>
    <n v="500000"/>
    <n v="425000"/>
    <n v="200000"/>
    <n v="125000"/>
    <s v="PU001"/>
    <s v="Pakaian Unisex"/>
    <s v="Jaket Hoodie"/>
    <n v="1"/>
    <n v="3"/>
    <n v="350000"/>
    <n v="297500"/>
    <n v="130000"/>
    <n v="77500"/>
    <s v="SP001"/>
    <s v="Sepatu Pria"/>
    <s v="Sneakers"/>
    <n v="4"/>
    <n v="3"/>
    <n v="2000000"/>
    <n v="1700000"/>
    <n v="800000"/>
    <n v="500000"/>
    <n v="7"/>
    <n v="2850000"/>
    <n v="2422500"/>
    <n v="1130000"/>
    <n v="702500"/>
    <s v="BUKALEBAR"/>
    <n v="0.15"/>
    <x v="1"/>
    <x v="3"/>
    <x v="4"/>
    <d v="2023-04-25T00:00:00"/>
    <x v="6"/>
    <s v="Tuesday"/>
    <x v="2"/>
    <n v="2.3333333333333335"/>
  </r>
  <r>
    <n v="143"/>
    <s v="ORD-SP0143-18/04/23"/>
    <s v="SP002"/>
    <s v="Sepatu Pria"/>
    <s v="Sandal Slip On"/>
    <n v="2"/>
    <n v="5"/>
    <n v="300000"/>
    <n v="240000"/>
    <n v="120000"/>
    <n v="60000"/>
    <s v="PP002"/>
    <s v="Pakaian Pria"/>
    <s v="Celana Pendek"/>
    <n v="3"/>
    <n v="5"/>
    <n v="540000"/>
    <n v="432000"/>
    <n v="210000"/>
    <n v="102000"/>
    <m/>
    <s v="-"/>
    <s v="-"/>
    <m/>
    <m/>
    <n v="0"/>
    <n v="0"/>
    <n v="0"/>
    <n v="0"/>
    <n v="5"/>
    <n v="840000"/>
    <n v="672000"/>
    <n v="330000"/>
    <n v="162000"/>
    <s v="DISC20"/>
    <n v="0.2"/>
    <x v="1"/>
    <x v="2"/>
    <x v="4"/>
    <d v="2023-04-18T00:00:00"/>
    <x v="24"/>
    <s v="Tuesday"/>
    <x v="1"/>
    <n v="5"/>
  </r>
  <r>
    <n v="144"/>
    <s v="ORD-BL0144-23/04/23"/>
    <s v="PU001"/>
    <s v="Pakaian Unisex"/>
    <s v="Jaket Hoodie"/>
    <n v="1"/>
    <n v="1"/>
    <n v="350000"/>
    <n v="297500"/>
    <n v="130000"/>
    <n v="77500"/>
    <m/>
    <s v="-"/>
    <s v="-"/>
    <m/>
    <m/>
    <n v="0"/>
    <n v="0"/>
    <n v="0"/>
    <n v="0"/>
    <m/>
    <s v="-"/>
    <s v="-"/>
    <m/>
    <m/>
    <n v="0"/>
    <n v="0"/>
    <n v="0"/>
    <n v="0"/>
    <n v="1"/>
    <n v="350000"/>
    <n v="297500"/>
    <n v="130000"/>
    <n v="77500"/>
    <s v="BUKALEBAR"/>
    <n v="0.15"/>
    <x v="1"/>
    <x v="3"/>
    <x v="1"/>
    <d v="2023-04-23T00:00:00"/>
    <x v="25"/>
    <s v="Sunday"/>
    <x v="2"/>
    <n v="1"/>
  </r>
  <r>
    <n v="145"/>
    <s v="ORD-SP0145-04/04/23"/>
    <s v="SP002"/>
    <s v="Sepatu Pria"/>
    <s v="Sandal Slip On"/>
    <n v="3"/>
    <n v="4"/>
    <n v="450000"/>
    <n v="405000"/>
    <n v="180000"/>
    <n v="135000"/>
    <s v="SP002"/>
    <s v="Sepatu Pria"/>
    <s v="Sandal Slip On"/>
    <n v="3"/>
    <n v="2"/>
    <n v="450000"/>
    <n v="405000"/>
    <n v="180000"/>
    <n v="135000"/>
    <s v="PW002"/>
    <s v="Pakaian Wanita"/>
    <s v="Blouse"/>
    <n v="1"/>
    <n v="5"/>
    <n v="150000"/>
    <n v="135000"/>
    <n v="50000"/>
    <n v="35000"/>
    <n v="7"/>
    <n v="1050000"/>
    <n v="945000"/>
    <n v="410000"/>
    <n v="305000"/>
    <s v="DISC10"/>
    <n v="0.1"/>
    <x v="0"/>
    <x v="2"/>
    <x v="4"/>
    <d v="2023-04-04T00:00:00"/>
    <x v="7"/>
    <s v="Tuesday"/>
    <x v="0"/>
    <n v="3.6666666666666665"/>
  </r>
  <r>
    <n v="146"/>
    <s v="ORD-TK0146-26/04/23"/>
    <s v="PW002"/>
    <s v="Pakaian Wanita"/>
    <s v="Blouse"/>
    <n v="6"/>
    <n v="1"/>
    <n v="900000"/>
    <n v="810000"/>
    <n v="300000"/>
    <n v="210000"/>
    <s v="PW003"/>
    <s v="Pakaian Wanita"/>
    <s v="Kaftan"/>
    <n v="1"/>
    <n v="3"/>
    <n v="250000"/>
    <n v="225000"/>
    <n v="100000"/>
    <n v="75000"/>
    <m/>
    <s v="-"/>
    <s v="-"/>
    <m/>
    <m/>
    <n v="0"/>
    <n v="0"/>
    <n v="0"/>
    <n v="0"/>
    <n v="7"/>
    <n v="1150000"/>
    <n v="1035000"/>
    <n v="400000"/>
    <n v="285000"/>
    <s v="LEBAR10"/>
    <n v="0.1"/>
    <x v="1"/>
    <x v="1"/>
    <x v="4"/>
    <d v="2023-04-26T00:00:00"/>
    <x v="15"/>
    <s v="Wednesday"/>
    <x v="2"/>
    <n v="2"/>
  </r>
  <r>
    <n v="147"/>
    <s v="ORD-SP0147-06/04/23"/>
    <s v="PW003"/>
    <s v="Pakaian Wanita"/>
    <s v="Kaftan"/>
    <n v="2"/>
    <n v="5"/>
    <n v="500000"/>
    <n v="450000"/>
    <n v="200000"/>
    <n v="150000"/>
    <m/>
    <s v="-"/>
    <s v="-"/>
    <m/>
    <m/>
    <n v="0"/>
    <n v="0"/>
    <n v="0"/>
    <n v="0"/>
    <m/>
    <s v="-"/>
    <s v="-"/>
    <m/>
    <m/>
    <n v="0"/>
    <n v="0"/>
    <n v="0"/>
    <n v="0"/>
    <n v="2"/>
    <n v="500000"/>
    <n v="450000"/>
    <n v="200000"/>
    <n v="150000"/>
    <s v="DISC10"/>
    <n v="0.1"/>
    <x v="0"/>
    <x v="2"/>
    <x v="4"/>
    <d v="2023-04-06T00:00:00"/>
    <x v="8"/>
    <s v="Thursday"/>
    <x v="0"/>
    <n v="5"/>
  </r>
  <r>
    <n v="148"/>
    <s v="ORD-SP0148-06/04/23"/>
    <s v="SW001"/>
    <s v="Sepatu Wanita"/>
    <s v="Flat Shoes"/>
    <n v="2"/>
    <n v="5"/>
    <n v="500000"/>
    <n v="450000"/>
    <n v="200000"/>
    <n v="150000"/>
    <m/>
    <s v="-"/>
    <s v="-"/>
    <m/>
    <m/>
    <n v="0"/>
    <n v="0"/>
    <n v="0"/>
    <n v="0"/>
    <m/>
    <s v="-"/>
    <s v="-"/>
    <m/>
    <m/>
    <n v="0"/>
    <n v="0"/>
    <n v="0"/>
    <n v="0"/>
    <n v="2"/>
    <n v="500000"/>
    <n v="450000"/>
    <n v="200000"/>
    <n v="150000"/>
    <s v="DISC10"/>
    <n v="0.1"/>
    <x v="0"/>
    <x v="2"/>
    <x v="5"/>
    <d v="2023-04-06T00:00:00"/>
    <x v="8"/>
    <s v="Thursday"/>
    <x v="0"/>
    <n v="5"/>
  </r>
  <r>
    <n v="149"/>
    <s v="ORD-BL0149-18/04/23"/>
    <s v="PP001"/>
    <s v="Pakaian Pria"/>
    <s v="Kaos Polo"/>
    <n v="2"/>
    <n v="4"/>
    <n v="400000"/>
    <n v="340000"/>
    <n v="160000"/>
    <n v="100000"/>
    <s v="SP001"/>
    <s v="Sepatu Pria"/>
    <s v="Sneakers"/>
    <n v="1"/>
    <n v="2"/>
    <n v="500000"/>
    <n v="425000"/>
    <n v="200000"/>
    <n v="125000"/>
    <s v="PW002"/>
    <s v="Pakaian Wanita"/>
    <s v="Blouse"/>
    <n v="1"/>
    <n v="5"/>
    <n v="150000"/>
    <n v="127500"/>
    <n v="50000"/>
    <n v="27500"/>
    <n v="4"/>
    <n v="1050000"/>
    <n v="892500"/>
    <n v="410000"/>
    <n v="252500"/>
    <s v="BUKALEBAR"/>
    <n v="0.15"/>
    <x v="1"/>
    <x v="3"/>
    <x v="1"/>
    <d v="2023-04-18T00:00:00"/>
    <x v="24"/>
    <s v="Tuesday"/>
    <x v="1"/>
    <n v="3.6666666666666665"/>
  </r>
  <r>
    <n v="150"/>
    <s v="ORD-SP0150-05/04/23"/>
    <s v="PW001"/>
    <s v="Pakaian Wanita"/>
    <s v="Dress"/>
    <n v="1"/>
    <n v="4"/>
    <n v="300000"/>
    <n v="255000"/>
    <n v="100000"/>
    <n v="55000"/>
    <s v="SP002"/>
    <s v="Sepatu Pria"/>
    <s v="Sandal Slip On"/>
    <n v="2"/>
    <n v="2"/>
    <n v="300000"/>
    <n v="255000"/>
    <n v="120000"/>
    <n v="75000"/>
    <s v="PW002"/>
    <s v="Pakaian Wanita"/>
    <s v="Blouse"/>
    <n v="3"/>
    <n v="4"/>
    <n v="450000"/>
    <n v="382500"/>
    <n v="150000"/>
    <n v="82500"/>
    <n v="6"/>
    <n v="1050000"/>
    <n v="892500"/>
    <n v="370000"/>
    <n v="212500"/>
    <s v="DISC15"/>
    <n v="0.15"/>
    <x v="0"/>
    <x v="2"/>
    <x v="5"/>
    <d v="2023-04-05T00:00:00"/>
    <x v="9"/>
    <s v="Wednesday"/>
    <x v="0"/>
    <n v="3.3333333333333335"/>
  </r>
  <r>
    <n v="151"/>
    <s v="ORD-BL0151-27/04/23"/>
    <s v="SW001"/>
    <s v="Sepatu Wanita"/>
    <s v="Flat Shoes"/>
    <n v="4"/>
    <n v="2"/>
    <n v="1000000"/>
    <n v="850000"/>
    <n v="400000"/>
    <n v="250000"/>
    <s v="PP001"/>
    <s v="Pakaian Pria"/>
    <s v="Kaos Polo"/>
    <n v="1"/>
    <n v="5"/>
    <n v="200000"/>
    <n v="170000"/>
    <n v="80000"/>
    <n v="50000"/>
    <m/>
    <s v="-"/>
    <s v="-"/>
    <m/>
    <m/>
    <n v="0"/>
    <n v="0"/>
    <n v="0"/>
    <n v="0"/>
    <n v="5"/>
    <n v="1200000"/>
    <n v="1020000"/>
    <n v="480000"/>
    <n v="300000"/>
    <s v="BUKALEBAR"/>
    <n v="0.15"/>
    <x v="1"/>
    <x v="3"/>
    <x v="5"/>
    <d v="2023-04-27T00:00:00"/>
    <x v="18"/>
    <s v="Thursday"/>
    <x v="2"/>
    <n v="3.5"/>
  </r>
  <r>
    <n v="152"/>
    <s v="ORD-BB0152-02/04/23"/>
    <s v="PW003"/>
    <s v="Pakaian Wanita"/>
    <s v="Kaftan"/>
    <n v="4"/>
    <n v="3"/>
    <n v="1000000"/>
    <n v="850000"/>
    <n v="400000"/>
    <n v="250000"/>
    <m/>
    <s v="-"/>
    <s v="-"/>
    <m/>
    <m/>
    <n v="0"/>
    <n v="0"/>
    <n v="0"/>
    <n v="0"/>
    <m/>
    <s v="-"/>
    <s v="-"/>
    <m/>
    <m/>
    <n v="0"/>
    <n v="0"/>
    <n v="0"/>
    <n v="0"/>
    <n v="4"/>
    <n v="1000000"/>
    <n v="850000"/>
    <n v="400000"/>
    <n v="250000"/>
    <s v="BELI44"/>
    <n v="0.15"/>
    <x v="0"/>
    <x v="0"/>
    <x v="4"/>
    <d v="2023-04-02T00:00:00"/>
    <x v="1"/>
    <s v="Sunday"/>
    <x v="0"/>
    <n v="3"/>
  </r>
  <r>
    <n v="153"/>
    <s v="ORD-SP0153-04/04/23"/>
    <s v="SW001"/>
    <s v="Sepatu Wanita"/>
    <s v="Flat Shoes"/>
    <n v="2"/>
    <n v="1"/>
    <n v="500000"/>
    <n v="450000"/>
    <n v="200000"/>
    <n v="150000"/>
    <s v="PP001"/>
    <s v="Pakaian Pria"/>
    <s v="Kaos Polo"/>
    <n v="1"/>
    <n v="5"/>
    <n v="200000"/>
    <n v="180000"/>
    <n v="80000"/>
    <n v="60000"/>
    <m/>
    <s v="-"/>
    <s v="-"/>
    <m/>
    <m/>
    <n v="0"/>
    <n v="0"/>
    <n v="0"/>
    <n v="0"/>
    <n v="3"/>
    <n v="700000"/>
    <n v="630000"/>
    <n v="280000"/>
    <n v="210000"/>
    <s v="DISC10"/>
    <n v="0.1"/>
    <x v="0"/>
    <x v="2"/>
    <x v="5"/>
    <d v="2023-04-04T00:00:00"/>
    <x v="7"/>
    <s v="Tuesday"/>
    <x v="0"/>
    <n v="3"/>
  </r>
  <r>
    <n v="154"/>
    <s v="ORD-SP0154-09/04/23"/>
    <s v="PP001"/>
    <s v="Pakaian Pria"/>
    <s v="Kaos Polo"/>
    <n v="7"/>
    <n v="1"/>
    <n v="1400000"/>
    <n v="1400000"/>
    <n v="560000"/>
    <n v="560000"/>
    <m/>
    <s v="-"/>
    <s v="-"/>
    <m/>
    <m/>
    <n v="0"/>
    <n v="0"/>
    <n v="0"/>
    <n v="0"/>
    <m/>
    <s v="-"/>
    <s v="-"/>
    <m/>
    <m/>
    <n v="0"/>
    <n v="0"/>
    <n v="0"/>
    <n v="0"/>
    <n v="7"/>
    <n v="1400000"/>
    <n v="1400000"/>
    <n v="560000"/>
    <n v="560000"/>
    <s v="Tidak Ada"/>
    <s v="-"/>
    <x v="2"/>
    <x v="2"/>
    <x v="2"/>
    <d v="2023-04-09T00:00:00"/>
    <x v="10"/>
    <s v="Sunday"/>
    <x v="3"/>
    <n v="1"/>
  </r>
  <r>
    <n v="155"/>
    <s v="ORD-BB0155-03/04/23"/>
    <s v="PP001"/>
    <s v="Pakaian Pria"/>
    <s v="Kaos Polo"/>
    <n v="4"/>
    <n v="5"/>
    <n v="800000"/>
    <n v="680000"/>
    <n v="320000"/>
    <n v="200000"/>
    <s v="SP002"/>
    <s v="Sepatu Pria"/>
    <s v="Sandal Slip On"/>
    <n v="1"/>
    <n v="3"/>
    <n v="150000"/>
    <n v="127500"/>
    <n v="60000"/>
    <n v="37500"/>
    <s v="SW001"/>
    <s v="Sepatu Wanita"/>
    <s v="Flat Shoes"/>
    <n v="1"/>
    <n v="2"/>
    <n v="250000"/>
    <n v="212500"/>
    <n v="100000"/>
    <n v="62500"/>
    <n v="6"/>
    <n v="1200000"/>
    <n v="1020000"/>
    <n v="480000"/>
    <n v="300000"/>
    <s v="BELI44"/>
    <n v="0.15"/>
    <x v="0"/>
    <x v="0"/>
    <x v="1"/>
    <d v="2023-04-03T00:00:00"/>
    <x v="2"/>
    <s v="Monday"/>
    <x v="0"/>
    <n v="3.3333333333333335"/>
  </r>
  <r>
    <n v="156"/>
    <s v="ORD-SP0156-01/04/23"/>
    <s v="PP001"/>
    <s v="Pakaian Pria"/>
    <s v="Kaos Polo"/>
    <n v="1"/>
    <n v="2"/>
    <n v="200000"/>
    <n v="170000"/>
    <n v="80000"/>
    <n v="50000"/>
    <s v="PP003"/>
    <s v="Pakaian Pria"/>
    <s v="Jaket Jeans"/>
    <n v="2"/>
    <n v="5"/>
    <n v="800000"/>
    <n v="680000"/>
    <n v="300000"/>
    <n v="180000"/>
    <s v="PW001"/>
    <s v="Pakaian Wanita"/>
    <s v="Dress"/>
    <n v="1"/>
    <n v="2"/>
    <n v="300000"/>
    <n v="255000"/>
    <n v="100000"/>
    <n v="55000"/>
    <n v="4"/>
    <n v="1300000"/>
    <n v="1105000"/>
    <n v="480000"/>
    <n v="285000"/>
    <s v="DISC15"/>
    <n v="0.15"/>
    <x v="0"/>
    <x v="2"/>
    <x v="1"/>
    <d v="2023-04-01T00:00:00"/>
    <x v="0"/>
    <s v="Saturday"/>
    <x v="0"/>
    <n v="3"/>
  </r>
  <r>
    <n v="157"/>
    <s v="ORD-SP0157-02/04/23"/>
    <s v="SW001"/>
    <s v="Sepatu Wanita"/>
    <s v="Flat Shoes"/>
    <n v="4"/>
    <n v="2"/>
    <n v="1000000"/>
    <n v="850000"/>
    <n v="400000"/>
    <n v="250000"/>
    <m/>
    <s v="-"/>
    <s v="-"/>
    <m/>
    <m/>
    <n v="0"/>
    <n v="0"/>
    <n v="0"/>
    <n v="0"/>
    <m/>
    <s v="-"/>
    <s v="-"/>
    <m/>
    <m/>
    <n v="0"/>
    <n v="0"/>
    <n v="0"/>
    <n v="0"/>
    <n v="4"/>
    <n v="1000000"/>
    <n v="850000"/>
    <n v="400000"/>
    <n v="250000"/>
    <s v="DISC15"/>
    <n v="0.15"/>
    <x v="0"/>
    <x v="2"/>
    <x v="1"/>
    <d v="2023-04-02T00:00:00"/>
    <x v="1"/>
    <s v="Sunday"/>
    <x v="0"/>
    <n v="2"/>
  </r>
  <r>
    <n v="158"/>
    <s v="ORD-SP0158-06/04/23"/>
    <s v="PU001"/>
    <s v="Pakaian Unisex"/>
    <s v="Jaket Hoodie"/>
    <n v="4"/>
    <n v="3"/>
    <n v="1400000"/>
    <n v="1190000"/>
    <n v="520000"/>
    <n v="310000"/>
    <s v="PP003"/>
    <s v="Pakaian Pria"/>
    <s v="Jaket Jeans"/>
    <n v="2"/>
    <n v="5"/>
    <n v="800000"/>
    <n v="680000"/>
    <n v="300000"/>
    <n v="180000"/>
    <m/>
    <s v="-"/>
    <s v="-"/>
    <m/>
    <m/>
    <n v="0"/>
    <n v="0"/>
    <n v="0"/>
    <n v="0"/>
    <n v="6"/>
    <n v="2200000"/>
    <n v="1870000"/>
    <n v="820000"/>
    <n v="490000"/>
    <s v="DISC15"/>
    <n v="0.15"/>
    <x v="0"/>
    <x v="2"/>
    <x v="1"/>
    <d v="2023-04-06T00:00:00"/>
    <x v="8"/>
    <s v="Thursday"/>
    <x v="0"/>
    <n v="4"/>
  </r>
  <r>
    <n v="159"/>
    <s v="ORD-SP0159-08/04/23"/>
    <s v="PW003"/>
    <s v="Pakaian Wanita"/>
    <s v="Kaftan"/>
    <n v="1"/>
    <n v="1"/>
    <n v="250000"/>
    <n v="250000"/>
    <n v="100000"/>
    <n v="100000"/>
    <m/>
    <s v="-"/>
    <s v="-"/>
    <m/>
    <m/>
    <n v="0"/>
    <n v="0"/>
    <n v="0"/>
    <n v="0"/>
    <m/>
    <s v="-"/>
    <s v="-"/>
    <m/>
    <m/>
    <n v="0"/>
    <n v="0"/>
    <n v="0"/>
    <n v="0"/>
    <n v="1"/>
    <n v="250000"/>
    <n v="250000"/>
    <n v="100000"/>
    <n v="100000"/>
    <s v="Tidak Ada"/>
    <s v="-"/>
    <x v="2"/>
    <x v="2"/>
    <x v="4"/>
    <d v="2023-04-08T00:00:00"/>
    <x v="26"/>
    <s v="Saturday"/>
    <x v="3"/>
    <n v="1"/>
  </r>
  <r>
    <n v="160"/>
    <s v="ORD-SP0160-08/04/23"/>
    <s v="PW001"/>
    <s v="Pakaian Wanita"/>
    <s v="Dress"/>
    <n v="1"/>
    <n v="4"/>
    <n v="300000"/>
    <n v="300000"/>
    <n v="100000"/>
    <n v="100000"/>
    <s v="PP001"/>
    <s v="Pakaian Pria"/>
    <s v="Kaos Polo"/>
    <n v="2"/>
    <n v="3"/>
    <n v="400000"/>
    <n v="400000"/>
    <n v="160000"/>
    <n v="160000"/>
    <s v="SP002"/>
    <s v="Sepatu Pria"/>
    <s v="Sandal Slip On"/>
    <n v="2"/>
    <n v="1"/>
    <n v="300000"/>
    <n v="300000"/>
    <n v="120000"/>
    <n v="120000"/>
    <n v="5"/>
    <n v="1000000"/>
    <n v="1000000"/>
    <n v="380000"/>
    <n v="380000"/>
    <s v="Tidak Ada"/>
    <s v="-"/>
    <x v="2"/>
    <x v="2"/>
    <x v="4"/>
    <d v="2023-04-08T00:00:00"/>
    <x v="26"/>
    <s v="Saturday"/>
    <x v="3"/>
    <n v="2.6666666666666665"/>
  </r>
  <r>
    <n v="161"/>
    <s v="ORD-SP0161-17/04/23"/>
    <s v="PP003"/>
    <s v="Pakaian Pria"/>
    <s v="Jaket Jeans"/>
    <n v="3"/>
    <n v="2"/>
    <n v="1200000"/>
    <n v="960000"/>
    <n v="450000"/>
    <n v="210000"/>
    <s v="SW001"/>
    <s v="Sepatu Wanita"/>
    <s v="Flat Shoes"/>
    <n v="1"/>
    <n v="5"/>
    <n v="250000"/>
    <n v="200000"/>
    <n v="100000"/>
    <n v="50000"/>
    <m/>
    <s v="-"/>
    <s v="-"/>
    <m/>
    <m/>
    <n v="0"/>
    <n v="0"/>
    <n v="0"/>
    <n v="0"/>
    <n v="4"/>
    <n v="1450000"/>
    <n v="1160000"/>
    <n v="550000"/>
    <n v="260000"/>
    <s v="DISC20"/>
    <n v="0.2"/>
    <x v="1"/>
    <x v="2"/>
    <x v="1"/>
    <d v="2023-04-17T00:00:00"/>
    <x v="3"/>
    <s v="Monday"/>
    <x v="1"/>
    <n v="3.5"/>
  </r>
  <r>
    <n v="162"/>
    <s v="ORD-SP0162-02/04/23"/>
    <s v="PU001"/>
    <s v="Pakaian Unisex"/>
    <s v="Jaket Hoodie"/>
    <n v="2"/>
    <n v="3"/>
    <n v="700000"/>
    <n v="630000"/>
    <n v="260000"/>
    <n v="190000"/>
    <s v="PU001"/>
    <s v="Pakaian Unisex"/>
    <s v="Jaket Hoodie"/>
    <n v="2"/>
    <n v="1"/>
    <n v="700000"/>
    <n v="630000"/>
    <n v="260000"/>
    <n v="190000"/>
    <s v="PU001"/>
    <s v="Pakaian Unisex"/>
    <s v="Jaket Hoodie"/>
    <n v="2"/>
    <n v="4"/>
    <n v="700000"/>
    <n v="630000"/>
    <n v="260000"/>
    <n v="190000"/>
    <n v="6"/>
    <n v="2100000"/>
    <n v="1890000"/>
    <n v="780000"/>
    <n v="570000"/>
    <s v="DISC10"/>
    <n v="0.1"/>
    <x v="0"/>
    <x v="2"/>
    <x v="3"/>
    <d v="2023-04-02T00:00:00"/>
    <x v="1"/>
    <s v="Sunday"/>
    <x v="0"/>
    <n v="2.6666666666666665"/>
  </r>
  <r>
    <n v="163"/>
    <s v="ORD-BL0163-19/04/23"/>
    <s v="PP001"/>
    <s v="Pakaian Pria"/>
    <s v="Kaos Polo"/>
    <n v="2"/>
    <n v="3"/>
    <n v="400000"/>
    <n v="340000"/>
    <n v="160000"/>
    <n v="100000"/>
    <s v="SP002"/>
    <s v="Sepatu Pria"/>
    <s v="Sandal Slip On"/>
    <n v="1"/>
    <n v="2"/>
    <n v="150000"/>
    <n v="127500"/>
    <n v="60000"/>
    <n v="37500"/>
    <s v="PU001"/>
    <s v="Pakaian Unisex"/>
    <s v="Jaket Hoodie"/>
    <n v="1"/>
    <n v="1"/>
    <n v="350000"/>
    <n v="297500"/>
    <n v="130000"/>
    <n v="77500"/>
    <n v="4"/>
    <n v="900000"/>
    <n v="765000"/>
    <n v="350000"/>
    <n v="215000"/>
    <s v="BUKALEBAR"/>
    <n v="0.15"/>
    <x v="1"/>
    <x v="3"/>
    <x v="1"/>
    <d v="2023-04-19T00:00:00"/>
    <x v="19"/>
    <s v="Wednesday"/>
    <x v="1"/>
    <n v="2"/>
  </r>
  <r>
    <n v="164"/>
    <s v="ORD-SP0164-01/04/23"/>
    <s v="PP003"/>
    <s v="Pakaian Pria"/>
    <s v="Jaket Jeans"/>
    <n v="2"/>
    <n v="5"/>
    <n v="800000"/>
    <n v="720000"/>
    <n v="300000"/>
    <n v="220000"/>
    <m/>
    <s v="-"/>
    <s v="-"/>
    <m/>
    <m/>
    <n v="0"/>
    <n v="0"/>
    <n v="0"/>
    <n v="0"/>
    <m/>
    <s v="-"/>
    <s v="-"/>
    <m/>
    <m/>
    <n v="0"/>
    <n v="0"/>
    <n v="0"/>
    <n v="0"/>
    <n v="2"/>
    <n v="800000"/>
    <n v="720000"/>
    <n v="300000"/>
    <n v="220000"/>
    <s v="DISC10"/>
    <n v="0.1"/>
    <x v="0"/>
    <x v="2"/>
    <x v="0"/>
    <d v="2023-04-01T00:00:00"/>
    <x v="0"/>
    <s v="Saturday"/>
    <x v="0"/>
    <n v="5"/>
  </r>
  <r>
    <n v="165"/>
    <s v="ORD-SP0165-02/04/23"/>
    <s v="SW001"/>
    <s v="Sepatu Wanita"/>
    <s v="Flat Shoes"/>
    <n v="2"/>
    <n v="4"/>
    <n v="500000"/>
    <n v="450000"/>
    <n v="200000"/>
    <n v="150000"/>
    <m/>
    <s v="-"/>
    <s v="-"/>
    <m/>
    <m/>
    <n v="0"/>
    <n v="0"/>
    <n v="0"/>
    <n v="0"/>
    <m/>
    <s v="-"/>
    <s v="-"/>
    <m/>
    <m/>
    <n v="0"/>
    <n v="0"/>
    <n v="0"/>
    <n v="0"/>
    <n v="2"/>
    <n v="500000"/>
    <n v="450000"/>
    <n v="200000"/>
    <n v="150000"/>
    <s v="DISC10"/>
    <n v="0.1"/>
    <x v="0"/>
    <x v="2"/>
    <x v="4"/>
    <d v="2023-04-02T00:00:00"/>
    <x v="1"/>
    <s v="Sunday"/>
    <x v="0"/>
    <n v="4"/>
  </r>
  <r>
    <n v="166"/>
    <s v="ORD-TK0166-27/04/23"/>
    <s v="PP002"/>
    <s v="Pakaian Pria"/>
    <s v="Celana Pendek"/>
    <n v="1"/>
    <n v="4"/>
    <n v="180000"/>
    <n v="162000"/>
    <n v="70000"/>
    <n v="52000"/>
    <s v="PP001"/>
    <s v="Pakaian Pria"/>
    <s v="Kaos Polo"/>
    <n v="4"/>
    <n v="1"/>
    <n v="800000"/>
    <n v="720000"/>
    <n v="320000"/>
    <n v="240000"/>
    <m/>
    <s v="-"/>
    <s v="-"/>
    <m/>
    <m/>
    <n v="0"/>
    <n v="0"/>
    <n v="0"/>
    <n v="0"/>
    <n v="5"/>
    <n v="980000"/>
    <n v="882000"/>
    <n v="390000"/>
    <n v="292000"/>
    <s v="LEBAR10"/>
    <n v="0.1"/>
    <x v="1"/>
    <x v="1"/>
    <x v="0"/>
    <d v="2023-04-27T00:00:00"/>
    <x v="18"/>
    <s v="Thursday"/>
    <x v="2"/>
    <n v="2.5"/>
  </r>
  <r>
    <n v="167"/>
    <s v="ORD-BB0167-15/04/23"/>
    <s v="PP003"/>
    <s v="Pakaian Pria"/>
    <s v="Jaket Jeans"/>
    <n v="5"/>
    <n v="2"/>
    <n v="2000000"/>
    <n v="2000000"/>
    <n v="750000"/>
    <n v="750000"/>
    <s v="SP002"/>
    <s v="Sepatu Pria"/>
    <s v="Sandal Slip On"/>
    <n v="2"/>
    <n v="4"/>
    <n v="300000"/>
    <n v="300000"/>
    <n v="120000"/>
    <n v="120000"/>
    <m/>
    <s v="-"/>
    <s v="-"/>
    <m/>
    <m/>
    <n v="0"/>
    <n v="0"/>
    <n v="0"/>
    <n v="0"/>
    <n v="7"/>
    <n v="2300000"/>
    <n v="2300000"/>
    <n v="870000"/>
    <n v="870000"/>
    <s v="Tidak Ada"/>
    <s v="-"/>
    <x v="2"/>
    <x v="0"/>
    <x v="4"/>
    <d v="2023-04-15T00:00:00"/>
    <x v="16"/>
    <s v="Saturday"/>
    <x v="1"/>
    <n v="3"/>
  </r>
  <r>
    <n v="168"/>
    <s v="ORD-TK0168-09/04/23"/>
    <s v="PW001"/>
    <s v="Pakaian Wanita"/>
    <s v="Dress"/>
    <n v="2"/>
    <n v="3"/>
    <n v="600000"/>
    <n v="600000"/>
    <n v="200000"/>
    <n v="200000"/>
    <s v="PW003"/>
    <s v="Pakaian Wanita"/>
    <s v="Kaftan"/>
    <n v="1"/>
    <n v="4"/>
    <n v="250000"/>
    <n v="250000"/>
    <n v="100000"/>
    <n v="100000"/>
    <m/>
    <s v="-"/>
    <s v="-"/>
    <m/>
    <m/>
    <n v="0"/>
    <n v="0"/>
    <n v="0"/>
    <n v="0"/>
    <n v="3"/>
    <n v="850000"/>
    <n v="850000"/>
    <n v="300000"/>
    <n v="300000"/>
    <s v="Tidak Ada"/>
    <s v="-"/>
    <x v="2"/>
    <x v="1"/>
    <x v="2"/>
    <d v="2023-04-09T00:00:00"/>
    <x v="10"/>
    <s v="Sunday"/>
    <x v="3"/>
    <n v="3.5"/>
  </r>
  <r>
    <n v="169"/>
    <s v="ORD-TK0169-22/04/23"/>
    <s v="PW001"/>
    <s v="Pakaian Wanita"/>
    <s v="Dress"/>
    <n v="1"/>
    <n v="5"/>
    <n v="300000"/>
    <n v="270000"/>
    <n v="100000"/>
    <n v="70000"/>
    <s v="SP002"/>
    <s v="Sepatu Pria"/>
    <s v="Sandal Slip On"/>
    <n v="2"/>
    <n v="5"/>
    <n v="300000"/>
    <n v="270000"/>
    <n v="120000"/>
    <n v="90000"/>
    <m/>
    <s v="-"/>
    <s v="-"/>
    <m/>
    <m/>
    <n v="0"/>
    <n v="0"/>
    <n v="0"/>
    <n v="0"/>
    <n v="3"/>
    <n v="600000"/>
    <n v="540000"/>
    <n v="220000"/>
    <n v="160000"/>
    <s v="LEBAR10"/>
    <n v="0.1"/>
    <x v="1"/>
    <x v="1"/>
    <x v="4"/>
    <d v="2023-04-22T00:00:00"/>
    <x v="27"/>
    <s v="Saturday"/>
    <x v="2"/>
    <n v="5"/>
  </r>
  <r>
    <n v="170"/>
    <s v="ORD-SP0170-27/04/23"/>
    <s v="PP003"/>
    <s v="Pakaian Pria"/>
    <s v="Jaket Jeans"/>
    <n v="1"/>
    <n v="3"/>
    <n v="400000"/>
    <n v="320000"/>
    <n v="150000"/>
    <n v="70000"/>
    <m/>
    <s v="-"/>
    <s v="-"/>
    <m/>
    <m/>
    <n v="0"/>
    <n v="0"/>
    <n v="0"/>
    <n v="0"/>
    <m/>
    <s v="-"/>
    <s v="-"/>
    <m/>
    <m/>
    <n v="0"/>
    <n v="0"/>
    <n v="0"/>
    <n v="0"/>
    <n v="1"/>
    <n v="400000"/>
    <n v="320000"/>
    <n v="150000"/>
    <n v="70000"/>
    <s v="DISC20"/>
    <n v="0.2"/>
    <x v="1"/>
    <x v="2"/>
    <x v="5"/>
    <d v="2023-04-27T00:00:00"/>
    <x v="18"/>
    <s v="Thursday"/>
    <x v="2"/>
    <n v="3"/>
  </r>
  <r>
    <n v="171"/>
    <s v="ORD-SP0171-08/04/23"/>
    <s v="PP002"/>
    <s v="Pakaian Pria"/>
    <s v="Celana Pendek"/>
    <n v="3"/>
    <n v="1"/>
    <n v="540000"/>
    <n v="540000"/>
    <n v="210000"/>
    <n v="210000"/>
    <s v="SP002"/>
    <s v="Sepatu Pria"/>
    <s v="Sandal Slip On"/>
    <n v="1"/>
    <n v="2"/>
    <n v="150000"/>
    <n v="150000"/>
    <n v="60000"/>
    <n v="60000"/>
    <s v="PW003"/>
    <s v="Pakaian Wanita"/>
    <s v="Kaftan"/>
    <n v="2"/>
    <n v="1"/>
    <n v="500000"/>
    <n v="500000"/>
    <n v="200000"/>
    <n v="200000"/>
    <n v="6"/>
    <n v="1190000"/>
    <n v="1190000"/>
    <n v="470000"/>
    <n v="470000"/>
    <s v="Tidak Ada"/>
    <s v="-"/>
    <x v="2"/>
    <x v="2"/>
    <x v="2"/>
    <d v="2023-04-08T00:00:00"/>
    <x v="26"/>
    <s v="Saturday"/>
    <x v="3"/>
    <n v="1.3333333333333333"/>
  </r>
  <r>
    <n v="172"/>
    <s v="ORD-TK0172-04/04/23"/>
    <s v="PP003"/>
    <s v="Pakaian Pria"/>
    <s v="Jaket Jeans"/>
    <n v="3"/>
    <n v="3"/>
    <n v="1200000"/>
    <n v="1080000"/>
    <n v="450000"/>
    <n v="330000"/>
    <s v="SP002"/>
    <s v="Sepatu Pria"/>
    <s v="Sandal Slip On"/>
    <n v="1"/>
    <n v="1"/>
    <n v="150000"/>
    <n v="135000"/>
    <n v="60000"/>
    <n v="45000"/>
    <m/>
    <s v="-"/>
    <s v="-"/>
    <m/>
    <m/>
    <n v="0"/>
    <n v="0"/>
    <n v="0"/>
    <n v="0"/>
    <n v="4"/>
    <n v="1350000"/>
    <n v="1215000"/>
    <n v="510000"/>
    <n v="375000"/>
    <s v="DISCAPRIL"/>
    <n v="0.1"/>
    <x v="0"/>
    <x v="1"/>
    <x v="1"/>
    <d v="2023-04-04T00:00:00"/>
    <x v="7"/>
    <s v="Tuesday"/>
    <x v="0"/>
    <n v="2"/>
  </r>
  <r>
    <n v="173"/>
    <s v="ORD-BB0173-03/04/23"/>
    <s v="PW002"/>
    <s v="Pakaian Wanita"/>
    <s v="Blouse"/>
    <n v="6"/>
    <n v="3"/>
    <n v="900000"/>
    <n v="765000"/>
    <n v="300000"/>
    <n v="165000"/>
    <s v="SW001"/>
    <s v="Sepatu Wanita"/>
    <s v="Flat Shoes"/>
    <n v="1"/>
    <n v="4"/>
    <n v="250000"/>
    <n v="212500"/>
    <n v="100000"/>
    <n v="62500"/>
    <m/>
    <s v="-"/>
    <s v="-"/>
    <m/>
    <m/>
    <n v="0"/>
    <n v="0"/>
    <n v="0"/>
    <n v="0"/>
    <n v="7"/>
    <n v="1150000"/>
    <n v="977500"/>
    <n v="400000"/>
    <n v="227500"/>
    <s v="BELI44"/>
    <n v="0.15"/>
    <x v="0"/>
    <x v="0"/>
    <x v="5"/>
    <d v="2023-04-03T00:00:00"/>
    <x v="2"/>
    <s v="Monday"/>
    <x v="0"/>
    <n v="3.5"/>
  </r>
  <r>
    <n v="174"/>
    <s v="ORD-SP0174-24/04/23"/>
    <s v="PU001"/>
    <s v="Pakaian Unisex"/>
    <s v="Jaket Hoodie"/>
    <n v="1"/>
    <n v="2"/>
    <n v="350000"/>
    <n v="280000"/>
    <n v="130000"/>
    <n v="60000"/>
    <m/>
    <s v="-"/>
    <s v="-"/>
    <m/>
    <m/>
    <n v="0"/>
    <n v="0"/>
    <n v="0"/>
    <n v="0"/>
    <m/>
    <s v="-"/>
    <s v="-"/>
    <m/>
    <m/>
    <n v="0"/>
    <n v="0"/>
    <n v="0"/>
    <n v="0"/>
    <n v="1"/>
    <n v="350000"/>
    <n v="280000"/>
    <n v="130000"/>
    <n v="60000"/>
    <s v="DISC20"/>
    <n v="0.2"/>
    <x v="1"/>
    <x v="2"/>
    <x v="4"/>
    <d v="2023-04-24T00:00:00"/>
    <x v="4"/>
    <s v="Monday"/>
    <x v="2"/>
    <n v="2"/>
  </r>
  <r>
    <n v="175"/>
    <s v="ORD-BB0175-06/04/23"/>
    <s v="PP002"/>
    <s v="Pakaian Pria"/>
    <s v="Celana Pendek"/>
    <n v="2"/>
    <n v="4"/>
    <n v="360000"/>
    <n v="306000"/>
    <n v="140000"/>
    <n v="86000"/>
    <m/>
    <s v="-"/>
    <s v="-"/>
    <m/>
    <m/>
    <n v="0"/>
    <n v="0"/>
    <n v="0"/>
    <n v="0"/>
    <m/>
    <s v="-"/>
    <s v="-"/>
    <m/>
    <m/>
    <n v="0"/>
    <n v="0"/>
    <n v="0"/>
    <n v="0"/>
    <n v="2"/>
    <n v="360000"/>
    <n v="306000"/>
    <n v="140000"/>
    <n v="86000"/>
    <s v="BELI44"/>
    <n v="0.15"/>
    <x v="0"/>
    <x v="0"/>
    <x v="0"/>
    <d v="2023-04-06T00:00:00"/>
    <x v="8"/>
    <s v="Thursday"/>
    <x v="0"/>
    <n v="4"/>
  </r>
  <r>
    <n v="176"/>
    <s v="ORD-BL0176-17/04/23"/>
    <s v="PU001"/>
    <s v="Pakaian Unisex"/>
    <s v="Jaket Hoodie"/>
    <n v="1"/>
    <n v="3"/>
    <n v="350000"/>
    <n v="297500"/>
    <n v="130000"/>
    <n v="77500"/>
    <s v="PW003"/>
    <s v="Pakaian Wanita"/>
    <s v="Kaftan"/>
    <n v="1"/>
    <n v="4"/>
    <n v="250000"/>
    <n v="212500"/>
    <n v="100000"/>
    <n v="62500"/>
    <m/>
    <s v="-"/>
    <s v="-"/>
    <m/>
    <m/>
    <n v="0"/>
    <n v="0"/>
    <n v="0"/>
    <n v="0"/>
    <n v="2"/>
    <n v="600000"/>
    <n v="510000"/>
    <n v="230000"/>
    <n v="140000"/>
    <s v="BUKALEBAR"/>
    <n v="0.15"/>
    <x v="1"/>
    <x v="3"/>
    <x v="5"/>
    <d v="2023-04-17T00:00:00"/>
    <x v="3"/>
    <s v="Monday"/>
    <x v="1"/>
    <n v="3.5"/>
  </r>
  <r>
    <n v="177"/>
    <s v="ORD-SP0177-29/04/23"/>
    <s v="PP002"/>
    <s v="Pakaian Pria"/>
    <s v="Celana Pendek"/>
    <n v="1"/>
    <n v="3"/>
    <n v="180000"/>
    <n v="144000"/>
    <n v="70000"/>
    <n v="34000"/>
    <s v="SP001"/>
    <s v="Sepatu Pria"/>
    <s v="Sneakers"/>
    <n v="1"/>
    <n v="4"/>
    <n v="500000"/>
    <n v="400000"/>
    <n v="200000"/>
    <n v="100000"/>
    <s v="PW003"/>
    <s v="Pakaian Wanita"/>
    <s v="Kaftan"/>
    <n v="1"/>
    <n v="2"/>
    <n v="250000"/>
    <n v="200000"/>
    <n v="100000"/>
    <n v="50000"/>
    <n v="3"/>
    <n v="930000"/>
    <n v="744000"/>
    <n v="370000"/>
    <n v="184000"/>
    <s v="DISC20"/>
    <n v="0.2"/>
    <x v="1"/>
    <x v="2"/>
    <x v="5"/>
    <d v="2023-04-29T00:00:00"/>
    <x v="13"/>
    <s v="Saturday"/>
    <x v="2"/>
    <n v="3"/>
  </r>
  <r>
    <n v="178"/>
    <s v="ORD-SP0178-03/04/23"/>
    <s v="PU001"/>
    <s v="Pakaian Unisex"/>
    <s v="Jaket Hoodie"/>
    <n v="1"/>
    <n v="3"/>
    <n v="350000"/>
    <n v="315000"/>
    <n v="130000"/>
    <n v="95000"/>
    <s v="SP002"/>
    <s v="Sepatu Pria"/>
    <s v="Sandal Slip On"/>
    <n v="1"/>
    <n v="5"/>
    <n v="150000"/>
    <n v="135000"/>
    <n v="60000"/>
    <n v="45000"/>
    <m/>
    <s v="-"/>
    <s v="-"/>
    <m/>
    <m/>
    <n v="0"/>
    <n v="0"/>
    <n v="0"/>
    <n v="0"/>
    <n v="2"/>
    <n v="500000"/>
    <n v="450000"/>
    <n v="190000"/>
    <n v="140000"/>
    <s v="DISC10"/>
    <n v="0.1"/>
    <x v="0"/>
    <x v="2"/>
    <x v="1"/>
    <d v="2023-04-03T00:00:00"/>
    <x v="2"/>
    <s v="Monday"/>
    <x v="0"/>
    <n v="4"/>
  </r>
  <r>
    <n v="179"/>
    <s v="ORD-SP0179-16/04/23"/>
    <s v="SW001"/>
    <s v="Sepatu Wanita"/>
    <s v="Flat Shoes"/>
    <n v="1"/>
    <n v="5"/>
    <n v="250000"/>
    <n v="200000"/>
    <n v="100000"/>
    <n v="50000"/>
    <m/>
    <s v="-"/>
    <s v="-"/>
    <m/>
    <m/>
    <n v="0"/>
    <n v="0"/>
    <n v="0"/>
    <n v="0"/>
    <m/>
    <s v="-"/>
    <s v="-"/>
    <m/>
    <m/>
    <n v="0"/>
    <n v="0"/>
    <n v="0"/>
    <n v="0"/>
    <n v="1"/>
    <n v="250000"/>
    <n v="200000"/>
    <n v="100000"/>
    <n v="50000"/>
    <s v="DISC20"/>
    <n v="0.2"/>
    <x v="1"/>
    <x v="2"/>
    <x v="1"/>
    <d v="2023-04-16T00:00:00"/>
    <x v="17"/>
    <s v="Sunday"/>
    <x v="1"/>
    <n v="5"/>
  </r>
  <r>
    <n v="180"/>
    <s v="ORD-TK0180-03/04/23"/>
    <s v="PP003"/>
    <s v="Pakaian Pria"/>
    <s v="Jaket Jeans"/>
    <n v="2"/>
    <n v="4"/>
    <n v="800000"/>
    <n v="720000"/>
    <n v="300000"/>
    <n v="220000"/>
    <s v="PW003"/>
    <s v="Pakaian Wanita"/>
    <s v="Kaftan"/>
    <n v="1"/>
    <n v="1"/>
    <n v="250000"/>
    <n v="225000"/>
    <n v="100000"/>
    <n v="75000"/>
    <s v="SP002"/>
    <s v="Sepatu Pria"/>
    <s v="Sandal Slip On"/>
    <n v="1"/>
    <n v="1"/>
    <n v="150000"/>
    <n v="135000"/>
    <n v="60000"/>
    <n v="45000"/>
    <n v="4"/>
    <n v="1200000"/>
    <n v="1080000"/>
    <n v="460000"/>
    <n v="340000"/>
    <s v="DISCAPRIL"/>
    <n v="0.1"/>
    <x v="0"/>
    <x v="1"/>
    <x v="0"/>
    <d v="2023-04-03T00:00:00"/>
    <x v="2"/>
    <s v="Monday"/>
    <x v="0"/>
    <n v="2"/>
  </r>
  <r>
    <n v="181"/>
    <s v="ORD-SP0181-01/04/23"/>
    <s v="PW002"/>
    <s v="Pakaian Wanita"/>
    <s v="Blouse"/>
    <n v="5"/>
    <n v="5"/>
    <n v="750000"/>
    <n v="675000"/>
    <n v="250000"/>
    <n v="175000"/>
    <s v="PP003"/>
    <s v="Pakaian Pria"/>
    <s v="Jaket Jeans"/>
    <n v="2"/>
    <n v="2"/>
    <n v="800000"/>
    <n v="720000"/>
    <n v="300000"/>
    <n v="220000"/>
    <m/>
    <s v="-"/>
    <s v="-"/>
    <m/>
    <m/>
    <n v="0"/>
    <n v="0"/>
    <n v="0"/>
    <n v="0"/>
    <n v="7"/>
    <n v="1550000"/>
    <n v="1395000"/>
    <n v="550000"/>
    <n v="395000"/>
    <s v="DISC10"/>
    <n v="0.1"/>
    <x v="0"/>
    <x v="2"/>
    <x v="4"/>
    <d v="2023-04-01T00:00:00"/>
    <x v="0"/>
    <s v="Saturday"/>
    <x v="0"/>
    <n v="3.5"/>
  </r>
  <r>
    <n v="182"/>
    <s v="ORD-SP0182-04/04/23"/>
    <s v="PP001"/>
    <s v="Pakaian Pria"/>
    <s v="Kaos Polo"/>
    <n v="1"/>
    <n v="3"/>
    <n v="200000"/>
    <n v="170000"/>
    <n v="80000"/>
    <n v="50000"/>
    <s v="PP003"/>
    <s v="Pakaian Pria"/>
    <s v="Jaket Jeans"/>
    <n v="1"/>
    <n v="4"/>
    <n v="400000"/>
    <n v="340000"/>
    <n v="150000"/>
    <n v="90000"/>
    <m/>
    <s v="-"/>
    <s v="-"/>
    <m/>
    <m/>
    <n v="0"/>
    <n v="0"/>
    <n v="0"/>
    <n v="0"/>
    <n v="2"/>
    <n v="600000"/>
    <n v="510000"/>
    <n v="230000"/>
    <n v="140000"/>
    <s v="DISC15"/>
    <n v="0.15"/>
    <x v="0"/>
    <x v="2"/>
    <x v="5"/>
    <d v="2023-04-04T00:00:00"/>
    <x v="7"/>
    <s v="Tuesday"/>
    <x v="0"/>
    <n v="3.5"/>
  </r>
  <r>
    <n v="183"/>
    <s v="ORD-BL0183-20/04/23"/>
    <s v="PW002"/>
    <s v="Pakaian Wanita"/>
    <s v="Blouse"/>
    <n v="7"/>
    <n v="4"/>
    <n v="1050000"/>
    <n v="892500"/>
    <n v="350000"/>
    <n v="192500"/>
    <m/>
    <s v="-"/>
    <s v="-"/>
    <m/>
    <m/>
    <n v="0"/>
    <n v="0"/>
    <n v="0"/>
    <n v="0"/>
    <m/>
    <s v="-"/>
    <s v="-"/>
    <m/>
    <m/>
    <n v="0"/>
    <n v="0"/>
    <n v="0"/>
    <n v="0"/>
    <n v="7"/>
    <n v="1050000"/>
    <n v="892500"/>
    <n v="350000"/>
    <n v="192500"/>
    <s v="BUKALEBAR"/>
    <n v="0.15"/>
    <x v="1"/>
    <x v="3"/>
    <x v="2"/>
    <d v="2023-04-20T00:00:00"/>
    <x v="5"/>
    <s v="Thursday"/>
    <x v="1"/>
    <n v="4"/>
  </r>
  <r>
    <n v="184"/>
    <s v="ORD-TK0184-24/04/23"/>
    <s v="SP002"/>
    <s v="Sepatu Pria"/>
    <s v="Sandal Slip On"/>
    <n v="2"/>
    <n v="2"/>
    <n v="300000"/>
    <n v="270000"/>
    <n v="120000"/>
    <n v="90000"/>
    <s v="PU001"/>
    <s v="Pakaian Unisex"/>
    <s v="Jaket Hoodie"/>
    <n v="2"/>
    <n v="2"/>
    <n v="700000"/>
    <n v="630000"/>
    <n v="260000"/>
    <n v="190000"/>
    <m/>
    <s v="-"/>
    <s v="-"/>
    <m/>
    <m/>
    <n v="0"/>
    <n v="0"/>
    <n v="0"/>
    <n v="0"/>
    <n v="4"/>
    <n v="1000000"/>
    <n v="900000"/>
    <n v="380000"/>
    <n v="280000"/>
    <s v="LEBAR10"/>
    <n v="0.1"/>
    <x v="1"/>
    <x v="1"/>
    <x v="4"/>
    <d v="2023-04-24T00:00:00"/>
    <x v="4"/>
    <s v="Monday"/>
    <x v="2"/>
    <n v="2"/>
  </r>
  <r>
    <n v="185"/>
    <s v="ORD-SP0185-06/04/23"/>
    <s v="PP003"/>
    <s v="Pakaian Pria"/>
    <s v="Jaket Jeans"/>
    <n v="3"/>
    <n v="2"/>
    <n v="1200000"/>
    <n v="1020000"/>
    <n v="450000"/>
    <n v="270000"/>
    <s v="SP001"/>
    <s v="Sepatu Pria"/>
    <s v="Sneakers"/>
    <n v="1"/>
    <n v="5"/>
    <n v="500000"/>
    <n v="425000"/>
    <n v="200000"/>
    <n v="125000"/>
    <m/>
    <s v="-"/>
    <s v="-"/>
    <m/>
    <m/>
    <n v="0"/>
    <n v="0"/>
    <n v="0"/>
    <n v="0"/>
    <n v="4"/>
    <n v="1700000"/>
    <n v="1445000"/>
    <n v="650000"/>
    <n v="395000"/>
    <s v="DISC15"/>
    <n v="0.15"/>
    <x v="0"/>
    <x v="2"/>
    <x v="0"/>
    <d v="2023-04-06T00:00:00"/>
    <x v="8"/>
    <s v="Thursday"/>
    <x v="0"/>
    <n v="3.5"/>
  </r>
  <r>
    <n v="186"/>
    <s v="ORD-BB0186-05/04/23"/>
    <s v="PP001"/>
    <s v="Pakaian Pria"/>
    <s v="Kaos Polo"/>
    <n v="4"/>
    <n v="2"/>
    <n v="800000"/>
    <n v="680000"/>
    <n v="320000"/>
    <n v="200000"/>
    <s v="PW001"/>
    <s v="Pakaian Wanita"/>
    <s v="Dress"/>
    <n v="1"/>
    <n v="4"/>
    <n v="300000"/>
    <n v="255000"/>
    <n v="100000"/>
    <n v="55000"/>
    <m/>
    <s v="-"/>
    <s v="-"/>
    <m/>
    <m/>
    <n v="0"/>
    <n v="0"/>
    <n v="0"/>
    <n v="0"/>
    <n v="5"/>
    <n v="1100000"/>
    <n v="935000"/>
    <n v="420000"/>
    <n v="255000"/>
    <s v="BELI44"/>
    <n v="0.15"/>
    <x v="0"/>
    <x v="0"/>
    <x v="4"/>
    <d v="2023-04-05T00:00:00"/>
    <x v="9"/>
    <s v="Wednesday"/>
    <x v="0"/>
    <n v="3"/>
  </r>
  <r>
    <n v="187"/>
    <s v="ORD-TK0187-29/04/23"/>
    <s v="PU001"/>
    <s v="Pakaian Unisex"/>
    <s v="Jaket Hoodie"/>
    <n v="1"/>
    <n v="2"/>
    <n v="350000"/>
    <n v="315000"/>
    <n v="130000"/>
    <n v="95000"/>
    <s v="PP001"/>
    <s v="Pakaian Pria"/>
    <s v="Kaos Polo"/>
    <n v="1"/>
    <n v="5"/>
    <n v="200000"/>
    <n v="180000"/>
    <n v="80000"/>
    <n v="60000"/>
    <m/>
    <s v="-"/>
    <s v="-"/>
    <m/>
    <m/>
    <n v="0"/>
    <n v="0"/>
    <n v="0"/>
    <n v="0"/>
    <n v="2"/>
    <n v="550000"/>
    <n v="495000"/>
    <n v="210000"/>
    <n v="155000"/>
    <s v="LEBAR10"/>
    <n v="0.1"/>
    <x v="1"/>
    <x v="1"/>
    <x v="1"/>
    <d v="2023-04-29T00:00:00"/>
    <x v="13"/>
    <s v="Saturday"/>
    <x v="2"/>
    <n v="3.5"/>
  </r>
  <r>
    <n v="188"/>
    <s v="ORD-SP0188-28/04/23"/>
    <s v="PP002"/>
    <s v="Pakaian Pria"/>
    <s v="Celana Pendek"/>
    <n v="5"/>
    <n v="1"/>
    <n v="900000"/>
    <n v="720000"/>
    <n v="350000"/>
    <n v="170000"/>
    <s v="PW001"/>
    <s v="Pakaian Wanita"/>
    <s v="Dress"/>
    <n v="1"/>
    <n v="5"/>
    <n v="300000"/>
    <n v="240000"/>
    <n v="100000"/>
    <n v="40000"/>
    <m/>
    <s v="-"/>
    <s v="-"/>
    <m/>
    <m/>
    <n v="0"/>
    <n v="0"/>
    <n v="0"/>
    <n v="0"/>
    <n v="6"/>
    <n v="1200000"/>
    <n v="960000"/>
    <n v="450000"/>
    <n v="210000"/>
    <s v="DISC20"/>
    <n v="0.2"/>
    <x v="1"/>
    <x v="2"/>
    <x v="4"/>
    <d v="2023-04-28T00:00:00"/>
    <x v="11"/>
    <s v="Friday"/>
    <x v="2"/>
    <n v="3"/>
  </r>
  <r>
    <n v="189"/>
    <s v="ORD-TK0189-01/04/23"/>
    <s v="PW001"/>
    <s v="Pakaian Wanita"/>
    <s v="Dress"/>
    <n v="1"/>
    <n v="4"/>
    <n v="300000"/>
    <n v="270000"/>
    <n v="100000"/>
    <n v="70000"/>
    <s v="SW001"/>
    <s v="Sepatu Wanita"/>
    <s v="Flat Shoes"/>
    <n v="4"/>
    <n v="1"/>
    <n v="1000000"/>
    <n v="900000"/>
    <n v="400000"/>
    <n v="300000"/>
    <s v="SP001"/>
    <s v="Sepatu Pria"/>
    <s v="Sneakers"/>
    <n v="1"/>
    <n v="5"/>
    <n v="500000"/>
    <n v="450000"/>
    <n v="200000"/>
    <n v="150000"/>
    <n v="6"/>
    <n v="1800000"/>
    <n v="1620000"/>
    <n v="700000"/>
    <n v="520000"/>
    <s v="DISCAPRIL"/>
    <n v="0.1"/>
    <x v="0"/>
    <x v="1"/>
    <x v="4"/>
    <d v="2023-04-01T00:00:00"/>
    <x v="0"/>
    <s v="Saturday"/>
    <x v="0"/>
    <n v="3.3333333333333335"/>
  </r>
  <r>
    <n v="190"/>
    <s v="ORD-TK0190-05/04/23"/>
    <s v="SP001"/>
    <s v="Sepatu Pria"/>
    <s v="Sneakers"/>
    <n v="2"/>
    <n v="3"/>
    <n v="1000000"/>
    <n v="900000"/>
    <n v="400000"/>
    <n v="300000"/>
    <s v="SW001"/>
    <s v="Sepatu Wanita"/>
    <s v="Flat Shoes"/>
    <n v="1"/>
    <n v="3"/>
    <n v="250000"/>
    <n v="225000"/>
    <n v="100000"/>
    <n v="75000"/>
    <m/>
    <s v="-"/>
    <s v="-"/>
    <m/>
    <m/>
    <n v="0"/>
    <n v="0"/>
    <n v="0"/>
    <n v="0"/>
    <n v="3"/>
    <n v="1250000"/>
    <n v="1125000"/>
    <n v="500000"/>
    <n v="375000"/>
    <s v="DISCAPRIL"/>
    <n v="0.1"/>
    <x v="0"/>
    <x v="1"/>
    <x v="4"/>
    <d v="2023-04-05T00:00:00"/>
    <x v="9"/>
    <s v="Wednesday"/>
    <x v="0"/>
    <n v="3"/>
  </r>
  <r>
    <n v="191"/>
    <s v="ORD-TK0191-18/04/23"/>
    <s v="PP001"/>
    <s v="Pakaian Pria"/>
    <s v="Kaos Polo"/>
    <n v="3"/>
    <n v="2"/>
    <n v="600000"/>
    <n v="540000"/>
    <n v="240000"/>
    <n v="180000"/>
    <s v="PW003"/>
    <s v="Pakaian Wanita"/>
    <s v="Kaftan"/>
    <n v="2"/>
    <n v="5"/>
    <n v="500000"/>
    <n v="450000"/>
    <n v="200000"/>
    <n v="150000"/>
    <s v="PW001"/>
    <s v="Pakaian Wanita"/>
    <s v="Dress"/>
    <n v="1"/>
    <n v="1"/>
    <n v="300000"/>
    <n v="270000"/>
    <n v="100000"/>
    <n v="70000"/>
    <n v="6"/>
    <n v="1400000"/>
    <n v="1260000"/>
    <n v="540000"/>
    <n v="400000"/>
    <s v="LEBAR10"/>
    <n v="0.1"/>
    <x v="1"/>
    <x v="1"/>
    <x v="4"/>
    <d v="2023-04-18T00:00:00"/>
    <x v="24"/>
    <s v="Tuesday"/>
    <x v="1"/>
    <n v="2.6666666666666665"/>
  </r>
  <r>
    <n v="192"/>
    <s v="ORD-BB0192-05/04/23"/>
    <s v="PW001"/>
    <s v="Pakaian Wanita"/>
    <s v="Dress"/>
    <n v="1"/>
    <n v="2"/>
    <n v="300000"/>
    <n v="255000"/>
    <n v="100000"/>
    <n v="55000"/>
    <s v="SW001"/>
    <s v="Sepatu Wanita"/>
    <s v="Flat Shoes"/>
    <n v="1"/>
    <n v="3"/>
    <n v="250000"/>
    <n v="212500"/>
    <n v="100000"/>
    <n v="62500"/>
    <m/>
    <s v="-"/>
    <s v="-"/>
    <m/>
    <m/>
    <n v="0"/>
    <n v="0"/>
    <n v="0"/>
    <n v="0"/>
    <n v="2"/>
    <n v="550000"/>
    <n v="467500"/>
    <n v="200000"/>
    <n v="117500"/>
    <s v="BELI44"/>
    <n v="0.15"/>
    <x v="0"/>
    <x v="0"/>
    <x v="4"/>
    <d v="2023-04-05T00:00:00"/>
    <x v="9"/>
    <s v="Wednesday"/>
    <x v="0"/>
    <n v="2.5"/>
  </r>
  <r>
    <n v="193"/>
    <s v="ORD-TK0193-01/04/23"/>
    <s v="PP002"/>
    <s v="Pakaian Pria"/>
    <s v="Celana Pendek"/>
    <n v="4"/>
    <n v="5"/>
    <n v="720000"/>
    <n v="648000"/>
    <n v="280000"/>
    <n v="208000"/>
    <s v="SP002"/>
    <s v="Sepatu Pria"/>
    <s v="Sandal Slip On"/>
    <n v="2"/>
    <n v="3"/>
    <n v="300000"/>
    <n v="270000"/>
    <n v="120000"/>
    <n v="90000"/>
    <s v="PW001"/>
    <s v="Pakaian Wanita"/>
    <s v="Dress"/>
    <n v="1"/>
    <n v="1"/>
    <n v="300000"/>
    <n v="270000"/>
    <n v="100000"/>
    <n v="70000"/>
    <n v="7"/>
    <n v="1320000"/>
    <n v="1188000"/>
    <n v="500000"/>
    <n v="368000"/>
    <s v="DISCAPRIL"/>
    <n v="0.1"/>
    <x v="0"/>
    <x v="1"/>
    <x v="5"/>
    <d v="2023-04-01T00:00:00"/>
    <x v="0"/>
    <s v="Saturday"/>
    <x v="0"/>
    <n v="3"/>
  </r>
  <r>
    <n v="194"/>
    <s v="ORD-SP0194-06/04/23"/>
    <s v="PW002"/>
    <s v="Pakaian Wanita"/>
    <s v="Blouse"/>
    <n v="1"/>
    <n v="3"/>
    <n v="150000"/>
    <n v="135000"/>
    <n v="50000"/>
    <n v="35000"/>
    <m/>
    <s v="-"/>
    <s v="-"/>
    <m/>
    <m/>
    <n v="0"/>
    <n v="0"/>
    <n v="0"/>
    <n v="0"/>
    <m/>
    <s v="-"/>
    <s v="-"/>
    <m/>
    <m/>
    <n v="0"/>
    <n v="0"/>
    <n v="0"/>
    <n v="0"/>
    <n v="1"/>
    <n v="150000"/>
    <n v="135000"/>
    <n v="50000"/>
    <n v="35000"/>
    <s v="DISC10"/>
    <n v="0.1"/>
    <x v="0"/>
    <x v="2"/>
    <x v="4"/>
    <d v="2023-04-06T00:00:00"/>
    <x v="8"/>
    <s v="Thursday"/>
    <x v="0"/>
    <n v="3"/>
  </r>
  <r>
    <n v="195"/>
    <s v="ORD-SP0195-01/04/23"/>
    <s v="SW001"/>
    <s v="Sepatu Wanita"/>
    <s v="Flat Shoes"/>
    <n v="2"/>
    <n v="5"/>
    <n v="500000"/>
    <n v="425000"/>
    <n v="200000"/>
    <n v="125000"/>
    <s v="PW001"/>
    <s v="Pakaian Wanita"/>
    <s v="Dress"/>
    <n v="2"/>
    <n v="1"/>
    <n v="600000"/>
    <n v="510000"/>
    <n v="200000"/>
    <n v="110000"/>
    <s v="PP003"/>
    <s v="Pakaian Pria"/>
    <s v="Jaket Jeans"/>
    <n v="2"/>
    <n v="2"/>
    <n v="800000"/>
    <n v="680000"/>
    <n v="300000"/>
    <n v="180000"/>
    <n v="6"/>
    <n v="1900000"/>
    <n v="1615000"/>
    <n v="700000"/>
    <n v="415000"/>
    <s v="DISC15"/>
    <n v="0.15"/>
    <x v="0"/>
    <x v="2"/>
    <x v="0"/>
    <d v="2023-04-01T00:00:00"/>
    <x v="0"/>
    <s v="Saturday"/>
    <x v="0"/>
    <n v="2.6666666666666665"/>
  </r>
  <r>
    <n v="196"/>
    <s v="ORD-BB0196-02/04/23"/>
    <s v="SP001"/>
    <s v="Sepatu Pria"/>
    <s v="Sneakers"/>
    <n v="6"/>
    <n v="4"/>
    <n v="3000000"/>
    <n v="2550000"/>
    <n v="1200000"/>
    <n v="750000"/>
    <s v="PP001"/>
    <s v="Pakaian Pria"/>
    <s v="Kaos Polo"/>
    <n v="1"/>
    <n v="4"/>
    <n v="200000"/>
    <n v="170000"/>
    <n v="80000"/>
    <n v="50000"/>
    <m/>
    <s v="-"/>
    <s v="-"/>
    <m/>
    <m/>
    <n v="0"/>
    <n v="0"/>
    <n v="0"/>
    <n v="0"/>
    <n v="7"/>
    <n v="3200000"/>
    <n v="2720000"/>
    <n v="1280000"/>
    <n v="800000"/>
    <s v="BELI44"/>
    <n v="0.15"/>
    <x v="0"/>
    <x v="0"/>
    <x v="4"/>
    <d v="2023-04-02T00:00:00"/>
    <x v="1"/>
    <s v="Sunday"/>
    <x v="0"/>
    <n v="4"/>
  </r>
  <r>
    <n v="197"/>
    <s v="ORD-SP0197-02/04/23"/>
    <s v="SP002"/>
    <s v="Sepatu Pria"/>
    <s v="Sandal Slip On"/>
    <n v="4"/>
    <n v="2"/>
    <n v="600000"/>
    <n v="510000"/>
    <n v="240000"/>
    <n v="150000"/>
    <s v="PW003"/>
    <s v="Pakaian Wanita"/>
    <s v="Kaftan"/>
    <n v="1"/>
    <n v="5"/>
    <n v="250000"/>
    <n v="212500"/>
    <n v="100000"/>
    <n v="62500"/>
    <s v="SP001"/>
    <s v="Sepatu Pria"/>
    <s v="Sneakers"/>
    <n v="1"/>
    <n v="5"/>
    <n v="500000"/>
    <n v="425000"/>
    <n v="200000"/>
    <n v="125000"/>
    <n v="6"/>
    <n v="1350000"/>
    <n v="1147500"/>
    <n v="540000"/>
    <n v="337500"/>
    <s v="DISC15"/>
    <n v="0.15"/>
    <x v="0"/>
    <x v="2"/>
    <x v="1"/>
    <d v="2023-04-02T00:00:00"/>
    <x v="1"/>
    <s v="Sunday"/>
    <x v="0"/>
    <n v="4"/>
  </r>
  <r>
    <n v="198"/>
    <s v="ORD-SP0198-26/04/23"/>
    <s v="PW002"/>
    <s v="Pakaian Wanita"/>
    <s v="Blouse"/>
    <n v="2"/>
    <n v="1"/>
    <n v="300000"/>
    <n v="240000"/>
    <n v="100000"/>
    <n v="40000"/>
    <m/>
    <s v="-"/>
    <s v="-"/>
    <m/>
    <m/>
    <n v="0"/>
    <n v="0"/>
    <n v="0"/>
    <n v="0"/>
    <m/>
    <s v="-"/>
    <s v="-"/>
    <m/>
    <m/>
    <n v="0"/>
    <n v="0"/>
    <n v="0"/>
    <n v="0"/>
    <n v="2"/>
    <n v="300000"/>
    <n v="240000"/>
    <n v="100000"/>
    <n v="40000"/>
    <s v="DISC20"/>
    <n v="0.2"/>
    <x v="1"/>
    <x v="2"/>
    <x v="4"/>
    <d v="2023-04-26T00:00:00"/>
    <x v="15"/>
    <s v="Wednesday"/>
    <x v="2"/>
    <n v="1"/>
  </r>
  <r>
    <n v="199"/>
    <s v="ORD-SP0199-05/04/23"/>
    <s v="PW002"/>
    <s v="Pakaian Wanita"/>
    <s v="Blouse"/>
    <n v="1"/>
    <n v="4"/>
    <n v="150000"/>
    <n v="127500"/>
    <n v="50000"/>
    <n v="27500"/>
    <m/>
    <s v="-"/>
    <s v="-"/>
    <m/>
    <m/>
    <n v="0"/>
    <n v="0"/>
    <n v="0"/>
    <n v="0"/>
    <m/>
    <s v="-"/>
    <s v="-"/>
    <m/>
    <m/>
    <n v="0"/>
    <n v="0"/>
    <n v="0"/>
    <n v="0"/>
    <n v="1"/>
    <n v="150000"/>
    <n v="127500"/>
    <n v="50000"/>
    <n v="27500"/>
    <s v="DISC15"/>
    <n v="0.15"/>
    <x v="0"/>
    <x v="2"/>
    <x v="5"/>
    <d v="2023-04-05T00:00:00"/>
    <x v="9"/>
    <s v="Wednesday"/>
    <x v="0"/>
    <n v="4"/>
  </r>
  <r>
    <n v="200"/>
    <s v="ORD-SP0200-26/04/23"/>
    <s v="PW002"/>
    <s v="Pakaian Wanita"/>
    <s v="Blouse"/>
    <n v="1"/>
    <n v="4"/>
    <n v="150000"/>
    <n v="120000"/>
    <n v="50000"/>
    <n v="20000"/>
    <s v="PU001"/>
    <s v="Pakaian Unisex"/>
    <s v="Jaket Hoodie"/>
    <n v="1"/>
    <n v="4"/>
    <n v="350000"/>
    <n v="280000"/>
    <n v="130000"/>
    <n v="60000"/>
    <s v="SP001"/>
    <s v="Sepatu Pria"/>
    <s v="Sneakers"/>
    <n v="1"/>
    <n v="2"/>
    <n v="500000"/>
    <n v="400000"/>
    <n v="200000"/>
    <n v="100000"/>
    <n v="3"/>
    <n v="1000000"/>
    <n v="800000"/>
    <n v="380000"/>
    <n v="180000"/>
    <s v="DISC20"/>
    <n v="0.2"/>
    <x v="1"/>
    <x v="2"/>
    <x v="0"/>
    <d v="2023-04-26T00:00:00"/>
    <x v="15"/>
    <s v="Wednesday"/>
    <x v="2"/>
    <n v="3.3333333333333335"/>
  </r>
  <r>
    <n v="201"/>
    <s v="ORD-TK0201-30/04/23"/>
    <s v="PP003"/>
    <s v="Pakaian Pria"/>
    <s v="Jaket Jeans"/>
    <n v="1"/>
    <n v="1"/>
    <n v="400000"/>
    <n v="360000"/>
    <n v="150000"/>
    <n v="110000"/>
    <m/>
    <s v="-"/>
    <s v="-"/>
    <m/>
    <m/>
    <n v="0"/>
    <n v="0"/>
    <n v="0"/>
    <n v="0"/>
    <m/>
    <s v="-"/>
    <s v="-"/>
    <m/>
    <m/>
    <n v="0"/>
    <n v="0"/>
    <n v="0"/>
    <n v="0"/>
    <n v="1"/>
    <n v="400000"/>
    <n v="360000"/>
    <n v="150000"/>
    <n v="110000"/>
    <s v="LEBAR10"/>
    <n v="0.1"/>
    <x v="1"/>
    <x v="1"/>
    <x v="4"/>
    <d v="2023-04-30T00:00:00"/>
    <x v="12"/>
    <s v="Sunday"/>
    <x v="2"/>
    <n v="1"/>
  </r>
  <r>
    <n v="202"/>
    <s v="ORD-SP0202-05/04/23"/>
    <s v="PP001"/>
    <s v="Pakaian Pria"/>
    <s v="Kaos Polo"/>
    <n v="1"/>
    <n v="3"/>
    <n v="200000"/>
    <n v="170000"/>
    <n v="80000"/>
    <n v="50000"/>
    <s v="SP001"/>
    <s v="Sepatu Pria"/>
    <s v="Sneakers"/>
    <n v="1"/>
    <n v="2"/>
    <n v="500000"/>
    <n v="425000"/>
    <n v="200000"/>
    <n v="125000"/>
    <s v="PW003"/>
    <s v="Pakaian Wanita"/>
    <s v="Kaftan"/>
    <n v="1"/>
    <n v="1"/>
    <n v="250000"/>
    <n v="212500"/>
    <n v="100000"/>
    <n v="62500"/>
    <n v="3"/>
    <n v="950000"/>
    <n v="807500"/>
    <n v="380000"/>
    <n v="237500"/>
    <s v="DISC15"/>
    <n v="0.15"/>
    <x v="0"/>
    <x v="2"/>
    <x v="5"/>
    <d v="2023-04-05T00:00:00"/>
    <x v="9"/>
    <s v="Wednesday"/>
    <x v="0"/>
    <n v="2"/>
  </r>
  <r>
    <n v="203"/>
    <s v="ORD-SP0203-06/04/23"/>
    <s v="SP002"/>
    <s v="Sepatu Pria"/>
    <s v="Sandal Slip On"/>
    <n v="5"/>
    <n v="2"/>
    <n v="750000"/>
    <n v="637500"/>
    <n v="300000"/>
    <n v="187500"/>
    <s v="PW002"/>
    <s v="Pakaian Wanita"/>
    <s v="Blouse"/>
    <n v="2"/>
    <n v="1"/>
    <n v="300000"/>
    <n v="255000"/>
    <n v="100000"/>
    <n v="55000"/>
    <m/>
    <s v="-"/>
    <s v="-"/>
    <m/>
    <m/>
    <n v="0"/>
    <n v="0"/>
    <n v="0"/>
    <n v="0"/>
    <n v="7"/>
    <n v="1050000"/>
    <n v="892500"/>
    <n v="400000"/>
    <n v="242500"/>
    <s v="DISC15"/>
    <n v="0.15"/>
    <x v="0"/>
    <x v="2"/>
    <x v="4"/>
    <d v="2023-04-06T00:00:00"/>
    <x v="8"/>
    <s v="Thursday"/>
    <x v="0"/>
    <n v="1.5"/>
  </r>
  <r>
    <n v="204"/>
    <s v="ORD-BL0204-29/04/23"/>
    <s v="PW001"/>
    <s v="Pakaian Wanita"/>
    <s v="Dress"/>
    <n v="2"/>
    <n v="2"/>
    <n v="600000"/>
    <n v="510000"/>
    <n v="200000"/>
    <n v="110000"/>
    <s v="PW003"/>
    <s v="Pakaian Wanita"/>
    <s v="Kaftan"/>
    <n v="1"/>
    <n v="2"/>
    <n v="250000"/>
    <n v="212500"/>
    <n v="100000"/>
    <n v="62500"/>
    <m/>
    <s v="-"/>
    <s v="-"/>
    <m/>
    <m/>
    <n v="0"/>
    <n v="0"/>
    <n v="0"/>
    <n v="0"/>
    <n v="3"/>
    <n v="850000"/>
    <n v="722500"/>
    <n v="300000"/>
    <n v="172500"/>
    <s v="BUKALEBAR"/>
    <n v="0.15"/>
    <x v="1"/>
    <x v="3"/>
    <x v="4"/>
    <d v="2023-04-29T00:00:00"/>
    <x v="13"/>
    <s v="Saturday"/>
    <x v="2"/>
    <n v="2"/>
  </r>
  <r>
    <n v="205"/>
    <s v="ORD-BL0205-21/04/23"/>
    <s v="SP002"/>
    <s v="Sepatu Pria"/>
    <s v="Sandal Slip On"/>
    <n v="1"/>
    <n v="5"/>
    <n v="150000"/>
    <n v="127500"/>
    <n v="60000"/>
    <n v="37500"/>
    <m/>
    <s v="-"/>
    <s v="-"/>
    <m/>
    <m/>
    <n v="0"/>
    <n v="0"/>
    <n v="0"/>
    <n v="0"/>
    <m/>
    <s v="-"/>
    <s v="-"/>
    <m/>
    <m/>
    <n v="0"/>
    <n v="0"/>
    <n v="0"/>
    <n v="0"/>
    <n v="1"/>
    <n v="150000"/>
    <n v="127500"/>
    <n v="60000"/>
    <n v="37500"/>
    <s v="BUKALEBAR"/>
    <n v="0.15"/>
    <x v="1"/>
    <x v="3"/>
    <x v="2"/>
    <d v="2023-04-21T00:00:00"/>
    <x v="20"/>
    <s v="Friday"/>
    <x v="1"/>
    <n v="5"/>
  </r>
  <r>
    <n v="206"/>
    <s v="ORD-SP0206-04/04/23"/>
    <s v="PP002"/>
    <s v="Pakaian Pria"/>
    <s v="Celana Pendek"/>
    <n v="3"/>
    <n v="4"/>
    <n v="540000"/>
    <n v="459000"/>
    <n v="210000"/>
    <n v="129000"/>
    <s v="PP001"/>
    <s v="Pakaian Pria"/>
    <s v="Kaos Polo"/>
    <n v="1"/>
    <n v="4"/>
    <n v="200000"/>
    <n v="170000"/>
    <n v="80000"/>
    <n v="50000"/>
    <m/>
    <s v="-"/>
    <s v="-"/>
    <m/>
    <m/>
    <n v="0"/>
    <n v="0"/>
    <n v="0"/>
    <n v="0"/>
    <n v="4"/>
    <n v="740000"/>
    <n v="629000"/>
    <n v="290000"/>
    <n v="179000"/>
    <s v="DISC15"/>
    <n v="0.15"/>
    <x v="0"/>
    <x v="2"/>
    <x v="2"/>
    <d v="2023-04-04T00:00:00"/>
    <x v="7"/>
    <s v="Tuesday"/>
    <x v="0"/>
    <n v="4"/>
  </r>
  <r>
    <n v="207"/>
    <s v="ORD-SP0207-22/04/23"/>
    <s v="SP001"/>
    <s v="Sepatu Pria"/>
    <s v="Sneakers"/>
    <n v="2"/>
    <n v="2"/>
    <n v="1000000"/>
    <n v="800000"/>
    <n v="400000"/>
    <n v="200000"/>
    <s v="SW001"/>
    <s v="Sepatu Wanita"/>
    <s v="Flat Shoes"/>
    <n v="1"/>
    <n v="4"/>
    <n v="250000"/>
    <n v="200000"/>
    <n v="100000"/>
    <n v="50000"/>
    <s v="PW002"/>
    <s v="Pakaian Wanita"/>
    <s v="Blouse"/>
    <n v="1"/>
    <n v="2"/>
    <n v="150000"/>
    <n v="120000"/>
    <n v="50000"/>
    <n v="20000"/>
    <n v="4"/>
    <n v="1400000"/>
    <n v="1120000"/>
    <n v="550000"/>
    <n v="270000"/>
    <s v="DISC20"/>
    <n v="0.2"/>
    <x v="1"/>
    <x v="2"/>
    <x v="4"/>
    <d v="2023-04-22T00:00:00"/>
    <x v="27"/>
    <s v="Saturday"/>
    <x v="2"/>
    <n v="2.6666666666666665"/>
  </r>
  <r>
    <n v="208"/>
    <s v="ORD-TK0208-22/04/23"/>
    <s v="PW002"/>
    <s v="Pakaian Wanita"/>
    <s v="Blouse"/>
    <n v="1"/>
    <n v="3"/>
    <n v="150000"/>
    <n v="135000"/>
    <n v="50000"/>
    <n v="35000"/>
    <s v="PU001"/>
    <s v="Pakaian Unisex"/>
    <s v="Jaket Hoodie"/>
    <n v="5"/>
    <n v="5"/>
    <n v="1750000"/>
    <n v="1575000"/>
    <n v="650000"/>
    <n v="475000"/>
    <m/>
    <s v="-"/>
    <s v="-"/>
    <m/>
    <m/>
    <n v="0"/>
    <n v="0"/>
    <n v="0"/>
    <n v="0"/>
    <n v="6"/>
    <n v="1900000"/>
    <n v="1710000"/>
    <n v="700000"/>
    <n v="510000"/>
    <s v="LEBAR10"/>
    <n v="0.1"/>
    <x v="1"/>
    <x v="1"/>
    <x v="2"/>
    <d v="2023-04-22T00:00:00"/>
    <x v="27"/>
    <s v="Saturday"/>
    <x v="2"/>
    <n v="4"/>
  </r>
  <r>
    <n v="209"/>
    <s v="ORD-SP0209-05/04/23"/>
    <s v="PW003"/>
    <s v="Pakaian Wanita"/>
    <s v="Kaftan"/>
    <n v="1"/>
    <n v="4"/>
    <n v="250000"/>
    <n v="212500"/>
    <n v="100000"/>
    <n v="62500"/>
    <s v="SW001"/>
    <s v="Sepatu Wanita"/>
    <s v="Flat Shoes"/>
    <n v="1"/>
    <n v="4"/>
    <n v="250000"/>
    <n v="212500"/>
    <n v="100000"/>
    <n v="62500"/>
    <m/>
    <s v="-"/>
    <s v="-"/>
    <m/>
    <m/>
    <n v="0"/>
    <n v="0"/>
    <n v="0"/>
    <n v="0"/>
    <n v="2"/>
    <n v="500000"/>
    <n v="425000"/>
    <n v="200000"/>
    <n v="125000"/>
    <s v="DISC15"/>
    <n v="0.15"/>
    <x v="0"/>
    <x v="2"/>
    <x v="4"/>
    <d v="2023-04-05T00:00:00"/>
    <x v="9"/>
    <s v="Wednesday"/>
    <x v="0"/>
    <n v="4"/>
  </r>
  <r>
    <n v="210"/>
    <s v="ORD-TK0210-23/04/23"/>
    <s v="PP003"/>
    <s v="Pakaian Pria"/>
    <s v="Jaket Jeans"/>
    <n v="2"/>
    <n v="5"/>
    <n v="800000"/>
    <n v="720000"/>
    <n v="300000"/>
    <n v="220000"/>
    <s v="PW001"/>
    <s v="Pakaian Wanita"/>
    <s v="Dress"/>
    <n v="1"/>
    <n v="1"/>
    <n v="300000"/>
    <n v="270000"/>
    <n v="100000"/>
    <n v="70000"/>
    <s v="PW002"/>
    <s v="Pakaian Wanita"/>
    <s v="Blouse"/>
    <n v="2"/>
    <n v="2"/>
    <n v="300000"/>
    <n v="270000"/>
    <n v="100000"/>
    <n v="70000"/>
    <n v="5"/>
    <n v="1400000"/>
    <n v="1260000"/>
    <n v="500000"/>
    <n v="360000"/>
    <s v="LEBAR10"/>
    <n v="0.1"/>
    <x v="1"/>
    <x v="1"/>
    <x v="4"/>
    <d v="2023-04-23T00:00:00"/>
    <x v="25"/>
    <s v="Sunday"/>
    <x v="2"/>
    <n v="2.6666666666666665"/>
  </r>
  <r>
    <n v="211"/>
    <s v="ORD-TK0211-08/04/23"/>
    <s v="SP001"/>
    <s v="Sepatu Pria"/>
    <s v="Sneakers"/>
    <n v="4"/>
    <n v="1"/>
    <n v="2000000"/>
    <n v="2000000"/>
    <n v="800000"/>
    <n v="800000"/>
    <s v="PU001"/>
    <s v="Pakaian Unisex"/>
    <s v="Jaket Hoodie"/>
    <n v="3"/>
    <n v="4"/>
    <n v="1050000"/>
    <n v="1050000"/>
    <n v="390000"/>
    <n v="390000"/>
    <m/>
    <s v="-"/>
    <s v="-"/>
    <m/>
    <m/>
    <n v="0"/>
    <n v="0"/>
    <n v="0"/>
    <n v="0"/>
    <n v="7"/>
    <n v="3050000"/>
    <n v="3050000"/>
    <n v="1190000"/>
    <n v="1190000"/>
    <s v="Tidak Ada"/>
    <s v="-"/>
    <x v="2"/>
    <x v="1"/>
    <x v="4"/>
    <d v="2023-04-08T00:00:00"/>
    <x v="26"/>
    <s v="Saturday"/>
    <x v="3"/>
    <n v="2.5"/>
  </r>
  <r>
    <n v="212"/>
    <s v="ORD-BB0212-06/04/23"/>
    <s v="PW003"/>
    <s v="Pakaian Wanita"/>
    <s v="Kaftan"/>
    <n v="1"/>
    <n v="5"/>
    <n v="250000"/>
    <n v="212500"/>
    <n v="100000"/>
    <n v="62500"/>
    <m/>
    <s v="-"/>
    <s v="-"/>
    <m/>
    <m/>
    <n v="0"/>
    <n v="0"/>
    <n v="0"/>
    <n v="0"/>
    <m/>
    <s v="-"/>
    <s v="-"/>
    <m/>
    <m/>
    <n v="0"/>
    <n v="0"/>
    <n v="0"/>
    <n v="0"/>
    <n v="1"/>
    <n v="250000"/>
    <n v="212500"/>
    <n v="100000"/>
    <n v="62500"/>
    <s v="BELI44"/>
    <n v="0.15"/>
    <x v="0"/>
    <x v="0"/>
    <x v="1"/>
    <d v="2023-04-06T00:00:00"/>
    <x v="8"/>
    <s v="Thursday"/>
    <x v="0"/>
    <n v="5"/>
  </r>
  <r>
    <n v="213"/>
    <s v="ORD-BB0213-06/04/23"/>
    <s v="PW002"/>
    <s v="Pakaian Wanita"/>
    <s v="Blouse"/>
    <n v="3"/>
    <n v="5"/>
    <n v="450000"/>
    <n v="382500"/>
    <n v="150000"/>
    <n v="82500"/>
    <s v="PW003"/>
    <s v="Pakaian Wanita"/>
    <s v="Kaftan"/>
    <n v="1"/>
    <n v="5"/>
    <n v="250000"/>
    <n v="212500"/>
    <n v="100000"/>
    <n v="62500"/>
    <m/>
    <s v="-"/>
    <s v="-"/>
    <m/>
    <m/>
    <n v="0"/>
    <n v="0"/>
    <n v="0"/>
    <n v="0"/>
    <n v="4"/>
    <n v="700000"/>
    <n v="595000"/>
    <n v="250000"/>
    <n v="145000"/>
    <s v="BELI44"/>
    <n v="0.15"/>
    <x v="0"/>
    <x v="0"/>
    <x v="4"/>
    <d v="2023-04-06T00:00:00"/>
    <x v="8"/>
    <s v="Thursday"/>
    <x v="0"/>
    <n v="5"/>
  </r>
  <r>
    <n v="214"/>
    <s v="ORD-SP0214-21/04/23"/>
    <s v="PP002"/>
    <s v="Pakaian Pria"/>
    <s v="Celana Pendek"/>
    <n v="1"/>
    <n v="1"/>
    <n v="180000"/>
    <n v="144000"/>
    <n v="70000"/>
    <n v="34000"/>
    <m/>
    <s v="-"/>
    <s v="-"/>
    <m/>
    <m/>
    <n v="0"/>
    <n v="0"/>
    <n v="0"/>
    <n v="0"/>
    <m/>
    <s v="-"/>
    <s v="-"/>
    <m/>
    <m/>
    <n v="0"/>
    <n v="0"/>
    <n v="0"/>
    <n v="0"/>
    <n v="1"/>
    <n v="180000"/>
    <n v="144000"/>
    <n v="70000"/>
    <n v="34000"/>
    <s v="DISC20"/>
    <n v="0.2"/>
    <x v="1"/>
    <x v="2"/>
    <x v="0"/>
    <d v="2023-04-21T00:00:00"/>
    <x v="20"/>
    <s v="Friday"/>
    <x v="1"/>
    <n v="1"/>
  </r>
  <r>
    <n v="215"/>
    <s v="ORD-BL0215-25/04/23"/>
    <s v="PP001"/>
    <s v="Pakaian Pria"/>
    <s v="Kaos Polo"/>
    <n v="4"/>
    <n v="4"/>
    <n v="800000"/>
    <n v="680000"/>
    <n v="320000"/>
    <n v="200000"/>
    <s v="SP001"/>
    <s v="Sepatu Pria"/>
    <s v="Sneakers"/>
    <n v="1"/>
    <n v="2"/>
    <n v="500000"/>
    <n v="425000"/>
    <n v="200000"/>
    <n v="125000"/>
    <m/>
    <s v="-"/>
    <s v="-"/>
    <m/>
    <m/>
    <n v="0"/>
    <n v="0"/>
    <n v="0"/>
    <n v="0"/>
    <n v="5"/>
    <n v="1300000"/>
    <n v="1105000"/>
    <n v="520000"/>
    <n v="325000"/>
    <s v="BUKALEBAR"/>
    <n v="0.15"/>
    <x v="1"/>
    <x v="3"/>
    <x v="3"/>
    <d v="2023-04-25T00:00:00"/>
    <x v="6"/>
    <s v="Tuesday"/>
    <x v="2"/>
    <n v="3"/>
  </r>
  <r>
    <n v="216"/>
    <s v="ORD-BB0216-13/04/23"/>
    <s v="PP003"/>
    <s v="Pakaian Pria"/>
    <s v="Jaket Jeans"/>
    <n v="2"/>
    <n v="3"/>
    <n v="800000"/>
    <n v="800000"/>
    <n v="300000"/>
    <n v="300000"/>
    <s v="PW001"/>
    <s v="Pakaian Wanita"/>
    <s v="Dress"/>
    <n v="1"/>
    <n v="2"/>
    <n v="300000"/>
    <n v="300000"/>
    <n v="100000"/>
    <n v="100000"/>
    <s v="PW002"/>
    <s v="Pakaian Wanita"/>
    <s v="Blouse"/>
    <n v="2"/>
    <n v="2"/>
    <n v="300000"/>
    <n v="300000"/>
    <n v="100000"/>
    <n v="100000"/>
    <n v="5"/>
    <n v="1400000"/>
    <n v="1400000"/>
    <n v="500000"/>
    <n v="500000"/>
    <s v="Tidak Ada"/>
    <s v="-"/>
    <x v="2"/>
    <x v="0"/>
    <x v="4"/>
    <d v="2023-04-13T00:00:00"/>
    <x v="21"/>
    <s v="Thursday"/>
    <x v="3"/>
    <n v="2.3333333333333335"/>
  </r>
  <r>
    <n v="217"/>
    <s v="ORD-SP0217-16/04/23"/>
    <s v="PU001"/>
    <s v="Pakaian Unisex"/>
    <s v="Jaket Hoodie"/>
    <n v="1"/>
    <n v="3"/>
    <n v="350000"/>
    <n v="280000"/>
    <n v="130000"/>
    <n v="60000"/>
    <m/>
    <s v="-"/>
    <s v="-"/>
    <m/>
    <m/>
    <n v="0"/>
    <n v="0"/>
    <n v="0"/>
    <n v="0"/>
    <m/>
    <s v="-"/>
    <s v="-"/>
    <m/>
    <m/>
    <n v="0"/>
    <n v="0"/>
    <n v="0"/>
    <n v="0"/>
    <n v="1"/>
    <n v="350000"/>
    <n v="280000"/>
    <n v="130000"/>
    <n v="60000"/>
    <s v="DISC20"/>
    <n v="0.2"/>
    <x v="1"/>
    <x v="2"/>
    <x v="0"/>
    <d v="2023-04-16T00:00:00"/>
    <x v="17"/>
    <s v="Sunday"/>
    <x v="1"/>
    <n v="3"/>
  </r>
  <r>
    <n v="218"/>
    <s v="ORD-SP0218-04/04/23"/>
    <s v="SP002"/>
    <s v="Sepatu Pria"/>
    <s v="Sandal Slip On"/>
    <n v="3"/>
    <n v="1"/>
    <n v="450000"/>
    <n v="382500"/>
    <n v="180000"/>
    <n v="112500"/>
    <s v="PP002"/>
    <s v="Pakaian Pria"/>
    <s v="Celana Pendek"/>
    <n v="2"/>
    <n v="4"/>
    <n v="360000"/>
    <n v="306000"/>
    <n v="140000"/>
    <n v="86000"/>
    <m/>
    <s v="-"/>
    <s v="-"/>
    <m/>
    <m/>
    <n v="0"/>
    <n v="0"/>
    <n v="0"/>
    <n v="0"/>
    <n v="5"/>
    <n v="810000"/>
    <n v="688500"/>
    <n v="320000"/>
    <n v="198500"/>
    <s v="DISC15"/>
    <n v="0.15"/>
    <x v="0"/>
    <x v="2"/>
    <x v="5"/>
    <d v="2023-04-04T00:00:00"/>
    <x v="7"/>
    <s v="Tuesday"/>
    <x v="0"/>
    <n v="2.5"/>
  </r>
  <r>
    <n v="219"/>
    <s v="ORD-TK0219-19/04/23"/>
    <s v="PW003"/>
    <s v="Pakaian Wanita"/>
    <s v="Kaftan"/>
    <n v="3"/>
    <n v="5"/>
    <n v="750000"/>
    <n v="675000"/>
    <n v="300000"/>
    <n v="225000"/>
    <s v="PP002"/>
    <s v="Pakaian Pria"/>
    <s v="Celana Pendek"/>
    <n v="2"/>
    <n v="4"/>
    <n v="360000"/>
    <n v="324000"/>
    <n v="140000"/>
    <n v="104000"/>
    <m/>
    <s v="-"/>
    <s v="-"/>
    <m/>
    <m/>
    <n v="0"/>
    <n v="0"/>
    <n v="0"/>
    <n v="0"/>
    <n v="5"/>
    <n v="1110000"/>
    <n v="999000"/>
    <n v="440000"/>
    <n v="329000"/>
    <s v="LEBAR10"/>
    <n v="0.1"/>
    <x v="1"/>
    <x v="1"/>
    <x v="0"/>
    <d v="2023-04-19T00:00:00"/>
    <x v="19"/>
    <s v="Wednesday"/>
    <x v="1"/>
    <n v="4.5"/>
  </r>
  <r>
    <n v="220"/>
    <s v="ORD-TK0220-05/04/23"/>
    <s v="SP002"/>
    <s v="Sepatu Pria"/>
    <s v="Sandal Slip On"/>
    <n v="1"/>
    <n v="2"/>
    <n v="150000"/>
    <n v="135000"/>
    <n v="60000"/>
    <n v="45000"/>
    <s v="PW003"/>
    <s v="Pakaian Wanita"/>
    <s v="Kaftan"/>
    <n v="3"/>
    <n v="5"/>
    <n v="750000"/>
    <n v="675000"/>
    <n v="300000"/>
    <n v="225000"/>
    <s v="SW001"/>
    <s v="Sepatu Wanita"/>
    <s v="Flat Shoes"/>
    <n v="3"/>
    <n v="5"/>
    <n v="750000"/>
    <n v="675000"/>
    <n v="300000"/>
    <n v="225000"/>
    <n v="7"/>
    <n v="1650000"/>
    <n v="1485000"/>
    <n v="660000"/>
    <n v="495000"/>
    <s v="DISCAPRIL"/>
    <n v="0.1"/>
    <x v="0"/>
    <x v="1"/>
    <x v="5"/>
    <d v="2023-04-05T00:00:00"/>
    <x v="9"/>
    <s v="Wednesday"/>
    <x v="0"/>
    <n v="4"/>
  </r>
  <r>
    <n v="221"/>
    <s v="ORD-SP0221-03/04/23"/>
    <s v="SP001"/>
    <s v="Sepatu Pria"/>
    <s v="Sneakers"/>
    <n v="2"/>
    <n v="2"/>
    <n v="1000000"/>
    <n v="900000"/>
    <n v="400000"/>
    <n v="300000"/>
    <s v="PP001"/>
    <s v="Pakaian Pria"/>
    <s v="Kaos Polo"/>
    <n v="1"/>
    <n v="4"/>
    <n v="200000"/>
    <n v="180000"/>
    <n v="80000"/>
    <n v="60000"/>
    <m/>
    <s v="-"/>
    <s v="-"/>
    <m/>
    <m/>
    <n v="0"/>
    <n v="0"/>
    <n v="0"/>
    <n v="0"/>
    <n v="3"/>
    <n v="1200000"/>
    <n v="1080000"/>
    <n v="480000"/>
    <n v="360000"/>
    <s v="DISC10"/>
    <n v="0.1"/>
    <x v="0"/>
    <x v="2"/>
    <x v="2"/>
    <d v="2023-04-03T00:00:00"/>
    <x v="2"/>
    <s v="Monday"/>
    <x v="0"/>
    <n v="3"/>
  </r>
  <r>
    <n v="222"/>
    <s v="ORD-TK0222-22/04/23"/>
    <s v="PP001"/>
    <s v="Pakaian Pria"/>
    <s v="Kaos Polo"/>
    <n v="2"/>
    <n v="3"/>
    <n v="400000"/>
    <n v="360000"/>
    <n v="160000"/>
    <n v="120000"/>
    <m/>
    <s v="-"/>
    <s v="-"/>
    <m/>
    <m/>
    <n v="0"/>
    <n v="0"/>
    <n v="0"/>
    <n v="0"/>
    <m/>
    <s v="-"/>
    <s v="-"/>
    <m/>
    <m/>
    <n v="0"/>
    <n v="0"/>
    <n v="0"/>
    <n v="0"/>
    <n v="2"/>
    <n v="400000"/>
    <n v="360000"/>
    <n v="160000"/>
    <n v="120000"/>
    <s v="LEBAR10"/>
    <n v="0.1"/>
    <x v="1"/>
    <x v="1"/>
    <x v="5"/>
    <d v="2023-04-22T00:00:00"/>
    <x v="27"/>
    <s v="Saturday"/>
    <x v="2"/>
    <n v="3"/>
  </r>
  <r>
    <n v="223"/>
    <s v="ORD-TK0223-05/04/23"/>
    <s v="PW003"/>
    <s v="Pakaian Wanita"/>
    <s v="Kaftan"/>
    <n v="5"/>
    <n v="3"/>
    <n v="1250000"/>
    <n v="1125000"/>
    <n v="500000"/>
    <n v="375000"/>
    <m/>
    <s v="-"/>
    <s v="-"/>
    <m/>
    <m/>
    <n v="0"/>
    <n v="0"/>
    <n v="0"/>
    <n v="0"/>
    <m/>
    <s v="-"/>
    <s v="-"/>
    <m/>
    <m/>
    <n v="0"/>
    <n v="0"/>
    <n v="0"/>
    <n v="0"/>
    <n v="5"/>
    <n v="1250000"/>
    <n v="1125000"/>
    <n v="500000"/>
    <n v="375000"/>
    <s v="DISCAPRIL"/>
    <n v="0.1"/>
    <x v="0"/>
    <x v="1"/>
    <x v="4"/>
    <d v="2023-04-05T00:00:00"/>
    <x v="9"/>
    <s v="Wednesday"/>
    <x v="0"/>
    <n v="3"/>
  </r>
  <r>
    <n v="224"/>
    <s v="ORD-SP0224-30/04/23"/>
    <s v="SP001"/>
    <s v="Sepatu Pria"/>
    <s v="Sneakers"/>
    <n v="3"/>
    <n v="5"/>
    <n v="1500000"/>
    <n v="1200000"/>
    <n v="600000"/>
    <n v="300000"/>
    <m/>
    <s v="-"/>
    <s v="-"/>
    <m/>
    <m/>
    <n v="0"/>
    <n v="0"/>
    <n v="0"/>
    <n v="0"/>
    <m/>
    <s v="-"/>
    <s v="-"/>
    <m/>
    <m/>
    <n v="0"/>
    <n v="0"/>
    <n v="0"/>
    <n v="0"/>
    <n v="3"/>
    <n v="1500000"/>
    <n v="1200000"/>
    <n v="600000"/>
    <n v="300000"/>
    <s v="DISC20"/>
    <n v="0.2"/>
    <x v="1"/>
    <x v="2"/>
    <x v="0"/>
    <d v="2023-04-30T00:00:00"/>
    <x v="12"/>
    <s v="Sunday"/>
    <x v="2"/>
    <n v="5"/>
  </r>
  <r>
    <n v="225"/>
    <s v="ORD-SP0225-18/04/23"/>
    <s v="PW002"/>
    <s v="Pakaian Wanita"/>
    <s v="Blouse"/>
    <n v="2"/>
    <n v="1"/>
    <n v="300000"/>
    <n v="240000"/>
    <n v="100000"/>
    <n v="40000"/>
    <m/>
    <s v="-"/>
    <s v="-"/>
    <m/>
    <m/>
    <n v="0"/>
    <n v="0"/>
    <n v="0"/>
    <n v="0"/>
    <m/>
    <s v="-"/>
    <s v="-"/>
    <m/>
    <m/>
    <n v="0"/>
    <n v="0"/>
    <n v="0"/>
    <n v="0"/>
    <n v="2"/>
    <n v="300000"/>
    <n v="240000"/>
    <n v="100000"/>
    <n v="40000"/>
    <s v="DISC20"/>
    <n v="0.2"/>
    <x v="1"/>
    <x v="2"/>
    <x v="0"/>
    <d v="2023-04-18T00:00:00"/>
    <x v="24"/>
    <s v="Tuesday"/>
    <x v="1"/>
    <n v="1"/>
  </r>
  <r>
    <n v="226"/>
    <s v="ORD-SP0226-06/04/23"/>
    <s v="PP001"/>
    <s v="Pakaian Pria"/>
    <s v="Kaos Polo"/>
    <n v="4"/>
    <n v="2"/>
    <n v="800000"/>
    <n v="680000"/>
    <n v="320000"/>
    <n v="200000"/>
    <s v="SP001"/>
    <s v="Sepatu Pria"/>
    <s v="Sneakers"/>
    <n v="1"/>
    <n v="1"/>
    <n v="500000"/>
    <n v="425000"/>
    <n v="200000"/>
    <n v="125000"/>
    <m/>
    <s v="-"/>
    <s v="-"/>
    <m/>
    <m/>
    <n v="0"/>
    <n v="0"/>
    <n v="0"/>
    <n v="0"/>
    <n v="5"/>
    <n v="1300000"/>
    <n v="1105000"/>
    <n v="520000"/>
    <n v="325000"/>
    <s v="DISC15"/>
    <n v="0.15"/>
    <x v="0"/>
    <x v="2"/>
    <x v="1"/>
    <d v="2023-04-06T00:00:00"/>
    <x v="8"/>
    <s v="Thursday"/>
    <x v="0"/>
    <n v="1.5"/>
  </r>
  <r>
    <n v="227"/>
    <s v="ORD-BB0227-05/04/23"/>
    <s v="SP002"/>
    <s v="Sepatu Pria"/>
    <s v="Sandal Slip On"/>
    <n v="2"/>
    <n v="4"/>
    <n v="300000"/>
    <n v="255000"/>
    <n v="120000"/>
    <n v="75000"/>
    <m/>
    <s v="-"/>
    <s v="-"/>
    <m/>
    <m/>
    <n v="0"/>
    <n v="0"/>
    <n v="0"/>
    <n v="0"/>
    <m/>
    <s v="-"/>
    <s v="-"/>
    <m/>
    <m/>
    <n v="0"/>
    <n v="0"/>
    <n v="0"/>
    <n v="0"/>
    <n v="2"/>
    <n v="300000"/>
    <n v="255000"/>
    <n v="120000"/>
    <n v="75000"/>
    <s v="BELI44"/>
    <n v="0.15"/>
    <x v="0"/>
    <x v="0"/>
    <x v="0"/>
    <d v="2023-04-05T00:00:00"/>
    <x v="9"/>
    <s v="Wednesday"/>
    <x v="0"/>
    <n v="4"/>
  </r>
  <r>
    <n v="228"/>
    <s v="ORD-SP0228-26/04/23"/>
    <s v="PW001"/>
    <s v="Pakaian Wanita"/>
    <s v="Dress"/>
    <n v="4"/>
    <n v="3"/>
    <n v="1200000"/>
    <n v="960000"/>
    <n v="400000"/>
    <n v="160000"/>
    <m/>
    <s v="-"/>
    <s v="-"/>
    <m/>
    <m/>
    <n v="0"/>
    <n v="0"/>
    <n v="0"/>
    <n v="0"/>
    <m/>
    <s v="-"/>
    <s v="-"/>
    <m/>
    <m/>
    <n v="0"/>
    <n v="0"/>
    <n v="0"/>
    <n v="0"/>
    <n v="4"/>
    <n v="1200000"/>
    <n v="960000"/>
    <n v="400000"/>
    <n v="160000"/>
    <s v="DISC20"/>
    <n v="0.2"/>
    <x v="1"/>
    <x v="2"/>
    <x v="0"/>
    <d v="2023-04-26T00:00:00"/>
    <x v="15"/>
    <s v="Wednesday"/>
    <x v="2"/>
    <n v="3"/>
  </r>
  <r>
    <n v="229"/>
    <s v="ORD-SP0229-28/04/23"/>
    <s v="PP002"/>
    <s v="Pakaian Pria"/>
    <s v="Celana Pendek"/>
    <n v="2"/>
    <n v="1"/>
    <n v="360000"/>
    <n v="288000"/>
    <n v="140000"/>
    <n v="68000"/>
    <s v="SP001"/>
    <s v="Sepatu Pria"/>
    <s v="Sneakers"/>
    <n v="2"/>
    <n v="1"/>
    <n v="1000000"/>
    <n v="800000"/>
    <n v="400000"/>
    <n v="200000"/>
    <s v="SP002"/>
    <s v="Sepatu Pria"/>
    <s v="Sandal Slip On"/>
    <n v="1"/>
    <n v="1"/>
    <n v="150000"/>
    <n v="120000"/>
    <n v="60000"/>
    <n v="30000"/>
    <n v="5"/>
    <n v="1510000"/>
    <n v="1208000"/>
    <n v="600000"/>
    <n v="298000"/>
    <s v="DISC20"/>
    <n v="0.2"/>
    <x v="1"/>
    <x v="2"/>
    <x v="1"/>
    <d v="2023-04-28T00:00:00"/>
    <x v="11"/>
    <s v="Friday"/>
    <x v="2"/>
    <n v="1"/>
  </r>
  <r>
    <n v="230"/>
    <s v="ORD-BB0230-06/04/23"/>
    <s v="PW001"/>
    <s v="Pakaian Wanita"/>
    <s v="Dress"/>
    <n v="1"/>
    <n v="5"/>
    <n v="300000"/>
    <n v="255000"/>
    <n v="100000"/>
    <n v="55000"/>
    <s v="PP003"/>
    <s v="Pakaian Pria"/>
    <s v="Jaket Jeans"/>
    <n v="1"/>
    <n v="1"/>
    <n v="400000"/>
    <n v="340000"/>
    <n v="150000"/>
    <n v="90000"/>
    <m/>
    <s v="-"/>
    <s v="-"/>
    <m/>
    <m/>
    <n v="0"/>
    <n v="0"/>
    <n v="0"/>
    <n v="0"/>
    <n v="2"/>
    <n v="700000"/>
    <n v="595000"/>
    <n v="250000"/>
    <n v="145000"/>
    <s v="BELI44"/>
    <n v="0.15"/>
    <x v="0"/>
    <x v="0"/>
    <x v="0"/>
    <d v="2023-04-06T00:00:00"/>
    <x v="8"/>
    <s v="Thursday"/>
    <x v="0"/>
    <n v="3"/>
  </r>
  <r>
    <n v="231"/>
    <s v="ORD-SP0231-02/04/23"/>
    <s v="PP002"/>
    <s v="Pakaian Pria"/>
    <s v="Celana Pendek"/>
    <n v="2"/>
    <n v="3"/>
    <n v="360000"/>
    <n v="306000"/>
    <n v="140000"/>
    <n v="86000"/>
    <s v="SW001"/>
    <s v="Sepatu Wanita"/>
    <s v="Flat Shoes"/>
    <n v="2"/>
    <n v="4"/>
    <n v="500000"/>
    <n v="425000"/>
    <n v="200000"/>
    <n v="125000"/>
    <s v="PP002"/>
    <s v="Pakaian Pria"/>
    <s v="Celana Pendek"/>
    <n v="1"/>
    <n v="1"/>
    <n v="180000"/>
    <n v="153000"/>
    <n v="70000"/>
    <n v="43000"/>
    <n v="5"/>
    <n v="1040000"/>
    <n v="884000"/>
    <n v="410000"/>
    <n v="254000"/>
    <s v="DISC15"/>
    <n v="0.15"/>
    <x v="0"/>
    <x v="2"/>
    <x v="4"/>
    <d v="2023-04-02T00:00:00"/>
    <x v="1"/>
    <s v="Sunday"/>
    <x v="0"/>
    <n v="2.6666666666666665"/>
  </r>
  <r>
    <n v="232"/>
    <s v="ORD-TK0232-20/04/23"/>
    <s v="PW001"/>
    <s v="Pakaian Wanita"/>
    <s v="Dress"/>
    <n v="4"/>
    <n v="1"/>
    <n v="1200000"/>
    <n v="1080000"/>
    <n v="400000"/>
    <n v="280000"/>
    <s v="PP002"/>
    <s v="Pakaian Pria"/>
    <s v="Celana Pendek"/>
    <n v="1"/>
    <n v="2"/>
    <n v="180000"/>
    <n v="162000"/>
    <n v="70000"/>
    <n v="52000"/>
    <s v="PW001"/>
    <s v="Pakaian Wanita"/>
    <s v="Dress"/>
    <n v="1"/>
    <n v="3"/>
    <n v="300000"/>
    <n v="270000"/>
    <n v="100000"/>
    <n v="70000"/>
    <n v="6"/>
    <n v="1680000"/>
    <n v="1512000"/>
    <n v="570000"/>
    <n v="402000"/>
    <s v="LEBAR10"/>
    <n v="0.1"/>
    <x v="1"/>
    <x v="1"/>
    <x v="1"/>
    <d v="2023-04-20T00:00:00"/>
    <x v="5"/>
    <s v="Thursday"/>
    <x v="1"/>
    <n v="2"/>
  </r>
  <r>
    <n v="233"/>
    <s v="ORD-SP0233-29/04/23"/>
    <s v="PP002"/>
    <s v="Pakaian Pria"/>
    <s v="Celana Pendek"/>
    <n v="2"/>
    <n v="5"/>
    <n v="360000"/>
    <n v="288000"/>
    <n v="140000"/>
    <n v="68000"/>
    <s v="SP001"/>
    <s v="Sepatu Pria"/>
    <s v="Sneakers"/>
    <n v="2"/>
    <n v="3"/>
    <n v="1000000"/>
    <n v="800000"/>
    <n v="400000"/>
    <n v="200000"/>
    <m/>
    <s v="-"/>
    <s v="-"/>
    <m/>
    <m/>
    <n v="0"/>
    <n v="0"/>
    <n v="0"/>
    <n v="0"/>
    <n v="4"/>
    <n v="1360000"/>
    <n v="1088000"/>
    <n v="540000"/>
    <n v="268000"/>
    <s v="DISC20"/>
    <n v="0.2"/>
    <x v="1"/>
    <x v="2"/>
    <x v="5"/>
    <d v="2023-04-29T00:00:00"/>
    <x v="13"/>
    <s v="Saturday"/>
    <x v="2"/>
    <n v="4"/>
  </r>
  <r>
    <n v="234"/>
    <s v="ORD-BB0234-01/04/23"/>
    <s v="SP002"/>
    <s v="Sepatu Pria"/>
    <s v="Sandal Slip On"/>
    <n v="4"/>
    <n v="2"/>
    <n v="600000"/>
    <n v="510000"/>
    <n v="240000"/>
    <n v="150000"/>
    <s v="PP003"/>
    <s v="Pakaian Pria"/>
    <s v="Jaket Jeans"/>
    <n v="1"/>
    <n v="4"/>
    <n v="400000"/>
    <n v="340000"/>
    <n v="150000"/>
    <n v="90000"/>
    <m/>
    <s v="-"/>
    <s v="-"/>
    <m/>
    <m/>
    <n v="0"/>
    <n v="0"/>
    <n v="0"/>
    <n v="0"/>
    <n v="5"/>
    <n v="1000000"/>
    <n v="850000"/>
    <n v="390000"/>
    <n v="240000"/>
    <s v="BELI44"/>
    <n v="0.15"/>
    <x v="0"/>
    <x v="0"/>
    <x v="4"/>
    <d v="2023-04-01T00:00:00"/>
    <x v="0"/>
    <s v="Saturday"/>
    <x v="0"/>
    <n v="3"/>
  </r>
  <r>
    <n v="235"/>
    <s v="ORD-TK0235-22/04/23"/>
    <s v="SP001"/>
    <s v="Sepatu Pria"/>
    <s v="Sneakers"/>
    <n v="3"/>
    <n v="4"/>
    <n v="1500000"/>
    <n v="1350000"/>
    <n v="600000"/>
    <n v="450000"/>
    <s v="PW001"/>
    <s v="Pakaian Wanita"/>
    <s v="Dress"/>
    <n v="1"/>
    <n v="1"/>
    <n v="300000"/>
    <n v="270000"/>
    <n v="100000"/>
    <n v="70000"/>
    <s v="PP001"/>
    <s v="Pakaian Pria"/>
    <s v="Kaos Polo"/>
    <n v="1"/>
    <n v="5"/>
    <n v="200000"/>
    <n v="180000"/>
    <n v="80000"/>
    <n v="60000"/>
    <n v="5"/>
    <n v="2000000"/>
    <n v="1800000"/>
    <n v="780000"/>
    <n v="580000"/>
    <s v="LEBAR10"/>
    <n v="0.1"/>
    <x v="1"/>
    <x v="1"/>
    <x v="0"/>
    <d v="2023-04-22T00:00:00"/>
    <x v="27"/>
    <s v="Saturday"/>
    <x v="2"/>
    <n v="3.3333333333333335"/>
  </r>
  <r>
    <n v="236"/>
    <s v="ORD-TK0236-29/04/23"/>
    <s v="PP001"/>
    <s v="Pakaian Pria"/>
    <s v="Kaos Polo"/>
    <n v="1"/>
    <n v="2"/>
    <n v="200000"/>
    <n v="180000"/>
    <n v="80000"/>
    <n v="60000"/>
    <m/>
    <s v="-"/>
    <s v="-"/>
    <m/>
    <m/>
    <n v="0"/>
    <n v="0"/>
    <n v="0"/>
    <n v="0"/>
    <m/>
    <s v="-"/>
    <s v="-"/>
    <m/>
    <m/>
    <n v="0"/>
    <n v="0"/>
    <n v="0"/>
    <n v="0"/>
    <n v="1"/>
    <n v="200000"/>
    <n v="180000"/>
    <n v="80000"/>
    <n v="60000"/>
    <s v="LEBAR10"/>
    <n v="0.1"/>
    <x v="1"/>
    <x v="1"/>
    <x v="3"/>
    <d v="2023-04-29T00:00:00"/>
    <x v="13"/>
    <s v="Saturday"/>
    <x v="2"/>
    <n v="2"/>
  </r>
  <r>
    <n v="237"/>
    <s v="ORD-BB0237-02/04/23"/>
    <s v="PW003"/>
    <s v="Pakaian Wanita"/>
    <s v="Kaftan"/>
    <n v="3"/>
    <n v="3"/>
    <n v="750000"/>
    <n v="637500"/>
    <n v="300000"/>
    <n v="187500"/>
    <m/>
    <s v="-"/>
    <s v="-"/>
    <m/>
    <m/>
    <n v="0"/>
    <n v="0"/>
    <n v="0"/>
    <n v="0"/>
    <m/>
    <s v="-"/>
    <s v="-"/>
    <m/>
    <m/>
    <n v="0"/>
    <n v="0"/>
    <n v="0"/>
    <n v="0"/>
    <n v="3"/>
    <n v="750000"/>
    <n v="637500"/>
    <n v="300000"/>
    <n v="187500"/>
    <s v="BELI44"/>
    <n v="0.15"/>
    <x v="0"/>
    <x v="0"/>
    <x v="4"/>
    <d v="2023-04-02T00:00:00"/>
    <x v="1"/>
    <s v="Sunday"/>
    <x v="0"/>
    <n v="3"/>
  </r>
  <r>
    <n v="238"/>
    <s v="ORD-SP0238-04/04/23"/>
    <s v="SP002"/>
    <s v="Sepatu Pria"/>
    <s v="Sandal Slip On"/>
    <n v="2"/>
    <n v="4"/>
    <n v="300000"/>
    <n v="255000"/>
    <n v="120000"/>
    <n v="75000"/>
    <s v="PP003"/>
    <s v="Pakaian Pria"/>
    <s v="Jaket Jeans"/>
    <n v="1"/>
    <n v="3"/>
    <n v="400000"/>
    <n v="340000"/>
    <n v="150000"/>
    <n v="90000"/>
    <s v="PW002"/>
    <s v="Pakaian Wanita"/>
    <s v="Blouse"/>
    <n v="4"/>
    <n v="5"/>
    <n v="600000"/>
    <n v="510000"/>
    <n v="200000"/>
    <n v="110000"/>
    <n v="7"/>
    <n v="1300000"/>
    <n v="1105000"/>
    <n v="470000"/>
    <n v="275000"/>
    <s v="DISC15"/>
    <n v="0.15"/>
    <x v="0"/>
    <x v="2"/>
    <x v="0"/>
    <d v="2023-04-04T00:00:00"/>
    <x v="7"/>
    <s v="Tuesday"/>
    <x v="0"/>
    <n v="4"/>
  </r>
  <r>
    <n v="239"/>
    <s v="ORD-SP0239-08/04/23"/>
    <s v="PW003"/>
    <s v="Pakaian Wanita"/>
    <s v="Kaftan"/>
    <n v="4"/>
    <n v="4"/>
    <n v="1000000"/>
    <n v="1000000"/>
    <n v="400000"/>
    <n v="400000"/>
    <m/>
    <s v="-"/>
    <s v="-"/>
    <m/>
    <m/>
    <n v="0"/>
    <n v="0"/>
    <n v="0"/>
    <n v="0"/>
    <m/>
    <s v="-"/>
    <s v="-"/>
    <m/>
    <m/>
    <n v="0"/>
    <n v="0"/>
    <n v="0"/>
    <n v="0"/>
    <n v="4"/>
    <n v="1000000"/>
    <n v="1000000"/>
    <n v="400000"/>
    <n v="400000"/>
    <s v="Tidak Ada"/>
    <s v="-"/>
    <x v="2"/>
    <x v="2"/>
    <x v="0"/>
    <d v="2023-04-08T00:00:00"/>
    <x v="26"/>
    <s v="Saturday"/>
    <x v="3"/>
    <n v="4"/>
  </r>
  <r>
    <n v="240"/>
    <s v="ORD-BB0240-04/04/23"/>
    <s v="PP001"/>
    <s v="Pakaian Pria"/>
    <s v="Kaos Polo"/>
    <n v="6"/>
    <n v="4"/>
    <n v="1200000"/>
    <n v="1020000"/>
    <n v="480000"/>
    <n v="300000"/>
    <m/>
    <s v="-"/>
    <s v="-"/>
    <m/>
    <m/>
    <n v="0"/>
    <n v="0"/>
    <n v="0"/>
    <n v="0"/>
    <m/>
    <s v="-"/>
    <s v="-"/>
    <m/>
    <m/>
    <n v="0"/>
    <n v="0"/>
    <n v="0"/>
    <n v="0"/>
    <n v="6"/>
    <n v="1200000"/>
    <n v="1020000"/>
    <n v="480000"/>
    <n v="300000"/>
    <s v="BELI44"/>
    <n v="0.15"/>
    <x v="0"/>
    <x v="0"/>
    <x v="1"/>
    <d v="2023-04-04T00:00:00"/>
    <x v="7"/>
    <s v="Tuesday"/>
    <x v="0"/>
    <n v="4"/>
  </r>
  <r>
    <n v="241"/>
    <s v="ORD-BL0241-28/04/23"/>
    <s v="PP001"/>
    <s v="Pakaian Pria"/>
    <s v="Kaos Polo"/>
    <n v="3"/>
    <n v="2"/>
    <n v="600000"/>
    <n v="510000"/>
    <n v="240000"/>
    <n v="150000"/>
    <s v="SP001"/>
    <s v="Sepatu Pria"/>
    <s v="Sneakers"/>
    <n v="2"/>
    <n v="1"/>
    <n v="1000000"/>
    <n v="850000"/>
    <n v="400000"/>
    <n v="250000"/>
    <m/>
    <s v="-"/>
    <s v="-"/>
    <m/>
    <m/>
    <n v="0"/>
    <n v="0"/>
    <n v="0"/>
    <n v="0"/>
    <n v="5"/>
    <n v="1600000"/>
    <n v="1360000"/>
    <n v="640000"/>
    <n v="400000"/>
    <s v="BUKALEBAR"/>
    <n v="0.15"/>
    <x v="1"/>
    <x v="3"/>
    <x v="5"/>
    <d v="2023-04-28T00:00:00"/>
    <x v="11"/>
    <s v="Friday"/>
    <x v="2"/>
    <n v="1.5"/>
  </r>
  <r>
    <n v="242"/>
    <s v="ORD-SP0242-14/04/23"/>
    <s v="PP001"/>
    <s v="Pakaian Pria"/>
    <s v="Kaos Polo"/>
    <n v="3"/>
    <n v="5"/>
    <n v="600000"/>
    <n v="600000"/>
    <n v="240000"/>
    <n v="240000"/>
    <m/>
    <s v="-"/>
    <s v="-"/>
    <m/>
    <m/>
    <n v="0"/>
    <n v="0"/>
    <n v="0"/>
    <n v="0"/>
    <m/>
    <s v="-"/>
    <s v="-"/>
    <m/>
    <m/>
    <n v="0"/>
    <n v="0"/>
    <n v="0"/>
    <n v="0"/>
    <n v="3"/>
    <n v="600000"/>
    <n v="600000"/>
    <n v="240000"/>
    <n v="240000"/>
    <s v="Tidak Ada"/>
    <s v="-"/>
    <x v="2"/>
    <x v="2"/>
    <x v="4"/>
    <d v="2023-04-14T00:00:00"/>
    <x v="22"/>
    <s v="Friday"/>
    <x v="3"/>
    <n v="5"/>
  </r>
  <r>
    <n v="243"/>
    <s v="ORD-SP0243-04/04/23"/>
    <s v="PP002"/>
    <s v="Pakaian Pria"/>
    <s v="Celana Pendek"/>
    <n v="2"/>
    <n v="4"/>
    <n v="360000"/>
    <n v="306000"/>
    <n v="140000"/>
    <n v="86000"/>
    <m/>
    <s v="-"/>
    <s v="-"/>
    <m/>
    <m/>
    <n v="0"/>
    <n v="0"/>
    <n v="0"/>
    <n v="0"/>
    <m/>
    <s v="-"/>
    <s v="-"/>
    <m/>
    <m/>
    <n v="0"/>
    <n v="0"/>
    <n v="0"/>
    <n v="0"/>
    <n v="2"/>
    <n v="360000"/>
    <n v="306000"/>
    <n v="140000"/>
    <n v="86000"/>
    <s v="DISC15"/>
    <n v="0.15"/>
    <x v="0"/>
    <x v="2"/>
    <x v="4"/>
    <d v="2023-04-04T00:00:00"/>
    <x v="7"/>
    <s v="Tuesday"/>
    <x v="0"/>
    <n v="4"/>
  </r>
  <r>
    <n v="244"/>
    <s v="ORD-TK0244-30/04/23"/>
    <s v="PW001"/>
    <s v="Pakaian Wanita"/>
    <s v="Dress"/>
    <n v="2"/>
    <n v="4"/>
    <n v="600000"/>
    <n v="540000"/>
    <n v="200000"/>
    <n v="140000"/>
    <s v="SP002"/>
    <s v="Sepatu Pria"/>
    <s v="Sandal Slip On"/>
    <n v="1"/>
    <n v="3"/>
    <n v="150000"/>
    <n v="135000"/>
    <n v="60000"/>
    <n v="45000"/>
    <m/>
    <s v="-"/>
    <s v="-"/>
    <m/>
    <m/>
    <n v="0"/>
    <n v="0"/>
    <n v="0"/>
    <n v="0"/>
    <n v="3"/>
    <n v="750000"/>
    <n v="675000"/>
    <n v="260000"/>
    <n v="185000"/>
    <s v="LEBAR10"/>
    <n v="0.1"/>
    <x v="1"/>
    <x v="1"/>
    <x v="5"/>
    <d v="2023-04-30T00:00:00"/>
    <x v="12"/>
    <s v="Sunday"/>
    <x v="2"/>
    <n v="3.5"/>
  </r>
  <r>
    <n v="245"/>
    <s v="ORD-SP0245-17/04/23"/>
    <s v="PP002"/>
    <s v="Pakaian Pria"/>
    <s v="Celana Pendek"/>
    <n v="1"/>
    <n v="5"/>
    <n v="180000"/>
    <n v="144000"/>
    <n v="70000"/>
    <n v="34000"/>
    <m/>
    <s v="-"/>
    <s v="-"/>
    <m/>
    <m/>
    <n v="0"/>
    <n v="0"/>
    <n v="0"/>
    <n v="0"/>
    <m/>
    <s v="-"/>
    <s v="-"/>
    <m/>
    <m/>
    <n v="0"/>
    <n v="0"/>
    <n v="0"/>
    <n v="0"/>
    <n v="1"/>
    <n v="180000"/>
    <n v="144000"/>
    <n v="70000"/>
    <n v="34000"/>
    <s v="DISC20"/>
    <n v="0.2"/>
    <x v="1"/>
    <x v="2"/>
    <x v="0"/>
    <d v="2023-04-17T00:00:00"/>
    <x v="3"/>
    <s v="Monday"/>
    <x v="1"/>
    <n v="5"/>
  </r>
  <r>
    <n v="246"/>
    <s v="ORD-SP0246-05/04/23"/>
    <s v="PP001"/>
    <s v="Pakaian Pria"/>
    <s v="Kaos Polo"/>
    <n v="2"/>
    <n v="3"/>
    <n v="400000"/>
    <n v="340000"/>
    <n v="160000"/>
    <n v="100000"/>
    <s v="PW002"/>
    <s v="Pakaian Wanita"/>
    <s v="Blouse"/>
    <n v="1"/>
    <n v="4"/>
    <n v="150000"/>
    <n v="127500"/>
    <n v="50000"/>
    <n v="27500"/>
    <m/>
    <s v="-"/>
    <s v="-"/>
    <m/>
    <m/>
    <n v="0"/>
    <n v="0"/>
    <n v="0"/>
    <n v="0"/>
    <n v="3"/>
    <n v="550000"/>
    <n v="467500"/>
    <n v="210000"/>
    <n v="127500"/>
    <s v="DISC15"/>
    <n v="0.15"/>
    <x v="0"/>
    <x v="2"/>
    <x v="2"/>
    <d v="2023-04-05T00:00:00"/>
    <x v="9"/>
    <s v="Wednesday"/>
    <x v="0"/>
    <n v="3.5"/>
  </r>
  <r>
    <n v="247"/>
    <s v="ORD-TK0247-30/04/23"/>
    <s v="PP003"/>
    <s v="Pakaian Pria"/>
    <s v="Jaket Jeans"/>
    <n v="1"/>
    <n v="5"/>
    <n v="400000"/>
    <n v="360000"/>
    <n v="150000"/>
    <n v="110000"/>
    <s v="PU001"/>
    <s v="Pakaian Unisex"/>
    <s v="Jaket Hoodie"/>
    <n v="3"/>
    <n v="4"/>
    <n v="1050000"/>
    <n v="945000"/>
    <n v="390000"/>
    <n v="285000"/>
    <m/>
    <s v="-"/>
    <s v="-"/>
    <m/>
    <m/>
    <n v="0"/>
    <n v="0"/>
    <n v="0"/>
    <n v="0"/>
    <n v="4"/>
    <n v="1450000"/>
    <n v="1305000"/>
    <n v="540000"/>
    <n v="395000"/>
    <s v="LEBAR10"/>
    <n v="0.1"/>
    <x v="1"/>
    <x v="1"/>
    <x v="0"/>
    <d v="2023-04-30T00:00:00"/>
    <x v="12"/>
    <s v="Sunday"/>
    <x v="2"/>
    <n v="4.5"/>
  </r>
  <r>
    <n v="248"/>
    <s v="ORD-BL0248-22/04/23"/>
    <s v="PW003"/>
    <s v="Pakaian Wanita"/>
    <s v="Kaftan"/>
    <n v="1"/>
    <n v="2"/>
    <n v="250000"/>
    <n v="212500"/>
    <n v="100000"/>
    <n v="62500"/>
    <s v="PP002"/>
    <s v="Pakaian Pria"/>
    <s v="Celana Pendek"/>
    <n v="1"/>
    <n v="3"/>
    <n v="180000"/>
    <n v="153000"/>
    <n v="70000"/>
    <n v="43000"/>
    <s v="PP001"/>
    <s v="Pakaian Pria"/>
    <s v="Kaos Polo"/>
    <n v="5"/>
    <n v="4"/>
    <n v="1000000"/>
    <n v="850000"/>
    <n v="400000"/>
    <n v="250000"/>
    <n v="7"/>
    <n v="1430000"/>
    <n v="1215500"/>
    <n v="570000"/>
    <n v="355500"/>
    <s v="BUKALEBAR"/>
    <n v="0.15"/>
    <x v="1"/>
    <x v="3"/>
    <x v="0"/>
    <d v="2023-04-22T00:00:00"/>
    <x v="27"/>
    <s v="Saturday"/>
    <x v="2"/>
    <n v="3"/>
  </r>
  <r>
    <n v="249"/>
    <s v="ORD-TK0249-05/04/23"/>
    <s v="SP002"/>
    <s v="Sepatu Pria"/>
    <s v="Sandal Slip On"/>
    <n v="3"/>
    <n v="4"/>
    <n v="450000"/>
    <n v="405000"/>
    <n v="180000"/>
    <n v="135000"/>
    <s v="PU001"/>
    <s v="Pakaian Unisex"/>
    <s v="Jaket Hoodie"/>
    <n v="1"/>
    <n v="4"/>
    <n v="350000"/>
    <n v="315000"/>
    <n v="130000"/>
    <n v="95000"/>
    <s v="PP001"/>
    <s v="Pakaian Pria"/>
    <s v="Kaos Polo"/>
    <n v="1"/>
    <n v="5"/>
    <n v="200000"/>
    <n v="180000"/>
    <n v="80000"/>
    <n v="60000"/>
    <n v="5"/>
    <n v="1000000"/>
    <n v="900000"/>
    <n v="390000"/>
    <n v="290000"/>
    <s v="DISCAPRIL"/>
    <n v="0.1"/>
    <x v="0"/>
    <x v="1"/>
    <x v="4"/>
    <d v="2023-04-05T00:00:00"/>
    <x v="9"/>
    <s v="Wednesday"/>
    <x v="0"/>
    <n v="4.333333333333333"/>
  </r>
  <r>
    <n v="250"/>
    <s v="ORD-SP0250-20/04/23"/>
    <s v="PW003"/>
    <s v="Pakaian Wanita"/>
    <s v="Kaftan"/>
    <n v="1"/>
    <n v="2"/>
    <n v="250000"/>
    <n v="200000"/>
    <n v="100000"/>
    <n v="50000"/>
    <s v="PU001"/>
    <s v="Pakaian Unisex"/>
    <s v="Jaket Hoodie"/>
    <n v="1"/>
    <n v="3"/>
    <n v="350000"/>
    <n v="280000"/>
    <n v="130000"/>
    <n v="60000"/>
    <m/>
    <s v="-"/>
    <s v="-"/>
    <m/>
    <m/>
    <n v="0"/>
    <n v="0"/>
    <n v="0"/>
    <n v="0"/>
    <n v="2"/>
    <n v="600000"/>
    <n v="480000"/>
    <n v="230000"/>
    <n v="110000"/>
    <s v="DISC20"/>
    <n v="0.2"/>
    <x v="1"/>
    <x v="2"/>
    <x v="1"/>
    <d v="2023-04-20T00:00:00"/>
    <x v="5"/>
    <s v="Thursday"/>
    <x v="1"/>
    <n v="2.5"/>
  </r>
  <r>
    <n v="251"/>
    <s v="ORD-TK0251-25/04/23"/>
    <s v="SP002"/>
    <s v="Sepatu Pria"/>
    <s v="Sandal Slip On"/>
    <n v="2"/>
    <n v="5"/>
    <n v="300000"/>
    <n v="270000"/>
    <n v="120000"/>
    <n v="90000"/>
    <m/>
    <s v="-"/>
    <s v="-"/>
    <m/>
    <m/>
    <n v="0"/>
    <n v="0"/>
    <n v="0"/>
    <n v="0"/>
    <m/>
    <s v="-"/>
    <s v="-"/>
    <m/>
    <m/>
    <n v="0"/>
    <n v="0"/>
    <n v="0"/>
    <n v="0"/>
    <n v="2"/>
    <n v="300000"/>
    <n v="270000"/>
    <n v="120000"/>
    <n v="90000"/>
    <s v="LEBAR10"/>
    <n v="0.1"/>
    <x v="1"/>
    <x v="1"/>
    <x v="1"/>
    <d v="2023-04-25T00:00:00"/>
    <x v="6"/>
    <s v="Tuesday"/>
    <x v="2"/>
    <n v="5"/>
  </r>
  <r>
    <n v="252"/>
    <s v="ORD-TK0252-17/04/23"/>
    <s v="SP002"/>
    <s v="Sepatu Pria"/>
    <s v="Sandal Slip On"/>
    <n v="2"/>
    <n v="4"/>
    <n v="300000"/>
    <n v="270000"/>
    <n v="120000"/>
    <n v="90000"/>
    <s v="PU001"/>
    <s v="Pakaian Unisex"/>
    <s v="Jaket Hoodie"/>
    <n v="3"/>
    <n v="2"/>
    <n v="1050000"/>
    <n v="945000"/>
    <n v="390000"/>
    <n v="285000"/>
    <s v="SP002"/>
    <s v="Sepatu Pria"/>
    <s v="Sandal Slip On"/>
    <n v="2"/>
    <n v="1"/>
    <n v="300000"/>
    <n v="270000"/>
    <n v="120000"/>
    <n v="90000"/>
    <n v="7"/>
    <n v="1650000"/>
    <n v="1485000"/>
    <n v="630000"/>
    <n v="465000"/>
    <s v="LEBAR10"/>
    <n v="0.1"/>
    <x v="1"/>
    <x v="1"/>
    <x v="4"/>
    <d v="2023-04-17T00:00:00"/>
    <x v="3"/>
    <s v="Monday"/>
    <x v="1"/>
    <n v="2.3333333333333335"/>
  </r>
  <r>
    <n v="253"/>
    <s v="ORD-TK0253-24/04/23"/>
    <s v="SP001"/>
    <s v="Sepatu Pria"/>
    <s v="Sneakers"/>
    <n v="4"/>
    <n v="1"/>
    <n v="2000000"/>
    <n v="1800000"/>
    <n v="800000"/>
    <n v="600000"/>
    <s v="SP002"/>
    <s v="Sepatu Pria"/>
    <s v="Sandal Slip On"/>
    <n v="2"/>
    <n v="5"/>
    <n v="300000"/>
    <n v="270000"/>
    <n v="120000"/>
    <n v="90000"/>
    <m/>
    <s v="-"/>
    <s v="-"/>
    <m/>
    <m/>
    <n v="0"/>
    <n v="0"/>
    <n v="0"/>
    <n v="0"/>
    <n v="6"/>
    <n v="2300000"/>
    <n v="2070000"/>
    <n v="920000"/>
    <n v="690000"/>
    <s v="LEBAR10"/>
    <n v="0.1"/>
    <x v="1"/>
    <x v="1"/>
    <x v="1"/>
    <d v="2023-04-24T00:00:00"/>
    <x v="4"/>
    <s v="Monday"/>
    <x v="2"/>
    <n v="3"/>
  </r>
  <r>
    <n v="254"/>
    <s v="ORD-SP0254-02/04/23"/>
    <s v="PP001"/>
    <s v="Pakaian Pria"/>
    <s v="Kaos Polo"/>
    <n v="6"/>
    <n v="4"/>
    <n v="1200000"/>
    <n v="1080000"/>
    <n v="480000"/>
    <n v="360000"/>
    <m/>
    <s v="-"/>
    <s v="-"/>
    <m/>
    <m/>
    <n v="0"/>
    <n v="0"/>
    <n v="0"/>
    <n v="0"/>
    <m/>
    <s v="-"/>
    <s v="-"/>
    <m/>
    <m/>
    <n v="0"/>
    <n v="0"/>
    <n v="0"/>
    <n v="0"/>
    <n v="6"/>
    <n v="1200000"/>
    <n v="1080000"/>
    <n v="480000"/>
    <n v="360000"/>
    <s v="DISC10"/>
    <n v="0.1"/>
    <x v="0"/>
    <x v="2"/>
    <x v="3"/>
    <d v="2023-04-02T00:00:00"/>
    <x v="1"/>
    <s v="Sunday"/>
    <x v="0"/>
    <n v="4"/>
  </r>
  <r>
    <n v="255"/>
    <s v="ORD-TK0255-21/04/23"/>
    <s v="SW001"/>
    <s v="Sepatu Wanita"/>
    <s v="Flat Shoes"/>
    <n v="3"/>
    <n v="3"/>
    <n v="750000"/>
    <n v="675000"/>
    <n v="300000"/>
    <n v="225000"/>
    <s v="SP002"/>
    <s v="Sepatu Pria"/>
    <s v="Sandal Slip On"/>
    <n v="1"/>
    <n v="3"/>
    <n v="150000"/>
    <n v="135000"/>
    <n v="60000"/>
    <n v="45000"/>
    <s v="PU001"/>
    <s v="Pakaian Unisex"/>
    <s v="Jaket Hoodie"/>
    <n v="1"/>
    <n v="2"/>
    <n v="350000"/>
    <n v="315000"/>
    <n v="130000"/>
    <n v="95000"/>
    <n v="5"/>
    <n v="1250000"/>
    <n v="1125000"/>
    <n v="490000"/>
    <n v="365000"/>
    <s v="LEBAR10"/>
    <n v="0.1"/>
    <x v="1"/>
    <x v="1"/>
    <x v="0"/>
    <d v="2023-04-21T00:00:00"/>
    <x v="20"/>
    <s v="Friday"/>
    <x v="1"/>
    <n v="2.6666666666666665"/>
  </r>
  <r>
    <n v="256"/>
    <s v="ORD-SP0256-01/04/23"/>
    <s v="PU001"/>
    <s v="Pakaian Unisex"/>
    <s v="Jaket Hoodie"/>
    <n v="3"/>
    <n v="4"/>
    <n v="1050000"/>
    <n v="945000"/>
    <n v="390000"/>
    <n v="285000"/>
    <s v="SP002"/>
    <s v="Sepatu Pria"/>
    <s v="Sandal Slip On"/>
    <n v="1"/>
    <n v="5"/>
    <n v="150000"/>
    <n v="135000"/>
    <n v="60000"/>
    <n v="45000"/>
    <s v="SP002"/>
    <s v="Sepatu Pria"/>
    <s v="Sandal Slip On"/>
    <n v="1"/>
    <n v="2"/>
    <n v="150000"/>
    <n v="135000"/>
    <n v="60000"/>
    <n v="45000"/>
    <n v="5"/>
    <n v="1350000"/>
    <n v="1215000"/>
    <n v="510000"/>
    <n v="375000"/>
    <s v="DISC10"/>
    <n v="0.1"/>
    <x v="0"/>
    <x v="2"/>
    <x v="2"/>
    <d v="2023-04-01T00:00:00"/>
    <x v="0"/>
    <s v="Saturday"/>
    <x v="0"/>
    <n v="3.6666666666666665"/>
  </r>
  <r>
    <n v="257"/>
    <s v="ORD-BB0257-01/04/23"/>
    <s v="SP001"/>
    <s v="Sepatu Pria"/>
    <s v="Sneakers"/>
    <n v="3"/>
    <n v="3"/>
    <n v="1500000"/>
    <n v="1275000"/>
    <n v="600000"/>
    <n v="375000"/>
    <m/>
    <s v="-"/>
    <s v="-"/>
    <m/>
    <m/>
    <n v="0"/>
    <n v="0"/>
    <n v="0"/>
    <n v="0"/>
    <m/>
    <s v="-"/>
    <s v="-"/>
    <m/>
    <m/>
    <n v="0"/>
    <n v="0"/>
    <n v="0"/>
    <n v="0"/>
    <n v="3"/>
    <n v="1500000"/>
    <n v="1275000"/>
    <n v="600000"/>
    <n v="375000"/>
    <s v="BELI44"/>
    <n v="0.15"/>
    <x v="0"/>
    <x v="0"/>
    <x v="4"/>
    <d v="2023-04-01T00:00:00"/>
    <x v="0"/>
    <s v="Saturday"/>
    <x v="0"/>
    <n v="3"/>
  </r>
  <r>
    <n v="258"/>
    <s v="ORD-SP0258-25/04/23"/>
    <s v="SW001"/>
    <s v="Sepatu Wanita"/>
    <s v="Flat Shoes"/>
    <n v="1"/>
    <n v="1"/>
    <n v="250000"/>
    <n v="200000"/>
    <n v="100000"/>
    <n v="50000"/>
    <m/>
    <s v="-"/>
    <s v="-"/>
    <m/>
    <m/>
    <n v="0"/>
    <n v="0"/>
    <n v="0"/>
    <n v="0"/>
    <m/>
    <s v="-"/>
    <s v="-"/>
    <m/>
    <m/>
    <n v="0"/>
    <n v="0"/>
    <n v="0"/>
    <n v="0"/>
    <n v="1"/>
    <n v="250000"/>
    <n v="200000"/>
    <n v="100000"/>
    <n v="50000"/>
    <s v="DISC20"/>
    <n v="0.2"/>
    <x v="1"/>
    <x v="2"/>
    <x v="1"/>
    <d v="2023-04-25T00:00:00"/>
    <x v="6"/>
    <s v="Tuesday"/>
    <x v="2"/>
    <n v="1"/>
  </r>
  <r>
    <n v="259"/>
    <s v="ORD-SP0259-07/04/23"/>
    <s v="PU001"/>
    <s v="Pakaian Unisex"/>
    <s v="Jaket Hoodie"/>
    <n v="2"/>
    <n v="2"/>
    <n v="700000"/>
    <n v="700000"/>
    <n v="260000"/>
    <n v="260000"/>
    <m/>
    <s v="-"/>
    <s v="-"/>
    <m/>
    <m/>
    <n v="0"/>
    <n v="0"/>
    <n v="0"/>
    <n v="0"/>
    <m/>
    <s v="-"/>
    <s v="-"/>
    <m/>
    <m/>
    <n v="0"/>
    <n v="0"/>
    <n v="0"/>
    <n v="0"/>
    <n v="2"/>
    <n v="700000"/>
    <n v="700000"/>
    <n v="260000"/>
    <n v="260000"/>
    <s v="Tidak Ada"/>
    <s v="-"/>
    <x v="2"/>
    <x v="2"/>
    <x v="3"/>
    <d v="2023-04-07T00:00:00"/>
    <x v="28"/>
    <s v="Friday"/>
    <x v="0"/>
    <n v="2"/>
  </r>
  <r>
    <n v="260"/>
    <s v="ORD-TK0260-19/04/23"/>
    <s v="PW002"/>
    <s v="Pakaian Wanita"/>
    <s v="Blouse"/>
    <n v="2"/>
    <n v="4"/>
    <n v="300000"/>
    <n v="270000"/>
    <n v="100000"/>
    <n v="70000"/>
    <m/>
    <s v="-"/>
    <s v="-"/>
    <m/>
    <m/>
    <n v="0"/>
    <n v="0"/>
    <n v="0"/>
    <n v="0"/>
    <m/>
    <s v="-"/>
    <s v="-"/>
    <m/>
    <m/>
    <n v="0"/>
    <n v="0"/>
    <n v="0"/>
    <n v="0"/>
    <n v="2"/>
    <n v="300000"/>
    <n v="270000"/>
    <n v="100000"/>
    <n v="70000"/>
    <s v="LEBAR10"/>
    <n v="0.1"/>
    <x v="1"/>
    <x v="1"/>
    <x v="4"/>
    <d v="2023-04-19T00:00:00"/>
    <x v="19"/>
    <s v="Wednesday"/>
    <x v="1"/>
    <n v="4"/>
  </r>
  <r>
    <n v="261"/>
    <s v="ORD-SP0261-06/04/23"/>
    <s v="PW002"/>
    <s v="Pakaian Wanita"/>
    <s v="Blouse"/>
    <n v="6"/>
    <n v="3"/>
    <n v="900000"/>
    <n v="765000"/>
    <n v="300000"/>
    <n v="165000"/>
    <s v="PP003"/>
    <s v="Pakaian Pria"/>
    <s v="Jaket Jeans"/>
    <n v="1"/>
    <n v="5"/>
    <n v="400000"/>
    <n v="340000"/>
    <n v="150000"/>
    <n v="90000"/>
    <m/>
    <s v="-"/>
    <s v="-"/>
    <m/>
    <m/>
    <n v="0"/>
    <n v="0"/>
    <n v="0"/>
    <n v="0"/>
    <n v="7"/>
    <n v="1300000"/>
    <n v="1105000"/>
    <n v="450000"/>
    <n v="255000"/>
    <s v="DISC15"/>
    <n v="0.15"/>
    <x v="0"/>
    <x v="2"/>
    <x v="2"/>
    <d v="2023-04-06T00:00:00"/>
    <x v="8"/>
    <s v="Thursday"/>
    <x v="0"/>
    <n v="4"/>
  </r>
  <r>
    <n v="262"/>
    <s v="ORD-SP0262-04/04/23"/>
    <s v="PP003"/>
    <s v="Pakaian Pria"/>
    <s v="Jaket Jeans"/>
    <n v="3"/>
    <n v="5"/>
    <n v="1200000"/>
    <n v="1080000"/>
    <n v="450000"/>
    <n v="330000"/>
    <s v="PW001"/>
    <s v="Pakaian Wanita"/>
    <s v="Dress"/>
    <n v="1"/>
    <n v="1"/>
    <n v="300000"/>
    <n v="270000"/>
    <n v="100000"/>
    <n v="70000"/>
    <m/>
    <s v="-"/>
    <s v="-"/>
    <m/>
    <m/>
    <n v="0"/>
    <n v="0"/>
    <n v="0"/>
    <n v="0"/>
    <n v="4"/>
    <n v="1500000"/>
    <n v="1350000"/>
    <n v="550000"/>
    <n v="400000"/>
    <s v="DISC10"/>
    <n v="0.1"/>
    <x v="0"/>
    <x v="2"/>
    <x v="1"/>
    <d v="2023-04-04T00:00:00"/>
    <x v="7"/>
    <s v="Tuesday"/>
    <x v="0"/>
    <n v="3"/>
  </r>
  <r>
    <n v="263"/>
    <s v="ORD-TK0263-08/04/23"/>
    <s v="PP003"/>
    <s v="Pakaian Pria"/>
    <s v="Jaket Jeans"/>
    <n v="1"/>
    <n v="3"/>
    <n v="400000"/>
    <n v="400000"/>
    <n v="150000"/>
    <n v="150000"/>
    <s v="SW001"/>
    <s v="Sepatu Wanita"/>
    <s v="Flat Shoes"/>
    <n v="3"/>
    <n v="3"/>
    <n v="750000"/>
    <n v="750000"/>
    <n v="300000"/>
    <n v="300000"/>
    <m/>
    <s v="-"/>
    <s v="-"/>
    <m/>
    <m/>
    <n v="0"/>
    <n v="0"/>
    <n v="0"/>
    <n v="0"/>
    <n v="4"/>
    <n v="1150000"/>
    <n v="1150000"/>
    <n v="450000"/>
    <n v="450000"/>
    <s v="Tidak Ada"/>
    <s v="-"/>
    <x v="2"/>
    <x v="1"/>
    <x v="0"/>
    <d v="2023-04-08T00:00:00"/>
    <x v="26"/>
    <s v="Saturday"/>
    <x v="3"/>
    <n v="3"/>
  </r>
  <r>
    <n v="264"/>
    <s v="ORD-SP0264-19/04/23"/>
    <s v="PP002"/>
    <s v="Pakaian Pria"/>
    <s v="Celana Pendek"/>
    <n v="1"/>
    <n v="2"/>
    <n v="180000"/>
    <n v="144000"/>
    <n v="70000"/>
    <n v="34000"/>
    <m/>
    <s v="-"/>
    <s v="-"/>
    <m/>
    <m/>
    <n v="0"/>
    <n v="0"/>
    <n v="0"/>
    <n v="0"/>
    <m/>
    <s v="-"/>
    <s v="-"/>
    <m/>
    <m/>
    <n v="0"/>
    <n v="0"/>
    <n v="0"/>
    <n v="0"/>
    <n v="1"/>
    <n v="180000"/>
    <n v="144000"/>
    <n v="70000"/>
    <n v="34000"/>
    <s v="DISC20"/>
    <n v="0.2"/>
    <x v="1"/>
    <x v="2"/>
    <x v="4"/>
    <d v="2023-04-19T00:00:00"/>
    <x v="19"/>
    <s v="Wednesday"/>
    <x v="1"/>
    <n v="2"/>
  </r>
  <r>
    <n v="265"/>
    <s v="ORD-BL0265-20/04/23"/>
    <s v="PP001"/>
    <s v="Pakaian Pria"/>
    <s v="Kaos Polo"/>
    <n v="3"/>
    <n v="5"/>
    <n v="600000"/>
    <n v="510000"/>
    <n v="240000"/>
    <n v="150000"/>
    <m/>
    <s v="-"/>
    <s v="-"/>
    <m/>
    <m/>
    <n v="0"/>
    <n v="0"/>
    <n v="0"/>
    <n v="0"/>
    <m/>
    <s v="-"/>
    <s v="-"/>
    <m/>
    <m/>
    <n v="0"/>
    <n v="0"/>
    <n v="0"/>
    <n v="0"/>
    <n v="3"/>
    <n v="600000"/>
    <n v="510000"/>
    <n v="240000"/>
    <n v="150000"/>
    <s v="BUKALEBAR"/>
    <n v="0.15"/>
    <x v="1"/>
    <x v="3"/>
    <x v="4"/>
    <d v="2023-04-20T00:00:00"/>
    <x v="5"/>
    <s v="Thursday"/>
    <x v="1"/>
    <n v="5"/>
  </r>
  <r>
    <n v="266"/>
    <s v="ORD-SP0266-21/04/23"/>
    <s v="SP001"/>
    <s v="Sepatu Pria"/>
    <s v="Sneakers"/>
    <n v="2"/>
    <n v="1"/>
    <n v="1000000"/>
    <n v="800000"/>
    <n v="400000"/>
    <n v="200000"/>
    <m/>
    <s v="-"/>
    <s v="-"/>
    <m/>
    <m/>
    <n v="0"/>
    <n v="0"/>
    <n v="0"/>
    <n v="0"/>
    <m/>
    <s v="-"/>
    <s v="-"/>
    <m/>
    <m/>
    <n v="0"/>
    <n v="0"/>
    <n v="0"/>
    <n v="0"/>
    <n v="2"/>
    <n v="1000000"/>
    <n v="800000"/>
    <n v="400000"/>
    <n v="200000"/>
    <s v="DISC20"/>
    <n v="0.2"/>
    <x v="1"/>
    <x v="2"/>
    <x v="0"/>
    <d v="2023-04-21T00:00:00"/>
    <x v="20"/>
    <s v="Friday"/>
    <x v="1"/>
    <n v="1"/>
  </r>
  <r>
    <n v="267"/>
    <s v="ORD-TK0267-04/04/23"/>
    <s v="SP002"/>
    <s v="Sepatu Pria"/>
    <s v="Sandal Slip On"/>
    <n v="6"/>
    <n v="1"/>
    <n v="900000"/>
    <n v="810000"/>
    <n v="360000"/>
    <n v="270000"/>
    <m/>
    <s v="-"/>
    <s v="-"/>
    <m/>
    <m/>
    <n v="0"/>
    <n v="0"/>
    <n v="0"/>
    <n v="0"/>
    <m/>
    <s v="-"/>
    <s v="-"/>
    <m/>
    <m/>
    <n v="0"/>
    <n v="0"/>
    <n v="0"/>
    <n v="0"/>
    <n v="6"/>
    <n v="900000"/>
    <n v="810000"/>
    <n v="360000"/>
    <n v="270000"/>
    <s v="DISCAPRIL"/>
    <n v="0.1"/>
    <x v="0"/>
    <x v="1"/>
    <x v="0"/>
    <d v="2023-04-04T00:00:00"/>
    <x v="7"/>
    <s v="Tuesday"/>
    <x v="0"/>
    <n v="1"/>
  </r>
  <r>
    <n v="268"/>
    <s v="ORD-BL0268-25/04/23"/>
    <s v="SP002"/>
    <s v="Sepatu Pria"/>
    <s v="Sandal Slip On"/>
    <n v="2"/>
    <n v="2"/>
    <n v="300000"/>
    <n v="255000"/>
    <n v="120000"/>
    <n v="75000"/>
    <s v="PU001"/>
    <s v="Pakaian Unisex"/>
    <s v="Jaket Hoodie"/>
    <n v="1"/>
    <n v="5"/>
    <n v="350000"/>
    <n v="297500"/>
    <n v="130000"/>
    <n v="77500"/>
    <s v="SP001"/>
    <s v="Sepatu Pria"/>
    <s v="Sneakers"/>
    <n v="4"/>
    <n v="1"/>
    <n v="2000000"/>
    <n v="1700000"/>
    <n v="800000"/>
    <n v="500000"/>
    <n v="7"/>
    <n v="2650000"/>
    <n v="2252500"/>
    <n v="1050000"/>
    <n v="652500"/>
    <s v="BUKALEBAR"/>
    <n v="0.15"/>
    <x v="1"/>
    <x v="3"/>
    <x v="4"/>
    <d v="2023-04-25T00:00:00"/>
    <x v="6"/>
    <s v="Tuesday"/>
    <x v="2"/>
    <n v="2.6666666666666665"/>
  </r>
  <r>
    <n v="269"/>
    <s v="ORD-TK0269-03/04/23"/>
    <s v="SP002"/>
    <s v="Sepatu Pria"/>
    <s v="Sandal Slip On"/>
    <n v="4"/>
    <n v="2"/>
    <n v="600000"/>
    <n v="540000"/>
    <n v="240000"/>
    <n v="180000"/>
    <s v="PW002"/>
    <s v="Pakaian Wanita"/>
    <s v="Blouse"/>
    <n v="3"/>
    <n v="4"/>
    <n v="450000"/>
    <n v="405000"/>
    <n v="150000"/>
    <n v="105000"/>
    <m/>
    <s v="-"/>
    <s v="-"/>
    <m/>
    <m/>
    <n v="0"/>
    <n v="0"/>
    <n v="0"/>
    <n v="0"/>
    <n v="7"/>
    <n v="1050000"/>
    <n v="945000"/>
    <n v="390000"/>
    <n v="285000"/>
    <s v="DISCAPRIL"/>
    <n v="0.1"/>
    <x v="0"/>
    <x v="1"/>
    <x v="4"/>
    <d v="2023-04-03T00:00:00"/>
    <x v="2"/>
    <s v="Monday"/>
    <x v="0"/>
    <n v="3"/>
  </r>
  <r>
    <n v="270"/>
    <s v="ORD-BL0270-20/04/23"/>
    <s v="PU001"/>
    <s v="Pakaian Unisex"/>
    <s v="Jaket Hoodie"/>
    <n v="1"/>
    <n v="5"/>
    <n v="350000"/>
    <n v="297500"/>
    <n v="130000"/>
    <n v="77500"/>
    <s v="PP001"/>
    <s v="Pakaian Pria"/>
    <s v="Kaos Polo"/>
    <n v="1"/>
    <n v="1"/>
    <n v="200000"/>
    <n v="170000"/>
    <n v="80000"/>
    <n v="50000"/>
    <m/>
    <s v="-"/>
    <s v="-"/>
    <m/>
    <m/>
    <n v="0"/>
    <n v="0"/>
    <n v="0"/>
    <n v="0"/>
    <n v="2"/>
    <n v="550000"/>
    <n v="467500"/>
    <n v="210000"/>
    <n v="127500"/>
    <s v="BUKALEBAR"/>
    <n v="0.15"/>
    <x v="1"/>
    <x v="3"/>
    <x v="4"/>
    <d v="2023-04-20T00:00:00"/>
    <x v="5"/>
    <s v="Thursday"/>
    <x v="1"/>
    <n v="3"/>
  </r>
  <r>
    <n v="271"/>
    <s v="ORD-SP0271-14/04/23"/>
    <s v="PW003"/>
    <s v="Pakaian Wanita"/>
    <s v="Kaftan"/>
    <n v="5"/>
    <n v="5"/>
    <n v="1250000"/>
    <n v="1250000"/>
    <n v="500000"/>
    <n v="500000"/>
    <m/>
    <s v="-"/>
    <s v="-"/>
    <m/>
    <m/>
    <n v="0"/>
    <n v="0"/>
    <n v="0"/>
    <n v="0"/>
    <m/>
    <s v="-"/>
    <s v="-"/>
    <m/>
    <m/>
    <n v="0"/>
    <n v="0"/>
    <n v="0"/>
    <n v="0"/>
    <n v="5"/>
    <n v="1250000"/>
    <n v="1250000"/>
    <n v="500000"/>
    <n v="500000"/>
    <s v="Tidak Ada"/>
    <s v="-"/>
    <x v="2"/>
    <x v="2"/>
    <x v="5"/>
    <d v="2023-04-14T00:00:00"/>
    <x v="22"/>
    <s v="Friday"/>
    <x v="3"/>
    <n v="5"/>
  </r>
  <r>
    <n v="272"/>
    <s v="ORD-TK0272-21/04/23"/>
    <s v="SP002"/>
    <s v="Sepatu Pria"/>
    <s v="Sandal Slip On"/>
    <n v="5"/>
    <n v="2"/>
    <n v="750000"/>
    <n v="675000"/>
    <n v="300000"/>
    <n v="225000"/>
    <m/>
    <s v="-"/>
    <s v="-"/>
    <m/>
    <m/>
    <n v="0"/>
    <n v="0"/>
    <n v="0"/>
    <n v="0"/>
    <m/>
    <s v="-"/>
    <s v="-"/>
    <m/>
    <m/>
    <n v="0"/>
    <n v="0"/>
    <n v="0"/>
    <n v="0"/>
    <n v="5"/>
    <n v="750000"/>
    <n v="675000"/>
    <n v="300000"/>
    <n v="225000"/>
    <s v="LEBAR10"/>
    <n v="0.1"/>
    <x v="1"/>
    <x v="1"/>
    <x v="4"/>
    <d v="2023-04-21T00:00:00"/>
    <x v="20"/>
    <s v="Friday"/>
    <x v="1"/>
    <n v="2"/>
  </r>
  <r>
    <n v="273"/>
    <s v="ORD-SP0273-04/04/23"/>
    <s v="SW001"/>
    <s v="Sepatu Wanita"/>
    <s v="Flat Shoes"/>
    <n v="2"/>
    <n v="4"/>
    <n v="500000"/>
    <n v="450000"/>
    <n v="200000"/>
    <n v="150000"/>
    <s v="SP002"/>
    <s v="Sepatu Pria"/>
    <s v="Sandal Slip On"/>
    <n v="4"/>
    <n v="4"/>
    <n v="600000"/>
    <n v="540000"/>
    <n v="240000"/>
    <n v="180000"/>
    <s v="SW001"/>
    <s v="Sepatu Wanita"/>
    <s v="Flat Shoes"/>
    <n v="1"/>
    <n v="3"/>
    <n v="250000"/>
    <n v="225000"/>
    <n v="100000"/>
    <n v="75000"/>
    <n v="7"/>
    <n v="1350000"/>
    <n v="1215000"/>
    <n v="540000"/>
    <n v="405000"/>
    <s v="DISC10"/>
    <n v="0.1"/>
    <x v="0"/>
    <x v="2"/>
    <x v="0"/>
    <d v="2023-04-04T00:00:00"/>
    <x v="7"/>
    <s v="Tuesday"/>
    <x v="0"/>
    <n v="3.6666666666666665"/>
  </r>
  <r>
    <n v="274"/>
    <s v="ORD-SP0274-20/04/23"/>
    <s v="PW003"/>
    <s v="Pakaian Wanita"/>
    <s v="Kaftan"/>
    <n v="4"/>
    <n v="4"/>
    <n v="1000000"/>
    <n v="800000"/>
    <n v="400000"/>
    <n v="200000"/>
    <m/>
    <s v="-"/>
    <s v="-"/>
    <m/>
    <m/>
    <n v="0"/>
    <n v="0"/>
    <n v="0"/>
    <n v="0"/>
    <m/>
    <s v="-"/>
    <s v="-"/>
    <m/>
    <m/>
    <n v="0"/>
    <n v="0"/>
    <n v="0"/>
    <n v="0"/>
    <n v="4"/>
    <n v="1000000"/>
    <n v="800000"/>
    <n v="400000"/>
    <n v="200000"/>
    <s v="DISC20"/>
    <n v="0.2"/>
    <x v="1"/>
    <x v="2"/>
    <x v="4"/>
    <d v="2023-04-20T00:00:00"/>
    <x v="5"/>
    <s v="Thursday"/>
    <x v="1"/>
    <n v="4"/>
  </r>
  <r>
    <n v="275"/>
    <s v="ORD-SP0275-01/04/23"/>
    <s v="SW001"/>
    <s v="Sepatu Wanita"/>
    <s v="Flat Shoes"/>
    <n v="1"/>
    <n v="1"/>
    <n v="250000"/>
    <n v="212500"/>
    <n v="100000"/>
    <n v="62500"/>
    <m/>
    <s v="-"/>
    <s v="-"/>
    <m/>
    <m/>
    <n v="0"/>
    <n v="0"/>
    <n v="0"/>
    <n v="0"/>
    <m/>
    <s v="-"/>
    <s v="-"/>
    <m/>
    <m/>
    <n v="0"/>
    <n v="0"/>
    <n v="0"/>
    <n v="0"/>
    <n v="1"/>
    <n v="250000"/>
    <n v="212500"/>
    <n v="100000"/>
    <n v="62500"/>
    <s v="DISC15"/>
    <n v="0.15"/>
    <x v="0"/>
    <x v="2"/>
    <x v="5"/>
    <d v="2023-04-01T00:00:00"/>
    <x v="0"/>
    <s v="Saturday"/>
    <x v="0"/>
    <n v="1"/>
  </r>
  <r>
    <n v="276"/>
    <s v="ORD-TK0276-06/04/23"/>
    <s v="SP002"/>
    <s v="Sepatu Pria"/>
    <s v="Sandal Slip On"/>
    <n v="1"/>
    <n v="5"/>
    <n v="150000"/>
    <n v="135000"/>
    <n v="60000"/>
    <n v="45000"/>
    <s v="PW001"/>
    <s v="Pakaian Wanita"/>
    <s v="Dress"/>
    <n v="1"/>
    <n v="2"/>
    <n v="300000"/>
    <n v="270000"/>
    <n v="100000"/>
    <n v="70000"/>
    <m/>
    <s v="-"/>
    <s v="-"/>
    <m/>
    <m/>
    <n v="0"/>
    <n v="0"/>
    <n v="0"/>
    <n v="0"/>
    <n v="2"/>
    <n v="450000"/>
    <n v="405000"/>
    <n v="160000"/>
    <n v="115000"/>
    <s v="DISCAPRIL"/>
    <n v="0.1"/>
    <x v="0"/>
    <x v="1"/>
    <x v="0"/>
    <d v="2023-04-06T00:00:00"/>
    <x v="8"/>
    <s v="Thursday"/>
    <x v="0"/>
    <n v="3.5"/>
  </r>
  <r>
    <n v="277"/>
    <s v="ORD-BL0277-21/04/23"/>
    <s v="PW002"/>
    <s v="Pakaian Wanita"/>
    <s v="Blouse"/>
    <n v="2"/>
    <n v="5"/>
    <n v="300000"/>
    <n v="255000"/>
    <n v="100000"/>
    <n v="55000"/>
    <m/>
    <s v="-"/>
    <s v="-"/>
    <m/>
    <m/>
    <n v="0"/>
    <n v="0"/>
    <n v="0"/>
    <n v="0"/>
    <m/>
    <s v="-"/>
    <s v="-"/>
    <m/>
    <m/>
    <n v="0"/>
    <n v="0"/>
    <n v="0"/>
    <n v="0"/>
    <n v="2"/>
    <n v="300000"/>
    <n v="255000"/>
    <n v="100000"/>
    <n v="55000"/>
    <s v="BUKALEBAR"/>
    <n v="0.15"/>
    <x v="1"/>
    <x v="3"/>
    <x v="4"/>
    <d v="2023-04-21T00:00:00"/>
    <x v="20"/>
    <s v="Friday"/>
    <x v="1"/>
    <n v="5"/>
  </r>
  <r>
    <n v="278"/>
    <s v="ORD-BL0278-24/04/23"/>
    <s v="PP002"/>
    <s v="Pakaian Pria"/>
    <s v="Celana Pendek"/>
    <n v="5"/>
    <n v="3"/>
    <n v="900000"/>
    <n v="765000"/>
    <n v="350000"/>
    <n v="215000"/>
    <s v="PP001"/>
    <s v="Pakaian Pria"/>
    <s v="Kaos Polo"/>
    <n v="1"/>
    <n v="1"/>
    <n v="200000"/>
    <n v="170000"/>
    <n v="80000"/>
    <n v="50000"/>
    <m/>
    <s v="-"/>
    <s v="-"/>
    <m/>
    <m/>
    <n v="0"/>
    <n v="0"/>
    <n v="0"/>
    <n v="0"/>
    <n v="6"/>
    <n v="1100000"/>
    <n v="935000"/>
    <n v="430000"/>
    <n v="265000"/>
    <s v="BUKALEBAR"/>
    <n v="0.15"/>
    <x v="1"/>
    <x v="3"/>
    <x v="4"/>
    <d v="2023-04-24T00:00:00"/>
    <x v="4"/>
    <s v="Monday"/>
    <x v="2"/>
    <n v="2"/>
  </r>
  <r>
    <n v="279"/>
    <s v="ORD-SP0279-01/04/23"/>
    <s v="PP003"/>
    <s v="Pakaian Pria"/>
    <s v="Jaket Jeans"/>
    <n v="1"/>
    <n v="5"/>
    <n v="400000"/>
    <n v="340000"/>
    <n v="150000"/>
    <n v="90000"/>
    <m/>
    <s v="-"/>
    <s v="-"/>
    <m/>
    <m/>
    <n v="0"/>
    <n v="0"/>
    <n v="0"/>
    <n v="0"/>
    <m/>
    <s v="-"/>
    <s v="-"/>
    <m/>
    <m/>
    <n v="0"/>
    <n v="0"/>
    <n v="0"/>
    <n v="0"/>
    <n v="1"/>
    <n v="400000"/>
    <n v="340000"/>
    <n v="150000"/>
    <n v="90000"/>
    <s v="DISC15"/>
    <n v="0.15"/>
    <x v="0"/>
    <x v="2"/>
    <x v="5"/>
    <d v="2023-04-01T00:00:00"/>
    <x v="0"/>
    <s v="Saturday"/>
    <x v="0"/>
    <n v="5"/>
  </r>
  <r>
    <n v="280"/>
    <s v="ORD-SP0280-03/04/23"/>
    <s v="PP003"/>
    <s v="Pakaian Pria"/>
    <s v="Jaket Jeans"/>
    <n v="1"/>
    <n v="5"/>
    <n v="400000"/>
    <n v="340000"/>
    <n v="150000"/>
    <n v="90000"/>
    <m/>
    <s v="-"/>
    <s v="-"/>
    <m/>
    <m/>
    <n v="0"/>
    <n v="0"/>
    <n v="0"/>
    <n v="0"/>
    <m/>
    <s v="-"/>
    <s v="-"/>
    <m/>
    <m/>
    <n v="0"/>
    <n v="0"/>
    <n v="0"/>
    <n v="0"/>
    <n v="1"/>
    <n v="400000"/>
    <n v="340000"/>
    <n v="150000"/>
    <n v="90000"/>
    <s v="DISC15"/>
    <n v="0.15"/>
    <x v="0"/>
    <x v="2"/>
    <x v="5"/>
    <d v="2023-04-03T00:00:00"/>
    <x v="2"/>
    <s v="Monday"/>
    <x v="0"/>
    <n v="5"/>
  </r>
  <r>
    <n v="281"/>
    <s v="ORD-SP0281-23/04/23"/>
    <s v="PP003"/>
    <s v="Pakaian Pria"/>
    <s v="Jaket Jeans"/>
    <n v="1"/>
    <n v="5"/>
    <n v="400000"/>
    <n v="320000"/>
    <n v="150000"/>
    <n v="70000"/>
    <m/>
    <s v="-"/>
    <s v="-"/>
    <m/>
    <m/>
    <n v="0"/>
    <n v="0"/>
    <n v="0"/>
    <n v="0"/>
    <m/>
    <s v="-"/>
    <s v="-"/>
    <m/>
    <m/>
    <n v="0"/>
    <n v="0"/>
    <n v="0"/>
    <n v="0"/>
    <n v="1"/>
    <n v="400000"/>
    <n v="320000"/>
    <n v="150000"/>
    <n v="70000"/>
    <s v="DISC20"/>
    <n v="0.2"/>
    <x v="1"/>
    <x v="2"/>
    <x v="4"/>
    <d v="2023-04-23T00:00:00"/>
    <x v="25"/>
    <s v="Sunday"/>
    <x v="2"/>
    <n v="5"/>
  </r>
  <r>
    <n v="282"/>
    <s v="ORD-TK0282-03/04/23"/>
    <s v="PP003"/>
    <s v="Pakaian Pria"/>
    <s v="Jaket Jeans"/>
    <n v="2"/>
    <n v="3"/>
    <n v="800000"/>
    <n v="720000"/>
    <n v="300000"/>
    <n v="220000"/>
    <s v="PW001"/>
    <s v="Pakaian Wanita"/>
    <s v="Dress"/>
    <n v="1"/>
    <n v="2"/>
    <n v="300000"/>
    <n v="270000"/>
    <n v="100000"/>
    <n v="70000"/>
    <s v="PP003"/>
    <s v="Pakaian Pria"/>
    <s v="Jaket Jeans"/>
    <n v="1"/>
    <n v="4"/>
    <n v="400000"/>
    <n v="360000"/>
    <n v="150000"/>
    <n v="110000"/>
    <n v="4"/>
    <n v="1500000"/>
    <n v="1350000"/>
    <n v="550000"/>
    <n v="400000"/>
    <s v="DISCAPRIL"/>
    <n v="0.1"/>
    <x v="0"/>
    <x v="1"/>
    <x v="1"/>
    <d v="2023-04-03T00:00:00"/>
    <x v="2"/>
    <s v="Monday"/>
    <x v="0"/>
    <n v="3"/>
  </r>
  <r>
    <n v="283"/>
    <s v="ORD-BL0283-16/04/23"/>
    <s v="SP002"/>
    <s v="Sepatu Pria"/>
    <s v="Sandal Slip On"/>
    <n v="1"/>
    <n v="2"/>
    <n v="150000"/>
    <n v="127500"/>
    <n v="60000"/>
    <n v="37500"/>
    <m/>
    <s v="-"/>
    <s v="-"/>
    <m/>
    <m/>
    <n v="0"/>
    <n v="0"/>
    <n v="0"/>
    <n v="0"/>
    <m/>
    <s v="-"/>
    <s v="-"/>
    <m/>
    <m/>
    <n v="0"/>
    <n v="0"/>
    <n v="0"/>
    <n v="0"/>
    <n v="1"/>
    <n v="150000"/>
    <n v="127500"/>
    <n v="60000"/>
    <n v="37500"/>
    <s v="BUKALEBAR"/>
    <n v="0.15"/>
    <x v="1"/>
    <x v="3"/>
    <x v="4"/>
    <d v="2023-04-16T00:00:00"/>
    <x v="17"/>
    <s v="Sunday"/>
    <x v="1"/>
    <n v="2"/>
  </r>
  <r>
    <n v="284"/>
    <s v="ORD-SP0284-02/04/23"/>
    <s v="PP001"/>
    <s v="Pakaian Pria"/>
    <s v="Kaos Polo"/>
    <n v="7"/>
    <n v="3"/>
    <n v="1400000"/>
    <n v="1260000"/>
    <n v="560000"/>
    <n v="420000"/>
    <m/>
    <s v="-"/>
    <s v="-"/>
    <m/>
    <m/>
    <n v="0"/>
    <n v="0"/>
    <n v="0"/>
    <n v="0"/>
    <m/>
    <s v="-"/>
    <s v="-"/>
    <m/>
    <m/>
    <n v="0"/>
    <n v="0"/>
    <n v="0"/>
    <n v="0"/>
    <n v="7"/>
    <n v="1400000"/>
    <n v="1260000"/>
    <n v="560000"/>
    <n v="420000"/>
    <s v="DISC10"/>
    <n v="0.1"/>
    <x v="0"/>
    <x v="2"/>
    <x v="4"/>
    <d v="2023-04-02T00:00:00"/>
    <x v="1"/>
    <s v="Sunday"/>
    <x v="0"/>
    <n v="3"/>
  </r>
  <r>
    <n v="285"/>
    <s v="ORD-SP0285-16/04/23"/>
    <s v="PW003"/>
    <s v="Pakaian Wanita"/>
    <s v="Kaftan"/>
    <n v="2"/>
    <n v="3"/>
    <n v="500000"/>
    <n v="400000"/>
    <n v="200000"/>
    <n v="100000"/>
    <s v="SW001"/>
    <s v="Sepatu Wanita"/>
    <s v="Flat Shoes"/>
    <n v="3"/>
    <n v="5"/>
    <n v="750000"/>
    <n v="600000"/>
    <n v="300000"/>
    <n v="150000"/>
    <m/>
    <s v="-"/>
    <s v="-"/>
    <m/>
    <m/>
    <n v="0"/>
    <n v="0"/>
    <n v="0"/>
    <n v="0"/>
    <n v="5"/>
    <n v="1250000"/>
    <n v="1000000"/>
    <n v="500000"/>
    <n v="250000"/>
    <s v="DISC20"/>
    <n v="0.2"/>
    <x v="1"/>
    <x v="2"/>
    <x v="0"/>
    <d v="2023-04-16T00:00:00"/>
    <x v="17"/>
    <s v="Sunday"/>
    <x v="1"/>
    <n v="4"/>
  </r>
  <r>
    <n v="286"/>
    <s v="ORD-SP0286-03/04/23"/>
    <s v="PW001"/>
    <s v="Pakaian Wanita"/>
    <s v="Dress"/>
    <n v="2"/>
    <n v="4"/>
    <n v="600000"/>
    <n v="510000"/>
    <n v="200000"/>
    <n v="110000"/>
    <m/>
    <s v="-"/>
    <s v="-"/>
    <m/>
    <m/>
    <n v="0"/>
    <n v="0"/>
    <n v="0"/>
    <n v="0"/>
    <m/>
    <s v="-"/>
    <s v="-"/>
    <m/>
    <m/>
    <n v="0"/>
    <n v="0"/>
    <n v="0"/>
    <n v="0"/>
    <n v="2"/>
    <n v="600000"/>
    <n v="510000"/>
    <n v="200000"/>
    <n v="110000"/>
    <s v="DISC15"/>
    <n v="0.15"/>
    <x v="0"/>
    <x v="2"/>
    <x v="5"/>
    <d v="2023-04-03T00:00:00"/>
    <x v="2"/>
    <s v="Monday"/>
    <x v="0"/>
    <n v="4"/>
  </r>
  <r>
    <n v="287"/>
    <s v="ORD-BB0287-03/04/23"/>
    <s v="PP003"/>
    <s v="Pakaian Pria"/>
    <s v="Jaket Jeans"/>
    <n v="1"/>
    <n v="2"/>
    <n v="400000"/>
    <n v="340000"/>
    <n v="150000"/>
    <n v="90000"/>
    <s v="SP002"/>
    <s v="Sepatu Pria"/>
    <s v="Sandal Slip On"/>
    <n v="2"/>
    <n v="1"/>
    <n v="300000"/>
    <n v="255000"/>
    <n v="120000"/>
    <n v="75000"/>
    <s v="PP002"/>
    <s v="Pakaian Pria"/>
    <s v="Celana Pendek"/>
    <n v="4"/>
    <n v="2"/>
    <n v="720000"/>
    <n v="612000"/>
    <n v="280000"/>
    <n v="172000"/>
    <n v="7"/>
    <n v="1420000"/>
    <n v="1207000"/>
    <n v="550000"/>
    <n v="337000"/>
    <s v="BELI44"/>
    <n v="0.15"/>
    <x v="0"/>
    <x v="0"/>
    <x v="4"/>
    <d v="2023-04-03T00:00:00"/>
    <x v="2"/>
    <s v="Monday"/>
    <x v="0"/>
    <n v="1.6666666666666667"/>
  </r>
  <r>
    <n v="288"/>
    <s v="ORD-SP0288-05/04/23"/>
    <s v="PW003"/>
    <s v="Pakaian Wanita"/>
    <s v="Kaftan"/>
    <n v="2"/>
    <n v="2"/>
    <n v="500000"/>
    <n v="450000"/>
    <n v="200000"/>
    <n v="150000"/>
    <s v="PP003"/>
    <s v="Pakaian Pria"/>
    <s v="Jaket Jeans"/>
    <n v="1"/>
    <n v="4"/>
    <n v="400000"/>
    <n v="360000"/>
    <n v="150000"/>
    <n v="110000"/>
    <m/>
    <s v="-"/>
    <s v="-"/>
    <m/>
    <m/>
    <n v="0"/>
    <n v="0"/>
    <n v="0"/>
    <n v="0"/>
    <n v="3"/>
    <n v="900000"/>
    <n v="810000"/>
    <n v="350000"/>
    <n v="260000"/>
    <s v="DISC10"/>
    <n v="0.1"/>
    <x v="0"/>
    <x v="2"/>
    <x v="5"/>
    <d v="2023-04-05T00:00:00"/>
    <x v="9"/>
    <s v="Wednesday"/>
    <x v="0"/>
    <n v="3"/>
  </r>
  <r>
    <n v="289"/>
    <s v="ORD-BB0289-03/04/23"/>
    <s v="PW001"/>
    <s v="Pakaian Wanita"/>
    <s v="Dress"/>
    <n v="4"/>
    <n v="1"/>
    <n v="1200000"/>
    <n v="1020000"/>
    <n v="400000"/>
    <n v="220000"/>
    <s v="PW003"/>
    <s v="Pakaian Wanita"/>
    <s v="Kaftan"/>
    <n v="1"/>
    <n v="2"/>
    <n v="250000"/>
    <n v="212500"/>
    <n v="100000"/>
    <n v="62500"/>
    <s v="SP002"/>
    <s v="Sepatu Pria"/>
    <s v="Sandal Slip On"/>
    <n v="1"/>
    <n v="2"/>
    <n v="150000"/>
    <n v="127500"/>
    <n v="60000"/>
    <n v="37500"/>
    <n v="6"/>
    <n v="1600000"/>
    <n v="1360000"/>
    <n v="560000"/>
    <n v="320000"/>
    <s v="BELI44"/>
    <n v="0.15"/>
    <x v="0"/>
    <x v="0"/>
    <x v="2"/>
    <d v="2023-04-03T00:00:00"/>
    <x v="2"/>
    <s v="Monday"/>
    <x v="0"/>
    <n v="1.6666666666666667"/>
  </r>
  <r>
    <n v="290"/>
    <s v="ORD-TK0290-07/04/23"/>
    <s v="PP003"/>
    <s v="Pakaian Pria"/>
    <s v="Jaket Jeans"/>
    <n v="6"/>
    <n v="2"/>
    <n v="2400000"/>
    <n v="2400000"/>
    <n v="900000"/>
    <n v="900000"/>
    <s v="PP002"/>
    <s v="Pakaian Pria"/>
    <s v="Celana Pendek"/>
    <n v="1"/>
    <n v="1"/>
    <n v="180000"/>
    <n v="180000"/>
    <n v="70000"/>
    <n v="70000"/>
    <m/>
    <s v="-"/>
    <s v="-"/>
    <m/>
    <m/>
    <n v="0"/>
    <n v="0"/>
    <n v="0"/>
    <n v="0"/>
    <n v="7"/>
    <n v="2580000"/>
    <n v="2580000"/>
    <n v="970000"/>
    <n v="970000"/>
    <s v="Tidak Ada"/>
    <s v="-"/>
    <x v="2"/>
    <x v="1"/>
    <x v="0"/>
    <d v="2023-04-07T00:00:00"/>
    <x v="28"/>
    <s v="Friday"/>
    <x v="0"/>
    <n v="1.5"/>
  </r>
  <r>
    <n v="291"/>
    <s v="ORD-SP0291-04/04/23"/>
    <s v="SP002"/>
    <s v="Sepatu Pria"/>
    <s v="Sandal Slip On"/>
    <n v="1"/>
    <n v="4"/>
    <n v="150000"/>
    <n v="127500"/>
    <n v="60000"/>
    <n v="37500"/>
    <s v="SP001"/>
    <s v="Sepatu Pria"/>
    <s v="Sneakers"/>
    <n v="1"/>
    <n v="4"/>
    <n v="500000"/>
    <n v="425000"/>
    <n v="200000"/>
    <n v="125000"/>
    <m/>
    <s v="-"/>
    <s v="-"/>
    <m/>
    <m/>
    <n v="0"/>
    <n v="0"/>
    <n v="0"/>
    <n v="0"/>
    <n v="2"/>
    <n v="650000"/>
    <n v="552500"/>
    <n v="260000"/>
    <n v="162500"/>
    <s v="DISC15"/>
    <n v="0.15"/>
    <x v="0"/>
    <x v="2"/>
    <x v="4"/>
    <d v="2023-04-04T00:00:00"/>
    <x v="7"/>
    <s v="Tuesday"/>
    <x v="0"/>
    <n v="4"/>
  </r>
  <r>
    <n v="292"/>
    <s v="ORD-BB0292-05/04/23"/>
    <s v="SW001"/>
    <s v="Sepatu Wanita"/>
    <s v="Flat Shoes"/>
    <n v="3"/>
    <n v="2"/>
    <n v="750000"/>
    <n v="637500"/>
    <n v="300000"/>
    <n v="187500"/>
    <m/>
    <s v="-"/>
    <s v="-"/>
    <m/>
    <m/>
    <n v="0"/>
    <n v="0"/>
    <n v="0"/>
    <n v="0"/>
    <m/>
    <s v="-"/>
    <s v="-"/>
    <m/>
    <m/>
    <n v="0"/>
    <n v="0"/>
    <n v="0"/>
    <n v="0"/>
    <n v="3"/>
    <n v="750000"/>
    <n v="637500"/>
    <n v="300000"/>
    <n v="187500"/>
    <s v="BELI44"/>
    <n v="0.15"/>
    <x v="0"/>
    <x v="0"/>
    <x v="4"/>
    <d v="2023-04-05T00:00:00"/>
    <x v="9"/>
    <s v="Wednesday"/>
    <x v="0"/>
    <n v="2"/>
  </r>
  <r>
    <n v="293"/>
    <s v="ORD-SP0293-06/04/23"/>
    <s v="PP003"/>
    <s v="Pakaian Pria"/>
    <s v="Jaket Jeans"/>
    <n v="2"/>
    <n v="2"/>
    <n v="800000"/>
    <n v="680000"/>
    <n v="300000"/>
    <n v="180000"/>
    <s v="PW003"/>
    <s v="Pakaian Wanita"/>
    <s v="Kaftan"/>
    <n v="2"/>
    <n v="1"/>
    <n v="500000"/>
    <n v="425000"/>
    <n v="200000"/>
    <n v="125000"/>
    <s v="PW002"/>
    <s v="Pakaian Wanita"/>
    <s v="Blouse"/>
    <n v="3"/>
    <n v="2"/>
    <n v="450000"/>
    <n v="382500"/>
    <n v="150000"/>
    <n v="82500"/>
    <n v="7"/>
    <n v="1750000"/>
    <n v="1487500"/>
    <n v="650000"/>
    <n v="387500"/>
    <s v="DISC15"/>
    <n v="0.15"/>
    <x v="0"/>
    <x v="2"/>
    <x v="5"/>
    <d v="2023-04-06T00:00:00"/>
    <x v="8"/>
    <s v="Thursday"/>
    <x v="0"/>
    <n v="1.6666666666666667"/>
  </r>
  <r>
    <n v="294"/>
    <s v="ORD-SP0294-17/04/23"/>
    <s v="PW002"/>
    <s v="Pakaian Wanita"/>
    <s v="Blouse"/>
    <n v="1"/>
    <n v="2"/>
    <n v="150000"/>
    <n v="120000"/>
    <n v="50000"/>
    <n v="20000"/>
    <s v="PW003"/>
    <s v="Pakaian Wanita"/>
    <s v="Kaftan"/>
    <n v="1"/>
    <n v="3"/>
    <n v="250000"/>
    <n v="200000"/>
    <n v="100000"/>
    <n v="50000"/>
    <m/>
    <s v="-"/>
    <s v="-"/>
    <m/>
    <m/>
    <n v="0"/>
    <n v="0"/>
    <n v="0"/>
    <n v="0"/>
    <n v="2"/>
    <n v="400000"/>
    <n v="320000"/>
    <n v="150000"/>
    <n v="70000"/>
    <s v="DISC20"/>
    <n v="0.2"/>
    <x v="1"/>
    <x v="2"/>
    <x v="2"/>
    <d v="2023-04-17T00:00:00"/>
    <x v="3"/>
    <s v="Monday"/>
    <x v="1"/>
    <n v="2.5"/>
  </r>
  <r>
    <n v="295"/>
    <s v="ORD-SP0295-05/04/23"/>
    <s v="PW002"/>
    <s v="Pakaian Wanita"/>
    <s v="Blouse"/>
    <n v="6"/>
    <n v="4"/>
    <n v="900000"/>
    <n v="810000"/>
    <n v="300000"/>
    <n v="210000"/>
    <m/>
    <s v="-"/>
    <s v="-"/>
    <m/>
    <m/>
    <n v="0"/>
    <n v="0"/>
    <n v="0"/>
    <n v="0"/>
    <m/>
    <s v="-"/>
    <s v="-"/>
    <m/>
    <m/>
    <n v="0"/>
    <n v="0"/>
    <n v="0"/>
    <n v="0"/>
    <n v="6"/>
    <n v="900000"/>
    <n v="810000"/>
    <n v="300000"/>
    <n v="210000"/>
    <s v="DISC10"/>
    <n v="0.1"/>
    <x v="0"/>
    <x v="2"/>
    <x v="0"/>
    <d v="2023-04-05T00:00:00"/>
    <x v="9"/>
    <s v="Wednesday"/>
    <x v="0"/>
    <n v="4"/>
  </r>
  <r>
    <n v="296"/>
    <s v="ORD-BB0296-02/04/23"/>
    <s v="PP002"/>
    <s v="Pakaian Pria"/>
    <s v="Celana Pendek"/>
    <n v="3"/>
    <n v="5"/>
    <n v="540000"/>
    <n v="459000"/>
    <n v="210000"/>
    <n v="129000"/>
    <s v="PP001"/>
    <s v="Pakaian Pria"/>
    <s v="Kaos Polo"/>
    <n v="1"/>
    <n v="3"/>
    <n v="200000"/>
    <n v="170000"/>
    <n v="80000"/>
    <n v="50000"/>
    <m/>
    <s v="-"/>
    <s v="-"/>
    <m/>
    <m/>
    <n v="0"/>
    <n v="0"/>
    <n v="0"/>
    <n v="0"/>
    <n v="4"/>
    <n v="740000"/>
    <n v="629000"/>
    <n v="290000"/>
    <n v="179000"/>
    <s v="BELI44"/>
    <n v="0.15"/>
    <x v="0"/>
    <x v="0"/>
    <x v="4"/>
    <d v="2023-04-02T00:00:00"/>
    <x v="1"/>
    <s v="Sunday"/>
    <x v="0"/>
    <n v="4"/>
  </r>
  <r>
    <n v="297"/>
    <s v="ORD-BB0297-13/04/23"/>
    <s v="PP003"/>
    <s v="Pakaian Pria"/>
    <s v="Jaket Jeans"/>
    <n v="6"/>
    <n v="5"/>
    <n v="2400000"/>
    <n v="2400000"/>
    <n v="900000"/>
    <n v="900000"/>
    <m/>
    <s v="-"/>
    <s v="-"/>
    <m/>
    <m/>
    <n v="0"/>
    <n v="0"/>
    <n v="0"/>
    <n v="0"/>
    <m/>
    <s v="-"/>
    <s v="-"/>
    <m/>
    <m/>
    <n v="0"/>
    <n v="0"/>
    <n v="0"/>
    <n v="0"/>
    <n v="6"/>
    <n v="2400000"/>
    <n v="2400000"/>
    <n v="900000"/>
    <n v="900000"/>
    <s v="Tidak Ada"/>
    <s v="-"/>
    <x v="2"/>
    <x v="0"/>
    <x v="4"/>
    <d v="2023-04-13T00:00:00"/>
    <x v="21"/>
    <s v="Thursday"/>
    <x v="3"/>
    <n v="5"/>
  </r>
  <r>
    <n v="298"/>
    <s v="ORD-SP0298-02/04/23"/>
    <s v="PW001"/>
    <s v="Pakaian Wanita"/>
    <s v="Dress"/>
    <n v="4"/>
    <n v="1"/>
    <n v="1200000"/>
    <n v="1080000"/>
    <n v="400000"/>
    <n v="280000"/>
    <s v="PP001"/>
    <s v="Pakaian Pria"/>
    <s v="Kaos Polo"/>
    <n v="3"/>
    <n v="4"/>
    <n v="600000"/>
    <n v="540000"/>
    <n v="240000"/>
    <n v="180000"/>
    <m/>
    <s v="-"/>
    <s v="-"/>
    <m/>
    <m/>
    <n v="0"/>
    <n v="0"/>
    <n v="0"/>
    <n v="0"/>
    <n v="7"/>
    <n v="1800000"/>
    <n v="1620000"/>
    <n v="640000"/>
    <n v="460000"/>
    <s v="DISC10"/>
    <n v="0.1"/>
    <x v="0"/>
    <x v="2"/>
    <x v="0"/>
    <d v="2023-04-02T00:00:00"/>
    <x v="1"/>
    <s v="Sunday"/>
    <x v="0"/>
    <n v="2.5"/>
  </r>
  <r>
    <n v="299"/>
    <s v="ORD-TK0299-21/04/23"/>
    <s v="PW002"/>
    <s v="Pakaian Wanita"/>
    <s v="Blouse"/>
    <n v="2"/>
    <n v="4"/>
    <n v="300000"/>
    <n v="270000"/>
    <n v="100000"/>
    <n v="70000"/>
    <s v="PP001"/>
    <s v="Pakaian Pria"/>
    <s v="Kaos Polo"/>
    <n v="4"/>
    <n v="3"/>
    <n v="800000"/>
    <n v="720000"/>
    <n v="320000"/>
    <n v="240000"/>
    <m/>
    <s v="-"/>
    <s v="-"/>
    <m/>
    <m/>
    <n v="0"/>
    <n v="0"/>
    <n v="0"/>
    <n v="0"/>
    <n v="6"/>
    <n v="1100000"/>
    <n v="990000"/>
    <n v="420000"/>
    <n v="310000"/>
    <s v="LEBAR10"/>
    <n v="0.1"/>
    <x v="1"/>
    <x v="1"/>
    <x v="5"/>
    <d v="2023-04-21T00:00:00"/>
    <x v="20"/>
    <s v="Friday"/>
    <x v="1"/>
    <n v="3.5"/>
  </r>
  <r>
    <n v="300"/>
    <s v="ORD-SP0300-04/04/23"/>
    <s v="PW001"/>
    <s v="Pakaian Wanita"/>
    <s v="Dress"/>
    <n v="1"/>
    <n v="3"/>
    <n v="300000"/>
    <n v="255000"/>
    <n v="100000"/>
    <n v="55000"/>
    <s v="SP002"/>
    <s v="Sepatu Pria"/>
    <s v="Sandal Slip On"/>
    <n v="2"/>
    <n v="4"/>
    <n v="300000"/>
    <n v="255000"/>
    <n v="120000"/>
    <n v="75000"/>
    <s v="PP002"/>
    <s v="Pakaian Pria"/>
    <s v="Celana Pendek"/>
    <n v="1"/>
    <n v="4"/>
    <n v="180000"/>
    <n v="153000"/>
    <n v="70000"/>
    <n v="43000"/>
    <n v="4"/>
    <n v="780000"/>
    <n v="663000"/>
    <n v="290000"/>
    <n v="173000"/>
    <s v="DISC15"/>
    <n v="0.15"/>
    <x v="0"/>
    <x v="2"/>
    <x v="4"/>
    <d v="2023-04-04T00:00:00"/>
    <x v="7"/>
    <s v="Tuesday"/>
    <x v="0"/>
    <n v="3.6666666666666665"/>
  </r>
  <r>
    <n v="301"/>
    <s v="ORD-SP0301-04/04/23"/>
    <s v="PP003"/>
    <s v="Pakaian Pria"/>
    <s v="Jaket Jeans"/>
    <n v="3"/>
    <n v="4"/>
    <n v="1200000"/>
    <n v="1080000"/>
    <n v="450000"/>
    <n v="330000"/>
    <s v="PP002"/>
    <s v="Pakaian Pria"/>
    <s v="Celana Pendek"/>
    <n v="4"/>
    <n v="4"/>
    <n v="720000"/>
    <n v="648000"/>
    <n v="280000"/>
    <n v="208000"/>
    <m/>
    <s v="-"/>
    <s v="-"/>
    <m/>
    <m/>
    <n v="0"/>
    <n v="0"/>
    <n v="0"/>
    <n v="0"/>
    <n v="7"/>
    <n v="1920000"/>
    <n v="1728000"/>
    <n v="730000"/>
    <n v="538000"/>
    <s v="DISC10"/>
    <n v="0.1"/>
    <x v="0"/>
    <x v="2"/>
    <x v="3"/>
    <d v="2023-04-04T00:00:00"/>
    <x v="7"/>
    <s v="Tuesday"/>
    <x v="0"/>
    <n v="4"/>
  </r>
  <r>
    <n v="302"/>
    <s v="ORD-BL0302-21/04/23"/>
    <s v="PP002"/>
    <s v="Pakaian Pria"/>
    <s v="Celana Pendek"/>
    <n v="1"/>
    <n v="2"/>
    <n v="180000"/>
    <n v="153000"/>
    <n v="70000"/>
    <n v="43000"/>
    <m/>
    <s v="-"/>
    <s v="-"/>
    <m/>
    <m/>
    <n v="0"/>
    <n v="0"/>
    <n v="0"/>
    <n v="0"/>
    <m/>
    <s v="-"/>
    <s v="-"/>
    <m/>
    <m/>
    <n v="0"/>
    <n v="0"/>
    <n v="0"/>
    <n v="0"/>
    <n v="1"/>
    <n v="180000"/>
    <n v="153000"/>
    <n v="70000"/>
    <n v="43000"/>
    <s v="BUKALEBAR"/>
    <n v="0.15"/>
    <x v="1"/>
    <x v="3"/>
    <x v="0"/>
    <d v="2023-04-21T00:00:00"/>
    <x v="20"/>
    <s v="Friday"/>
    <x v="1"/>
    <n v="2"/>
  </r>
  <r>
    <n v="303"/>
    <s v="ORD-SP0303-01/04/23"/>
    <s v="SW001"/>
    <s v="Sepatu Wanita"/>
    <s v="Flat Shoes"/>
    <n v="6"/>
    <n v="2"/>
    <n v="1500000"/>
    <n v="1350000"/>
    <n v="600000"/>
    <n v="450000"/>
    <s v="PU001"/>
    <s v="Pakaian Unisex"/>
    <s v="Jaket Hoodie"/>
    <n v="1"/>
    <n v="3"/>
    <n v="350000"/>
    <n v="315000"/>
    <n v="130000"/>
    <n v="95000"/>
    <m/>
    <s v="-"/>
    <s v="-"/>
    <m/>
    <m/>
    <n v="0"/>
    <n v="0"/>
    <n v="0"/>
    <n v="0"/>
    <n v="7"/>
    <n v="1850000"/>
    <n v="1665000"/>
    <n v="730000"/>
    <n v="545000"/>
    <s v="DISC10"/>
    <n v="0.1"/>
    <x v="0"/>
    <x v="2"/>
    <x v="0"/>
    <d v="2023-04-01T00:00:00"/>
    <x v="0"/>
    <s v="Saturday"/>
    <x v="0"/>
    <n v="2.5"/>
  </r>
  <r>
    <n v="304"/>
    <s v="ORD-TK0304-27/04/23"/>
    <s v="PP003"/>
    <s v="Pakaian Pria"/>
    <s v="Jaket Jeans"/>
    <n v="2"/>
    <n v="4"/>
    <n v="800000"/>
    <n v="720000"/>
    <n v="300000"/>
    <n v="220000"/>
    <m/>
    <s v="-"/>
    <s v="-"/>
    <m/>
    <m/>
    <n v="0"/>
    <n v="0"/>
    <n v="0"/>
    <n v="0"/>
    <m/>
    <s v="-"/>
    <s v="-"/>
    <m/>
    <m/>
    <n v="0"/>
    <n v="0"/>
    <n v="0"/>
    <n v="0"/>
    <n v="2"/>
    <n v="800000"/>
    <n v="720000"/>
    <n v="300000"/>
    <n v="220000"/>
    <s v="LEBAR10"/>
    <n v="0.1"/>
    <x v="1"/>
    <x v="1"/>
    <x v="1"/>
    <d v="2023-04-27T00:00:00"/>
    <x v="18"/>
    <s v="Thursday"/>
    <x v="2"/>
    <n v="4"/>
  </r>
  <r>
    <n v="305"/>
    <s v="ORD-SP0305-06/04/23"/>
    <s v="PP002"/>
    <s v="Pakaian Pria"/>
    <s v="Celana Pendek"/>
    <n v="1"/>
    <n v="2"/>
    <n v="180000"/>
    <n v="162000"/>
    <n v="70000"/>
    <n v="52000"/>
    <s v="PW003"/>
    <s v="Pakaian Wanita"/>
    <s v="Kaftan"/>
    <n v="4"/>
    <n v="3"/>
    <n v="1000000"/>
    <n v="900000"/>
    <n v="400000"/>
    <n v="300000"/>
    <m/>
    <s v="-"/>
    <s v="-"/>
    <m/>
    <m/>
    <n v="0"/>
    <n v="0"/>
    <n v="0"/>
    <n v="0"/>
    <n v="5"/>
    <n v="1180000"/>
    <n v="1062000"/>
    <n v="470000"/>
    <n v="352000"/>
    <s v="DISC10"/>
    <n v="0.1"/>
    <x v="0"/>
    <x v="2"/>
    <x v="5"/>
    <d v="2023-04-06T00:00:00"/>
    <x v="8"/>
    <s v="Thursday"/>
    <x v="0"/>
    <n v="2.5"/>
  </r>
  <r>
    <n v="306"/>
    <s v="ORD-BB0306-06/04/23"/>
    <s v="PP003"/>
    <s v="Pakaian Pria"/>
    <s v="Jaket Jeans"/>
    <n v="2"/>
    <n v="4"/>
    <n v="800000"/>
    <n v="680000"/>
    <n v="300000"/>
    <n v="180000"/>
    <s v="PW002"/>
    <s v="Pakaian Wanita"/>
    <s v="Blouse"/>
    <n v="2"/>
    <n v="4"/>
    <n v="300000"/>
    <n v="255000"/>
    <n v="100000"/>
    <n v="55000"/>
    <m/>
    <s v="-"/>
    <s v="-"/>
    <m/>
    <m/>
    <n v="0"/>
    <n v="0"/>
    <n v="0"/>
    <n v="0"/>
    <n v="4"/>
    <n v="1100000"/>
    <n v="935000"/>
    <n v="400000"/>
    <n v="235000"/>
    <s v="BELI44"/>
    <n v="0.15"/>
    <x v="0"/>
    <x v="0"/>
    <x v="0"/>
    <d v="2023-04-06T00:00:00"/>
    <x v="8"/>
    <s v="Thursday"/>
    <x v="0"/>
    <n v="4"/>
  </r>
  <r>
    <n v="307"/>
    <s v="ORD-BB0307-06/04/23"/>
    <s v="PP001"/>
    <s v="Pakaian Pria"/>
    <s v="Kaos Polo"/>
    <n v="2"/>
    <n v="5"/>
    <n v="400000"/>
    <n v="340000"/>
    <n v="160000"/>
    <n v="100000"/>
    <s v="PU001"/>
    <s v="Pakaian Unisex"/>
    <s v="Jaket Hoodie"/>
    <n v="2"/>
    <n v="2"/>
    <n v="700000"/>
    <n v="595000"/>
    <n v="260000"/>
    <n v="155000"/>
    <m/>
    <s v="-"/>
    <s v="-"/>
    <m/>
    <m/>
    <n v="0"/>
    <n v="0"/>
    <n v="0"/>
    <n v="0"/>
    <n v="4"/>
    <n v="1100000"/>
    <n v="935000"/>
    <n v="420000"/>
    <n v="255000"/>
    <s v="BELI44"/>
    <n v="0.15"/>
    <x v="0"/>
    <x v="0"/>
    <x v="4"/>
    <d v="2023-04-06T00:00:00"/>
    <x v="8"/>
    <s v="Thursday"/>
    <x v="0"/>
    <n v="3.5"/>
  </r>
  <r>
    <n v="308"/>
    <s v="ORD-TK0308-18/04/23"/>
    <s v="PP001"/>
    <s v="Pakaian Pria"/>
    <s v="Kaos Polo"/>
    <n v="5"/>
    <n v="4"/>
    <n v="1000000"/>
    <n v="900000"/>
    <n v="400000"/>
    <n v="300000"/>
    <s v="SP001"/>
    <s v="Sepatu Pria"/>
    <s v="Sneakers"/>
    <n v="2"/>
    <n v="3"/>
    <n v="1000000"/>
    <n v="900000"/>
    <n v="400000"/>
    <n v="300000"/>
    <m/>
    <s v="-"/>
    <s v="-"/>
    <m/>
    <m/>
    <n v="0"/>
    <n v="0"/>
    <n v="0"/>
    <n v="0"/>
    <n v="7"/>
    <n v="2000000"/>
    <n v="1800000"/>
    <n v="800000"/>
    <n v="600000"/>
    <s v="LEBAR10"/>
    <n v="0.1"/>
    <x v="1"/>
    <x v="1"/>
    <x v="3"/>
    <d v="2023-04-18T00:00:00"/>
    <x v="24"/>
    <s v="Tuesday"/>
    <x v="1"/>
    <n v="3.5"/>
  </r>
  <r>
    <n v="309"/>
    <s v="ORD-BB0309-02/04/23"/>
    <s v="PW002"/>
    <s v="Pakaian Wanita"/>
    <s v="Blouse"/>
    <n v="2"/>
    <n v="5"/>
    <n v="300000"/>
    <n v="255000"/>
    <n v="100000"/>
    <n v="55000"/>
    <s v="PP001"/>
    <s v="Pakaian Pria"/>
    <s v="Kaos Polo"/>
    <n v="4"/>
    <n v="5"/>
    <n v="800000"/>
    <n v="680000"/>
    <n v="320000"/>
    <n v="200000"/>
    <m/>
    <s v="-"/>
    <s v="-"/>
    <m/>
    <m/>
    <n v="0"/>
    <n v="0"/>
    <n v="0"/>
    <n v="0"/>
    <n v="6"/>
    <n v="1100000"/>
    <n v="935000"/>
    <n v="420000"/>
    <n v="255000"/>
    <s v="BELI44"/>
    <n v="0.15"/>
    <x v="0"/>
    <x v="0"/>
    <x v="4"/>
    <d v="2023-04-02T00:00:00"/>
    <x v="1"/>
    <s v="Sunday"/>
    <x v="0"/>
    <n v="5"/>
  </r>
  <r>
    <n v="310"/>
    <s v="ORD-BL0310-20/04/23"/>
    <s v="PW002"/>
    <s v="Pakaian Wanita"/>
    <s v="Blouse"/>
    <n v="3"/>
    <n v="1"/>
    <n v="450000"/>
    <n v="382500"/>
    <n v="150000"/>
    <n v="82500"/>
    <s v="PP002"/>
    <s v="Pakaian Pria"/>
    <s v="Celana Pendek"/>
    <n v="2"/>
    <n v="4"/>
    <n v="360000"/>
    <n v="306000"/>
    <n v="140000"/>
    <n v="86000"/>
    <m/>
    <s v="-"/>
    <s v="-"/>
    <m/>
    <m/>
    <n v="0"/>
    <n v="0"/>
    <n v="0"/>
    <n v="0"/>
    <n v="5"/>
    <n v="810000"/>
    <n v="688500"/>
    <n v="290000"/>
    <n v="168500"/>
    <s v="BUKALEBAR"/>
    <n v="0.15"/>
    <x v="1"/>
    <x v="3"/>
    <x v="4"/>
    <d v="2023-04-20T00:00:00"/>
    <x v="5"/>
    <s v="Thursday"/>
    <x v="1"/>
    <n v="2.5"/>
  </r>
  <r>
    <n v="311"/>
    <s v="ORD-SP0311-01/04/23"/>
    <s v="PP002"/>
    <s v="Pakaian Pria"/>
    <s v="Celana Pendek"/>
    <n v="3"/>
    <n v="2"/>
    <n v="540000"/>
    <n v="486000"/>
    <n v="210000"/>
    <n v="156000"/>
    <s v="SP002"/>
    <s v="Sepatu Pria"/>
    <s v="Sandal Slip On"/>
    <n v="2"/>
    <n v="1"/>
    <n v="300000"/>
    <n v="270000"/>
    <n v="120000"/>
    <n v="90000"/>
    <s v="PW001"/>
    <s v="Pakaian Wanita"/>
    <s v="Dress"/>
    <n v="2"/>
    <n v="4"/>
    <n v="600000"/>
    <n v="540000"/>
    <n v="200000"/>
    <n v="140000"/>
    <n v="7"/>
    <n v="1440000"/>
    <n v="1296000"/>
    <n v="530000"/>
    <n v="386000"/>
    <s v="DISC10"/>
    <n v="0.1"/>
    <x v="0"/>
    <x v="2"/>
    <x v="0"/>
    <d v="2023-04-01T00:00:00"/>
    <x v="0"/>
    <s v="Saturday"/>
    <x v="0"/>
    <n v="2.3333333333333335"/>
  </r>
  <r>
    <n v="312"/>
    <s v="ORD-TK0312-26/04/23"/>
    <s v="SP001"/>
    <s v="Sepatu Pria"/>
    <s v="Sneakers"/>
    <n v="2"/>
    <n v="5"/>
    <n v="1000000"/>
    <n v="900000"/>
    <n v="400000"/>
    <n v="300000"/>
    <s v="PW003"/>
    <s v="Pakaian Wanita"/>
    <s v="Kaftan"/>
    <n v="1"/>
    <n v="3"/>
    <n v="250000"/>
    <n v="225000"/>
    <n v="100000"/>
    <n v="75000"/>
    <s v="SP002"/>
    <s v="Sepatu Pria"/>
    <s v="Sandal Slip On"/>
    <n v="1"/>
    <n v="2"/>
    <n v="150000"/>
    <n v="135000"/>
    <n v="60000"/>
    <n v="45000"/>
    <n v="4"/>
    <n v="1400000"/>
    <n v="1260000"/>
    <n v="560000"/>
    <n v="420000"/>
    <s v="LEBAR10"/>
    <n v="0.1"/>
    <x v="1"/>
    <x v="1"/>
    <x v="0"/>
    <d v="2023-04-26T00:00:00"/>
    <x v="15"/>
    <s v="Wednesday"/>
    <x v="2"/>
    <n v="3.3333333333333335"/>
  </r>
  <r>
    <n v="313"/>
    <s v="ORD-TK0313-19/04/23"/>
    <s v="SP002"/>
    <s v="Sepatu Pria"/>
    <s v="Sandal Slip On"/>
    <n v="4"/>
    <n v="5"/>
    <n v="600000"/>
    <n v="540000"/>
    <n v="240000"/>
    <n v="180000"/>
    <m/>
    <s v="-"/>
    <s v="-"/>
    <m/>
    <m/>
    <n v="0"/>
    <n v="0"/>
    <n v="0"/>
    <n v="0"/>
    <m/>
    <s v="-"/>
    <s v="-"/>
    <m/>
    <m/>
    <n v="0"/>
    <n v="0"/>
    <n v="0"/>
    <n v="0"/>
    <n v="4"/>
    <n v="600000"/>
    <n v="540000"/>
    <n v="240000"/>
    <n v="180000"/>
    <s v="LEBAR10"/>
    <n v="0.1"/>
    <x v="1"/>
    <x v="1"/>
    <x v="5"/>
    <d v="2023-04-19T00:00:00"/>
    <x v="19"/>
    <s v="Wednesday"/>
    <x v="1"/>
    <n v="5"/>
  </r>
  <r>
    <n v="314"/>
    <s v="ORD-SP0314-06/04/23"/>
    <s v="PW002"/>
    <s v="Pakaian Wanita"/>
    <s v="Blouse"/>
    <n v="3"/>
    <n v="2"/>
    <n v="450000"/>
    <n v="405000"/>
    <n v="150000"/>
    <n v="105000"/>
    <m/>
    <s v="-"/>
    <s v="-"/>
    <m/>
    <m/>
    <n v="0"/>
    <n v="0"/>
    <n v="0"/>
    <n v="0"/>
    <m/>
    <s v="-"/>
    <s v="-"/>
    <m/>
    <m/>
    <n v="0"/>
    <n v="0"/>
    <n v="0"/>
    <n v="0"/>
    <n v="3"/>
    <n v="450000"/>
    <n v="405000"/>
    <n v="150000"/>
    <n v="105000"/>
    <s v="DISC10"/>
    <n v="0.1"/>
    <x v="0"/>
    <x v="2"/>
    <x v="4"/>
    <d v="2023-04-06T00:00:00"/>
    <x v="8"/>
    <s v="Thursday"/>
    <x v="0"/>
    <n v="2"/>
  </r>
  <r>
    <n v="315"/>
    <s v="ORD-BB0315-01/04/23"/>
    <s v="SP002"/>
    <s v="Sepatu Pria"/>
    <s v="Sandal Slip On"/>
    <n v="1"/>
    <n v="5"/>
    <n v="150000"/>
    <n v="127500"/>
    <n v="60000"/>
    <n v="37500"/>
    <s v="PP001"/>
    <s v="Pakaian Pria"/>
    <s v="Kaos Polo"/>
    <n v="1"/>
    <n v="1"/>
    <n v="200000"/>
    <n v="170000"/>
    <n v="80000"/>
    <n v="50000"/>
    <s v="PW001"/>
    <s v="Pakaian Wanita"/>
    <s v="Dress"/>
    <n v="1"/>
    <n v="1"/>
    <n v="300000"/>
    <n v="255000"/>
    <n v="100000"/>
    <n v="55000"/>
    <n v="3"/>
    <n v="650000"/>
    <n v="552500"/>
    <n v="240000"/>
    <n v="142500"/>
    <s v="BELI44"/>
    <n v="0.15"/>
    <x v="0"/>
    <x v="0"/>
    <x v="2"/>
    <d v="2023-04-01T00:00:00"/>
    <x v="0"/>
    <s v="Saturday"/>
    <x v="0"/>
    <n v="2.3333333333333335"/>
  </r>
  <r>
    <n v="316"/>
    <s v="ORD-BB0316-06/04/23"/>
    <s v="PW002"/>
    <s v="Pakaian Wanita"/>
    <s v="Blouse"/>
    <n v="1"/>
    <n v="1"/>
    <n v="150000"/>
    <n v="127500"/>
    <n v="50000"/>
    <n v="27500"/>
    <s v="SP002"/>
    <s v="Sepatu Pria"/>
    <s v="Sandal Slip On"/>
    <n v="1"/>
    <n v="5"/>
    <n v="150000"/>
    <n v="127500"/>
    <n v="60000"/>
    <n v="37500"/>
    <s v="PP001"/>
    <s v="Pakaian Pria"/>
    <s v="Kaos Polo"/>
    <n v="1"/>
    <n v="3"/>
    <n v="200000"/>
    <n v="170000"/>
    <n v="80000"/>
    <n v="50000"/>
    <n v="3"/>
    <n v="500000"/>
    <n v="425000"/>
    <n v="190000"/>
    <n v="115000"/>
    <s v="BELI44"/>
    <n v="0.15"/>
    <x v="0"/>
    <x v="0"/>
    <x v="4"/>
    <d v="2023-04-06T00:00:00"/>
    <x v="8"/>
    <s v="Thursday"/>
    <x v="0"/>
    <n v="3"/>
  </r>
  <r>
    <n v="317"/>
    <s v="ORD-SP0317-16/04/23"/>
    <s v="PP001"/>
    <s v="Pakaian Pria"/>
    <s v="Kaos Polo"/>
    <n v="6"/>
    <n v="1"/>
    <n v="1200000"/>
    <n v="960000"/>
    <n v="480000"/>
    <n v="240000"/>
    <m/>
    <s v="-"/>
    <s v="-"/>
    <m/>
    <m/>
    <n v="0"/>
    <n v="0"/>
    <n v="0"/>
    <n v="0"/>
    <m/>
    <s v="-"/>
    <s v="-"/>
    <m/>
    <m/>
    <n v="0"/>
    <n v="0"/>
    <n v="0"/>
    <n v="0"/>
    <n v="6"/>
    <n v="1200000"/>
    <n v="960000"/>
    <n v="480000"/>
    <n v="240000"/>
    <s v="DISC20"/>
    <n v="0.2"/>
    <x v="1"/>
    <x v="2"/>
    <x v="5"/>
    <d v="2023-04-16T00:00:00"/>
    <x v="17"/>
    <s v="Sunday"/>
    <x v="1"/>
    <n v="1"/>
  </r>
  <r>
    <n v="318"/>
    <s v="ORD-BB0318-06/04/23"/>
    <s v="PP003"/>
    <s v="Pakaian Pria"/>
    <s v="Jaket Jeans"/>
    <n v="3"/>
    <n v="3"/>
    <n v="1200000"/>
    <n v="1020000"/>
    <n v="450000"/>
    <n v="270000"/>
    <s v="SW001"/>
    <s v="Sepatu Wanita"/>
    <s v="Flat Shoes"/>
    <n v="2"/>
    <n v="3"/>
    <n v="500000"/>
    <n v="425000"/>
    <n v="200000"/>
    <n v="125000"/>
    <s v="PP001"/>
    <s v="Pakaian Pria"/>
    <s v="Kaos Polo"/>
    <n v="1"/>
    <n v="5"/>
    <n v="200000"/>
    <n v="170000"/>
    <n v="80000"/>
    <n v="50000"/>
    <n v="6"/>
    <n v="1900000"/>
    <n v="1615000"/>
    <n v="730000"/>
    <n v="445000"/>
    <s v="BELI44"/>
    <n v="0.15"/>
    <x v="0"/>
    <x v="0"/>
    <x v="5"/>
    <d v="2023-04-06T00:00:00"/>
    <x v="8"/>
    <s v="Thursday"/>
    <x v="0"/>
    <n v="3.6666666666666665"/>
  </r>
  <r>
    <n v="319"/>
    <s v="ORD-TK0319-06/04/23"/>
    <s v="PW002"/>
    <s v="Pakaian Wanita"/>
    <s v="Blouse"/>
    <n v="3"/>
    <n v="4"/>
    <n v="450000"/>
    <n v="405000"/>
    <n v="150000"/>
    <n v="105000"/>
    <s v="PU001"/>
    <s v="Pakaian Unisex"/>
    <s v="Jaket Hoodie"/>
    <n v="2"/>
    <n v="3"/>
    <n v="700000"/>
    <n v="630000"/>
    <n v="260000"/>
    <n v="190000"/>
    <m/>
    <s v="-"/>
    <s v="-"/>
    <m/>
    <m/>
    <n v="0"/>
    <n v="0"/>
    <n v="0"/>
    <n v="0"/>
    <n v="5"/>
    <n v="1150000"/>
    <n v="1035000"/>
    <n v="410000"/>
    <n v="295000"/>
    <s v="DISCAPRIL"/>
    <n v="0.1"/>
    <x v="0"/>
    <x v="1"/>
    <x v="1"/>
    <d v="2023-04-06T00:00:00"/>
    <x v="8"/>
    <s v="Thursday"/>
    <x v="0"/>
    <n v="3.5"/>
  </r>
  <r>
    <n v="320"/>
    <s v="ORD-BL0320-30/04/23"/>
    <s v="SP002"/>
    <s v="Sepatu Pria"/>
    <s v="Sandal Slip On"/>
    <n v="1"/>
    <n v="4"/>
    <n v="150000"/>
    <n v="127500"/>
    <n v="60000"/>
    <n v="37500"/>
    <s v="PW001"/>
    <s v="Pakaian Wanita"/>
    <s v="Dress"/>
    <n v="1"/>
    <n v="1"/>
    <n v="300000"/>
    <n v="255000"/>
    <n v="100000"/>
    <n v="55000"/>
    <m/>
    <s v="-"/>
    <s v="-"/>
    <m/>
    <m/>
    <n v="0"/>
    <n v="0"/>
    <n v="0"/>
    <n v="0"/>
    <n v="2"/>
    <n v="450000"/>
    <n v="382500"/>
    <n v="160000"/>
    <n v="92500"/>
    <s v="BUKALEBAR"/>
    <n v="0.15"/>
    <x v="1"/>
    <x v="3"/>
    <x v="0"/>
    <d v="2023-04-30T00:00:00"/>
    <x v="12"/>
    <s v="Sunday"/>
    <x v="2"/>
    <n v="2.5"/>
  </r>
  <r>
    <n v="321"/>
    <s v="ORD-BB0321-04/04/23"/>
    <s v="PP001"/>
    <s v="Pakaian Pria"/>
    <s v="Kaos Polo"/>
    <n v="2"/>
    <n v="5"/>
    <n v="400000"/>
    <n v="340000"/>
    <n v="160000"/>
    <n v="100000"/>
    <s v="PP002"/>
    <s v="Pakaian Pria"/>
    <s v="Celana Pendek"/>
    <n v="2"/>
    <n v="1"/>
    <n v="360000"/>
    <n v="306000"/>
    <n v="140000"/>
    <n v="86000"/>
    <s v="SP002"/>
    <s v="Sepatu Pria"/>
    <s v="Sandal Slip On"/>
    <n v="2"/>
    <n v="3"/>
    <n v="300000"/>
    <n v="255000"/>
    <n v="120000"/>
    <n v="75000"/>
    <n v="6"/>
    <n v="1060000"/>
    <n v="901000"/>
    <n v="420000"/>
    <n v="261000"/>
    <s v="BELI44"/>
    <n v="0.15"/>
    <x v="0"/>
    <x v="0"/>
    <x v="1"/>
    <d v="2023-04-04T00:00:00"/>
    <x v="7"/>
    <s v="Tuesday"/>
    <x v="0"/>
    <n v="3"/>
  </r>
  <r>
    <n v="322"/>
    <s v="ORD-SP0322-02/04/23"/>
    <s v="SP001"/>
    <s v="Sepatu Pria"/>
    <s v="Sneakers"/>
    <n v="2"/>
    <n v="1"/>
    <n v="1000000"/>
    <n v="850000"/>
    <n v="400000"/>
    <n v="250000"/>
    <m/>
    <s v="-"/>
    <s v="-"/>
    <m/>
    <m/>
    <n v="0"/>
    <n v="0"/>
    <n v="0"/>
    <n v="0"/>
    <m/>
    <s v="-"/>
    <s v="-"/>
    <m/>
    <m/>
    <n v="0"/>
    <n v="0"/>
    <n v="0"/>
    <n v="0"/>
    <n v="2"/>
    <n v="1000000"/>
    <n v="850000"/>
    <n v="400000"/>
    <n v="250000"/>
    <s v="DISC15"/>
    <n v="0.15"/>
    <x v="0"/>
    <x v="2"/>
    <x v="4"/>
    <d v="2023-04-02T00:00:00"/>
    <x v="1"/>
    <s v="Sunday"/>
    <x v="0"/>
    <n v="1"/>
  </r>
  <r>
    <n v="323"/>
    <s v="ORD-TK0323-26/04/23"/>
    <s v="PU001"/>
    <s v="Pakaian Unisex"/>
    <s v="Jaket Hoodie"/>
    <n v="3"/>
    <n v="1"/>
    <n v="1050000"/>
    <n v="945000"/>
    <n v="390000"/>
    <n v="285000"/>
    <m/>
    <s v="-"/>
    <s v="-"/>
    <m/>
    <m/>
    <n v="0"/>
    <n v="0"/>
    <n v="0"/>
    <n v="0"/>
    <m/>
    <s v="-"/>
    <s v="-"/>
    <m/>
    <m/>
    <n v="0"/>
    <n v="0"/>
    <n v="0"/>
    <n v="0"/>
    <n v="3"/>
    <n v="1050000"/>
    <n v="945000"/>
    <n v="390000"/>
    <n v="285000"/>
    <s v="LEBAR10"/>
    <n v="0.1"/>
    <x v="1"/>
    <x v="1"/>
    <x v="4"/>
    <d v="2023-04-26T00:00:00"/>
    <x v="15"/>
    <s v="Wednesday"/>
    <x v="2"/>
    <n v="1"/>
  </r>
  <r>
    <n v="324"/>
    <s v="ORD-SP0324-01/04/23"/>
    <s v="PP003"/>
    <s v="Pakaian Pria"/>
    <s v="Jaket Jeans"/>
    <n v="4"/>
    <n v="4"/>
    <n v="1600000"/>
    <n v="1440000"/>
    <n v="600000"/>
    <n v="440000"/>
    <s v="PW001"/>
    <s v="Pakaian Wanita"/>
    <s v="Dress"/>
    <n v="1"/>
    <n v="3"/>
    <n v="300000"/>
    <n v="270000"/>
    <n v="100000"/>
    <n v="70000"/>
    <s v="SP002"/>
    <s v="Sepatu Pria"/>
    <s v="Sandal Slip On"/>
    <n v="2"/>
    <n v="4"/>
    <n v="300000"/>
    <n v="270000"/>
    <n v="120000"/>
    <n v="90000"/>
    <n v="7"/>
    <n v="2200000"/>
    <n v="1980000"/>
    <n v="820000"/>
    <n v="600000"/>
    <s v="DISC10"/>
    <n v="0.1"/>
    <x v="0"/>
    <x v="2"/>
    <x v="4"/>
    <d v="2023-04-01T00:00:00"/>
    <x v="0"/>
    <s v="Saturday"/>
    <x v="0"/>
    <n v="3.6666666666666665"/>
  </r>
  <r>
    <n v="325"/>
    <s v="ORD-SP0325-05/04/23"/>
    <s v="SP002"/>
    <s v="Sepatu Pria"/>
    <s v="Sandal Slip On"/>
    <n v="3"/>
    <n v="4"/>
    <n v="450000"/>
    <n v="405000"/>
    <n v="180000"/>
    <n v="135000"/>
    <s v="PW002"/>
    <s v="Pakaian Wanita"/>
    <s v="Blouse"/>
    <n v="2"/>
    <n v="5"/>
    <n v="300000"/>
    <n v="270000"/>
    <n v="100000"/>
    <n v="70000"/>
    <s v="PP001"/>
    <s v="Pakaian Pria"/>
    <s v="Kaos Polo"/>
    <n v="1"/>
    <n v="3"/>
    <n v="200000"/>
    <n v="180000"/>
    <n v="80000"/>
    <n v="60000"/>
    <n v="6"/>
    <n v="950000"/>
    <n v="855000"/>
    <n v="360000"/>
    <n v="265000"/>
    <s v="DISC10"/>
    <n v="0.1"/>
    <x v="0"/>
    <x v="2"/>
    <x v="5"/>
    <d v="2023-04-05T00:00:00"/>
    <x v="9"/>
    <s v="Wednesday"/>
    <x v="0"/>
    <n v="4"/>
  </r>
  <r>
    <n v="326"/>
    <s v="ORD-TK0326-10/04/23"/>
    <s v="SP001"/>
    <s v="Sepatu Pria"/>
    <s v="Sneakers"/>
    <n v="1"/>
    <n v="5"/>
    <n v="500000"/>
    <n v="500000"/>
    <n v="200000"/>
    <n v="200000"/>
    <m/>
    <s v="-"/>
    <s v="-"/>
    <m/>
    <m/>
    <n v="0"/>
    <n v="0"/>
    <n v="0"/>
    <n v="0"/>
    <m/>
    <s v="-"/>
    <s v="-"/>
    <m/>
    <m/>
    <n v="0"/>
    <n v="0"/>
    <n v="0"/>
    <n v="0"/>
    <n v="1"/>
    <n v="500000"/>
    <n v="500000"/>
    <n v="200000"/>
    <n v="200000"/>
    <s v="Tidak Ada"/>
    <s v="-"/>
    <x v="2"/>
    <x v="1"/>
    <x v="0"/>
    <d v="2023-04-10T00:00:00"/>
    <x v="23"/>
    <s v="Monday"/>
    <x v="3"/>
    <n v="5"/>
  </r>
  <r>
    <n v="327"/>
    <s v="ORD-TK0327-03/04/23"/>
    <s v="PP002"/>
    <s v="Pakaian Pria"/>
    <s v="Celana Pendek"/>
    <n v="2"/>
    <n v="5"/>
    <n v="360000"/>
    <n v="324000"/>
    <n v="140000"/>
    <n v="104000"/>
    <s v="PW001"/>
    <s v="Pakaian Wanita"/>
    <s v="Dress"/>
    <n v="2"/>
    <n v="3"/>
    <n v="600000"/>
    <n v="540000"/>
    <n v="200000"/>
    <n v="140000"/>
    <s v="PW003"/>
    <s v="Pakaian Wanita"/>
    <s v="Kaftan"/>
    <n v="1"/>
    <n v="5"/>
    <n v="250000"/>
    <n v="225000"/>
    <n v="100000"/>
    <n v="75000"/>
    <n v="5"/>
    <n v="1210000"/>
    <n v="1089000"/>
    <n v="440000"/>
    <n v="319000"/>
    <s v="DISCAPRIL"/>
    <n v="0.1"/>
    <x v="0"/>
    <x v="1"/>
    <x v="0"/>
    <d v="2023-04-03T00:00:00"/>
    <x v="2"/>
    <s v="Monday"/>
    <x v="0"/>
    <n v="4.333333333333333"/>
  </r>
  <r>
    <n v="328"/>
    <s v="ORD-BB0328-05/04/23"/>
    <s v="PU001"/>
    <s v="Pakaian Unisex"/>
    <s v="Jaket Hoodie"/>
    <n v="1"/>
    <n v="1"/>
    <n v="350000"/>
    <n v="297500"/>
    <n v="130000"/>
    <n v="77500"/>
    <m/>
    <s v="-"/>
    <s v="-"/>
    <m/>
    <m/>
    <n v="0"/>
    <n v="0"/>
    <n v="0"/>
    <n v="0"/>
    <m/>
    <s v="-"/>
    <s v="-"/>
    <m/>
    <m/>
    <n v="0"/>
    <n v="0"/>
    <n v="0"/>
    <n v="0"/>
    <n v="1"/>
    <n v="350000"/>
    <n v="297500"/>
    <n v="130000"/>
    <n v="77500"/>
    <s v="BELI44"/>
    <n v="0.15"/>
    <x v="0"/>
    <x v="0"/>
    <x v="4"/>
    <d v="2023-04-05T00:00:00"/>
    <x v="9"/>
    <s v="Wednesday"/>
    <x v="0"/>
    <n v="1"/>
  </r>
  <r>
    <n v="329"/>
    <s v="ORD-SP0329-02/04/23"/>
    <s v="PW002"/>
    <s v="Pakaian Wanita"/>
    <s v="Blouse"/>
    <n v="2"/>
    <n v="2"/>
    <n v="300000"/>
    <n v="270000"/>
    <n v="100000"/>
    <n v="70000"/>
    <s v="PU001"/>
    <s v="Pakaian Unisex"/>
    <s v="Jaket Hoodie"/>
    <n v="1"/>
    <n v="3"/>
    <n v="350000"/>
    <n v="315000"/>
    <n v="130000"/>
    <n v="95000"/>
    <s v="PP001"/>
    <s v="Pakaian Pria"/>
    <s v="Kaos Polo"/>
    <n v="1"/>
    <n v="5"/>
    <n v="200000"/>
    <n v="180000"/>
    <n v="80000"/>
    <n v="60000"/>
    <n v="4"/>
    <n v="850000"/>
    <n v="765000"/>
    <n v="310000"/>
    <n v="225000"/>
    <s v="DISC10"/>
    <n v="0.1"/>
    <x v="0"/>
    <x v="2"/>
    <x v="5"/>
    <d v="2023-04-02T00:00:00"/>
    <x v="1"/>
    <s v="Sunday"/>
    <x v="0"/>
    <n v="3.3333333333333335"/>
  </r>
  <r>
    <n v="330"/>
    <s v="ORD-SP0330-02/04/23"/>
    <s v="PW002"/>
    <s v="Pakaian Wanita"/>
    <s v="Blouse"/>
    <n v="1"/>
    <n v="1"/>
    <n v="150000"/>
    <n v="135000"/>
    <n v="50000"/>
    <n v="35000"/>
    <m/>
    <s v="-"/>
    <s v="-"/>
    <m/>
    <m/>
    <n v="0"/>
    <n v="0"/>
    <n v="0"/>
    <n v="0"/>
    <m/>
    <s v="-"/>
    <s v="-"/>
    <m/>
    <m/>
    <n v="0"/>
    <n v="0"/>
    <n v="0"/>
    <n v="0"/>
    <n v="1"/>
    <n v="150000"/>
    <n v="135000"/>
    <n v="50000"/>
    <n v="35000"/>
    <s v="DISC10"/>
    <n v="0.1"/>
    <x v="0"/>
    <x v="2"/>
    <x v="3"/>
    <d v="2023-04-02T00:00:00"/>
    <x v="1"/>
    <s v="Sunday"/>
    <x v="0"/>
    <n v="1"/>
  </r>
  <r>
    <n v="331"/>
    <s v="ORD-SP0331-12/04/23"/>
    <s v="PW002"/>
    <s v="Pakaian Wanita"/>
    <s v="Blouse"/>
    <n v="1"/>
    <n v="4"/>
    <n v="150000"/>
    <n v="150000"/>
    <n v="50000"/>
    <n v="50000"/>
    <s v="SP002"/>
    <s v="Sepatu Pria"/>
    <s v="Sandal Slip On"/>
    <n v="1"/>
    <n v="1"/>
    <n v="150000"/>
    <n v="150000"/>
    <n v="60000"/>
    <n v="60000"/>
    <s v="SW001"/>
    <s v="Sepatu Wanita"/>
    <s v="Flat Shoes"/>
    <n v="2"/>
    <n v="2"/>
    <n v="500000"/>
    <n v="500000"/>
    <n v="200000"/>
    <n v="200000"/>
    <n v="4"/>
    <n v="800000"/>
    <n v="800000"/>
    <n v="310000"/>
    <n v="310000"/>
    <s v="Tidak Ada"/>
    <s v="-"/>
    <x v="2"/>
    <x v="2"/>
    <x v="0"/>
    <d v="2023-04-12T00:00:00"/>
    <x v="14"/>
    <s v="Wednesday"/>
    <x v="3"/>
    <n v="2.3333333333333335"/>
  </r>
  <r>
    <n v="332"/>
    <s v="ORD-SP0332-01/04/23"/>
    <s v="PP003"/>
    <s v="Pakaian Pria"/>
    <s v="Jaket Jeans"/>
    <n v="2"/>
    <n v="4"/>
    <n v="800000"/>
    <n v="680000"/>
    <n v="300000"/>
    <n v="180000"/>
    <s v="PP002"/>
    <s v="Pakaian Pria"/>
    <s v="Celana Pendek"/>
    <n v="1"/>
    <n v="5"/>
    <n v="180000"/>
    <n v="153000"/>
    <n v="70000"/>
    <n v="43000"/>
    <s v="PP002"/>
    <s v="Pakaian Pria"/>
    <s v="Celana Pendek"/>
    <n v="2"/>
    <n v="1"/>
    <n v="360000"/>
    <n v="306000"/>
    <n v="140000"/>
    <n v="86000"/>
    <n v="5"/>
    <n v="1340000"/>
    <n v="1139000"/>
    <n v="510000"/>
    <n v="309000"/>
    <s v="DISC15"/>
    <n v="0.15"/>
    <x v="0"/>
    <x v="2"/>
    <x v="4"/>
    <d v="2023-04-01T00:00:00"/>
    <x v="0"/>
    <s v="Saturday"/>
    <x v="0"/>
    <n v="3.3333333333333335"/>
  </r>
  <r>
    <n v="333"/>
    <s v="ORD-BL0333-25/04/23"/>
    <s v="SP002"/>
    <s v="Sepatu Pria"/>
    <s v="Sandal Slip On"/>
    <n v="1"/>
    <n v="2"/>
    <n v="150000"/>
    <n v="127500"/>
    <n v="60000"/>
    <n v="37500"/>
    <s v="SW001"/>
    <s v="Sepatu Wanita"/>
    <s v="Flat Shoes"/>
    <n v="3"/>
    <n v="1"/>
    <n v="750000"/>
    <n v="637500"/>
    <n v="300000"/>
    <n v="187500"/>
    <m/>
    <s v="-"/>
    <s v="-"/>
    <m/>
    <m/>
    <n v="0"/>
    <n v="0"/>
    <n v="0"/>
    <n v="0"/>
    <n v="4"/>
    <n v="900000"/>
    <n v="765000"/>
    <n v="360000"/>
    <n v="225000"/>
    <s v="BUKALEBAR"/>
    <n v="0.15"/>
    <x v="1"/>
    <x v="3"/>
    <x v="4"/>
    <d v="2023-04-25T00:00:00"/>
    <x v="6"/>
    <s v="Tuesday"/>
    <x v="2"/>
    <n v="1.5"/>
  </r>
  <r>
    <n v="334"/>
    <s v="ORD-TK0334-01/04/23"/>
    <s v="SP001"/>
    <s v="Sepatu Pria"/>
    <s v="Sneakers"/>
    <n v="6"/>
    <n v="4"/>
    <n v="3000000"/>
    <n v="2700000"/>
    <n v="1200000"/>
    <n v="900000"/>
    <s v="PU001"/>
    <s v="Pakaian Unisex"/>
    <s v="Jaket Hoodie"/>
    <n v="1"/>
    <n v="4"/>
    <n v="350000"/>
    <n v="315000"/>
    <n v="130000"/>
    <n v="95000"/>
    <m/>
    <s v="-"/>
    <s v="-"/>
    <m/>
    <m/>
    <n v="0"/>
    <n v="0"/>
    <n v="0"/>
    <n v="0"/>
    <n v="7"/>
    <n v="3350000"/>
    <n v="3015000"/>
    <n v="1330000"/>
    <n v="995000"/>
    <s v="DISCAPRIL"/>
    <n v="0.1"/>
    <x v="0"/>
    <x v="1"/>
    <x v="4"/>
    <d v="2023-04-01T00:00:00"/>
    <x v="0"/>
    <s v="Saturday"/>
    <x v="0"/>
    <n v="4"/>
  </r>
  <r>
    <n v="335"/>
    <s v="ORD-SP0335-27/04/23"/>
    <s v="PP003"/>
    <s v="Pakaian Pria"/>
    <s v="Jaket Jeans"/>
    <n v="2"/>
    <n v="2"/>
    <n v="800000"/>
    <n v="640000"/>
    <n v="300000"/>
    <n v="140000"/>
    <s v="PW002"/>
    <s v="Pakaian Wanita"/>
    <s v="Blouse"/>
    <n v="1"/>
    <n v="2"/>
    <n v="150000"/>
    <n v="120000"/>
    <n v="50000"/>
    <n v="20000"/>
    <m/>
    <s v="-"/>
    <s v="-"/>
    <m/>
    <m/>
    <n v="0"/>
    <n v="0"/>
    <n v="0"/>
    <n v="0"/>
    <n v="3"/>
    <n v="950000"/>
    <n v="760000"/>
    <n v="350000"/>
    <n v="160000"/>
    <s v="DISC20"/>
    <n v="0.2"/>
    <x v="1"/>
    <x v="2"/>
    <x v="5"/>
    <d v="2023-04-27T00:00:00"/>
    <x v="18"/>
    <s v="Thursday"/>
    <x v="2"/>
    <n v="2"/>
  </r>
  <r>
    <n v="336"/>
    <s v="ORD-BB0336-10/04/23"/>
    <s v="SP002"/>
    <s v="Sepatu Pria"/>
    <s v="Sandal Slip On"/>
    <n v="1"/>
    <n v="4"/>
    <n v="150000"/>
    <n v="150000"/>
    <n v="60000"/>
    <n v="60000"/>
    <s v="PP003"/>
    <s v="Pakaian Pria"/>
    <s v="Jaket Jeans"/>
    <n v="1"/>
    <n v="1"/>
    <n v="400000"/>
    <n v="400000"/>
    <n v="150000"/>
    <n v="150000"/>
    <s v="PW002"/>
    <s v="Pakaian Wanita"/>
    <s v="Blouse"/>
    <n v="1"/>
    <n v="4"/>
    <n v="150000"/>
    <n v="150000"/>
    <n v="50000"/>
    <n v="50000"/>
    <n v="3"/>
    <n v="700000"/>
    <n v="700000"/>
    <n v="260000"/>
    <n v="260000"/>
    <s v="Tidak Ada"/>
    <s v="-"/>
    <x v="2"/>
    <x v="0"/>
    <x v="1"/>
    <d v="2023-04-10T00:00:00"/>
    <x v="23"/>
    <s v="Monday"/>
    <x v="3"/>
    <n v="3"/>
  </r>
  <r>
    <n v="337"/>
    <s v="ORD-SP0337-01/04/23"/>
    <s v="PW002"/>
    <s v="Pakaian Wanita"/>
    <s v="Blouse"/>
    <n v="1"/>
    <n v="3"/>
    <n v="150000"/>
    <n v="135000"/>
    <n v="50000"/>
    <n v="35000"/>
    <m/>
    <s v="-"/>
    <s v="-"/>
    <m/>
    <m/>
    <n v="0"/>
    <n v="0"/>
    <n v="0"/>
    <n v="0"/>
    <m/>
    <s v="-"/>
    <s v="-"/>
    <m/>
    <m/>
    <n v="0"/>
    <n v="0"/>
    <n v="0"/>
    <n v="0"/>
    <n v="1"/>
    <n v="150000"/>
    <n v="135000"/>
    <n v="50000"/>
    <n v="35000"/>
    <s v="DISC10"/>
    <n v="0.1"/>
    <x v="0"/>
    <x v="2"/>
    <x v="2"/>
    <d v="2023-04-01T00:00:00"/>
    <x v="0"/>
    <s v="Saturday"/>
    <x v="0"/>
    <n v="3"/>
  </r>
  <r>
    <n v="338"/>
    <s v="ORD-TK0338-29/04/23"/>
    <s v="SW001"/>
    <s v="Sepatu Wanita"/>
    <s v="Flat Shoes"/>
    <n v="1"/>
    <n v="3"/>
    <n v="250000"/>
    <n v="225000"/>
    <n v="100000"/>
    <n v="75000"/>
    <m/>
    <s v="-"/>
    <s v="-"/>
    <m/>
    <m/>
    <n v="0"/>
    <n v="0"/>
    <n v="0"/>
    <n v="0"/>
    <m/>
    <s v="-"/>
    <s v="-"/>
    <m/>
    <m/>
    <n v="0"/>
    <n v="0"/>
    <n v="0"/>
    <n v="0"/>
    <n v="1"/>
    <n v="250000"/>
    <n v="225000"/>
    <n v="100000"/>
    <n v="75000"/>
    <s v="LEBAR10"/>
    <n v="0.1"/>
    <x v="1"/>
    <x v="1"/>
    <x v="5"/>
    <d v="2023-04-29T00:00:00"/>
    <x v="13"/>
    <s v="Saturday"/>
    <x v="2"/>
    <n v="3"/>
  </r>
  <r>
    <n v="339"/>
    <s v="ORD-SP0339-06/04/23"/>
    <s v="PP002"/>
    <s v="Pakaian Pria"/>
    <s v="Celana Pendek"/>
    <n v="2"/>
    <n v="5"/>
    <n v="360000"/>
    <n v="324000"/>
    <n v="140000"/>
    <n v="104000"/>
    <m/>
    <s v="-"/>
    <s v="-"/>
    <m/>
    <m/>
    <n v="0"/>
    <n v="0"/>
    <n v="0"/>
    <n v="0"/>
    <m/>
    <s v="-"/>
    <s v="-"/>
    <m/>
    <m/>
    <n v="0"/>
    <n v="0"/>
    <n v="0"/>
    <n v="0"/>
    <n v="2"/>
    <n v="360000"/>
    <n v="324000"/>
    <n v="140000"/>
    <n v="104000"/>
    <s v="DISC10"/>
    <n v="0.1"/>
    <x v="0"/>
    <x v="2"/>
    <x v="1"/>
    <d v="2023-04-06T00:00:00"/>
    <x v="8"/>
    <s v="Thursday"/>
    <x v="0"/>
    <n v="5"/>
  </r>
  <r>
    <n v="340"/>
    <s v="ORD-SP0340-01/04/23"/>
    <s v="SW001"/>
    <s v="Sepatu Wanita"/>
    <s v="Flat Shoes"/>
    <n v="1"/>
    <n v="5"/>
    <n v="250000"/>
    <n v="225000"/>
    <n v="100000"/>
    <n v="75000"/>
    <s v="PP001"/>
    <s v="Pakaian Pria"/>
    <s v="Kaos Polo"/>
    <n v="1"/>
    <n v="1"/>
    <n v="200000"/>
    <n v="180000"/>
    <n v="80000"/>
    <n v="60000"/>
    <m/>
    <s v="-"/>
    <s v="-"/>
    <m/>
    <m/>
    <n v="0"/>
    <n v="0"/>
    <n v="0"/>
    <n v="0"/>
    <n v="2"/>
    <n v="450000"/>
    <n v="405000"/>
    <n v="180000"/>
    <n v="135000"/>
    <s v="DISC10"/>
    <n v="0.1"/>
    <x v="0"/>
    <x v="2"/>
    <x v="4"/>
    <d v="2023-04-01T00:00:00"/>
    <x v="0"/>
    <s v="Saturday"/>
    <x v="0"/>
    <n v="3"/>
  </r>
  <r>
    <n v="341"/>
    <s v="ORD-SP0341-18/04/23"/>
    <s v="PW002"/>
    <s v="Pakaian Wanita"/>
    <s v="Blouse"/>
    <n v="3"/>
    <n v="3"/>
    <n v="450000"/>
    <n v="360000"/>
    <n v="150000"/>
    <n v="60000"/>
    <m/>
    <s v="-"/>
    <s v="-"/>
    <m/>
    <m/>
    <n v="0"/>
    <n v="0"/>
    <n v="0"/>
    <n v="0"/>
    <m/>
    <s v="-"/>
    <s v="-"/>
    <m/>
    <m/>
    <n v="0"/>
    <n v="0"/>
    <n v="0"/>
    <n v="0"/>
    <n v="3"/>
    <n v="450000"/>
    <n v="360000"/>
    <n v="150000"/>
    <n v="60000"/>
    <s v="DISC20"/>
    <n v="0.2"/>
    <x v="1"/>
    <x v="2"/>
    <x v="5"/>
    <d v="2023-04-18T00:00:00"/>
    <x v="24"/>
    <s v="Tuesday"/>
    <x v="1"/>
    <n v="3"/>
  </r>
  <r>
    <n v="342"/>
    <s v="ORD-TK0342-02/04/23"/>
    <s v="PW002"/>
    <s v="Pakaian Wanita"/>
    <s v="Blouse"/>
    <n v="3"/>
    <n v="4"/>
    <n v="450000"/>
    <n v="405000"/>
    <n v="150000"/>
    <n v="105000"/>
    <s v="PW001"/>
    <s v="Pakaian Wanita"/>
    <s v="Dress"/>
    <n v="1"/>
    <n v="4"/>
    <n v="300000"/>
    <n v="270000"/>
    <n v="100000"/>
    <n v="70000"/>
    <m/>
    <s v="-"/>
    <s v="-"/>
    <m/>
    <m/>
    <n v="0"/>
    <n v="0"/>
    <n v="0"/>
    <n v="0"/>
    <n v="4"/>
    <n v="750000"/>
    <n v="675000"/>
    <n v="250000"/>
    <n v="175000"/>
    <s v="DISCAPRIL"/>
    <n v="0.1"/>
    <x v="0"/>
    <x v="1"/>
    <x v="4"/>
    <d v="2023-04-02T00:00:00"/>
    <x v="1"/>
    <s v="Sunday"/>
    <x v="0"/>
    <n v="4"/>
  </r>
  <r>
    <n v="343"/>
    <s v="ORD-TK0343-08/04/23"/>
    <s v="PW001"/>
    <s v="Pakaian Wanita"/>
    <s v="Dress"/>
    <n v="4"/>
    <n v="5"/>
    <n v="1200000"/>
    <n v="1200000"/>
    <n v="400000"/>
    <n v="400000"/>
    <s v="PW003"/>
    <s v="Pakaian Wanita"/>
    <s v="Kaftan"/>
    <n v="3"/>
    <n v="2"/>
    <n v="750000"/>
    <n v="750000"/>
    <n v="300000"/>
    <n v="300000"/>
    <m/>
    <s v="-"/>
    <s v="-"/>
    <m/>
    <m/>
    <n v="0"/>
    <n v="0"/>
    <n v="0"/>
    <n v="0"/>
    <n v="7"/>
    <n v="1950000"/>
    <n v="1950000"/>
    <n v="700000"/>
    <n v="700000"/>
    <s v="Tidak Ada"/>
    <s v="-"/>
    <x v="2"/>
    <x v="1"/>
    <x v="3"/>
    <d v="2023-04-08T00:00:00"/>
    <x v="26"/>
    <s v="Saturday"/>
    <x v="3"/>
    <n v="3.5"/>
  </r>
  <r>
    <n v="344"/>
    <s v="ORD-SP0344-07/04/23"/>
    <s v="PP001"/>
    <s v="Pakaian Pria"/>
    <s v="Kaos Polo"/>
    <n v="1"/>
    <n v="2"/>
    <n v="200000"/>
    <n v="200000"/>
    <n v="80000"/>
    <n v="80000"/>
    <s v="SP002"/>
    <s v="Sepatu Pria"/>
    <s v="Sandal Slip On"/>
    <n v="1"/>
    <n v="3"/>
    <n v="150000"/>
    <n v="150000"/>
    <n v="60000"/>
    <n v="60000"/>
    <s v="PW003"/>
    <s v="Pakaian Wanita"/>
    <s v="Kaftan"/>
    <n v="2"/>
    <n v="1"/>
    <n v="500000"/>
    <n v="500000"/>
    <n v="200000"/>
    <n v="200000"/>
    <n v="4"/>
    <n v="850000"/>
    <n v="850000"/>
    <n v="340000"/>
    <n v="340000"/>
    <s v="Tidak Ada"/>
    <s v="-"/>
    <x v="2"/>
    <x v="2"/>
    <x v="5"/>
    <d v="2023-04-07T00:00:00"/>
    <x v="28"/>
    <s v="Friday"/>
    <x v="0"/>
    <n v="2"/>
  </r>
  <r>
    <n v="345"/>
    <s v="ORD-TK0345-17/04/23"/>
    <s v="PW001"/>
    <s v="Pakaian Wanita"/>
    <s v="Dress"/>
    <n v="4"/>
    <n v="5"/>
    <n v="1200000"/>
    <n v="1080000"/>
    <n v="400000"/>
    <n v="280000"/>
    <s v="SP001"/>
    <s v="Sepatu Pria"/>
    <s v="Sneakers"/>
    <n v="1"/>
    <n v="5"/>
    <n v="500000"/>
    <n v="450000"/>
    <n v="200000"/>
    <n v="150000"/>
    <s v="PW001"/>
    <s v="Pakaian Wanita"/>
    <s v="Dress"/>
    <n v="1"/>
    <n v="2"/>
    <n v="300000"/>
    <n v="270000"/>
    <n v="100000"/>
    <n v="70000"/>
    <n v="6"/>
    <n v="2000000"/>
    <n v="1800000"/>
    <n v="700000"/>
    <n v="500000"/>
    <s v="LEBAR10"/>
    <n v="0.1"/>
    <x v="1"/>
    <x v="1"/>
    <x v="5"/>
    <d v="2023-04-17T00:00:00"/>
    <x v="3"/>
    <s v="Monday"/>
    <x v="1"/>
    <n v="4"/>
  </r>
  <r>
    <n v="346"/>
    <s v="ORD-SP0346-02/04/23"/>
    <s v="SP001"/>
    <s v="Sepatu Pria"/>
    <s v="Sneakers"/>
    <n v="3"/>
    <n v="2"/>
    <n v="1500000"/>
    <n v="1275000"/>
    <n v="600000"/>
    <n v="375000"/>
    <s v="PU001"/>
    <s v="Pakaian Unisex"/>
    <s v="Jaket Hoodie"/>
    <n v="1"/>
    <n v="2"/>
    <n v="350000"/>
    <n v="297500"/>
    <n v="130000"/>
    <n v="77500"/>
    <m/>
    <s v="-"/>
    <s v="-"/>
    <m/>
    <m/>
    <n v="0"/>
    <n v="0"/>
    <n v="0"/>
    <n v="0"/>
    <n v="4"/>
    <n v="1850000"/>
    <n v="1572500"/>
    <n v="730000"/>
    <n v="452500"/>
    <s v="DISC15"/>
    <n v="0.15"/>
    <x v="0"/>
    <x v="2"/>
    <x v="4"/>
    <d v="2023-04-02T00:00:00"/>
    <x v="1"/>
    <s v="Sunday"/>
    <x v="0"/>
    <n v="2"/>
  </r>
  <r>
    <n v="347"/>
    <s v="ORD-TK0347-05/04/23"/>
    <s v="PW002"/>
    <s v="Pakaian Wanita"/>
    <s v="Blouse"/>
    <n v="1"/>
    <n v="2"/>
    <n v="150000"/>
    <n v="135000"/>
    <n v="50000"/>
    <n v="35000"/>
    <m/>
    <s v="-"/>
    <s v="-"/>
    <m/>
    <m/>
    <n v="0"/>
    <n v="0"/>
    <n v="0"/>
    <n v="0"/>
    <m/>
    <s v="-"/>
    <s v="-"/>
    <m/>
    <m/>
    <n v="0"/>
    <n v="0"/>
    <n v="0"/>
    <n v="0"/>
    <n v="1"/>
    <n v="150000"/>
    <n v="135000"/>
    <n v="50000"/>
    <n v="35000"/>
    <s v="DISCAPRIL"/>
    <n v="0.1"/>
    <x v="0"/>
    <x v="1"/>
    <x v="4"/>
    <d v="2023-04-05T00:00:00"/>
    <x v="9"/>
    <s v="Wednesday"/>
    <x v="0"/>
    <n v="2"/>
  </r>
  <r>
    <n v="348"/>
    <s v="ORD-SP0348-02/04/23"/>
    <s v="SP001"/>
    <s v="Sepatu Pria"/>
    <s v="Sneakers"/>
    <n v="2"/>
    <n v="5"/>
    <n v="1000000"/>
    <n v="900000"/>
    <n v="400000"/>
    <n v="300000"/>
    <s v="SP002"/>
    <s v="Sepatu Pria"/>
    <s v="Sandal Slip On"/>
    <n v="1"/>
    <n v="4"/>
    <n v="150000"/>
    <n v="135000"/>
    <n v="60000"/>
    <n v="45000"/>
    <m/>
    <s v="-"/>
    <s v="-"/>
    <m/>
    <m/>
    <n v="0"/>
    <n v="0"/>
    <n v="0"/>
    <n v="0"/>
    <n v="3"/>
    <n v="1150000"/>
    <n v="1035000"/>
    <n v="460000"/>
    <n v="345000"/>
    <s v="DISC10"/>
    <n v="0.1"/>
    <x v="0"/>
    <x v="2"/>
    <x v="4"/>
    <d v="2023-04-02T00:00:00"/>
    <x v="1"/>
    <s v="Sunday"/>
    <x v="0"/>
    <n v="4.5"/>
  </r>
  <r>
    <n v="349"/>
    <s v="ORD-SP0349-13/04/23"/>
    <s v="PP003"/>
    <s v="Pakaian Pria"/>
    <s v="Jaket Jeans"/>
    <n v="2"/>
    <n v="2"/>
    <n v="800000"/>
    <n v="800000"/>
    <n v="300000"/>
    <n v="300000"/>
    <s v="PW003"/>
    <s v="Pakaian Wanita"/>
    <s v="Kaftan"/>
    <n v="3"/>
    <n v="4"/>
    <n v="750000"/>
    <n v="750000"/>
    <n v="300000"/>
    <n v="300000"/>
    <m/>
    <s v="-"/>
    <s v="-"/>
    <m/>
    <m/>
    <n v="0"/>
    <n v="0"/>
    <n v="0"/>
    <n v="0"/>
    <n v="5"/>
    <n v="1550000"/>
    <n v="1550000"/>
    <n v="600000"/>
    <n v="600000"/>
    <s v="Tidak Ada"/>
    <s v="-"/>
    <x v="2"/>
    <x v="2"/>
    <x v="3"/>
    <d v="2023-04-13T00:00:00"/>
    <x v="21"/>
    <s v="Thursday"/>
    <x v="3"/>
    <n v="3"/>
  </r>
  <r>
    <n v="350"/>
    <s v="ORD-BL0350-29/04/23"/>
    <s v="SW001"/>
    <s v="Sepatu Wanita"/>
    <s v="Flat Shoes"/>
    <n v="1"/>
    <n v="3"/>
    <n v="250000"/>
    <n v="212500"/>
    <n v="100000"/>
    <n v="62500"/>
    <m/>
    <s v="-"/>
    <s v="-"/>
    <m/>
    <m/>
    <n v="0"/>
    <n v="0"/>
    <n v="0"/>
    <n v="0"/>
    <m/>
    <s v="-"/>
    <s v="-"/>
    <m/>
    <m/>
    <n v="0"/>
    <n v="0"/>
    <n v="0"/>
    <n v="0"/>
    <n v="1"/>
    <n v="250000"/>
    <n v="212500"/>
    <n v="100000"/>
    <n v="62500"/>
    <s v="BUKALEBAR"/>
    <n v="0.15"/>
    <x v="1"/>
    <x v="3"/>
    <x v="0"/>
    <d v="2023-04-29T00:00:00"/>
    <x v="13"/>
    <s v="Saturday"/>
    <x v="2"/>
    <n v="3"/>
  </r>
  <r>
    <n v="351"/>
    <s v="ORD-SP0351-11/04/23"/>
    <s v="PW001"/>
    <s v="Pakaian Wanita"/>
    <s v="Dress"/>
    <n v="6"/>
    <n v="5"/>
    <n v="1800000"/>
    <n v="1800000"/>
    <n v="600000"/>
    <n v="600000"/>
    <s v="SP002"/>
    <s v="Sepatu Pria"/>
    <s v="Sandal Slip On"/>
    <n v="1"/>
    <n v="1"/>
    <n v="150000"/>
    <n v="150000"/>
    <n v="60000"/>
    <n v="60000"/>
    <m/>
    <s v="-"/>
    <s v="-"/>
    <m/>
    <m/>
    <n v="0"/>
    <n v="0"/>
    <n v="0"/>
    <n v="0"/>
    <n v="7"/>
    <n v="1950000"/>
    <n v="1950000"/>
    <n v="660000"/>
    <n v="660000"/>
    <s v="Tidak Ada"/>
    <s v="-"/>
    <x v="2"/>
    <x v="2"/>
    <x v="4"/>
    <d v="2023-04-11T00:00:00"/>
    <x v="29"/>
    <s v="Tuesday"/>
    <x v="3"/>
    <n v="3"/>
  </r>
  <r>
    <n v="352"/>
    <s v="ORD-TK0352-06/04/23"/>
    <s v="PP001"/>
    <s v="Pakaian Pria"/>
    <s v="Kaos Polo"/>
    <n v="3"/>
    <n v="3"/>
    <n v="600000"/>
    <n v="540000"/>
    <n v="240000"/>
    <n v="180000"/>
    <m/>
    <s v="-"/>
    <s v="-"/>
    <m/>
    <m/>
    <n v="0"/>
    <n v="0"/>
    <n v="0"/>
    <n v="0"/>
    <m/>
    <s v="-"/>
    <s v="-"/>
    <m/>
    <m/>
    <n v="0"/>
    <n v="0"/>
    <n v="0"/>
    <n v="0"/>
    <n v="3"/>
    <n v="600000"/>
    <n v="540000"/>
    <n v="240000"/>
    <n v="180000"/>
    <s v="DISCAPRIL"/>
    <n v="0.1"/>
    <x v="0"/>
    <x v="1"/>
    <x v="0"/>
    <d v="2023-04-06T00:00:00"/>
    <x v="8"/>
    <s v="Thursday"/>
    <x v="0"/>
    <n v="3"/>
  </r>
  <r>
    <n v="353"/>
    <s v="ORD-BL0353-17/04/23"/>
    <s v="PU001"/>
    <s v="Pakaian Unisex"/>
    <s v="Jaket Hoodie"/>
    <n v="1"/>
    <n v="3"/>
    <n v="350000"/>
    <n v="297500"/>
    <n v="130000"/>
    <n v="77500"/>
    <s v="SP002"/>
    <s v="Sepatu Pria"/>
    <s v="Sandal Slip On"/>
    <n v="1"/>
    <n v="1"/>
    <n v="150000"/>
    <n v="127500"/>
    <n v="60000"/>
    <n v="37500"/>
    <m/>
    <s v="-"/>
    <s v="-"/>
    <m/>
    <m/>
    <n v="0"/>
    <n v="0"/>
    <n v="0"/>
    <n v="0"/>
    <n v="2"/>
    <n v="500000"/>
    <n v="425000"/>
    <n v="190000"/>
    <n v="115000"/>
    <s v="BUKALEBAR"/>
    <n v="0.15"/>
    <x v="1"/>
    <x v="3"/>
    <x v="4"/>
    <d v="2023-04-17T00:00:00"/>
    <x v="3"/>
    <s v="Monday"/>
    <x v="1"/>
    <n v="2"/>
  </r>
  <r>
    <n v="354"/>
    <s v="ORD-TK0354-02/04/23"/>
    <s v="SP001"/>
    <s v="Sepatu Pria"/>
    <s v="Sneakers"/>
    <n v="3"/>
    <n v="3"/>
    <n v="1500000"/>
    <n v="1350000"/>
    <n v="600000"/>
    <n v="450000"/>
    <s v="PW001"/>
    <s v="Pakaian Wanita"/>
    <s v="Dress"/>
    <n v="1"/>
    <n v="1"/>
    <n v="300000"/>
    <n v="270000"/>
    <n v="100000"/>
    <n v="70000"/>
    <s v="SW001"/>
    <s v="Sepatu Wanita"/>
    <s v="Flat Shoes"/>
    <n v="1"/>
    <n v="1"/>
    <n v="250000"/>
    <n v="225000"/>
    <n v="100000"/>
    <n v="75000"/>
    <n v="5"/>
    <n v="2050000"/>
    <n v="1845000"/>
    <n v="800000"/>
    <n v="595000"/>
    <s v="DISCAPRIL"/>
    <n v="0.1"/>
    <x v="0"/>
    <x v="1"/>
    <x v="4"/>
    <d v="2023-04-02T00:00:00"/>
    <x v="1"/>
    <s v="Sunday"/>
    <x v="0"/>
    <n v="1.6666666666666667"/>
  </r>
  <r>
    <n v="355"/>
    <s v="ORD-SP0355-19/04/23"/>
    <s v="PU001"/>
    <s v="Pakaian Unisex"/>
    <s v="Jaket Hoodie"/>
    <n v="4"/>
    <n v="1"/>
    <n v="1400000"/>
    <n v="1120000"/>
    <n v="520000"/>
    <n v="240000"/>
    <s v="PW002"/>
    <s v="Pakaian Wanita"/>
    <s v="Blouse"/>
    <n v="1"/>
    <n v="2"/>
    <n v="150000"/>
    <n v="120000"/>
    <n v="50000"/>
    <n v="20000"/>
    <s v="PW001"/>
    <s v="Pakaian Wanita"/>
    <s v="Dress"/>
    <n v="1"/>
    <n v="2"/>
    <n v="300000"/>
    <n v="240000"/>
    <n v="100000"/>
    <n v="40000"/>
    <n v="6"/>
    <n v="1850000"/>
    <n v="1480000"/>
    <n v="670000"/>
    <n v="300000"/>
    <s v="DISC20"/>
    <n v="0.2"/>
    <x v="1"/>
    <x v="2"/>
    <x v="0"/>
    <d v="2023-04-19T00:00:00"/>
    <x v="19"/>
    <s v="Wednesday"/>
    <x v="1"/>
    <n v="1.6666666666666667"/>
  </r>
  <r>
    <n v="356"/>
    <s v="ORD-SP0356-26/04/23"/>
    <s v="PP002"/>
    <s v="Pakaian Pria"/>
    <s v="Celana Pendek"/>
    <n v="1"/>
    <n v="1"/>
    <n v="180000"/>
    <n v="144000"/>
    <n v="70000"/>
    <n v="34000"/>
    <s v="SP002"/>
    <s v="Sepatu Pria"/>
    <s v="Sandal Slip On"/>
    <n v="1"/>
    <n v="1"/>
    <n v="150000"/>
    <n v="120000"/>
    <n v="60000"/>
    <n v="30000"/>
    <s v="PU001"/>
    <s v="Pakaian Unisex"/>
    <s v="Jaket Hoodie"/>
    <n v="1"/>
    <n v="4"/>
    <n v="350000"/>
    <n v="280000"/>
    <n v="130000"/>
    <n v="60000"/>
    <n v="3"/>
    <n v="680000"/>
    <n v="544000"/>
    <n v="260000"/>
    <n v="124000"/>
    <s v="DISC20"/>
    <n v="0.2"/>
    <x v="1"/>
    <x v="2"/>
    <x v="4"/>
    <d v="2023-04-26T00:00:00"/>
    <x v="15"/>
    <s v="Wednesday"/>
    <x v="2"/>
    <n v="2"/>
  </r>
  <r>
    <n v="357"/>
    <s v="ORD-TK0357-03/04/23"/>
    <s v="SP001"/>
    <s v="Sepatu Pria"/>
    <s v="Sneakers"/>
    <n v="5"/>
    <n v="1"/>
    <n v="2500000"/>
    <n v="2250000"/>
    <n v="1000000"/>
    <n v="750000"/>
    <s v="PW001"/>
    <s v="Pakaian Wanita"/>
    <s v="Dress"/>
    <n v="1"/>
    <n v="1"/>
    <n v="300000"/>
    <n v="270000"/>
    <n v="100000"/>
    <n v="70000"/>
    <m/>
    <s v="-"/>
    <s v="-"/>
    <m/>
    <m/>
    <n v="0"/>
    <n v="0"/>
    <n v="0"/>
    <n v="0"/>
    <n v="6"/>
    <n v="2800000"/>
    <n v="2520000"/>
    <n v="1100000"/>
    <n v="820000"/>
    <s v="DISCAPRIL"/>
    <n v="0.1"/>
    <x v="0"/>
    <x v="1"/>
    <x v="0"/>
    <d v="2023-04-03T00:00:00"/>
    <x v="2"/>
    <s v="Monday"/>
    <x v="0"/>
    <n v="1"/>
  </r>
  <r>
    <n v="358"/>
    <s v="ORD-BB0358-01/04/23"/>
    <s v="SW001"/>
    <s v="Sepatu Wanita"/>
    <s v="Flat Shoes"/>
    <n v="1"/>
    <n v="2"/>
    <n v="250000"/>
    <n v="212500"/>
    <n v="100000"/>
    <n v="62500"/>
    <s v="PW001"/>
    <s v="Pakaian Wanita"/>
    <s v="Dress"/>
    <n v="1"/>
    <n v="1"/>
    <n v="300000"/>
    <n v="255000"/>
    <n v="100000"/>
    <n v="55000"/>
    <s v="PW003"/>
    <s v="Pakaian Wanita"/>
    <s v="Kaftan"/>
    <n v="2"/>
    <n v="3"/>
    <n v="500000"/>
    <n v="425000"/>
    <n v="200000"/>
    <n v="125000"/>
    <n v="4"/>
    <n v="1050000"/>
    <n v="892500"/>
    <n v="400000"/>
    <n v="242500"/>
    <s v="BELI44"/>
    <n v="0.15"/>
    <x v="0"/>
    <x v="0"/>
    <x v="1"/>
    <d v="2023-04-01T00:00:00"/>
    <x v="0"/>
    <s v="Saturday"/>
    <x v="0"/>
    <n v="2"/>
  </r>
  <r>
    <n v="359"/>
    <s v="ORD-BB0359-02/04/23"/>
    <s v="PP001"/>
    <s v="Pakaian Pria"/>
    <s v="Kaos Polo"/>
    <n v="1"/>
    <n v="3"/>
    <n v="200000"/>
    <n v="170000"/>
    <n v="80000"/>
    <n v="50000"/>
    <m/>
    <s v="-"/>
    <s v="-"/>
    <m/>
    <m/>
    <n v="0"/>
    <n v="0"/>
    <n v="0"/>
    <n v="0"/>
    <m/>
    <s v="-"/>
    <s v="-"/>
    <m/>
    <m/>
    <n v="0"/>
    <n v="0"/>
    <n v="0"/>
    <n v="0"/>
    <n v="1"/>
    <n v="200000"/>
    <n v="170000"/>
    <n v="80000"/>
    <n v="50000"/>
    <s v="BELI44"/>
    <n v="0.15"/>
    <x v="0"/>
    <x v="0"/>
    <x v="3"/>
    <d v="2023-04-02T00:00:00"/>
    <x v="1"/>
    <s v="Sunday"/>
    <x v="0"/>
    <n v="3"/>
  </r>
  <r>
    <n v="360"/>
    <s v="ORD-SP0360-05/04/23"/>
    <s v="SW001"/>
    <s v="Sepatu Wanita"/>
    <s v="Flat Shoes"/>
    <n v="4"/>
    <n v="5"/>
    <n v="1000000"/>
    <n v="900000"/>
    <n v="400000"/>
    <n v="300000"/>
    <m/>
    <s v="-"/>
    <s v="-"/>
    <m/>
    <m/>
    <n v="0"/>
    <n v="0"/>
    <n v="0"/>
    <n v="0"/>
    <m/>
    <s v="-"/>
    <s v="-"/>
    <m/>
    <m/>
    <n v="0"/>
    <n v="0"/>
    <n v="0"/>
    <n v="0"/>
    <n v="4"/>
    <n v="1000000"/>
    <n v="900000"/>
    <n v="400000"/>
    <n v="300000"/>
    <s v="DISC10"/>
    <n v="0.1"/>
    <x v="0"/>
    <x v="2"/>
    <x v="0"/>
    <d v="2023-04-05T00:00:00"/>
    <x v="9"/>
    <s v="Wednesday"/>
    <x v="0"/>
    <n v="5"/>
  </r>
  <r>
    <n v="361"/>
    <s v="ORD-TK0361-23/04/23"/>
    <s v="PW001"/>
    <s v="Pakaian Wanita"/>
    <s v="Dress"/>
    <n v="2"/>
    <n v="2"/>
    <n v="600000"/>
    <n v="540000"/>
    <n v="200000"/>
    <n v="140000"/>
    <s v="PP003"/>
    <s v="Pakaian Pria"/>
    <s v="Jaket Jeans"/>
    <n v="3"/>
    <n v="2"/>
    <n v="1200000"/>
    <n v="1080000"/>
    <n v="450000"/>
    <n v="330000"/>
    <m/>
    <s v="-"/>
    <s v="-"/>
    <m/>
    <m/>
    <n v="0"/>
    <n v="0"/>
    <n v="0"/>
    <n v="0"/>
    <n v="5"/>
    <n v="1800000"/>
    <n v="1620000"/>
    <n v="650000"/>
    <n v="470000"/>
    <s v="LEBAR10"/>
    <n v="0.1"/>
    <x v="1"/>
    <x v="1"/>
    <x v="4"/>
    <d v="2023-04-23T00:00:00"/>
    <x v="25"/>
    <s v="Sunday"/>
    <x v="2"/>
    <n v="2"/>
  </r>
  <r>
    <n v="362"/>
    <s v="ORD-BL0362-17/04/23"/>
    <s v="SP002"/>
    <s v="Sepatu Pria"/>
    <s v="Sandal Slip On"/>
    <n v="3"/>
    <n v="5"/>
    <n v="450000"/>
    <n v="382500"/>
    <n v="180000"/>
    <n v="112500"/>
    <s v="PW003"/>
    <s v="Pakaian Wanita"/>
    <s v="Kaftan"/>
    <n v="1"/>
    <n v="5"/>
    <n v="250000"/>
    <n v="212500"/>
    <n v="100000"/>
    <n v="62500"/>
    <m/>
    <s v="-"/>
    <s v="-"/>
    <m/>
    <m/>
    <n v="0"/>
    <n v="0"/>
    <n v="0"/>
    <n v="0"/>
    <n v="4"/>
    <n v="700000"/>
    <n v="595000"/>
    <n v="280000"/>
    <n v="175000"/>
    <s v="BUKALEBAR"/>
    <n v="0.15"/>
    <x v="1"/>
    <x v="3"/>
    <x v="5"/>
    <d v="2023-04-17T00:00:00"/>
    <x v="3"/>
    <s v="Monday"/>
    <x v="1"/>
    <n v="5"/>
  </r>
  <r>
    <n v="363"/>
    <s v="ORD-TK0363-07/04/23"/>
    <s v="PP002"/>
    <s v="Pakaian Pria"/>
    <s v="Celana Pendek"/>
    <n v="1"/>
    <n v="5"/>
    <n v="180000"/>
    <n v="180000"/>
    <n v="70000"/>
    <n v="70000"/>
    <s v="PW001"/>
    <s v="Pakaian Wanita"/>
    <s v="Dress"/>
    <n v="2"/>
    <n v="5"/>
    <n v="600000"/>
    <n v="600000"/>
    <n v="200000"/>
    <n v="200000"/>
    <m/>
    <s v="-"/>
    <s v="-"/>
    <m/>
    <m/>
    <n v="0"/>
    <n v="0"/>
    <n v="0"/>
    <n v="0"/>
    <n v="3"/>
    <n v="780000"/>
    <n v="780000"/>
    <n v="270000"/>
    <n v="270000"/>
    <s v="Tidak Ada"/>
    <s v="-"/>
    <x v="2"/>
    <x v="1"/>
    <x v="2"/>
    <d v="2023-04-07T00:00:00"/>
    <x v="28"/>
    <s v="Friday"/>
    <x v="0"/>
    <n v="5"/>
  </r>
  <r>
    <n v="364"/>
    <s v="ORD-SP0364-30/04/23"/>
    <s v="PP001"/>
    <s v="Pakaian Pria"/>
    <s v="Kaos Polo"/>
    <n v="3"/>
    <n v="4"/>
    <n v="600000"/>
    <n v="480000"/>
    <n v="240000"/>
    <n v="120000"/>
    <m/>
    <s v="-"/>
    <s v="-"/>
    <m/>
    <m/>
    <n v="0"/>
    <n v="0"/>
    <n v="0"/>
    <n v="0"/>
    <m/>
    <s v="-"/>
    <s v="-"/>
    <m/>
    <m/>
    <n v="0"/>
    <n v="0"/>
    <n v="0"/>
    <n v="0"/>
    <n v="3"/>
    <n v="600000"/>
    <n v="480000"/>
    <n v="240000"/>
    <n v="120000"/>
    <s v="DISC20"/>
    <n v="0.2"/>
    <x v="1"/>
    <x v="2"/>
    <x v="1"/>
    <d v="2023-04-30T00:00:00"/>
    <x v="12"/>
    <s v="Sunday"/>
    <x v="2"/>
    <n v="4"/>
  </r>
  <r>
    <n v="365"/>
    <s v="ORD-SP0365-08/04/23"/>
    <s v="PW002"/>
    <s v="Pakaian Wanita"/>
    <s v="Blouse"/>
    <n v="2"/>
    <n v="2"/>
    <n v="300000"/>
    <n v="300000"/>
    <n v="100000"/>
    <n v="100000"/>
    <s v="PW001"/>
    <s v="Pakaian Wanita"/>
    <s v="Dress"/>
    <n v="1"/>
    <n v="1"/>
    <n v="300000"/>
    <n v="300000"/>
    <n v="100000"/>
    <n v="100000"/>
    <m/>
    <s v="-"/>
    <s v="-"/>
    <m/>
    <m/>
    <n v="0"/>
    <n v="0"/>
    <n v="0"/>
    <n v="0"/>
    <n v="3"/>
    <n v="600000"/>
    <n v="600000"/>
    <n v="200000"/>
    <n v="200000"/>
    <s v="Tidak Ada"/>
    <s v="-"/>
    <x v="2"/>
    <x v="2"/>
    <x v="2"/>
    <d v="2023-04-08T00:00:00"/>
    <x v="26"/>
    <s v="Saturday"/>
    <x v="3"/>
    <n v="1.5"/>
  </r>
  <r>
    <n v="366"/>
    <s v="ORD-BL0366-16/04/23"/>
    <s v="PW001"/>
    <s v="Pakaian Wanita"/>
    <s v="Dress"/>
    <n v="1"/>
    <n v="5"/>
    <n v="300000"/>
    <n v="255000"/>
    <n v="100000"/>
    <n v="55000"/>
    <s v="PP002"/>
    <s v="Pakaian Pria"/>
    <s v="Celana Pendek"/>
    <n v="4"/>
    <n v="5"/>
    <n v="720000"/>
    <n v="612000"/>
    <n v="280000"/>
    <n v="172000"/>
    <m/>
    <s v="-"/>
    <s v="-"/>
    <m/>
    <m/>
    <n v="0"/>
    <n v="0"/>
    <n v="0"/>
    <n v="0"/>
    <n v="5"/>
    <n v="1020000"/>
    <n v="867000"/>
    <n v="380000"/>
    <n v="227000"/>
    <s v="BUKALEBAR"/>
    <n v="0.15"/>
    <x v="1"/>
    <x v="3"/>
    <x v="4"/>
    <d v="2023-04-16T00:00:00"/>
    <x v="17"/>
    <s v="Sunday"/>
    <x v="1"/>
    <n v="5"/>
  </r>
  <r>
    <n v="367"/>
    <s v="ORD-TK0367-12/04/23"/>
    <s v="PP003"/>
    <s v="Pakaian Pria"/>
    <s v="Jaket Jeans"/>
    <n v="4"/>
    <n v="5"/>
    <n v="1600000"/>
    <n v="1600000"/>
    <n v="600000"/>
    <n v="600000"/>
    <s v="SP002"/>
    <s v="Sepatu Pria"/>
    <s v="Sandal Slip On"/>
    <n v="2"/>
    <n v="4"/>
    <n v="300000"/>
    <n v="300000"/>
    <n v="120000"/>
    <n v="120000"/>
    <m/>
    <s v="-"/>
    <s v="-"/>
    <m/>
    <m/>
    <n v="0"/>
    <n v="0"/>
    <n v="0"/>
    <n v="0"/>
    <n v="6"/>
    <n v="1900000"/>
    <n v="1900000"/>
    <n v="720000"/>
    <n v="720000"/>
    <s v="Tidak Ada"/>
    <s v="-"/>
    <x v="2"/>
    <x v="1"/>
    <x v="4"/>
    <d v="2023-04-12T00:00:00"/>
    <x v="14"/>
    <s v="Wednesday"/>
    <x v="3"/>
    <n v="4.5"/>
  </r>
  <r>
    <n v="368"/>
    <s v="ORD-SP0368-06/04/23"/>
    <s v="PU001"/>
    <s v="Pakaian Unisex"/>
    <s v="Jaket Hoodie"/>
    <n v="1"/>
    <n v="3"/>
    <n v="350000"/>
    <n v="315000"/>
    <n v="130000"/>
    <n v="95000"/>
    <m/>
    <s v="-"/>
    <s v="-"/>
    <m/>
    <m/>
    <n v="0"/>
    <n v="0"/>
    <n v="0"/>
    <n v="0"/>
    <m/>
    <s v="-"/>
    <s v="-"/>
    <m/>
    <m/>
    <n v="0"/>
    <n v="0"/>
    <n v="0"/>
    <n v="0"/>
    <n v="1"/>
    <n v="350000"/>
    <n v="315000"/>
    <n v="130000"/>
    <n v="95000"/>
    <s v="DISC10"/>
    <n v="0.1"/>
    <x v="0"/>
    <x v="2"/>
    <x v="5"/>
    <d v="2023-04-06T00:00:00"/>
    <x v="8"/>
    <s v="Thursday"/>
    <x v="0"/>
    <n v="3"/>
  </r>
  <r>
    <n v="369"/>
    <s v="ORD-SP0369-15/04/23"/>
    <s v="PW001"/>
    <s v="Pakaian Wanita"/>
    <s v="Dress"/>
    <n v="1"/>
    <n v="1"/>
    <n v="300000"/>
    <n v="300000"/>
    <n v="100000"/>
    <n v="100000"/>
    <m/>
    <s v="-"/>
    <s v="-"/>
    <m/>
    <m/>
    <n v="0"/>
    <n v="0"/>
    <n v="0"/>
    <n v="0"/>
    <m/>
    <s v="-"/>
    <s v="-"/>
    <m/>
    <m/>
    <n v="0"/>
    <n v="0"/>
    <n v="0"/>
    <n v="0"/>
    <n v="1"/>
    <n v="300000"/>
    <n v="300000"/>
    <n v="100000"/>
    <n v="100000"/>
    <s v="Tidak Ada"/>
    <s v="-"/>
    <x v="2"/>
    <x v="2"/>
    <x v="1"/>
    <d v="2023-04-15T00:00:00"/>
    <x v="16"/>
    <s v="Saturday"/>
    <x v="1"/>
    <n v="1"/>
  </r>
  <r>
    <n v="370"/>
    <s v="ORD-BL0370-30/04/23"/>
    <s v="PP002"/>
    <s v="Pakaian Pria"/>
    <s v="Celana Pendek"/>
    <n v="1"/>
    <n v="5"/>
    <n v="180000"/>
    <n v="153000"/>
    <n v="70000"/>
    <n v="43000"/>
    <s v="SP001"/>
    <s v="Sepatu Pria"/>
    <s v="Sneakers"/>
    <n v="1"/>
    <n v="3"/>
    <n v="500000"/>
    <n v="425000"/>
    <n v="200000"/>
    <n v="125000"/>
    <m/>
    <s v="-"/>
    <s v="-"/>
    <m/>
    <m/>
    <n v="0"/>
    <n v="0"/>
    <n v="0"/>
    <n v="0"/>
    <n v="2"/>
    <n v="680000"/>
    <n v="578000"/>
    <n v="270000"/>
    <n v="168000"/>
    <s v="BUKALEBAR"/>
    <n v="0.15"/>
    <x v="1"/>
    <x v="3"/>
    <x v="4"/>
    <d v="2023-04-30T00:00:00"/>
    <x v="12"/>
    <s v="Sunday"/>
    <x v="2"/>
    <n v="4"/>
  </r>
  <r>
    <n v="371"/>
    <s v="ORD-BB0371-09/04/23"/>
    <s v="PW001"/>
    <s v="Pakaian Wanita"/>
    <s v="Dress"/>
    <n v="3"/>
    <n v="3"/>
    <n v="900000"/>
    <n v="900000"/>
    <n v="300000"/>
    <n v="300000"/>
    <s v="PP002"/>
    <s v="Pakaian Pria"/>
    <s v="Celana Pendek"/>
    <n v="2"/>
    <n v="3"/>
    <n v="360000"/>
    <n v="360000"/>
    <n v="140000"/>
    <n v="140000"/>
    <s v="SW001"/>
    <s v="Sepatu Wanita"/>
    <s v="Flat Shoes"/>
    <n v="1"/>
    <n v="2"/>
    <n v="250000"/>
    <n v="250000"/>
    <n v="100000"/>
    <n v="100000"/>
    <n v="6"/>
    <n v="1510000"/>
    <n v="1510000"/>
    <n v="540000"/>
    <n v="540000"/>
    <s v="Tidak Ada"/>
    <s v="-"/>
    <x v="2"/>
    <x v="0"/>
    <x v="0"/>
    <d v="2023-04-09T00:00:00"/>
    <x v="10"/>
    <s v="Sunday"/>
    <x v="3"/>
    <n v="2.6666666666666665"/>
  </r>
  <r>
    <n v="372"/>
    <s v="ORD-BB0372-02/04/23"/>
    <s v="SP002"/>
    <s v="Sepatu Pria"/>
    <s v="Sandal Slip On"/>
    <n v="2"/>
    <n v="3"/>
    <n v="300000"/>
    <n v="255000"/>
    <n v="120000"/>
    <n v="75000"/>
    <s v="PW002"/>
    <s v="Pakaian Wanita"/>
    <s v="Blouse"/>
    <n v="1"/>
    <n v="4"/>
    <n v="150000"/>
    <n v="127500"/>
    <n v="50000"/>
    <n v="27500"/>
    <s v="PW001"/>
    <s v="Pakaian Wanita"/>
    <s v="Dress"/>
    <n v="1"/>
    <n v="3"/>
    <n v="300000"/>
    <n v="255000"/>
    <n v="100000"/>
    <n v="55000"/>
    <n v="4"/>
    <n v="750000"/>
    <n v="637500"/>
    <n v="270000"/>
    <n v="157500"/>
    <s v="BELI44"/>
    <n v="0.15"/>
    <x v="0"/>
    <x v="0"/>
    <x v="1"/>
    <d v="2023-04-02T00:00:00"/>
    <x v="1"/>
    <s v="Sunday"/>
    <x v="0"/>
    <n v="3.3333333333333335"/>
  </r>
  <r>
    <n v="373"/>
    <s v="ORD-TK0373-07/04/23"/>
    <s v="PW002"/>
    <s v="Pakaian Wanita"/>
    <s v="Blouse"/>
    <n v="1"/>
    <n v="4"/>
    <n v="150000"/>
    <n v="150000"/>
    <n v="50000"/>
    <n v="50000"/>
    <s v="PU001"/>
    <s v="Pakaian Unisex"/>
    <s v="Jaket Hoodie"/>
    <n v="2"/>
    <n v="3"/>
    <n v="700000"/>
    <n v="700000"/>
    <n v="260000"/>
    <n v="260000"/>
    <m/>
    <s v="-"/>
    <s v="-"/>
    <m/>
    <m/>
    <n v="0"/>
    <n v="0"/>
    <n v="0"/>
    <n v="0"/>
    <n v="3"/>
    <n v="850000"/>
    <n v="850000"/>
    <n v="310000"/>
    <n v="310000"/>
    <s v="Tidak Ada"/>
    <s v="-"/>
    <x v="2"/>
    <x v="1"/>
    <x v="4"/>
    <d v="2023-04-07T00:00:00"/>
    <x v="28"/>
    <s v="Friday"/>
    <x v="0"/>
    <n v="3.5"/>
  </r>
  <r>
    <n v="374"/>
    <s v="ORD-TK0374-28/04/23"/>
    <s v="PU001"/>
    <s v="Pakaian Unisex"/>
    <s v="Jaket Hoodie"/>
    <n v="5"/>
    <n v="2"/>
    <n v="1750000"/>
    <n v="1575000"/>
    <n v="650000"/>
    <n v="475000"/>
    <m/>
    <s v="-"/>
    <s v="-"/>
    <m/>
    <m/>
    <n v="0"/>
    <n v="0"/>
    <n v="0"/>
    <n v="0"/>
    <m/>
    <s v="-"/>
    <s v="-"/>
    <m/>
    <m/>
    <n v="0"/>
    <n v="0"/>
    <n v="0"/>
    <n v="0"/>
    <n v="5"/>
    <n v="1750000"/>
    <n v="1575000"/>
    <n v="650000"/>
    <n v="475000"/>
    <s v="LEBAR10"/>
    <n v="0.1"/>
    <x v="1"/>
    <x v="1"/>
    <x v="0"/>
    <d v="2023-04-28T00:00:00"/>
    <x v="11"/>
    <s v="Friday"/>
    <x v="2"/>
    <n v="2"/>
  </r>
  <r>
    <n v="375"/>
    <s v="ORD-BB0375-01/04/23"/>
    <s v="PP001"/>
    <s v="Pakaian Pria"/>
    <s v="Kaos Polo"/>
    <n v="4"/>
    <n v="3"/>
    <n v="800000"/>
    <n v="680000"/>
    <n v="320000"/>
    <n v="200000"/>
    <m/>
    <s v="-"/>
    <s v="-"/>
    <m/>
    <m/>
    <n v="0"/>
    <n v="0"/>
    <n v="0"/>
    <n v="0"/>
    <m/>
    <s v="-"/>
    <s v="-"/>
    <m/>
    <m/>
    <n v="0"/>
    <n v="0"/>
    <n v="0"/>
    <n v="0"/>
    <n v="4"/>
    <n v="800000"/>
    <n v="680000"/>
    <n v="320000"/>
    <n v="200000"/>
    <s v="BELI44"/>
    <n v="0.15"/>
    <x v="0"/>
    <x v="0"/>
    <x v="3"/>
    <d v="2023-04-01T00:00:00"/>
    <x v="0"/>
    <s v="Saturday"/>
    <x v="0"/>
    <n v="3"/>
  </r>
  <r>
    <n v="376"/>
    <s v="ORD-BL0376-20/04/23"/>
    <s v="SW001"/>
    <s v="Sepatu Wanita"/>
    <s v="Flat Shoes"/>
    <n v="1"/>
    <n v="1"/>
    <n v="250000"/>
    <n v="212500"/>
    <n v="100000"/>
    <n v="62500"/>
    <m/>
    <s v="-"/>
    <s v="-"/>
    <m/>
    <m/>
    <n v="0"/>
    <n v="0"/>
    <n v="0"/>
    <n v="0"/>
    <m/>
    <s v="-"/>
    <s v="-"/>
    <m/>
    <m/>
    <n v="0"/>
    <n v="0"/>
    <n v="0"/>
    <n v="0"/>
    <n v="1"/>
    <n v="250000"/>
    <n v="212500"/>
    <n v="100000"/>
    <n v="62500"/>
    <s v="BUKALEBAR"/>
    <n v="0.15"/>
    <x v="1"/>
    <x v="3"/>
    <x v="4"/>
    <d v="2023-04-20T00:00:00"/>
    <x v="5"/>
    <s v="Thursday"/>
    <x v="1"/>
    <n v="1"/>
  </r>
  <r>
    <n v="377"/>
    <s v="ORD-SP0377-26/04/23"/>
    <s v="PW001"/>
    <s v="Pakaian Wanita"/>
    <s v="Dress"/>
    <n v="2"/>
    <n v="1"/>
    <n v="600000"/>
    <n v="480000"/>
    <n v="200000"/>
    <n v="80000"/>
    <s v="SP001"/>
    <s v="Sepatu Pria"/>
    <s v="Sneakers"/>
    <n v="4"/>
    <n v="3"/>
    <n v="2000000"/>
    <n v="1600000"/>
    <n v="800000"/>
    <n v="400000"/>
    <m/>
    <s v="-"/>
    <s v="-"/>
    <m/>
    <m/>
    <n v="0"/>
    <n v="0"/>
    <n v="0"/>
    <n v="0"/>
    <n v="6"/>
    <n v="2600000"/>
    <n v="2080000"/>
    <n v="1000000"/>
    <n v="480000"/>
    <s v="DISC20"/>
    <n v="0.2"/>
    <x v="1"/>
    <x v="2"/>
    <x v="4"/>
    <d v="2023-04-26T00:00:00"/>
    <x v="15"/>
    <s v="Wednesday"/>
    <x v="2"/>
    <n v="2"/>
  </r>
  <r>
    <n v="378"/>
    <s v="ORD-TK0378-25/04/23"/>
    <s v="SW001"/>
    <s v="Sepatu Wanita"/>
    <s v="Flat Shoes"/>
    <n v="3"/>
    <n v="4"/>
    <n v="750000"/>
    <n v="675000"/>
    <n v="300000"/>
    <n v="225000"/>
    <s v="PP003"/>
    <s v="Pakaian Pria"/>
    <s v="Jaket Jeans"/>
    <n v="2"/>
    <n v="5"/>
    <n v="800000"/>
    <n v="720000"/>
    <n v="300000"/>
    <n v="220000"/>
    <m/>
    <s v="-"/>
    <s v="-"/>
    <m/>
    <m/>
    <n v="0"/>
    <n v="0"/>
    <n v="0"/>
    <n v="0"/>
    <n v="5"/>
    <n v="1550000"/>
    <n v="1395000"/>
    <n v="600000"/>
    <n v="445000"/>
    <s v="LEBAR10"/>
    <n v="0.1"/>
    <x v="1"/>
    <x v="1"/>
    <x v="5"/>
    <d v="2023-04-25T00:00:00"/>
    <x v="6"/>
    <s v="Tuesday"/>
    <x v="2"/>
    <n v="4.5"/>
  </r>
  <r>
    <n v="379"/>
    <s v="ORD-SP0379-16/04/23"/>
    <s v="SW001"/>
    <s v="Sepatu Wanita"/>
    <s v="Flat Shoes"/>
    <n v="1"/>
    <n v="3"/>
    <n v="250000"/>
    <n v="200000"/>
    <n v="100000"/>
    <n v="50000"/>
    <s v="PP002"/>
    <s v="Pakaian Pria"/>
    <s v="Celana Pendek"/>
    <n v="2"/>
    <n v="1"/>
    <n v="360000"/>
    <n v="288000"/>
    <n v="140000"/>
    <n v="68000"/>
    <s v="PW002"/>
    <s v="Pakaian Wanita"/>
    <s v="Blouse"/>
    <n v="4"/>
    <n v="4"/>
    <n v="600000"/>
    <n v="480000"/>
    <n v="200000"/>
    <n v="80000"/>
    <n v="7"/>
    <n v="1210000"/>
    <n v="968000"/>
    <n v="440000"/>
    <n v="198000"/>
    <s v="DISC20"/>
    <n v="0.2"/>
    <x v="1"/>
    <x v="2"/>
    <x v="1"/>
    <d v="2023-04-16T00:00:00"/>
    <x v="17"/>
    <s v="Sunday"/>
    <x v="1"/>
    <n v="2.6666666666666665"/>
  </r>
  <r>
    <n v="380"/>
    <s v="ORD-SP0380-22/04/23"/>
    <s v="SP001"/>
    <s v="Sepatu Pria"/>
    <s v="Sneakers"/>
    <n v="1"/>
    <n v="2"/>
    <n v="500000"/>
    <n v="400000"/>
    <n v="200000"/>
    <n v="100000"/>
    <s v="PP003"/>
    <s v="Pakaian Pria"/>
    <s v="Jaket Jeans"/>
    <n v="2"/>
    <n v="2"/>
    <n v="800000"/>
    <n v="640000"/>
    <n v="300000"/>
    <n v="140000"/>
    <s v="PW003"/>
    <s v="Pakaian Wanita"/>
    <s v="Kaftan"/>
    <n v="1"/>
    <n v="1"/>
    <n v="250000"/>
    <n v="200000"/>
    <n v="100000"/>
    <n v="50000"/>
    <n v="4"/>
    <n v="1550000"/>
    <n v="1240000"/>
    <n v="600000"/>
    <n v="290000"/>
    <s v="DISC20"/>
    <n v="0.2"/>
    <x v="1"/>
    <x v="2"/>
    <x v="4"/>
    <d v="2023-04-22T00:00:00"/>
    <x v="27"/>
    <s v="Saturday"/>
    <x v="2"/>
    <n v="1.6666666666666667"/>
  </r>
  <r>
    <n v="381"/>
    <s v="ORD-TK0381-11/04/23"/>
    <s v="SW001"/>
    <s v="Sepatu Wanita"/>
    <s v="Flat Shoes"/>
    <n v="1"/>
    <n v="3"/>
    <n v="250000"/>
    <n v="250000"/>
    <n v="100000"/>
    <n v="100000"/>
    <s v="PP002"/>
    <s v="Pakaian Pria"/>
    <s v="Celana Pendek"/>
    <n v="2"/>
    <n v="3"/>
    <n v="360000"/>
    <n v="360000"/>
    <n v="140000"/>
    <n v="140000"/>
    <m/>
    <s v="-"/>
    <s v="-"/>
    <m/>
    <m/>
    <n v="0"/>
    <n v="0"/>
    <n v="0"/>
    <n v="0"/>
    <n v="3"/>
    <n v="610000"/>
    <n v="610000"/>
    <n v="240000"/>
    <n v="240000"/>
    <s v="Tidak Ada"/>
    <s v="-"/>
    <x v="2"/>
    <x v="1"/>
    <x v="5"/>
    <d v="2023-04-11T00:00:00"/>
    <x v="29"/>
    <s v="Tuesday"/>
    <x v="3"/>
    <n v="3"/>
  </r>
  <r>
    <n v="382"/>
    <s v="ORD-TK0382-08/04/23"/>
    <s v="SP001"/>
    <s v="Sepatu Pria"/>
    <s v="Sneakers"/>
    <n v="4"/>
    <n v="2"/>
    <n v="2000000"/>
    <n v="2000000"/>
    <n v="800000"/>
    <n v="800000"/>
    <s v="PP003"/>
    <s v="Pakaian Pria"/>
    <s v="Jaket Jeans"/>
    <n v="2"/>
    <n v="5"/>
    <n v="800000"/>
    <n v="800000"/>
    <n v="300000"/>
    <n v="300000"/>
    <m/>
    <s v="-"/>
    <s v="-"/>
    <m/>
    <m/>
    <n v="0"/>
    <n v="0"/>
    <n v="0"/>
    <n v="0"/>
    <n v="6"/>
    <n v="2800000"/>
    <n v="2800000"/>
    <n v="1100000"/>
    <n v="1100000"/>
    <s v="Tidak Ada"/>
    <s v="-"/>
    <x v="2"/>
    <x v="1"/>
    <x v="4"/>
    <d v="2023-04-08T00:00:00"/>
    <x v="26"/>
    <s v="Saturday"/>
    <x v="3"/>
    <n v="3.5"/>
  </r>
  <r>
    <n v="383"/>
    <s v="ORD-SP0383-04/04/23"/>
    <s v="PP003"/>
    <s v="Pakaian Pria"/>
    <s v="Jaket Jeans"/>
    <n v="4"/>
    <n v="4"/>
    <n v="1600000"/>
    <n v="1360000"/>
    <n v="600000"/>
    <n v="360000"/>
    <s v="PU001"/>
    <s v="Pakaian Unisex"/>
    <s v="Jaket Hoodie"/>
    <n v="1"/>
    <n v="4"/>
    <n v="350000"/>
    <n v="297500"/>
    <n v="130000"/>
    <n v="77500"/>
    <s v="PP003"/>
    <s v="Pakaian Pria"/>
    <s v="Jaket Jeans"/>
    <n v="2"/>
    <n v="4"/>
    <n v="800000"/>
    <n v="680000"/>
    <n v="300000"/>
    <n v="180000"/>
    <n v="7"/>
    <n v="2750000"/>
    <n v="2337500"/>
    <n v="1030000"/>
    <n v="617500"/>
    <s v="DISC15"/>
    <n v="0.15"/>
    <x v="0"/>
    <x v="2"/>
    <x v="3"/>
    <d v="2023-04-04T00:00:00"/>
    <x v="7"/>
    <s v="Tuesday"/>
    <x v="0"/>
    <n v="4"/>
  </r>
  <r>
    <n v="384"/>
    <s v="ORD-SP0384-06/04/23"/>
    <s v="SP001"/>
    <s v="Sepatu Pria"/>
    <s v="Sneakers"/>
    <n v="2"/>
    <n v="3"/>
    <n v="1000000"/>
    <n v="850000"/>
    <n v="400000"/>
    <n v="250000"/>
    <s v="PP003"/>
    <s v="Pakaian Pria"/>
    <s v="Jaket Jeans"/>
    <n v="1"/>
    <n v="4"/>
    <n v="400000"/>
    <n v="340000"/>
    <n v="150000"/>
    <n v="90000"/>
    <m/>
    <s v="-"/>
    <s v="-"/>
    <m/>
    <m/>
    <n v="0"/>
    <n v="0"/>
    <n v="0"/>
    <n v="0"/>
    <n v="3"/>
    <n v="1400000"/>
    <n v="1190000"/>
    <n v="550000"/>
    <n v="340000"/>
    <s v="DISC15"/>
    <n v="0.15"/>
    <x v="0"/>
    <x v="2"/>
    <x v="1"/>
    <d v="2023-04-06T00:00:00"/>
    <x v="8"/>
    <s v="Thursday"/>
    <x v="0"/>
    <n v="3.5"/>
  </r>
  <r>
    <n v="385"/>
    <s v="ORD-SP0385-07/04/23"/>
    <s v="PP002"/>
    <s v="Pakaian Pria"/>
    <s v="Celana Pendek"/>
    <n v="2"/>
    <n v="1"/>
    <n v="360000"/>
    <n v="360000"/>
    <n v="140000"/>
    <n v="140000"/>
    <m/>
    <s v="-"/>
    <s v="-"/>
    <m/>
    <m/>
    <n v="0"/>
    <n v="0"/>
    <n v="0"/>
    <n v="0"/>
    <m/>
    <s v="-"/>
    <s v="-"/>
    <m/>
    <m/>
    <n v="0"/>
    <n v="0"/>
    <n v="0"/>
    <n v="0"/>
    <n v="2"/>
    <n v="360000"/>
    <n v="360000"/>
    <n v="140000"/>
    <n v="140000"/>
    <s v="Tidak Ada"/>
    <s v="-"/>
    <x v="2"/>
    <x v="2"/>
    <x v="3"/>
    <d v="2023-04-07T00:00:00"/>
    <x v="28"/>
    <s v="Friday"/>
    <x v="0"/>
    <n v="1"/>
  </r>
  <r>
    <n v="386"/>
    <s v="ORD-SP0386-02/04/23"/>
    <s v="PP003"/>
    <s v="Pakaian Pria"/>
    <s v="Jaket Jeans"/>
    <n v="4"/>
    <n v="2"/>
    <n v="1600000"/>
    <n v="1440000"/>
    <n v="600000"/>
    <n v="440000"/>
    <m/>
    <s v="-"/>
    <s v="-"/>
    <m/>
    <m/>
    <n v="0"/>
    <n v="0"/>
    <n v="0"/>
    <n v="0"/>
    <m/>
    <s v="-"/>
    <s v="-"/>
    <m/>
    <m/>
    <n v="0"/>
    <n v="0"/>
    <n v="0"/>
    <n v="0"/>
    <n v="4"/>
    <n v="1600000"/>
    <n v="1440000"/>
    <n v="600000"/>
    <n v="440000"/>
    <s v="DISC10"/>
    <n v="0.1"/>
    <x v="0"/>
    <x v="2"/>
    <x v="4"/>
    <d v="2023-04-02T00:00:00"/>
    <x v="1"/>
    <s v="Sunday"/>
    <x v="0"/>
    <n v="2"/>
  </r>
  <r>
    <n v="387"/>
    <s v="ORD-SP0387-01/04/23"/>
    <s v="PP002"/>
    <s v="Pakaian Pria"/>
    <s v="Celana Pendek"/>
    <n v="4"/>
    <n v="3"/>
    <n v="720000"/>
    <n v="612000"/>
    <n v="280000"/>
    <n v="172000"/>
    <s v="PU001"/>
    <s v="Pakaian Unisex"/>
    <s v="Jaket Hoodie"/>
    <n v="1"/>
    <n v="2"/>
    <n v="350000"/>
    <n v="297500"/>
    <n v="130000"/>
    <n v="77500"/>
    <s v="SP001"/>
    <s v="Sepatu Pria"/>
    <s v="Sneakers"/>
    <n v="2"/>
    <n v="4"/>
    <n v="1000000"/>
    <n v="850000"/>
    <n v="400000"/>
    <n v="250000"/>
    <n v="7"/>
    <n v="2070000"/>
    <n v="1759500"/>
    <n v="810000"/>
    <n v="499500"/>
    <s v="DISC15"/>
    <n v="0.15"/>
    <x v="0"/>
    <x v="2"/>
    <x v="4"/>
    <d v="2023-04-01T00:00:00"/>
    <x v="0"/>
    <s v="Saturday"/>
    <x v="0"/>
    <n v="3"/>
  </r>
  <r>
    <n v="388"/>
    <s v="ORD-TK0388-20/04/23"/>
    <s v="PW002"/>
    <s v="Pakaian Wanita"/>
    <s v="Blouse"/>
    <n v="3"/>
    <n v="5"/>
    <n v="450000"/>
    <n v="405000"/>
    <n v="150000"/>
    <n v="105000"/>
    <m/>
    <s v="-"/>
    <s v="-"/>
    <m/>
    <m/>
    <n v="0"/>
    <n v="0"/>
    <n v="0"/>
    <n v="0"/>
    <m/>
    <s v="-"/>
    <s v="-"/>
    <m/>
    <m/>
    <n v="0"/>
    <n v="0"/>
    <n v="0"/>
    <n v="0"/>
    <n v="3"/>
    <n v="450000"/>
    <n v="405000"/>
    <n v="150000"/>
    <n v="105000"/>
    <s v="LEBAR10"/>
    <n v="0.1"/>
    <x v="1"/>
    <x v="1"/>
    <x v="2"/>
    <d v="2023-04-20T00:00:00"/>
    <x v="5"/>
    <s v="Thursday"/>
    <x v="1"/>
    <n v="5"/>
  </r>
  <r>
    <n v="389"/>
    <s v="ORD-BL0389-10/04/23"/>
    <s v="SP002"/>
    <s v="Sepatu Pria"/>
    <s v="Sandal Slip On"/>
    <n v="3"/>
    <n v="2"/>
    <n v="450000"/>
    <n v="450000"/>
    <n v="180000"/>
    <n v="180000"/>
    <m/>
    <s v="-"/>
    <s v="-"/>
    <m/>
    <m/>
    <n v="0"/>
    <n v="0"/>
    <n v="0"/>
    <n v="0"/>
    <m/>
    <s v="-"/>
    <s v="-"/>
    <m/>
    <m/>
    <n v="0"/>
    <n v="0"/>
    <n v="0"/>
    <n v="0"/>
    <n v="3"/>
    <n v="450000"/>
    <n v="450000"/>
    <n v="180000"/>
    <n v="180000"/>
    <s v="Tidak Ada"/>
    <s v="-"/>
    <x v="2"/>
    <x v="3"/>
    <x v="4"/>
    <d v="2023-04-10T00:00:00"/>
    <x v="23"/>
    <s v="Monday"/>
    <x v="3"/>
    <n v="2"/>
  </r>
  <r>
    <n v="390"/>
    <s v="ORD-SP0390-02/04/23"/>
    <s v="PW003"/>
    <s v="Pakaian Wanita"/>
    <s v="Kaftan"/>
    <n v="2"/>
    <n v="1"/>
    <n v="500000"/>
    <n v="425000"/>
    <n v="200000"/>
    <n v="125000"/>
    <m/>
    <s v="-"/>
    <s v="-"/>
    <m/>
    <m/>
    <n v="0"/>
    <n v="0"/>
    <n v="0"/>
    <n v="0"/>
    <m/>
    <s v="-"/>
    <s v="-"/>
    <m/>
    <m/>
    <n v="0"/>
    <n v="0"/>
    <n v="0"/>
    <n v="0"/>
    <n v="2"/>
    <n v="500000"/>
    <n v="425000"/>
    <n v="200000"/>
    <n v="125000"/>
    <s v="DISC15"/>
    <n v="0.15"/>
    <x v="0"/>
    <x v="2"/>
    <x v="4"/>
    <d v="2023-04-02T00:00:00"/>
    <x v="1"/>
    <s v="Sunday"/>
    <x v="0"/>
    <n v="1"/>
  </r>
  <r>
    <n v="391"/>
    <s v="ORD-BB0391-14/04/23"/>
    <s v="PW003"/>
    <s v="Pakaian Wanita"/>
    <s v="Kaftan"/>
    <n v="2"/>
    <n v="1"/>
    <n v="500000"/>
    <n v="500000"/>
    <n v="200000"/>
    <n v="200000"/>
    <s v="PW002"/>
    <s v="Pakaian Wanita"/>
    <s v="Blouse"/>
    <n v="1"/>
    <n v="5"/>
    <n v="150000"/>
    <n v="150000"/>
    <n v="50000"/>
    <n v="50000"/>
    <s v="PW001"/>
    <s v="Pakaian Wanita"/>
    <s v="Dress"/>
    <n v="2"/>
    <n v="3"/>
    <n v="600000"/>
    <n v="600000"/>
    <n v="200000"/>
    <n v="200000"/>
    <n v="5"/>
    <n v="1250000"/>
    <n v="1250000"/>
    <n v="450000"/>
    <n v="450000"/>
    <s v="Tidak Ada"/>
    <s v="-"/>
    <x v="2"/>
    <x v="0"/>
    <x v="4"/>
    <d v="2023-04-14T00:00:00"/>
    <x v="22"/>
    <s v="Friday"/>
    <x v="3"/>
    <n v="3"/>
  </r>
  <r>
    <n v="392"/>
    <s v="ORD-SP0392-22/04/23"/>
    <s v="PP002"/>
    <s v="Pakaian Pria"/>
    <s v="Celana Pendek"/>
    <n v="1"/>
    <n v="4"/>
    <n v="180000"/>
    <n v="144000"/>
    <n v="70000"/>
    <n v="34000"/>
    <m/>
    <s v="-"/>
    <s v="-"/>
    <m/>
    <m/>
    <n v="0"/>
    <n v="0"/>
    <n v="0"/>
    <n v="0"/>
    <m/>
    <s v="-"/>
    <s v="-"/>
    <m/>
    <m/>
    <n v="0"/>
    <n v="0"/>
    <n v="0"/>
    <n v="0"/>
    <n v="1"/>
    <n v="180000"/>
    <n v="144000"/>
    <n v="70000"/>
    <n v="34000"/>
    <s v="DISC20"/>
    <n v="0.2"/>
    <x v="1"/>
    <x v="2"/>
    <x v="0"/>
    <d v="2023-04-22T00:00:00"/>
    <x v="27"/>
    <s v="Saturday"/>
    <x v="2"/>
    <n v="4"/>
  </r>
  <r>
    <n v="393"/>
    <s v="ORD-BL0393-22/04/23"/>
    <s v="PU001"/>
    <s v="Pakaian Unisex"/>
    <s v="Jaket Hoodie"/>
    <n v="4"/>
    <n v="2"/>
    <n v="1400000"/>
    <n v="1190000"/>
    <n v="520000"/>
    <n v="310000"/>
    <s v="PP003"/>
    <s v="Pakaian Pria"/>
    <s v="Jaket Jeans"/>
    <n v="2"/>
    <n v="4"/>
    <n v="800000"/>
    <n v="680000"/>
    <n v="300000"/>
    <n v="180000"/>
    <s v="PU001"/>
    <s v="Pakaian Unisex"/>
    <s v="Jaket Hoodie"/>
    <n v="1"/>
    <n v="5"/>
    <n v="350000"/>
    <n v="297500"/>
    <n v="130000"/>
    <n v="77500"/>
    <n v="7"/>
    <n v="2550000"/>
    <n v="2167500"/>
    <n v="950000"/>
    <n v="567500"/>
    <s v="BUKALEBAR"/>
    <n v="0.15"/>
    <x v="1"/>
    <x v="3"/>
    <x v="1"/>
    <d v="2023-04-22T00:00:00"/>
    <x v="27"/>
    <s v="Saturday"/>
    <x v="2"/>
    <n v="3.6666666666666665"/>
  </r>
  <r>
    <n v="394"/>
    <s v="ORD-TK0394-03/04/23"/>
    <s v="PP002"/>
    <s v="Pakaian Pria"/>
    <s v="Celana Pendek"/>
    <n v="1"/>
    <n v="2"/>
    <n v="180000"/>
    <n v="162000"/>
    <n v="70000"/>
    <n v="52000"/>
    <s v="SP001"/>
    <s v="Sepatu Pria"/>
    <s v="Sneakers"/>
    <n v="1"/>
    <n v="1"/>
    <n v="500000"/>
    <n v="450000"/>
    <n v="200000"/>
    <n v="150000"/>
    <s v="PU001"/>
    <s v="Pakaian Unisex"/>
    <s v="Jaket Hoodie"/>
    <n v="1"/>
    <n v="2"/>
    <n v="350000"/>
    <n v="315000"/>
    <n v="130000"/>
    <n v="95000"/>
    <n v="3"/>
    <n v="1030000"/>
    <n v="927000"/>
    <n v="400000"/>
    <n v="297000"/>
    <s v="DISCAPRIL"/>
    <n v="0.1"/>
    <x v="0"/>
    <x v="1"/>
    <x v="3"/>
    <d v="2023-04-03T00:00:00"/>
    <x v="2"/>
    <s v="Monday"/>
    <x v="0"/>
    <n v="1.6666666666666667"/>
  </r>
  <r>
    <n v="395"/>
    <s v="ORD-TK0395-27/04/23"/>
    <s v="SP001"/>
    <s v="Sepatu Pria"/>
    <s v="Sneakers"/>
    <n v="1"/>
    <n v="3"/>
    <n v="500000"/>
    <n v="450000"/>
    <n v="200000"/>
    <n v="150000"/>
    <m/>
    <s v="-"/>
    <s v="-"/>
    <m/>
    <m/>
    <n v="0"/>
    <n v="0"/>
    <n v="0"/>
    <n v="0"/>
    <m/>
    <s v="-"/>
    <s v="-"/>
    <m/>
    <m/>
    <n v="0"/>
    <n v="0"/>
    <n v="0"/>
    <n v="0"/>
    <n v="1"/>
    <n v="500000"/>
    <n v="450000"/>
    <n v="200000"/>
    <n v="150000"/>
    <s v="LEBAR10"/>
    <n v="0.1"/>
    <x v="1"/>
    <x v="1"/>
    <x v="2"/>
    <d v="2023-04-27T00:00:00"/>
    <x v="18"/>
    <s v="Thursday"/>
    <x v="2"/>
    <n v="3"/>
  </r>
  <r>
    <n v="396"/>
    <s v="ORD-SP0396-04/04/23"/>
    <s v="PW001"/>
    <s v="Pakaian Wanita"/>
    <s v="Dress"/>
    <n v="1"/>
    <n v="3"/>
    <n v="300000"/>
    <n v="255000"/>
    <n v="100000"/>
    <n v="55000"/>
    <s v="PW002"/>
    <s v="Pakaian Wanita"/>
    <s v="Blouse"/>
    <n v="1"/>
    <n v="3"/>
    <n v="150000"/>
    <n v="127500"/>
    <n v="50000"/>
    <n v="27500"/>
    <s v="PU001"/>
    <s v="Pakaian Unisex"/>
    <s v="Jaket Hoodie"/>
    <n v="3"/>
    <n v="3"/>
    <n v="1050000"/>
    <n v="892500"/>
    <n v="390000"/>
    <n v="232500"/>
    <n v="5"/>
    <n v="1500000"/>
    <n v="1275000"/>
    <n v="540000"/>
    <n v="315000"/>
    <s v="DISC15"/>
    <n v="0.15"/>
    <x v="0"/>
    <x v="2"/>
    <x v="2"/>
    <d v="2023-04-04T00:00:00"/>
    <x v="7"/>
    <s v="Tuesday"/>
    <x v="0"/>
    <n v="3"/>
  </r>
  <r>
    <n v="397"/>
    <s v="ORD-SP0397-03/04/23"/>
    <s v="SP002"/>
    <s v="Sepatu Pria"/>
    <s v="Sandal Slip On"/>
    <n v="3"/>
    <n v="2"/>
    <n v="450000"/>
    <n v="382500"/>
    <n v="180000"/>
    <n v="112500"/>
    <s v="PP003"/>
    <s v="Pakaian Pria"/>
    <s v="Jaket Jeans"/>
    <n v="3"/>
    <n v="3"/>
    <n v="1200000"/>
    <n v="1020000"/>
    <n v="450000"/>
    <n v="270000"/>
    <m/>
    <s v="-"/>
    <s v="-"/>
    <m/>
    <m/>
    <n v="0"/>
    <n v="0"/>
    <n v="0"/>
    <n v="0"/>
    <n v="6"/>
    <n v="1650000"/>
    <n v="1402500"/>
    <n v="630000"/>
    <n v="382500"/>
    <s v="DISC15"/>
    <n v="0.15"/>
    <x v="0"/>
    <x v="2"/>
    <x v="0"/>
    <d v="2023-04-03T00:00:00"/>
    <x v="2"/>
    <s v="Monday"/>
    <x v="0"/>
    <n v="2.5"/>
  </r>
  <r>
    <n v="398"/>
    <s v="ORD-SP0398-04/04/23"/>
    <s v="PP001"/>
    <s v="Pakaian Pria"/>
    <s v="Kaos Polo"/>
    <n v="2"/>
    <n v="3"/>
    <n v="400000"/>
    <n v="360000"/>
    <n v="160000"/>
    <n v="120000"/>
    <s v="PP002"/>
    <s v="Pakaian Pria"/>
    <s v="Celana Pendek"/>
    <n v="1"/>
    <n v="2"/>
    <n v="180000"/>
    <n v="162000"/>
    <n v="70000"/>
    <n v="52000"/>
    <m/>
    <s v="-"/>
    <s v="-"/>
    <m/>
    <m/>
    <n v="0"/>
    <n v="0"/>
    <n v="0"/>
    <n v="0"/>
    <n v="3"/>
    <n v="580000"/>
    <n v="522000"/>
    <n v="230000"/>
    <n v="172000"/>
    <s v="DISC10"/>
    <n v="0.1"/>
    <x v="0"/>
    <x v="2"/>
    <x v="0"/>
    <d v="2023-04-04T00:00:00"/>
    <x v="7"/>
    <s v="Tuesday"/>
    <x v="0"/>
    <n v="2.5"/>
  </r>
  <r>
    <n v="399"/>
    <s v="ORD-BL0399-18/04/23"/>
    <s v="SP002"/>
    <s v="Sepatu Pria"/>
    <s v="Sandal Slip On"/>
    <n v="1"/>
    <n v="2"/>
    <n v="150000"/>
    <n v="127500"/>
    <n v="60000"/>
    <n v="37500"/>
    <m/>
    <s v="-"/>
    <s v="-"/>
    <m/>
    <m/>
    <n v="0"/>
    <n v="0"/>
    <n v="0"/>
    <n v="0"/>
    <m/>
    <s v="-"/>
    <s v="-"/>
    <m/>
    <m/>
    <n v="0"/>
    <n v="0"/>
    <n v="0"/>
    <n v="0"/>
    <n v="1"/>
    <n v="150000"/>
    <n v="127500"/>
    <n v="60000"/>
    <n v="37500"/>
    <s v="BUKALEBAR"/>
    <n v="0.15"/>
    <x v="1"/>
    <x v="3"/>
    <x v="0"/>
    <d v="2023-04-18T00:00:00"/>
    <x v="24"/>
    <s v="Tuesday"/>
    <x v="1"/>
    <n v="2"/>
  </r>
  <r>
    <n v="400"/>
    <s v="ORD-SP0400-24/04/23"/>
    <s v="SP002"/>
    <s v="Sepatu Pria"/>
    <s v="Sandal Slip On"/>
    <n v="3"/>
    <n v="3"/>
    <n v="450000"/>
    <n v="360000"/>
    <n v="180000"/>
    <n v="90000"/>
    <s v="PW003"/>
    <s v="Pakaian Wanita"/>
    <s v="Kaftan"/>
    <n v="1"/>
    <n v="2"/>
    <n v="250000"/>
    <n v="200000"/>
    <n v="100000"/>
    <n v="50000"/>
    <m/>
    <s v="-"/>
    <s v="-"/>
    <m/>
    <m/>
    <n v="0"/>
    <n v="0"/>
    <n v="0"/>
    <n v="0"/>
    <n v="4"/>
    <n v="700000"/>
    <n v="560000"/>
    <n v="280000"/>
    <n v="140000"/>
    <s v="DISC20"/>
    <n v="0.2"/>
    <x v="1"/>
    <x v="2"/>
    <x v="4"/>
    <d v="2023-04-24T00:00:00"/>
    <x v="4"/>
    <s v="Monday"/>
    <x v="2"/>
    <n v="2.5"/>
  </r>
  <r>
    <n v="401"/>
    <s v="ORD-SP0401-03/04/23"/>
    <s v="PP003"/>
    <s v="Pakaian Pria"/>
    <s v="Jaket Jeans"/>
    <n v="1"/>
    <n v="2"/>
    <n v="400000"/>
    <n v="360000"/>
    <n v="150000"/>
    <n v="110000"/>
    <m/>
    <s v="-"/>
    <s v="-"/>
    <m/>
    <m/>
    <n v="0"/>
    <n v="0"/>
    <n v="0"/>
    <n v="0"/>
    <m/>
    <s v="-"/>
    <s v="-"/>
    <m/>
    <m/>
    <n v="0"/>
    <n v="0"/>
    <n v="0"/>
    <n v="0"/>
    <n v="1"/>
    <n v="400000"/>
    <n v="360000"/>
    <n v="150000"/>
    <n v="110000"/>
    <s v="DISC10"/>
    <n v="0.1"/>
    <x v="0"/>
    <x v="2"/>
    <x v="1"/>
    <d v="2023-04-03T00:00:00"/>
    <x v="2"/>
    <s v="Monday"/>
    <x v="0"/>
    <n v="2"/>
  </r>
  <r>
    <n v="402"/>
    <s v="ORD-SP0402-01/04/23"/>
    <s v="PP003"/>
    <s v="Pakaian Pria"/>
    <s v="Jaket Jeans"/>
    <n v="6"/>
    <n v="4"/>
    <n v="2400000"/>
    <n v="2160000"/>
    <n v="900000"/>
    <n v="660000"/>
    <m/>
    <s v="-"/>
    <s v="-"/>
    <m/>
    <m/>
    <n v="0"/>
    <n v="0"/>
    <n v="0"/>
    <n v="0"/>
    <m/>
    <s v="-"/>
    <s v="-"/>
    <m/>
    <m/>
    <n v="0"/>
    <n v="0"/>
    <n v="0"/>
    <n v="0"/>
    <n v="6"/>
    <n v="2400000"/>
    <n v="2160000"/>
    <n v="900000"/>
    <n v="660000"/>
    <s v="DISC10"/>
    <n v="0.1"/>
    <x v="0"/>
    <x v="2"/>
    <x v="5"/>
    <d v="2023-04-01T00:00:00"/>
    <x v="0"/>
    <s v="Saturday"/>
    <x v="0"/>
    <n v="4"/>
  </r>
  <r>
    <n v="403"/>
    <s v="ORD-SP0403-04/04/23"/>
    <s v="PW003"/>
    <s v="Pakaian Wanita"/>
    <s v="Kaftan"/>
    <n v="3"/>
    <n v="3"/>
    <n v="750000"/>
    <n v="637500"/>
    <n v="300000"/>
    <n v="187500"/>
    <s v="PW001"/>
    <s v="Pakaian Wanita"/>
    <s v="Dress"/>
    <n v="3"/>
    <n v="2"/>
    <n v="900000"/>
    <n v="765000"/>
    <n v="300000"/>
    <n v="165000"/>
    <m/>
    <s v="-"/>
    <s v="-"/>
    <m/>
    <m/>
    <n v="0"/>
    <n v="0"/>
    <n v="0"/>
    <n v="0"/>
    <n v="6"/>
    <n v="1650000"/>
    <n v="1402500"/>
    <n v="600000"/>
    <n v="352500"/>
    <s v="DISC15"/>
    <n v="0.15"/>
    <x v="0"/>
    <x v="2"/>
    <x v="4"/>
    <d v="2023-04-04T00:00:00"/>
    <x v="7"/>
    <s v="Tuesday"/>
    <x v="0"/>
    <n v="2.5"/>
  </r>
  <r>
    <n v="404"/>
    <s v="ORD-BB0404-01/04/23"/>
    <s v="SW001"/>
    <s v="Sepatu Wanita"/>
    <s v="Flat Shoes"/>
    <n v="1"/>
    <n v="3"/>
    <n v="250000"/>
    <n v="212500"/>
    <n v="100000"/>
    <n v="62500"/>
    <m/>
    <s v="-"/>
    <s v="-"/>
    <m/>
    <m/>
    <n v="0"/>
    <n v="0"/>
    <n v="0"/>
    <n v="0"/>
    <m/>
    <s v="-"/>
    <s v="-"/>
    <m/>
    <m/>
    <n v="0"/>
    <n v="0"/>
    <n v="0"/>
    <n v="0"/>
    <n v="1"/>
    <n v="250000"/>
    <n v="212500"/>
    <n v="100000"/>
    <n v="62500"/>
    <s v="BELI44"/>
    <n v="0.15"/>
    <x v="0"/>
    <x v="0"/>
    <x v="5"/>
    <d v="2023-04-01T00:00:00"/>
    <x v="0"/>
    <s v="Saturday"/>
    <x v="0"/>
    <n v="3"/>
  </r>
  <r>
    <n v="405"/>
    <s v="ORD-SP0405-20/04/23"/>
    <s v="PP001"/>
    <s v="Pakaian Pria"/>
    <s v="Kaos Polo"/>
    <n v="4"/>
    <n v="5"/>
    <n v="800000"/>
    <n v="640000"/>
    <n v="320000"/>
    <n v="160000"/>
    <s v="PW003"/>
    <s v="Pakaian Wanita"/>
    <s v="Kaftan"/>
    <n v="1"/>
    <n v="2"/>
    <n v="250000"/>
    <n v="200000"/>
    <n v="100000"/>
    <n v="50000"/>
    <s v="PW002"/>
    <s v="Pakaian Wanita"/>
    <s v="Blouse"/>
    <n v="2"/>
    <n v="1"/>
    <n v="300000"/>
    <n v="240000"/>
    <n v="100000"/>
    <n v="40000"/>
    <n v="7"/>
    <n v="1350000"/>
    <n v="1080000"/>
    <n v="520000"/>
    <n v="250000"/>
    <s v="DISC20"/>
    <n v="0.2"/>
    <x v="1"/>
    <x v="2"/>
    <x v="1"/>
    <d v="2023-04-20T00:00:00"/>
    <x v="5"/>
    <s v="Thursday"/>
    <x v="1"/>
    <n v="2.6666666666666665"/>
  </r>
  <r>
    <n v="406"/>
    <s v="ORD-SP0406-02/04/23"/>
    <s v="SP002"/>
    <s v="Sepatu Pria"/>
    <s v="Sandal Slip On"/>
    <n v="1"/>
    <n v="4"/>
    <n v="150000"/>
    <n v="127500"/>
    <n v="60000"/>
    <n v="37500"/>
    <s v="PP002"/>
    <s v="Pakaian Pria"/>
    <s v="Celana Pendek"/>
    <n v="1"/>
    <n v="5"/>
    <n v="180000"/>
    <n v="153000"/>
    <n v="70000"/>
    <n v="43000"/>
    <m/>
    <s v="-"/>
    <s v="-"/>
    <m/>
    <m/>
    <n v="0"/>
    <n v="0"/>
    <n v="0"/>
    <n v="0"/>
    <n v="2"/>
    <n v="330000"/>
    <n v="280500"/>
    <n v="130000"/>
    <n v="80500"/>
    <s v="DISC15"/>
    <n v="0.15"/>
    <x v="0"/>
    <x v="2"/>
    <x v="4"/>
    <d v="2023-04-02T00:00:00"/>
    <x v="1"/>
    <s v="Sunday"/>
    <x v="0"/>
    <n v="4.5"/>
  </r>
  <r>
    <n v="407"/>
    <s v="ORD-SP0407-01/04/23"/>
    <s v="SP001"/>
    <s v="Sepatu Pria"/>
    <s v="Sneakers"/>
    <n v="2"/>
    <n v="5"/>
    <n v="1000000"/>
    <n v="900000"/>
    <n v="400000"/>
    <n v="300000"/>
    <s v="PW003"/>
    <s v="Pakaian Wanita"/>
    <s v="Kaftan"/>
    <n v="2"/>
    <n v="5"/>
    <n v="500000"/>
    <n v="450000"/>
    <n v="200000"/>
    <n v="150000"/>
    <s v="PW002"/>
    <s v="Pakaian Wanita"/>
    <s v="Blouse"/>
    <n v="3"/>
    <n v="4"/>
    <n v="450000"/>
    <n v="405000"/>
    <n v="150000"/>
    <n v="105000"/>
    <n v="7"/>
    <n v="1950000"/>
    <n v="1755000"/>
    <n v="750000"/>
    <n v="555000"/>
    <s v="DISC10"/>
    <n v="0.1"/>
    <x v="0"/>
    <x v="2"/>
    <x v="4"/>
    <d v="2023-04-01T00:00:00"/>
    <x v="0"/>
    <s v="Saturday"/>
    <x v="0"/>
    <n v="4.666666666666667"/>
  </r>
  <r>
    <n v="408"/>
    <s v="ORD-TK0408-09/04/23"/>
    <s v="PP003"/>
    <s v="Pakaian Pria"/>
    <s v="Jaket Jeans"/>
    <n v="1"/>
    <n v="2"/>
    <n v="400000"/>
    <n v="400000"/>
    <n v="150000"/>
    <n v="150000"/>
    <s v="PP001"/>
    <s v="Pakaian Pria"/>
    <s v="Kaos Polo"/>
    <n v="1"/>
    <n v="2"/>
    <n v="200000"/>
    <n v="200000"/>
    <n v="80000"/>
    <n v="80000"/>
    <s v="SP001"/>
    <s v="Sepatu Pria"/>
    <s v="Sneakers"/>
    <n v="3"/>
    <n v="4"/>
    <n v="1500000"/>
    <n v="1500000"/>
    <n v="600000"/>
    <n v="600000"/>
    <n v="5"/>
    <n v="2100000"/>
    <n v="2100000"/>
    <n v="830000"/>
    <n v="830000"/>
    <s v="Tidak Ada"/>
    <s v="-"/>
    <x v="2"/>
    <x v="1"/>
    <x v="4"/>
    <d v="2023-04-09T00:00:00"/>
    <x v="10"/>
    <s v="Sunday"/>
    <x v="3"/>
    <n v="2.6666666666666665"/>
  </r>
  <r>
    <n v="409"/>
    <s v="ORD-SP0409-26/04/23"/>
    <s v="SW001"/>
    <s v="Sepatu Wanita"/>
    <s v="Flat Shoes"/>
    <n v="3"/>
    <n v="5"/>
    <n v="750000"/>
    <n v="600000"/>
    <n v="300000"/>
    <n v="150000"/>
    <s v="PW003"/>
    <s v="Pakaian Wanita"/>
    <s v="Kaftan"/>
    <n v="1"/>
    <n v="2"/>
    <n v="250000"/>
    <n v="200000"/>
    <n v="100000"/>
    <n v="50000"/>
    <m/>
    <s v="-"/>
    <s v="-"/>
    <m/>
    <m/>
    <n v="0"/>
    <n v="0"/>
    <n v="0"/>
    <n v="0"/>
    <n v="4"/>
    <n v="1000000"/>
    <n v="800000"/>
    <n v="400000"/>
    <n v="200000"/>
    <s v="DISC20"/>
    <n v="0.2"/>
    <x v="1"/>
    <x v="2"/>
    <x v="5"/>
    <d v="2023-04-26T00:00:00"/>
    <x v="15"/>
    <s v="Wednesday"/>
    <x v="2"/>
    <n v="3.5"/>
  </r>
  <r>
    <n v="410"/>
    <s v="ORD-SP0410-16/04/23"/>
    <s v="SW001"/>
    <s v="Sepatu Wanita"/>
    <s v="Flat Shoes"/>
    <n v="1"/>
    <n v="1"/>
    <n v="250000"/>
    <n v="200000"/>
    <n v="100000"/>
    <n v="50000"/>
    <m/>
    <s v="-"/>
    <s v="-"/>
    <m/>
    <m/>
    <n v="0"/>
    <n v="0"/>
    <n v="0"/>
    <n v="0"/>
    <m/>
    <s v="-"/>
    <s v="-"/>
    <m/>
    <m/>
    <n v="0"/>
    <n v="0"/>
    <n v="0"/>
    <n v="0"/>
    <n v="1"/>
    <n v="250000"/>
    <n v="200000"/>
    <n v="100000"/>
    <n v="50000"/>
    <s v="DISC20"/>
    <n v="0.2"/>
    <x v="1"/>
    <x v="2"/>
    <x v="1"/>
    <d v="2023-04-16T00:00:00"/>
    <x v="17"/>
    <s v="Sunday"/>
    <x v="1"/>
    <n v="1"/>
  </r>
  <r>
    <n v="411"/>
    <s v="ORD-TK0411-01/04/23"/>
    <s v="PW001"/>
    <s v="Pakaian Wanita"/>
    <s v="Dress"/>
    <n v="1"/>
    <n v="5"/>
    <n v="300000"/>
    <n v="270000"/>
    <n v="100000"/>
    <n v="70000"/>
    <m/>
    <s v="-"/>
    <s v="-"/>
    <m/>
    <m/>
    <n v="0"/>
    <n v="0"/>
    <n v="0"/>
    <n v="0"/>
    <m/>
    <s v="-"/>
    <s v="-"/>
    <m/>
    <m/>
    <n v="0"/>
    <n v="0"/>
    <n v="0"/>
    <n v="0"/>
    <n v="1"/>
    <n v="300000"/>
    <n v="270000"/>
    <n v="100000"/>
    <n v="70000"/>
    <s v="DISCAPRIL"/>
    <n v="0.1"/>
    <x v="0"/>
    <x v="1"/>
    <x v="1"/>
    <d v="2023-04-01T00:00:00"/>
    <x v="0"/>
    <s v="Saturday"/>
    <x v="0"/>
    <n v="5"/>
  </r>
  <r>
    <n v="412"/>
    <s v="ORD-TK0412-25/04/23"/>
    <s v="PP002"/>
    <s v="Pakaian Pria"/>
    <s v="Celana Pendek"/>
    <n v="4"/>
    <n v="4"/>
    <n v="720000"/>
    <n v="648000"/>
    <n v="280000"/>
    <n v="208000"/>
    <s v="PP001"/>
    <s v="Pakaian Pria"/>
    <s v="Kaos Polo"/>
    <n v="1"/>
    <n v="4"/>
    <n v="200000"/>
    <n v="180000"/>
    <n v="80000"/>
    <n v="60000"/>
    <m/>
    <s v="-"/>
    <s v="-"/>
    <m/>
    <m/>
    <n v="0"/>
    <n v="0"/>
    <n v="0"/>
    <n v="0"/>
    <n v="5"/>
    <n v="920000"/>
    <n v="828000"/>
    <n v="360000"/>
    <n v="268000"/>
    <s v="LEBAR10"/>
    <n v="0.1"/>
    <x v="1"/>
    <x v="1"/>
    <x v="1"/>
    <d v="2023-04-25T00:00:00"/>
    <x v="6"/>
    <s v="Tuesday"/>
    <x v="2"/>
    <n v="4"/>
  </r>
  <r>
    <n v="413"/>
    <s v="ORD-SP0413-05/04/23"/>
    <s v="SP001"/>
    <s v="Sepatu Pria"/>
    <s v="Sneakers"/>
    <n v="5"/>
    <n v="1"/>
    <n v="2500000"/>
    <n v="2250000"/>
    <n v="1000000"/>
    <n v="750000"/>
    <m/>
    <s v="-"/>
    <s v="-"/>
    <m/>
    <m/>
    <n v="0"/>
    <n v="0"/>
    <n v="0"/>
    <n v="0"/>
    <m/>
    <s v="-"/>
    <s v="-"/>
    <m/>
    <m/>
    <n v="0"/>
    <n v="0"/>
    <n v="0"/>
    <n v="0"/>
    <n v="5"/>
    <n v="2500000"/>
    <n v="2250000"/>
    <n v="1000000"/>
    <n v="750000"/>
    <s v="DISC10"/>
    <n v="0.1"/>
    <x v="0"/>
    <x v="2"/>
    <x v="5"/>
    <d v="2023-04-05T00:00:00"/>
    <x v="9"/>
    <s v="Wednesday"/>
    <x v="0"/>
    <n v="1"/>
  </r>
  <r>
    <n v="414"/>
    <s v="ORD-BL0414-26/04/23"/>
    <s v="PU001"/>
    <s v="Pakaian Unisex"/>
    <s v="Jaket Hoodie"/>
    <n v="2"/>
    <n v="4"/>
    <n v="700000"/>
    <n v="595000"/>
    <n v="260000"/>
    <n v="155000"/>
    <s v="PP001"/>
    <s v="Pakaian Pria"/>
    <s v="Kaos Polo"/>
    <n v="1"/>
    <n v="1"/>
    <n v="200000"/>
    <n v="170000"/>
    <n v="80000"/>
    <n v="50000"/>
    <m/>
    <s v="-"/>
    <s v="-"/>
    <m/>
    <m/>
    <n v="0"/>
    <n v="0"/>
    <n v="0"/>
    <n v="0"/>
    <n v="3"/>
    <n v="900000"/>
    <n v="765000"/>
    <n v="340000"/>
    <n v="205000"/>
    <s v="BUKALEBAR"/>
    <n v="0.15"/>
    <x v="1"/>
    <x v="3"/>
    <x v="5"/>
    <d v="2023-04-26T00:00:00"/>
    <x v="15"/>
    <s v="Wednesday"/>
    <x v="2"/>
    <n v="2.5"/>
  </r>
  <r>
    <n v="415"/>
    <s v="ORD-TK0415-03/04/23"/>
    <s v="PP002"/>
    <s v="Pakaian Pria"/>
    <s v="Celana Pendek"/>
    <n v="2"/>
    <n v="5"/>
    <n v="360000"/>
    <n v="324000"/>
    <n v="140000"/>
    <n v="104000"/>
    <s v="SP002"/>
    <s v="Sepatu Pria"/>
    <s v="Sandal Slip On"/>
    <n v="1"/>
    <n v="5"/>
    <n v="150000"/>
    <n v="135000"/>
    <n v="60000"/>
    <n v="45000"/>
    <m/>
    <s v="-"/>
    <s v="-"/>
    <m/>
    <m/>
    <n v="0"/>
    <n v="0"/>
    <n v="0"/>
    <n v="0"/>
    <n v="3"/>
    <n v="510000"/>
    <n v="459000"/>
    <n v="200000"/>
    <n v="149000"/>
    <s v="DISCAPRIL"/>
    <n v="0.1"/>
    <x v="0"/>
    <x v="1"/>
    <x v="4"/>
    <d v="2023-04-03T00:00:00"/>
    <x v="2"/>
    <s v="Monday"/>
    <x v="0"/>
    <n v="5"/>
  </r>
  <r>
    <n v="416"/>
    <s v="ORD-BB0416-06/04/23"/>
    <s v="PU001"/>
    <s v="Pakaian Unisex"/>
    <s v="Jaket Hoodie"/>
    <n v="6"/>
    <n v="5"/>
    <n v="2100000"/>
    <n v="1785000"/>
    <n v="780000"/>
    <n v="465000"/>
    <m/>
    <s v="-"/>
    <s v="-"/>
    <m/>
    <m/>
    <n v="0"/>
    <n v="0"/>
    <n v="0"/>
    <n v="0"/>
    <m/>
    <s v="-"/>
    <s v="-"/>
    <m/>
    <m/>
    <n v="0"/>
    <n v="0"/>
    <n v="0"/>
    <n v="0"/>
    <n v="6"/>
    <n v="2100000"/>
    <n v="1785000"/>
    <n v="780000"/>
    <n v="465000"/>
    <s v="BELI44"/>
    <n v="0.15"/>
    <x v="0"/>
    <x v="0"/>
    <x v="1"/>
    <d v="2023-04-06T00:00:00"/>
    <x v="8"/>
    <s v="Thursday"/>
    <x v="0"/>
    <n v="5"/>
  </r>
  <r>
    <n v="417"/>
    <s v="ORD-TK0417-30/04/23"/>
    <s v="PP001"/>
    <s v="Pakaian Pria"/>
    <s v="Kaos Polo"/>
    <n v="5"/>
    <n v="4"/>
    <n v="1000000"/>
    <n v="900000"/>
    <n v="400000"/>
    <n v="300000"/>
    <s v="PP002"/>
    <s v="Pakaian Pria"/>
    <s v="Celana Pendek"/>
    <n v="1"/>
    <n v="3"/>
    <n v="180000"/>
    <n v="162000"/>
    <n v="70000"/>
    <n v="52000"/>
    <m/>
    <s v="-"/>
    <s v="-"/>
    <m/>
    <m/>
    <n v="0"/>
    <n v="0"/>
    <n v="0"/>
    <n v="0"/>
    <n v="6"/>
    <n v="1180000"/>
    <n v="1062000"/>
    <n v="470000"/>
    <n v="352000"/>
    <s v="LEBAR10"/>
    <n v="0.1"/>
    <x v="1"/>
    <x v="1"/>
    <x v="4"/>
    <d v="2023-04-30T00:00:00"/>
    <x v="12"/>
    <s v="Sunday"/>
    <x v="2"/>
    <n v="3.5"/>
  </r>
  <r>
    <n v="418"/>
    <s v="ORD-BB0418-01/04/23"/>
    <s v="PW001"/>
    <s v="Pakaian Wanita"/>
    <s v="Dress"/>
    <n v="2"/>
    <n v="5"/>
    <n v="600000"/>
    <n v="510000"/>
    <n v="200000"/>
    <n v="110000"/>
    <s v="SW001"/>
    <s v="Sepatu Wanita"/>
    <s v="Flat Shoes"/>
    <n v="1"/>
    <n v="5"/>
    <n v="250000"/>
    <n v="212500"/>
    <n v="100000"/>
    <n v="62500"/>
    <s v="SP001"/>
    <s v="Sepatu Pria"/>
    <s v="Sneakers"/>
    <n v="1"/>
    <n v="3"/>
    <n v="500000"/>
    <n v="425000"/>
    <n v="200000"/>
    <n v="125000"/>
    <n v="4"/>
    <n v="1350000"/>
    <n v="1147500"/>
    <n v="500000"/>
    <n v="297500"/>
    <s v="BELI44"/>
    <n v="0.15"/>
    <x v="0"/>
    <x v="0"/>
    <x v="5"/>
    <d v="2023-04-01T00:00:00"/>
    <x v="0"/>
    <s v="Saturday"/>
    <x v="0"/>
    <n v="4.333333333333333"/>
  </r>
  <r>
    <n v="419"/>
    <s v="ORD-BL0419-24/04/23"/>
    <s v="PW002"/>
    <s v="Pakaian Wanita"/>
    <s v="Blouse"/>
    <n v="1"/>
    <n v="1"/>
    <n v="150000"/>
    <n v="127500"/>
    <n v="50000"/>
    <n v="27500"/>
    <m/>
    <s v="-"/>
    <s v="-"/>
    <m/>
    <m/>
    <n v="0"/>
    <n v="0"/>
    <n v="0"/>
    <n v="0"/>
    <m/>
    <s v="-"/>
    <s v="-"/>
    <m/>
    <m/>
    <n v="0"/>
    <n v="0"/>
    <n v="0"/>
    <n v="0"/>
    <n v="1"/>
    <n v="150000"/>
    <n v="127500"/>
    <n v="50000"/>
    <n v="27500"/>
    <s v="BUKALEBAR"/>
    <n v="0.15"/>
    <x v="1"/>
    <x v="3"/>
    <x v="4"/>
    <d v="2023-04-24T00:00:00"/>
    <x v="4"/>
    <s v="Monday"/>
    <x v="2"/>
    <n v="1"/>
  </r>
  <r>
    <n v="420"/>
    <s v="ORD-BB0420-05/04/23"/>
    <s v="PU001"/>
    <s v="Pakaian Unisex"/>
    <s v="Jaket Hoodie"/>
    <n v="3"/>
    <n v="4"/>
    <n v="1050000"/>
    <n v="892500"/>
    <n v="390000"/>
    <n v="232500"/>
    <s v="PP003"/>
    <s v="Pakaian Pria"/>
    <s v="Jaket Jeans"/>
    <n v="1"/>
    <n v="5"/>
    <n v="400000"/>
    <n v="340000"/>
    <n v="150000"/>
    <n v="90000"/>
    <s v="PW002"/>
    <s v="Pakaian Wanita"/>
    <s v="Blouse"/>
    <n v="2"/>
    <n v="4"/>
    <n v="300000"/>
    <n v="255000"/>
    <n v="100000"/>
    <n v="55000"/>
    <n v="6"/>
    <n v="1750000"/>
    <n v="1487500"/>
    <n v="640000"/>
    <n v="377500"/>
    <s v="BELI44"/>
    <n v="0.15"/>
    <x v="0"/>
    <x v="0"/>
    <x v="1"/>
    <d v="2023-04-05T00:00:00"/>
    <x v="9"/>
    <s v="Wednesday"/>
    <x v="0"/>
    <n v="4.333333333333333"/>
  </r>
  <r>
    <n v="421"/>
    <s v="ORD-TK0421-16/04/23"/>
    <s v="PW003"/>
    <s v="Pakaian Wanita"/>
    <s v="Kaftan"/>
    <n v="1"/>
    <n v="4"/>
    <n v="250000"/>
    <n v="225000"/>
    <n v="100000"/>
    <n v="75000"/>
    <m/>
    <s v="-"/>
    <s v="-"/>
    <m/>
    <m/>
    <n v="0"/>
    <n v="0"/>
    <n v="0"/>
    <n v="0"/>
    <m/>
    <s v="-"/>
    <s v="-"/>
    <m/>
    <m/>
    <n v="0"/>
    <n v="0"/>
    <n v="0"/>
    <n v="0"/>
    <n v="1"/>
    <n v="250000"/>
    <n v="225000"/>
    <n v="100000"/>
    <n v="75000"/>
    <s v="LEBAR10"/>
    <n v="0.1"/>
    <x v="1"/>
    <x v="1"/>
    <x v="0"/>
    <d v="2023-04-16T00:00:00"/>
    <x v="17"/>
    <s v="Sunday"/>
    <x v="1"/>
    <n v="4"/>
  </r>
  <r>
    <n v="422"/>
    <s v="ORD-SP0422-11/04/23"/>
    <s v="PP003"/>
    <s v="Pakaian Pria"/>
    <s v="Jaket Jeans"/>
    <n v="1"/>
    <n v="3"/>
    <n v="400000"/>
    <n v="400000"/>
    <n v="150000"/>
    <n v="150000"/>
    <s v="PP002"/>
    <s v="Pakaian Pria"/>
    <s v="Celana Pendek"/>
    <n v="5"/>
    <n v="2"/>
    <n v="900000"/>
    <n v="900000"/>
    <n v="350000"/>
    <n v="350000"/>
    <m/>
    <s v="-"/>
    <s v="-"/>
    <m/>
    <m/>
    <n v="0"/>
    <n v="0"/>
    <n v="0"/>
    <n v="0"/>
    <n v="6"/>
    <n v="1300000"/>
    <n v="1300000"/>
    <n v="500000"/>
    <n v="500000"/>
    <s v="Tidak Ada"/>
    <s v="-"/>
    <x v="2"/>
    <x v="2"/>
    <x v="1"/>
    <d v="2023-04-11T00:00:00"/>
    <x v="29"/>
    <s v="Tuesday"/>
    <x v="3"/>
    <n v="2.5"/>
  </r>
  <r>
    <n v="423"/>
    <s v="ORD-SP0423-15/04/23"/>
    <s v="SW001"/>
    <s v="Sepatu Wanita"/>
    <s v="Flat Shoes"/>
    <n v="1"/>
    <n v="2"/>
    <n v="250000"/>
    <n v="250000"/>
    <n v="100000"/>
    <n v="100000"/>
    <s v="SP002"/>
    <s v="Sepatu Pria"/>
    <s v="Sandal Slip On"/>
    <n v="1"/>
    <n v="3"/>
    <n v="150000"/>
    <n v="150000"/>
    <n v="60000"/>
    <n v="60000"/>
    <s v="SP001"/>
    <s v="Sepatu Pria"/>
    <s v="Sneakers"/>
    <n v="1"/>
    <n v="2"/>
    <n v="500000"/>
    <n v="500000"/>
    <n v="200000"/>
    <n v="200000"/>
    <n v="3"/>
    <n v="900000"/>
    <n v="900000"/>
    <n v="360000"/>
    <n v="360000"/>
    <s v="Tidak Ada"/>
    <s v="-"/>
    <x v="2"/>
    <x v="2"/>
    <x v="4"/>
    <d v="2023-04-15T00:00:00"/>
    <x v="16"/>
    <s v="Saturday"/>
    <x v="1"/>
    <n v="2.3333333333333335"/>
  </r>
  <r>
    <n v="424"/>
    <s v="ORD-SP0424-29/04/23"/>
    <s v="SP001"/>
    <s v="Sepatu Pria"/>
    <s v="Sneakers"/>
    <n v="7"/>
    <n v="1"/>
    <n v="3500000"/>
    <n v="2800000"/>
    <n v="1400000"/>
    <n v="700000"/>
    <m/>
    <s v="-"/>
    <s v="-"/>
    <m/>
    <m/>
    <n v="0"/>
    <n v="0"/>
    <n v="0"/>
    <n v="0"/>
    <m/>
    <s v="-"/>
    <s v="-"/>
    <m/>
    <m/>
    <n v="0"/>
    <n v="0"/>
    <n v="0"/>
    <n v="0"/>
    <n v="7"/>
    <n v="3500000"/>
    <n v="2800000"/>
    <n v="1400000"/>
    <n v="700000"/>
    <s v="DISC20"/>
    <n v="0.2"/>
    <x v="1"/>
    <x v="2"/>
    <x v="4"/>
    <d v="2023-04-29T00:00:00"/>
    <x v="13"/>
    <s v="Saturday"/>
    <x v="2"/>
    <n v="1"/>
  </r>
  <r>
    <n v="425"/>
    <s v="ORD-SP0425-21/04/23"/>
    <s v="PW002"/>
    <s v="Pakaian Wanita"/>
    <s v="Blouse"/>
    <n v="6"/>
    <n v="1"/>
    <n v="900000"/>
    <n v="720000"/>
    <n v="300000"/>
    <n v="120000"/>
    <s v="SP001"/>
    <s v="Sepatu Pria"/>
    <s v="Sneakers"/>
    <n v="1"/>
    <n v="3"/>
    <n v="500000"/>
    <n v="400000"/>
    <n v="200000"/>
    <n v="100000"/>
    <m/>
    <s v="-"/>
    <s v="-"/>
    <m/>
    <m/>
    <n v="0"/>
    <n v="0"/>
    <n v="0"/>
    <n v="0"/>
    <n v="7"/>
    <n v="1400000"/>
    <n v="1120000"/>
    <n v="500000"/>
    <n v="220000"/>
    <s v="DISC20"/>
    <n v="0.2"/>
    <x v="1"/>
    <x v="2"/>
    <x v="5"/>
    <d v="2023-04-21T00:00:00"/>
    <x v="20"/>
    <s v="Friday"/>
    <x v="1"/>
    <n v="2"/>
  </r>
  <r>
    <n v="426"/>
    <s v="ORD-SP0426-28/04/23"/>
    <s v="PP003"/>
    <s v="Pakaian Pria"/>
    <s v="Jaket Jeans"/>
    <n v="1"/>
    <n v="5"/>
    <n v="400000"/>
    <n v="320000"/>
    <n v="150000"/>
    <n v="70000"/>
    <m/>
    <s v="-"/>
    <s v="-"/>
    <m/>
    <m/>
    <n v="0"/>
    <n v="0"/>
    <n v="0"/>
    <n v="0"/>
    <m/>
    <s v="-"/>
    <s v="-"/>
    <m/>
    <m/>
    <n v="0"/>
    <n v="0"/>
    <n v="0"/>
    <n v="0"/>
    <n v="1"/>
    <n v="400000"/>
    <n v="320000"/>
    <n v="150000"/>
    <n v="70000"/>
    <s v="DISC20"/>
    <n v="0.2"/>
    <x v="1"/>
    <x v="2"/>
    <x v="1"/>
    <d v="2023-04-28T00:00:00"/>
    <x v="11"/>
    <s v="Friday"/>
    <x v="2"/>
    <n v="5"/>
  </r>
  <r>
    <n v="427"/>
    <s v="ORD-TK0427-04/04/23"/>
    <s v="SP002"/>
    <s v="Sepatu Pria"/>
    <s v="Sandal Slip On"/>
    <n v="7"/>
    <n v="4"/>
    <n v="1050000"/>
    <n v="945000"/>
    <n v="420000"/>
    <n v="315000"/>
    <m/>
    <s v="-"/>
    <s v="-"/>
    <m/>
    <m/>
    <n v="0"/>
    <n v="0"/>
    <n v="0"/>
    <n v="0"/>
    <m/>
    <s v="-"/>
    <s v="-"/>
    <m/>
    <m/>
    <n v="0"/>
    <n v="0"/>
    <n v="0"/>
    <n v="0"/>
    <n v="7"/>
    <n v="1050000"/>
    <n v="945000"/>
    <n v="420000"/>
    <n v="315000"/>
    <s v="DISCAPRIL"/>
    <n v="0.1"/>
    <x v="0"/>
    <x v="1"/>
    <x v="1"/>
    <d v="2023-04-04T00:00:00"/>
    <x v="7"/>
    <s v="Tuesday"/>
    <x v="0"/>
    <n v="4"/>
  </r>
  <r>
    <n v="428"/>
    <s v="ORD-SP0428-06/04/23"/>
    <s v="SW001"/>
    <s v="Sepatu Wanita"/>
    <s v="Flat Shoes"/>
    <n v="1"/>
    <n v="1"/>
    <n v="250000"/>
    <n v="225000"/>
    <n v="100000"/>
    <n v="75000"/>
    <m/>
    <s v="-"/>
    <s v="-"/>
    <m/>
    <m/>
    <n v="0"/>
    <n v="0"/>
    <n v="0"/>
    <n v="0"/>
    <m/>
    <s v="-"/>
    <s v="-"/>
    <m/>
    <m/>
    <n v="0"/>
    <n v="0"/>
    <n v="0"/>
    <n v="0"/>
    <n v="1"/>
    <n v="250000"/>
    <n v="225000"/>
    <n v="100000"/>
    <n v="75000"/>
    <s v="DISC10"/>
    <n v="0.1"/>
    <x v="0"/>
    <x v="2"/>
    <x v="4"/>
    <d v="2023-04-06T00:00:00"/>
    <x v="8"/>
    <s v="Thursday"/>
    <x v="0"/>
    <n v="1"/>
  </r>
  <r>
    <n v="429"/>
    <s v="ORD-TK0429-02/04/23"/>
    <s v="PP002"/>
    <s v="Pakaian Pria"/>
    <s v="Celana Pendek"/>
    <n v="5"/>
    <n v="4"/>
    <n v="900000"/>
    <n v="810000"/>
    <n v="350000"/>
    <n v="260000"/>
    <m/>
    <s v="-"/>
    <s v="-"/>
    <m/>
    <m/>
    <n v="0"/>
    <n v="0"/>
    <n v="0"/>
    <n v="0"/>
    <m/>
    <s v="-"/>
    <s v="-"/>
    <m/>
    <m/>
    <n v="0"/>
    <n v="0"/>
    <n v="0"/>
    <n v="0"/>
    <n v="5"/>
    <n v="900000"/>
    <n v="810000"/>
    <n v="350000"/>
    <n v="260000"/>
    <s v="DISCAPRIL"/>
    <n v="0.1"/>
    <x v="0"/>
    <x v="1"/>
    <x v="3"/>
    <d v="2023-04-02T00:00:00"/>
    <x v="1"/>
    <s v="Sunday"/>
    <x v="0"/>
    <n v="4"/>
  </r>
  <r>
    <n v="430"/>
    <s v="ORD-BL0430-20/04/23"/>
    <s v="SW001"/>
    <s v="Sepatu Wanita"/>
    <s v="Flat Shoes"/>
    <n v="2"/>
    <n v="4"/>
    <n v="500000"/>
    <n v="425000"/>
    <n v="200000"/>
    <n v="125000"/>
    <s v="PW001"/>
    <s v="Pakaian Wanita"/>
    <s v="Dress"/>
    <n v="1"/>
    <n v="4"/>
    <n v="300000"/>
    <n v="255000"/>
    <n v="100000"/>
    <n v="55000"/>
    <m/>
    <s v="-"/>
    <s v="-"/>
    <m/>
    <m/>
    <n v="0"/>
    <n v="0"/>
    <n v="0"/>
    <n v="0"/>
    <n v="3"/>
    <n v="800000"/>
    <n v="680000"/>
    <n v="300000"/>
    <n v="180000"/>
    <s v="BUKALEBAR"/>
    <n v="0.15"/>
    <x v="1"/>
    <x v="3"/>
    <x v="2"/>
    <d v="2023-04-20T00:00:00"/>
    <x v="5"/>
    <s v="Thursday"/>
    <x v="1"/>
    <n v="4"/>
  </r>
  <r>
    <n v="431"/>
    <s v="ORD-SP0431-20/04/23"/>
    <s v="SP001"/>
    <s v="Sepatu Pria"/>
    <s v="Sneakers"/>
    <n v="3"/>
    <n v="2"/>
    <n v="1500000"/>
    <n v="1200000"/>
    <n v="600000"/>
    <n v="300000"/>
    <s v="SW001"/>
    <s v="Sepatu Wanita"/>
    <s v="Flat Shoes"/>
    <n v="1"/>
    <n v="1"/>
    <n v="250000"/>
    <n v="200000"/>
    <n v="100000"/>
    <n v="50000"/>
    <m/>
    <s v="-"/>
    <s v="-"/>
    <m/>
    <m/>
    <n v="0"/>
    <n v="0"/>
    <n v="0"/>
    <n v="0"/>
    <n v="4"/>
    <n v="1750000"/>
    <n v="1400000"/>
    <n v="700000"/>
    <n v="350000"/>
    <s v="DISC20"/>
    <n v="0.2"/>
    <x v="1"/>
    <x v="2"/>
    <x v="2"/>
    <d v="2023-04-20T00:00:00"/>
    <x v="5"/>
    <s v="Thursday"/>
    <x v="1"/>
    <n v="1.5"/>
  </r>
  <r>
    <n v="432"/>
    <s v="ORD-TK0432-04/04/23"/>
    <s v="SW001"/>
    <s v="Sepatu Wanita"/>
    <s v="Flat Shoes"/>
    <n v="5"/>
    <n v="2"/>
    <n v="1250000"/>
    <n v="1125000"/>
    <n v="500000"/>
    <n v="375000"/>
    <s v="PP002"/>
    <s v="Pakaian Pria"/>
    <s v="Celana Pendek"/>
    <n v="1"/>
    <n v="3"/>
    <n v="180000"/>
    <n v="162000"/>
    <n v="70000"/>
    <n v="52000"/>
    <m/>
    <s v="-"/>
    <s v="-"/>
    <m/>
    <m/>
    <n v="0"/>
    <n v="0"/>
    <n v="0"/>
    <n v="0"/>
    <n v="6"/>
    <n v="1430000"/>
    <n v="1287000"/>
    <n v="570000"/>
    <n v="427000"/>
    <s v="DISCAPRIL"/>
    <n v="0.1"/>
    <x v="0"/>
    <x v="1"/>
    <x v="4"/>
    <d v="2023-04-04T00:00:00"/>
    <x v="7"/>
    <s v="Tuesday"/>
    <x v="0"/>
    <n v="2.5"/>
  </r>
  <r>
    <n v="433"/>
    <s v="ORD-SP0433-15/04/23"/>
    <s v="PW002"/>
    <s v="Pakaian Wanita"/>
    <s v="Blouse"/>
    <n v="1"/>
    <n v="3"/>
    <n v="150000"/>
    <n v="150000"/>
    <n v="50000"/>
    <n v="50000"/>
    <s v="PP001"/>
    <s v="Pakaian Pria"/>
    <s v="Kaos Polo"/>
    <n v="1"/>
    <n v="3"/>
    <n v="200000"/>
    <n v="200000"/>
    <n v="80000"/>
    <n v="80000"/>
    <s v="PP002"/>
    <s v="Pakaian Pria"/>
    <s v="Celana Pendek"/>
    <n v="1"/>
    <n v="2"/>
    <n v="180000"/>
    <n v="180000"/>
    <n v="70000"/>
    <n v="70000"/>
    <n v="3"/>
    <n v="530000"/>
    <n v="530000"/>
    <n v="200000"/>
    <n v="200000"/>
    <s v="Tidak Ada"/>
    <s v="-"/>
    <x v="2"/>
    <x v="2"/>
    <x v="4"/>
    <d v="2023-04-15T00:00:00"/>
    <x v="16"/>
    <s v="Saturday"/>
    <x v="1"/>
    <n v="2.6666666666666665"/>
  </r>
  <r>
    <n v="434"/>
    <s v="ORD-BB0434-03/04/23"/>
    <s v="PW003"/>
    <s v="Pakaian Wanita"/>
    <s v="Kaftan"/>
    <n v="5"/>
    <n v="5"/>
    <n v="1250000"/>
    <n v="1062500"/>
    <n v="500000"/>
    <n v="312500"/>
    <s v="PP001"/>
    <s v="Pakaian Pria"/>
    <s v="Kaos Polo"/>
    <n v="1"/>
    <n v="1"/>
    <n v="200000"/>
    <n v="170000"/>
    <n v="80000"/>
    <n v="50000"/>
    <m/>
    <s v="-"/>
    <s v="-"/>
    <m/>
    <m/>
    <n v="0"/>
    <n v="0"/>
    <n v="0"/>
    <n v="0"/>
    <n v="6"/>
    <n v="1450000"/>
    <n v="1232500"/>
    <n v="580000"/>
    <n v="362500"/>
    <s v="BELI44"/>
    <n v="0.15"/>
    <x v="0"/>
    <x v="0"/>
    <x v="5"/>
    <d v="2023-04-03T00:00:00"/>
    <x v="2"/>
    <s v="Monday"/>
    <x v="0"/>
    <n v="3"/>
  </r>
  <r>
    <n v="435"/>
    <s v="ORD-SP0435-04/04/23"/>
    <s v="PW003"/>
    <s v="Pakaian Wanita"/>
    <s v="Kaftan"/>
    <n v="1"/>
    <n v="3"/>
    <n v="250000"/>
    <n v="212500"/>
    <n v="100000"/>
    <n v="62500"/>
    <s v="PU001"/>
    <s v="Pakaian Unisex"/>
    <s v="Jaket Hoodie"/>
    <n v="1"/>
    <n v="3"/>
    <n v="350000"/>
    <n v="297500"/>
    <n v="130000"/>
    <n v="77500"/>
    <s v="SW001"/>
    <s v="Sepatu Wanita"/>
    <s v="Flat Shoes"/>
    <n v="4"/>
    <n v="2"/>
    <n v="1000000"/>
    <n v="850000"/>
    <n v="400000"/>
    <n v="250000"/>
    <n v="6"/>
    <n v="1600000"/>
    <n v="1360000"/>
    <n v="630000"/>
    <n v="390000"/>
    <s v="DISC15"/>
    <n v="0.15"/>
    <x v="0"/>
    <x v="2"/>
    <x v="5"/>
    <d v="2023-04-04T00:00:00"/>
    <x v="7"/>
    <s v="Tuesday"/>
    <x v="0"/>
    <n v="2.6666666666666665"/>
  </r>
  <r>
    <n v="436"/>
    <s v="ORD-SP0436-01/04/23"/>
    <s v="PW001"/>
    <s v="Pakaian Wanita"/>
    <s v="Dress"/>
    <n v="1"/>
    <n v="5"/>
    <n v="300000"/>
    <n v="270000"/>
    <n v="100000"/>
    <n v="70000"/>
    <s v="PU001"/>
    <s v="Pakaian Unisex"/>
    <s v="Jaket Hoodie"/>
    <n v="3"/>
    <n v="4"/>
    <n v="1050000"/>
    <n v="945000"/>
    <n v="390000"/>
    <n v="285000"/>
    <m/>
    <s v="-"/>
    <s v="-"/>
    <m/>
    <m/>
    <n v="0"/>
    <n v="0"/>
    <n v="0"/>
    <n v="0"/>
    <n v="4"/>
    <n v="1350000"/>
    <n v="1215000"/>
    <n v="490000"/>
    <n v="355000"/>
    <s v="DISC10"/>
    <n v="0.1"/>
    <x v="0"/>
    <x v="2"/>
    <x v="1"/>
    <d v="2023-04-01T00:00:00"/>
    <x v="0"/>
    <s v="Saturday"/>
    <x v="0"/>
    <n v="4.5"/>
  </r>
  <r>
    <n v="437"/>
    <s v="ORD-TK0437-13/04/23"/>
    <s v="SP002"/>
    <s v="Sepatu Pria"/>
    <s v="Sandal Slip On"/>
    <n v="4"/>
    <n v="5"/>
    <n v="600000"/>
    <n v="600000"/>
    <n v="240000"/>
    <n v="240000"/>
    <m/>
    <s v="-"/>
    <s v="-"/>
    <m/>
    <m/>
    <n v="0"/>
    <n v="0"/>
    <n v="0"/>
    <n v="0"/>
    <m/>
    <s v="-"/>
    <s v="-"/>
    <m/>
    <m/>
    <n v="0"/>
    <n v="0"/>
    <n v="0"/>
    <n v="0"/>
    <n v="4"/>
    <n v="600000"/>
    <n v="600000"/>
    <n v="240000"/>
    <n v="240000"/>
    <s v="Tidak Ada"/>
    <s v="-"/>
    <x v="2"/>
    <x v="1"/>
    <x v="4"/>
    <d v="2023-04-13T00:00:00"/>
    <x v="21"/>
    <s v="Thursday"/>
    <x v="3"/>
    <n v="5"/>
  </r>
  <r>
    <n v="438"/>
    <s v="ORD-SP0438-22/04/23"/>
    <s v="PU001"/>
    <s v="Pakaian Unisex"/>
    <s v="Jaket Hoodie"/>
    <n v="2"/>
    <n v="1"/>
    <n v="700000"/>
    <n v="560000"/>
    <n v="260000"/>
    <n v="120000"/>
    <s v="PP003"/>
    <s v="Pakaian Pria"/>
    <s v="Jaket Jeans"/>
    <n v="1"/>
    <n v="3"/>
    <n v="400000"/>
    <n v="320000"/>
    <n v="150000"/>
    <n v="70000"/>
    <m/>
    <s v="-"/>
    <s v="-"/>
    <m/>
    <m/>
    <n v="0"/>
    <n v="0"/>
    <n v="0"/>
    <n v="0"/>
    <n v="3"/>
    <n v="1100000"/>
    <n v="880000"/>
    <n v="410000"/>
    <n v="190000"/>
    <s v="DISC20"/>
    <n v="0.2"/>
    <x v="1"/>
    <x v="2"/>
    <x v="4"/>
    <d v="2023-04-22T00:00:00"/>
    <x v="27"/>
    <s v="Saturday"/>
    <x v="2"/>
    <n v="2"/>
  </r>
  <r>
    <n v="439"/>
    <s v="ORD-SP0439-04/04/23"/>
    <s v="PP002"/>
    <s v="Pakaian Pria"/>
    <s v="Celana Pendek"/>
    <n v="2"/>
    <n v="4"/>
    <n v="360000"/>
    <n v="324000"/>
    <n v="140000"/>
    <n v="104000"/>
    <s v="PU001"/>
    <s v="Pakaian Unisex"/>
    <s v="Jaket Hoodie"/>
    <n v="1"/>
    <n v="4"/>
    <n v="350000"/>
    <n v="315000"/>
    <n v="130000"/>
    <n v="95000"/>
    <m/>
    <s v="-"/>
    <s v="-"/>
    <m/>
    <m/>
    <n v="0"/>
    <n v="0"/>
    <n v="0"/>
    <n v="0"/>
    <n v="3"/>
    <n v="710000"/>
    <n v="639000"/>
    <n v="270000"/>
    <n v="199000"/>
    <s v="DISC10"/>
    <n v="0.1"/>
    <x v="0"/>
    <x v="2"/>
    <x v="5"/>
    <d v="2023-04-04T00:00:00"/>
    <x v="7"/>
    <s v="Tuesday"/>
    <x v="0"/>
    <n v="4"/>
  </r>
  <r>
    <n v="440"/>
    <s v="ORD-TK0440-19/04/23"/>
    <s v="PP001"/>
    <s v="Pakaian Pria"/>
    <s v="Kaos Polo"/>
    <n v="1"/>
    <n v="5"/>
    <n v="200000"/>
    <n v="180000"/>
    <n v="80000"/>
    <n v="60000"/>
    <s v="SP002"/>
    <s v="Sepatu Pria"/>
    <s v="Sandal Slip On"/>
    <n v="1"/>
    <n v="5"/>
    <n v="150000"/>
    <n v="135000"/>
    <n v="60000"/>
    <n v="45000"/>
    <m/>
    <s v="-"/>
    <s v="-"/>
    <m/>
    <m/>
    <n v="0"/>
    <n v="0"/>
    <n v="0"/>
    <n v="0"/>
    <n v="2"/>
    <n v="350000"/>
    <n v="315000"/>
    <n v="140000"/>
    <n v="105000"/>
    <s v="LEBAR10"/>
    <n v="0.1"/>
    <x v="1"/>
    <x v="1"/>
    <x v="4"/>
    <d v="2023-04-19T00:00:00"/>
    <x v="19"/>
    <s v="Wednesday"/>
    <x v="1"/>
    <n v="5"/>
  </r>
  <r>
    <n v="441"/>
    <s v="ORD-TK0441-09/04/23"/>
    <s v="PW001"/>
    <s v="Pakaian Wanita"/>
    <s v="Dress"/>
    <n v="1"/>
    <n v="4"/>
    <n v="300000"/>
    <n v="300000"/>
    <n v="100000"/>
    <n v="100000"/>
    <s v="PP003"/>
    <s v="Pakaian Pria"/>
    <s v="Jaket Jeans"/>
    <n v="1"/>
    <n v="4"/>
    <n v="400000"/>
    <n v="400000"/>
    <n v="150000"/>
    <n v="150000"/>
    <m/>
    <s v="-"/>
    <s v="-"/>
    <m/>
    <m/>
    <n v="0"/>
    <n v="0"/>
    <n v="0"/>
    <n v="0"/>
    <n v="2"/>
    <n v="700000"/>
    <n v="700000"/>
    <n v="250000"/>
    <n v="250000"/>
    <s v="Tidak Ada"/>
    <s v="-"/>
    <x v="2"/>
    <x v="1"/>
    <x v="4"/>
    <d v="2023-04-09T00:00:00"/>
    <x v="10"/>
    <s v="Sunday"/>
    <x v="3"/>
    <n v="4"/>
  </r>
  <r>
    <n v="442"/>
    <s v="ORD-SP0442-28/04/23"/>
    <s v="PP002"/>
    <s v="Pakaian Pria"/>
    <s v="Celana Pendek"/>
    <n v="1"/>
    <n v="3"/>
    <n v="180000"/>
    <n v="144000"/>
    <n v="70000"/>
    <n v="34000"/>
    <m/>
    <s v="-"/>
    <s v="-"/>
    <m/>
    <m/>
    <n v="0"/>
    <n v="0"/>
    <n v="0"/>
    <n v="0"/>
    <m/>
    <s v="-"/>
    <s v="-"/>
    <m/>
    <m/>
    <n v="0"/>
    <n v="0"/>
    <n v="0"/>
    <n v="0"/>
    <n v="1"/>
    <n v="180000"/>
    <n v="144000"/>
    <n v="70000"/>
    <n v="34000"/>
    <s v="DISC20"/>
    <n v="0.2"/>
    <x v="1"/>
    <x v="2"/>
    <x v="0"/>
    <d v="2023-04-28T00:00:00"/>
    <x v="11"/>
    <s v="Friday"/>
    <x v="2"/>
    <n v="3"/>
  </r>
  <r>
    <n v="443"/>
    <s v="ORD-BB0443-02/04/23"/>
    <s v="SP002"/>
    <s v="Sepatu Pria"/>
    <s v="Sandal Slip On"/>
    <n v="5"/>
    <n v="5"/>
    <n v="750000"/>
    <n v="637500"/>
    <n v="300000"/>
    <n v="187500"/>
    <m/>
    <s v="-"/>
    <s v="-"/>
    <m/>
    <m/>
    <n v="0"/>
    <n v="0"/>
    <n v="0"/>
    <n v="0"/>
    <m/>
    <s v="-"/>
    <s v="-"/>
    <m/>
    <m/>
    <n v="0"/>
    <n v="0"/>
    <n v="0"/>
    <n v="0"/>
    <n v="5"/>
    <n v="750000"/>
    <n v="637500"/>
    <n v="300000"/>
    <n v="187500"/>
    <s v="BELI44"/>
    <n v="0.15"/>
    <x v="0"/>
    <x v="0"/>
    <x v="4"/>
    <d v="2023-04-02T00:00:00"/>
    <x v="1"/>
    <s v="Sunday"/>
    <x v="0"/>
    <n v="5"/>
  </r>
  <r>
    <n v="444"/>
    <s v="ORD-TK0444-09/04/23"/>
    <s v="SP001"/>
    <s v="Sepatu Pria"/>
    <s v="Sneakers"/>
    <n v="1"/>
    <n v="4"/>
    <n v="500000"/>
    <n v="500000"/>
    <n v="200000"/>
    <n v="200000"/>
    <s v="PW001"/>
    <s v="Pakaian Wanita"/>
    <s v="Dress"/>
    <n v="1"/>
    <n v="1"/>
    <n v="300000"/>
    <n v="300000"/>
    <n v="100000"/>
    <n v="100000"/>
    <m/>
    <s v="-"/>
    <s v="-"/>
    <m/>
    <m/>
    <n v="0"/>
    <n v="0"/>
    <n v="0"/>
    <n v="0"/>
    <n v="2"/>
    <n v="800000"/>
    <n v="800000"/>
    <n v="300000"/>
    <n v="300000"/>
    <s v="Tidak Ada"/>
    <s v="-"/>
    <x v="2"/>
    <x v="1"/>
    <x v="4"/>
    <d v="2023-04-09T00:00:00"/>
    <x v="10"/>
    <s v="Sunday"/>
    <x v="3"/>
    <n v="2.5"/>
  </r>
  <r>
    <n v="445"/>
    <s v="ORD-BB0445-02/04/23"/>
    <s v="PP001"/>
    <s v="Pakaian Pria"/>
    <s v="Kaos Polo"/>
    <n v="1"/>
    <n v="5"/>
    <n v="200000"/>
    <n v="170000"/>
    <n v="80000"/>
    <n v="50000"/>
    <m/>
    <s v="-"/>
    <s v="-"/>
    <m/>
    <m/>
    <n v="0"/>
    <n v="0"/>
    <n v="0"/>
    <n v="0"/>
    <m/>
    <s v="-"/>
    <s v="-"/>
    <m/>
    <m/>
    <n v="0"/>
    <n v="0"/>
    <n v="0"/>
    <n v="0"/>
    <n v="1"/>
    <n v="200000"/>
    <n v="170000"/>
    <n v="80000"/>
    <n v="50000"/>
    <s v="BELI44"/>
    <n v="0.15"/>
    <x v="0"/>
    <x v="0"/>
    <x v="3"/>
    <d v="2023-04-02T00:00:00"/>
    <x v="1"/>
    <s v="Sunday"/>
    <x v="0"/>
    <n v="5"/>
  </r>
  <r>
    <n v="446"/>
    <s v="ORD-BB0446-03/04/23"/>
    <s v="PP001"/>
    <s v="Pakaian Pria"/>
    <s v="Kaos Polo"/>
    <n v="1"/>
    <n v="5"/>
    <n v="200000"/>
    <n v="170000"/>
    <n v="80000"/>
    <n v="50000"/>
    <s v="PP002"/>
    <s v="Pakaian Pria"/>
    <s v="Celana Pendek"/>
    <n v="2"/>
    <n v="1"/>
    <n v="360000"/>
    <n v="306000"/>
    <n v="140000"/>
    <n v="86000"/>
    <s v="SP002"/>
    <s v="Sepatu Pria"/>
    <s v="Sandal Slip On"/>
    <n v="1"/>
    <n v="3"/>
    <n v="150000"/>
    <n v="127500"/>
    <n v="60000"/>
    <n v="37500"/>
    <n v="4"/>
    <n v="710000"/>
    <n v="603500"/>
    <n v="280000"/>
    <n v="173500"/>
    <s v="BELI44"/>
    <n v="0.15"/>
    <x v="0"/>
    <x v="0"/>
    <x v="4"/>
    <d v="2023-04-03T00:00:00"/>
    <x v="2"/>
    <s v="Monday"/>
    <x v="0"/>
    <n v="3"/>
  </r>
  <r>
    <n v="447"/>
    <s v="ORD-TK0447-28/04/23"/>
    <s v="PW001"/>
    <s v="Pakaian Wanita"/>
    <s v="Dress"/>
    <n v="7"/>
    <n v="2"/>
    <n v="2100000"/>
    <n v="1890000"/>
    <n v="700000"/>
    <n v="490000"/>
    <m/>
    <s v="-"/>
    <s v="-"/>
    <m/>
    <m/>
    <n v="0"/>
    <n v="0"/>
    <n v="0"/>
    <n v="0"/>
    <m/>
    <s v="-"/>
    <s v="-"/>
    <m/>
    <m/>
    <n v="0"/>
    <n v="0"/>
    <n v="0"/>
    <n v="0"/>
    <n v="7"/>
    <n v="2100000"/>
    <n v="1890000"/>
    <n v="700000"/>
    <n v="490000"/>
    <s v="LEBAR10"/>
    <n v="0.1"/>
    <x v="1"/>
    <x v="1"/>
    <x v="4"/>
    <d v="2023-04-28T00:00:00"/>
    <x v="11"/>
    <s v="Friday"/>
    <x v="2"/>
    <n v="2"/>
  </r>
  <r>
    <n v="448"/>
    <s v="ORD-BB0448-01/04/23"/>
    <s v="PU001"/>
    <s v="Pakaian Unisex"/>
    <s v="Jaket Hoodie"/>
    <n v="2"/>
    <n v="2"/>
    <n v="700000"/>
    <n v="595000"/>
    <n v="260000"/>
    <n v="155000"/>
    <m/>
    <s v="-"/>
    <s v="-"/>
    <m/>
    <m/>
    <n v="0"/>
    <n v="0"/>
    <n v="0"/>
    <n v="0"/>
    <m/>
    <s v="-"/>
    <s v="-"/>
    <m/>
    <m/>
    <n v="0"/>
    <n v="0"/>
    <n v="0"/>
    <n v="0"/>
    <n v="2"/>
    <n v="700000"/>
    <n v="595000"/>
    <n v="260000"/>
    <n v="155000"/>
    <s v="BELI44"/>
    <n v="0.15"/>
    <x v="0"/>
    <x v="0"/>
    <x v="5"/>
    <d v="2023-04-01T00:00:00"/>
    <x v="0"/>
    <s v="Saturday"/>
    <x v="0"/>
    <n v="2"/>
  </r>
  <r>
    <n v="449"/>
    <s v="ORD-SP0449-22/04/23"/>
    <s v="PW003"/>
    <s v="Pakaian Wanita"/>
    <s v="Kaftan"/>
    <n v="5"/>
    <n v="3"/>
    <n v="1250000"/>
    <n v="1000000"/>
    <n v="500000"/>
    <n v="250000"/>
    <s v="PW003"/>
    <s v="Pakaian Wanita"/>
    <s v="Kaftan"/>
    <n v="1"/>
    <n v="3"/>
    <n v="250000"/>
    <n v="200000"/>
    <n v="100000"/>
    <n v="50000"/>
    <s v="SP001"/>
    <s v="Sepatu Pria"/>
    <s v="Sneakers"/>
    <n v="1"/>
    <n v="4"/>
    <n v="500000"/>
    <n v="400000"/>
    <n v="200000"/>
    <n v="100000"/>
    <n v="7"/>
    <n v="2000000"/>
    <n v="1600000"/>
    <n v="800000"/>
    <n v="400000"/>
    <s v="DISC20"/>
    <n v="0.2"/>
    <x v="1"/>
    <x v="2"/>
    <x v="1"/>
    <d v="2023-04-22T00:00:00"/>
    <x v="27"/>
    <s v="Saturday"/>
    <x v="2"/>
    <n v="3.3333333333333335"/>
  </r>
  <r>
    <n v="450"/>
    <s v="ORD-TK0450-17/04/23"/>
    <s v="SP002"/>
    <s v="Sepatu Pria"/>
    <s v="Sandal Slip On"/>
    <n v="6"/>
    <n v="3"/>
    <n v="900000"/>
    <n v="810000"/>
    <n v="360000"/>
    <n v="270000"/>
    <m/>
    <s v="-"/>
    <s v="-"/>
    <m/>
    <m/>
    <n v="0"/>
    <n v="0"/>
    <n v="0"/>
    <n v="0"/>
    <m/>
    <s v="-"/>
    <s v="-"/>
    <m/>
    <m/>
    <n v="0"/>
    <n v="0"/>
    <n v="0"/>
    <n v="0"/>
    <n v="6"/>
    <n v="900000"/>
    <n v="810000"/>
    <n v="360000"/>
    <n v="270000"/>
    <s v="LEBAR10"/>
    <n v="0.1"/>
    <x v="1"/>
    <x v="1"/>
    <x v="4"/>
    <d v="2023-04-17T00:00:00"/>
    <x v="3"/>
    <s v="Monday"/>
    <x v="1"/>
    <n v="3"/>
  </r>
  <r>
    <n v="451"/>
    <s v="ORD-BL0451-21/04/23"/>
    <s v="SP002"/>
    <s v="Sepatu Pria"/>
    <s v="Sandal Slip On"/>
    <n v="1"/>
    <n v="4"/>
    <n v="150000"/>
    <n v="127500"/>
    <n v="60000"/>
    <n v="37500"/>
    <m/>
    <s v="-"/>
    <s v="-"/>
    <m/>
    <m/>
    <n v="0"/>
    <n v="0"/>
    <n v="0"/>
    <n v="0"/>
    <m/>
    <s v="-"/>
    <s v="-"/>
    <m/>
    <m/>
    <n v="0"/>
    <n v="0"/>
    <n v="0"/>
    <n v="0"/>
    <n v="1"/>
    <n v="150000"/>
    <n v="127500"/>
    <n v="60000"/>
    <n v="37500"/>
    <s v="BUKALEBAR"/>
    <n v="0.15"/>
    <x v="1"/>
    <x v="3"/>
    <x v="4"/>
    <d v="2023-04-21T00:00:00"/>
    <x v="20"/>
    <s v="Friday"/>
    <x v="1"/>
    <n v="4"/>
  </r>
  <r>
    <n v="452"/>
    <s v="ORD-SP0452-01/04/23"/>
    <s v="PP003"/>
    <s v="Pakaian Pria"/>
    <s v="Jaket Jeans"/>
    <n v="2"/>
    <n v="2"/>
    <n v="800000"/>
    <n v="680000"/>
    <n v="300000"/>
    <n v="180000"/>
    <m/>
    <s v="-"/>
    <s v="-"/>
    <m/>
    <m/>
    <n v="0"/>
    <n v="0"/>
    <n v="0"/>
    <n v="0"/>
    <m/>
    <s v="-"/>
    <s v="-"/>
    <m/>
    <m/>
    <n v="0"/>
    <n v="0"/>
    <n v="0"/>
    <n v="0"/>
    <n v="2"/>
    <n v="800000"/>
    <n v="680000"/>
    <n v="300000"/>
    <n v="180000"/>
    <s v="DISC15"/>
    <n v="0.15"/>
    <x v="0"/>
    <x v="2"/>
    <x v="4"/>
    <d v="2023-04-01T00:00:00"/>
    <x v="0"/>
    <s v="Saturday"/>
    <x v="0"/>
    <n v="2"/>
  </r>
  <r>
    <n v="453"/>
    <s v="ORD-BL0453-07/04/23"/>
    <s v="PW003"/>
    <s v="Pakaian Wanita"/>
    <s v="Kaftan"/>
    <n v="1"/>
    <n v="5"/>
    <n v="250000"/>
    <n v="250000"/>
    <n v="100000"/>
    <n v="100000"/>
    <m/>
    <s v="-"/>
    <s v="-"/>
    <m/>
    <m/>
    <n v="0"/>
    <n v="0"/>
    <n v="0"/>
    <n v="0"/>
    <m/>
    <s v="-"/>
    <s v="-"/>
    <m/>
    <m/>
    <n v="0"/>
    <n v="0"/>
    <n v="0"/>
    <n v="0"/>
    <n v="1"/>
    <n v="250000"/>
    <n v="250000"/>
    <n v="100000"/>
    <n v="100000"/>
    <s v="Tidak Ada"/>
    <s v="-"/>
    <x v="2"/>
    <x v="3"/>
    <x v="4"/>
    <d v="2023-04-07T00:00:00"/>
    <x v="28"/>
    <s v="Friday"/>
    <x v="0"/>
    <n v="5"/>
  </r>
  <r>
    <n v="454"/>
    <s v="ORD-TK0454-16/04/23"/>
    <s v="PW003"/>
    <s v="Pakaian Wanita"/>
    <s v="Kaftan"/>
    <n v="2"/>
    <n v="2"/>
    <n v="500000"/>
    <n v="450000"/>
    <n v="200000"/>
    <n v="150000"/>
    <s v="PW002"/>
    <s v="Pakaian Wanita"/>
    <s v="Blouse"/>
    <n v="3"/>
    <n v="1"/>
    <n v="450000"/>
    <n v="405000"/>
    <n v="150000"/>
    <n v="105000"/>
    <m/>
    <s v="-"/>
    <s v="-"/>
    <m/>
    <m/>
    <n v="0"/>
    <n v="0"/>
    <n v="0"/>
    <n v="0"/>
    <n v="5"/>
    <n v="950000"/>
    <n v="855000"/>
    <n v="350000"/>
    <n v="255000"/>
    <s v="LEBAR10"/>
    <n v="0.1"/>
    <x v="1"/>
    <x v="1"/>
    <x v="4"/>
    <d v="2023-04-16T00:00:00"/>
    <x v="17"/>
    <s v="Sunday"/>
    <x v="1"/>
    <n v="1.5"/>
  </r>
  <r>
    <n v="455"/>
    <s v="ORD-BL0455-28/04/23"/>
    <s v="PW002"/>
    <s v="Pakaian Wanita"/>
    <s v="Blouse"/>
    <n v="4"/>
    <n v="5"/>
    <n v="600000"/>
    <n v="510000"/>
    <n v="200000"/>
    <n v="110000"/>
    <s v="SP001"/>
    <s v="Sepatu Pria"/>
    <s v="Sneakers"/>
    <n v="1"/>
    <n v="1"/>
    <n v="500000"/>
    <n v="425000"/>
    <n v="200000"/>
    <n v="125000"/>
    <m/>
    <s v="-"/>
    <s v="-"/>
    <m/>
    <m/>
    <n v="0"/>
    <n v="0"/>
    <n v="0"/>
    <n v="0"/>
    <n v="5"/>
    <n v="1100000"/>
    <n v="935000"/>
    <n v="400000"/>
    <n v="235000"/>
    <s v="BUKALEBAR"/>
    <n v="0.15"/>
    <x v="1"/>
    <x v="3"/>
    <x v="4"/>
    <d v="2023-04-28T00:00:00"/>
    <x v="11"/>
    <s v="Friday"/>
    <x v="2"/>
    <n v="3"/>
  </r>
  <r>
    <n v="456"/>
    <s v="ORD-BB0456-05/04/23"/>
    <s v="PP002"/>
    <s v="Pakaian Pria"/>
    <s v="Celana Pendek"/>
    <n v="1"/>
    <n v="1"/>
    <n v="180000"/>
    <n v="153000"/>
    <n v="70000"/>
    <n v="43000"/>
    <s v="SW001"/>
    <s v="Sepatu Wanita"/>
    <s v="Flat Shoes"/>
    <n v="6"/>
    <n v="4"/>
    <n v="1500000"/>
    <n v="1275000"/>
    <n v="600000"/>
    <n v="375000"/>
    <m/>
    <s v="-"/>
    <s v="-"/>
    <m/>
    <m/>
    <n v="0"/>
    <n v="0"/>
    <n v="0"/>
    <n v="0"/>
    <n v="7"/>
    <n v="1680000"/>
    <n v="1428000"/>
    <n v="670000"/>
    <n v="418000"/>
    <s v="BELI44"/>
    <n v="0.15"/>
    <x v="0"/>
    <x v="0"/>
    <x v="4"/>
    <d v="2023-04-05T00:00:00"/>
    <x v="9"/>
    <s v="Wednesday"/>
    <x v="0"/>
    <n v="2.5"/>
  </r>
  <r>
    <n v="457"/>
    <s v="ORD-TK0457-05/04/23"/>
    <s v="PW003"/>
    <s v="Pakaian Wanita"/>
    <s v="Kaftan"/>
    <n v="1"/>
    <n v="5"/>
    <n v="250000"/>
    <n v="225000"/>
    <n v="100000"/>
    <n v="75000"/>
    <s v="PP002"/>
    <s v="Pakaian Pria"/>
    <s v="Celana Pendek"/>
    <n v="2"/>
    <n v="1"/>
    <n v="360000"/>
    <n v="324000"/>
    <n v="140000"/>
    <n v="104000"/>
    <m/>
    <s v="-"/>
    <s v="-"/>
    <m/>
    <m/>
    <n v="0"/>
    <n v="0"/>
    <n v="0"/>
    <n v="0"/>
    <n v="3"/>
    <n v="610000"/>
    <n v="549000"/>
    <n v="240000"/>
    <n v="179000"/>
    <s v="DISCAPRIL"/>
    <n v="0.1"/>
    <x v="0"/>
    <x v="1"/>
    <x v="1"/>
    <d v="2023-04-05T00:00:00"/>
    <x v="9"/>
    <s v="Wednesday"/>
    <x v="0"/>
    <n v="3"/>
  </r>
  <r>
    <n v="458"/>
    <s v="ORD-BB0458-03/04/23"/>
    <s v="SW001"/>
    <s v="Sepatu Wanita"/>
    <s v="Flat Shoes"/>
    <n v="2"/>
    <n v="2"/>
    <n v="500000"/>
    <n v="425000"/>
    <n v="200000"/>
    <n v="125000"/>
    <s v="PP002"/>
    <s v="Pakaian Pria"/>
    <s v="Celana Pendek"/>
    <n v="2"/>
    <n v="5"/>
    <n v="360000"/>
    <n v="306000"/>
    <n v="140000"/>
    <n v="86000"/>
    <m/>
    <s v="-"/>
    <s v="-"/>
    <m/>
    <m/>
    <n v="0"/>
    <n v="0"/>
    <n v="0"/>
    <n v="0"/>
    <n v="4"/>
    <n v="860000"/>
    <n v="731000"/>
    <n v="340000"/>
    <n v="211000"/>
    <s v="BELI44"/>
    <n v="0.15"/>
    <x v="0"/>
    <x v="0"/>
    <x v="2"/>
    <d v="2023-04-03T00:00:00"/>
    <x v="2"/>
    <s v="Monday"/>
    <x v="0"/>
    <n v="3.5"/>
  </r>
  <r>
    <n v="459"/>
    <s v="ORD-BL0459-21/04/23"/>
    <s v="SP002"/>
    <s v="Sepatu Pria"/>
    <s v="Sandal Slip On"/>
    <n v="1"/>
    <n v="4"/>
    <n v="150000"/>
    <n v="127500"/>
    <n v="60000"/>
    <n v="37500"/>
    <s v="PW001"/>
    <s v="Pakaian Wanita"/>
    <s v="Dress"/>
    <n v="4"/>
    <n v="3"/>
    <n v="1200000"/>
    <n v="1020000"/>
    <n v="400000"/>
    <n v="220000"/>
    <s v="PU001"/>
    <s v="Pakaian Unisex"/>
    <s v="Jaket Hoodie"/>
    <n v="1"/>
    <n v="5"/>
    <n v="350000"/>
    <n v="297500"/>
    <n v="130000"/>
    <n v="77500"/>
    <n v="6"/>
    <n v="1700000"/>
    <n v="1445000"/>
    <n v="590000"/>
    <n v="335000"/>
    <s v="BUKALEBAR"/>
    <n v="0.15"/>
    <x v="1"/>
    <x v="3"/>
    <x v="0"/>
    <d v="2023-04-21T00:00:00"/>
    <x v="20"/>
    <s v="Friday"/>
    <x v="1"/>
    <n v="4"/>
  </r>
  <r>
    <n v="460"/>
    <s v="ORD-SP0460-06/04/23"/>
    <s v="PP001"/>
    <s v="Pakaian Pria"/>
    <s v="Kaos Polo"/>
    <n v="4"/>
    <n v="4"/>
    <n v="800000"/>
    <n v="720000"/>
    <n v="320000"/>
    <n v="240000"/>
    <m/>
    <s v="-"/>
    <s v="-"/>
    <m/>
    <m/>
    <n v="0"/>
    <n v="0"/>
    <n v="0"/>
    <n v="0"/>
    <m/>
    <s v="-"/>
    <s v="-"/>
    <m/>
    <m/>
    <n v="0"/>
    <n v="0"/>
    <n v="0"/>
    <n v="0"/>
    <n v="4"/>
    <n v="800000"/>
    <n v="720000"/>
    <n v="320000"/>
    <n v="240000"/>
    <s v="DISC10"/>
    <n v="0.1"/>
    <x v="0"/>
    <x v="2"/>
    <x v="1"/>
    <d v="2023-04-06T00:00:00"/>
    <x v="8"/>
    <s v="Thursday"/>
    <x v="0"/>
    <n v="4"/>
  </r>
  <r>
    <n v="461"/>
    <s v="ORD-SP0461-02/04/23"/>
    <s v="PU001"/>
    <s v="Pakaian Unisex"/>
    <s v="Jaket Hoodie"/>
    <n v="1"/>
    <n v="5"/>
    <n v="350000"/>
    <n v="297500"/>
    <n v="130000"/>
    <n v="77500"/>
    <m/>
    <s v="-"/>
    <s v="-"/>
    <m/>
    <m/>
    <n v="0"/>
    <n v="0"/>
    <n v="0"/>
    <n v="0"/>
    <m/>
    <s v="-"/>
    <s v="-"/>
    <m/>
    <m/>
    <n v="0"/>
    <n v="0"/>
    <n v="0"/>
    <n v="0"/>
    <n v="1"/>
    <n v="350000"/>
    <n v="297500"/>
    <n v="130000"/>
    <n v="77500"/>
    <s v="DISC15"/>
    <n v="0.15"/>
    <x v="0"/>
    <x v="2"/>
    <x v="1"/>
    <d v="2023-04-02T00:00:00"/>
    <x v="1"/>
    <s v="Sunday"/>
    <x v="0"/>
    <n v="5"/>
  </r>
  <r>
    <n v="462"/>
    <s v="ORD-SP0462-27/04/23"/>
    <s v="PW003"/>
    <s v="Pakaian Wanita"/>
    <s v="Kaftan"/>
    <n v="2"/>
    <n v="4"/>
    <n v="500000"/>
    <n v="400000"/>
    <n v="200000"/>
    <n v="100000"/>
    <m/>
    <s v="-"/>
    <s v="-"/>
    <m/>
    <m/>
    <n v="0"/>
    <n v="0"/>
    <n v="0"/>
    <n v="0"/>
    <m/>
    <s v="-"/>
    <s v="-"/>
    <m/>
    <m/>
    <n v="0"/>
    <n v="0"/>
    <n v="0"/>
    <n v="0"/>
    <n v="2"/>
    <n v="500000"/>
    <n v="400000"/>
    <n v="200000"/>
    <n v="100000"/>
    <s v="DISC20"/>
    <n v="0.2"/>
    <x v="1"/>
    <x v="2"/>
    <x v="4"/>
    <d v="2023-04-27T00:00:00"/>
    <x v="18"/>
    <s v="Thursday"/>
    <x v="2"/>
    <n v="4"/>
  </r>
  <r>
    <n v="463"/>
    <s v="ORD-TK0463-17/04/23"/>
    <s v="SW001"/>
    <s v="Sepatu Wanita"/>
    <s v="Flat Shoes"/>
    <n v="4"/>
    <n v="2"/>
    <n v="1000000"/>
    <n v="900000"/>
    <n v="400000"/>
    <n v="300000"/>
    <s v="PW003"/>
    <s v="Pakaian Wanita"/>
    <s v="Kaftan"/>
    <n v="3"/>
    <n v="1"/>
    <n v="750000"/>
    <n v="675000"/>
    <n v="300000"/>
    <n v="225000"/>
    <m/>
    <s v="-"/>
    <s v="-"/>
    <m/>
    <m/>
    <n v="0"/>
    <n v="0"/>
    <n v="0"/>
    <n v="0"/>
    <n v="7"/>
    <n v="1750000"/>
    <n v="1575000"/>
    <n v="700000"/>
    <n v="525000"/>
    <s v="LEBAR10"/>
    <n v="0.1"/>
    <x v="1"/>
    <x v="1"/>
    <x v="4"/>
    <d v="2023-04-17T00:00:00"/>
    <x v="3"/>
    <s v="Monday"/>
    <x v="1"/>
    <n v="1.5"/>
  </r>
  <r>
    <n v="464"/>
    <s v="ORD-TK0464-04/04/23"/>
    <s v="SP001"/>
    <s v="Sepatu Pria"/>
    <s v="Sneakers"/>
    <n v="2"/>
    <n v="4"/>
    <n v="1000000"/>
    <n v="900000"/>
    <n v="400000"/>
    <n v="300000"/>
    <m/>
    <s v="-"/>
    <s v="-"/>
    <m/>
    <m/>
    <n v="0"/>
    <n v="0"/>
    <n v="0"/>
    <n v="0"/>
    <m/>
    <s v="-"/>
    <s v="-"/>
    <m/>
    <m/>
    <n v="0"/>
    <n v="0"/>
    <n v="0"/>
    <n v="0"/>
    <n v="2"/>
    <n v="1000000"/>
    <n v="900000"/>
    <n v="400000"/>
    <n v="300000"/>
    <s v="DISCAPRIL"/>
    <n v="0.1"/>
    <x v="0"/>
    <x v="1"/>
    <x v="4"/>
    <d v="2023-04-04T00:00:00"/>
    <x v="7"/>
    <s v="Tuesday"/>
    <x v="0"/>
    <n v="4"/>
  </r>
  <r>
    <n v="465"/>
    <s v="ORD-BL0465-18/04/23"/>
    <s v="SW001"/>
    <s v="Sepatu Wanita"/>
    <s v="Flat Shoes"/>
    <n v="1"/>
    <n v="2"/>
    <n v="250000"/>
    <n v="212500"/>
    <n v="100000"/>
    <n v="62500"/>
    <m/>
    <s v="-"/>
    <s v="-"/>
    <m/>
    <m/>
    <n v="0"/>
    <n v="0"/>
    <n v="0"/>
    <n v="0"/>
    <m/>
    <s v="-"/>
    <s v="-"/>
    <m/>
    <m/>
    <n v="0"/>
    <n v="0"/>
    <n v="0"/>
    <n v="0"/>
    <n v="1"/>
    <n v="250000"/>
    <n v="212500"/>
    <n v="100000"/>
    <n v="62500"/>
    <s v="BUKALEBAR"/>
    <n v="0.15"/>
    <x v="1"/>
    <x v="3"/>
    <x v="4"/>
    <d v="2023-04-18T00:00:00"/>
    <x v="24"/>
    <s v="Tuesday"/>
    <x v="1"/>
    <n v="2"/>
  </r>
  <r>
    <n v="466"/>
    <s v="ORD-SP0466-05/04/23"/>
    <s v="PU001"/>
    <s v="Pakaian Unisex"/>
    <s v="Jaket Hoodie"/>
    <n v="1"/>
    <n v="1"/>
    <n v="350000"/>
    <n v="297500"/>
    <n v="130000"/>
    <n v="77500"/>
    <s v="PP002"/>
    <s v="Pakaian Pria"/>
    <s v="Celana Pendek"/>
    <n v="1"/>
    <n v="4"/>
    <n v="180000"/>
    <n v="153000"/>
    <n v="70000"/>
    <n v="43000"/>
    <m/>
    <s v="-"/>
    <s v="-"/>
    <m/>
    <m/>
    <n v="0"/>
    <n v="0"/>
    <n v="0"/>
    <n v="0"/>
    <n v="2"/>
    <n v="530000"/>
    <n v="450500"/>
    <n v="200000"/>
    <n v="120500"/>
    <s v="DISC15"/>
    <n v="0.15"/>
    <x v="0"/>
    <x v="2"/>
    <x v="4"/>
    <d v="2023-04-05T00:00:00"/>
    <x v="9"/>
    <s v="Wednesday"/>
    <x v="0"/>
    <n v="2.5"/>
  </r>
  <r>
    <n v="467"/>
    <s v="ORD-TK0467-25/04/23"/>
    <s v="PP001"/>
    <s v="Pakaian Pria"/>
    <s v="Kaos Polo"/>
    <n v="3"/>
    <n v="5"/>
    <n v="600000"/>
    <n v="540000"/>
    <n v="240000"/>
    <n v="180000"/>
    <m/>
    <s v="-"/>
    <s v="-"/>
    <m/>
    <m/>
    <n v="0"/>
    <n v="0"/>
    <n v="0"/>
    <n v="0"/>
    <m/>
    <s v="-"/>
    <s v="-"/>
    <m/>
    <m/>
    <n v="0"/>
    <n v="0"/>
    <n v="0"/>
    <n v="0"/>
    <n v="3"/>
    <n v="600000"/>
    <n v="540000"/>
    <n v="240000"/>
    <n v="180000"/>
    <s v="LEBAR10"/>
    <n v="0.1"/>
    <x v="1"/>
    <x v="1"/>
    <x v="4"/>
    <d v="2023-04-25T00:00:00"/>
    <x v="6"/>
    <s v="Tuesday"/>
    <x v="2"/>
    <n v="5"/>
  </r>
  <r>
    <n v="468"/>
    <s v="ORD-TK0468-05/04/23"/>
    <s v="PU001"/>
    <s v="Pakaian Unisex"/>
    <s v="Jaket Hoodie"/>
    <n v="3"/>
    <n v="5"/>
    <n v="1050000"/>
    <n v="945000"/>
    <n v="390000"/>
    <n v="285000"/>
    <m/>
    <s v="-"/>
    <s v="-"/>
    <m/>
    <m/>
    <n v="0"/>
    <n v="0"/>
    <n v="0"/>
    <n v="0"/>
    <m/>
    <s v="-"/>
    <s v="-"/>
    <m/>
    <m/>
    <n v="0"/>
    <n v="0"/>
    <n v="0"/>
    <n v="0"/>
    <n v="3"/>
    <n v="1050000"/>
    <n v="945000"/>
    <n v="390000"/>
    <n v="285000"/>
    <s v="DISCAPRIL"/>
    <n v="0.1"/>
    <x v="0"/>
    <x v="1"/>
    <x v="5"/>
    <d v="2023-04-05T00:00:00"/>
    <x v="9"/>
    <s v="Wednesday"/>
    <x v="0"/>
    <n v="5"/>
  </r>
  <r>
    <n v="469"/>
    <s v="ORD-SP0469-02/04/23"/>
    <s v="SP002"/>
    <s v="Sepatu Pria"/>
    <s v="Sandal Slip On"/>
    <n v="2"/>
    <n v="5"/>
    <n v="300000"/>
    <n v="255000"/>
    <n v="120000"/>
    <n v="75000"/>
    <m/>
    <s v="-"/>
    <s v="-"/>
    <m/>
    <m/>
    <n v="0"/>
    <n v="0"/>
    <n v="0"/>
    <n v="0"/>
    <m/>
    <s v="-"/>
    <s v="-"/>
    <m/>
    <m/>
    <n v="0"/>
    <n v="0"/>
    <n v="0"/>
    <n v="0"/>
    <n v="2"/>
    <n v="300000"/>
    <n v="255000"/>
    <n v="120000"/>
    <n v="75000"/>
    <s v="DISC15"/>
    <n v="0.15"/>
    <x v="0"/>
    <x v="2"/>
    <x v="0"/>
    <d v="2023-04-02T00:00:00"/>
    <x v="1"/>
    <s v="Sunday"/>
    <x v="0"/>
    <n v="5"/>
  </r>
  <r>
    <n v="470"/>
    <s v="ORD-SP0470-03/04/23"/>
    <s v="PP002"/>
    <s v="Pakaian Pria"/>
    <s v="Celana Pendek"/>
    <n v="4"/>
    <n v="5"/>
    <n v="720000"/>
    <n v="612000"/>
    <n v="280000"/>
    <n v="172000"/>
    <s v="PW002"/>
    <s v="Pakaian Wanita"/>
    <s v="Blouse"/>
    <n v="1"/>
    <n v="3"/>
    <n v="150000"/>
    <n v="127500"/>
    <n v="50000"/>
    <n v="27500"/>
    <s v="PP002"/>
    <s v="Pakaian Pria"/>
    <s v="Celana Pendek"/>
    <n v="2"/>
    <n v="4"/>
    <n v="360000"/>
    <n v="306000"/>
    <n v="140000"/>
    <n v="86000"/>
    <n v="7"/>
    <n v="1230000"/>
    <n v="1045500"/>
    <n v="470000"/>
    <n v="285500"/>
    <s v="DISC15"/>
    <n v="0.15"/>
    <x v="0"/>
    <x v="2"/>
    <x v="0"/>
    <d v="2023-04-03T00:00:00"/>
    <x v="2"/>
    <s v="Monday"/>
    <x v="0"/>
    <n v="4"/>
  </r>
  <r>
    <n v="471"/>
    <s v="ORD-SP0471-24/04/23"/>
    <s v="PW002"/>
    <s v="Pakaian Wanita"/>
    <s v="Blouse"/>
    <n v="6"/>
    <n v="5"/>
    <n v="900000"/>
    <n v="720000"/>
    <n v="300000"/>
    <n v="120000"/>
    <s v="SP001"/>
    <s v="Sepatu Pria"/>
    <s v="Sneakers"/>
    <n v="1"/>
    <n v="3"/>
    <n v="500000"/>
    <n v="400000"/>
    <n v="200000"/>
    <n v="100000"/>
    <m/>
    <s v="-"/>
    <s v="-"/>
    <m/>
    <m/>
    <n v="0"/>
    <n v="0"/>
    <n v="0"/>
    <n v="0"/>
    <n v="7"/>
    <n v="1400000"/>
    <n v="1120000"/>
    <n v="500000"/>
    <n v="220000"/>
    <s v="DISC20"/>
    <n v="0.2"/>
    <x v="1"/>
    <x v="2"/>
    <x v="1"/>
    <d v="2023-04-24T00:00:00"/>
    <x v="4"/>
    <s v="Monday"/>
    <x v="2"/>
    <n v="4"/>
  </r>
  <r>
    <n v="472"/>
    <s v="ORD-SP0472-06/04/23"/>
    <s v="SP001"/>
    <s v="Sepatu Pria"/>
    <s v="Sneakers"/>
    <n v="2"/>
    <n v="2"/>
    <n v="1000000"/>
    <n v="900000"/>
    <n v="400000"/>
    <n v="300000"/>
    <m/>
    <s v="-"/>
    <s v="-"/>
    <m/>
    <m/>
    <n v="0"/>
    <n v="0"/>
    <n v="0"/>
    <n v="0"/>
    <m/>
    <s v="-"/>
    <s v="-"/>
    <m/>
    <m/>
    <n v="0"/>
    <n v="0"/>
    <n v="0"/>
    <n v="0"/>
    <n v="2"/>
    <n v="1000000"/>
    <n v="900000"/>
    <n v="400000"/>
    <n v="300000"/>
    <s v="DISC10"/>
    <n v="0.1"/>
    <x v="0"/>
    <x v="2"/>
    <x v="5"/>
    <d v="2023-04-06T00:00:00"/>
    <x v="8"/>
    <s v="Thursday"/>
    <x v="0"/>
    <n v="2"/>
  </r>
  <r>
    <n v="473"/>
    <s v="ORD-SP0473-25/04/23"/>
    <s v="PW001"/>
    <s v="Pakaian Wanita"/>
    <s v="Dress"/>
    <n v="2"/>
    <n v="3"/>
    <n v="600000"/>
    <n v="480000"/>
    <n v="200000"/>
    <n v="80000"/>
    <m/>
    <s v="-"/>
    <s v="-"/>
    <m/>
    <m/>
    <n v="0"/>
    <n v="0"/>
    <n v="0"/>
    <n v="0"/>
    <m/>
    <s v="-"/>
    <s v="-"/>
    <m/>
    <m/>
    <n v="0"/>
    <n v="0"/>
    <n v="0"/>
    <n v="0"/>
    <n v="2"/>
    <n v="600000"/>
    <n v="480000"/>
    <n v="200000"/>
    <n v="80000"/>
    <s v="DISC20"/>
    <n v="0.2"/>
    <x v="1"/>
    <x v="2"/>
    <x v="4"/>
    <d v="2023-04-25T00:00:00"/>
    <x v="6"/>
    <s v="Tuesday"/>
    <x v="2"/>
    <n v="3"/>
  </r>
  <r>
    <n v="474"/>
    <s v="ORD-TK0474-19/04/23"/>
    <s v="PW001"/>
    <s v="Pakaian Wanita"/>
    <s v="Dress"/>
    <n v="1"/>
    <n v="1"/>
    <n v="300000"/>
    <n v="270000"/>
    <n v="100000"/>
    <n v="70000"/>
    <s v="PP001"/>
    <s v="Pakaian Pria"/>
    <s v="Kaos Polo"/>
    <n v="1"/>
    <n v="5"/>
    <n v="200000"/>
    <n v="180000"/>
    <n v="80000"/>
    <n v="60000"/>
    <s v="PW002"/>
    <s v="Pakaian Wanita"/>
    <s v="Blouse"/>
    <n v="3"/>
    <n v="4"/>
    <n v="450000"/>
    <n v="405000"/>
    <n v="150000"/>
    <n v="105000"/>
    <n v="5"/>
    <n v="950000"/>
    <n v="855000"/>
    <n v="330000"/>
    <n v="235000"/>
    <s v="LEBAR10"/>
    <n v="0.1"/>
    <x v="1"/>
    <x v="1"/>
    <x v="4"/>
    <d v="2023-04-19T00:00:00"/>
    <x v="19"/>
    <s v="Wednesday"/>
    <x v="1"/>
    <n v="3.3333333333333335"/>
  </r>
  <r>
    <n v="475"/>
    <s v="ORD-SP0475-01/04/23"/>
    <s v="PP002"/>
    <s v="Pakaian Pria"/>
    <s v="Celana Pendek"/>
    <n v="2"/>
    <n v="3"/>
    <n v="360000"/>
    <n v="324000"/>
    <n v="140000"/>
    <n v="104000"/>
    <s v="PW001"/>
    <s v="Pakaian Wanita"/>
    <s v="Dress"/>
    <n v="1"/>
    <n v="3"/>
    <n v="300000"/>
    <n v="270000"/>
    <n v="100000"/>
    <n v="70000"/>
    <m/>
    <s v="-"/>
    <s v="-"/>
    <m/>
    <m/>
    <n v="0"/>
    <n v="0"/>
    <n v="0"/>
    <n v="0"/>
    <n v="3"/>
    <n v="660000"/>
    <n v="594000"/>
    <n v="240000"/>
    <n v="174000"/>
    <s v="DISC10"/>
    <n v="0.1"/>
    <x v="0"/>
    <x v="2"/>
    <x v="1"/>
    <d v="2023-04-01T00:00:00"/>
    <x v="0"/>
    <s v="Saturday"/>
    <x v="0"/>
    <n v="3"/>
  </r>
  <r>
    <n v="476"/>
    <s v="ORD-BB0476-04/04/23"/>
    <s v="PW002"/>
    <s v="Pakaian Wanita"/>
    <s v="Blouse"/>
    <n v="2"/>
    <n v="5"/>
    <n v="300000"/>
    <n v="255000"/>
    <n v="100000"/>
    <n v="55000"/>
    <s v="SP002"/>
    <s v="Sepatu Pria"/>
    <s v="Sandal Slip On"/>
    <n v="3"/>
    <n v="1"/>
    <n v="450000"/>
    <n v="382500"/>
    <n v="180000"/>
    <n v="112500"/>
    <m/>
    <s v="-"/>
    <s v="-"/>
    <m/>
    <m/>
    <n v="0"/>
    <n v="0"/>
    <n v="0"/>
    <n v="0"/>
    <n v="5"/>
    <n v="750000"/>
    <n v="637500"/>
    <n v="280000"/>
    <n v="167500"/>
    <s v="BELI44"/>
    <n v="0.15"/>
    <x v="0"/>
    <x v="0"/>
    <x v="4"/>
    <d v="2023-04-04T00:00:00"/>
    <x v="7"/>
    <s v="Tuesday"/>
    <x v="0"/>
    <n v="3"/>
  </r>
  <r>
    <n v="477"/>
    <s v="ORD-BL0477-29/04/23"/>
    <s v="PP003"/>
    <s v="Pakaian Pria"/>
    <s v="Jaket Jeans"/>
    <n v="3"/>
    <n v="3"/>
    <n v="1200000"/>
    <n v="1020000"/>
    <n v="450000"/>
    <n v="270000"/>
    <m/>
    <s v="-"/>
    <s v="-"/>
    <m/>
    <m/>
    <n v="0"/>
    <n v="0"/>
    <n v="0"/>
    <n v="0"/>
    <m/>
    <s v="-"/>
    <s v="-"/>
    <m/>
    <m/>
    <n v="0"/>
    <n v="0"/>
    <n v="0"/>
    <n v="0"/>
    <n v="3"/>
    <n v="1200000"/>
    <n v="1020000"/>
    <n v="450000"/>
    <n v="270000"/>
    <s v="BUKALEBAR"/>
    <n v="0.15"/>
    <x v="1"/>
    <x v="3"/>
    <x v="0"/>
    <d v="2023-04-29T00:00:00"/>
    <x v="13"/>
    <s v="Saturday"/>
    <x v="2"/>
    <n v="3"/>
  </r>
  <r>
    <n v="478"/>
    <s v="ORD-BB0478-05/04/23"/>
    <s v="PU001"/>
    <s v="Pakaian Unisex"/>
    <s v="Jaket Hoodie"/>
    <n v="1"/>
    <n v="3"/>
    <n v="350000"/>
    <n v="297500"/>
    <n v="130000"/>
    <n v="77500"/>
    <s v="PW002"/>
    <s v="Pakaian Wanita"/>
    <s v="Blouse"/>
    <n v="4"/>
    <n v="2"/>
    <n v="600000"/>
    <n v="510000"/>
    <n v="200000"/>
    <n v="110000"/>
    <s v="PU001"/>
    <s v="Pakaian Unisex"/>
    <s v="Jaket Hoodie"/>
    <n v="1"/>
    <n v="4"/>
    <n v="350000"/>
    <n v="297500"/>
    <n v="130000"/>
    <n v="77500"/>
    <n v="6"/>
    <n v="1300000"/>
    <n v="1105000"/>
    <n v="460000"/>
    <n v="265000"/>
    <s v="BELI44"/>
    <n v="0.15"/>
    <x v="0"/>
    <x v="0"/>
    <x v="4"/>
    <d v="2023-04-05T00:00:00"/>
    <x v="9"/>
    <s v="Wednesday"/>
    <x v="0"/>
    <n v="3"/>
  </r>
  <r>
    <n v="479"/>
    <s v="ORD-TK0479-27/04/23"/>
    <s v="PP003"/>
    <s v="Pakaian Pria"/>
    <s v="Jaket Jeans"/>
    <n v="2"/>
    <n v="1"/>
    <n v="800000"/>
    <n v="720000"/>
    <n v="300000"/>
    <n v="220000"/>
    <s v="SP001"/>
    <s v="Sepatu Pria"/>
    <s v="Sneakers"/>
    <n v="2"/>
    <n v="3"/>
    <n v="1000000"/>
    <n v="900000"/>
    <n v="400000"/>
    <n v="300000"/>
    <m/>
    <s v="-"/>
    <s v="-"/>
    <m/>
    <m/>
    <n v="0"/>
    <n v="0"/>
    <n v="0"/>
    <n v="0"/>
    <n v="4"/>
    <n v="1800000"/>
    <n v="1620000"/>
    <n v="700000"/>
    <n v="520000"/>
    <s v="LEBAR10"/>
    <n v="0.1"/>
    <x v="1"/>
    <x v="1"/>
    <x v="4"/>
    <d v="2023-04-27T00:00:00"/>
    <x v="18"/>
    <s v="Thursday"/>
    <x v="2"/>
    <n v="2"/>
  </r>
  <r>
    <n v="480"/>
    <s v="ORD-TK0480-03/04/23"/>
    <s v="SP001"/>
    <s v="Sepatu Pria"/>
    <s v="Sneakers"/>
    <n v="2"/>
    <n v="1"/>
    <n v="1000000"/>
    <n v="900000"/>
    <n v="400000"/>
    <n v="300000"/>
    <m/>
    <s v="-"/>
    <s v="-"/>
    <m/>
    <m/>
    <n v="0"/>
    <n v="0"/>
    <n v="0"/>
    <n v="0"/>
    <m/>
    <s v="-"/>
    <s v="-"/>
    <m/>
    <m/>
    <n v="0"/>
    <n v="0"/>
    <n v="0"/>
    <n v="0"/>
    <n v="2"/>
    <n v="1000000"/>
    <n v="900000"/>
    <n v="400000"/>
    <n v="300000"/>
    <s v="DISCAPRIL"/>
    <n v="0.1"/>
    <x v="0"/>
    <x v="1"/>
    <x v="5"/>
    <d v="2023-04-03T00:00:00"/>
    <x v="2"/>
    <s v="Monday"/>
    <x v="0"/>
    <n v="1"/>
  </r>
  <r>
    <n v="481"/>
    <s v="ORD-BB0481-06/04/23"/>
    <s v="SP002"/>
    <s v="Sepatu Pria"/>
    <s v="Sandal Slip On"/>
    <n v="2"/>
    <n v="2"/>
    <n v="300000"/>
    <n v="255000"/>
    <n v="120000"/>
    <n v="75000"/>
    <s v="SW001"/>
    <s v="Sepatu Wanita"/>
    <s v="Flat Shoes"/>
    <n v="2"/>
    <n v="2"/>
    <n v="500000"/>
    <n v="425000"/>
    <n v="200000"/>
    <n v="125000"/>
    <s v="SP001"/>
    <s v="Sepatu Pria"/>
    <s v="Sneakers"/>
    <n v="1"/>
    <n v="1"/>
    <n v="500000"/>
    <n v="425000"/>
    <n v="200000"/>
    <n v="125000"/>
    <n v="5"/>
    <n v="1300000"/>
    <n v="1105000"/>
    <n v="520000"/>
    <n v="325000"/>
    <s v="BELI44"/>
    <n v="0.15"/>
    <x v="0"/>
    <x v="0"/>
    <x v="4"/>
    <d v="2023-04-06T00:00:00"/>
    <x v="8"/>
    <s v="Thursday"/>
    <x v="0"/>
    <n v="1.6666666666666667"/>
  </r>
  <r>
    <n v="482"/>
    <s v="ORD-TK0482-25/04/23"/>
    <s v="PP001"/>
    <s v="Pakaian Pria"/>
    <s v="Kaos Polo"/>
    <n v="1"/>
    <n v="3"/>
    <n v="200000"/>
    <n v="180000"/>
    <n v="80000"/>
    <n v="60000"/>
    <m/>
    <s v="-"/>
    <s v="-"/>
    <m/>
    <m/>
    <n v="0"/>
    <n v="0"/>
    <n v="0"/>
    <n v="0"/>
    <m/>
    <s v="-"/>
    <s v="-"/>
    <m/>
    <m/>
    <n v="0"/>
    <n v="0"/>
    <n v="0"/>
    <n v="0"/>
    <n v="1"/>
    <n v="200000"/>
    <n v="180000"/>
    <n v="80000"/>
    <n v="60000"/>
    <s v="LEBAR10"/>
    <n v="0.1"/>
    <x v="1"/>
    <x v="1"/>
    <x v="1"/>
    <d v="2023-04-25T00:00:00"/>
    <x v="6"/>
    <s v="Tuesday"/>
    <x v="2"/>
    <n v="3"/>
  </r>
  <r>
    <n v="483"/>
    <s v="ORD-TK0483-05/04/23"/>
    <s v="PP001"/>
    <s v="Pakaian Pria"/>
    <s v="Kaos Polo"/>
    <n v="3"/>
    <n v="5"/>
    <n v="600000"/>
    <n v="540000"/>
    <n v="240000"/>
    <n v="180000"/>
    <s v="PW003"/>
    <s v="Pakaian Wanita"/>
    <s v="Kaftan"/>
    <n v="4"/>
    <n v="1"/>
    <n v="1000000"/>
    <n v="900000"/>
    <n v="400000"/>
    <n v="300000"/>
    <m/>
    <s v="-"/>
    <s v="-"/>
    <m/>
    <m/>
    <n v="0"/>
    <n v="0"/>
    <n v="0"/>
    <n v="0"/>
    <n v="7"/>
    <n v="1600000"/>
    <n v="1440000"/>
    <n v="640000"/>
    <n v="480000"/>
    <s v="DISCAPRIL"/>
    <n v="0.1"/>
    <x v="0"/>
    <x v="1"/>
    <x v="4"/>
    <d v="2023-04-05T00:00:00"/>
    <x v="9"/>
    <s v="Wednesday"/>
    <x v="0"/>
    <n v="3"/>
  </r>
  <r>
    <n v="484"/>
    <s v="ORD-TK0484-03/04/23"/>
    <s v="PP001"/>
    <s v="Pakaian Pria"/>
    <s v="Kaos Polo"/>
    <n v="1"/>
    <n v="3"/>
    <n v="200000"/>
    <n v="180000"/>
    <n v="80000"/>
    <n v="60000"/>
    <m/>
    <s v="-"/>
    <s v="-"/>
    <m/>
    <m/>
    <n v="0"/>
    <n v="0"/>
    <n v="0"/>
    <n v="0"/>
    <m/>
    <s v="-"/>
    <s v="-"/>
    <m/>
    <m/>
    <n v="0"/>
    <n v="0"/>
    <n v="0"/>
    <n v="0"/>
    <n v="1"/>
    <n v="200000"/>
    <n v="180000"/>
    <n v="80000"/>
    <n v="60000"/>
    <s v="DISCAPRIL"/>
    <n v="0.1"/>
    <x v="0"/>
    <x v="1"/>
    <x v="4"/>
    <d v="2023-04-03T00:00:00"/>
    <x v="2"/>
    <s v="Monday"/>
    <x v="0"/>
    <n v="3"/>
  </r>
  <r>
    <n v="485"/>
    <s v="ORD-TK0485-03/04/23"/>
    <s v="SP001"/>
    <s v="Sepatu Pria"/>
    <s v="Sneakers"/>
    <n v="2"/>
    <n v="4"/>
    <n v="1000000"/>
    <n v="900000"/>
    <n v="400000"/>
    <n v="300000"/>
    <m/>
    <s v="-"/>
    <s v="-"/>
    <m/>
    <m/>
    <n v="0"/>
    <n v="0"/>
    <n v="0"/>
    <n v="0"/>
    <m/>
    <s v="-"/>
    <s v="-"/>
    <m/>
    <m/>
    <n v="0"/>
    <n v="0"/>
    <n v="0"/>
    <n v="0"/>
    <n v="2"/>
    <n v="1000000"/>
    <n v="900000"/>
    <n v="400000"/>
    <n v="300000"/>
    <s v="DISCAPRIL"/>
    <n v="0.1"/>
    <x v="0"/>
    <x v="1"/>
    <x v="2"/>
    <d v="2023-04-03T00:00:00"/>
    <x v="2"/>
    <s v="Monday"/>
    <x v="0"/>
    <n v="4"/>
  </r>
  <r>
    <n v="486"/>
    <s v="ORD-SP0486-13/04/23"/>
    <s v="PW002"/>
    <s v="Pakaian Wanita"/>
    <s v="Blouse"/>
    <n v="2"/>
    <n v="4"/>
    <n v="300000"/>
    <n v="300000"/>
    <n v="100000"/>
    <n v="100000"/>
    <s v="SW001"/>
    <s v="Sepatu Wanita"/>
    <s v="Flat Shoes"/>
    <n v="2"/>
    <n v="4"/>
    <n v="500000"/>
    <n v="500000"/>
    <n v="200000"/>
    <n v="200000"/>
    <s v="PW002"/>
    <s v="Pakaian Wanita"/>
    <s v="Blouse"/>
    <n v="2"/>
    <n v="2"/>
    <n v="300000"/>
    <n v="300000"/>
    <n v="100000"/>
    <n v="100000"/>
    <n v="6"/>
    <n v="1100000"/>
    <n v="1100000"/>
    <n v="400000"/>
    <n v="400000"/>
    <s v="Tidak Ada"/>
    <s v="-"/>
    <x v="2"/>
    <x v="2"/>
    <x v="2"/>
    <d v="2023-04-13T00:00:00"/>
    <x v="21"/>
    <s v="Thursday"/>
    <x v="3"/>
    <n v="3.3333333333333335"/>
  </r>
  <r>
    <n v="487"/>
    <s v="ORD-BB0487-04/04/23"/>
    <s v="PP003"/>
    <s v="Pakaian Pria"/>
    <s v="Jaket Jeans"/>
    <n v="2"/>
    <n v="4"/>
    <n v="800000"/>
    <n v="680000"/>
    <n v="300000"/>
    <n v="180000"/>
    <s v="PP001"/>
    <s v="Pakaian Pria"/>
    <s v="Kaos Polo"/>
    <n v="1"/>
    <n v="5"/>
    <n v="200000"/>
    <n v="170000"/>
    <n v="80000"/>
    <n v="50000"/>
    <m/>
    <s v="-"/>
    <s v="-"/>
    <m/>
    <m/>
    <n v="0"/>
    <n v="0"/>
    <n v="0"/>
    <n v="0"/>
    <n v="3"/>
    <n v="1000000"/>
    <n v="850000"/>
    <n v="380000"/>
    <n v="230000"/>
    <s v="BELI44"/>
    <n v="0.15"/>
    <x v="0"/>
    <x v="0"/>
    <x v="0"/>
    <d v="2023-04-04T00:00:00"/>
    <x v="7"/>
    <s v="Tuesday"/>
    <x v="0"/>
    <n v="4.5"/>
  </r>
  <r>
    <n v="488"/>
    <s v="ORD-BL0488-08/04/23"/>
    <s v="SP002"/>
    <s v="Sepatu Pria"/>
    <s v="Sandal Slip On"/>
    <n v="2"/>
    <n v="3"/>
    <n v="300000"/>
    <n v="300000"/>
    <n v="120000"/>
    <n v="120000"/>
    <s v="PW002"/>
    <s v="Pakaian Wanita"/>
    <s v="Blouse"/>
    <n v="1"/>
    <n v="3"/>
    <n v="150000"/>
    <n v="150000"/>
    <n v="50000"/>
    <n v="50000"/>
    <m/>
    <s v="-"/>
    <s v="-"/>
    <m/>
    <m/>
    <n v="0"/>
    <n v="0"/>
    <n v="0"/>
    <n v="0"/>
    <n v="3"/>
    <n v="450000"/>
    <n v="450000"/>
    <n v="170000"/>
    <n v="170000"/>
    <s v="Tidak Ada"/>
    <s v="-"/>
    <x v="2"/>
    <x v="3"/>
    <x v="0"/>
    <d v="2023-04-08T00:00:00"/>
    <x v="26"/>
    <s v="Saturday"/>
    <x v="3"/>
    <n v="3"/>
  </r>
  <r>
    <n v="489"/>
    <s v="ORD-SP0489-07/04/23"/>
    <s v="PW001"/>
    <s v="Pakaian Wanita"/>
    <s v="Dress"/>
    <n v="1"/>
    <n v="5"/>
    <n v="300000"/>
    <n v="300000"/>
    <n v="100000"/>
    <n v="100000"/>
    <m/>
    <s v="-"/>
    <s v="-"/>
    <m/>
    <m/>
    <n v="0"/>
    <n v="0"/>
    <n v="0"/>
    <n v="0"/>
    <m/>
    <s v="-"/>
    <s v="-"/>
    <m/>
    <m/>
    <n v="0"/>
    <n v="0"/>
    <n v="0"/>
    <n v="0"/>
    <n v="1"/>
    <n v="300000"/>
    <n v="300000"/>
    <n v="100000"/>
    <n v="100000"/>
    <s v="Tidak Ada"/>
    <s v="-"/>
    <x v="2"/>
    <x v="2"/>
    <x v="2"/>
    <d v="2023-04-07T00:00:00"/>
    <x v="28"/>
    <s v="Friday"/>
    <x v="0"/>
    <n v="5"/>
  </r>
  <r>
    <n v="490"/>
    <s v="ORD-BL0490-27/04/23"/>
    <s v="SP001"/>
    <s v="Sepatu Pria"/>
    <s v="Sneakers"/>
    <n v="1"/>
    <n v="2"/>
    <n v="500000"/>
    <n v="425000"/>
    <n v="200000"/>
    <n v="125000"/>
    <m/>
    <s v="-"/>
    <s v="-"/>
    <m/>
    <m/>
    <n v="0"/>
    <n v="0"/>
    <n v="0"/>
    <n v="0"/>
    <m/>
    <s v="-"/>
    <s v="-"/>
    <m/>
    <m/>
    <n v="0"/>
    <n v="0"/>
    <n v="0"/>
    <n v="0"/>
    <n v="1"/>
    <n v="500000"/>
    <n v="425000"/>
    <n v="200000"/>
    <n v="125000"/>
    <s v="BUKALEBAR"/>
    <n v="0.15"/>
    <x v="1"/>
    <x v="3"/>
    <x v="2"/>
    <d v="2023-04-27T00:00:00"/>
    <x v="18"/>
    <s v="Thursday"/>
    <x v="2"/>
    <n v="2"/>
  </r>
  <r>
    <n v="491"/>
    <s v="ORD-BB0491-05/04/23"/>
    <s v="SP001"/>
    <s v="Sepatu Pria"/>
    <s v="Sneakers"/>
    <n v="1"/>
    <n v="1"/>
    <n v="500000"/>
    <n v="425000"/>
    <n v="200000"/>
    <n v="125000"/>
    <s v="PP002"/>
    <s v="Pakaian Pria"/>
    <s v="Celana Pendek"/>
    <n v="2"/>
    <n v="2"/>
    <n v="360000"/>
    <n v="306000"/>
    <n v="140000"/>
    <n v="86000"/>
    <s v="PP003"/>
    <s v="Pakaian Pria"/>
    <s v="Jaket Jeans"/>
    <n v="1"/>
    <n v="2"/>
    <n v="400000"/>
    <n v="340000"/>
    <n v="150000"/>
    <n v="90000"/>
    <n v="4"/>
    <n v="1260000"/>
    <n v="1071000"/>
    <n v="490000"/>
    <n v="301000"/>
    <s v="BELI44"/>
    <n v="0.15"/>
    <x v="0"/>
    <x v="0"/>
    <x v="4"/>
    <d v="2023-04-05T00:00:00"/>
    <x v="9"/>
    <s v="Wednesday"/>
    <x v="0"/>
    <n v="1.6666666666666667"/>
  </r>
  <r>
    <n v="492"/>
    <s v="ORD-TK0492-06/04/23"/>
    <s v="PP002"/>
    <s v="Pakaian Pria"/>
    <s v="Celana Pendek"/>
    <n v="3"/>
    <n v="5"/>
    <n v="540000"/>
    <n v="486000"/>
    <n v="210000"/>
    <n v="156000"/>
    <s v="PP003"/>
    <s v="Pakaian Pria"/>
    <s v="Jaket Jeans"/>
    <n v="1"/>
    <n v="4"/>
    <n v="400000"/>
    <n v="360000"/>
    <n v="150000"/>
    <n v="110000"/>
    <s v="PU001"/>
    <s v="Pakaian Unisex"/>
    <s v="Jaket Hoodie"/>
    <n v="1"/>
    <n v="3"/>
    <n v="350000"/>
    <n v="315000"/>
    <n v="130000"/>
    <n v="95000"/>
    <n v="5"/>
    <n v="1290000"/>
    <n v="1161000"/>
    <n v="490000"/>
    <n v="361000"/>
    <s v="DISCAPRIL"/>
    <n v="0.1"/>
    <x v="0"/>
    <x v="1"/>
    <x v="5"/>
    <d v="2023-04-06T00:00:00"/>
    <x v="8"/>
    <s v="Thursday"/>
    <x v="0"/>
    <n v="4"/>
  </r>
  <r>
    <n v="493"/>
    <s v="ORD-BB0493-13/04/23"/>
    <s v="PW002"/>
    <s v="Pakaian Wanita"/>
    <s v="Blouse"/>
    <n v="2"/>
    <n v="4"/>
    <n v="300000"/>
    <n v="300000"/>
    <n v="100000"/>
    <n v="100000"/>
    <s v="PW001"/>
    <s v="Pakaian Wanita"/>
    <s v="Dress"/>
    <n v="1"/>
    <n v="5"/>
    <n v="300000"/>
    <n v="300000"/>
    <n v="100000"/>
    <n v="100000"/>
    <s v="PU001"/>
    <s v="Pakaian Unisex"/>
    <s v="Jaket Hoodie"/>
    <n v="1"/>
    <n v="1"/>
    <n v="350000"/>
    <n v="350000"/>
    <n v="130000"/>
    <n v="130000"/>
    <n v="4"/>
    <n v="950000"/>
    <n v="950000"/>
    <n v="330000"/>
    <n v="330000"/>
    <s v="Tidak Ada"/>
    <s v="-"/>
    <x v="2"/>
    <x v="0"/>
    <x v="1"/>
    <d v="2023-04-13T00:00:00"/>
    <x v="21"/>
    <s v="Thursday"/>
    <x v="3"/>
    <n v="3.3333333333333335"/>
  </r>
  <r>
    <n v="494"/>
    <s v="ORD-BB0494-05/04/23"/>
    <s v="PW002"/>
    <s v="Pakaian Wanita"/>
    <s v="Blouse"/>
    <n v="1"/>
    <n v="4"/>
    <n v="150000"/>
    <n v="127500"/>
    <n v="50000"/>
    <n v="27500"/>
    <s v="PP001"/>
    <s v="Pakaian Pria"/>
    <s v="Kaos Polo"/>
    <n v="1"/>
    <n v="5"/>
    <n v="200000"/>
    <n v="170000"/>
    <n v="80000"/>
    <n v="50000"/>
    <s v="SW001"/>
    <s v="Sepatu Wanita"/>
    <s v="Flat Shoes"/>
    <n v="1"/>
    <n v="5"/>
    <n v="250000"/>
    <n v="212500"/>
    <n v="100000"/>
    <n v="62500"/>
    <n v="3"/>
    <n v="600000"/>
    <n v="510000"/>
    <n v="230000"/>
    <n v="140000"/>
    <s v="BELI44"/>
    <n v="0.15"/>
    <x v="0"/>
    <x v="0"/>
    <x v="0"/>
    <d v="2023-04-05T00:00:00"/>
    <x v="9"/>
    <s v="Wednesday"/>
    <x v="0"/>
    <n v="4.666666666666667"/>
  </r>
  <r>
    <n v="495"/>
    <s v="ORD-SP0495-01/04/23"/>
    <s v="PU001"/>
    <s v="Pakaian Unisex"/>
    <s v="Jaket Hoodie"/>
    <n v="1"/>
    <n v="5"/>
    <n v="350000"/>
    <n v="297500"/>
    <n v="130000"/>
    <n v="77500"/>
    <s v="PW002"/>
    <s v="Pakaian Wanita"/>
    <s v="Blouse"/>
    <n v="1"/>
    <n v="3"/>
    <n v="150000"/>
    <n v="127500"/>
    <n v="50000"/>
    <n v="27500"/>
    <s v="SW001"/>
    <s v="Sepatu Wanita"/>
    <s v="Flat Shoes"/>
    <n v="5"/>
    <n v="3"/>
    <n v="1250000"/>
    <n v="1062500"/>
    <n v="500000"/>
    <n v="312500"/>
    <n v="7"/>
    <n v="1750000"/>
    <n v="1487500"/>
    <n v="680000"/>
    <n v="417500"/>
    <s v="DISC15"/>
    <n v="0.15"/>
    <x v="0"/>
    <x v="2"/>
    <x v="4"/>
    <d v="2023-04-01T00:00:00"/>
    <x v="0"/>
    <s v="Saturday"/>
    <x v="0"/>
    <n v="3.6666666666666665"/>
  </r>
  <r>
    <n v="496"/>
    <s v="ORD-TK0496-10/04/23"/>
    <s v="PW001"/>
    <s v="Pakaian Wanita"/>
    <s v="Dress"/>
    <n v="3"/>
    <n v="3"/>
    <n v="900000"/>
    <n v="900000"/>
    <n v="300000"/>
    <n v="300000"/>
    <s v="PW002"/>
    <s v="Pakaian Wanita"/>
    <s v="Blouse"/>
    <n v="1"/>
    <n v="1"/>
    <n v="150000"/>
    <n v="150000"/>
    <n v="50000"/>
    <n v="50000"/>
    <s v="SW001"/>
    <s v="Sepatu Wanita"/>
    <s v="Flat Shoes"/>
    <n v="3"/>
    <n v="1"/>
    <n v="750000"/>
    <n v="750000"/>
    <n v="300000"/>
    <n v="300000"/>
    <n v="7"/>
    <n v="1800000"/>
    <n v="1800000"/>
    <n v="650000"/>
    <n v="650000"/>
    <s v="Tidak Ada"/>
    <s v="-"/>
    <x v="2"/>
    <x v="1"/>
    <x v="5"/>
    <d v="2023-04-10T00:00:00"/>
    <x v="23"/>
    <s v="Monday"/>
    <x v="3"/>
    <n v="1.6666666666666667"/>
  </r>
  <r>
    <n v="497"/>
    <s v="ORD-TK0497-24/04/23"/>
    <s v="PP003"/>
    <s v="Pakaian Pria"/>
    <s v="Jaket Jeans"/>
    <n v="3"/>
    <n v="3"/>
    <n v="1200000"/>
    <n v="1080000"/>
    <n v="450000"/>
    <n v="330000"/>
    <m/>
    <s v="-"/>
    <s v="-"/>
    <m/>
    <m/>
    <n v="0"/>
    <n v="0"/>
    <n v="0"/>
    <n v="0"/>
    <m/>
    <s v="-"/>
    <s v="-"/>
    <m/>
    <m/>
    <n v="0"/>
    <n v="0"/>
    <n v="0"/>
    <n v="0"/>
    <n v="3"/>
    <n v="1200000"/>
    <n v="1080000"/>
    <n v="450000"/>
    <n v="330000"/>
    <s v="LEBAR10"/>
    <n v="0.1"/>
    <x v="1"/>
    <x v="1"/>
    <x v="0"/>
    <d v="2023-04-24T00:00:00"/>
    <x v="4"/>
    <s v="Monday"/>
    <x v="2"/>
    <n v="3"/>
  </r>
  <r>
    <n v="498"/>
    <s v="ORD-TK0498-11/04/23"/>
    <s v="PP003"/>
    <s v="Pakaian Pria"/>
    <s v="Jaket Jeans"/>
    <n v="4"/>
    <n v="5"/>
    <n v="1600000"/>
    <n v="1600000"/>
    <n v="600000"/>
    <n v="600000"/>
    <s v="PP001"/>
    <s v="Pakaian Pria"/>
    <s v="Kaos Polo"/>
    <n v="2"/>
    <n v="4"/>
    <n v="400000"/>
    <n v="400000"/>
    <n v="160000"/>
    <n v="160000"/>
    <m/>
    <s v="-"/>
    <s v="-"/>
    <m/>
    <m/>
    <n v="0"/>
    <n v="0"/>
    <n v="0"/>
    <n v="0"/>
    <n v="6"/>
    <n v="2000000"/>
    <n v="2000000"/>
    <n v="760000"/>
    <n v="760000"/>
    <s v="Tidak Ada"/>
    <s v="-"/>
    <x v="2"/>
    <x v="1"/>
    <x v="4"/>
    <d v="2023-04-11T00:00:00"/>
    <x v="29"/>
    <s v="Tuesday"/>
    <x v="3"/>
    <n v="4.5"/>
  </r>
  <r>
    <n v="499"/>
    <s v="ORD-TK0499-04/04/23"/>
    <s v="SW001"/>
    <s v="Sepatu Wanita"/>
    <s v="Flat Shoes"/>
    <n v="2"/>
    <n v="4"/>
    <n v="500000"/>
    <n v="450000"/>
    <n v="200000"/>
    <n v="150000"/>
    <s v="PP001"/>
    <s v="Pakaian Pria"/>
    <s v="Kaos Polo"/>
    <n v="1"/>
    <n v="5"/>
    <n v="200000"/>
    <n v="180000"/>
    <n v="80000"/>
    <n v="60000"/>
    <m/>
    <s v="-"/>
    <s v="-"/>
    <m/>
    <m/>
    <n v="0"/>
    <n v="0"/>
    <n v="0"/>
    <n v="0"/>
    <n v="3"/>
    <n v="700000"/>
    <n v="630000"/>
    <n v="280000"/>
    <n v="210000"/>
    <s v="DISCAPRIL"/>
    <n v="0.1"/>
    <x v="0"/>
    <x v="1"/>
    <x v="2"/>
    <d v="2023-04-04T00:00:00"/>
    <x v="7"/>
    <s v="Tuesday"/>
    <x v="0"/>
    <n v="4.5"/>
  </r>
  <r>
    <n v="500"/>
    <s v="ORD-SP0500-29/04/23"/>
    <s v="SP002"/>
    <s v="Sepatu Pria"/>
    <s v="Sandal Slip On"/>
    <n v="2"/>
    <n v="5"/>
    <n v="300000"/>
    <n v="240000"/>
    <n v="120000"/>
    <n v="60000"/>
    <m/>
    <s v="-"/>
    <s v="-"/>
    <m/>
    <m/>
    <n v="0"/>
    <n v="0"/>
    <n v="0"/>
    <n v="0"/>
    <m/>
    <s v="-"/>
    <s v="-"/>
    <m/>
    <m/>
    <n v="0"/>
    <n v="0"/>
    <n v="0"/>
    <n v="0"/>
    <n v="2"/>
    <n v="300000"/>
    <n v="240000"/>
    <n v="120000"/>
    <n v="60000"/>
    <s v="DISC20"/>
    <n v="0.2"/>
    <x v="1"/>
    <x v="2"/>
    <x v="4"/>
    <d v="2023-04-29T00:00:00"/>
    <x v="13"/>
    <s v="Saturday"/>
    <x v="2"/>
    <n v="5"/>
  </r>
  <r>
    <n v="501"/>
    <s v="ORD-BL0501-18/04/23"/>
    <s v="SP002"/>
    <s v="Sepatu Pria"/>
    <s v="Sandal Slip On"/>
    <n v="1"/>
    <n v="3"/>
    <n v="150000"/>
    <n v="127500"/>
    <n v="60000"/>
    <n v="37500"/>
    <s v="PP002"/>
    <s v="Pakaian Pria"/>
    <s v="Celana Pendek"/>
    <n v="1"/>
    <n v="2"/>
    <n v="180000"/>
    <n v="153000"/>
    <n v="70000"/>
    <n v="43000"/>
    <m/>
    <s v="-"/>
    <s v="-"/>
    <m/>
    <m/>
    <n v="0"/>
    <n v="0"/>
    <n v="0"/>
    <n v="0"/>
    <n v="2"/>
    <n v="330000"/>
    <n v="280500"/>
    <n v="130000"/>
    <n v="80500"/>
    <s v="BUKALEBAR"/>
    <n v="0.15"/>
    <x v="1"/>
    <x v="3"/>
    <x v="2"/>
    <d v="2023-04-18T00:00:00"/>
    <x v="24"/>
    <s v="Tuesday"/>
    <x v="1"/>
    <n v="2.5"/>
  </r>
  <r>
    <n v="502"/>
    <s v="ORD-SP0502-07/04/23"/>
    <s v="PP003"/>
    <s v="Pakaian Pria"/>
    <s v="Jaket Jeans"/>
    <n v="2"/>
    <n v="2"/>
    <n v="800000"/>
    <n v="800000"/>
    <n v="300000"/>
    <n v="300000"/>
    <s v="PP001"/>
    <s v="Pakaian Pria"/>
    <s v="Kaos Polo"/>
    <n v="2"/>
    <n v="4"/>
    <n v="400000"/>
    <n v="400000"/>
    <n v="160000"/>
    <n v="160000"/>
    <m/>
    <s v="-"/>
    <s v="-"/>
    <m/>
    <m/>
    <n v="0"/>
    <n v="0"/>
    <n v="0"/>
    <n v="0"/>
    <n v="4"/>
    <n v="1200000"/>
    <n v="1200000"/>
    <n v="460000"/>
    <n v="460000"/>
    <s v="Tidak Ada"/>
    <s v="-"/>
    <x v="2"/>
    <x v="2"/>
    <x v="5"/>
    <d v="2023-04-07T00:00:00"/>
    <x v="28"/>
    <s v="Friday"/>
    <x v="0"/>
    <n v="3"/>
  </r>
  <r>
    <n v="503"/>
    <s v="ORD-BL0503-20/04/23"/>
    <s v="SP001"/>
    <s v="Sepatu Pria"/>
    <s v="Sneakers"/>
    <n v="3"/>
    <n v="1"/>
    <n v="1500000"/>
    <n v="1275000"/>
    <n v="600000"/>
    <n v="375000"/>
    <m/>
    <s v="-"/>
    <s v="-"/>
    <m/>
    <m/>
    <n v="0"/>
    <n v="0"/>
    <n v="0"/>
    <n v="0"/>
    <m/>
    <s v="-"/>
    <s v="-"/>
    <m/>
    <m/>
    <n v="0"/>
    <n v="0"/>
    <n v="0"/>
    <n v="0"/>
    <n v="3"/>
    <n v="1500000"/>
    <n v="1275000"/>
    <n v="600000"/>
    <n v="375000"/>
    <s v="BUKALEBAR"/>
    <n v="0.15"/>
    <x v="1"/>
    <x v="3"/>
    <x v="4"/>
    <d v="2023-04-20T00:00:00"/>
    <x v="5"/>
    <s v="Thursday"/>
    <x v="1"/>
    <n v="1"/>
  </r>
  <r>
    <n v="504"/>
    <s v="ORD-SP0504-16/04/23"/>
    <s v="PP002"/>
    <s v="Pakaian Pria"/>
    <s v="Celana Pendek"/>
    <n v="5"/>
    <n v="5"/>
    <n v="900000"/>
    <n v="720000"/>
    <n v="350000"/>
    <n v="170000"/>
    <s v="PP003"/>
    <s v="Pakaian Pria"/>
    <s v="Jaket Jeans"/>
    <n v="1"/>
    <n v="1"/>
    <n v="400000"/>
    <n v="320000"/>
    <n v="150000"/>
    <n v="70000"/>
    <s v="SP001"/>
    <s v="Sepatu Pria"/>
    <s v="Sneakers"/>
    <n v="1"/>
    <n v="5"/>
    <n v="500000"/>
    <n v="400000"/>
    <n v="200000"/>
    <n v="100000"/>
    <n v="7"/>
    <n v="1800000"/>
    <n v="1440000"/>
    <n v="700000"/>
    <n v="340000"/>
    <s v="DISC20"/>
    <n v="0.2"/>
    <x v="1"/>
    <x v="2"/>
    <x v="4"/>
    <d v="2023-04-16T00:00:00"/>
    <x v="17"/>
    <s v="Sunday"/>
    <x v="1"/>
    <n v="3.6666666666666665"/>
  </r>
  <r>
    <n v="505"/>
    <s v="ORD-TK0505-17/04/23"/>
    <s v="PW002"/>
    <s v="Pakaian Wanita"/>
    <s v="Blouse"/>
    <n v="1"/>
    <n v="3"/>
    <n v="150000"/>
    <n v="135000"/>
    <n v="50000"/>
    <n v="35000"/>
    <s v="PU001"/>
    <s v="Pakaian Unisex"/>
    <s v="Jaket Hoodie"/>
    <n v="1"/>
    <n v="5"/>
    <n v="350000"/>
    <n v="315000"/>
    <n v="130000"/>
    <n v="95000"/>
    <m/>
    <s v="-"/>
    <s v="-"/>
    <m/>
    <m/>
    <n v="0"/>
    <n v="0"/>
    <n v="0"/>
    <n v="0"/>
    <n v="2"/>
    <n v="500000"/>
    <n v="450000"/>
    <n v="180000"/>
    <n v="130000"/>
    <s v="LEBAR10"/>
    <n v="0.1"/>
    <x v="1"/>
    <x v="1"/>
    <x v="1"/>
    <d v="2023-04-17T00:00:00"/>
    <x v="3"/>
    <s v="Monday"/>
    <x v="1"/>
    <n v="4"/>
  </r>
  <r>
    <n v="506"/>
    <s v="ORD-SP0506-03/04/23"/>
    <s v="PP003"/>
    <s v="Pakaian Pria"/>
    <s v="Jaket Jeans"/>
    <n v="1"/>
    <n v="4"/>
    <n v="400000"/>
    <n v="360000"/>
    <n v="150000"/>
    <n v="110000"/>
    <s v="PW003"/>
    <s v="Pakaian Wanita"/>
    <s v="Kaftan"/>
    <n v="2"/>
    <n v="1"/>
    <n v="500000"/>
    <n v="450000"/>
    <n v="200000"/>
    <n v="150000"/>
    <s v="SP001"/>
    <s v="Sepatu Pria"/>
    <s v="Sneakers"/>
    <n v="1"/>
    <n v="3"/>
    <n v="500000"/>
    <n v="450000"/>
    <n v="200000"/>
    <n v="150000"/>
    <n v="4"/>
    <n v="1400000"/>
    <n v="1260000"/>
    <n v="550000"/>
    <n v="410000"/>
    <s v="DISC10"/>
    <n v="0.1"/>
    <x v="0"/>
    <x v="2"/>
    <x v="1"/>
    <d v="2023-04-03T00:00:00"/>
    <x v="2"/>
    <s v="Monday"/>
    <x v="0"/>
    <n v="2.6666666666666665"/>
  </r>
  <r>
    <n v="507"/>
    <s v="ORD-SP0507-22/04/23"/>
    <s v="PP001"/>
    <s v="Pakaian Pria"/>
    <s v="Kaos Polo"/>
    <n v="1"/>
    <n v="2"/>
    <n v="200000"/>
    <n v="160000"/>
    <n v="80000"/>
    <n v="40000"/>
    <s v="PU001"/>
    <s v="Pakaian Unisex"/>
    <s v="Jaket Hoodie"/>
    <n v="6"/>
    <n v="2"/>
    <n v="2100000"/>
    <n v="1680000"/>
    <n v="780000"/>
    <n v="360000"/>
    <m/>
    <s v="-"/>
    <s v="-"/>
    <m/>
    <m/>
    <n v="0"/>
    <n v="0"/>
    <n v="0"/>
    <n v="0"/>
    <n v="7"/>
    <n v="2300000"/>
    <n v="1840000"/>
    <n v="860000"/>
    <n v="400000"/>
    <s v="DISC20"/>
    <n v="0.2"/>
    <x v="1"/>
    <x v="2"/>
    <x v="4"/>
    <d v="2023-04-22T00:00:00"/>
    <x v="27"/>
    <s v="Saturday"/>
    <x v="2"/>
    <n v="2"/>
  </r>
  <r>
    <n v="508"/>
    <s v="ORD-BL0508-16/04/23"/>
    <s v="SP002"/>
    <s v="Sepatu Pria"/>
    <s v="Sandal Slip On"/>
    <n v="2"/>
    <n v="3"/>
    <n v="300000"/>
    <n v="255000"/>
    <n v="120000"/>
    <n v="75000"/>
    <s v="PW003"/>
    <s v="Pakaian Wanita"/>
    <s v="Kaftan"/>
    <n v="1"/>
    <n v="5"/>
    <n v="250000"/>
    <n v="212500"/>
    <n v="100000"/>
    <n v="62500"/>
    <s v="PW002"/>
    <s v="Pakaian Wanita"/>
    <s v="Blouse"/>
    <n v="2"/>
    <n v="2"/>
    <n v="300000"/>
    <n v="255000"/>
    <n v="100000"/>
    <n v="55000"/>
    <n v="5"/>
    <n v="850000"/>
    <n v="722500"/>
    <n v="320000"/>
    <n v="192500"/>
    <s v="BUKALEBAR"/>
    <n v="0.15"/>
    <x v="1"/>
    <x v="3"/>
    <x v="5"/>
    <d v="2023-04-16T00:00:00"/>
    <x v="17"/>
    <s v="Sunday"/>
    <x v="1"/>
    <n v="3.3333333333333335"/>
  </r>
  <r>
    <n v="509"/>
    <s v="ORD-SP0509-01/04/23"/>
    <s v="SP002"/>
    <s v="Sepatu Pria"/>
    <s v="Sandal Slip On"/>
    <n v="3"/>
    <n v="5"/>
    <n v="450000"/>
    <n v="382500"/>
    <n v="180000"/>
    <n v="112500"/>
    <s v="PP001"/>
    <s v="Pakaian Pria"/>
    <s v="Kaos Polo"/>
    <n v="2"/>
    <n v="2"/>
    <n v="400000"/>
    <n v="340000"/>
    <n v="160000"/>
    <n v="100000"/>
    <s v="PP003"/>
    <s v="Pakaian Pria"/>
    <s v="Jaket Jeans"/>
    <n v="1"/>
    <n v="2"/>
    <n v="400000"/>
    <n v="340000"/>
    <n v="150000"/>
    <n v="90000"/>
    <n v="6"/>
    <n v="1250000"/>
    <n v="1062500"/>
    <n v="490000"/>
    <n v="302500"/>
    <s v="DISC15"/>
    <n v="0.15"/>
    <x v="0"/>
    <x v="2"/>
    <x v="2"/>
    <d v="2023-04-01T00:00:00"/>
    <x v="0"/>
    <s v="Saturday"/>
    <x v="0"/>
    <n v="3"/>
  </r>
  <r>
    <n v="510"/>
    <s v="ORD-SP0510-06/04/23"/>
    <s v="SW001"/>
    <s v="Sepatu Wanita"/>
    <s v="Flat Shoes"/>
    <n v="1"/>
    <n v="4"/>
    <n v="250000"/>
    <n v="212500"/>
    <n v="100000"/>
    <n v="62500"/>
    <m/>
    <s v="-"/>
    <s v="-"/>
    <m/>
    <m/>
    <n v="0"/>
    <n v="0"/>
    <n v="0"/>
    <n v="0"/>
    <m/>
    <s v="-"/>
    <s v="-"/>
    <m/>
    <m/>
    <n v="0"/>
    <n v="0"/>
    <n v="0"/>
    <n v="0"/>
    <n v="1"/>
    <n v="250000"/>
    <n v="212500"/>
    <n v="100000"/>
    <n v="62500"/>
    <s v="DISC15"/>
    <n v="0.15"/>
    <x v="0"/>
    <x v="2"/>
    <x v="5"/>
    <d v="2023-04-06T00:00:00"/>
    <x v="8"/>
    <s v="Thursday"/>
    <x v="0"/>
    <n v="4"/>
  </r>
  <r>
    <n v="511"/>
    <s v="ORD-BL0511-28/04/23"/>
    <s v="PU001"/>
    <s v="Pakaian Unisex"/>
    <s v="Jaket Hoodie"/>
    <n v="1"/>
    <n v="5"/>
    <n v="350000"/>
    <n v="297500"/>
    <n v="130000"/>
    <n v="77500"/>
    <m/>
    <s v="-"/>
    <s v="-"/>
    <m/>
    <m/>
    <n v="0"/>
    <n v="0"/>
    <n v="0"/>
    <n v="0"/>
    <m/>
    <s v="-"/>
    <s v="-"/>
    <m/>
    <m/>
    <n v="0"/>
    <n v="0"/>
    <n v="0"/>
    <n v="0"/>
    <n v="1"/>
    <n v="350000"/>
    <n v="297500"/>
    <n v="130000"/>
    <n v="77500"/>
    <s v="BUKALEBAR"/>
    <n v="0.15"/>
    <x v="1"/>
    <x v="3"/>
    <x v="1"/>
    <d v="2023-04-28T00:00:00"/>
    <x v="11"/>
    <s v="Friday"/>
    <x v="2"/>
    <n v="5"/>
  </r>
  <r>
    <n v="512"/>
    <s v="ORD-BB0512-01/04/23"/>
    <s v="SP002"/>
    <s v="Sepatu Pria"/>
    <s v="Sandal Slip On"/>
    <n v="1"/>
    <n v="3"/>
    <n v="150000"/>
    <n v="127500"/>
    <n v="60000"/>
    <n v="37500"/>
    <m/>
    <s v="-"/>
    <s v="-"/>
    <m/>
    <m/>
    <n v="0"/>
    <n v="0"/>
    <n v="0"/>
    <n v="0"/>
    <m/>
    <s v="-"/>
    <s v="-"/>
    <m/>
    <m/>
    <n v="0"/>
    <n v="0"/>
    <n v="0"/>
    <n v="0"/>
    <n v="1"/>
    <n v="150000"/>
    <n v="127500"/>
    <n v="60000"/>
    <n v="37500"/>
    <s v="BELI44"/>
    <n v="0.15"/>
    <x v="0"/>
    <x v="0"/>
    <x v="5"/>
    <d v="2023-04-01T00:00:00"/>
    <x v="0"/>
    <s v="Saturday"/>
    <x v="0"/>
    <n v="3"/>
  </r>
  <r>
    <n v="513"/>
    <s v="ORD-SP0513-30/04/23"/>
    <s v="SP001"/>
    <s v="Sepatu Pria"/>
    <s v="Sneakers"/>
    <n v="3"/>
    <n v="2"/>
    <n v="1500000"/>
    <n v="1200000"/>
    <n v="600000"/>
    <n v="300000"/>
    <s v="PP001"/>
    <s v="Pakaian Pria"/>
    <s v="Kaos Polo"/>
    <n v="2"/>
    <n v="3"/>
    <n v="400000"/>
    <n v="320000"/>
    <n v="160000"/>
    <n v="80000"/>
    <m/>
    <s v="-"/>
    <s v="-"/>
    <m/>
    <m/>
    <n v="0"/>
    <n v="0"/>
    <n v="0"/>
    <n v="0"/>
    <n v="5"/>
    <n v="1900000"/>
    <n v="1520000"/>
    <n v="760000"/>
    <n v="380000"/>
    <s v="DISC20"/>
    <n v="0.2"/>
    <x v="1"/>
    <x v="2"/>
    <x v="0"/>
    <d v="2023-04-30T00:00:00"/>
    <x v="12"/>
    <s v="Sunday"/>
    <x v="2"/>
    <n v="2.5"/>
  </r>
  <r>
    <n v="514"/>
    <s v="ORD-SP0514-16/04/23"/>
    <s v="PU001"/>
    <s v="Pakaian Unisex"/>
    <s v="Jaket Hoodie"/>
    <n v="2"/>
    <n v="4"/>
    <n v="700000"/>
    <n v="560000"/>
    <n v="260000"/>
    <n v="120000"/>
    <s v="PW003"/>
    <s v="Pakaian Wanita"/>
    <s v="Kaftan"/>
    <n v="2"/>
    <n v="2"/>
    <n v="500000"/>
    <n v="400000"/>
    <n v="200000"/>
    <n v="100000"/>
    <m/>
    <s v="-"/>
    <s v="-"/>
    <m/>
    <m/>
    <n v="0"/>
    <n v="0"/>
    <n v="0"/>
    <n v="0"/>
    <n v="4"/>
    <n v="1200000"/>
    <n v="960000"/>
    <n v="460000"/>
    <n v="220000"/>
    <s v="DISC20"/>
    <n v="0.2"/>
    <x v="1"/>
    <x v="2"/>
    <x v="0"/>
    <d v="2023-04-16T00:00:00"/>
    <x v="17"/>
    <s v="Sunday"/>
    <x v="1"/>
    <n v="3"/>
  </r>
  <r>
    <n v="515"/>
    <s v="ORD-SP0515-04/04/23"/>
    <s v="PU001"/>
    <s v="Pakaian Unisex"/>
    <s v="Jaket Hoodie"/>
    <n v="4"/>
    <n v="5"/>
    <n v="1400000"/>
    <n v="1260000"/>
    <n v="520000"/>
    <n v="380000"/>
    <s v="SP002"/>
    <s v="Sepatu Pria"/>
    <s v="Sandal Slip On"/>
    <n v="2"/>
    <n v="1"/>
    <n v="300000"/>
    <n v="270000"/>
    <n v="120000"/>
    <n v="90000"/>
    <m/>
    <s v="-"/>
    <s v="-"/>
    <m/>
    <m/>
    <n v="0"/>
    <n v="0"/>
    <n v="0"/>
    <n v="0"/>
    <n v="6"/>
    <n v="1700000"/>
    <n v="1530000"/>
    <n v="640000"/>
    <n v="470000"/>
    <s v="DISC10"/>
    <n v="0.1"/>
    <x v="0"/>
    <x v="2"/>
    <x v="4"/>
    <d v="2023-04-04T00:00:00"/>
    <x v="7"/>
    <s v="Tuesday"/>
    <x v="0"/>
    <n v="3"/>
  </r>
  <r>
    <n v="516"/>
    <s v="ORD-SP0516-06/04/23"/>
    <s v="PP003"/>
    <s v="Pakaian Pria"/>
    <s v="Jaket Jeans"/>
    <n v="2"/>
    <n v="3"/>
    <n v="800000"/>
    <n v="680000"/>
    <n v="300000"/>
    <n v="180000"/>
    <s v="PW002"/>
    <s v="Pakaian Wanita"/>
    <s v="Blouse"/>
    <n v="3"/>
    <n v="1"/>
    <n v="450000"/>
    <n v="382500"/>
    <n v="150000"/>
    <n v="82500"/>
    <m/>
    <s v="-"/>
    <s v="-"/>
    <m/>
    <m/>
    <n v="0"/>
    <n v="0"/>
    <n v="0"/>
    <n v="0"/>
    <n v="5"/>
    <n v="1250000"/>
    <n v="1062500"/>
    <n v="450000"/>
    <n v="262500"/>
    <s v="DISC15"/>
    <n v="0.15"/>
    <x v="0"/>
    <x v="2"/>
    <x v="5"/>
    <d v="2023-04-06T00:00:00"/>
    <x v="8"/>
    <s v="Thursday"/>
    <x v="0"/>
    <n v="2"/>
  </r>
  <r>
    <n v="517"/>
    <s v="ORD-SP0517-12/04/23"/>
    <s v="SP001"/>
    <s v="Sepatu Pria"/>
    <s v="Sneakers"/>
    <n v="4"/>
    <n v="2"/>
    <n v="2000000"/>
    <n v="2000000"/>
    <n v="800000"/>
    <n v="800000"/>
    <s v="PW002"/>
    <s v="Pakaian Wanita"/>
    <s v="Blouse"/>
    <n v="1"/>
    <n v="4"/>
    <n v="150000"/>
    <n v="150000"/>
    <n v="50000"/>
    <n v="50000"/>
    <m/>
    <s v="-"/>
    <s v="-"/>
    <m/>
    <m/>
    <n v="0"/>
    <n v="0"/>
    <n v="0"/>
    <n v="0"/>
    <n v="5"/>
    <n v="2150000"/>
    <n v="2150000"/>
    <n v="850000"/>
    <n v="850000"/>
    <s v="Tidak Ada"/>
    <s v="-"/>
    <x v="2"/>
    <x v="2"/>
    <x v="2"/>
    <d v="2023-04-12T00:00:00"/>
    <x v="14"/>
    <s v="Wednesday"/>
    <x v="3"/>
    <n v="3"/>
  </r>
  <r>
    <n v="518"/>
    <s v="ORD-SP0518-28/04/23"/>
    <s v="SW001"/>
    <s v="Sepatu Wanita"/>
    <s v="Flat Shoes"/>
    <n v="2"/>
    <n v="5"/>
    <n v="500000"/>
    <n v="400000"/>
    <n v="200000"/>
    <n v="100000"/>
    <s v="PP001"/>
    <s v="Pakaian Pria"/>
    <s v="Kaos Polo"/>
    <n v="1"/>
    <n v="3"/>
    <n v="200000"/>
    <n v="160000"/>
    <n v="80000"/>
    <n v="40000"/>
    <s v="SP001"/>
    <s v="Sepatu Pria"/>
    <s v="Sneakers"/>
    <n v="2"/>
    <n v="5"/>
    <n v="1000000"/>
    <n v="800000"/>
    <n v="400000"/>
    <n v="200000"/>
    <n v="5"/>
    <n v="1700000"/>
    <n v="1360000"/>
    <n v="680000"/>
    <n v="340000"/>
    <s v="DISC20"/>
    <n v="0.2"/>
    <x v="1"/>
    <x v="2"/>
    <x v="1"/>
    <d v="2023-04-28T00:00:00"/>
    <x v="11"/>
    <s v="Friday"/>
    <x v="2"/>
    <n v="4.333333333333333"/>
  </r>
  <r>
    <n v="519"/>
    <s v="ORD-BL0519-16/04/23"/>
    <s v="PW002"/>
    <s v="Pakaian Wanita"/>
    <s v="Blouse"/>
    <n v="2"/>
    <n v="5"/>
    <n v="300000"/>
    <n v="255000"/>
    <n v="100000"/>
    <n v="55000"/>
    <s v="SW001"/>
    <s v="Sepatu Wanita"/>
    <s v="Flat Shoes"/>
    <n v="1"/>
    <n v="5"/>
    <n v="250000"/>
    <n v="212500"/>
    <n v="100000"/>
    <n v="62500"/>
    <m/>
    <s v="-"/>
    <s v="-"/>
    <m/>
    <m/>
    <n v="0"/>
    <n v="0"/>
    <n v="0"/>
    <n v="0"/>
    <n v="3"/>
    <n v="550000"/>
    <n v="467500"/>
    <n v="200000"/>
    <n v="117500"/>
    <s v="BUKALEBAR"/>
    <n v="0.15"/>
    <x v="1"/>
    <x v="3"/>
    <x v="0"/>
    <d v="2023-04-16T00:00:00"/>
    <x v="17"/>
    <s v="Sunday"/>
    <x v="1"/>
    <n v="5"/>
  </r>
  <r>
    <n v="520"/>
    <s v="ORD-SP0520-03/04/23"/>
    <s v="PW003"/>
    <s v="Pakaian Wanita"/>
    <s v="Kaftan"/>
    <n v="5"/>
    <n v="2"/>
    <n v="1250000"/>
    <n v="1125000"/>
    <n v="500000"/>
    <n v="375000"/>
    <m/>
    <s v="-"/>
    <s v="-"/>
    <m/>
    <m/>
    <n v="0"/>
    <n v="0"/>
    <n v="0"/>
    <n v="0"/>
    <m/>
    <s v="-"/>
    <s v="-"/>
    <m/>
    <m/>
    <n v="0"/>
    <n v="0"/>
    <n v="0"/>
    <n v="0"/>
    <n v="5"/>
    <n v="1250000"/>
    <n v="1125000"/>
    <n v="500000"/>
    <n v="375000"/>
    <s v="DISC10"/>
    <n v="0.1"/>
    <x v="0"/>
    <x v="2"/>
    <x v="0"/>
    <d v="2023-04-03T00:00:00"/>
    <x v="2"/>
    <s v="Monday"/>
    <x v="0"/>
    <n v="2"/>
  </r>
  <r>
    <n v="521"/>
    <s v="ORD-SP0521-06/04/23"/>
    <s v="SP002"/>
    <s v="Sepatu Pria"/>
    <s v="Sandal Slip On"/>
    <n v="2"/>
    <n v="3"/>
    <n v="300000"/>
    <n v="270000"/>
    <n v="120000"/>
    <n v="90000"/>
    <s v="PW002"/>
    <s v="Pakaian Wanita"/>
    <s v="Blouse"/>
    <n v="1"/>
    <n v="5"/>
    <n v="150000"/>
    <n v="135000"/>
    <n v="50000"/>
    <n v="35000"/>
    <m/>
    <s v="-"/>
    <s v="-"/>
    <m/>
    <m/>
    <n v="0"/>
    <n v="0"/>
    <n v="0"/>
    <n v="0"/>
    <n v="3"/>
    <n v="450000"/>
    <n v="405000"/>
    <n v="170000"/>
    <n v="125000"/>
    <s v="DISC10"/>
    <n v="0.1"/>
    <x v="0"/>
    <x v="2"/>
    <x v="5"/>
    <d v="2023-04-06T00:00:00"/>
    <x v="8"/>
    <s v="Thursday"/>
    <x v="0"/>
    <n v="4"/>
  </r>
  <r>
    <n v="522"/>
    <s v="ORD-SP0522-06/04/23"/>
    <s v="PP001"/>
    <s v="Pakaian Pria"/>
    <s v="Kaos Polo"/>
    <n v="3"/>
    <n v="4"/>
    <n v="600000"/>
    <n v="540000"/>
    <n v="240000"/>
    <n v="180000"/>
    <s v="PW001"/>
    <s v="Pakaian Wanita"/>
    <s v="Dress"/>
    <n v="1"/>
    <n v="4"/>
    <n v="300000"/>
    <n v="270000"/>
    <n v="100000"/>
    <n v="70000"/>
    <m/>
    <s v="-"/>
    <s v="-"/>
    <m/>
    <m/>
    <n v="0"/>
    <n v="0"/>
    <n v="0"/>
    <n v="0"/>
    <n v="4"/>
    <n v="900000"/>
    <n v="810000"/>
    <n v="340000"/>
    <n v="250000"/>
    <s v="DISC10"/>
    <n v="0.1"/>
    <x v="0"/>
    <x v="2"/>
    <x v="5"/>
    <d v="2023-04-06T00:00:00"/>
    <x v="8"/>
    <s v="Thursday"/>
    <x v="0"/>
    <n v="4"/>
  </r>
  <r>
    <n v="523"/>
    <s v="ORD-SP0523-08/04/23"/>
    <s v="PP002"/>
    <s v="Pakaian Pria"/>
    <s v="Celana Pendek"/>
    <n v="1"/>
    <n v="4"/>
    <n v="180000"/>
    <n v="180000"/>
    <n v="70000"/>
    <n v="70000"/>
    <s v="PW001"/>
    <s v="Pakaian Wanita"/>
    <s v="Dress"/>
    <n v="1"/>
    <n v="3"/>
    <n v="300000"/>
    <n v="300000"/>
    <n v="100000"/>
    <n v="100000"/>
    <m/>
    <s v="-"/>
    <s v="-"/>
    <m/>
    <m/>
    <n v="0"/>
    <n v="0"/>
    <n v="0"/>
    <n v="0"/>
    <n v="2"/>
    <n v="480000"/>
    <n v="480000"/>
    <n v="170000"/>
    <n v="170000"/>
    <s v="Tidak Ada"/>
    <s v="-"/>
    <x v="2"/>
    <x v="2"/>
    <x v="2"/>
    <d v="2023-04-08T00:00:00"/>
    <x v="26"/>
    <s v="Saturday"/>
    <x v="3"/>
    <n v="3.5"/>
  </r>
  <r>
    <n v="524"/>
    <s v="ORD-BL0524-17/04/23"/>
    <s v="SW001"/>
    <s v="Sepatu Wanita"/>
    <s v="Flat Shoes"/>
    <n v="4"/>
    <n v="2"/>
    <n v="1000000"/>
    <n v="850000"/>
    <n v="400000"/>
    <n v="250000"/>
    <s v="PW001"/>
    <s v="Pakaian Wanita"/>
    <s v="Dress"/>
    <n v="1"/>
    <n v="3"/>
    <n v="300000"/>
    <n v="255000"/>
    <n v="100000"/>
    <n v="55000"/>
    <m/>
    <s v="-"/>
    <s v="-"/>
    <m/>
    <m/>
    <n v="0"/>
    <n v="0"/>
    <n v="0"/>
    <n v="0"/>
    <n v="5"/>
    <n v="1300000"/>
    <n v="1105000"/>
    <n v="500000"/>
    <n v="305000"/>
    <s v="BUKALEBAR"/>
    <n v="0.15"/>
    <x v="1"/>
    <x v="3"/>
    <x v="1"/>
    <d v="2023-04-17T00:00:00"/>
    <x v="3"/>
    <s v="Monday"/>
    <x v="1"/>
    <n v="2.5"/>
  </r>
  <r>
    <n v="525"/>
    <s v="ORD-BB0525-04/04/23"/>
    <s v="PP002"/>
    <s v="Pakaian Pria"/>
    <s v="Celana Pendek"/>
    <n v="4"/>
    <n v="4"/>
    <n v="720000"/>
    <n v="612000"/>
    <n v="280000"/>
    <n v="172000"/>
    <s v="SW001"/>
    <s v="Sepatu Wanita"/>
    <s v="Flat Shoes"/>
    <n v="1"/>
    <n v="4"/>
    <n v="250000"/>
    <n v="212500"/>
    <n v="100000"/>
    <n v="62500"/>
    <m/>
    <s v="-"/>
    <s v="-"/>
    <m/>
    <m/>
    <n v="0"/>
    <n v="0"/>
    <n v="0"/>
    <n v="0"/>
    <n v="5"/>
    <n v="970000"/>
    <n v="824500"/>
    <n v="380000"/>
    <n v="234500"/>
    <s v="BELI44"/>
    <n v="0.15"/>
    <x v="0"/>
    <x v="0"/>
    <x v="5"/>
    <d v="2023-04-04T00:00:00"/>
    <x v="7"/>
    <s v="Tuesday"/>
    <x v="0"/>
    <n v="4"/>
  </r>
  <r>
    <n v="526"/>
    <s v="ORD-TK0526-26/04/23"/>
    <s v="PP002"/>
    <s v="Pakaian Pria"/>
    <s v="Celana Pendek"/>
    <n v="1"/>
    <n v="5"/>
    <n v="180000"/>
    <n v="162000"/>
    <n v="70000"/>
    <n v="52000"/>
    <s v="SP002"/>
    <s v="Sepatu Pria"/>
    <s v="Sandal Slip On"/>
    <n v="4"/>
    <n v="4"/>
    <n v="600000"/>
    <n v="540000"/>
    <n v="240000"/>
    <n v="180000"/>
    <s v="PW002"/>
    <s v="Pakaian Wanita"/>
    <s v="Blouse"/>
    <n v="1"/>
    <n v="5"/>
    <n v="150000"/>
    <n v="135000"/>
    <n v="50000"/>
    <n v="35000"/>
    <n v="6"/>
    <n v="930000"/>
    <n v="837000"/>
    <n v="360000"/>
    <n v="267000"/>
    <s v="LEBAR10"/>
    <n v="0.1"/>
    <x v="1"/>
    <x v="1"/>
    <x v="2"/>
    <d v="2023-04-26T00:00:00"/>
    <x v="15"/>
    <s v="Wednesday"/>
    <x v="2"/>
    <n v="4.666666666666667"/>
  </r>
  <r>
    <n v="527"/>
    <s v="ORD-SP0527-23/04/23"/>
    <s v="PU001"/>
    <s v="Pakaian Unisex"/>
    <s v="Jaket Hoodie"/>
    <n v="6"/>
    <n v="4"/>
    <n v="2100000"/>
    <n v="1680000"/>
    <n v="780000"/>
    <n v="360000"/>
    <s v="PW003"/>
    <s v="Pakaian Wanita"/>
    <s v="Kaftan"/>
    <n v="1"/>
    <n v="4"/>
    <n v="250000"/>
    <n v="200000"/>
    <n v="100000"/>
    <n v="50000"/>
    <m/>
    <s v="-"/>
    <s v="-"/>
    <m/>
    <m/>
    <n v="0"/>
    <n v="0"/>
    <n v="0"/>
    <n v="0"/>
    <n v="7"/>
    <n v="2350000"/>
    <n v="1880000"/>
    <n v="880000"/>
    <n v="410000"/>
    <s v="DISC20"/>
    <n v="0.2"/>
    <x v="1"/>
    <x v="2"/>
    <x v="2"/>
    <d v="2023-04-23T00:00:00"/>
    <x v="25"/>
    <s v="Sunday"/>
    <x v="2"/>
    <n v="4"/>
  </r>
  <r>
    <n v="528"/>
    <s v="ORD-SP0528-21/04/23"/>
    <s v="PW003"/>
    <s v="Pakaian Wanita"/>
    <s v="Kaftan"/>
    <n v="1"/>
    <n v="4"/>
    <n v="250000"/>
    <n v="200000"/>
    <n v="100000"/>
    <n v="50000"/>
    <s v="PP002"/>
    <s v="Pakaian Pria"/>
    <s v="Celana Pendek"/>
    <n v="3"/>
    <n v="2"/>
    <n v="540000"/>
    <n v="432000"/>
    <n v="210000"/>
    <n v="102000"/>
    <s v="PP002"/>
    <s v="Pakaian Pria"/>
    <s v="Celana Pendek"/>
    <n v="1"/>
    <n v="2"/>
    <n v="180000"/>
    <n v="144000"/>
    <n v="70000"/>
    <n v="34000"/>
    <n v="5"/>
    <n v="970000"/>
    <n v="776000"/>
    <n v="380000"/>
    <n v="186000"/>
    <s v="DISC20"/>
    <n v="0.2"/>
    <x v="1"/>
    <x v="2"/>
    <x v="0"/>
    <d v="2023-04-21T00:00:00"/>
    <x v="20"/>
    <s v="Friday"/>
    <x v="1"/>
    <n v="2.6666666666666665"/>
  </r>
  <r>
    <n v="529"/>
    <s v="ORD-SP0529-02/04/23"/>
    <s v="PP003"/>
    <s v="Pakaian Pria"/>
    <s v="Jaket Jeans"/>
    <n v="2"/>
    <n v="4"/>
    <n v="800000"/>
    <n v="680000"/>
    <n v="300000"/>
    <n v="180000"/>
    <m/>
    <s v="-"/>
    <s v="-"/>
    <m/>
    <m/>
    <n v="0"/>
    <n v="0"/>
    <n v="0"/>
    <n v="0"/>
    <m/>
    <s v="-"/>
    <s v="-"/>
    <m/>
    <m/>
    <n v="0"/>
    <n v="0"/>
    <n v="0"/>
    <n v="0"/>
    <n v="2"/>
    <n v="800000"/>
    <n v="680000"/>
    <n v="300000"/>
    <n v="180000"/>
    <s v="DISC15"/>
    <n v="0.15"/>
    <x v="0"/>
    <x v="2"/>
    <x v="2"/>
    <d v="2023-04-02T00:00:00"/>
    <x v="1"/>
    <s v="Sunday"/>
    <x v="0"/>
    <n v="4"/>
  </r>
  <r>
    <n v="530"/>
    <s v="ORD-SP0530-02/04/23"/>
    <s v="SP001"/>
    <s v="Sepatu Pria"/>
    <s v="Sneakers"/>
    <n v="2"/>
    <n v="4"/>
    <n v="1000000"/>
    <n v="850000"/>
    <n v="400000"/>
    <n v="250000"/>
    <s v="PU001"/>
    <s v="Pakaian Unisex"/>
    <s v="Jaket Hoodie"/>
    <n v="1"/>
    <n v="3"/>
    <n v="350000"/>
    <n v="297500"/>
    <n v="130000"/>
    <n v="77500"/>
    <s v="PP002"/>
    <s v="Pakaian Pria"/>
    <s v="Celana Pendek"/>
    <n v="4"/>
    <n v="5"/>
    <n v="720000"/>
    <n v="612000"/>
    <n v="280000"/>
    <n v="172000"/>
    <n v="7"/>
    <n v="2070000"/>
    <n v="1759500"/>
    <n v="810000"/>
    <n v="499500"/>
    <s v="DISC15"/>
    <n v="0.15"/>
    <x v="0"/>
    <x v="2"/>
    <x v="5"/>
    <d v="2023-04-02T00:00:00"/>
    <x v="1"/>
    <s v="Sunday"/>
    <x v="0"/>
    <n v="4"/>
  </r>
  <r>
    <n v="531"/>
    <s v="ORD-TK0531-15/04/23"/>
    <s v="SP001"/>
    <s v="Sepatu Pria"/>
    <s v="Sneakers"/>
    <n v="6"/>
    <n v="4"/>
    <n v="3000000"/>
    <n v="3000000"/>
    <n v="1200000"/>
    <n v="1200000"/>
    <m/>
    <s v="-"/>
    <s v="-"/>
    <m/>
    <m/>
    <n v="0"/>
    <n v="0"/>
    <n v="0"/>
    <n v="0"/>
    <m/>
    <s v="-"/>
    <s v="-"/>
    <m/>
    <m/>
    <n v="0"/>
    <n v="0"/>
    <n v="0"/>
    <n v="0"/>
    <n v="6"/>
    <n v="3000000"/>
    <n v="3000000"/>
    <n v="1200000"/>
    <n v="1200000"/>
    <s v="Tidak Ada"/>
    <s v="-"/>
    <x v="2"/>
    <x v="1"/>
    <x v="4"/>
    <d v="2023-04-15T00:00:00"/>
    <x v="16"/>
    <s v="Saturday"/>
    <x v="1"/>
    <n v="4"/>
  </r>
  <r>
    <n v="532"/>
    <s v="ORD-SP0532-04/04/23"/>
    <s v="SP002"/>
    <s v="Sepatu Pria"/>
    <s v="Sandal Slip On"/>
    <n v="1"/>
    <n v="1"/>
    <n v="150000"/>
    <n v="127500"/>
    <n v="60000"/>
    <n v="37500"/>
    <s v="PW002"/>
    <s v="Pakaian Wanita"/>
    <s v="Blouse"/>
    <n v="2"/>
    <n v="2"/>
    <n v="300000"/>
    <n v="255000"/>
    <n v="100000"/>
    <n v="55000"/>
    <m/>
    <s v="-"/>
    <s v="-"/>
    <m/>
    <m/>
    <n v="0"/>
    <n v="0"/>
    <n v="0"/>
    <n v="0"/>
    <n v="3"/>
    <n v="450000"/>
    <n v="382500"/>
    <n v="160000"/>
    <n v="92500"/>
    <s v="DISC15"/>
    <n v="0.15"/>
    <x v="0"/>
    <x v="2"/>
    <x v="4"/>
    <d v="2023-04-04T00:00:00"/>
    <x v="7"/>
    <s v="Tuesday"/>
    <x v="0"/>
    <n v="1.5"/>
  </r>
  <r>
    <n v="533"/>
    <s v="ORD-BB0533-03/04/23"/>
    <s v="PW002"/>
    <s v="Pakaian Wanita"/>
    <s v="Blouse"/>
    <n v="5"/>
    <n v="1"/>
    <n v="750000"/>
    <n v="637500"/>
    <n v="250000"/>
    <n v="137500"/>
    <s v="PP001"/>
    <s v="Pakaian Pria"/>
    <s v="Kaos Polo"/>
    <n v="2"/>
    <n v="2"/>
    <n v="400000"/>
    <n v="340000"/>
    <n v="160000"/>
    <n v="100000"/>
    <m/>
    <s v="-"/>
    <s v="-"/>
    <m/>
    <m/>
    <n v="0"/>
    <n v="0"/>
    <n v="0"/>
    <n v="0"/>
    <n v="7"/>
    <n v="1150000"/>
    <n v="977500"/>
    <n v="410000"/>
    <n v="237500"/>
    <s v="BELI44"/>
    <n v="0.15"/>
    <x v="0"/>
    <x v="0"/>
    <x v="4"/>
    <d v="2023-04-03T00:00:00"/>
    <x v="2"/>
    <s v="Monday"/>
    <x v="0"/>
    <n v="1.5"/>
  </r>
  <r>
    <n v="534"/>
    <s v="ORD-TK0534-04/04/23"/>
    <s v="PU001"/>
    <s v="Pakaian Unisex"/>
    <s v="Jaket Hoodie"/>
    <n v="1"/>
    <n v="5"/>
    <n v="350000"/>
    <n v="315000"/>
    <n v="130000"/>
    <n v="95000"/>
    <m/>
    <s v="-"/>
    <s v="-"/>
    <m/>
    <m/>
    <n v="0"/>
    <n v="0"/>
    <n v="0"/>
    <n v="0"/>
    <m/>
    <s v="-"/>
    <s v="-"/>
    <m/>
    <m/>
    <n v="0"/>
    <n v="0"/>
    <n v="0"/>
    <n v="0"/>
    <n v="1"/>
    <n v="350000"/>
    <n v="315000"/>
    <n v="130000"/>
    <n v="95000"/>
    <s v="DISCAPRIL"/>
    <n v="0.1"/>
    <x v="0"/>
    <x v="1"/>
    <x v="4"/>
    <d v="2023-04-04T00:00:00"/>
    <x v="7"/>
    <s v="Tuesday"/>
    <x v="0"/>
    <n v="5"/>
  </r>
  <r>
    <n v="535"/>
    <s v="ORD-SP0535-02/04/23"/>
    <s v="PP001"/>
    <s v="Pakaian Pria"/>
    <s v="Kaos Polo"/>
    <n v="4"/>
    <n v="4"/>
    <n v="800000"/>
    <n v="720000"/>
    <n v="320000"/>
    <n v="240000"/>
    <m/>
    <s v="-"/>
    <s v="-"/>
    <m/>
    <m/>
    <n v="0"/>
    <n v="0"/>
    <n v="0"/>
    <n v="0"/>
    <m/>
    <s v="-"/>
    <s v="-"/>
    <m/>
    <m/>
    <n v="0"/>
    <n v="0"/>
    <n v="0"/>
    <n v="0"/>
    <n v="4"/>
    <n v="800000"/>
    <n v="720000"/>
    <n v="320000"/>
    <n v="240000"/>
    <s v="DISC10"/>
    <n v="0.1"/>
    <x v="0"/>
    <x v="2"/>
    <x v="4"/>
    <d v="2023-04-02T00:00:00"/>
    <x v="1"/>
    <s v="Sunday"/>
    <x v="0"/>
    <n v="4"/>
  </r>
  <r>
    <n v="536"/>
    <s v="ORD-BB0536-03/04/23"/>
    <s v="PU001"/>
    <s v="Pakaian Unisex"/>
    <s v="Jaket Hoodie"/>
    <n v="6"/>
    <n v="5"/>
    <n v="2100000"/>
    <n v="1785000"/>
    <n v="780000"/>
    <n v="465000"/>
    <s v="PW002"/>
    <s v="Pakaian Wanita"/>
    <s v="Blouse"/>
    <n v="1"/>
    <n v="3"/>
    <n v="150000"/>
    <n v="127500"/>
    <n v="50000"/>
    <n v="27500"/>
    <m/>
    <s v="-"/>
    <s v="-"/>
    <m/>
    <m/>
    <n v="0"/>
    <n v="0"/>
    <n v="0"/>
    <n v="0"/>
    <n v="7"/>
    <n v="2250000"/>
    <n v="1912500"/>
    <n v="830000"/>
    <n v="492500"/>
    <s v="BELI44"/>
    <n v="0.15"/>
    <x v="0"/>
    <x v="0"/>
    <x v="0"/>
    <d v="2023-04-03T00:00:00"/>
    <x v="2"/>
    <s v="Monday"/>
    <x v="0"/>
    <n v="4"/>
  </r>
  <r>
    <n v="537"/>
    <s v="ORD-SP0537-07/04/23"/>
    <s v="PP001"/>
    <s v="Pakaian Pria"/>
    <s v="Kaos Polo"/>
    <n v="3"/>
    <n v="2"/>
    <n v="600000"/>
    <n v="600000"/>
    <n v="240000"/>
    <n v="240000"/>
    <s v="SP001"/>
    <s v="Sepatu Pria"/>
    <s v="Sneakers"/>
    <n v="1"/>
    <n v="4"/>
    <n v="500000"/>
    <n v="500000"/>
    <n v="200000"/>
    <n v="200000"/>
    <m/>
    <s v="-"/>
    <s v="-"/>
    <m/>
    <m/>
    <n v="0"/>
    <n v="0"/>
    <n v="0"/>
    <n v="0"/>
    <n v="4"/>
    <n v="1100000"/>
    <n v="1100000"/>
    <n v="440000"/>
    <n v="440000"/>
    <s v="Tidak Ada"/>
    <s v="-"/>
    <x v="2"/>
    <x v="2"/>
    <x v="4"/>
    <d v="2023-04-07T00:00:00"/>
    <x v="28"/>
    <s v="Friday"/>
    <x v="0"/>
    <n v="3"/>
  </r>
  <r>
    <n v="538"/>
    <s v="ORD-BB0538-01/04/23"/>
    <s v="SW001"/>
    <s v="Sepatu Wanita"/>
    <s v="Flat Shoes"/>
    <n v="2"/>
    <n v="2"/>
    <n v="500000"/>
    <n v="425000"/>
    <n v="200000"/>
    <n v="125000"/>
    <m/>
    <s v="-"/>
    <s v="-"/>
    <m/>
    <m/>
    <n v="0"/>
    <n v="0"/>
    <n v="0"/>
    <n v="0"/>
    <m/>
    <s v="-"/>
    <s v="-"/>
    <m/>
    <m/>
    <n v="0"/>
    <n v="0"/>
    <n v="0"/>
    <n v="0"/>
    <n v="2"/>
    <n v="500000"/>
    <n v="425000"/>
    <n v="200000"/>
    <n v="125000"/>
    <s v="BELI44"/>
    <n v="0.15"/>
    <x v="0"/>
    <x v="0"/>
    <x v="2"/>
    <d v="2023-04-01T00:00:00"/>
    <x v="0"/>
    <s v="Saturday"/>
    <x v="0"/>
    <n v="2"/>
  </r>
  <r>
    <n v="539"/>
    <s v="ORD-SP0539-01/04/23"/>
    <s v="SP001"/>
    <s v="Sepatu Pria"/>
    <s v="Sneakers"/>
    <n v="3"/>
    <n v="5"/>
    <n v="1500000"/>
    <n v="1350000"/>
    <n v="600000"/>
    <n v="450000"/>
    <s v="SW001"/>
    <s v="Sepatu Wanita"/>
    <s v="Flat Shoes"/>
    <n v="1"/>
    <n v="2"/>
    <n v="250000"/>
    <n v="225000"/>
    <n v="100000"/>
    <n v="75000"/>
    <m/>
    <s v="-"/>
    <s v="-"/>
    <m/>
    <m/>
    <n v="0"/>
    <n v="0"/>
    <n v="0"/>
    <n v="0"/>
    <n v="4"/>
    <n v="1750000"/>
    <n v="1575000"/>
    <n v="700000"/>
    <n v="525000"/>
    <s v="DISC10"/>
    <n v="0.1"/>
    <x v="0"/>
    <x v="2"/>
    <x v="1"/>
    <d v="2023-04-01T00:00:00"/>
    <x v="0"/>
    <s v="Saturday"/>
    <x v="0"/>
    <n v="3.5"/>
  </r>
  <r>
    <n v="540"/>
    <s v="ORD-BL0540-29/04/23"/>
    <s v="PW001"/>
    <s v="Pakaian Wanita"/>
    <s v="Dress"/>
    <n v="3"/>
    <n v="4"/>
    <n v="900000"/>
    <n v="765000"/>
    <n v="300000"/>
    <n v="165000"/>
    <s v="PW002"/>
    <s v="Pakaian Wanita"/>
    <s v="Blouse"/>
    <n v="2"/>
    <n v="4"/>
    <n v="300000"/>
    <n v="255000"/>
    <n v="100000"/>
    <n v="55000"/>
    <s v="PP002"/>
    <s v="Pakaian Pria"/>
    <s v="Celana Pendek"/>
    <n v="1"/>
    <n v="1"/>
    <n v="180000"/>
    <n v="153000"/>
    <n v="70000"/>
    <n v="43000"/>
    <n v="6"/>
    <n v="1380000"/>
    <n v="1173000"/>
    <n v="470000"/>
    <n v="263000"/>
    <s v="BUKALEBAR"/>
    <n v="0.15"/>
    <x v="1"/>
    <x v="3"/>
    <x v="1"/>
    <d v="2023-04-29T00:00:00"/>
    <x v="13"/>
    <s v="Saturday"/>
    <x v="2"/>
    <n v="3"/>
  </r>
  <r>
    <n v="541"/>
    <s v="ORD-TK0541-05/04/23"/>
    <s v="PW001"/>
    <s v="Pakaian Wanita"/>
    <s v="Dress"/>
    <n v="1"/>
    <n v="2"/>
    <n v="300000"/>
    <n v="270000"/>
    <n v="100000"/>
    <n v="70000"/>
    <s v="PP003"/>
    <s v="Pakaian Pria"/>
    <s v="Jaket Jeans"/>
    <n v="1"/>
    <n v="4"/>
    <n v="400000"/>
    <n v="360000"/>
    <n v="150000"/>
    <n v="110000"/>
    <m/>
    <s v="-"/>
    <s v="-"/>
    <m/>
    <m/>
    <n v="0"/>
    <n v="0"/>
    <n v="0"/>
    <n v="0"/>
    <n v="2"/>
    <n v="700000"/>
    <n v="630000"/>
    <n v="250000"/>
    <n v="180000"/>
    <s v="DISCAPRIL"/>
    <n v="0.1"/>
    <x v="0"/>
    <x v="1"/>
    <x v="4"/>
    <d v="2023-04-05T00:00:00"/>
    <x v="9"/>
    <s v="Wednesday"/>
    <x v="0"/>
    <n v="3"/>
  </r>
  <r>
    <n v="542"/>
    <s v="ORD-SP0542-04/04/23"/>
    <s v="PP002"/>
    <s v="Pakaian Pria"/>
    <s v="Celana Pendek"/>
    <n v="1"/>
    <n v="4"/>
    <n v="180000"/>
    <n v="162000"/>
    <n v="70000"/>
    <n v="52000"/>
    <s v="PW001"/>
    <s v="Pakaian Wanita"/>
    <s v="Dress"/>
    <n v="2"/>
    <n v="2"/>
    <n v="600000"/>
    <n v="540000"/>
    <n v="200000"/>
    <n v="140000"/>
    <s v="PU001"/>
    <s v="Pakaian Unisex"/>
    <s v="Jaket Hoodie"/>
    <n v="2"/>
    <n v="4"/>
    <n v="700000"/>
    <n v="630000"/>
    <n v="260000"/>
    <n v="190000"/>
    <n v="5"/>
    <n v="1480000"/>
    <n v="1332000"/>
    <n v="530000"/>
    <n v="382000"/>
    <s v="DISC10"/>
    <n v="0.1"/>
    <x v="0"/>
    <x v="2"/>
    <x v="1"/>
    <d v="2023-04-04T00:00:00"/>
    <x v="7"/>
    <s v="Tuesday"/>
    <x v="0"/>
    <n v="3.3333333333333335"/>
  </r>
  <r>
    <n v="543"/>
    <s v="ORD-SP0543-01/04/23"/>
    <s v="PW001"/>
    <s v="Pakaian Wanita"/>
    <s v="Dress"/>
    <n v="1"/>
    <n v="5"/>
    <n v="300000"/>
    <n v="255000"/>
    <n v="100000"/>
    <n v="55000"/>
    <s v="PP003"/>
    <s v="Pakaian Pria"/>
    <s v="Jaket Jeans"/>
    <n v="1"/>
    <n v="2"/>
    <n v="400000"/>
    <n v="340000"/>
    <n v="150000"/>
    <n v="90000"/>
    <m/>
    <s v="-"/>
    <s v="-"/>
    <m/>
    <m/>
    <n v="0"/>
    <n v="0"/>
    <n v="0"/>
    <n v="0"/>
    <n v="2"/>
    <n v="700000"/>
    <n v="595000"/>
    <n v="250000"/>
    <n v="145000"/>
    <s v="DISC15"/>
    <n v="0.15"/>
    <x v="0"/>
    <x v="2"/>
    <x v="4"/>
    <d v="2023-04-01T00:00:00"/>
    <x v="0"/>
    <s v="Saturday"/>
    <x v="0"/>
    <n v="3.5"/>
  </r>
  <r>
    <n v="544"/>
    <s v="ORD-BL0544-26/04/23"/>
    <s v="PP003"/>
    <s v="Pakaian Pria"/>
    <s v="Jaket Jeans"/>
    <n v="2"/>
    <n v="2"/>
    <n v="800000"/>
    <n v="680000"/>
    <n v="300000"/>
    <n v="180000"/>
    <s v="PP002"/>
    <s v="Pakaian Pria"/>
    <s v="Celana Pendek"/>
    <n v="1"/>
    <n v="3"/>
    <n v="180000"/>
    <n v="153000"/>
    <n v="70000"/>
    <n v="43000"/>
    <m/>
    <s v="-"/>
    <s v="-"/>
    <m/>
    <m/>
    <n v="0"/>
    <n v="0"/>
    <n v="0"/>
    <n v="0"/>
    <n v="3"/>
    <n v="980000"/>
    <n v="833000"/>
    <n v="370000"/>
    <n v="223000"/>
    <s v="BUKALEBAR"/>
    <n v="0.15"/>
    <x v="1"/>
    <x v="3"/>
    <x v="0"/>
    <d v="2023-04-26T00:00:00"/>
    <x v="15"/>
    <s v="Wednesday"/>
    <x v="2"/>
    <n v="2.5"/>
  </r>
  <r>
    <n v="545"/>
    <s v="ORD-TK0545-06/04/23"/>
    <s v="PW003"/>
    <s v="Pakaian Wanita"/>
    <s v="Kaftan"/>
    <n v="7"/>
    <n v="3"/>
    <n v="1750000"/>
    <n v="1575000"/>
    <n v="700000"/>
    <n v="525000"/>
    <m/>
    <s v="-"/>
    <s v="-"/>
    <m/>
    <m/>
    <n v="0"/>
    <n v="0"/>
    <n v="0"/>
    <n v="0"/>
    <m/>
    <s v="-"/>
    <s v="-"/>
    <m/>
    <m/>
    <n v="0"/>
    <n v="0"/>
    <n v="0"/>
    <n v="0"/>
    <n v="7"/>
    <n v="1750000"/>
    <n v="1575000"/>
    <n v="700000"/>
    <n v="525000"/>
    <s v="DISCAPRIL"/>
    <n v="0.1"/>
    <x v="0"/>
    <x v="1"/>
    <x v="4"/>
    <d v="2023-04-06T00:00:00"/>
    <x v="8"/>
    <s v="Thursday"/>
    <x v="0"/>
    <n v="3"/>
  </r>
  <r>
    <n v="546"/>
    <s v="ORD-BL0546-14/04/23"/>
    <s v="PU001"/>
    <s v="Pakaian Unisex"/>
    <s v="Jaket Hoodie"/>
    <n v="1"/>
    <n v="4"/>
    <n v="350000"/>
    <n v="350000"/>
    <n v="130000"/>
    <n v="130000"/>
    <s v="PP002"/>
    <s v="Pakaian Pria"/>
    <s v="Celana Pendek"/>
    <n v="2"/>
    <n v="3"/>
    <n v="360000"/>
    <n v="360000"/>
    <n v="140000"/>
    <n v="140000"/>
    <m/>
    <s v="-"/>
    <s v="-"/>
    <m/>
    <m/>
    <n v="0"/>
    <n v="0"/>
    <n v="0"/>
    <n v="0"/>
    <n v="3"/>
    <n v="710000"/>
    <n v="710000"/>
    <n v="270000"/>
    <n v="270000"/>
    <s v="Tidak Ada"/>
    <s v="-"/>
    <x v="2"/>
    <x v="3"/>
    <x v="1"/>
    <d v="2023-04-14T00:00:00"/>
    <x v="22"/>
    <s v="Friday"/>
    <x v="3"/>
    <n v="3.5"/>
  </r>
  <r>
    <n v="547"/>
    <s v="ORD-BL0547-18/04/23"/>
    <s v="PW003"/>
    <s v="Pakaian Wanita"/>
    <s v="Kaftan"/>
    <n v="1"/>
    <n v="1"/>
    <n v="250000"/>
    <n v="212500"/>
    <n v="100000"/>
    <n v="62500"/>
    <s v="SP002"/>
    <s v="Sepatu Pria"/>
    <s v="Sandal Slip On"/>
    <n v="1"/>
    <n v="1"/>
    <n v="150000"/>
    <n v="127500"/>
    <n v="60000"/>
    <n v="37500"/>
    <s v="PP002"/>
    <s v="Pakaian Pria"/>
    <s v="Celana Pendek"/>
    <n v="1"/>
    <n v="1"/>
    <n v="180000"/>
    <n v="153000"/>
    <n v="70000"/>
    <n v="43000"/>
    <n v="3"/>
    <n v="580000"/>
    <n v="493000"/>
    <n v="230000"/>
    <n v="143000"/>
    <s v="BUKALEBAR"/>
    <n v="0.15"/>
    <x v="1"/>
    <x v="3"/>
    <x v="0"/>
    <d v="2023-04-18T00:00:00"/>
    <x v="24"/>
    <s v="Tuesday"/>
    <x v="1"/>
    <n v="1"/>
  </r>
  <r>
    <n v="548"/>
    <s v="ORD-TK0548-05/04/23"/>
    <s v="PU001"/>
    <s v="Pakaian Unisex"/>
    <s v="Jaket Hoodie"/>
    <n v="6"/>
    <n v="3"/>
    <n v="2100000"/>
    <n v="1890000"/>
    <n v="780000"/>
    <n v="570000"/>
    <m/>
    <s v="-"/>
    <s v="-"/>
    <m/>
    <m/>
    <n v="0"/>
    <n v="0"/>
    <n v="0"/>
    <n v="0"/>
    <m/>
    <s v="-"/>
    <s v="-"/>
    <m/>
    <m/>
    <n v="0"/>
    <n v="0"/>
    <n v="0"/>
    <n v="0"/>
    <n v="6"/>
    <n v="2100000"/>
    <n v="1890000"/>
    <n v="780000"/>
    <n v="570000"/>
    <s v="DISCAPRIL"/>
    <n v="0.1"/>
    <x v="0"/>
    <x v="1"/>
    <x v="0"/>
    <d v="2023-04-05T00:00:00"/>
    <x v="9"/>
    <s v="Wednesday"/>
    <x v="0"/>
    <n v="3"/>
  </r>
  <r>
    <n v="549"/>
    <s v="ORD-SP0549-02/04/23"/>
    <s v="PW002"/>
    <s v="Pakaian Wanita"/>
    <s v="Blouse"/>
    <n v="3"/>
    <n v="1"/>
    <n v="450000"/>
    <n v="382500"/>
    <n v="150000"/>
    <n v="82500"/>
    <s v="PP003"/>
    <s v="Pakaian Pria"/>
    <s v="Jaket Jeans"/>
    <n v="2"/>
    <n v="5"/>
    <n v="800000"/>
    <n v="680000"/>
    <n v="300000"/>
    <n v="180000"/>
    <m/>
    <s v="-"/>
    <s v="-"/>
    <m/>
    <m/>
    <n v="0"/>
    <n v="0"/>
    <n v="0"/>
    <n v="0"/>
    <n v="5"/>
    <n v="1250000"/>
    <n v="1062500"/>
    <n v="450000"/>
    <n v="262500"/>
    <s v="DISC15"/>
    <n v="0.15"/>
    <x v="0"/>
    <x v="2"/>
    <x v="4"/>
    <d v="2023-04-02T00:00:00"/>
    <x v="1"/>
    <s v="Sunday"/>
    <x v="0"/>
    <n v="3"/>
  </r>
  <r>
    <n v="550"/>
    <s v="ORD-SP0550-04/04/23"/>
    <s v="PP001"/>
    <s v="Pakaian Pria"/>
    <s v="Kaos Polo"/>
    <n v="1"/>
    <n v="1"/>
    <n v="200000"/>
    <n v="170000"/>
    <n v="80000"/>
    <n v="50000"/>
    <m/>
    <s v="-"/>
    <s v="-"/>
    <m/>
    <m/>
    <n v="0"/>
    <n v="0"/>
    <n v="0"/>
    <n v="0"/>
    <m/>
    <s v="-"/>
    <s v="-"/>
    <m/>
    <m/>
    <n v="0"/>
    <n v="0"/>
    <n v="0"/>
    <n v="0"/>
    <n v="1"/>
    <n v="200000"/>
    <n v="170000"/>
    <n v="80000"/>
    <n v="50000"/>
    <s v="DISC15"/>
    <n v="0.15"/>
    <x v="0"/>
    <x v="2"/>
    <x v="3"/>
    <d v="2023-04-04T00:00:00"/>
    <x v="7"/>
    <s v="Tuesday"/>
    <x v="0"/>
    <n v="1"/>
  </r>
  <r>
    <n v="551"/>
    <s v="ORD-SP0551-24/04/23"/>
    <s v="PP001"/>
    <s v="Pakaian Pria"/>
    <s v="Kaos Polo"/>
    <n v="3"/>
    <n v="3"/>
    <n v="600000"/>
    <n v="480000"/>
    <n v="240000"/>
    <n v="120000"/>
    <s v="PW003"/>
    <s v="Pakaian Wanita"/>
    <s v="Kaftan"/>
    <n v="1"/>
    <n v="2"/>
    <n v="250000"/>
    <n v="200000"/>
    <n v="100000"/>
    <n v="50000"/>
    <s v="PW002"/>
    <s v="Pakaian Wanita"/>
    <s v="Blouse"/>
    <n v="1"/>
    <n v="5"/>
    <n v="150000"/>
    <n v="120000"/>
    <n v="50000"/>
    <n v="20000"/>
    <n v="5"/>
    <n v="1000000"/>
    <n v="800000"/>
    <n v="390000"/>
    <n v="190000"/>
    <s v="DISC20"/>
    <n v="0.2"/>
    <x v="1"/>
    <x v="2"/>
    <x v="2"/>
    <d v="2023-04-24T00:00:00"/>
    <x v="4"/>
    <s v="Monday"/>
    <x v="2"/>
    <n v="3.3333333333333335"/>
  </r>
  <r>
    <n v="552"/>
    <s v="ORD-TK0552-01/04/23"/>
    <s v="SP002"/>
    <s v="Sepatu Pria"/>
    <s v="Sandal Slip On"/>
    <n v="1"/>
    <n v="3"/>
    <n v="150000"/>
    <n v="135000"/>
    <n v="60000"/>
    <n v="45000"/>
    <m/>
    <s v="-"/>
    <s v="-"/>
    <m/>
    <m/>
    <n v="0"/>
    <n v="0"/>
    <n v="0"/>
    <n v="0"/>
    <m/>
    <s v="-"/>
    <s v="-"/>
    <m/>
    <m/>
    <n v="0"/>
    <n v="0"/>
    <n v="0"/>
    <n v="0"/>
    <n v="1"/>
    <n v="150000"/>
    <n v="135000"/>
    <n v="60000"/>
    <n v="45000"/>
    <s v="DISCAPRIL"/>
    <n v="0.1"/>
    <x v="0"/>
    <x v="1"/>
    <x v="4"/>
    <d v="2023-04-01T00:00:00"/>
    <x v="0"/>
    <s v="Saturday"/>
    <x v="0"/>
    <n v="3"/>
  </r>
  <r>
    <n v="553"/>
    <s v="ORD-BL0553-29/04/23"/>
    <s v="SP002"/>
    <s v="Sepatu Pria"/>
    <s v="Sandal Slip On"/>
    <n v="1"/>
    <n v="4"/>
    <n v="150000"/>
    <n v="127500"/>
    <n v="60000"/>
    <n v="37500"/>
    <s v="PP002"/>
    <s v="Pakaian Pria"/>
    <s v="Celana Pendek"/>
    <n v="1"/>
    <n v="4"/>
    <n v="180000"/>
    <n v="153000"/>
    <n v="70000"/>
    <n v="43000"/>
    <m/>
    <s v="-"/>
    <s v="-"/>
    <m/>
    <m/>
    <n v="0"/>
    <n v="0"/>
    <n v="0"/>
    <n v="0"/>
    <n v="2"/>
    <n v="330000"/>
    <n v="280500"/>
    <n v="130000"/>
    <n v="80500"/>
    <s v="BUKALEBAR"/>
    <n v="0.15"/>
    <x v="1"/>
    <x v="3"/>
    <x v="4"/>
    <d v="2023-04-29T00:00:00"/>
    <x v="13"/>
    <s v="Saturday"/>
    <x v="2"/>
    <n v="4"/>
  </r>
  <r>
    <n v="554"/>
    <s v="ORD-SP0554-01/04/23"/>
    <s v="PP003"/>
    <s v="Pakaian Pria"/>
    <s v="Jaket Jeans"/>
    <n v="2"/>
    <n v="1"/>
    <n v="800000"/>
    <n v="680000"/>
    <n v="300000"/>
    <n v="180000"/>
    <s v="PU001"/>
    <s v="Pakaian Unisex"/>
    <s v="Jaket Hoodie"/>
    <n v="4"/>
    <n v="4"/>
    <n v="1400000"/>
    <n v="1190000"/>
    <n v="520000"/>
    <n v="310000"/>
    <m/>
    <s v="-"/>
    <s v="-"/>
    <m/>
    <m/>
    <n v="0"/>
    <n v="0"/>
    <n v="0"/>
    <n v="0"/>
    <n v="6"/>
    <n v="2200000"/>
    <n v="1870000"/>
    <n v="820000"/>
    <n v="490000"/>
    <s v="DISC15"/>
    <n v="0.15"/>
    <x v="0"/>
    <x v="2"/>
    <x v="4"/>
    <d v="2023-04-01T00:00:00"/>
    <x v="0"/>
    <s v="Saturday"/>
    <x v="0"/>
    <n v="2.5"/>
  </r>
  <r>
    <n v="555"/>
    <s v="ORD-SP0555-04/04/23"/>
    <s v="SP001"/>
    <s v="Sepatu Pria"/>
    <s v="Sneakers"/>
    <n v="3"/>
    <n v="4"/>
    <n v="1500000"/>
    <n v="1350000"/>
    <n v="600000"/>
    <n v="450000"/>
    <s v="PP003"/>
    <s v="Pakaian Pria"/>
    <s v="Jaket Jeans"/>
    <n v="1"/>
    <n v="2"/>
    <n v="400000"/>
    <n v="360000"/>
    <n v="150000"/>
    <n v="110000"/>
    <s v="SP001"/>
    <s v="Sepatu Pria"/>
    <s v="Sneakers"/>
    <n v="2"/>
    <n v="2"/>
    <n v="1000000"/>
    <n v="900000"/>
    <n v="400000"/>
    <n v="300000"/>
    <n v="6"/>
    <n v="2900000"/>
    <n v="2610000"/>
    <n v="1150000"/>
    <n v="860000"/>
    <s v="DISC10"/>
    <n v="0.1"/>
    <x v="0"/>
    <x v="2"/>
    <x v="5"/>
    <d v="2023-04-04T00:00:00"/>
    <x v="7"/>
    <s v="Tuesday"/>
    <x v="0"/>
    <n v="2.6666666666666665"/>
  </r>
  <r>
    <n v="556"/>
    <s v="ORD-BB0556-03/04/23"/>
    <s v="SP001"/>
    <s v="Sepatu Pria"/>
    <s v="Sneakers"/>
    <n v="5"/>
    <n v="2"/>
    <n v="2500000"/>
    <n v="2125000"/>
    <n v="1000000"/>
    <n v="625000"/>
    <s v="SP002"/>
    <s v="Sepatu Pria"/>
    <s v="Sandal Slip On"/>
    <n v="2"/>
    <n v="5"/>
    <n v="300000"/>
    <n v="255000"/>
    <n v="120000"/>
    <n v="75000"/>
    <m/>
    <s v="-"/>
    <s v="-"/>
    <m/>
    <m/>
    <n v="0"/>
    <n v="0"/>
    <n v="0"/>
    <n v="0"/>
    <n v="7"/>
    <n v="2800000"/>
    <n v="2380000"/>
    <n v="1120000"/>
    <n v="700000"/>
    <s v="BELI44"/>
    <n v="0.15"/>
    <x v="0"/>
    <x v="0"/>
    <x v="2"/>
    <d v="2023-04-03T00:00:00"/>
    <x v="2"/>
    <s v="Monday"/>
    <x v="0"/>
    <n v="3.5"/>
  </r>
  <r>
    <n v="557"/>
    <s v="ORD-SP0557-01/04/23"/>
    <s v="PW002"/>
    <s v="Pakaian Wanita"/>
    <s v="Blouse"/>
    <n v="1"/>
    <n v="4"/>
    <n v="150000"/>
    <n v="127500"/>
    <n v="50000"/>
    <n v="27500"/>
    <s v="PP001"/>
    <s v="Pakaian Pria"/>
    <s v="Kaos Polo"/>
    <n v="1"/>
    <n v="3"/>
    <n v="200000"/>
    <n v="170000"/>
    <n v="80000"/>
    <n v="50000"/>
    <m/>
    <s v="-"/>
    <s v="-"/>
    <m/>
    <m/>
    <n v="0"/>
    <n v="0"/>
    <n v="0"/>
    <n v="0"/>
    <n v="2"/>
    <n v="350000"/>
    <n v="297500"/>
    <n v="130000"/>
    <n v="77500"/>
    <s v="DISC15"/>
    <n v="0.15"/>
    <x v="0"/>
    <x v="2"/>
    <x v="1"/>
    <d v="2023-04-01T00:00:00"/>
    <x v="0"/>
    <s v="Saturday"/>
    <x v="0"/>
    <n v="3.5"/>
  </r>
  <r>
    <n v="558"/>
    <s v="ORD-SP0558-24/04/23"/>
    <s v="PP003"/>
    <s v="Pakaian Pria"/>
    <s v="Jaket Jeans"/>
    <n v="5"/>
    <n v="4"/>
    <n v="2000000"/>
    <n v="1600000"/>
    <n v="750000"/>
    <n v="350000"/>
    <s v="PW003"/>
    <s v="Pakaian Wanita"/>
    <s v="Kaftan"/>
    <n v="1"/>
    <n v="2"/>
    <n v="250000"/>
    <n v="200000"/>
    <n v="100000"/>
    <n v="50000"/>
    <m/>
    <s v="-"/>
    <s v="-"/>
    <m/>
    <m/>
    <n v="0"/>
    <n v="0"/>
    <n v="0"/>
    <n v="0"/>
    <n v="6"/>
    <n v="2250000"/>
    <n v="1800000"/>
    <n v="850000"/>
    <n v="400000"/>
    <s v="DISC20"/>
    <n v="0.2"/>
    <x v="1"/>
    <x v="2"/>
    <x v="2"/>
    <d v="2023-04-24T00:00:00"/>
    <x v="4"/>
    <s v="Monday"/>
    <x v="2"/>
    <n v="3"/>
  </r>
  <r>
    <n v="559"/>
    <s v="ORD-BL0559-25/04/23"/>
    <s v="PW003"/>
    <s v="Pakaian Wanita"/>
    <s v="Kaftan"/>
    <n v="1"/>
    <n v="3"/>
    <n v="250000"/>
    <n v="212500"/>
    <n v="100000"/>
    <n v="62500"/>
    <s v="PW001"/>
    <s v="Pakaian Wanita"/>
    <s v="Dress"/>
    <n v="4"/>
    <n v="4"/>
    <n v="1200000"/>
    <n v="1020000"/>
    <n v="400000"/>
    <n v="220000"/>
    <s v="PW002"/>
    <s v="Pakaian Wanita"/>
    <s v="Blouse"/>
    <n v="1"/>
    <n v="1"/>
    <n v="150000"/>
    <n v="127500"/>
    <n v="50000"/>
    <n v="27500"/>
    <n v="6"/>
    <n v="1600000"/>
    <n v="1360000"/>
    <n v="550000"/>
    <n v="310000"/>
    <s v="BUKALEBAR"/>
    <n v="0.15"/>
    <x v="1"/>
    <x v="3"/>
    <x v="5"/>
    <d v="2023-04-25T00:00:00"/>
    <x v="6"/>
    <s v="Tuesday"/>
    <x v="2"/>
    <n v="2.6666666666666665"/>
  </r>
  <r>
    <n v="560"/>
    <s v="ORD-SP0560-05/04/23"/>
    <s v="PP002"/>
    <s v="Pakaian Pria"/>
    <s v="Celana Pendek"/>
    <n v="3"/>
    <n v="2"/>
    <n v="540000"/>
    <n v="459000"/>
    <n v="210000"/>
    <n v="129000"/>
    <s v="PW003"/>
    <s v="Pakaian Wanita"/>
    <s v="Kaftan"/>
    <n v="1"/>
    <n v="3"/>
    <n v="250000"/>
    <n v="212500"/>
    <n v="100000"/>
    <n v="62500"/>
    <m/>
    <s v="-"/>
    <s v="-"/>
    <m/>
    <m/>
    <n v="0"/>
    <n v="0"/>
    <n v="0"/>
    <n v="0"/>
    <n v="4"/>
    <n v="790000"/>
    <n v="671500"/>
    <n v="310000"/>
    <n v="191500"/>
    <s v="DISC15"/>
    <n v="0.15"/>
    <x v="0"/>
    <x v="2"/>
    <x v="4"/>
    <d v="2023-04-05T00:00:00"/>
    <x v="9"/>
    <s v="Wednesday"/>
    <x v="0"/>
    <n v="2.5"/>
  </r>
  <r>
    <n v="561"/>
    <s v="ORD-SP0561-06/04/23"/>
    <s v="PW001"/>
    <s v="Pakaian Wanita"/>
    <s v="Dress"/>
    <n v="3"/>
    <n v="4"/>
    <n v="900000"/>
    <n v="765000"/>
    <n v="300000"/>
    <n v="165000"/>
    <s v="PW002"/>
    <s v="Pakaian Wanita"/>
    <s v="Blouse"/>
    <n v="2"/>
    <n v="4"/>
    <n v="300000"/>
    <n v="255000"/>
    <n v="100000"/>
    <n v="55000"/>
    <m/>
    <s v="-"/>
    <s v="-"/>
    <m/>
    <m/>
    <n v="0"/>
    <n v="0"/>
    <n v="0"/>
    <n v="0"/>
    <n v="5"/>
    <n v="1200000"/>
    <n v="1020000"/>
    <n v="400000"/>
    <n v="220000"/>
    <s v="DISC15"/>
    <n v="0.15"/>
    <x v="0"/>
    <x v="2"/>
    <x v="4"/>
    <d v="2023-04-06T00:00:00"/>
    <x v="8"/>
    <s v="Thursday"/>
    <x v="0"/>
    <n v="4"/>
  </r>
  <r>
    <n v="562"/>
    <s v="ORD-SP0562-06/04/23"/>
    <s v="PP003"/>
    <s v="Pakaian Pria"/>
    <s v="Jaket Jeans"/>
    <n v="1"/>
    <n v="3"/>
    <n v="400000"/>
    <n v="360000"/>
    <n v="150000"/>
    <n v="110000"/>
    <s v="SP002"/>
    <s v="Sepatu Pria"/>
    <s v="Sandal Slip On"/>
    <n v="6"/>
    <n v="5"/>
    <n v="900000"/>
    <n v="810000"/>
    <n v="360000"/>
    <n v="270000"/>
    <m/>
    <s v="-"/>
    <s v="-"/>
    <m/>
    <m/>
    <n v="0"/>
    <n v="0"/>
    <n v="0"/>
    <n v="0"/>
    <n v="7"/>
    <n v="1300000"/>
    <n v="1170000"/>
    <n v="510000"/>
    <n v="380000"/>
    <s v="DISC10"/>
    <n v="0.1"/>
    <x v="0"/>
    <x v="2"/>
    <x v="3"/>
    <d v="2023-04-06T00:00:00"/>
    <x v="8"/>
    <s v="Thursday"/>
    <x v="0"/>
    <n v="4"/>
  </r>
  <r>
    <n v="563"/>
    <s v="ORD-TK0563-03/04/23"/>
    <s v="PP001"/>
    <s v="Pakaian Pria"/>
    <s v="Kaos Polo"/>
    <n v="4"/>
    <n v="4"/>
    <n v="800000"/>
    <n v="720000"/>
    <n v="320000"/>
    <n v="240000"/>
    <m/>
    <s v="-"/>
    <s v="-"/>
    <m/>
    <m/>
    <n v="0"/>
    <n v="0"/>
    <n v="0"/>
    <n v="0"/>
    <m/>
    <s v="-"/>
    <s v="-"/>
    <m/>
    <m/>
    <n v="0"/>
    <n v="0"/>
    <n v="0"/>
    <n v="0"/>
    <n v="4"/>
    <n v="800000"/>
    <n v="720000"/>
    <n v="320000"/>
    <n v="240000"/>
    <s v="DISCAPRIL"/>
    <n v="0.1"/>
    <x v="0"/>
    <x v="1"/>
    <x v="4"/>
    <d v="2023-04-03T00:00:00"/>
    <x v="2"/>
    <s v="Monday"/>
    <x v="0"/>
    <n v="4"/>
  </r>
  <r>
    <n v="564"/>
    <s v="ORD-BB0564-06/04/23"/>
    <s v="PP003"/>
    <s v="Pakaian Pria"/>
    <s v="Jaket Jeans"/>
    <n v="2"/>
    <n v="1"/>
    <n v="800000"/>
    <n v="680000"/>
    <n v="300000"/>
    <n v="180000"/>
    <m/>
    <s v="-"/>
    <s v="-"/>
    <m/>
    <m/>
    <n v="0"/>
    <n v="0"/>
    <n v="0"/>
    <n v="0"/>
    <m/>
    <s v="-"/>
    <s v="-"/>
    <m/>
    <m/>
    <n v="0"/>
    <n v="0"/>
    <n v="0"/>
    <n v="0"/>
    <n v="2"/>
    <n v="800000"/>
    <n v="680000"/>
    <n v="300000"/>
    <n v="180000"/>
    <s v="BELI44"/>
    <n v="0.15"/>
    <x v="0"/>
    <x v="0"/>
    <x v="1"/>
    <d v="2023-04-06T00:00:00"/>
    <x v="8"/>
    <s v="Thursday"/>
    <x v="0"/>
    <n v="1"/>
  </r>
  <r>
    <n v="565"/>
    <s v="ORD-TK0565-05/04/23"/>
    <s v="PP003"/>
    <s v="Pakaian Pria"/>
    <s v="Jaket Jeans"/>
    <n v="3"/>
    <n v="2"/>
    <n v="1200000"/>
    <n v="1080000"/>
    <n v="450000"/>
    <n v="330000"/>
    <s v="PW002"/>
    <s v="Pakaian Wanita"/>
    <s v="Blouse"/>
    <n v="2"/>
    <n v="4"/>
    <n v="300000"/>
    <n v="270000"/>
    <n v="100000"/>
    <n v="70000"/>
    <s v="PW001"/>
    <s v="Pakaian Wanita"/>
    <s v="Dress"/>
    <n v="1"/>
    <n v="5"/>
    <n v="300000"/>
    <n v="270000"/>
    <n v="100000"/>
    <n v="70000"/>
    <n v="6"/>
    <n v="1800000"/>
    <n v="1620000"/>
    <n v="650000"/>
    <n v="470000"/>
    <s v="DISCAPRIL"/>
    <n v="0.1"/>
    <x v="0"/>
    <x v="1"/>
    <x v="0"/>
    <d v="2023-04-05T00:00:00"/>
    <x v="9"/>
    <s v="Wednesday"/>
    <x v="0"/>
    <n v="3.6666666666666665"/>
  </r>
  <r>
    <n v="566"/>
    <s v="ORD-SP0566-05/04/23"/>
    <s v="PP001"/>
    <s v="Pakaian Pria"/>
    <s v="Kaos Polo"/>
    <n v="1"/>
    <n v="4"/>
    <n v="200000"/>
    <n v="170000"/>
    <n v="80000"/>
    <n v="50000"/>
    <m/>
    <s v="-"/>
    <s v="-"/>
    <m/>
    <m/>
    <n v="0"/>
    <n v="0"/>
    <n v="0"/>
    <n v="0"/>
    <m/>
    <s v="-"/>
    <s v="-"/>
    <m/>
    <m/>
    <n v="0"/>
    <n v="0"/>
    <n v="0"/>
    <n v="0"/>
    <n v="1"/>
    <n v="200000"/>
    <n v="170000"/>
    <n v="80000"/>
    <n v="50000"/>
    <s v="DISC15"/>
    <n v="0.15"/>
    <x v="0"/>
    <x v="2"/>
    <x v="5"/>
    <d v="2023-04-05T00:00:00"/>
    <x v="9"/>
    <s v="Wednesday"/>
    <x v="0"/>
    <n v="4"/>
  </r>
  <r>
    <n v="567"/>
    <s v="ORD-BB0567-05/04/23"/>
    <s v="SP001"/>
    <s v="Sepatu Pria"/>
    <s v="Sneakers"/>
    <n v="3"/>
    <n v="4"/>
    <n v="1500000"/>
    <n v="1275000"/>
    <n v="600000"/>
    <n v="375000"/>
    <m/>
    <s v="-"/>
    <s v="-"/>
    <m/>
    <m/>
    <n v="0"/>
    <n v="0"/>
    <n v="0"/>
    <n v="0"/>
    <m/>
    <s v="-"/>
    <s v="-"/>
    <m/>
    <m/>
    <n v="0"/>
    <n v="0"/>
    <n v="0"/>
    <n v="0"/>
    <n v="3"/>
    <n v="1500000"/>
    <n v="1275000"/>
    <n v="600000"/>
    <n v="375000"/>
    <s v="BELI44"/>
    <n v="0.15"/>
    <x v="0"/>
    <x v="0"/>
    <x v="4"/>
    <d v="2023-04-05T00:00:00"/>
    <x v="9"/>
    <s v="Wednesday"/>
    <x v="0"/>
    <n v="4"/>
  </r>
  <r>
    <n v="568"/>
    <s v="ORD-TK0568-19/04/23"/>
    <s v="SP002"/>
    <s v="Sepatu Pria"/>
    <s v="Sandal Slip On"/>
    <n v="5"/>
    <n v="2"/>
    <n v="750000"/>
    <n v="675000"/>
    <n v="300000"/>
    <n v="225000"/>
    <s v="PP002"/>
    <s v="Pakaian Pria"/>
    <s v="Celana Pendek"/>
    <n v="1"/>
    <n v="1"/>
    <n v="180000"/>
    <n v="162000"/>
    <n v="70000"/>
    <n v="52000"/>
    <m/>
    <s v="-"/>
    <s v="-"/>
    <m/>
    <m/>
    <n v="0"/>
    <n v="0"/>
    <n v="0"/>
    <n v="0"/>
    <n v="6"/>
    <n v="930000"/>
    <n v="837000"/>
    <n v="370000"/>
    <n v="277000"/>
    <s v="LEBAR10"/>
    <n v="0.1"/>
    <x v="1"/>
    <x v="1"/>
    <x v="2"/>
    <d v="2023-04-19T00:00:00"/>
    <x v="19"/>
    <s v="Wednesday"/>
    <x v="1"/>
    <n v="1.5"/>
  </r>
  <r>
    <n v="569"/>
    <s v="ORD-SP0569-02/04/23"/>
    <s v="PP003"/>
    <s v="Pakaian Pria"/>
    <s v="Jaket Jeans"/>
    <n v="2"/>
    <n v="4"/>
    <n v="800000"/>
    <n v="680000"/>
    <n v="300000"/>
    <n v="180000"/>
    <m/>
    <s v="-"/>
    <s v="-"/>
    <m/>
    <m/>
    <n v="0"/>
    <n v="0"/>
    <n v="0"/>
    <n v="0"/>
    <m/>
    <s v="-"/>
    <s v="-"/>
    <m/>
    <m/>
    <n v="0"/>
    <n v="0"/>
    <n v="0"/>
    <n v="0"/>
    <n v="2"/>
    <n v="800000"/>
    <n v="680000"/>
    <n v="300000"/>
    <n v="180000"/>
    <s v="DISC15"/>
    <n v="0.15"/>
    <x v="0"/>
    <x v="2"/>
    <x v="3"/>
    <d v="2023-04-02T00:00:00"/>
    <x v="1"/>
    <s v="Sunday"/>
    <x v="0"/>
    <n v="4"/>
  </r>
  <r>
    <n v="570"/>
    <s v="ORD-BB0570-05/04/23"/>
    <s v="SP002"/>
    <s v="Sepatu Pria"/>
    <s v="Sandal Slip On"/>
    <n v="5"/>
    <n v="3"/>
    <n v="750000"/>
    <n v="637500"/>
    <n v="300000"/>
    <n v="187500"/>
    <s v="PW001"/>
    <s v="Pakaian Wanita"/>
    <s v="Dress"/>
    <n v="1"/>
    <n v="1"/>
    <n v="300000"/>
    <n v="255000"/>
    <n v="100000"/>
    <n v="55000"/>
    <s v="SP001"/>
    <s v="Sepatu Pria"/>
    <s v="Sneakers"/>
    <n v="1"/>
    <n v="5"/>
    <n v="500000"/>
    <n v="425000"/>
    <n v="200000"/>
    <n v="125000"/>
    <n v="7"/>
    <n v="1550000"/>
    <n v="1317500"/>
    <n v="600000"/>
    <n v="367500"/>
    <s v="BELI44"/>
    <n v="0.15"/>
    <x v="0"/>
    <x v="0"/>
    <x v="4"/>
    <d v="2023-04-05T00:00:00"/>
    <x v="9"/>
    <s v="Wednesday"/>
    <x v="0"/>
    <n v="3"/>
  </r>
  <r>
    <n v="571"/>
    <s v="ORD-BB0571-02/04/23"/>
    <s v="PP001"/>
    <s v="Pakaian Pria"/>
    <s v="Kaos Polo"/>
    <n v="2"/>
    <n v="3"/>
    <n v="400000"/>
    <n v="340000"/>
    <n v="160000"/>
    <n v="100000"/>
    <s v="PP002"/>
    <s v="Pakaian Pria"/>
    <s v="Celana Pendek"/>
    <n v="2"/>
    <n v="4"/>
    <n v="360000"/>
    <n v="306000"/>
    <n v="140000"/>
    <n v="86000"/>
    <s v="SP001"/>
    <s v="Sepatu Pria"/>
    <s v="Sneakers"/>
    <n v="3"/>
    <n v="3"/>
    <n v="1500000"/>
    <n v="1275000"/>
    <n v="600000"/>
    <n v="375000"/>
    <n v="7"/>
    <n v="2260000"/>
    <n v="1921000"/>
    <n v="900000"/>
    <n v="561000"/>
    <s v="BELI44"/>
    <n v="0.15"/>
    <x v="0"/>
    <x v="0"/>
    <x v="2"/>
    <d v="2023-04-02T00:00:00"/>
    <x v="1"/>
    <s v="Sunday"/>
    <x v="0"/>
    <n v="3.3333333333333335"/>
  </r>
  <r>
    <n v="572"/>
    <s v="ORD-TK0572-04/04/23"/>
    <s v="PW002"/>
    <s v="Pakaian Wanita"/>
    <s v="Blouse"/>
    <n v="1"/>
    <n v="2"/>
    <n v="150000"/>
    <n v="135000"/>
    <n v="50000"/>
    <n v="35000"/>
    <m/>
    <s v="-"/>
    <s v="-"/>
    <m/>
    <m/>
    <n v="0"/>
    <n v="0"/>
    <n v="0"/>
    <n v="0"/>
    <m/>
    <s v="-"/>
    <s v="-"/>
    <m/>
    <m/>
    <n v="0"/>
    <n v="0"/>
    <n v="0"/>
    <n v="0"/>
    <n v="1"/>
    <n v="150000"/>
    <n v="135000"/>
    <n v="50000"/>
    <n v="35000"/>
    <s v="DISCAPRIL"/>
    <n v="0.1"/>
    <x v="0"/>
    <x v="1"/>
    <x v="1"/>
    <d v="2023-04-04T00:00:00"/>
    <x v="7"/>
    <s v="Tuesday"/>
    <x v="0"/>
    <n v="2"/>
  </r>
  <r>
    <n v="573"/>
    <s v="ORD-SP0573-03/04/23"/>
    <s v="PW002"/>
    <s v="Pakaian Wanita"/>
    <s v="Blouse"/>
    <n v="2"/>
    <n v="1"/>
    <n v="300000"/>
    <n v="255000"/>
    <n v="100000"/>
    <n v="55000"/>
    <s v="SW001"/>
    <s v="Sepatu Wanita"/>
    <s v="Flat Shoes"/>
    <n v="1"/>
    <n v="5"/>
    <n v="250000"/>
    <n v="212500"/>
    <n v="100000"/>
    <n v="62500"/>
    <s v="SP001"/>
    <s v="Sepatu Pria"/>
    <s v="Sneakers"/>
    <n v="1"/>
    <n v="4"/>
    <n v="500000"/>
    <n v="425000"/>
    <n v="200000"/>
    <n v="125000"/>
    <n v="4"/>
    <n v="1050000"/>
    <n v="892500"/>
    <n v="400000"/>
    <n v="242500"/>
    <s v="DISC15"/>
    <n v="0.15"/>
    <x v="0"/>
    <x v="2"/>
    <x v="3"/>
    <d v="2023-04-03T00:00:00"/>
    <x v="2"/>
    <s v="Monday"/>
    <x v="0"/>
    <n v="3.3333333333333335"/>
  </r>
  <r>
    <n v="574"/>
    <s v="ORD-BB0574-03/04/23"/>
    <s v="PP003"/>
    <s v="Pakaian Pria"/>
    <s v="Jaket Jeans"/>
    <n v="2"/>
    <n v="5"/>
    <n v="800000"/>
    <n v="680000"/>
    <n v="300000"/>
    <n v="180000"/>
    <m/>
    <s v="-"/>
    <s v="-"/>
    <m/>
    <m/>
    <n v="0"/>
    <n v="0"/>
    <n v="0"/>
    <n v="0"/>
    <m/>
    <s v="-"/>
    <s v="-"/>
    <m/>
    <m/>
    <n v="0"/>
    <n v="0"/>
    <n v="0"/>
    <n v="0"/>
    <n v="2"/>
    <n v="800000"/>
    <n v="680000"/>
    <n v="300000"/>
    <n v="180000"/>
    <s v="BELI44"/>
    <n v="0.15"/>
    <x v="0"/>
    <x v="0"/>
    <x v="2"/>
    <d v="2023-04-03T00:00:00"/>
    <x v="2"/>
    <s v="Monday"/>
    <x v="0"/>
    <n v="5"/>
  </r>
  <r>
    <n v="575"/>
    <s v="ORD-BB0575-04/04/23"/>
    <s v="PW001"/>
    <s v="Pakaian Wanita"/>
    <s v="Dress"/>
    <n v="1"/>
    <n v="2"/>
    <n v="300000"/>
    <n v="255000"/>
    <n v="100000"/>
    <n v="55000"/>
    <m/>
    <s v="-"/>
    <s v="-"/>
    <m/>
    <m/>
    <n v="0"/>
    <n v="0"/>
    <n v="0"/>
    <n v="0"/>
    <m/>
    <s v="-"/>
    <s v="-"/>
    <m/>
    <m/>
    <n v="0"/>
    <n v="0"/>
    <n v="0"/>
    <n v="0"/>
    <n v="1"/>
    <n v="300000"/>
    <n v="255000"/>
    <n v="100000"/>
    <n v="55000"/>
    <s v="BELI44"/>
    <n v="0.15"/>
    <x v="0"/>
    <x v="0"/>
    <x v="4"/>
    <d v="2023-04-04T00:00:00"/>
    <x v="7"/>
    <s v="Tuesday"/>
    <x v="0"/>
    <n v="2"/>
  </r>
  <r>
    <n v="576"/>
    <s v="ORD-BL0576-16/04/23"/>
    <s v="PP002"/>
    <s v="Pakaian Pria"/>
    <s v="Celana Pendek"/>
    <n v="4"/>
    <n v="1"/>
    <n v="720000"/>
    <n v="612000"/>
    <n v="280000"/>
    <n v="172000"/>
    <s v="PW001"/>
    <s v="Pakaian Wanita"/>
    <s v="Dress"/>
    <n v="2"/>
    <n v="5"/>
    <n v="600000"/>
    <n v="510000"/>
    <n v="200000"/>
    <n v="110000"/>
    <m/>
    <s v="-"/>
    <s v="-"/>
    <m/>
    <m/>
    <n v="0"/>
    <n v="0"/>
    <n v="0"/>
    <n v="0"/>
    <n v="6"/>
    <n v="1320000"/>
    <n v="1122000"/>
    <n v="480000"/>
    <n v="282000"/>
    <s v="BUKALEBAR"/>
    <n v="0.15"/>
    <x v="1"/>
    <x v="3"/>
    <x v="0"/>
    <d v="2023-04-16T00:00:00"/>
    <x v="17"/>
    <s v="Sunday"/>
    <x v="1"/>
    <n v="3"/>
  </r>
  <r>
    <n v="577"/>
    <s v="ORD-SP0577-06/04/23"/>
    <s v="PW001"/>
    <s v="Pakaian Wanita"/>
    <s v="Dress"/>
    <n v="1"/>
    <n v="1"/>
    <n v="300000"/>
    <n v="255000"/>
    <n v="100000"/>
    <n v="55000"/>
    <s v="PU001"/>
    <s v="Pakaian Unisex"/>
    <s v="Jaket Hoodie"/>
    <n v="3"/>
    <n v="1"/>
    <n v="1050000"/>
    <n v="892500"/>
    <n v="390000"/>
    <n v="232500"/>
    <s v="PW001"/>
    <s v="Pakaian Wanita"/>
    <s v="Dress"/>
    <n v="1"/>
    <n v="4"/>
    <n v="300000"/>
    <n v="255000"/>
    <n v="100000"/>
    <n v="55000"/>
    <n v="5"/>
    <n v="1650000"/>
    <n v="1402500"/>
    <n v="590000"/>
    <n v="342500"/>
    <s v="DISC15"/>
    <n v="0.15"/>
    <x v="0"/>
    <x v="2"/>
    <x v="0"/>
    <d v="2023-04-06T00:00:00"/>
    <x v="8"/>
    <s v="Thursday"/>
    <x v="0"/>
    <n v="2"/>
  </r>
  <r>
    <n v="578"/>
    <s v="ORD-BB0578-13/04/23"/>
    <s v="PP003"/>
    <s v="Pakaian Pria"/>
    <s v="Jaket Jeans"/>
    <n v="2"/>
    <n v="2"/>
    <n v="800000"/>
    <n v="800000"/>
    <n v="300000"/>
    <n v="300000"/>
    <s v="PW001"/>
    <s v="Pakaian Wanita"/>
    <s v="Dress"/>
    <n v="2"/>
    <n v="2"/>
    <n v="600000"/>
    <n v="600000"/>
    <n v="200000"/>
    <n v="200000"/>
    <m/>
    <s v="-"/>
    <s v="-"/>
    <m/>
    <m/>
    <n v="0"/>
    <n v="0"/>
    <n v="0"/>
    <n v="0"/>
    <n v="4"/>
    <n v="1400000"/>
    <n v="1400000"/>
    <n v="500000"/>
    <n v="500000"/>
    <s v="Tidak Ada"/>
    <s v="-"/>
    <x v="2"/>
    <x v="0"/>
    <x v="1"/>
    <d v="2023-04-13T00:00:00"/>
    <x v="21"/>
    <s v="Thursday"/>
    <x v="3"/>
    <n v="2"/>
  </r>
  <r>
    <n v="579"/>
    <s v="ORD-BL0579-23/04/23"/>
    <s v="PP002"/>
    <s v="Pakaian Pria"/>
    <s v="Celana Pendek"/>
    <n v="1"/>
    <n v="1"/>
    <n v="180000"/>
    <n v="153000"/>
    <n v="70000"/>
    <n v="43000"/>
    <m/>
    <s v="-"/>
    <s v="-"/>
    <m/>
    <m/>
    <n v="0"/>
    <n v="0"/>
    <n v="0"/>
    <n v="0"/>
    <m/>
    <s v="-"/>
    <s v="-"/>
    <m/>
    <m/>
    <n v="0"/>
    <n v="0"/>
    <n v="0"/>
    <n v="0"/>
    <n v="1"/>
    <n v="180000"/>
    <n v="153000"/>
    <n v="70000"/>
    <n v="43000"/>
    <s v="BUKALEBAR"/>
    <n v="0.15"/>
    <x v="1"/>
    <x v="3"/>
    <x v="1"/>
    <d v="2023-04-23T00:00:00"/>
    <x v="25"/>
    <s v="Sunday"/>
    <x v="2"/>
    <n v="1"/>
  </r>
  <r>
    <n v="580"/>
    <s v="ORD-BB0580-04/04/23"/>
    <s v="SW001"/>
    <s v="Sepatu Wanita"/>
    <s v="Flat Shoes"/>
    <n v="1"/>
    <n v="5"/>
    <n v="250000"/>
    <n v="212500"/>
    <n v="100000"/>
    <n v="62500"/>
    <s v="SP001"/>
    <s v="Sepatu Pria"/>
    <s v="Sneakers"/>
    <n v="1"/>
    <n v="4"/>
    <n v="500000"/>
    <n v="425000"/>
    <n v="200000"/>
    <n v="125000"/>
    <s v="PW001"/>
    <s v="Pakaian Wanita"/>
    <s v="Dress"/>
    <n v="1"/>
    <n v="5"/>
    <n v="300000"/>
    <n v="255000"/>
    <n v="100000"/>
    <n v="55000"/>
    <n v="3"/>
    <n v="1050000"/>
    <n v="892500"/>
    <n v="400000"/>
    <n v="242500"/>
    <s v="BELI44"/>
    <n v="0.15"/>
    <x v="0"/>
    <x v="0"/>
    <x v="2"/>
    <d v="2023-04-04T00:00:00"/>
    <x v="7"/>
    <s v="Tuesday"/>
    <x v="0"/>
    <n v="4.666666666666667"/>
  </r>
  <r>
    <n v="581"/>
    <s v="ORD-SP0581-01/04/23"/>
    <s v="SP002"/>
    <s v="Sepatu Pria"/>
    <s v="Sandal Slip On"/>
    <n v="7"/>
    <n v="2"/>
    <n v="1050000"/>
    <n v="892500"/>
    <n v="420000"/>
    <n v="262500"/>
    <m/>
    <s v="-"/>
    <s v="-"/>
    <m/>
    <m/>
    <n v="0"/>
    <n v="0"/>
    <n v="0"/>
    <n v="0"/>
    <m/>
    <s v="-"/>
    <s v="-"/>
    <m/>
    <m/>
    <n v="0"/>
    <n v="0"/>
    <n v="0"/>
    <n v="0"/>
    <n v="7"/>
    <n v="1050000"/>
    <n v="892500"/>
    <n v="420000"/>
    <n v="262500"/>
    <s v="DISC15"/>
    <n v="0.15"/>
    <x v="0"/>
    <x v="2"/>
    <x v="3"/>
    <d v="2023-04-01T00:00:00"/>
    <x v="0"/>
    <s v="Saturday"/>
    <x v="0"/>
    <n v="2"/>
  </r>
  <r>
    <n v="582"/>
    <s v="ORD-BB0582-01/04/23"/>
    <s v="PU001"/>
    <s v="Pakaian Unisex"/>
    <s v="Jaket Hoodie"/>
    <n v="4"/>
    <n v="1"/>
    <n v="1400000"/>
    <n v="1190000"/>
    <n v="520000"/>
    <n v="310000"/>
    <s v="PW003"/>
    <s v="Pakaian Wanita"/>
    <s v="Kaftan"/>
    <n v="1"/>
    <n v="3"/>
    <n v="250000"/>
    <n v="212500"/>
    <n v="100000"/>
    <n v="62500"/>
    <m/>
    <s v="-"/>
    <s v="-"/>
    <m/>
    <m/>
    <n v="0"/>
    <n v="0"/>
    <n v="0"/>
    <n v="0"/>
    <n v="5"/>
    <n v="1650000"/>
    <n v="1402500"/>
    <n v="620000"/>
    <n v="372500"/>
    <s v="BELI44"/>
    <n v="0.15"/>
    <x v="0"/>
    <x v="0"/>
    <x v="3"/>
    <d v="2023-04-01T00:00:00"/>
    <x v="0"/>
    <s v="Saturday"/>
    <x v="0"/>
    <n v="2"/>
  </r>
  <r>
    <n v="583"/>
    <s v="ORD-BL0583-17/04/23"/>
    <s v="PW001"/>
    <s v="Pakaian Wanita"/>
    <s v="Dress"/>
    <n v="2"/>
    <n v="2"/>
    <n v="600000"/>
    <n v="510000"/>
    <n v="200000"/>
    <n v="110000"/>
    <m/>
    <s v="-"/>
    <s v="-"/>
    <m/>
    <m/>
    <n v="0"/>
    <n v="0"/>
    <n v="0"/>
    <n v="0"/>
    <m/>
    <s v="-"/>
    <s v="-"/>
    <m/>
    <m/>
    <n v="0"/>
    <n v="0"/>
    <n v="0"/>
    <n v="0"/>
    <n v="2"/>
    <n v="600000"/>
    <n v="510000"/>
    <n v="200000"/>
    <n v="110000"/>
    <s v="BUKALEBAR"/>
    <n v="0.15"/>
    <x v="1"/>
    <x v="3"/>
    <x v="0"/>
    <d v="2023-04-17T00:00:00"/>
    <x v="3"/>
    <s v="Monday"/>
    <x v="1"/>
    <n v="2"/>
  </r>
  <r>
    <n v="584"/>
    <s v="ORD-SP0584-02/04/23"/>
    <s v="PU001"/>
    <s v="Pakaian Unisex"/>
    <s v="Jaket Hoodie"/>
    <n v="4"/>
    <n v="4"/>
    <n v="1400000"/>
    <n v="1260000"/>
    <n v="520000"/>
    <n v="380000"/>
    <s v="SP002"/>
    <s v="Sepatu Pria"/>
    <s v="Sandal Slip On"/>
    <n v="1"/>
    <n v="4"/>
    <n v="150000"/>
    <n v="135000"/>
    <n v="60000"/>
    <n v="45000"/>
    <s v="PP003"/>
    <s v="Pakaian Pria"/>
    <s v="Jaket Jeans"/>
    <n v="1"/>
    <n v="2"/>
    <n v="400000"/>
    <n v="360000"/>
    <n v="150000"/>
    <n v="110000"/>
    <n v="6"/>
    <n v="1950000"/>
    <n v="1755000"/>
    <n v="730000"/>
    <n v="535000"/>
    <s v="DISC10"/>
    <n v="0.1"/>
    <x v="0"/>
    <x v="2"/>
    <x v="5"/>
    <d v="2023-04-02T00:00:00"/>
    <x v="1"/>
    <s v="Sunday"/>
    <x v="0"/>
    <n v="3.3333333333333335"/>
  </r>
  <r>
    <n v="585"/>
    <s v="ORD-TK0585-24/04/23"/>
    <s v="PP003"/>
    <s v="Pakaian Pria"/>
    <s v="Jaket Jeans"/>
    <n v="1"/>
    <n v="3"/>
    <n v="400000"/>
    <n v="360000"/>
    <n v="150000"/>
    <n v="110000"/>
    <m/>
    <s v="-"/>
    <s v="-"/>
    <m/>
    <m/>
    <n v="0"/>
    <n v="0"/>
    <n v="0"/>
    <n v="0"/>
    <m/>
    <s v="-"/>
    <s v="-"/>
    <m/>
    <m/>
    <n v="0"/>
    <n v="0"/>
    <n v="0"/>
    <n v="0"/>
    <n v="1"/>
    <n v="400000"/>
    <n v="360000"/>
    <n v="150000"/>
    <n v="110000"/>
    <s v="LEBAR10"/>
    <n v="0.1"/>
    <x v="1"/>
    <x v="1"/>
    <x v="1"/>
    <d v="2023-04-24T00:00:00"/>
    <x v="4"/>
    <s v="Monday"/>
    <x v="2"/>
    <n v="3"/>
  </r>
  <r>
    <n v="586"/>
    <s v="ORD-SP0586-04/04/23"/>
    <s v="PW003"/>
    <s v="Pakaian Wanita"/>
    <s v="Kaftan"/>
    <n v="3"/>
    <n v="4"/>
    <n v="750000"/>
    <n v="675000"/>
    <n v="300000"/>
    <n v="225000"/>
    <s v="PW002"/>
    <s v="Pakaian Wanita"/>
    <s v="Blouse"/>
    <n v="4"/>
    <n v="3"/>
    <n v="600000"/>
    <n v="540000"/>
    <n v="200000"/>
    <n v="140000"/>
    <m/>
    <s v="-"/>
    <s v="-"/>
    <m/>
    <m/>
    <n v="0"/>
    <n v="0"/>
    <n v="0"/>
    <n v="0"/>
    <n v="7"/>
    <n v="1350000"/>
    <n v="1215000"/>
    <n v="500000"/>
    <n v="365000"/>
    <s v="DISC10"/>
    <n v="0.1"/>
    <x v="0"/>
    <x v="2"/>
    <x v="4"/>
    <d v="2023-04-04T00:00:00"/>
    <x v="7"/>
    <s v="Tuesday"/>
    <x v="0"/>
    <n v="3.5"/>
  </r>
  <r>
    <n v="587"/>
    <s v="ORD-SP0587-05/04/23"/>
    <s v="PW003"/>
    <s v="Pakaian Wanita"/>
    <s v="Kaftan"/>
    <n v="1"/>
    <n v="3"/>
    <n v="250000"/>
    <n v="225000"/>
    <n v="100000"/>
    <n v="75000"/>
    <m/>
    <s v="-"/>
    <s v="-"/>
    <m/>
    <m/>
    <n v="0"/>
    <n v="0"/>
    <n v="0"/>
    <n v="0"/>
    <m/>
    <s v="-"/>
    <s v="-"/>
    <m/>
    <m/>
    <n v="0"/>
    <n v="0"/>
    <n v="0"/>
    <n v="0"/>
    <n v="1"/>
    <n v="250000"/>
    <n v="225000"/>
    <n v="100000"/>
    <n v="75000"/>
    <s v="DISC10"/>
    <n v="0.1"/>
    <x v="0"/>
    <x v="2"/>
    <x v="2"/>
    <d v="2023-04-05T00:00:00"/>
    <x v="9"/>
    <s v="Wednesday"/>
    <x v="0"/>
    <n v="3"/>
  </r>
  <r>
    <n v="588"/>
    <s v="ORD-BB0588-06/04/23"/>
    <s v="SW001"/>
    <s v="Sepatu Wanita"/>
    <s v="Flat Shoes"/>
    <n v="4"/>
    <n v="4"/>
    <n v="1000000"/>
    <n v="850000"/>
    <n v="400000"/>
    <n v="250000"/>
    <m/>
    <s v="-"/>
    <s v="-"/>
    <m/>
    <m/>
    <n v="0"/>
    <n v="0"/>
    <n v="0"/>
    <n v="0"/>
    <m/>
    <s v="-"/>
    <s v="-"/>
    <m/>
    <m/>
    <n v="0"/>
    <n v="0"/>
    <n v="0"/>
    <n v="0"/>
    <n v="4"/>
    <n v="1000000"/>
    <n v="850000"/>
    <n v="400000"/>
    <n v="250000"/>
    <s v="BELI44"/>
    <n v="0.15"/>
    <x v="0"/>
    <x v="0"/>
    <x v="3"/>
    <d v="2023-04-06T00:00:00"/>
    <x v="8"/>
    <s v="Thursday"/>
    <x v="0"/>
    <n v="4"/>
  </r>
  <r>
    <n v="589"/>
    <s v="ORD-SP0589-03/04/23"/>
    <s v="PP003"/>
    <s v="Pakaian Pria"/>
    <s v="Jaket Jeans"/>
    <n v="2"/>
    <n v="4"/>
    <n v="800000"/>
    <n v="720000"/>
    <n v="300000"/>
    <n v="220000"/>
    <s v="PW002"/>
    <s v="Pakaian Wanita"/>
    <s v="Blouse"/>
    <n v="3"/>
    <n v="3"/>
    <n v="450000"/>
    <n v="405000"/>
    <n v="150000"/>
    <n v="105000"/>
    <m/>
    <s v="-"/>
    <s v="-"/>
    <m/>
    <m/>
    <n v="0"/>
    <n v="0"/>
    <n v="0"/>
    <n v="0"/>
    <n v="5"/>
    <n v="1250000"/>
    <n v="1125000"/>
    <n v="450000"/>
    <n v="325000"/>
    <s v="DISC10"/>
    <n v="0.1"/>
    <x v="0"/>
    <x v="2"/>
    <x v="1"/>
    <d v="2023-04-03T00:00:00"/>
    <x v="2"/>
    <s v="Monday"/>
    <x v="0"/>
    <n v="3.5"/>
  </r>
  <r>
    <n v="590"/>
    <s v="ORD-SP0590-25/04/23"/>
    <s v="PP002"/>
    <s v="Pakaian Pria"/>
    <s v="Celana Pendek"/>
    <n v="1"/>
    <n v="4"/>
    <n v="180000"/>
    <n v="144000"/>
    <n v="70000"/>
    <n v="34000"/>
    <s v="SP001"/>
    <s v="Sepatu Pria"/>
    <s v="Sneakers"/>
    <n v="2"/>
    <n v="5"/>
    <n v="1000000"/>
    <n v="800000"/>
    <n v="400000"/>
    <n v="200000"/>
    <s v="SP002"/>
    <s v="Sepatu Pria"/>
    <s v="Sandal Slip On"/>
    <n v="3"/>
    <n v="5"/>
    <n v="450000"/>
    <n v="360000"/>
    <n v="180000"/>
    <n v="90000"/>
    <n v="6"/>
    <n v="1630000"/>
    <n v="1304000"/>
    <n v="650000"/>
    <n v="324000"/>
    <s v="DISC20"/>
    <n v="0.2"/>
    <x v="1"/>
    <x v="2"/>
    <x v="0"/>
    <d v="2023-04-25T00:00:00"/>
    <x v="6"/>
    <s v="Tuesday"/>
    <x v="2"/>
    <n v="4.666666666666667"/>
  </r>
  <r>
    <n v="591"/>
    <s v="ORD-BL0591-11/04/23"/>
    <s v="SW001"/>
    <s v="Sepatu Wanita"/>
    <s v="Flat Shoes"/>
    <n v="1"/>
    <n v="4"/>
    <n v="250000"/>
    <n v="250000"/>
    <n v="100000"/>
    <n v="100000"/>
    <s v="PP002"/>
    <s v="Pakaian Pria"/>
    <s v="Celana Pendek"/>
    <n v="1"/>
    <n v="4"/>
    <n v="180000"/>
    <n v="180000"/>
    <n v="70000"/>
    <n v="70000"/>
    <m/>
    <s v="-"/>
    <s v="-"/>
    <m/>
    <m/>
    <n v="0"/>
    <n v="0"/>
    <n v="0"/>
    <n v="0"/>
    <n v="2"/>
    <n v="430000"/>
    <n v="430000"/>
    <n v="170000"/>
    <n v="170000"/>
    <s v="Tidak Ada"/>
    <s v="-"/>
    <x v="2"/>
    <x v="3"/>
    <x v="3"/>
    <d v="2023-04-11T00:00:00"/>
    <x v="29"/>
    <s v="Tuesday"/>
    <x v="3"/>
    <n v="4"/>
  </r>
  <r>
    <n v="592"/>
    <s v="ORD-BL0592-30/04/23"/>
    <s v="PP001"/>
    <s v="Pakaian Pria"/>
    <s v="Kaos Polo"/>
    <n v="1"/>
    <n v="1"/>
    <n v="200000"/>
    <n v="170000"/>
    <n v="80000"/>
    <n v="50000"/>
    <m/>
    <s v="-"/>
    <s v="-"/>
    <m/>
    <m/>
    <n v="0"/>
    <n v="0"/>
    <n v="0"/>
    <n v="0"/>
    <m/>
    <s v="-"/>
    <s v="-"/>
    <m/>
    <m/>
    <n v="0"/>
    <n v="0"/>
    <n v="0"/>
    <n v="0"/>
    <n v="1"/>
    <n v="200000"/>
    <n v="170000"/>
    <n v="80000"/>
    <n v="50000"/>
    <s v="BUKALEBAR"/>
    <n v="0.15"/>
    <x v="1"/>
    <x v="3"/>
    <x v="0"/>
    <d v="2023-04-30T00:00:00"/>
    <x v="12"/>
    <s v="Sunday"/>
    <x v="2"/>
    <n v="1"/>
  </r>
  <r>
    <n v="593"/>
    <s v="ORD-BL0593-30/04/23"/>
    <s v="SP001"/>
    <s v="Sepatu Pria"/>
    <s v="Sneakers"/>
    <n v="1"/>
    <n v="3"/>
    <n v="500000"/>
    <n v="425000"/>
    <n v="200000"/>
    <n v="125000"/>
    <s v="SP002"/>
    <s v="Sepatu Pria"/>
    <s v="Sandal Slip On"/>
    <n v="1"/>
    <n v="3"/>
    <n v="150000"/>
    <n v="127500"/>
    <n v="60000"/>
    <n v="37500"/>
    <m/>
    <s v="-"/>
    <s v="-"/>
    <m/>
    <m/>
    <n v="0"/>
    <n v="0"/>
    <n v="0"/>
    <n v="0"/>
    <n v="2"/>
    <n v="650000"/>
    <n v="552500"/>
    <n v="260000"/>
    <n v="162500"/>
    <s v="BUKALEBAR"/>
    <n v="0.15"/>
    <x v="1"/>
    <x v="3"/>
    <x v="1"/>
    <d v="2023-04-30T00:00:00"/>
    <x v="12"/>
    <s v="Sunday"/>
    <x v="2"/>
    <n v="3"/>
  </r>
  <r>
    <n v="594"/>
    <s v="ORD-BB0594-04/04/23"/>
    <s v="SP001"/>
    <s v="Sepatu Pria"/>
    <s v="Sneakers"/>
    <n v="3"/>
    <n v="5"/>
    <n v="1500000"/>
    <n v="1275000"/>
    <n v="600000"/>
    <n v="375000"/>
    <s v="PU001"/>
    <s v="Pakaian Unisex"/>
    <s v="Jaket Hoodie"/>
    <n v="3"/>
    <n v="5"/>
    <n v="1050000"/>
    <n v="892500"/>
    <n v="390000"/>
    <n v="232500"/>
    <m/>
    <s v="-"/>
    <s v="-"/>
    <m/>
    <m/>
    <n v="0"/>
    <n v="0"/>
    <n v="0"/>
    <n v="0"/>
    <n v="6"/>
    <n v="2550000"/>
    <n v="2167500"/>
    <n v="990000"/>
    <n v="607500"/>
    <s v="BELI44"/>
    <n v="0.15"/>
    <x v="0"/>
    <x v="0"/>
    <x v="5"/>
    <d v="2023-04-04T00:00:00"/>
    <x v="7"/>
    <s v="Tuesday"/>
    <x v="0"/>
    <n v="5"/>
  </r>
  <r>
    <n v="595"/>
    <s v="ORD-BL0595-16/04/23"/>
    <s v="PW002"/>
    <s v="Pakaian Wanita"/>
    <s v="Blouse"/>
    <n v="2"/>
    <n v="3"/>
    <n v="300000"/>
    <n v="255000"/>
    <n v="100000"/>
    <n v="55000"/>
    <s v="PW001"/>
    <s v="Pakaian Wanita"/>
    <s v="Dress"/>
    <n v="2"/>
    <n v="2"/>
    <n v="600000"/>
    <n v="510000"/>
    <n v="200000"/>
    <n v="110000"/>
    <s v="SP001"/>
    <s v="Sepatu Pria"/>
    <s v="Sneakers"/>
    <n v="2"/>
    <n v="2"/>
    <n v="1000000"/>
    <n v="850000"/>
    <n v="400000"/>
    <n v="250000"/>
    <n v="6"/>
    <n v="1900000"/>
    <n v="1615000"/>
    <n v="700000"/>
    <n v="415000"/>
    <s v="BUKALEBAR"/>
    <n v="0.15"/>
    <x v="1"/>
    <x v="3"/>
    <x v="0"/>
    <d v="2023-04-16T00:00:00"/>
    <x v="17"/>
    <s v="Sunday"/>
    <x v="1"/>
    <n v="2.3333333333333335"/>
  </r>
  <r>
    <n v="596"/>
    <s v="ORD-SP0596-04/04/23"/>
    <s v="PW003"/>
    <s v="Pakaian Wanita"/>
    <s v="Kaftan"/>
    <n v="1"/>
    <n v="3"/>
    <n v="250000"/>
    <n v="212500"/>
    <n v="100000"/>
    <n v="62500"/>
    <s v="PP002"/>
    <s v="Pakaian Pria"/>
    <s v="Celana Pendek"/>
    <n v="5"/>
    <n v="2"/>
    <n v="900000"/>
    <n v="765000"/>
    <n v="350000"/>
    <n v="215000"/>
    <m/>
    <s v="-"/>
    <s v="-"/>
    <m/>
    <m/>
    <n v="0"/>
    <n v="0"/>
    <n v="0"/>
    <n v="0"/>
    <n v="6"/>
    <n v="1150000"/>
    <n v="977500"/>
    <n v="450000"/>
    <n v="277500"/>
    <s v="DISC15"/>
    <n v="0.15"/>
    <x v="0"/>
    <x v="2"/>
    <x v="2"/>
    <d v="2023-04-04T00:00:00"/>
    <x v="7"/>
    <s v="Tuesday"/>
    <x v="0"/>
    <n v="2.5"/>
  </r>
  <r>
    <n v="597"/>
    <s v="ORD-BL0597-17/04/23"/>
    <s v="PW002"/>
    <s v="Pakaian Wanita"/>
    <s v="Blouse"/>
    <n v="1"/>
    <n v="5"/>
    <n v="150000"/>
    <n v="127500"/>
    <n v="50000"/>
    <n v="27500"/>
    <m/>
    <s v="-"/>
    <s v="-"/>
    <m/>
    <m/>
    <n v="0"/>
    <n v="0"/>
    <n v="0"/>
    <n v="0"/>
    <m/>
    <s v="-"/>
    <s v="-"/>
    <m/>
    <m/>
    <n v="0"/>
    <n v="0"/>
    <n v="0"/>
    <n v="0"/>
    <n v="1"/>
    <n v="150000"/>
    <n v="127500"/>
    <n v="50000"/>
    <n v="27500"/>
    <s v="BUKALEBAR"/>
    <n v="0.15"/>
    <x v="1"/>
    <x v="3"/>
    <x v="0"/>
    <d v="2023-04-17T00:00:00"/>
    <x v="3"/>
    <s v="Monday"/>
    <x v="1"/>
    <n v="5"/>
  </r>
  <r>
    <n v="598"/>
    <s v="ORD-BB0598-01/04/23"/>
    <s v="PP003"/>
    <s v="Pakaian Pria"/>
    <s v="Jaket Jeans"/>
    <n v="4"/>
    <n v="3"/>
    <n v="1600000"/>
    <n v="1360000"/>
    <n v="600000"/>
    <n v="360000"/>
    <m/>
    <s v="-"/>
    <s v="-"/>
    <m/>
    <m/>
    <n v="0"/>
    <n v="0"/>
    <n v="0"/>
    <n v="0"/>
    <m/>
    <s v="-"/>
    <s v="-"/>
    <m/>
    <m/>
    <n v="0"/>
    <n v="0"/>
    <n v="0"/>
    <n v="0"/>
    <n v="4"/>
    <n v="1600000"/>
    <n v="1360000"/>
    <n v="600000"/>
    <n v="360000"/>
    <s v="BELI44"/>
    <n v="0.15"/>
    <x v="0"/>
    <x v="0"/>
    <x v="4"/>
    <d v="2023-04-01T00:00:00"/>
    <x v="0"/>
    <s v="Saturday"/>
    <x v="0"/>
    <n v="3"/>
  </r>
  <r>
    <n v="599"/>
    <s v="ORD-SP0599-14/04/23"/>
    <s v="PP002"/>
    <s v="Pakaian Pria"/>
    <s v="Celana Pendek"/>
    <n v="3"/>
    <n v="5"/>
    <n v="540000"/>
    <n v="540000"/>
    <n v="210000"/>
    <n v="210000"/>
    <s v="SP002"/>
    <s v="Sepatu Pria"/>
    <s v="Sandal Slip On"/>
    <n v="4"/>
    <n v="4"/>
    <n v="600000"/>
    <n v="600000"/>
    <n v="240000"/>
    <n v="240000"/>
    <m/>
    <s v="-"/>
    <s v="-"/>
    <m/>
    <m/>
    <n v="0"/>
    <n v="0"/>
    <n v="0"/>
    <n v="0"/>
    <n v="7"/>
    <n v="1140000"/>
    <n v="1140000"/>
    <n v="450000"/>
    <n v="450000"/>
    <s v="Tidak Ada"/>
    <s v="-"/>
    <x v="2"/>
    <x v="2"/>
    <x v="5"/>
    <d v="2023-04-14T00:00:00"/>
    <x v="22"/>
    <s v="Friday"/>
    <x v="3"/>
    <n v="4.5"/>
  </r>
  <r>
    <n v="600"/>
    <s v="ORD-TK0600-05/04/23"/>
    <s v="PP002"/>
    <s v="Pakaian Pria"/>
    <s v="Celana Pendek"/>
    <n v="1"/>
    <n v="1"/>
    <n v="180000"/>
    <n v="162000"/>
    <n v="70000"/>
    <n v="52000"/>
    <m/>
    <s v="-"/>
    <s v="-"/>
    <m/>
    <m/>
    <n v="0"/>
    <n v="0"/>
    <n v="0"/>
    <n v="0"/>
    <m/>
    <s v="-"/>
    <s v="-"/>
    <m/>
    <m/>
    <n v="0"/>
    <n v="0"/>
    <n v="0"/>
    <n v="0"/>
    <n v="1"/>
    <n v="180000"/>
    <n v="162000"/>
    <n v="70000"/>
    <n v="52000"/>
    <s v="DISCAPRIL"/>
    <n v="0.1"/>
    <x v="0"/>
    <x v="1"/>
    <x v="4"/>
    <d v="2023-04-05T00:00:00"/>
    <x v="9"/>
    <s v="Wednesday"/>
    <x v="0"/>
    <n v="1"/>
  </r>
  <r>
    <n v="601"/>
    <s v="ORD-SP0601-27/04/23"/>
    <s v="PW003"/>
    <s v="Pakaian Wanita"/>
    <s v="Kaftan"/>
    <n v="1"/>
    <n v="1"/>
    <n v="250000"/>
    <n v="200000"/>
    <n v="100000"/>
    <n v="50000"/>
    <s v="PW001"/>
    <s v="Pakaian Wanita"/>
    <s v="Dress"/>
    <n v="2"/>
    <n v="3"/>
    <n v="600000"/>
    <n v="480000"/>
    <n v="200000"/>
    <n v="80000"/>
    <s v="PP001"/>
    <s v="Pakaian Pria"/>
    <s v="Kaos Polo"/>
    <n v="3"/>
    <n v="4"/>
    <n v="600000"/>
    <n v="480000"/>
    <n v="240000"/>
    <n v="120000"/>
    <n v="6"/>
    <n v="1450000"/>
    <n v="1160000"/>
    <n v="540000"/>
    <n v="250000"/>
    <s v="DISC20"/>
    <n v="0.2"/>
    <x v="1"/>
    <x v="2"/>
    <x v="4"/>
    <d v="2023-04-27T00:00:00"/>
    <x v="18"/>
    <s v="Thursday"/>
    <x v="2"/>
    <n v="2.6666666666666665"/>
  </r>
  <r>
    <n v="602"/>
    <s v="ORD-SP0602-13/04/23"/>
    <s v="PP003"/>
    <s v="Pakaian Pria"/>
    <s v="Jaket Jeans"/>
    <n v="5"/>
    <n v="3"/>
    <n v="2000000"/>
    <n v="2000000"/>
    <n v="750000"/>
    <n v="750000"/>
    <s v="SW001"/>
    <s v="Sepatu Wanita"/>
    <s v="Flat Shoes"/>
    <n v="1"/>
    <n v="3"/>
    <n v="250000"/>
    <n v="250000"/>
    <n v="100000"/>
    <n v="100000"/>
    <m/>
    <s v="-"/>
    <s v="-"/>
    <m/>
    <m/>
    <n v="0"/>
    <n v="0"/>
    <n v="0"/>
    <n v="0"/>
    <n v="6"/>
    <n v="2250000"/>
    <n v="2250000"/>
    <n v="850000"/>
    <n v="850000"/>
    <s v="Tidak Ada"/>
    <s v="-"/>
    <x v="2"/>
    <x v="2"/>
    <x v="2"/>
    <d v="2023-04-13T00:00:00"/>
    <x v="21"/>
    <s v="Thursday"/>
    <x v="3"/>
    <n v="3"/>
  </r>
  <r>
    <n v="603"/>
    <s v="ORD-BB0603-02/04/23"/>
    <s v="PP001"/>
    <s v="Pakaian Pria"/>
    <s v="Kaos Polo"/>
    <n v="4"/>
    <n v="2"/>
    <n v="800000"/>
    <n v="680000"/>
    <n v="320000"/>
    <n v="200000"/>
    <s v="SP002"/>
    <s v="Sepatu Pria"/>
    <s v="Sandal Slip On"/>
    <n v="1"/>
    <n v="1"/>
    <n v="150000"/>
    <n v="127500"/>
    <n v="60000"/>
    <n v="37500"/>
    <s v="SW001"/>
    <s v="Sepatu Wanita"/>
    <s v="Flat Shoes"/>
    <n v="2"/>
    <n v="2"/>
    <n v="500000"/>
    <n v="425000"/>
    <n v="200000"/>
    <n v="125000"/>
    <n v="7"/>
    <n v="1450000"/>
    <n v="1232500"/>
    <n v="580000"/>
    <n v="362500"/>
    <s v="BELI44"/>
    <n v="0.15"/>
    <x v="0"/>
    <x v="0"/>
    <x v="0"/>
    <d v="2023-04-02T00:00:00"/>
    <x v="1"/>
    <s v="Sunday"/>
    <x v="0"/>
    <n v="1.6666666666666667"/>
  </r>
  <r>
    <n v="604"/>
    <s v="ORD-TK0604-08/04/23"/>
    <s v="PW001"/>
    <s v="Pakaian Wanita"/>
    <s v="Dress"/>
    <n v="3"/>
    <n v="2"/>
    <n v="900000"/>
    <n v="900000"/>
    <n v="300000"/>
    <n v="300000"/>
    <s v="PW003"/>
    <s v="Pakaian Wanita"/>
    <s v="Kaftan"/>
    <n v="1"/>
    <n v="1"/>
    <n v="250000"/>
    <n v="250000"/>
    <n v="100000"/>
    <n v="100000"/>
    <m/>
    <s v="-"/>
    <s v="-"/>
    <m/>
    <m/>
    <n v="0"/>
    <n v="0"/>
    <n v="0"/>
    <n v="0"/>
    <n v="4"/>
    <n v="1150000"/>
    <n v="1150000"/>
    <n v="400000"/>
    <n v="400000"/>
    <s v="Tidak Ada"/>
    <s v="-"/>
    <x v="2"/>
    <x v="1"/>
    <x v="1"/>
    <d v="2023-04-08T00:00:00"/>
    <x v="26"/>
    <s v="Saturday"/>
    <x v="3"/>
    <n v="1.5"/>
  </r>
  <r>
    <n v="605"/>
    <s v="ORD-BL0605-17/04/23"/>
    <s v="PW002"/>
    <s v="Pakaian Wanita"/>
    <s v="Blouse"/>
    <n v="7"/>
    <n v="3"/>
    <n v="1050000"/>
    <n v="892500"/>
    <n v="350000"/>
    <n v="192500"/>
    <m/>
    <s v="-"/>
    <s v="-"/>
    <m/>
    <m/>
    <n v="0"/>
    <n v="0"/>
    <n v="0"/>
    <n v="0"/>
    <m/>
    <s v="-"/>
    <s v="-"/>
    <m/>
    <m/>
    <n v="0"/>
    <n v="0"/>
    <n v="0"/>
    <n v="0"/>
    <n v="7"/>
    <n v="1050000"/>
    <n v="892500"/>
    <n v="350000"/>
    <n v="192500"/>
    <s v="BUKALEBAR"/>
    <n v="0.15"/>
    <x v="1"/>
    <x v="3"/>
    <x v="5"/>
    <d v="2023-04-17T00:00:00"/>
    <x v="3"/>
    <s v="Monday"/>
    <x v="1"/>
    <n v="3"/>
  </r>
  <r>
    <n v="606"/>
    <s v="ORD-BL0606-11/04/23"/>
    <s v="SP002"/>
    <s v="Sepatu Pria"/>
    <s v="Sandal Slip On"/>
    <n v="4"/>
    <n v="5"/>
    <n v="600000"/>
    <n v="600000"/>
    <n v="240000"/>
    <n v="240000"/>
    <s v="PP002"/>
    <s v="Pakaian Pria"/>
    <s v="Celana Pendek"/>
    <n v="3"/>
    <n v="1"/>
    <n v="540000"/>
    <n v="540000"/>
    <n v="210000"/>
    <n v="210000"/>
    <m/>
    <s v="-"/>
    <s v="-"/>
    <m/>
    <m/>
    <n v="0"/>
    <n v="0"/>
    <n v="0"/>
    <n v="0"/>
    <n v="7"/>
    <n v="1140000"/>
    <n v="1140000"/>
    <n v="450000"/>
    <n v="450000"/>
    <s v="Tidak Ada"/>
    <s v="-"/>
    <x v="2"/>
    <x v="3"/>
    <x v="2"/>
    <d v="2023-04-11T00:00:00"/>
    <x v="29"/>
    <s v="Tuesday"/>
    <x v="3"/>
    <n v="3"/>
  </r>
  <r>
    <n v="607"/>
    <s v="ORD-SP0607-02/04/23"/>
    <s v="SW001"/>
    <s v="Sepatu Wanita"/>
    <s v="Flat Shoes"/>
    <n v="3"/>
    <n v="3"/>
    <n v="750000"/>
    <n v="675000"/>
    <n v="300000"/>
    <n v="225000"/>
    <s v="SP002"/>
    <s v="Sepatu Pria"/>
    <s v="Sandal Slip On"/>
    <n v="1"/>
    <n v="3"/>
    <n v="150000"/>
    <n v="135000"/>
    <n v="60000"/>
    <n v="45000"/>
    <m/>
    <s v="-"/>
    <s v="-"/>
    <m/>
    <m/>
    <n v="0"/>
    <n v="0"/>
    <n v="0"/>
    <n v="0"/>
    <n v="4"/>
    <n v="900000"/>
    <n v="810000"/>
    <n v="360000"/>
    <n v="270000"/>
    <s v="DISC10"/>
    <n v="0.1"/>
    <x v="0"/>
    <x v="2"/>
    <x v="4"/>
    <d v="2023-04-02T00:00:00"/>
    <x v="1"/>
    <s v="Sunday"/>
    <x v="0"/>
    <n v="3"/>
  </r>
  <r>
    <n v="608"/>
    <s v="ORD-BL0608-29/04/23"/>
    <s v="PP002"/>
    <s v="Pakaian Pria"/>
    <s v="Celana Pendek"/>
    <n v="1"/>
    <n v="5"/>
    <n v="180000"/>
    <n v="153000"/>
    <n v="70000"/>
    <n v="43000"/>
    <s v="PP001"/>
    <s v="Pakaian Pria"/>
    <s v="Kaos Polo"/>
    <n v="1"/>
    <n v="2"/>
    <n v="200000"/>
    <n v="170000"/>
    <n v="80000"/>
    <n v="50000"/>
    <s v="PP002"/>
    <s v="Pakaian Pria"/>
    <s v="Celana Pendek"/>
    <n v="1"/>
    <n v="4"/>
    <n v="180000"/>
    <n v="153000"/>
    <n v="70000"/>
    <n v="43000"/>
    <n v="3"/>
    <n v="560000"/>
    <n v="476000"/>
    <n v="220000"/>
    <n v="136000"/>
    <s v="BUKALEBAR"/>
    <n v="0.15"/>
    <x v="1"/>
    <x v="3"/>
    <x v="5"/>
    <d v="2023-04-29T00:00:00"/>
    <x v="13"/>
    <s v="Saturday"/>
    <x v="2"/>
    <n v="3.6666666666666665"/>
  </r>
  <r>
    <n v="609"/>
    <s v="ORD-TK0609-01/04/23"/>
    <s v="PU001"/>
    <s v="Pakaian Unisex"/>
    <s v="Jaket Hoodie"/>
    <n v="3"/>
    <n v="4"/>
    <n v="1050000"/>
    <n v="945000"/>
    <n v="390000"/>
    <n v="285000"/>
    <s v="PP003"/>
    <s v="Pakaian Pria"/>
    <s v="Jaket Jeans"/>
    <n v="1"/>
    <n v="5"/>
    <n v="400000"/>
    <n v="360000"/>
    <n v="150000"/>
    <n v="110000"/>
    <m/>
    <s v="-"/>
    <s v="-"/>
    <m/>
    <m/>
    <n v="0"/>
    <n v="0"/>
    <n v="0"/>
    <n v="0"/>
    <n v="4"/>
    <n v="1450000"/>
    <n v="1305000"/>
    <n v="540000"/>
    <n v="395000"/>
    <s v="DISCAPRIL"/>
    <n v="0.1"/>
    <x v="0"/>
    <x v="1"/>
    <x v="4"/>
    <d v="2023-04-01T00:00:00"/>
    <x v="0"/>
    <s v="Saturday"/>
    <x v="0"/>
    <n v="4.5"/>
  </r>
  <r>
    <n v="610"/>
    <s v="ORD-TK0610-12/04/23"/>
    <s v="PP001"/>
    <s v="Pakaian Pria"/>
    <s v="Kaos Polo"/>
    <n v="6"/>
    <n v="1"/>
    <n v="1200000"/>
    <n v="1200000"/>
    <n v="480000"/>
    <n v="480000"/>
    <s v="PW003"/>
    <s v="Pakaian Wanita"/>
    <s v="Kaftan"/>
    <n v="1"/>
    <n v="2"/>
    <n v="250000"/>
    <n v="250000"/>
    <n v="100000"/>
    <n v="100000"/>
    <m/>
    <s v="-"/>
    <s v="-"/>
    <m/>
    <m/>
    <n v="0"/>
    <n v="0"/>
    <n v="0"/>
    <n v="0"/>
    <n v="7"/>
    <n v="1450000"/>
    <n v="1450000"/>
    <n v="580000"/>
    <n v="580000"/>
    <s v="Tidak Ada"/>
    <s v="-"/>
    <x v="2"/>
    <x v="1"/>
    <x v="5"/>
    <d v="2023-04-12T00:00:00"/>
    <x v="14"/>
    <s v="Wednesday"/>
    <x v="3"/>
    <n v="1.5"/>
  </r>
  <r>
    <n v="611"/>
    <s v="ORD-TK0611-01/04/23"/>
    <s v="PU001"/>
    <s v="Pakaian Unisex"/>
    <s v="Jaket Hoodie"/>
    <n v="2"/>
    <n v="1"/>
    <n v="700000"/>
    <n v="630000"/>
    <n v="260000"/>
    <n v="190000"/>
    <s v="PW002"/>
    <s v="Pakaian Wanita"/>
    <s v="Blouse"/>
    <n v="3"/>
    <n v="4"/>
    <n v="450000"/>
    <n v="405000"/>
    <n v="150000"/>
    <n v="105000"/>
    <m/>
    <s v="-"/>
    <s v="-"/>
    <m/>
    <m/>
    <n v="0"/>
    <n v="0"/>
    <n v="0"/>
    <n v="0"/>
    <n v="5"/>
    <n v="1150000"/>
    <n v="1035000"/>
    <n v="410000"/>
    <n v="295000"/>
    <s v="DISCAPRIL"/>
    <n v="0.1"/>
    <x v="0"/>
    <x v="1"/>
    <x v="0"/>
    <d v="2023-04-01T00:00:00"/>
    <x v="0"/>
    <s v="Saturday"/>
    <x v="0"/>
    <n v="2.5"/>
  </r>
  <r>
    <n v="612"/>
    <s v="ORD-BL0612-17/04/23"/>
    <s v="PP001"/>
    <s v="Pakaian Pria"/>
    <s v="Kaos Polo"/>
    <n v="4"/>
    <n v="2"/>
    <n v="800000"/>
    <n v="680000"/>
    <n v="320000"/>
    <n v="200000"/>
    <m/>
    <s v="-"/>
    <s v="-"/>
    <m/>
    <m/>
    <n v="0"/>
    <n v="0"/>
    <n v="0"/>
    <n v="0"/>
    <m/>
    <s v="-"/>
    <s v="-"/>
    <m/>
    <m/>
    <n v="0"/>
    <n v="0"/>
    <n v="0"/>
    <n v="0"/>
    <n v="4"/>
    <n v="800000"/>
    <n v="680000"/>
    <n v="320000"/>
    <n v="200000"/>
    <s v="BUKALEBAR"/>
    <n v="0.15"/>
    <x v="1"/>
    <x v="3"/>
    <x v="0"/>
    <d v="2023-04-17T00:00:00"/>
    <x v="3"/>
    <s v="Monday"/>
    <x v="1"/>
    <n v="2"/>
  </r>
  <r>
    <n v="613"/>
    <s v="ORD-BL0613-20/04/23"/>
    <s v="PP001"/>
    <s v="Pakaian Pria"/>
    <s v="Kaos Polo"/>
    <n v="3"/>
    <n v="4"/>
    <n v="600000"/>
    <n v="510000"/>
    <n v="240000"/>
    <n v="150000"/>
    <m/>
    <s v="-"/>
    <s v="-"/>
    <m/>
    <m/>
    <n v="0"/>
    <n v="0"/>
    <n v="0"/>
    <n v="0"/>
    <m/>
    <s v="-"/>
    <s v="-"/>
    <m/>
    <m/>
    <n v="0"/>
    <n v="0"/>
    <n v="0"/>
    <n v="0"/>
    <n v="3"/>
    <n v="600000"/>
    <n v="510000"/>
    <n v="240000"/>
    <n v="150000"/>
    <s v="BUKALEBAR"/>
    <n v="0.15"/>
    <x v="1"/>
    <x v="3"/>
    <x v="4"/>
    <d v="2023-04-20T00:00:00"/>
    <x v="5"/>
    <s v="Thursday"/>
    <x v="1"/>
    <n v="4"/>
  </r>
  <r>
    <n v="614"/>
    <s v="ORD-SP0614-30/04/23"/>
    <s v="PP002"/>
    <s v="Pakaian Pria"/>
    <s v="Celana Pendek"/>
    <n v="1"/>
    <n v="5"/>
    <n v="180000"/>
    <n v="144000"/>
    <n v="70000"/>
    <n v="34000"/>
    <s v="SP002"/>
    <s v="Sepatu Pria"/>
    <s v="Sandal Slip On"/>
    <n v="1"/>
    <n v="3"/>
    <n v="150000"/>
    <n v="120000"/>
    <n v="60000"/>
    <n v="30000"/>
    <m/>
    <s v="-"/>
    <s v="-"/>
    <m/>
    <m/>
    <n v="0"/>
    <n v="0"/>
    <n v="0"/>
    <n v="0"/>
    <n v="2"/>
    <n v="330000"/>
    <n v="264000"/>
    <n v="130000"/>
    <n v="64000"/>
    <s v="DISC20"/>
    <n v="0.2"/>
    <x v="1"/>
    <x v="2"/>
    <x v="4"/>
    <d v="2023-04-30T00:00:00"/>
    <x v="12"/>
    <s v="Sunday"/>
    <x v="2"/>
    <n v="4"/>
  </r>
  <r>
    <n v="615"/>
    <s v="ORD-BL0615-25/04/23"/>
    <s v="PU001"/>
    <s v="Pakaian Unisex"/>
    <s v="Jaket Hoodie"/>
    <n v="4"/>
    <n v="1"/>
    <n v="1400000"/>
    <n v="1190000"/>
    <n v="520000"/>
    <n v="310000"/>
    <s v="SP002"/>
    <s v="Sepatu Pria"/>
    <s v="Sandal Slip On"/>
    <n v="2"/>
    <n v="5"/>
    <n v="300000"/>
    <n v="255000"/>
    <n v="120000"/>
    <n v="75000"/>
    <s v="PP003"/>
    <s v="Pakaian Pria"/>
    <s v="Jaket Jeans"/>
    <n v="1"/>
    <n v="3"/>
    <n v="400000"/>
    <n v="340000"/>
    <n v="150000"/>
    <n v="90000"/>
    <n v="7"/>
    <n v="2100000"/>
    <n v="1785000"/>
    <n v="790000"/>
    <n v="475000"/>
    <s v="BUKALEBAR"/>
    <n v="0.15"/>
    <x v="1"/>
    <x v="3"/>
    <x v="1"/>
    <d v="2023-04-25T00:00:00"/>
    <x v="6"/>
    <s v="Tuesday"/>
    <x v="2"/>
    <n v="3"/>
  </r>
  <r>
    <n v="616"/>
    <s v="ORD-SP0616-04/04/23"/>
    <s v="PW001"/>
    <s v="Pakaian Wanita"/>
    <s v="Dress"/>
    <n v="1"/>
    <n v="2"/>
    <n v="300000"/>
    <n v="255000"/>
    <n v="100000"/>
    <n v="55000"/>
    <m/>
    <s v="-"/>
    <s v="-"/>
    <m/>
    <m/>
    <n v="0"/>
    <n v="0"/>
    <n v="0"/>
    <n v="0"/>
    <m/>
    <s v="-"/>
    <s v="-"/>
    <m/>
    <m/>
    <n v="0"/>
    <n v="0"/>
    <n v="0"/>
    <n v="0"/>
    <n v="1"/>
    <n v="300000"/>
    <n v="255000"/>
    <n v="100000"/>
    <n v="55000"/>
    <s v="DISC15"/>
    <n v="0.15"/>
    <x v="0"/>
    <x v="2"/>
    <x v="1"/>
    <d v="2023-04-04T00:00:00"/>
    <x v="7"/>
    <s v="Tuesday"/>
    <x v="0"/>
    <n v="2"/>
  </r>
  <r>
    <n v="617"/>
    <s v="ORD-TK0617-12/04/23"/>
    <s v="PW003"/>
    <s v="Pakaian Wanita"/>
    <s v="Kaftan"/>
    <n v="2"/>
    <n v="4"/>
    <n v="500000"/>
    <n v="500000"/>
    <n v="200000"/>
    <n v="200000"/>
    <m/>
    <s v="-"/>
    <s v="-"/>
    <m/>
    <m/>
    <n v="0"/>
    <n v="0"/>
    <n v="0"/>
    <n v="0"/>
    <m/>
    <s v="-"/>
    <s v="-"/>
    <m/>
    <m/>
    <n v="0"/>
    <n v="0"/>
    <n v="0"/>
    <n v="0"/>
    <n v="2"/>
    <n v="500000"/>
    <n v="500000"/>
    <n v="200000"/>
    <n v="200000"/>
    <s v="Tidak Ada"/>
    <s v="-"/>
    <x v="2"/>
    <x v="1"/>
    <x v="1"/>
    <d v="2023-04-12T00:00:00"/>
    <x v="14"/>
    <s v="Wednesday"/>
    <x v="3"/>
    <n v="4"/>
  </r>
  <r>
    <n v="618"/>
    <s v="ORD-BL0618-12/04/23"/>
    <s v="SP002"/>
    <s v="Sepatu Pria"/>
    <s v="Sandal Slip On"/>
    <n v="1"/>
    <n v="5"/>
    <n v="150000"/>
    <n v="150000"/>
    <n v="60000"/>
    <n v="60000"/>
    <s v="PP003"/>
    <s v="Pakaian Pria"/>
    <s v="Jaket Jeans"/>
    <n v="1"/>
    <n v="2"/>
    <n v="400000"/>
    <n v="400000"/>
    <n v="150000"/>
    <n v="150000"/>
    <s v="PW001"/>
    <s v="Pakaian Wanita"/>
    <s v="Dress"/>
    <n v="4"/>
    <n v="5"/>
    <n v="1200000"/>
    <n v="1200000"/>
    <n v="400000"/>
    <n v="400000"/>
    <n v="6"/>
    <n v="1750000"/>
    <n v="1750000"/>
    <n v="610000"/>
    <n v="610000"/>
    <s v="Tidak Ada"/>
    <s v="-"/>
    <x v="2"/>
    <x v="3"/>
    <x v="4"/>
    <d v="2023-04-12T00:00:00"/>
    <x v="14"/>
    <s v="Wednesday"/>
    <x v="3"/>
    <n v="4"/>
  </r>
  <r>
    <n v="619"/>
    <s v="ORD-TK0619-12/04/23"/>
    <s v="PW002"/>
    <s v="Pakaian Wanita"/>
    <s v="Blouse"/>
    <n v="5"/>
    <n v="4"/>
    <n v="750000"/>
    <n v="750000"/>
    <n v="250000"/>
    <n v="250000"/>
    <s v="PP003"/>
    <s v="Pakaian Pria"/>
    <s v="Jaket Jeans"/>
    <n v="1"/>
    <n v="1"/>
    <n v="400000"/>
    <n v="400000"/>
    <n v="150000"/>
    <n v="150000"/>
    <m/>
    <s v="-"/>
    <s v="-"/>
    <m/>
    <m/>
    <n v="0"/>
    <n v="0"/>
    <n v="0"/>
    <n v="0"/>
    <n v="6"/>
    <n v="1150000"/>
    <n v="1150000"/>
    <n v="400000"/>
    <n v="400000"/>
    <s v="Tidak Ada"/>
    <s v="-"/>
    <x v="2"/>
    <x v="1"/>
    <x v="4"/>
    <d v="2023-04-12T00:00:00"/>
    <x v="14"/>
    <s v="Wednesday"/>
    <x v="3"/>
    <n v="2.5"/>
  </r>
  <r>
    <n v="620"/>
    <s v="ORD-TK0620-16/04/23"/>
    <s v="PP001"/>
    <s v="Pakaian Pria"/>
    <s v="Kaos Polo"/>
    <n v="5"/>
    <n v="2"/>
    <n v="1000000"/>
    <n v="900000"/>
    <n v="400000"/>
    <n v="300000"/>
    <m/>
    <s v="-"/>
    <s v="-"/>
    <m/>
    <m/>
    <n v="0"/>
    <n v="0"/>
    <n v="0"/>
    <n v="0"/>
    <m/>
    <s v="-"/>
    <s v="-"/>
    <m/>
    <m/>
    <n v="0"/>
    <n v="0"/>
    <n v="0"/>
    <n v="0"/>
    <n v="5"/>
    <n v="1000000"/>
    <n v="900000"/>
    <n v="400000"/>
    <n v="300000"/>
    <s v="LEBAR10"/>
    <n v="0.1"/>
    <x v="1"/>
    <x v="1"/>
    <x v="0"/>
    <d v="2023-04-16T00:00:00"/>
    <x v="17"/>
    <s v="Sunday"/>
    <x v="1"/>
    <n v="2"/>
  </r>
  <r>
    <n v="621"/>
    <s v="ORD-SP0621-05/04/23"/>
    <s v="SW001"/>
    <s v="Sepatu Wanita"/>
    <s v="Flat Shoes"/>
    <n v="7"/>
    <n v="4"/>
    <n v="1750000"/>
    <n v="1487500"/>
    <n v="700000"/>
    <n v="437500"/>
    <m/>
    <s v="-"/>
    <s v="-"/>
    <m/>
    <m/>
    <n v="0"/>
    <n v="0"/>
    <n v="0"/>
    <n v="0"/>
    <m/>
    <s v="-"/>
    <s v="-"/>
    <m/>
    <m/>
    <n v="0"/>
    <n v="0"/>
    <n v="0"/>
    <n v="0"/>
    <n v="7"/>
    <n v="1750000"/>
    <n v="1487500"/>
    <n v="700000"/>
    <n v="437500"/>
    <s v="DISC15"/>
    <n v="0.15"/>
    <x v="0"/>
    <x v="2"/>
    <x v="0"/>
    <d v="2023-04-05T00:00:00"/>
    <x v="9"/>
    <s v="Wednesday"/>
    <x v="0"/>
    <n v="4"/>
  </r>
  <r>
    <n v="622"/>
    <s v="ORD-BL0622-25/04/23"/>
    <s v="SW001"/>
    <s v="Sepatu Wanita"/>
    <s v="Flat Shoes"/>
    <n v="3"/>
    <n v="4"/>
    <n v="750000"/>
    <n v="637500"/>
    <n v="300000"/>
    <n v="187500"/>
    <s v="PU001"/>
    <s v="Pakaian Unisex"/>
    <s v="Jaket Hoodie"/>
    <n v="1"/>
    <n v="1"/>
    <n v="350000"/>
    <n v="297500"/>
    <n v="130000"/>
    <n v="77500"/>
    <m/>
    <s v="-"/>
    <s v="-"/>
    <m/>
    <m/>
    <n v="0"/>
    <n v="0"/>
    <n v="0"/>
    <n v="0"/>
    <n v="4"/>
    <n v="1100000"/>
    <n v="935000"/>
    <n v="430000"/>
    <n v="265000"/>
    <s v="BUKALEBAR"/>
    <n v="0.15"/>
    <x v="1"/>
    <x v="3"/>
    <x v="2"/>
    <d v="2023-04-25T00:00:00"/>
    <x v="6"/>
    <s v="Tuesday"/>
    <x v="2"/>
    <n v="2.5"/>
  </r>
  <r>
    <n v="623"/>
    <s v="ORD-SP0623-03/04/23"/>
    <s v="PW003"/>
    <s v="Pakaian Wanita"/>
    <s v="Kaftan"/>
    <n v="6"/>
    <n v="1"/>
    <n v="1500000"/>
    <n v="1275000"/>
    <n v="600000"/>
    <n v="375000"/>
    <s v="SP001"/>
    <s v="Sepatu Pria"/>
    <s v="Sneakers"/>
    <n v="1"/>
    <n v="5"/>
    <n v="500000"/>
    <n v="425000"/>
    <n v="200000"/>
    <n v="125000"/>
    <m/>
    <s v="-"/>
    <s v="-"/>
    <m/>
    <m/>
    <n v="0"/>
    <n v="0"/>
    <n v="0"/>
    <n v="0"/>
    <n v="7"/>
    <n v="2000000"/>
    <n v="1700000"/>
    <n v="800000"/>
    <n v="500000"/>
    <s v="DISC15"/>
    <n v="0.15"/>
    <x v="0"/>
    <x v="2"/>
    <x v="4"/>
    <d v="2023-04-03T00:00:00"/>
    <x v="2"/>
    <s v="Monday"/>
    <x v="0"/>
    <n v="3"/>
  </r>
  <r>
    <n v="624"/>
    <s v="ORD-TK0624-26/04/23"/>
    <s v="PP002"/>
    <s v="Pakaian Pria"/>
    <s v="Celana Pendek"/>
    <n v="2"/>
    <n v="1"/>
    <n v="360000"/>
    <n v="324000"/>
    <n v="140000"/>
    <n v="104000"/>
    <s v="SP001"/>
    <s v="Sepatu Pria"/>
    <s v="Sneakers"/>
    <n v="3"/>
    <n v="2"/>
    <n v="1500000"/>
    <n v="1350000"/>
    <n v="600000"/>
    <n v="450000"/>
    <m/>
    <s v="-"/>
    <s v="-"/>
    <m/>
    <m/>
    <n v="0"/>
    <n v="0"/>
    <n v="0"/>
    <n v="0"/>
    <n v="5"/>
    <n v="1860000"/>
    <n v="1674000"/>
    <n v="740000"/>
    <n v="554000"/>
    <s v="LEBAR10"/>
    <n v="0.1"/>
    <x v="1"/>
    <x v="1"/>
    <x v="4"/>
    <d v="2023-04-26T00:00:00"/>
    <x v="15"/>
    <s v="Wednesday"/>
    <x v="2"/>
    <n v="1.5"/>
  </r>
  <r>
    <n v="625"/>
    <s v="ORD-SP0625-03/04/23"/>
    <s v="SW001"/>
    <s v="Sepatu Wanita"/>
    <s v="Flat Shoes"/>
    <n v="3"/>
    <n v="1"/>
    <n v="750000"/>
    <n v="637500"/>
    <n v="300000"/>
    <n v="187500"/>
    <s v="PW003"/>
    <s v="Pakaian Wanita"/>
    <s v="Kaftan"/>
    <n v="1"/>
    <n v="4"/>
    <n v="250000"/>
    <n v="212500"/>
    <n v="100000"/>
    <n v="62500"/>
    <s v="PU001"/>
    <s v="Pakaian Unisex"/>
    <s v="Jaket Hoodie"/>
    <n v="1"/>
    <n v="2"/>
    <n v="350000"/>
    <n v="297500"/>
    <n v="130000"/>
    <n v="77500"/>
    <n v="5"/>
    <n v="1350000"/>
    <n v="1147500"/>
    <n v="530000"/>
    <n v="327500"/>
    <s v="DISC15"/>
    <n v="0.15"/>
    <x v="0"/>
    <x v="2"/>
    <x v="1"/>
    <d v="2023-04-03T00:00:00"/>
    <x v="2"/>
    <s v="Monday"/>
    <x v="0"/>
    <n v="2.3333333333333335"/>
  </r>
  <r>
    <n v="626"/>
    <s v="ORD-TK0626-01/04/23"/>
    <s v="PU001"/>
    <s v="Pakaian Unisex"/>
    <s v="Jaket Hoodie"/>
    <n v="1"/>
    <n v="5"/>
    <n v="350000"/>
    <n v="315000"/>
    <n v="130000"/>
    <n v="95000"/>
    <s v="SW001"/>
    <s v="Sepatu Wanita"/>
    <s v="Flat Shoes"/>
    <n v="1"/>
    <n v="1"/>
    <n v="250000"/>
    <n v="225000"/>
    <n v="100000"/>
    <n v="75000"/>
    <s v="PP003"/>
    <s v="Pakaian Pria"/>
    <s v="Jaket Jeans"/>
    <n v="2"/>
    <n v="1"/>
    <n v="800000"/>
    <n v="720000"/>
    <n v="300000"/>
    <n v="220000"/>
    <n v="4"/>
    <n v="1400000"/>
    <n v="1260000"/>
    <n v="530000"/>
    <n v="390000"/>
    <s v="DISCAPRIL"/>
    <n v="0.1"/>
    <x v="0"/>
    <x v="1"/>
    <x v="1"/>
    <d v="2023-04-01T00:00:00"/>
    <x v="0"/>
    <s v="Saturday"/>
    <x v="0"/>
    <n v="2.3333333333333335"/>
  </r>
  <r>
    <n v="627"/>
    <s v="ORD-SP0627-21/04/23"/>
    <s v="SP002"/>
    <s v="Sepatu Pria"/>
    <s v="Sandal Slip On"/>
    <n v="7"/>
    <n v="5"/>
    <n v="1050000"/>
    <n v="840000"/>
    <n v="420000"/>
    <n v="210000"/>
    <m/>
    <s v="-"/>
    <s v="-"/>
    <m/>
    <m/>
    <n v="0"/>
    <n v="0"/>
    <n v="0"/>
    <n v="0"/>
    <m/>
    <s v="-"/>
    <s v="-"/>
    <m/>
    <m/>
    <n v="0"/>
    <n v="0"/>
    <n v="0"/>
    <n v="0"/>
    <n v="7"/>
    <n v="1050000"/>
    <n v="840000"/>
    <n v="420000"/>
    <n v="210000"/>
    <s v="DISC20"/>
    <n v="0.2"/>
    <x v="1"/>
    <x v="2"/>
    <x v="3"/>
    <d v="2023-04-21T00:00:00"/>
    <x v="20"/>
    <s v="Friday"/>
    <x v="1"/>
    <n v="5"/>
  </r>
  <r>
    <n v="628"/>
    <s v="ORD-SP0628-25/04/23"/>
    <s v="SP001"/>
    <s v="Sepatu Pria"/>
    <s v="Sneakers"/>
    <n v="1"/>
    <n v="1"/>
    <n v="500000"/>
    <n v="400000"/>
    <n v="200000"/>
    <n v="100000"/>
    <s v="PW003"/>
    <s v="Pakaian Wanita"/>
    <s v="Kaftan"/>
    <n v="1"/>
    <n v="2"/>
    <n v="250000"/>
    <n v="200000"/>
    <n v="100000"/>
    <n v="50000"/>
    <s v="PP002"/>
    <s v="Pakaian Pria"/>
    <s v="Celana Pendek"/>
    <n v="4"/>
    <n v="4"/>
    <n v="720000"/>
    <n v="576000"/>
    <n v="280000"/>
    <n v="136000"/>
    <n v="6"/>
    <n v="1470000"/>
    <n v="1176000"/>
    <n v="580000"/>
    <n v="286000"/>
    <s v="DISC20"/>
    <n v="0.2"/>
    <x v="1"/>
    <x v="2"/>
    <x v="4"/>
    <d v="2023-04-25T00:00:00"/>
    <x v="6"/>
    <s v="Tuesday"/>
    <x v="2"/>
    <n v="2.3333333333333335"/>
  </r>
  <r>
    <n v="629"/>
    <s v="ORD-TK0629-23/04/23"/>
    <s v="SP002"/>
    <s v="Sepatu Pria"/>
    <s v="Sandal Slip On"/>
    <n v="3"/>
    <n v="5"/>
    <n v="450000"/>
    <n v="405000"/>
    <n v="180000"/>
    <n v="135000"/>
    <s v="SP001"/>
    <s v="Sepatu Pria"/>
    <s v="Sneakers"/>
    <n v="2"/>
    <n v="3"/>
    <n v="1000000"/>
    <n v="900000"/>
    <n v="400000"/>
    <n v="300000"/>
    <m/>
    <s v="-"/>
    <s v="-"/>
    <m/>
    <m/>
    <n v="0"/>
    <n v="0"/>
    <n v="0"/>
    <n v="0"/>
    <n v="5"/>
    <n v="1450000"/>
    <n v="1305000"/>
    <n v="580000"/>
    <n v="435000"/>
    <s v="LEBAR10"/>
    <n v="0.1"/>
    <x v="1"/>
    <x v="1"/>
    <x v="3"/>
    <d v="2023-04-23T00:00:00"/>
    <x v="25"/>
    <s v="Sunday"/>
    <x v="2"/>
    <n v="4"/>
  </r>
  <r>
    <n v="630"/>
    <s v="ORD-SP0630-24/04/23"/>
    <s v="SP002"/>
    <s v="Sepatu Pria"/>
    <s v="Sandal Slip On"/>
    <n v="3"/>
    <n v="2"/>
    <n v="450000"/>
    <n v="360000"/>
    <n v="180000"/>
    <n v="90000"/>
    <s v="SW001"/>
    <s v="Sepatu Wanita"/>
    <s v="Flat Shoes"/>
    <n v="1"/>
    <n v="2"/>
    <n v="250000"/>
    <n v="200000"/>
    <n v="100000"/>
    <n v="50000"/>
    <s v="SW001"/>
    <s v="Sepatu Wanita"/>
    <s v="Flat Shoes"/>
    <n v="2"/>
    <n v="2"/>
    <n v="500000"/>
    <n v="400000"/>
    <n v="200000"/>
    <n v="100000"/>
    <n v="6"/>
    <n v="1200000"/>
    <n v="960000"/>
    <n v="480000"/>
    <n v="240000"/>
    <s v="DISC20"/>
    <n v="0.2"/>
    <x v="1"/>
    <x v="2"/>
    <x v="4"/>
    <d v="2023-04-24T00:00:00"/>
    <x v="4"/>
    <s v="Monday"/>
    <x v="2"/>
    <n v="2"/>
  </r>
  <r>
    <n v="631"/>
    <s v="ORD-TK0631-05/04/23"/>
    <s v="SW001"/>
    <s v="Sepatu Wanita"/>
    <s v="Flat Shoes"/>
    <n v="1"/>
    <n v="4"/>
    <n v="250000"/>
    <n v="225000"/>
    <n v="100000"/>
    <n v="75000"/>
    <s v="PW001"/>
    <s v="Pakaian Wanita"/>
    <s v="Dress"/>
    <n v="1"/>
    <n v="1"/>
    <n v="300000"/>
    <n v="270000"/>
    <n v="100000"/>
    <n v="70000"/>
    <m/>
    <s v="-"/>
    <s v="-"/>
    <m/>
    <m/>
    <n v="0"/>
    <n v="0"/>
    <n v="0"/>
    <n v="0"/>
    <n v="2"/>
    <n v="550000"/>
    <n v="495000"/>
    <n v="200000"/>
    <n v="145000"/>
    <s v="DISCAPRIL"/>
    <n v="0.1"/>
    <x v="0"/>
    <x v="1"/>
    <x v="3"/>
    <d v="2023-04-05T00:00:00"/>
    <x v="9"/>
    <s v="Wednesday"/>
    <x v="0"/>
    <n v="2.5"/>
  </r>
  <r>
    <n v="632"/>
    <s v="ORD-SP0632-26/04/23"/>
    <s v="PW003"/>
    <s v="Pakaian Wanita"/>
    <s v="Kaftan"/>
    <n v="1"/>
    <n v="4"/>
    <n v="250000"/>
    <n v="200000"/>
    <n v="100000"/>
    <n v="50000"/>
    <s v="PW001"/>
    <s v="Pakaian Wanita"/>
    <s v="Dress"/>
    <n v="3"/>
    <n v="2"/>
    <n v="900000"/>
    <n v="720000"/>
    <n v="300000"/>
    <n v="120000"/>
    <m/>
    <s v="-"/>
    <s v="-"/>
    <m/>
    <m/>
    <n v="0"/>
    <n v="0"/>
    <n v="0"/>
    <n v="0"/>
    <n v="4"/>
    <n v="1150000"/>
    <n v="920000"/>
    <n v="400000"/>
    <n v="170000"/>
    <s v="DISC20"/>
    <n v="0.2"/>
    <x v="1"/>
    <x v="2"/>
    <x v="4"/>
    <d v="2023-04-26T00:00:00"/>
    <x v="15"/>
    <s v="Wednesday"/>
    <x v="2"/>
    <n v="3"/>
  </r>
  <r>
    <n v="633"/>
    <s v="ORD-BL0633-15/04/23"/>
    <s v="PW002"/>
    <s v="Pakaian Wanita"/>
    <s v="Blouse"/>
    <n v="1"/>
    <n v="5"/>
    <n v="150000"/>
    <n v="150000"/>
    <n v="50000"/>
    <n v="50000"/>
    <s v="PP003"/>
    <s v="Pakaian Pria"/>
    <s v="Jaket Jeans"/>
    <n v="1"/>
    <n v="5"/>
    <n v="400000"/>
    <n v="400000"/>
    <n v="150000"/>
    <n v="150000"/>
    <m/>
    <s v="-"/>
    <s v="-"/>
    <m/>
    <m/>
    <n v="0"/>
    <n v="0"/>
    <n v="0"/>
    <n v="0"/>
    <n v="2"/>
    <n v="550000"/>
    <n v="550000"/>
    <n v="200000"/>
    <n v="200000"/>
    <s v="Tidak Ada"/>
    <s v="-"/>
    <x v="2"/>
    <x v="3"/>
    <x v="5"/>
    <d v="2023-04-15T00:00:00"/>
    <x v="16"/>
    <s v="Saturday"/>
    <x v="1"/>
    <n v="5"/>
  </r>
  <r>
    <n v="634"/>
    <s v="ORD-TK0634-01/04/23"/>
    <s v="SP002"/>
    <s v="Sepatu Pria"/>
    <s v="Sandal Slip On"/>
    <n v="1"/>
    <n v="5"/>
    <n v="150000"/>
    <n v="135000"/>
    <n v="60000"/>
    <n v="45000"/>
    <m/>
    <s v="-"/>
    <s v="-"/>
    <m/>
    <m/>
    <n v="0"/>
    <n v="0"/>
    <n v="0"/>
    <n v="0"/>
    <m/>
    <s v="-"/>
    <s v="-"/>
    <m/>
    <m/>
    <n v="0"/>
    <n v="0"/>
    <n v="0"/>
    <n v="0"/>
    <n v="1"/>
    <n v="150000"/>
    <n v="135000"/>
    <n v="60000"/>
    <n v="45000"/>
    <s v="DISCAPRIL"/>
    <n v="0.1"/>
    <x v="0"/>
    <x v="1"/>
    <x v="0"/>
    <d v="2023-04-01T00:00:00"/>
    <x v="0"/>
    <s v="Saturday"/>
    <x v="0"/>
    <n v="5"/>
  </r>
  <r>
    <n v="635"/>
    <s v="ORD-TK0635-06/04/23"/>
    <s v="PP002"/>
    <s v="Pakaian Pria"/>
    <s v="Celana Pendek"/>
    <n v="3"/>
    <n v="2"/>
    <n v="540000"/>
    <n v="486000"/>
    <n v="210000"/>
    <n v="156000"/>
    <s v="SP001"/>
    <s v="Sepatu Pria"/>
    <s v="Sneakers"/>
    <n v="1"/>
    <n v="3"/>
    <n v="500000"/>
    <n v="450000"/>
    <n v="200000"/>
    <n v="150000"/>
    <m/>
    <s v="-"/>
    <s v="-"/>
    <m/>
    <m/>
    <n v="0"/>
    <n v="0"/>
    <n v="0"/>
    <n v="0"/>
    <n v="4"/>
    <n v="1040000"/>
    <n v="936000"/>
    <n v="410000"/>
    <n v="306000"/>
    <s v="DISCAPRIL"/>
    <n v="0.1"/>
    <x v="0"/>
    <x v="1"/>
    <x v="4"/>
    <d v="2023-04-06T00:00:00"/>
    <x v="8"/>
    <s v="Thursday"/>
    <x v="0"/>
    <n v="2.5"/>
  </r>
  <r>
    <n v="636"/>
    <s v="ORD-TK0636-08/04/23"/>
    <s v="PW001"/>
    <s v="Pakaian Wanita"/>
    <s v="Dress"/>
    <n v="1"/>
    <n v="5"/>
    <n v="300000"/>
    <n v="300000"/>
    <n v="100000"/>
    <n v="100000"/>
    <m/>
    <s v="-"/>
    <s v="-"/>
    <m/>
    <m/>
    <n v="0"/>
    <n v="0"/>
    <n v="0"/>
    <n v="0"/>
    <m/>
    <s v="-"/>
    <s v="-"/>
    <m/>
    <m/>
    <n v="0"/>
    <n v="0"/>
    <n v="0"/>
    <n v="0"/>
    <n v="1"/>
    <n v="300000"/>
    <n v="300000"/>
    <n v="100000"/>
    <n v="100000"/>
    <s v="Tidak Ada"/>
    <s v="-"/>
    <x v="2"/>
    <x v="1"/>
    <x v="2"/>
    <d v="2023-04-08T00:00:00"/>
    <x v="26"/>
    <s v="Saturday"/>
    <x v="3"/>
    <n v="5"/>
  </r>
  <r>
    <n v="637"/>
    <s v="ORD-BB0637-01/04/23"/>
    <s v="PU001"/>
    <s v="Pakaian Unisex"/>
    <s v="Jaket Hoodie"/>
    <n v="1"/>
    <n v="5"/>
    <n v="350000"/>
    <n v="297500"/>
    <n v="130000"/>
    <n v="77500"/>
    <s v="PP001"/>
    <s v="Pakaian Pria"/>
    <s v="Kaos Polo"/>
    <n v="2"/>
    <n v="3"/>
    <n v="400000"/>
    <n v="340000"/>
    <n v="160000"/>
    <n v="100000"/>
    <s v="PP002"/>
    <s v="Pakaian Pria"/>
    <s v="Celana Pendek"/>
    <n v="3"/>
    <n v="1"/>
    <n v="540000"/>
    <n v="459000"/>
    <n v="210000"/>
    <n v="129000"/>
    <n v="6"/>
    <n v="1290000"/>
    <n v="1096500"/>
    <n v="500000"/>
    <n v="306500"/>
    <s v="BELI44"/>
    <n v="0.15"/>
    <x v="0"/>
    <x v="0"/>
    <x v="1"/>
    <d v="2023-04-01T00:00:00"/>
    <x v="0"/>
    <s v="Saturday"/>
    <x v="0"/>
    <n v="3"/>
  </r>
  <r>
    <n v="638"/>
    <s v="ORD-BB0638-04/04/23"/>
    <s v="PW001"/>
    <s v="Pakaian Wanita"/>
    <s v="Dress"/>
    <n v="4"/>
    <n v="4"/>
    <n v="1200000"/>
    <n v="1020000"/>
    <n v="400000"/>
    <n v="220000"/>
    <m/>
    <s v="-"/>
    <s v="-"/>
    <m/>
    <m/>
    <n v="0"/>
    <n v="0"/>
    <n v="0"/>
    <n v="0"/>
    <m/>
    <s v="-"/>
    <s v="-"/>
    <m/>
    <m/>
    <n v="0"/>
    <n v="0"/>
    <n v="0"/>
    <n v="0"/>
    <n v="4"/>
    <n v="1200000"/>
    <n v="1020000"/>
    <n v="400000"/>
    <n v="220000"/>
    <s v="BELI44"/>
    <n v="0.15"/>
    <x v="0"/>
    <x v="0"/>
    <x v="4"/>
    <d v="2023-04-04T00:00:00"/>
    <x v="7"/>
    <s v="Tuesday"/>
    <x v="0"/>
    <n v="4"/>
  </r>
  <r>
    <n v="639"/>
    <s v="ORD-TK0639-28/04/23"/>
    <s v="PW002"/>
    <s v="Pakaian Wanita"/>
    <s v="Blouse"/>
    <n v="1"/>
    <n v="1"/>
    <n v="150000"/>
    <n v="135000"/>
    <n v="50000"/>
    <n v="35000"/>
    <m/>
    <s v="-"/>
    <s v="-"/>
    <m/>
    <m/>
    <n v="0"/>
    <n v="0"/>
    <n v="0"/>
    <n v="0"/>
    <m/>
    <s v="-"/>
    <s v="-"/>
    <m/>
    <m/>
    <n v="0"/>
    <n v="0"/>
    <n v="0"/>
    <n v="0"/>
    <n v="1"/>
    <n v="150000"/>
    <n v="135000"/>
    <n v="50000"/>
    <n v="35000"/>
    <s v="LEBAR10"/>
    <n v="0.1"/>
    <x v="1"/>
    <x v="1"/>
    <x v="4"/>
    <d v="2023-04-28T00:00:00"/>
    <x v="11"/>
    <s v="Friday"/>
    <x v="2"/>
    <n v="1"/>
  </r>
  <r>
    <n v="640"/>
    <s v="ORD-SP0640-05/04/23"/>
    <s v="PP003"/>
    <s v="Pakaian Pria"/>
    <s v="Jaket Jeans"/>
    <n v="6"/>
    <n v="3"/>
    <n v="2400000"/>
    <n v="2040000"/>
    <n v="900000"/>
    <n v="540000"/>
    <m/>
    <s v="-"/>
    <s v="-"/>
    <m/>
    <m/>
    <n v="0"/>
    <n v="0"/>
    <n v="0"/>
    <n v="0"/>
    <m/>
    <s v="-"/>
    <s v="-"/>
    <m/>
    <m/>
    <n v="0"/>
    <n v="0"/>
    <n v="0"/>
    <n v="0"/>
    <n v="6"/>
    <n v="2400000"/>
    <n v="2040000"/>
    <n v="900000"/>
    <n v="540000"/>
    <s v="DISC15"/>
    <n v="0.15"/>
    <x v="0"/>
    <x v="2"/>
    <x v="1"/>
    <d v="2023-04-05T00:00:00"/>
    <x v="9"/>
    <s v="Wednesday"/>
    <x v="0"/>
    <n v="3"/>
  </r>
  <r>
    <n v="641"/>
    <s v="ORD-TK0641-01/04/23"/>
    <s v="PU001"/>
    <s v="Pakaian Unisex"/>
    <s v="Jaket Hoodie"/>
    <n v="2"/>
    <n v="2"/>
    <n v="700000"/>
    <n v="630000"/>
    <n v="260000"/>
    <n v="190000"/>
    <m/>
    <s v="-"/>
    <s v="-"/>
    <m/>
    <m/>
    <n v="0"/>
    <n v="0"/>
    <n v="0"/>
    <n v="0"/>
    <m/>
    <s v="-"/>
    <s v="-"/>
    <m/>
    <m/>
    <n v="0"/>
    <n v="0"/>
    <n v="0"/>
    <n v="0"/>
    <n v="2"/>
    <n v="700000"/>
    <n v="630000"/>
    <n v="260000"/>
    <n v="190000"/>
    <s v="DISCAPRIL"/>
    <n v="0.1"/>
    <x v="0"/>
    <x v="1"/>
    <x v="0"/>
    <d v="2023-04-01T00:00:00"/>
    <x v="0"/>
    <s v="Saturday"/>
    <x v="0"/>
    <n v="2"/>
  </r>
  <r>
    <n v="642"/>
    <s v="ORD-SP0642-06/04/23"/>
    <s v="SW001"/>
    <s v="Sepatu Wanita"/>
    <s v="Flat Shoes"/>
    <n v="1"/>
    <n v="3"/>
    <n v="250000"/>
    <n v="225000"/>
    <n v="100000"/>
    <n v="75000"/>
    <m/>
    <s v="-"/>
    <s v="-"/>
    <m/>
    <m/>
    <n v="0"/>
    <n v="0"/>
    <n v="0"/>
    <n v="0"/>
    <m/>
    <s v="-"/>
    <s v="-"/>
    <m/>
    <m/>
    <n v="0"/>
    <n v="0"/>
    <n v="0"/>
    <n v="0"/>
    <n v="1"/>
    <n v="250000"/>
    <n v="225000"/>
    <n v="100000"/>
    <n v="75000"/>
    <s v="DISC10"/>
    <n v="0.1"/>
    <x v="0"/>
    <x v="2"/>
    <x v="2"/>
    <d v="2023-04-06T00:00:00"/>
    <x v="8"/>
    <s v="Thursday"/>
    <x v="0"/>
    <n v="3"/>
  </r>
  <r>
    <n v="643"/>
    <s v="ORD-SP0643-16/04/23"/>
    <s v="PP002"/>
    <s v="Pakaian Pria"/>
    <s v="Celana Pendek"/>
    <n v="1"/>
    <n v="3"/>
    <n v="180000"/>
    <n v="144000"/>
    <n v="70000"/>
    <n v="34000"/>
    <m/>
    <s v="-"/>
    <s v="-"/>
    <m/>
    <m/>
    <n v="0"/>
    <n v="0"/>
    <n v="0"/>
    <n v="0"/>
    <m/>
    <s v="-"/>
    <s v="-"/>
    <m/>
    <m/>
    <n v="0"/>
    <n v="0"/>
    <n v="0"/>
    <n v="0"/>
    <n v="1"/>
    <n v="180000"/>
    <n v="144000"/>
    <n v="70000"/>
    <n v="34000"/>
    <s v="DISC20"/>
    <n v="0.2"/>
    <x v="1"/>
    <x v="2"/>
    <x v="4"/>
    <d v="2023-04-16T00:00:00"/>
    <x v="17"/>
    <s v="Sunday"/>
    <x v="1"/>
    <n v="3"/>
  </r>
  <r>
    <n v="644"/>
    <s v="ORD-TK0644-20/04/23"/>
    <s v="SP001"/>
    <s v="Sepatu Pria"/>
    <s v="Sneakers"/>
    <n v="4"/>
    <n v="2"/>
    <n v="2000000"/>
    <n v="1800000"/>
    <n v="800000"/>
    <n v="600000"/>
    <s v="PU001"/>
    <s v="Pakaian Unisex"/>
    <s v="Jaket Hoodie"/>
    <n v="2"/>
    <n v="1"/>
    <n v="700000"/>
    <n v="630000"/>
    <n v="260000"/>
    <n v="190000"/>
    <m/>
    <s v="-"/>
    <s v="-"/>
    <m/>
    <m/>
    <n v="0"/>
    <n v="0"/>
    <n v="0"/>
    <n v="0"/>
    <n v="6"/>
    <n v="2700000"/>
    <n v="2430000"/>
    <n v="1060000"/>
    <n v="790000"/>
    <s v="LEBAR10"/>
    <n v="0.1"/>
    <x v="1"/>
    <x v="1"/>
    <x v="0"/>
    <d v="2023-04-20T00:00:00"/>
    <x v="5"/>
    <s v="Thursday"/>
    <x v="1"/>
    <n v="1.5"/>
  </r>
  <r>
    <n v="645"/>
    <s v="ORD-SP0645-05/04/23"/>
    <s v="SP001"/>
    <s v="Sepatu Pria"/>
    <s v="Sneakers"/>
    <n v="1"/>
    <n v="1"/>
    <n v="500000"/>
    <n v="450000"/>
    <n v="200000"/>
    <n v="150000"/>
    <s v="PW002"/>
    <s v="Pakaian Wanita"/>
    <s v="Blouse"/>
    <n v="2"/>
    <n v="1"/>
    <n v="300000"/>
    <n v="270000"/>
    <n v="100000"/>
    <n v="70000"/>
    <s v="PP001"/>
    <s v="Pakaian Pria"/>
    <s v="Kaos Polo"/>
    <n v="1"/>
    <n v="2"/>
    <n v="200000"/>
    <n v="180000"/>
    <n v="80000"/>
    <n v="60000"/>
    <n v="4"/>
    <n v="1000000"/>
    <n v="900000"/>
    <n v="380000"/>
    <n v="280000"/>
    <s v="DISC10"/>
    <n v="0.1"/>
    <x v="0"/>
    <x v="2"/>
    <x v="0"/>
    <d v="2023-04-05T00:00:00"/>
    <x v="9"/>
    <s v="Wednesday"/>
    <x v="0"/>
    <n v="1.3333333333333333"/>
  </r>
  <r>
    <n v="646"/>
    <s v="ORD-TK0646-03/04/23"/>
    <s v="PW002"/>
    <s v="Pakaian Wanita"/>
    <s v="Blouse"/>
    <n v="2"/>
    <n v="2"/>
    <n v="300000"/>
    <n v="270000"/>
    <n v="100000"/>
    <n v="70000"/>
    <m/>
    <s v="-"/>
    <s v="-"/>
    <m/>
    <m/>
    <n v="0"/>
    <n v="0"/>
    <n v="0"/>
    <n v="0"/>
    <m/>
    <s v="-"/>
    <s v="-"/>
    <m/>
    <m/>
    <n v="0"/>
    <n v="0"/>
    <n v="0"/>
    <n v="0"/>
    <n v="2"/>
    <n v="300000"/>
    <n v="270000"/>
    <n v="100000"/>
    <n v="70000"/>
    <s v="DISCAPRIL"/>
    <n v="0.1"/>
    <x v="0"/>
    <x v="1"/>
    <x v="0"/>
    <d v="2023-04-03T00:00:00"/>
    <x v="2"/>
    <s v="Monday"/>
    <x v="0"/>
    <n v="2"/>
  </r>
  <r>
    <n v="647"/>
    <s v="ORD-BL0647-27/04/23"/>
    <s v="PW002"/>
    <s v="Pakaian Wanita"/>
    <s v="Blouse"/>
    <n v="1"/>
    <n v="1"/>
    <n v="150000"/>
    <n v="127500"/>
    <n v="50000"/>
    <n v="27500"/>
    <s v="SP002"/>
    <s v="Sepatu Pria"/>
    <s v="Sandal Slip On"/>
    <n v="1"/>
    <n v="1"/>
    <n v="150000"/>
    <n v="127500"/>
    <n v="60000"/>
    <n v="37500"/>
    <m/>
    <s v="-"/>
    <s v="-"/>
    <m/>
    <m/>
    <n v="0"/>
    <n v="0"/>
    <n v="0"/>
    <n v="0"/>
    <n v="2"/>
    <n v="300000"/>
    <n v="255000"/>
    <n v="110000"/>
    <n v="65000"/>
    <s v="BUKALEBAR"/>
    <n v="0.15"/>
    <x v="1"/>
    <x v="3"/>
    <x v="1"/>
    <d v="2023-04-27T00:00:00"/>
    <x v="18"/>
    <s v="Thursday"/>
    <x v="2"/>
    <n v="1"/>
  </r>
  <r>
    <n v="648"/>
    <s v="ORD-BL0648-29/04/23"/>
    <s v="PW002"/>
    <s v="Pakaian Wanita"/>
    <s v="Blouse"/>
    <n v="3"/>
    <n v="5"/>
    <n v="450000"/>
    <n v="382500"/>
    <n v="150000"/>
    <n v="82500"/>
    <s v="SW001"/>
    <s v="Sepatu Wanita"/>
    <s v="Flat Shoes"/>
    <n v="3"/>
    <n v="1"/>
    <n v="750000"/>
    <n v="637500"/>
    <n v="300000"/>
    <n v="187500"/>
    <m/>
    <s v="-"/>
    <s v="-"/>
    <m/>
    <m/>
    <n v="0"/>
    <n v="0"/>
    <n v="0"/>
    <n v="0"/>
    <n v="6"/>
    <n v="1200000"/>
    <n v="1020000"/>
    <n v="450000"/>
    <n v="270000"/>
    <s v="BUKALEBAR"/>
    <n v="0.15"/>
    <x v="1"/>
    <x v="3"/>
    <x v="5"/>
    <d v="2023-04-29T00:00:00"/>
    <x v="13"/>
    <s v="Saturday"/>
    <x v="2"/>
    <n v="3"/>
  </r>
  <r>
    <n v="649"/>
    <s v="ORD-SP0649-15/04/23"/>
    <s v="PU001"/>
    <s v="Pakaian Unisex"/>
    <s v="Jaket Hoodie"/>
    <n v="4"/>
    <n v="2"/>
    <n v="1400000"/>
    <n v="1400000"/>
    <n v="520000"/>
    <n v="520000"/>
    <s v="SP002"/>
    <s v="Sepatu Pria"/>
    <s v="Sandal Slip On"/>
    <n v="1"/>
    <n v="4"/>
    <n v="150000"/>
    <n v="150000"/>
    <n v="60000"/>
    <n v="60000"/>
    <s v="PP003"/>
    <s v="Pakaian Pria"/>
    <s v="Jaket Jeans"/>
    <n v="2"/>
    <n v="3"/>
    <n v="800000"/>
    <n v="800000"/>
    <n v="300000"/>
    <n v="300000"/>
    <n v="7"/>
    <n v="2350000"/>
    <n v="2350000"/>
    <n v="880000"/>
    <n v="880000"/>
    <s v="Tidak Ada"/>
    <s v="-"/>
    <x v="2"/>
    <x v="2"/>
    <x v="1"/>
    <d v="2023-04-15T00:00:00"/>
    <x v="16"/>
    <s v="Saturday"/>
    <x v="1"/>
    <n v="3"/>
  </r>
  <r>
    <n v="650"/>
    <s v="ORD-SP0650-05/04/23"/>
    <s v="PP003"/>
    <s v="Pakaian Pria"/>
    <s v="Jaket Jeans"/>
    <n v="3"/>
    <n v="1"/>
    <n v="1200000"/>
    <n v="1080000"/>
    <n v="450000"/>
    <n v="330000"/>
    <m/>
    <s v="-"/>
    <s v="-"/>
    <m/>
    <m/>
    <n v="0"/>
    <n v="0"/>
    <n v="0"/>
    <n v="0"/>
    <m/>
    <s v="-"/>
    <s v="-"/>
    <m/>
    <m/>
    <n v="0"/>
    <n v="0"/>
    <n v="0"/>
    <n v="0"/>
    <n v="3"/>
    <n v="1200000"/>
    <n v="1080000"/>
    <n v="450000"/>
    <n v="330000"/>
    <s v="DISC10"/>
    <n v="0.1"/>
    <x v="0"/>
    <x v="2"/>
    <x v="5"/>
    <d v="2023-04-05T00:00:00"/>
    <x v="9"/>
    <s v="Wednesday"/>
    <x v="0"/>
    <n v="1"/>
  </r>
  <r>
    <n v="651"/>
    <s v="ORD-BL0651-28/04/23"/>
    <s v="SP002"/>
    <s v="Sepatu Pria"/>
    <s v="Sandal Slip On"/>
    <n v="1"/>
    <n v="5"/>
    <n v="150000"/>
    <n v="127500"/>
    <n v="60000"/>
    <n v="37500"/>
    <s v="PW002"/>
    <s v="Pakaian Wanita"/>
    <s v="Blouse"/>
    <n v="2"/>
    <n v="2"/>
    <n v="300000"/>
    <n v="255000"/>
    <n v="100000"/>
    <n v="55000"/>
    <m/>
    <s v="-"/>
    <s v="-"/>
    <m/>
    <m/>
    <n v="0"/>
    <n v="0"/>
    <n v="0"/>
    <n v="0"/>
    <n v="3"/>
    <n v="450000"/>
    <n v="382500"/>
    <n v="160000"/>
    <n v="92500"/>
    <s v="BUKALEBAR"/>
    <n v="0.15"/>
    <x v="1"/>
    <x v="3"/>
    <x v="1"/>
    <d v="2023-04-28T00:00:00"/>
    <x v="11"/>
    <s v="Friday"/>
    <x v="2"/>
    <n v="3.5"/>
  </r>
  <r>
    <n v="652"/>
    <s v="ORD-BL0652-14/04/23"/>
    <s v="PW002"/>
    <s v="Pakaian Wanita"/>
    <s v="Blouse"/>
    <n v="2"/>
    <n v="1"/>
    <n v="300000"/>
    <n v="300000"/>
    <n v="100000"/>
    <n v="100000"/>
    <s v="PP003"/>
    <s v="Pakaian Pria"/>
    <s v="Jaket Jeans"/>
    <n v="3"/>
    <n v="3"/>
    <n v="1200000"/>
    <n v="1200000"/>
    <n v="450000"/>
    <n v="450000"/>
    <s v="PW001"/>
    <s v="Pakaian Wanita"/>
    <s v="Dress"/>
    <n v="1"/>
    <n v="3"/>
    <n v="300000"/>
    <n v="300000"/>
    <n v="100000"/>
    <n v="100000"/>
    <n v="6"/>
    <n v="1800000"/>
    <n v="1800000"/>
    <n v="650000"/>
    <n v="650000"/>
    <s v="Tidak Ada"/>
    <s v="-"/>
    <x v="2"/>
    <x v="3"/>
    <x v="3"/>
    <d v="2023-04-14T00:00:00"/>
    <x v="22"/>
    <s v="Friday"/>
    <x v="3"/>
    <n v="2.3333333333333335"/>
  </r>
  <r>
    <n v="653"/>
    <s v="ORD-BL0653-27/04/23"/>
    <s v="PP002"/>
    <s v="Pakaian Pria"/>
    <s v="Celana Pendek"/>
    <n v="1"/>
    <n v="5"/>
    <n v="180000"/>
    <n v="153000"/>
    <n v="70000"/>
    <n v="43000"/>
    <s v="PP003"/>
    <s v="Pakaian Pria"/>
    <s v="Jaket Jeans"/>
    <n v="3"/>
    <n v="2"/>
    <n v="1200000"/>
    <n v="1020000"/>
    <n v="450000"/>
    <n v="270000"/>
    <s v="PW003"/>
    <s v="Pakaian Wanita"/>
    <s v="Kaftan"/>
    <n v="1"/>
    <n v="3"/>
    <n v="250000"/>
    <n v="212500"/>
    <n v="100000"/>
    <n v="62500"/>
    <n v="5"/>
    <n v="1630000"/>
    <n v="1385500"/>
    <n v="620000"/>
    <n v="375500"/>
    <s v="BUKALEBAR"/>
    <n v="0.15"/>
    <x v="1"/>
    <x v="3"/>
    <x v="4"/>
    <d v="2023-04-27T00:00:00"/>
    <x v="18"/>
    <s v="Thursday"/>
    <x v="2"/>
    <n v="3.3333333333333335"/>
  </r>
  <r>
    <n v="654"/>
    <s v="ORD-SP0654-30/04/23"/>
    <s v="SW001"/>
    <s v="Sepatu Wanita"/>
    <s v="Flat Shoes"/>
    <n v="1"/>
    <n v="2"/>
    <n v="250000"/>
    <n v="200000"/>
    <n v="100000"/>
    <n v="50000"/>
    <m/>
    <s v="-"/>
    <s v="-"/>
    <m/>
    <m/>
    <n v="0"/>
    <n v="0"/>
    <n v="0"/>
    <n v="0"/>
    <m/>
    <s v="-"/>
    <s v="-"/>
    <m/>
    <m/>
    <n v="0"/>
    <n v="0"/>
    <n v="0"/>
    <n v="0"/>
    <n v="1"/>
    <n v="250000"/>
    <n v="200000"/>
    <n v="100000"/>
    <n v="50000"/>
    <s v="DISC20"/>
    <n v="0.2"/>
    <x v="1"/>
    <x v="2"/>
    <x v="4"/>
    <d v="2023-04-30T00:00:00"/>
    <x v="12"/>
    <s v="Sunday"/>
    <x v="2"/>
    <n v="2"/>
  </r>
  <r>
    <n v="655"/>
    <s v="ORD-SP0655-05/04/23"/>
    <s v="PW001"/>
    <s v="Pakaian Wanita"/>
    <s v="Dress"/>
    <n v="1"/>
    <n v="2"/>
    <n v="300000"/>
    <n v="255000"/>
    <n v="100000"/>
    <n v="55000"/>
    <s v="SP001"/>
    <s v="Sepatu Pria"/>
    <s v="Sneakers"/>
    <n v="2"/>
    <n v="1"/>
    <n v="1000000"/>
    <n v="850000"/>
    <n v="400000"/>
    <n v="250000"/>
    <m/>
    <s v="-"/>
    <s v="-"/>
    <m/>
    <m/>
    <n v="0"/>
    <n v="0"/>
    <n v="0"/>
    <n v="0"/>
    <n v="3"/>
    <n v="1300000"/>
    <n v="1105000"/>
    <n v="500000"/>
    <n v="305000"/>
    <s v="DISC15"/>
    <n v="0.15"/>
    <x v="0"/>
    <x v="2"/>
    <x v="0"/>
    <d v="2023-04-05T00:00:00"/>
    <x v="9"/>
    <s v="Wednesday"/>
    <x v="0"/>
    <n v="1.5"/>
  </r>
  <r>
    <n v="656"/>
    <s v="ORD-BB0656-04/04/23"/>
    <s v="PW002"/>
    <s v="Pakaian Wanita"/>
    <s v="Blouse"/>
    <n v="2"/>
    <n v="5"/>
    <n v="300000"/>
    <n v="255000"/>
    <n v="100000"/>
    <n v="55000"/>
    <m/>
    <s v="-"/>
    <s v="-"/>
    <m/>
    <m/>
    <n v="0"/>
    <n v="0"/>
    <n v="0"/>
    <n v="0"/>
    <m/>
    <s v="-"/>
    <s v="-"/>
    <m/>
    <m/>
    <n v="0"/>
    <n v="0"/>
    <n v="0"/>
    <n v="0"/>
    <n v="2"/>
    <n v="300000"/>
    <n v="255000"/>
    <n v="100000"/>
    <n v="55000"/>
    <s v="BELI44"/>
    <n v="0.15"/>
    <x v="0"/>
    <x v="0"/>
    <x v="4"/>
    <d v="2023-04-04T00:00:00"/>
    <x v="7"/>
    <s v="Tuesday"/>
    <x v="0"/>
    <n v="5"/>
  </r>
  <r>
    <n v="657"/>
    <s v="ORD-TK0657-03/04/23"/>
    <s v="SP002"/>
    <s v="Sepatu Pria"/>
    <s v="Sandal Slip On"/>
    <n v="5"/>
    <n v="2"/>
    <n v="750000"/>
    <n v="675000"/>
    <n v="300000"/>
    <n v="225000"/>
    <s v="SW001"/>
    <s v="Sepatu Wanita"/>
    <s v="Flat Shoes"/>
    <n v="1"/>
    <n v="2"/>
    <n v="250000"/>
    <n v="225000"/>
    <n v="100000"/>
    <n v="75000"/>
    <m/>
    <s v="-"/>
    <s v="-"/>
    <m/>
    <m/>
    <n v="0"/>
    <n v="0"/>
    <n v="0"/>
    <n v="0"/>
    <n v="6"/>
    <n v="1000000"/>
    <n v="900000"/>
    <n v="400000"/>
    <n v="300000"/>
    <s v="DISCAPRIL"/>
    <n v="0.1"/>
    <x v="0"/>
    <x v="1"/>
    <x v="0"/>
    <d v="2023-04-03T00:00:00"/>
    <x v="2"/>
    <s v="Monday"/>
    <x v="0"/>
    <n v="2"/>
  </r>
  <r>
    <n v="658"/>
    <s v="ORD-BL0658-16/04/23"/>
    <s v="PP003"/>
    <s v="Pakaian Pria"/>
    <s v="Jaket Jeans"/>
    <n v="2"/>
    <n v="3"/>
    <n v="800000"/>
    <n v="680000"/>
    <n v="300000"/>
    <n v="180000"/>
    <s v="PW001"/>
    <s v="Pakaian Wanita"/>
    <s v="Dress"/>
    <n v="2"/>
    <n v="5"/>
    <n v="600000"/>
    <n v="510000"/>
    <n v="200000"/>
    <n v="110000"/>
    <s v="SP002"/>
    <s v="Sepatu Pria"/>
    <s v="Sandal Slip On"/>
    <n v="1"/>
    <n v="4"/>
    <n v="150000"/>
    <n v="127500"/>
    <n v="60000"/>
    <n v="37500"/>
    <n v="5"/>
    <n v="1550000"/>
    <n v="1317500"/>
    <n v="560000"/>
    <n v="327500"/>
    <s v="BUKALEBAR"/>
    <n v="0.15"/>
    <x v="1"/>
    <x v="3"/>
    <x v="1"/>
    <d v="2023-04-16T00:00:00"/>
    <x v="17"/>
    <s v="Sunday"/>
    <x v="1"/>
    <n v="4"/>
  </r>
  <r>
    <n v="659"/>
    <s v="ORD-TK0659-30/04/23"/>
    <s v="PW002"/>
    <s v="Pakaian Wanita"/>
    <s v="Blouse"/>
    <n v="2"/>
    <n v="1"/>
    <n v="300000"/>
    <n v="270000"/>
    <n v="100000"/>
    <n v="70000"/>
    <s v="PP003"/>
    <s v="Pakaian Pria"/>
    <s v="Jaket Jeans"/>
    <n v="2"/>
    <n v="2"/>
    <n v="800000"/>
    <n v="720000"/>
    <n v="300000"/>
    <n v="220000"/>
    <s v="SP001"/>
    <s v="Sepatu Pria"/>
    <s v="Sneakers"/>
    <n v="2"/>
    <n v="3"/>
    <n v="1000000"/>
    <n v="900000"/>
    <n v="400000"/>
    <n v="300000"/>
    <n v="6"/>
    <n v="2100000"/>
    <n v="1890000"/>
    <n v="800000"/>
    <n v="590000"/>
    <s v="LEBAR10"/>
    <n v="0.1"/>
    <x v="1"/>
    <x v="1"/>
    <x v="2"/>
    <d v="2023-04-30T00:00:00"/>
    <x v="12"/>
    <s v="Sunday"/>
    <x v="2"/>
    <n v="2"/>
  </r>
  <r>
    <n v="660"/>
    <s v="ORD-BL0660-14/04/23"/>
    <s v="SW001"/>
    <s v="Sepatu Wanita"/>
    <s v="Flat Shoes"/>
    <n v="3"/>
    <n v="1"/>
    <n v="750000"/>
    <n v="750000"/>
    <n v="300000"/>
    <n v="300000"/>
    <s v="PW003"/>
    <s v="Pakaian Wanita"/>
    <s v="Kaftan"/>
    <n v="2"/>
    <n v="1"/>
    <n v="500000"/>
    <n v="500000"/>
    <n v="200000"/>
    <n v="200000"/>
    <s v="PW002"/>
    <s v="Pakaian Wanita"/>
    <s v="Blouse"/>
    <n v="1"/>
    <n v="2"/>
    <n v="150000"/>
    <n v="150000"/>
    <n v="50000"/>
    <n v="50000"/>
    <n v="6"/>
    <n v="1400000"/>
    <n v="1400000"/>
    <n v="550000"/>
    <n v="550000"/>
    <s v="Tidak Ada"/>
    <s v="-"/>
    <x v="2"/>
    <x v="3"/>
    <x v="1"/>
    <d v="2023-04-14T00:00:00"/>
    <x v="22"/>
    <s v="Friday"/>
    <x v="3"/>
    <n v="1.3333333333333333"/>
  </r>
  <r>
    <n v="661"/>
    <s v="ORD-SP0661-06/04/23"/>
    <s v="SP002"/>
    <s v="Sepatu Pria"/>
    <s v="Sandal Slip On"/>
    <n v="1"/>
    <n v="4"/>
    <n v="150000"/>
    <n v="135000"/>
    <n v="60000"/>
    <n v="45000"/>
    <s v="PP003"/>
    <s v="Pakaian Pria"/>
    <s v="Jaket Jeans"/>
    <n v="2"/>
    <n v="3"/>
    <n v="800000"/>
    <n v="720000"/>
    <n v="300000"/>
    <n v="220000"/>
    <s v="SP001"/>
    <s v="Sepatu Pria"/>
    <s v="Sneakers"/>
    <n v="2"/>
    <n v="3"/>
    <n v="1000000"/>
    <n v="900000"/>
    <n v="400000"/>
    <n v="300000"/>
    <n v="5"/>
    <n v="1950000"/>
    <n v="1755000"/>
    <n v="760000"/>
    <n v="565000"/>
    <s v="DISC10"/>
    <n v="0.1"/>
    <x v="0"/>
    <x v="2"/>
    <x v="3"/>
    <d v="2023-04-06T00:00:00"/>
    <x v="8"/>
    <s v="Thursday"/>
    <x v="0"/>
    <n v="3.3333333333333335"/>
  </r>
  <r>
    <n v="662"/>
    <s v="ORD-SP0662-01/04/23"/>
    <s v="PW003"/>
    <s v="Pakaian Wanita"/>
    <s v="Kaftan"/>
    <n v="1"/>
    <n v="5"/>
    <n v="250000"/>
    <n v="212500"/>
    <n v="100000"/>
    <n v="62500"/>
    <s v="PU001"/>
    <s v="Pakaian Unisex"/>
    <s v="Jaket Hoodie"/>
    <n v="1"/>
    <n v="4"/>
    <n v="350000"/>
    <n v="297500"/>
    <n v="130000"/>
    <n v="77500"/>
    <m/>
    <s v="-"/>
    <s v="-"/>
    <m/>
    <m/>
    <n v="0"/>
    <n v="0"/>
    <n v="0"/>
    <n v="0"/>
    <n v="2"/>
    <n v="600000"/>
    <n v="510000"/>
    <n v="230000"/>
    <n v="140000"/>
    <s v="DISC15"/>
    <n v="0.15"/>
    <x v="0"/>
    <x v="2"/>
    <x v="0"/>
    <d v="2023-04-01T00:00:00"/>
    <x v="0"/>
    <s v="Saturday"/>
    <x v="0"/>
    <n v="4.5"/>
  </r>
  <r>
    <n v="663"/>
    <s v="ORD-TK0663-21/04/23"/>
    <s v="SP002"/>
    <s v="Sepatu Pria"/>
    <s v="Sandal Slip On"/>
    <n v="3"/>
    <n v="4"/>
    <n v="450000"/>
    <n v="405000"/>
    <n v="180000"/>
    <n v="135000"/>
    <s v="PP003"/>
    <s v="Pakaian Pria"/>
    <s v="Jaket Jeans"/>
    <n v="1"/>
    <n v="2"/>
    <n v="400000"/>
    <n v="360000"/>
    <n v="150000"/>
    <n v="110000"/>
    <m/>
    <s v="-"/>
    <s v="-"/>
    <m/>
    <m/>
    <n v="0"/>
    <n v="0"/>
    <n v="0"/>
    <n v="0"/>
    <n v="4"/>
    <n v="850000"/>
    <n v="765000"/>
    <n v="330000"/>
    <n v="245000"/>
    <s v="LEBAR10"/>
    <n v="0.1"/>
    <x v="1"/>
    <x v="1"/>
    <x v="4"/>
    <d v="2023-04-21T00:00:00"/>
    <x v="20"/>
    <s v="Friday"/>
    <x v="1"/>
    <n v="3"/>
  </r>
  <r>
    <n v="664"/>
    <s v="ORD-TK0664-26/04/23"/>
    <s v="PP003"/>
    <s v="Pakaian Pria"/>
    <s v="Jaket Jeans"/>
    <n v="1"/>
    <n v="1"/>
    <n v="400000"/>
    <n v="360000"/>
    <n v="150000"/>
    <n v="110000"/>
    <s v="PW001"/>
    <s v="Pakaian Wanita"/>
    <s v="Dress"/>
    <n v="3"/>
    <n v="4"/>
    <n v="900000"/>
    <n v="810000"/>
    <n v="300000"/>
    <n v="210000"/>
    <s v="PP002"/>
    <s v="Pakaian Pria"/>
    <s v="Celana Pendek"/>
    <n v="1"/>
    <n v="3"/>
    <n v="180000"/>
    <n v="162000"/>
    <n v="70000"/>
    <n v="52000"/>
    <n v="5"/>
    <n v="1480000"/>
    <n v="1332000"/>
    <n v="520000"/>
    <n v="372000"/>
    <s v="LEBAR10"/>
    <n v="0.1"/>
    <x v="1"/>
    <x v="1"/>
    <x v="1"/>
    <d v="2023-04-26T00:00:00"/>
    <x v="15"/>
    <s v="Wednesday"/>
    <x v="2"/>
    <n v="2.6666666666666665"/>
  </r>
  <r>
    <n v="665"/>
    <s v="ORD-SP0665-02/04/23"/>
    <s v="PP003"/>
    <s v="Pakaian Pria"/>
    <s v="Jaket Jeans"/>
    <n v="2"/>
    <n v="5"/>
    <n v="800000"/>
    <n v="680000"/>
    <n v="300000"/>
    <n v="180000"/>
    <s v="PP002"/>
    <s v="Pakaian Pria"/>
    <s v="Celana Pendek"/>
    <n v="2"/>
    <n v="4"/>
    <n v="360000"/>
    <n v="306000"/>
    <n v="140000"/>
    <n v="86000"/>
    <s v="SW001"/>
    <s v="Sepatu Wanita"/>
    <s v="Flat Shoes"/>
    <n v="1"/>
    <n v="5"/>
    <n v="250000"/>
    <n v="212500"/>
    <n v="100000"/>
    <n v="62500"/>
    <n v="5"/>
    <n v="1410000"/>
    <n v="1198500"/>
    <n v="540000"/>
    <n v="328500"/>
    <s v="DISC15"/>
    <n v="0.15"/>
    <x v="0"/>
    <x v="2"/>
    <x v="4"/>
    <d v="2023-04-02T00:00:00"/>
    <x v="1"/>
    <s v="Sunday"/>
    <x v="0"/>
    <n v="4.666666666666667"/>
  </r>
  <r>
    <n v="666"/>
    <s v="ORD-SP0666-11/04/23"/>
    <s v="SP002"/>
    <s v="Sepatu Pria"/>
    <s v="Sandal Slip On"/>
    <n v="6"/>
    <n v="1"/>
    <n v="900000"/>
    <n v="900000"/>
    <n v="360000"/>
    <n v="360000"/>
    <m/>
    <s v="-"/>
    <s v="-"/>
    <m/>
    <m/>
    <n v="0"/>
    <n v="0"/>
    <n v="0"/>
    <n v="0"/>
    <m/>
    <s v="-"/>
    <s v="-"/>
    <m/>
    <m/>
    <n v="0"/>
    <n v="0"/>
    <n v="0"/>
    <n v="0"/>
    <n v="6"/>
    <n v="900000"/>
    <n v="900000"/>
    <n v="360000"/>
    <n v="360000"/>
    <s v="Tidak Ada"/>
    <s v="-"/>
    <x v="2"/>
    <x v="2"/>
    <x v="4"/>
    <d v="2023-04-11T00:00:00"/>
    <x v="29"/>
    <s v="Tuesday"/>
    <x v="3"/>
    <n v="1"/>
  </r>
  <r>
    <n v="667"/>
    <s v="ORD-BL0667-25/04/23"/>
    <s v="PW002"/>
    <s v="Pakaian Wanita"/>
    <s v="Blouse"/>
    <n v="5"/>
    <n v="4"/>
    <n v="750000"/>
    <n v="637500"/>
    <n v="250000"/>
    <n v="137500"/>
    <m/>
    <s v="-"/>
    <s v="-"/>
    <m/>
    <m/>
    <n v="0"/>
    <n v="0"/>
    <n v="0"/>
    <n v="0"/>
    <m/>
    <s v="-"/>
    <s v="-"/>
    <m/>
    <m/>
    <n v="0"/>
    <n v="0"/>
    <n v="0"/>
    <n v="0"/>
    <n v="5"/>
    <n v="750000"/>
    <n v="637500"/>
    <n v="250000"/>
    <n v="137500"/>
    <s v="BUKALEBAR"/>
    <n v="0.15"/>
    <x v="1"/>
    <x v="3"/>
    <x v="1"/>
    <d v="2023-04-25T00:00:00"/>
    <x v="6"/>
    <s v="Tuesday"/>
    <x v="2"/>
    <n v="4"/>
  </r>
  <r>
    <n v="668"/>
    <s v="ORD-BL0668-20/04/23"/>
    <s v="SW001"/>
    <s v="Sepatu Wanita"/>
    <s v="Flat Shoes"/>
    <n v="3"/>
    <n v="1"/>
    <n v="750000"/>
    <n v="637500"/>
    <n v="300000"/>
    <n v="187500"/>
    <s v="SP002"/>
    <s v="Sepatu Pria"/>
    <s v="Sandal Slip On"/>
    <n v="1"/>
    <n v="2"/>
    <n v="150000"/>
    <n v="127500"/>
    <n v="60000"/>
    <n v="37500"/>
    <m/>
    <s v="-"/>
    <s v="-"/>
    <m/>
    <m/>
    <n v="0"/>
    <n v="0"/>
    <n v="0"/>
    <n v="0"/>
    <n v="4"/>
    <n v="900000"/>
    <n v="765000"/>
    <n v="360000"/>
    <n v="225000"/>
    <s v="BUKALEBAR"/>
    <n v="0.15"/>
    <x v="1"/>
    <x v="3"/>
    <x v="1"/>
    <d v="2023-04-20T00:00:00"/>
    <x v="5"/>
    <s v="Thursday"/>
    <x v="1"/>
    <n v="1.5"/>
  </r>
  <r>
    <n v="669"/>
    <s v="ORD-SP0669-26/04/23"/>
    <s v="SW001"/>
    <s v="Sepatu Wanita"/>
    <s v="Flat Shoes"/>
    <n v="2"/>
    <n v="1"/>
    <n v="500000"/>
    <n v="400000"/>
    <n v="200000"/>
    <n v="100000"/>
    <m/>
    <s v="-"/>
    <s v="-"/>
    <m/>
    <m/>
    <n v="0"/>
    <n v="0"/>
    <n v="0"/>
    <n v="0"/>
    <m/>
    <s v="-"/>
    <s v="-"/>
    <m/>
    <m/>
    <n v="0"/>
    <n v="0"/>
    <n v="0"/>
    <n v="0"/>
    <n v="2"/>
    <n v="500000"/>
    <n v="400000"/>
    <n v="200000"/>
    <n v="100000"/>
    <s v="DISC20"/>
    <n v="0.2"/>
    <x v="1"/>
    <x v="2"/>
    <x v="4"/>
    <d v="2023-04-26T00:00:00"/>
    <x v="15"/>
    <s v="Wednesday"/>
    <x v="2"/>
    <n v="1"/>
  </r>
  <r>
    <n v="670"/>
    <s v="ORD-BB0670-04/04/23"/>
    <s v="PU001"/>
    <s v="Pakaian Unisex"/>
    <s v="Jaket Hoodie"/>
    <n v="4"/>
    <n v="5"/>
    <n v="1400000"/>
    <n v="1190000"/>
    <n v="520000"/>
    <n v="310000"/>
    <s v="SP001"/>
    <s v="Sepatu Pria"/>
    <s v="Sneakers"/>
    <n v="1"/>
    <n v="4"/>
    <n v="500000"/>
    <n v="425000"/>
    <n v="200000"/>
    <n v="125000"/>
    <s v="SP002"/>
    <s v="Sepatu Pria"/>
    <s v="Sandal Slip On"/>
    <n v="1"/>
    <n v="2"/>
    <n v="150000"/>
    <n v="127500"/>
    <n v="60000"/>
    <n v="37500"/>
    <n v="6"/>
    <n v="2050000"/>
    <n v="1742500"/>
    <n v="780000"/>
    <n v="472500"/>
    <s v="BELI44"/>
    <n v="0.15"/>
    <x v="0"/>
    <x v="0"/>
    <x v="0"/>
    <d v="2023-04-04T00:00:00"/>
    <x v="7"/>
    <s v="Tuesday"/>
    <x v="0"/>
    <n v="3.6666666666666665"/>
  </r>
  <r>
    <n v="671"/>
    <s v="ORD-TK0671-03/04/23"/>
    <s v="PP003"/>
    <s v="Pakaian Pria"/>
    <s v="Jaket Jeans"/>
    <n v="1"/>
    <n v="1"/>
    <n v="400000"/>
    <n v="360000"/>
    <n v="150000"/>
    <n v="110000"/>
    <m/>
    <s v="-"/>
    <s v="-"/>
    <m/>
    <m/>
    <n v="0"/>
    <n v="0"/>
    <n v="0"/>
    <n v="0"/>
    <m/>
    <s v="-"/>
    <s v="-"/>
    <m/>
    <m/>
    <n v="0"/>
    <n v="0"/>
    <n v="0"/>
    <n v="0"/>
    <n v="1"/>
    <n v="400000"/>
    <n v="360000"/>
    <n v="150000"/>
    <n v="110000"/>
    <s v="DISCAPRIL"/>
    <n v="0.1"/>
    <x v="0"/>
    <x v="1"/>
    <x v="5"/>
    <d v="2023-04-03T00:00:00"/>
    <x v="2"/>
    <s v="Monday"/>
    <x v="0"/>
    <n v="1"/>
  </r>
  <r>
    <n v="672"/>
    <s v="ORD-TK0672-01/04/23"/>
    <s v="PP001"/>
    <s v="Pakaian Pria"/>
    <s v="Kaos Polo"/>
    <n v="1"/>
    <n v="3"/>
    <n v="200000"/>
    <n v="180000"/>
    <n v="80000"/>
    <n v="60000"/>
    <m/>
    <s v="-"/>
    <s v="-"/>
    <m/>
    <m/>
    <n v="0"/>
    <n v="0"/>
    <n v="0"/>
    <n v="0"/>
    <m/>
    <s v="-"/>
    <s v="-"/>
    <m/>
    <m/>
    <n v="0"/>
    <n v="0"/>
    <n v="0"/>
    <n v="0"/>
    <n v="1"/>
    <n v="200000"/>
    <n v="180000"/>
    <n v="80000"/>
    <n v="60000"/>
    <s v="DISCAPRIL"/>
    <n v="0.1"/>
    <x v="0"/>
    <x v="1"/>
    <x v="0"/>
    <d v="2023-04-01T00:00:00"/>
    <x v="0"/>
    <s v="Saturday"/>
    <x v="0"/>
    <n v="3"/>
  </r>
  <r>
    <n v="673"/>
    <s v="ORD-TK0673-26/04/23"/>
    <s v="PW003"/>
    <s v="Pakaian Wanita"/>
    <s v="Kaftan"/>
    <n v="1"/>
    <n v="2"/>
    <n v="250000"/>
    <n v="225000"/>
    <n v="100000"/>
    <n v="75000"/>
    <m/>
    <s v="-"/>
    <s v="-"/>
    <m/>
    <m/>
    <n v="0"/>
    <n v="0"/>
    <n v="0"/>
    <n v="0"/>
    <m/>
    <s v="-"/>
    <s v="-"/>
    <m/>
    <m/>
    <n v="0"/>
    <n v="0"/>
    <n v="0"/>
    <n v="0"/>
    <n v="1"/>
    <n v="250000"/>
    <n v="225000"/>
    <n v="100000"/>
    <n v="75000"/>
    <s v="LEBAR10"/>
    <n v="0.1"/>
    <x v="1"/>
    <x v="1"/>
    <x v="3"/>
    <d v="2023-04-26T00:00:00"/>
    <x v="15"/>
    <s v="Wednesday"/>
    <x v="2"/>
    <n v="2"/>
  </r>
  <r>
    <n v="674"/>
    <s v="ORD-SP0674-04/04/23"/>
    <s v="PU001"/>
    <s v="Pakaian Unisex"/>
    <s v="Jaket Hoodie"/>
    <n v="3"/>
    <n v="4"/>
    <n v="1050000"/>
    <n v="892500"/>
    <n v="390000"/>
    <n v="232500"/>
    <m/>
    <s v="-"/>
    <s v="-"/>
    <m/>
    <m/>
    <n v="0"/>
    <n v="0"/>
    <n v="0"/>
    <n v="0"/>
    <m/>
    <s v="-"/>
    <s v="-"/>
    <m/>
    <m/>
    <n v="0"/>
    <n v="0"/>
    <n v="0"/>
    <n v="0"/>
    <n v="3"/>
    <n v="1050000"/>
    <n v="892500"/>
    <n v="390000"/>
    <n v="232500"/>
    <s v="DISC15"/>
    <n v="0.15"/>
    <x v="0"/>
    <x v="2"/>
    <x v="3"/>
    <d v="2023-04-04T00:00:00"/>
    <x v="7"/>
    <s v="Tuesday"/>
    <x v="0"/>
    <n v="4"/>
  </r>
  <r>
    <n v="675"/>
    <s v="ORD-TK0675-01/04/23"/>
    <s v="PW002"/>
    <s v="Pakaian Wanita"/>
    <s v="Blouse"/>
    <n v="1"/>
    <n v="2"/>
    <n v="150000"/>
    <n v="135000"/>
    <n v="50000"/>
    <n v="35000"/>
    <s v="SW001"/>
    <s v="Sepatu Wanita"/>
    <s v="Flat Shoes"/>
    <n v="4"/>
    <n v="5"/>
    <n v="1000000"/>
    <n v="900000"/>
    <n v="400000"/>
    <n v="300000"/>
    <s v="SP002"/>
    <s v="Sepatu Pria"/>
    <s v="Sandal Slip On"/>
    <n v="1"/>
    <n v="4"/>
    <n v="150000"/>
    <n v="135000"/>
    <n v="60000"/>
    <n v="45000"/>
    <n v="6"/>
    <n v="1300000"/>
    <n v="1170000"/>
    <n v="510000"/>
    <n v="380000"/>
    <s v="DISCAPRIL"/>
    <n v="0.1"/>
    <x v="0"/>
    <x v="1"/>
    <x v="4"/>
    <d v="2023-04-01T00:00:00"/>
    <x v="0"/>
    <s v="Saturday"/>
    <x v="0"/>
    <n v="3.6666666666666665"/>
  </r>
  <r>
    <n v="676"/>
    <s v="ORD-TK0676-30/04/23"/>
    <s v="PP001"/>
    <s v="Pakaian Pria"/>
    <s v="Kaos Polo"/>
    <n v="3"/>
    <n v="4"/>
    <n v="600000"/>
    <n v="540000"/>
    <n v="240000"/>
    <n v="180000"/>
    <s v="PP003"/>
    <s v="Pakaian Pria"/>
    <s v="Jaket Jeans"/>
    <n v="2"/>
    <n v="4"/>
    <n v="800000"/>
    <n v="720000"/>
    <n v="300000"/>
    <n v="220000"/>
    <m/>
    <s v="-"/>
    <s v="-"/>
    <m/>
    <m/>
    <n v="0"/>
    <n v="0"/>
    <n v="0"/>
    <n v="0"/>
    <n v="5"/>
    <n v="1400000"/>
    <n v="1260000"/>
    <n v="540000"/>
    <n v="400000"/>
    <s v="LEBAR10"/>
    <n v="0.1"/>
    <x v="1"/>
    <x v="1"/>
    <x v="5"/>
    <d v="2023-04-30T00:00:00"/>
    <x v="12"/>
    <s v="Sunday"/>
    <x v="2"/>
    <n v="4"/>
  </r>
  <r>
    <n v="677"/>
    <s v="ORD-TK0677-04/04/23"/>
    <s v="PP002"/>
    <s v="Pakaian Pria"/>
    <s v="Celana Pendek"/>
    <n v="1"/>
    <n v="4"/>
    <n v="180000"/>
    <n v="162000"/>
    <n v="70000"/>
    <n v="52000"/>
    <m/>
    <s v="-"/>
    <s v="-"/>
    <m/>
    <m/>
    <n v="0"/>
    <n v="0"/>
    <n v="0"/>
    <n v="0"/>
    <m/>
    <s v="-"/>
    <s v="-"/>
    <m/>
    <m/>
    <n v="0"/>
    <n v="0"/>
    <n v="0"/>
    <n v="0"/>
    <n v="1"/>
    <n v="180000"/>
    <n v="162000"/>
    <n v="70000"/>
    <n v="52000"/>
    <s v="DISCAPRIL"/>
    <n v="0.1"/>
    <x v="0"/>
    <x v="1"/>
    <x v="5"/>
    <d v="2023-04-04T00:00:00"/>
    <x v="7"/>
    <s v="Tuesday"/>
    <x v="0"/>
    <n v="4"/>
  </r>
  <r>
    <n v="678"/>
    <s v="ORD-BB0678-04/04/23"/>
    <s v="SP002"/>
    <s v="Sepatu Pria"/>
    <s v="Sandal Slip On"/>
    <n v="3"/>
    <n v="5"/>
    <n v="450000"/>
    <n v="382500"/>
    <n v="180000"/>
    <n v="112500"/>
    <s v="PP003"/>
    <s v="Pakaian Pria"/>
    <s v="Jaket Jeans"/>
    <n v="2"/>
    <n v="2"/>
    <n v="800000"/>
    <n v="680000"/>
    <n v="300000"/>
    <n v="180000"/>
    <s v="SP001"/>
    <s v="Sepatu Pria"/>
    <s v="Sneakers"/>
    <n v="1"/>
    <n v="1"/>
    <n v="500000"/>
    <n v="425000"/>
    <n v="200000"/>
    <n v="125000"/>
    <n v="6"/>
    <n v="1750000"/>
    <n v="1487500"/>
    <n v="680000"/>
    <n v="417500"/>
    <s v="BELI44"/>
    <n v="0.15"/>
    <x v="0"/>
    <x v="0"/>
    <x v="3"/>
    <d v="2023-04-04T00:00:00"/>
    <x v="7"/>
    <s v="Tuesday"/>
    <x v="0"/>
    <n v="2.6666666666666665"/>
  </r>
  <r>
    <n v="679"/>
    <s v="ORD-BL0679-13/04/23"/>
    <s v="SP002"/>
    <s v="Sepatu Pria"/>
    <s v="Sandal Slip On"/>
    <n v="1"/>
    <n v="3"/>
    <n v="150000"/>
    <n v="150000"/>
    <n v="60000"/>
    <n v="60000"/>
    <s v="PP002"/>
    <s v="Pakaian Pria"/>
    <s v="Celana Pendek"/>
    <n v="1"/>
    <n v="3"/>
    <n v="180000"/>
    <n v="180000"/>
    <n v="70000"/>
    <n v="70000"/>
    <s v="SP002"/>
    <s v="Sepatu Pria"/>
    <s v="Sandal Slip On"/>
    <n v="2"/>
    <n v="2"/>
    <n v="300000"/>
    <n v="300000"/>
    <n v="120000"/>
    <n v="120000"/>
    <n v="4"/>
    <n v="630000"/>
    <n v="630000"/>
    <n v="250000"/>
    <n v="250000"/>
    <s v="Tidak Ada"/>
    <s v="-"/>
    <x v="2"/>
    <x v="3"/>
    <x v="4"/>
    <d v="2023-04-13T00:00:00"/>
    <x v="21"/>
    <s v="Thursday"/>
    <x v="3"/>
    <n v="2.6666666666666665"/>
  </r>
  <r>
    <n v="680"/>
    <s v="ORD-TK0680-03/04/23"/>
    <s v="PW002"/>
    <s v="Pakaian Wanita"/>
    <s v="Blouse"/>
    <n v="2"/>
    <n v="1"/>
    <n v="300000"/>
    <n v="270000"/>
    <n v="100000"/>
    <n v="70000"/>
    <s v="PP003"/>
    <s v="Pakaian Pria"/>
    <s v="Jaket Jeans"/>
    <n v="1"/>
    <n v="1"/>
    <n v="400000"/>
    <n v="360000"/>
    <n v="150000"/>
    <n v="110000"/>
    <m/>
    <s v="-"/>
    <s v="-"/>
    <m/>
    <m/>
    <n v="0"/>
    <n v="0"/>
    <n v="0"/>
    <n v="0"/>
    <n v="3"/>
    <n v="700000"/>
    <n v="630000"/>
    <n v="250000"/>
    <n v="180000"/>
    <s v="DISCAPRIL"/>
    <n v="0.1"/>
    <x v="0"/>
    <x v="1"/>
    <x v="2"/>
    <d v="2023-04-03T00:00:00"/>
    <x v="2"/>
    <s v="Monday"/>
    <x v="0"/>
    <n v="1"/>
  </r>
  <r>
    <n v="681"/>
    <s v="ORD-BL0681-21/04/23"/>
    <s v="PW001"/>
    <s v="Pakaian Wanita"/>
    <s v="Dress"/>
    <n v="1"/>
    <n v="4"/>
    <n v="300000"/>
    <n v="255000"/>
    <n v="100000"/>
    <n v="55000"/>
    <s v="PP003"/>
    <s v="Pakaian Pria"/>
    <s v="Jaket Jeans"/>
    <n v="3"/>
    <n v="4"/>
    <n v="1200000"/>
    <n v="1020000"/>
    <n v="450000"/>
    <n v="270000"/>
    <m/>
    <s v="-"/>
    <s v="-"/>
    <m/>
    <m/>
    <n v="0"/>
    <n v="0"/>
    <n v="0"/>
    <n v="0"/>
    <n v="4"/>
    <n v="1500000"/>
    <n v="1275000"/>
    <n v="550000"/>
    <n v="325000"/>
    <s v="BUKALEBAR"/>
    <n v="0.15"/>
    <x v="1"/>
    <x v="3"/>
    <x v="4"/>
    <d v="2023-04-21T00:00:00"/>
    <x v="20"/>
    <s v="Friday"/>
    <x v="1"/>
    <n v="4"/>
  </r>
  <r>
    <n v="682"/>
    <s v="ORD-SP0682-01/04/23"/>
    <s v="PP003"/>
    <s v="Pakaian Pria"/>
    <s v="Jaket Jeans"/>
    <n v="4"/>
    <n v="4"/>
    <n v="1600000"/>
    <n v="1440000"/>
    <n v="600000"/>
    <n v="440000"/>
    <s v="SW001"/>
    <s v="Sepatu Wanita"/>
    <s v="Flat Shoes"/>
    <n v="2"/>
    <n v="3"/>
    <n v="500000"/>
    <n v="450000"/>
    <n v="200000"/>
    <n v="150000"/>
    <m/>
    <s v="-"/>
    <s v="-"/>
    <m/>
    <m/>
    <n v="0"/>
    <n v="0"/>
    <n v="0"/>
    <n v="0"/>
    <n v="6"/>
    <n v="2100000"/>
    <n v="1890000"/>
    <n v="800000"/>
    <n v="590000"/>
    <s v="DISC10"/>
    <n v="0.1"/>
    <x v="0"/>
    <x v="2"/>
    <x v="2"/>
    <d v="2023-04-01T00:00:00"/>
    <x v="0"/>
    <s v="Saturday"/>
    <x v="0"/>
    <n v="3.5"/>
  </r>
  <r>
    <n v="683"/>
    <s v="ORD-SP0683-16/04/23"/>
    <s v="PP001"/>
    <s v="Pakaian Pria"/>
    <s v="Kaos Polo"/>
    <n v="5"/>
    <n v="4"/>
    <n v="1000000"/>
    <n v="800000"/>
    <n v="400000"/>
    <n v="200000"/>
    <s v="SP002"/>
    <s v="Sepatu Pria"/>
    <s v="Sandal Slip On"/>
    <n v="1"/>
    <n v="4"/>
    <n v="150000"/>
    <n v="120000"/>
    <n v="60000"/>
    <n v="30000"/>
    <m/>
    <s v="-"/>
    <s v="-"/>
    <m/>
    <m/>
    <n v="0"/>
    <n v="0"/>
    <n v="0"/>
    <n v="0"/>
    <n v="6"/>
    <n v="1150000"/>
    <n v="920000"/>
    <n v="460000"/>
    <n v="230000"/>
    <s v="DISC20"/>
    <n v="0.2"/>
    <x v="1"/>
    <x v="2"/>
    <x v="3"/>
    <d v="2023-04-16T00:00:00"/>
    <x v="17"/>
    <s v="Sunday"/>
    <x v="1"/>
    <n v="4"/>
  </r>
  <r>
    <n v="684"/>
    <s v="ORD-SP0684-29/04/23"/>
    <s v="PU001"/>
    <s v="Pakaian Unisex"/>
    <s v="Jaket Hoodie"/>
    <n v="2"/>
    <n v="4"/>
    <n v="700000"/>
    <n v="560000"/>
    <n v="260000"/>
    <n v="120000"/>
    <s v="SP001"/>
    <s v="Sepatu Pria"/>
    <s v="Sneakers"/>
    <n v="1"/>
    <n v="2"/>
    <n v="500000"/>
    <n v="400000"/>
    <n v="200000"/>
    <n v="100000"/>
    <m/>
    <s v="-"/>
    <s v="-"/>
    <m/>
    <m/>
    <n v="0"/>
    <n v="0"/>
    <n v="0"/>
    <n v="0"/>
    <n v="3"/>
    <n v="1200000"/>
    <n v="960000"/>
    <n v="460000"/>
    <n v="220000"/>
    <s v="DISC20"/>
    <n v="0.2"/>
    <x v="1"/>
    <x v="2"/>
    <x v="4"/>
    <d v="2023-04-29T00:00:00"/>
    <x v="13"/>
    <s v="Saturday"/>
    <x v="2"/>
    <n v="3"/>
  </r>
  <r>
    <n v="685"/>
    <s v="ORD-BL0685-30/04/23"/>
    <s v="SP002"/>
    <s v="Sepatu Pria"/>
    <s v="Sandal Slip On"/>
    <n v="3"/>
    <n v="1"/>
    <n v="450000"/>
    <n v="382500"/>
    <n v="180000"/>
    <n v="112500"/>
    <m/>
    <s v="-"/>
    <s v="-"/>
    <m/>
    <m/>
    <n v="0"/>
    <n v="0"/>
    <n v="0"/>
    <n v="0"/>
    <m/>
    <s v="-"/>
    <s v="-"/>
    <m/>
    <m/>
    <n v="0"/>
    <n v="0"/>
    <n v="0"/>
    <n v="0"/>
    <n v="3"/>
    <n v="450000"/>
    <n v="382500"/>
    <n v="180000"/>
    <n v="112500"/>
    <s v="BUKALEBAR"/>
    <n v="0.15"/>
    <x v="1"/>
    <x v="3"/>
    <x v="4"/>
    <d v="2023-04-30T00:00:00"/>
    <x v="12"/>
    <s v="Sunday"/>
    <x v="2"/>
    <n v="1"/>
  </r>
  <r>
    <n v="686"/>
    <s v="ORD-SP0686-09/04/23"/>
    <s v="PW001"/>
    <s v="Pakaian Wanita"/>
    <s v="Dress"/>
    <n v="2"/>
    <n v="5"/>
    <n v="600000"/>
    <n v="600000"/>
    <n v="200000"/>
    <n v="200000"/>
    <s v="PU001"/>
    <s v="Pakaian Unisex"/>
    <s v="Jaket Hoodie"/>
    <n v="5"/>
    <n v="5"/>
    <n v="1750000"/>
    <n v="1750000"/>
    <n v="650000"/>
    <n v="650000"/>
    <m/>
    <s v="-"/>
    <s v="-"/>
    <m/>
    <m/>
    <n v="0"/>
    <n v="0"/>
    <n v="0"/>
    <n v="0"/>
    <n v="7"/>
    <n v="2350000"/>
    <n v="2350000"/>
    <n v="850000"/>
    <n v="850000"/>
    <s v="Tidak Ada"/>
    <s v="-"/>
    <x v="2"/>
    <x v="2"/>
    <x v="0"/>
    <d v="2023-04-09T00:00:00"/>
    <x v="10"/>
    <s v="Sunday"/>
    <x v="3"/>
    <n v="5"/>
  </r>
  <r>
    <n v="687"/>
    <s v="ORD-SP0687-23/04/23"/>
    <s v="PW003"/>
    <s v="Pakaian Wanita"/>
    <s v="Kaftan"/>
    <n v="3"/>
    <n v="3"/>
    <n v="750000"/>
    <n v="600000"/>
    <n v="300000"/>
    <n v="150000"/>
    <m/>
    <s v="-"/>
    <s v="-"/>
    <m/>
    <m/>
    <n v="0"/>
    <n v="0"/>
    <n v="0"/>
    <n v="0"/>
    <m/>
    <s v="-"/>
    <s v="-"/>
    <m/>
    <m/>
    <n v="0"/>
    <n v="0"/>
    <n v="0"/>
    <n v="0"/>
    <n v="3"/>
    <n v="750000"/>
    <n v="600000"/>
    <n v="300000"/>
    <n v="150000"/>
    <s v="DISC20"/>
    <n v="0.2"/>
    <x v="1"/>
    <x v="2"/>
    <x v="4"/>
    <d v="2023-04-23T00:00:00"/>
    <x v="25"/>
    <s v="Sunday"/>
    <x v="2"/>
    <n v="3"/>
  </r>
  <r>
    <n v="688"/>
    <s v="ORD-SP0688-26/04/23"/>
    <s v="PU001"/>
    <s v="Pakaian Unisex"/>
    <s v="Jaket Hoodie"/>
    <n v="4"/>
    <n v="2"/>
    <n v="1400000"/>
    <n v="1120000"/>
    <n v="520000"/>
    <n v="240000"/>
    <s v="PP002"/>
    <s v="Pakaian Pria"/>
    <s v="Celana Pendek"/>
    <n v="1"/>
    <n v="2"/>
    <n v="180000"/>
    <n v="144000"/>
    <n v="70000"/>
    <n v="34000"/>
    <m/>
    <s v="-"/>
    <s v="-"/>
    <m/>
    <m/>
    <n v="0"/>
    <n v="0"/>
    <n v="0"/>
    <n v="0"/>
    <n v="5"/>
    <n v="1580000"/>
    <n v="1264000"/>
    <n v="590000"/>
    <n v="274000"/>
    <s v="DISC20"/>
    <n v="0.2"/>
    <x v="1"/>
    <x v="2"/>
    <x v="5"/>
    <d v="2023-04-26T00:00:00"/>
    <x v="15"/>
    <s v="Wednesday"/>
    <x v="2"/>
    <n v="2"/>
  </r>
  <r>
    <n v="689"/>
    <s v="ORD-BB0689-09/04/23"/>
    <s v="PU001"/>
    <s v="Pakaian Unisex"/>
    <s v="Jaket Hoodie"/>
    <n v="1"/>
    <n v="4"/>
    <n v="350000"/>
    <n v="350000"/>
    <n v="130000"/>
    <n v="130000"/>
    <m/>
    <s v="-"/>
    <s v="-"/>
    <m/>
    <m/>
    <n v="0"/>
    <n v="0"/>
    <n v="0"/>
    <n v="0"/>
    <m/>
    <s v="-"/>
    <s v="-"/>
    <m/>
    <m/>
    <n v="0"/>
    <n v="0"/>
    <n v="0"/>
    <n v="0"/>
    <n v="1"/>
    <n v="350000"/>
    <n v="350000"/>
    <n v="130000"/>
    <n v="130000"/>
    <s v="Tidak Ada"/>
    <s v="-"/>
    <x v="2"/>
    <x v="0"/>
    <x v="5"/>
    <d v="2023-04-09T00:00:00"/>
    <x v="10"/>
    <s v="Sunday"/>
    <x v="3"/>
    <n v="4"/>
  </r>
  <r>
    <n v="690"/>
    <s v="ORD-SP0690-26/04/23"/>
    <s v="PP003"/>
    <s v="Pakaian Pria"/>
    <s v="Jaket Jeans"/>
    <n v="3"/>
    <n v="4"/>
    <n v="1200000"/>
    <n v="960000"/>
    <n v="450000"/>
    <n v="210000"/>
    <s v="PP001"/>
    <s v="Pakaian Pria"/>
    <s v="Kaos Polo"/>
    <n v="2"/>
    <n v="5"/>
    <n v="400000"/>
    <n v="320000"/>
    <n v="160000"/>
    <n v="80000"/>
    <m/>
    <s v="-"/>
    <s v="-"/>
    <m/>
    <m/>
    <n v="0"/>
    <n v="0"/>
    <n v="0"/>
    <n v="0"/>
    <n v="5"/>
    <n v="1600000"/>
    <n v="1280000"/>
    <n v="610000"/>
    <n v="290000"/>
    <s v="DISC20"/>
    <n v="0.2"/>
    <x v="1"/>
    <x v="2"/>
    <x v="4"/>
    <d v="2023-04-26T00:00:00"/>
    <x v="15"/>
    <s v="Wednesday"/>
    <x v="2"/>
    <n v="4.5"/>
  </r>
  <r>
    <n v="691"/>
    <s v="ORD-SP0691-04/04/23"/>
    <s v="PW003"/>
    <s v="Pakaian Wanita"/>
    <s v="Kaftan"/>
    <n v="3"/>
    <n v="4"/>
    <n v="750000"/>
    <n v="637500"/>
    <n v="300000"/>
    <n v="187500"/>
    <s v="SP001"/>
    <s v="Sepatu Pria"/>
    <s v="Sneakers"/>
    <n v="3"/>
    <n v="3"/>
    <n v="1500000"/>
    <n v="1275000"/>
    <n v="600000"/>
    <n v="375000"/>
    <s v="PW001"/>
    <s v="Pakaian Wanita"/>
    <s v="Dress"/>
    <n v="1"/>
    <n v="2"/>
    <n v="300000"/>
    <n v="255000"/>
    <n v="100000"/>
    <n v="55000"/>
    <n v="7"/>
    <n v="2550000"/>
    <n v="2167500"/>
    <n v="1000000"/>
    <n v="617500"/>
    <s v="DISC15"/>
    <n v="0.15"/>
    <x v="0"/>
    <x v="2"/>
    <x v="1"/>
    <d v="2023-04-04T00:00:00"/>
    <x v="7"/>
    <s v="Tuesday"/>
    <x v="0"/>
    <n v="3"/>
  </r>
  <r>
    <n v="692"/>
    <s v="ORD-SP0692-04/04/23"/>
    <s v="SP002"/>
    <s v="Sepatu Pria"/>
    <s v="Sandal Slip On"/>
    <n v="1"/>
    <n v="3"/>
    <n v="150000"/>
    <n v="127500"/>
    <n v="60000"/>
    <n v="37500"/>
    <s v="SP001"/>
    <s v="Sepatu Pria"/>
    <s v="Sneakers"/>
    <n v="2"/>
    <n v="2"/>
    <n v="1000000"/>
    <n v="850000"/>
    <n v="400000"/>
    <n v="250000"/>
    <s v="PW001"/>
    <s v="Pakaian Wanita"/>
    <s v="Dress"/>
    <n v="3"/>
    <n v="4"/>
    <n v="900000"/>
    <n v="765000"/>
    <n v="300000"/>
    <n v="165000"/>
    <n v="6"/>
    <n v="2050000"/>
    <n v="1742500"/>
    <n v="760000"/>
    <n v="452500"/>
    <s v="DISC15"/>
    <n v="0.15"/>
    <x v="0"/>
    <x v="2"/>
    <x v="3"/>
    <d v="2023-04-04T00:00:00"/>
    <x v="7"/>
    <s v="Tuesday"/>
    <x v="0"/>
    <n v="3"/>
  </r>
  <r>
    <n v="693"/>
    <s v="ORD-SP0693-04/04/23"/>
    <s v="PW003"/>
    <s v="Pakaian Wanita"/>
    <s v="Kaftan"/>
    <n v="4"/>
    <n v="2"/>
    <n v="1000000"/>
    <n v="850000"/>
    <n v="400000"/>
    <n v="250000"/>
    <s v="PW002"/>
    <s v="Pakaian Wanita"/>
    <s v="Blouse"/>
    <n v="1"/>
    <n v="5"/>
    <n v="150000"/>
    <n v="127500"/>
    <n v="50000"/>
    <n v="27500"/>
    <m/>
    <s v="-"/>
    <s v="-"/>
    <m/>
    <m/>
    <n v="0"/>
    <n v="0"/>
    <n v="0"/>
    <n v="0"/>
    <n v="5"/>
    <n v="1150000"/>
    <n v="977500"/>
    <n v="450000"/>
    <n v="277500"/>
    <s v="DISC15"/>
    <n v="0.15"/>
    <x v="0"/>
    <x v="2"/>
    <x v="3"/>
    <d v="2023-04-04T00:00:00"/>
    <x v="7"/>
    <s v="Tuesday"/>
    <x v="0"/>
    <n v="3.5"/>
  </r>
  <r>
    <n v="694"/>
    <s v="ORD-SP0694-01/04/23"/>
    <s v="PW001"/>
    <s v="Pakaian Wanita"/>
    <s v="Dress"/>
    <n v="3"/>
    <n v="4"/>
    <n v="900000"/>
    <n v="765000"/>
    <n v="300000"/>
    <n v="165000"/>
    <m/>
    <s v="-"/>
    <s v="-"/>
    <m/>
    <m/>
    <n v="0"/>
    <n v="0"/>
    <n v="0"/>
    <n v="0"/>
    <m/>
    <s v="-"/>
    <s v="-"/>
    <m/>
    <m/>
    <n v="0"/>
    <n v="0"/>
    <n v="0"/>
    <n v="0"/>
    <n v="3"/>
    <n v="900000"/>
    <n v="765000"/>
    <n v="300000"/>
    <n v="165000"/>
    <s v="DISC15"/>
    <n v="0.15"/>
    <x v="0"/>
    <x v="2"/>
    <x v="0"/>
    <d v="2023-04-01T00:00:00"/>
    <x v="0"/>
    <s v="Saturday"/>
    <x v="0"/>
    <n v="4"/>
  </r>
  <r>
    <n v="695"/>
    <s v="ORD-BB0695-15/04/23"/>
    <s v="PP003"/>
    <s v="Pakaian Pria"/>
    <s v="Jaket Jeans"/>
    <n v="1"/>
    <n v="5"/>
    <n v="400000"/>
    <n v="400000"/>
    <n v="150000"/>
    <n v="150000"/>
    <s v="SP002"/>
    <s v="Sepatu Pria"/>
    <s v="Sandal Slip On"/>
    <n v="1"/>
    <n v="4"/>
    <n v="150000"/>
    <n v="150000"/>
    <n v="60000"/>
    <n v="60000"/>
    <m/>
    <s v="-"/>
    <s v="-"/>
    <m/>
    <m/>
    <n v="0"/>
    <n v="0"/>
    <n v="0"/>
    <n v="0"/>
    <n v="2"/>
    <n v="550000"/>
    <n v="550000"/>
    <n v="210000"/>
    <n v="210000"/>
    <s v="Tidak Ada"/>
    <s v="-"/>
    <x v="2"/>
    <x v="0"/>
    <x v="0"/>
    <d v="2023-04-15T00:00:00"/>
    <x v="16"/>
    <s v="Saturday"/>
    <x v="1"/>
    <n v="4.5"/>
  </r>
  <r>
    <n v="696"/>
    <s v="ORD-SP0696-06/04/23"/>
    <s v="PW001"/>
    <s v="Pakaian Wanita"/>
    <s v="Dress"/>
    <n v="1"/>
    <n v="4"/>
    <n v="300000"/>
    <n v="255000"/>
    <n v="100000"/>
    <n v="55000"/>
    <m/>
    <s v="-"/>
    <s v="-"/>
    <m/>
    <m/>
    <n v="0"/>
    <n v="0"/>
    <n v="0"/>
    <n v="0"/>
    <m/>
    <s v="-"/>
    <s v="-"/>
    <m/>
    <m/>
    <n v="0"/>
    <n v="0"/>
    <n v="0"/>
    <n v="0"/>
    <n v="1"/>
    <n v="300000"/>
    <n v="255000"/>
    <n v="100000"/>
    <n v="55000"/>
    <s v="DISC15"/>
    <n v="0.15"/>
    <x v="0"/>
    <x v="2"/>
    <x v="2"/>
    <d v="2023-04-06T00:00:00"/>
    <x v="8"/>
    <s v="Thursday"/>
    <x v="0"/>
    <n v="4"/>
  </r>
  <r>
    <n v="697"/>
    <s v="ORD-TK0697-03/04/23"/>
    <s v="SP001"/>
    <s v="Sepatu Pria"/>
    <s v="Sneakers"/>
    <n v="2"/>
    <n v="3"/>
    <n v="1000000"/>
    <n v="900000"/>
    <n v="400000"/>
    <n v="300000"/>
    <m/>
    <s v="-"/>
    <s v="-"/>
    <m/>
    <m/>
    <n v="0"/>
    <n v="0"/>
    <n v="0"/>
    <n v="0"/>
    <m/>
    <s v="-"/>
    <s v="-"/>
    <m/>
    <m/>
    <n v="0"/>
    <n v="0"/>
    <n v="0"/>
    <n v="0"/>
    <n v="2"/>
    <n v="1000000"/>
    <n v="900000"/>
    <n v="400000"/>
    <n v="300000"/>
    <s v="DISCAPRIL"/>
    <n v="0.1"/>
    <x v="0"/>
    <x v="1"/>
    <x v="1"/>
    <d v="2023-04-03T00:00:00"/>
    <x v="2"/>
    <s v="Monday"/>
    <x v="0"/>
    <n v="3"/>
  </r>
  <r>
    <n v="698"/>
    <s v="ORD-BL0698-30/04/23"/>
    <s v="PP002"/>
    <s v="Pakaian Pria"/>
    <s v="Celana Pendek"/>
    <n v="2"/>
    <n v="5"/>
    <n v="360000"/>
    <n v="306000"/>
    <n v="140000"/>
    <n v="86000"/>
    <m/>
    <s v="-"/>
    <s v="-"/>
    <m/>
    <m/>
    <n v="0"/>
    <n v="0"/>
    <n v="0"/>
    <n v="0"/>
    <m/>
    <s v="-"/>
    <s v="-"/>
    <m/>
    <m/>
    <n v="0"/>
    <n v="0"/>
    <n v="0"/>
    <n v="0"/>
    <n v="2"/>
    <n v="360000"/>
    <n v="306000"/>
    <n v="140000"/>
    <n v="86000"/>
    <s v="BUKALEBAR"/>
    <n v="0.15"/>
    <x v="1"/>
    <x v="3"/>
    <x v="5"/>
    <d v="2023-04-30T00:00:00"/>
    <x v="12"/>
    <s v="Sunday"/>
    <x v="2"/>
    <n v="5"/>
  </r>
  <r>
    <n v="699"/>
    <s v="ORD-TK0699-25/04/23"/>
    <s v="PP001"/>
    <s v="Pakaian Pria"/>
    <s v="Kaos Polo"/>
    <n v="4"/>
    <n v="2"/>
    <n v="800000"/>
    <n v="720000"/>
    <n v="320000"/>
    <n v="240000"/>
    <s v="SP002"/>
    <s v="Sepatu Pria"/>
    <s v="Sandal Slip On"/>
    <n v="1"/>
    <n v="1"/>
    <n v="150000"/>
    <n v="135000"/>
    <n v="60000"/>
    <n v="45000"/>
    <s v="PW001"/>
    <s v="Pakaian Wanita"/>
    <s v="Dress"/>
    <n v="2"/>
    <n v="1"/>
    <n v="600000"/>
    <n v="540000"/>
    <n v="200000"/>
    <n v="140000"/>
    <n v="7"/>
    <n v="1550000"/>
    <n v="1395000"/>
    <n v="580000"/>
    <n v="425000"/>
    <s v="LEBAR10"/>
    <n v="0.1"/>
    <x v="1"/>
    <x v="1"/>
    <x v="5"/>
    <d v="2023-04-25T00:00:00"/>
    <x v="6"/>
    <s v="Tuesday"/>
    <x v="2"/>
    <n v="1.3333333333333333"/>
  </r>
  <r>
    <n v="700"/>
    <s v="ORD-SP0700-04/04/23"/>
    <s v="SW001"/>
    <s v="Sepatu Wanita"/>
    <s v="Flat Shoes"/>
    <n v="6"/>
    <n v="4"/>
    <n v="1500000"/>
    <n v="1350000"/>
    <n v="600000"/>
    <n v="450000"/>
    <s v="SP002"/>
    <s v="Sepatu Pria"/>
    <s v="Sandal Slip On"/>
    <n v="1"/>
    <n v="3"/>
    <n v="150000"/>
    <n v="135000"/>
    <n v="60000"/>
    <n v="45000"/>
    <m/>
    <s v="-"/>
    <s v="-"/>
    <m/>
    <m/>
    <n v="0"/>
    <n v="0"/>
    <n v="0"/>
    <n v="0"/>
    <n v="7"/>
    <n v="1650000"/>
    <n v="1485000"/>
    <n v="660000"/>
    <n v="495000"/>
    <s v="DISC10"/>
    <n v="0.1"/>
    <x v="0"/>
    <x v="2"/>
    <x v="0"/>
    <d v="2023-04-04T00:00:00"/>
    <x v="7"/>
    <s v="Tuesday"/>
    <x v="0"/>
    <n v="3.5"/>
  </r>
  <r>
    <n v="701"/>
    <s v="ORD-TK0701-19/04/23"/>
    <s v="PP003"/>
    <s v="Pakaian Pria"/>
    <s v="Jaket Jeans"/>
    <n v="1"/>
    <n v="5"/>
    <n v="400000"/>
    <n v="360000"/>
    <n v="150000"/>
    <n v="110000"/>
    <m/>
    <s v="-"/>
    <s v="-"/>
    <m/>
    <m/>
    <n v="0"/>
    <n v="0"/>
    <n v="0"/>
    <n v="0"/>
    <m/>
    <s v="-"/>
    <s v="-"/>
    <m/>
    <m/>
    <n v="0"/>
    <n v="0"/>
    <n v="0"/>
    <n v="0"/>
    <n v="1"/>
    <n v="400000"/>
    <n v="360000"/>
    <n v="150000"/>
    <n v="110000"/>
    <s v="LEBAR10"/>
    <n v="0.1"/>
    <x v="1"/>
    <x v="1"/>
    <x v="4"/>
    <d v="2023-04-19T00:00:00"/>
    <x v="19"/>
    <s v="Wednesday"/>
    <x v="1"/>
    <n v="5"/>
  </r>
  <r>
    <n v="702"/>
    <s v="ORD-SP0702-28/04/23"/>
    <s v="SW001"/>
    <s v="Sepatu Wanita"/>
    <s v="Flat Shoes"/>
    <n v="1"/>
    <n v="1"/>
    <n v="250000"/>
    <n v="200000"/>
    <n v="100000"/>
    <n v="50000"/>
    <s v="PW001"/>
    <s v="Pakaian Wanita"/>
    <s v="Dress"/>
    <n v="2"/>
    <n v="3"/>
    <n v="600000"/>
    <n v="480000"/>
    <n v="200000"/>
    <n v="80000"/>
    <s v="PP002"/>
    <s v="Pakaian Pria"/>
    <s v="Celana Pendek"/>
    <n v="1"/>
    <n v="4"/>
    <n v="180000"/>
    <n v="144000"/>
    <n v="70000"/>
    <n v="34000"/>
    <n v="4"/>
    <n v="1030000"/>
    <n v="824000"/>
    <n v="370000"/>
    <n v="164000"/>
    <s v="DISC20"/>
    <n v="0.2"/>
    <x v="1"/>
    <x v="2"/>
    <x v="0"/>
    <d v="2023-04-28T00:00:00"/>
    <x v="11"/>
    <s v="Friday"/>
    <x v="2"/>
    <n v="2.6666666666666665"/>
  </r>
  <r>
    <n v="703"/>
    <s v="ORD-TK0703-06/04/23"/>
    <s v="PP001"/>
    <s v="Pakaian Pria"/>
    <s v="Kaos Polo"/>
    <n v="1"/>
    <n v="2"/>
    <n v="200000"/>
    <n v="180000"/>
    <n v="80000"/>
    <n v="60000"/>
    <m/>
    <s v="-"/>
    <s v="-"/>
    <m/>
    <m/>
    <n v="0"/>
    <n v="0"/>
    <n v="0"/>
    <n v="0"/>
    <m/>
    <s v="-"/>
    <s v="-"/>
    <m/>
    <m/>
    <n v="0"/>
    <n v="0"/>
    <n v="0"/>
    <n v="0"/>
    <n v="1"/>
    <n v="200000"/>
    <n v="180000"/>
    <n v="80000"/>
    <n v="60000"/>
    <s v="DISCAPRIL"/>
    <n v="0.1"/>
    <x v="0"/>
    <x v="1"/>
    <x v="1"/>
    <d v="2023-04-06T00:00:00"/>
    <x v="8"/>
    <s v="Thursday"/>
    <x v="0"/>
    <n v="2"/>
  </r>
  <r>
    <n v="704"/>
    <s v="ORD-TK0704-01/04/23"/>
    <s v="PW001"/>
    <s v="Pakaian Wanita"/>
    <s v="Dress"/>
    <n v="4"/>
    <n v="2"/>
    <n v="1200000"/>
    <n v="1080000"/>
    <n v="400000"/>
    <n v="280000"/>
    <s v="SP001"/>
    <s v="Sepatu Pria"/>
    <s v="Sneakers"/>
    <n v="3"/>
    <n v="2"/>
    <n v="1500000"/>
    <n v="1350000"/>
    <n v="600000"/>
    <n v="450000"/>
    <m/>
    <s v="-"/>
    <s v="-"/>
    <m/>
    <m/>
    <n v="0"/>
    <n v="0"/>
    <n v="0"/>
    <n v="0"/>
    <n v="7"/>
    <n v="2700000"/>
    <n v="2430000"/>
    <n v="1000000"/>
    <n v="730000"/>
    <s v="DISCAPRIL"/>
    <n v="0.1"/>
    <x v="0"/>
    <x v="1"/>
    <x v="1"/>
    <d v="2023-04-01T00:00:00"/>
    <x v="0"/>
    <s v="Saturday"/>
    <x v="0"/>
    <n v="2"/>
  </r>
  <r>
    <n v="705"/>
    <s v="ORD-TK0705-30/04/23"/>
    <s v="PP001"/>
    <s v="Pakaian Pria"/>
    <s v="Kaos Polo"/>
    <n v="2"/>
    <n v="3"/>
    <n v="400000"/>
    <n v="360000"/>
    <n v="160000"/>
    <n v="120000"/>
    <m/>
    <s v="-"/>
    <s v="-"/>
    <m/>
    <m/>
    <n v="0"/>
    <n v="0"/>
    <n v="0"/>
    <n v="0"/>
    <m/>
    <s v="-"/>
    <s v="-"/>
    <m/>
    <m/>
    <n v="0"/>
    <n v="0"/>
    <n v="0"/>
    <n v="0"/>
    <n v="2"/>
    <n v="400000"/>
    <n v="360000"/>
    <n v="160000"/>
    <n v="120000"/>
    <s v="LEBAR10"/>
    <n v="0.1"/>
    <x v="1"/>
    <x v="1"/>
    <x v="2"/>
    <d v="2023-04-30T00:00:00"/>
    <x v="12"/>
    <s v="Sunday"/>
    <x v="2"/>
    <n v="3"/>
  </r>
  <r>
    <n v="706"/>
    <s v="ORD-TK0706-02/04/23"/>
    <s v="PP003"/>
    <s v="Pakaian Pria"/>
    <s v="Jaket Jeans"/>
    <n v="2"/>
    <n v="2"/>
    <n v="800000"/>
    <n v="720000"/>
    <n v="300000"/>
    <n v="220000"/>
    <s v="PW001"/>
    <s v="Pakaian Wanita"/>
    <s v="Dress"/>
    <n v="4"/>
    <n v="5"/>
    <n v="1200000"/>
    <n v="1080000"/>
    <n v="400000"/>
    <n v="280000"/>
    <m/>
    <s v="-"/>
    <s v="-"/>
    <m/>
    <m/>
    <n v="0"/>
    <n v="0"/>
    <n v="0"/>
    <n v="0"/>
    <n v="6"/>
    <n v="2000000"/>
    <n v="1800000"/>
    <n v="700000"/>
    <n v="500000"/>
    <s v="DISCAPRIL"/>
    <n v="0.1"/>
    <x v="0"/>
    <x v="1"/>
    <x v="5"/>
    <d v="2023-04-02T00:00:00"/>
    <x v="1"/>
    <s v="Sunday"/>
    <x v="0"/>
    <n v="3.5"/>
  </r>
  <r>
    <n v="707"/>
    <s v="ORD-SP0707-06/04/23"/>
    <s v="PW002"/>
    <s v="Pakaian Wanita"/>
    <s v="Blouse"/>
    <n v="4"/>
    <n v="3"/>
    <n v="600000"/>
    <n v="540000"/>
    <n v="200000"/>
    <n v="140000"/>
    <m/>
    <s v="-"/>
    <s v="-"/>
    <m/>
    <m/>
    <n v="0"/>
    <n v="0"/>
    <n v="0"/>
    <n v="0"/>
    <m/>
    <s v="-"/>
    <s v="-"/>
    <m/>
    <m/>
    <n v="0"/>
    <n v="0"/>
    <n v="0"/>
    <n v="0"/>
    <n v="4"/>
    <n v="600000"/>
    <n v="540000"/>
    <n v="200000"/>
    <n v="140000"/>
    <s v="DISC10"/>
    <n v="0.1"/>
    <x v="0"/>
    <x v="2"/>
    <x v="5"/>
    <d v="2023-04-06T00:00:00"/>
    <x v="8"/>
    <s v="Thursday"/>
    <x v="0"/>
    <n v="3"/>
  </r>
  <r>
    <n v="708"/>
    <s v="ORD-SP0708-05/04/23"/>
    <s v="SW001"/>
    <s v="Sepatu Wanita"/>
    <s v="Flat Shoes"/>
    <n v="2"/>
    <n v="4"/>
    <n v="500000"/>
    <n v="450000"/>
    <n v="200000"/>
    <n v="150000"/>
    <s v="PP003"/>
    <s v="Pakaian Pria"/>
    <s v="Jaket Jeans"/>
    <n v="3"/>
    <n v="4"/>
    <n v="1200000"/>
    <n v="1080000"/>
    <n v="450000"/>
    <n v="330000"/>
    <s v="SW001"/>
    <s v="Sepatu Wanita"/>
    <s v="Flat Shoes"/>
    <n v="2"/>
    <n v="3"/>
    <n v="500000"/>
    <n v="450000"/>
    <n v="200000"/>
    <n v="150000"/>
    <n v="7"/>
    <n v="2200000"/>
    <n v="1980000"/>
    <n v="850000"/>
    <n v="630000"/>
    <s v="DISC10"/>
    <n v="0.1"/>
    <x v="0"/>
    <x v="2"/>
    <x v="5"/>
    <d v="2023-04-05T00:00:00"/>
    <x v="9"/>
    <s v="Wednesday"/>
    <x v="0"/>
    <n v="3.6666666666666665"/>
  </r>
  <r>
    <n v="709"/>
    <s v="ORD-BB0709-06/04/23"/>
    <s v="SP002"/>
    <s v="Sepatu Pria"/>
    <s v="Sandal Slip On"/>
    <n v="1"/>
    <n v="2"/>
    <n v="150000"/>
    <n v="127500"/>
    <n v="60000"/>
    <n v="37500"/>
    <s v="PW003"/>
    <s v="Pakaian Wanita"/>
    <s v="Kaftan"/>
    <n v="1"/>
    <n v="5"/>
    <n v="250000"/>
    <n v="212500"/>
    <n v="100000"/>
    <n v="62500"/>
    <m/>
    <s v="-"/>
    <s v="-"/>
    <m/>
    <m/>
    <n v="0"/>
    <n v="0"/>
    <n v="0"/>
    <n v="0"/>
    <n v="2"/>
    <n v="400000"/>
    <n v="340000"/>
    <n v="160000"/>
    <n v="100000"/>
    <s v="BELI44"/>
    <n v="0.15"/>
    <x v="0"/>
    <x v="0"/>
    <x v="4"/>
    <d v="2023-04-06T00:00:00"/>
    <x v="8"/>
    <s v="Thursday"/>
    <x v="0"/>
    <n v="3.5"/>
  </r>
  <r>
    <n v="710"/>
    <s v="ORD-SP0710-19/04/23"/>
    <s v="PP003"/>
    <s v="Pakaian Pria"/>
    <s v="Jaket Jeans"/>
    <n v="2"/>
    <n v="4"/>
    <n v="800000"/>
    <n v="640000"/>
    <n v="300000"/>
    <n v="140000"/>
    <m/>
    <s v="-"/>
    <s v="-"/>
    <m/>
    <m/>
    <n v="0"/>
    <n v="0"/>
    <n v="0"/>
    <n v="0"/>
    <m/>
    <s v="-"/>
    <s v="-"/>
    <m/>
    <m/>
    <n v="0"/>
    <n v="0"/>
    <n v="0"/>
    <n v="0"/>
    <n v="2"/>
    <n v="800000"/>
    <n v="640000"/>
    <n v="300000"/>
    <n v="140000"/>
    <s v="DISC20"/>
    <n v="0.2"/>
    <x v="1"/>
    <x v="2"/>
    <x v="4"/>
    <d v="2023-04-19T00:00:00"/>
    <x v="19"/>
    <s v="Wednesday"/>
    <x v="1"/>
    <n v="4"/>
  </r>
  <r>
    <n v="711"/>
    <s v="ORD-TK0711-23/04/23"/>
    <s v="PW001"/>
    <s v="Pakaian Wanita"/>
    <s v="Dress"/>
    <n v="2"/>
    <n v="5"/>
    <n v="600000"/>
    <n v="540000"/>
    <n v="200000"/>
    <n v="140000"/>
    <s v="SP002"/>
    <s v="Sepatu Pria"/>
    <s v="Sandal Slip On"/>
    <n v="3"/>
    <n v="2"/>
    <n v="450000"/>
    <n v="405000"/>
    <n v="180000"/>
    <n v="135000"/>
    <s v="PW003"/>
    <s v="Pakaian Wanita"/>
    <s v="Kaftan"/>
    <n v="2"/>
    <n v="4"/>
    <n v="500000"/>
    <n v="450000"/>
    <n v="200000"/>
    <n v="150000"/>
    <n v="7"/>
    <n v="1550000"/>
    <n v="1395000"/>
    <n v="580000"/>
    <n v="425000"/>
    <s v="LEBAR10"/>
    <n v="0.1"/>
    <x v="1"/>
    <x v="1"/>
    <x v="1"/>
    <d v="2023-04-23T00:00:00"/>
    <x v="25"/>
    <s v="Sunday"/>
    <x v="2"/>
    <n v="3.6666666666666665"/>
  </r>
  <r>
    <n v="712"/>
    <s v="ORD-BB0712-06/04/23"/>
    <s v="SP001"/>
    <s v="Sepatu Pria"/>
    <s v="Sneakers"/>
    <n v="4"/>
    <n v="5"/>
    <n v="2000000"/>
    <n v="1700000"/>
    <n v="800000"/>
    <n v="500000"/>
    <m/>
    <s v="-"/>
    <s v="-"/>
    <m/>
    <m/>
    <n v="0"/>
    <n v="0"/>
    <n v="0"/>
    <n v="0"/>
    <m/>
    <s v="-"/>
    <s v="-"/>
    <m/>
    <m/>
    <n v="0"/>
    <n v="0"/>
    <n v="0"/>
    <n v="0"/>
    <n v="4"/>
    <n v="2000000"/>
    <n v="1700000"/>
    <n v="800000"/>
    <n v="500000"/>
    <s v="BELI44"/>
    <n v="0.15"/>
    <x v="0"/>
    <x v="0"/>
    <x v="4"/>
    <d v="2023-04-06T00:00:00"/>
    <x v="8"/>
    <s v="Thursday"/>
    <x v="0"/>
    <n v="5"/>
  </r>
  <r>
    <n v="713"/>
    <s v="ORD-SP0713-06/04/23"/>
    <s v="PP002"/>
    <s v="Pakaian Pria"/>
    <s v="Celana Pendek"/>
    <n v="4"/>
    <n v="1"/>
    <n v="720000"/>
    <n v="612000"/>
    <n v="280000"/>
    <n v="172000"/>
    <s v="PP001"/>
    <s v="Pakaian Pria"/>
    <s v="Kaos Polo"/>
    <n v="3"/>
    <n v="2"/>
    <n v="600000"/>
    <n v="510000"/>
    <n v="240000"/>
    <n v="150000"/>
    <m/>
    <s v="-"/>
    <s v="-"/>
    <m/>
    <m/>
    <n v="0"/>
    <n v="0"/>
    <n v="0"/>
    <n v="0"/>
    <n v="7"/>
    <n v="1320000"/>
    <n v="1122000"/>
    <n v="520000"/>
    <n v="322000"/>
    <s v="DISC15"/>
    <n v="0.15"/>
    <x v="0"/>
    <x v="2"/>
    <x v="3"/>
    <d v="2023-04-06T00:00:00"/>
    <x v="8"/>
    <s v="Thursday"/>
    <x v="0"/>
    <n v="1.5"/>
  </r>
  <r>
    <n v="714"/>
    <s v="ORD-SP0714-17/04/23"/>
    <s v="PP001"/>
    <s v="Pakaian Pria"/>
    <s v="Kaos Polo"/>
    <n v="2"/>
    <n v="2"/>
    <n v="400000"/>
    <n v="320000"/>
    <n v="160000"/>
    <n v="80000"/>
    <s v="SP002"/>
    <s v="Sepatu Pria"/>
    <s v="Sandal Slip On"/>
    <n v="1"/>
    <n v="3"/>
    <n v="150000"/>
    <n v="120000"/>
    <n v="60000"/>
    <n v="30000"/>
    <m/>
    <s v="-"/>
    <s v="-"/>
    <m/>
    <m/>
    <n v="0"/>
    <n v="0"/>
    <n v="0"/>
    <n v="0"/>
    <n v="3"/>
    <n v="550000"/>
    <n v="440000"/>
    <n v="220000"/>
    <n v="110000"/>
    <s v="DISC20"/>
    <n v="0.2"/>
    <x v="1"/>
    <x v="2"/>
    <x v="3"/>
    <d v="2023-04-17T00:00:00"/>
    <x v="3"/>
    <s v="Monday"/>
    <x v="1"/>
    <n v="2.5"/>
  </r>
  <r>
    <n v="715"/>
    <s v="ORD-SP0715-21/04/23"/>
    <s v="PW001"/>
    <s v="Pakaian Wanita"/>
    <s v="Dress"/>
    <n v="2"/>
    <n v="5"/>
    <n v="600000"/>
    <n v="480000"/>
    <n v="200000"/>
    <n v="80000"/>
    <s v="SW001"/>
    <s v="Sepatu Wanita"/>
    <s v="Flat Shoes"/>
    <n v="2"/>
    <n v="1"/>
    <n v="500000"/>
    <n v="400000"/>
    <n v="200000"/>
    <n v="100000"/>
    <s v="SP002"/>
    <s v="Sepatu Pria"/>
    <s v="Sandal Slip On"/>
    <n v="3"/>
    <n v="5"/>
    <n v="450000"/>
    <n v="360000"/>
    <n v="180000"/>
    <n v="90000"/>
    <n v="7"/>
    <n v="1550000"/>
    <n v="1240000"/>
    <n v="580000"/>
    <n v="270000"/>
    <s v="DISC20"/>
    <n v="0.2"/>
    <x v="1"/>
    <x v="2"/>
    <x v="4"/>
    <d v="2023-04-21T00:00:00"/>
    <x v="20"/>
    <s v="Friday"/>
    <x v="1"/>
    <n v="3.6666666666666665"/>
  </r>
  <r>
    <n v="716"/>
    <s v="ORD-SP0716-06/04/23"/>
    <s v="SP001"/>
    <s v="Sepatu Pria"/>
    <s v="Sneakers"/>
    <n v="7"/>
    <n v="4"/>
    <n v="3500000"/>
    <n v="2975000"/>
    <n v="1400000"/>
    <n v="875000"/>
    <m/>
    <s v="-"/>
    <s v="-"/>
    <m/>
    <m/>
    <n v="0"/>
    <n v="0"/>
    <n v="0"/>
    <n v="0"/>
    <m/>
    <s v="-"/>
    <s v="-"/>
    <m/>
    <m/>
    <n v="0"/>
    <n v="0"/>
    <n v="0"/>
    <n v="0"/>
    <n v="7"/>
    <n v="3500000"/>
    <n v="2975000"/>
    <n v="1400000"/>
    <n v="875000"/>
    <s v="DISC15"/>
    <n v="0.15"/>
    <x v="0"/>
    <x v="2"/>
    <x v="4"/>
    <d v="2023-04-06T00:00:00"/>
    <x v="8"/>
    <s v="Thursday"/>
    <x v="0"/>
    <n v="4"/>
  </r>
  <r>
    <n v="717"/>
    <s v="ORD-TK0717-05/04/23"/>
    <s v="PP002"/>
    <s v="Pakaian Pria"/>
    <s v="Celana Pendek"/>
    <n v="3"/>
    <n v="3"/>
    <n v="540000"/>
    <n v="486000"/>
    <n v="210000"/>
    <n v="156000"/>
    <s v="PP002"/>
    <s v="Pakaian Pria"/>
    <s v="Celana Pendek"/>
    <n v="2"/>
    <n v="5"/>
    <n v="360000"/>
    <n v="324000"/>
    <n v="140000"/>
    <n v="104000"/>
    <s v="PW001"/>
    <s v="Pakaian Wanita"/>
    <s v="Dress"/>
    <n v="2"/>
    <n v="2"/>
    <n v="600000"/>
    <n v="540000"/>
    <n v="200000"/>
    <n v="140000"/>
    <n v="7"/>
    <n v="1500000"/>
    <n v="1350000"/>
    <n v="550000"/>
    <n v="400000"/>
    <s v="DISCAPRIL"/>
    <n v="0.1"/>
    <x v="0"/>
    <x v="1"/>
    <x v="4"/>
    <d v="2023-04-05T00:00:00"/>
    <x v="9"/>
    <s v="Wednesday"/>
    <x v="0"/>
    <n v="3.3333333333333335"/>
  </r>
  <r>
    <n v="718"/>
    <s v="ORD-SP0718-26/04/23"/>
    <s v="PW003"/>
    <s v="Pakaian Wanita"/>
    <s v="Kaftan"/>
    <n v="3"/>
    <n v="2"/>
    <n v="750000"/>
    <n v="600000"/>
    <n v="300000"/>
    <n v="150000"/>
    <s v="PU001"/>
    <s v="Pakaian Unisex"/>
    <s v="Jaket Hoodie"/>
    <n v="3"/>
    <n v="1"/>
    <n v="1050000"/>
    <n v="840000"/>
    <n v="390000"/>
    <n v="180000"/>
    <m/>
    <s v="-"/>
    <s v="-"/>
    <m/>
    <m/>
    <n v="0"/>
    <n v="0"/>
    <n v="0"/>
    <n v="0"/>
    <n v="6"/>
    <n v="1800000"/>
    <n v="1440000"/>
    <n v="690000"/>
    <n v="330000"/>
    <s v="DISC20"/>
    <n v="0.2"/>
    <x v="1"/>
    <x v="2"/>
    <x v="4"/>
    <d v="2023-04-26T00:00:00"/>
    <x v="15"/>
    <s v="Wednesday"/>
    <x v="2"/>
    <n v="1.5"/>
  </r>
  <r>
    <n v="719"/>
    <s v="ORD-TK0719-04/04/23"/>
    <s v="PW003"/>
    <s v="Pakaian Wanita"/>
    <s v="Kaftan"/>
    <n v="1"/>
    <n v="2"/>
    <n v="250000"/>
    <n v="225000"/>
    <n v="100000"/>
    <n v="75000"/>
    <s v="PP003"/>
    <s v="Pakaian Pria"/>
    <s v="Jaket Jeans"/>
    <n v="4"/>
    <n v="1"/>
    <n v="1600000"/>
    <n v="1440000"/>
    <n v="600000"/>
    <n v="440000"/>
    <s v="SP002"/>
    <s v="Sepatu Pria"/>
    <s v="Sandal Slip On"/>
    <n v="1"/>
    <n v="5"/>
    <n v="150000"/>
    <n v="135000"/>
    <n v="60000"/>
    <n v="45000"/>
    <n v="6"/>
    <n v="2000000"/>
    <n v="1800000"/>
    <n v="760000"/>
    <n v="560000"/>
    <s v="DISCAPRIL"/>
    <n v="0.1"/>
    <x v="0"/>
    <x v="1"/>
    <x v="4"/>
    <d v="2023-04-04T00:00:00"/>
    <x v="7"/>
    <s v="Tuesday"/>
    <x v="0"/>
    <n v="2.6666666666666665"/>
  </r>
  <r>
    <n v="720"/>
    <s v="ORD-TK0720-06/04/23"/>
    <s v="PW002"/>
    <s v="Pakaian Wanita"/>
    <s v="Blouse"/>
    <n v="1"/>
    <n v="4"/>
    <n v="150000"/>
    <n v="135000"/>
    <n v="50000"/>
    <n v="35000"/>
    <m/>
    <s v="-"/>
    <s v="-"/>
    <m/>
    <m/>
    <n v="0"/>
    <n v="0"/>
    <n v="0"/>
    <n v="0"/>
    <m/>
    <s v="-"/>
    <s v="-"/>
    <m/>
    <m/>
    <n v="0"/>
    <n v="0"/>
    <n v="0"/>
    <n v="0"/>
    <n v="1"/>
    <n v="150000"/>
    <n v="135000"/>
    <n v="50000"/>
    <n v="35000"/>
    <s v="DISCAPRIL"/>
    <n v="0.1"/>
    <x v="0"/>
    <x v="1"/>
    <x v="2"/>
    <d v="2023-04-06T00:00:00"/>
    <x v="8"/>
    <s v="Thursday"/>
    <x v="0"/>
    <n v="4"/>
  </r>
  <r>
    <n v="721"/>
    <s v="ORD-TK0721-05/04/23"/>
    <s v="SW001"/>
    <s v="Sepatu Wanita"/>
    <s v="Flat Shoes"/>
    <n v="1"/>
    <n v="1"/>
    <n v="250000"/>
    <n v="225000"/>
    <n v="100000"/>
    <n v="75000"/>
    <m/>
    <s v="-"/>
    <s v="-"/>
    <m/>
    <m/>
    <n v="0"/>
    <n v="0"/>
    <n v="0"/>
    <n v="0"/>
    <m/>
    <s v="-"/>
    <s v="-"/>
    <m/>
    <m/>
    <n v="0"/>
    <n v="0"/>
    <n v="0"/>
    <n v="0"/>
    <n v="1"/>
    <n v="250000"/>
    <n v="225000"/>
    <n v="100000"/>
    <n v="75000"/>
    <s v="DISCAPRIL"/>
    <n v="0.1"/>
    <x v="0"/>
    <x v="1"/>
    <x v="4"/>
    <d v="2023-04-05T00:00:00"/>
    <x v="9"/>
    <s v="Wednesday"/>
    <x v="0"/>
    <n v="1"/>
  </r>
  <r>
    <n v="722"/>
    <s v="ORD-TK0722-01/04/23"/>
    <s v="SP002"/>
    <s v="Sepatu Pria"/>
    <s v="Sandal Slip On"/>
    <n v="4"/>
    <n v="2"/>
    <n v="600000"/>
    <n v="540000"/>
    <n v="240000"/>
    <n v="180000"/>
    <m/>
    <s v="-"/>
    <s v="-"/>
    <m/>
    <m/>
    <n v="0"/>
    <n v="0"/>
    <n v="0"/>
    <n v="0"/>
    <m/>
    <s v="-"/>
    <s v="-"/>
    <m/>
    <m/>
    <n v="0"/>
    <n v="0"/>
    <n v="0"/>
    <n v="0"/>
    <n v="4"/>
    <n v="600000"/>
    <n v="540000"/>
    <n v="240000"/>
    <n v="180000"/>
    <s v="DISCAPRIL"/>
    <n v="0.1"/>
    <x v="0"/>
    <x v="1"/>
    <x v="4"/>
    <d v="2023-04-01T00:00:00"/>
    <x v="0"/>
    <s v="Saturday"/>
    <x v="0"/>
    <n v="2"/>
  </r>
  <r>
    <n v="723"/>
    <s v="ORD-TK0723-23/04/23"/>
    <s v="PP003"/>
    <s v="Pakaian Pria"/>
    <s v="Jaket Jeans"/>
    <n v="2"/>
    <n v="4"/>
    <n v="800000"/>
    <n v="720000"/>
    <n v="300000"/>
    <n v="220000"/>
    <s v="PW003"/>
    <s v="Pakaian Wanita"/>
    <s v="Kaftan"/>
    <n v="1"/>
    <n v="2"/>
    <n v="250000"/>
    <n v="225000"/>
    <n v="100000"/>
    <n v="75000"/>
    <s v="PP003"/>
    <s v="Pakaian Pria"/>
    <s v="Jaket Jeans"/>
    <n v="2"/>
    <n v="3"/>
    <n v="800000"/>
    <n v="720000"/>
    <n v="300000"/>
    <n v="220000"/>
    <n v="5"/>
    <n v="1850000"/>
    <n v="1665000"/>
    <n v="700000"/>
    <n v="515000"/>
    <s v="LEBAR10"/>
    <n v="0.1"/>
    <x v="1"/>
    <x v="1"/>
    <x v="5"/>
    <d v="2023-04-23T00:00:00"/>
    <x v="25"/>
    <s v="Sunday"/>
    <x v="2"/>
    <n v="3"/>
  </r>
  <r>
    <n v="724"/>
    <s v="ORD-SP0724-28/04/23"/>
    <s v="PP003"/>
    <s v="Pakaian Pria"/>
    <s v="Jaket Jeans"/>
    <n v="4"/>
    <n v="3"/>
    <n v="1600000"/>
    <n v="1280000"/>
    <n v="600000"/>
    <n v="280000"/>
    <s v="SP002"/>
    <s v="Sepatu Pria"/>
    <s v="Sandal Slip On"/>
    <n v="1"/>
    <n v="4"/>
    <n v="150000"/>
    <n v="120000"/>
    <n v="60000"/>
    <n v="30000"/>
    <m/>
    <s v="-"/>
    <s v="-"/>
    <m/>
    <m/>
    <n v="0"/>
    <n v="0"/>
    <n v="0"/>
    <n v="0"/>
    <n v="5"/>
    <n v="1750000"/>
    <n v="1400000"/>
    <n v="660000"/>
    <n v="310000"/>
    <s v="DISC20"/>
    <n v="0.2"/>
    <x v="1"/>
    <x v="2"/>
    <x v="1"/>
    <d v="2023-04-28T00:00:00"/>
    <x v="11"/>
    <s v="Friday"/>
    <x v="2"/>
    <n v="3.5"/>
  </r>
  <r>
    <n v="725"/>
    <s v="ORD-SP0725-14/04/23"/>
    <s v="PP002"/>
    <s v="Pakaian Pria"/>
    <s v="Celana Pendek"/>
    <n v="1"/>
    <n v="1"/>
    <n v="180000"/>
    <n v="180000"/>
    <n v="70000"/>
    <n v="70000"/>
    <s v="PP001"/>
    <s v="Pakaian Pria"/>
    <s v="Kaos Polo"/>
    <n v="2"/>
    <n v="5"/>
    <n v="400000"/>
    <n v="400000"/>
    <n v="160000"/>
    <n v="160000"/>
    <s v="PW003"/>
    <s v="Pakaian Wanita"/>
    <s v="Kaftan"/>
    <n v="3"/>
    <n v="5"/>
    <n v="750000"/>
    <n v="750000"/>
    <n v="300000"/>
    <n v="300000"/>
    <n v="6"/>
    <n v="1330000"/>
    <n v="1330000"/>
    <n v="530000"/>
    <n v="530000"/>
    <s v="Tidak Ada"/>
    <s v="-"/>
    <x v="2"/>
    <x v="2"/>
    <x v="2"/>
    <d v="2023-04-14T00:00:00"/>
    <x v="22"/>
    <s v="Friday"/>
    <x v="3"/>
    <n v="3.6666666666666665"/>
  </r>
  <r>
    <n v="726"/>
    <s v="ORD-BL0726-17/04/23"/>
    <s v="PU001"/>
    <s v="Pakaian Unisex"/>
    <s v="Jaket Hoodie"/>
    <n v="1"/>
    <n v="1"/>
    <n v="350000"/>
    <n v="297500"/>
    <n v="130000"/>
    <n v="77500"/>
    <m/>
    <s v="-"/>
    <s v="-"/>
    <m/>
    <m/>
    <n v="0"/>
    <n v="0"/>
    <n v="0"/>
    <n v="0"/>
    <m/>
    <s v="-"/>
    <s v="-"/>
    <m/>
    <m/>
    <n v="0"/>
    <n v="0"/>
    <n v="0"/>
    <n v="0"/>
    <n v="1"/>
    <n v="350000"/>
    <n v="297500"/>
    <n v="130000"/>
    <n v="77500"/>
    <s v="BUKALEBAR"/>
    <n v="0.15"/>
    <x v="1"/>
    <x v="3"/>
    <x v="4"/>
    <d v="2023-04-17T00:00:00"/>
    <x v="3"/>
    <s v="Monday"/>
    <x v="1"/>
    <n v="1"/>
  </r>
  <r>
    <n v="727"/>
    <s v="ORD-SP0727-09/04/23"/>
    <s v="PP001"/>
    <s v="Pakaian Pria"/>
    <s v="Kaos Polo"/>
    <n v="3"/>
    <n v="3"/>
    <n v="600000"/>
    <n v="600000"/>
    <n v="240000"/>
    <n v="240000"/>
    <s v="PU001"/>
    <s v="Pakaian Unisex"/>
    <s v="Jaket Hoodie"/>
    <n v="1"/>
    <n v="3"/>
    <n v="350000"/>
    <n v="350000"/>
    <n v="130000"/>
    <n v="130000"/>
    <m/>
    <s v="-"/>
    <s v="-"/>
    <m/>
    <m/>
    <n v="0"/>
    <n v="0"/>
    <n v="0"/>
    <n v="0"/>
    <n v="4"/>
    <n v="950000"/>
    <n v="950000"/>
    <n v="370000"/>
    <n v="370000"/>
    <s v="Tidak Ada"/>
    <s v="-"/>
    <x v="2"/>
    <x v="2"/>
    <x v="5"/>
    <d v="2023-04-09T00:00:00"/>
    <x v="10"/>
    <s v="Sunday"/>
    <x v="3"/>
    <n v="3"/>
  </r>
  <r>
    <n v="728"/>
    <s v="ORD-SP0728-11/04/23"/>
    <s v="PP003"/>
    <s v="Pakaian Pria"/>
    <s v="Jaket Jeans"/>
    <n v="1"/>
    <n v="4"/>
    <n v="400000"/>
    <n v="400000"/>
    <n v="150000"/>
    <n v="150000"/>
    <m/>
    <s v="-"/>
    <s v="-"/>
    <m/>
    <m/>
    <n v="0"/>
    <n v="0"/>
    <n v="0"/>
    <n v="0"/>
    <m/>
    <s v="-"/>
    <s v="-"/>
    <m/>
    <m/>
    <n v="0"/>
    <n v="0"/>
    <n v="0"/>
    <n v="0"/>
    <n v="1"/>
    <n v="400000"/>
    <n v="400000"/>
    <n v="150000"/>
    <n v="150000"/>
    <s v="Tidak Ada"/>
    <s v="-"/>
    <x v="2"/>
    <x v="2"/>
    <x v="5"/>
    <d v="2023-04-11T00:00:00"/>
    <x v="29"/>
    <s v="Tuesday"/>
    <x v="3"/>
    <n v="4"/>
  </r>
  <r>
    <n v="729"/>
    <s v="ORD-BB0729-08/04/23"/>
    <s v="PP002"/>
    <s v="Pakaian Pria"/>
    <s v="Celana Pendek"/>
    <n v="4"/>
    <n v="4"/>
    <n v="720000"/>
    <n v="720000"/>
    <n v="280000"/>
    <n v="280000"/>
    <m/>
    <s v="-"/>
    <s v="-"/>
    <m/>
    <m/>
    <n v="0"/>
    <n v="0"/>
    <n v="0"/>
    <n v="0"/>
    <m/>
    <s v="-"/>
    <s v="-"/>
    <m/>
    <m/>
    <n v="0"/>
    <n v="0"/>
    <n v="0"/>
    <n v="0"/>
    <n v="4"/>
    <n v="720000"/>
    <n v="720000"/>
    <n v="280000"/>
    <n v="280000"/>
    <s v="Tidak Ada"/>
    <s v="-"/>
    <x v="2"/>
    <x v="0"/>
    <x v="1"/>
    <d v="2023-04-08T00:00:00"/>
    <x v="26"/>
    <s v="Saturday"/>
    <x v="3"/>
    <n v="4"/>
  </r>
  <r>
    <n v="730"/>
    <s v="ORD-SP0730-19/04/23"/>
    <s v="PP003"/>
    <s v="Pakaian Pria"/>
    <s v="Jaket Jeans"/>
    <n v="5"/>
    <n v="2"/>
    <n v="2000000"/>
    <n v="1600000"/>
    <n v="750000"/>
    <n v="350000"/>
    <s v="SP002"/>
    <s v="Sepatu Pria"/>
    <s v="Sandal Slip On"/>
    <n v="1"/>
    <n v="4"/>
    <n v="150000"/>
    <n v="120000"/>
    <n v="60000"/>
    <n v="30000"/>
    <m/>
    <s v="-"/>
    <s v="-"/>
    <m/>
    <m/>
    <n v="0"/>
    <n v="0"/>
    <n v="0"/>
    <n v="0"/>
    <n v="6"/>
    <n v="2150000"/>
    <n v="1720000"/>
    <n v="810000"/>
    <n v="380000"/>
    <s v="DISC20"/>
    <n v="0.2"/>
    <x v="1"/>
    <x v="2"/>
    <x v="4"/>
    <d v="2023-04-19T00:00:00"/>
    <x v="19"/>
    <s v="Wednesday"/>
    <x v="1"/>
    <n v="3"/>
  </r>
  <r>
    <n v="731"/>
    <s v="ORD-SP0731-03/04/23"/>
    <s v="SP002"/>
    <s v="Sepatu Pria"/>
    <s v="Sandal Slip On"/>
    <n v="5"/>
    <n v="1"/>
    <n v="750000"/>
    <n v="637500"/>
    <n v="300000"/>
    <n v="187500"/>
    <s v="SW001"/>
    <s v="Sepatu Wanita"/>
    <s v="Flat Shoes"/>
    <n v="1"/>
    <n v="1"/>
    <n v="250000"/>
    <n v="212500"/>
    <n v="100000"/>
    <n v="62500"/>
    <m/>
    <s v="-"/>
    <s v="-"/>
    <m/>
    <m/>
    <n v="0"/>
    <n v="0"/>
    <n v="0"/>
    <n v="0"/>
    <n v="6"/>
    <n v="1000000"/>
    <n v="850000"/>
    <n v="400000"/>
    <n v="250000"/>
    <s v="DISC15"/>
    <n v="0.15"/>
    <x v="0"/>
    <x v="2"/>
    <x v="0"/>
    <d v="2023-04-03T00:00:00"/>
    <x v="2"/>
    <s v="Monday"/>
    <x v="0"/>
    <n v="1"/>
  </r>
  <r>
    <n v="732"/>
    <s v="ORD-TK0732-07/04/23"/>
    <s v="PW003"/>
    <s v="Pakaian Wanita"/>
    <s v="Kaftan"/>
    <n v="1"/>
    <n v="3"/>
    <n v="250000"/>
    <n v="250000"/>
    <n v="100000"/>
    <n v="100000"/>
    <m/>
    <s v="-"/>
    <s v="-"/>
    <m/>
    <m/>
    <n v="0"/>
    <n v="0"/>
    <n v="0"/>
    <n v="0"/>
    <m/>
    <s v="-"/>
    <s v="-"/>
    <m/>
    <m/>
    <n v="0"/>
    <n v="0"/>
    <n v="0"/>
    <n v="0"/>
    <n v="1"/>
    <n v="250000"/>
    <n v="250000"/>
    <n v="100000"/>
    <n v="100000"/>
    <s v="Tidak Ada"/>
    <s v="-"/>
    <x v="2"/>
    <x v="1"/>
    <x v="4"/>
    <d v="2023-04-07T00:00:00"/>
    <x v="28"/>
    <s v="Friday"/>
    <x v="0"/>
    <n v="3"/>
  </r>
  <r>
    <n v="733"/>
    <s v="ORD-TK0733-16/04/23"/>
    <s v="PP002"/>
    <s v="Pakaian Pria"/>
    <s v="Celana Pendek"/>
    <n v="1"/>
    <n v="2"/>
    <n v="180000"/>
    <n v="162000"/>
    <n v="70000"/>
    <n v="52000"/>
    <s v="SP002"/>
    <s v="Sepatu Pria"/>
    <s v="Sandal Slip On"/>
    <n v="3"/>
    <n v="3"/>
    <n v="450000"/>
    <n v="405000"/>
    <n v="180000"/>
    <n v="135000"/>
    <m/>
    <s v="-"/>
    <s v="-"/>
    <m/>
    <m/>
    <n v="0"/>
    <n v="0"/>
    <n v="0"/>
    <n v="0"/>
    <n v="4"/>
    <n v="630000"/>
    <n v="567000"/>
    <n v="250000"/>
    <n v="187000"/>
    <s v="LEBAR10"/>
    <n v="0.1"/>
    <x v="1"/>
    <x v="1"/>
    <x v="0"/>
    <d v="2023-04-16T00:00:00"/>
    <x v="17"/>
    <s v="Sunday"/>
    <x v="1"/>
    <n v="2.5"/>
  </r>
  <r>
    <n v="734"/>
    <s v="ORD-TK0734-06/04/23"/>
    <s v="SP001"/>
    <s v="Sepatu Pria"/>
    <s v="Sneakers"/>
    <n v="2"/>
    <n v="1"/>
    <n v="1000000"/>
    <n v="900000"/>
    <n v="400000"/>
    <n v="300000"/>
    <s v="SW001"/>
    <s v="Sepatu Wanita"/>
    <s v="Flat Shoes"/>
    <n v="2"/>
    <n v="3"/>
    <n v="500000"/>
    <n v="450000"/>
    <n v="200000"/>
    <n v="150000"/>
    <m/>
    <s v="-"/>
    <s v="-"/>
    <m/>
    <m/>
    <n v="0"/>
    <n v="0"/>
    <n v="0"/>
    <n v="0"/>
    <n v="4"/>
    <n v="1500000"/>
    <n v="1350000"/>
    <n v="600000"/>
    <n v="450000"/>
    <s v="DISCAPRIL"/>
    <n v="0.1"/>
    <x v="0"/>
    <x v="1"/>
    <x v="1"/>
    <d v="2023-04-06T00:00:00"/>
    <x v="8"/>
    <s v="Thursday"/>
    <x v="0"/>
    <n v="2"/>
  </r>
  <r>
    <n v="735"/>
    <s v="ORD-TK0735-02/04/23"/>
    <s v="PW001"/>
    <s v="Pakaian Wanita"/>
    <s v="Dress"/>
    <n v="1"/>
    <n v="4"/>
    <n v="300000"/>
    <n v="270000"/>
    <n v="100000"/>
    <n v="70000"/>
    <s v="PU001"/>
    <s v="Pakaian Unisex"/>
    <s v="Jaket Hoodie"/>
    <n v="1"/>
    <n v="4"/>
    <n v="350000"/>
    <n v="315000"/>
    <n v="130000"/>
    <n v="95000"/>
    <s v="PP001"/>
    <s v="Pakaian Pria"/>
    <s v="Kaos Polo"/>
    <n v="5"/>
    <n v="2"/>
    <n v="1000000"/>
    <n v="900000"/>
    <n v="400000"/>
    <n v="300000"/>
    <n v="7"/>
    <n v="1650000"/>
    <n v="1485000"/>
    <n v="630000"/>
    <n v="465000"/>
    <s v="DISCAPRIL"/>
    <n v="0.1"/>
    <x v="0"/>
    <x v="1"/>
    <x v="1"/>
    <d v="2023-04-02T00:00:00"/>
    <x v="1"/>
    <s v="Sunday"/>
    <x v="0"/>
    <n v="3.3333333333333335"/>
  </r>
  <r>
    <n v="736"/>
    <s v="ORD-TK0736-15/04/23"/>
    <s v="PW001"/>
    <s v="Pakaian Wanita"/>
    <s v="Dress"/>
    <n v="1"/>
    <n v="3"/>
    <n v="300000"/>
    <n v="300000"/>
    <n v="100000"/>
    <n v="100000"/>
    <m/>
    <s v="-"/>
    <s v="-"/>
    <m/>
    <m/>
    <n v="0"/>
    <n v="0"/>
    <n v="0"/>
    <n v="0"/>
    <m/>
    <s v="-"/>
    <s v="-"/>
    <m/>
    <m/>
    <n v="0"/>
    <n v="0"/>
    <n v="0"/>
    <n v="0"/>
    <n v="1"/>
    <n v="300000"/>
    <n v="300000"/>
    <n v="100000"/>
    <n v="100000"/>
    <s v="Tidak Ada"/>
    <s v="-"/>
    <x v="2"/>
    <x v="1"/>
    <x v="2"/>
    <d v="2023-04-15T00:00:00"/>
    <x v="16"/>
    <s v="Saturday"/>
    <x v="1"/>
    <n v="3"/>
  </r>
  <r>
    <n v="737"/>
    <s v="ORD-BB0737-06/04/23"/>
    <s v="PP002"/>
    <s v="Pakaian Pria"/>
    <s v="Celana Pendek"/>
    <n v="2"/>
    <n v="1"/>
    <n v="360000"/>
    <n v="306000"/>
    <n v="140000"/>
    <n v="86000"/>
    <s v="PP001"/>
    <s v="Pakaian Pria"/>
    <s v="Kaos Polo"/>
    <n v="1"/>
    <n v="5"/>
    <n v="200000"/>
    <n v="170000"/>
    <n v="80000"/>
    <n v="50000"/>
    <m/>
    <s v="-"/>
    <s v="-"/>
    <m/>
    <m/>
    <n v="0"/>
    <n v="0"/>
    <n v="0"/>
    <n v="0"/>
    <n v="3"/>
    <n v="560000"/>
    <n v="476000"/>
    <n v="220000"/>
    <n v="136000"/>
    <s v="BELI44"/>
    <n v="0.15"/>
    <x v="0"/>
    <x v="0"/>
    <x v="1"/>
    <d v="2023-04-06T00:00:00"/>
    <x v="8"/>
    <s v="Thursday"/>
    <x v="0"/>
    <n v="3"/>
  </r>
  <r>
    <n v="738"/>
    <s v="ORD-SP0738-03/04/23"/>
    <s v="PU001"/>
    <s v="Pakaian Unisex"/>
    <s v="Jaket Hoodie"/>
    <n v="4"/>
    <n v="2"/>
    <n v="1400000"/>
    <n v="1190000"/>
    <n v="520000"/>
    <n v="310000"/>
    <s v="SP001"/>
    <s v="Sepatu Pria"/>
    <s v="Sneakers"/>
    <n v="2"/>
    <n v="4"/>
    <n v="1000000"/>
    <n v="850000"/>
    <n v="400000"/>
    <n v="250000"/>
    <s v="PW002"/>
    <s v="Pakaian Wanita"/>
    <s v="Blouse"/>
    <n v="1"/>
    <n v="1"/>
    <n v="150000"/>
    <n v="127500"/>
    <n v="50000"/>
    <n v="27500"/>
    <n v="7"/>
    <n v="2550000"/>
    <n v="2167500"/>
    <n v="970000"/>
    <n v="587500"/>
    <s v="DISC15"/>
    <n v="0.15"/>
    <x v="0"/>
    <x v="2"/>
    <x v="2"/>
    <d v="2023-04-03T00:00:00"/>
    <x v="2"/>
    <s v="Monday"/>
    <x v="0"/>
    <n v="2.3333333333333335"/>
  </r>
  <r>
    <n v="739"/>
    <s v="ORD-TK0739-06/04/23"/>
    <s v="SP001"/>
    <s v="Sepatu Pria"/>
    <s v="Sneakers"/>
    <n v="1"/>
    <n v="1"/>
    <n v="500000"/>
    <n v="450000"/>
    <n v="200000"/>
    <n v="150000"/>
    <s v="SP002"/>
    <s v="Sepatu Pria"/>
    <s v="Sandal Slip On"/>
    <n v="1"/>
    <n v="2"/>
    <n v="150000"/>
    <n v="135000"/>
    <n v="60000"/>
    <n v="45000"/>
    <s v="PU001"/>
    <s v="Pakaian Unisex"/>
    <s v="Jaket Hoodie"/>
    <n v="4"/>
    <n v="1"/>
    <n v="1400000"/>
    <n v="1260000"/>
    <n v="520000"/>
    <n v="380000"/>
    <n v="6"/>
    <n v="2050000"/>
    <n v="1845000"/>
    <n v="780000"/>
    <n v="575000"/>
    <s v="DISCAPRIL"/>
    <n v="0.1"/>
    <x v="0"/>
    <x v="1"/>
    <x v="4"/>
    <d v="2023-04-06T00:00:00"/>
    <x v="8"/>
    <s v="Thursday"/>
    <x v="0"/>
    <n v="1.3333333333333333"/>
  </r>
  <r>
    <n v="740"/>
    <s v="ORD-SP0740-01/04/23"/>
    <s v="PP001"/>
    <s v="Pakaian Pria"/>
    <s v="Kaos Polo"/>
    <n v="2"/>
    <n v="4"/>
    <n v="400000"/>
    <n v="360000"/>
    <n v="160000"/>
    <n v="120000"/>
    <s v="SP001"/>
    <s v="Sepatu Pria"/>
    <s v="Sneakers"/>
    <n v="2"/>
    <n v="4"/>
    <n v="1000000"/>
    <n v="900000"/>
    <n v="400000"/>
    <n v="300000"/>
    <m/>
    <s v="-"/>
    <s v="-"/>
    <m/>
    <m/>
    <n v="0"/>
    <n v="0"/>
    <n v="0"/>
    <n v="0"/>
    <n v="4"/>
    <n v="1400000"/>
    <n v="1260000"/>
    <n v="560000"/>
    <n v="420000"/>
    <s v="DISC10"/>
    <n v="0.1"/>
    <x v="0"/>
    <x v="2"/>
    <x v="2"/>
    <d v="2023-04-01T00:00:00"/>
    <x v="0"/>
    <s v="Saturday"/>
    <x v="0"/>
    <n v="4"/>
  </r>
  <r>
    <n v="741"/>
    <s v="ORD-SP0741-26/04/23"/>
    <s v="PP002"/>
    <s v="Pakaian Pria"/>
    <s v="Celana Pendek"/>
    <n v="2"/>
    <n v="4"/>
    <n v="360000"/>
    <n v="288000"/>
    <n v="140000"/>
    <n v="68000"/>
    <s v="SP001"/>
    <s v="Sepatu Pria"/>
    <s v="Sneakers"/>
    <n v="1"/>
    <n v="4"/>
    <n v="500000"/>
    <n v="400000"/>
    <n v="200000"/>
    <n v="100000"/>
    <s v="SW001"/>
    <s v="Sepatu Wanita"/>
    <s v="Flat Shoes"/>
    <n v="1"/>
    <n v="3"/>
    <n v="250000"/>
    <n v="200000"/>
    <n v="100000"/>
    <n v="50000"/>
    <n v="4"/>
    <n v="1110000"/>
    <n v="888000"/>
    <n v="440000"/>
    <n v="218000"/>
    <s v="DISC20"/>
    <n v="0.2"/>
    <x v="1"/>
    <x v="2"/>
    <x v="2"/>
    <d v="2023-04-26T00:00:00"/>
    <x v="15"/>
    <s v="Wednesday"/>
    <x v="2"/>
    <n v="3.6666666666666665"/>
  </r>
  <r>
    <n v="742"/>
    <s v="ORD-TK0742-03/04/23"/>
    <s v="PW002"/>
    <s v="Pakaian Wanita"/>
    <s v="Blouse"/>
    <n v="1"/>
    <n v="1"/>
    <n v="150000"/>
    <n v="135000"/>
    <n v="50000"/>
    <n v="35000"/>
    <s v="PP002"/>
    <s v="Pakaian Pria"/>
    <s v="Celana Pendek"/>
    <n v="2"/>
    <n v="4"/>
    <n v="360000"/>
    <n v="324000"/>
    <n v="140000"/>
    <n v="104000"/>
    <s v="SP002"/>
    <s v="Sepatu Pria"/>
    <s v="Sandal Slip On"/>
    <n v="1"/>
    <n v="1"/>
    <n v="150000"/>
    <n v="135000"/>
    <n v="60000"/>
    <n v="45000"/>
    <n v="4"/>
    <n v="660000"/>
    <n v="594000"/>
    <n v="250000"/>
    <n v="184000"/>
    <s v="DISCAPRIL"/>
    <n v="0.1"/>
    <x v="0"/>
    <x v="1"/>
    <x v="4"/>
    <d v="2023-04-03T00:00:00"/>
    <x v="2"/>
    <s v="Monday"/>
    <x v="0"/>
    <n v="2"/>
  </r>
  <r>
    <n v="743"/>
    <s v="ORD-BL0743-18/04/23"/>
    <s v="PU001"/>
    <s v="Pakaian Unisex"/>
    <s v="Jaket Hoodie"/>
    <n v="3"/>
    <n v="2"/>
    <n v="1050000"/>
    <n v="892500"/>
    <n v="390000"/>
    <n v="232500"/>
    <m/>
    <s v="-"/>
    <s v="-"/>
    <m/>
    <m/>
    <n v="0"/>
    <n v="0"/>
    <n v="0"/>
    <n v="0"/>
    <m/>
    <s v="-"/>
    <s v="-"/>
    <m/>
    <m/>
    <n v="0"/>
    <n v="0"/>
    <n v="0"/>
    <n v="0"/>
    <n v="3"/>
    <n v="1050000"/>
    <n v="892500"/>
    <n v="390000"/>
    <n v="232500"/>
    <s v="BUKALEBAR"/>
    <n v="0.15"/>
    <x v="1"/>
    <x v="3"/>
    <x v="1"/>
    <d v="2023-04-18T00:00:00"/>
    <x v="24"/>
    <s v="Tuesday"/>
    <x v="1"/>
    <n v="2"/>
  </r>
  <r>
    <n v="744"/>
    <s v="ORD-BB0744-02/04/23"/>
    <s v="PP003"/>
    <s v="Pakaian Pria"/>
    <s v="Jaket Jeans"/>
    <n v="1"/>
    <n v="1"/>
    <n v="400000"/>
    <n v="340000"/>
    <n v="150000"/>
    <n v="90000"/>
    <s v="PP001"/>
    <s v="Pakaian Pria"/>
    <s v="Kaos Polo"/>
    <n v="1"/>
    <n v="4"/>
    <n v="200000"/>
    <n v="170000"/>
    <n v="80000"/>
    <n v="50000"/>
    <s v="PW003"/>
    <s v="Pakaian Wanita"/>
    <s v="Kaftan"/>
    <n v="3"/>
    <n v="3"/>
    <n v="750000"/>
    <n v="637500"/>
    <n v="300000"/>
    <n v="187500"/>
    <n v="5"/>
    <n v="1350000"/>
    <n v="1147500"/>
    <n v="530000"/>
    <n v="327500"/>
    <s v="BELI44"/>
    <n v="0.15"/>
    <x v="0"/>
    <x v="0"/>
    <x v="3"/>
    <d v="2023-04-02T00:00:00"/>
    <x v="1"/>
    <s v="Sunday"/>
    <x v="0"/>
    <n v="2.6666666666666665"/>
  </r>
  <r>
    <n v="745"/>
    <s v="ORD-SP0745-14/04/23"/>
    <s v="PW002"/>
    <s v="Pakaian Wanita"/>
    <s v="Blouse"/>
    <n v="1"/>
    <n v="2"/>
    <n v="150000"/>
    <n v="150000"/>
    <n v="50000"/>
    <n v="50000"/>
    <m/>
    <s v="-"/>
    <s v="-"/>
    <m/>
    <m/>
    <n v="0"/>
    <n v="0"/>
    <n v="0"/>
    <n v="0"/>
    <m/>
    <s v="-"/>
    <s v="-"/>
    <m/>
    <m/>
    <n v="0"/>
    <n v="0"/>
    <n v="0"/>
    <n v="0"/>
    <n v="1"/>
    <n v="150000"/>
    <n v="150000"/>
    <n v="50000"/>
    <n v="50000"/>
    <s v="Tidak Ada"/>
    <s v="-"/>
    <x v="2"/>
    <x v="2"/>
    <x v="5"/>
    <d v="2023-04-14T00:00:00"/>
    <x v="22"/>
    <s v="Friday"/>
    <x v="3"/>
    <n v="2"/>
  </r>
  <r>
    <n v="746"/>
    <s v="ORD-SP0746-05/04/23"/>
    <s v="PP003"/>
    <s v="Pakaian Pria"/>
    <s v="Jaket Jeans"/>
    <n v="6"/>
    <n v="3"/>
    <n v="2400000"/>
    <n v="2160000"/>
    <n v="900000"/>
    <n v="660000"/>
    <m/>
    <s v="-"/>
    <s v="-"/>
    <m/>
    <m/>
    <n v="0"/>
    <n v="0"/>
    <n v="0"/>
    <n v="0"/>
    <m/>
    <s v="-"/>
    <s v="-"/>
    <m/>
    <m/>
    <n v="0"/>
    <n v="0"/>
    <n v="0"/>
    <n v="0"/>
    <n v="6"/>
    <n v="2400000"/>
    <n v="2160000"/>
    <n v="900000"/>
    <n v="660000"/>
    <s v="DISC10"/>
    <n v="0.1"/>
    <x v="0"/>
    <x v="2"/>
    <x v="2"/>
    <d v="2023-04-05T00:00:00"/>
    <x v="9"/>
    <s v="Wednesday"/>
    <x v="0"/>
    <n v="3"/>
  </r>
  <r>
    <n v="747"/>
    <s v="ORD-SP0747-26/04/23"/>
    <s v="PW003"/>
    <s v="Pakaian Wanita"/>
    <s v="Kaftan"/>
    <n v="2"/>
    <n v="4"/>
    <n v="500000"/>
    <n v="400000"/>
    <n v="200000"/>
    <n v="100000"/>
    <s v="PW001"/>
    <s v="Pakaian Wanita"/>
    <s v="Dress"/>
    <n v="1"/>
    <n v="3"/>
    <n v="300000"/>
    <n v="240000"/>
    <n v="100000"/>
    <n v="40000"/>
    <s v="SW001"/>
    <s v="Sepatu Wanita"/>
    <s v="Flat Shoes"/>
    <n v="3"/>
    <n v="5"/>
    <n v="750000"/>
    <n v="600000"/>
    <n v="300000"/>
    <n v="150000"/>
    <n v="6"/>
    <n v="1550000"/>
    <n v="1240000"/>
    <n v="600000"/>
    <n v="290000"/>
    <s v="DISC20"/>
    <n v="0.2"/>
    <x v="1"/>
    <x v="2"/>
    <x v="5"/>
    <d v="2023-04-26T00:00:00"/>
    <x v="15"/>
    <s v="Wednesday"/>
    <x v="2"/>
    <n v="4"/>
  </r>
  <r>
    <n v="748"/>
    <s v="ORD-SP0748-04/04/23"/>
    <s v="SP002"/>
    <s v="Sepatu Pria"/>
    <s v="Sandal Slip On"/>
    <n v="2"/>
    <n v="2"/>
    <n v="300000"/>
    <n v="255000"/>
    <n v="120000"/>
    <n v="75000"/>
    <m/>
    <s v="-"/>
    <s v="-"/>
    <m/>
    <m/>
    <n v="0"/>
    <n v="0"/>
    <n v="0"/>
    <n v="0"/>
    <m/>
    <s v="-"/>
    <s v="-"/>
    <m/>
    <m/>
    <n v="0"/>
    <n v="0"/>
    <n v="0"/>
    <n v="0"/>
    <n v="2"/>
    <n v="300000"/>
    <n v="255000"/>
    <n v="120000"/>
    <n v="75000"/>
    <s v="DISC15"/>
    <n v="0.15"/>
    <x v="0"/>
    <x v="2"/>
    <x v="4"/>
    <d v="2023-04-04T00:00:00"/>
    <x v="7"/>
    <s v="Tuesday"/>
    <x v="0"/>
    <n v="2"/>
  </r>
  <r>
    <n v="749"/>
    <s v="ORD-BB0749-14/04/23"/>
    <s v="PP002"/>
    <s v="Pakaian Pria"/>
    <s v="Celana Pendek"/>
    <n v="1"/>
    <n v="3"/>
    <n v="180000"/>
    <n v="180000"/>
    <n v="70000"/>
    <n v="70000"/>
    <s v="SP002"/>
    <s v="Sepatu Pria"/>
    <s v="Sandal Slip On"/>
    <n v="4"/>
    <n v="5"/>
    <n v="600000"/>
    <n v="600000"/>
    <n v="240000"/>
    <n v="240000"/>
    <s v="PW003"/>
    <s v="Pakaian Wanita"/>
    <s v="Kaftan"/>
    <n v="2"/>
    <n v="2"/>
    <n v="500000"/>
    <n v="500000"/>
    <n v="200000"/>
    <n v="200000"/>
    <n v="7"/>
    <n v="1280000"/>
    <n v="1280000"/>
    <n v="510000"/>
    <n v="510000"/>
    <s v="Tidak Ada"/>
    <s v="-"/>
    <x v="2"/>
    <x v="0"/>
    <x v="5"/>
    <d v="2023-04-14T00:00:00"/>
    <x v="22"/>
    <s v="Friday"/>
    <x v="3"/>
    <n v="3.3333333333333335"/>
  </r>
  <r>
    <n v="750"/>
    <s v="ORD-SP0750-25/04/23"/>
    <s v="PU001"/>
    <s v="Pakaian Unisex"/>
    <s v="Jaket Hoodie"/>
    <n v="1"/>
    <n v="1"/>
    <n v="350000"/>
    <n v="280000"/>
    <n v="130000"/>
    <n v="60000"/>
    <s v="SW001"/>
    <s v="Sepatu Wanita"/>
    <s v="Flat Shoes"/>
    <n v="3"/>
    <n v="1"/>
    <n v="750000"/>
    <n v="600000"/>
    <n v="300000"/>
    <n v="150000"/>
    <m/>
    <s v="-"/>
    <s v="-"/>
    <m/>
    <m/>
    <n v="0"/>
    <n v="0"/>
    <n v="0"/>
    <n v="0"/>
    <n v="4"/>
    <n v="1100000"/>
    <n v="880000"/>
    <n v="430000"/>
    <n v="210000"/>
    <s v="DISC20"/>
    <n v="0.2"/>
    <x v="1"/>
    <x v="2"/>
    <x v="4"/>
    <d v="2023-04-25T00:00:00"/>
    <x v="6"/>
    <s v="Tuesday"/>
    <x v="2"/>
    <n v="1"/>
  </r>
  <r>
    <n v="751"/>
    <s v="ORD-SP0751-13/04/23"/>
    <s v="PP003"/>
    <s v="Pakaian Pria"/>
    <s v="Jaket Jeans"/>
    <n v="2"/>
    <n v="2"/>
    <n v="800000"/>
    <n v="800000"/>
    <n v="300000"/>
    <n v="300000"/>
    <s v="SP002"/>
    <s v="Sepatu Pria"/>
    <s v="Sandal Slip On"/>
    <n v="5"/>
    <n v="2"/>
    <n v="750000"/>
    <n v="750000"/>
    <n v="300000"/>
    <n v="300000"/>
    <m/>
    <s v="-"/>
    <s v="-"/>
    <m/>
    <m/>
    <n v="0"/>
    <n v="0"/>
    <n v="0"/>
    <n v="0"/>
    <n v="7"/>
    <n v="1550000"/>
    <n v="1550000"/>
    <n v="600000"/>
    <n v="600000"/>
    <s v="Tidak Ada"/>
    <s v="-"/>
    <x v="2"/>
    <x v="2"/>
    <x v="4"/>
    <d v="2023-04-13T00:00:00"/>
    <x v="21"/>
    <s v="Thursday"/>
    <x v="3"/>
    <n v="2"/>
  </r>
  <r>
    <n v="752"/>
    <s v="ORD-SP0752-28/04/23"/>
    <s v="PW003"/>
    <s v="Pakaian Wanita"/>
    <s v="Kaftan"/>
    <n v="3"/>
    <n v="4"/>
    <n v="750000"/>
    <n v="600000"/>
    <n v="300000"/>
    <n v="150000"/>
    <s v="SP002"/>
    <s v="Sepatu Pria"/>
    <s v="Sandal Slip On"/>
    <n v="1"/>
    <n v="3"/>
    <n v="150000"/>
    <n v="120000"/>
    <n v="60000"/>
    <n v="30000"/>
    <m/>
    <s v="-"/>
    <s v="-"/>
    <m/>
    <m/>
    <n v="0"/>
    <n v="0"/>
    <n v="0"/>
    <n v="0"/>
    <n v="4"/>
    <n v="900000"/>
    <n v="720000"/>
    <n v="360000"/>
    <n v="180000"/>
    <s v="DISC20"/>
    <n v="0.2"/>
    <x v="1"/>
    <x v="2"/>
    <x v="5"/>
    <d v="2023-04-28T00:00:00"/>
    <x v="11"/>
    <s v="Friday"/>
    <x v="2"/>
    <n v="3.5"/>
  </r>
  <r>
    <n v="753"/>
    <s v="ORD-SP0753-07/04/23"/>
    <s v="SP001"/>
    <s v="Sepatu Pria"/>
    <s v="Sneakers"/>
    <n v="1"/>
    <n v="2"/>
    <n v="500000"/>
    <n v="500000"/>
    <n v="200000"/>
    <n v="200000"/>
    <m/>
    <s v="-"/>
    <s v="-"/>
    <m/>
    <m/>
    <n v="0"/>
    <n v="0"/>
    <n v="0"/>
    <n v="0"/>
    <m/>
    <s v="-"/>
    <s v="-"/>
    <m/>
    <m/>
    <n v="0"/>
    <n v="0"/>
    <n v="0"/>
    <n v="0"/>
    <n v="1"/>
    <n v="500000"/>
    <n v="500000"/>
    <n v="200000"/>
    <n v="200000"/>
    <s v="Tidak Ada"/>
    <s v="-"/>
    <x v="2"/>
    <x v="2"/>
    <x v="4"/>
    <d v="2023-04-07T00:00:00"/>
    <x v="28"/>
    <s v="Friday"/>
    <x v="0"/>
    <n v="2"/>
  </r>
  <r>
    <n v="754"/>
    <s v="ORD-SP0754-05/04/23"/>
    <s v="PP003"/>
    <s v="Pakaian Pria"/>
    <s v="Jaket Jeans"/>
    <n v="1"/>
    <n v="5"/>
    <n v="400000"/>
    <n v="340000"/>
    <n v="150000"/>
    <n v="90000"/>
    <s v="PP002"/>
    <s v="Pakaian Pria"/>
    <s v="Celana Pendek"/>
    <n v="1"/>
    <n v="4"/>
    <n v="180000"/>
    <n v="153000"/>
    <n v="70000"/>
    <n v="43000"/>
    <s v="SP002"/>
    <s v="Sepatu Pria"/>
    <s v="Sandal Slip On"/>
    <n v="5"/>
    <n v="3"/>
    <n v="750000"/>
    <n v="637500"/>
    <n v="300000"/>
    <n v="187500"/>
    <n v="7"/>
    <n v="1330000"/>
    <n v="1130500"/>
    <n v="520000"/>
    <n v="320500"/>
    <s v="DISC15"/>
    <n v="0.15"/>
    <x v="0"/>
    <x v="2"/>
    <x v="0"/>
    <d v="2023-04-05T00:00:00"/>
    <x v="9"/>
    <s v="Wednesday"/>
    <x v="0"/>
    <n v="4"/>
  </r>
  <r>
    <n v="755"/>
    <s v="ORD-TK0755-05/04/23"/>
    <s v="SP002"/>
    <s v="Sepatu Pria"/>
    <s v="Sandal Slip On"/>
    <n v="2"/>
    <n v="3"/>
    <n v="300000"/>
    <n v="270000"/>
    <n v="120000"/>
    <n v="90000"/>
    <m/>
    <s v="-"/>
    <s v="-"/>
    <m/>
    <m/>
    <n v="0"/>
    <n v="0"/>
    <n v="0"/>
    <n v="0"/>
    <m/>
    <s v="-"/>
    <s v="-"/>
    <m/>
    <m/>
    <n v="0"/>
    <n v="0"/>
    <n v="0"/>
    <n v="0"/>
    <n v="2"/>
    <n v="300000"/>
    <n v="270000"/>
    <n v="120000"/>
    <n v="90000"/>
    <s v="DISCAPRIL"/>
    <n v="0.1"/>
    <x v="0"/>
    <x v="1"/>
    <x v="4"/>
    <d v="2023-04-05T00:00:00"/>
    <x v="9"/>
    <s v="Wednesday"/>
    <x v="0"/>
    <n v="3"/>
  </r>
  <r>
    <n v="756"/>
    <s v="ORD-BL0756-28/04/23"/>
    <s v="PU001"/>
    <s v="Pakaian Unisex"/>
    <s v="Jaket Hoodie"/>
    <n v="1"/>
    <n v="4"/>
    <n v="350000"/>
    <n v="297500"/>
    <n v="130000"/>
    <n v="77500"/>
    <m/>
    <s v="-"/>
    <s v="-"/>
    <m/>
    <m/>
    <n v="0"/>
    <n v="0"/>
    <n v="0"/>
    <n v="0"/>
    <m/>
    <s v="-"/>
    <s v="-"/>
    <m/>
    <m/>
    <n v="0"/>
    <n v="0"/>
    <n v="0"/>
    <n v="0"/>
    <n v="1"/>
    <n v="350000"/>
    <n v="297500"/>
    <n v="130000"/>
    <n v="77500"/>
    <s v="BUKALEBAR"/>
    <n v="0.15"/>
    <x v="1"/>
    <x v="3"/>
    <x v="0"/>
    <d v="2023-04-28T00:00:00"/>
    <x v="11"/>
    <s v="Friday"/>
    <x v="2"/>
    <n v="4"/>
  </r>
  <r>
    <n v="757"/>
    <s v="ORD-BB0757-06/04/23"/>
    <s v="PW003"/>
    <s v="Pakaian Wanita"/>
    <s v="Kaftan"/>
    <n v="3"/>
    <n v="2"/>
    <n v="750000"/>
    <n v="637500"/>
    <n v="300000"/>
    <n v="187500"/>
    <s v="PP003"/>
    <s v="Pakaian Pria"/>
    <s v="Jaket Jeans"/>
    <n v="1"/>
    <n v="4"/>
    <n v="400000"/>
    <n v="340000"/>
    <n v="150000"/>
    <n v="90000"/>
    <m/>
    <s v="-"/>
    <s v="-"/>
    <m/>
    <m/>
    <n v="0"/>
    <n v="0"/>
    <n v="0"/>
    <n v="0"/>
    <n v="4"/>
    <n v="1150000"/>
    <n v="977500"/>
    <n v="450000"/>
    <n v="277500"/>
    <s v="BELI44"/>
    <n v="0.15"/>
    <x v="0"/>
    <x v="0"/>
    <x v="4"/>
    <d v="2023-04-06T00:00:00"/>
    <x v="8"/>
    <s v="Thursday"/>
    <x v="0"/>
    <n v="3"/>
  </r>
  <r>
    <n v="758"/>
    <s v="ORD-BL0758-17/04/23"/>
    <s v="PP001"/>
    <s v="Pakaian Pria"/>
    <s v="Kaos Polo"/>
    <n v="2"/>
    <n v="1"/>
    <n v="400000"/>
    <n v="340000"/>
    <n v="160000"/>
    <n v="100000"/>
    <s v="PW003"/>
    <s v="Pakaian Wanita"/>
    <s v="Kaftan"/>
    <n v="1"/>
    <n v="1"/>
    <n v="250000"/>
    <n v="212500"/>
    <n v="100000"/>
    <n v="62500"/>
    <s v="PW002"/>
    <s v="Pakaian Wanita"/>
    <s v="Blouse"/>
    <n v="2"/>
    <n v="1"/>
    <n v="300000"/>
    <n v="255000"/>
    <n v="100000"/>
    <n v="55000"/>
    <n v="5"/>
    <n v="950000"/>
    <n v="807500"/>
    <n v="360000"/>
    <n v="217500"/>
    <s v="BUKALEBAR"/>
    <n v="0.15"/>
    <x v="1"/>
    <x v="3"/>
    <x v="0"/>
    <d v="2023-04-17T00:00:00"/>
    <x v="3"/>
    <s v="Monday"/>
    <x v="1"/>
    <n v="1"/>
  </r>
  <r>
    <n v="759"/>
    <s v="ORD-BL0759-16/04/23"/>
    <s v="PP001"/>
    <s v="Pakaian Pria"/>
    <s v="Kaos Polo"/>
    <n v="4"/>
    <n v="5"/>
    <n v="800000"/>
    <n v="680000"/>
    <n v="320000"/>
    <n v="200000"/>
    <m/>
    <s v="-"/>
    <s v="-"/>
    <m/>
    <m/>
    <n v="0"/>
    <n v="0"/>
    <n v="0"/>
    <n v="0"/>
    <m/>
    <s v="-"/>
    <s v="-"/>
    <m/>
    <m/>
    <n v="0"/>
    <n v="0"/>
    <n v="0"/>
    <n v="0"/>
    <n v="4"/>
    <n v="800000"/>
    <n v="680000"/>
    <n v="320000"/>
    <n v="200000"/>
    <s v="BUKALEBAR"/>
    <n v="0.15"/>
    <x v="1"/>
    <x v="3"/>
    <x v="1"/>
    <d v="2023-04-16T00:00:00"/>
    <x v="17"/>
    <s v="Sunday"/>
    <x v="1"/>
    <n v="5"/>
  </r>
  <r>
    <n v="760"/>
    <s v="ORD-SP0760-03/04/23"/>
    <s v="PW002"/>
    <s v="Pakaian Wanita"/>
    <s v="Blouse"/>
    <n v="2"/>
    <n v="3"/>
    <n v="300000"/>
    <n v="255000"/>
    <n v="100000"/>
    <n v="55000"/>
    <s v="PP002"/>
    <s v="Pakaian Pria"/>
    <s v="Celana Pendek"/>
    <n v="1"/>
    <n v="5"/>
    <n v="180000"/>
    <n v="153000"/>
    <n v="70000"/>
    <n v="43000"/>
    <m/>
    <s v="-"/>
    <s v="-"/>
    <m/>
    <m/>
    <n v="0"/>
    <n v="0"/>
    <n v="0"/>
    <n v="0"/>
    <n v="3"/>
    <n v="480000"/>
    <n v="408000"/>
    <n v="170000"/>
    <n v="98000"/>
    <s v="DISC15"/>
    <n v="0.15"/>
    <x v="0"/>
    <x v="2"/>
    <x v="1"/>
    <d v="2023-04-03T00:00:00"/>
    <x v="2"/>
    <s v="Monday"/>
    <x v="0"/>
    <n v="4"/>
  </r>
  <r>
    <n v="761"/>
    <s v="ORD-BB0761-04/04/23"/>
    <s v="SW001"/>
    <s v="Sepatu Wanita"/>
    <s v="Flat Shoes"/>
    <n v="1"/>
    <n v="5"/>
    <n v="250000"/>
    <n v="212500"/>
    <n v="100000"/>
    <n v="62500"/>
    <s v="SP001"/>
    <s v="Sepatu Pria"/>
    <s v="Sneakers"/>
    <n v="1"/>
    <n v="3"/>
    <n v="500000"/>
    <n v="425000"/>
    <n v="200000"/>
    <n v="125000"/>
    <m/>
    <s v="-"/>
    <s v="-"/>
    <m/>
    <m/>
    <n v="0"/>
    <n v="0"/>
    <n v="0"/>
    <n v="0"/>
    <n v="2"/>
    <n v="750000"/>
    <n v="637500"/>
    <n v="300000"/>
    <n v="187500"/>
    <s v="BELI44"/>
    <n v="0.15"/>
    <x v="0"/>
    <x v="0"/>
    <x v="3"/>
    <d v="2023-04-04T00:00:00"/>
    <x v="7"/>
    <s v="Tuesday"/>
    <x v="0"/>
    <n v="4"/>
  </r>
  <r>
    <n v="762"/>
    <s v="ORD-TK0762-13/04/23"/>
    <s v="SP002"/>
    <s v="Sepatu Pria"/>
    <s v="Sandal Slip On"/>
    <n v="2"/>
    <n v="1"/>
    <n v="300000"/>
    <n v="300000"/>
    <n v="120000"/>
    <n v="120000"/>
    <m/>
    <s v="-"/>
    <s v="-"/>
    <m/>
    <m/>
    <n v="0"/>
    <n v="0"/>
    <n v="0"/>
    <n v="0"/>
    <m/>
    <s v="-"/>
    <s v="-"/>
    <m/>
    <m/>
    <n v="0"/>
    <n v="0"/>
    <n v="0"/>
    <n v="0"/>
    <n v="2"/>
    <n v="300000"/>
    <n v="300000"/>
    <n v="120000"/>
    <n v="120000"/>
    <s v="Tidak Ada"/>
    <s v="-"/>
    <x v="2"/>
    <x v="1"/>
    <x v="0"/>
    <d v="2023-04-13T00:00:00"/>
    <x v="21"/>
    <s v="Thursday"/>
    <x v="3"/>
    <n v="1"/>
  </r>
  <r>
    <n v="763"/>
    <s v="ORD-TK0763-25/04/23"/>
    <s v="PP001"/>
    <s v="Pakaian Pria"/>
    <s v="Kaos Polo"/>
    <n v="3"/>
    <n v="1"/>
    <n v="600000"/>
    <n v="540000"/>
    <n v="240000"/>
    <n v="180000"/>
    <s v="PW003"/>
    <s v="Pakaian Wanita"/>
    <s v="Kaftan"/>
    <n v="1"/>
    <n v="4"/>
    <n v="250000"/>
    <n v="225000"/>
    <n v="100000"/>
    <n v="75000"/>
    <m/>
    <s v="-"/>
    <s v="-"/>
    <m/>
    <m/>
    <n v="0"/>
    <n v="0"/>
    <n v="0"/>
    <n v="0"/>
    <n v="4"/>
    <n v="850000"/>
    <n v="765000"/>
    <n v="340000"/>
    <n v="255000"/>
    <s v="LEBAR10"/>
    <n v="0.1"/>
    <x v="1"/>
    <x v="1"/>
    <x v="0"/>
    <d v="2023-04-25T00:00:00"/>
    <x v="6"/>
    <s v="Tuesday"/>
    <x v="2"/>
    <n v="2.5"/>
  </r>
  <r>
    <n v="764"/>
    <s v="ORD-BL0764-21/04/23"/>
    <s v="PP001"/>
    <s v="Pakaian Pria"/>
    <s v="Kaos Polo"/>
    <n v="5"/>
    <n v="4"/>
    <n v="1000000"/>
    <n v="850000"/>
    <n v="400000"/>
    <n v="250000"/>
    <m/>
    <s v="-"/>
    <s v="-"/>
    <m/>
    <m/>
    <n v="0"/>
    <n v="0"/>
    <n v="0"/>
    <n v="0"/>
    <m/>
    <s v="-"/>
    <s v="-"/>
    <m/>
    <m/>
    <n v="0"/>
    <n v="0"/>
    <n v="0"/>
    <n v="0"/>
    <n v="5"/>
    <n v="1000000"/>
    <n v="850000"/>
    <n v="400000"/>
    <n v="250000"/>
    <s v="BUKALEBAR"/>
    <n v="0.15"/>
    <x v="1"/>
    <x v="3"/>
    <x v="4"/>
    <d v="2023-04-21T00:00:00"/>
    <x v="20"/>
    <s v="Friday"/>
    <x v="1"/>
    <n v="4"/>
  </r>
  <r>
    <n v="765"/>
    <s v="ORD-SP0765-29/04/23"/>
    <s v="PP001"/>
    <s v="Pakaian Pria"/>
    <s v="Kaos Polo"/>
    <n v="4"/>
    <n v="1"/>
    <n v="800000"/>
    <n v="640000"/>
    <n v="320000"/>
    <n v="160000"/>
    <s v="PP002"/>
    <s v="Pakaian Pria"/>
    <s v="Celana Pendek"/>
    <n v="1"/>
    <n v="4"/>
    <n v="180000"/>
    <n v="144000"/>
    <n v="70000"/>
    <n v="34000"/>
    <m/>
    <s v="-"/>
    <s v="-"/>
    <m/>
    <m/>
    <n v="0"/>
    <n v="0"/>
    <n v="0"/>
    <n v="0"/>
    <n v="5"/>
    <n v="980000"/>
    <n v="784000"/>
    <n v="390000"/>
    <n v="194000"/>
    <s v="DISC20"/>
    <n v="0.2"/>
    <x v="1"/>
    <x v="2"/>
    <x v="4"/>
    <d v="2023-04-29T00:00:00"/>
    <x v="13"/>
    <s v="Saturday"/>
    <x v="2"/>
    <n v="2.5"/>
  </r>
  <r>
    <n v="766"/>
    <s v="ORD-BL0766-21/04/23"/>
    <s v="PW001"/>
    <s v="Pakaian Wanita"/>
    <s v="Dress"/>
    <n v="3"/>
    <n v="1"/>
    <n v="900000"/>
    <n v="765000"/>
    <n v="300000"/>
    <n v="165000"/>
    <s v="PU001"/>
    <s v="Pakaian Unisex"/>
    <s v="Jaket Hoodie"/>
    <n v="4"/>
    <n v="1"/>
    <n v="1400000"/>
    <n v="1190000"/>
    <n v="520000"/>
    <n v="310000"/>
    <m/>
    <s v="-"/>
    <s v="-"/>
    <m/>
    <m/>
    <n v="0"/>
    <n v="0"/>
    <n v="0"/>
    <n v="0"/>
    <n v="7"/>
    <n v="2300000"/>
    <n v="1955000"/>
    <n v="820000"/>
    <n v="475000"/>
    <s v="BUKALEBAR"/>
    <n v="0.15"/>
    <x v="1"/>
    <x v="3"/>
    <x v="4"/>
    <d v="2023-04-21T00:00:00"/>
    <x v="20"/>
    <s v="Friday"/>
    <x v="1"/>
    <n v="1"/>
  </r>
  <r>
    <n v="767"/>
    <s v="ORD-TK0767-24/04/23"/>
    <s v="PW001"/>
    <s v="Pakaian Wanita"/>
    <s v="Dress"/>
    <n v="1"/>
    <n v="2"/>
    <n v="300000"/>
    <n v="270000"/>
    <n v="100000"/>
    <n v="70000"/>
    <s v="PP003"/>
    <s v="Pakaian Pria"/>
    <s v="Jaket Jeans"/>
    <n v="1"/>
    <n v="1"/>
    <n v="400000"/>
    <n v="360000"/>
    <n v="150000"/>
    <n v="110000"/>
    <m/>
    <s v="-"/>
    <s v="-"/>
    <m/>
    <m/>
    <n v="0"/>
    <n v="0"/>
    <n v="0"/>
    <n v="0"/>
    <n v="2"/>
    <n v="700000"/>
    <n v="630000"/>
    <n v="250000"/>
    <n v="180000"/>
    <s v="LEBAR10"/>
    <n v="0.1"/>
    <x v="1"/>
    <x v="1"/>
    <x v="2"/>
    <d v="2023-04-24T00:00:00"/>
    <x v="4"/>
    <s v="Monday"/>
    <x v="2"/>
    <n v="1.5"/>
  </r>
  <r>
    <n v="768"/>
    <s v="ORD-SP0768-02/04/23"/>
    <s v="SW001"/>
    <s v="Sepatu Wanita"/>
    <s v="Flat Shoes"/>
    <n v="2"/>
    <n v="3"/>
    <n v="500000"/>
    <n v="425000"/>
    <n v="200000"/>
    <n v="125000"/>
    <s v="PW002"/>
    <s v="Pakaian Wanita"/>
    <s v="Blouse"/>
    <n v="4"/>
    <n v="1"/>
    <n v="600000"/>
    <n v="510000"/>
    <n v="200000"/>
    <n v="110000"/>
    <m/>
    <s v="-"/>
    <s v="-"/>
    <m/>
    <m/>
    <n v="0"/>
    <n v="0"/>
    <n v="0"/>
    <n v="0"/>
    <n v="6"/>
    <n v="1100000"/>
    <n v="935000"/>
    <n v="400000"/>
    <n v="235000"/>
    <s v="DISC15"/>
    <n v="0.15"/>
    <x v="0"/>
    <x v="2"/>
    <x v="5"/>
    <d v="2023-04-02T00:00:00"/>
    <x v="1"/>
    <s v="Sunday"/>
    <x v="0"/>
    <n v="2"/>
  </r>
  <r>
    <n v="769"/>
    <s v="ORD-TK0769-29/04/23"/>
    <s v="PP003"/>
    <s v="Pakaian Pria"/>
    <s v="Jaket Jeans"/>
    <n v="3"/>
    <n v="3"/>
    <n v="1200000"/>
    <n v="1080000"/>
    <n v="450000"/>
    <n v="330000"/>
    <s v="PW002"/>
    <s v="Pakaian Wanita"/>
    <s v="Blouse"/>
    <n v="3"/>
    <n v="3"/>
    <n v="450000"/>
    <n v="405000"/>
    <n v="150000"/>
    <n v="105000"/>
    <m/>
    <s v="-"/>
    <s v="-"/>
    <m/>
    <m/>
    <n v="0"/>
    <n v="0"/>
    <n v="0"/>
    <n v="0"/>
    <n v="6"/>
    <n v="1650000"/>
    <n v="1485000"/>
    <n v="600000"/>
    <n v="435000"/>
    <s v="LEBAR10"/>
    <n v="0.1"/>
    <x v="1"/>
    <x v="1"/>
    <x v="1"/>
    <d v="2023-04-29T00:00:00"/>
    <x v="13"/>
    <s v="Saturday"/>
    <x v="2"/>
    <n v="3"/>
  </r>
  <r>
    <n v="770"/>
    <s v="ORD-TK0770-26/04/23"/>
    <s v="SP002"/>
    <s v="Sepatu Pria"/>
    <s v="Sandal Slip On"/>
    <n v="2"/>
    <n v="2"/>
    <n v="300000"/>
    <n v="270000"/>
    <n v="120000"/>
    <n v="90000"/>
    <m/>
    <s v="-"/>
    <s v="-"/>
    <m/>
    <m/>
    <n v="0"/>
    <n v="0"/>
    <n v="0"/>
    <n v="0"/>
    <m/>
    <s v="-"/>
    <s v="-"/>
    <m/>
    <m/>
    <n v="0"/>
    <n v="0"/>
    <n v="0"/>
    <n v="0"/>
    <n v="2"/>
    <n v="300000"/>
    <n v="270000"/>
    <n v="120000"/>
    <n v="90000"/>
    <s v="LEBAR10"/>
    <n v="0.1"/>
    <x v="1"/>
    <x v="1"/>
    <x v="4"/>
    <d v="2023-04-26T00:00:00"/>
    <x v="15"/>
    <s v="Wednesday"/>
    <x v="2"/>
    <n v="2"/>
  </r>
  <r>
    <n v="771"/>
    <s v="ORD-TK0771-30/04/23"/>
    <s v="PW002"/>
    <s v="Pakaian Wanita"/>
    <s v="Blouse"/>
    <n v="7"/>
    <n v="3"/>
    <n v="1050000"/>
    <n v="945000"/>
    <n v="350000"/>
    <n v="245000"/>
    <m/>
    <s v="-"/>
    <s v="-"/>
    <m/>
    <m/>
    <n v="0"/>
    <n v="0"/>
    <n v="0"/>
    <n v="0"/>
    <m/>
    <s v="-"/>
    <s v="-"/>
    <m/>
    <m/>
    <n v="0"/>
    <n v="0"/>
    <n v="0"/>
    <n v="0"/>
    <n v="7"/>
    <n v="1050000"/>
    <n v="945000"/>
    <n v="350000"/>
    <n v="245000"/>
    <s v="LEBAR10"/>
    <n v="0.1"/>
    <x v="1"/>
    <x v="1"/>
    <x v="4"/>
    <d v="2023-04-30T00:00:00"/>
    <x v="12"/>
    <s v="Sunday"/>
    <x v="2"/>
    <n v="3"/>
  </r>
  <r>
    <n v="772"/>
    <s v="ORD-SP0772-04/04/23"/>
    <s v="SP001"/>
    <s v="Sepatu Pria"/>
    <s v="Sneakers"/>
    <n v="1"/>
    <n v="3"/>
    <n v="500000"/>
    <n v="425000"/>
    <n v="200000"/>
    <n v="125000"/>
    <s v="PW003"/>
    <s v="Pakaian Wanita"/>
    <s v="Kaftan"/>
    <n v="4"/>
    <n v="4"/>
    <n v="1000000"/>
    <n v="850000"/>
    <n v="400000"/>
    <n v="250000"/>
    <m/>
    <s v="-"/>
    <s v="-"/>
    <m/>
    <m/>
    <n v="0"/>
    <n v="0"/>
    <n v="0"/>
    <n v="0"/>
    <n v="5"/>
    <n v="1500000"/>
    <n v="1275000"/>
    <n v="600000"/>
    <n v="375000"/>
    <s v="DISC15"/>
    <n v="0.15"/>
    <x v="0"/>
    <x v="2"/>
    <x v="2"/>
    <d v="2023-04-04T00:00:00"/>
    <x v="7"/>
    <s v="Tuesday"/>
    <x v="0"/>
    <n v="3.5"/>
  </r>
  <r>
    <n v="773"/>
    <s v="ORD-SP0773-16/04/23"/>
    <s v="PP003"/>
    <s v="Pakaian Pria"/>
    <s v="Jaket Jeans"/>
    <n v="5"/>
    <n v="2"/>
    <n v="2000000"/>
    <n v="1600000"/>
    <n v="750000"/>
    <n v="350000"/>
    <s v="SW001"/>
    <s v="Sepatu Wanita"/>
    <s v="Flat Shoes"/>
    <n v="2"/>
    <n v="2"/>
    <n v="500000"/>
    <n v="400000"/>
    <n v="200000"/>
    <n v="100000"/>
    <m/>
    <s v="-"/>
    <s v="-"/>
    <m/>
    <m/>
    <n v="0"/>
    <n v="0"/>
    <n v="0"/>
    <n v="0"/>
    <n v="7"/>
    <n v="2500000"/>
    <n v="2000000"/>
    <n v="950000"/>
    <n v="450000"/>
    <s v="DISC20"/>
    <n v="0.2"/>
    <x v="1"/>
    <x v="2"/>
    <x v="4"/>
    <d v="2023-04-16T00:00:00"/>
    <x v="17"/>
    <s v="Sunday"/>
    <x v="1"/>
    <n v="2"/>
  </r>
  <r>
    <n v="774"/>
    <s v="ORD-SP0774-17/04/23"/>
    <s v="SW001"/>
    <s v="Sepatu Wanita"/>
    <s v="Flat Shoes"/>
    <n v="1"/>
    <n v="3"/>
    <n v="250000"/>
    <n v="200000"/>
    <n v="100000"/>
    <n v="50000"/>
    <m/>
    <s v="-"/>
    <s v="-"/>
    <m/>
    <m/>
    <n v="0"/>
    <n v="0"/>
    <n v="0"/>
    <n v="0"/>
    <m/>
    <s v="-"/>
    <s v="-"/>
    <m/>
    <m/>
    <n v="0"/>
    <n v="0"/>
    <n v="0"/>
    <n v="0"/>
    <n v="1"/>
    <n v="250000"/>
    <n v="200000"/>
    <n v="100000"/>
    <n v="50000"/>
    <s v="DISC20"/>
    <n v="0.2"/>
    <x v="1"/>
    <x v="2"/>
    <x v="1"/>
    <d v="2023-04-17T00:00:00"/>
    <x v="3"/>
    <s v="Monday"/>
    <x v="1"/>
    <n v="3"/>
  </r>
  <r>
    <n v="775"/>
    <s v="ORD-BB0775-03/04/23"/>
    <s v="PP003"/>
    <s v="Pakaian Pria"/>
    <s v="Jaket Jeans"/>
    <n v="1"/>
    <n v="5"/>
    <n v="400000"/>
    <n v="340000"/>
    <n v="150000"/>
    <n v="90000"/>
    <s v="PW002"/>
    <s v="Pakaian Wanita"/>
    <s v="Blouse"/>
    <n v="2"/>
    <n v="3"/>
    <n v="300000"/>
    <n v="255000"/>
    <n v="100000"/>
    <n v="55000"/>
    <s v="PP001"/>
    <s v="Pakaian Pria"/>
    <s v="Kaos Polo"/>
    <n v="1"/>
    <n v="5"/>
    <n v="200000"/>
    <n v="170000"/>
    <n v="80000"/>
    <n v="50000"/>
    <n v="4"/>
    <n v="900000"/>
    <n v="765000"/>
    <n v="330000"/>
    <n v="195000"/>
    <s v="BELI44"/>
    <n v="0.15"/>
    <x v="0"/>
    <x v="0"/>
    <x v="1"/>
    <d v="2023-04-03T00:00:00"/>
    <x v="2"/>
    <s v="Monday"/>
    <x v="0"/>
    <n v="4.333333333333333"/>
  </r>
  <r>
    <n v="776"/>
    <s v="ORD-SP0776-03/04/23"/>
    <s v="SW001"/>
    <s v="Sepatu Wanita"/>
    <s v="Flat Shoes"/>
    <n v="1"/>
    <n v="1"/>
    <n v="250000"/>
    <n v="225000"/>
    <n v="100000"/>
    <n v="75000"/>
    <s v="PW002"/>
    <s v="Pakaian Wanita"/>
    <s v="Blouse"/>
    <n v="1"/>
    <n v="1"/>
    <n v="150000"/>
    <n v="135000"/>
    <n v="50000"/>
    <n v="35000"/>
    <s v="PP003"/>
    <s v="Pakaian Pria"/>
    <s v="Jaket Jeans"/>
    <n v="1"/>
    <n v="2"/>
    <n v="400000"/>
    <n v="360000"/>
    <n v="150000"/>
    <n v="110000"/>
    <n v="3"/>
    <n v="800000"/>
    <n v="720000"/>
    <n v="300000"/>
    <n v="220000"/>
    <s v="DISC10"/>
    <n v="0.1"/>
    <x v="0"/>
    <x v="2"/>
    <x v="0"/>
    <d v="2023-04-03T00:00:00"/>
    <x v="2"/>
    <s v="Monday"/>
    <x v="0"/>
    <n v="1.3333333333333333"/>
  </r>
  <r>
    <n v="777"/>
    <s v="ORD-TK0777-03/04/23"/>
    <s v="PW002"/>
    <s v="Pakaian Wanita"/>
    <s v="Blouse"/>
    <n v="2"/>
    <n v="2"/>
    <n v="300000"/>
    <n v="270000"/>
    <n v="100000"/>
    <n v="70000"/>
    <s v="PP001"/>
    <s v="Pakaian Pria"/>
    <s v="Kaos Polo"/>
    <n v="3"/>
    <n v="4"/>
    <n v="600000"/>
    <n v="540000"/>
    <n v="240000"/>
    <n v="180000"/>
    <m/>
    <s v="-"/>
    <s v="-"/>
    <m/>
    <m/>
    <n v="0"/>
    <n v="0"/>
    <n v="0"/>
    <n v="0"/>
    <n v="5"/>
    <n v="900000"/>
    <n v="810000"/>
    <n v="340000"/>
    <n v="250000"/>
    <s v="DISCAPRIL"/>
    <n v="0.1"/>
    <x v="0"/>
    <x v="1"/>
    <x v="4"/>
    <d v="2023-04-03T00:00:00"/>
    <x v="2"/>
    <s v="Monday"/>
    <x v="0"/>
    <n v="3"/>
  </r>
  <r>
    <n v="778"/>
    <s v="ORD-SP0778-01/04/23"/>
    <s v="PW001"/>
    <s v="Pakaian Wanita"/>
    <s v="Dress"/>
    <n v="3"/>
    <n v="4"/>
    <n v="900000"/>
    <n v="765000"/>
    <n v="300000"/>
    <n v="165000"/>
    <m/>
    <s v="-"/>
    <s v="-"/>
    <m/>
    <m/>
    <n v="0"/>
    <n v="0"/>
    <n v="0"/>
    <n v="0"/>
    <m/>
    <s v="-"/>
    <s v="-"/>
    <m/>
    <m/>
    <n v="0"/>
    <n v="0"/>
    <n v="0"/>
    <n v="0"/>
    <n v="3"/>
    <n v="900000"/>
    <n v="765000"/>
    <n v="300000"/>
    <n v="165000"/>
    <s v="DISC15"/>
    <n v="0.15"/>
    <x v="0"/>
    <x v="2"/>
    <x v="4"/>
    <d v="2023-04-01T00:00:00"/>
    <x v="0"/>
    <s v="Saturday"/>
    <x v="0"/>
    <n v="4"/>
  </r>
  <r>
    <n v="779"/>
    <s v="ORD-TK0779-04/04/23"/>
    <s v="PW003"/>
    <s v="Pakaian Wanita"/>
    <s v="Kaftan"/>
    <n v="1"/>
    <n v="4"/>
    <n v="250000"/>
    <n v="225000"/>
    <n v="100000"/>
    <n v="75000"/>
    <m/>
    <s v="-"/>
    <s v="-"/>
    <m/>
    <m/>
    <n v="0"/>
    <n v="0"/>
    <n v="0"/>
    <n v="0"/>
    <m/>
    <s v="-"/>
    <s v="-"/>
    <m/>
    <m/>
    <n v="0"/>
    <n v="0"/>
    <n v="0"/>
    <n v="0"/>
    <n v="1"/>
    <n v="250000"/>
    <n v="225000"/>
    <n v="100000"/>
    <n v="75000"/>
    <s v="DISCAPRIL"/>
    <n v="0.1"/>
    <x v="0"/>
    <x v="1"/>
    <x v="5"/>
    <d v="2023-04-04T00:00:00"/>
    <x v="7"/>
    <s v="Tuesday"/>
    <x v="0"/>
    <n v="4"/>
  </r>
  <r>
    <n v="780"/>
    <s v="ORD-SP0780-01/04/23"/>
    <s v="SP001"/>
    <s v="Sepatu Pria"/>
    <s v="Sneakers"/>
    <n v="2"/>
    <n v="4"/>
    <n v="1000000"/>
    <n v="850000"/>
    <n v="400000"/>
    <n v="250000"/>
    <s v="PW001"/>
    <s v="Pakaian Wanita"/>
    <s v="Dress"/>
    <n v="2"/>
    <n v="2"/>
    <n v="600000"/>
    <n v="510000"/>
    <n v="200000"/>
    <n v="110000"/>
    <m/>
    <s v="-"/>
    <s v="-"/>
    <m/>
    <m/>
    <n v="0"/>
    <n v="0"/>
    <n v="0"/>
    <n v="0"/>
    <n v="4"/>
    <n v="1600000"/>
    <n v="1360000"/>
    <n v="600000"/>
    <n v="360000"/>
    <s v="DISC15"/>
    <n v="0.15"/>
    <x v="0"/>
    <x v="2"/>
    <x v="1"/>
    <d v="2023-04-01T00:00:00"/>
    <x v="0"/>
    <s v="Saturday"/>
    <x v="0"/>
    <n v="3"/>
  </r>
  <r>
    <n v="781"/>
    <s v="ORD-SP0781-14/04/23"/>
    <s v="PW003"/>
    <s v="Pakaian Wanita"/>
    <s v="Kaftan"/>
    <n v="4"/>
    <n v="3"/>
    <n v="1000000"/>
    <n v="1000000"/>
    <n v="400000"/>
    <n v="400000"/>
    <m/>
    <s v="-"/>
    <s v="-"/>
    <m/>
    <m/>
    <n v="0"/>
    <n v="0"/>
    <n v="0"/>
    <n v="0"/>
    <m/>
    <s v="-"/>
    <s v="-"/>
    <m/>
    <m/>
    <n v="0"/>
    <n v="0"/>
    <n v="0"/>
    <n v="0"/>
    <n v="4"/>
    <n v="1000000"/>
    <n v="1000000"/>
    <n v="400000"/>
    <n v="400000"/>
    <s v="Tidak Ada"/>
    <s v="-"/>
    <x v="2"/>
    <x v="2"/>
    <x v="1"/>
    <d v="2023-04-14T00:00:00"/>
    <x v="22"/>
    <s v="Friday"/>
    <x v="3"/>
    <n v="3"/>
  </r>
  <r>
    <n v="782"/>
    <s v="ORD-TK0782-03/04/23"/>
    <s v="PW003"/>
    <s v="Pakaian Wanita"/>
    <s v="Kaftan"/>
    <n v="4"/>
    <n v="5"/>
    <n v="1000000"/>
    <n v="900000"/>
    <n v="400000"/>
    <n v="300000"/>
    <s v="SW001"/>
    <s v="Sepatu Wanita"/>
    <s v="Flat Shoes"/>
    <n v="3"/>
    <n v="1"/>
    <n v="750000"/>
    <n v="675000"/>
    <n v="300000"/>
    <n v="225000"/>
    <m/>
    <s v="-"/>
    <s v="-"/>
    <m/>
    <m/>
    <n v="0"/>
    <n v="0"/>
    <n v="0"/>
    <n v="0"/>
    <n v="7"/>
    <n v="1750000"/>
    <n v="1575000"/>
    <n v="700000"/>
    <n v="525000"/>
    <s v="DISCAPRIL"/>
    <n v="0.1"/>
    <x v="0"/>
    <x v="1"/>
    <x v="0"/>
    <d v="2023-04-03T00:00:00"/>
    <x v="2"/>
    <s v="Monday"/>
    <x v="0"/>
    <n v="3"/>
  </r>
  <r>
    <n v="783"/>
    <s v="ORD-SP0783-02/04/23"/>
    <s v="PW001"/>
    <s v="Pakaian Wanita"/>
    <s v="Dress"/>
    <n v="2"/>
    <n v="2"/>
    <n v="600000"/>
    <n v="510000"/>
    <n v="200000"/>
    <n v="110000"/>
    <s v="PW003"/>
    <s v="Pakaian Wanita"/>
    <s v="Kaftan"/>
    <n v="1"/>
    <n v="5"/>
    <n v="250000"/>
    <n v="212500"/>
    <n v="100000"/>
    <n v="62500"/>
    <s v="SW001"/>
    <s v="Sepatu Wanita"/>
    <s v="Flat Shoes"/>
    <n v="1"/>
    <n v="4"/>
    <n v="250000"/>
    <n v="212500"/>
    <n v="100000"/>
    <n v="62500"/>
    <n v="4"/>
    <n v="1100000"/>
    <n v="935000"/>
    <n v="400000"/>
    <n v="235000"/>
    <s v="DISC15"/>
    <n v="0.15"/>
    <x v="0"/>
    <x v="2"/>
    <x v="5"/>
    <d v="2023-04-02T00:00:00"/>
    <x v="1"/>
    <s v="Sunday"/>
    <x v="0"/>
    <n v="3.6666666666666665"/>
  </r>
  <r>
    <n v="784"/>
    <s v="ORD-SP0784-22/04/23"/>
    <s v="SP002"/>
    <s v="Sepatu Pria"/>
    <s v="Sandal Slip On"/>
    <n v="5"/>
    <n v="5"/>
    <n v="750000"/>
    <n v="600000"/>
    <n v="300000"/>
    <n v="150000"/>
    <s v="SW001"/>
    <s v="Sepatu Wanita"/>
    <s v="Flat Shoes"/>
    <n v="1"/>
    <n v="2"/>
    <n v="250000"/>
    <n v="200000"/>
    <n v="100000"/>
    <n v="50000"/>
    <s v="PP001"/>
    <s v="Pakaian Pria"/>
    <s v="Kaos Polo"/>
    <n v="1"/>
    <n v="5"/>
    <n v="200000"/>
    <n v="160000"/>
    <n v="80000"/>
    <n v="40000"/>
    <n v="7"/>
    <n v="1200000"/>
    <n v="960000"/>
    <n v="480000"/>
    <n v="240000"/>
    <s v="DISC20"/>
    <n v="0.2"/>
    <x v="1"/>
    <x v="2"/>
    <x v="2"/>
    <d v="2023-04-22T00:00:00"/>
    <x v="27"/>
    <s v="Saturday"/>
    <x v="2"/>
    <n v="4"/>
  </r>
  <r>
    <n v="785"/>
    <s v="ORD-TK0785-01/04/23"/>
    <s v="SP001"/>
    <s v="Sepatu Pria"/>
    <s v="Sneakers"/>
    <n v="1"/>
    <n v="1"/>
    <n v="500000"/>
    <n v="450000"/>
    <n v="200000"/>
    <n v="150000"/>
    <m/>
    <s v="-"/>
    <s v="-"/>
    <m/>
    <m/>
    <n v="0"/>
    <n v="0"/>
    <n v="0"/>
    <n v="0"/>
    <m/>
    <s v="-"/>
    <s v="-"/>
    <m/>
    <m/>
    <n v="0"/>
    <n v="0"/>
    <n v="0"/>
    <n v="0"/>
    <n v="1"/>
    <n v="500000"/>
    <n v="450000"/>
    <n v="200000"/>
    <n v="150000"/>
    <s v="DISCAPRIL"/>
    <n v="0.1"/>
    <x v="0"/>
    <x v="1"/>
    <x v="3"/>
    <d v="2023-04-01T00:00:00"/>
    <x v="0"/>
    <s v="Saturday"/>
    <x v="0"/>
    <n v="1"/>
  </r>
  <r>
    <n v="786"/>
    <s v="ORD-BL0786-11/04/23"/>
    <s v="PP002"/>
    <s v="Pakaian Pria"/>
    <s v="Celana Pendek"/>
    <n v="1"/>
    <n v="2"/>
    <n v="180000"/>
    <n v="180000"/>
    <n v="70000"/>
    <n v="70000"/>
    <m/>
    <s v="-"/>
    <s v="-"/>
    <m/>
    <m/>
    <n v="0"/>
    <n v="0"/>
    <n v="0"/>
    <n v="0"/>
    <m/>
    <s v="-"/>
    <s v="-"/>
    <m/>
    <m/>
    <n v="0"/>
    <n v="0"/>
    <n v="0"/>
    <n v="0"/>
    <n v="1"/>
    <n v="180000"/>
    <n v="180000"/>
    <n v="70000"/>
    <n v="70000"/>
    <s v="Tidak Ada"/>
    <s v="-"/>
    <x v="2"/>
    <x v="3"/>
    <x v="5"/>
    <d v="2023-04-11T00:00:00"/>
    <x v="29"/>
    <s v="Tuesday"/>
    <x v="3"/>
    <n v="2"/>
  </r>
  <r>
    <n v="787"/>
    <s v="ORD-TK0787-04/04/23"/>
    <s v="PP002"/>
    <s v="Pakaian Pria"/>
    <s v="Celana Pendek"/>
    <n v="1"/>
    <n v="3"/>
    <n v="180000"/>
    <n v="162000"/>
    <n v="70000"/>
    <n v="52000"/>
    <s v="SP001"/>
    <s v="Sepatu Pria"/>
    <s v="Sneakers"/>
    <n v="2"/>
    <n v="1"/>
    <n v="1000000"/>
    <n v="900000"/>
    <n v="400000"/>
    <n v="300000"/>
    <s v="PW001"/>
    <s v="Pakaian Wanita"/>
    <s v="Dress"/>
    <n v="2"/>
    <n v="2"/>
    <n v="600000"/>
    <n v="540000"/>
    <n v="200000"/>
    <n v="140000"/>
    <n v="5"/>
    <n v="1780000"/>
    <n v="1602000"/>
    <n v="670000"/>
    <n v="492000"/>
    <s v="DISCAPRIL"/>
    <n v="0.1"/>
    <x v="0"/>
    <x v="1"/>
    <x v="1"/>
    <d v="2023-04-04T00:00:00"/>
    <x v="7"/>
    <s v="Tuesday"/>
    <x v="0"/>
    <n v="2"/>
  </r>
  <r>
    <n v="788"/>
    <s v="ORD-SP0788-09/04/23"/>
    <s v="PU001"/>
    <s v="Pakaian Unisex"/>
    <s v="Jaket Hoodie"/>
    <n v="6"/>
    <n v="4"/>
    <n v="2100000"/>
    <n v="2100000"/>
    <n v="780000"/>
    <n v="780000"/>
    <s v="PW002"/>
    <s v="Pakaian Wanita"/>
    <s v="Blouse"/>
    <n v="1"/>
    <n v="2"/>
    <n v="150000"/>
    <n v="150000"/>
    <n v="50000"/>
    <n v="50000"/>
    <m/>
    <s v="-"/>
    <s v="-"/>
    <m/>
    <m/>
    <n v="0"/>
    <n v="0"/>
    <n v="0"/>
    <n v="0"/>
    <n v="7"/>
    <n v="2250000"/>
    <n v="2250000"/>
    <n v="830000"/>
    <n v="830000"/>
    <s v="Tidak Ada"/>
    <s v="-"/>
    <x v="2"/>
    <x v="2"/>
    <x v="0"/>
    <d v="2023-04-09T00:00:00"/>
    <x v="10"/>
    <s v="Sunday"/>
    <x v="3"/>
    <n v="3"/>
  </r>
  <r>
    <n v="789"/>
    <s v="ORD-BB0789-03/04/23"/>
    <s v="SP002"/>
    <s v="Sepatu Pria"/>
    <s v="Sandal Slip On"/>
    <n v="2"/>
    <n v="2"/>
    <n v="300000"/>
    <n v="255000"/>
    <n v="120000"/>
    <n v="75000"/>
    <m/>
    <s v="-"/>
    <s v="-"/>
    <m/>
    <m/>
    <n v="0"/>
    <n v="0"/>
    <n v="0"/>
    <n v="0"/>
    <m/>
    <s v="-"/>
    <s v="-"/>
    <m/>
    <m/>
    <n v="0"/>
    <n v="0"/>
    <n v="0"/>
    <n v="0"/>
    <n v="2"/>
    <n v="300000"/>
    <n v="255000"/>
    <n v="120000"/>
    <n v="75000"/>
    <s v="BELI44"/>
    <n v="0.15"/>
    <x v="0"/>
    <x v="0"/>
    <x v="1"/>
    <d v="2023-04-03T00:00:00"/>
    <x v="2"/>
    <s v="Monday"/>
    <x v="0"/>
    <n v="2"/>
  </r>
  <r>
    <n v="790"/>
    <s v="ORD-BL0790-17/04/23"/>
    <s v="PP002"/>
    <s v="Pakaian Pria"/>
    <s v="Celana Pendek"/>
    <n v="2"/>
    <n v="5"/>
    <n v="360000"/>
    <n v="306000"/>
    <n v="140000"/>
    <n v="86000"/>
    <s v="SP002"/>
    <s v="Sepatu Pria"/>
    <s v="Sandal Slip On"/>
    <n v="4"/>
    <n v="1"/>
    <n v="600000"/>
    <n v="510000"/>
    <n v="240000"/>
    <n v="150000"/>
    <m/>
    <s v="-"/>
    <s v="-"/>
    <m/>
    <m/>
    <n v="0"/>
    <n v="0"/>
    <n v="0"/>
    <n v="0"/>
    <n v="6"/>
    <n v="960000"/>
    <n v="816000"/>
    <n v="380000"/>
    <n v="236000"/>
    <s v="BUKALEBAR"/>
    <n v="0.15"/>
    <x v="1"/>
    <x v="3"/>
    <x v="4"/>
    <d v="2023-04-17T00:00:00"/>
    <x v="3"/>
    <s v="Monday"/>
    <x v="1"/>
    <n v="3"/>
  </r>
  <r>
    <n v="791"/>
    <s v="ORD-TK0791-07/04/23"/>
    <s v="SP002"/>
    <s v="Sepatu Pria"/>
    <s v="Sandal Slip On"/>
    <n v="1"/>
    <n v="3"/>
    <n v="150000"/>
    <n v="150000"/>
    <n v="60000"/>
    <n v="60000"/>
    <s v="SW001"/>
    <s v="Sepatu Wanita"/>
    <s v="Flat Shoes"/>
    <n v="3"/>
    <n v="5"/>
    <n v="750000"/>
    <n v="750000"/>
    <n v="300000"/>
    <n v="300000"/>
    <m/>
    <s v="-"/>
    <s v="-"/>
    <m/>
    <m/>
    <n v="0"/>
    <n v="0"/>
    <n v="0"/>
    <n v="0"/>
    <n v="4"/>
    <n v="900000"/>
    <n v="900000"/>
    <n v="360000"/>
    <n v="360000"/>
    <s v="Tidak Ada"/>
    <s v="-"/>
    <x v="2"/>
    <x v="1"/>
    <x v="4"/>
    <d v="2023-04-07T00:00:00"/>
    <x v="28"/>
    <s v="Friday"/>
    <x v="0"/>
    <n v="4"/>
  </r>
  <r>
    <n v="792"/>
    <s v="ORD-SP0792-03/04/23"/>
    <s v="PP001"/>
    <s v="Pakaian Pria"/>
    <s v="Kaos Polo"/>
    <n v="4"/>
    <n v="1"/>
    <n v="800000"/>
    <n v="680000"/>
    <n v="320000"/>
    <n v="200000"/>
    <m/>
    <s v="-"/>
    <s v="-"/>
    <m/>
    <m/>
    <n v="0"/>
    <n v="0"/>
    <n v="0"/>
    <n v="0"/>
    <m/>
    <s v="-"/>
    <s v="-"/>
    <m/>
    <m/>
    <n v="0"/>
    <n v="0"/>
    <n v="0"/>
    <n v="0"/>
    <n v="4"/>
    <n v="800000"/>
    <n v="680000"/>
    <n v="320000"/>
    <n v="200000"/>
    <s v="DISC15"/>
    <n v="0.15"/>
    <x v="0"/>
    <x v="2"/>
    <x v="4"/>
    <d v="2023-04-03T00:00:00"/>
    <x v="2"/>
    <s v="Monday"/>
    <x v="0"/>
    <n v="1"/>
  </r>
  <r>
    <n v="793"/>
    <s v="ORD-BL0793-24/04/23"/>
    <s v="SW001"/>
    <s v="Sepatu Wanita"/>
    <s v="Flat Shoes"/>
    <n v="2"/>
    <n v="2"/>
    <n v="500000"/>
    <n v="425000"/>
    <n v="200000"/>
    <n v="125000"/>
    <m/>
    <s v="-"/>
    <s v="-"/>
    <m/>
    <m/>
    <n v="0"/>
    <n v="0"/>
    <n v="0"/>
    <n v="0"/>
    <m/>
    <s v="-"/>
    <s v="-"/>
    <m/>
    <m/>
    <n v="0"/>
    <n v="0"/>
    <n v="0"/>
    <n v="0"/>
    <n v="2"/>
    <n v="500000"/>
    <n v="425000"/>
    <n v="200000"/>
    <n v="125000"/>
    <s v="BUKALEBAR"/>
    <n v="0.15"/>
    <x v="1"/>
    <x v="3"/>
    <x v="5"/>
    <d v="2023-04-24T00:00:00"/>
    <x v="4"/>
    <s v="Monday"/>
    <x v="2"/>
    <n v="2"/>
  </r>
  <r>
    <n v="794"/>
    <s v="ORD-BL0794-14/04/23"/>
    <s v="PP001"/>
    <s v="Pakaian Pria"/>
    <s v="Kaos Polo"/>
    <n v="1"/>
    <n v="2"/>
    <n v="200000"/>
    <n v="200000"/>
    <n v="80000"/>
    <n v="80000"/>
    <s v="PP002"/>
    <s v="Pakaian Pria"/>
    <s v="Celana Pendek"/>
    <n v="1"/>
    <n v="1"/>
    <n v="180000"/>
    <n v="180000"/>
    <n v="70000"/>
    <n v="70000"/>
    <s v="SP002"/>
    <s v="Sepatu Pria"/>
    <s v="Sandal Slip On"/>
    <n v="1"/>
    <n v="4"/>
    <n v="150000"/>
    <n v="150000"/>
    <n v="60000"/>
    <n v="60000"/>
    <n v="3"/>
    <n v="530000"/>
    <n v="530000"/>
    <n v="210000"/>
    <n v="210000"/>
    <s v="Tidak Ada"/>
    <s v="-"/>
    <x v="2"/>
    <x v="3"/>
    <x v="4"/>
    <d v="2023-04-14T00:00:00"/>
    <x v="22"/>
    <s v="Friday"/>
    <x v="3"/>
    <n v="2.3333333333333335"/>
  </r>
  <r>
    <n v="795"/>
    <s v="ORD-BB0795-02/04/23"/>
    <s v="SP001"/>
    <s v="Sepatu Pria"/>
    <s v="Sneakers"/>
    <n v="1"/>
    <n v="4"/>
    <n v="500000"/>
    <n v="425000"/>
    <n v="200000"/>
    <n v="125000"/>
    <s v="PP002"/>
    <s v="Pakaian Pria"/>
    <s v="Celana Pendek"/>
    <n v="1"/>
    <n v="2"/>
    <n v="180000"/>
    <n v="153000"/>
    <n v="70000"/>
    <n v="43000"/>
    <m/>
    <s v="-"/>
    <s v="-"/>
    <m/>
    <m/>
    <n v="0"/>
    <n v="0"/>
    <n v="0"/>
    <n v="0"/>
    <n v="2"/>
    <n v="680000"/>
    <n v="578000"/>
    <n v="270000"/>
    <n v="168000"/>
    <s v="BELI44"/>
    <n v="0.15"/>
    <x v="0"/>
    <x v="0"/>
    <x v="4"/>
    <d v="2023-04-02T00:00:00"/>
    <x v="1"/>
    <s v="Sunday"/>
    <x v="0"/>
    <n v="3"/>
  </r>
  <r>
    <n v="796"/>
    <s v="ORD-BL0796-21/04/23"/>
    <s v="SP001"/>
    <s v="Sepatu Pria"/>
    <s v="Sneakers"/>
    <n v="1"/>
    <n v="3"/>
    <n v="500000"/>
    <n v="425000"/>
    <n v="200000"/>
    <n v="125000"/>
    <m/>
    <s v="-"/>
    <s v="-"/>
    <m/>
    <m/>
    <n v="0"/>
    <n v="0"/>
    <n v="0"/>
    <n v="0"/>
    <m/>
    <s v="-"/>
    <s v="-"/>
    <m/>
    <m/>
    <n v="0"/>
    <n v="0"/>
    <n v="0"/>
    <n v="0"/>
    <n v="1"/>
    <n v="500000"/>
    <n v="425000"/>
    <n v="200000"/>
    <n v="125000"/>
    <s v="BUKALEBAR"/>
    <n v="0.15"/>
    <x v="1"/>
    <x v="3"/>
    <x v="5"/>
    <d v="2023-04-21T00:00:00"/>
    <x v="20"/>
    <s v="Friday"/>
    <x v="1"/>
    <n v="3"/>
  </r>
  <r>
    <n v="797"/>
    <s v="ORD-BL0797-24/04/23"/>
    <s v="PP001"/>
    <s v="Pakaian Pria"/>
    <s v="Kaos Polo"/>
    <n v="3"/>
    <n v="4"/>
    <n v="600000"/>
    <n v="510000"/>
    <n v="240000"/>
    <n v="150000"/>
    <s v="SP001"/>
    <s v="Sepatu Pria"/>
    <s v="Sneakers"/>
    <n v="1"/>
    <n v="2"/>
    <n v="500000"/>
    <n v="425000"/>
    <n v="200000"/>
    <n v="125000"/>
    <m/>
    <s v="-"/>
    <s v="-"/>
    <m/>
    <m/>
    <n v="0"/>
    <n v="0"/>
    <n v="0"/>
    <n v="0"/>
    <n v="4"/>
    <n v="1100000"/>
    <n v="935000"/>
    <n v="440000"/>
    <n v="275000"/>
    <s v="BUKALEBAR"/>
    <n v="0.15"/>
    <x v="1"/>
    <x v="3"/>
    <x v="5"/>
    <d v="2023-04-24T00:00:00"/>
    <x v="4"/>
    <s v="Monday"/>
    <x v="2"/>
    <n v="3"/>
  </r>
  <r>
    <n v="798"/>
    <s v="ORD-TK0798-08/04/23"/>
    <s v="SW001"/>
    <s v="Sepatu Wanita"/>
    <s v="Flat Shoes"/>
    <n v="1"/>
    <n v="2"/>
    <n v="250000"/>
    <n v="250000"/>
    <n v="100000"/>
    <n v="100000"/>
    <s v="PW002"/>
    <s v="Pakaian Wanita"/>
    <s v="Blouse"/>
    <n v="1"/>
    <n v="1"/>
    <n v="150000"/>
    <n v="150000"/>
    <n v="50000"/>
    <n v="50000"/>
    <m/>
    <s v="-"/>
    <s v="-"/>
    <m/>
    <m/>
    <n v="0"/>
    <n v="0"/>
    <n v="0"/>
    <n v="0"/>
    <n v="2"/>
    <n v="400000"/>
    <n v="400000"/>
    <n v="150000"/>
    <n v="150000"/>
    <s v="Tidak Ada"/>
    <s v="-"/>
    <x v="2"/>
    <x v="1"/>
    <x v="3"/>
    <d v="2023-04-08T00:00:00"/>
    <x v="26"/>
    <s v="Saturday"/>
    <x v="3"/>
    <n v="1.5"/>
  </r>
  <r>
    <n v="799"/>
    <s v="ORD-SP0799-05/04/23"/>
    <s v="PP003"/>
    <s v="Pakaian Pria"/>
    <s v="Jaket Jeans"/>
    <n v="1"/>
    <n v="4"/>
    <n v="400000"/>
    <n v="360000"/>
    <n v="150000"/>
    <n v="110000"/>
    <s v="SP001"/>
    <s v="Sepatu Pria"/>
    <s v="Sneakers"/>
    <n v="1"/>
    <n v="2"/>
    <n v="500000"/>
    <n v="450000"/>
    <n v="200000"/>
    <n v="150000"/>
    <m/>
    <s v="-"/>
    <s v="-"/>
    <m/>
    <m/>
    <n v="0"/>
    <n v="0"/>
    <n v="0"/>
    <n v="0"/>
    <n v="2"/>
    <n v="900000"/>
    <n v="810000"/>
    <n v="350000"/>
    <n v="260000"/>
    <s v="DISC10"/>
    <n v="0.1"/>
    <x v="0"/>
    <x v="2"/>
    <x v="4"/>
    <d v="2023-04-05T00:00:00"/>
    <x v="9"/>
    <s v="Wednesday"/>
    <x v="0"/>
    <n v="3"/>
  </r>
  <r>
    <n v="800"/>
    <s v="ORD-SP0800-19/04/23"/>
    <s v="PW003"/>
    <s v="Pakaian Wanita"/>
    <s v="Kaftan"/>
    <n v="5"/>
    <n v="4"/>
    <n v="1250000"/>
    <n v="1000000"/>
    <n v="500000"/>
    <n v="250000"/>
    <s v="PP001"/>
    <s v="Pakaian Pria"/>
    <s v="Kaos Polo"/>
    <n v="1"/>
    <n v="3"/>
    <n v="200000"/>
    <n v="160000"/>
    <n v="80000"/>
    <n v="40000"/>
    <m/>
    <s v="-"/>
    <s v="-"/>
    <m/>
    <m/>
    <n v="0"/>
    <n v="0"/>
    <n v="0"/>
    <n v="0"/>
    <n v="6"/>
    <n v="1450000"/>
    <n v="1160000"/>
    <n v="580000"/>
    <n v="290000"/>
    <s v="DISC20"/>
    <n v="0.2"/>
    <x v="1"/>
    <x v="2"/>
    <x v="5"/>
    <d v="2023-04-19T00:00:00"/>
    <x v="19"/>
    <s v="Wednesday"/>
    <x v="1"/>
    <n v="3.5"/>
  </r>
  <r>
    <n v="801"/>
    <s v="ORD-TK0801-21/04/23"/>
    <s v="SW001"/>
    <s v="Sepatu Wanita"/>
    <s v="Flat Shoes"/>
    <n v="1"/>
    <n v="3"/>
    <n v="250000"/>
    <n v="225000"/>
    <n v="100000"/>
    <n v="75000"/>
    <s v="PP003"/>
    <s v="Pakaian Pria"/>
    <s v="Jaket Jeans"/>
    <n v="1"/>
    <n v="3"/>
    <n v="400000"/>
    <n v="360000"/>
    <n v="150000"/>
    <n v="110000"/>
    <s v="PW002"/>
    <s v="Pakaian Wanita"/>
    <s v="Blouse"/>
    <n v="2"/>
    <n v="2"/>
    <n v="300000"/>
    <n v="270000"/>
    <n v="100000"/>
    <n v="70000"/>
    <n v="4"/>
    <n v="950000"/>
    <n v="855000"/>
    <n v="350000"/>
    <n v="255000"/>
    <s v="LEBAR10"/>
    <n v="0.1"/>
    <x v="1"/>
    <x v="1"/>
    <x v="0"/>
    <d v="2023-04-21T00:00:00"/>
    <x v="20"/>
    <s v="Friday"/>
    <x v="1"/>
    <n v="2.6666666666666665"/>
  </r>
  <r>
    <n v="802"/>
    <s v="ORD-BB0802-07/04/23"/>
    <s v="PW002"/>
    <s v="Pakaian Wanita"/>
    <s v="Blouse"/>
    <n v="3"/>
    <n v="2"/>
    <n v="450000"/>
    <n v="450000"/>
    <n v="150000"/>
    <n v="150000"/>
    <m/>
    <s v="-"/>
    <s v="-"/>
    <m/>
    <m/>
    <n v="0"/>
    <n v="0"/>
    <n v="0"/>
    <n v="0"/>
    <m/>
    <s v="-"/>
    <s v="-"/>
    <m/>
    <m/>
    <n v="0"/>
    <n v="0"/>
    <n v="0"/>
    <n v="0"/>
    <n v="3"/>
    <n v="450000"/>
    <n v="450000"/>
    <n v="150000"/>
    <n v="150000"/>
    <s v="Tidak Ada"/>
    <s v="-"/>
    <x v="2"/>
    <x v="0"/>
    <x v="4"/>
    <d v="2023-04-07T00:00:00"/>
    <x v="28"/>
    <s v="Friday"/>
    <x v="0"/>
    <n v="2"/>
  </r>
  <r>
    <n v="803"/>
    <s v="ORD-SP0803-21/04/23"/>
    <s v="PW003"/>
    <s v="Pakaian Wanita"/>
    <s v="Kaftan"/>
    <n v="4"/>
    <n v="3"/>
    <n v="1000000"/>
    <n v="800000"/>
    <n v="400000"/>
    <n v="200000"/>
    <s v="PU001"/>
    <s v="Pakaian Unisex"/>
    <s v="Jaket Hoodie"/>
    <n v="1"/>
    <n v="4"/>
    <n v="350000"/>
    <n v="280000"/>
    <n v="130000"/>
    <n v="60000"/>
    <m/>
    <s v="-"/>
    <s v="-"/>
    <m/>
    <m/>
    <n v="0"/>
    <n v="0"/>
    <n v="0"/>
    <n v="0"/>
    <n v="5"/>
    <n v="1350000"/>
    <n v="1080000"/>
    <n v="530000"/>
    <n v="260000"/>
    <s v="DISC20"/>
    <n v="0.2"/>
    <x v="1"/>
    <x v="2"/>
    <x v="0"/>
    <d v="2023-04-21T00:00:00"/>
    <x v="20"/>
    <s v="Friday"/>
    <x v="1"/>
    <n v="3.5"/>
  </r>
  <r>
    <n v="804"/>
    <s v="ORD-BB0804-11/04/23"/>
    <s v="PW003"/>
    <s v="Pakaian Wanita"/>
    <s v="Kaftan"/>
    <n v="5"/>
    <n v="1"/>
    <n v="1250000"/>
    <n v="1250000"/>
    <n v="500000"/>
    <n v="500000"/>
    <s v="SP001"/>
    <s v="Sepatu Pria"/>
    <s v="Sneakers"/>
    <n v="1"/>
    <n v="4"/>
    <n v="500000"/>
    <n v="500000"/>
    <n v="200000"/>
    <n v="200000"/>
    <m/>
    <s v="-"/>
    <s v="-"/>
    <m/>
    <m/>
    <n v="0"/>
    <n v="0"/>
    <n v="0"/>
    <n v="0"/>
    <n v="6"/>
    <n v="1750000"/>
    <n v="1750000"/>
    <n v="700000"/>
    <n v="700000"/>
    <s v="Tidak Ada"/>
    <s v="-"/>
    <x v="2"/>
    <x v="0"/>
    <x v="2"/>
    <d v="2023-04-11T00:00:00"/>
    <x v="29"/>
    <s v="Tuesday"/>
    <x v="3"/>
    <n v="2.5"/>
  </r>
  <r>
    <n v="805"/>
    <s v="ORD-SP0805-13/04/23"/>
    <s v="PP002"/>
    <s v="Pakaian Pria"/>
    <s v="Celana Pendek"/>
    <n v="4"/>
    <n v="3"/>
    <n v="720000"/>
    <n v="720000"/>
    <n v="280000"/>
    <n v="280000"/>
    <m/>
    <s v="-"/>
    <s v="-"/>
    <m/>
    <m/>
    <n v="0"/>
    <n v="0"/>
    <n v="0"/>
    <n v="0"/>
    <m/>
    <s v="-"/>
    <s v="-"/>
    <m/>
    <m/>
    <n v="0"/>
    <n v="0"/>
    <n v="0"/>
    <n v="0"/>
    <n v="4"/>
    <n v="720000"/>
    <n v="720000"/>
    <n v="280000"/>
    <n v="280000"/>
    <s v="Tidak Ada"/>
    <s v="-"/>
    <x v="2"/>
    <x v="2"/>
    <x v="1"/>
    <d v="2023-04-13T00:00:00"/>
    <x v="21"/>
    <s v="Thursday"/>
    <x v="3"/>
    <n v="3"/>
  </r>
  <r>
    <n v="806"/>
    <s v="ORD-BB0806-15/04/23"/>
    <s v="PW002"/>
    <s v="Pakaian Wanita"/>
    <s v="Blouse"/>
    <n v="1"/>
    <n v="4"/>
    <n v="150000"/>
    <n v="150000"/>
    <n v="50000"/>
    <n v="50000"/>
    <m/>
    <s v="-"/>
    <s v="-"/>
    <m/>
    <m/>
    <n v="0"/>
    <n v="0"/>
    <n v="0"/>
    <n v="0"/>
    <m/>
    <s v="-"/>
    <s v="-"/>
    <m/>
    <m/>
    <n v="0"/>
    <n v="0"/>
    <n v="0"/>
    <n v="0"/>
    <n v="1"/>
    <n v="150000"/>
    <n v="150000"/>
    <n v="50000"/>
    <n v="50000"/>
    <s v="Tidak Ada"/>
    <s v="-"/>
    <x v="2"/>
    <x v="0"/>
    <x v="0"/>
    <d v="2023-04-15T00:00:00"/>
    <x v="16"/>
    <s v="Saturday"/>
    <x v="1"/>
    <n v="4"/>
  </r>
  <r>
    <n v="807"/>
    <s v="ORD-SP0807-27/04/23"/>
    <s v="PU001"/>
    <s v="Pakaian Unisex"/>
    <s v="Jaket Hoodie"/>
    <n v="3"/>
    <n v="1"/>
    <n v="1050000"/>
    <n v="840000"/>
    <n v="390000"/>
    <n v="180000"/>
    <m/>
    <s v="-"/>
    <s v="-"/>
    <m/>
    <m/>
    <n v="0"/>
    <n v="0"/>
    <n v="0"/>
    <n v="0"/>
    <m/>
    <s v="-"/>
    <s v="-"/>
    <m/>
    <m/>
    <n v="0"/>
    <n v="0"/>
    <n v="0"/>
    <n v="0"/>
    <n v="3"/>
    <n v="1050000"/>
    <n v="840000"/>
    <n v="390000"/>
    <n v="180000"/>
    <s v="DISC20"/>
    <n v="0.2"/>
    <x v="1"/>
    <x v="2"/>
    <x v="3"/>
    <d v="2023-04-27T00:00:00"/>
    <x v="18"/>
    <s v="Thursday"/>
    <x v="2"/>
    <n v="1"/>
  </r>
  <r>
    <n v="808"/>
    <s v="ORD-SP0808-01/04/23"/>
    <s v="PP002"/>
    <s v="Pakaian Pria"/>
    <s v="Celana Pendek"/>
    <n v="1"/>
    <n v="1"/>
    <n v="180000"/>
    <n v="162000"/>
    <n v="70000"/>
    <n v="52000"/>
    <s v="SP002"/>
    <s v="Sepatu Pria"/>
    <s v="Sandal Slip On"/>
    <n v="1"/>
    <n v="1"/>
    <n v="150000"/>
    <n v="135000"/>
    <n v="60000"/>
    <n v="45000"/>
    <s v="SP001"/>
    <s v="Sepatu Pria"/>
    <s v="Sneakers"/>
    <n v="1"/>
    <n v="1"/>
    <n v="500000"/>
    <n v="450000"/>
    <n v="200000"/>
    <n v="150000"/>
    <n v="3"/>
    <n v="830000"/>
    <n v="747000"/>
    <n v="330000"/>
    <n v="247000"/>
    <s v="DISC10"/>
    <n v="0.1"/>
    <x v="0"/>
    <x v="2"/>
    <x v="4"/>
    <d v="2023-04-01T00:00:00"/>
    <x v="0"/>
    <s v="Saturday"/>
    <x v="0"/>
    <n v="1"/>
  </r>
  <r>
    <n v="809"/>
    <s v="ORD-SP0809-04/04/23"/>
    <s v="PP001"/>
    <s v="Pakaian Pria"/>
    <s v="Kaos Polo"/>
    <n v="1"/>
    <n v="3"/>
    <n v="200000"/>
    <n v="170000"/>
    <n v="80000"/>
    <n v="50000"/>
    <s v="PW003"/>
    <s v="Pakaian Wanita"/>
    <s v="Kaftan"/>
    <n v="2"/>
    <n v="5"/>
    <n v="500000"/>
    <n v="425000"/>
    <n v="200000"/>
    <n v="125000"/>
    <s v="PU001"/>
    <s v="Pakaian Unisex"/>
    <s v="Jaket Hoodie"/>
    <n v="2"/>
    <n v="2"/>
    <n v="700000"/>
    <n v="595000"/>
    <n v="260000"/>
    <n v="155000"/>
    <n v="5"/>
    <n v="1400000"/>
    <n v="1190000"/>
    <n v="540000"/>
    <n v="330000"/>
    <s v="DISC15"/>
    <n v="0.15"/>
    <x v="0"/>
    <x v="2"/>
    <x v="5"/>
    <d v="2023-04-04T00:00:00"/>
    <x v="7"/>
    <s v="Tuesday"/>
    <x v="0"/>
    <n v="3.3333333333333335"/>
  </r>
  <r>
    <n v="810"/>
    <s v="ORD-SP0810-22/04/23"/>
    <s v="PW001"/>
    <s v="Pakaian Wanita"/>
    <s v="Dress"/>
    <n v="1"/>
    <n v="3"/>
    <n v="300000"/>
    <n v="240000"/>
    <n v="100000"/>
    <n v="40000"/>
    <s v="SP002"/>
    <s v="Sepatu Pria"/>
    <s v="Sandal Slip On"/>
    <n v="3"/>
    <n v="5"/>
    <n v="450000"/>
    <n v="360000"/>
    <n v="180000"/>
    <n v="90000"/>
    <s v="PW002"/>
    <s v="Pakaian Wanita"/>
    <s v="Blouse"/>
    <n v="3"/>
    <n v="4"/>
    <n v="450000"/>
    <n v="360000"/>
    <n v="150000"/>
    <n v="60000"/>
    <n v="7"/>
    <n v="1200000"/>
    <n v="960000"/>
    <n v="430000"/>
    <n v="190000"/>
    <s v="DISC20"/>
    <n v="0.2"/>
    <x v="1"/>
    <x v="2"/>
    <x v="5"/>
    <d v="2023-04-22T00:00:00"/>
    <x v="27"/>
    <s v="Saturday"/>
    <x v="2"/>
    <n v="4"/>
  </r>
  <r>
    <n v="811"/>
    <s v="ORD-SP0811-01/04/23"/>
    <s v="SP002"/>
    <s v="Sepatu Pria"/>
    <s v="Sandal Slip On"/>
    <n v="4"/>
    <n v="1"/>
    <n v="600000"/>
    <n v="540000"/>
    <n v="240000"/>
    <n v="180000"/>
    <s v="PU001"/>
    <s v="Pakaian Unisex"/>
    <s v="Jaket Hoodie"/>
    <n v="2"/>
    <n v="4"/>
    <n v="700000"/>
    <n v="630000"/>
    <n v="260000"/>
    <n v="190000"/>
    <m/>
    <s v="-"/>
    <s v="-"/>
    <m/>
    <m/>
    <n v="0"/>
    <n v="0"/>
    <n v="0"/>
    <n v="0"/>
    <n v="6"/>
    <n v="1300000"/>
    <n v="1170000"/>
    <n v="500000"/>
    <n v="370000"/>
    <s v="DISC10"/>
    <n v="0.1"/>
    <x v="0"/>
    <x v="2"/>
    <x v="4"/>
    <d v="2023-04-01T00:00:00"/>
    <x v="0"/>
    <s v="Saturday"/>
    <x v="0"/>
    <n v="2.5"/>
  </r>
  <r>
    <n v="812"/>
    <s v="ORD-BB0812-02/04/23"/>
    <s v="PW002"/>
    <s v="Pakaian Wanita"/>
    <s v="Blouse"/>
    <n v="1"/>
    <n v="1"/>
    <n v="150000"/>
    <n v="127500"/>
    <n v="50000"/>
    <n v="27500"/>
    <s v="SP002"/>
    <s v="Sepatu Pria"/>
    <s v="Sandal Slip On"/>
    <n v="1"/>
    <n v="1"/>
    <n v="150000"/>
    <n v="127500"/>
    <n v="60000"/>
    <n v="37500"/>
    <s v="SP001"/>
    <s v="Sepatu Pria"/>
    <s v="Sneakers"/>
    <n v="4"/>
    <n v="4"/>
    <n v="2000000"/>
    <n v="1700000"/>
    <n v="800000"/>
    <n v="500000"/>
    <n v="6"/>
    <n v="2300000"/>
    <n v="1955000"/>
    <n v="910000"/>
    <n v="565000"/>
    <s v="BELI44"/>
    <n v="0.15"/>
    <x v="0"/>
    <x v="0"/>
    <x v="5"/>
    <d v="2023-04-02T00:00:00"/>
    <x v="1"/>
    <s v="Sunday"/>
    <x v="0"/>
    <n v="2"/>
  </r>
  <r>
    <n v="813"/>
    <s v="ORD-SP0813-05/04/23"/>
    <s v="PU001"/>
    <s v="Pakaian Unisex"/>
    <s v="Jaket Hoodie"/>
    <n v="3"/>
    <n v="4"/>
    <n v="1050000"/>
    <n v="892500"/>
    <n v="390000"/>
    <n v="232500"/>
    <m/>
    <s v="-"/>
    <s v="-"/>
    <m/>
    <m/>
    <n v="0"/>
    <n v="0"/>
    <n v="0"/>
    <n v="0"/>
    <m/>
    <s v="-"/>
    <s v="-"/>
    <m/>
    <m/>
    <n v="0"/>
    <n v="0"/>
    <n v="0"/>
    <n v="0"/>
    <n v="3"/>
    <n v="1050000"/>
    <n v="892500"/>
    <n v="390000"/>
    <n v="232500"/>
    <s v="DISC15"/>
    <n v="0.15"/>
    <x v="0"/>
    <x v="2"/>
    <x v="5"/>
    <d v="2023-04-05T00:00:00"/>
    <x v="9"/>
    <s v="Wednesday"/>
    <x v="0"/>
    <n v="4"/>
  </r>
  <r>
    <n v="814"/>
    <s v="ORD-BL0814-26/04/23"/>
    <s v="PU001"/>
    <s v="Pakaian Unisex"/>
    <s v="Jaket Hoodie"/>
    <n v="1"/>
    <n v="2"/>
    <n v="350000"/>
    <n v="297500"/>
    <n v="130000"/>
    <n v="77500"/>
    <s v="SP002"/>
    <s v="Sepatu Pria"/>
    <s v="Sandal Slip On"/>
    <n v="5"/>
    <n v="4"/>
    <n v="750000"/>
    <n v="637500"/>
    <n v="300000"/>
    <n v="187500"/>
    <m/>
    <s v="-"/>
    <s v="-"/>
    <m/>
    <m/>
    <n v="0"/>
    <n v="0"/>
    <n v="0"/>
    <n v="0"/>
    <n v="6"/>
    <n v="1100000"/>
    <n v="935000"/>
    <n v="430000"/>
    <n v="265000"/>
    <s v="BUKALEBAR"/>
    <n v="0.15"/>
    <x v="1"/>
    <x v="3"/>
    <x v="1"/>
    <d v="2023-04-26T00:00:00"/>
    <x v="15"/>
    <s v="Wednesday"/>
    <x v="2"/>
    <n v="3"/>
  </r>
  <r>
    <n v="815"/>
    <s v="ORD-SP0815-28/04/23"/>
    <s v="SP002"/>
    <s v="Sepatu Pria"/>
    <s v="Sandal Slip On"/>
    <n v="1"/>
    <n v="2"/>
    <n v="150000"/>
    <n v="120000"/>
    <n v="60000"/>
    <n v="30000"/>
    <m/>
    <s v="-"/>
    <s v="-"/>
    <m/>
    <m/>
    <n v="0"/>
    <n v="0"/>
    <n v="0"/>
    <n v="0"/>
    <m/>
    <s v="-"/>
    <s v="-"/>
    <m/>
    <m/>
    <n v="0"/>
    <n v="0"/>
    <n v="0"/>
    <n v="0"/>
    <n v="1"/>
    <n v="150000"/>
    <n v="120000"/>
    <n v="60000"/>
    <n v="30000"/>
    <s v="DISC20"/>
    <n v="0.2"/>
    <x v="1"/>
    <x v="2"/>
    <x v="4"/>
    <d v="2023-04-28T00:00:00"/>
    <x v="11"/>
    <s v="Friday"/>
    <x v="2"/>
    <n v="2"/>
  </r>
  <r>
    <n v="816"/>
    <s v="ORD-TK0816-30/04/23"/>
    <s v="SP002"/>
    <s v="Sepatu Pria"/>
    <s v="Sandal Slip On"/>
    <n v="2"/>
    <n v="5"/>
    <n v="300000"/>
    <n v="270000"/>
    <n v="120000"/>
    <n v="90000"/>
    <m/>
    <s v="-"/>
    <s v="-"/>
    <m/>
    <m/>
    <n v="0"/>
    <n v="0"/>
    <n v="0"/>
    <n v="0"/>
    <m/>
    <s v="-"/>
    <s v="-"/>
    <m/>
    <m/>
    <n v="0"/>
    <n v="0"/>
    <n v="0"/>
    <n v="0"/>
    <n v="2"/>
    <n v="300000"/>
    <n v="270000"/>
    <n v="120000"/>
    <n v="90000"/>
    <s v="LEBAR10"/>
    <n v="0.1"/>
    <x v="1"/>
    <x v="1"/>
    <x v="4"/>
    <d v="2023-04-30T00:00:00"/>
    <x v="12"/>
    <s v="Sunday"/>
    <x v="2"/>
    <n v="5"/>
  </r>
  <r>
    <n v="817"/>
    <s v="ORD-BL0817-23/04/23"/>
    <s v="SW001"/>
    <s v="Sepatu Wanita"/>
    <s v="Flat Shoes"/>
    <n v="3"/>
    <n v="3"/>
    <n v="750000"/>
    <n v="637500"/>
    <n v="300000"/>
    <n v="187500"/>
    <s v="SP001"/>
    <s v="Sepatu Pria"/>
    <s v="Sneakers"/>
    <n v="1"/>
    <n v="4"/>
    <n v="500000"/>
    <n v="425000"/>
    <n v="200000"/>
    <n v="125000"/>
    <s v="SP002"/>
    <s v="Sepatu Pria"/>
    <s v="Sandal Slip On"/>
    <n v="1"/>
    <n v="4"/>
    <n v="150000"/>
    <n v="127500"/>
    <n v="60000"/>
    <n v="37500"/>
    <n v="5"/>
    <n v="1400000"/>
    <n v="1190000"/>
    <n v="560000"/>
    <n v="350000"/>
    <s v="BUKALEBAR"/>
    <n v="0.15"/>
    <x v="1"/>
    <x v="3"/>
    <x v="0"/>
    <d v="2023-04-23T00:00:00"/>
    <x v="25"/>
    <s v="Sunday"/>
    <x v="2"/>
    <n v="3.6666666666666665"/>
  </r>
  <r>
    <n v="818"/>
    <s v="ORD-BB0818-06/04/23"/>
    <s v="PP002"/>
    <s v="Pakaian Pria"/>
    <s v="Celana Pendek"/>
    <n v="2"/>
    <n v="5"/>
    <n v="360000"/>
    <n v="306000"/>
    <n v="140000"/>
    <n v="86000"/>
    <s v="PP003"/>
    <s v="Pakaian Pria"/>
    <s v="Jaket Jeans"/>
    <n v="1"/>
    <n v="4"/>
    <n v="400000"/>
    <n v="340000"/>
    <n v="150000"/>
    <n v="90000"/>
    <m/>
    <s v="-"/>
    <s v="-"/>
    <m/>
    <m/>
    <n v="0"/>
    <n v="0"/>
    <n v="0"/>
    <n v="0"/>
    <n v="3"/>
    <n v="760000"/>
    <n v="646000"/>
    <n v="290000"/>
    <n v="176000"/>
    <s v="BELI44"/>
    <n v="0.15"/>
    <x v="0"/>
    <x v="0"/>
    <x v="5"/>
    <d v="2023-04-06T00:00:00"/>
    <x v="8"/>
    <s v="Thursday"/>
    <x v="0"/>
    <n v="4.5"/>
  </r>
  <r>
    <n v="819"/>
    <s v="ORD-TK0819-06/04/23"/>
    <s v="PP001"/>
    <s v="Pakaian Pria"/>
    <s v="Kaos Polo"/>
    <n v="1"/>
    <n v="3"/>
    <n v="200000"/>
    <n v="180000"/>
    <n v="80000"/>
    <n v="60000"/>
    <s v="PU001"/>
    <s v="Pakaian Unisex"/>
    <s v="Jaket Hoodie"/>
    <n v="6"/>
    <n v="4"/>
    <n v="2100000"/>
    <n v="1890000"/>
    <n v="780000"/>
    <n v="570000"/>
    <m/>
    <s v="-"/>
    <s v="-"/>
    <m/>
    <m/>
    <n v="0"/>
    <n v="0"/>
    <n v="0"/>
    <n v="0"/>
    <n v="7"/>
    <n v="2300000"/>
    <n v="2070000"/>
    <n v="860000"/>
    <n v="630000"/>
    <s v="DISCAPRIL"/>
    <n v="0.1"/>
    <x v="0"/>
    <x v="1"/>
    <x v="4"/>
    <d v="2023-04-06T00:00:00"/>
    <x v="8"/>
    <s v="Thursday"/>
    <x v="0"/>
    <n v="3.5"/>
  </r>
  <r>
    <n v="820"/>
    <s v="ORD-BL0820-26/04/23"/>
    <s v="PP001"/>
    <s v="Pakaian Pria"/>
    <s v="Kaos Polo"/>
    <n v="3"/>
    <n v="1"/>
    <n v="600000"/>
    <n v="510000"/>
    <n v="240000"/>
    <n v="150000"/>
    <s v="PP002"/>
    <s v="Pakaian Pria"/>
    <s v="Celana Pendek"/>
    <n v="1"/>
    <n v="2"/>
    <n v="180000"/>
    <n v="153000"/>
    <n v="70000"/>
    <n v="43000"/>
    <s v="PW002"/>
    <s v="Pakaian Wanita"/>
    <s v="Blouse"/>
    <n v="1"/>
    <n v="1"/>
    <n v="150000"/>
    <n v="127500"/>
    <n v="50000"/>
    <n v="27500"/>
    <n v="5"/>
    <n v="930000"/>
    <n v="790500"/>
    <n v="360000"/>
    <n v="220500"/>
    <s v="BUKALEBAR"/>
    <n v="0.15"/>
    <x v="1"/>
    <x v="3"/>
    <x v="4"/>
    <d v="2023-04-26T00:00:00"/>
    <x v="15"/>
    <s v="Wednesday"/>
    <x v="2"/>
    <n v="1.3333333333333333"/>
  </r>
  <r>
    <n v="821"/>
    <s v="ORD-TK0821-22/04/23"/>
    <s v="PP002"/>
    <s v="Pakaian Pria"/>
    <s v="Celana Pendek"/>
    <n v="1"/>
    <n v="1"/>
    <n v="180000"/>
    <n v="162000"/>
    <n v="70000"/>
    <n v="52000"/>
    <s v="PP003"/>
    <s v="Pakaian Pria"/>
    <s v="Jaket Jeans"/>
    <n v="1"/>
    <n v="4"/>
    <n v="400000"/>
    <n v="360000"/>
    <n v="150000"/>
    <n v="110000"/>
    <m/>
    <s v="-"/>
    <s v="-"/>
    <m/>
    <m/>
    <n v="0"/>
    <n v="0"/>
    <n v="0"/>
    <n v="0"/>
    <n v="2"/>
    <n v="580000"/>
    <n v="522000"/>
    <n v="220000"/>
    <n v="162000"/>
    <s v="LEBAR10"/>
    <n v="0.1"/>
    <x v="1"/>
    <x v="1"/>
    <x v="4"/>
    <d v="2023-04-22T00:00:00"/>
    <x v="27"/>
    <s v="Saturday"/>
    <x v="2"/>
    <n v="2.5"/>
  </r>
  <r>
    <n v="822"/>
    <s v="ORD-TK0822-03/04/23"/>
    <s v="PP003"/>
    <s v="Pakaian Pria"/>
    <s v="Jaket Jeans"/>
    <n v="3"/>
    <n v="4"/>
    <n v="1200000"/>
    <n v="1080000"/>
    <n v="450000"/>
    <n v="330000"/>
    <s v="PP001"/>
    <s v="Pakaian Pria"/>
    <s v="Kaos Polo"/>
    <n v="1"/>
    <n v="4"/>
    <n v="200000"/>
    <n v="180000"/>
    <n v="80000"/>
    <n v="60000"/>
    <s v="PP001"/>
    <s v="Pakaian Pria"/>
    <s v="Kaos Polo"/>
    <n v="1"/>
    <n v="2"/>
    <n v="200000"/>
    <n v="180000"/>
    <n v="80000"/>
    <n v="60000"/>
    <n v="5"/>
    <n v="1600000"/>
    <n v="1440000"/>
    <n v="610000"/>
    <n v="450000"/>
    <s v="DISCAPRIL"/>
    <n v="0.1"/>
    <x v="0"/>
    <x v="1"/>
    <x v="4"/>
    <d v="2023-04-03T00:00:00"/>
    <x v="2"/>
    <s v="Monday"/>
    <x v="0"/>
    <n v="3.3333333333333335"/>
  </r>
  <r>
    <n v="823"/>
    <s v="ORD-SP0823-06/04/23"/>
    <s v="PW002"/>
    <s v="Pakaian Wanita"/>
    <s v="Blouse"/>
    <n v="2"/>
    <n v="2"/>
    <n v="300000"/>
    <n v="255000"/>
    <n v="100000"/>
    <n v="55000"/>
    <s v="SW001"/>
    <s v="Sepatu Wanita"/>
    <s v="Flat Shoes"/>
    <n v="1"/>
    <n v="1"/>
    <n v="250000"/>
    <n v="212500"/>
    <n v="100000"/>
    <n v="62500"/>
    <s v="PP001"/>
    <s v="Pakaian Pria"/>
    <s v="Kaos Polo"/>
    <n v="4"/>
    <n v="2"/>
    <n v="800000"/>
    <n v="680000"/>
    <n v="320000"/>
    <n v="200000"/>
    <n v="7"/>
    <n v="1350000"/>
    <n v="1147500"/>
    <n v="520000"/>
    <n v="317500"/>
    <s v="DISC15"/>
    <n v="0.15"/>
    <x v="0"/>
    <x v="2"/>
    <x v="4"/>
    <d v="2023-04-06T00:00:00"/>
    <x v="8"/>
    <s v="Thursday"/>
    <x v="0"/>
    <n v="1.6666666666666667"/>
  </r>
  <r>
    <n v="824"/>
    <s v="ORD-TK0824-27/04/23"/>
    <s v="PW001"/>
    <s v="Pakaian Wanita"/>
    <s v="Dress"/>
    <n v="1"/>
    <n v="4"/>
    <n v="300000"/>
    <n v="270000"/>
    <n v="100000"/>
    <n v="70000"/>
    <m/>
    <s v="-"/>
    <s v="-"/>
    <m/>
    <m/>
    <n v="0"/>
    <n v="0"/>
    <n v="0"/>
    <n v="0"/>
    <m/>
    <s v="-"/>
    <s v="-"/>
    <m/>
    <m/>
    <n v="0"/>
    <n v="0"/>
    <n v="0"/>
    <n v="0"/>
    <n v="1"/>
    <n v="300000"/>
    <n v="270000"/>
    <n v="100000"/>
    <n v="70000"/>
    <s v="LEBAR10"/>
    <n v="0.1"/>
    <x v="1"/>
    <x v="1"/>
    <x v="4"/>
    <d v="2023-04-27T00:00:00"/>
    <x v="18"/>
    <s v="Thursday"/>
    <x v="2"/>
    <n v="4"/>
  </r>
  <r>
    <n v="825"/>
    <s v="ORD-BL0825-26/04/23"/>
    <s v="SW001"/>
    <s v="Sepatu Wanita"/>
    <s v="Flat Shoes"/>
    <n v="2"/>
    <n v="2"/>
    <n v="500000"/>
    <n v="425000"/>
    <n v="200000"/>
    <n v="125000"/>
    <s v="PW002"/>
    <s v="Pakaian Wanita"/>
    <s v="Blouse"/>
    <n v="4"/>
    <n v="1"/>
    <n v="600000"/>
    <n v="510000"/>
    <n v="200000"/>
    <n v="110000"/>
    <m/>
    <s v="-"/>
    <s v="-"/>
    <m/>
    <m/>
    <n v="0"/>
    <n v="0"/>
    <n v="0"/>
    <n v="0"/>
    <n v="6"/>
    <n v="1100000"/>
    <n v="935000"/>
    <n v="400000"/>
    <n v="235000"/>
    <s v="BUKALEBAR"/>
    <n v="0.15"/>
    <x v="1"/>
    <x v="3"/>
    <x v="4"/>
    <d v="2023-04-26T00:00:00"/>
    <x v="15"/>
    <s v="Wednesday"/>
    <x v="2"/>
    <n v="1.5"/>
  </r>
  <r>
    <n v="826"/>
    <s v="ORD-BL0826-27/04/23"/>
    <s v="PU001"/>
    <s v="Pakaian Unisex"/>
    <s v="Jaket Hoodie"/>
    <n v="4"/>
    <n v="3"/>
    <n v="1400000"/>
    <n v="1190000"/>
    <n v="520000"/>
    <n v="310000"/>
    <s v="PW002"/>
    <s v="Pakaian Wanita"/>
    <s v="Blouse"/>
    <n v="1"/>
    <n v="5"/>
    <n v="150000"/>
    <n v="127500"/>
    <n v="50000"/>
    <n v="27500"/>
    <m/>
    <s v="-"/>
    <s v="-"/>
    <m/>
    <m/>
    <n v="0"/>
    <n v="0"/>
    <n v="0"/>
    <n v="0"/>
    <n v="5"/>
    <n v="1550000"/>
    <n v="1317500"/>
    <n v="570000"/>
    <n v="337500"/>
    <s v="BUKALEBAR"/>
    <n v="0.15"/>
    <x v="1"/>
    <x v="3"/>
    <x v="4"/>
    <d v="2023-04-27T00:00:00"/>
    <x v="18"/>
    <s v="Thursday"/>
    <x v="2"/>
    <n v="4"/>
  </r>
  <r>
    <n v="827"/>
    <s v="ORD-SP0827-05/04/23"/>
    <s v="PP001"/>
    <s v="Pakaian Pria"/>
    <s v="Kaos Polo"/>
    <n v="1"/>
    <n v="5"/>
    <n v="200000"/>
    <n v="170000"/>
    <n v="80000"/>
    <n v="50000"/>
    <m/>
    <s v="-"/>
    <s v="-"/>
    <m/>
    <m/>
    <n v="0"/>
    <n v="0"/>
    <n v="0"/>
    <n v="0"/>
    <m/>
    <s v="-"/>
    <s v="-"/>
    <m/>
    <m/>
    <n v="0"/>
    <n v="0"/>
    <n v="0"/>
    <n v="0"/>
    <n v="1"/>
    <n v="200000"/>
    <n v="170000"/>
    <n v="80000"/>
    <n v="50000"/>
    <s v="DISC15"/>
    <n v="0.15"/>
    <x v="0"/>
    <x v="2"/>
    <x v="1"/>
    <d v="2023-04-05T00:00:00"/>
    <x v="9"/>
    <s v="Wednesday"/>
    <x v="0"/>
    <n v="5"/>
  </r>
  <r>
    <n v="828"/>
    <s v="ORD-BL0828-13/04/23"/>
    <s v="PP001"/>
    <s v="Pakaian Pria"/>
    <s v="Kaos Polo"/>
    <n v="2"/>
    <n v="2"/>
    <n v="400000"/>
    <n v="400000"/>
    <n v="160000"/>
    <n v="160000"/>
    <s v="SP001"/>
    <s v="Sepatu Pria"/>
    <s v="Sneakers"/>
    <n v="1"/>
    <n v="5"/>
    <n v="500000"/>
    <n v="500000"/>
    <n v="200000"/>
    <n v="200000"/>
    <m/>
    <s v="-"/>
    <s v="-"/>
    <m/>
    <m/>
    <n v="0"/>
    <n v="0"/>
    <n v="0"/>
    <n v="0"/>
    <n v="3"/>
    <n v="900000"/>
    <n v="900000"/>
    <n v="360000"/>
    <n v="360000"/>
    <s v="Tidak Ada"/>
    <s v="-"/>
    <x v="2"/>
    <x v="3"/>
    <x v="4"/>
    <d v="2023-04-13T00:00:00"/>
    <x v="21"/>
    <s v="Thursday"/>
    <x v="3"/>
    <n v="3.5"/>
  </r>
  <r>
    <n v="829"/>
    <s v="ORD-TK0829-24/04/23"/>
    <s v="SP001"/>
    <s v="Sepatu Pria"/>
    <s v="Sneakers"/>
    <n v="1"/>
    <n v="4"/>
    <n v="500000"/>
    <n v="450000"/>
    <n v="200000"/>
    <n v="150000"/>
    <s v="PU001"/>
    <s v="Pakaian Unisex"/>
    <s v="Jaket Hoodie"/>
    <n v="1"/>
    <n v="2"/>
    <n v="350000"/>
    <n v="315000"/>
    <n v="130000"/>
    <n v="95000"/>
    <s v="SP002"/>
    <s v="Sepatu Pria"/>
    <s v="Sandal Slip On"/>
    <n v="1"/>
    <n v="2"/>
    <n v="150000"/>
    <n v="135000"/>
    <n v="60000"/>
    <n v="45000"/>
    <n v="3"/>
    <n v="1000000"/>
    <n v="900000"/>
    <n v="390000"/>
    <n v="290000"/>
    <s v="LEBAR10"/>
    <n v="0.1"/>
    <x v="1"/>
    <x v="1"/>
    <x v="1"/>
    <d v="2023-04-24T00:00:00"/>
    <x v="4"/>
    <s v="Monday"/>
    <x v="2"/>
    <n v="2.6666666666666665"/>
  </r>
  <r>
    <n v="830"/>
    <s v="ORD-BB0830-15/04/23"/>
    <s v="PU001"/>
    <s v="Pakaian Unisex"/>
    <s v="Jaket Hoodie"/>
    <n v="3"/>
    <n v="1"/>
    <n v="1050000"/>
    <n v="1050000"/>
    <n v="390000"/>
    <n v="390000"/>
    <s v="SP002"/>
    <s v="Sepatu Pria"/>
    <s v="Sandal Slip On"/>
    <n v="2"/>
    <n v="4"/>
    <n v="300000"/>
    <n v="300000"/>
    <n v="120000"/>
    <n v="120000"/>
    <s v="PW003"/>
    <s v="Pakaian Wanita"/>
    <s v="Kaftan"/>
    <n v="1"/>
    <n v="5"/>
    <n v="250000"/>
    <n v="250000"/>
    <n v="100000"/>
    <n v="100000"/>
    <n v="6"/>
    <n v="1600000"/>
    <n v="1600000"/>
    <n v="610000"/>
    <n v="610000"/>
    <s v="Tidak Ada"/>
    <s v="-"/>
    <x v="2"/>
    <x v="0"/>
    <x v="3"/>
    <d v="2023-04-15T00:00:00"/>
    <x v="16"/>
    <s v="Saturday"/>
    <x v="1"/>
    <n v="3.3333333333333335"/>
  </r>
  <r>
    <n v="831"/>
    <s v="ORD-SP0831-18/04/23"/>
    <s v="SP001"/>
    <s v="Sepatu Pria"/>
    <s v="Sneakers"/>
    <n v="2"/>
    <n v="5"/>
    <n v="1000000"/>
    <n v="800000"/>
    <n v="400000"/>
    <n v="200000"/>
    <s v="PU001"/>
    <s v="Pakaian Unisex"/>
    <s v="Jaket Hoodie"/>
    <n v="1"/>
    <n v="2"/>
    <n v="350000"/>
    <n v="280000"/>
    <n v="130000"/>
    <n v="60000"/>
    <s v="PW003"/>
    <s v="Pakaian Wanita"/>
    <s v="Kaftan"/>
    <n v="2"/>
    <n v="4"/>
    <n v="500000"/>
    <n v="400000"/>
    <n v="200000"/>
    <n v="100000"/>
    <n v="5"/>
    <n v="1850000"/>
    <n v="1480000"/>
    <n v="730000"/>
    <n v="360000"/>
    <s v="DISC20"/>
    <n v="0.2"/>
    <x v="1"/>
    <x v="2"/>
    <x v="4"/>
    <d v="2023-04-18T00:00:00"/>
    <x v="24"/>
    <s v="Tuesday"/>
    <x v="1"/>
    <n v="3.6666666666666665"/>
  </r>
  <r>
    <n v="832"/>
    <s v="ORD-BL0832-26/04/23"/>
    <s v="PW001"/>
    <s v="Pakaian Wanita"/>
    <s v="Dress"/>
    <n v="1"/>
    <n v="1"/>
    <n v="300000"/>
    <n v="255000"/>
    <n v="100000"/>
    <n v="55000"/>
    <s v="PW001"/>
    <s v="Pakaian Wanita"/>
    <s v="Dress"/>
    <n v="1"/>
    <n v="4"/>
    <n v="300000"/>
    <n v="255000"/>
    <n v="100000"/>
    <n v="55000"/>
    <s v="PW001"/>
    <s v="Pakaian Wanita"/>
    <s v="Dress"/>
    <n v="1"/>
    <n v="2"/>
    <n v="300000"/>
    <n v="255000"/>
    <n v="100000"/>
    <n v="55000"/>
    <n v="3"/>
    <n v="900000"/>
    <n v="765000"/>
    <n v="300000"/>
    <n v="165000"/>
    <s v="BUKALEBAR"/>
    <n v="0.15"/>
    <x v="1"/>
    <x v="3"/>
    <x v="4"/>
    <d v="2023-04-26T00:00:00"/>
    <x v="15"/>
    <s v="Wednesday"/>
    <x v="2"/>
    <n v="2.3333333333333335"/>
  </r>
  <r>
    <n v="833"/>
    <s v="ORD-SP0833-02/04/23"/>
    <s v="PW003"/>
    <s v="Pakaian Wanita"/>
    <s v="Kaftan"/>
    <n v="4"/>
    <n v="3"/>
    <n v="1000000"/>
    <n v="850000"/>
    <n v="400000"/>
    <n v="250000"/>
    <s v="PU001"/>
    <s v="Pakaian Unisex"/>
    <s v="Jaket Hoodie"/>
    <n v="1"/>
    <n v="2"/>
    <n v="350000"/>
    <n v="297500"/>
    <n v="130000"/>
    <n v="77500"/>
    <s v="PW001"/>
    <s v="Pakaian Wanita"/>
    <s v="Dress"/>
    <n v="2"/>
    <n v="5"/>
    <n v="600000"/>
    <n v="510000"/>
    <n v="200000"/>
    <n v="110000"/>
    <n v="7"/>
    <n v="1950000"/>
    <n v="1657500"/>
    <n v="730000"/>
    <n v="437500"/>
    <s v="DISC15"/>
    <n v="0.15"/>
    <x v="0"/>
    <x v="2"/>
    <x v="0"/>
    <d v="2023-04-02T00:00:00"/>
    <x v="1"/>
    <s v="Sunday"/>
    <x v="0"/>
    <n v="3.3333333333333335"/>
  </r>
  <r>
    <n v="834"/>
    <s v="ORD-BL0834-22/04/23"/>
    <s v="PW001"/>
    <s v="Pakaian Wanita"/>
    <s v="Dress"/>
    <n v="1"/>
    <n v="5"/>
    <n v="300000"/>
    <n v="255000"/>
    <n v="100000"/>
    <n v="55000"/>
    <m/>
    <s v="-"/>
    <s v="-"/>
    <m/>
    <m/>
    <n v="0"/>
    <n v="0"/>
    <n v="0"/>
    <n v="0"/>
    <m/>
    <s v="-"/>
    <s v="-"/>
    <m/>
    <m/>
    <n v="0"/>
    <n v="0"/>
    <n v="0"/>
    <n v="0"/>
    <n v="1"/>
    <n v="300000"/>
    <n v="255000"/>
    <n v="100000"/>
    <n v="55000"/>
    <s v="BUKALEBAR"/>
    <n v="0.15"/>
    <x v="1"/>
    <x v="3"/>
    <x v="1"/>
    <d v="2023-04-22T00:00:00"/>
    <x v="27"/>
    <s v="Saturday"/>
    <x v="2"/>
    <n v="5"/>
  </r>
  <r>
    <n v="835"/>
    <s v="ORD-SP0835-03/04/23"/>
    <s v="SP002"/>
    <s v="Sepatu Pria"/>
    <s v="Sandal Slip On"/>
    <n v="1"/>
    <n v="5"/>
    <n v="150000"/>
    <n v="135000"/>
    <n v="60000"/>
    <n v="45000"/>
    <m/>
    <s v="-"/>
    <s v="-"/>
    <m/>
    <m/>
    <n v="0"/>
    <n v="0"/>
    <n v="0"/>
    <n v="0"/>
    <m/>
    <s v="-"/>
    <s v="-"/>
    <m/>
    <m/>
    <n v="0"/>
    <n v="0"/>
    <n v="0"/>
    <n v="0"/>
    <n v="1"/>
    <n v="150000"/>
    <n v="135000"/>
    <n v="60000"/>
    <n v="45000"/>
    <s v="DISC10"/>
    <n v="0.1"/>
    <x v="0"/>
    <x v="2"/>
    <x v="5"/>
    <d v="2023-04-03T00:00:00"/>
    <x v="2"/>
    <s v="Monday"/>
    <x v="0"/>
    <n v="5"/>
  </r>
  <r>
    <n v="836"/>
    <s v="ORD-SP0836-02/04/23"/>
    <s v="SW001"/>
    <s v="Sepatu Wanita"/>
    <s v="Flat Shoes"/>
    <n v="1"/>
    <n v="5"/>
    <n v="250000"/>
    <n v="212500"/>
    <n v="100000"/>
    <n v="62500"/>
    <m/>
    <s v="-"/>
    <s v="-"/>
    <m/>
    <m/>
    <n v="0"/>
    <n v="0"/>
    <n v="0"/>
    <n v="0"/>
    <m/>
    <s v="-"/>
    <s v="-"/>
    <m/>
    <m/>
    <n v="0"/>
    <n v="0"/>
    <n v="0"/>
    <n v="0"/>
    <n v="1"/>
    <n v="250000"/>
    <n v="212500"/>
    <n v="100000"/>
    <n v="62500"/>
    <s v="DISC15"/>
    <n v="0.15"/>
    <x v="0"/>
    <x v="2"/>
    <x v="4"/>
    <d v="2023-04-02T00:00:00"/>
    <x v="1"/>
    <s v="Sunday"/>
    <x v="0"/>
    <n v="5"/>
  </r>
  <r>
    <n v="837"/>
    <s v="ORD-TK0837-04/04/23"/>
    <s v="SP002"/>
    <s v="Sepatu Pria"/>
    <s v="Sandal Slip On"/>
    <n v="7"/>
    <n v="4"/>
    <n v="1050000"/>
    <n v="945000"/>
    <n v="420000"/>
    <n v="315000"/>
    <m/>
    <s v="-"/>
    <s v="-"/>
    <m/>
    <m/>
    <n v="0"/>
    <n v="0"/>
    <n v="0"/>
    <n v="0"/>
    <m/>
    <s v="-"/>
    <s v="-"/>
    <m/>
    <m/>
    <n v="0"/>
    <n v="0"/>
    <n v="0"/>
    <n v="0"/>
    <n v="7"/>
    <n v="1050000"/>
    <n v="945000"/>
    <n v="420000"/>
    <n v="315000"/>
    <s v="DISCAPRIL"/>
    <n v="0.1"/>
    <x v="0"/>
    <x v="1"/>
    <x v="4"/>
    <d v="2023-04-04T00:00:00"/>
    <x v="7"/>
    <s v="Tuesday"/>
    <x v="0"/>
    <n v="4"/>
  </r>
  <r>
    <n v="838"/>
    <s v="ORD-SP0838-06/04/23"/>
    <s v="PP003"/>
    <s v="Pakaian Pria"/>
    <s v="Jaket Jeans"/>
    <n v="2"/>
    <n v="3"/>
    <n v="800000"/>
    <n v="720000"/>
    <n v="300000"/>
    <n v="220000"/>
    <m/>
    <s v="-"/>
    <s v="-"/>
    <m/>
    <m/>
    <n v="0"/>
    <n v="0"/>
    <n v="0"/>
    <n v="0"/>
    <m/>
    <s v="-"/>
    <s v="-"/>
    <m/>
    <m/>
    <n v="0"/>
    <n v="0"/>
    <n v="0"/>
    <n v="0"/>
    <n v="2"/>
    <n v="800000"/>
    <n v="720000"/>
    <n v="300000"/>
    <n v="220000"/>
    <s v="DISC10"/>
    <n v="0.1"/>
    <x v="0"/>
    <x v="2"/>
    <x v="5"/>
    <d v="2023-04-06T00:00:00"/>
    <x v="8"/>
    <s v="Thursday"/>
    <x v="0"/>
    <n v="3"/>
  </r>
  <r>
    <n v="839"/>
    <s v="ORD-TK0839-03/04/23"/>
    <s v="PU001"/>
    <s v="Pakaian Unisex"/>
    <s v="Jaket Hoodie"/>
    <n v="1"/>
    <n v="5"/>
    <n v="350000"/>
    <n v="315000"/>
    <n v="130000"/>
    <n v="95000"/>
    <s v="PW002"/>
    <s v="Pakaian Wanita"/>
    <s v="Blouse"/>
    <n v="1"/>
    <n v="1"/>
    <n v="150000"/>
    <n v="135000"/>
    <n v="50000"/>
    <n v="35000"/>
    <m/>
    <s v="-"/>
    <s v="-"/>
    <m/>
    <m/>
    <n v="0"/>
    <n v="0"/>
    <n v="0"/>
    <n v="0"/>
    <n v="2"/>
    <n v="500000"/>
    <n v="450000"/>
    <n v="180000"/>
    <n v="130000"/>
    <s v="DISCAPRIL"/>
    <n v="0.1"/>
    <x v="0"/>
    <x v="1"/>
    <x v="2"/>
    <d v="2023-04-03T00:00:00"/>
    <x v="2"/>
    <s v="Monday"/>
    <x v="0"/>
    <n v="3"/>
  </r>
  <r>
    <n v="840"/>
    <s v="ORD-SP0840-24/04/23"/>
    <s v="PU001"/>
    <s v="Pakaian Unisex"/>
    <s v="Jaket Hoodie"/>
    <n v="3"/>
    <n v="2"/>
    <n v="1050000"/>
    <n v="840000"/>
    <n v="390000"/>
    <n v="180000"/>
    <s v="PW003"/>
    <s v="Pakaian Wanita"/>
    <s v="Kaftan"/>
    <n v="1"/>
    <n v="5"/>
    <n v="250000"/>
    <n v="200000"/>
    <n v="100000"/>
    <n v="50000"/>
    <s v="PP002"/>
    <s v="Pakaian Pria"/>
    <s v="Celana Pendek"/>
    <n v="2"/>
    <n v="3"/>
    <n v="360000"/>
    <n v="288000"/>
    <n v="140000"/>
    <n v="68000"/>
    <n v="6"/>
    <n v="1660000"/>
    <n v="1328000"/>
    <n v="630000"/>
    <n v="298000"/>
    <s v="DISC20"/>
    <n v="0.2"/>
    <x v="1"/>
    <x v="2"/>
    <x v="0"/>
    <d v="2023-04-24T00:00:00"/>
    <x v="4"/>
    <s v="Monday"/>
    <x v="2"/>
    <n v="3.3333333333333335"/>
  </r>
  <r>
    <n v="841"/>
    <s v="ORD-BL0841-15/04/23"/>
    <s v="PP003"/>
    <s v="Pakaian Pria"/>
    <s v="Jaket Jeans"/>
    <n v="1"/>
    <n v="1"/>
    <n v="400000"/>
    <n v="400000"/>
    <n v="150000"/>
    <n v="150000"/>
    <s v="PP001"/>
    <s v="Pakaian Pria"/>
    <s v="Kaos Polo"/>
    <n v="4"/>
    <n v="1"/>
    <n v="800000"/>
    <n v="800000"/>
    <n v="320000"/>
    <n v="320000"/>
    <m/>
    <s v="-"/>
    <s v="-"/>
    <m/>
    <m/>
    <n v="0"/>
    <n v="0"/>
    <n v="0"/>
    <n v="0"/>
    <n v="5"/>
    <n v="1200000"/>
    <n v="1200000"/>
    <n v="470000"/>
    <n v="470000"/>
    <s v="Tidak Ada"/>
    <s v="-"/>
    <x v="2"/>
    <x v="3"/>
    <x v="4"/>
    <d v="2023-04-15T00:00:00"/>
    <x v="16"/>
    <s v="Saturday"/>
    <x v="1"/>
    <n v="1"/>
  </r>
  <r>
    <n v="842"/>
    <s v="ORD-SP0842-07/04/23"/>
    <s v="SP001"/>
    <s v="Sepatu Pria"/>
    <s v="Sneakers"/>
    <n v="1"/>
    <n v="5"/>
    <n v="500000"/>
    <n v="500000"/>
    <n v="200000"/>
    <n v="200000"/>
    <s v="PW001"/>
    <s v="Pakaian Wanita"/>
    <s v="Dress"/>
    <n v="6"/>
    <n v="4"/>
    <n v="1800000"/>
    <n v="1800000"/>
    <n v="600000"/>
    <n v="600000"/>
    <m/>
    <s v="-"/>
    <s v="-"/>
    <m/>
    <m/>
    <n v="0"/>
    <n v="0"/>
    <n v="0"/>
    <n v="0"/>
    <n v="7"/>
    <n v="2300000"/>
    <n v="2300000"/>
    <n v="800000"/>
    <n v="800000"/>
    <s v="Tidak Ada"/>
    <s v="-"/>
    <x v="2"/>
    <x v="2"/>
    <x v="4"/>
    <d v="2023-04-07T00:00:00"/>
    <x v="28"/>
    <s v="Friday"/>
    <x v="0"/>
    <n v="4.5"/>
  </r>
  <r>
    <n v="843"/>
    <s v="ORD-TK0843-05/04/23"/>
    <s v="PW001"/>
    <s v="Pakaian Wanita"/>
    <s v="Dress"/>
    <n v="1"/>
    <n v="3"/>
    <n v="300000"/>
    <n v="270000"/>
    <n v="100000"/>
    <n v="70000"/>
    <s v="PP001"/>
    <s v="Pakaian Pria"/>
    <s v="Kaos Polo"/>
    <n v="3"/>
    <n v="1"/>
    <n v="600000"/>
    <n v="540000"/>
    <n v="240000"/>
    <n v="180000"/>
    <s v="SP001"/>
    <s v="Sepatu Pria"/>
    <s v="Sneakers"/>
    <n v="1"/>
    <n v="2"/>
    <n v="500000"/>
    <n v="450000"/>
    <n v="200000"/>
    <n v="150000"/>
    <n v="5"/>
    <n v="1400000"/>
    <n v="1260000"/>
    <n v="540000"/>
    <n v="400000"/>
    <s v="DISCAPRIL"/>
    <n v="0.1"/>
    <x v="0"/>
    <x v="1"/>
    <x v="5"/>
    <d v="2023-04-05T00:00:00"/>
    <x v="9"/>
    <s v="Wednesday"/>
    <x v="0"/>
    <n v="2"/>
  </r>
  <r>
    <n v="844"/>
    <s v="ORD-TK0844-16/04/23"/>
    <s v="SP002"/>
    <s v="Sepatu Pria"/>
    <s v="Sandal Slip On"/>
    <n v="1"/>
    <n v="5"/>
    <n v="150000"/>
    <n v="135000"/>
    <n v="60000"/>
    <n v="45000"/>
    <m/>
    <s v="-"/>
    <s v="-"/>
    <m/>
    <m/>
    <n v="0"/>
    <n v="0"/>
    <n v="0"/>
    <n v="0"/>
    <m/>
    <s v="-"/>
    <s v="-"/>
    <m/>
    <m/>
    <n v="0"/>
    <n v="0"/>
    <n v="0"/>
    <n v="0"/>
    <n v="1"/>
    <n v="150000"/>
    <n v="135000"/>
    <n v="60000"/>
    <n v="45000"/>
    <s v="LEBAR10"/>
    <n v="0.1"/>
    <x v="1"/>
    <x v="1"/>
    <x v="4"/>
    <d v="2023-04-16T00:00:00"/>
    <x v="17"/>
    <s v="Sunday"/>
    <x v="1"/>
    <n v="5"/>
  </r>
  <r>
    <n v="845"/>
    <s v="ORD-BB0845-04/04/23"/>
    <s v="PU001"/>
    <s v="Pakaian Unisex"/>
    <s v="Jaket Hoodie"/>
    <n v="2"/>
    <n v="3"/>
    <n v="700000"/>
    <n v="595000"/>
    <n v="260000"/>
    <n v="155000"/>
    <s v="PW001"/>
    <s v="Pakaian Wanita"/>
    <s v="Dress"/>
    <n v="2"/>
    <n v="4"/>
    <n v="600000"/>
    <n v="510000"/>
    <n v="200000"/>
    <n v="110000"/>
    <s v="PP002"/>
    <s v="Pakaian Pria"/>
    <s v="Celana Pendek"/>
    <n v="1"/>
    <n v="5"/>
    <n v="180000"/>
    <n v="153000"/>
    <n v="70000"/>
    <n v="43000"/>
    <n v="5"/>
    <n v="1480000"/>
    <n v="1258000"/>
    <n v="530000"/>
    <n v="308000"/>
    <s v="BELI44"/>
    <n v="0.15"/>
    <x v="0"/>
    <x v="0"/>
    <x v="1"/>
    <d v="2023-04-04T00:00:00"/>
    <x v="7"/>
    <s v="Tuesday"/>
    <x v="0"/>
    <n v="4"/>
  </r>
  <r>
    <n v="846"/>
    <s v="ORD-SP0846-20/04/23"/>
    <s v="PU001"/>
    <s v="Pakaian Unisex"/>
    <s v="Jaket Hoodie"/>
    <n v="1"/>
    <n v="5"/>
    <n v="350000"/>
    <n v="280000"/>
    <n v="130000"/>
    <n v="60000"/>
    <s v="SP002"/>
    <s v="Sepatu Pria"/>
    <s v="Sandal Slip On"/>
    <n v="2"/>
    <n v="2"/>
    <n v="300000"/>
    <n v="240000"/>
    <n v="120000"/>
    <n v="60000"/>
    <s v="PW003"/>
    <s v="Pakaian Wanita"/>
    <s v="Kaftan"/>
    <n v="1"/>
    <n v="2"/>
    <n v="250000"/>
    <n v="200000"/>
    <n v="100000"/>
    <n v="50000"/>
    <n v="4"/>
    <n v="900000"/>
    <n v="720000"/>
    <n v="350000"/>
    <n v="170000"/>
    <s v="DISC20"/>
    <n v="0.2"/>
    <x v="1"/>
    <x v="2"/>
    <x v="4"/>
    <d v="2023-04-20T00:00:00"/>
    <x v="5"/>
    <s v="Thursday"/>
    <x v="1"/>
    <n v="3"/>
  </r>
  <r>
    <n v="847"/>
    <s v="ORD-SP0847-20/04/23"/>
    <s v="PW001"/>
    <s v="Pakaian Wanita"/>
    <s v="Dress"/>
    <n v="2"/>
    <n v="3"/>
    <n v="600000"/>
    <n v="480000"/>
    <n v="200000"/>
    <n v="80000"/>
    <s v="PW002"/>
    <s v="Pakaian Wanita"/>
    <s v="Blouse"/>
    <n v="2"/>
    <n v="3"/>
    <n v="300000"/>
    <n v="240000"/>
    <n v="100000"/>
    <n v="40000"/>
    <m/>
    <s v="-"/>
    <s v="-"/>
    <m/>
    <m/>
    <n v="0"/>
    <n v="0"/>
    <n v="0"/>
    <n v="0"/>
    <n v="4"/>
    <n v="900000"/>
    <n v="720000"/>
    <n v="300000"/>
    <n v="120000"/>
    <s v="DISC20"/>
    <n v="0.2"/>
    <x v="1"/>
    <x v="2"/>
    <x v="1"/>
    <d v="2023-04-20T00:00:00"/>
    <x v="5"/>
    <s v="Thursday"/>
    <x v="1"/>
    <n v="3"/>
  </r>
  <r>
    <n v="848"/>
    <s v="ORD-TK0848-27/04/23"/>
    <s v="PU001"/>
    <s v="Pakaian Unisex"/>
    <s v="Jaket Hoodie"/>
    <n v="3"/>
    <n v="4"/>
    <n v="1050000"/>
    <n v="945000"/>
    <n v="390000"/>
    <n v="285000"/>
    <s v="PU001"/>
    <s v="Pakaian Unisex"/>
    <s v="Jaket Hoodie"/>
    <n v="2"/>
    <n v="4"/>
    <n v="700000"/>
    <n v="630000"/>
    <n v="260000"/>
    <n v="190000"/>
    <m/>
    <s v="-"/>
    <s v="-"/>
    <m/>
    <m/>
    <n v="0"/>
    <n v="0"/>
    <n v="0"/>
    <n v="0"/>
    <n v="5"/>
    <n v="1750000"/>
    <n v="1575000"/>
    <n v="650000"/>
    <n v="475000"/>
    <s v="LEBAR10"/>
    <n v="0.1"/>
    <x v="1"/>
    <x v="1"/>
    <x v="0"/>
    <d v="2023-04-27T00:00:00"/>
    <x v="18"/>
    <s v="Thursday"/>
    <x v="2"/>
    <n v="4"/>
  </r>
  <r>
    <n v="849"/>
    <s v="ORD-SP0849-10/04/23"/>
    <s v="PP001"/>
    <s v="Pakaian Pria"/>
    <s v="Kaos Polo"/>
    <n v="1"/>
    <n v="1"/>
    <n v="200000"/>
    <n v="200000"/>
    <n v="80000"/>
    <n v="80000"/>
    <m/>
    <s v="-"/>
    <s v="-"/>
    <m/>
    <m/>
    <n v="0"/>
    <n v="0"/>
    <n v="0"/>
    <n v="0"/>
    <m/>
    <s v="-"/>
    <s v="-"/>
    <m/>
    <m/>
    <n v="0"/>
    <n v="0"/>
    <n v="0"/>
    <n v="0"/>
    <n v="1"/>
    <n v="200000"/>
    <n v="200000"/>
    <n v="80000"/>
    <n v="80000"/>
    <s v="Tidak Ada"/>
    <s v="-"/>
    <x v="2"/>
    <x v="2"/>
    <x v="2"/>
    <d v="2023-04-10T00:00:00"/>
    <x v="23"/>
    <s v="Monday"/>
    <x v="3"/>
    <n v="1"/>
  </r>
  <r>
    <n v="850"/>
    <s v="ORD-TK0850-07/04/23"/>
    <s v="PP003"/>
    <s v="Pakaian Pria"/>
    <s v="Jaket Jeans"/>
    <n v="2"/>
    <n v="1"/>
    <n v="800000"/>
    <n v="800000"/>
    <n v="300000"/>
    <n v="300000"/>
    <s v="SP001"/>
    <s v="Sepatu Pria"/>
    <s v="Sneakers"/>
    <n v="1"/>
    <n v="2"/>
    <n v="500000"/>
    <n v="500000"/>
    <n v="200000"/>
    <n v="200000"/>
    <s v="PP003"/>
    <s v="Pakaian Pria"/>
    <s v="Jaket Jeans"/>
    <n v="3"/>
    <n v="4"/>
    <n v="1200000"/>
    <n v="1200000"/>
    <n v="450000"/>
    <n v="450000"/>
    <n v="6"/>
    <n v="2500000"/>
    <n v="2500000"/>
    <n v="950000"/>
    <n v="950000"/>
    <s v="Tidak Ada"/>
    <s v="-"/>
    <x v="2"/>
    <x v="1"/>
    <x v="1"/>
    <d v="2023-04-07T00:00:00"/>
    <x v="28"/>
    <s v="Friday"/>
    <x v="0"/>
    <n v="2.3333333333333335"/>
  </r>
  <r>
    <n v="851"/>
    <s v="ORD-BB0851-03/04/23"/>
    <s v="PW002"/>
    <s v="Pakaian Wanita"/>
    <s v="Blouse"/>
    <n v="2"/>
    <n v="2"/>
    <n v="300000"/>
    <n v="255000"/>
    <n v="100000"/>
    <n v="55000"/>
    <m/>
    <s v="-"/>
    <s v="-"/>
    <m/>
    <m/>
    <n v="0"/>
    <n v="0"/>
    <n v="0"/>
    <n v="0"/>
    <m/>
    <s v="-"/>
    <s v="-"/>
    <m/>
    <m/>
    <n v="0"/>
    <n v="0"/>
    <n v="0"/>
    <n v="0"/>
    <n v="2"/>
    <n v="300000"/>
    <n v="255000"/>
    <n v="100000"/>
    <n v="55000"/>
    <s v="BELI44"/>
    <n v="0.15"/>
    <x v="0"/>
    <x v="0"/>
    <x v="1"/>
    <d v="2023-04-03T00:00:00"/>
    <x v="2"/>
    <s v="Monday"/>
    <x v="0"/>
    <n v="2"/>
  </r>
  <r>
    <n v="852"/>
    <s v="ORD-BB0852-05/04/23"/>
    <s v="PU001"/>
    <s v="Pakaian Unisex"/>
    <s v="Jaket Hoodie"/>
    <n v="1"/>
    <n v="2"/>
    <n v="350000"/>
    <n v="297500"/>
    <n v="130000"/>
    <n v="77500"/>
    <s v="PP003"/>
    <s v="Pakaian Pria"/>
    <s v="Jaket Jeans"/>
    <n v="3"/>
    <n v="3"/>
    <n v="1200000"/>
    <n v="1020000"/>
    <n v="450000"/>
    <n v="270000"/>
    <s v="SW001"/>
    <s v="Sepatu Wanita"/>
    <s v="Flat Shoes"/>
    <n v="3"/>
    <n v="1"/>
    <n v="750000"/>
    <n v="637500"/>
    <n v="300000"/>
    <n v="187500"/>
    <n v="7"/>
    <n v="2300000"/>
    <n v="1955000"/>
    <n v="880000"/>
    <n v="535000"/>
    <s v="BELI44"/>
    <n v="0.15"/>
    <x v="0"/>
    <x v="0"/>
    <x v="4"/>
    <d v="2023-04-05T00:00:00"/>
    <x v="9"/>
    <s v="Wednesday"/>
    <x v="0"/>
    <n v="2"/>
  </r>
  <r>
    <n v="853"/>
    <s v="ORD-TK0853-01/04/23"/>
    <s v="PU001"/>
    <s v="Pakaian Unisex"/>
    <s v="Jaket Hoodie"/>
    <n v="2"/>
    <n v="4"/>
    <n v="700000"/>
    <n v="630000"/>
    <n v="260000"/>
    <n v="190000"/>
    <m/>
    <s v="-"/>
    <s v="-"/>
    <m/>
    <m/>
    <n v="0"/>
    <n v="0"/>
    <n v="0"/>
    <n v="0"/>
    <m/>
    <s v="-"/>
    <s v="-"/>
    <m/>
    <m/>
    <n v="0"/>
    <n v="0"/>
    <n v="0"/>
    <n v="0"/>
    <n v="2"/>
    <n v="700000"/>
    <n v="630000"/>
    <n v="260000"/>
    <n v="190000"/>
    <s v="DISCAPRIL"/>
    <n v="0.1"/>
    <x v="0"/>
    <x v="1"/>
    <x v="4"/>
    <d v="2023-04-01T00:00:00"/>
    <x v="0"/>
    <s v="Saturday"/>
    <x v="0"/>
    <n v="4"/>
  </r>
  <r>
    <n v="854"/>
    <s v="ORD-TK0854-04/04/23"/>
    <s v="PW003"/>
    <s v="Pakaian Wanita"/>
    <s v="Kaftan"/>
    <n v="1"/>
    <n v="4"/>
    <n v="250000"/>
    <n v="225000"/>
    <n v="100000"/>
    <n v="75000"/>
    <m/>
    <s v="-"/>
    <s v="-"/>
    <m/>
    <m/>
    <n v="0"/>
    <n v="0"/>
    <n v="0"/>
    <n v="0"/>
    <m/>
    <s v="-"/>
    <s v="-"/>
    <m/>
    <m/>
    <n v="0"/>
    <n v="0"/>
    <n v="0"/>
    <n v="0"/>
    <n v="1"/>
    <n v="250000"/>
    <n v="225000"/>
    <n v="100000"/>
    <n v="75000"/>
    <s v="DISCAPRIL"/>
    <n v="0.1"/>
    <x v="0"/>
    <x v="1"/>
    <x v="4"/>
    <d v="2023-04-04T00:00:00"/>
    <x v="7"/>
    <s v="Tuesday"/>
    <x v="0"/>
    <n v="4"/>
  </r>
  <r>
    <n v="855"/>
    <s v="ORD-BB0855-04/04/23"/>
    <s v="PP001"/>
    <s v="Pakaian Pria"/>
    <s v="Kaos Polo"/>
    <n v="2"/>
    <n v="3"/>
    <n v="400000"/>
    <n v="340000"/>
    <n v="160000"/>
    <n v="100000"/>
    <s v="SW001"/>
    <s v="Sepatu Wanita"/>
    <s v="Flat Shoes"/>
    <n v="2"/>
    <n v="5"/>
    <n v="500000"/>
    <n v="425000"/>
    <n v="200000"/>
    <n v="125000"/>
    <m/>
    <s v="-"/>
    <s v="-"/>
    <m/>
    <m/>
    <n v="0"/>
    <n v="0"/>
    <n v="0"/>
    <n v="0"/>
    <n v="4"/>
    <n v="900000"/>
    <n v="765000"/>
    <n v="360000"/>
    <n v="225000"/>
    <s v="BELI44"/>
    <n v="0.15"/>
    <x v="0"/>
    <x v="0"/>
    <x v="4"/>
    <d v="2023-04-04T00:00:00"/>
    <x v="7"/>
    <s v="Tuesday"/>
    <x v="0"/>
    <n v="4"/>
  </r>
  <r>
    <n v="856"/>
    <s v="ORD-SP0856-03/04/23"/>
    <s v="PP003"/>
    <s v="Pakaian Pria"/>
    <s v="Jaket Jeans"/>
    <n v="2"/>
    <n v="5"/>
    <n v="800000"/>
    <n v="720000"/>
    <n v="300000"/>
    <n v="220000"/>
    <s v="PU001"/>
    <s v="Pakaian Unisex"/>
    <s v="Jaket Hoodie"/>
    <n v="1"/>
    <n v="2"/>
    <n v="350000"/>
    <n v="315000"/>
    <n v="130000"/>
    <n v="95000"/>
    <m/>
    <s v="-"/>
    <s v="-"/>
    <m/>
    <m/>
    <n v="0"/>
    <n v="0"/>
    <n v="0"/>
    <n v="0"/>
    <n v="3"/>
    <n v="1150000"/>
    <n v="1035000"/>
    <n v="430000"/>
    <n v="315000"/>
    <s v="DISC10"/>
    <n v="0.1"/>
    <x v="0"/>
    <x v="2"/>
    <x v="5"/>
    <d v="2023-04-03T00:00:00"/>
    <x v="2"/>
    <s v="Monday"/>
    <x v="0"/>
    <n v="3.5"/>
  </r>
  <r>
    <n v="857"/>
    <s v="ORD-TK0857-29/04/23"/>
    <s v="PP002"/>
    <s v="Pakaian Pria"/>
    <s v="Celana Pendek"/>
    <n v="5"/>
    <n v="1"/>
    <n v="900000"/>
    <n v="810000"/>
    <n v="350000"/>
    <n v="260000"/>
    <s v="PP001"/>
    <s v="Pakaian Pria"/>
    <s v="Kaos Polo"/>
    <n v="1"/>
    <n v="5"/>
    <n v="200000"/>
    <n v="180000"/>
    <n v="80000"/>
    <n v="60000"/>
    <s v="PP003"/>
    <s v="Pakaian Pria"/>
    <s v="Jaket Jeans"/>
    <n v="1"/>
    <n v="3"/>
    <n v="400000"/>
    <n v="360000"/>
    <n v="150000"/>
    <n v="110000"/>
    <n v="7"/>
    <n v="1500000"/>
    <n v="1350000"/>
    <n v="580000"/>
    <n v="430000"/>
    <s v="LEBAR10"/>
    <n v="0.1"/>
    <x v="1"/>
    <x v="1"/>
    <x v="4"/>
    <d v="2023-04-29T00:00:00"/>
    <x v="13"/>
    <s v="Saturday"/>
    <x v="2"/>
    <n v="3"/>
  </r>
  <r>
    <n v="858"/>
    <s v="ORD-SP0858-04/04/23"/>
    <s v="SP001"/>
    <s v="Sepatu Pria"/>
    <s v="Sneakers"/>
    <n v="1"/>
    <n v="3"/>
    <n v="500000"/>
    <n v="425000"/>
    <n v="200000"/>
    <n v="125000"/>
    <s v="PP003"/>
    <s v="Pakaian Pria"/>
    <s v="Jaket Jeans"/>
    <n v="1"/>
    <n v="1"/>
    <n v="400000"/>
    <n v="340000"/>
    <n v="150000"/>
    <n v="90000"/>
    <s v="SW001"/>
    <s v="Sepatu Wanita"/>
    <s v="Flat Shoes"/>
    <n v="3"/>
    <n v="1"/>
    <n v="750000"/>
    <n v="637500"/>
    <n v="300000"/>
    <n v="187500"/>
    <n v="5"/>
    <n v="1650000"/>
    <n v="1402500"/>
    <n v="650000"/>
    <n v="402500"/>
    <s v="DISC15"/>
    <n v="0.15"/>
    <x v="0"/>
    <x v="2"/>
    <x v="1"/>
    <d v="2023-04-04T00:00:00"/>
    <x v="7"/>
    <s v="Tuesday"/>
    <x v="0"/>
    <n v="1.6666666666666667"/>
  </r>
  <r>
    <n v="859"/>
    <s v="ORD-TK0859-08/04/23"/>
    <s v="PW002"/>
    <s v="Pakaian Wanita"/>
    <s v="Blouse"/>
    <n v="1"/>
    <n v="3"/>
    <n v="150000"/>
    <n v="150000"/>
    <n v="50000"/>
    <n v="50000"/>
    <m/>
    <s v="-"/>
    <s v="-"/>
    <m/>
    <m/>
    <n v="0"/>
    <n v="0"/>
    <n v="0"/>
    <n v="0"/>
    <m/>
    <s v="-"/>
    <s v="-"/>
    <m/>
    <m/>
    <n v="0"/>
    <n v="0"/>
    <n v="0"/>
    <n v="0"/>
    <n v="1"/>
    <n v="150000"/>
    <n v="150000"/>
    <n v="50000"/>
    <n v="50000"/>
    <s v="Tidak Ada"/>
    <s v="-"/>
    <x v="2"/>
    <x v="1"/>
    <x v="2"/>
    <d v="2023-04-08T00:00:00"/>
    <x v="26"/>
    <s v="Saturday"/>
    <x v="3"/>
    <n v="3"/>
  </r>
  <r>
    <n v="860"/>
    <s v="ORD-SP0860-03/04/23"/>
    <s v="PU001"/>
    <s v="Pakaian Unisex"/>
    <s v="Jaket Hoodie"/>
    <n v="6"/>
    <n v="1"/>
    <n v="2100000"/>
    <n v="1890000"/>
    <n v="780000"/>
    <n v="570000"/>
    <m/>
    <s v="-"/>
    <s v="-"/>
    <m/>
    <m/>
    <n v="0"/>
    <n v="0"/>
    <n v="0"/>
    <n v="0"/>
    <m/>
    <s v="-"/>
    <s v="-"/>
    <m/>
    <m/>
    <n v="0"/>
    <n v="0"/>
    <n v="0"/>
    <n v="0"/>
    <n v="6"/>
    <n v="2100000"/>
    <n v="1890000"/>
    <n v="780000"/>
    <n v="570000"/>
    <s v="DISC10"/>
    <n v="0.1"/>
    <x v="0"/>
    <x v="2"/>
    <x v="2"/>
    <d v="2023-04-03T00:00:00"/>
    <x v="2"/>
    <s v="Monday"/>
    <x v="0"/>
    <n v="1"/>
  </r>
  <r>
    <n v="861"/>
    <s v="ORD-TK0861-03/04/23"/>
    <s v="PP003"/>
    <s v="Pakaian Pria"/>
    <s v="Jaket Jeans"/>
    <n v="2"/>
    <n v="2"/>
    <n v="800000"/>
    <n v="720000"/>
    <n v="300000"/>
    <n v="220000"/>
    <m/>
    <s v="-"/>
    <s v="-"/>
    <m/>
    <m/>
    <n v="0"/>
    <n v="0"/>
    <n v="0"/>
    <n v="0"/>
    <m/>
    <s v="-"/>
    <s v="-"/>
    <m/>
    <m/>
    <n v="0"/>
    <n v="0"/>
    <n v="0"/>
    <n v="0"/>
    <n v="2"/>
    <n v="800000"/>
    <n v="720000"/>
    <n v="300000"/>
    <n v="220000"/>
    <s v="DISCAPRIL"/>
    <n v="0.1"/>
    <x v="0"/>
    <x v="1"/>
    <x v="3"/>
    <d v="2023-04-03T00:00:00"/>
    <x v="2"/>
    <s v="Monday"/>
    <x v="0"/>
    <n v="2"/>
  </r>
  <r>
    <n v="862"/>
    <s v="ORD-BB0862-08/04/23"/>
    <s v="SP002"/>
    <s v="Sepatu Pria"/>
    <s v="Sandal Slip On"/>
    <n v="1"/>
    <n v="5"/>
    <n v="150000"/>
    <n v="150000"/>
    <n v="60000"/>
    <n v="60000"/>
    <m/>
    <s v="-"/>
    <s v="-"/>
    <m/>
    <m/>
    <n v="0"/>
    <n v="0"/>
    <n v="0"/>
    <n v="0"/>
    <m/>
    <s v="-"/>
    <s v="-"/>
    <m/>
    <m/>
    <n v="0"/>
    <n v="0"/>
    <n v="0"/>
    <n v="0"/>
    <n v="1"/>
    <n v="150000"/>
    <n v="150000"/>
    <n v="60000"/>
    <n v="60000"/>
    <s v="Tidak Ada"/>
    <s v="-"/>
    <x v="2"/>
    <x v="0"/>
    <x v="5"/>
    <d v="2023-04-08T00:00:00"/>
    <x v="26"/>
    <s v="Saturday"/>
    <x v="3"/>
    <n v="5"/>
  </r>
  <r>
    <n v="863"/>
    <s v="ORD-TK0863-10/04/23"/>
    <s v="PP001"/>
    <s v="Pakaian Pria"/>
    <s v="Kaos Polo"/>
    <n v="2"/>
    <n v="2"/>
    <n v="400000"/>
    <n v="400000"/>
    <n v="160000"/>
    <n v="160000"/>
    <m/>
    <s v="-"/>
    <s v="-"/>
    <m/>
    <m/>
    <n v="0"/>
    <n v="0"/>
    <n v="0"/>
    <n v="0"/>
    <m/>
    <s v="-"/>
    <s v="-"/>
    <m/>
    <m/>
    <n v="0"/>
    <n v="0"/>
    <n v="0"/>
    <n v="0"/>
    <n v="2"/>
    <n v="400000"/>
    <n v="400000"/>
    <n v="160000"/>
    <n v="160000"/>
    <s v="Tidak Ada"/>
    <s v="-"/>
    <x v="2"/>
    <x v="1"/>
    <x v="2"/>
    <d v="2023-04-10T00:00:00"/>
    <x v="23"/>
    <s v="Monday"/>
    <x v="3"/>
    <n v="2"/>
  </r>
  <r>
    <n v="864"/>
    <s v="ORD-SP0864-20/04/23"/>
    <s v="PP002"/>
    <s v="Pakaian Pria"/>
    <s v="Celana Pendek"/>
    <n v="2"/>
    <n v="4"/>
    <n v="360000"/>
    <n v="288000"/>
    <n v="140000"/>
    <n v="68000"/>
    <m/>
    <s v="-"/>
    <s v="-"/>
    <m/>
    <m/>
    <n v="0"/>
    <n v="0"/>
    <n v="0"/>
    <n v="0"/>
    <m/>
    <s v="-"/>
    <s v="-"/>
    <m/>
    <m/>
    <n v="0"/>
    <n v="0"/>
    <n v="0"/>
    <n v="0"/>
    <n v="2"/>
    <n v="360000"/>
    <n v="288000"/>
    <n v="140000"/>
    <n v="68000"/>
    <s v="DISC20"/>
    <n v="0.2"/>
    <x v="1"/>
    <x v="2"/>
    <x v="4"/>
    <d v="2023-04-20T00:00:00"/>
    <x v="5"/>
    <s v="Thursday"/>
    <x v="1"/>
    <n v="4"/>
  </r>
  <r>
    <n v="865"/>
    <s v="ORD-TK0865-18/04/23"/>
    <s v="PW002"/>
    <s v="Pakaian Wanita"/>
    <s v="Blouse"/>
    <n v="2"/>
    <n v="5"/>
    <n v="300000"/>
    <n v="270000"/>
    <n v="100000"/>
    <n v="70000"/>
    <m/>
    <s v="-"/>
    <s v="-"/>
    <m/>
    <m/>
    <n v="0"/>
    <n v="0"/>
    <n v="0"/>
    <n v="0"/>
    <m/>
    <s v="-"/>
    <s v="-"/>
    <m/>
    <m/>
    <n v="0"/>
    <n v="0"/>
    <n v="0"/>
    <n v="0"/>
    <n v="2"/>
    <n v="300000"/>
    <n v="270000"/>
    <n v="100000"/>
    <n v="70000"/>
    <s v="LEBAR10"/>
    <n v="0.1"/>
    <x v="1"/>
    <x v="1"/>
    <x v="0"/>
    <d v="2023-04-18T00:00:00"/>
    <x v="24"/>
    <s v="Tuesday"/>
    <x v="1"/>
    <n v="5"/>
  </r>
  <r>
    <n v="866"/>
    <s v="ORD-SP0866-13/04/23"/>
    <s v="PP002"/>
    <s v="Pakaian Pria"/>
    <s v="Celana Pendek"/>
    <n v="4"/>
    <n v="5"/>
    <n v="720000"/>
    <n v="720000"/>
    <n v="280000"/>
    <n v="280000"/>
    <s v="PW003"/>
    <s v="Pakaian Wanita"/>
    <s v="Kaftan"/>
    <n v="1"/>
    <n v="4"/>
    <n v="250000"/>
    <n v="250000"/>
    <n v="100000"/>
    <n v="100000"/>
    <s v="PW003"/>
    <s v="Pakaian Wanita"/>
    <s v="Kaftan"/>
    <n v="1"/>
    <n v="1"/>
    <n v="250000"/>
    <n v="250000"/>
    <n v="100000"/>
    <n v="100000"/>
    <n v="6"/>
    <n v="1220000"/>
    <n v="1220000"/>
    <n v="480000"/>
    <n v="480000"/>
    <s v="Tidak Ada"/>
    <s v="-"/>
    <x v="2"/>
    <x v="2"/>
    <x v="5"/>
    <d v="2023-04-13T00:00:00"/>
    <x v="21"/>
    <s v="Thursday"/>
    <x v="3"/>
    <n v="3.3333333333333335"/>
  </r>
  <r>
    <n v="867"/>
    <s v="ORD-TK0867-03/04/23"/>
    <s v="PP002"/>
    <s v="Pakaian Pria"/>
    <s v="Celana Pendek"/>
    <n v="1"/>
    <n v="5"/>
    <n v="180000"/>
    <n v="162000"/>
    <n v="70000"/>
    <n v="52000"/>
    <m/>
    <s v="-"/>
    <s v="-"/>
    <m/>
    <m/>
    <n v="0"/>
    <n v="0"/>
    <n v="0"/>
    <n v="0"/>
    <m/>
    <s v="-"/>
    <s v="-"/>
    <m/>
    <m/>
    <n v="0"/>
    <n v="0"/>
    <n v="0"/>
    <n v="0"/>
    <n v="1"/>
    <n v="180000"/>
    <n v="162000"/>
    <n v="70000"/>
    <n v="52000"/>
    <s v="DISCAPRIL"/>
    <n v="0.1"/>
    <x v="0"/>
    <x v="1"/>
    <x v="3"/>
    <d v="2023-04-03T00:00:00"/>
    <x v="2"/>
    <s v="Monday"/>
    <x v="0"/>
    <n v="5"/>
  </r>
  <r>
    <n v="868"/>
    <s v="ORD-BL0868-08/04/23"/>
    <s v="SP002"/>
    <s v="Sepatu Pria"/>
    <s v="Sandal Slip On"/>
    <n v="6"/>
    <n v="3"/>
    <n v="900000"/>
    <n v="900000"/>
    <n v="360000"/>
    <n v="360000"/>
    <s v="PW002"/>
    <s v="Pakaian Wanita"/>
    <s v="Blouse"/>
    <n v="1"/>
    <n v="4"/>
    <n v="150000"/>
    <n v="150000"/>
    <n v="50000"/>
    <n v="50000"/>
    <m/>
    <s v="-"/>
    <s v="-"/>
    <m/>
    <m/>
    <n v="0"/>
    <n v="0"/>
    <n v="0"/>
    <n v="0"/>
    <n v="7"/>
    <n v="1050000"/>
    <n v="1050000"/>
    <n v="410000"/>
    <n v="410000"/>
    <s v="Tidak Ada"/>
    <s v="-"/>
    <x v="2"/>
    <x v="3"/>
    <x v="0"/>
    <d v="2023-04-08T00:00:00"/>
    <x v="26"/>
    <s v="Saturday"/>
    <x v="3"/>
    <n v="3.5"/>
  </r>
  <r>
    <n v="869"/>
    <s v="ORD-BL0869-19/04/23"/>
    <s v="SW001"/>
    <s v="Sepatu Wanita"/>
    <s v="Flat Shoes"/>
    <n v="4"/>
    <n v="1"/>
    <n v="1000000"/>
    <n v="850000"/>
    <n v="400000"/>
    <n v="250000"/>
    <m/>
    <s v="-"/>
    <s v="-"/>
    <m/>
    <m/>
    <n v="0"/>
    <n v="0"/>
    <n v="0"/>
    <n v="0"/>
    <m/>
    <s v="-"/>
    <s v="-"/>
    <m/>
    <m/>
    <n v="0"/>
    <n v="0"/>
    <n v="0"/>
    <n v="0"/>
    <n v="4"/>
    <n v="1000000"/>
    <n v="850000"/>
    <n v="400000"/>
    <n v="250000"/>
    <s v="BUKALEBAR"/>
    <n v="0.15"/>
    <x v="1"/>
    <x v="3"/>
    <x v="3"/>
    <d v="2023-04-19T00:00:00"/>
    <x v="19"/>
    <s v="Wednesday"/>
    <x v="1"/>
    <n v="1"/>
  </r>
  <r>
    <n v="870"/>
    <s v="ORD-TK0870-08/04/23"/>
    <s v="PW001"/>
    <s v="Pakaian Wanita"/>
    <s v="Dress"/>
    <n v="1"/>
    <n v="2"/>
    <n v="300000"/>
    <n v="300000"/>
    <n v="100000"/>
    <n v="100000"/>
    <s v="PU001"/>
    <s v="Pakaian Unisex"/>
    <s v="Jaket Hoodie"/>
    <n v="1"/>
    <n v="5"/>
    <n v="350000"/>
    <n v="350000"/>
    <n v="130000"/>
    <n v="130000"/>
    <m/>
    <s v="-"/>
    <s v="-"/>
    <m/>
    <m/>
    <n v="0"/>
    <n v="0"/>
    <n v="0"/>
    <n v="0"/>
    <n v="2"/>
    <n v="650000"/>
    <n v="650000"/>
    <n v="230000"/>
    <n v="230000"/>
    <s v="Tidak Ada"/>
    <s v="-"/>
    <x v="2"/>
    <x v="1"/>
    <x v="4"/>
    <d v="2023-04-08T00:00:00"/>
    <x v="26"/>
    <s v="Saturday"/>
    <x v="3"/>
    <n v="3.5"/>
  </r>
  <r>
    <n v="871"/>
    <s v="ORD-BL0871-23/04/23"/>
    <s v="PP003"/>
    <s v="Pakaian Pria"/>
    <s v="Jaket Jeans"/>
    <n v="3"/>
    <n v="1"/>
    <n v="1200000"/>
    <n v="1020000"/>
    <n v="450000"/>
    <n v="270000"/>
    <m/>
    <s v="-"/>
    <s v="-"/>
    <m/>
    <m/>
    <n v="0"/>
    <n v="0"/>
    <n v="0"/>
    <n v="0"/>
    <m/>
    <s v="-"/>
    <s v="-"/>
    <m/>
    <m/>
    <n v="0"/>
    <n v="0"/>
    <n v="0"/>
    <n v="0"/>
    <n v="3"/>
    <n v="1200000"/>
    <n v="1020000"/>
    <n v="450000"/>
    <n v="270000"/>
    <s v="BUKALEBAR"/>
    <n v="0.15"/>
    <x v="1"/>
    <x v="3"/>
    <x v="3"/>
    <d v="2023-04-23T00:00:00"/>
    <x v="25"/>
    <s v="Sunday"/>
    <x v="2"/>
    <n v="1"/>
  </r>
  <r>
    <n v="872"/>
    <s v="ORD-TK0872-18/04/23"/>
    <s v="PW002"/>
    <s v="Pakaian Wanita"/>
    <s v="Blouse"/>
    <n v="7"/>
    <n v="5"/>
    <n v="1050000"/>
    <n v="945000"/>
    <n v="350000"/>
    <n v="245000"/>
    <m/>
    <s v="-"/>
    <s v="-"/>
    <m/>
    <m/>
    <n v="0"/>
    <n v="0"/>
    <n v="0"/>
    <n v="0"/>
    <m/>
    <s v="-"/>
    <s v="-"/>
    <m/>
    <m/>
    <n v="0"/>
    <n v="0"/>
    <n v="0"/>
    <n v="0"/>
    <n v="7"/>
    <n v="1050000"/>
    <n v="945000"/>
    <n v="350000"/>
    <n v="245000"/>
    <s v="LEBAR10"/>
    <n v="0.1"/>
    <x v="1"/>
    <x v="1"/>
    <x v="4"/>
    <d v="2023-04-18T00:00:00"/>
    <x v="24"/>
    <s v="Tuesday"/>
    <x v="1"/>
    <n v="5"/>
  </r>
  <r>
    <n v="873"/>
    <s v="ORD-TK0873-01/04/23"/>
    <s v="PP001"/>
    <s v="Pakaian Pria"/>
    <s v="Kaos Polo"/>
    <n v="1"/>
    <n v="3"/>
    <n v="200000"/>
    <n v="180000"/>
    <n v="80000"/>
    <n v="60000"/>
    <s v="PU001"/>
    <s v="Pakaian Unisex"/>
    <s v="Jaket Hoodie"/>
    <n v="2"/>
    <n v="5"/>
    <n v="700000"/>
    <n v="630000"/>
    <n v="260000"/>
    <n v="190000"/>
    <s v="PP002"/>
    <s v="Pakaian Pria"/>
    <s v="Celana Pendek"/>
    <n v="1"/>
    <n v="4"/>
    <n v="180000"/>
    <n v="162000"/>
    <n v="70000"/>
    <n v="52000"/>
    <n v="4"/>
    <n v="1080000"/>
    <n v="972000"/>
    <n v="410000"/>
    <n v="302000"/>
    <s v="DISCAPRIL"/>
    <n v="0.1"/>
    <x v="0"/>
    <x v="1"/>
    <x v="5"/>
    <d v="2023-04-01T00:00:00"/>
    <x v="0"/>
    <s v="Saturday"/>
    <x v="0"/>
    <n v="4"/>
  </r>
  <r>
    <n v="874"/>
    <s v="ORD-TK0874-23/04/23"/>
    <s v="SP001"/>
    <s v="Sepatu Pria"/>
    <s v="Sneakers"/>
    <n v="2"/>
    <n v="4"/>
    <n v="1000000"/>
    <n v="900000"/>
    <n v="400000"/>
    <n v="300000"/>
    <s v="PP003"/>
    <s v="Pakaian Pria"/>
    <s v="Jaket Jeans"/>
    <n v="1"/>
    <n v="3"/>
    <n v="400000"/>
    <n v="360000"/>
    <n v="150000"/>
    <n v="110000"/>
    <s v="SW001"/>
    <s v="Sepatu Wanita"/>
    <s v="Flat Shoes"/>
    <n v="4"/>
    <n v="2"/>
    <n v="1000000"/>
    <n v="900000"/>
    <n v="400000"/>
    <n v="300000"/>
    <n v="7"/>
    <n v="2400000"/>
    <n v="2160000"/>
    <n v="950000"/>
    <n v="710000"/>
    <s v="LEBAR10"/>
    <n v="0.1"/>
    <x v="1"/>
    <x v="1"/>
    <x v="4"/>
    <d v="2023-04-23T00:00:00"/>
    <x v="25"/>
    <s v="Sunday"/>
    <x v="2"/>
    <n v="3"/>
  </r>
  <r>
    <n v="875"/>
    <s v="ORD-BL0875-21/04/23"/>
    <s v="PW003"/>
    <s v="Pakaian Wanita"/>
    <s v="Kaftan"/>
    <n v="4"/>
    <n v="1"/>
    <n v="1000000"/>
    <n v="850000"/>
    <n v="400000"/>
    <n v="250000"/>
    <s v="PP003"/>
    <s v="Pakaian Pria"/>
    <s v="Jaket Jeans"/>
    <n v="2"/>
    <n v="4"/>
    <n v="800000"/>
    <n v="680000"/>
    <n v="300000"/>
    <n v="180000"/>
    <m/>
    <s v="-"/>
    <s v="-"/>
    <m/>
    <m/>
    <n v="0"/>
    <n v="0"/>
    <n v="0"/>
    <n v="0"/>
    <n v="6"/>
    <n v="1800000"/>
    <n v="1530000"/>
    <n v="700000"/>
    <n v="430000"/>
    <s v="BUKALEBAR"/>
    <n v="0.15"/>
    <x v="1"/>
    <x v="3"/>
    <x v="4"/>
    <d v="2023-04-21T00:00:00"/>
    <x v="20"/>
    <s v="Friday"/>
    <x v="1"/>
    <n v="2.5"/>
  </r>
  <r>
    <n v="876"/>
    <s v="ORD-SP0876-01/04/23"/>
    <s v="PW001"/>
    <s v="Pakaian Wanita"/>
    <s v="Dress"/>
    <n v="1"/>
    <n v="2"/>
    <n v="300000"/>
    <n v="255000"/>
    <n v="100000"/>
    <n v="55000"/>
    <m/>
    <s v="-"/>
    <s v="-"/>
    <m/>
    <m/>
    <n v="0"/>
    <n v="0"/>
    <n v="0"/>
    <n v="0"/>
    <m/>
    <s v="-"/>
    <s v="-"/>
    <m/>
    <m/>
    <n v="0"/>
    <n v="0"/>
    <n v="0"/>
    <n v="0"/>
    <n v="1"/>
    <n v="300000"/>
    <n v="255000"/>
    <n v="100000"/>
    <n v="55000"/>
    <s v="DISC15"/>
    <n v="0.15"/>
    <x v="0"/>
    <x v="2"/>
    <x v="5"/>
    <d v="2023-04-01T00:00:00"/>
    <x v="0"/>
    <s v="Saturday"/>
    <x v="0"/>
    <n v="2"/>
  </r>
  <r>
    <n v="877"/>
    <s v="ORD-SP0877-12/04/23"/>
    <s v="PP002"/>
    <s v="Pakaian Pria"/>
    <s v="Celana Pendek"/>
    <n v="1"/>
    <n v="1"/>
    <n v="180000"/>
    <n v="180000"/>
    <n v="70000"/>
    <n v="70000"/>
    <m/>
    <s v="-"/>
    <s v="-"/>
    <m/>
    <m/>
    <n v="0"/>
    <n v="0"/>
    <n v="0"/>
    <n v="0"/>
    <m/>
    <s v="-"/>
    <s v="-"/>
    <m/>
    <m/>
    <n v="0"/>
    <n v="0"/>
    <n v="0"/>
    <n v="0"/>
    <n v="1"/>
    <n v="180000"/>
    <n v="180000"/>
    <n v="70000"/>
    <n v="70000"/>
    <s v="Tidak Ada"/>
    <s v="-"/>
    <x v="2"/>
    <x v="2"/>
    <x v="4"/>
    <d v="2023-04-12T00:00:00"/>
    <x v="14"/>
    <s v="Wednesday"/>
    <x v="3"/>
    <n v="1"/>
  </r>
  <r>
    <n v="878"/>
    <s v="ORD-BL0878-28/04/23"/>
    <s v="PU001"/>
    <s v="Pakaian Unisex"/>
    <s v="Jaket Hoodie"/>
    <n v="1"/>
    <n v="5"/>
    <n v="350000"/>
    <n v="297500"/>
    <n v="130000"/>
    <n v="77500"/>
    <s v="SP001"/>
    <s v="Sepatu Pria"/>
    <s v="Sneakers"/>
    <n v="1"/>
    <n v="3"/>
    <n v="500000"/>
    <n v="425000"/>
    <n v="200000"/>
    <n v="125000"/>
    <s v="PP001"/>
    <s v="Pakaian Pria"/>
    <s v="Kaos Polo"/>
    <n v="1"/>
    <n v="1"/>
    <n v="200000"/>
    <n v="170000"/>
    <n v="80000"/>
    <n v="50000"/>
    <n v="3"/>
    <n v="1050000"/>
    <n v="892500"/>
    <n v="410000"/>
    <n v="252500"/>
    <s v="BUKALEBAR"/>
    <n v="0.15"/>
    <x v="1"/>
    <x v="3"/>
    <x v="2"/>
    <d v="2023-04-28T00:00:00"/>
    <x v="11"/>
    <s v="Friday"/>
    <x v="2"/>
    <n v="3"/>
  </r>
  <r>
    <n v="879"/>
    <s v="ORD-BL0879-16/04/23"/>
    <s v="SP001"/>
    <s v="Sepatu Pria"/>
    <s v="Sneakers"/>
    <n v="7"/>
    <n v="2"/>
    <n v="3500000"/>
    <n v="2975000"/>
    <n v="1400000"/>
    <n v="875000"/>
    <m/>
    <s v="-"/>
    <s v="-"/>
    <m/>
    <m/>
    <n v="0"/>
    <n v="0"/>
    <n v="0"/>
    <n v="0"/>
    <m/>
    <s v="-"/>
    <s v="-"/>
    <m/>
    <m/>
    <n v="0"/>
    <n v="0"/>
    <n v="0"/>
    <n v="0"/>
    <n v="7"/>
    <n v="3500000"/>
    <n v="2975000"/>
    <n v="1400000"/>
    <n v="875000"/>
    <s v="BUKALEBAR"/>
    <n v="0.15"/>
    <x v="1"/>
    <x v="3"/>
    <x v="4"/>
    <d v="2023-04-16T00:00:00"/>
    <x v="17"/>
    <s v="Sunday"/>
    <x v="1"/>
    <n v="2"/>
  </r>
  <r>
    <n v="880"/>
    <s v="ORD-SP0880-01/04/23"/>
    <s v="SW001"/>
    <s v="Sepatu Wanita"/>
    <s v="Flat Shoes"/>
    <n v="1"/>
    <n v="1"/>
    <n v="250000"/>
    <n v="225000"/>
    <n v="100000"/>
    <n v="75000"/>
    <s v="PW003"/>
    <s v="Pakaian Wanita"/>
    <s v="Kaftan"/>
    <n v="2"/>
    <n v="4"/>
    <n v="500000"/>
    <n v="450000"/>
    <n v="200000"/>
    <n v="150000"/>
    <m/>
    <s v="-"/>
    <s v="-"/>
    <m/>
    <m/>
    <n v="0"/>
    <n v="0"/>
    <n v="0"/>
    <n v="0"/>
    <n v="3"/>
    <n v="750000"/>
    <n v="675000"/>
    <n v="300000"/>
    <n v="225000"/>
    <s v="DISC10"/>
    <n v="0.1"/>
    <x v="0"/>
    <x v="2"/>
    <x v="4"/>
    <d v="2023-04-01T00:00:00"/>
    <x v="0"/>
    <s v="Saturday"/>
    <x v="0"/>
    <n v="2.5"/>
  </r>
  <r>
    <n v="881"/>
    <s v="ORD-TK0881-23/04/23"/>
    <s v="PW003"/>
    <s v="Pakaian Wanita"/>
    <s v="Kaftan"/>
    <n v="3"/>
    <n v="4"/>
    <n v="750000"/>
    <n v="675000"/>
    <n v="300000"/>
    <n v="225000"/>
    <s v="PP001"/>
    <s v="Pakaian Pria"/>
    <s v="Kaos Polo"/>
    <n v="1"/>
    <n v="1"/>
    <n v="200000"/>
    <n v="180000"/>
    <n v="80000"/>
    <n v="60000"/>
    <s v="PP003"/>
    <s v="Pakaian Pria"/>
    <s v="Jaket Jeans"/>
    <n v="3"/>
    <n v="5"/>
    <n v="1200000"/>
    <n v="1080000"/>
    <n v="450000"/>
    <n v="330000"/>
    <n v="7"/>
    <n v="2150000"/>
    <n v="1935000"/>
    <n v="830000"/>
    <n v="615000"/>
    <s v="LEBAR10"/>
    <n v="0.1"/>
    <x v="1"/>
    <x v="1"/>
    <x v="0"/>
    <d v="2023-04-23T00:00:00"/>
    <x v="25"/>
    <s v="Sunday"/>
    <x v="2"/>
    <n v="3.3333333333333335"/>
  </r>
  <r>
    <n v="882"/>
    <s v="ORD-TK0882-03/04/23"/>
    <s v="PU001"/>
    <s v="Pakaian Unisex"/>
    <s v="Jaket Hoodie"/>
    <n v="2"/>
    <n v="2"/>
    <n v="700000"/>
    <n v="630000"/>
    <n v="260000"/>
    <n v="190000"/>
    <m/>
    <s v="-"/>
    <s v="-"/>
    <m/>
    <m/>
    <n v="0"/>
    <n v="0"/>
    <n v="0"/>
    <n v="0"/>
    <m/>
    <s v="-"/>
    <s v="-"/>
    <m/>
    <m/>
    <n v="0"/>
    <n v="0"/>
    <n v="0"/>
    <n v="0"/>
    <n v="2"/>
    <n v="700000"/>
    <n v="630000"/>
    <n v="260000"/>
    <n v="190000"/>
    <s v="DISCAPRIL"/>
    <n v="0.1"/>
    <x v="0"/>
    <x v="1"/>
    <x v="4"/>
    <d v="2023-04-03T00:00:00"/>
    <x v="2"/>
    <s v="Monday"/>
    <x v="0"/>
    <n v="2"/>
  </r>
  <r>
    <n v="883"/>
    <s v="ORD-SP0883-04/04/23"/>
    <s v="PW003"/>
    <s v="Pakaian Wanita"/>
    <s v="Kaftan"/>
    <n v="2"/>
    <n v="2"/>
    <n v="500000"/>
    <n v="425000"/>
    <n v="200000"/>
    <n v="125000"/>
    <s v="PW002"/>
    <s v="Pakaian Wanita"/>
    <s v="Blouse"/>
    <n v="1"/>
    <n v="5"/>
    <n v="150000"/>
    <n v="127500"/>
    <n v="50000"/>
    <n v="27500"/>
    <s v="SW001"/>
    <s v="Sepatu Wanita"/>
    <s v="Flat Shoes"/>
    <n v="1"/>
    <n v="4"/>
    <n v="250000"/>
    <n v="212500"/>
    <n v="100000"/>
    <n v="62500"/>
    <n v="4"/>
    <n v="900000"/>
    <n v="765000"/>
    <n v="350000"/>
    <n v="215000"/>
    <s v="DISC15"/>
    <n v="0.15"/>
    <x v="0"/>
    <x v="2"/>
    <x v="1"/>
    <d v="2023-04-04T00:00:00"/>
    <x v="7"/>
    <s v="Tuesday"/>
    <x v="0"/>
    <n v="3.6666666666666665"/>
  </r>
  <r>
    <n v="884"/>
    <s v="ORD-SP0884-02/04/23"/>
    <s v="PP003"/>
    <s v="Pakaian Pria"/>
    <s v="Jaket Jeans"/>
    <n v="1"/>
    <n v="3"/>
    <n v="400000"/>
    <n v="340000"/>
    <n v="150000"/>
    <n v="90000"/>
    <s v="SP002"/>
    <s v="Sepatu Pria"/>
    <s v="Sandal Slip On"/>
    <n v="1"/>
    <n v="4"/>
    <n v="150000"/>
    <n v="127500"/>
    <n v="60000"/>
    <n v="37500"/>
    <s v="PP002"/>
    <s v="Pakaian Pria"/>
    <s v="Celana Pendek"/>
    <n v="3"/>
    <n v="5"/>
    <n v="540000"/>
    <n v="459000"/>
    <n v="210000"/>
    <n v="129000"/>
    <n v="5"/>
    <n v="1090000"/>
    <n v="926500"/>
    <n v="420000"/>
    <n v="256500"/>
    <s v="DISC15"/>
    <n v="0.15"/>
    <x v="0"/>
    <x v="2"/>
    <x v="3"/>
    <d v="2023-04-02T00:00:00"/>
    <x v="1"/>
    <s v="Sunday"/>
    <x v="0"/>
    <n v="4"/>
  </r>
  <r>
    <n v="885"/>
    <s v="ORD-BB0885-04/04/23"/>
    <s v="SP001"/>
    <s v="Sepatu Pria"/>
    <s v="Sneakers"/>
    <n v="4"/>
    <n v="5"/>
    <n v="2000000"/>
    <n v="1700000"/>
    <n v="800000"/>
    <n v="500000"/>
    <s v="PP001"/>
    <s v="Pakaian Pria"/>
    <s v="Kaos Polo"/>
    <n v="1"/>
    <n v="5"/>
    <n v="200000"/>
    <n v="170000"/>
    <n v="80000"/>
    <n v="50000"/>
    <m/>
    <s v="-"/>
    <s v="-"/>
    <m/>
    <m/>
    <n v="0"/>
    <n v="0"/>
    <n v="0"/>
    <n v="0"/>
    <n v="5"/>
    <n v="2200000"/>
    <n v="1870000"/>
    <n v="880000"/>
    <n v="550000"/>
    <s v="BELI44"/>
    <n v="0.15"/>
    <x v="0"/>
    <x v="0"/>
    <x v="2"/>
    <d v="2023-04-04T00:00:00"/>
    <x v="7"/>
    <s v="Tuesday"/>
    <x v="0"/>
    <n v="5"/>
  </r>
  <r>
    <n v="886"/>
    <s v="ORD-SP0886-20/04/23"/>
    <s v="PU001"/>
    <s v="Pakaian Unisex"/>
    <s v="Jaket Hoodie"/>
    <n v="2"/>
    <n v="5"/>
    <n v="700000"/>
    <n v="560000"/>
    <n v="260000"/>
    <n v="120000"/>
    <s v="PP001"/>
    <s v="Pakaian Pria"/>
    <s v="Kaos Polo"/>
    <n v="2"/>
    <n v="5"/>
    <n v="400000"/>
    <n v="320000"/>
    <n v="160000"/>
    <n v="80000"/>
    <s v="SW001"/>
    <s v="Sepatu Wanita"/>
    <s v="Flat Shoes"/>
    <n v="2"/>
    <n v="1"/>
    <n v="500000"/>
    <n v="400000"/>
    <n v="200000"/>
    <n v="100000"/>
    <n v="6"/>
    <n v="1600000"/>
    <n v="1280000"/>
    <n v="620000"/>
    <n v="300000"/>
    <s v="DISC20"/>
    <n v="0.2"/>
    <x v="1"/>
    <x v="2"/>
    <x v="0"/>
    <d v="2023-04-20T00:00:00"/>
    <x v="5"/>
    <s v="Thursday"/>
    <x v="1"/>
    <n v="3.6666666666666665"/>
  </r>
  <r>
    <n v="887"/>
    <s v="ORD-TK0887-28/04/23"/>
    <s v="PW002"/>
    <s v="Pakaian Wanita"/>
    <s v="Blouse"/>
    <n v="1"/>
    <n v="1"/>
    <n v="150000"/>
    <n v="135000"/>
    <n v="50000"/>
    <n v="35000"/>
    <m/>
    <s v="-"/>
    <s v="-"/>
    <m/>
    <m/>
    <n v="0"/>
    <n v="0"/>
    <n v="0"/>
    <n v="0"/>
    <m/>
    <s v="-"/>
    <s v="-"/>
    <m/>
    <m/>
    <n v="0"/>
    <n v="0"/>
    <n v="0"/>
    <n v="0"/>
    <n v="1"/>
    <n v="150000"/>
    <n v="135000"/>
    <n v="50000"/>
    <n v="35000"/>
    <s v="LEBAR10"/>
    <n v="0.1"/>
    <x v="1"/>
    <x v="1"/>
    <x v="1"/>
    <d v="2023-04-28T00:00:00"/>
    <x v="11"/>
    <s v="Friday"/>
    <x v="2"/>
    <n v="1"/>
  </r>
  <r>
    <n v="888"/>
    <s v="ORD-BB0888-06/04/23"/>
    <s v="PP003"/>
    <s v="Pakaian Pria"/>
    <s v="Jaket Jeans"/>
    <n v="1"/>
    <n v="1"/>
    <n v="400000"/>
    <n v="340000"/>
    <n v="150000"/>
    <n v="90000"/>
    <s v="PP002"/>
    <s v="Pakaian Pria"/>
    <s v="Celana Pendek"/>
    <n v="1"/>
    <n v="3"/>
    <n v="180000"/>
    <n v="153000"/>
    <n v="70000"/>
    <n v="43000"/>
    <s v="SP001"/>
    <s v="Sepatu Pria"/>
    <s v="Sneakers"/>
    <n v="2"/>
    <n v="4"/>
    <n v="1000000"/>
    <n v="850000"/>
    <n v="400000"/>
    <n v="250000"/>
    <n v="4"/>
    <n v="1580000"/>
    <n v="1343000"/>
    <n v="620000"/>
    <n v="383000"/>
    <s v="BELI44"/>
    <n v="0.15"/>
    <x v="0"/>
    <x v="0"/>
    <x v="0"/>
    <d v="2023-04-06T00:00:00"/>
    <x v="8"/>
    <s v="Thursday"/>
    <x v="0"/>
    <n v="2.6666666666666665"/>
  </r>
  <r>
    <n v="889"/>
    <s v="ORD-SP0889-30/04/23"/>
    <s v="SP001"/>
    <s v="Sepatu Pria"/>
    <s v="Sneakers"/>
    <n v="2"/>
    <n v="4"/>
    <n v="1000000"/>
    <n v="800000"/>
    <n v="400000"/>
    <n v="200000"/>
    <s v="PP002"/>
    <s v="Pakaian Pria"/>
    <s v="Celana Pendek"/>
    <n v="1"/>
    <n v="4"/>
    <n v="180000"/>
    <n v="144000"/>
    <n v="70000"/>
    <n v="34000"/>
    <m/>
    <s v="-"/>
    <s v="-"/>
    <m/>
    <m/>
    <n v="0"/>
    <n v="0"/>
    <n v="0"/>
    <n v="0"/>
    <n v="3"/>
    <n v="1180000"/>
    <n v="944000"/>
    <n v="470000"/>
    <n v="234000"/>
    <s v="DISC20"/>
    <n v="0.2"/>
    <x v="1"/>
    <x v="2"/>
    <x v="4"/>
    <d v="2023-04-30T00:00:00"/>
    <x v="12"/>
    <s v="Sunday"/>
    <x v="2"/>
    <n v="4"/>
  </r>
  <r>
    <n v="890"/>
    <s v="ORD-BL0890-17/04/23"/>
    <s v="PP003"/>
    <s v="Pakaian Pria"/>
    <s v="Jaket Jeans"/>
    <n v="4"/>
    <n v="2"/>
    <n v="1600000"/>
    <n v="1360000"/>
    <n v="600000"/>
    <n v="360000"/>
    <s v="PW003"/>
    <s v="Pakaian Wanita"/>
    <s v="Kaftan"/>
    <n v="1"/>
    <n v="5"/>
    <n v="250000"/>
    <n v="212500"/>
    <n v="100000"/>
    <n v="62500"/>
    <s v="SP002"/>
    <s v="Sepatu Pria"/>
    <s v="Sandal Slip On"/>
    <n v="1"/>
    <n v="5"/>
    <n v="150000"/>
    <n v="127500"/>
    <n v="60000"/>
    <n v="37500"/>
    <n v="6"/>
    <n v="2000000"/>
    <n v="1700000"/>
    <n v="760000"/>
    <n v="460000"/>
    <s v="BUKALEBAR"/>
    <n v="0.15"/>
    <x v="1"/>
    <x v="3"/>
    <x v="3"/>
    <d v="2023-04-17T00:00:00"/>
    <x v="3"/>
    <s v="Monday"/>
    <x v="1"/>
    <n v="4"/>
  </r>
  <r>
    <n v="891"/>
    <s v="ORD-TK0891-03/04/23"/>
    <s v="SP001"/>
    <s v="Sepatu Pria"/>
    <s v="Sneakers"/>
    <n v="3"/>
    <n v="4"/>
    <n v="1500000"/>
    <n v="1350000"/>
    <n v="600000"/>
    <n v="450000"/>
    <s v="SP002"/>
    <s v="Sepatu Pria"/>
    <s v="Sandal Slip On"/>
    <n v="2"/>
    <n v="3"/>
    <n v="300000"/>
    <n v="270000"/>
    <n v="120000"/>
    <n v="90000"/>
    <m/>
    <s v="-"/>
    <s v="-"/>
    <m/>
    <m/>
    <n v="0"/>
    <n v="0"/>
    <n v="0"/>
    <n v="0"/>
    <n v="5"/>
    <n v="1800000"/>
    <n v="1620000"/>
    <n v="720000"/>
    <n v="540000"/>
    <s v="DISCAPRIL"/>
    <n v="0.1"/>
    <x v="0"/>
    <x v="1"/>
    <x v="1"/>
    <d v="2023-04-03T00:00:00"/>
    <x v="2"/>
    <s v="Monday"/>
    <x v="0"/>
    <n v="3.5"/>
  </r>
  <r>
    <n v="892"/>
    <s v="ORD-BL0892-19/04/23"/>
    <s v="PP001"/>
    <s v="Pakaian Pria"/>
    <s v="Kaos Polo"/>
    <n v="1"/>
    <n v="4"/>
    <n v="200000"/>
    <n v="170000"/>
    <n v="80000"/>
    <n v="50000"/>
    <s v="PP002"/>
    <s v="Pakaian Pria"/>
    <s v="Celana Pendek"/>
    <n v="1"/>
    <n v="2"/>
    <n v="180000"/>
    <n v="153000"/>
    <n v="70000"/>
    <n v="43000"/>
    <m/>
    <s v="-"/>
    <s v="-"/>
    <m/>
    <m/>
    <n v="0"/>
    <n v="0"/>
    <n v="0"/>
    <n v="0"/>
    <n v="2"/>
    <n v="380000"/>
    <n v="323000"/>
    <n v="150000"/>
    <n v="93000"/>
    <s v="BUKALEBAR"/>
    <n v="0.15"/>
    <x v="1"/>
    <x v="3"/>
    <x v="4"/>
    <d v="2023-04-19T00:00:00"/>
    <x v="19"/>
    <s v="Wednesday"/>
    <x v="1"/>
    <n v="3"/>
  </r>
  <r>
    <n v="893"/>
    <s v="ORD-TK0893-04/04/23"/>
    <s v="PU001"/>
    <s v="Pakaian Unisex"/>
    <s v="Jaket Hoodie"/>
    <n v="1"/>
    <n v="1"/>
    <n v="350000"/>
    <n v="315000"/>
    <n v="130000"/>
    <n v="95000"/>
    <s v="SP001"/>
    <s v="Sepatu Pria"/>
    <s v="Sneakers"/>
    <n v="1"/>
    <n v="2"/>
    <n v="500000"/>
    <n v="450000"/>
    <n v="200000"/>
    <n v="150000"/>
    <s v="SP002"/>
    <s v="Sepatu Pria"/>
    <s v="Sandal Slip On"/>
    <n v="3"/>
    <n v="2"/>
    <n v="450000"/>
    <n v="405000"/>
    <n v="180000"/>
    <n v="135000"/>
    <n v="5"/>
    <n v="1300000"/>
    <n v="1170000"/>
    <n v="510000"/>
    <n v="380000"/>
    <s v="DISCAPRIL"/>
    <n v="0.1"/>
    <x v="0"/>
    <x v="1"/>
    <x v="0"/>
    <d v="2023-04-04T00:00:00"/>
    <x v="7"/>
    <s v="Tuesday"/>
    <x v="0"/>
    <n v="1.6666666666666667"/>
  </r>
  <r>
    <n v="894"/>
    <s v="ORD-BL0894-27/04/23"/>
    <s v="SP001"/>
    <s v="Sepatu Pria"/>
    <s v="Sneakers"/>
    <n v="4"/>
    <n v="2"/>
    <n v="2000000"/>
    <n v="1700000"/>
    <n v="800000"/>
    <n v="500000"/>
    <s v="PW001"/>
    <s v="Pakaian Wanita"/>
    <s v="Dress"/>
    <n v="3"/>
    <n v="4"/>
    <n v="900000"/>
    <n v="765000"/>
    <n v="300000"/>
    <n v="165000"/>
    <m/>
    <s v="-"/>
    <s v="-"/>
    <m/>
    <m/>
    <n v="0"/>
    <n v="0"/>
    <n v="0"/>
    <n v="0"/>
    <n v="7"/>
    <n v="2900000"/>
    <n v="2465000"/>
    <n v="1100000"/>
    <n v="665000"/>
    <s v="BUKALEBAR"/>
    <n v="0.15"/>
    <x v="1"/>
    <x v="3"/>
    <x v="2"/>
    <d v="2023-04-27T00:00:00"/>
    <x v="18"/>
    <s v="Thursday"/>
    <x v="2"/>
    <n v="3"/>
  </r>
  <r>
    <n v="895"/>
    <s v="ORD-SP0895-20/04/23"/>
    <s v="PW001"/>
    <s v="Pakaian Wanita"/>
    <s v="Dress"/>
    <n v="4"/>
    <n v="4"/>
    <n v="1200000"/>
    <n v="960000"/>
    <n v="400000"/>
    <n v="160000"/>
    <s v="PP001"/>
    <s v="Pakaian Pria"/>
    <s v="Kaos Polo"/>
    <n v="1"/>
    <n v="5"/>
    <n v="200000"/>
    <n v="160000"/>
    <n v="80000"/>
    <n v="40000"/>
    <m/>
    <s v="-"/>
    <s v="-"/>
    <m/>
    <m/>
    <n v="0"/>
    <n v="0"/>
    <n v="0"/>
    <n v="0"/>
    <n v="5"/>
    <n v="1400000"/>
    <n v="1120000"/>
    <n v="480000"/>
    <n v="200000"/>
    <s v="DISC20"/>
    <n v="0.2"/>
    <x v="1"/>
    <x v="2"/>
    <x v="0"/>
    <d v="2023-04-20T00:00:00"/>
    <x v="5"/>
    <s v="Thursday"/>
    <x v="1"/>
    <n v="4.5"/>
  </r>
  <r>
    <n v="896"/>
    <s v="ORD-SP0896-04/04/23"/>
    <s v="PW003"/>
    <s v="Pakaian Wanita"/>
    <s v="Kaftan"/>
    <n v="1"/>
    <n v="3"/>
    <n v="250000"/>
    <n v="225000"/>
    <n v="100000"/>
    <n v="75000"/>
    <s v="PU001"/>
    <s v="Pakaian Unisex"/>
    <s v="Jaket Hoodie"/>
    <n v="2"/>
    <n v="5"/>
    <n v="700000"/>
    <n v="630000"/>
    <n v="260000"/>
    <n v="190000"/>
    <s v="PP003"/>
    <s v="Pakaian Pria"/>
    <s v="Jaket Jeans"/>
    <n v="2"/>
    <n v="2"/>
    <n v="800000"/>
    <n v="720000"/>
    <n v="300000"/>
    <n v="220000"/>
    <n v="5"/>
    <n v="1750000"/>
    <n v="1575000"/>
    <n v="660000"/>
    <n v="485000"/>
    <s v="DISC10"/>
    <n v="0.1"/>
    <x v="0"/>
    <x v="2"/>
    <x v="5"/>
    <d v="2023-04-04T00:00:00"/>
    <x v="7"/>
    <s v="Tuesday"/>
    <x v="0"/>
    <n v="3.3333333333333335"/>
  </r>
  <r>
    <n v="897"/>
    <s v="ORD-BL0897-25/04/23"/>
    <s v="SP001"/>
    <s v="Sepatu Pria"/>
    <s v="Sneakers"/>
    <n v="3"/>
    <n v="4"/>
    <n v="1500000"/>
    <n v="1275000"/>
    <n v="600000"/>
    <n v="375000"/>
    <s v="PU001"/>
    <s v="Pakaian Unisex"/>
    <s v="Jaket Hoodie"/>
    <n v="3"/>
    <n v="3"/>
    <n v="1050000"/>
    <n v="892500"/>
    <n v="390000"/>
    <n v="232500"/>
    <m/>
    <s v="-"/>
    <s v="-"/>
    <m/>
    <m/>
    <n v="0"/>
    <n v="0"/>
    <n v="0"/>
    <n v="0"/>
    <n v="6"/>
    <n v="2550000"/>
    <n v="2167500"/>
    <n v="990000"/>
    <n v="607500"/>
    <s v="BUKALEBAR"/>
    <n v="0.15"/>
    <x v="1"/>
    <x v="3"/>
    <x v="4"/>
    <d v="2023-04-25T00:00:00"/>
    <x v="6"/>
    <s v="Tuesday"/>
    <x v="2"/>
    <n v="3.5"/>
  </r>
  <r>
    <n v="898"/>
    <s v="ORD-SP0898-01/04/23"/>
    <s v="SP001"/>
    <s v="Sepatu Pria"/>
    <s v="Sneakers"/>
    <n v="3"/>
    <n v="1"/>
    <n v="1500000"/>
    <n v="1350000"/>
    <n v="600000"/>
    <n v="450000"/>
    <s v="SW001"/>
    <s v="Sepatu Wanita"/>
    <s v="Flat Shoes"/>
    <n v="1"/>
    <n v="4"/>
    <n v="250000"/>
    <n v="225000"/>
    <n v="100000"/>
    <n v="75000"/>
    <m/>
    <s v="-"/>
    <s v="-"/>
    <m/>
    <m/>
    <n v="0"/>
    <n v="0"/>
    <n v="0"/>
    <n v="0"/>
    <n v="4"/>
    <n v="1750000"/>
    <n v="1575000"/>
    <n v="700000"/>
    <n v="525000"/>
    <s v="DISC10"/>
    <n v="0.1"/>
    <x v="0"/>
    <x v="2"/>
    <x v="2"/>
    <d v="2023-04-01T00:00:00"/>
    <x v="0"/>
    <s v="Saturday"/>
    <x v="0"/>
    <n v="2.5"/>
  </r>
  <r>
    <n v="899"/>
    <s v="ORD-BL0899-23/04/23"/>
    <s v="PU001"/>
    <s v="Pakaian Unisex"/>
    <s v="Jaket Hoodie"/>
    <n v="1"/>
    <n v="1"/>
    <n v="350000"/>
    <n v="297500"/>
    <n v="130000"/>
    <n v="77500"/>
    <m/>
    <s v="-"/>
    <s v="-"/>
    <m/>
    <m/>
    <n v="0"/>
    <n v="0"/>
    <n v="0"/>
    <n v="0"/>
    <m/>
    <s v="-"/>
    <s v="-"/>
    <m/>
    <m/>
    <n v="0"/>
    <n v="0"/>
    <n v="0"/>
    <n v="0"/>
    <n v="1"/>
    <n v="350000"/>
    <n v="297500"/>
    <n v="130000"/>
    <n v="77500"/>
    <s v="BUKALEBAR"/>
    <n v="0.15"/>
    <x v="1"/>
    <x v="3"/>
    <x v="3"/>
    <d v="2023-04-23T00:00:00"/>
    <x v="25"/>
    <s v="Sunday"/>
    <x v="2"/>
    <n v="1"/>
  </r>
  <r>
    <n v="900"/>
    <s v="ORD-TK0900-07/04/23"/>
    <s v="PW003"/>
    <s v="Pakaian Wanita"/>
    <s v="Kaftan"/>
    <n v="2"/>
    <n v="2"/>
    <n v="500000"/>
    <n v="500000"/>
    <n v="200000"/>
    <n v="200000"/>
    <s v="SP001"/>
    <s v="Sepatu Pria"/>
    <s v="Sneakers"/>
    <n v="2"/>
    <n v="5"/>
    <n v="1000000"/>
    <n v="1000000"/>
    <n v="400000"/>
    <n v="400000"/>
    <m/>
    <s v="-"/>
    <s v="-"/>
    <m/>
    <m/>
    <n v="0"/>
    <n v="0"/>
    <n v="0"/>
    <n v="0"/>
    <n v="4"/>
    <n v="1500000"/>
    <n v="1500000"/>
    <n v="600000"/>
    <n v="600000"/>
    <s v="Tidak Ada"/>
    <s v="-"/>
    <x v="2"/>
    <x v="1"/>
    <x v="5"/>
    <d v="2023-04-07T00:00:00"/>
    <x v="28"/>
    <s v="Friday"/>
    <x v="0"/>
    <n v="3.5"/>
  </r>
  <r>
    <n v="901"/>
    <s v="ORD-SP0901-13/04/23"/>
    <s v="PW002"/>
    <s v="Pakaian Wanita"/>
    <s v="Blouse"/>
    <n v="1"/>
    <n v="5"/>
    <n v="150000"/>
    <n v="150000"/>
    <n v="50000"/>
    <n v="50000"/>
    <m/>
    <s v="-"/>
    <s v="-"/>
    <m/>
    <m/>
    <n v="0"/>
    <n v="0"/>
    <n v="0"/>
    <n v="0"/>
    <m/>
    <s v="-"/>
    <s v="-"/>
    <m/>
    <m/>
    <n v="0"/>
    <n v="0"/>
    <n v="0"/>
    <n v="0"/>
    <n v="1"/>
    <n v="150000"/>
    <n v="150000"/>
    <n v="50000"/>
    <n v="50000"/>
    <s v="Tidak Ada"/>
    <s v="-"/>
    <x v="2"/>
    <x v="2"/>
    <x v="0"/>
    <d v="2023-04-13T00:00:00"/>
    <x v="21"/>
    <s v="Thursday"/>
    <x v="3"/>
    <n v="5"/>
  </r>
  <r>
    <n v="902"/>
    <s v="ORD-SP0902-05/04/23"/>
    <s v="SP002"/>
    <s v="Sepatu Pria"/>
    <s v="Sandal Slip On"/>
    <n v="3"/>
    <n v="2"/>
    <n v="450000"/>
    <n v="405000"/>
    <n v="180000"/>
    <n v="135000"/>
    <s v="SW001"/>
    <s v="Sepatu Wanita"/>
    <s v="Flat Shoes"/>
    <n v="2"/>
    <n v="1"/>
    <n v="500000"/>
    <n v="450000"/>
    <n v="200000"/>
    <n v="150000"/>
    <m/>
    <s v="-"/>
    <s v="-"/>
    <m/>
    <m/>
    <n v="0"/>
    <n v="0"/>
    <n v="0"/>
    <n v="0"/>
    <n v="5"/>
    <n v="950000"/>
    <n v="855000"/>
    <n v="380000"/>
    <n v="285000"/>
    <s v="DISC10"/>
    <n v="0.1"/>
    <x v="0"/>
    <x v="2"/>
    <x v="1"/>
    <d v="2023-04-05T00:00:00"/>
    <x v="9"/>
    <s v="Wednesday"/>
    <x v="0"/>
    <n v="1.5"/>
  </r>
  <r>
    <n v="903"/>
    <s v="ORD-TK0903-26/04/23"/>
    <s v="PU001"/>
    <s v="Pakaian Unisex"/>
    <s v="Jaket Hoodie"/>
    <n v="2"/>
    <n v="5"/>
    <n v="700000"/>
    <n v="630000"/>
    <n v="260000"/>
    <n v="190000"/>
    <m/>
    <s v="-"/>
    <s v="-"/>
    <m/>
    <m/>
    <n v="0"/>
    <n v="0"/>
    <n v="0"/>
    <n v="0"/>
    <m/>
    <s v="-"/>
    <s v="-"/>
    <m/>
    <m/>
    <n v="0"/>
    <n v="0"/>
    <n v="0"/>
    <n v="0"/>
    <n v="2"/>
    <n v="700000"/>
    <n v="630000"/>
    <n v="260000"/>
    <n v="190000"/>
    <s v="LEBAR10"/>
    <n v="0.1"/>
    <x v="1"/>
    <x v="1"/>
    <x v="2"/>
    <d v="2023-04-26T00:00:00"/>
    <x v="15"/>
    <s v="Wednesday"/>
    <x v="2"/>
    <n v="5"/>
  </r>
  <r>
    <n v="904"/>
    <s v="ORD-TK0904-29/04/23"/>
    <s v="SP001"/>
    <s v="Sepatu Pria"/>
    <s v="Sneakers"/>
    <n v="4"/>
    <n v="4"/>
    <n v="2000000"/>
    <n v="1800000"/>
    <n v="800000"/>
    <n v="600000"/>
    <s v="SP002"/>
    <s v="Sepatu Pria"/>
    <s v="Sandal Slip On"/>
    <n v="1"/>
    <n v="5"/>
    <n v="150000"/>
    <n v="135000"/>
    <n v="60000"/>
    <n v="45000"/>
    <s v="PP003"/>
    <s v="Pakaian Pria"/>
    <s v="Jaket Jeans"/>
    <n v="1"/>
    <n v="4"/>
    <n v="400000"/>
    <n v="360000"/>
    <n v="150000"/>
    <n v="110000"/>
    <n v="6"/>
    <n v="2550000"/>
    <n v="2295000"/>
    <n v="1010000"/>
    <n v="755000"/>
    <s v="LEBAR10"/>
    <n v="0.1"/>
    <x v="1"/>
    <x v="1"/>
    <x v="4"/>
    <d v="2023-04-29T00:00:00"/>
    <x v="13"/>
    <s v="Saturday"/>
    <x v="2"/>
    <n v="4.333333333333333"/>
  </r>
  <r>
    <n v="905"/>
    <s v="ORD-SP0905-06/04/23"/>
    <s v="SP001"/>
    <s v="Sepatu Pria"/>
    <s v="Sneakers"/>
    <n v="3"/>
    <n v="4"/>
    <n v="1500000"/>
    <n v="1350000"/>
    <n v="600000"/>
    <n v="450000"/>
    <s v="PP003"/>
    <s v="Pakaian Pria"/>
    <s v="Jaket Jeans"/>
    <n v="1"/>
    <n v="2"/>
    <n v="400000"/>
    <n v="360000"/>
    <n v="150000"/>
    <n v="110000"/>
    <s v="PP003"/>
    <s v="Pakaian Pria"/>
    <s v="Jaket Jeans"/>
    <n v="2"/>
    <n v="2"/>
    <n v="800000"/>
    <n v="720000"/>
    <n v="300000"/>
    <n v="220000"/>
    <n v="6"/>
    <n v="2700000"/>
    <n v="2430000"/>
    <n v="1050000"/>
    <n v="780000"/>
    <s v="DISC10"/>
    <n v="0.1"/>
    <x v="0"/>
    <x v="2"/>
    <x v="0"/>
    <d v="2023-04-06T00:00:00"/>
    <x v="8"/>
    <s v="Thursday"/>
    <x v="0"/>
    <n v="2.6666666666666665"/>
  </r>
  <r>
    <n v="906"/>
    <s v="ORD-SP0906-05/04/23"/>
    <s v="PP003"/>
    <s v="Pakaian Pria"/>
    <s v="Jaket Jeans"/>
    <n v="1"/>
    <n v="4"/>
    <n v="400000"/>
    <n v="340000"/>
    <n v="150000"/>
    <n v="90000"/>
    <s v="SP002"/>
    <s v="Sepatu Pria"/>
    <s v="Sandal Slip On"/>
    <n v="4"/>
    <n v="5"/>
    <n v="600000"/>
    <n v="510000"/>
    <n v="240000"/>
    <n v="150000"/>
    <s v="PP003"/>
    <s v="Pakaian Pria"/>
    <s v="Jaket Jeans"/>
    <n v="1"/>
    <n v="4"/>
    <n v="400000"/>
    <n v="340000"/>
    <n v="150000"/>
    <n v="90000"/>
    <n v="6"/>
    <n v="1400000"/>
    <n v="1190000"/>
    <n v="540000"/>
    <n v="330000"/>
    <s v="DISC15"/>
    <n v="0.15"/>
    <x v="0"/>
    <x v="2"/>
    <x v="4"/>
    <d v="2023-04-05T00:00:00"/>
    <x v="9"/>
    <s v="Wednesday"/>
    <x v="0"/>
    <n v="4.333333333333333"/>
  </r>
  <r>
    <n v="907"/>
    <s v="ORD-BL0907-19/04/23"/>
    <s v="SP001"/>
    <s v="Sepatu Pria"/>
    <s v="Sneakers"/>
    <n v="1"/>
    <n v="2"/>
    <n v="500000"/>
    <n v="425000"/>
    <n v="200000"/>
    <n v="125000"/>
    <m/>
    <s v="-"/>
    <s v="-"/>
    <m/>
    <m/>
    <n v="0"/>
    <n v="0"/>
    <n v="0"/>
    <n v="0"/>
    <m/>
    <s v="-"/>
    <s v="-"/>
    <m/>
    <m/>
    <n v="0"/>
    <n v="0"/>
    <n v="0"/>
    <n v="0"/>
    <n v="1"/>
    <n v="500000"/>
    <n v="425000"/>
    <n v="200000"/>
    <n v="125000"/>
    <s v="BUKALEBAR"/>
    <n v="0.15"/>
    <x v="1"/>
    <x v="3"/>
    <x v="0"/>
    <d v="2023-04-19T00:00:00"/>
    <x v="19"/>
    <s v="Wednesday"/>
    <x v="1"/>
    <n v="2"/>
  </r>
  <r>
    <n v="908"/>
    <s v="ORD-SP0908-11/04/23"/>
    <s v="PW001"/>
    <s v="Pakaian Wanita"/>
    <s v="Dress"/>
    <n v="2"/>
    <n v="1"/>
    <n v="600000"/>
    <n v="600000"/>
    <n v="200000"/>
    <n v="200000"/>
    <s v="PP001"/>
    <s v="Pakaian Pria"/>
    <s v="Kaos Polo"/>
    <n v="1"/>
    <n v="1"/>
    <n v="200000"/>
    <n v="200000"/>
    <n v="80000"/>
    <n v="80000"/>
    <s v="SP001"/>
    <s v="Sepatu Pria"/>
    <s v="Sneakers"/>
    <n v="2"/>
    <n v="1"/>
    <n v="1000000"/>
    <n v="1000000"/>
    <n v="400000"/>
    <n v="400000"/>
    <n v="5"/>
    <n v="1800000"/>
    <n v="1800000"/>
    <n v="680000"/>
    <n v="680000"/>
    <s v="Tidak Ada"/>
    <s v="-"/>
    <x v="2"/>
    <x v="2"/>
    <x v="4"/>
    <d v="2023-04-11T00:00:00"/>
    <x v="29"/>
    <s v="Tuesday"/>
    <x v="3"/>
    <n v="1"/>
  </r>
  <r>
    <n v="909"/>
    <s v="ORD-TK0909-01/04/23"/>
    <s v="SP002"/>
    <s v="Sepatu Pria"/>
    <s v="Sandal Slip On"/>
    <n v="1"/>
    <n v="1"/>
    <n v="150000"/>
    <n v="135000"/>
    <n v="60000"/>
    <n v="45000"/>
    <m/>
    <s v="-"/>
    <s v="-"/>
    <m/>
    <m/>
    <n v="0"/>
    <n v="0"/>
    <n v="0"/>
    <n v="0"/>
    <m/>
    <s v="-"/>
    <s v="-"/>
    <m/>
    <m/>
    <n v="0"/>
    <n v="0"/>
    <n v="0"/>
    <n v="0"/>
    <n v="1"/>
    <n v="150000"/>
    <n v="135000"/>
    <n v="60000"/>
    <n v="45000"/>
    <s v="DISCAPRIL"/>
    <n v="0.1"/>
    <x v="0"/>
    <x v="1"/>
    <x v="4"/>
    <d v="2023-04-01T00:00:00"/>
    <x v="0"/>
    <s v="Saturday"/>
    <x v="0"/>
    <n v="1"/>
  </r>
  <r>
    <n v="910"/>
    <s v="ORD-SP0910-27/04/23"/>
    <s v="SP001"/>
    <s v="Sepatu Pria"/>
    <s v="Sneakers"/>
    <n v="6"/>
    <n v="2"/>
    <n v="3000000"/>
    <n v="2400000"/>
    <n v="1200000"/>
    <n v="600000"/>
    <s v="SP002"/>
    <s v="Sepatu Pria"/>
    <s v="Sandal Slip On"/>
    <n v="1"/>
    <n v="2"/>
    <n v="150000"/>
    <n v="120000"/>
    <n v="60000"/>
    <n v="30000"/>
    <m/>
    <s v="-"/>
    <s v="-"/>
    <m/>
    <m/>
    <n v="0"/>
    <n v="0"/>
    <n v="0"/>
    <n v="0"/>
    <n v="7"/>
    <n v="3150000"/>
    <n v="2520000"/>
    <n v="1260000"/>
    <n v="630000"/>
    <s v="DISC20"/>
    <n v="0.2"/>
    <x v="1"/>
    <x v="2"/>
    <x v="0"/>
    <d v="2023-04-27T00:00:00"/>
    <x v="18"/>
    <s v="Thursday"/>
    <x v="2"/>
    <n v="2"/>
  </r>
  <r>
    <n v="911"/>
    <s v="ORD-BB0911-03/04/23"/>
    <s v="PW001"/>
    <s v="Pakaian Wanita"/>
    <s v="Dress"/>
    <n v="6"/>
    <n v="2"/>
    <n v="1800000"/>
    <n v="1530000"/>
    <n v="600000"/>
    <n v="330000"/>
    <m/>
    <s v="-"/>
    <s v="-"/>
    <m/>
    <m/>
    <n v="0"/>
    <n v="0"/>
    <n v="0"/>
    <n v="0"/>
    <m/>
    <s v="-"/>
    <s v="-"/>
    <m/>
    <m/>
    <n v="0"/>
    <n v="0"/>
    <n v="0"/>
    <n v="0"/>
    <n v="6"/>
    <n v="1800000"/>
    <n v="1530000"/>
    <n v="600000"/>
    <n v="330000"/>
    <s v="BELI44"/>
    <n v="0.15"/>
    <x v="0"/>
    <x v="0"/>
    <x v="5"/>
    <d v="2023-04-03T00:00:00"/>
    <x v="2"/>
    <s v="Monday"/>
    <x v="0"/>
    <n v="2"/>
  </r>
  <r>
    <n v="912"/>
    <s v="ORD-TK0912-28/04/23"/>
    <s v="PW002"/>
    <s v="Pakaian Wanita"/>
    <s v="Blouse"/>
    <n v="6"/>
    <n v="2"/>
    <n v="900000"/>
    <n v="810000"/>
    <n v="300000"/>
    <n v="210000"/>
    <s v="SW001"/>
    <s v="Sepatu Wanita"/>
    <s v="Flat Shoes"/>
    <n v="1"/>
    <n v="5"/>
    <n v="250000"/>
    <n v="225000"/>
    <n v="100000"/>
    <n v="75000"/>
    <m/>
    <s v="-"/>
    <s v="-"/>
    <m/>
    <m/>
    <n v="0"/>
    <n v="0"/>
    <n v="0"/>
    <n v="0"/>
    <n v="7"/>
    <n v="1150000"/>
    <n v="1035000"/>
    <n v="400000"/>
    <n v="285000"/>
    <s v="LEBAR10"/>
    <n v="0.1"/>
    <x v="1"/>
    <x v="1"/>
    <x v="5"/>
    <d v="2023-04-28T00:00:00"/>
    <x v="11"/>
    <s v="Friday"/>
    <x v="2"/>
    <n v="3.5"/>
  </r>
  <r>
    <n v="913"/>
    <s v="ORD-BL0913-19/04/23"/>
    <s v="PW002"/>
    <s v="Pakaian Wanita"/>
    <s v="Blouse"/>
    <n v="2"/>
    <n v="3"/>
    <n v="300000"/>
    <n v="255000"/>
    <n v="100000"/>
    <n v="55000"/>
    <s v="PW001"/>
    <s v="Pakaian Wanita"/>
    <s v="Dress"/>
    <n v="1"/>
    <n v="5"/>
    <n v="300000"/>
    <n v="255000"/>
    <n v="100000"/>
    <n v="55000"/>
    <m/>
    <s v="-"/>
    <s v="-"/>
    <m/>
    <m/>
    <n v="0"/>
    <n v="0"/>
    <n v="0"/>
    <n v="0"/>
    <n v="3"/>
    <n v="600000"/>
    <n v="510000"/>
    <n v="200000"/>
    <n v="110000"/>
    <s v="BUKALEBAR"/>
    <n v="0.15"/>
    <x v="1"/>
    <x v="3"/>
    <x v="5"/>
    <d v="2023-04-19T00:00:00"/>
    <x v="19"/>
    <s v="Wednesday"/>
    <x v="1"/>
    <n v="4"/>
  </r>
  <r>
    <n v="914"/>
    <s v="ORD-BB0914-03/04/23"/>
    <s v="PW001"/>
    <s v="Pakaian Wanita"/>
    <s v="Dress"/>
    <n v="4"/>
    <n v="1"/>
    <n v="1200000"/>
    <n v="1020000"/>
    <n v="400000"/>
    <n v="220000"/>
    <m/>
    <s v="-"/>
    <s v="-"/>
    <m/>
    <m/>
    <n v="0"/>
    <n v="0"/>
    <n v="0"/>
    <n v="0"/>
    <m/>
    <s v="-"/>
    <s v="-"/>
    <m/>
    <m/>
    <n v="0"/>
    <n v="0"/>
    <n v="0"/>
    <n v="0"/>
    <n v="4"/>
    <n v="1200000"/>
    <n v="1020000"/>
    <n v="400000"/>
    <n v="220000"/>
    <s v="BELI44"/>
    <n v="0.15"/>
    <x v="0"/>
    <x v="0"/>
    <x v="4"/>
    <d v="2023-04-03T00:00:00"/>
    <x v="2"/>
    <s v="Monday"/>
    <x v="0"/>
    <n v="1"/>
  </r>
  <r>
    <n v="915"/>
    <s v="ORD-SP0915-03/04/23"/>
    <s v="PW002"/>
    <s v="Pakaian Wanita"/>
    <s v="Blouse"/>
    <n v="1"/>
    <n v="3"/>
    <n v="150000"/>
    <n v="135000"/>
    <n v="50000"/>
    <n v="35000"/>
    <s v="PP003"/>
    <s v="Pakaian Pria"/>
    <s v="Jaket Jeans"/>
    <n v="1"/>
    <n v="3"/>
    <n v="400000"/>
    <n v="360000"/>
    <n v="150000"/>
    <n v="110000"/>
    <m/>
    <s v="-"/>
    <s v="-"/>
    <m/>
    <m/>
    <n v="0"/>
    <n v="0"/>
    <n v="0"/>
    <n v="0"/>
    <n v="2"/>
    <n v="550000"/>
    <n v="495000"/>
    <n v="200000"/>
    <n v="145000"/>
    <s v="DISC10"/>
    <n v="0.1"/>
    <x v="0"/>
    <x v="2"/>
    <x v="1"/>
    <d v="2023-04-03T00:00:00"/>
    <x v="2"/>
    <s v="Monday"/>
    <x v="0"/>
    <n v="3"/>
  </r>
  <r>
    <n v="916"/>
    <s v="ORD-TK0916-15/04/23"/>
    <s v="PW001"/>
    <s v="Pakaian Wanita"/>
    <s v="Dress"/>
    <n v="5"/>
    <n v="2"/>
    <n v="1500000"/>
    <n v="1500000"/>
    <n v="500000"/>
    <n v="500000"/>
    <s v="PU001"/>
    <s v="Pakaian Unisex"/>
    <s v="Jaket Hoodie"/>
    <n v="2"/>
    <n v="5"/>
    <n v="700000"/>
    <n v="700000"/>
    <n v="260000"/>
    <n v="260000"/>
    <m/>
    <s v="-"/>
    <s v="-"/>
    <m/>
    <m/>
    <n v="0"/>
    <n v="0"/>
    <n v="0"/>
    <n v="0"/>
    <n v="7"/>
    <n v="2200000"/>
    <n v="2200000"/>
    <n v="760000"/>
    <n v="760000"/>
    <s v="Tidak Ada"/>
    <s v="-"/>
    <x v="2"/>
    <x v="1"/>
    <x v="4"/>
    <d v="2023-04-15T00:00:00"/>
    <x v="16"/>
    <s v="Saturday"/>
    <x v="1"/>
    <n v="3.5"/>
  </r>
  <r>
    <n v="917"/>
    <s v="ORD-BB0917-03/04/23"/>
    <s v="SP001"/>
    <s v="Sepatu Pria"/>
    <s v="Sneakers"/>
    <n v="5"/>
    <n v="3"/>
    <n v="2500000"/>
    <n v="2125000"/>
    <n v="1000000"/>
    <n v="625000"/>
    <s v="PP003"/>
    <s v="Pakaian Pria"/>
    <s v="Jaket Jeans"/>
    <n v="1"/>
    <n v="1"/>
    <n v="400000"/>
    <n v="340000"/>
    <n v="150000"/>
    <n v="90000"/>
    <s v="SW001"/>
    <s v="Sepatu Wanita"/>
    <s v="Flat Shoes"/>
    <n v="1"/>
    <n v="3"/>
    <n v="250000"/>
    <n v="212500"/>
    <n v="100000"/>
    <n v="62500"/>
    <n v="7"/>
    <n v="3150000"/>
    <n v="2677500"/>
    <n v="1250000"/>
    <n v="777500"/>
    <s v="BELI44"/>
    <n v="0.15"/>
    <x v="0"/>
    <x v="0"/>
    <x v="4"/>
    <d v="2023-04-03T00:00:00"/>
    <x v="2"/>
    <s v="Monday"/>
    <x v="0"/>
    <n v="2.3333333333333335"/>
  </r>
  <r>
    <n v="918"/>
    <s v="ORD-SP0918-02/04/23"/>
    <s v="PP002"/>
    <s v="Pakaian Pria"/>
    <s v="Celana Pendek"/>
    <n v="1"/>
    <n v="4"/>
    <n v="180000"/>
    <n v="153000"/>
    <n v="70000"/>
    <n v="43000"/>
    <s v="PW002"/>
    <s v="Pakaian Wanita"/>
    <s v="Blouse"/>
    <n v="3"/>
    <n v="2"/>
    <n v="450000"/>
    <n v="382500"/>
    <n v="150000"/>
    <n v="82500"/>
    <s v="SW001"/>
    <s v="Sepatu Wanita"/>
    <s v="Flat Shoes"/>
    <n v="2"/>
    <n v="5"/>
    <n v="500000"/>
    <n v="425000"/>
    <n v="200000"/>
    <n v="125000"/>
    <n v="6"/>
    <n v="1130000"/>
    <n v="960500"/>
    <n v="420000"/>
    <n v="250500"/>
    <s v="DISC15"/>
    <n v="0.15"/>
    <x v="0"/>
    <x v="2"/>
    <x v="2"/>
    <d v="2023-04-02T00:00:00"/>
    <x v="1"/>
    <s v="Sunday"/>
    <x v="0"/>
    <n v="3.6666666666666665"/>
  </r>
  <r>
    <n v="919"/>
    <s v="ORD-SP0919-13/04/23"/>
    <s v="PP003"/>
    <s v="Pakaian Pria"/>
    <s v="Jaket Jeans"/>
    <n v="5"/>
    <n v="5"/>
    <n v="2000000"/>
    <n v="2000000"/>
    <n v="750000"/>
    <n v="750000"/>
    <m/>
    <s v="-"/>
    <s v="-"/>
    <m/>
    <m/>
    <n v="0"/>
    <n v="0"/>
    <n v="0"/>
    <n v="0"/>
    <m/>
    <s v="-"/>
    <s v="-"/>
    <m/>
    <m/>
    <n v="0"/>
    <n v="0"/>
    <n v="0"/>
    <n v="0"/>
    <n v="5"/>
    <n v="2000000"/>
    <n v="2000000"/>
    <n v="750000"/>
    <n v="750000"/>
    <s v="Tidak Ada"/>
    <s v="-"/>
    <x v="2"/>
    <x v="2"/>
    <x v="0"/>
    <d v="2023-04-13T00:00:00"/>
    <x v="21"/>
    <s v="Thursday"/>
    <x v="3"/>
    <n v="5"/>
  </r>
  <r>
    <n v="920"/>
    <s v="ORD-SP0920-01/04/23"/>
    <s v="PP001"/>
    <s v="Pakaian Pria"/>
    <s v="Kaos Polo"/>
    <n v="1"/>
    <n v="5"/>
    <n v="200000"/>
    <n v="170000"/>
    <n v="80000"/>
    <n v="50000"/>
    <m/>
    <s v="-"/>
    <s v="-"/>
    <m/>
    <m/>
    <n v="0"/>
    <n v="0"/>
    <n v="0"/>
    <n v="0"/>
    <m/>
    <s v="-"/>
    <s v="-"/>
    <m/>
    <m/>
    <n v="0"/>
    <n v="0"/>
    <n v="0"/>
    <n v="0"/>
    <n v="1"/>
    <n v="200000"/>
    <n v="170000"/>
    <n v="80000"/>
    <n v="50000"/>
    <s v="DISC15"/>
    <n v="0.15"/>
    <x v="0"/>
    <x v="2"/>
    <x v="5"/>
    <d v="2023-04-01T00:00:00"/>
    <x v="0"/>
    <s v="Saturday"/>
    <x v="0"/>
    <n v="5"/>
  </r>
  <r>
    <n v="921"/>
    <s v="ORD-SP0921-05/04/23"/>
    <s v="PP002"/>
    <s v="Pakaian Pria"/>
    <s v="Celana Pendek"/>
    <n v="1"/>
    <n v="1"/>
    <n v="180000"/>
    <n v="162000"/>
    <n v="70000"/>
    <n v="52000"/>
    <s v="SP002"/>
    <s v="Sepatu Pria"/>
    <s v="Sandal Slip On"/>
    <n v="1"/>
    <n v="3"/>
    <n v="150000"/>
    <n v="135000"/>
    <n v="60000"/>
    <n v="45000"/>
    <m/>
    <s v="-"/>
    <s v="-"/>
    <m/>
    <m/>
    <n v="0"/>
    <n v="0"/>
    <n v="0"/>
    <n v="0"/>
    <n v="2"/>
    <n v="330000"/>
    <n v="297000"/>
    <n v="130000"/>
    <n v="97000"/>
    <s v="DISC10"/>
    <n v="0.1"/>
    <x v="0"/>
    <x v="2"/>
    <x v="0"/>
    <d v="2023-04-05T00:00:00"/>
    <x v="9"/>
    <s v="Wednesday"/>
    <x v="0"/>
    <n v="2"/>
  </r>
  <r>
    <n v="922"/>
    <s v="ORD-SP0922-02/04/23"/>
    <s v="PW003"/>
    <s v="Pakaian Wanita"/>
    <s v="Kaftan"/>
    <n v="1"/>
    <n v="1"/>
    <n v="250000"/>
    <n v="225000"/>
    <n v="100000"/>
    <n v="75000"/>
    <s v="PP003"/>
    <s v="Pakaian Pria"/>
    <s v="Jaket Jeans"/>
    <n v="4"/>
    <n v="3"/>
    <n v="1600000"/>
    <n v="1440000"/>
    <n v="600000"/>
    <n v="440000"/>
    <s v="PU001"/>
    <s v="Pakaian Unisex"/>
    <s v="Jaket Hoodie"/>
    <n v="1"/>
    <n v="5"/>
    <n v="350000"/>
    <n v="315000"/>
    <n v="130000"/>
    <n v="95000"/>
    <n v="6"/>
    <n v="2200000"/>
    <n v="1980000"/>
    <n v="830000"/>
    <n v="610000"/>
    <s v="DISC10"/>
    <n v="0.1"/>
    <x v="0"/>
    <x v="2"/>
    <x v="5"/>
    <d v="2023-04-02T00:00:00"/>
    <x v="1"/>
    <s v="Sunday"/>
    <x v="0"/>
    <n v="3"/>
  </r>
  <r>
    <n v="923"/>
    <s v="ORD-TK0923-02/04/23"/>
    <s v="PW002"/>
    <s v="Pakaian Wanita"/>
    <s v="Blouse"/>
    <n v="2"/>
    <n v="2"/>
    <n v="300000"/>
    <n v="270000"/>
    <n v="100000"/>
    <n v="70000"/>
    <s v="SP002"/>
    <s v="Sepatu Pria"/>
    <s v="Sandal Slip On"/>
    <n v="2"/>
    <n v="3"/>
    <n v="300000"/>
    <n v="270000"/>
    <n v="120000"/>
    <n v="90000"/>
    <s v="PP001"/>
    <s v="Pakaian Pria"/>
    <s v="Kaos Polo"/>
    <n v="1"/>
    <n v="3"/>
    <n v="200000"/>
    <n v="180000"/>
    <n v="80000"/>
    <n v="60000"/>
    <n v="5"/>
    <n v="800000"/>
    <n v="720000"/>
    <n v="300000"/>
    <n v="220000"/>
    <s v="DISCAPRIL"/>
    <n v="0.1"/>
    <x v="0"/>
    <x v="1"/>
    <x v="3"/>
    <d v="2023-04-02T00:00:00"/>
    <x v="1"/>
    <s v="Sunday"/>
    <x v="0"/>
    <n v="2.6666666666666665"/>
  </r>
  <r>
    <n v="924"/>
    <s v="ORD-SP0924-02/04/23"/>
    <s v="PU001"/>
    <s v="Pakaian Unisex"/>
    <s v="Jaket Hoodie"/>
    <n v="1"/>
    <n v="4"/>
    <n v="350000"/>
    <n v="297500"/>
    <n v="130000"/>
    <n v="77500"/>
    <s v="SP001"/>
    <s v="Sepatu Pria"/>
    <s v="Sneakers"/>
    <n v="2"/>
    <n v="1"/>
    <n v="1000000"/>
    <n v="850000"/>
    <n v="400000"/>
    <n v="250000"/>
    <m/>
    <s v="-"/>
    <s v="-"/>
    <m/>
    <m/>
    <n v="0"/>
    <n v="0"/>
    <n v="0"/>
    <n v="0"/>
    <n v="3"/>
    <n v="1350000"/>
    <n v="1147500"/>
    <n v="530000"/>
    <n v="327500"/>
    <s v="DISC15"/>
    <n v="0.15"/>
    <x v="0"/>
    <x v="2"/>
    <x v="1"/>
    <d v="2023-04-02T00:00:00"/>
    <x v="1"/>
    <s v="Sunday"/>
    <x v="0"/>
    <n v="2.5"/>
  </r>
  <r>
    <n v="925"/>
    <s v="ORD-SP0925-02/04/23"/>
    <s v="PW001"/>
    <s v="Pakaian Wanita"/>
    <s v="Dress"/>
    <n v="4"/>
    <n v="4"/>
    <n v="1200000"/>
    <n v="1080000"/>
    <n v="400000"/>
    <n v="280000"/>
    <s v="PW002"/>
    <s v="Pakaian Wanita"/>
    <s v="Blouse"/>
    <n v="3"/>
    <n v="4"/>
    <n v="450000"/>
    <n v="405000"/>
    <n v="150000"/>
    <n v="105000"/>
    <m/>
    <s v="-"/>
    <s v="-"/>
    <m/>
    <m/>
    <n v="0"/>
    <n v="0"/>
    <n v="0"/>
    <n v="0"/>
    <n v="7"/>
    <n v="1650000"/>
    <n v="1485000"/>
    <n v="550000"/>
    <n v="385000"/>
    <s v="DISC10"/>
    <n v="0.1"/>
    <x v="0"/>
    <x v="2"/>
    <x v="1"/>
    <d v="2023-04-02T00:00:00"/>
    <x v="1"/>
    <s v="Sunday"/>
    <x v="0"/>
    <n v="4"/>
  </r>
  <r>
    <n v="926"/>
    <s v="ORD-TK0926-03/04/23"/>
    <s v="PP003"/>
    <s v="Pakaian Pria"/>
    <s v="Jaket Jeans"/>
    <n v="2"/>
    <n v="2"/>
    <n v="800000"/>
    <n v="720000"/>
    <n v="300000"/>
    <n v="220000"/>
    <s v="SW001"/>
    <s v="Sepatu Wanita"/>
    <s v="Flat Shoes"/>
    <n v="3"/>
    <n v="3"/>
    <n v="750000"/>
    <n v="675000"/>
    <n v="300000"/>
    <n v="225000"/>
    <s v="PU001"/>
    <s v="Pakaian Unisex"/>
    <s v="Jaket Hoodie"/>
    <n v="2"/>
    <n v="5"/>
    <n v="700000"/>
    <n v="630000"/>
    <n v="260000"/>
    <n v="190000"/>
    <n v="7"/>
    <n v="2250000"/>
    <n v="2025000"/>
    <n v="860000"/>
    <n v="635000"/>
    <s v="DISCAPRIL"/>
    <n v="0.1"/>
    <x v="0"/>
    <x v="1"/>
    <x v="5"/>
    <d v="2023-04-03T00:00:00"/>
    <x v="2"/>
    <s v="Monday"/>
    <x v="0"/>
    <n v="3.3333333333333335"/>
  </r>
  <r>
    <n v="927"/>
    <s v="ORD-BB0927-06/04/23"/>
    <s v="SW001"/>
    <s v="Sepatu Wanita"/>
    <s v="Flat Shoes"/>
    <n v="6"/>
    <n v="1"/>
    <n v="1500000"/>
    <n v="1275000"/>
    <n v="600000"/>
    <n v="375000"/>
    <s v="PW002"/>
    <s v="Pakaian Wanita"/>
    <s v="Blouse"/>
    <n v="1"/>
    <n v="2"/>
    <n v="150000"/>
    <n v="127500"/>
    <n v="50000"/>
    <n v="27500"/>
    <m/>
    <s v="-"/>
    <s v="-"/>
    <m/>
    <m/>
    <n v="0"/>
    <n v="0"/>
    <n v="0"/>
    <n v="0"/>
    <n v="7"/>
    <n v="1650000"/>
    <n v="1402500"/>
    <n v="650000"/>
    <n v="402500"/>
    <s v="BELI44"/>
    <n v="0.15"/>
    <x v="0"/>
    <x v="0"/>
    <x v="2"/>
    <d v="2023-04-06T00:00:00"/>
    <x v="8"/>
    <s v="Thursday"/>
    <x v="0"/>
    <n v="1.5"/>
  </r>
  <r>
    <n v="928"/>
    <s v="ORD-TK0928-26/04/23"/>
    <s v="SP002"/>
    <s v="Sepatu Pria"/>
    <s v="Sandal Slip On"/>
    <n v="2"/>
    <n v="2"/>
    <n v="300000"/>
    <n v="270000"/>
    <n v="120000"/>
    <n v="90000"/>
    <m/>
    <s v="-"/>
    <s v="-"/>
    <m/>
    <m/>
    <n v="0"/>
    <n v="0"/>
    <n v="0"/>
    <n v="0"/>
    <m/>
    <s v="-"/>
    <s v="-"/>
    <m/>
    <m/>
    <n v="0"/>
    <n v="0"/>
    <n v="0"/>
    <n v="0"/>
    <n v="2"/>
    <n v="300000"/>
    <n v="270000"/>
    <n v="120000"/>
    <n v="90000"/>
    <s v="LEBAR10"/>
    <n v="0.1"/>
    <x v="1"/>
    <x v="1"/>
    <x v="1"/>
    <d v="2023-04-26T00:00:00"/>
    <x v="15"/>
    <s v="Wednesday"/>
    <x v="2"/>
    <n v="2"/>
  </r>
  <r>
    <n v="929"/>
    <s v="ORD-TK0929-03/04/23"/>
    <s v="PP003"/>
    <s v="Pakaian Pria"/>
    <s v="Jaket Jeans"/>
    <n v="1"/>
    <n v="5"/>
    <n v="400000"/>
    <n v="360000"/>
    <n v="150000"/>
    <n v="110000"/>
    <s v="PW001"/>
    <s v="Pakaian Wanita"/>
    <s v="Dress"/>
    <n v="1"/>
    <n v="1"/>
    <n v="300000"/>
    <n v="270000"/>
    <n v="100000"/>
    <n v="70000"/>
    <m/>
    <s v="-"/>
    <s v="-"/>
    <m/>
    <m/>
    <n v="0"/>
    <n v="0"/>
    <n v="0"/>
    <n v="0"/>
    <n v="2"/>
    <n v="700000"/>
    <n v="630000"/>
    <n v="250000"/>
    <n v="180000"/>
    <s v="DISCAPRIL"/>
    <n v="0.1"/>
    <x v="0"/>
    <x v="1"/>
    <x v="4"/>
    <d v="2023-04-03T00:00:00"/>
    <x v="2"/>
    <s v="Monday"/>
    <x v="0"/>
    <n v="3"/>
  </r>
  <r>
    <n v="930"/>
    <s v="ORD-TK0930-03/04/23"/>
    <s v="SW001"/>
    <s v="Sepatu Wanita"/>
    <s v="Flat Shoes"/>
    <n v="5"/>
    <n v="1"/>
    <n v="1250000"/>
    <n v="1125000"/>
    <n v="500000"/>
    <n v="375000"/>
    <m/>
    <s v="-"/>
    <s v="-"/>
    <m/>
    <m/>
    <n v="0"/>
    <n v="0"/>
    <n v="0"/>
    <n v="0"/>
    <m/>
    <s v="-"/>
    <s v="-"/>
    <m/>
    <m/>
    <n v="0"/>
    <n v="0"/>
    <n v="0"/>
    <n v="0"/>
    <n v="5"/>
    <n v="1250000"/>
    <n v="1125000"/>
    <n v="500000"/>
    <n v="375000"/>
    <s v="DISCAPRIL"/>
    <n v="0.1"/>
    <x v="0"/>
    <x v="1"/>
    <x v="1"/>
    <d v="2023-04-03T00:00:00"/>
    <x v="2"/>
    <s v="Monday"/>
    <x v="0"/>
    <n v="1"/>
  </r>
  <r>
    <n v="931"/>
    <s v="ORD-BB0931-06/04/23"/>
    <s v="SP002"/>
    <s v="Sepatu Pria"/>
    <s v="Sandal Slip On"/>
    <n v="2"/>
    <n v="2"/>
    <n v="300000"/>
    <n v="255000"/>
    <n v="120000"/>
    <n v="75000"/>
    <s v="SP001"/>
    <s v="Sepatu Pria"/>
    <s v="Sneakers"/>
    <n v="1"/>
    <n v="5"/>
    <n v="500000"/>
    <n v="425000"/>
    <n v="200000"/>
    <n v="125000"/>
    <s v="SW001"/>
    <s v="Sepatu Wanita"/>
    <s v="Flat Shoes"/>
    <n v="2"/>
    <n v="5"/>
    <n v="500000"/>
    <n v="425000"/>
    <n v="200000"/>
    <n v="125000"/>
    <n v="5"/>
    <n v="1300000"/>
    <n v="1105000"/>
    <n v="520000"/>
    <n v="325000"/>
    <s v="BELI44"/>
    <n v="0.15"/>
    <x v="0"/>
    <x v="0"/>
    <x v="3"/>
    <d v="2023-04-06T00:00:00"/>
    <x v="8"/>
    <s v="Thursday"/>
    <x v="0"/>
    <n v="4"/>
  </r>
  <r>
    <n v="932"/>
    <s v="ORD-SP0932-16/04/23"/>
    <s v="PP002"/>
    <s v="Pakaian Pria"/>
    <s v="Celana Pendek"/>
    <n v="3"/>
    <n v="2"/>
    <n v="540000"/>
    <n v="432000"/>
    <n v="210000"/>
    <n v="102000"/>
    <m/>
    <s v="-"/>
    <s v="-"/>
    <m/>
    <m/>
    <n v="0"/>
    <n v="0"/>
    <n v="0"/>
    <n v="0"/>
    <m/>
    <s v="-"/>
    <s v="-"/>
    <m/>
    <m/>
    <n v="0"/>
    <n v="0"/>
    <n v="0"/>
    <n v="0"/>
    <n v="3"/>
    <n v="540000"/>
    <n v="432000"/>
    <n v="210000"/>
    <n v="102000"/>
    <s v="DISC20"/>
    <n v="0.2"/>
    <x v="1"/>
    <x v="2"/>
    <x v="4"/>
    <d v="2023-04-16T00:00:00"/>
    <x v="17"/>
    <s v="Sunday"/>
    <x v="1"/>
    <n v="2"/>
  </r>
  <r>
    <n v="933"/>
    <s v="ORD-SP0933-26/04/23"/>
    <s v="PW002"/>
    <s v="Pakaian Wanita"/>
    <s v="Blouse"/>
    <n v="5"/>
    <n v="1"/>
    <n v="750000"/>
    <n v="600000"/>
    <n v="250000"/>
    <n v="100000"/>
    <s v="PP001"/>
    <s v="Pakaian Pria"/>
    <s v="Kaos Polo"/>
    <n v="1"/>
    <n v="1"/>
    <n v="200000"/>
    <n v="160000"/>
    <n v="80000"/>
    <n v="40000"/>
    <m/>
    <s v="-"/>
    <s v="-"/>
    <m/>
    <m/>
    <n v="0"/>
    <n v="0"/>
    <n v="0"/>
    <n v="0"/>
    <n v="6"/>
    <n v="950000"/>
    <n v="760000"/>
    <n v="330000"/>
    <n v="140000"/>
    <s v="DISC20"/>
    <n v="0.2"/>
    <x v="1"/>
    <x v="2"/>
    <x v="3"/>
    <d v="2023-04-26T00:00:00"/>
    <x v="15"/>
    <s v="Wednesday"/>
    <x v="2"/>
    <n v="1"/>
  </r>
  <r>
    <n v="934"/>
    <s v="ORD-SP0934-02/04/23"/>
    <s v="SW001"/>
    <s v="Sepatu Wanita"/>
    <s v="Flat Shoes"/>
    <n v="4"/>
    <n v="5"/>
    <n v="1000000"/>
    <n v="850000"/>
    <n v="400000"/>
    <n v="250000"/>
    <s v="PP003"/>
    <s v="Pakaian Pria"/>
    <s v="Jaket Jeans"/>
    <n v="2"/>
    <n v="2"/>
    <n v="800000"/>
    <n v="680000"/>
    <n v="300000"/>
    <n v="180000"/>
    <m/>
    <s v="-"/>
    <s v="-"/>
    <m/>
    <m/>
    <n v="0"/>
    <n v="0"/>
    <n v="0"/>
    <n v="0"/>
    <n v="6"/>
    <n v="1800000"/>
    <n v="1530000"/>
    <n v="700000"/>
    <n v="430000"/>
    <s v="DISC15"/>
    <n v="0.15"/>
    <x v="0"/>
    <x v="2"/>
    <x v="1"/>
    <d v="2023-04-02T00:00:00"/>
    <x v="1"/>
    <s v="Sunday"/>
    <x v="0"/>
    <n v="3.5"/>
  </r>
  <r>
    <n v="935"/>
    <s v="ORD-BL0935-24/04/23"/>
    <s v="PU001"/>
    <s v="Pakaian Unisex"/>
    <s v="Jaket Hoodie"/>
    <n v="5"/>
    <n v="2"/>
    <n v="1750000"/>
    <n v="1487500"/>
    <n v="650000"/>
    <n v="387500"/>
    <s v="PW003"/>
    <s v="Pakaian Wanita"/>
    <s v="Kaftan"/>
    <n v="2"/>
    <n v="5"/>
    <n v="500000"/>
    <n v="425000"/>
    <n v="200000"/>
    <n v="125000"/>
    <m/>
    <s v="-"/>
    <s v="-"/>
    <m/>
    <m/>
    <n v="0"/>
    <n v="0"/>
    <n v="0"/>
    <n v="0"/>
    <n v="7"/>
    <n v="2250000"/>
    <n v="1912500"/>
    <n v="850000"/>
    <n v="512500"/>
    <s v="BUKALEBAR"/>
    <n v="0.15"/>
    <x v="1"/>
    <x v="3"/>
    <x v="0"/>
    <d v="2023-04-24T00:00:00"/>
    <x v="4"/>
    <s v="Monday"/>
    <x v="2"/>
    <n v="3.5"/>
  </r>
  <r>
    <n v="936"/>
    <s v="ORD-BL0936-18/04/23"/>
    <s v="SW001"/>
    <s v="Sepatu Wanita"/>
    <s v="Flat Shoes"/>
    <n v="4"/>
    <n v="4"/>
    <n v="1000000"/>
    <n v="850000"/>
    <n v="400000"/>
    <n v="250000"/>
    <s v="PP003"/>
    <s v="Pakaian Pria"/>
    <s v="Jaket Jeans"/>
    <n v="1"/>
    <n v="2"/>
    <n v="400000"/>
    <n v="340000"/>
    <n v="150000"/>
    <n v="90000"/>
    <m/>
    <s v="-"/>
    <s v="-"/>
    <m/>
    <m/>
    <n v="0"/>
    <n v="0"/>
    <n v="0"/>
    <n v="0"/>
    <n v="5"/>
    <n v="1400000"/>
    <n v="1190000"/>
    <n v="550000"/>
    <n v="340000"/>
    <s v="BUKALEBAR"/>
    <n v="0.15"/>
    <x v="1"/>
    <x v="3"/>
    <x v="0"/>
    <d v="2023-04-18T00:00:00"/>
    <x v="24"/>
    <s v="Tuesday"/>
    <x v="1"/>
    <n v="3"/>
  </r>
  <r>
    <n v="937"/>
    <s v="ORD-SP0937-02/04/23"/>
    <s v="PP002"/>
    <s v="Pakaian Pria"/>
    <s v="Celana Pendek"/>
    <n v="2"/>
    <n v="4"/>
    <n v="360000"/>
    <n v="324000"/>
    <n v="140000"/>
    <n v="104000"/>
    <s v="SP002"/>
    <s v="Sepatu Pria"/>
    <s v="Sandal Slip On"/>
    <n v="2"/>
    <n v="2"/>
    <n v="300000"/>
    <n v="270000"/>
    <n v="120000"/>
    <n v="90000"/>
    <s v="SP001"/>
    <s v="Sepatu Pria"/>
    <s v="Sneakers"/>
    <n v="1"/>
    <n v="4"/>
    <n v="500000"/>
    <n v="450000"/>
    <n v="200000"/>
    <n v="150000"/>
    <n v="5"/>
    <n v="1160000"/>
    <n v="1044000"/>
    <n v="460000"/>
    <n v="344000"/>
    <s v="DISC10"/>
    <n v="0.1"/>
    <x v="0"/>
    <x v="2"/>
    <x v="5"/>
    <d v="2023-04-02T00:00:00"/>
    <x v="1"/>
    <s v="Sunday"/>
    <x v="0"/>
    <n v="3.3333333333333335"/>
  </r>
  <r>
    <n v="938"/>
    <s v="ORD-TK0938-02/04/23"/>
    <s v="SP001"/>
    <s v="Sepatu Pria"/>
    <s v="Sneakers"/>
    <n v="1"/>
    <n v="2"/>
    <n v="500000"/>
    <n v="450000"/>
    <n v="200000"/>
    <n v="150000"/>
    <s v="PW002"/>
    <s v="Pakaian Wanita"/>
    <s v="Blouse"/>
    <n v="1"/>
    <n v="5"/>
    <n v="150000"/>
    <n v="135000"/>
    <n v="50000"/>
    <n v="35000"/>
    <s v="SW001"/>
    <s v="Sepatu Wanita"/>
    <s v="Flat Shoes"/>
    <n v="1"/>
    <n v="2"/>
    <n v="250000"/>
    <n v="225000"/>
    <n v="100000"/>
    <n v="75000"/>
    <n v="3"/>
    <n v="900000"/>
    <n v="810000"/>
    <n v="350000"/>
    <n v="260000"/>
    <s v="DISCAPRIL"/>
    <n v="0.1"/>
    <x v="0"/>
    <x v="1"/>
    <x v="5"/>
    <d v="2023-04-02T00:00:00"/>
    <x v="1"/>
    <s v="Sunday"/>
    <x v="0"/>
    <n v="3"/>
  </r>
  <r>
    <n v="939"/>
    <s v="ORD-BL0939-08/04/23"/>
    <s v="PP001"/>
    <s v="Pakaian Pria"/>
    <s v="Kaos Polo"/>
    <n v="2"/>
    <n v="4"/>
    <n v="400000"/>
    <n v="400000"/>
    <n v="160000"/>
    <n v="160000"/>
    <s v="SP001"/>
    <s v="Sepatu Pria"/>
    <s v="Sneakers"/>
    <n v="1"/>
    <n v="2"/>
    <n v="500000"/>
    <n v="500000"/>
    <n v="200000"/>
    <n v="200000"/>
    <m/>
    <s v="-"/>
    <s v="-"/>
    <m/>
    <m/>
    <n v="0"/>
    <n v="0"/>
    <n v="0"/>
    <n v="0"/>
    <n v="3"/>
    <n v="900000"/>
    <n v="900000"/>
    <n v="360000"/>
    <n v="360000"/>
    <s v="Tidak Ada"/>
    <s v="-"/>
    <x v="2"/>
    <x v="3"/>
    <x v="0"/>
    <d v="2023-04-08T00:00:00"/>
    <x v="26"/>
    <s v="Saturday"/>
    <x v="3"/>
    <n v="3"/>
  </r>
  <r>
    <n v="940"/>
    <s v="ORD-TK0940-06/04/23"/>
    <s v="SP001"/>
    <s v="Sepatu Pria"/>
    <s v="Sneakers"/>
    <n v="2"/>
    <n v="5"/>
    <n v="1000000"/>
    <n v="900000"/>
    <n v="400000"/>
    <n v="300000"/>
    <m/>
    <s v="-"/>
    <s v="-"/>
    <m/>
    <m/>
    <n v="0"/>
    <n v="0"/>
    <n v="0"/>
    <n v="0"/>
    <m/>
    <s v="-"/>
    <s v="-"/>
    <m/>
    <m/>
    <n v="0"/>
    <n v="0"/>
    <n v="0"/>
    <n v="0"/>
    <n v="2"/>
    <n v="1000000"/>
    <n v="900000"/>
    <n v="400000"/>
    <n v="300000"/>
    <s v="DISCAPRIL"/>
    <n v="0.1"/>
    <x v="0"/>
    <x v="1"/>
    <x v="5"/>
    <d v="2023-04-06T00:00:00"/>
    <x v="8"/>
    <s v="Thursday"/>
    <x v="0"/>
    <n v="5"/>
  </r>
  <r>
    <n v="941"/>
    <s v="ORD-TK0941-15/04/23"/>
    <s v="PP002"/>
    <s v="Pakaian Pria"/>
    <s v="Celana Pendek"/>
    <n v="6"/>
    <n v="3"/>
    <n v="1080000"/>
    <n v="1080000"/>
    <n v="420000"/>
    <n v="420000"/>
    <s v="PW003"/>
    <s v="Pakaian Wanita"/>
    <s v="Kaftan"/>
    <n v="1"/>
    <n v="3"/>
    <n v="250000"/>
    <n v="250000"/>
    <n v="100000"/>
    <n v="100000"/>
    <m/>
    <s v="-"/>
    <s v="-"/>
    <m/>
    <m/>
    <n v="0"/>
    <n v="0"/>
    <n v="0"/>
    <n v="0"/>
    <n v="7"/>
    <n v="1330000"/>
    <n v="1330000"/>
    <n v="520000"/>
    <n v="520000"/>
    <s v="Tidak Ada"/>
    <s v="-"/>
    <x v="2"/>
    <x v="1"/>
    <x v="1"/>
    <d v="2023-04-15T00:00:00"/>
    <x v="16"/>
    <s v="Saturday"/>
    <x v="1"/>
    <n v="3"/>
  </r>
  <r>
    <n v="942"/>
    <s v="ORD-BB0942-04/04/23"/>
    <s v="PP001"/>
    <s v="Pakaian Pria"/>
    <s v="Kaos Polo"/>
    <n v="5"/>
    <n v="5"/>
    <n v="1000000"/>
    <n v="850000"/>
    <n v="400000"/>
    <n v="250000"/>
    <s v="PW003"/>
    <s v="Pakaian Wanita"/>
    <s v="Kaftan"/>
    <n v="1"/>
    <n v="2"/>
    <n v="250000"/>
    <n v="212500"/>
    <n v="100000"/>
    <n v="62500"/>
    <m/>
    <s v="-"/>
    <s v="-"/>
    <m/>
    <m/>
    <n v="0"/>
    <n v="0"/>
    <n v="0"/>
    <n v="0"/>
    <n v="6"/>
    <n v="1250000"/>
    <n v="1062500"/>
    <n v="500000"/>
    <n v="312500"/>
    <s v="BELI44"/>
    <n v="0.15"/>
    <x v="0"/>
    <x v="0"/>
    <x v="4"/>
    <d v="2023-04-04T00:00:00"/>
    <x v="7"/>
    <s v="Tuesday"/>
    <x v="0"/>
    <n v="3.5"/>
  </r>
  <r>
    <n v="943"/>
    <s v="ORD-TK0943-03/04/23"/>
    <s v="PW002"/>
    <s v="Pakaian Wanita"/>
    <s v="Blouse"/>
    <n v="1"/>
    <n v="3"/>
    <n v="150000"/>
    <n v="135000"/>
    <n v="50000"/>
    <n v="35000"/>
    <s v="SW001"/>
    <s v="Sepatu Wanita"/>
    <s v="Flat Shoes"/>
    <n v="1"/>
    <n v="5"/>
    <n v="250000"/>
    <n v="225000"/>
    <n v="100000"/>
    <n v="75000"/>
    <s v="PP002"/>
    <s v="Pakaian Pria"/>
    <s v="Celana Pendek"/>
    <n v="1"/>
    <n v="5"/>
    <n v="180000"/>
    <n v="162000"/>
    <n v="70000"/>
    <n v="52000"/>
    <n v="3"/>
    <n v="580000"/>
    <n v="522000"/>
    <n v="220000"/>
    <n v="162000"/>
    <s v="DISCAPRIL"/>
    <n v="0.1"/>
    <x v="0"/>
    <x v="1"/>
    <x v="4"/>
    <d v="2023-04-03T00:00:00"/>
    <x v="2"/>
    <s v="Monday"/>
    <x v="0"/>
    <n v="4.333333333333333"/>
  </r>
  <r>
    <n v="944"/>
    <s v="ORD-SP0944-05/04/23"/>
    <s v="SP002"/>
    <s v="Sepatu Pria"/>
    <s v="Sandal Slip On"/>
    <n v="5"/>
    <n v="4"/>
    <n v="750000"/>
    <n v="637500"/>
    <n v="300000"/>
    <n v="187500"/>
    <m/>
    <s v="-"/>
    <s v="-"/>
    <m/>
    <m/>
    <n v="0"/>
    <n v="0"/>
    <n v="0"/>
    <n v="0"/>
    <m/>
    <s v="-"/>
    <s v="-"/>
    <m/>
    <m/>
    <n v="0"/>
    <n v="0"/>
    <n v="0"/>
    <n v="0"/>
    <n v="5"/>
    <n v="750000"/>
    <n v="637500"/>
    <n v="300000"/>
    <n v="187500"/>
    <s v="DISC15"/>
    <n v="0.15"/>
    <x v="0"/>
    <x v="2"/>
    <x v="4"/>
    <d v="2023-04-05T00:00:00"/>
    <x v="9"/>
    <s v="Wednesday"/>
    <x v="0"/>
    <n v="4"/>
  </r>
  <r>
    <n v="945"/>
    <s v="ORD-TK0945-05/04/23"/>
    <s v="PW001"/>
    <s v="Pakaian Wanita"/>
    <s v="Dress"/>
    <n v="6"/>
    <n v="5"/>
    <n v="1800000"/>
    <n v="1620000"/>
    <n v="600000"/>
    <n v="420000"/>
    <s v="PP002"/>
    <s v="Pakaian Pria"/>
    <s v="Celana Pendek"/>
    <n v="1"/>
    <n v="3"/>
    <n v="180000"/>
    <n v="162000"/>
    <n v="70000"/>
    <n v="52000"/>
    <m/>
    <s v="-"/>
    <s v="-"/>
    <m/>
    <m/>
    <n v="0"/>
    <n v="0"/>
    <n v="0"/>
    <n v="0"/>
    <n v="7"/>
    <n v="1980000"/>
    <n v="1782000"/>
    <n v="670000"/>
    <n v="472000"/>
    <s v="DISCAPRIL"/>
    <n v="0.1"/>
    <x v="0"/>
    <x v="1"/>
    <x v="2"/>
    <d v="2023-04-05T00:00:00"/>
    <x v="9"/>
    <s v="Wednesday"/>
    <x v="0"/>
    <n v="4"/>
  </r>
  <r>
    <n v="946"/>
    <s v="ORD-SP0946-13/04/23"/>
    <s v="PW003"/>
    <s v="Pakaian Wanita"/>
    <s v="Kaftan"/>
    <n v="2"/>
    <n v="4"/>
    <n v="500000"/>
    <n v="500000"/>
    <n v="200000"/>
    <n v="200000"/>
    <m/>
    <s v="-"/>
    <s v="-"/>
    <m/>
    <m/>
    <n v="0"/>
    <n v="0"/>
    <n v="0"/>
    <n v="0"/>
    <m/>
    <s v="-"/>
    <s v="-"/>
    <m/>
    <m/>
    <n v="0"/>
    <n v="0"/>
    <n v="0"/>
    <n v="0"/>
    <n v="2"/>
    <n v="500000"/>
    <n v="500000"/>
    <n v="200000"/>
    <n v="200000"/>
    <s v="Tidak Ada"/>
    <s v="-"/>
    <x v="2"/>
    <x v="2"/>
    <x v="4"/>
    <d v="2023-04-13T00:00:00"/>
    <x v="21"/>
    <s v="Thursday"/>
    <x v="3"/>
    <n v="4"/>
  </r>
  <r>
    <n v="947"/>
    <s v="ORD-TK0947-18/04/23"/>
    <s v="PP003"/>
    <s v="Pakaian Pria"/>
    <s v="Jaket Jeans"/>
    <n v="3"/>
    <n v="5"/>
    <n v="1200000"/>
    <n v="1080000"/>
    <n v="450000"/>
    <n v="330000"/>
    <s v="PP002"/>
    <s v="Pakaian Pria"/>
    <s v="Celana Pendek"/>
    <n v="3"/>
    <n v="3"/>
    <n v="540000"/>
    <n v="486000"/>
    <n v="210000"/>
    <n v="156000"/>
    <m/>
    <s v="-"/>
    <s v="-"/>
    <m/>
    <m/>
    <n v="0"/>
    <n v="0"/>
    <n v="0"/>
    <n v="0"/>
    <n v="6"/>
    <n v="1740000"/>
    <n v="1566000"/>
    <n v="660000"/>
    <n v="486000"/>
    <s v="LEBAR10"/>
    <n v="0.1"/>
    <x v="1"/>
    <x v="1"/>
    <x v="0"/>
    <d v="2023-04-18T00:00:00"/>
    <x v="24"/>
    <s v="Tuesday"/>
    <x v="1"/>
    <n v="4"/>
  </r>
  <r>
    <n v="948"/>
    <s v="ORD-TK0948-10/04/23"/>
    <s v="PU001"/>
    <s v="Pakaian Unisex"/>
    <s v="Jaket Hoodie"/>
    <n v="2"/>
    <n v="5"/>
    <n v="700000"/>
    <n v="700000"/>
    <n v="260000"/>
    <n v="260000"/>
    <s v="SW001"/>
    <s v="Sepatu Wanita"/>
    <s v="Flat Shoes"/>
    <n v="1"/>
    <n v="3"/>
    <n v="250000"/>
    <n v="250000"/>
    <n v="100000"/>
    <n v="100000"/>
    <s v="PP003"/>
    <s v="Pakaian Pria"/>
    <s v="Jaket Jeans"/>
    <n v="3"/>
    <n v="2"/>
    <n v="1200000"/>
    <n v="1200000"/>
    <n v="450000"/>
    <n v="450000"/>
    <n v="6"/>
    <n v="2150000"/>
    <n v="2150000"/>
    <n v="810000"/>
    <n v="810000"/>
    <s v="Tidak Ada"/>
    <s v="-"/>
    <x v="2"/>
    <x v="1"/>
    <x v="0"/>
    <d v="2023-04-10T00:00:00"/>
    <x v="23"/>
    <s v="Monday"/>
    <x v="3"/>
    <n v="3.3333333333333335"/>
  </r>
  <r>
    <n v="949"/>
    <s v="ORD-BL0949-19/04/23"/>
    <s v="PW002"/>
    <s v="Pakaian Wanita"/>
    <s v="Blouse"/>
    <n v="3"/>
    <n v="3"/>
    <n v="450000"/>
    <n v="382500"/>
    <n v="150000"/>
    <n v="82500"/>
    <s v="PW001"/>
    <s v="Pakaian Wanita"/>
    <s v="Dress"/>
    <n v="2"/>
    <n v="3"/>
    <n v="600000"/>
    <n v="510000"/>
    <n v="200000"/>
    <n v="110000"/>
    <s v="PP001"/>
    <s v="Pakaian Pria"/>
    <s v="Kaos Polo"/>
    <n v="1"/>
    <n v="3"/>
    <n v="200000"/>
    <n v="170000"/>
    <n v="80000"/>
    <n v="50000"/>
    <n v="6"/>
    <n v="1250000"/>
    <n v="1062500"/>
    <n v="430000"/>
    <n v="242500"/>
    <s v="BUKALEBAR"/>
    <n v="0.15"/>
    <x v="1"/>
    <x v="3"/>
    <x v="4"/>
    <d v="2023-04-19T00:00:00"/>
    <x v="19"/>
    <s v="Wednesday"/>
    <x v="1"/>
    <n v="3"/>
  </r>
  <r>
    <n v="950"/>
    <s v="ORD-TK0950-21/04/23"/>
    <s v="PW001"/>
    <s v="Pakaian Wanita"/>
    <s v="Dress"/>
    <n v="2"/>
    <n v="3"/>
    <n v="600000"/>
    <n v="540000"/>
    <n v="200000"/>
    <n v="140000"/>
    <m/>
    <s v="-"/>
    <s v="-"/>
    <m/>
    <m/>
    <n v="0"/>
    <n v="0"/>
    <n v="0"/>
    <n v="0"/>
    <m/>
    <s v="-"/>
    <s v="-"/>
    <m/>
    <m/>
    <n v="0"/>
    <n v="0"/>
    <n v="0"/>
    <n v="0"/>
    <n v="2"/>
    <n v="600000"/>
    <n v="540000"/>
    <n v="200000"/>
    <n v="140000"/>
    <s v="LEBAR10"/>
    <n v="0.1"/>
    <x v="1"/>
    <x v="1"/>
    <x v="1"/>
    <d v="2023-04-21T00:00:00"/>
    <x v="20"/>
    <s v="Friday"/>
    <x v="1"/>
    <n v="3"/>
  </r>
  <r>
    <n v="951"/>
    <s v="ORD-TK0951-28/04/23"/>
    <s v="PP003"/>
    <s v="Pakaian Pria"/>
    <s v="Jaket Jeans"/>
    <n v="2"/>
    <n v="2"/>
    <n v="800000"/>
    <n v="720000"/>
    <n v="300000"/>
    <n v="220000"/>
    <s v="PW003"/>
    <s v="Pakaian Wanita"/>
    <s v="Kaftan"/>
    <n v="1"/>
    <n v="4"/>
    <n v="250000"/>
    <n v="225000"/>
    <n v="100000"/>
    <n v="75000"/>
    <s v="SW001"/>
    <s v="Sepatu Wanita"/>
    <s v="Flat Shoes"/>
    <n v="3"/>
    <n v="5"/>
    <n v="750000"/>
    <n v="675000"/>
    <n v="300000"/>
    <n v="225000"/>
    <n v="6"/>
    <n v="1800000"/>
    <n v="1620000"/>
    <n v="700000"/>
    <n v="520000"/>
    <s v="LEBAR10"/>
    <n v="0.1"/>
    <x v="1"/>
    <x v="1"/>
    <x v="5"/>
    <d v="2023-04-28T00:00:00"/>
    <x v="11"/>
    <s v="Friday"/>
    <x v="2"/>
    <n v="3.6666666666666665"/>
  </r>
  <r>
    <n v="952"/>
    <s v="ORD-SP0952-01/04/23"/>
    <s v="SW001"/>
    <s v="Sepatu Wanita"/>
    <s v="Flat Shoes"/>
    <n v="6"/>
    <n v="4"/>
    <n v="1500000"/>
    <n v="1350000"/>
    <n v="600000"/>
    <n v="450000"/>
    <m/>
    <s v="-"/>
    <s v="-"/>
    <m/>
    <m/>
    <n v="0"/>
    <n v="0"/>
    <n v="0"/>
    <n v="0"/>
    <m/>
    <s v="-"/>
    <s v="-"/>
    <m/>
    <m/>
    <n v="0"/>
    <n v="0"/>
    <n v="0"/>
    <n v="0"/>
    <n v="6"/>
    <n v="1500000"/>
    <n v="1350000"/>
    <n v="600000"/>
    <n v="450000"/>
    <s v="DISC10"/>
    <n v="0.1"/>
    <x v="0"/>
    <x v="2"/>
    <x v="5"/>
    <d v="2023-04-01T00:00:00"/>
    <x v="0"/>
    <s v="Saturday"/>
    <x v="0"/>
    <n v="4"/>
  </r>
  <r>
    <n v="953"/>
    <s v="ORD-SP0953-03/04/23"/>
    <s v="SP001"/>
    <s v="Sepatu Pria"/>
    <s v="Sneakers"/>
    <n v="5"/>
    <n v="5"/>
    <n v="2500000"/>
    <n v="2125000"/>
    <n v="1000000"/>
    <n v="625000"/>
    <s v="PP003"/>
    <s v="Pakaian Pria"/>
    <s v="Jaket Jeans"/>
    <n v="1"/>
    <n v="5"/>
    <n v="400000"/>
    <n v="340000"/>
    <n v="150000"/>
    <n v="90000"/>
    <m/>
    <s v="-"/>
    <s v="-"/>
    <m/>
    <m/>
    <n v="0"/>
    <n v="0"/>
    <n v="0"/>
    <n v="0"/>
    <n v="6"/>
    <n v="2900000"/>
    <n v="2465000"/>
    <n v="1150000"/>
    <n v="715000"/>
    <s v="DISC15"/>
    <n v="0.15"/>
    <x v="0"/>
    <x v="2"/>
    <x v="4"/>
    <d v="2023-04-03T00:00:00"/>
    <x v="2"/>
    <s v="Monday"/>
    <x v="0"/>
    <n v="5"/>
  </r>
  <r>
    <n v="954"/>
    <s v="ORD-TK0954-20/04/23"/>
    <s v="PP003"/>
    <s v="Pakaian Pria"/>
    <s v="Jaket Jeans"/>
    <n v="2"/>
    <n v="3"/>
    <n v="800000"/>
    <n v="720000"/>
    <n v="300000"/>
    <n v="220000"/>
    <s v="PU001"/>
    <s v="Pakaian Unisex"/>
    <s v="Jaket Hoodie"/>
    <n v="1"/>
    <n v="1"/>
    <n v="350000"/>
    <n v="315000"/>
    <n v="130000"/>
    <n v="95000"/>
    <m/>
    <s v="-"/>
    <s v="-"/>
    <m/>
    <m/>
    <n v="0"/>
    <n v="0"/>
    <n v="0"/>
    <n v="0"/>
    <n v="3"/>
    <n v="1150000"/>
    <n v="1035000"/>
    <n v="430000"/>
    <n v="315000"/>
    <s v="LEBAR10"/>
    <n v="0.1"/>
    <x v="1"/>
    <x v="1"/>
    <x v="0"/>
    <d v="2023-04-20T00:00:00"/>
    <x v="5"/>
    <s v="Thursday"/>
    <x v="1"/>
    <n v="2"/>
  </r>
  <r>
    <n v="955"/>
    <s v="ORD-TK0955-04/04/23"/>
    <s v="SP002"/>
    <s v="Sepatu Pria"/>
    <s v="Sandal Slip On"/>
    <n v="1"/>
    <n v="3"/>
    <n v="150000"/>
    <n v="135000"/>
    <n v="60000"/>
    <n v="45000"/>
    <s v="PP002"/>
    <s v="Pakaian Pria"/>
    <s v="Celana Pendek"/>
    <n v="3"/>
    <n v="2"/>
    <n v="540000"/>
    <n v="486000"/>
    <n v="210000"/>
    <n v="156000"/>
    <s v="SW001"/>
    <s v="Sepatu Wanita"/>
    <s v="Flat Shoes"/>
    <n v="1"/>
    <n v="1"/>
    <n v="250000"/>
    <n v="225000"/>
    <n v="100000"/>
    <n v="75000"/>
    <n v="5"/>
    <n v="940000"/>
    <n v="846000"/>
    <n v="370000"/>
    <n v="276000"/>
    <s v="DISCAPRIL"/>
    <n v="0.1"/>
    <x v="0"/>
    <x v="1"/>
    <x v="1"/>
    <d v="2023-04-04T00:00:00"/>
    <x v="7"/>
    <s v="Tuesday"/>
    <x v="0"/>
    <n v="2"/>
  </r>
  <r>
    <n v="956"/>
    <s v="ORD-TK0956-19/04/23"/>
    <s v="SP002"/>
    <s v="Sepatu Pria"/>
    <s v="Sandal Slip On"/>
    <n v="2"/>
    <n v="5"/>
    <n v="300000"/>
    <n v="270000"/>
    <n v="120000"/>
    <n v="90000"/>
    <s v="PP002"/>
    <s v="Pakaian Pria"/>
    <s v="Celana Pendek"/>
    <n v="1"/>
    <n v="4"/>
    <n v="180000"/>
    <n v="162000"/>
    <n v="70000"/>
    <n v="52000"/>
    <s v="PP003"/>
    <s v="Pakaian Pria"/>
    <s v="Jaket Jeans"/>
    <n v="2"/>
    <n v="4"/>
    <n v="800000"/>
    <n v="720000"/>
    <n v="300000"/>
    <n v="220000"/>
    <n v="5"/>
    <n v="1280000"/>
    <n v="1152000"/>
    <n v="490000"/>
    <n v="362000"/>
    <s v="LEBAR10"/>
    <n v="0.1"/>
    <x v="1"/>
    <x v="1"/>
    <x v="5"/>
    <d v="2023-04-19T00:00:00"/>
    <x v="19"/>
    <s v="Wednesday"/>
    <x v="1"/>
    <n v="4.333333333333333"/>
  </r>
  <r>
    <n v="957"/>
    <s v="ORD-BL0957-16/04/23"/>
    <s v="SW001"/>
    <s v="Sepatu Wanita"/>
    <s v="Flat Shoes"/>
    <n v="5"/>
    <n v="4"/>
    <n v="1250000"/>
    <n v="1062500"/>
    <n v="500000"/>
    <n v="312500"/>
    <s v="SW001"/>
    <s v="Sepatu Wanita"/>
    <s v="Flat Shoes"/>
    <n v="1"/>
    <n v="2"/>
    <n v="250000"/>
    <n v="212500"/>
    <n v="100000"/>
    <n v="62500"/>
    <m/>
    <s v="-"/>
    <s v="-"/>
    <m/>
    <m/>
    <n v="0"/>
    <n v="0"/>
    <n v="0"/>
    <n v="0"/>
    <n v="6"/>
    <n v="1500000"/>
    <n v="1275000"/>
    <n v="600000"/>
    <n v="375000"/>
    <s v="BUKALEBAR"/>
    <n v="0.15"/>
    <x v="1"/>
    <x v="3"/>
    <x v="4"/>
    <d v="2023-04-16T00:00:00"/>
    <x v="17"/>
    <s v="Sunday"/>
    <x v="1"/>
    <n v="3"/>
  </r>
  <r>
    <n v="958"/>
    <s v="ORD-TK0958-26/04/23"/>
    <s v="SP001"/>
    <s v="Sepatu Pria"/>
    <s v="Sneakers"/>
    <n v="6"/>
    <n v="2"/>
    <n v="3000000"/>
    <n v="2700000"/>
    <n v="1200000"/>
    <n v="900000"/>
    <s v="PP003"/>
    <s v="Pakaian Pria"/>
    <s v="Jaket Jeans"/>
    <n v="1"/>
    <n v="1"/>
    <n v="400000"/>
    <n v="360000"/>
    <n v="150000"/>
    <n v="110000"/>
    <m/>
    <s v="-"/>
    <s v="-"/>
    <m/>
    <m/>
    <n v="0"/>
    <n v="0"/>
    <n v="0"/>
    <n v="0"/>
    <n v="7"/>
    <n v="3400000"/>
    <n v="3060000"/>
    <n v="1350000"/>
    <n v="1010000"/>
    <s v="LEBAR10"/>
    <n v="0.1"/>
    <x v="1"/>
    <x v="1"/>
    <x v="0"/>
    <d v="2023-04-26T00:00:00"/>
    <x v="15"/>
    <s v="Wednesday"/>
    <x v="2"/>
    <n v="1.5"/>
  </r>
  <r>
    <n v="959"/>
    <s v="ORD-TK0959-27/04/23"/>
    <s v="PU001"/>
    <s v="Pakaian Unisex"/>
    <s v="Jaket Hoodie"/>
    <n v="4"/>
    <n v="3"/>
    <n v="1400000"/>
    <n v="1260000"/>
    <n v="520000"/>
    <n v="380000"/>
    <s v="PP001"/>
    <s v="Pakaian Pria"/>
    <s v="Kaos Polo"/>
    <n v="2"/>
    <n v="4"/>
    <n v="400000"/>
    <n v="360000"/>
    <n v="160000"/>
    <n v="120000"/>
    <s v="PW002"/>
    <s v="Pakaian Wanita"/>
    <s v="Blouse"/>
    <n v="1"/>
    <n v="2"/>
    <n v="150000"/>
    <n v="135000"/>
    <n v="50000"/>
    <n v="35000"/>
    <n v="7"/>
    <n v="1950000"/>
    <n v="1755000"/>
    <n v="730000"/>
    <n v="535000"/>
    <s v="LEBAR10"/>
    <n v="0.1"/>
    <x v="1"/>
    <x v="1"/>
    <x v="5"/>
    <d v="2023-04-27T00:00:00"/>
    <x v="18"/>
    <s v="Thursday"/>
    <x v="2"/>
    <n v="3"/>
  </r>
  <r>
    <n v="960"/>
    <s v="ORD-SP0960-08/04/23"/>
    <s v="PP002"/>
    <s v="Pakaian Pria"/>
    <s v="Celana Pendek"/>
    <n v="4"/>
    <n v="5"/>
    <n v="720000"/>
    <n v="720000"/>
    <n v="280000"/>
    <n v="280000"/>
    <s v="PW001"/>
    <s v="Pakaian Wanita"/>
    <s v="Dress"/>
    <n v="1"/>
    <n v="2"/>
    <n v="300000"/>
    <n v="300000"/>
    <n v="100000"/>
    <n v="100000"/>
    <s v="PP002"/>
    <s v="Pakaian Pria"/>
    <s v="Celana Pendek"/>
    <n v="1"/>
    <n v="3"/>
    <n v="180000"/>
    <n v="180000"/>
    <n v="70000"/>
    <n v="70000"/>
    <n v="6"/>
    <n v="1200000"/>
    <n v="1200000"/>
    <n v="450000"/>
    <n v="450000"/>
    <s v="Tidak Ada"/>
    <s v="-"/>
    <x v="2"/>
    <x v="2"/>
    <x v="3"/>
    <d v="2023-04-08T00:00:00"/>
    <x v="26"/>
    <s v="Saturday"/>
    <x v="3"/>
    <n v="3.3333333333333335"/>
  </r>
  <r>
    <n v="961"/>
    <s v="ORD-TK0961-29/04/23"/>
    <s v="SP002"/>
    <s v="Sepatu Pria"/>
    <s v="Sandal Slip On"/>
    <n v="2"/>
    <n v="3"/>
    <n v="300000"/>
    <n v="270000"/>
    <n v="120000"/>
    <n v="90000"/>
    <m/>
    <s v="-"/>
    <s v="-"/>
    <m/>
    <m/>
    <n v="0"/>
    <n v="0"/>
    <n v="0"/>
    <n v="0"/>
    <m/>
    <s v="-"/>
    <s v="-"/>
    <m/>
    <m/>
    <n v="0"/>
    <n v="0"/>
    <n v="0"/>
    <n v="0"/>
    <n v="2"/>
    <n v="300000"/>
    <n v="270000"/>
    <n v="120000"/>
    <n v="90000"/>
    <s v="LEBAR10"/>
    <n v="0.1"/>
    <x v="1"/>
    <x v="1"/>
    <x v="1"/>
    <d v="2023-04-29T00:00:00"/>
    <x v="13"/>
    <s v="Saturday"/>
    <x v="2"/>
    <n v="3"/>
  </r>
  <r>
    <n v="962"/>
    <s v="ORD-TK0962-06/04/23"/>
    <s v="PP002"/>
    <s v="Pakaian Pria"/>
    <s v="Celana Pendek"/>
    <n v="1"/>
    <n v="4"/>
    <n v="180000"/>
    <n v="162000"/>
    <n v="70000"/>
    <n v="52000"/>
    <s v="SP001"/>
    <s v="Sepatu Pria"/>
    <s v="Sneakers"/>
    <n v="3"/>
    <n v="1"/>
    <n v="1500000"/>
    <n v="1350000"/>
    <n v="600000"/>
    <n v="450000"/>
    <s v="SP002"/>
    <s v="Sepatu Pria"/>
    <s v="Sandal Slip On"/>
    <n v="2"/>
    <n v="4"/>
    <n v="300000"/>
    <n v="270000"/>
    <n v="120000"/>
    <n v="90000"/>
    <n v="6"/>
    <n v="1980000"/>
    <n v="1782000"/>
    <n v="790000"/>
    <n v="592000"/>
    <s v="DISCAPRIL"/>
    <n v="0.1"/>
    <x v="0"/>
    <x v="1"/>
    <x v="4"/>
    <d v="2023-04-06T00:00:00"/>
    <x v="8"/>
    <s v="Thursday"/>
    <x v="0"/>
    <n v="3"/>
  </r>
  <r>
    <n v="963"/>
    <s v="ORD-SP0963-05/04/23"/>
    <s v="PP003"/>
    <s v="Pakaian Pria"/>
    <s v="Jaket Jeans"/>
    <n v="4"/>
    <n v="3"/>
    <n v="1600000"/>
    <n v="1440000"/>
    <n v="600000"/>
    <n v="440000"/>
    <m/>
    <s v="-"/>
    <s v="-"/>
    <m/>
    <m/>
    <n v="0"/>
    <n v="0"/>
    <n v="0"/>
    <n v="0"/>
    <m/>
    <s v="-"/>
    <s v="-"/>
    <m/>
    <m/>
    <n v="0"/>
    <n v="0"/>
    <n v="0"/>
    <n v="0"/>
    <n v="4"/>
    <n v="1600000"/>
    <n v="1440000"/>
    <n v="600000"/>
    <n v="440000"/>
    <s v="DISC10"/>
    <n v="0.1"/>
    <x v="0"/>
    <x v="2"/>
    <x v="4"/>
    <d v="2023-04-05T00:00:00"/>
    <x v="9"/>
    <s v="Wednesday"/>
    <x v="0"/>
    <n v="3"/>
  </r>
  <r>
    <n v="964"/>
    <s v="ORD-BB0964-06/04/23"/>
    <s v="PP003"/>
    <s v="Pakaian Pria"/>
    <s v="Jaket Jeans"/>
    <n v="3"/>
    <n v="3"/>
    <n v="1200000"/>
    <n v="1020000"/>
    <n v="450000"/>
    <n v="270000"/>
    <s v="PW002"/>
    <s v="Pakaian Wanita"/>
    <s v="Blouse"/>
    <n v="3"/>
    <n v="2"/>
    <n v="450000"/>
    <n v="382500"/>
    <n v="150000"/>
    <n v="82500"/>
    <m/>
    <s v="-"/>
    <s v="-"/>
    <m/>
    <m/>
    <n v="0"/>
    <n v="0"/>
    <n v="0"/>
    <n v="0"/>
    <n v="6"/>
    <n v="1650000"/>
    <n v="1402500"/>
    <n v="600000"/>
    <n v="352500"/>
    <s v="BELI44"/>
    <n v="0.15"/>
    <x v="0"/>
    <x v="0"/>
    <x v="0"/>
    <d v="2023-04-06T00:00:00"/>
    <x v="8"/>
    <s v="Thursday"/>
    <x v="0"/>
    <n v="2.5"/>
  </r>
  <r>
    <n v="965"/>
    <s v="ORD-BL0965-29/04/23"/>
    <s v="SP001"/>
    <s v="Sepatu Pria"/>
    <s v="Sneakers"/>
    <n v="4"/>
    <n v="5"/>
    <n v="2000000"/>
    <n v="1700000"/>
    <n v="800000"/>
    <n v="500000"/>
    <m/>
    <s v="-"/>
    <s v="-"/>
    <m/>
    <m/>
    <n v="0"/>
    <n v="0"/>
    <n v="0"/>
    <n v="0"/>
    <m/>
    <s v="-"/>
    <s v="-"/>
    <m/>
    <m/>
    <n v="0"/>
    <n v="0"/>
    <n v="0"/>
    <n v="0"/>
    <n v="4"/>
    <n v="2000000"/>
    <n v="1700000"/>
    <n v="800000"/>
    <n v="500000"/>
    <s v="BUKALEBAR"/>
    <n v="0.15"/>
    <x v="1"/>
    <x v="3"/>
    <x v="0"/>
    <d v="2023-04-29T00:00:00"/>
    <x v="13"/>
    <s v="Saturday"/>
    <x v="2"/>
    <n v="5"/>
  </r>
  <r>
    <n v="966"/>
    <s v="ORD-SP0966-09/04/23"/>
    <s v="PP001"/>
    <s v="Pakaian Pria"/>
    <s v="Kaos Polo"/>
    <n v="2"/>
    <n v="1"/>
    <n v="400000"/>
    <n v="400000"/>
    <n v="160000"/>
    <n v="160000"/>
    <s v="PW003"/>
    <s v="Pakaian Wanita"/>
    <s v="Kaftan"/>
    <n v="1"/>
    <n v="4"/>
    <n v="250000"/>
    <n v="250000"/>
    <n v="100000"/>
    <n v="100000"/>
    <s v="SW001"/>
    <s v="Sepatu Wanita"/>
    <s v="Flat Shoes"/>
    <n v="1"/>
    <n v="3"/>
    <n v="250000"/>
    <n v="250000"/>
    <n v="100000"/>
    <n v="100000"/>
    <n v="4"/>
    <n v="900000"/>
    <n v="900000"/>
    <n v="360000"/>
    <n v="360000"/>
    <s v="Tidak Ada"/>
    <s v="-"/>
    <x v="2"/>
    <x v="2"/>
    <x v="1"/>
    <d v="2023-04-09T00:00:00"/>
    <x v="10"/>
    <s v="Sunday"/>
    <x v="3"/>
    <n v="2.6666666666666665"/>
  </r>
  <r>
    <n v="967"/>
    <s v="ORD-TK0967-30/04/23"/>
    <s v="PU001"/>
    <s v="Pakaian Unisex"/>
    <s v="Jaket Hoodie"/>
    <n v="2"/>
    <n v="4"/>
    <n v="700000"/>
    <n v="630000"/>
    <n v="260000"/>
    <n v="190000"/>
    <s v="SW001"/>
    <s v="Sepatu Wanita"/>
    <s v="Flat Shoes"/>
    <n v="2"/>
    <n v="1"/>
    <n v="500000"/>
    <n v="450000"/>
    <n v="200000"/>
    <n v="150000"/>
    <s v="PW001"/>
    <s v="Pakaian Wanita"/>
    <s v="Dress"/>
    <n v="1"/>
    <n v="4"/>
    <n v="300000"/>
    <n v="270000"/>
    <n v="100000"/>
    <n v="70000"/>
    <n v="5"/>
    <n v="1500000"/>
    <n v="1350000"/>
    <n v="560000"/>
    <n v="410000"/>
    <s v="LEBAR10"/>
    <n v="0.1"/>
    <x v="1"/>
    <x v="1"/>
    <x v="4"/>
    <d v="2023-04-30T00:00:00"/>
    <x v="12"/>
    <s v="Sunday"/>
    <x v="2"/>
    <n v="3"/>
  </r>
  <r>
    <n v="968"/>
    <s v="ORD-BB0968-09/04/23"/>
    <s v="SW001"/>
    <s v="Sepatu Wanita"/>
    <s v="Flat Shoes"/>
    <n v="2"/>
    <n v="4"/>
    <n v="500000"/>
    <n v="500000"/>
    <n v="200000"/>
    <n v="200000"/>
    <s v="SP001"/>
    <s v="Sepatu Pria"/>
    <s v="Sneakers"/>
    <n v="3"/>
    <n v="4"/>
    <n v="1500000"/>
    <n v="1500000"/>
    <n v="600000"/>
    <n v="600000"/>
    <s v="PP002"/>
    <s v="Pakaian Pria"/>
    <s v="Celana Pendek"/>
    <n v="1"/>
    <n v="5"/>
    <n v="180000"/>
    <n v="180000"/>
    <n v="70000"/>
    <n v="70000"/>
    <n v="6"/>
    <n v="2180000"/>
    <n v="2180000"/>
    <n v="870000"/>
    <n v="870000"/>
    <s v="Tidak Ada"/>
    <s v="-"/>
    <x v="2"/>
    <x v="0"/>
    <x v="0"/>
    <d v="2023-04-09T00:00:00"/>
    <x v="10"/>
    <s v="Sunday"/>
    <x v="3"/>
    <n v="4.333333333333333"/>
  </r>
  <r>
    <n v="969"/>
    <s v="ORD-TK0969-28/04/23"/>
    <s v="PP003"/>
    <s v="Pakaian Pria"/>
    <s v="Jaket Jeans"/>
    <n v="3"/>
    <n v="5"/>
    <n v="1200000"/>
    <n v="1080000"/>
    <n v="450000"/>
    <n v="330000"/>
    <s v="PW001"/>
    <s v="Pakaian Wanita"/>
    <s v="Dress"/>
    <n v="1"/>
    <n v="4"/>
    <n v="300000"/>
    <n v="270000"/>
    <n v="100000"/>
    <n v="70000"/>
    <s v="PW002"/>
    <s v="Pakaian Wanita"/>
    <s v="Blouse"/>
    <n v="2"/>
    <n v="5"/>
    <n v="300000"/>
    <n v="270000"/>
    <n v="100000"/>
    <n v="70000"/>
    <n v="6"/>
    <n v="1800000"/>
    <n v="1620000"/>
    <n v="650000"/>
    <n v="470000"/>
    <s v="LEBAR10"/>
    <n v="0.1"/>
    <x v="1"/>
    <x v="1"/>
    <x v="0"/>
    <d v="2023-04-28T00:00:00"/>
    <x v="11"/>
    <s v="Friday"/>
    <x v="2"/>
    <n v="4.666666666666667"/>
  </r>
  <r>
    <n v="970"/>
    <s v="ORD-SP0970-04/04/23"/>
    <s v="SP002"/>
    <s v="Sepatu Pria"/>
    <s v="Sandal Slip On"/>
    <n v="1"/>
    <n v="4"/>
    <n v="150000"/>
    <n v="135000"/>
    <n v="60000"/>
    <n v="45000"/>
    <s v="PW003"/>
    <s v="Pakaian Wanita"/>
    <s v="Kaftan"/>
    <n v="3"/>
    <n v="5"/>
    <n v="750000"/>
    <n v="675000"/>
    <n v="300000"/>
    <n v="225000"/>
    <m/>
    <s v="-"/>
    <s v="-"/>
    <m/>
    <m/>
    <n v="0"/>
    <n v="0"/>
    <n v="0"/>
    <n v="0"/>
    <n v="4"/>
    <n v="900000"/>
    <n v="810000"/>
    <n v="360000"/>
    <n v="270000"/>
    <s v="DISC10"/>
    <n v="0.1"/>
    <x v="0"/>
    <x v="2"/>
    <x v="5"/>
    <d v="2023-04-04T00:00:00"/>
    <x v="7"/>
    <s v="Tuesday"/>
    <x v="0"/>
    <n v="4.5"/>
  </r>
  <r>
    <n v="971"/>
    <s v="ORD-BB0971-01/04/23"/>
    <s v="PP003"/>
    <s v="Pakaian Pria"/>
    <s v="Jaket Jeans"/>
    <n v="5"/>
    <n v="3"/>
    <n v="2000000"/>
    <n v="1700000"/>
    <n v="750000"/>
    <n v="450000"/>
    <m/>
    <s v="-"/>
    <s v="-"/>
    <m/>
    <m/>
    <n v="0"/>
    <n v="0"/>
    <n v="0"/>
    <n v="0"/>
    <m/>
    <s v="-"/>
    <s v="-"/>
    <m/>
    <m/>
    <n v="0"/>
    <n v="0"/>
    <n v="0"/>
    <n v="0"/>
    <n v="5"/>
    <n v="2000000"/>
    <n v="1700000"/>
    <n v="750000"/>
    <n v="450000"/>
    <s v="BELI44"/>
    <n v="0.15"/>
    <x v="0"/>
    <x v="0"/>
    <x v="0"/>
    <d v="2023-04-01T00:00:00"/>
    <x v="0"/>
    <s v="Saturday"/>
    <x v="0"/>
    <n v="3"/>
  </r>
  <r>
    <n v="972"/>
    <s v="ORD-BL0972-22/04/23"/>
    <s v="PU001"/>
    <s v="Pakaian Unisex"/>
    <s v="Jaket Hoodie"/>
    <n v="4"/>
    <n v="3"/>
    <n v="1400000"/>
    <n v="1190000"/>
    <n v="520000"/>
    <n v="310000"/>
    <s v="PW002"/>
    <s v="Pakaian Wanita"/>
    <s v="Blouse"/>
    <n v="1"/>
    <n v="5"/>
    <n v="150000"/>
    <n v="127500"/>
    <n v="50000"/>
    <n v="27500"/>
    <s v="SW001"/>
    <s v="Sepatu Wanita"/>
    <s v="Flat Shoes"/>
    <n v="1"/>
    <n v="4"/>
    <n v="250000"/>
    <n v="212500"/>
    <n v="100000"/>
    <n v="62500"/>
    <n v="6"/>
    <n v="1800000"/>
    <n v="1530000"/>
    <n v="670000"/>
    <n v="400000"/>
    <s v="BUKALEBAR"/>
    <n v="0.15"/>
    <x v="1"/>
    <x v="3"/>
    <x v="0"/>
    <d v="2023-04-22T00:00:00"/>
    <x v="27"/>
    <s v="Saturday"/>
    <x v="2"/>
    <n v="4"/>
  </r>
  <r>
    <n v="973"/>
    <s v="ORD-BL0973-20/04/23"/>
    <s v="PU001"/>
    <s v="Pakaian Unisex"/>
    <s v="Jaket Hoodie"/>
    <n v="2"/>
    <n v="3"/>
    <n v="700000"/>
    <n v="595000"/>
    <n v="260000"/>
    <n v="155000"/>
    <m/>
    <s v="-"/>
    <s v="-"/>
    <m/>
    <m/>
    <n v="0"/>
    <n v="0"/>
    <n v="0"/>
    <n v="0"/>
    <m/>
    <s v="-"/>
    <s v="-"/>
    <m/>
    <m/>
    <n v="0"/>
    <n v="0"/>
    <n v="0"/>
    <n v="0"/>
    <n v="2"/>
    <n v="700000"/>
    <n v="595000"/>
    <n v="260000"/>
    <n v="155000"/>
    <s v="BUKALEBAR"/>
    <n v="0.15"/>
    <x v="1"/>
    <x v="3"/>
    <x v="5"/>
    <d v="2023-04-20T00:00:00"/>
    <x v="5"/>
    <s v="Thursday"/>
    <x v="1"/>
    <n v="3"/>
  </r>
  <r>
    <n v="974"/>
    <s v="ORD-SP0974-03/04/23"/>
    <s v="SP002"/>
    <s v="Sepatu Pria"/>
    <s v="Sandal Slip On"/>
    <n v="5"/>
    <n v="2"/>
    <n v="750000"/>
    <n v="675000"/>
    <n v="300000"/>
    <n v="225000"/>
    <s v="PU001"/>
    <s v="Pakaian Unisex"/>
    <s v="Jaket Hoodie"/>
    <n v="1"/>
    <n v="1"/>
    <n v="350000"/>
    <n v="315000"/>
    <n v="130000"/>
    <n v="95000"/>
    <s v="SW001"/>
    <s v="Sepatu Wanita"/>
    <s v="Flat Shoes"/>
    <n v="1"/>
    <n v="3"/>
    <n v="250000"/>
    <n v="225000"/>
    <n v="100000"/>
    <n v="75000"/>
    <n v="7"/>
    <n v="1350000"/>
    <n v="1215000"/>
    <n v="530000"/>
    <n v="395000"/>
    <s v="DISC10"/>
    <n v="0.1"/>
    <x v="0"/>
    <x v="2"/>
    <x v="1"/>
    <d v="2023-04-03T00:00:00"/>
    <x v="2"/>
    <s v="Monday"/>
    <x v="0"/>
    <n v="2"/>
  </r>
  <r>
    <n v="975"/>
    <s v="ORD-TK0975-28/04/23"/>
    <s v="SP001"/>
    <s v="Sepatu Pria"/>
    <s v="Sneakers"/>
    <n v="3"/>
    <n v="1"/>
    <n v="1500000"/>
    <n v="1350000"/>
    <n v="600000"/>
    <n v="450000"/>
    <m/>
    <s v="-"/>
    <s v="-"/>
    <m/>
    <m/>
    <n v="0"/>
    <n v="0"/>
    <n v="0"/>
    <n v="0"/>
    <m/>
    <s v="-"/>
    <s v="-"/>
    <m/>
    <m/>
    <n v="0"/>
    <n v="0"/>
    <n v="0"/>
    <n v="0"/>
    <n v="3"/>
    <n v="1500000"/>
    <n v="1350000"/>
    <n v="600000"/>
    <n v="450000"/>
    <s v="LEBAR10"/>
    <n v="0.1"/>
    <x v="1"/>
    <x v="1"/>
    <x v="4"/>
    <d v="2023-04-28T00:00:00"/>
    <x v="11"/>
    <s v="Friday"/>
    <x v="2"/>
    <n v="1"/>
  </r>
  <r>
    <n v="976"/>
    <s v="ORD-SP0976-22/04/23"/>
    <s v="SW001"/>
    <s v="Sepatu Wanita"/>
    <s v="Flat Shoes"/>
    <n v="2"/>
    <n v="3"/>
    <n v="500000"/>
    <n v="400000"/>
    <n v="200000"/>
    <n v="100000"/>
    <s v="SP001"/>
    <s v="Sepatu Pria"/>
    <s v="Sneakers"/>
    <n v="1"/>
    <n v="1"/>
    <n v="500000"/>
    <n v="400000"/>
    <n v="200000"/>
    <n v="100000"/>
    <s v="PU001"/>
    <s v="Pakaian Unisex"/>
    <s v="Jaket Hoodie"/>
    <n v="2"/>
    <n v="5"/>
    <n v="700000"/>
    <n v="560000"/>
    <n v="260000"/>
    <n v="120000"/>
    <n v="5"/>
    <n v="1700000"/>
    <n v="1360000"/>
    <n v="660000"/>
    <n v="320000"/>
    <s v="DISC20"/>
    <n v="0.2"/>
    <x v="1"/>
    <x v="2"/>
    <x v="4"/>
    <d v="2023-04-22T00:00:00"/>
    <x v="27"/>
    <s v="Saturday"/>
    <x v="2"/>
    <n v="3"/>
  </r>
  <r>
    <n v="977"/>
    <s v="ORD-TK0977-16/04/23"/>
    <s v="PP003"/>
    <s v="Pakaian Pria"/>
    <s v="Jaket Jeans"/>
    <n v="6"/>
    <n v="1"/>
    <n v="2400000"/>
    <n v="2160000"/>
    <n v="900000"/>
    <n v="660000"/>
    <s v="PP001"/>
    <s v="Pakaian Pria"/>
    <s v="Kaos Polo"/>
    <n v="1"/>
    <n v="4"/>
    <n v="200000"/>
    <n v="180000"/>
    <n v="80000"/>
    <n v="60000"/>
    <m/>
    <s v="-"/>
    <s v="-"/>
    <m/>
    <m/>
    <n v="0"/>
    <n v="0"/>
    <n v="0"/>
    <n v="0"/>
    <n v="7"/>
    <n v="2600000"/>
    <n v="2340000"/>
    <n v="980000"/>
    <n v="720000"/>
    <s v="LEBAR10"/>
    <n v="0.1"/>
    <x v="1"/>
    <x v="1"/>
    <x v="1"/>
    <d v="2023-04-16T00:00:00"/>
    <x v="17"/>
    <s v="Sunday"/>
    <x v="1"/>
    <n v="2.5"/>
  </r>
  <r>
    <n v="978"/>
    <s v="ORD-SP0978-20/04/23"/>
    <s v="SP002"/>
    <s v="Sepatu Pria"/>
    <s v="Sandal Slip On"/>
    <n v="4"/>
    <n v="1"/>
    <n v="600000"/>
    <n v="480000"/>
    <n v="240000"/>
    <n v="120000"/>
    <s v="PW001"/>
    <s v="Pakaian Wanita"/>
    <s v="Dress"/>
    <n v="1"/>
    <n v="5"/>
    <n v="300000"/>
    <n v="240000"/>
    <n v="100000"/>
    <n v="40000"/>
    <m/>
    <s v="-"/>
    <s v="-"/>
    <m/>
    <m/>
    <n v="0"/>
    <n v="0"/>
    <n v="0"/>
    <n v="0"/>
    <n v="5"/>
    <n v="900000"/>
    <n v="720000"/>
    <n v="340000"/>
    <n v="160000"/>
    <s v="DISC20"/>
    <n v="0.2"/>
    <x v="1"/>
    <x v="2"/>
    <x v="0"/>
    <d v="2023-04-20T00:00:00"/>
    <x v="5"/>
    <s v="Thursday"/>
    <x v="1"/>
    <n v="3"/>
  </r>
  <r>
    <n v="979"/>
    <s v="ORD-SP0979-01/04/23"/>
    <s v="PW002"/>
    <s v="Pakaian Wanita"/>
    <s v="Blouse"/>
    <n v="3"/>
    <n v="2"/>
    <n v="450000"/>
    <n v="405000"/>
    <n v="150000"/>
    <n v="105000"/>
    <m/>
    <s v="-"/>
    <s v="-"/>
    <m/>
    <m/>
    <n v="0"/>
    <n v="0"/>
    <n v="0"/>
    <n v="0"/>
    <m/>
    <s v="-"/>
    <s v="-"/>
    <m/>
    <m/>
    <n v="0"/>
    <n v="0"/>
    <n v="0"/>
    <n v="0"/>
    <n v="3"/>
    <n v="450000"/>
    <n v="405000"/>
    <n v="150000"/>
    <n v="105000"/>
    <s v="DISC10"/>
    <n v="0.1"/>
    <x v="0"/>
    <x v="2"/>
    <x v="5"/>
    <d v="2023-04-01T00:00:00"/>
    <x v="0"/>
    <s v="Saturday"/>
    <x v="0"/>
    <n v="2"/>
  </r>
  <r>
    <n v="980"/>
    <s v="ORD-SP0980-07/04/23"/>
    <s v="SW001"/>
    <s v="Sepatu Wanita"/>
    <s v="Flat Shoes"/>
    <n v="2"/>
    <n v="4"/>
    <n v="500000"/>
    <n v="500000"/>
    <n v="200000"/>
    <n v="200000"/>
    <s v="SP002"/>
    <s v="Sepatu Pria"/>
    <s v="Sandal Slip On"/>
    <n v="4"/>
    <n v="5"/>
    <n v="600000"/>
    <n v="600000"/>
    <n v="240000"/>
    <n v="240000"/>
    <m/>
    <s v="-"/>
    <s v="-"/>
    <m/>
    <m/>
    <n v="0"/>
    <n v="0"/>
    <n v="0"/>
    <n v="0"/>
    <n v="6"/>
    <n v="1100000"/>
    <n v="1100000"/>
    <n v="440000"/>
    <n v="440000"/>
    <s v="Tidak Ada"/>
    <s v="-"/>
    <x v="2"/>
    <x v="2"/>
    <x v="5"/>
    <d v="2023-04-07T00:00:00"/>
    <x v="28"/>
    <s v="Friday"/>
    <x v="0"/>
    <n v="4.5"/>
  </r>
  <r>
    <n v="981"/>
    <s v="ORD-SP0981-01/04/23"/>
    <s v="PW001"/>
    <s v="Pakaian Wanita"/>
    <s v="Dress"/>
    <n v="1"/>
    <n v="4"/>
    <n v="300000"/>
    <n v="270000"/>
    <n v="100000"/>
    <n v="70000"/>
    <m/>
    <s v="-"/>
    <s v="-"/>
    <m/>
    <m/>
    <n v="0"/>
    <n v="0"/>
    <n v="0"/>
    <n v="0"/>
    <m/>
    <s v="-"/>
    <s v="-"/>
    <m/>
    <m/>
    <n v="0"/>
    <n v="0"/>
    <n v="0"/>
    <n v="0"/>
    <n v="1"/>
    <n v="300000"/>
    <n v="270000"/>
    <n v="100000"/>
    <n v="70000"/>
    <s v="DISC10"/>
    <n v="0.1"/>
    <x v="0"/>
    <x v="2"/>
    <x v="5"/>
    <d v="2023-04-01T00:00:00"/>
    <x v="0"/>
    <s v="Saturday"/>
    <x v="0"/>
    <n v="4"/>
  </r>
  <r>
    <n v="982"/>
    <s v="ORD-BB0982-03/04/23"/>
    <s v="PP003"/>
    <s v="Pakaian Pria"/>
    <s v="Jaket Jeans"/>
    <n v="3"/>
    <n v="5"/>
    <n v="1200000"/>
    <n v="1020000"/>
    <n v="450000"/>
    <n v="270000"/>
    <m/>
    <s v="-"/>
    <s v="-"/>
    <m/>
    <m/>
    <n v="0"/>
    <n v="0"/>
    <n v="0"/>
    <n v="0"/>
    <m/>
    <s v="-"/>
    <s v="-"/>
    <m/>
    <m/>
    <n v="0"/>
    <n v="0"/>
    <n v="0"/>
    <n v="0"/>
    <n v="3"/>
    <n v="1200000"/>
    <n v="1020000"/>
    <n v="450000"/>
    <n v="270000"/>
    <s v="BELI44"/>
    <n v="0.15"/>
    <x v="0"/>
    <x v="0"/>
    <x v="1"/>
    <d v="2023-04-03T00:00:00"/>
    <x v="2"/>
    <s v="Monday"/>
    <x v="0"/>
    <n v="5"/>
  </r>
  <r>
    <n v="983"/>
    <s v="ORD-SP0983-06/04/23"/>
    <s v="PP002"/>
    <s v="Pakaian Pria"/>
    <s v="Celana Pendek"/>
    <n v="5"/>
    <n v="1"/>
    <n v="900000"/>
    <n v="765000"/>
    <n v="350000"/>
    <n v="215000"/>
    <s v="PW002"/>
    <s v="Pakaian Wanita"/>
    <s v="Blouse"/>
    <n v="1"/>
    <n v="5"/>
    <n v="150000"/>
    <n v="127500"/>
    <n v="50000"/>
    <n v="27500"/>
    <m/>
    <s v="-"/>
    <s v="-"/>
    <m/>
    <m/>
    <n v="0"/>
    <n v="0"/>
    <n v="0"/>
    <n v="0"/>
    <n v="6"/>
    <n v="1050000"/>
    <n v="892500"/>
    <n v="400000"/>
    <n v="242500"/>
    <s v="DISC15"/>
    <n v="0.15"/>
    <x v="0"/>
    <x v="2"/>
    <x v="1"/>
    <d v="2023-04-06T00:00:00"/>
    <x v="8"/>
    <s v="Thursday"/>
    <x v="0"/>
    <n v="3"/>
  </r>
  <r>
    <n v="984"/>
    <s v="ORD-SP0984-05/04/23"/>
    <s v="PP002"/>
    <s v="Pakaian Pria"/>
    <s v="Celana Pendek"/>
    <n v="1"/>
    <n v="1"/>
    <n v="180000"/>
    <n v="153000"/>
    <n v="70000"/>
    <n v="43000"/>
    <s v="PU001"/>
    <s v="Pakaian Unisex"/>
    <s v="Jaket Hoodie"/>
    <n v="2"/>
    <n v="2"/>
    <n v="700000"/>
    <n v="595000"/>
    <n v="260000"/>
    <n v="155000"/>
    <s v="PW002"/>
    <s v="Pakaian Wanita"/>
    <s v="Blouse"/>
    <n v="2"/>
    <n v="4"/>
    <n v="300000"/>
    <n v="255000"/>
    <n v="100000"/>
    <n v="55000"/>
    <n v="5"/>
    <n v="1180000"/>
    <n v="1003000"/>
    <n v="430000"/>
    <n v="253000"/>
    <s v="DISC15"/>
    <n v="0.15"/>
    <x v="0"/>
    <x v="2"/>
    <x v="0"/>
    <d v="2023-04-05T00:00:00"/>
    <x v="9"/>
    <s v="Wednesday"/>
    <x v="0"/>
    <n v="2.3333333333333335"/>
  </r>
  <r>
    <n v="985"/>
    <s v="ORD-SP0985-01/04/23"/>
    <s v="SP002"/>
    <s v="Sepatu Pria"/>
    <s v="Sandal Slip On"/>
    <n v="1"/>
    <n v="2"/>
    <n v="150000"/>
    <n v="135000"/>
    <n v="60000"/>
    <n v="45000"/>
    <m/>
    <s v="-"/>
    <s v="-"/>
    <m/>
    <m/>
    <n v="0"/>
    <n v="0"/>
    <n v="0"/>
    <n v="0"/>
    <m/>
    <s v="-"/>
    <s v="-"/>
    <m/>
    <m/>
    <n v="0"/>
    <n v="0"/>
    <n v="0"/>
    <n v="0"/>
    <n v="1"/>
    <n v="150000"/>
    <n v="135000"/>
    <n v="60000"/>
    <n v="45000"/>
    <s v="DISC10"/>
    <n v="0.1"/>
    <x v="0"/>
    <x v="2"/>
    <x v="5"/>
    <d v="2023-04-01T00:00:00"/>
    <x v="0"/>
    <s v="Saturday"/>
    <x v="0"/>
    <n v="2"/>
  </r>
  <r>
    <n v="986"/>
    <s v="ORD-BL0986-18/04/23"/>
    <s v="PP003"/>
    <s v="Pakaian Pria"/>
    <s v="Jaket Jeans"/>
    <n v="2"/>
    <n v="2"/>
    <n v="800000"/>
    <n v="680000"/>
    <n v="300000"/>
    <n v="180000"/>
    <s v="PP002"/>
    <s v="Pakaian Pria"/>
    <s v="Celana Pendek"/>
    <n v="1"/>
    <n v="5"/>
    <n v="180000"/>
    <n v="153000"/>
    <n v="70000"/>
    <n v="43000"/>
    <m/>
    <s v="-"/>
    <s v="-"/>
    <m/>
    <m/>
    <n v="0"/>
    <n v="0"/>
    <n v="0"/>
    <n v="0"/>
    <n v="3"/>
    <n v="980000"/>
    <n v="833000"/>
    <n v="370000"/>
    <n v="223000"/>
    <s v="BUKALEBAR"/>
    <n v="0.15"/>
    <x v="1"/>
    <x v="3"/>
    <x v="4"/>
    <d v="2023-04-18T00:00:00"/>
    <x v="24"/>
    <s v="Tuesday"/>
    <x v="1"/>
    <n v="3.5"/>
  </r>
  <r>
    <n v="987"/>
    <s v="ORD-SP0987-04/04/23"/>
    <s v="SP002"/>
    <s v="Sepatu Pria"/>
    <s v="Sandal Slip On"/>
    <n v="5"/>
    <n v="3"/>
    <n v="750000"/>
    <n v="675000"/>
    <n v="300000"/>
    <n v="225000"/>
    <s v="SW001"/>
    <s v="Sepatu Wanita"/>
    <s v="Flat Shoes"/>
    <n v="1"/>
    <n v="1"/>
    <n v="250000"/>
    <n v="225000"/>
    <n v="100000"/>
    <n v="75000"/>
    <m/>
    <s v="-"/>
    <s v="-"/>
    <m/>
    <m/>
    <n v="0"/>
    <n v="0"/>
    <n v="0"/>
    <n v="0"/>
    <n v="6"/>
    <n v="1000000"/>
    <n v="900000"/>
    <n v="400000"/>
    <n v="300000"/>
    <s v="DISC10"/>
    <n v="0.1"/>
    <x v="0"/>
    <x v="2"/>
    <x v="0"/>
    <d v="2023-04-04T00:00:00"/>
    <x v="7"/>
    <s v="Tuesday"/>
    <x v="0"/>
    <n v="2"/>
  </r>
  <r>
    <n v="988"/>
    <s v="ORD-BL0988-20/04/23"/>
    <s v="PP002"/>
    <s v="Pakaian Pria"/>
    <s v="Celana Pendek"/>
    <n v="1"/>
    <n v="4"/>
    <n v="180000"/>
    <n v="153000"/>
    <n v="70000"/>
    <n v="43000"/>
    <s v="PP003"/>
    <s v="Pakaian Pria"/>
    <s v="Jaket Jeans"/>
    <n v="2"/>
    <n v="2"/>
    <n v="800000"/>
    <n v="680000"/>
    <n v="300000"/>
    <n v="180000"/>
    <s v="SP002"/>
    <s v="Sepatu Pria"/>
    <s v="Sandal Slip On"/>
    <n v="2"/>
    <n v="1"/>
    <n v="300000"/>
    <n v="255000"/>
    <n v="120000"/>
    <n v="75000"/>
    <n v="5"/>
    <n v="1280000"/>
    <n v="1088000"/>
    <n v="490000"/>
    <n v="298000"/>
    <s v="BUKALEBAR"/>
    <n v="0.15"/>
    <x v="1"/>
    <x v="3"/>
    <x v="2"/>
    <d v="2023-04-20T00:00:00"/>
    <x v="5"/>
    <s v="Thursday"/>
    <x v="1"/>
    <n v="2.3333333333333335"/>
  </r>
  <r>
    <n v="989"/>
    <s v="ORD-SP0989-12/04/23"/>
    <s v="PP003"/>
    <s v="Pakaian Pria"/>
    <s v="Jaket Jeans"/>
    <n v="1"/>
    <n v="1"/>
    <n v="400000"/>
    <n v="400000"/>
    <n v="150000"/>
    <n v="150000"/>
    <s v="SW001"/>
    <s v="Sepatu Wanita"/>
    <s v="Flat Shoes"/>
    <n v="2"/>
    <n v="5"/>
    <n v="500000"/>
    <n v="500000"/>
    <n v="200000"/>
    <n v="200000"/>
    <s v="PU001"/>
    <s v="Pakaian Unisex"/>
    <s v="Jaket Hoodie"/>
    <n v="1"/>
    <n v="1"/>
    <n v="350000"/>
    <n v="350000"/>
    <n v="130000"/>
    <n v="130000"/>
    <n v="4"/>
    <n v="1250000"/>
    <n v="1250000"/>
    <n v="480000"/>
    <n v="480000"/>
    <s v="Tidak Ada"/>
    <s v="-"/>
    <x v="2"/>
    <x v="2"/>
    <x v="2"/>
    <d v="2023-04-12T00:00:00"/>
    <x v="14"/>
    <s v="Wednesday"/>
    <x v="3"/>
    <n v="2.3333333333333335"/>
  </r>
  <r>
    <n v="990"/>
    <s v="ORD-TK0990-06/04/23"/>
    <s v="PW002"/>
    <s v="Pakaian Wanita"/>
    <s v="Blouse"/>
    <n v="1"/>
    <n v="2"/>
    <n v="150000"/>
    <n v="135000"/>
    <n v="50000"/>
    <n v="35000"/>
    <s v="PU001"/>
    <s v="Pakaian Unisex"/>
    <s v="Jaket Hoodie"/>
    <n v="5"/>
    <n v="1"/>
    <n v="1750000"/>
    <n v="1575000"/>
    <n v="650000"/>
    <n v="475000"/>
    <s v="PP001"/>
    <s v="Pakaian Pria"/>
    <s v="Kaos Polo"/>
    <n v="1"/>
    <n v="2"/>
    <n v="200000"/>
    <n v="180000"/>
    <n v="80000"/>
    <n v="60000"/>
    <n v="7"/>
    <n v="2100000"/>
    <n v="1890000"/>
    <n v="780000"/>
    <n v="570000"/>
    <s v="DISCAPRIL"/>
    <n v="0.1"/>
    <x v="0"/>
    <x v="1"/>
    <x v="1"/>
    <d v="2023-04-06T00:00:00"/>
    <x v="8"/>
    <s v="Thursday"/>
    <x v="0"/>
    <n v="1.6666666666666667"/>
  </r>
  <r>
    <n v="991"/>
    <s v="ORD-SP0991-01/04/23"/>
    <s v="PU001"/>
    <s v="Pakaian Unisex"/>
    <s v="Jaket Hoodie"/>
    <n v="2"/>
    <n v="4"/>
    <n v="700000"/>
    <n v="630000"/>
    <n v="260000"/>
    <n v="190000"/>
    <s v="PP001"/>
    <s v="Pakaian Pria"/>
    <s v="Kaos Polo"/>
    <n v="4"/>
    <n v="3"/>
    <n v="800000"/>
    <n v="720000"/>
    <n v="320000"/>
    <n v="240000"/>
    <m/>
    <s v="-"/>
    <s v="-"/>
    <m/>
    <m/>
    <n v="0"/>
    <n v="0"/>
    <n v="0"/>
    <n v="0"/>
    <n v="6"/>
    <n v="1500000"/>
    <n v="1350000"/>
    <n v="580000"/>
    <n v="430000"/>
    <s v="DISC10"/>
    <n v="0.1"/>
    <x v="0"/>
    <x v="2"/>
    <x v="5"/>
    <d v="2023-04-01T00:00:00"/>
    <x v="0"/>
    <s v="Saturday"/>
    <x v="0"/>
    <n v="3.5"/>
  </r>
  <r>
    <n v="992"/>
    <s v="ORD-TK0992-04/04/23"/>
    <s v="PW002"/>
    <s v="Pakaian Wanita"/>
    <s v="Blouse"/>
    <n v="1"/>
    <n v="5"/>
    <n v="150000"/>
    <n v="135000"/>
    <n v="50000"/>
    <n v="35000"/>
    <m/>
    <s v="-"/>
    <s v="-"/>
    <m/>
    <m/>
    <n v="0"/>
    <n v="0"/>
    <n v="0"/>
    <n v="0"/>
    <m/>
    <s v="-"/>
    <s v="-"/>
    <m/>
    <m/>
    <n v="0"/>
    <n v="0"/>
    <n v="0"/>
    <n v="0"/>
    <n v="1"/>
    <n v="150000"/>
    <n v="135000"/>
    <n v="50000"/>
    <n v="35000"/>
    <s v="DISCAPRIL"/>
    <n v="0.1"/>
    <x v="0"/>
    <x v="1"/>
    <x v="4"/>
    <d v="2023-04-04T00:00:00"/>
    <x v="7"/>
    <s v="Tuesday"/>
    <x v="0"/>
    <n v="5"/>
  </r>
  <r>
    <n v="993"/>
    <s v="ORD-SP0993-10/04/23"/>
    <s v="SW001"/>
    <s v="Sepatu Wanita"/>
    <s v="Flat Shoes"/>
    <n v="2"/>
    <n v="4"/>
    <n v="500000"/>
    <n v="500000"/>
    <n v="200000"/>
    <n v="200000"/>
    <s v="PW002"/>
    <s v="Pakaian Wanita"/>
    <s v="Blouse"/>
    <n v="1"/>
    <n v="4"/>
    <n v="150000"/>
    <n v="150000"/>
    <n v="50000"/>
    <n v="50000"/>
    <m/>
    <s v="-"/>
    <s v="-"/>
    <m/>
    <m/>
    <n v="0"/>
    <n v="0"/>
    <n v="0"/>
    <n v="0"/>
    <n v="3"/>
    <n v="650000"/>
    <n v="650000"/>
    <n v="250000"/>
    <n v="250000"/>
    <s v="Tidak Ada"/>
    <s v="-"/>
    <x v="2"/>
    <x v="2"/>
    <x v="1"/>
    <d v="2023-04-10T00:00:00"/>
    <x v="23"/>
    <s v="Monday"/>
    <x v="3"/>
    <n v="4"/>
  </r>
  <r>
    <n v="994"/>
    <s v="ORD-BB0994-06/04/23"/>
    <s v="PW003"/>
    <s v="Pakaian Wanita"/>
    <s v="Kaftan"/>
    <n v="1"/>
    <n v="4"/>
    <n v="250000"/>
    <n v="212500"/>
    <n v="100000"/>
    <n v="62500"/>
    <s v="PW002"/>
    <s v="Pakaian Wanita"/>
    <s v="Blouse"/>
    <n v="1"/>
    <n v="5"/>
    <n v="150000"/>
    <n v="127500"/>
    <n v="50000"/>
    <n v="27500"/>
    <m/>
    <s v="-"/>
    <s v="-"/>
    <m/>
    <m/>
    <n v="0"/>
    <n v="0"/>
    <n v="0"/>
    <n v="0"/>
    <n v="2"/>
    <n v="400000"/>
    <n v="340000"/>
    <n v="150000"/>
    <n v="90000"/>
    <s v="BELI44"/>
    <n v="0.15"/>
    <x v="0"/>
    <x v="0"/>
    <x v="0"/>
    <d v="2023-04-06T00:00:00"/>
    <x v="8"/>
    <s v="Thursday"/>
    <x v="0"/>
    <n v="4.5"/>
  </r>
  <r>
    <n v="995"/>
    <s v="ORD-SP0995-02/04/23"/>
    <s v="SW001"/>
    <s v="Sepatu Wanita"/>
    <s v="Flat Shoes"/>
    <n v="5"/>
    <n v="5"/>
    <n v="1250000"/>
    <n v="1125000"/>
    <n v="500000"/>
    <n v="375000"/>
    <s v="PP002"/>
    <s v="Pakaian Pria"/>
    <s v="Celana Pendek"/>
    <n v="1"/>
    <n v="3"/>
    <n v="180000"/>
    <n v="162000"/>
    <n v="70000"/>
    <n v="52000"/>
    <m/>
    <s v="-"/>
    <s v="-"/>
    <m/>
    <m/>
    <n v="0"/>
    <n v="0"/>
    <n v="0"/>
    <n v="0"/>
    <n v="6"/>
    <n v="1430000"/>
    <n v="1287000"/>
    <n v="570000"/>
    <n v="427000"/>
    <s v="DISC10"/>
    <n v="0.1"/>
    <x v="0"/>
    <x v="2"/>
    <x v="4"/>
    <d v="2023-04-02T00:00:00"/>
    <x v="1"/>
    <s v="Sunday"/>
    <x v="0"/>
    <n v="4"/>
  </r>
  <r>
    <n v="996"/>
    <s v="ORD-SP0996-19/04/23"/>
    <s v="PU001"/>
    <s v="Pakaian Unisex"/>
    <s v="Jaket Hoodie"/>
    <n v="1"/>
    <n v="5"/>
    <n v="350000"/>
    <n v="280000"/>
    <n v="130000"/>
    <n v="60000"/>
    <m/>
    <s v="-"/>
    <s v="-"/>
    <m/>
    <m/>
    <n v="0"/>
    <n v="0"/>
    <n v="0"/>
    <n v="0"/>
    <m/>
    <s v="-"/>
    <s v="-"/>
    <m/>
    <m/>
    <n v="0"/>
    <n v="0"/>
    <n v="0"/>
    <n v="0"/>
    <n v="1"/>
    <n v="350000"/>
    <n v="280000"/>
    <n v="130000"/>
    <n v="60000"/>
    <s v="DISC20"/>
    <n v="0.2"/>
    <x v="1"/>
    <x v="2"/>
    <x v="3"/>
    <d v="2023-04-19T00:00:00"/>
    <x v="19"/>
    <s v="Wednesday"/>
    <x v="1"/>
    <n v="5"/>
  </r>
  <r>
    <n v="997"/>
    <s v="ORD-TK0997-26/04/23"/>
    <s v="PP002"/>
    <s v="Pakaian Pria"/>
    <s v="Celana Pendek"/>
    <n v="5"/>
    <n v="4"/>
    <n v="900000"/>
    <n v="810000"/>
    <n v="350000"/>
    <n v="260000"/>
    <m/>
    <s v="-"/>
    <s v="-"/>
    <m/>
    <m/>
    <n v="0"/>
    <n v="0"/>
    <n v="0"/>
    <n v="0"/>
    <m/>
    <s v="-"/>
    <s v="-"/>
    <m/>
    <m/>
    <n v="0"/>
    <n v="0"/>
    <n v="0"/>
    <n v="0"/>
    <n v="5"/>
    <n v="900000"/>
    <n v="810000"/>
    <n v="350000"/>
    <n v="260000"/>
    <s v="LEBAR10"/>
    <n v="0.1"/>
    <x v="1"/>
    <x v="1"/>
    <x v="1"/>
    <d v="2023-04-26T00:00:00"/>
    <x v="15"/>
    <s v="Wednesday"/>
    <x v="2"/>
    <n v="4"/>
  </r>
  <r>
    <n v="998"/>
    <s v="ORD-SP0998-01/04/23"/>
    <s v="PW001"/>
    <s v="Pakaian Wanita"/>
    <s v="Dress"/>
    <n v="1"/>
    <n v="4"/>
    <n v="300000"/>
    <n v="270000"/>
    <n v="100000"/>
    <n v="70000"/>
    <m/>
    <s v="-"/>
    <s v="-"/>
    <m/>
    <m/>
    <n v="0"/>
    <n v="0"/>
    <n v="0"/>
    <n v="0"/>
    <m/>
    <s v="-"/>
    <s v="-"/>
    <m/>
    <m/>
    <n v="0"/>
    <n v="0"/>
    <n v="0"/>
    <n v="0"/>
    <n v="1"/>
    <n v="300000"/>
    <n v="270000"/>
    <n v="100000"/>
    <n v="70000"/>
    <s v="DISC10"/>
    <n v="0.1"/>
    <x v="0"/>
    <x v="2"/>
    <x v="1"/>
    <d v="2023-04-01T00:00:00"/>
    <x v="0"/>
    <s v="Saturday"/>
    <x v="0"/>
    <n v="4"/>
  </r>
  <r>
    <n v="999"/>
    <s v="ORD-BL0999-18/04/23"/>
    <s v="PW002"/>
    <s v="Pakaian Wanita"/>
    <s v="Blouse"/>
    <n v="2"/>
    <n v="3"/>
    <n v="300000"/>
    <n v="255000"/>
    <n v="100000"/>
    <n v="55000"/>
    <s v="PU001"/>
    <s v="Pakaian Unisex"/>
    <s v="Jaket Hoodie"/>
    <n v="1"/>
    <n v="3"/>
    <n v="350000"/>
    <n v="297500"/>
    <n v="130000"/>
    <n v="77500"/>
    <m/>
    <s v="-"/>
    <s v="-"/>
    <m/>
    <m/>
    <n v="0"/>
    <n v="0"/>
    <n v="0"/>
    <n v="0"/>
    <n v="3"/>
    <n v="650000"/>
    <n v="552500"/>
    <n v="230000"/>
    <n v="132500"/>
    <s v="BUKALEBAR"/>
    <n v="0.15"/>
    <x v="1"/>
    <x v="3"/>
    <x v="5"/>
    <d v="2023-04-18T00:00:00"/>
    <x v="24"/>
    <s v="Tuesday"/>
    <x v="1"/>
    <n v="3"/>
  </r>
  <r>
    <n v="1000"/>
    <s v="ORD-SP1000-03/04/23"/>
    <s v="SP001"/>
    <s v="Sepatu Pria"/>
    <s v="Sneakers"/>
    <n v="3"/>
    <n v="3"/>
    <n v="1500000"/>
    <n v="1275000"/>
    <n v="600000"/>
    <n v="375000"/>
    <s v="PW001"/>
    <s v="Pakaian Wanita"/>
    <s v="Dress"/>
    <n v="2"/>
    <n v="5"/>
    <n v="600000"/>
    <n v="510000"/>
    <n v="200000"/>
    <n v="110000"/>
    <s v="PP001"/>
    <s v="Pakaian Pria"/>
    <s v="Kaos Polo"/>
    <n v="1"/>
    <n v="2"/>
    <n v="200000"/>
    <n v="170000"/>
    <n v="80000"/>
    <n v="50000"/>
    <n v="6"/>
    <n v="2300000"/>
    <n v="1955000"/>
    <n v="880000"/>
    <n v="535000"/>
    <s v="DISC15"/>
    <n v="0.15"/>
    <x v="0"/>
    <x v="2"/>
    <x v="2"/>
    <d v="2023-04-03T00:00:00"/>
    <x v="2"/>
    <s v="Monday"/>
    <x v="0"/>
    <n v="3.33333333333333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Pakaian Wanita"/>
    <x v="0"/>
    <n v="213"/>
    <n v="120"/>
    <n v="39"/>
    <n v="372"/>
    <n v="3.1458333333333335"/>
    <n v="2.8676470588235294"/>
    <n v="2.9615384615384617"/>
    <n v="2.991672951231775"/>
    <n v="63900000"/>
    <n v="36000000"/>
    <n v="11700000"/>
    <n v="111600000"/>
    <n v="21300000"/>
    <n v="12000000"/>
    <n v="3900000"/>
    <n v="37200000"/>
    <m/>
  </r>
  <r>
    <s v="Pakaian Wanita"/>
    <x v="1"/>
    <n v="267"/>
    <n v="98"/>
    <n v="65"/>
    <n v="430"/>
    <n v="2.9813084112149535"/>
    <n v="3.0535714285714284"/>
    <n v="3.0882352941176472"/>
    <n v="3.0410383779680097"/>
    <n v="40050000"/>
    <n v="14700000"/>
    <n v="9750000"/>
    <n v="64500000"/>
    <n v="13350000"/>
    <n v="4900000"/>
    <n v="3250000"/>
    <n v="21500000"/>
    <m/>
  </r>
  <r>
    <s v="Pakaian Wanita"/>
    <x v="2"/>
    <n v="202"/>
    <n v="91"/>
    <n v="29"/>
    <n v="322"/>
    <n v="3.1012658227848102"/>
    <n v="3.0793650793650795"/>
    <n v="2.6111111111111112"/>
    <n v="2.9305806710870002"/>
    <n v="50500000"/>
    <n v="22750000"/>
    <n v="7250000"/>
    <n v="80500000"/>
    <n v="20200000"/>
    <n v="9100000"/>
    <n v="2900000"/>
    <n v="32200000"/>
    <m/>
  </r>
  <r>
    <s v="Pakaian Pria"/>
    <x v="3"/>
    <n v="257"/>
    <n v="101"/>
    <n v="41"/>
    <n v="399"/>
    <n v="2.9791666666666665"/>
    <n v="3.2380952380952381"/>
    <n v="3.5555555555555554"/>
    <n v="3.25760582010582"/>
    <n v="51400000"/>
    <n v="20200000"/>
    <n v="8200000"/>
    <n v="79800000"/>
    <n v="20560000"/>
    <n v="8080000"/>
    <n v="3280000"/>
    <n v="31920000"/>
    <m/>
  </r>
  <r>
    <s v="Pakaian Pria"/>
    <x v="4"/>
    <n v="227"/>
    <n v="111"/>
    <n v="46"/>
    <n v="384"/>
    <n v="3.16"/>
    <n v="2.955223880597015"/>
    <n v="3.2592592592592591"/>
    <n v="3.1248277132854247"/>
    <n v="40860000"/>
    <n v="19980000"/>
    <n v="8280000"/>
    <n v="69120000"/>
    <n v="15890000"/>
    <n v="7770000"/>
    <n v="3220000"/>
    <n v="26880000"/>
    <m/>
  </r>
  <r>
    <s v="Pakaian Pria"/>
    <x v="5"/>
    <n v="306"/>
    <n v="107"/>
    <n v="38"/>
    <n v="451"/>
    <n v="3.1967213114754101"/>
    <n v="2.8970588235294117"/>
    <n v="2.8636363636363638"/>
    <n v="2.985805499547062"/>
    <n v="122400000"/>
    <n v="42800000"/>
    <n v="15200000"/>
    <n v="180400000"/>
    <n v="45900000"/>
    <n v="16050000"/>
    <n v="5700000"/>
    <n v="67650000"/>
    <m/>
  </r>
  <r>
    <s v="Pakaian Unisex"/>
    <x v="6"/>
    <n v="252"/>
    <n v="118"/>
    <n v="35"/>
    <n v="405"/>
    <n v="3.0693069306930694"/>
    <n v="3.1147540983606556"/>
    <n v="3.0434782608695654"/>
    <n v="3.0758464299744297"/>
    <n v="88200000"/>
    <n v="41300000"/>
    <n v="12250000"/>
    <n v="141750000"/>
    <n v="32760000"/>
    <n v="15340000"/>
    <n v="4550000"/>
    <n v="52650000"/>
    <m/>
  </r>
  <r>
    <s v="Sepatu Pria"/>
    <x v="7"/>
    <n v="270"/>
    <n v="95"/>
    <n v="57"/>
    <n v="422"/>
    <n v="2.831578947368421"/>
    <n v="2.8548387096774195"/>
    <n v="3.1515151515151514"/>
    <n v="2.9459776028536644"/>
    <n v="135000000"/>
    <n v="47500000"/>
    <n v="28500000"/>
    <n v="211000000"/>
    <n v="54000000"/>
    <n v="19000000"/>
    <n v="11400000"/>
    <n v="84400000"/>
    <m/>
  </r>
  <r>
    <s v="Sepatu Pria"/>
    <x v="8"/>
    <n v="293"/>
    <n v="147"/>
    <n v="52"/>
    <n v="492"/>
    <n v="3.1636363636363636"/>
    <n v="3.125"/>
    <n v="2.9666666666666668"/>
    <n v="3.0851010101010101"/>
    <n v="43950000"/>
    <n v="22050000"/>
    <n v="7800000"/>
    <n v="73800000"/>
    <n v="17580000"/>
    <n v="8820000"/>
    <n v="3120000"/>
    <n v="29520000"/>
    <m/>
  </r>
  <r>
    <s v="Sepatu Wanita"/>
    <x v="9"/>
    <n v="222"/>
    <n v="109"/>
    <n v="72"/>
    <n v="403"/>
    <n v="2.9148936170212765"/>
    <n v="2.9682539682539684"/>
    <n v="2.9722222222222223"/>
    <n v="2.9517899358324891"/>
    <n v="55500000"/>
    <n v="27250000"/>
    <n v="18000000"/>
    <n v="100750000"/>
    <n v="22200000"/>
    <n v="10900000"/>
    <n v="7200000"/>
    <n v="4030000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ORD-BB0001-01/04/23"/>
    <s v="PW001"/>
    <s v="Pakaian Wanita"/>
    <x v="0"/>
    <n v="1"/>
    <n v="4"/>
    <n v="300000"/>
    <n v="100000"/>
    <s v="SP001"/>
    <s v="Sepatu Pria"/>
    <s v="Sneakers"/>
    <n v="3"/>
    <n v="4"/>
    <n v="1500000"/>
    <n v="600000"/>
    <s v="SW001"/>
    <s v="Sepatu Wanita"/>
    <s v="Flat Shoes"/>
    <n v="2"/>
    <n v="3"/>
    <n v="500000"/>
    <n v="200000"/>
    <n v="6"/>
    <n v="2300000"/>
    <n v="1955000"/>
    <n v="900000"/>
    <n v="765000"/>
    <s v="BELI44"/>
    <n v="0.15"/>
    <s v="Promo 4.4"/>
    <s v="BliBli"/>
    <x v="0"/>
    <d v="2023-04-01T00:00:00"/>
    <s v="Saturday"/>
    <s v="wwww"/>
  </r>
  <r>
    <n v="2"/>
    <s v="ORD-TK0002-02/04/23"/>
    <s v="PW002"/>
    <s v="Pakaian Wanita"/>
    <x v="1"/>
    <n v="1"/>
    <n v="2"/>
    <n v="150000"/>
    <n v="50000"/>
    <s v="PP003"/>
    <s v="Pakaian Pria"/>
    <s v="Jaket Jeans"/>
    <n v="1"/>
    <n v="1"/>
    <n v="400000"/>
    <n v="150000"/>
    <s v="SP002"/>
    <s v="Sepatu Pria"/>
    <s v="Sandal Slip On"/>
    <n v="2"/>
    <n v="4"/>
    <n v="300000"/>
    <n v="120000"/>
    <n v="4"/>
    <n v="850000"/>
    <n v="765000"/>
    <n v="320000"/>
    <n v="288000"/>
    <s v="DISCAPRIL"/>
    <n v="0.1"/>
    <s v="Promo 4.4"/>
    <s v="Tokopedia"/>
    <x v="0"/>
    <d v="2023-04-02T00:00:00"/>
    <s v="Sunday"/>
    <s v="wwww"/>
  </r>
  <r>
    <n v="3"/>
    <s v="ORD-TK0003-03/04/23"/>
    <s v="PW003"/>
    <s v="Pakaian Wanita"/>
    <x v="2"/>
    <n v="2"/>
    <n v="3"/>
    <n v="500000"/>
    <n v="200000"/>
    <s v="SW001"/>
    <s v="Sepatu Wanita"/>
    <s v="Flat Shoes"/>
    <n v="1"/>
    <n v="5"/>
    <n v="250000"/>
    <n v="100000"/>
    <m/>
    <s v="-"/>
    <s v="-"/>
    <m/>
    <m/>
    <s v="0"/>
    <s v="0"/>
    <n v="3"/>
    <n v="750000"/>
    <n v="675000"/>
    <n v="300000"/>
    <n v="270000"/>
    <s v="DISCAPRIL"/>
    <n v="0.1"/>
    <s v="Promo 4.4"/>
    <s v="Tokopedia"/>
    <x v="1"/>
    <d v="2023-04-03T00:00:00"/>
    <s v="Monday"/>
    <s v="wwww"/>
  </r>
  <r>
    <n v="4"/>
    <s v="ORD-SP0004-17/04/23"/>
    <s v="PP001"/>
    <s v="Pakaian Pria"/>
    <x v="3"/>
    <n v="1"/>
    <n v="1"/>
    <n v="200000"/>
    <n v="80000"/>
    <s v="PP002"/>
    <s v="Pakaian Pria"/>
    <s v="Celana Pendek"/>
    <n v="1"/>
    <n v="3"/>
    <n v="180000"/>
    <n v="70000"/>
    <s v="PU001"/>
    <s v="Pakaian Unisex"/>
    <s v="Jaket Hoodie"/>
    <n v="3"/>
    <n v="2"/>
    <n v="1050000"/>
    <n v="390000"/>
    <n v="5"/>
    <n v="1430000"/>
    <n v="1144000"/>
    <n v="540000"/>
    <n v="432000"/>
    <s v="DISC20"/>
    <n v="0.2"/>
    <s v="Promo Lebaran"/>
    <s v="Shopee"/>
    <x v="2"/>
    <d v="2023-04-17T00:00:00"/>
    <s v="Monday"/>
    <s v="wwww"/>
  </r>
  <r>
    <n v="5"/>
    <s v="ORD-TK0005-24/04/23"/>
    <s v="PP002"/>
    <s v="Pakaian Pria"/>
    <x v="4"/>
    <n v="2"/>
    <n v="3"/>
    <n v="360000"/>
    <n v="140000"/>
    <s v="PP002"/>
    <s v="Pakaian Pria"/>
    <s v="Celana Pendek"/>
    <n v="1"/>
    <n v="2"/>
    <n v="180000"/>
    <n v="70000"/>
    <m/>
    <s v="-"/>
    <s v="-"/>
    <m/>
    <m/>
    <s v="0"/>
    <s v="0"/>
    <n v="3"/>
    <n v="540000"/>
    <n v="486000"/>
    <n v="210000"/>
    <n v="189000"/>
    <s v="LEBAR10"/>
    <n v="0.1"/>
    <s v="Promo Lebaran"/>
    <s v="Tokopedia"/>
    <x v="3"/>
    <d v="2023-04-24T00:00:00"/>
    <s v="Monday"/>
    <s v="wwww"/>
  </r>
  <r>
    <n v="6"/>
    <s v="ORD-TK0006-20/04/23"/>
    <s v="PP003"/>
    <s v="Pakaian Pria"/>
    <x v="5"/>
    <n v="2"/>
    <n v="4"/>
    <n v="800000"/>
    <n v="300000"/>
    <s v="PP002"/>
    <s v="Pakaian Pria"/>
    <s v="Celana Pendek"/>
    <n v="2"/>
    <n v="3"/>
    <n v="360000"/>
    <n v="140000"/>
    <s v="PU001"/>
    <s v="Pakaian Unisex"/>
    <s v="Jaket Hoodie"/>
    <n v="1"/>
    <n v="5"/>
    <n v="350000"/>
    <n v="130000"/>
    <n v="5"/>
    <n v="1510000"/>
    <n v="1359000"/>
    <n v="570000"/>
    <n v="513000"/>
    <s v="LEBAR10"/>
    <n v="0.1"/>
    <s v="Promo Lebaran"/>
    <s v="Tokopedia"/>
    <x v="4"/>
    <d v="2023-04-20T00:00:00"/>
    <s v="Thursday"/>
    <s v="wwww"/>
  </r>
  <r>
    <n v="7"/>
    <s v="ORD-BB0007-01/04/23"/>
    <s v="PU001"/>
    <s v="Pakaian Unisex"/>
    <x v="6"/>
    <n v="4"/>
    <n v="4"/>
    <n v="1400000"/>
    <n v="520000"/>
    <m/>
    <s v="-"/>
    <s v="-"/>
    <m/>
    <m/>
    <s v="0"/>
    <s v="0"/>
    <m/>
    <s v="-"/>
    <s v="-"/>
    <m/>
    <m/>
    <s v="0"/>
    <s v="0"/>
    <n v="4"/>
    <n v="1400000"/>
    <n v="1190000"/>
    <n v="520000"/>
    <n v="442000"/>
    <s v="BELI44"/>
    <n v="0.15"/>
    <s v="Promo 4.4"/>
    <s v="BliBli"/>
    <x v="5"/>
    <d v="2023-04-01T00:00:00"/>
    <s v="Saturday"/>
    <s v="wwww"/>
  </r>
  <r>
    <n v="8"/>
    <s v="ORD-BL0008-25/04/23"/>
    <s v="SP001"/>
    <s v="Sepatu Pria"/>
    <x v="7"/>
    <n v="4"/>
    <n v="1"/>
    <n v="2000000"/>
    <n v="800000"/>
    <s v="PP002"/>
    <s v="Pakaian Pria"/>
    <s v="Celana Pendek"/>
    <n v="1"/>
    <n v="3"/>
    <n v="180000"/>
    <n v="70000"/>
    <m/>
    <s v="-"/>
    <s v="-"/>
    <m/>
    <m/>
    <s v="0"/>
    <s v="0"/>
    <n v="5"/>
    <n v="2180000"/>
    <n v="1853000"/>
    <n v="870000"/>
    <n v="739500"/>
    <s v="BUKALEBAR"/>
    <n v="0.15"/>
    <s v="Promo Lebaran"/>
    <s v="Bukalapak"/>
    <x v="0"/>
    <d v="2023-04-25T00:00:00"/>
    <s v="Tuesday"/>
    <s v="wwww"/>
  </r>
  <r>
    <n v="9"/>
    <s v="ORD-TK0009-20/04/23"/>
    <s v="PW002"/>
    <s v="Pakaian Wanita"/>
    <x v="1"/>
    <n v="1"/>
    <n v="3"/>
    <n v="150000"/>
    <n v="50000"/>
    <s v="PW001"/>
    <s v="Pakaian Wanita"/>
    <s v="Dress"/>
    <n v="1"/>
    <n v="2"/>
    <n v="300000"/>
    <n v="100000"/>
    <m/>
    <s v="-"/>
    <s v="-"/>
    <m/>
    <m/>
    <s v="0"/>
    <s v="0"/>
    <n v="2"/>
    <n v="450000"/>
    <n v="405000"/>
    <n v="150000"/>
    <n v="135000"/>
    <s v="LEBAR10"/>
    <n v="0.1"/>
    <s v="Promo Lebaran"/>
    <s v="Tokopedia"/>
    <x v="5"/>
    <d v="2023-04-20T00:00:00"/>
    <s v="Thursday"/>
    <s v="wwww"/>
  </r>
  <r>
    <n v="10"/>
    <s v="ORD-SP0010-04/04/23"/>
    <s v="PP002"/>
    <s v="Pakaian Pria"/>
    <x v="4"/>
    <n v="3"/>
    <n v="4"/>
    <n v="540000"/>
    <n v="210000"/>
    <s v="PP001"/>
    <s v="Pakaian Pria"/>
    <s v="Kaos Polo"/>
    <n v="2"/>
    <n v="5"/>
    <n v="400000"/>
    <n v="160000"/>
    <m/>
    <s v="-"/>
    <s v="-"/>
    <m/>
    <m/>
    <s v="0"/>
    <s v="0"/>
    <n v="5"/>
    <n v="940000"/>
    <n v="799000"/>
    <n v="370000"/>
    <n v="314500"/>
    <s v="DISC15"/>
    <n v="0.15"/>
    <s v="Promo 4.4"/>
    <s v="Shopee"/>
    <x v="1"/>
    <d v="2023-04-04T00:00:00"/>
    <s v="Tuesday"/>
    <s v="wwww"/>
  </r>
  <r>
    <n v="11"/>
    <s v="ORD-SP0011-06/04/23"/>
    <s v="PU001"/>
    <s v="Pakaian Unisex"/>
    <x v="6"/>
    <n v="3"/>
    <n v="5"/>
    <n v="1050000"/>
    <n v="390000"/>
    <s v="PW001"/>
    <s v="Pakaian Wanita"/>
    <s v="Dress"/>
    <n v="1"/>
    <n v="5"/>
    <n v="300000"/>
    <n v="100000"/>
    <s v="PP001"/>
    <s v="Pakaian Pria"/>
    <s v="Kaos Polo"/>
    <n v="1"/>
    <n v="4"/>
    <n v="200000"/>
    <n v="80000"/>
    <n v="5"/>
    <n v="1550000"/>
    <n v="1317500"/>
    <n v="570000"/>
    <n v="484500"/>
    <s v="DISC15"/>
    <n v="0.15"/>
    <s v="Promo 4.4"/>
    <s v="Shopee"/>
    <x v="4"/>
    <d v="2023-04-06T00:00:00"/>
    <s v="Thursday"/>
    <s v="wwww"/>
  </r>
  <r>
    <n v="12"/>
    <s v="ORD-SP0012-04/04/23"/>
    <s v="PW001"/>
    <s v="Pakaian Wanita"/>
    <x v="0"/>
    <n v="1"/>
    <n v="3"/>
    <n v="300000"/>
    <n v="100000"/>
    <m/>
    <s v="-"/>
    <s v="-"/>
    <m/>
    <m/>
    <s v="0"/>
    <s v="0"/>
    <m/>
    <s v="-"/>
    <s v="-"/>
    <m/>
    <m/>
    <s v="0"/>
    <s v="0"/>
    <n v="1"/>
    <n v="300000"/>
    <n v="255000"/>
    <n v="100000"/>
    <n v="85000"/>
    <s v="DISC15"/>
    <n v="0.15"/>
    <s v="Promo 4.4"/>
    <s v="Shopee"/>
    <x v="0"/>
    <d v="2023-04-04T00:00:00"/>
    <s v="Tuesday"/>
    <s v="wwww"/>
  </r>
  <r>
    <n v="13"/>
    <s v="ORD-TK0013-06/04/23"/>
    <s v="PP001"/>
    <s v="Pakaian Pria"/>
    <x v="3"/>
    <n v="3"/>
    <n v="1"/>
    <n v="600000"/>
    <n v="240000"/>
    <s v="PP001"/>
    <s v="Pakaian Pria"/>
    <s v="Kaos Polo"/>
    <n v="1"/>
    <n v="1"/>
    <n v="200000"/>
    <n v="80000"/>
    <s v="PP001"/>
    <s v="Pakaian Pria"/>
    <s v="Kaos Polo"/>
    <n v="1"/>
    <n v="4"/>
    <n v="200000"/>
    <n v="80000"/>
    <n v="5"/>
    <n v="1000000"/>
    <n v="900000"/>
    <n v="400000"/>
    <n v="360000"/>
    <s v="DISCAPRIL"/>
    <n v="0.1"/>
    <s v="Promo 4.4"/>
    <s v="Tokopedia"/>
    <x v="2"/>
    <d v="2023-04-06T00:00:00"/>
    <s v="Thursday"/>
    <s v="wwww"/>
  </r>
  <r>
    <n v="14"/>
    <s v="ORD-SP0014-05/04/23"/>
    <s v="PP001"/>
    <s v="Pakaian Pria"/>
    <x v="3"/>
    <n v="1"/>
    <n v="2"/>
    <n v="200000"/>
    <n v="80000"/>
    <s v="PP002"/>
    <s v="Pakaian Pria"/>
    <s v="Celana Pendek"/>
    <n v="1"/>
    <n v="2"/>
    <n v="180000"/>
    <n v="70000"/>
    <s v="PP001"/>
    <s v="Pakaian Pria"/>
    <s v="Kaos Polo"/>
    <n v="1"/>
    <n v="5"/>
    <n v="200000"/>
    <n v="80000"/>
    <n v="3"/>
    <n v="580000"/>
    <n v="493000"/>
    <n v="230000"/>
    <n v="195500"/>
    <s v="DISC15"/>
    <n v="0.15"/>
    <s v="Promo 4.4"/>
    <s v="Shopee"/>
    <x v="0"/>
    <d v="2023-04-05T00:00:00"/>
    <s v="Wednesday"/>
    <s v="wwww"/>
  </r>
  <r>
    <n v="15"/>
    <s v="ORD-BB0015-05/04/23"/>
    <s v="PP002"/>
    <s v="Pakaian Pria"/>
    <x v="4"/>
    <n v="1"/>
    <n v="2"/>
    <n v="180000"/>
    <n v="70000"/>
    <s v="PW002"/>
    <s v="Pakaian Wanita"/>
    <s v="Blouse"/>
    <n v="1"/>
    <n v="4"/>
    <n v="150000"/>
    <n v="50000"/>
    <s v="SP002"/>
    <s v="Sepatu Pria"/>
    <s v="Sandal Slip On"/>
    <n v="3"/>
    <n v="5"/>
    <n v="450000"/>
    <n v="180000"/>
    <n v="5"/>
    <n v="780000"/>
    <n v="663000"/>
    <n v="300000"/>
    <n v="255000"/>
    <s v="BELI44"/>
    <n v="0.15"/>
    <s v="Promo 4.4"/>
    <s v="BliBli"/>
    <x v="0"/>
    <d v="2023-04-05T00:00:00"/>
    <s v="Wednesday"/>
    <s v="wwww"/>
  </r>
  <r>
    <n v="16"/>
    <s v="ORD-SP0016-01/04/23"/>
    <s v="PP001"/>
    <s v="Pakaian Pria"/>
    <x v="3"/>
    <n v="1"/>
    <n v="1"/>
    <n v="200000"/>
    <n v="80000"/>
    <m/>
    <s v="-"/>
    <s v="-"/>
    <m/>
    <m/>
    <s v="0"/>
    <s v="0"/>
    <m/>
    <s v="-"/>
    <s v="-"/>
    <m/>
    <m/>
    <s v="0"/>
    <s v="0"/>
    <n v="1"/>
    <n v="200000"/>
    <n v="170000"/>
    <n v="80000"/>
    <n v="68000"/>
    <s v="DISC15"/>
    <n v="0.15"/>
    <s v="Promo 4.4"/>
    <s v="Shopee"/>
    <x v="3"/>
    <d v="2023-04-01T00:00:00"/>
    <s v="Saturday"/>
    <s v="wwww"/>
  </r>
  <r>
    <n v="17"/>
    <s v="ORD-BB0017-05/04/23"/>
    <s v="PU001"/>
    <s v="Pakaian Unisex"/>
    <x v="6"/>
    <n v="2"/>
    <n v="4"/>
    <n v="700000"/>
    <n v="260000"/>
    <s v="PW001"/>
    <s v="Pakaian Wanita"/>
    <s v="Dress"/>
    <n v="1"/>
    <n v="5"/>
    <n v="300000"/>
    <n v="100000"/>
    <m/>
    <s v="-"/>
    <s v="-"/>
    <m/>
    <m/>
    <s v="0"/>
    <s v="0"/>
    <n v="3"/>
    <n v="1000000"/>
    <n v="850000"/>
    <n v="360000"/>
    <n v="306000"/>
    <s v="BELI44"/>
    <n v="0.15"/>
    <s v="Promo 4.4"/>
    <s v="BliBli"/>
    <x v="4"/>
    <d v="2023-04-05T00:00:00"/>
    <s v="Wednesday"/>
    <s v="wwww"/>
  </r>
  <r>
    <n v="18"/>
    <s v="ORD-BB0018-06/04/23"/>
    <s v="PW001"/>
    <s v="Pakaian Wanita"/>
    <x v="0"/>
    <n v="1"/>
    <n v="4"/>
    <n v="300000"/>
    <n v="100000"/>
    <m/>
    <s v="-"/>
    <s v="-"/>
    <m/>
    <m/>
    <s v="0"/>
    <s v="0"/>
    <m/>
    <s v="-"/>
    <s v="-"/>
    <m/>
    <m/>
    <s v="0"/>
    <s v="0"/>
    <n v="1"/>
    <n v="300000"/>
    <n v="255000"/>
    <n v="100000"/>
    <n v="85000"/>
    <s v="BELI44"/>
    <n v="0.15"/>
    <s v="Promo 4.4"/>
    <s v="BliBli"/>
    <x v="2"/>
    <d v="2023-04-06T00:00:00"/>
    <s v="Thursday"/>
    <s v="wwww"/>
  </r>
  <r>
    <n v="19"/>
    <s v="ORD-SP0019-02/04/23"/>
    <s v="SP002"/>
    <s v="Sepatu Pria"/>
    <x v="8"/>
    <n v="1"/>
    <n v="4"/>
    <n v="150000"/>
    <n v="60000"/>
    <s v="SW001"/>
    <s v="Sepatu Wanita"/>
    <s v="Flat Shoes"/>
    <n v="2"/>
    <n v="2"/>
    <n v="500000"/>
    <n v="200000"/>
    <s v="PP001"/>
    <s v="Pakaian Pria"/>
    <s v="Kaos Polo"/>
    <n v="1"/>
    <n v="4"/>
    <n v="200000"/>
    <n v="80000"/>
    <n v="4"/>
    <n v="850000"/>
    <n v="765000"/>
    <n v="340000"/>
    <n v="306000"/>
    <s v="DISC10"/>
    <n v="0.1"/>
    <s v="Promo 4.4"/>
    <s v="Shopee"/>
    <x v="3"/>
    <d v="2023-04-02T00:00:00"/>
    <s v="Sunday"/>
    <s v="wwww"/>
  </r>
  <r>
    <n v="20"/>
    <s v="ORD-SP0020-09/04/23"/>
    <s v="PP002"/>
    <s v="Pakaian Pria"/>
    <x v="4"/>
    <n v="1"/>
    <n v="1"/>
    <n v="180000"/>
    <n v="70000"/>
    <m/>
    <s v="-"/>
    <s v="-"/>
    <m/>
    <m/>
    <s v="0"/>
    <s v="0"/>
    <m/>
    <s v="-"/>
    <s v="-"/>
    <m/>
    <m/>
    <s v="0"/>
    <s v="0"/>
    <n v="1"/>
    <n v="180000"/>
    <n v="180000"/>
    <n v="70000"/>
    <n v="70000"/>
    <s v="-"/>
    <s v="-"/>
    <s v="-"/>
    <s v="Shopee"/>
    <x v="2"/>
    <d v="2023-04-09T00:00:00"/>
    <s v="Sunday"/>
    <s v="wwww"/>
  </r>
  <r>
    <n v="21"/>
    <s v="ORD-SP0021-04/04/23"/>
    <s v="PW002"/>
    <s v="Pakaian Wanita"/>
    <x v="1"/>
    <n v="2"/>
    <n v="5"/>
    <n v="300000"/>
    <n v="100000"/>
    <s v="SP002"/>
    <s v="Sepatu Pria"/>
    <s v="Sandal Slip On"/>
    <n v="1"/>
    <n v="2"/>
    <n v="150000"/>
    <n v="60000"/>
    <m/>
    <s v="-"/>
    <s v="-"/>
    <m/>
    <m/>
    <s v="0"/>
    <s v="0"/>
    <n v="3"/>
    <n v="450000"/>
    <n v="405000"/>
    <n v="160000"/>
    <n v="144000"/>
    <s v="DISC10"/>
    <n v="0.1"/>
    <s v="Promo 4.4"/>
    <s v="Shopee"/>
    <x v="4"/>
    <d v="2023-04-04T00:00:00"/>
    <s v="Tuesday"/>
    <s v="wwww"/>
  </r>
  <r>
    <n v="22"/>
    <s v="ORD-SP0022-28/04/23"/>
    <s v="PU001"/>
    <s v="Pakaian Unisex"/>
    <x v="6"/>
    <n v="1"/>
    <n v="1"/>
    <n v="350000"/>
    <n v="130000"/>
    <s v="PW001"/>
    <s v="Pakaian Wanita"/>
    <s v="Dress"/>
    <n v="3"/>
    <n v="1"/>
    <n v="900000"/>
    <n v="300000"/>
    <m/>
    <s v="-"/>
    <s v="-"/>
    <m/>
    <m/>
    <s v="0"/>
    <s v="0"/>
    <n v="4"/>
    <n v="1250000"/>
    <n v="1000000"/>
    <n v="430000"/>
    <n v="344000"/>
    <s v="DISC20"/>
    <n v="0.2"/>
    <s v="Promo Lebaran"/>
    <s v="Shopee"/>
    <x v="3"/>
    <d v="2023-04-28T00:00:00"/>
    <s v="Friday"/>
    <s v="wwww"/>
  </r>
  <r>
    <n v="23"/>
    <s v="ORD-SP0023-30/04/23"/>
    <s v="PW002"/>
    <s v="Pakaian Wanita"/>
    <x v="1"/>
    <n v="3"/>
    <n v="2"/>
    <n v="450000"/>
    <n v="150000"/>
    <s v="SP002"/>
    <s v="Sepatu Pria"/>
    <s v="Sandal Slip On"/>
    <n v="1"/>
    <n v="5"/>
    <n v="150000"/>
    <n v="60000"/>
    <m/>
    <s v="-"/>
    <s v="-"/>
    <m/>
    <m/>
    <s v="0"/>
    <s v="0"/>
    <n v="4"/>
    <n v="600000"/>
    <n v="480000"/>
    <n v="210000"/>
    <n v="168000"/>
    <s v="DISC20"/>
    <n v="0.2"/>
    <s v="Promo Lebaran"/>
    <s v="Shopee"/>
    <x v="0"/>
    <d v="2023-04-30T00:00:00"/>
    <s v="Sunday"/>
    <s v="wwww"/>
  </r>
  <r>
    <n v="24"/>
    <s v="ORD-TK0024-06/04/23"/>
    <s v="PW003"/>
    <s v="Pakaian Wanita"/>
    <x v="2"/>
    <n v="7"/>
    <n v="4"/>
    <n v="1750000"/>
    <n v="700000"/>
    <m/>
    <s v="-"/>
    <s v="-"/>
    <m/>
    <m/>
    <s v="0"/>
    <s v="0"/>
    <m/>
    <s v="-"/>
    <s v="-"/>
    <m/>
    <m/>
    <s v="0"/>
    <s v="0"/>
    <n v="7"/>
    <n v="1750000"/>
    <n v="1575000"/>
    <n v="700000"/>
    <n v="630000"/>
    <s v="DISCAPRIL"/>
    <n v="0.1"/>
    <s v="Promo 4.4"/>
    <s v="Tokopedia"/>
    <x v="3"/>
    <d v="2023-04-06T00:00:00"/>
    <s v="Thursday"/>
    <s v="wwww"/>
  </r>
  <r>
    <n v="25"/>
    <s v="ORD-SP0025-02/04/23"/>
    <s v="PU001"/>
    <s v="Pakaian Unisex"/>
    <x v="6"/>
    <n v="1"/>
    <n v="1"/>
    <n v="350000"/>
    <n v="130000"/>
    <s v="PW001"/>
    <s v="Pakaian Wanita"/>
    <s v="Dress"/>
    <n v="6"/>
    <n v="5"/>
    <n v="1800000"/>
    <n v="600000"/>
    <m/>
    <s v="-"/>
    <s v="-"/>
    <m/>
    <m/>
    <s v="0"/>
    <s v="0"/>
    <n v="7"/>
    <n v="2150000"/>
    <n v="1827500"/>
    <n v="730000"/>
    <n v="620500"/>
    <s v="DISC15"/>
    <n v="0.15"/>
    <s v="Promo 4.4"/>
    <s v="Shopee"/>
    <x v="4"/>
    <d v="2023-04-02T00:00:00"/>
    <s v="Sunday"/>
    <s v="wwww"/>
  </r>
  <r>
    <n v="26"/>
    <s v="ORD-BL0026-25/04/23"/>
    <s v="PP003"/>
    <s v="Pakaian Pria"/>
    <x v="5"/>
    <n v="2"/>
    <n v="3"/>
    <n v="800000"/>
    <n v="300000"/>
    <s v="PW001"/>
    <s v="Pakaian Wanita"/>
    <s v="Dress"/>
    <n v="3"/>
    <n v="1"/>
    <n v="900000"/>
    <n v="300000"/>
    <m/>
    <s v="-"/>
    <s v="-"/>
    <m/>
    <m/>
    <s v="0"/>
    <s v="0"/>
    <n v="5"/>
    <n v="1700000"/>
    <n v="1445000"/>
    <n v="600000"/>
    <n v="510000"/>
    <s v="BUKALEBAR"/>
    <n v="0.15"/>
    <s v="Promo Lebaran"/>
    <s v="Bukalapak"/>
    <x v="4"/>
    <d v="2023-04-25T00:00:00"/>
    <s v="Tuesday"/>
    <s v="wwww"/>
  </r>
  <r>
    <n v="27"/>
    <s v="ORD-BB0027-01/04/23"/>
    <s v="SW001"/>
    <s v="Sepatu Wanita"/>
    <x v="9"/>
    <n v="3"/>
    <n v="1"/>
    <n v="750000"/>
    <n v="300000"/>
    <s v="PP001"/>
    <s v="Pakaian Pria"/>
    <s v="Kaos Polo"/>
    <n v="2"/>
    <n v="3"/>
    <n v="400000"/>
    <n v="160000"/>
    <s v="PW001"/>
    <s v="Pakaian Wanita"/>
    <s v="Dress"/>
    <n v="1"/>
    <n v="3"/>
    <n v="300000"/>
    <n v="100000"/>
    <n v="6"/>
    <n v="1450000"/>
    <n v="1232500"/>
    <n v="560000"/>
    <n v="476000"/>
    <s v="BELI44"/>
    <n v="0.15"/>
    <s v="Promo 4.4"/>
    <s v="BliBli"/>
    <x v="5"/>
    <d v="2023-04-01T00:00:00"/>
    <s v="Saturday"/>
    <s v="wwww"/>
  </r>
  <r>
    <n v="28"/>
    <s v="ORD-BL0028-29/04/23"/>
    <s v="PP002"/>
    <s v="Pakaian Pria"/>
    <x v="4"/>
    <n v="5"/>
    <n v="2"/>
    <n v="900000"/>
    <n v="350000"/>
    <s v="PW001"/>
    <s v="Pakaian Wanita"/>
    <s v="Dress"/>
    <n v="2"/>
    <n v="1"/>
    <n v="600000"/>
    <n v="200000"/>
    <m/>
    <s v="-"/>
    <s v="-"/>
    <m/>
    <m/>
    <s v="0"/>
    <s v="0"/>
    <n v="7"/>
    <n v="1500000"/>
    <n v="1275000"/>
    <n v="550000"/>
    <n v="467500"/>
    <s v="BUKALEBAR"/>
    <n v="0.15"/>
    <s v="Promo Lebaran"/>
    <s v="Bukalapak"/>
    <x v="5"/>
    <d v="2023-04-29T00:00:00"/>
    <s v="Saturday"/>
    <s v="wwww"/>
  </r>
  <r>
    <n v="29"/>
    <s v="ORD-SP0029-30/04/23"/>
    <s v="PW003"/>
    <s v="Pakaian Wanita"/>
    <x v="2"/>
    <n v="1"/>
    <n v="1"/>
    <n v="250000"/>
    <n v="100000"/>
    <m/>
    <s v="-"/>
    <s v="-"/>
    <m/>
    <m/>
    <s v="0"/>
    <s v="0"/>
    <m/>
    <s v="-"/>
    <s v="-"/>
    <m/>
    <m/>
    <s v="0"/>
    <s v="0"/>
    <n v="1"/>
    <n v="250000"/>
    <n v="200000"/>
    <n v="100000"/>
    <n v="80000"/>
    <s v="DISC20"/>
    <n v="0.2"/>
    <s v="Promo Lebaran"/>
    <s v="Shopee"/>
    <x v="4"/>
    <d v="2023-04-30T00:00:00"/>
    <s v="Sunday"/>
    <s v="wwww"/>
  </r>
  <r>
    <n v="30"/>
    <s v="ORD-BB0030-04/04/23"/>
    <s v="PP002"/>
    <s v="Pakaian Pria"/>
    <x v="4"/>
    <n v="2"/>
    <n v="2"/>
    <n v="360000"/>
    <n v="140000"/>
    <s v="SW001"/>
    <s v="Sepatu Wanita"/>
    <s v="Flat Shoes"/>
    <n v="1"/>
    <n v="1"/>
    <n v="250000"/>
    <n v="100000"/>
    <s v="PW002"/>
    <s v="Pakaian Wanita"/>
    <s v="Blouse"/>
    <n v="3"/>
    <n v="1"/>
    <n v="450000"/>
    <n v="150000"/>
    <n v="6"/>
    <n v="1060000"/>
    <n v="901000"/>
    <n v="390000"/>
    <n v="331500"/>
    <s v="BELI44"/>
    <n v="0.15"/>
    <s v="Promo 4.4"/>
    <s v="BliBli"/>
    <x v="4"/>
    <d v="2023-04-04T00:00:00"/>
    <s v="Tuesday"/>
    <s v="wwww"/>
  </r>
  <r>
    <n v="31"/>
    <s v="ORD-SP0031-01/04/23"/>
    <s v="PU001"/>
    <s v="Pakaian Unisex"/>
    <x v="6"/>
    <n v="2"/>
    <n v="3"/>
    <n v="700000"/>
    <n v="260000"/>
    <s v="PW001"/>
    <s v="Pakaian Wanita"/>
    <s v="Dress"/>
    <n v="4"/>
    <n v="3"/>
    <n v="1200000"/>
    <n v="400000"/>
    <m/>
    <s v="-"/>
    <s v="-"/>
    <m/>
    <m/>
    <s v="0"/>
    <s v="0"/>
    <n v="6"/>
    <n v="1900000"/>
    <n v="1615000"/>
    <n v="660000"/>
    <n v="561000"/>
    <s v="DISC15"/>
    <n v="0.15"/>
    <s v="Promo 4.4"/>
    <s v="Shopee"/>
    <x v="5"/>
    <d v="2023-04-01T00:00:00"/>
    <s v="Saturday"/>
    <s v="wwww"/>
  </r>
  <r>
    <n v="32"/>
    <s v="ORD-SP0032-25/04/23"/>
    <s v="PP003"/>
    <s v="Pakaian Pria"/>
    <x v="5"/>
    <n v="5"/>
    <n v="5"/>
    <n v="2000000"/>
    <n v="750000"/>
    <m/>
    <s v="-"/>
    <s v="-"/>
    <m/>
    <m/>
    <s v="0"/>
    <s v="0"/>
    <m/>
    <s v="-"/>
    <s v="-"/>
    <m/>
    <m/>
    <s v="0"/>
    <s v="0"/>
    <n v="5"/>
    <n v="2000000"/>
    <n v="1600000"/>
    <n v="750000"/>
    <n v="600000"/>
    <s v="DISC20"/>
    <n v="0.2"/>
    <s v="Promo Lebaran"/>
    <s v="Shopee"/>
    <x v="2"/>
    <d v="2023-04-25T00:00:00"/>
    <s v="Tuesday"/>
    <s v="wwww"/>
  </r>
  <r>
    <n v="33"/>
    <s v="ORD-BB0033-06/04/23"/>
    <s v="PW001"/>
    <s v="Pakaian Wanita"/>
    <x v="0"/>
    <n v="4"/>
    <n v="1"/>
    <n v="1200000"/>
    <n v="400000"/>
    <m/>
    <s v="-"/>
    <s v="-"/>
    <m/>
    <m/>
    <s v="0"/>
    <s v="0"/>
    <m/>
    <s v="-"/>
    <s v="-"/>
    <m/>
    <m/>
    <s v="0"/>
    <s v="0"/>
    <n v="4"/>
    <n v="1200000"/>
    <n v="1020000"/>
    <n v="400000"/>
    <n v="340000"/>
    <s v="BELI44"/>
    <n v="0.15"/>
    <s v="Promo 4.4"/>
    <s v="BliBli"/>
    <x v="4"/>
    <d v="2023-04-06T00:00:00"/>
    <s v="Thursday"/>
    <s v="wwww"/>
  </r>
  <r>
    <n v="34"/>
    <s v="ORD-TK0034-04/04/23"/>
    <s v="PU001"/>
    <s v="Pakaian Unisex"/>
    <x v="6"/>
    <n v="2"/>
    <n v="1"/>
    <n v="700000"/>
    <n v="260000"/>
    <s v="SP001"/>
    <s v="Sepatu Pria"/>
    <s v="Sneakers"/>
    <n v="2"/>
    <n v="4"/>
    <n v="1000000"/>
    <n v="400000"/>
    <s v="PP002"/>
    <s v="Pakaian Pria"/>
    <s v="Celana Pendek"/>
    <n v="2"/>
    <n v="2"/>
    <n v="360000"/>
    <n v="140000"/>
    <n v="6"/>
    <n v="2060000"/>
    <n v="1854000"/>
    <n v="800000"/>
    <n v="720000"/>
    <s v="DISCAPRIL"/>
    <n v="0.1"/>
    <s v="Promo 4.4"/>
    <s v="Tokopedia"/>
    <x v="0"/>
    <d v="2023-04-04T00:00:00"/>
    <s v="Tuesday"/>
    <s v="wwww"/>
  </r>
  <r>
    <n v="35"/>
    <s v="ORD-TK0035-04/04/23"/>
    <s v="PW003"/>
    <s v="Pakaian Wanita"/>
    <x v="2"/>
    <n v="2"/>
    <n v="2"/>
    <n v="500000"/>
    <n v="200000"/>
    <s v="PP003"/>
    <s v="Pakaian Pria"/>
    <s v="Jaket Jeans"/>
    <n v="1"/>
    <n v="2"/>
    <n v="400000"/>
    <n v="150000"/>
    <m/>
    <s v="-"/>
    <s v="-"/>
    <m/>
    <m/>
    <s v="0"/>
    <s v="0"/>
    <n v="3"/>
    <n v="900000"/>
    <n v="810000"/>
    <n v="350000"/>
    <n v="315000"/>
    <s v="DISCAPRIL"/>
    <n v="0.1"/>
    <s v="Promo 4.4"/>
    <s v="Tokopedia"/>
    <x v="4"/>
    <d v="2023-04-04T00:00:00"/>
    <s v="Tuesday"/>
    <s v="wwww"/>
  </r>
  <r>
    <n v="36"/>
    <s v="ORD-BL0036-12/04/23"/>
    <s v="PW002"/>
    <s v="Pakaian Wanita"/>
    <x v="1"/>
    <n v="1"/>
    <n v="1"/>
    <n v="150000"/>
    <n v="50000"/>
    <s v="SW001"/>
    <s v="Sepatu Wanita"/>
    <s v="Flat Shoes"/>
    <n v="1"/>
    <n v="5"/>
    <n v="250000"/>
    <n v="100000"/>
    <m/>
    <s v="-"/>
    <s v="-"/>
    <m/>
    <m/>
    <s v="0"/>
    <s v="0"/>
    <n v="2"/>
    <n v="400000"/>
    <n v="400000"/>
    <n v="150000"/>
    <n v="150000"/>
    <s v="-"/>
    <s v="-"/>
    <s v="-"/>
    <s v="Bukalapak"/>
    <x v="5"/>
    <d v="2023-04-12T00:00:00"/>
    <s v="Wednesday"/>
    <s v="wwww"/>
  </r>
  <r>
    <n v="37"/>
    <s v="ORD-BL0037-26/04/23"/>
    <s v="SW001"/>
    <s v="Sepatu Wanita"/>
    <x v="9"/>
    <n v="1"/>
    <n v="3"/>
    <n v="250000"/>
    <n v="100000"/>
    <s v="PP002"/>
    <s v="Pakaian Pria"/>
    <s v="Celana Pendek"/>
    <n v="2"/>
    <n v="2"/>
    <n v="360000"/>
    <n v="140000"/>
    <m/>
    <s v="-"/>
    <s v="-"/>
    <m/>
    <m/>
    <s v="0"/>
    <s v="0"/>
    <n v="3"/>
    <n v="610000"/>
    <n v="518500"/>
    <n v="240000"/>
    <n v="204000"/>
    <s v="BUKALEBAR"/>
    <n v="0.15"/>
    <s v="Promo Lebaran"/>
    <s v="Bukalapak"/>
    <x v="5"/>
    <d v="2023-04-26T00:00:00"/>
    <s v="Wednesday"/>
    <s v="wwww"/>
  </r>
  <r>
    <n v="38"/>
    <s v="ORD-BB0038-04/04/23"/>
    <s v="PU001"/>
    <s v="Pakaian Unisex"/>
    <x v="6"/>
    <n v="7"/>
    <n v="3"/>
    <n v="2450000"/>
    <n v="910000"/>
    <m/>
    <s v="-"/>
    <s v="-"/>
    <m/>
    <m/>
    <s v="0"/>
    <s v="0"/>
    <m/>
    <s v="-"/>
    <s v="-"/>
    <m/>
    <m/>
    <s v="0"/>
    <s v="0"/>
    <n v="7"/>
    <n v="2450000"/>
    <n v="2082500"/>
    <n v="910000"/>
    <n v="773500"/>
    <s v="BELI44"/>
    <n v="0.15"/>
    <s v="Promo 4.4"/>
    <s v="BliBli"/>
    <x v="4"/>
    <d v="2023-04-04T00:00:00"/>
    <s v="Tuesday"/>
    <s v="wwww"/>
  </r>
  <r>
    <n v="39"/>
    <s v="ORD-TK0039-25/04/23"/>
    <s v="SP002"/>
    <s v="Sepatu Pria"/>
    <x v="8"/>
    <n v="6"/>
    <n v="4"/>
    <n v="900000"/>
    <n v="360000"/>
    <m/>
    <s v="-"/>
    <s v="-"/>
    <m/>
    <m/>
    <s v="0"/>
    <s v="0"/>
    <m/>
    <s v="-"/>
    <s v="-"/>
    <m/>
    <m/>
    <s v="0"/>
    <s v="0"/>
    <n v="6"/>
    <n v="900000"/>
    <n v="810000"/>
    <n v="360000"/>
    <n v="324000"/>
    <s v="LEBAR10"/>
    <n v="0.1"/>
    <s v="Promo Lebaran"/>
    <s v="Tokopedia"/>
    <x v="1"/>
    <d v="2023-04-25T00:00:00"/>
    <s v="Tuesday"/>
    <s v="wwww"/>
  </r>
  <r>
    <n v="40"/>
    <s v="ORD-TK0040-15/04/23"/>
    <s v="PW003"/>
    <s v="Pakaian Wanita"/>
    <x v="2"/>
    <n v="2"/>
    <n v="5"/>
    <n v="500000"/>
    <n v="200000"/>
    <s v="PP002"/>
    <s v="Pakaian Pria"/>
    <s v="Celana Pendek"/>
    <n v="3"/>
    <n v="3"/>
    <n v="540000"/>
    <n v="210000"/>
    <s v="PP001"/>
    <s v="Pakaian Pria"/>
    <s v="Kaos Polo"/>
    <n v="2"/>
    <n v="3"/>
    <n v="400000"/>
    <n v="160000"/>
    <n v="7"/>
    <n v="1440000"/>
    <n v="1440000"/>
    <n v="570000"/>
    <n v="570000"/>
    <s v="-"/>
    <s v="-"/>
    <s v="-"/>
    <s v="Tokopedia"/>
    <x v="4"/>
    <d v="2023-04-15T00:00:00"/>
    <s v="Saturday"/>
    <s v="wwww"/>
  </r>
  <r>
    <n v="41"/>
    <s v="ORD-TK0041-01/04/23"/>
    <s v="SP002"/>
    <s v="Sepatu Pria"/>
    <x v="8"/>
    <n v="2"/>
    <n v="3"/>
    <n v="300000"/>
    <n v="120000"/>
    <m/>
    <s v="-"/>
    <s v="-"/>
    <m/>
    <m/>
    <s v="0"/>
    <s v="0"/>
    <m/>
    <s v="-"/>
    <s v="-"/>
    <m/>
    <m/>
    <s v="0"/>
    <s v="0"/>
    <n v="2"/>
    <n v="300000"/>
    <n v="270000"/>
    <n v="120000"/>
    <n v="108000"/>
    <s v="DISCAPRIL"/>
    <n v="0.1"/>
    <s v="Promo 4.4"/>
    <s v="Tokopedia"/>
    <x v="4"/>
    <d v="2023-04-01T00:00:00"/>
    <s v="Saturday"/>
    <s v="wwww"/>
  </r>
  <r>
    <n v="42"/>
    <s v="ORD-BB0042-15/04/23"/>
    <s v="PP003"/>
    <s v="Pakaian Pria"/>
    <x v="5"/>
    <n v="1"/>
    <n v="5"/>
    <n v="400000"/>
    <n v="150000"/>
    <m/>
    <s v="-"/>
    <s v="-"/>
    <m/>
    <m/>
    <s v="0"/>
    <s v="0"/>
    <m/>
    <s v="-"/>
    <s v="-"/>
    <m/>
    <m/>
    <s v="0"/>
    <s v="0"/>
    <n v="1"/>
    <n v="400000"/>
    <n v="400000"/>
    <n v="150000"/>
    <n v="150000"/>
    <s v="-"/>
    <s v="-"/>
    <s v="-"/>
    <s v="BliBli"/>
    <x v="2"/>
    <d v="2023-04-15T00:00:00"/>
    <s v="Saturday"/>
    <s v="wwww"/>
  </r>
  <r>
    <n v="43"/>
    <s v="ORD-BB0043-05/04/23"/>
    <s v="SP001"/>
    <s v="Sepatu Pria"/>
    <x v="7"/>
    <n v="5"/>
    <n v="1"/>
    <n v="2500000"/>
    <n v="1000000"/>
    <s v="PW002"/>
    <s v="Pakaian Wanita"/>
    <s v="Blouse"/>
    <n v="2"/>
    <n v="3"/>
    <n v="300000"/>
    <n v="100000"/>
    <m/>
    <s v="-"/>
    <s v="-"/>
    <m/>
    <m/>
    <s v="0"/>
    <s v="0"/>
    <n v="7"/>
    <n v="2800000"/>
    <n v="2380000"/>
    <n v="1100000"/>
    <n v="935000"/>
    <s v="BELI44"/>
    <n v="0.15"/>
    <s v="Promo 4.4"/>
    <s v="BliBli"/>
    <x v="2"/>
    <d v="2023-04-05T00:00:00"/>
    <s v="Wednesday"/>
    <s v="wwww"/>
  </r>
  <r>
    <n v="44"/>
    <s v="ORD-SP0044-06/04/23"/>
    <s v="PW001"/>
    <s v="Pakaian Wanita"/>
    <x v="0"/>
    <n v="4"/>
    <n v="3"/>
    <n v="1200000"/>
    <n v="400000"/>
    <s v="PP003"/>
    <s v="Pakaian Pria"/>
    <s v="Jaket Jeans"/>
    <n v="1"/>
    <n v="5"/>
    <n v="400000"/>
    <n v="150000"/>
    <s v="PW003"/>
    <s v="Pakaian Wanita"/>
    <s v="Kaftan"/>
    <n v="2"/>
    <n v="1"/>
    <n v="500000"/>
    <n v="200000"/>
    <n v="7"/>
    <n v="2100000"/>
    <n v="1785000"/>
    <n v="750000"/>
    <n v="637500"/>
    <s v="DISC15"/>
    <n v="0.15"/>
    <s v="Promo 4.4"/>
    <s v="Shopee"/>
    <x v="4"/>
    <d v="2023-04-06T00:00:00"/>
    <s v="Thursday"/>
    <s v="wwww"/>
  </r>
  <r>
    <n v="45"/>
    <s v="ORD-BL0045-16/04/23"/>
    <s v="PW002"/>
    <s v="Pakaian Wanita"/>
    <x v="1"/>
    <n v="2"/>
    <n v="3"/>
    <n v="300000"/>
    <n v="100000"/>
    <m/>
    <s v="-"/>
    <s v="-"/>
    <m/>
    <m/>
    <s v="0"/>
    <s v="0"/>
    <m/>
    <s v="-"/>
    <s v="-"/>
    <m/>
    <m/>
    <s v="0"/>
    <s v="0"/>
    <n v="2"/>
    <n v="300000"/>
    <n v="255000"/>
    <n v="100000"/>
    <n v="85000"/>
    <s v="BUKALEBAR"/>
    <n v="0.15"/>
    <s v="Promo Lebaran"/>
    <s v="Bukalapak"/>
    <x v="4"/>
    <d v="2023-04-16T00:00:00"/>
    <s v="Sunday"/>
    <s v="wwww"/>
  </r>
  <r>
    <n v="46"/>
    <s v="ORD-BL0046-28/04/23"/>
    <s v="SP001"/>
    <s v="Sepatu Pria"/>
    <x v="7"/>
    <n v="1"/>
    <n v="2"/>
    <n v="500000"/>
    <n v="200000"/>
    <s v="PW001"/>
    <s v="Pakaian Wanita"/>
    <s v="Dress"/>
    <n v="1"/>
    <n v="1"/>
    <n v="300000"/>
    <n v="100000"/>
    <s v="PP003"/>
    <s v="Pakaian Pria"/>
    <s v="Jaket Jeans"/>
    <n v="1"/>
    <n v="4"/>
    <n v="400000"/>
    <n v="150000"/>
    <n v="3"/>
    <n v="1200000"/>
    <n v="1020000"/>
    <n v="450000"/>
    <n v="382500"/>
    <s v="BUKALEBAR"/>
    <n v="0.15"/>
    <s v="Promo Lebaran"/>
    <s v="Bukalapak"/>
    <x v="2"/>
    <d v="2023-04-28T00:00:00"/>
    <s v="Friday"/>
    <s v="wwww"/>
  </r>
  <r>
    <n v="47"/>
    <s v="ORD-SP0047-04/04/23"/>
    <s v="PW001"/>
    <s v="Pakaian Wanita"/>
    <x v="0"/>
    <n v="1"/>
    <n v="1"/>
    <n v="300000"/>
    <n v="100000"/>
    <s v="PP003"/>
    <s v="Pakaian Pria"/>
    <s v="Jaket Jeans"/>
    <n v="2"/>
    <n v="3"/>
    <n v="800000"/>
    <n v="300000"/>
    <m/>
    <s v="-"/>
    <s v="-"/>
    <m/>
    <m/>
    <s v="0"/>
    <s v="0"/>
    <n v="3"/>
    <n v="1100000"/>
    <n v="990000"/>
    <n v="400000"/>
    <n v="360000"/>
    <s v="DISC10"/>
    <n v="0.1"/>
    <s v="Promo 4.4"/>
    <s v="Shopee"/>
    <x v="5"/>
    <d v="2023-04-04T00:00:00"/>
    <s v="Tuesday"/>
    <s v="wwww"/>
  </r>
  <r>
    <n v="48"/>
    <s v="ORD-SP0048-01/04/23"/>
    <s v="PP001"/>
    <s v="Pakaian Pria"/>
    <x v="3"/>
    <n v="4"/>
    <n v="1"/>
    <n v="800000"/>
    <n v="320000"/>
    <m/>
    <s v="-"/>
    <s v="-"/>
    <m/>
    <m/>
    <s v="0"/>
    <s v="0"/>
    <m/>
    <s v="-"/>
    <s v="-"/>
    <m/>
    <m/>
    <s v="0"/>
    <s v="0"/>
    <n v="4"/>
    <n v="800000"/>
    <n v="680000"/>
    <n v="320000"/>
    <n v="272000"/>
    <s v="DISC15"/>
    <n v="0.15"/>
    <s v="Promo 4.4"/>
    <s v="Shopee"/>
    <x v="4"/>
    <d v="2023-04-01T00:00:00"/>
    <s v="Saturday"/>
    <s v="wwww"/>
  </r>
  <r>
    <n v="49"/>
    <s v="ORD-TK0049-05/04/23"/>
    <s v="PU001"/>
    <s v="Pakaian Unisex"/>
    <x v="6"/>
    <n v="1"/>
    <n v="3"/>
    <n v="350000"/>
    <n v="130000"/>
    <s v="SW001"/>
    <s v="Sepatu Wanita"/>
    <s v="Flat Shoes"/>
    <n v="4"/>
    <n v="3"/>
    <n v="1000000"/>
    <n v="400000"/>
    <m/>
    <s v="-"/>
    <s v="-"/>
    <m/>
    <m/>
    <s v="0"/>
    <s v="0"/>
    <n v="5"/>
    <n v="1350000"/>
    <n v="1215000"/>
    <n v="530000"/>
    <n v="477000"/>
    <s v="DISCAPRIL"/>
    <n v="0.1"/>
    <s v="Promo 4.4"/>
    <s v="Tokopedia"/>
    <x v="1"/>
    <d v="2023-04-05T00:00:00"/>
    <s v="Wednesday"/>
    <s v="wwww"/>
  </r>
  <r>
    <n v="50"/>
    <s v="ORD-SP0050-03/04/23"/>
    <s v="PP001"/>
    <s v="Pakaian Pria"/>
    <x v="3"/>
    <n v="1"/>
    <n v="2"/>
    <n v="200000"/>
    <n v="80000"/>
    <s v="SW001"/>
    <s v="Sepatu Wanita"/>
    <s v="Flat Shoes"/>
    <n v="3"/>
    <n v="5"/>
    <n v="750000"/>
    <n v="300000"/>
    <s v="SP001"/>
    <s v="Sepatu Pria"/>
    <s v="Sneakers"/>
    <n v="3"/>
    <n v="2"/>
    <n v="1500000"/>
    <n v="600000"/>
    <n v="7"/>
    <n v="2450000"/>
    <n v="2082500"/>
    <n v="980000"/>
    <n v="833000"/>
    <s v="DISC15"/>
    <n v="0.15"/>
    <s v="Promo 4.4"/>
    <s v="Shopee"/>
    <x v="2"/>
    <d v="2023-04-03T00:00:00"/>
    <s v="Monday"/>
    <s v="wwww"/>
  </r>
  <r>
    <n v="51"/>
    <s v="ORD-BB0051-05/04/23"/>
    <s v="PW002"/>
    <s v="Pakaian Wanita"/>
    <x v="1"/>
    <n v="5"/>
    <n v="4"/>
    <n v="750000"/>
    <n v="250000"/>
    <s v="SP001"/>
    <s v="Sepatu Pria"/>
    <s v="Sneakers"/>
    <n v="1"/>
    <n v="3"/>
    <n v="500000"/>
    <n v="200000"/>
    <m/>
    <s v="-"/>
    <s v="-"/>
    <m/>
    <m/>
    <s v="0"/>
    <s v="0"/>
    <n v="6"/>
    <n v="1250000"/>
    <n v="1062500"/>
    <n v="450000"/>
    <n v="382500"/>
    <s v="BELI44"/>
    <n v="0.15"/>
    <s v="Promo 4.4"/>
    <s v="BliBli"/>
    <x v="2"/>
    <d v="2023-04-05T00:00:00"/>
    <s v="Wednesday"/>
    <s v="wwww"/>
  </r>
  <r>
    <n v="52"/>
    <s v="ORD-BL0052-27/04/23"/>
    <s v="SP002"/>
    <s v="Sepatu Pria"/>
    <x v="8"/>
    <n v="2"/>
    <n v="1"/>
    <n v="300000"/>
    <n v="120000"/>
    <s v="SP001"/>
    <s v="Sepatu Pria"/>
    <s v="Sneakers"/>
    <n v="2"/>
    <n v="3"/>
    <n v="1000000"/>
    <n v="400000"/>
    <s v="PW002"/>
    <s v="Pakaian Wanita"/>
    <s v="Blouse"/>
    <n v="1"/>
    <n v="5"/>
    <n v="150000"/>
    <n v="50000"/>
    <n v="5"/>
    <n v="1450000"/>
    <n v="1232500"/>
    <n v="570000"/>
    <n v="484500"/>
    <s v="BUKALEBAR"/>
    <n v="0.15"/>
    <s v="Promo Lebaran"/>
    <s v="Bukalapak"/>
    <x v="4"/>
    <d v="2023-04-27T00:00:00"/>
    <s v="Thursday"/>
    <s v="wwww"/>
  </r>
  <r>
    <n v="53"/>
    <s v="ORD-BB0053-03/04/23"/>
    <s v="SP001"/>
    <s v="Sepatu Pria"/>
    <x v="7"/>
    <n v="2"/>
    <n v="1"/>
    <n v="1000000"/>
    <n v="400000"/>
    <s v="PU001"/>
    <s v="Pakaian Unisex"/>
    <s v="Jaket Hoodie"/>
    <n v="1"/>
    <n v="1"/>
    <n v="350000"/>
    <n v="130000"/>
    <m/>
    <s v="-"/>
    <s v="-"/>
    <m/>
    <m/>
    <s v="0"/>
    <s v="0"/>
    <n v="3"/>
    <n v="1350000"/>
    <n v="1147500"/>
    <n v="530000"/>
    <n v="450500"/>
    <s v="BELI44"/>
    <n v="0.15"/>
    <s v="Promo 4.4"/>
    <s v="BliBli"/>
    <x v="4"/>
    <d v="2023-04-03T00:00:00"/>
    <s v="Monday"/>
    <s v="wwww"/>
  </r>
  <r>
    <n v="54"/>
    <s v="ORD-SP0054-03/04/23"/>
    <s v="PW001"/>
    <s v="Pakaian Wanita"/>
    <x v="0"/>
    <n v="1"/>
    <n v="1"/>
    <n v="300000"/>
    <n v="100000"/>
    <s v="SP002"/>
    <s v="Sepatu Pria"/>
    <s v="Sandal Slip On"/>
    <n v="5"/>
    <n v="5"/>
    <n v="750000"/>
    <n v="300000"/>
    <m/>
    <s v="-"/>
    <s v="-"/>
    <m/>
    <m/>
    <s v="0"/>
    <s v="0"/>
    <n v="6"/>
    <n v="1050000"/>
    <n v="892500"/>
    <n v="400000"/>
    <n v="340000"/>
    <s v="DISC15"/>
    <n v="0.15"/>
    <s v="Promo 4.4"/>
    <s v="Shopee"/>
    <x v="5"/>
    <d v="2023-04-03T00:00:00"/>
    <s v="Monday"/>
    <s v="wwww"/>
  </r>
  <r>
    <n v="55"/>
    <s v="ORD-SP0055-05/04/23"/>
    <s v="SP001"/>
    <s v="Sepatu Pria"/>
    <x v="7"/>
    <n v="2"/>
    <n v="1"/>
    <n v="1000000"/>
    <n v="400000"/>
    <m/>
    <s v="-"/>
    <s v="-"/>
    <m/>
    <m/>
    <s v="0"/>
    <s v="0"/>
    <m/>
    <s v="-"/>
    <s v="-"/>
    <m/>
    <m/>
    <s v="0"/>
    <s v="0"/>
    <n v="2"/>
    <n v="1000000"/>
    <n v="900000"/>
    <n v="400000"/>
    <n v="360000"/>
    <s v="DISC10"/>
    <n v="0.1"/>
    <s v="Promo 4.4"/>
    <s v="Shopee"/>
    <x v="4"/>
    <d v="2023-04-05T00:00:00"/>
    <s v="Wednesday"/>
    <s v="wwww"/>
  </r>
  <r>
    <n v="56"/>
    <s v="ORD-BB0056-06/04/23"/>
    <s v="PP002"/>
    <s v="Pakaian Pria"/>
    <x v="4"/>
    <n v="1"/>
    <n v="5"/>
    <n v="180000"/>
    <n v="70000"/>
    <s v="PU001"/>
    <s v="Pakaian Unisex"/>
    <s v="Jaket Hoodie"/>
    <n v="1"/>
    <n v="5"/>
    <n v="350000"/>
    <n v="130000"/>
    <m/>
    <s v="-"/>
    <s v="-"/>
    <m/>
    <m/>
    <s v="0"/>
    <s v="0"/>
    <n v="2"/>
    <n v="530000"/>
    <n v="450500"/>
    <n v="200000"/>
    <n v="170000"/>
    <s v="BELI44"/>
    <n v="0.15"/>
    <s v="Promo 4.4"/>
    <s v="BliBli"/>
    <x v="1"/>
    <d v="2023-04-06T00:00:00"/>
    <s v="Thursday"/>
    <s v="wwww"/>
  </r>
  <r>
    <n v="57"/>
    <s v="ORD-SP0057-05/04/23"/>
    <s v="SW001"/>
    <s v="Sepatu Wanita"/>
    <x v="9"/>
    <n v="2"/>
    <n v="2"/>
    <n v="500000"/>
    <n v="200000"/>
    <m/>
    <s v="-"/>
    <s v="-"/>
    <m/>
    <m/>
    <s v="0"/>
    <s v="0"/>
    <m/>
    <s v="-"/>
    <s v="-"/>
    <m/>
    <m/>
    <s v="0"/>
    <s v="0"/>
    <n v="2"/>
    <n v="500000"/>
    <n v="450000"/>
    <n v="200000"/>
    <n v="180000"/>
    <s v="DISC10"/>
    <n v="0.1"/>
    <s v="Promo 4.4"/>
    <s v="Shopee"/>
    <x v="2"/>
    <d v="2023-04-05T00:00:00"/>
    <s v="Wednesday"/>
    <s v="wwww"/>
  </r>
  <r>
    <n v="58"/>
    <s v="ORD-BB0058-06/04/23"/>
    <s v="PW001"/>
    <s v="Pakaian Wanita"/>
    <x v="0"/>
    <n v="2"/>
    <n v="5"/>
    <n v="600000"/>
    <n v="200000"/>
    <m/>
    <s v="-"/>
    <s v="-"/>
    <m/>
    <m/>
    <s v="0"/>
    <s v="0"/>
    <m/>
    <s v="-"/>
    <s v="-"/>
    <m/>
    <m/>
    <s v="0"/>
    <s v="0"/>
    <n v="2"/>
    <n v="600000"/>
    <n v="510000"/>
    <n v="200000"/>
    <n v="170000"/>
    <s v="BELI44"/>
    <n v="0.15"/>
    <s v="Promo 4.4"/>
    <s v="BliBli"/>
    <x v="4"/>
    <d v="2023-04-06T00:00:00"/>
    <s v="Thursday"/>
    <s v="wwww"/>
  </r>
  <r>
    <n v="59"/>
    <s v="ORD-SP0059-04/04/23"/>
    <s v="SP002"/>
    <s v="Sepatu Pria"/>
    <x v="8"/>
    <n v="5"/>
    <n v="5"/>
    <n v="750000"/>
    <n v="300000"/>
    <s v="SW001"/>
    <s v="Sepatu Wanita"/>
    <s v="Flat Shoes"/>
    <n v="1"/>
    <n v="4"/>
    <n v="250000"/>
    <n v="100000"/>
    <m/>
    <s v="-"/>
    <s v="-"/>
    <m/>
    <m/>
    <s v="0"/>
    <s v="0"/>
    <n v="6"/>
    <n v="1000000"/>
    <n v="850000"/>
    <n v="400000"/>
    <n v="340000"/>
    <s v="DISC15"/>
    <n v="0.15"/>
    <s v="Promo 4.4"/>
    <s v="Shopee"/>
    <x v="4"/>
    <d v="2023-04-04T00:00:00"/>
    <s v="Tuesday"/>
    <s v="wwww"/>
  </r>
  <r>
    <n v="60"/>
    <s v="ORD-SP0060-02/04/23"/>
    <s v="SW001"/>
    <s v="Sepatu Wanita"/>
    <x v="9"/>
    <n v="5"/>
    <n v="5"/>
    <n v="1250000"/>
    <n v="500000"/>
    <m/>
    <s v="-"/>
    <s v="-"/>
    <m/>
    <m/>
    <s v="0"/>
    <s v="0"/>
    <m/>
    <s v="-"/>
    <s v="-"/>
    <m/>
    <m/>
    <s v="0"/>
    <s v="0"/>
    <n v="5"/>
    <n v="1250000"/>
    <n v="1062500"/>
    <n v="500000"/>
    <n v="425000"/>
    <s v="DISC15"/>
    <n v="0.15"/>
    <s v="Promo 4.4"/>
    <s v="Shopee"/>
    <x v="5"/>
    <d v="2023-04-02T00:00:00"/>
    <s v="Sunday"/>
    <s v="wwww"/>
  </r>
  <r>
    <n v="61"/>
    <s v="ORD-SP0061-03/04/23"/>
    <s v="SP001"/>
    <s v="Sepatu Pria"/>
    <x v="7"/>
    <n v="2"/>
    <n v="1"/>
    <n v="1000000"/>
    <n v="400000"/>
    <s v="PP001"/>
    <s v="Pakaian Pria"/>
    <s v="Kaos Polo"/>
    <n v="1"/>
    <n v="4"/>
    <n v="200000"/>
    <n v="80000"/>
    <m/>
    <s v="-"/>
    <s v="-"/>
    <m/>
    <m/>
    <s v="0"/>
    <s v="0"/>
    <n v="3"/>
    <n v="1200000"/>
    <n v="1080000"/>
    <n v="480000"/>
    <n v="432000"/>
    <s v="DISC10"/>
    <n v="0.1"/>
    <s v="Promo 4.4"/>
    <s v="Shopee"/>
    <x v="2"/>
    <d v="2023-04-03T00:00:00"/>
    <s v="Monday"/>
    <s v="wwww"/>
  </r>
  <r>
    <n v="62"/>
    <s v="ORD-BL0062-12/04/23"/>
    <s v="PU001"/>
    <s v="Pakaian Unisex"/>
    <x v="6"/>
    <n v="1"/>
    <n v="4"/>
    <n v="350000"/>
    <n v="130000"/>
    <s v="PW003"/>
    <s v="Pakaian Wanita"/>
    <s v="Kaftan"/>
    <n v="1"/>
    <n v="2"/>
    <n v="250000"/>
    <n v="100000"/>
    <s v="PP002"/>
    <s v="Pakaian Pria"/>
    <s v="Celana Pendek"/>
    <n v="3"/>
    <n v="5"/>
    <n v="540000"/>
    <n v="210000"/>
    <n v="5"/>
    <n v="1140000"/>
    <n v="1140000"/>
    <n v="440000"/>
    <n v="440000"/>
    <s v="-"/>
    <s v="-"/>
    <s v="-"/>
    <s v="Bukalapak"/>
    <x v="5"/>
    <d v="2023-04-12T00:00:00"/>
    <s v="Wednesday"/>
    <s v="wwww"/>
  </r>
  <r>
    <n v="63"/>
    <s v="ORD-BL0063-16/04/23"/>
    <s v="PW002"/>
    <s v="Pakaian Wanita"/>
    <x v="1"/>
    <n v="2"/>
    <n v="5"/>
    <n v="300000"/>
    <n v="100000"/>
    <m/>
    <s v="-"/>
    <s v="-"/>
    <m/>
    <m/>
    <s v="0"/>
    <s v="0"/>
    <m/>
    <s v="-"/>
    <s v="-"/>
    <m/>
    <m/>
    <s v="0"/>
    <s v="0"/>
    <n v="2"/>
    <n v="300000"/>
    <n v="255000"/>
    <n v="100000"/>
    <n v="85000"/>
    <s v="BUKALEBAR"/>
    <n v="0.15"/>
    <s v="Promo Lebaran"/>
    <s v="Bukalapak"/>
    <x v="4"/>
    <d v="2023-04-16T00:00:00"/>
    <s v="Sunday"/>
    <s v="wwww"/>
  </r>
  <r>
    <n v="64"/>
    <s v="ORD-BB0064-09/04/23"/>
    <s v="SP001"/>
    <s v="Sepatu Pria"/>
    <x v="7"/>
    <n v="6"/>
    <n v="1"/>
    <n v="3000000"/>
    <n v="1200000"/>
    <s v="PP002"/>
    <s v="Pakaian Pria"/>
    <s v="Celana Pendek"/>
    <n v="1"/>
    <n v="2"/>
    <n v="180000"/>
    <n v="70000"/>
    <m/>
    <s v="-"/>
    <s v="-"/>
    <m/>
    <m/>
    <s v="0"/>
    <s v="0"/>
    <n v="7"/>
    <n v="3180000"/>
    <n v="3180000"/>
    <n v="1270000"/>
    <n v="1270000"/>
    <s v="-"/>
    <s v="-"/>
    <s v="-"/>
    <s v="BliBli"/>
    <x v="1"/>
    <d v="2023-04-09T00:00:00"/>
    <s v="Sunday"/>
    <s v="wwww"/>
  </r>
  <r>
    <n v="65"/>
    <s v="ORD-SP0065-26/04/23"/>
    <s v="PW001"/>
    <s v="Pakaian Wanita"/>
    <x v="0"/>
    <n v="1"/>
    <n v="5"/>
    <n v="300000"/>
    <n v="100000"/>
    <m/>
    <s v="-"/>
    <s v="-"/>
    <m/>
    <m/>
    <s v="0"/>
    <s v="0"/>
    <m/>
    <s v="-"/>
    <s v="-"/>
    <m/>
    <m/>
    <s v="0"/>
    <s v="0"/>
    <n v="1"/>
    <n v="300000"/>
    <n v="240000"/>
    <n v="100000"/>
    <n v="80000"/>
    <s v="DISC20"/>
    <n v="0.2"/>
    <s v="Promo Lebaran"/>
    <s v="Shopee"/>
    <x v="5"/>
    <d v="2023-04-26T00:00:00"/>
    <s v="Wednesday"/>
    <s v="wwww"/>
  </r>
  <r>
    <n v="66"/>
    <s v="ORD-TK0066-03/04/23"/>
    <s v="PW002"/>
    <s v="Pakaian Wanita"/>
    <x v="1"/>
    <n v="1"/>
    <n v="2"/>
    <n v="150000"/>
    <n v="50000"/>
    <s v="SP001"/>
    <s v="Sepatu Pria"/>
    <s v="Sneakers"/>
    <n v="2"/>
    <n v="1"/>
    <n v="1000000"/>
    <n v="400000"/>
    <s v="PP001"/>
    <s v="Pakaian Pria"/>
    <s v="Kaos Polo"/>
    <n v="1"/>
    <n v="5"/>
    <n v="200000"/>
    <n v="80000"/>
    <n v="4"/>
    <n v="1350000"/>
    <n v="1215000"/>
    <n v="530000"/>
    <n v="477000"/>
    <s v="DISCAPRIL"/>
    <n v="0.1"/>
    <s v="Promo 4.4"/>
    <s v="Tokopedia"/>
    <x v="4"/>
    <d v="2023-04-03T00:00:00"/>
    <s v="Monday"/>
    <s v="wwww"/>
  </r>
  <r>
    <n v="67"/>
    <s v="ORD-SP0067-19/04/23"/>
    <s v="SP001"/>
    <s v="Sepatu Pria"/>
    <x v="7"/>
    <n v="3"/>
    <n v="1"/>
    <n v="1500000"/>
    <n v="600000"/>
    <s v="PP002"/>
    <s v="Pakaian Pria"/>
    <s v="Celana Pendek"/>
    <n v="1"/>
    <n v="1"/>
    <n v="180000"/>
    <n v="70000"/>
    <s v="SW001"/>
    <s v="Sepatu Wanita"/>
    <s v="Flat Shoes"/>
    <n v="2"/>
    <n v="3"/>
    <n v="500000"/>
    <n v="200000"/>
    <n v="6"/>
    <n v="2180000"/>
    <n v="1744000"/>
    <n v="870000"/>
    <n v="696000"/>
    <s v="DISC20"/>
    <n v="0.2"/>
    <s v="Promo Lebaran"/>
    <s v="Shopee"/>
    <x v="4"/>
    <d v="2023-04-19T00:00:00"/>
    <s v="Wednesday"/>
    <s v="wwww"/>
  </r>
  <r>
    <n v="68"/>
    <s v="ORD-SP0068-05/04/23"/>
    <s v="PW002"/>
    <s v="Pakaian Wanita"/>
    <x v="1"/>
    <n v="2"/>
    <n v="3"/>
    <n v="300000"/>
    <n v="100000"/>
    <m/>
    <s v="-"/>
    <s v="-"/>
    <m/>
    <m/>
    <s v="0"/>
    <s v="0"/>
    <m/>
    <s v="-"/>
    <s v="-"/>
    <m/>
    <m/>
    <s v="0"/>
    <s v="0"/>
    <n v="2"/>
    <n v="300000"/>
    <n v="255000"/>
    <n v="100000"/>
    <n v="85000"/>
    <s v="DISC15"/>
    <n v="0.15"/>
    <s v="Promo 4.4"/>
    <s v="Shopee"/>
    <x v="5"/>
    <d v="2023-04-05T00:00:00"/>
    <s v="Wednesday"/>
    <s v="wwww"/>
  </r>
  <r>
    <n v="69"/>
    <s v="ORD-TK0069-16/04/23"/>
    <s v="PW002"/>
    <s v="Pakaian Wanita"/>
    <x v="1"/>
    <n v="4"/>
    <n v="5"/>
    <n v="600000"/>
    <n v="200000"/>
    <s v="PP003"/>
    <s v="Pakaian Pria"/>
    <s v="Jaket Jeans"/>
    <n v="3"/>
    <n v="1"/>
    <n v="1200000"/>
    <n v="450000"/>
    <m/>
    <s v="-"/>
    <s v="-"/>
    <m/>
    <m/>
    <s v="0"/>
    <s v="0"/>
    <n v="7"/>
    <n v="1800000"/>
    <n v="1620000"/>
    <n v="650000"/>
    <n v="585000"/>
    <s v="LEBAR10"/>
    <n v="0.1"/>
    <s v="Promo Lebaran"/>
    <s v="Tokopedia"/>
    <x v="1"/>
    <d v="2023-04-16T00:00:00"/>
    <s v="Sunday"/>
    <s v="wwww"/>
  </r>
  <r>
    <n v="70"/>
    <s v="ORD-SP0070-01/04/23"/>
    <s v="PP002"/>
    <s v="Pakaian Pria"/>
    <x v="4"/>
    <n v="3"/>
    <n v="3"/>
    <n v="540000"/>
    <n v="210000"/>
    <s v="SP002"/>
    <s v="Sepatu Pria"/>
    <s v="Sandal Slip On"/>
    <n v="1"/>
    <n v="4"/>
    <n v="150000"/>
    <n v="60000"/>
    <s v="PP002"/>
    <s v="Pakaian Pria"/>
    <s v="Celana Pendek"/>
    <n v="1"/>
    <n v="5"/>
    <n v="180000"/>
    <n v="70000"/>
    <n v="5"/>
    <n v="870000"/>
    <n v="783000"/>
    <n v="340000"/>
    <n v="306000"/>
    <s v="DISC10"/>
    <n v="0.1"/>
    <s v="Promo 4.4"/>
    <s v="Shopee"/>
    <x v="0"/>
    <d v="2023-04-01T00:00:00"/>
    <s v="Saturday"/>
    <s v="wwww"/>
  </r>
  <r>
    <n v="71"/>
    <s v="ORD-SP0071-06/04/23"/>
    <s v="PW001"/>
    <s v="Pakaian Wanita"/>
    <x v="0"/>
    <n v="4"/>
    <n v="2"/>
    <n v="1200000"/>
    <n v="400000"/>
    <s v="PP003"/>
    <s v="Pakaian Pria"/>
    <s v="Jaket Jeans"/>
    <n v="1"/>
    <n v="3"/>
    <n v="400000"/>
    <n v="150000"/>
    <m/>
    <s v="-"/>
    <s v="-"/>
    <m/>
    <m/>
    <s v="0"/>
    <s v="0"/>
    <n v="5"/>
    <n v="1600000"/>
    <n v="1440000"/>
    <n v="550000"/>
    <n v="495000"/>
    <s v="DISC10"/>
    <n v="0.1"/>
    <s v="Promo 4.4"/>
    <s v="Shopee"/>
    <x v="1"/>
    <d v="2023-04-06T00:00:00"/>
    <s v="Thursday"/>
    <s v="wwww"/>
  </r>
  <r>
    <n v="72"/>
    <s v="ORD-SP0072-02/04/23"/>
    <s v="SW001"/>
    <s v="Sepatu Wanita"/>
    <x v="9"/>
    <n v="3"/>
    <n v="4"/>
    <n v="750000"/>
    <n v="300000"/>
    <s v="PP001"/>
    <s v="Pakaian Pria"/>
    <s v="Kaos Polo"/>
    <n v="2"/>
    <n v="3"/>
    <n v="400000"/>
    <n v="160000"/>
    <s v="PW002"/>
    <s v="Pakaian Wanita"/>
    <s v="Blouse"/>
    <n v="1"/>
    <n v="1"/>
    <n v="150000"/>
    <n v="50000"/>
    <n v="6"/>
    <n v="1300000"/>
    <n v="1170000"/>
    <n v="510000"/>
    <n v="459000"/>
    <s v="DISC10"/>
    <n v="0.1"/>
    <s v="Promo 4.4"/>
    <s v="Shopee"/>
    <x v="4"/>
    <d v="2023-04-02T00:00:00"/>
    <s v="Sunday"/>
    <s v="wwww"/>
  </r>
  <r>
    <n v="73"/>
    <s v="ORD-BL0073-28/04/23"/>
    <s v="SW001"/>
    <s v="Sepatu Wanita"/>
    <x v="9"/>
    <n v="1"/>
    <n v="3"/>
    <n v="250000"/>
    <n v="100000"/>
    <s v="SP001"/>
    <s v="Sepatu Pria"/>
    <s v="Sneakers"/>
    <n v="2"/>
    <n v="2"/>
    <n v="1000000"/>
    <n v="400000"/>
    <s v="PW002"/>
    <s v="Pakaian Wanita"/>
    <s v="Blouse"/>
    <n v="3"/>
    <n v="4"/>
    <n v="450000"/>
    <n v="150000"/>
    <n v="6"/>
    <n v="1700000"/>
    <n v="1445000"/>
    <n v="650000"/>
    <n v="552500"/>
    <s v="BUKALEBAR"/>
    <n v="0.15"/>
    <s v="Promo Lebaran"/>
    <s v="Bukalapak"/>
    <x v="4"/>
    <d v="2023-04-28T00:00:00"/>
    <s v="Friday"/>
    <s v="wwww"/>
  </r>
  <r>
    <n v="74"/>
    <s v="ORD-TK0074-05/04/23"/>
    <s v="PW001"/>
    <s v="Pakaian Wanita"/>
    <x v="0"/>
    <n v="3"/>
    <n v="4"/>
    <n v="900000"/>
    <n v="300000"/>
    <m/>
    <s v="-"/>
    <s v="-"/>
    <m/>
    <m/>
    <s v="0"/>
    <s v="0"/>
    <m/>
    <s v="-"/>
    <s v="-"/>
    <m/>
    <m/>
    <s v="0"/>
    <s v="0"/>
    <n v="3"/>
    <n v="900000"/>
    <n v="810000"/>
    <n v="300000"/>
    <n v="270000"/>
    <s v="DISCAPRIL"/>
    <n v="0.1"/>
    <s v="Promo 4.4"/>
    <s v="Tokopedia"/>
    <x v="5"/>
    <d v="2023-04-05T00:00:00"/>
    <s v="Wednesday"/>
    <s v="wwww"/>
  </r>
  <r>
    <n v="75"/>
    <s v="ORD-TK0075-03/04/23"/>
    <s v="PP003"/>
    <s v="Pakaian Pria"/>
    <x v="5"/>
    <n v="6"/>
    <n v="4"/>
    <n v="2400000"/>
    <n v="900000"/>
    <s v="PW001"/>
    <s v="Pakaian Wanita"/>
    <s v="Dress"/>
    <n v="1"/>
    <n v="1"/>
    <n v="300000"/>
    <n v="100000"/>
    <m/>
    <s v="-"/>
    <s v="-"/>
    <m/>
    <m/>
    <s v="0"/>
    <s v="0"/>
    <n v="7"/>
    <n v="2700000"/>
    <n v="2430000"/>
    <n v="1000000"/>
    <n v="900000"/>
    <s v="DISCAPRIL"/>
    <n v="0.1"/>
    <s v="Promo 4.4"/>
    <s v="Tokopedia"/>
    <x v="5"/>
    <d v="2023-04-03T00:00:00"/>
    <s v="Monday"/>
    <s v="wwww"/>
  </r>
  <r>
    <n v="76"/>
    <s v="ORD-SP0076-26/04/23"/>
    <s v="PW002"/>
    <s v="Pakaian Wanita"/>
    <x v="1"/>
    <n v="3"/>
    <n v="1"/>
    <n v="450000"/>
    <n v="150000"/>
    <m/>
    <s v="-"/>
    <s v="-"/>
    <m/>
    <m/>
    <s v="0"/>
    <s v="0"/>
    <m/>
    <s v="-"/>
    <s v="-"/>
    <m/>
    <m/>
    <s v="0"/>
    <s v="0"/>
    <n v="3"/>
    <n v="450000"/>
    <n v="360000"/>
    <n v="150000"/>
    <n v="120000"/>
    <s v="DISC20"/>
    <n v="0.2"/>
    <s v="Promo Lebaran"/>
    <s v="Shopee"/>
    <x v="1"/>
    <d v="2023-04-26T00:00:00"/>
    <s v="Wednesday"/>
    <s v="wwww"/>
  </r>
  <r>
    <n v="77"/>
    <s v="ORD-TK0077-17/04/23"/>
    <s v="PP002"/>
    <s v="Pakaian Pria"/>
    <x v="4"/>
    <n v="5"/>
    <n v="5"/>
    <n v="900000"/>
    <n v="350000"/>
    <s v="PW003"/>
    <s v="Pakaian Wanita"/>
    <s v="Kaftan"/>
    <n v="1"/>
    <n v="4"/>
    <n v="250000"/>
    <n v="100000"/>
    <s v="PP001"/>
    <s v="Pakaian Pria"/>
    <s v="Kaos Polo"/>
    <n v="1"/>
    <n v="3"/>
    <n v="200000"/>
    <n v="80000"/>
    <n v="7"/>
    <n v="1350000"/>
    <n v="1215000"/>
    <n v="530000"/>
    <n v="477000"/>
    <s v="LEBAR10"/>
    <n v="0.1"/>
    <s v="Promo Lebaran"/>
    <s v="Tokopedia"/>
    <x v="0"/>
    <d v="2023-04-17T00:00:00"/>
    <s v="Monday"/>
    <s v="wwww"/>
  </r>
  <r>
    <n v="78"/>
    <s v="ORD-SP0078-21/04/23"/>
    <s v="SW001"/>
    <s v="Sepatu Wanita"/>
    <x v="9"/>
    <n v="2"/>
    <n v="5"/>
    <n v="500000"/>
    <n v="200000"/>
    <s v="SP002"/>
    <s v="Sepatu Pria"/>
    <s v="Sandal Slip On"/>
    <n v="2"/>
    <n v="5"/>
    <n v="300000"/>
    <n v="120000"/>
    <s v="PW003"/>
    <s v="Pakaian Wanita"/>
    <s v="Kaftan"/>
    <n v="1"/>
    <n v="3"/>
    <n v="250000"/>
    <n v="100000"/>
    <n v="5"/>
    <n v="1050000"/>
    <n v="840000"/>
    <n v="420000"/>
    <n v="336000"/>
    <s v="DISC20"/>
    <n v="0.2"/>
    <s v="Promo Lebaran"/>
    <s v="Shopee"/>
    <x v="4"/>
    <d v="2023-04-21T00:00:00"/>
    <s v="Friday"/>
    <s v="wwww"/>
  </r>
  <r>
    <n v="79"/>
    <s v="ORD-BB0079-02/04/23"/>
    <s v="PP003"/>
    <s v="Pakaian Pria"/>
    <x v="5"/>
    <n v="1"/>
    <n v="1"/>
    <n v="400000"/>
    <n v="150000"/>
    <s v="PW003"/>
    <s v="Pakaian Wanita"/>
    <s v="Kaftan"/>
    <n v="1"/>
    <n v="2"/>
    <n v="250000"/>
    <n v="100000"/>
    <m/>
    <s v="-"/>
    <s v="-"/>
    <m/>
    <m/>
    <s v="0"/>
    <s v="0"/>
    <n v="2"/>
    <n v="650000"/>
    <n v="552500"/>
    <n v="250000"/>
    <n v="212500"/>
    <s v="BELI44"/>
    <n v="0.15"/>
    <s v="Promo 4.4"/>
    <s v="BliBli"/>
    <x v="4"/>
    <d v="2023-04-02T00:00:00"/>
    <s v="Sunday"/>
    <s v="wwww"/>
  </r>
  <r>
    <n v="80"/>
    <s v="ORD-BB0080-05/04/23"/>
    <s v="SW001"/>
    <s v="Sepatu Wanita"/>
    <x v="9"/>
    <n v="4"/>
    <n v="1"/>
    <n v="1000000"/>
    <n v="400000"/>
    <s v="PP001"/>
    <s v="Pakaian Pria"/>
    <s v="Kaos Polo"/>
    <n v="1"/>
    <n v="2"/>
    <n v="200000"/>
    <n v="80000"/>
    <s v="SP001"/>
    <s v="Sepatu Pria"/>
    <s v="Sneakers"/>
    <n v="2"/>
    <n v="1"/>
    <n v="1000000"/>
    <n v="400000"/>
    <n v="7"/>
    <n v="2200000"/>
    <n v="1870000"/>
    <n v="880000"/>
    <n v="748000"/>
    <s v="BELI44"/>
    <n v="0.15"/>
    <s v="Promo 4.4"/>
    <s v="BliBli"/>
    <x v="3"/>
    <d v="2023-04-05T00:00:00"/>
    <s v="Wednesday"/>
    <s v="wwww"/>
  </r>
  <r>
    <n v="81"/>
    <s v="ORD-SP0081-06/04/23"/>
    <s v="PP001"/>
    <s v="Pakaian Pria"/>
    <x v="3"/>
    <n v="1"/>
    <n v="5"/>
    <n v="200000"/>
    <n v="80000"/>
    <s v="PW003"/>
    <s v="Pakaian Wanita"/>
    <s v="Kaftan"/>
    <n v="1"/>
    <n v="1"/>
    <n v="250000"/>
    <n v="100000"/>
    <s v="PU001"/>
    <s v="Pakaian Unisex"/>
    <s v="Jaket Hoodie"/>
    <n v="1"/>
    <n v="3"/>
    <n v="350000"/>
    <n v="130000"/>
    <n v="3"/>
    <n v="800000"/>
    <n v="720000"/>
    <n v="310000"/>
    <n v="279000"/>
    <s v="DISC10"/>
    <n v="0.1"/>
    <s v="Promo 4.4"/>
    <s v="Shopee"/>
    <x v="3"/>
    <d v="2023-04-06T00:00:00"/>
    <s v="Thursday"/>
    <s v="wwww"/>
  </r>
  <r>
    <n v="82"/>
    <s v="ORD-TK0082-04/04/23"/>
    <s v="PW001"/>
    <s v="Pakaian Wanita"/>
    <x v="0"/>
    <n v="2"/>
    <n v="3"/>
    <n v="600000"/>
    <n v="200000"/>
    <s v="PP002"/>
    <s v="Pakaian Pria"/>
    <s v="Celana Pendek"/>
    <n v="1"/>
    <n v="4"/>
    <n v="180000"/>
    <n v="70000"/>
    <m/>
    <s v="-"/>
    <s v="-"/>
    <m/>
    <m/>
    <s v="0"/>
    <s v="0"/>
    <n v="3"/>
    <n v="780000"/>
    <n v="702000"/>
    <n v="270000"/>
    <n v="243000"/>
    <s v="DISCAPRIL"/>
    <n v="0.1"/>
    <s v="Promo 4.4"/>
    <s v="Tokopedia"/>
    <x v="4"/>
    <d v="2023-04-04T00:00:00"/>
    <s v="Tuesday"/>
    <s v="wwww"/>
  </r>
  <r>
    <n v="83"/>
    <s v="ORD-SP0083-03/04/23"/>
    <s v="PW003"/>
    <s v="Pakaian Wanita"/>
    <x v="2"/>
    <n v="1"/>
    <n v="3"/>
    <n v="250000"/>
    <n v="100000"/>
    <m/>
    <s v="-"/>
    <s v="-"/>
    <m/>
    <m/>
    <s v="0"/>
    <s v="0"/>
    <m/>
    <s v="-"/>
    <s v="-"/>
    <m/>
    <m/>
    <s v="0"/>
    <s v="0"/>
    <n v="1"/>
    <n v="250000"/>
    <n v="212500"/>
    <n v="100000"/>
    <n v="85000"/>
    <s v="DISC15"/>
    <n v="0.15"/>
    <s v="Promo 4.4"/>
    <s v="Shopee"/>
    <x v="4"/>
    <d v="2023-04-03T00:00:00"/>
    <s v="Monday"/>
    <s v="wwww"/>
  </r>
  <r>
    <n v="84"/>
    <s v="ORD-BL0084-16/04/23"/>
    <s v="PW001"/>
    <s v="Pakaian Wanita"/>
    <x v="0"/>
    <n v="2"/>
    <n v="4"/>
    <n v="600000"/>
    <n v="200000"/>
    <s v="PP001"/>
    <s v="Pakaian Pria"/>
    <s v="Kaos Polo"/>
    <n v="1"/>
    <n v="3"/>
    <n v="200000"/>
    <n v="80000"/>
    <m/>
    <s v="-"/>
    <s v="-"/>
    <m/>
    <m/>
    <s v="0"/>
    <s v="0"/>
    <n v="3"/>
    <n v="800000"/>
    <n v="680000"/>
    <n v="280000"/>
    <n v="238000"/>
    <s v="BUKALEBAR"/>
    <n v="0.15"/>
    <s v="Promo Lebaran"/>
    <s v="Bukalapak"/>
    <x v="0"/>
    <d v="2023-04-16T00:00:00"/>
    <s v="Sunday"/>
    <s v="wwww"/>
  </r>
  <r>
    <n v="85"/>
    <s v="ORD-TK0085-02/04/23"/>
    <s v="PP003"/>
    <s v="Pakaian Pria"/>
    <x v="5"/>
    <n v="2"/>
    <n v="1"/>
    <n v="800000"/>
    <n v="300000"/>
    <s v="PW002"/>
    <s v="Pakaian Wanita"/>
    <s v="Blouse"/>
    <n v="1"/>
    <n v="2"/>
    <n v="150000"/>
    <n v="50000"/>
    <s v="PP002"/>
    <s v="Pakaian Pria"/>
    <s v="Celana Pendek"/>
    <n v="1"/>
    <n v="4"/>
    <n v="180000"/>
    <n v="70000"/>
    <n v="4"/>
    <n v="1130000"/>
    <n v="1017000"/>
    <n v="420000"/>
    <n v="378000"/>
    <s v="DISCAPRIL"/>
    <n v="0.1"/>
    <s v="Promo 4.4"/>
    <s v="Tokopedia"/>
    <x v="0"/>
    <d v="2023-04-02T00:00:00"/>
    <s v="Sunday"/>
    <s v="wwww"/>
  </r>
  <r>
    <n v="86"/>
    <s v="ORD-SP0086-01/04/23"/>
    <s v="PW003"/>
    <s v="Pakaian Wanita"/>
    <x v="2"/>
    <n v="4"/>
    <n v="2"/>
    <n v="1000000"/>
    <n v="400000"/>
    <s v="PW001"/>
    <s v="Pakaian Wanita"/>
    <s v="Dress"/>
    <n v="1"/>
    <n v="5"/>
    <n v="300000"/>
    <n v="100000"/>
    <m/>
    <s v="-"/>
    <s v="-"/>
    <m/>
    <m/>
    <s v="0"/>
    <s v="0"/>
    <n v="5"/>
    <n v="1300000"/>
    <n v="1170000"/>
    <n v="500000"/>
    <n v="450000"/>
    <s v="DISC10"/>
    <n v="0.1"/>
    <s v="Promo 4.4"/>
    <s v="Shopee"/>
    <x v="5"/>
    <d v="2023-04-01T00:00:00"/>
    <s v="Saturday"/>
    <s v="wwww"/>
  </r>
  <r>
    <n v="87"/>
    <s v="ORD-BL0087-30/04/23"/>
    <s v="PP002"/>
    <s v="Pakaian Pria"/>
    <x v="4"/>
    <n v="5"/>
    <n v="2"/>
    <n v="900000"/>
    <n v="350000"/>
    <s v="SP001"/>
    <s v="Sepatu Pria"/>
    <s v="Sneakers"/>
    <n v="1"/>
    <n v="4"/>
    <n v="500000"/>
    <n v="200000"/>
    <s v="PW002"/>
    <s v="Pakaian Wanita"/>
    <s v="Blouse"/>
    <n v="1"/>
    <n v="4"/>
    <n v="150000"/>
    <n v="50000"/>
    <n v="7"/>
    <n v="1550000"/>
    <n v="1317500"/>
    <n v="600000"/>
    <n v="510000"/>
    <s v="BUKALEBAR"/>
    <n v="0.15"/>
    <s v="Promo Lebaran"/>
    <s v="Bukalapak"/>
    <x v="1"/>
    <d v="2023-04-30T00:00:00"/>
    <s v="Sunday"/>
    <s v="wwww"/>
  </r>
  <r>
    <n v="88"/>
    <s v="ORD-BL0088-16/04/23"/>
    <s v="SW001"/>
    <s v="Sepatu Wanita"/>
    <x v="9"/>
    <n v="2"/>
    <n v="3"/>
    <n v="500000"/>
    <n v="200000"/>
    <s v="PW001"/>
    <s v="Pakaian Wanita"/>
    <s v="Dress"/>
    <n v="3"/>
    <n v="1"/>
    <n v="900000"/>
    <n v="300000"/>
    <m/>
    <s v="-"/>
    <s v="-"/>
    <m/>
    <m/>
    <s v="0"/>
    <s v="0"/>
    <n v="5"/>
    <n v="1400000"/>
    <n v="1190000"/>
    <n v="500000"/>
    <n v="425000"/>
    <s v="BUKALEBAR"/>
    <n v="0.15"/>
    <s v="Promo Lebaran"/>
    <s v="Bukalapak"/>
    <x v="4"/>
    <d v="2023-04-16T00:00:00"/>
    <s v="Sunday"/>
    <s v="wwww"/>
  </r>
  <r>
    <n v="89"/>
    <s v="ORD-SP0089-05/04/23"/>
    <s v="PW003"/>
    <s v="Pakaian Wanita"/>
    <x v="2"/>
    <n v="1"/>
    <n v="2"/>
    <n v="250000"/>
    <n v="100000"/>
    <s v="PP002"/>
    <s v="Pakaian Pria"/>
    <s v="Celana Pendek"/>
    <n v="1"/>
    <n v="5"/>
    <n v="180000"/>
    <n v="70000"/>
    <m/>
    <s v="-"/>
    <s v="-"/>
    <m/>
    <m/>
    <s v="0"/>
    <s v="0"/>
    <n v="2"/>
    <n v="430000"/>
    <n v="387000"/>
    <n v="170000"/>
    <n v="153000"/>
    <s v="DISC10"/>
    <n v="0.1"/>
    <s v="Promo 4.4"/>
    <s v="Shopee"/>
    <x v="1"/>
    <d v="2023-04-05T00:00:00"/>
    <s v="Wednesday"/>
    <s v="wwww"/>
  </r>
  <r>
    <n v="90"/>
    <s v="ORD-TK0090-01/04/23"/>
    <s v="SP002"/>
    <s v="Sepatu Pria"/>
    <x v="8"/>
    <n v="1"/>
    <n v="1"/>
    <n v="150000"/>
    <n v="60000"/>
    <m/>
    <s v="-"/>
    <s v="-"/>
    <m/>
    <m/>
    <s v="0"/>
    <s v="0"/>
    <m/>
    <s v="-"/>
    <s v="-"/>
    <m/>
    <m/>
    <s v="0"/>
    <s v="0"/>
    <n v="1"/>
    <n v="150000"/>
    <n v="135000"/>
    <n v="60000"/>
    <n v="54000"/>
    <s v="DISCAPRIL"/>
    <n v="0.1"/>
    <s v="Promo 4.4"/>
    <s v="Tokopedia"/>
    <x v="4"/>
    <d v="2023-04-01T00:00:00"/>
    <s v="Saturday"/>
    <s v="wwww"/>
  </r>
  <r>
    <n v="91"/>
    <s v="ORD-TK0091-28/04/23"/>
    <s v="PP003"/>
    <s v="Pakaian Pria"/>
    <x v="5"/>
    <n v="1"/>
    <n v="5"/>
    <n v="400000"/>
    <n v="150000"/>
    <m/>
    <s v="-"/>
    <s v="-"/>
    <m/>
    <m/>
    <s v="0"/>
    <s v="0"/>
    <m/>
    <s v="-"/>
    <s v="-"/>
    <m/>
    <m/>
    <s v="0"/>
    <s v="0"/>
    <n v="1"/>
    <n v="400000"/>
    <n v="360000"/>
    <n v="150000"/>
    <n v="135000"/>
    <s v="LEBAR10"/>
    <n v="0.1"/>
    <s v="Promo Lebaran"/>
    <s v="Tokopedia"/>
    <x v="1"/>
    <d v="2023-04-28T00:00:00"/>
    <s v="Friday"/>
    <s v="wwww"/>
  </r>
  <r>
    <n v="92"/>
    <s v="ORD-TK0092-13/04/23"/>
    <s v="PP001"/>
    <s v="Pakaian Pria"/>
    <x v="3"/>
    <n v="3"/>
    <n v="1"/>
    <n v="600000"/>
    <n v="240000"/>
    <s v="PW003"/>
    <s v="Pakaian Wanita"/>
    <s v="Kaftan"/>
    <n v="1"/>
    <n v="2"/>
    <n v="250000"/>
    <n v="100000"/>
    <m/>
    <s v="-"/>
    <s v="-"/>
    <m/>
    <m/>
    <s v="0"/>
    <s v="0"/>
    <n v="4"/>
    <n v="850000"/>
    <n v="850000"/>
    <n v="340000"/>
    <n v="340000"/>
    <s v="-"/>
    <s v="-"/>
    <s v="-"/>
    <s v="Tokopedia"/>
    <x v="4"/>
    <d v="2023-04-13T00:00:00"/>
    <s v="Thursday"/>
    <s v="wwww"/>
  </r>
  <r>
    <n v="93"/>
    <s v="ORD-BB0093-05/04/23"/>
    <s v="PW003"/>
    <s v="Pakaian Wanita"/>
    <x v="2"/>
    <n v="3"/>
    <n v="2"/>
    <n v="750000"/>
    <n v="300000"/>
    <m/>
    <s v="-"/>
    <s v="-"/>
    <m/>
    <m/>
    <s v="0"/>
    <s v="0"/>
    <m/>
    <s v="-"/>
    <s v="-"/>
    <m/>
    <m/>
    <s v="0"/>
    <s v="0"/>
    <n v="3"/>
    <n v="750000"/>
    <n v="637500"/>
    <n v="300000"/>
    <n v="255000"/>
    <s v="BELI44"/>
    <n v="0.15"/>
    <s v="Promo 4.4"/>
    <s v="BliBli"/>
    <x v="4"/>
    <d v="2023-04-05T00:00:00"/>
    <s v="Wednesday"/>
    <s v="wwww"/>
  </r>
  <r>
    <n v="94"/>
    <s v="ORD-TK0094-26/04/23"/>
    <s v="SP002"/>
    <s v="Sepatu Pria"/>
    <x v="8"/>
    <n v="1"/>
    <n v="2"/>
    <n v="150000"/>
    <n v="60000"/>
    <s v="PP002"/>
    <s v="Pakaian Pria"/>
    <s v="Celana Pendek"/>
    <n v="1"/>
    <n v="1"/>
    <n v="180000"/>
    <n v="70000"/>
    <s v="PP003"/>
    <s v="Pakaian Pria"/>
    <s v="Jaket Jeans"/>
    <n v="3"/>
    <n v="1"/>
    <n v="1200000"/>
    <n v="450000"/>
    <n v="5"/>
    <n v="1530000"/>
    <n v="1377000"/>
    <n v="580000"/>
    <n v="522000"/>
    <s v="LEBAR10"/>
    <n v="0.1"/>
    <s v="Promo Lebaran"/>
    <s v="Tokopedia"/>
    <x v="0"/>
    <d v="2023-04-26T00:00:00"/>
    <s v="Wednesday"/>
    <s v="wwww"/>
  </r>
  <r>
    <n v="95"/>
    <s v="ORD-BB0095-01/04/23"/>
    <s v="PW001"/>
    <s v="Pakaian Wanita"/>
    <x v="0"/>
    <n v="5"/>
    <n v="5"/>
    <n v="1500000"/>
    <n v="500000"/>
    <m/>
    <s v="-"/>
    <s v="-"/>
    <m/>
    <m/>
    <s v="0"/>
    <s v="0"/>
    <m/>
    <s v="-"/>
    <s v="-"/>
    <m/>
    <m/>
    <s v="0"/>
    <s v="0"/>
    <n v="5"/>
    <n v="1500000"/>
    <n v="1275000"/>
    <n v="500000"/>
    <n v="425000"/>
    <s v="BELI44"/>
    <n v="0.15"/>
    <s v="Promo 4.4"/>
    <s v="BliBli"/>
    <x v="2"/>
    <d v="2023-04-01T00:00:00"/>
    <s v="Saturday"/>
    <s v="wwww"/>
  </r>
  <r>
    <n v="96"/>
    <s v="ORD-TK0096-17/04/23"/>
    <s v="PW003"/>
    <s v="Pakaian Wanita"/>
    <x v="2"/>
    <n v="4"/>
    <n v="5"/>
    <n v="1000000"/>
    <n v="400000"/>
    <m/>
    <s v="-"/>
    <s v="-"/>
    <m/>
    <m/>
    <s v="0"/>
    <s v="0"/>
    <m/>
    <s v="-"/>
    <s v="-"/>
    <m/>
    <m/>
    <s v="0"/>
    <s v="0"/>
    <n v="4"/>
    <n v="1000000"/>
    <n v="900000"/>
    <n v="400000"/>
    <n v="360000"/>
    <s v="LEBAR10"/>
    <n v="0.1"/>
    <s v="Promo Lebaran"/>
    <s v="Tokopedia"/>
    <x v="5"/>
    <d v="2023-04-17T00:00:00"/>
    <s v="Monday"/>
    <s v="wwww"/>
  </r>
  <r>
    <n v="97"/>
    <s v="ORD-SP0097-06/04/23"/>
    <s v="PW001"/>
    <s v="Pakaian Wanita"/>
    <x v="0"/>
    <n v="1"/>
    <n v="1"/>
    <n v="300000"/>
    <n v="100000"/>
    <s v="PU001"/>
    <s v="Pakaian Unisex"/>
    <s v="Jaket Hoodie"/>
    <n v="1"/>
    <n v="5"/>
    <n v="350000"/>
    <n v="130000"/>
    <m/>
    <s v="-"/>
    <s v="-"/>
    <m/>
    <m/>
    <s v="0"/>
    <s v="0"/>
    <n v="2"/>
    <n v="650000"/>
    <n v="585000"/>
    <n v="230000"/>
    <n v="207000"/>
    <s v="DISC10"/>
    <n v="0.1"/>
    <s v="Promo 4.4"/>
    <s v="Shopee"/>
    <x v="4"/>
    <d v="2023-04-06T00:00:00"/>
    <s v="Thursday"/>
    <s v="wwww"/>
  </r>
  <r>
    <n v="98"/>
    <s v="ORD-SP0098-20/04/23"/>
    <s v="PU001"/>
    <s v="Pakaian Unisex"/>
    <x v="6"/>
    <n v="1"/>
    <n v="3"/>
    <n v="350000"/>
    <n v="130000"/>
    <s v="SP002"/>
    <s v="Sepatu Pria"/>
    <s v="Sandal Slip On"/>
    <n v="2"/>
    <n v="4"/>
    <n v="300000"/>
    <n v="120000"/>
    <s v="PW001"/>
    <s v="Pakaian Wanita"/>
    <s v="Dress"/>
    <n v="1"/>
    <n v="5"/>
    <n v="300000"/>
    <n v="100000"/>
    <n v="4"/>
    <n v="950000"/>
    <n v="760000"/>
    <n v="350000"/>
    <n v="280000"/>
    <s v="DISC20"/>
    <n v="0.2"/>
    <s v="Promo Lebaran"/>
    <s v="Shopee"/>
    <x v="5"/>
    <d v="2023-04-20T00:00:00"/>
    <s v="Thursday"/>
    <s v="wwww"/>
  </r>
  <r>
    <n v="99"/>
    <s v="ORD-TK0099-06/04/23"/>
    <s v="PP002"/>
    <s v="Pakaian Pria"/>
    <x v="4"/>
    <n v="3"/>
    <n v="5"/>
    <n v="540000"/>
    <n v="210000"/>
    <s v="PW002"/>
    <s v="Pakaian Wanita"/>
    <s v="Blouse"/>
    <n v="1"/>
    <n v="5"/>
    <n v="150000"/>
    <n v="50000"/>
    <s v="PP002"/>
    <s v="Pakaian Pria"/>
    <s v="Celana Pendek"/>
    <n v="1"/>
    <n v="3"/>
    <n v="180000"/>
    <n v="70000"/>
    <n v="5"/>
    <n v="870000"/>
    <n v="783000"/>
    <n v="330000"/>
    <n v="297000"/>
    <s v="DISCAPRIL"/>
    <n v="0.1"/>
    <s v="Promo 4.4"/>
    <s v="Tokopedia"/>
    <x v="5"/>
    <d v="2023-04-06T00:00:00"/>
    <s v="Thursday"/>
    <s v="wwww"/>
  </r>
  <r>
    <n v="100"/>
    <s v="ORD-TK0100-04/04/23"/>
    <s v="SW001"/>
    <s v="Sepatu Wanita"/>
    <x v="9"/>
    <n v="1"/>
    <n v="1"/>
    <n v="250000"/>
    <n v="100000"/>
    <s v="SP001"/>
    <s v="Sepatu Pria"/>
    <s v="Sneakers"/>
    <n v="1"/>
    <n v="2"/>
    <n v="500000"/>
    <n v="200000"/>
    <s v="SW001"/>
    <s v="Sepatu Wanita"/>
    <s v="Flat Shoes"/>
    <n v="1"/>
    <n v="1"/>
    <n v="250000"/>
    <n v="100000"/>
    <n v="3"/>
    <n v="1000000"/>
    <n v="900000"/>
    <n v="400000"/>
    <n v="360000"/>
    <s v="DISCAPRIL"/>
    <n v="0.1"/>
    <s v="Promo 4.4"/>
    <s v="Tokopedia"/>
    <x v="1"/>
    <d v="2023-04-04T00:00:00"/>
    <s v="Tuesday"/>
    <s v="wwww"/>
  </r>
  <r>
    <n v="101"/>
    <s v="ORD-SP0101-09/04/23"/>
    <s v="SP001"/>
    <s v="Sepatu Pria"/>
    <x v="7"/>
    <n v="4"/>
    <n v="5"/>
    <n v="2000000"/>
    <n v="800000"/>
    <s v="PP003"/>
    <s v="Pakaian Pria"/>
    <s v="Jaket Jeans"/>
    <n v="1"/>
    <n v="1"/>
    <n v="400000"/>
    <n v="150000"/>
    <m/>
    <s v="-"/>
    <s v="-"/>
    <m/>
    <m/>
    <s v="0"/>
    <s v="0"/>
    <n v="5"/>
    <n v="2400000"/>
    <n v="2400000"/>
    <n v="950000"/>
    <n v="950000"/>
    <s v="-"/>
    <s v="-"/>
    <s v="-"/>
    <s v="Shopee"/>
    <x v="4"/>
    <d v="2023-04-09T00:00:00"/>
    <s v="Sunday"/>
    <s v="wwww"/>
  </r>
  <r>
    <n v="102"/>
    <s v="ORD-TK0102-04/04/23"/>
    <s v="PP003"/>
    <s v="Pakaian Pria"/>
    <x v="5"/>
    <n v="3"/>
    <n v="4"/>
    <n v="1200000"/>
    <n v="450000"/>
    <s v="SW001"/>
    <s v="Sepatu Wanita"/>
    <s v="Flat Shoes"/>
    <n v="1"/>
    <n v="1"/>
    <n v="250000"/>
    <n v="100000"/>
    <s v="SP001"/>
    <s v="Sepatu Pria"/>
    <s v="Sneakers"/>
    <n v="1"/>
    <n v="5"/>
    <n v="500000"/>
    <n v="200000"/>
    <n v="5"/>
    <n v="1950000"/>
    <n v="1755000"/>
    <n v="750000"/>
    <n v="675000"/>
    <s v="DISCAPRIL"/>
    <n v="0.1"/>
    <s v="Promo 4.4"/>
    <s v="Tokopedia"/>
    <x v="4"/>
    <d v="2023-04-04T00:00:00"/>
    <s v="Tuesday"/>
    <s v="wwww"/>
  </r>
  <r>
    <n v="103"/>
    <s v="ORD-TK0103-17/04/23"/>
    <s v="PU001"/>
    <s v="Pakaian Unisex"/>
    <x v="6"/>
    <n v="1"/>
    <n v="5"/>
    <n v="350000"/>
    <n v="130000"/>
    <s v="SW001"/>
    <s v="Sepatu Wanita"/>
    <s v="Flat Shoes"/>
    <n v="1"/>
    <n v="5"/>
    <n v="250000"/>
    <n v="100000"/>
    <m/>
    <s v="-"/>
    <s v="-"/>
    <m/>
    <m/>
    <s v="0"/>
    <s v="0"/>
    <n v="2"/>
    <n v="600000"/>
    <n v="540000"/>
    <n v="230000"/>
    <n v="207000"/>
    <s v="LEBAR10"/>
    <n v="0.1"/>
    <s v="Promo Lebaran"/>
    <s v="Tokopedia"/>
    <x v="2"/>
    <d v="2023-04-17T00:00:00"/>
    <s v="Monday"/>
    <s v="wwww"/>
  </r>
  <r>
    <n v="104"/>
    <s v="ORD-SP0104-06/04/23"/>
    <s v="PW001"/>
    <s v="Pakaian Wanita"/>
    <x v="0"/>
    <n v="2"/>
    <n v="2"/>
    <n v="600000"/>
    <n v="200000"/>
    <s v="PW003"/>
    <s v="Pakaian Wanita"/>
    <s v="Kaftan"/>
    <n v="1"/>
    <n v="1"/>
    <n v="250000"/>
    <n v="100000"/>
    <m/>
    <s v="-"/>
    <s v="-"/>
    <m/>
    <m/>
    <s v="0"/>
    <s v="0"/>
    <n v="3"/>
    <n v="850000"/>
    <n v="722500"/>
    <n v="300000"/>
    <n v="255000"/>
    <s v="DISC15"/>
    <n v="0.15"/>
    <s v="Promo 4.4"/>
    <s v="Shopee"/>
    <x v="0"/>
    <d v="2023-04-06T00:00:00"/>
    <s v="Thursday"/>
    <s v="wwww"/>
  </r>
  <r>
    <n v="105"/>
    <s v="ORD-SP0105-14/04/23"/>
    <s v="SP001"/>
    <s v="Sepatu Pria"/>
    <x v="7"/>
    <n v="3"/>
    <n v="5"/>
    <n v="1500000"/>
    <n v="600000"/>
    <m/>
    <s v="-"/>
    <s v="-"/>
    <m/>
    <m/>
    <s v="0"/>
    <s v="0"/>
    <m/>
    <s v="-"/>
    <s v="-"/>
    <m/>
    <m/>
    <s v="0"/>
    <s v="0"/>
    <n v="3"/>
    <n v="1500000"/>
    <n v="1500000"/>
    <n v="600000"/>
    <n v="600000"/>
    <s v="-"/>
    <s v="-"/>
    <s v="-"/>
    <s v="Shopee"/>
    <x v="0"/>
    <d v="2023-04-14T00:00:00"/>
    <s v="Friday"/>
    <s v="wwww"/>
  </r>
  <r>
    <n v="106"/>
    <s v="ORD-TK0106-21/04/23"/>
    <s v="PW003"/>
    <s v="Pakaian Wanita"/>
    <x v="2"/>
    <n v="5"/>
    <n v="4"/>
    <n v="1250000"/>
    <n v="500000"/>
    <m/>
    <s v="-"/>
    <s v="-"/>
    <m/>
    <m/>
    <s v="0"/>
    <s v="0"/>
    <m/>
    <s v="-"/>
    <s v="-"/>
    <m/>
    <m/>
    <s v="0"/>
    <s v="0"/>
    <n v="5"/>
    <n v="1250000"/>
    <n v="1125000"/>
    <n v="500000"/>
    <n v="450000"/>
    <s v="LEBAR10"/>
    <n v="0.1"/>
    <s v="Promo Lebaran"/>
    <s v="Tokopedia"/>
    <x v="4"/>
    <d v="2023-04-21T00:00:00"/>
    <s v="Friday"/>
    <s v="wwww"/>
  </r>
  <r>
    <n v="107"/>
    <s v="ORD-BL0107-24/04/23"/>
    <s v="PW001"/>
    <s v="Pakaian Wanita"/>
    <x v="0"/>
    <n v="1"/>
    <n v="5"/>
    <n v="300000"/>
    <n v="100000"/>
    <s v="PU001"/>
    <s v="Pakaian Unisex"/>
    <s v="Jaket Hoodie"/>
    <n v="1"/>
    <n v="3"/>
    <n v="350000"/>
    <n v="130000"/>
    <m/>
    <s v="-"/>
    <s v="-"/>
    <m/>
    <m/>
    <s v="0"/>
    <s v="0"/>
    <n v="2"/>
    <n v="650000"/>
    <n v="552500"/>
    <n v="230000"/>
    <n v="195500"/>
    <s v="BUKALEBAR"/>
    <n v="0.15"/>
    <s v="Promo Lebaran"/>
    <s v="Bukalapak"/>
    <x v="3"/>
    <d v="2023-04-24T00:00:00"/>
    <s v="Monday"/>
    <s v="wwww"/>
  </r>
  <r>
    <n v="108"/>
    <s v="ORD-BB0108-05/04/23"/>
    <s v="PU001"/>
    <s v="Pakaian Unisex"/>
    <x v="6"/>
    <n v="7"/>
    <n v="4"/>
    <n v="2450000"/>
    <n v="910000"/>
    <m/>
    <s v="-"/>
    <s v="-"/>
    <m/>
    <m/>
    <s v="0"/>
    <s v="0"/>
    <m/>
    <s v="-"/>
    <s v="-"/>
    <m/>
    <m/>
    <s v="0"/>
    <s v="0"/>
    <n v="7"/>
    <n v="2450000"/>
    <n v="2082500"/>
    <n v="910000"/>
    <n v="773500"/>
    <s v="BELI44"/>
    <n v="0.15"/>
    <s v="Promo 4.4"/>
    <s v="BliBli"/>
    <x v="4"/>
    <d v="2023-04-05T00:00:00"/>
    <s v="Wednesday"/>
    <s v="wwww"/>
  </r>
  <r>
    <n v="109"/>
    <s v="ORD-SP0109-17/04/23"/>
    <s v="SW001"/>
    <s v="Sepatu Wanita"/>
    <x v="9"/>
    <n v="1"/>
    <n v="4"/>
    <n v="250000"/>
    <n v="100000"/>
    <s v="PP002"/>
    <s v="Pakaian Pria"/>
    <s v="Celana Pendek"/>
    <n v="1"/>
    <n v="3"/>
    <n v="180000"/>
    <n v="70000"/>
    <m/>
    <s v="-"/>
    <s v="-"/>
    <m/>
    <m/>
    <s v="0"/>
    <s v="0"/>
    <n v="2"/>
    <n v="430000"/>
    <n v="344000"/>
    <n v="170000"/>
    <n v="136000"/>
    <s v="DISC20"/>
    <n v="0.2"/>
    <s v="Promo Lebaran"/>
    <s v="Shopee"/>
    <x v="2"/>
    <d v="2023-04-17T00:00:00"/>
    <s v="Monday"/>
    <s v="wwww"/>
  </r>
  <r>
    <n v="110"/>
    <s v="ORD-SP0110-06/04/23"/>
    <s v="PW001"/>
    <s v="Pakaian Wanita"/>
    <x v="0"/>
    <n v="4"/>
    <n v="2"/>
    <n v="1200000"/>
    <n v="400000"/>
    <m/>
    <s v="-"/>
    <s v="-"/>
    <m/>
    <m/>
    <s v="0"/>
    <s v="0"/>
    <m/>
    <s v="-"/>
    <s v="-"/>
    <m/>
    <m/>
    <s v="0"/>
    <s v="0"/>
    <n v="4"/>
    <n v="1200000"/>
    <n v="1080000"/>
    <n v="400000"/>
    <n v="360000"/>
    <s v="DISC10"/>
    <n v="0.1"/>
    <s v="Promo 4.4"/>
    <s v="Shopee"/>
    <x v="0"/>
    <d v="2023-04-06T00:00:00"/>
    <s v="Thursday"/>
    <s v="wwww"/>
  </r>
  <r>
    <n v="111"/>
    <s v="ORD-BL0111-10/04/23"/>
    <s v="PP003"/>
    <s v="Pakaian Pria"/>
    <x v="5"/>
    <n v="3"/>
    <n v="4"/>
    <n v="1200000"/>
    <n v="450000"/>
    <s v="PP001"/>
    <s v="Pakaian Pria"/>
    <s v="Kaos Polo"/>
    <n v="2"/>
    <n v="5"/>
    <n v="400000"/>
    <n v="160000"/>
    <s v="SP001"/>
    <s v="Sepatu Pria"/>
    <s v="Sneakers"/>
    <n v="1"/>
    <n v="5"/>
    <n v="500000"/>
    <n v="200000"/>
    <n v="6"/>
    <n v="2100000"/>
    <n v="2100000"/>
    <n v="810000"/>
    <n v="810000"/>
    <s v="-"/>
    <s v="-"/>
    <s v="-"/>
    <s v="Bukalapak"/>
    <x v="2"/>
    <d v="2023-04-10T00:00:00"/>
    <s v="Monday"/>
    <s v="wwww"/>
  </r>
  <r>
    <n v="112"/>
    <s v="ORD-TK0112-18/04/23"/>
    <s v="SW001"/>
    <s v="Sepatu Wanita"/>
    <x v="9"/>
    <n v="1"/>
    <n v="2"/>
    <n v="250000"/>
    <n v="100000"/>
    <s v="SP001"/>
    <s v="Sepatu Pria"/>
    <s v="Sneakers"/>
    <n v="1"/>
    <n v="2"/>
    <n v="500000"/>
    <n v="200000"/>
    <s v="SW001"/>
    <s v="Sepatu Wanita"/>
    <s v="Flat Shoes"/>
    <n v="2"/>
    <n v="5"/>
    <n v="500000"/>
    <n v="200000"/>
    <n v="4"/>
    <n v="1250000"/>
    <n v="1125000"/>
    <n v="500000"/>
    <n v="450000"/>
    <s v="LEBAR10"/>
    <n v="0.1"/>
    <s v="Promo Lebaran"/>
    <s v="Tokopedia"/>
    <x v="1"/>
    <d v="2023-04-18T00:00:00"/>
    <s v="Tuesday"/>
    <s v="wwww"/>
  </r>
  <r>
    <n v="113"/>
    <s v="ORD-BB0113-14/04/23"/>
    <s v="SP001"/>
    <s v="Sepatu Pria"/>
    <x v="7"/>
    <n v="3"/>
    <n v="1"/>
    <n v="1500000"/>
    <n v="600000"/>
    <s v="PW003"/>
    <s v="Pakaian Wanita"/>
    <s v="Kaftan"/>
    <n v="1"/>
    <n v="4"/>
    <n v="250000"/>
    <n v="100000"/>
    <m/>
    <s v="-"/>
    <s v="-"/>
    <m/>
    <m/>
    <s v="0"/>
    <s v="0"/>
    <n v="4"/>
    <n v="1750000"/>
    <n v="1750000"/>
    <n v="700000"/>
    <n v="700000"/>
    <s v="-"/>
    <s v="-"/>
    <s v="-"/>
    <s v="BliBli"/>
    <x v="0"/>
    <d v="2023-04-14T00:00:00"/>
    <s v="Friday"/>
    <s v="wwww"/>
  </r>
  <r>
    <n v="114"/>
    <s v="ORD-TK0114-04/04/23"/>
    <s v="PU001"/>
    <s v="Pakaian Unisex"/>
    <x v="6"/>
    <n v="2"/>
    <n v="3"/>
    <n v="700000"/>
    <n v="260000"/>
    <m/>
    <s v="-"/>
    <s v="-"/>
    <m/>
    <m/>
    <s v="0"/>
    <s v="0"/>
    <m/>
    <s v="-"/>
    <s v="-"/>
    <m/>
    <m/>
    <s v="0"/>
    <s v="0"/>
    <n v="2"/>
    <n v="700000"/>
    <n v="630000"/>
    <n v="260000"/>
    <n v="234000"/>
    <s v="DISCAPRIL"/>
    <n v="0.1"/>
    <s v="Promo 4.4"/>
    <s v="Tokopedia"/>
    <x v="1"/>
    <d v="2023-04-04T00:00:00"/>
    <s v="Tuesday"/>
    <s v="wwww"/>
  </r>
  <r>
    <n v="115"/>
    <s v="ORD-TK0115-01/04/23"/>
    <s v="PP002"/>
    <s v="Pakaian Pria"/>
    <x v="4"/>
    <n v="2"/>
    <n v="3"/>
    <n v="360000"/>
    <n v="140000"/>
    <s v="PW003"/>
    <s v="Pakaian Wanita"/>
    <s v="Kaftan"/>
    <n v="1"/>
    <n v="4"/>
    <n v="250000"/>
    <n v="100000"/>
    <m/>
    <s v="-"/>
    <s v="-"/>
    <m/>
    <m/>
    <s v="0"/>
    <s v="0"/>
    <n v="3"/>
    <n v="610000"/>
    <n v="549000"/>
    <n v="240000"/>
    <n v="216000"/>
    <s v="DISCAPRIL"/>
    <n v="0.1"/>
    <s v="Promo 4.4"/>
    <s v="Tokopedia"/>
    <x v="0"/>
    <d v="2023-04-01T00:00:00"/>
    <s v="Saturday"/>
    <s v="wwww"/>
  </r>
  <r>
    <n v="116"/>
    <s v="ORD-BB0116-01/04/23"/>
    <s v="PW003"/>
    <s v="Pakaian Wanita"/>
    <x v="2"/>
    <n v="1"/>
    <n v="1"/>
    <n v="250000"/>
    <n v="100000"/>
    <m/>
    <s v="-"/>
    <s v="-"/>
    <m/>
    <m/>
    <s v="0"/>
    <s v="0"/>
    <m/>
    <s v="-"/>
    <s v="-"/>
    <m/>
    <m/>
    <s v="0"/>
    <s v="0"/>
    <n v="1"/>
    <n v="250000"/>
    <n v="212500"/>
    <n v="100000"/>
    <n v="85000"/>
    <s v="BELI44"/>
    <n v="0.15"/>
    <s v="Promo 4.4"/>
    <s v="BliBli"/>
    <x v="2"/>
    <d v="2023-04-01T00:00:00"/>
    <s v="Saturday"/>
    <s v="wwww"/>
  </r>
  <r>
    <n v="117"/>
    <s v="ORD-TK0117-02/04/23"/>
    <s v="SW001"/>
    <s v="Sepatu Wanita"/>
    <x v="9"/>
    <n v="4"/>
    <n v="4"/>
    <n v="1000000"/>
    <n v="400000"/>
    <m/>
    <s v="-"/>
    <s v="-"/>
    <m/>
    <m/>
    <s v="0"/>
    <s v="0"/>
    <m/>
    <s v="-"/>
    <s v="-"/>
    <m/>
    <m/>
    <s v="0"/>
    <s v="0"/>
    <n v="4"/>
    <n v="1000000"/>
    <n v="900000"/>
    <n v="400000"/>
    <n v="360000"/>
    <s v="DISCAPRIL"/>
    <n v="0.1"/>
    <s v="Promo 4.4"/>
    <s v="Tokopedia"/>
    <x v="4"/>
    <d v="2023-04-02T00:00:00"/>
    <s v="Sunday"/>
    <s v="wwww"/>
  </r>
  <r>
    <n v="118"/>
    <s v="ORD-TK0118-23/04/23"/>
    <s v="SW001"/>
    <s v="Sepatu Wanita"/>
    <x v="9"/>
    <n v="1"/>
    <n v="5"/>
    <n v="250000"/>
    <n v="100000"/>
    <s v="PW003"/>
    <s v="Pakaian Wanita"/>
    <s v="Kaftan"/>
    <n v="1"/>
    <n v="2"/>
    <n v="250000"/>
    <n v="100000"/>
    <m/>
    <s v="-"/>
    <s v="-"/>
    <m/>
    <m/>
    <s v="0"/>
    <s v="0"/>
    <n v="2"/>
    <n v="500000"/>
    <n v="450000"/>
    <n v="200000"/>
    <n v="180000"/>
    <s v="LEBAR10"/>
    <n v="0.1"/>
    <s v="Promo Lebaran"/>
    <s v="Tokopedia"/>
    <x v="5"/>
    <d v="2023-04-23T00:00:00"/>
    <s v="Sunday"/>
    <s v="wwww"/>
  </r>
  <r>
    <n v="119"/>
    <s v="ORD-SP0119-02/04/23"/>
    <s v="PW001"/>
    <s v="Pakaian Wanita"/>
    <x v="0"/>
    <n v="5"/>
    <n v="4"/>
    <n v="1500000"/>
    <n v="500000"/>
    <m/>
    <s v="-"/>
    <s v="-"/>
    <m/>
    <m/>
    <s v="0"/>
    <s v="0"/>
    <m/>
    <s v="-"/>
    <s v="-"/>
    <m/>
    <m/>
    <s v="0"/>
    <s v="0"/>
    <n v="5"/>
    <n v="1500000"/>
    <n v="1275000"/>
    <n v="500000"/>
    <n v="425000"/>
    <s v="DISC15"/>
    <n v="0.15"/>
    <s v="Promo 4.4"/>
    <s v="Shopee"/>
    <x v="1"/>
    <d v="2023-04-02T00:00:00"/>
    <s v="Sunday"/>
    <s v="wwww"/>
  </r>
  <r>
    <n v="120"/>
    <s v="ORD-BL0120-21/04/23"/>
    <s v="PU001"/>
    <s v="Pakaian Unisex"/>
    <x v="6"/>
    <n v="2"/>
    <n v="1"/>
    <n v="700000"/>
    <n v="260000"/>
    <s v="PW001"/>
    <s v="Pakaian Wanita"/>
    <s v="Dress"/>
    <n v="2"/>
    <n v="5"/>
    <n v="600000"/>
    <n v="200000"/>
    <s v="SP002"/>
    <s v="Sepatu Pria"/>
    <s v="Sandal Slip On"/>
    <n v="3"/>
    <n v="3"/>
    <n v="450000"/>
    <n v="180000"/>
    <n v="7"/>
    <n v="1750000"/>
    <n v="1487500"/>
    <n v="640000"/>
    <n v="544000"/>
    <s v="BUKALEBAR"/>
    <n v="0.15"/>
    <s v="Promo Lebaran"/>
    <s v="Bukalapak"/>
    <x v="1"/>
    <d v="2023-04-21T00:00:00"/>
    <s v="Friday"/>
    <s v="wwww"/>
  </r>
  <r>
    <n v="121"/>
    <s v="ORD-TK0121-16/04/23"/>
    <s v="SP001"/>
    <s v="Sepatu Pria"/>
    <x v="7"/>
    <n v="2"/>
    <n v="3"/>
    <n v="1000000"/>
    <n v="400000"/>
    <s v="SW001"/>
    <s v="Sepatu Wanita"/>
    <s v="Flat Shoes"/>
    <n v="1"/>
    <n v="2"/>
    <n v="250000"/>
    <n v="100000"/>
    <m/>
    <s v="-"/>
    <s v="-"/>
    <m/>
    <m/>
    <s v="0"/>
    <s v="0"/>
    <n v="3"/>
    <n v="1250000"/>
    <n v="1125000"/>
    <n v="500000"/>
    <n v="450000"/>
    <s v="LEBAR10"/>
    <n v="0.1"/>
    <s v="Promo Lebaran"/>
    <s v="Tokopedia"/>
    <x v="4"/>
    <d v="2023-04-16T00:00:00"/>
    <s v="Sunday"/>
    <s v="wwww"/>
  </r>
  <r>
    <n v="122"/>
    <s v="ORD-TK0122-28/04/23"/>
    <s v="PW001"/>
    <s v="Pakaian Wanita"/>
    <x v="0"/>
    <n v="2"/>
    <n v="1"/>
    <n v="600000"/>
    <n v="200000"/>
    <m/>
    <s v="-"/>
    <s v="-"/>
    <m/>
    <m/>
    <s v="0"/>
    <s v="0"/>
    <m/>
    <s v="-"/>
    <s v="-"/>
    <m/>
    <m/>
    <s v="0"/>
    <s v="0"/>
    <n v="2"/>
    <n v="600000"/>
    <n v="540000"/>
    <n v="200000"/>
    <n v="180000"/>
    <s v="LEBAR10"/>
    <n v="0.1"/>
    <s v="Promo Lebaran"/>
    <s v="Tokopedia"/>
    <x v="4"/>
    <d v="2023-04-28T00:00:00"/>
    <s v="Friday"/>
    <s v="wwww"/>
  </r>
  <r>
    <n v="123"/>
    <s v="ORD-SP0123-04/04/23"/>
    <s v="PP003"/>
    <s v="Pakaian Pria"/>
    <x v="5"/>
    <n v="3"/>
    <n v="5"/>
    <n v="1200000"/>
    <n v="450000"/>
    <s v="SP001"/>
    <s v="Sepatu Pria"/>
    <s v="Sneakers"/>
    <n v="1"/>
    <n v="3"/>
    <n v="500000"/>
    <n v="200000"/>
    <m/>
    <s v="-"/>
    <s v="-"/>
    <m/>
    <m/>
    <s v="0"/>
    <s v="0"/>
    <n v="4"/>
    <n v="1700000"/>
    <n v="1530000"/>
    <n v="650000"/>
    <n v="585000"/>
    <s v="DISC10"/>
    <n v="0.1"/>
    <s v="Promo 4.4"/>
    <s v="Shopee"/>
    <x v="1"/>
    <d v="2023-04-04T00:00:00"/>
    <s v="Tuesday"/>
    <s v="wwww"/>
  </r>
  <r>
    <n v="124"/>
    <s v="ORD-SP0124-04/04/23"/>
    <s v="PW003"/>
    <s v="Pakaian Wanita"/>
    <x v="2"/>
    <n v="2"/>
    <n v="5"/>
    <n v="500000"/>
    <n v="200000"/>
    <s v="PP003"/>
    <s v="Pakaian Pria"/>
    <s v="Jaket Jeans"/>
    <n v="2"/>
    <n v="2"/>
    <n v="800000"/>
    <n v="300000"/>
    <m/>
    <s v="-"/>
    <s v="-"/>
    <m/>
    <m/>
    <s v="0"/>
    <s v="0"/>
    <n v="4"/>
    <n v="1300000"/>
    <n v="1105000"/>
    <n v="500000"/>
    <n v="425000"/>
    <s v="DISC15"/>
    <n v="0.15"/>
    <s v="Promo 4.4"/>
    <s v="Shopee"/>
    <x v="1"/>
    <d v="2023-04-04T00:00:00"/>
    <s v="Tuesday"/>
    <s v="wwww"/>
  </r>
  <r>
    <n v="125"/>
    <s v="ORD-SP0125-06/04/23"/>
    <s v="SP001"/>
    <s v="Sepatu Pria"/>
    <x v="7"/>
    <n v="1"/>
    <n v="5"/>
    <n v="500000"/>
    <n v="200000"/>
    <s v="SW001"/>
    <s v="Sepatu Wanita"/>
    <s v="Flat Shoes"/>
    <n v="1"/>
    <n v="4"/>
    <n v="250000"/>
    <n v="100000"/>
    <m/>
    <s v="-"/>
    <s v="-"/>
    <m/>
    <m/>
    <s v="0"/>
    <s v="0"/>
    <n v="2"/>
    <n v="750000"/>
    <n v="675000"/>
    <n v="300000"/>
    <n v="270000"/>
    <s v="DISC10"/>
    <n v="0.1"/>
    <s v="Promo 4.4"/>
    <s v="Shopee"/>
    <x v="4"/>
    <d v="2023-04-06T00:00:00"/>
    <s v="Thursday"/>
    <s v="wwww"/>
  </r>
  <r>
    <n v="126"/>
    <s v="ORD-TK0126-17/04/23"/>
    <s v="PW003"/>
    <s v="Pakaian Wanita"/>
    <x v="2"/>
    <n v="4"/>
    <n v="5"/>
    <n v="1000000"/>
    <n v="400000"/>
    <s v="SW001"/>
    <s v="Sepatu Wanita"/>
    <s v="Flat Shoes"/>
    <n v="1"/>
    <n v="2"/>
    <n v="250000"/>
    <n v="100000"/>
    <s v="PW002"/>
    <s v="Pakaian Wanita"/>
    <s v="Blouse"/>
    <n v="2"/>
    <n v="5"/>
    <n v="300000"/>
    <n v="100000"/>
    <n v="7"/>
    <n v="1550000"/>
    <n v="1395000"/>
    <n v="600000"/>
    <n v="540000"/>
    <s v="LEBAR10"/>
    <n v="0.1"/>
    <s v="Promo Lebaran"/>
    <s v="Tokopedia"/>
    <x v="3"/>
    <d v="2023-04-17T00:00:00"/>
    <s v="Monday"/>
    <s v="wwww"/>
  </r>
  <r>
    <n v="127"/>
    <s v="ORD-BB0127-02/04/23"/>
    <s v="PW002"/>
    <s v="Pakaian Wanita"/>
    <x v="1"/>
    <n v="3"/>
    <n v="2"/>
    <n v="450000"/>
    <n v="150000"/>
    <s v="SW001"/>
    <s v="Sepatu Wanita"/>
    <s v="Flat Shoes"/>
    <n v="2"/>
    <n v="4"/>
    <n v="500000"/>
    <n v="200000"/>
    <s v="PU001"/>
    <s v="Pakaian Unisex"/>
    <s v="Jaket Hoodie"/>
    <n v="1"/>
    <n v="1"/>
    <n v="350000"/>
    <n v="130000"/>
    <n v="6"/>
    <n v="1300000"/>
    <n v="1105000"/>
    <n v="480000"/>
    <n v="408000"/>
    <s v="BELI44"/>
    <n v="0.15"/>
    <s v="Promo 4.4"/>
    <s v="BliBli"/>
    <x v="1"/>
    <d v="2023-04-02T00:00:00"/>
    <s v="Sunday"/>
    <s v="wwww"/>
  </r>
  <r>
    <n v="128"/>
    <s v="ORD-BL0128-28/04/23"/>
    <s v="PU001"/>
    <s v="Pakaian Unisex"/>
    <x v="6"/>
    <n v="7"/>
    <n v="3"/>
    <n v="2450000"/>
    <n v="910000"/>
    <m/>
    <s v="-"/>
    <s v="-"/>
    <m/>
    <m/>
    <s v="0"/>
    <s v="0"/>
    <m/>
    <s v="-"/>
    <s v="-"/>
    <m/>
    <m/>
    <s v="0"/>
    <s v="0"/>
    <n v="7"/>
    <n v="2450000"/>
    <n v="2082500"/>
    <n v="910000"/>
    <n v="773500"/>
    <s v="BUKALEBAR"/>
    <n v="0.15"/>
    <s v="Promo Lebaran"/>
    <s v="Bukalapak"/>
    <x v="4"/>
    <d v="2023-04-28T00:00:00"/>
    <s v="Friday"/>
    <s v="wwww"/>
  </r>
  <r>
    <n v="129"/>
    <s v="ORD-BB0129-06/04/23"/>
    <s v="PP001"/>
    <s v="Pakaian Pria"/>
    <x v="3"/>
    <n v="3"/>
    <n v="2"/>
    <n v="600000"/>
    <n v="240000"/>
    <m/>
    <s v="-"/>
    <s v="-"/>
    <m/>
    <m/>
    <s v="0"/>
    <s v="0"/>
    <m/>
    <s v="-"/>
    <s v="-"/>
    <m/>
    <m/>
    <s v="0"/>
    <s v="0"/>
    <n v="3"/>
    <n v="600000"/>
    <n v="510000"/>
    <n v="240000"/>
    <n v="204000"/>
    <s v="BELI44"/>
    <n v="0.15"/>
    <s v="Promo 4.4"/>
    <s v="BliBli"/>
    <x v="4"/>
    <d v="2023-04-06T00:00:00"/>
    <s v="Thursday"/>
    <s v="wwww"/>
  </r>
  <r>
    <n v="130"/>
    <s v="ORD-TK0130-05/04/23"/>
    <s v="SP002"/>
    <s v="Sepatu Pria"/>
    <x v="8"/>
    <n v="2"/>
    <n v="2"/>
    <n v="300000"/>
    <n v="120000"/>
    <m/>
    <s v="-"/>
    <s v="-"/>
    <m/>
    <m/>
    <s v="0"/>
    <s v="0"/>
    <m/>
    <s v="-"/>
    <s v="-"/>
    <m/>
    <m/>
    <s v="0"/>
    <s v="0"/>
    <n v="2"/>
    <n v="300000"/>
    <n v="270000"/>
    <n v="120000"/>
    <n v="108000"/>
    <s v="DISCAPRIL"/>
    <n v="0.1"/>
    <s v="Promo 4.4"/>
    <s v="Tokopedia"/>
    <x v="4"/>
    <d v="2023-04-05T00:00:00"/>
    <s v="Wednesday"/>
    <s v="wwww"/>
  </r>
  <r>
    <n v="131"/>
    <s v="ORD-BB0131-08/04/23"/>
    <s v="PP001"/>
    <s v="Pakaian Pria"/>
    <x v="3"/>
    <n v="1"/>
    <n v="4"/>
    <n v="200000"/>
    <n v="80000"/>
    <s v="SW001"/>
    <s v="Sepatu Wanita"/>
    <s v="Flat Shoes"/>
    <n v="1"/>
    <n v="1"/>
    <n v="250000"/>
    <n v="100000"/>
    <m/>
    <s v="-"/>
    <s v="-"/>
    <m/>
    <m/>
    <s v="0"/>
    <s v="0"/>
    <n v="2"/>
    <n v="450000"/>
    <n v="450000"/>
    <n v="180000"/>
    <n v="180000"/>
    <s v="-"/>
    <s v="-"/>
    <s v="-"/>
    <s v="BliBli"/>
    <x v="0"/>
    <d v="2023-04-08T00:00:00"/>
    <s v="Saturday"/>
    <s v="wwww"/>
  </r>
  <r>
    <n v="132"/>
    <s v="ORD-SP0132-30/04/23"/>
    <s v="PP003"/>
    <s v="Pakaian Pria"/>
    <x v="5"/>
    <n v="5"/>
    <n v="5"/>
    <n v="2000000"/>
    <n v="750000"/>
    <s v="PW002"/>
    <s v="Pakaian Wanita"/>
    <s v="Blouse"/>
    <n v="1"/>
    <n v="1"/>
    <n v="150000"/>
    <n v="50000"/>
    <m/>
    <s v="-"/>
    <s v="-"/>
    <m/>
    <m/>
    <s v="0"/>
    <s v="0"/>
    <n v="6"/>
    <n v="2150000"/>
    <n v="1720000"/>
    <n v="800000"/>
    <n v="640000"/>
    <s v="DISC20"/>
    <n v="0.2"/>
    <s v="Promo Lebaran"/>
    <s v="Shopee"/>
    <x v="4"/>
    <d v="2023-04-30T00:00:00"/>
    <s v="Sunday"/>
    <s v="wwww"/>
  </r>
  <r>
    <n v="133"/>
    <s v="ORD-SP0133-05/04/23"/>
    <s v="PW002"/>
    <s v="Pakaian Wanita"/>
    <x v="1"/>
    <n v="1"/>
    <n v="4"/>
    <n v="150000"/>
    <n v="50000"/>
    <s v="PP001"/>
    <s v="Pakaian Pria"/>
    <s v="Kaos Polo"/>
    <n v="1"/>
    <n v="3"/>
    <n v="200000"/>
    <n v="80000"/>
    <s v="SW001"/>
    <s v="Sepatu Wanita"/>
    <s v="Flat Shoes"/>
    <n v="5"/>
    <n v="5"/>
    <n v="1250000"/>
    <n v="500000"/>
    <n v="7"/>
    <n v="1600000"/>
    <n v="1360000"/>
    <n v="630000"/>
    <n v="535500"/>
    <s v="DISC15"/>
    <n v="0.15"/>
    <s v="Promo 4.4"/>
    <s v="Shopee"/>
    <x v="0"/>
    <d v="2023-04-05T00:00:00"/>
    <s v="Wednesday"/>
    <s v="wwww"/>
  </r>
  <r>
    <n v="134"/>
    <s v="ORD-TK0134-06/04/23"/>
    <s v="PW002"/>
    <s v="Pakaian Wanita"/>
    <x v="1"/>
    <n v="5"/>
    <n v="5"/>
    <n v="750000"/>
    <n v="250000"/>
    <s v="PP003"/>
    <s v="Pakaian Pria"/>
    <s v="Jaket Jeans"/>
    <n v="1"/>
    <n v="1"/>
    <n v="400000"/>
    <n v="150000"/>
    <s v="PP001"/>
    <s v="Pakaian Pria"/>
    <s v="Kaos Polo"/>
    <n v="1"/>
    <n v="5"/>
    <n v="200000"/>
    <n v="80000"/>
    <n v="7"/>
    <n v="1350000"/>
    <n v="1215000"/>
    <n v="480000"/>
    <n v="432000"/>
    <s v="DISCAPRIL"/>
    <n v="0.1"/>
    <s v="Promo 4.4"/>
    <s v="Tokopedia"/>
    <x v="4"/>
    <d v="2023-04-06T00:00:00"/>
    <s v="Thursday"/>
    <s v="wwww"/>
  </r>
  <r>
    <n v="135"/>
    <s v="ORD-BL0135-09/04/23"/>
    <s v="PP002"/>
    <s v="Pakaian Pria"/>
    <x v="4"/>
    <n v="2"/>
    <n v="3"/>
    <n v="360000"/>
    <n v="140000"/>
    <s v="PU001"/>
    <s v="Pakaian Unisex"/>
    <s v="Jaket Hoodie"/>
    <n v="2"/>
    <n v="3"/>
    <n v="700000"/>
    <n v="260000"/>
    <s v="SP001"/>
    <s v="Sepatu Pria"/>
    <s v="Sneakers"/>
    <n v="1"/>
    <n v="5"/>
    <n v="500000"/>
    <n v="200000"/>
    <n v="5"/>
    <n v="1560000"/>
    <n v="1560000"/>
    <n v="600000"/>
    <n v="600000"/>
    <s v="-"/>
    <s v="-"/>
    <s v="-"/>
    <s v="Bukalapak"/>
    <x v="4"/>
    <d v="2023-04-09T00:00:00"/>
    <s v="Sunday"/>
    <s v="wwww"/>
  </r>
  <r>
    <n v="136"/>
    <s v="ORD-SP0136-24/04/23"/>
    <s v="SW001"/>
    <s v="Sepatu Wanita"/>
    <x v="9"/>
    <n v="3"/>
    <n v="4"/>
    <n v="750000"/>
    <n v="300000"/>
    <s v="PW001"/>
    <s v="Pakaian Wanita"/>
    <s v="Dress"/>
    <n v="1"/>
    <n v="4"/>
    <n v="300000"/>
    <n v="100000"/>
    <m/>
    <s v="-"/>
    <s v="-"/>
    <m/>
    <m/>
    <s v="0"/>
    <s v="0"/>
    <n v="4"/>
    <n v="1050000"/>
    <n v="840000"/>
    <n v="400000"/>
    <n v="320000"/>
    <s v="DISC20"/>
    <n v="0.2"/>
    <s v="Promo Lebaran"/>
    <s v="Shopee"/>
    <x v="4"/>
    <d v="2023-04-24T00:00:00"/>
    <s v="Monday"/>
    <s v="wwww"/>
  </r>
  <r>
    <n v="137"/>
    <s v="ORD-BL0137-25/04/23"/>
    <s v="PP003"/>
    <s v="Pakaian Pria"/>
    <x v="5"/>
    <n v="1"/>
    <n v="2"/>
    <n v="400000"/>
    <n v="150000"/>
    <m/>
    <s v="-"/>
    <s v="-"/>
    <m/>
    <m/>
    <s v="0"/>
    <s v="0"/>
    <m/>
    <s v="-"/>
    <s v="-"/>
    <m/>
    <m/>
    <s v="0"/>
    <s v="0"/>
    <n v="1"/>
    <n v="400000"/>
    <n v="340000"/>
    <n v="150000"/>
    <n v="127500"/>
    <s v="BUKALEBAR"/>
    <n v="0.15"/>
    <s v="Promo Lebaran"/>
    <s v="Bukalapak"/>
    <x v="1"/>
    <d v="2023-04-25T00:00:00"/>
    <s v="Tuesday"/>
    <s v="wwww"/>
  </r>
  <r>
    <n v="138"/>
    <s v="ORD-TK0138-23/04/23"/>
    <s v="SW001"/>
    <s v="Sepatu Wanita"/>
    <x v="9"/>
    <n v="1"/>
    <n v="2"/>
    <n v="250000"/>
    <n v="100000"/>
    <s v="PU001"/>
    <s v="Pakaian Unisex"/>
    <s v="Jaket Hoodie"/>
    <n v="1"/>
    <n v="4"/>
    <n v="350000"/>
    <n v="130000"/>
    <s v="PW001"/>
    <s v="Pakaian Wanita"/>
    <s v="Dress"/>
    <n v="3"/>
    <n v="3"/>
    <n v="900000"/>
    <n v="300000"/>
    <n v="5"/>
    <n v="1500000"/>
    <n v="1350000"/>
    <n v="530000"/>
    <n v="477000"/>
    <s v="LEBAR10"/>
    <n v="0.1"/>
    <s v="Promo Lebaran"/>
    <s v="Tokopedia"/>
    <x v="0"/>
    <d v="2023-04-23T00:00:00"/>
    <s v="Sunday"/>
    <s v="wwww"/>
  </r>
  <r>
    <n v="139"/>
    <s v="ORD-SP0139-23/04/23"/>
    <s v="PW002"/>
    <s v="Pakaian Wanita"/>
    <x v="1"/>
    <n v="4"/>
    <n v="4"/>
    <n v="600000"/>
    <n v="200000"/>
    <m/>
    <s v="-"/>
    <s v="-"/>
    <m/>
    <m/>
    <s v="0"/>
    <s v="0"/>
    <m/>
    <s v="-"/>
    <s v="-"/>
    <m/>
    <m/>
    <s v="0"/>
    <s v="0"/>
    <n v="4"/>
    <n v="600000"/>
    <n v="480000"/>
    <n v="200000"/>
    <n v="160000"/>
    <s v="DISC20"/>
    <n v="0.2"/>
    <s v="Promo Lebaran"/>
    <s v="Shopee"/>
    <x v="5"/>
    <d v="2023-04-23T00:00:00"/>
    <s v="Sunday"/>
    <s v="wwww"/>
  </r>
  <r>
    <n v="140"/>
    <s v="ORD-BL0140-21/04/23"/>
    <s v="SP002"/>
    <s v="Sepatu Pria"/>
    <x v="8"/>
    <n v="3"/>
    <n v="3"/>
    <n v="450000"/>
    <n v="180000"/>
    <s v="PW001"/>
    <s v="Pakaian Wanita"/>
    <s v="Dress"/>
    <n v="1"/>
    <n v="3"/>
    <n v="300000"/>
    <n v="100000"/>
    <s v="SP002"/>
    <s v="Sepatu Pria"/>
    <s v="Sandal Slip On"/>
    <n v="1"/>
    <n v="4"/>
    <n v="150000"/>
    <n v="60000"/>
    <n v="5"/>
    <n v="900000"/>
    <n v="765000"/>
    <n v="340000"/>
    <n v="289000"/>
    <s v="BUKALEBAR"/>
    <n v="0.15"/>
    <s v="Promo Lebaran"/>
    <s v="Bukalapak"/>
    <x v="0"/>
    <d v="2023-04-21T00:00:00"/>
    <s v="Friday"/>
    <s v="wwww"/>
  </r>
  <r>
    <n v="141"/>
    <s v="ORD-BB0141-06/04/23"/>
    <s v="PU001"/>
    <s v="Pakaian Unisex"/>
    <x v="6"/>
    <n v="2"/>
    <n v="1"/>
    <n v="700000"/>
    <n v="260000"/>
    <s v="SW001"/>
    <s v="Sepatu Wanita"/>
    <s v="Flat Shoes"/>
    <n v="1"/>
    <n v="2"/>
    <n v="250000"/>
    <n v="100000"/>
    <m/>
    <s v="-"/>
    <s v="-"/>
    <m/>
    <m/>
    <s v="0"/>
    <s v="0"/>
    <n v="3"/>
    <n v="950000"/>
    <n v="807500"/>
    <n v="360000"/>
    <n v="306000"/>
    <s v="BELI44"/>
    <n v="0.15"/>
    <s v="Promo 4.4"/>
    <s v="BliBli"/>
    <x v="5"/>
    <d v="2023-04-06T00:00:00"/>
    <s v="Thursday"/>
    <s v="wwww"/>
  </r>
  <r>
    <n v="142"/>
    <s v="ORD-BL0142-25/04/23"/>
    <s v="SW001"/>
    <s v="Sepatu Wanita"/>
    <x v="9"/>
    <n v="2"/>
    <n v="1"/>
    <n v="500000"/>
    <n v="200000"/>
    <s v="PU001"/>
    <s v="Pakaian Unisex"/>
    <s v="Jaket Hoodie"/>
    <n v="1"/>
    <n v="3"/>
    <n v="350000"/>
    <n v="130000"/>
    <s v="SP001"/>
    <s v="Sepatu Pria"/>
    <s v="Sneakers"/>
    <n v="4"/>
    <n v="3"/>
    <n v="2000000"/>
    <n v="800000"/>
    <n v="7"/>
    <n v="2850000"/>
    <n v="2422500"/>
    <n v="1130000"/>
    <n v="960500"/>
    <s v="BUKALEBAR"/>
    <n v="0.15"/>
    <s v="Promo Lebaran"/>
    <s v="Bukalapak"/>
    <x v="4"/>
    <d v="2023-04-25T00:00:00"/>
    <s v="Tuesday"/>
    <s v="wwww"/>
  </r>
  <r>
    <n v="143"/>
    <s v="ORD-SP0143-18/04/23"/>
    <s v="SP002"/>
    <s v="Sepatu Pria"/>
    <x v="8"/>
    <n v="2"/>
    <n v="5"/>
    <n v="300000"/>
    <n v="120000"/>
    <s v="PP002"/>
    <s v="Pakaian Pria"/>
    <s v="Celana Pendek"/>
    <n v="3"/>
    <n v="5"/>
    <n v="540000"/>
    <n v="210000"/>
    <m/>
    <s v="-"/>
    <s v="-"/>
    <m/>
    <m/>
    <s v="0"/>
    <s v="0"/>
    <n v="5"/>
    <n v="840000"/>
    <n v="672000"/>
    <n v="330000"/>
    <n v="264000"/>
    <s v="DISC20"/>
    <n v="0.2"/>
    <s v="Promo Lebaran"/>
    <s v="Shopee"/>
    <x v="4"/>
    <d v="2023-04-18T00:00:00"/>
    <s v="Tuesday"/>
    <s v="wwww"/>
  </r>
  <r>
    <n v="144"/>
    <s v="ORD-BL0144-23/04/23"/>
    <s v="PU001"/>
    <s v="Pakaian Unisex"/>
    <x v="6"/>
    <n v="1"/>
    <n v="1"/>
    <n v="350000"/>
    <n v="130000"/>
    <m/>
    <s v="-"/>
    <s v="-"/>
    <m/>
    <m/>
    <s v="0"/>
    <s v="0"/>
    <m/>
    <s v="-"/>
    <s v="-"/>
    <m/>
    <m/>
    <s v="0"/>
    <s v="0"/>
    <n v="1"/>
    <n v="350000"/>
    <n v="297500"/>
    <n v="130000"/>
    <n v="110500"/>
    <s v="BUKALEBAR"/>
    <n v="0.15"/>
    <s v="Promo Lebaran"/>
    <s v="Bukalapak"/>
    <x v="1"/>
    <d v="2023-04-23T00:00:00"/>
    <s v="Sunday"/>
    <s v="wwww"/>
  </r>
  <r>
    <n v="145"/>
    <s v="ORD-SP0145-04/04/23"/>
    <s v="SP002"/>
    <s v="Sepatu Pria"/>
    <x v="8"/>
    <n v="3"/>
    <n v="4"/>
    <n v="450000"/>
    <n v="180000"/>
    <s v="SP002"/>
    <s v="Sepatu Pria"/>
    <s v="Sandal Slip On"/>
    <n v="3"/>
    <n v="2"/>
    <n v="450000"/>
    <n v="180000"/>
    <s v="PW002"/>
    <s v="Pakaian Wanita"/>
    <s v="Blouse"/>
    <n v="1"/>
    <n v="5"/>
    <n v="150000"/>
    <n v="50000"/>
    <n v="7"/>
    <n v="1050000"/>
    <n v="945000"/>
    <n v="410000"/>
    <n v="369000"/>
    <s v="DISC10"/>
    <n v="0.1"/>
    <s v="Promo 4.4"/>
    <s v="Shopee"/>
    <x v="4"/>
    <d v="2023-04-04T00:00:00"/>
    <s v="Tuesday"/>
    <s v="wwww"/>
  </r>
  <r>
    <n v="146"/>
    <s v="ORD-TK0146-26/04/23"/>
    <s v="PW002"/>
    <s v="Pakaian Wanita"/>
    <x v="1"/>
    <n v="6"/>
    <n v="1"/>
    <n v="900000"/>
    <n v="300000"/>
    <s v="PW003"/>
    <s v="Pakaian Wanita"/>
    <s v="Kaftan"/>
    <n v="1"/>
    <n v="3"/>
    <n v="250000"/>
    <n v="100000"/>
    <m/>
    <s v="-"/>
    <s v="-"/>
    <m/>
    <m/>
    <s v="0"/>
    <s v="0"/>
    <n v="7"/>
    <n v="1150000"/>
    <n v="1035000"/>
    <n v="400000"/>
    <n v="360000"/>
    <s v="LEBAR10"/>
    <n v="0.1"/>
    <s v="Promo Lebaran"/>
    <s v="Tokopedia"/>
    <x v="4"/>
    <d v="2023-04-26T00:00:00"/>
    <s v="Wednesday"/>
    <s v="wwww"/>
  </r>
  <r>
    <n v="147"/>
    <s v="ORD-SP0147-06/04/23"/>
    <s v="PW003"/>
    <s v="Pakaian Wanita"/>
    <x v="2"/>
    <n v="2"/>
    <n v="5"/>
    <n v="500000"/>
    <n v="200000"/>
    <m/>
    <s v="-"/>
    <s v="-"/>
    <m/>
    <m/>
    <s v="0"/>
    <s v="0"/>
    <m/>
    <s v="-"/>
    <s v="-"/>
    <m/>
    <m/>
    <s v="0"/>
    <s v="0"/>
    <n v="2"/>
    <n v="500000"/>
    <n v="450000"/>
    <n v="200000"/>
    <n v="180000"/>
    <s v="DISC10"/>
    <n v="0.1"/>
    <s v="Promo 4.4"/>
    <s v="Shopee"/>
    <x v="4"/>
    <d v="2023-04-06T00:00:00"/>
    <s v="Thursday"/>
    <s v="wwww"/>
  </r>
  <r>
    <n v="148"/>
    <s v="ORD-SP0148-06/04/23"/>
    <s v="SW001"/>
    <s v="Sepatu Wanita"/>
    <x v="9"/>
    <n v="2"/>
    <n v="5"/>
    <n v="500000"/>
    <n v="200000"/>
    <m/>
    <s v="-"/>
    <s v="-"/>
    <m/>
    <m/>
    <s v="0"/>
    <s v="0"/>
    <m/>
    <s v="-"/>
    <s v="-"/>
    <m/>
    <m/>
    <s v="0"/>
    <s v="0"/>
    <n v="2"/>
    <n v="500000"/>
    <n v="450000"/>
    <n v="200000"/>
    <n v="180000"/>
    <s v="DISC10"/>
    <n v="0.1"/>
    <s v="Promo 4.4"/>
    <s v="Shopee"/>
    <x v="5"/>
    <d v="2023-04-06T00:00:00"/>
    <s v="Thursday"/>
    <s v="wwww"/>
  </r>
  <r>
    <n v="149"/>
    <s v="ORD-BL0149-18/04/23"/>
    <s v="PP001"/>
    <s v="Pakaian Pria"/>
    <x v="3"/>
    <n v="2"/>
    <n v="4"/>
    <n v="400000"/>
    <n v="160000"/>
    <s v="SP001"/>
    <s v="Sepatu Pria"/>
    <s v="Sneakers"/>
    <n v="1"/>
    <n v="2"/>
    <n v="500000"/>
    <n v="200000"/>
    <s v="PW002"/>
    <s v="Pakaian Wanita"/>
    <s v="Blouse"/>
    <n v="1"/>
    <n v="5"/>
    <n v="150000"/>
    <n v="50000"/>
    <n v="4"/>
    <n v="1050000"/>
    <n v="892500"/>
    <n v="410000"/>
    <n v="348500"/>
    <s v="BUKALEBAR"/>
    <n v="0.15"/>
    <s v="Promo Lebaran"/>
    <s v="Bukalapak"/>
    <x v="1"/>
    <d v="2023-04-18T00:00:00"/>
    <s v="Tuesday"/>
    <s v="wwww"/>
  </r>
  <r>
    <n v="150"/>
    <s v="ORD-SP0150-05/04/23"/>
    <s v="PW001"/>
    <s v="Pakaian Wanita"/>
    <x v="0"/>
    <n v="1"/>
    <n v="4"/>
    <n v="300000"/>
    <n v="100000"/>
    <s v="SP002"/>
    <s v="Sepatu Pria"/>
    <s v="Sandal Slip On"/>
    <n v="2"/>
    <n v="2"/>
    <n v="300000"/>
    <n v="120000"/>
    <s v="PW002"/>
    <s v="Pakaian Wanita"/>
    <s v="Blouse"/>
    <n v="3"/>
    <n v="4"/>
    <n v="450000"/>
    <n v="150000"/>
    <n v="6"/>
    <n v="1050000"/>
    <n v="892500"/>
    <n v="370000"/>
    <n v="314500"/>
    <s v="DISC15"/>
    <n v="0.15"/>
    <s v="Promo 4.4"/>
    <s v="Shopee"/>
    <x v="5"/>
    <d v="2023-04-05T00:00:00"/>
    <s v="Wednesday"/>
    <s v="wwww"/>
  </r>
  <r>
    <n v="151"/>
    <s v="ORD-BL0151-27/04/23"/>
    <s v="SW001"/>
    <s v="Sepatu Wanita"/>
    <x v="9"/>
    <n v="4"/>
    <n v="2"/>
    <n v="1000000"/>
    <n v="400000"/>
    <s v="PP001"/>
    <s v="Pakaian Pria"/>
    <s v="Kaos Polo"/>
    <n v="1"/>
    <n v="5"/>
    <n v="200000"/>
    <n v="80000"/>
    <m/>
    <s v="-"/>
    <s v="-"/>
    <m/>
    <m/>
    <s v="0"/>
    <s v="0"/>
    <n v="5"/>
    <n v="1200000"/>
    <n v="1020000"/>
    <n v="480000"/>
    <n v="408000"/>
    <s v="BUKALEBAR"/>
    <n v="0.15"/>
    <s v="Promo Lebaran"/>
    <s v="Bukalapak"/>
    <x v="5"/>
    <d v="2023-04-27T00:00:00"/>
    <s v="Thursday"/>
    <s v="wwww"/>
  </r>
  <r>
    <n v="152"/>
    <s v="ORD-BB0152-02/04/23"/>
    <s v="PW003"/>
    <s v="Pakaian Wanita"/>
    <x v="2"/>
    <n v="4"/>
    <n v="3"/>
    <n v="1000000"/>
    <n v="400000"/>
    <m/>
    <s v="-"/>
    <s v="-"/>
    <m/>
    <m/>
    <s v="0"/>
    <s v="0"/>
    <m/>
    <s v="-"/>
    <s v="-"/>
    <m/>
    <m/>
    <s v="0"/>
    <s v="0"/>
    <n v="4"/>
    <n v="1000000"/>
    <n v="850000"/>
    <n v="400000"/>
    <n v="340000"/>
    <s v="BELI44"/>
    <n v="0.15"/>
    <s v="Promo 4.4"/>
    <s v="BliBli"/>
    <x v="4"/>
    <d v="2023-04-02T00:00:00"/>
    <s v="Sunday"/>
    <s v="wwww"/>
  </r>
  <r>
    <n v="153"/>
    <s v="ORD-SP0153-04/04/23"/>
    <s v="SW001"/>
    <s v="Sepatu Wanita"/>
    <x v="9"/>
    <n v="2"/>
    <n v="1"/>
    <n v="500000"/>
    <n v="200000"/>
    <s v="PP001"/>
    <s v="Pakaian Pria"/>
    <s v="Kaos Polo"/>
    <n v="1"/>
    <n v="5"/>
    <n v="200000"/>
    <n v="80000"/>
    <m/>
    <s v="-"/>
    <s v="-"/>
    <m/>
    <m/>
    <s v="0"/>
    <s v="0"/>
    <n v="3"/>
    <n v="700000"/>
    <n v="630000"/>
    <n v="280000"/>
    <n v="252000"/>
    <s v="DISC10"/>
    <n v="0.1"/>
    <s v="Promo 4.4"/>
    <s v="Shopee"/>
    <x v="5"/>
    <d v="2023-04-04T00:00:00"/>
    <s v="Tuesday"/>
    <s v="wwww"/>
  </r>
  <r>
    <n v="154"/>
    <s v="ORD-SP0154-09/04/23"/>
    <s v="PP001"/>
    <s v="Pakaian Pria"/>
    <x v="3"/>
    <n v="7"/>
    <n v="1"/>
    <n v="1400000"/>
    <n v="560000"/>
    <m/>
    <s v="-"/>
    <s v="-"/>
    <m/>
    <m/>
    <s v="0"/>
    <s v="0"/>
    <m/>
    <s v="-"/>
    <s v="-"/>
    <m/>
    <m/>
    <s v="0"/>
    <s v="0"/>
    <n v="7"/>
    <n v="1400000"/>
    <n v="1400000"/>
    <n v="560000"/>
    <n v="560000"/>
    <s v="-"/>
    <s v="-"/>
    <s v="-"/>
    <s v="Shopee"/>
    <x v="2"/>
    <d v="2023-04-09T00:00:00"/>
    <s v="Sunday"/>
    <s v="wwww"/>
  </r>
  <r>
    <n v="155"/>
    <s v="ORD-BB0155-03/04/23"/>
    <s v="PP001"/>
    <s v="Pakaian Pria"/>
    <x v="3"/>
    <n v="4"/>
    <n v="5"/>
    <n v="800000"/>
    <n v="320000"/>
    <s v="SP002"/>
    <s v="Sepatu Pria"/>
    <s v="Sandal Slip On"/>
    <n v="1"/>
    <n v="3"/>
    <n v="150000"/>
    <n v="60000"/>
    <s v="SW001"/>
    <s v="Sepatu Wanita"/>
    <s v="Flat Shoes"/>
    <n v="1"/>
    <n v="2"/>
    <n v="250000"/>
    <n v="100000"/>
    <n v="6"/>
    <n v="1200000"/>
    <n v="1020000"/>
    <n v="480000"/>
    <n v="408000"/>
    <s v="BELI44"/>
    <n v="0.15"/>
    <s v="Promo 4.4"/>
    <s v="BliBli"/>
    <x v="1"/>
    <d v="2023-04-03T00:00:00"/>
    <s v="Monday"/>
    <s v="wwww"/>
  </r>
  <r>
    <n v="156"/>
    <s v="ORD-SP0156-01/04/23"/>
    <s v="PP001"/>
    <s v="Pakaian Pria"/>
    <x v="3"/>
    <n v="1"/>
    <n v="2"/>
    <n v="200000"/>
    <n v="80000"/>
    <s v="PP003"/>
    <s v="Pakaian Pria"/>
    <s v="Jaket Jeans"/>
    <n v="2"/>
    <n v="5"/>
    <n v="800000"/>
    <n v="300000"/>
    <s v="PW001"/>
    <s v="Pakaian Wanita"/>
    <s v="Dress"/>
    <n v="1"/>
    <n v="2"/>
    <n v="300000"/>
    <n v="100000"/>
    <n v="4"/>
    <n v="1300000"/>
    <n v="1105000"/>
    <n v="480000"/>
    <n v="408000"/>
    <s v="DISC15"/>
    <n v="0.15"/>
    <s v="Promo 4.4"/>
    <s v="Shopee"/>
    <x v="1"/>
    <d v="2023-04-01T00:00:00"/>
    <s v="Saturday"/>
    <s v="wwww"/>
  </r>
  <r>
    <n v="157"/>
    <s v="ORD-SP0157-02/04/23"/>
    <s v="SW001"/>
    <s v="Sepatu Wanita"/>
    <x v="9"/>
    <n v="4"/>
    <n v="2"/>
    <n v="1000000"/>
    <n v="400000"/>
    <m/>
    <s v="-"/>
    <s v="-"/>
    <m/>
    <m/>
    <s v="0"/>
    <s v="0"/>
    <m/>
    <s v="-"/>
    <s v="-"/>
    <m/>
    <m/>
    <s v="0"/>
    <s v="0"/>
    <n v="4"/>
    <n v="1000000"/>
    <n v="850000"/>
    <n v="400000"/>
    <n v="340000"/>
    <s v="DISC15"/>
    <n v="0.15"/>
    <s v="Promo 4.4"/>
    <s v="Shopee"/>
    <x v="1"/>
    <d v="2023-04-02T00:00:00"/>
    <s v="Sunday"/>
    <s v="wwww"/>
  </r>
  <r>
    <n v="158"/>
    <s v="ORD-SP0158-06/04/23"/>
    <s v="PU001"/>
    <s v="Pakaian Unisex"/>
    <x v="6"/>
    <n v="4"/>
    <n v="3"/>
    <n v="1400000"/>
    <n v="520000"/>
    <s v="PP003"/>
    <s v="Pakaian Pria"/>
    <s v="Jaket Jeans"/>
    <n v="2"/>
    <n v="5"/>
    <n v="800000"/>
    <n v="300000"/>
    <m/>
    <s v="-"/>
    <s v="-"/>
    <m/>
    <m/>
    <s v="0"/>
    <s v="0"/>
    <n v="6"/>
    <n v="2200000"/>
    <n v="1870000"/>
    <n v="820000"/>
    <n v="697000"/>
    <s v="DISC15"/>
    <n v="0.15"/>
    <s v="Promo 4.4"/>
    <s v="Shopee"/>
    <x v="1"/>
    <d v="2023-04-06T00:00:00"/>
    <s v="Thursday"/>
    <s v="wwww"/>
  </r>
  <r>
    <n v="159"/>
    <s v="ORD-SP0159-08/04/23"/>
    <s v="PW003"/>
    <s v="Pakaian Wanita"/>
    <x v="2"/>
    <n v="1"/>
    <n v="1"/>
    <n v="250000"/>
    <n v="100000"/>
    <m/>
    <s v="-"/>
    <s v="-"/>
    <m/>
    <m/>
    <s v="0"/>
    <s v="0"/>
    <m/>
    <s v="-"/>
    <s v="-"/>
    <m/>
    <m/>
    <s v="0"/>
    <s v="0"/>
    <n v="1"/>
    <n v="250000"/>
    <n v="250000"/>
    <n v="100000"/>
    <n v="100000"/>
    <s v="-"/>
    <s v="-"/>
    <s v="-"/>
    <s v="Shopee"/>
    <x v="4"/>
    <d v="2023-04-08T00:00:00"/>
    <s v="Saturday"/>
    <s v="wwww"/>
  </r>
  <r>
    <n v="160"/>
    <s v="ORD-SP0160-08/04/23"/>
    <s v="PW001"/>
    <s v="Pakaian Wanita"/>
    <x v="0"/>
    <n v="1"/>
    <n v="4"/>
    <n v="300000"/>
    <n v="100000"/>
    <s v="PP001"/>
    <s v="Pakaian Pria"/>
    <s v="Kaos Polo"/>
    <n v="2"/>
    <n v="3"/>
    <n v="400000"/>
    <n v="160000"/>
    <s v="SP002"/>
    <s v="Sepatu Pria"/>
    <s v="Sandal Slip On"/>
    <n v="2"/>
    <n v="1"/>
    <n v="300000"/>
    <n v="120000"/>
    <n v="5"/>
    <n v="1000000"/>
    <n v="1000000"/>
    <n v="380000"/>
    <n v="380000"/>
    <s v="-"/>
    <s v="-"/>
    <s v="-"/>
    <s v="Shopee"/>
    <x v="4"/>
    <d v="2023-04-08T00:00:00"/>
    <s v="Saturday"/>
    <s v="wwww"/>
  </r>
  <r>
    <n v="161"/>
    <s v="ORD-SP0161-17/04/23"/>
    <s v="PP003"/>
    <s v="Pakaian Pria"/>
    <x v="5"/>
    <n v="3"/>
    <n v="2"/>
    <n v="1200000"/>
    <n v="450000"/>
    <s v="SW001"/>
    <s v="Sepatu Wanita"/>
    <s v="Flat Shoes"/>
    <n v="1"/>
    <n v="5"/>
    <n v="250000"/>
    <n v="100000"/>
    <m/>
    <s v="-"/>
    <s v="-"/>
    <m/>
    <m/>
    <s v="0"/>
    <s v="0"/>
    <n v="4"/>
    <n v="1450000"/>
    <n v="1160000"/>
    <n v="550000"/>
    <n v="440000"/>
    <s v="DISC20"/>
    <n v="0.2"/>
    <s v="Promo Lebaran"/>
    <s v="Shopee"/>
    <x v="1"/>
    <d v="2023-04-17T00:00:00"/>
    <s v="Monday"/>
    <s v="wwww"/>
  </r>
  <r>
    <n v="162"/>
    <s v="ORD-SP0162-02/04/23"/>
    <s v="PU001"/>
    <s v="Pakaian Unisex"/>
    <x v="6"/>
    <n v="2"/>
    <n v="3"/>
    <n v="700000"/>
    <n v="260000"/>
    <s v="PU001"/>
    <s v="Pakaian Unisex"/>
    <s v="Jaket Hoodie"/>
    <n v="2"/>
    <n v="1"/>
    <n v="700000"/>
    <n v="260000"/>
    <s v="PU001"/>
    <s v="Pakaian Unisex"/>
    <s v="Jaket Hoodie"/>
    <n v="2"/>
    <n v="4"/>
    <n v="700000"/>
    <n v="260000"/>
    <n v="6"/>
    <n v="2100000"/>
    <n v="1890000"/>
    <n v="780000"/>
    <n v="702000"/>
    <s v="DISC10"/>
    <n v="0.1"/>
    <s v="Promo 4.4"/>
    <s v="Shopee"/>
    <x v="3"/>
    <d v="2023-04-02T00:00:00"/>
    <s v="Sunday"/>
    <s v="wwww"/>
  </r>
  <r>
    <n v="163"/>
    <s v="ORD-BL0163-19/04/23"/>
    <s v="PP001"/>
    <s v="Pakaian Pria"/>
    <x v="3"/>
    <n v="2"/>
    <n v="3"/>
    <n v="400000"/>
    <n v="160000"/>
    <s v="SP002"/>
    <s v="Sepatu Pria"/>
    <s v="Sandal Slip On"/>
    <n v="1"/>
    <n v="2"/>
    <n v="150000"/>
    <n v="60000"/>
    <s v="PU001"/>
    <s v="Pakaian Unisex"/>
    <s v="Jaket Hoodie"/>
    <n v="1"/>
    <n v="1"/>
    <n v="350000"/>
    <n v="130000"/>
    <n v="4"/>
    <n v="900000"/>
    <n v="765000"/>
    <n v="350000"/>
    <n v="297500"/>
    <s v="BUKALEBAR"/>
    <n v="0.15"/>
    <s v="Promo Lebaran"/>
    <s v="Bukalapak"/>
    <x v="1"/>
    <d v="2023-04-19T00:00:00"/>
    <s v="Wednesday"/>
    <s v="wwww"/>
  </r>
  <r>
    <n v="164"/>
    <s v="ORD-SP0164-01/04/23"/>
    <s v="PP003"/>
    <s v="Pakaian Pria"/>
    <x v="5"/>
    <n v="2"/>
    <n v="5"/>
    <n v="800000"/>
    <n v="300000"/>
    <m/>
    <s v="-"/>
    <s v="-"/>
    <m/>
    <m/>
    <s v="0"/>
    <s v="0"/>
    <m/>
    <s v="-"/>
    <s v="-"/>
    <m/>
    <m/>
    <s v="0"/>
    <s v="0"/>
    <n v="2"/>
    <n v="800000"/>
    <n v="720000"/>
    <n v="300000"/>
    <n v="270000"/>
    <s v="DISC10"/>
    <n v="0.1"/>
    <s v="Promo 4.4"/>
    <s v="Shopee"/>
    <x v="0"/>
    <d v="2023-04-01T00:00:00"/>
    <s v="Saturday"/>
    <s v="wwww"/>
  </r>
  <r>
    <n v="165"/>
    <s v="ORD-SP0165-02/04/23"/>
    <s v="SW001"/>
    <s v="Sepatu Wanita"/>
    <x v="9"/>
    <n v="2"/>
    <n v="4"/>
    <n v="500000"/>
    <n v="200000"/>
    <m/>
    <s v="-"/>
    <s v="-"/>
    <m/>
    <m/>
    <s v="0"/>
    <s v="0"/>
    <m/>
    <s v="-"/>
    <s v="-"/>
    <m/>
    <m/>
    <s v="0"/>
    <s v="0"/>
    <n v="2"/>
    <n v="500000"/>
    <n v="450000"/>
    <n v="200000"/>
    <n v="180000"/>
    <s v="DISC10"/>
    <n v="0.1"/>
    <s v="Promo 4.4"/>
    <s v="Shopee"/>
    <x v="4"/>
    <d v="2023-04-02T00:00:00"/>
    <s v="Sunday"/>
    <s v="wwww"/>
  </r>
  <r>
    <n v="166"/>
    <s v="ORD-TK0166-27/04/23"/>
    <s v="PP002"/>
    <s v="Pakaian Pria"/>
    <x v="4"/>
    <n v="1"/>
    <n v="4"/>
    <n v="180000"/>
    <n v="70000"/>
    <s v="PP001"/>
    <s v="Pakaian Pria"/>
    <s v="Kaos Polo"/>
    <n v="4"/>
    <n v="1"/>
    <n v="800000"/>
    <n v="320000"/>
    <m/>
    <s v="-"/>
    <s v="-"/>
    <m/>
    <m/>
    <s v="0"/>
    <s v="0"/>
    <n v="5"/>
    <n v="980000"/>
    <n v="882000"/>
    <n v="390000"/>
    <n v="351000"/>
    <s v="LEBAR10"/>
    <n v="0.1"/>
    <s v="Promo Lebaran"/>
    <s v="Tokopedia"/>
    <x v="0"/>
    <d v="2023-04-27T00:00:00"/>
    <s v="Thursday"/>
    <s v="wwww"/>
  </r>
  <r>
    <n v="167"/>
    <s v="ORD-BB0167-15/04/23"/>
    <s v="PP003"/>
    <s v="Pakaian Pria"/>
    <x v="5"/>
    <n v="5"/>
    <n v="2"/>
    <n v="2000000"/>
    <n v="750000"/>
    <s v="SP002"/>
    <s v="Sepatu Pria"/>
    <s v="Sandal Slip On"/>
    <n v="2"/>
    <n v="4"/>
    <n v="300000"/>
    <n v="120000"/>
    <m/>
    <s v="-"/>
    <s v="-"/>
    <m/>
    <m/>
    <s v="0"/>
    <s v="0"/>
    <n v="7"/>
    <n v="2300000"/>
    <n v="2300000"/>
    <n v="870000"/>
    <n v="870000"/>
    <s v="-"/>
    <s v="-"/>
    <s v="-"/>
    <s v="BliBli"/>
    <x v="4"/>
    <d v="2023-04-15T00:00:00"/>
    <s v="Saturday"/>
    <s v="wwww"/>
  </r>
  <r>
    <n v="168"/>
    <s v="ORD-TK0168-09/04/23"/>
    <s v="PW001"/>
    <s v="Pakaian Wanita"/>
    <x v="0"/>
    <n v="2"/>
    <n v="3"/>
    <n v="600000"/>
    <n v="200000"/>
    <s v="PW003"/>
    <s v="Pakaian Wanita"/>
    <s v="Kaftan"/>
    <n v="1"/>
    <n v="4"/>
    <n v="250000"/>
    <n v="100000"/>
    <m/>
    <s v="-"/>
    <s v="-"/>
    <m/>
    <m/>
    <s v="0"/>
    <s v="0"/>
    <n v="3"/>
    <n v="850000"/>
    <n v="850000"/>
    <n v="300000"/>
    <n v="300000"/>
    <s v="-"/>
    <s v="-"/>
    <s v="-"/>
    <s v="Tokopedia"/>
    <x v="2"/>
    <d v="2023-04-09T00:00:00"/>
    <s v="Sunday"/>
    <s v="wwww"/>
  </r>
  <r>
    <n v="169"/>
    <s v="ORD-TK0169-22/04/23"/>
    <s v="PW001"/>
    <s v="Pakaian Wanita"/>
    <x v="0"/>
    <n v="1"/>
    <n v="5"/>
    <n v="300000"/>
    <n v="100000"/>
    <s v="SP002"/>
    <s v="Sepatu Pria"/>
    <s v="Sandal Slip On"/>
    <n v="2"/>
    <n v="5"/>
    <n v="300000"/>
    <n v="120000"/>
    <m/>
    <s v="-"/>
    <s v="-"/>
    <m/>
    <m/>
    <s v="0"/>
    <s v="0"/>
    <n v="3"/>
    <n v="600000"/>
    <n v="540000"/>
    <n v="220000"/>
    <n v="198000"/>
    <s v="LEBAR10"/>
    <n v="0.1"/>
    <s v="Promo Lebaran"/>
    <s v="Tokopedia"/>
    <x v="4"/>
    <d v="2023-04-22T00:00:00"/>
    <s v="Saturday"/>
    <s v="wwww"/>
  </r>
  <r>
    <n v="170"/>
    <s v="ORD-SP0170-27/04/23"/>
    <s v="PP003"/>
    <s v="Pakaian Pria"/>
    <x v="5"/>
    <n v="1"/>
    <n v="3"/>
    <n v="400000"/>
    <n v="150000"/>
    <m/>
    <s v="-"/>
    <s v="-"/>
    <m/>
    <m/>
    <s v="0"/>
    <s v="0"/>
    <m/>
    <s v="-"/>
    <s v="-"/>
    <m/>
    <m/>
    <s v="0"/>
    <s v="0"/>
    <n v="1"/>
    <n v="400000"/>
    <n v="320000"/>
    <n v="150000"/>
    <n v="120000"/>
    <s v="DISC20"/>
    <n v="0.2"/>
    <s v="Promo Lebaran"/>
    <s v="Shopee"/>
    <x v="5"/>
    <d v="2023-04-27T00:00:00"/>
    <s v="Thursday"/>
    <s v="wwww"/>
  </r>
  <r>
    <n v="171"/>
    <s v="ORD-SP0171-08/04/23"/>
    <s v="PP002"/>
    <s v="Pakaian Pria"/>
    <x v="4"/>
    <n v="3"/>
    <n v="1"/>
    <n v="540000"/>
    <n v="210000"/>
    <s v="SP002"/>
    <s v="Sepatu Pria"/>
    <s v="Sandal Slip On"/>
    <n v="1"/>
    <n v="2"/>
    <n v="150000"/>
    <n v="60000"/>
    <s v="PW003"/>
    <s v="Pakaian Wanita"/>
    <s v="Kaftan"/>
    <n v="2"/>
    <n v="1"/>
    <n v="500000"/>
    <n v="200000"/>
    <n v="6"/>
    <n v="1190000"/>
    <n v="1190000"/>
    <n v="470000"/>
    <n v="470000"/>
    <s v="-"/>
    <s v="-"/>
    <s v="-"/>
    <s v="Shopee"/>
    <x v="2"/>
    <d v="2023-04-08T00:00:00"/>
    <s v="Saturday"/>
    <s v="wwww"/>
  </r>
  <r>
    <n v="172"/>
    <s v="ORD-TK0172-04/04/23"/>
    <s v="PP003"/>
    <s v="Pakaian Pria"/>
    <x v="5"/>
    <n v="3"/>
    <n v="3"/>
    <n v="1200000"/>
    <n v="450000"/>
    <s v="SP002"/>
    <s v="Sepatu Pria"/>
    <s v="Sandal Slip On"/>
    <n v="1"/>
    <n v="1"/>
    <n v="150000"/>
    <n v="60000"/>
    <m/>
    <s v="-"/>
    <s v="-"/>
    <m/>
    <m/>
    <s v="0"/>
    <s v="0"/>
    <n v="4"/>
    <n v="1350000"/>
    <n v="1215000"/>
    <n v="510000"/>
    <n v="459000"/>
    <s v="DISCAPRIL"/>
    <n v="0.1"/>
    <s v="Promo 4.4"/>
    <s v="Tokopedia"/>
    <x v="1"/>
    <d v="2023-04-04T00:00:00"/>
    <s v="Tuesday"/>
    <s v="wwww"/>
  </r>
  <r>
    <n v="173"/>
    <s v="ORD-BB0173-03/04/23"/>
    <s v="PW002"/>
    <s v="Pakaian Wanita"/>
    <x v="1"/>
    <n v="6"/>
    <n v="3"/>
    <n v="900000"/>
    <n v="300000"/>
    <s v="SW001"/>
    <s v="Sepatu Wanita"/>
    <s v="Flat Shoes"/>
    <n v="1"/>
    <n v="4"/>
    <n v="250000"/>
    <n v="100000"/>
    <m/>
    <s v="-"/>
    <s v="-"/>
    <m/>
    <m/>
    <s v="0"/>
    <s v="0"/>
    <n v="7"/>
    <n v="1150000"/>
    <n v="977500"/>
    <n v="400000"/>
    <n v="340000"/>
    <s v="BELI44"/>
    <n v="0.15"/>
    <s v="Promo 4.4"/>
    <s v="BliBli"/>
    <x v="5"/>
    <d v="2023-04-03T00:00:00"/>
    <s v="Monday"/>
    <s v="wwww"/>
  </r>
  <r>
    <n v="174"/>
    <s v="ORD-SP0174-24/04/23"/>
    <s v="PU001"/>
    <s v="Pakaian Unisex"/>
    <x v="6"/>
    <n v="1"/>
    <n v="2"/>
    <n v="350000"/>
    <n v="130000"/>
    <m/>
    <s v="-"/>
    <s v="-"/>
    <m/>
    <m/>
    <s v="0"/>
    <s v="0"/>
    <m/>
    <s v="-"/>
    <s v="-"/>
    <m/>
    <m/>
    <s v="0"/>
    <s v="0"/>
    <n v="1"/>
    <n v="350000"/>
    <n v="280000"/>
    <n v="130000"/>
    <n v="104000"/>
    <s v="DISC20"/>
    <n v="0.2"/>
    <s v="Promo Lebaran"/>
    <s v="Shopee"/>
    <x v="4"/>
    <d v="2023-04-24T00:00:00"/>
    <s v="Monday"/>
    <s v="wwww"/>
  </r>
  <r>
    <n v="175"/>
    <s v="ORD-BB0175-06/04/23"/>
    <s v="PP002"/>
    <s v="Pakaian Pria"/>
    <x v="4"/>
    <n v="2"/>
    <n v="4"/>
    <n v="360000"/>
    <n v="140000"/>
    <m/>
    <s v="-"/>
    <s v="-"/>
    <m/>
    <m/>
    <s v="0"/>
    <s v="0"/>
    <m/>
    <s v="-"/>
    <s v="-"/>
    <m/>
    <m/>
    <s v="0"/>
    <s v="0"/>
    <n v="2"/>
    <n v="360000"/>
    <n v="306000"/>
    <n v="140000"/>
    <n v="119000"/>
    <s v="BELI44"/>
    <n v="0.15"/>
    <s v="Promo 4.4"/>
    <s v="BliBli"/>
    <x v="0"/>
    <d v="2023-04-06T00:00:00"/>
    <s v="Thursday"/>
    <s v="wwww"/>
  </r>
  <r>
    <n v="176"/>
    <s v="ORD-BL0176-17/04/23"/>
    <s v="PU001"/>
    <s v="Pakaian Unisex"/>
    <x v="6"/>
    <n v="1"/>
    <n v="3"/>
    <n v="350000"/>
    <n v="130000"/>
    <s v="PW003"/>
    <s v="Pakaian Wanita"/>
    <s v="Kaftan"/>
    <n v="1"/>
    <n v="4"/>
    <n v="250000"/>
    <n v="100000"/>
    <m/>
    <s v="-"/>
    <s v="-"/>
    <m/>
    <m/>
    <s v="0"/>
    <s v="0"/>
    <n v="2"/>
    <n v="600000"/>
    <n v="510000"/>
    <n v="230000"/>
    <n v="195500"/>
    <s v="BUKALEBAR"/>
    <n v="0.15"/>
    <s v="Promo Lebaran"/>
    <s v="Bukalapak"/>
    <x v="5"/>
    <d v="2023-04-17T00:00:00"/>
    <s v="Monday"/>
    <s v="wwww"/>
  </r>
  <r>
    <n v="177"/>
    <s v="ORD-SP0177-29/04/23"/>
    <s v="PP002"/>
    <s v="Pakaian Pria"/>
    <x v="4"/>
    <n v="1"/>
    <n v="3"/>
    <n v="180000"/>
    <n v="70000"/>
    <s v="SP001"/>
    <s v="Sepatu Pria"/>
    <s v="Sneakers"/>
    <n v="1"/>
    <n v="4"/>
    <n v="500000"/>
    <n v="200000"/>
    <s v="PW003"/>
    <s v="Pakaian Wanita"/>
    <s v="Kaftan"/>
    <n v="1"/>
    <n v="2"/>
    <n v="250000"/>
    <n v="100000"/>
    <n v="3"/>
    <n v="930000"/>
    <n v="744000"/>
    <n v="370000"/>
    <n v="296000"/>
    <s v="DISC20"/>
    <n v="0.2"/>
    <s v="Promo Lebaran"/>
    <s v="Shopee"/>
    <x v="5"/>
    <d v="2023-04-29T00:00:00"/>
    <s v="Saturday"/>
    <s v="wwww"/>
  </r>
  <r>
    <n v="178"/>
    <s v="ORD-SP0178-03/04/23"/>
    <s v="PU001"/>
    <s v="Pakaian Unisex"/>
    <x v="6"/>
    <n v="1"/>
    <n v="3"/>
    <n v="350000"/>
    <n v="130000"/>
    <s v="SP002"/>
    <s v="Sepatu Pria"/>
    <s v="Sandal Slip On"/>
    <n v="1"/>
    <n v="5"/>
    <n v="150000"/>
    <n v="60000"/>
    <m/>
    <s v="-"/>
    <s v="-"/>
    <m/>
    <m/>
    <s v="0"/>
    <s v="0"/>
    <n v="2"/>
    <n v="500000"/>
    <n v="450000"/>
    <n v="190000"/>
    <n v="171000"/>
    <s v="DISC10"/>
    <n v="0.1"/>
    <s v="Promo 4.4"/>
    <s v="Shopee"/>
    <x v="1"/>
    <d v="2023-04-03T00:00:00"/>
    <s v="Monday"/>
    <s v="wwww"/>
  </r>
  <r>
    <n v="179"/>
    <s v="ORD-SP0179-16/04/23"/>
    <s v="SW001"/>
    <s v="Sepatu Wanita"/>
    <x v="9"/>
    <n v="1"/>
    <n v="5"/>
    <n v="250000"/>
    <n v="100000"/>
    <m/>
    <s v="-"/>
    <s v="-"/>
    <m/>
    <m/>
    <s v="0"/>
    <s v="0"/>
    <m/>
    <s v="-"/>
    <s v="-"/>
    <m/>
    <m/>
    <s v="0"/>
    <s v="0"/>
    <n v="1"/>
    <n v="250000"/>
    <n v="200000"/>
    <n v="100000"/>
    <n v="80000"/>
    <s v="DISC20"/>
    <n v="0.2"/>
    <s v="Promo Lebaran"/>
    <s v="Shopee"/>
    <x v="1"/>
    <d v="2023-04-16T00:00:00"/>
    <s v="Sunday"/>
    <s v="wwww"/>
  </r>
  <r>
    <n v="180"/>
    <s v="ORD-TK0180-03/04/23"/>
    <s v="PP003"/>
    <s v="Pakaian Pria"/>
    <x v="5"/>
    <n v="2"/>
    <n v="4"/>
    <n v="800000"/>
    <n v="300000"/>
    <s v="PW003"/>
    <s v="Pakaian Wanita"/>
    <s v="Kaftan"/>
    <n v="1"/>
    <n v="1"/>
    <n v="250000"/>
    <n v="100000"/>
    <s v="SP002"/>
    <s v="Sepatu Pria"/>
    <s v="Sandal Slip On"/>
    <n v="1"/>
    <n v="1"/>
    <n v="150000"/>
    <n v="60000"/>
    <n v="4"/>
    <n v="1200000"/>
    <n v="1080000"/>
    <n v="460000"/>
    <n v="414000"/>
    <s v="DISCAPRIL"/>
    <n v="0.1"/>
    <s v="Promo 4.4"/>
    <s v="Tokopedia"/>
    <x v="0"/>
    <d v="2023-04-03T00:00:00"/>
    <s v="Monday"/>
    <s v="wwww"/>
  </r>
  <r>
    <n v="181"/>
    <s v="ORD-SP0181-01/04/23"/>
    <s v="PW002"/>
    <s v="Pakaian Wanita"/>
    <x v="1"/>
    <n v="5"/>
    <n v="5"/>
    <n v="750000"/>
    <n v="250000"/>
    <s v="PP003"/>
    <s v="Pakaian Pria"/>
    <s v="Jaket Jeans"/>
    <n v="2"/>
    <n v="2"/>
    <n v="800000"/>
    <n v="300000"/>
    <m/>
    <s v="-"/>
    <s v="-"/>
    <m/>
    <m/>
    <s v="0"/>
    <s v="0"/>
    <n v="7"/>
    <n v="1550000"/>
    <n v="1395000"/>
    <n v="550000"/>
    <n v="495000"/>
    <s v="DISC10"/>
    <n v="0.1"/>
    <s v="Promo 4.4"/>
    <s v="Shopee"/>
    <x v="4"/>
    <d v="2023-04-01T00:00:00"/>
    <s v="Saturday"/>
    <s v="wwww"/>
  </r>
  <r>
    <n v="182"/>
    <s v="ORD-SP0182-04/04/23"/>
    <s v="PP001"/>
    <s v="Pakaian Pria"/>
    <x v="3"/>
    <n v="1"/>
    <n v="3"/>
    <n v="200000"/>
    <n v="80000"/>
    <s v="PP003"/>
    <s v="Pakaian Pria"/>
    <s v="Jaket Jeans"/>
    <n v="1"/>
    <n v="4"/>
    <n v="400000"/>
    <n v="150000"/>
    <m/>
    <s v="-"/>
    <s v="-"/>
    <m/>
    <m/>
    <s v="0"/>
    <s v="0"/>
    <n v="2"/>
    <n v="600000"/>
    <n v="510000"/>
    <n v="230000"/>
    <n v="195500"/>
    <s v="DISC15"/>
    <n v="0.15"/>
    <s v="Promo 4.4"/>
    <s v="Shopee"/>
    <x v="5"/>
    <d v="2023-04-04T00:00:00"/>
    <s v="Tuesday"/>
    <s v="wwww"/>
  </r>
  <r>
    <n v="183"/>
    <s v="ORD-BL0183-20/04/23"/>
    <s v="PW002"/>
    <s v="Pakaian Wanita"/>
    <x v="1"/>
    <n v="7"/>
    <n v="4"/>
    <n v="1050000"/>
    <n v="350000"/>
    <m/>
    <s v="-"/>
    <s v="-"/>
    <m/>
    <m/>
    <s v="0"/>
    <s v="0"/>
    <m/>
    <s v="-"/>
    <s v="-"/>
    <m/>
    <m/>
    <s v="0"/>
    <s v="0"/>
    <n v="7"/>
    <n v="1050000"/>
    <n v="892500"/>
    <n v="350000"/>
    <n v="297500"/>
    <s v="BUKALEBAR"/>
    <n v="0.15"/>
    <s v="Promo Lebaran"/>
    <s v="Bukalapak"/>
    <x v="2"/>
    <d v="2023-04-20T00:00:00"/>
    <s v="Thursday"/>
    <s v="wwww"/>
  </r>
  <r>
    <n v="184"/>
    <s v="ORD-TK0184-24/04/23"/>
    <s v="SP002"/>
    <s v="Sepatu Pria"/>
    <x v="8"/>
    <n v="2"/>
    <n v="2"/>
    <n v="300000"/>
    <n v="120000"/>
    <s v="PU001"/>
    <s v="Pakaian Unisex"/>
    <s v="Jaket Hoodie"/>
    <n v="2"/>
    <n v="2"/>
    <n v="700000"/>
    <n v="260000"/>
    <m/>
    <s v="-"/>
    <s v="-"/>
    <m/>
    <m/>
    <s v="0"/>
    <s v="0"/>
    <n v="4"/>
    <n v="1000000"/>
    <n v="900000"/>
    <n v="380000"/>
    <n v="342000"/>
    <s v="LEBAR10"/>
    <n v="0.1"/>
    <s v="Promo Lebaran"/>
    <s v="Tokopedia"/>
    <x v="4"/>
    <d v="2023-04-24T00:00:00"/>
    <s v="Monday"/>
    <s v="wwww"/>
  </r>
  <r>
    <n v="185"/>
    <s v="ORD-SP0185-06/04/23"/>
    <s v="PP003"/>
    <s v="Pakaian Pria"/>
    <x v="5"/>
    <n v="3"/>
    <n v="2"/>
    <n v="1200000"/>
    <n v="450000"/>
    <s v="SP001"/>
    <s v="Sepatu Pria"/>
    <s v="Sneakers"/>
    <n v="1"/>
    <n v="5"/>
    <n v="500000"/>
    <n v="200000"/>
    <m/>
    <s v="-"/>
    <s v="-"/>
    <m/>
    <m/>
    <s v="0"/>
    <s v="0"/>
    <n v="4"/>
    <n v="1700000"/>
    <n v="1445000"/>
    <n v="650000"/>
    <n v="552500"/>
    <s v="DISC15"/>
    <n v="0.15"/>
    <s v="Promo 4.4"/>
    <s v="Shopee"/>
    <x v="0"/>
    <d v="2023-04-06T00:00:00"/>
    <s v="Thursday"/>
    <s v="wwww"/>
  </r>
  <r>
    <n v="186"/>
    <s v="ORD-BB0186-05/04/23"/>
    <s v="PP001"/>
    <s v="Pakaian Pria"/>
    <x v="3"/>
    <n v="4"/>
    <n v="2"/>
    <n v="800000"/>
    <n v="320000"/>
    <s v="PW001"/>
    <s v="Pakaian Wanita"/>
    <s v="Dress"/>
    <n v="1"/>
    <n v="4"/>
    <n v="300000"/>
    <n v="100000"/>
    <m/>
    <s v="-"/>
    <s v="-"/>
    <m/>
    <m/>
    <s v="0"/>
    <s v="0"/>
    <n v="5"/>
    <n v="1100000"/>
    <n v="935000"/>
    <n v="420000"/>
    <n v="357000"/>
    <s v="BELI44"/>
    <n v="0.15"/>
    <s v="Promo 4.4"/>
    <s v="BliBli"/>
    <x v="4"/>
    <d v="2023-04-05T00:00:00"/>
    <s v="Wednesday"/>
    <s v="wwww"/>
  </r>
  <r>
    <n v="187"/>
    <s v="ORD-TK0187-29/04/23"/>
    <s v="PU001"/>
    <s v="Pakaian Unisex"/>
    <x v="6"/>
    <n v="1"/>
    <n v="2"/>
    <n v="350000"/>
    <n v="130000"/>
    <s v="PP001"/>
    <s v="Pakaian Pria"/>
    <s v="Kaos Polo"/>
    <n v="1"/>
    <n v="5"/>
    <n v="200000"/>
    <n v="80000"/>
    <m/>
    <s v="-"/>
    <s v="-"/>
    <m/>
    <m/>
    <s v="0"/>
    <s v="0"/>
    <n v="2"/>
    <n v="550000"/>
    <n v="495000"/>
    <n v="210000"/>
    <n v="189000"/>
    <s v="LEBAR10"/>
    <n v="0.1"/>
    <s v="Promo Lebaran"/>
    <s v="Tokopedia"/>
    <x v="1"/>
    <d v="2023-04-29T00:00:00"/>
    <s v="Saturday"/>
    <s v="wwww"/>
  </r>
  <r>
    <n v="188"/>
    <s v="ORD-SP0188-28/04/23"/>
    <s v="PP002"/>
    <s v="Pakaian Pria"/>
    <x v="4"/>
    <n v="5"/>
    <n v="1"/>
    <n v="900000"/>
    <n v="350000"/>
    <s v="PW001"/>
    <s v="Pakaian Wanita"/>
    <s v="Dress"/>
    <n v="1"/>
    <n v="5"/>
    <n v="300000"/>
    <n v="100000"/>
    <m/>
    <s v="-"/>
    <s v="-"/>
    <m/>
    <m/>
    <s v="0"/>
    <s v="0"/>
    <n v="6"/>
    <n v="1200000"/>
    <n v="960000"/>
    <n v="450000"/>
    <n v="360000"/>
    <s v="DISC20"/>
    <n v="0.2"/>
    <s v="Promo Lebaran"/>
    <s v="Shopee"/>
    <x v="4"/>
    <d v="2023-04-28T00:00:00"/>
    <s v="Friday"/>
    <s v="wwww"/>
  </r>
  <r>
    <n v="189"/>
    <s v="ORD-TK0189-01/04/23"/>
    <s v="PW001"/>
    <s v="Pakaian Wanita"/>
    <x v="0"/>
    <n v="1"/>
    <n v="4"/>
    <n v="300000"/>
    <n v="100000"/>
    <s v="SW001"/>
    <s v="Sepatu Wanita"/>
    <s v="Flat Shoes"/>
    <n v="4"/>
    <n v="1"/>
    <n v="1000000"/>
    <n v="400000"/>
    <s v="SP001"/>
    <s v="Sepatu Pria"/>
    <s v="Sneakers"/>
    <n v="1"/>
    <n v="5"/>
    <n v="500000"/>
    <n v="200000"/>
    <n v="6"/>
    <n v="1800000"/>
    <n v="1620000"/>
    <n v="700000"/>
    <n v="630000"/>
    <s v="DISCAPRIL"/>
    <n v="0.1"/>
    <s v="Promo 4.4"/>
    <s v="Tokopedia"/>
    <x v="4"/>
    <d v="2023-04-01T00:00:00"/>
    <s v="Saturday"/>
    <s v="wwww"/>
  </r>
  <r>
    <n v="190"/>
    <s v="ORD-TK0190-05/04/23"/>
    <s v="SP001"/>
    <s v="Sepatu Pria"/>
    <x v="7"/>
    <n v="2"/>
    <n v="3"/>
    <n v="1000000"/>
    <n v="400000"/>
    <s v="SW001"/>
    <s v="Sepatu Wanita"/>
    <s v="Flat Shoes"/>
    <n v="1"/>
    <n v="3"/>
    <n v="250000"/>
    <n v="100000"/>
    <m/>
    <s v="-"/>
    <s v="-"/>
    <m/>
    <m/>
    <s v="0"/>
    <s v="0"/>
    <n v="3"/>
    <n v="1250000"/>
    <n v="1125000"/>
    <n v="500000"/>
    <n v="450000"/>
    <s v="DISCAPRIL"/>
    <n v="0.1"/>
    <s v="Promo 4.4"/>
    <s v="Tokopedia"/>
    <x v="4"/>
    <d v="2023-04-05T00:00:00"/>
    <s v="Wednesday"/>
    <s v="wwww"/>
  </r>
  <r>
    <n v="191"/>
    <s v="ORD-TK0191-18/04/23"/>
    <s v="PP001"/>
    <s v="Pakaian Pria"/>
    <x v="3"/>
    <n v="3"/>
    <n v="2"/>
    <n v="600000"/>
    <n v="240000"/>
    <s v="PW003"/>
    <s v="Pakaian Wanita"/>
    <s v="Kaftan"/>
    <n v="2"/>
    <n v="5"/>
    <n v="500000"/>
    <n v="200000"/>
    <s v="PW001"/>
    <s v="Pakaian Wanita"/>
    <s v="Dress"/>
    <n v="1"/>
    <n v="1"/>
    <n v="300000"/>
    <n v="100000"/>
    <n v="6"/>
    <n v="1400000"/>
    <n v="1260000"/>
    <n v="540000"/>
    <n v="486000"/>
    <s v="LEBAR10"/>
    <n v="0.1"/>
    <s v="Promo Lebaran"/>
    <s v="Tokopedia"/>
    <x v="4"/>
    <d v="2023-04-18T00:00:00"/>
    <s v="Tuesday"/>
    <s v="wwww"/>
  </r>
  <r>
    <n v="192"/>
    <s v="ORD-BB0192-05/04/23"/>
    <s v="PW001"/>
    <s v="Pakaian Wanita"/>
    <x v="0"/>
    <n v="1"/>
    <n v="2"/>
    <n v="300000"/>
    <n v="100000"/>
    <s v="SW001"/>
    <s v="Sepatu Wanita"/>
    <s v="Flat Shoes"/>
    <n v="1"/>
    <n v="3"/>
    <n v="250000"/>
    <n v="100000"/>
    <m/>
    <s v="-"/>
    <s v="-"/>
    <m/>
    <m/>
    <s v="0"/>
    <s v="0"/>
    <n v="2"/>
    <n v="550000"/>
    <n v="467500"/>
    <n v="200000"/>
    <n v="170000"/>
    <s v="BELI44"/>
    <n v="0.15"/>
    <s v="Promo 4.4"/>
    <s v="BliBli"/>
    <x v="4"/>
    <d v="2023-04-05T00:00:00"/>
    <s v="Wednesday"/>
    <s v="wwww"/>
  </r>
  <r>
    <n v="193"/>
    <s v="ORD-TK0193-01/04/23"/>
    <s v="PP002"/>
    <s v="Pakaian Pria"/>
    <x v="4"/>
    <n v="4"/>
    <n v="5"/>
    <n v="720000"/>
    <n v="280000"/>
    <s v="SP002"/>
    <s v="Sepatu Pria"/>
    <s v="Sandal Slip On"/>
    <n v="2"/>
    <n v="3"/>
    <n v="300000"/>
    <n v="120000"/>
    <s v="PW001"/>
    <s v="Pakaian Wanita"/>
    <s v="Dress"/>
    <n v="1"/>
    <n v="1"/>
    <n v="300000"/>
    <n v="100000"/>
    <n v="7"/>
    <n v="1320000"/>
    <n v="1188000"/>
    <n v="500000"/>
    <n v="450000"/>
    <s v="DISCAPRIL"/>
    <n v="0.1"/>
    <s v="Promo 4.4"/>
    <s v="Tokopedia"/>
    <x v="5"/>
    <d v="2023-04-01T00:00:00"/>
    <s v="Saturday"/>
    <s v="wwww"/>
  </r>
  <r>
    <n v="194"/>
    <s v="ORD-SP0194-06/04/23"/>
    <s v="PW002"/>
    <s v="Pakaian Wanita"/>
    <x v="1"/>
    <n v="1"/>
    <n v="3"/>
    <n v="150000"/>
    <n v="50000"/>
    <m/>
    <s v="-"/>
    <s v="-"/>
    <m/>
    <m/>
    <s v="0"/>
    <s v="0"/>
    <m/>
    <s v="-"/>
    <s v="-"/>
    <m/>
    <m/>
    <s v="0"/>
    <s v="0"/>
    <n v="1"/>
    <n v="150000"/>
    <n v="135000"/>
    <n v="50000"/>
    <n v="45000"/>
    <s v="DISC10"/>
    <n v="0.1"/>
    <s v="Promo 4.4"/>
    <s v="Shopee"/>
    <x v="4"/>
    <d v="2023-04-06T00:00:00"/>
    <s v="Thursday"/>
    <s v="wwww"/>
  </r>
  <r>
    <n v="195"/>
    <s v="ORD-SP0195-01/04/23"/>
    <s v="SW001"/>
    <s v="Sepatu Wanita"/>
    <x v="9"/>
    <n v="2"/>
    <n v="5"/>
    <n v="500000"/>
    <n v="200000"/>
    <s v="PW001"/>
    <s v="Pakaian Wanita"/>
    <s v="Dress"/>
    <n v="2"/>
    <n v="1"/>
    <n v="600000"/>
    <n v="200000"/>
    <s v="PP003"/>
    <s v="Pakaian Pria"/>
    <s v="Jaket Jeans"/>
    <n v="2"/>
    <n v="2"/>
    <n v="800000"/>
    <n v="300000"/>
    <n v="6"/>
    <n v="1900000"/>
    <n v="1615000"/>
    <n v="700000"/>
    <n v="595000"/>
    <s v="DISC15"/>
    <n v="0.15"/>
    <s v="Promo 4.4"/>
    <s v="Shopee"/>
    <x v="0"/>
    <d v="2023-04-01T00:00:00"/>
    <s v="Saturday"/>
    <s v="wwww"/>
  </r>
  <r>
    <n v="196"/>
    <s v="ORD-BB0196-02/04/23"/>
    <s v="SP001"/>
    <s v="Sepatu Pria"/>
    <x v="7"/>
    <n v="6"/>
    <n v="4"/>
    <n v="3000000"/>
    <n v="1200000"/>
    <s v="PP001"/>
    <s v="Pakaian Pria"/>
    <s v="Kaos Polo"/>
    <n v="1"/>
    <n v="4"/>
    <n v="200000"/>
    <n v="80000"/>
    <m/>
    <s v="-"/>
    <s v="-"/>
    <m/>
    <m/>
    <s v="0"/>
    <s v="0"/>
    <n v="7"/>
    <n v="3200000"/>
    <n v="2720000"/>
    <n v="1280000"/>
    <n v="1088000"/>
    <s v="BELI44"/>
    <n v="0.15"/>
    <s v="Promo 4.4"/>
    <s v="BliBli"/>
    <x v="4"/>
    <d v="2023-04-02T00:00:00"/>
    <s v="Sunday"/>
    <s v="wwww"/>
  </r>
  <r>
    <n v="197"/>
    <s v="ORD-SP0197-02/04/23"/>
    <s v="SP002"/>
    <s v="Sepatu Pria"/>
    <x v="8"/>
    <n v="4"/>
    <n v="2"/>
    <n v="600000"/>
    <n v="240000"/>
    <s v="PW003"/>
    <s v="Pakaian Wanita"/>
    <s v="Kaftan"/>
    <n v="1"/>
    <n v="5"/>
    <n v="250000"/>
    <n v="100000"/>
    <s v="SP001"/>
    <s v="Sepatu Pria"/>
    <s v="Sneakers"/>
    <n v="1"/>
    <n v="5"/>
    <n v="500000"/>
    <n v="200000"/>
    <n v="6"/>
    <n v="1350000"/>
    <n v="1147500"/>
    <n v="540000"/>
    <n v="459000"/>
    <s v="DISC15"/>
    <n v="0.15"/>
    <s v="Promo 4.4"/>
    <s v="Shopee"/>
    <x v="1"/>
    <d v="2023-04-02T00:00:00"/>
    <s v="Sunday"/>
    <s v="wwww"/>
  </r>
  <r>
    <n v="198"/>
    <s v="ORD-SP0198-26/04/23"/>
    <s v="PW002"/>
    <s v="Pakaian Wanita"/>
    <x v="1"/>
    <n v="2"/>
    <n v="1"/>
    <n v="300000"/>
    <n v="100000"/>
    <m/>
    <s v="-"/>
    <s v="-"/>
    <m/>
    <m/>
    <s v="0"/>
    <s v="0"/>
    <m/>
    <s v="-"/>
    <s v="-"/>
    <m/>
    <m/>
    <s v="0"/>
    <s v="0"/>
    <n v="2"/>
    <n v="300000"/>
    <n v="240000"/>
    <n v="100000"/>
    <n v="80000"/>
    <s v="DISC20"/>
    <n v="0.2"/>
    <s v="Promo Lebaran"/>
    <s v="Shopee"/>
    <x v="4"/>
    <d v="2023-04-26T00:00:00"/>
    <s v="Wednesday"/>
    <s v="wwww"/>
  </r>
  <r>
    <n v="199"/>
    <s v="ORD-SP0199-05/04/23"/>
    <s v="PW002"/>
    <s v="Pakaian Wanita"/>
    <x v="1"/>
    <n v="1"/>
    <n v="4"/>
    <n v="150000"/>
    <n v="50000"/>
    <m/>
    <s v="-"/>
    <s v="-"/>
    <m/>
    <m/>
    <s v="0"/>
    <s v="0"/>
    <m/>
    <s v="-"/>
    <s v="-"/>
    <m/>
    <m/>
    <s v="0"/>
    <s v="0"/>
    <n v="1"/>
    <n v="150000"/>
    <n v="127500"/>
    <n v="50000"/>
    <n v="42500"/>
    <s v="DISC15"/>
    <n v="0.15"/>
    <s v="Promo 4.4"/>
    <s v="Shopee"/>
    <x v="5"/>
    <d v="2023-04-05T00:00:00"/>
    <s v="Wednesday"/>
    <s v="wwww"/>
  </r>
  <r>
    <n v="200"/>
    <s v="ORD-SP0200-26/04/23"/>
    <s v="PW002"/>
    <s v="Pakaian Wanita"/>
    <x v="1"/>
    <n v="1"/>
    <n v="4"/>
    <n v="150000"/>
    <n v="50000"/>
    <s v="PU001"/>
    <s v="Pakaian Unisex"/>
    <s v="Jaket Hoodie"/>
    <n v="1"/>
    <n v="4"/>
    <n v="350000"/>
    <n v="130000"/>
    <s v="SP001"/>
    <s v="Sepatu Pria"/>
    <s v="Sneakers"/>
    <n v="1"/>
    <n v="2"/>
    <n v="500000"/>
    <n v="200000"/>
    <n v="3"/>
    <n v="1000000"/>
    <n v="800000"/>
    <n v="380000"/>
    <n v="304000"/>
    <s v="DISC20"/>
    <n v="0.2"/>
    <s v="Promo Lebaran"/>
    <s v="Shopee"/>
    <x v="0"/>
    <d v="2023-04-26T00:00:00"/>
    <s v="Wednesday"/>
    <s v="wwww"/>
  </r>
  <r>
    <n v="201"/>
    <s v="ORD-TK0201-30/04/23"/>
    <s v="PP003"/>
    <s v="Pakaian Pria"/>
    <x v="5"/>
    <n v="1"/>
    <n v="1"/>
    <n v="400000"/>
    <n v="150000"/>
    <m/>
    <s v="-"/>
    <s v="-"/>
    <m/>
    <m/>
    <s v="0"/>
    <s v="0"/>
    <m/>
    <s v="-"/>
    <s v="-"/>
    <m/>
    <m/>
    <s v="0"/>
    <s v="0"/>
    <n v="1"/>
    <n v="400000"/>
    <n v="360000"/>
    <n v="150000"/>
    <n v="135000"/>
    <s v="LEBAR10"/>
    <n v="0.1"/>
    <s v="Promo Lebaran"/>
    <s v="Tokopedia"/>
    <x v="4"/>
    <d v="2023-04-30T00:00:00"/>
    <s v="Sunday"/>
    <s v="wwww"/>
  </r>
  <r>
    <n v="202"/>
    <s v="ORD-SP0202-05/04/23"/>
    <s v="PP001"/>
    <s v="Pakaian Pria"/>
    <x v="3"/>
    <n v="1"/>
    <n v="3"/>
    <n v="200000"/>
    <n v="80000"/>
    <s v="SP001"/>
    <s v="Sepatu Pria"/>
    <s v="Sneakers"/>
    <n v="1"/>
    <n v="2"/>
    <n v="500000"/>
    <n v="200000"/>
    <s v="PW003"/>
    <s v="Pakaian Wanita"/>
    <s v="Kaftan"/>
    <n v="1"/>
    <n v="1"/>
    <n v="250000"/>
    <n v="100000"/>
    <n v="3"/>
    <n v="950000"/>
    <n v="807500"/>
    <n v="380000"/>
    <n v="323000"/>
    <s v="DISC15"/>
    <n v="0.15"/>
    <s v="Promo 4.4"/>
    <s v="Shopee"/>
    <x v="5"/>
    <d v="2023-04-05T00:00:00"/>
    <s v="Wednesday"/>
    <s v="wwww"/>
  </r>
  <r>
    <n v="203"/>
    <s v="ORD-SP0203-06/04/23"/>
    <s v="SP002"/>
    <s v="Sepatu Pria"/>
    <x v="8"/>
    <n v="5"/>
    <n v="2"/>
    <n v="750000"/>
    <n v="300000"/>
    <s v="PW002"/>
    <s v="Pakaian Wanita"/>
    <s v="Blouse"/>
    <n v="2"/>
    <n v="1"/>
    <n v="300000"/>
    <n v="100000"/>
    <m/>
    <s v="-"/>
    <s v="-"/>
    <m/>
    <m/>
    <s v="0"/>
    <s v="0"/>
    <n v="7"/>
    <n v="1050000"/>
    <n v="892500"/>
    <n v="400000"/>
    <n v="340000"/>
    <s v="DISC15"/>
    <n v="0.15"/>
    <s v="Promo 4.4"/>
    <s v="Shopee"/>
    <x v="4"/>
    <d v="2023-04-06T00:00:00"/>
    <s v="Thursday"/>
    <s v="wwww"/>
  </r>
  <r>
    <n v="204"/>
    <s v="ORD-BL0204-29/04/23"/>
    <s v="PW001"/>
    <s v="Pakaian Wanita"/>
    <x v="0"/>
    <n v="2"/>
    <n v="2"/>
    <n v="600000"/>
    <n v="200000"/>
    <s v="PW003"/>
    <s v="Pakaian Wanita"/>
    <s v="Kaftan"/>
    <n v="1"/>
    <n v="2"/>
    <n v="250000"/>
    <n v="100000"/>
    <m/>
    <s v="-"/>
    <s v="-"/>
    <m/>
    <m/>
    <s v="0"/>
    <s v="0"/>
    <n v="3"/>
    <n v="850000"/>
    <n v="722500"/>
    <n v="300000"/>
    <n v="255000"/>
    <s v="BUKALEBAR"/>
    <n v="0.15"/>
    <s v="Promo Lebaran"/>
    <s v="Bukalapak"/>
    <x v="4"/>
    <d v="2023-04-29T00:00:00"/>
    <s v="Saturday"/>
    <s v="wwww"/>
  </r>
  <r>
    <n v="205"/>
    <s v="ORD-BL0205-21/04/23"/>
    <s v="SP002"/>
    <s v="Sepatu Pria"/>
    <x v="8"/>
    <n v="1"/>
    <n v="5"/>
    <n v="150000"/>
    <n v="60000"/>
    <m/>
    <s v="-"/>
    <s v="-"/>
    <m/>
    <m/>
    <s v="0"/>
    <s v="0"/>
    <m/>
    <s v="-"/>
    <s v="-"/>
    <m/>
    <m/>
    <s v="0"/>
    <s v="0"/>
    <n v="1"/>
    <n v="150000"/>
    <n v="127500"/>
    <n v="60000"/>
    <n v="51000"/>
    <s v="BUKALEBAR"/>
    <n v="0.15"/>
    <s v="Promo Lebaran"/>
    <s v="Bukalapak"/>
    <x v="2"/>
    <d v="2023-04-21T00:00:00"/>
    <s v="Friday"/>
    <s v="wwww"/>
  </r>
  <r>
    <n v="206"/>
    <s v="ORD-SP0206-04/04/23"/>
    <s v="PP002"/>
    <s v="Pakaian Pria"/>
    <x v="4"/>
    <n v="3"/>
    <n v="4"/>
    <n v="540000"/>
    <n v="210000"/>
    <s v="PP001"/>
    <s v="Pakaian Pria"/>
    <s v="Kaos Polo"/>
    <n v="1"/>
    <n v="4"/>
    <n v="200000"/>
    <n v="80000"/>
    <m/>
    <s v="-"/>
    <s v="-"/>
    <m/>
    <m/>
    <s v="0"/>
    <s v="0"/>
    <n v="4"/>
    <n v="740000"/>
    <n v="629000"/>
    <n v="290000"/>
    <n v="246500"/>
    <s v="DISC15"/>
    <n v="0.15"/>
    <s v="Promo 4.4"/>
    <s v="Shopee"/>
    <x v="2"/>
    <d v="2023-04-04T00:00:00"/>
    <s v="Tuesday"/>
    <s v="wwww"/>
  </r>
  <r>
    <n v="207"/>
    <s v="ORD-SP0207-22/04/23"/>
    <s v="SP001"/>
    <s v="Sepatu Pria"/>
    <x v="7"/>
    <n v="2"/>
    <n v="2"/>
    <n v="1000000"/>
    <n v="400000"/>
    <s v="SW001"/>
    <s v="Sepatu Wanita"/>
    <s v="Flat Shoes"/>
    <n v="1"/>
    <n v="4"/>
    <n v="250000"/>
    <n v="100000"/>
    <s v="PW002"/>
    <s v="Pakaian Wanita"/>
    <s v="Blouse"/>
    <n v="1"/>
    <n v="2"/>
    <n v="150000"/>
    <n v="50000"/>
    <n v="4"/>
    <n v="1400000"/>
    <n v="1120000"/>
    <n v="550000"/>
    <n v="440000"/>
    <s v="DISC20"/>
    <n v="0.2"/>
    <s v="Promo Lebaran"/>
    <s v="Shopee"/>
    <x v="4"/>
    <d v="2023-04-22T00:00:00"/>
    <s v="Saturday"/>
    <s v="wwww"/>
  </r>
  <r>
    <n v="208"/>
    <s v="ORD-TK0208-22/04/23"/>
    <s v="PW002"/>
    <s v="Pakaian Wanita"/>
    <x v="1"/>
    <n v="1"/>
    <n v="3"/>
    <n v="150000"/>
    <n v="50000"/>
    <s v="PU001"/>
    <s v="Pakaian Unisex"/>
    <s v="Jaket Hoodie"/>
    <n v="5"/>
    <n v="5"/>
    <n v="1750000"/>
    <n v="650000"/>
    <m/>
    <s v="-"/>
    <s v="-"/>
    <m/>
    <m/>
    <s v="0"/>
    <s v="0"/>
    <n v="6"/>
    <n v="1900000"/>
    <n v="1710000"/>
    <n v="700000"/>
    <n v="630000"/>
    <s v="LEBAR10"/>
    <n v="0.1"/>
    <s v="Promo Lebaran"/>
    <s v="Tokopedia"/>
    <x v="2"/>
    <d v="2023-04-22T00:00:00"/>
    <s v="Saturday"/>
    <s v="wwww"/>
  </r>
  <r>
    <n v="209"/>
    <s v="ORD-SP0209-05/04/23"/>
    <s v="PW003"/>
    <s v="Pakaian Wanita"/>
    <x v="2"/>
    <n v="1"/>
    <n v="4"/>
    <n v="250000"/>
    <n v="100000"/>
    <s v="SW001"/>
    <s v="Sepatu Wanita"/>
    <s v="Flat Shoes"/>
    <n v="1"/>
    <n v="4"/>
    <n v="250000"/>
    <n v="100000"/>
    <m/>
    <s v="-"/>
    <s v="-"/>
    <m/>
    <m/>
    <s v="0"/>
    <s v="0"/>
    <n v="2"/>
    <n v="500000"/>
    <n v="425000"/>
    <n v="200000"/>
    <n v="170000"/>
    <s v="DISC15"/>
    <n v="0.15"/>
    <s v="Promo 4.4"/>
    <s v="Shopee"/>
    <x v="4"/>
    <d v="2023-04-05T00:00:00"/>
    <s v="Wednesday"/>
    <s v="wwww"/>
  </r>
  <r>
    <n v="210"/>
    <s v="ORD-TK0210-23/04/23"/>
    <s v="PP003"/>
    <s v="Pakaian Pria"/>
    <x v="5"/>
    <n v="2"/>
    <n v="5"/>
    <n v="800000"/>
    <n v="300000"/>
    <s v="PW001"/>
    <s v="Pakaian Wanita"/>
    <s v="Dress"/>
    <n v="1"/>
    <n v="1"/>
    <n v="300000"/>
    <n v="100000"/>
    <s v="PW002"/>
    <s v="Pakaian Wanita"/>
    <s v="Blouse"/>
    <n v="2"/>
    <n v="2"/>
    <n v="300000"/>
    <n v="100000"/>
    <n v="5"/>
    <n v="1400000"/>
    <n v="1260000"/>
    <n v="500000"/>
    <n v="450000"/>
    <s v="LEBAR10"/>
    <n v="0.1"/>
    <s v="Promo Lebaran"/>
    <s v="Tokopedia"/>
    <x v="4"/>
    <d v="2023-04-23T00:00:00"/>
    <s v="Sunday"/>
    <s v="wwww"/>
  </r>
  <r>
    <n v="211"/>
    <s v="ORD-TK0211-08/04/23"/>
    <s v="SP001"/>
    <s v="Sepatu Pria"/>
    <x v="7"/>
    <n v="4"/>
    <n v="1"/>
    <n v="2000000"/>
    <n v="800000"/>
    <s v="PU001"/>
    <s v="Pakaian Unisex"/>
    <s v="Jaket Hoodie"/>
    <n v="3"/>
    <n v="4"/>
    <n v="1050000"/>
    <n v="390000"/>
    <m/>
    <s v="-"/>
    <s v="-"/>
    <m/>
    <m/>
    <s v="0"/>
    <s v="0"/>
    <n v="7"/>
    <n v="3050000"/>
    <n v="3050000"/>
    <n v="1190000"/>
    <n v="1190000"/>
    <s v="-"/>
    <s v="-"/>
    <s v="-"/>
    <s v="Tokopedia"/>
    <x v="4"/>
    <d v="2023-04-08T00:00:00"/>
    <s v="Saturday"/>
    <s v="wwww"/>
  </r>
  <r>
    <n v="212"/>
    <s v="ORD-BB0212-06/04/23"/>
    <s v="PW003"/>
    <s v="Pakaian Wanita"/>
    <x v="2"/>
    <n v="1"/>
    <n v="5"/>
    <n v="250000"/>
    <n v="100000"/>
    <m/>
    <s v="-"/>
    <s v="-"/>
    <m/>
    <m/>
    <s v="0"/>
    <s v="0"/>
    <m/>
    <s v="-"/>
    <s v="-"/>
    <m/>
    <m/>
    <s v="0"/>
    <s v="0"/>
    <n v="1"/>
    <n v="250000"/>
    <n v="212500"/>
    <n v="100000"/>
    <n v="85000"/>
    <s v="BELI44"/>
    <n v="0.15"/>
    <s v="Promo 4.4"/>
    <s v="BliBli"/>
    <x v="1"/>
    <d v="2023-04-06T00:00:00"/>
    <s v="Thursday"/>
    <s v="wwww"/>
  </r>
  <r>
    <n v="213"/>
    <s v="ORD-BB0213-06/04/23"/>
    <s v="PW002"/>
    <s v="Pakaian Wanita"/>
    <x v="1"/>
    <n v="3"/>
    <n v="5"/>
    <n v="450000"/>
    <n v="150000"/>
    <s v="PW003"/>
    <s v="Pakaian Wanita"/>
    <s v="Kaftan"/>
    <n v="1"/>
    <n v="5"/>
    <n v="250000"/>
    <n v="100000"/>
    <m/>
    <s v="-"/>
    <s v="-"/>
    <m/>
    <m/>
    <s v="0"/>
    <s v="0"/>
    <n v="4"/>
    <n v="700000"/>
    <n v="595000"/>
    <n v="250000"/>
    <n v="212500"/>
    <s v="BELI44"/>
    <n v="0.15"/>
    <s v="Promo 4.4"/>
    <s v="BliBli"/>
    <x v="4"/>
    <d v="2023-04-06T00:00:00"/>
    <s v="Thursday"/>
    <s v="wwww"/>
  </r>
  <r>
    <n v="214"/>
    <s v="ORD-SP0214-21/04/23"/>
    <s v="PP002"/>
    <s v="Pakaian Pria"/>
    <x v="4"/>
    <n v="1"/>
    <n v="1"/>
    <n v="180000"/>
    <n v="70000"/>
    <m/>
    <s v="-"/>
    <s v="-"/>
    <m/>
    <m/>
    <s v="0"/>
    <s v="0"/>
    <m/>
    <s v="-"/>
    <s v="-"/>
    <m/>
    <m/>
    <s v="0"/>
    <s v="0"/>
    <n v="1"/>
    <n v="180000"/>
    <n v="144000"/>
    <n v="70000"/>
    <n v="56000"/>
    <s v="DISC20"/>
    <n v="0.2"/>
    <s v="Promo Lebaran"/>
    <s v="Shopee"/>
    <x v="0"/>
    <d v="2023-04-21T00:00:00"/>
    <s v="Friday"/>
    <s v="wwww"/>
  </r>
  <r>
    <n v="215"/>
    <s v="ORD-BL0215-25/04/23"/>
    <s v="PP001"/>
    <s v="Pakaian Pria"/>
    <x v="3"/>
    <n v="4"/>
    <n v="4"/>
    <n v="800000"/>
    <n v="320000"/>
    <s v="SP001"/>
    <s v="Sepatu Pria"/>
    <s v="Sneakers"/>
    <n v="1"/>
    <n v="2"/>
    <n v="500000"/>
    <n v="200000"/>
    <m/>
    <s v="-"/>
    <s v="-"/>
    <m/>
    <m/>
    <s v="0"/>
    <s v="0"/>
    <n v="5"/>
    <n v="1300000"/>
    <n v="1105000"/>
    <n v="520000"/>
    <n v="442000"/>
    <s v="BUKALEBAR"/>
    <n v="0.15"/>
    <s v="Promo Lebaran"/>
    <s v="Bukalapak"/>
    <x v="3"/>
    <d v="2023-04-25T00:00:00"/>
    <s v="Tuesday"/>
    <s v="wwww"/>
  </r>
  <r>
    <n v="216"/>
    <s v="ORD-BB0216-13/04/23"/>
    <s v="PP003"/>
    <s v="Pakaian Pria"/>
    <x v="5"/>
    <n v="2"/>
    <n v="3"/>
    <n v="800000"/>
    <n v="300000"/>
    <s v="PW001"/>
    <s v="Pakaian Wanita"/>
    <s v="Dress"/>
    <n v="1"/>
    <n v="2"/>
    <n v="300000"/>
    <n v="100000"/>
    <s v="PW002"/>
    <s v="Pakaian Wanita"/>
    <s v="Blouse"/>
    <n v="2"/>
    <n v="2"/>
    <n v="300000"/>
    <n v="100000"/>
    <n v="5"/>
    <n v="1400000"/>
    <n v="1400000"/>
    <n v="500000"/>
    <n v="500000"/>
    <s v="-"/>
    <s v="-"/>
    <s v="-"/>
    <s v="BliBli"/>
    <x v="4"/>
    <d v="2023-04-13T00:00:00"/>
    <s v="Thursday"/>
    <s v="wwww"/>
  </r>
  <r>
    <n v="217"/>
    <s v="ORD-SP0217-16/04/23"/>
    <s v="PU001"/>
    <s v="Pakaian Unisex"/>
    <x v="6"/>
    <n v="1"/>
    <n v="3"/>
    <n v="350000"/>
    <n v="130000"/>
    <m/>
    <s v="-"/>
    <s v="-"/>
    <m/>
    <m/>
    <s v="0"/>
    <s v="0"/>
    <m/>
    <s v="-"/>
    <s v="-"/>
    <m/>
    <m/>
    <s v="0"/>
    <s v="0"/>
    <n v="1"/>
    <n v="350000"/>
    <n v="280000"/>
    <n v="130000"/>
    <n v="104000"/>
    <s v="DISC20"/>
    <n v="0.2"/>
    <s v="Promo Lebaran"/>
    <s v="Shopee"/>
    <x v="0"/>
    <d v="2023-04-16T00:00:00"/>
    <s v="Sunday"/>
    <s v="wwww"/>
  </r>
  <r>
    <n v="218"/>
    <s v="ORD-SP0218-04/04/23"/>
    <s v="SP002"/>
    <s v="Sepatu Pria"/>
    <x v="8"/>
    <n v="3"/>
    <n v="1"/>
    <n v="450000"/>
    <n v="180000"/>
    <s v="PP002"/>
    <s v="Pakaian Pria"/>
    <s v="Celana Pendek"/>
    <n v="2"/>
    <n v="4"/>
    <n v="360000"/>
    <n v="140000"/>
    <m/>
    <s v="-"/>
    <s v="-"/>
    <m/>
    <m/>
    <s v="0"/>
    <s v="0"/>
    <n v="5"/>
    <n v="810000"/>
    <n v="688500"/>
    <n v="320000"/>
    <n v="272000"/>
    <s v="DISC15"/>
    <n v="0.15"/>
    <s v="Promo 4.4"/>
    <s v="Shopee"/>
    <x v="5"/>
    <d v="2023-04-04T00:00:00"/>
    <s v="Tuesday"/>
    <s v="wwww"/>
  </r>
  <r>
    <n v="219"/>
    <s v="ORD-TK0219-19/04/23"/>
    <s v="PW003"/>
    <s v="Pakaian Wanita"/>
    <x v="2"/>
    <n v="3"/>
    <n v="5"/>
    <n v="750000"/>
    <n v="300000"/>
    <s v="PP002"/>
    <s v="Pakaian Pria"/>
    <s v="Celana Pendek"/>
    <n v="2"/>
    <n v="4"/>
    <n v="360000"/>
    <n v="140000"/>
    <m/>
    <s v="-"/>
    <s v="-"/>
    <m/>
    <m/>
    <s v="0"/>
    <s v="0"/>
    <n v="5"/>
    <n v="1110000"/>
    <n v="999000"/>
    <n v="440000"/>
    <n v="396000"/>
    <s v="LEBAR10"/>
    <n v="0.1"/>
    <s v="Promo Lebaran"/>
    <s v="Tokopedia"/>
    <x v="0"/>
    <d v="2023-04-19T00:00:00"/>
    <s v="Wednesday"/>
    <s v="wwww"/>
  </r>
  <r>
    <n v="220"/>
    <s v="ORD-TK0220-05/04/23"/>
    <s v="SP002"/>
    <s v="Sepatu Pria"/>
    <x v="8"/>
    <n v="1"/>
    <n v="2"/>
    <n v="150000"/>
    <n v="60000"/>
    <s v="PW003"/>
    <s v="Pakaian Wanita"/>
    <s v="Kaftan"/>
    <n v="3"/>
    <n v="5"/>
    <n v="750000"/>
    <n v="300000"/>
    <s v="SW001"/>
    <s v="Sepatu Wanita"/>
    <s v="Flat Shoes"/>
    <n v="3"/>
    <n v="5"/>
    <n v="750000"/>
    <n v="300000"/>
    <n v="7"/>
    <n v="1650000"/>
    <n v="1485000"/>
    <n v="660000"/>
    <n v="594000"/>
    <s v="DISCAPRIL"/>
    <n v="0.1"/>
    <s v="Promo 4.4"/>
    <s v="Tokopedia"/>
    <x v="5"/>
    <d v="2023-04-05T00:00:00"/>
    <s v="Wednesday"/>
    <s v="wwww"/>
  </r>
  <r>
    <n v="221"/>
    <s v="ORD-SP0221-03/04/23"/>
    <s v="SP001"/>
    <s v="Sepatu Pria"/>
    <x v="7"/>
    <n v="2"/>
    <n v="2"/>
    <n v="1000000"/>
    <n v="400000"/>
    <s v="PP001"/>
    <s v="Pakaian Pria"/>
    <s v="Kaos Polo"/>
    <n v="1"/>
    <n v="4"/>
    <n v="200000"/>
    <n v="80000"/>
    <m/>
    <s v="-"/>
    <s v="-"/>
    <m/>
    <m/>
    <s v="0"/>
    <s v="0"/>
    <n v="3"/>
    <n v="1200000"/>
    <n v="1080000"/>
    <n v="480000"/>
    <n v="432000"/>
    <s v="DISC10"/>
    <n v="0.1"/>
    <s v="Promo 4.4"/>
    <s v="Shopee"/>
    <x v="2"/>
    <d v="2023-04-03T00:00:00"/>
    <s v="Monday"/>
    <s v="wwww"/>
  </r>
  <r>
    <n v="222"/>
    <s v="ORD-TK0222-22/04/23"/>
    <s v="PP001"/>
    <s v="Pakaian Pria"/>
    <x v="3"/>
    <n v="2"/>
    <n v="3"/>
    <n v="400000"/>
    <n v="160000"/>
    <m/>
    <s v="-"/>
    <s v="-"/>
    <m/>
    <m/>
    <s v="0"/>
    <s v="0"/>
    <m/>
    <s v="-"/>
    <s v="-"/>
    <m/>
    <m/>
    <s v="0"/>
    <s v="0"/>
    <n v="2"/>
    <n v="400000"/>
    <n v="360000"/>
    <n v="160000"/>
    <n v="144000"/>
    <s v="LEBAR10"/>
    <n v="0.1"/>
    <s v="Promo Lebaran"/>
    <s v="Tokopedia"/>
    <x v="5"/>
    <d v="2023-04-22T00:00:00"/>
    <s v="Saturday"/>
    <s v="wwww"/>
  </r>
  <r>
    <n v="223"/>
    <s v="ORD-TK0223-05/04/23"/>
    <s v="PW003"/>
    <s v="Pakaian Wanita"/>
    <x v="2"/>
    <n v="5"/>
    <n v="3"/>
    <n v="1250000"/>
    <n v="500000"/>
    <m/>
    <s v="-"/>
    <s v="-"/>
    <m/>
    <m/>
    <s v="0"/>
    <s v="0"/>
    <m/>
    <s v="-"/>
    <s v="-"/>
    <m/>
    <m/>
    <s v="0"/>
    <s v="0"/>
    <n v="5"/>
    <n v="1250000"/>
    <n v="1125000"/>
    <n v="500000"/>
    <n v="450000"/>
    <s v="DISCAPRIL"/>
    <n v="0.1"/>
    <s v="Promo 4.4"/>
    <s v="Tokopedia"/>
    <x v="4"/>
    <d v="2023-04-05T00:00:00"/>
    <s v="Wednesday"/>
    <s v="wwww"/>
  </r>
  <r>
    <n v="224"/>
    <s v="ORD-SP0224-30/04/23"/>
    <s v="SP001"/>
    <s v="Sepatu Pria"/>
    <x v="7"/>
    <n v="3"/>
    <n v="5"/>
    <n v="1500000"/>
    <n v="600000"/>
    <m/>
    <s v="-"/>
    <s v="-"/>
    <m/>
    <m/>
    <s v="0"/>
    <s v="0"/>
    <m/>
    <s v="-"/>
    <s v="-"/>
    <m/>
    <m/>
    <s v="0"/>
    <s v="0"/>
    <n v="3"/>
    <n v="1500000"/>
    <n v="1200000"/>
    <n v="600000"/>
    <n v="480000"/>
    <s v="DISC20"/>
    <n v="0.2"/>
    <s v="Promo Lebaran"/>
    <s v="Shopee"/>
    <x v="0"/>
    <d v="2023-04-30T00:00:00"/>
    <s v="Sunday"/>
    <s v="wwww"/>
  </r>
  <r>
    <n v="225"/>
    <s v="ORD-SP0225-18/04/23"/>
    <s v="PW002"/>
    <s v="Pakaian Wanita"/>
    <x v="1"/>
    <n v="2"/>
    <n v="1"/>
    <n v="300000"/>
    <n v="100000"/>
    <m/>
    <s v="-"/>
    <s v="-"/>
    <m/>
    <m/>
    <s v="0"/>
    <s v="0"/>
    <m/>
    <s v="-"/>
    <s v="-"/>
    <m/>
    <m/>
    <s v="0"/>
    <s v="0"/>
    <n v="2"/>
    <n v="300000"/>
    <n v="240000"/>
    <n v="100000"/>
    <n v="80000"/>
    <s v="DISC20"/>
    <n v="0.2"/>
    <s v="Promo Lebaran"/>
    <s v="Shopee"/>
    <x v="0"/>
    <d v="2023-04-18T00:00:00"/>
    <s v="Tuesday"/>
    <s v="wwww"/>
  </r>
  <r>
    <n v="226"/>
    <s v="ORD-SP0226-06/04/23"/>
    <s v="PP001"/>
    <s v="Pakaian Pria"/>
    <x v="3"/>
    <n v="4"/>
    <n v="2"/>
    <n v="800000"/>
    <n v="320000"/>
    <s v="SP001"/>
    <s v="Sepatu Pria"/>
    <s v="Sneakers"/>
    <n v="1"/>
    <n v="1"/>
    <n v="500000"/>
    <n v="200000"/>
    <m/>
    <s v="-"/>
    <s v="-"/>
    <m/>
    <m/>
    <s v="0"/>
    <s v="0"/>
    <n v="5"/>
    <n v="1300000"/>
    <n v="1105000"/>
    <n v="520000"/>
    <n v="442000"/>
    <s v="DISC15"/>
    <n v="0.15"/>
    <s v="Promo 4.4"/>
    <s v="Shopee"/>
    <x v="1"/>
    <d v="2023-04-06T00:00:00"/>
    <s v="Thursday"/>
    <s v="wwww"/>
  </r>
  <r>
    <n v="227"/>
    <s v="ORD-BB0227-05/04/23"/>
    <s v="SP002"/>
    <s v="Sepatu Pria"/>
    <x v="8"/>
    <n v="2"/>
    <n v="4"/>
    <n v="300000"/>
    <n v="120000"/>
    <m/>
    <s v="-"/>
    <s v="-"/>
    <m/>
    <m/>
    <s v="0"/>
    <s v="0"/>
    <m/>
    <s v="-"/>
    <s v="-"/>
    <m/>
    <m/>
    <s v="0"/>
    <s v="0"/>
    <n v="2"/>
    <n v="300000"/>
    <n v="255000"/>
    <n v="120000"/>
    <n v="102000"/>
    <s v="BELI44"/>
    <n v="0.15"/>
    <s v="Promo 4.4"/>
    <s v="BliBli"/>
    <x v="0"/>
    <d v="2023-04-05T00:00:00"/>
    <s v="Wednesday"/>
    <s v="wwww"/>
  </r>
  <r>
    <n v="228"/>
    <s v="ORD-SP0228-26/04/23"/>
    <s v="PW001"/>
    <s v="Pakaian Wanita"/>
    <x v="0"/>
    <n v="4"/>
    <n v="3"/>
    <n v="1200000"/>
    <n v="400000"/>
    <m/>
    <s v="-"/>
    <s v="-"/>
    <m/>
    <m/>
    <s v="0"/>
    <s v="0"/>
    <m/>
    <s v="-"/>
    <s v="-"/>
    <m/>
    <m/>
    <s v="0"/>
    <s v="0"/>
    <n v="4"/>
    <n v="1200000"/>
    <n v="960000"/>
    <n v="400000"/>
    <n v="320000"/>
    <s v="DISC20"/>
    <n v="0.2"/>
    <s v="Promo Lebaran"/>
    <s v="Shopee"/>
    <x v="0"/>
    <d v="2023-04-26T00:00:00"/>
    <s v="Wednesday"/>
    <s v="wwww"/>
  </r>
  <r>
    <n v="229"/>
    <s v="ORD-SP0229-28/04/23"/>
    <s v="PP002"/>
    <s v="Pakaian Pria"/>
    <x v="4"/>
    <n v="2"/>
    <n v="1"/>
    <n v="360000"/>
    <n v="140000"/>
    <s v="SP001"/>
    <s v="Sepatu Pria"/>
    <s v="Sneakers"/>
    <n v="2"/>
    <n v="1"/>
    <n v="1000000"/>
    <n v="400000"/>
    <s v="SP002"/>
    <s v="Sepatu Pria"/>
    <s v="Sandal Slip On"/>
    <n v="1"/>
    <n v="1"/>
    <n v="150000"/>
    <n v="60000"/>
    <n v="5"/>
    <n v="1510000"/>
    <n v="1208000"/>
    <n v="600000"/>
    <n v="480000"/>
    <s v="DISC20"/>
    <n v="0.2"/>
    <s v="Promo Lebaran"/>
    <s v="Shopee"/>
    <x v="1"/>
    <d v="2023-04-28T00:00:00"/>
    <s v="Friday"/>
    <s v="wwww"/>
  </r>
  <r>
    <n v="230"/>
    <s v="ORD-BB0230-06/04/23"/>
    <s v="PW001"/>
    <s v="Pakaian Wanita"/>
    <x v="0"/>
    <n v="1"/>
    <n v="5"/>
    <n v="300000"/>
    <n v="100000"/>
    <s v="PP003"/>
    <s v="Pakaian Pria"/>
    <s v="Jaket Jeans"/>
    <n v="1"/>
    <n v="1"/>
    <n v="400000"/>
    <n v="150000"/>
    <m/>
    <s v="-"/>
    <s v="-"/>
    <m/>
    <m/>
    <s v="0"/>
    <s v="0"/>
    <n v="2"/>
    <n v="700000"/>
    <n v="595000"/>
    <n v="250000"/>
    <n v="212500"/>
    <s v="BELI44"/>
    <n v="0.15"/>
    <s v="Promo 4.4"/>
    <s v="BliBli"/>
    <x v="0"/>
    <d v="2023-04-06T00:00:00"/>
    <s v="Thursday"/>
    <s v="wwww"/>
  </r>
  <r>
    <n v="231"/>
    <s v="ORD-SP0231-02/04/23"/>
    <s v="PP002"/>
    <s v="Pakaian Pria"/>
    <x v="4"/>
    <n v="2"/>
    <n v="3"/>
    <n v="360000"/>
    <n v="140000"/>
    <s v="SW001"/>
    <s v="Sepatu Wanita"/>
    <s v="Flat Shoes"/>
    <n v="2"/>
    <n v="4"/>
    <n v="500000"/>
    <n v="200000"/>
    <s v="PP002"/>
    <s v="Pakaian Pria"/>
    <s v="Celana Pendek"/>
    <n v="1"/>
    <n v="1"/>
    <n v="180000"/>
    <n v="70000"/>
    <n v="5"/>
    <n v="1040000"/>
    <n v="884000"/>
    <n v="410000"/>
    <n v="348500"/>
    <s v="DISC15"/>
    <n v="0.15"/>
    <s v="Promo 4.4"/>
    <s v="Shopee"/>
    <x v="4"/>
    <d v="2023-04-02T00:00:00"/>
    <s v="Sunday"/>
    <s v="wwww"/>
  </r>
  <r>
    <n v="232"/>
    <s v="ORD-TK0232-20/04/23"/>
    <s v="PW001"/>
    <s v="Pakaian Wanita"/>
    <x v="0"/>
    <n v="4"/>
    <n v="1"/>
    <n v="1200000"/>
    <n v="400000"/>
    <s v="PP002"/>
    <s v="Pakaian Pria"/>
    <s v="Celana Pendek"/>
    <n v="1"/>
    <n v="2"/>
    <n v="180000"/>
    <n v="70000"/>
    <s v="PW001"/>
    <s v="Pakaian Wanita"/>
    <s v="Dress"/>
    <n v="1"/>
    <n v="3"/>
    <n v="300000"/>
    <n v="100000"/>
    <n v="6"/>
    <n v="1680000"/>
    <n v="1512000"/>
    <n v="570000"/>
    <n v="513000"/>
    <s v="LEBAR10"/>
    <n v="0.1"/>
    <s v="Promo Lebaran"/>
    <s v="Tokopedia"/>
    <x v="1"/>
    <d v="2023-04-20T00:00:00"/>
    <s v="Thursday"/>
    <s v="wwww"/>
  </r>
  <r>
    <n v="233"/>
    <s v="ORD-SP0233-29/04/23"/>
    <s v="PP002"/>
    <s v="Pakaian Pria"/>
    <x v="4"/>
    <n v="2"/>
    <n v="5"/>
    <n v="360000"/>
    <n v="140000"/>
    <s v="SP001"/>
    <s v="Sepatu Pria"/>
    <s v="Sneakers"/>
    <n v="2"/>
    <n v="3"/>
    <n v="1000000"/>
    <n v="400000"/>
    <m/>
    <s v="-"/>
    <s v="-"/>
    <m/>
    <m/>
    <s v="0"/>
    <s v="0"/>
    <n v="4"/>
    <n v="1360000"/>
    <n v="1088000"/>
    <n v="540000"/>
    <n v="432000"/>
    <s v="DISC20"/>
    <n v="0.2"/>
    <s v="Promo Lebaran"/>
    <s v="Shopee"/>
    <x v="5"/>
    <d v="2023-04-29T00:00:00"/>
    <s v="Saturday"/>
    <s v="wwww"/>
  </r>
  <r>
    <n v="234"/>
    <s v="ORD-BB0234-01/04/23"/>
    <s v="SP002"/>
    <s v="Sepatu Pria"/>
    <x v="8"/>
    <n v="4"/>
    <n v="2"/>
    <n v="600000"/>
    <n v="240000"/>
    <s v="PP003"/>
    <s v="Pakaian Pria"/>
    <s v="Jaket Jeans"/>
    <n v="1"/>
    <n v="4"/>
    <n v="400000"/>
    <n v="150000"/>
    <m/>
    <s v="-"/>
    <s v="-"/>
    <m/>
    <m/>
    <s v="0"/>
    <s v="0"/>
    <n v="5"/>
    <n v="1000000"/>
    <n v="850000"/>
    <n v="390000"/>
    <n v="331500"/>
    <s v="BELI44"/>
    <n v="0.15"/>
    <s v="Promo 4.4"/>
    <s v="BliBli"/>
    <x v="4"/>
    <d v="2023-04-01T00:00:00"/>
    <s v="Saturday"/>
    <s v="wwww"/>
  </r>
  <r>
    <n v="235"/>
    <s v="ORD-TK0235-22/04/23"/>
    <s v="SP001"/>
    <s v="Sepatu Pria"/>
    <x v="7"/>
    <n v="3"/>
    <n v="4"/>
    <n v="1500000"/>
    <n v="600000"/>
    <s v="PW001"/>
    <s v="Pakaian Wanita"/>
    <s v="Dress"/>
    <n v="1"/>
    <n v="1"/>
    <n v="300000"/>
    <n v="100000"/>
    <s v="PP001"/>
    <s v="Pakaian Pria"/>
    <s v="Kaos Polo"/>
    <n v="1"/>
    <n v="5"/>
    <n v="200000"/>
    <n v="80000"/>
    <n v="5"/>
    <n v="2000000"/>
    <n v="1800000"/>
    <n v="780000"/>
    <n v="702000"/>
    <s v="LEBAR10"/>
    <n v="0.1"/>
    <s v="Promo Lebaran"/>
    <s v="Tokopedia"/>
    <x v="0"/>
    <d v="2023-04-22T00:00:00"/>
    <s v="Saturday"/>
    <s v="wwww"/>
  </r>
  <r>
    <n v="236"/>
    <s v="ORD-TK0236-29/04/23"/>
    <s v="PP001"/>
    <s v="Pakaian Pria"/>
    <x v="3"/>
    <n v="1"/>
    <n v="2"/>
    <n v="200000"/>
    <n v="80000"/>
    <m/>
    <s v="-"/>
    <s v="-"/>
    <m/>
    <m/>
    <s v="0"/>
    <s v="0"/>
    <m/>
    <s v="-"/>
    <s v="-"/>
    <m/>
    <m/>
    <s v="0"/>
    <s v="0"/>
    <n v="1"/>
    <n v="200000"/>
    <n v="180000"/>
    <n v="80000"/>
    <n v="72000"/>
    <s v="LEBAR10"/>
    <n v="0.1"/>
    <s v="Promo Lebaran"/>
    <s v="Tokopedia"/>
    <x v="3"/>
    <d v="2023-04-29T00:00:00"/>
    <s v="Saturday"/>
    <s v="wwww"/>
  </r>
  <r>
    <n v="237"/>
    <s v="ORD-BB0237-02/04/23"/>
    <s v="PW003"/>
    <s v="Pakaian Wanita"/>
    <x v="2"/>
    <n v="3"/>
    <n v="3"/>
    <n v="750000"/>
    <n v="300000"/>
    <m/>
    <s v="-"/>
    <s v="-"/>
    <m/>
    <m/>
    <s v="0"/>
    <s v="0"/>
    <m/>
    <s v="-"/>
    <s v="-"/>
    <m/>
    <m/>
    <s v="0"/>
    <s v="0"/>
    <n v="3"/>
    <n v="750000"/>
    <n v="637500"/>
    <n v="300000"/>
    <n v="255000"/>
    <s v="BELI44"/>
    <n v="0.15"/>
    <s v="Promo 4.4"/>
    <s v="BliBli"/>
    <x v="4"/>
    <d v="2023-04-02T00:00:00"/>
    <s v="Sunday"/>
    <s v="wwww"/>
  </r>
  <r>
    <n v="238"/>
    <s v="ORD-SP0238-04/04/23"/>
    <s v="SP002"/>
    <s v="Sepatu Pria"/>
    <x v="8"/>
    <n v="2"/>
    <n v="4"/>
    <n v="300000"/>
    <n v="120000"/>
    <s v="PP003"/>
    <s v="Pakaian Pria"/>
    <s v="Jaket Jeans"/>
    <n v="1"/>
    <n v="3"/>
    <n v="400000"/>
    <n v="150000"/>
    <s v="PW002"/>
    <s v="Pakaian Wanita"/>
    <s v="Blouse"/>
    <n v="4"/>
    <n v="5"/>
    <n v="600000"/>
    <n v="200000"/>
    <n v="7"/>
    <n v="1300000"/>
    <n v="1105000"/>
    <n v="470000"/>
    <n v="399500"/>
    <s v="DISC15"/>
    <n v="0.15"/>
    <s v="Promo 4.4"/>
    <s v="Shopee"/>
    <x v="0"/>
    <d v="2023-04-04T00:00:00"/>
    <s v="Tuesday"/>
    <s v="wwww"/>
  </r>
  <r>
    <n v="239"/>
    <s v="ORD-SP0239-08/04/23"/>
    <s v="PW003"/>
    <s v="Pakaian Wanita"/>
    <x v="2"/>
    <n v="4"/>
    <n v="4"/>
    <n v="1000000"/>
    <n v="400000"/>
    <m/>
    <s v="-"/>
    <s v="-"/>
    <m/>
    <m/>
    <s v="0"/>
    <s v="0"/>
    <m/>
    <s v="-"/>
    <s v="-"/>
    <m/>
    <m/>
    <s v="0"/>
    <s v="0"/>
    <n v="4"/>
    <n v="1000000"/>
    <n v="1000000"/>
    <n v="400000"/>
    <n v="400000"/>
    <s v="-"/>
    <s v="-"/>
    <s v="-"/>
    <s v="Shopee"/>
    <x v="0"/>
    <d v="2023-04-08T00:00:00"/>
    <s v="Saturday"/>
    <s v="wwww"/>
  </r>
  <r>
    <n v="240"/>
    <s v="ORD-BB0240-04/04/23"/>
    <s v="PP001"/>
    <s v="Pakaian Pria"/>
    <x v="3"/>
    <n v="6"/>
    <n v="4"/>
    <n v="1200000"/>
    <n v="480000"/>
    <m/>
    <s v="-"/>
    <s v="-"/>
    <m/>
    <m/>
    <s v="0"/>
    <s v="0"/>
    <m/>
    <s v="-"/>
    <s v="-"/>
    <m/>
    <m/>
    <s v="0"/>
    <s v="0"/>
    <n v="6"/>
    <n v="1200000"/>
    <n v="1020000"/>
    <n v="480000"/>
    <n v="408000"/>
    <s v="BELI44"/>
    <n v="0.15"/>
    <s v="Promo 4.4"/>
    <s v="BliBli"/>
    <x v="1"/>
    <d v="2023-04-04T00:00:00"/>
    <s v="Tuesday"/>
    <s v="wwww"/>
  </r>
  <r>
    <n v="241"/>
    <s v="ORD-BL0241-28/04/23"/>
    <s v="PP001"/>
    <s v="Pakaian Pria"/>
    <x v="3"/>
    <n v="3"/>
    <n v="2"/>
    <n v="600000"/>
    <n v="240000"/>
    <s v="SP001"/>
    <s v="Sepatu Pria"/>
    <s v="Sneakers"/>
    <n v="2"/>
    <n v="1"/>
    <n v="1000000"/>
    <n v="400000"/>
    <m/>
    <s v="-"/>
    <s v="-"/>
    <m/>
    <m/>
    <s v="0"/>
    <s v="0"/>
    <n v="5"/>
    <n v="1600000"/>
    <n v="1360000"/>
    <n v="640000"/>
    <n v="544000"/>
    <s v="BUKALEBAR"/>
    <n v="0.15"/>
    <s v="Promo Lebaran"/>
    <s v="Bukalapak"/>
    <x v="5"/>
    <d v="2023-04-28T00:00:00"/>
    <s v="Friday"/>
    <s v="wwww"/>
  </r>
  <r>
    <n v="242"/>
    <s v="ORD-SP0242-14/04/23"/>
    <s v="PP001"/>
    <s v="Pakaian Pria"/>
    <x v="3"/>
    <n v="3"/>
    <n v="5"/>
    <n v="600000"/>
    <n v="240000"/>
    <m/>
    <s v="-"/>
    <s v="-"/>
    <m/>
    <m/>
    <s v="0"/>
    <s v="0"/>
    <m/>
    <s v="-"/>
    <s v="-"/>
    <m/>
    <m/>
    <s v="0"/>
    <s v="0"/>
    <n v="3"/>
    <n v="600000"/>
    <n v="600000"/>
    <n v="240000"/>
    <n v="240000"/>
    <s v="-"/>
    <s v="-"/>
    <s v="-"/>
    <s v="Shopee"/>
    <x v="4"/>
    <d v="2023-04-14T00:00:00"/>
    <s v="Friday"/>
    <s v="wwww"/>
  </r>
  <r>
    <n v="243"/>
    <s v="ORD-SP0243-04/04/23"/>
    <s v="PP002"/>
    <s v="Pakaian Pria"/>
    <x v="4"/>
    <n v="2"/>
    <n v="4"/>
    <n v="360000"/>
    <n v="140000"/>
    <m/>
    <s v="-"/>
    <s v="-"/>
    <m/>
    <m/>
    <s v="0"/>
    <s v="0"/>
    <m/>
    <s v="-"/>
    <s v="-"/>
    <m/>
    <m/>
    <s v="0"/>
    <s v="0"/>
    <n v="2"/>
    <n v="360000"/>
    <n v="306000"/>
    <n v="140000"/>
    <n v="119000"/>
    <s v="DISC15"/>
    <n v="0.15"/>
    <s v="Promo 4.4"/>
    <s v="Shopee"/>
    <x v="4"/>
    <d v="2023-04-04T00:00:00"/>
    <s v="Tuesday"/>
    <s v="wwww"/>
  </r>
  <r>
    <n v="244"/>
    <s v="ORD-TK0244-30/04/23"/>
    <s v="PW001"/>
    <s v="Pakaian Wanita"/>
    <x v="0"/>
    <n v="2"/>
    <n v="4"/>
    <n v="600000"/>
    <n v="200000"/>
    <s v="SP002"/>
    <s v="Sepatu Pria"/>
    <s v="Sandal Slip On"/>
    <n v="1"/>
    <n v="3"/>
    <n v="150000"/>
    <n v="60000"/>
    <m/>
    <s v="-"/>
    <s v="-"/>
    <m/>
    <m/>
    <s v="0"/>
    <s v="0"/>
    <n v="3"/>
    <n v="750000"/>
    <n v="675000"/>
    <n v="260000"/>
    <n v="234000"/>
    <s v="LEBAR10"/>
    <n v="0.1"/>
    <s v="Promo Lebaran"/>
    <s v="Tokopedia"/>
    <x v="5"/>
    <d v="2023-04-30T00:00:00"/>
    <s v="Sunday"/>
    <s v="wwww"/>
  </r>
  <r>
    <n v="245"/>
    <s v="ORD-SP0245-17/04/23"/>
    <s v="PP002"/>
    <s v="Pakaian Pria"/>
    <x v="4"/>
    <n v="1"/>
    <n v="5"/>
    <n v="180000"/>
    <n v="70000"/>
    <m/>
    <s v="-"/>
    <s v="-"/>
    <m/>
    <m/>
    <s v="0"/>
    <s v="0"/>
    <m/>
    <s v="-"/>
    <s v="-"/>
    <m/>
    <m/>
    <s v="0"/>
    <s v="0"/>
    <n v="1"/>
    <n v="180000"/>
    <n v="144000"/>
    <n v="70000"/>
    <n v="56000"/>
    <s v="DISC20"/>
    <n v="0.2"/>
    <s v="Promo Lebaran"/>
    <s v="Shopee"/>
    <x v="0"/>
    <d v="2023-04-17T00:00:00"/>
    <s v="Monday"/>
    <s v="wwww"/>
  </r>
  <r>
    <n v="246"/>
    <s v="ORD-SP0246-05/04/23"/>
    <s v="PP001"/>
    <s v="Pakaian Pria"/>
    <x v="3"/>
    <n v="2"/>
    <n v="3"/>
    <n v="400000"/>
    <n v="160000"/>
    <s v="PW002"/>
    <s v="Pakaian Wanita"/>
    <s v="Blouse"/>
    <n v="1"/>
    <n v="4"/>
    <n v="150000"/>
    <n v="50000"/>
    <m/>
    <s v="-"/>
    <s v="-"/>
    <m/>
    <m/>
    <s v="0"/>
    <s v="0"/>
    <n v="3"/>
    <n v="550000"/>
    <n v="467500"/>
    <n v="210000"/>
    <n v="178500"/>
    <s v="DISC15"/>
    <n v="0.15"/>
    <s v="Promo 4.4"/>
    <s v="Shopee"/>
    <x v="2"/>
    <d v="2023-04-05T00:00:00"/>
    <s v="Wednesday"/>
    <s v="wwww"/>
  </r>
  <r>
    <n v="247"/>
    <s v="ORD-TK0247-30/04/23"/>
    <s v="PP003"/>
    <s v="Pakaian Pria"/>
    <x v="5"/>
    <n v="1"/>
    <n v="5"/>
    <n v="400000"/>
    <n v="150000"/>
    <s v="PU001"/>
    <s v="Pakaian Unisex"/>
    <s v="Jaket Hoodie"/>
    <n v="3"/>
    <n v="4"/>
    <n v="1050000"/>
    <n v="390000"/>
    <m/>
    <s v="-"/>
    <s v="-"/>
    <m/>
    <m/>
    <s v="0"/>
    <s v="0"/>
    <n v="4"/>
    <n v="1450000"/>
    <n v="1305000"/>
    <n v="540000"/>
    <n v="486000"/>
    <s v="LEBAR10"/>
    <n v="0.1"/>
    <s v="Promo Lebaran"/>
    <s v="Tokopedia"/>
    <x v="0"/>
    <d v="2023-04-30T00:00:00"/>
    <s v="Sunday"/>
    <s v="wwww"/>
  </r>
  <r>
    <n v="248"/>
    <s v="ORD-BL0248-22/04/23"/>
    <s v="PW003"/>
    <s v="Pakaian Wanita"/>
    <x v="2"/>
    <n v="1"/>
    <n v="2"/>
    <n v="250000"/>
    <n v="100000"/>
    <s v="PP002"/>
    <s v="Pakaian Pria"/>
    <s v="Celana Pendek"/>
    <n v="1"/>
    <n v="3"/>
    <n v="180000"/>
    <n v="70000"/>
    <s v="PP001"/>
    <s v="Pakaian Pria"/>
    <s v="Kaos Polo"/>
    <n v="5"/>
    <n v="4"/>
    <n v="1000000"/>
    <n v="400000"/>
    <n v="7"/>
    <n v="1430000"/>
    <n v="1215500"/>
    <n v="570000"/>
    <n v="484500"/>
    <s v="BUKALEBAR"/>
    <n v="0.15"/>
    <s v="Promo Lebaran"/>
    <s v="Bukalapak"/>
    <x v="0"/>
    <d v="2023-04-22T00:00:00"/>
    <s v="Saturday"/>
    <s v="wwww"/>
  </r>
  <r>
    <n v="249"/>
    <s v="ORD-TK0249-05/04/23"/>
    <s v="SP002"/>
    <s v="Sepatu Pria"/>
    <x v="8"/>
    <n v="3"/>
    <n v="4"/>
    <n v="450000"/>
    <n v="180000"/>
    <s v="PU001"/>
    <s v="Pakaian Unisex"/>
    <s v="Jaket Hoodie"/>
    <n v="1"/>
    <n v="4"/>
    <n v="350000"/>
    <n v="130000"/>
    <s v="PP001"/>
    <s v="Pakaian Pria"/>
    <s v="Kaos Polo"/>
    <n v="1"/>
    <n v="5"/>
    <n v="200000"/>
    <n v="80000"/>
    <n v="5"/>
    <n v="1000000"/>
    <n v="900000"/>
    <n v="390000"/>
    <n v="351000"/>
    <s v="DISCAPRIL"/>
    <n v="0.1"/>
    <s v="Promo 4.4"/>
    <s v="Tokopedia"/>
    <x v="4"/>
    <d v="2023-04-05T00:00:00"/>
    <s v="Wednesday"/>
    <s v="wwww"/>
  </r>
  <r>
    <n v="250"/>
    <s v="ORD-SP0250-20/04/23"/>
    <s v="PW003"/>
    <s v="Pakaian Wanita"/>
    <x v="2"/>
    <n v="1"/>
    <n v="2"/>
    <n v="250000"/>
    <n v="100000"/>
    <s v="PU001"/>
    <s v="Pakaian Unisex"/>
    <s v="Jaket Hoodie"/>
    <n v="1"/>
    <n v="3"/>
    <n v="350000"/>
    <n v="130000"/>
    <m/>
    <s v="-"/>
    <s v="-"/>
    <m/>
    <m/>
    <s v="0"/>
    <s v="0"/>
    <n v="2"/>
    <n v="600000"/>
    <n v="480000"/>
    <n v="230000"/>
    <n v="184000"/>
    <s v="DISC20"/>
    <n v="0.2"/>
    <s v="Promo Lebaran"/>
    <s v="Shopee"/>
    <x v="1"/>
    <d v="2023-04-20T00:00:00"/>
    <s v="Thursday"/>
    <s v="wwww"/>
  </r>
  <r>
    <n v="251"/>
    <s v="ORD-TK0251-25/04/23"/>
    <s v="SP002"/>
    <s v="Sepatu Pria"/>
    <x v="8"/>
    <n v="2"/>
    <n v="5"/>
    <n v="300000"/>
    <n v="120000"/>
    <m/>
    <s v="-"/>
    <s v="-"/>
    <m/>
    <m/>
    <s v="0"/>
    <s v="0"/>
    <m/>
    <s v="-"/>
    <s v="-"/>
    <m/>
    <m/>
    <s v="0"/>
    <s v="0"/>
    <n v="2"/>
    <n v="300000"/>
    <n v="270000"/>
    <n v="120000"/>
    <n v="108000"/>
    <s v="LEBAR10"/>
    <n v="0.1"/>
    <s v="Promo Lebaran"/>
    <s v="Tokopedia"/>
    <x v="1"/>
    <d v="2023-04-25T00:00:00"/>
    <s v="Tuesday"/>
    <s v="wwww"/>
  </r>
  <r>
    <n v="252"/>
    <s v="ORD-TK0252-17/04/23"/>
    <s v="SP002"/>
    <s v="Sepatu Pria"/>
    <x v="8"/>
    <n v="2"/>
    <n v="4"/>
    <n v="300000"/>
    <n v="120000"/>
    <s v="PU001"/>
    <s v="Pakaian Unisex"/>
    <s v="Jaket Hoodie"/>
    <n v="3"/>
    <n v="2"/>
    <n v="1050000"/>
    <n v="390000"/>
    <s v="SP002"/>
    <s v="Sepatu Pria"/>
    <s v="Sandal Slip On"/>
    <n v="2"/>
    <n v="1"/>
    <n v="300000"/>
    <n v="120000"/>
    <n v="7"/>
    <n v="1650000"/>
    <n v="1485000"/>
    <n v="630000"/>
    <n v="567000"/>
    <s v="LEBAR10"/>
    <n v="0.1"/>
    <s v="Promo Lebaran"/>
    <s v="Tokopedia"/>
    <x v="4"/>
    <d v="2023-04-17T00:00:00"/>
    <s v="Monday"/>
    <s v="wwww"/>
  </r>
  <r>
    <n v="253"/>
    <s v="ORD-TK0253-24/04/23"/>
    <s v="SP001"/>
    <s v="Sepatu Pria"/>
    <x v="7"/>
    <n v="4"/>
    <n v="1"/>
    <n v="2000000"/>
    <n v="800000"/>
    <s v="SP002"/>
    <s v="Sepatu Pria"/>
    <s v="Sandal Slip On"/>
    <n v="2"/>
    <n v="5"/>
    <n v="300000"/>
    <n v="120000"/>
    <m/>
    <s v="-"/>
    <s v="-"/>
    <m/>
    <m/>
    <s v="0"/>
    <s v="0"/>
    <n v="6"/>
    <n v="2300000"/>
    <n v="2070000"/>
    <n v="920000"/>
    <n v="828000"/>
    <s v="LEBAR10"/>
    <n v="0.1"/>
    <s v="Promo Lebaran"/>
    <s v="Tokopedia"/>
    <x v="1"/>
    <d v="2023-04-24T00:00:00"/>
    <s v="Monday"/>
    <s v="wwww"/>
  </r>
  <r>
    <n v="254"/>
    <s v="ORD-SP0254-02/04/23"/>
    <s v="PP001"/>
    <s v="Pakaian Pria"/>
    <x v="3"/>
    <n v="6"/>
    <n v="4"/>
    <n v="1200000"/>
    <n v="480000"/>
    <m/>
    <s v="-"/>
    <s v="-"/>
    <m/>
    <m/>
    <s v="0"/>
    <s v="0"/>
    <m/>
    <s v="-"/>
    <s v="-"/>
    <m/>
    <m/>
    <s v="0"/>
    <s v="0"/>
    <n v="6"/>
    <n v="1200000"/>
    <n v="1080000"/>
    <n v="480000"/>
    <n v="432000"/>
    <s v="DISC10"/>
    <n v="0.1"/>
    <s v="Promo 4.4"/>
    <s v="Shopee"/>
    <x v="3"/>
    <d v="2023-04-02T00:00:00"/>
    <s v="Sunday"/>
    <s v="wwww"/>
  </r>
  <r>
    <n v="255"/>
    <s v="ORD-TK0255-21/04/23"/>
    <s v="SW001"/>
    <s v="Sepatu Wanita"/>
    <x v="9"/>
    <n v="3"/>
    <n v="3"/>
    <n v="750000"/>
    <n v="300000"/>
    <s v="SP002"/>
    <s v="Sepatu Pria"/>
    <s v="Sandal Slip On"/>
    <n v="1"/>
    <n v="3"/>
    <n v="150000"/>
    <n v="60000"/>
    <s v="PU001"/>
    <s v="Pakaian Unisex"/>
    <s v="Jaket Hoodie"/>
    <n v="1"/>
    <n v="2"/>
    <n v="350000"/>
    <n v="130000"/>
    <n v="5"/>
    <n v="1250000"/>
    <n v="1125000"/>
    <n v="490000"/>
    <n v="441000"/>
    <s v="LEBAR10"/>
    <n v="0.1"/>
    <s v="Promo Lebaran"/>
    <s v="Tokopedia"/>
    <x v="0"/>
    <d v="2023-04-21T00:00:00"/>
    <s v="Friday"/>
    <s v="wwww"/>
  </r>
  <r>
    <n v="256"/>
    <s v="ORD-SP0256-01/04/23"/>
    <s v="PU001"/>
    <s v="Pakaian Unisex"/>
    <x v="6"/>
    <n v="3"/>
    <n v="4"/>
    <n v="1050000"/>
    <n v="390000"/>
    <s v="SP002"/>
    <s v="Sepatu Pria"/>
    <s v="Sandal Slip On"/>
    <n v="1"/>
    <n v="5"/>
    <n v="150000"/>
    <n v="60000"/>
    <s v="SP002"/>
    <s v="Sepatu Pria"/>
    <s v="Sandal Slip On"/>
    <n v="1"/>
    <n v="2"/>
    <n v="150000"/>
    <n v="60000"/>
    <n v="5"/>
    <n v="1350000"/>
    <n v="1215000"/>
    <n v="510000"/>
    <n v="459000"/>
    <s v="DISC10"/>
    <n v="0.1"/>
    <s v="Promo 4.4"/>
    <s v="Shopee"/>
    <x v="2"/>
    <d v="2023-04-01T00:00:00"/>
    <s v="Saturday"/>
    <s v="wwww"/>
  </r>
  <r>
    <n v="257"/>
    <s v="ORD-BB0257-01/04/23"/>
    <s v="SP001"/>
    <s v="Sepatu Pria"/>
    <x v="7"/>
    <n v="3"/>
    <n v="3"/>
    <n v="1500000"/>
    <n v="600000"/>
    <m/>
    <s v="-"/>
    <s v="-"/>
    <m/>
    <m/>
    <s v="0"/>
    <s v="0"/>
    <m/>
    <s v="-"/>
    <s v="-"/>
    <m/>
    <m/>
    <s v="0"/>
    <s v="0"/>
    <n v="3"/>
    <n v="1500000"/>
    <n v="1275000"/>
    <n v="600000"/>
    <n v="510000"/>
    <s v="BELI44"/>
    <n v="0.15"/>
    <s v="Promo 4.4"/>
    <s v="BliBli"/>
    <x v="4"/>
    <d v="2023-04-01T00:00:00"/>
    <s v="Saturday"/>
    <s v="wwww"/>
  </r>
  <r>
    <n v="258"/>
    <s v="ORD-SP0258-25/04/23"/>
    <s v="SW001"/>
    <s v="Sepatu Wanita"/>
    <x v="9"/>
    <n v="1"/>
    <n v="1"/>
    <n v="250000"/>
    <n v="100000"/>
    <m/>
    <s v="-"/>
    <s v="-"/>
    <m/>
    <m/>
    <s v="0"/>
    <s v="0"/>
    <m/>
    <s v="-"/>
    <s v="-"/>
    <m/>
    <m/>
    <s v="0"/>
    <s v="0"/>
    <n v="1"/>
    <n v="250000"/>
    <n v="200000"/>
    <n v="100000"/>
    <n v="80000"/>
    <s v="DISC20"/>
    <n v="0.2"/>
    <s v="Promo Lebaran"/>
    <s v="Shopee"/>
    <x v="1"/>
    <d v="2023-04-25T00:00:00"/>
    <s v="Tuesday"/>
    <s v="wwww"/>
  </r>
  <r>
    <n v="259"/>
    <s v="ORD-SP0259-07/04/23"/>
    <s v="PU001"/>
    <s v="Pakaian Unisex"/>
    <x v="6"/>
    <n v="2"/>
    <n v="2"/>
    <n v="700000"/>
    <n v="260000"/>
    <m/>
    <s v="-"/>
    <s v="-"/>
    <m/>
    <m/>
    <s v="0"/>
    <s v="0"/>
    <m/>
    <s v="-"/>
    <s v="-"/>
    <m/>
    <m/>
    <s v="0"/>
    <s v="0"/>
    <n v="2"/>
    <n v="700000"/>
    <n v="700000"/>
    <n v="260000"/>
    <n v="260000"/>
    <s v="-"/>
    <s v="-"/>
    <s v="-"/>
    <s v="Shopee"/>
    <x v="3"/>
    <d v="2023-04-07T00:00:00"/>
    <s v="Friday"/>
    <s v="wwww"/>
  </r>
  <r>
    <n v="260"/>
    <s v="ORD-TK0260-19/04/23"/>
    <s v="PW002"/>
    <s v="Pakaian Wanita"/>
    <x v="1"/>
    <n v="2"/>
    <n v="4"/>
    <n v="300000"/>
    <n v="100000"/>
    <m/>
    <s v="-"/>
    <s v="-"/>
    <m/>
    <m/>
    <s v="0"/>
    <s v="0"/>
    <m/>
    <s v="-"/>
    <s v="-"/>
    <m/>
    <m/>
    <s v="0"/>
    <s v="0"/>
    <n v="2"/>
    <n v="300000"/>
    <n v="270000"/>
    <n v="100000"/>
    <n v="90000"/>
    <s v="LEBAR10"/>
    <n v="0.1"/>
    <s v="Promo Lebaran"/>
    <s v="Tokopedia"/>
    <x v="4"/>
    <d v="2023-04-19T00:00:00"/>
    <s v="Wednesday"/>
    <s v="wwww"/>
  </r>
  <r>
    <n v="261"/>
    <s v="ORD-SP0261-06/04/23"/>
    <s v="PW002"/>
    <s v="Pakaian Wanita"/>
    <x v="1"/>
    <n v="6"/>
    <n v="3"/>
    <n v="900000"/>
    <n v="300000"/>
    <s v="PP003"/>
    <s v="Pakaian Pria"/>
    <s v="Jaket Jeans"/>
    <n v="1"/>
    <n v="5"/>
    <n v="400000"/>
    <n v="150000"/>
    <m/>
    <s v="-"/>
    <s v="-"/>
    <m/>
    <m/>
    <s v="0"/>
    <s v="0"/>
    <n v="7"/>
    <n v="1300000"/>
    <n v="1105000"/>
    <n v="450000"/>
    <n v="382500"/>
    <s v="DISC15"/>
    <n v="0.15"/>
    <s v="Promo 4.4"/>
    <s v="Shopee"/>
    <x v="2"/>
    <d v="2023-04-06T00:00:00"/>
    <s v="Thursday"/>
    <s v="wwww"/>
  </r>
  <r>
    <n v="262"/>
    <s v="ORD-SP0262-04/04/23"/>
    <s v="PP003"/>
    <s v="Pakaian Pria"/>
    <x v="5"/>
    <n v="3"/>
    <n v="5"/>
    <n v="1200000"/>
    <n v="450000"/>
    <s v="PW001"/>
    <s v="Pakaian Wanita"/>
    <s v="Dress"/>
    <n v="1"/>
    <n v="1"/>
    <n v="300000"/>
    <n v="100000"/>
    <m/>
    <s v="-"/>
    <s v="-"/>
    <m/>
    <m/>
    <s v="0"/>
    <s v="0"/>
    <n v="4"/>
    <n v="1500000"/>
    <n v="1350000"/>
    <n v="550000"/>
    <n v="495000"/>
    <s v="DISC10"/>
    <n v="0.1"/>
    <s v="Promo 4.4"/>
    <s v="Shopee"/>
    <x v="1"/>
    <d v="2023-04-04T00:00:00"/>
    <s v="Tuesday"/>
    <s v="wwww"/>
  </r>
  <r>
    <n v="263"/>
    <s v="ORD-TK0263-08/04/23"/>
    <s v="PP003"/>
    <s v="Pakaian Pria"/>
    <x v="5"/>
    <n v="1"/>
    <n v="3"/>
    <n v="400000"/>
    <n v="150000"/>
    <s v="SW001"/>
    <s v="Sepatu Wanita"/>
    <s v="Flat Shoes"/>
    <n v="3"/>
    <n v="3"/>
    <n v="750000"/>
    <n v="300000"/>
    <m/>
    <s v="-"/>
    <s v="-"/>
    <m/>
    <m/>
    <s v="0"/>
    <s v="0"/>
    <n v="4"/>
    <n v="1150000"/>
    <n v="1150000"/>
    <n v="450000"/>
    <n v="450000"/>
    <s v="-"/>
    <s v="-"/>
    <s v="-"/>
    <s v="Tokopedia"/>
    <x v="0"/>
    <d v="2023-04-08T00:00:00"/>
    <s v="Saturday"/>
    <s v="wwww"/>
  </r>
  <r>
    <n v="264"/>
    <s v="ORD-SP0264-19/04/23"/>
    <s v="PP002"/>
    <s v="Pakaian Pria"/>
    <x v="4"/>
    <n v="1"/>
    <n v="2"/>
    <n v="180000"/>
    <n v="70000"/>
    <m/>
    <s v="-"/>
    <s v="-"/>
    <m/>
    <m/>
    <s v="0"/>
    <s v="0"/>
    <m/>
    <s v="-"/>
    <s v="-"/>
    <m/>
    <m/>
    <s v="0"/>
    <s v="0"/>
    <n v="1"/>
    <n v="180000"/>
    <n v="144000"/>
    <n v="70000"/>
    <n v="56000"/>
    <s v="DISC20"/>
    <n v="0.2"/>
    <s v="Promo Lebaran"/>
    <s v="Shopee"/>
    <x v="4"/>
    <d v="2023-04-19T00:00:00"/>
    <s v="Wednesday"/>
    <s v="wwww"/>
  </r>
  <r>
    <n v="265"/>
    <s v="ORD-BL0265-20/04/23"/>
    <s v="PP001"/>
    <s v="Pakaian Pria"/>
    <x v="3"/>
    <n v="3"/>
    <n v="5"/>
    <n v="600000"/>
    <n v="240000"/>
    <m/>
    <s v="-"/>
    <s v="-"/>
    <m/>
    <m/>
    <s v="0"/>
    <s v="0"/>
    <m/>
    <s v="-"/>
    <s v="-"/>
    <m/>
    <m/>
    <s v="0"/>
    <s v="0"/>
    <n v="3"/>
    <n v="600000"/>
    <n v="510000"/>
    <n v="240000"/>
    <n v="204000"/>
    <s v="BUKALEBAR"/>
    <n v="0.15"/>
    <s v="Promo Lebaran"/>
    <s v="Bukalapak"/>
    <x v="4"/>
    <d v="2023-04-20T00:00:00"/>
    <s v="Thursday"/>
    <s v="wwww"/>
  </r>
  <r>
    <n v="266"/>
    <s v="ORD-SP0266-21/04/23"/>
    <s v="SP001"/>
    <s v="Sepatu Pria"/>
    <x v="7"/>
    <n v="2"/>
    <n v="1"/>
    <n v="1000000"/>
    <n v="400000"/>
    <m/>
    <s v="-"/>
    <s v="-"/>
    <m/>
    <m/>
    <s v="0"/>
    <s v="0"/>
    <m/>
    <s v="-"/>
    <s v="-"/>
    <m/>
    <m/>
    <s v="0"/>
    <s v="0"/>
    <n v="2"/>
    <n v="1000000"/>
    <n v="800000"/>
    <n v="400000"/>
    <n v="320000"/>
    <s v="DISC20"/>
    <n v="0.2"/>
    <s v="Promo Lebaran"/>
    <s v="Shopee"/>
    <x v="0"/>
    <d v="2023-04-21T00:00:00"/>
    <s v="Friday"/>
    <s v="wwww"/>
  </r>
  <r>
    <n v="267"/>
    <s v="ORD-TK0267-04/04/23"/>
    <s v="SP002"/>
    <s v="Sepatu Pria"/>
    <x v="8"/>
    <n v="6"/>
    <n v="1"/>
    <n v="900000"/>
    <n v="360000"/>
    <m/>
    <s v="-"/>
    <s v="-"/>
    <m/>
    <m/>
    <s v="0"/>
    <s v="0"/>
    <m/>
    <s v="-"/>
    <s v="-"/>
    <m/>
    <m/>
    <s v="0"/>
    <s v="0"/>
    <n v="6"/>
    <n v="900000"/>
    <n v="810000"/>
    <n v="360000"/>
    <n v="324000"/>
    <s v="DISCAPRIL"/>
    <n v="0.1"/>
    <s v="Promo 4.4"/>
    <s v="Tokopedia"/>
    <x v="0"/>
    <d v="2023-04-04T00:00:00"/>
    <s v="Tuesday"/>
    <s v="wwww"/>
  </r>
  <r>
    <n v="268"/>
    <s v="ORD-BL0268-25/04/23"/>
    <s v="SP002"/>
    <s v="Sepatu Pria"/>
    <x v="8"/>
    <n v="2"/>
    <n v="2"/>
    <n v="300000"/>
    <n v="120000"/>
    <s v="PU001"/>
    <s v="Pakaian Unisex"/>
    <s v="Jaket Hoodie"/>
    <n v="1"/>
    <n v="5"/>
    <n v="350000"/>
    <n v="130000"/>
    <s v="SP001"/>
    <s v="Sepatu Pria"/>
    <s v="Sneakers"/>
    <n v="4"/>
    <n v="1"/>
    <n v="2000000"/>
    <n v="800000"/>
    <n v="7"/>
    <n v="2650000"/>
    <n v="2252500"/>
    <n v="1050000"/>
    <n v="892500"/>
    <s v="BUKALEBAR"/>
    <n v="0.15"/>
    <s v="Promo Lebaran"/>
    <s v="Bukalapak"/>
    <x v="4"/>
    <d v="2023-04-25T00:00:00"/>
    <s v="Tuesday"/>
    <s v="wwww"/>
  </r>
  <r>
    <n v="269"/>
    <s v="ORD-TK0269-03/04/23"/>
    <s v="SP002"/>
    <s v="Sepatu Pria"/>
    <x v="8"/>
    <n v="4"/>
    <n v="2"/>
    <n v="600000"/>
    <n v="240000"/>
    <s v="PW002"/>
    <s v="Pakaian Wanita"/>
    <s v="Blouse"/>
    <n v="3"/>
    <n v="4"/>
    <n v="450000"/>
    <n v="150000"/>
    <m/>
    <s v="-"/>
    <s v="-"/>
    <m/>
    <m/>
    <s v="0"/>
    <s v="0"/>
    <n v="7"/>
    <n v="1050000"/>
    <n v="945000"/>
    <n v="390000"/>
    <n v="351000"/>
    <s v="DISCAPRIL"/>
    <n v="0.1"/>
    <s v="Promo 4.4"/>
    <s v="Tokopedia"/>
    <x v="4"/>
    <d v="2023-04-03T00:00:00"/>
    <s v="Monday"/>
    <s v="wwww"/>
  </r>
  <r>
    <n v="270"/>
    <s v="ORD-BL0270-20/04/23"/>
    <s v="PU001"/>
    <s v="Pakaian Unisex"/>
    <x v="6"/>
    <n v="1"/>
    <n v="5"/>
    <n v="350000"/>
    <n v="130000"/>
    <s v="PP001"/>
    <s v="Pakaian Pria"/>
    <s v="Kaos Polo"/>
    <n v="1"/>
    <n v="1"/>
    <n v="200000"/>
    <n v="80000"/>
    <m/>
    <s v="-"/>
    <s v="-"/>
    <m/>
    <m/>
    <s v="0"/>
    <s v="0"/>
    <n v="2"/>
    <n v="550000"/>
    <n v="467500"/>
    <n v="210000"/>
    <n v="178500"/>
    <s v="BUKALEBAR"/>
    <n v="0.15"/>
    <s v="Promo Lebaran"/>
    <s v="Bukalapak"/>
    <x v="4"/>
    <d v="2023-04-20T00:00:00"/>
    <s v="Thursday"/>
    <s v="wwww"/>
  </r>
  <r>
    <n v="271"/>
    <s v="ORD-SP0271-14/04/23"/>
    <s v="PW003"/>
    <s v="Pakaian Wanita"/>
    <x v="2"/>
    <n v="5"/>
    <n v="5"/>
    <n v="1250000"/>
    <n v="500000"/>
    <m/>
    <s v="-"/>
    <s v="-"/>
    <m/>
    <m/>
    <s v="0"/>
    <s v="0"/>
    <m/>
    <s v="-"/>
    <s v="-"/>
    <m/>
    <m/>
    <s v="0"/>
    <s v="0"/>
    <n v="5"/>
    <n v="1250000"/>
    <n v="1250000"/>
    <n v="500000"/>
    <n v="500000"/>
    <s v="-"/>
    <s v="-"/>
    <s v="-"/>
    <s v="Shopee"/>
    <x v="5"/>
    <d v="2023-04-14T00:00:00"/>
    <s v="Friday"/>
    <s v="wwww"/>
  </r>
  <r>
    <n v="272"/>
    <s v="ORD-TK0272-21/04/23"/>
    <s v="SP002"/>
    <s v="Sepatu Pria"/>
    <x v="8"/>
    <n v="5"/>
    <n v="2"/>
    <n v="750000"/>
    <n v="300000"/>
    <m/>
    <s v="-"/>
    <s v="-"/>
    <m/>
    <m/>
    <s v="0"/>
    <s v="0"/>
    <m/>
    <s v="-"/>
    <s v="-"/>
    <m/>
    <m/>
    <s v="0"/>
    <s v="0"/>
    <n v="5"/>
    <n v="750000"/>
    <n v="675000"/>
    <n v="300000"/>
    <n v="270000"/>
    <s v="LEBAR10"/>
    <n v="0.1"/>
    <s v="Promo Lebaran"/>
    <s v="Tokopedia"/>
    <x v="4"/>
    <d v="2023-04-21T00:00:00"/>
    <s v="Friday"/>
    <s v="wwww"/>
  </r>
  <r>
    <n v="273"/>
    <s v="ORD-SP0273-04/04/23"/>
    <s v="SW001"/>
    <s v="Sepatu Wanita"/>
    <x v="9"/>
    <n v="2"/>
    <n v="4"/>
    <n v="500000"/>
    <n v="200000"/>
    <s v="SP002"/>
    <s v="Sepatu Pria"/>
    <s v="Sandal Slip On"/>
    <n v="4"/>
    <n v="4"/>
    <n v="600000"/>
    <n v="240000"/>
    <s v="SW001"/>
    <s v="Sepatu Wanita"/>
    <s v="Flat Shoes"/>
    <n v="1"/>
    <n v="3"/>
    <n v="250000"/>
    <n v="100000"/>
    <n v="7"/>
    <n v="1350000"/>
    <n v="1215000"/>
    <n v="540000"/>
    <n v="486000"/>
    <s v="DISC10"/>
    <n v="0.1"/>
    <s v="Promo 4.4"/>
    <s v="Shopee"/>
    <x v="0"/>
    <d v="2023-04-04T00:00:00"/>
    <s v="Tuesday"/>
    <s v="wwww"/>
  </r>
  <r>
    <n v="274"/>
    <s v="ORD-SP0274-20/04/23"/>
    <s v="PW003"/>
    <s v="Pakaian Wanita"/>
    <x v="2"/>
    <n v="4"/>
    <n v="4"/>
    <n v="1000000"/>
    <n v="400000"/>
    <m/>
    <s v="-"/>
    <s v="-"/>
    <m/>
    <m/>
    <s v="0"/>
    <s v="0"/>
    <m/>
    <s v="-"/>
    <s v="-"/>
    <m/>
    <m/>
    <s v="0"/>
    <s v="0"/>
    <n v="4"/>
    <n v="1000000"/>
    <n v="800000"/>
    <n v="400000"/>
    <n v="320000"/>
    <s v="DISC20"/>
    <n v="0.2"/>
    <s v="Promo Lebaran"/>
    <s v="Shopee"/>
    <x v="4"/>
    <d v="2023-04-20T00:00:00"/>
    <s v="Thursday"/>
    <s v="wwww"/>
  </r>
  <r>
    <n v="275"/>
    <s v="ORD-SP0275-01/04/23"/>
    <s v="SW001"/>
    <s v="Sepatu Wanita"/>
    <x v="9"/>
    <n v="1"/>
    <n v="1"/>
    <n v="250000"/>
    <n v="100000"/>
    <m/>
    <s v="-"/>
    <s v="-"/>
    <m/>
    <m/>
    <s v="0"/>
    <s v="0"/>
    <m/>
    <s v="-"/>
    <s v="-"/>
    <m/>
    <m/>
    <s v="0"/>
    <s v="0"/>
    <n v="1"/>
    <n v="250000"/>
    <n v="212500"/>
    <n v="100000"/>
    <n v="85000"/>
    <s v="DISC15"/>
    <n v="0.15"/>
    <s v="Promo 4.4"/>
    <s v="Shopee"/>
    <x v="5"/>
    <d v="2023-04-01T00:00:00"/>
    <s v="Saturday"/>
    <s v="wwww"/>
  </r>
  <r>
    <n v="276"/>
    <s v="ORD-TK0276-06/04/23"/>
    <s v="SP002"/>
    <s v="Sepatu Pria"/>
    <x v="8"/>
    <n v="1"/>
    <n v="5"/>
    <n v="150000"/>
    <n v="60000"/>
    <s v="PW001"/>
    <s v="Pakaian Wanita"/>
    <s v="Dress"/>
    <n v="1"/>
    <n v="2"/>
    <n v="300000"/>
    <n v="100000"/>
    <m/>
    <s v="-"/>
    <s v="-"/>
    <m/>
    <m/>
    <s v="0"/>
    <s v="0"/>
    <n v="2"/>
    <n v="450000"/>
    <n v="405000"/>
    <n v="160000"/>
    <n v="144000"/>
    <s v="DISCAPRIL"/>
    <n v="0.1"/>
    <s v="Promo 4.4"/>
    <s v="Tokopedia"/>
    <x v="0"/>
    <d v="2023-04-06T00:00:00"/>
    <s v="Thursday"/>
    <s v="wwww"/>
  </r>
  <r>
    <n v="277"/>
    <s v="ORD-BL0277-21/04/23"/>
    <s v="PW002"/>
    <s v="Pakaian Wanita"/>
    <x v="1"/>
    <n v="2"/>
    <n v="5"/>
    <n v="300000"/>
    <n v="100000"/>
    <m/>
    <s v="-"/>
    <s v="-"/>
    <m/>
    <m/>
    <s v="0"/>
    <s v="0"/>
    <m/>
    <s v="-"/>
    <s v="-"/>
    <m/>
    <m/>
    <s v="0"/>
    <s v="0"/>
    <n v="2"/>
    <n v="300000"/>
    <n v="255000"/>
    <n v="100000"/>
    <n v="85000"/>
    <s v="BUKALEBAR"/>
    <n v="0.15"/>
    <s v="Promo Lebaran"/>
    <s v="Bukalapak"/>
    <x v="4"/>
    <d v="2023-04-21T00:00:00"/>
    <s v="Friday"/>
    <s v="wwww"/>
  </r>
  <r>
    <n v="278"/>
    <s v="ORD-BL0278-24/04/23"/>
    <s v="PP002"/>
    <s v="Pakaian Pria"/>
    <x v="4"/>
    <n v="5"/>
    <n v="3"/>
    <n v="900000"/>
    <n v="350000"/>
    <s v="PP001"/>
    <s v="Pakaian Pria"/>
    <s v="Kaos Polo"/>
    <n v="1"/>
    <n v="1"/>
    <n v="200000"/>
    <n v="80000"/>
    <m/>
    <s v="-"/>
    <s v="-"/>
    <m/>
    <m/>
    <s v="0"/>
    <s v="0"/>
    <n v="6"/>
    <n v="1100000"/>
    <n v="935000"/>
    <n v="430000"/>
    <n v="365500"/>
    <s v="BUKALEBAR"/>
    <n v="0.15"/>
    <s v="Promo Lebaran"/>
    <s v="Bukalapak"/>
    <x v="4"/>
    <d v="2023-04-24T00:00:00"/>
    <s v="Monday"/>
    <s v="wwww"/>
  </r>
  <r>
    <n v="279"/>
    <s v="ORD-SP0279-01/04/23"/>
    <s v="PP003"/>
    <s v="Pakaian Pria"/>
    <x v="5"/>
    <n v="1"/>
    <n v="5"/>
    <n v="400000"/>
    <n v="150000"/>
    <m/>
    <s v="-"/>
    <s v="-"/>
    <m/>
    <m/>
    <s v="0"/>
    <s v="0"/>
    <m/>
    <s v="-"/>
    <s v="-"/>
    <m/>
    <m/>
    <s v="0"/>
    <s v="0"/>
    <n v="1"/>
    <n v="400000"/>
    <n v="340000"/>
    <n v="150000"/>
    <n v="127500"/>
    <s v="DISC15"/>
    <n v="0.15"/>
    <s v="Promo 4.4"/>
    <s v="Shopee"/>
    <x v="5"/>
    <d v="2023-04-01T00:00:00"/>
    <s v="Saturday"/>
    <s v="wwww"/>
  </r>
  <r>
    <n v="280"/>
    <s v="ORD-SP0280-03/04/23"/>
    <s v="PP003"/>
    <s v="Pakaian Pria"/>
    <x v="5"/>
    <n v="1"/>
    <n v="5"/>
    <n v="400000"/>
    <n v="150000"/>
    <m/>
    <s v="-"/>
    <s v="-"/>
    <m/>
    <m/>
    <s v="0"/>
    <s v="0"/>
    <m/>
    <s v="-"/>
    <s v="-"/>
    <m/>
    <m/>
    <s v="0"/>
    <s v="0"/>
    <n v="1"/>
    <n v="400000"/>
    <n v="340000"/>
    <n v="150000"/>
    <n v="127500"/>
    <s v="DISC15"/>
    <n v="0.15"/>
    <s v="Promo 4.4"/>
    <s v="Shopee"/>
    <x v="5"/>
    <d v="2023-04-03T00:00:00"/>
    <s v="Monday"/>
    <s v="wwww"/>
  </r>
  <r>
    <n v="281"/>
    <s v="ORD-SP0281-23/04/23"/>
    <s v="PP003"/>
    <s v="Pakaian Pria"/>
    <x v="5"/>
    <n v="1"/>
    <n v="5"/>
    <n v="400000"/>
    <n v="150000"/>
    <m/>
    <s v="-"/>
    <s v="-"/>
    <m/>
    <m/>
    <s v="0"/>
    <s v="0"/>
    <m/>
    <s v="-"/>
    <s v="-"/>
    <m/>
    <m/>
    <s v="0"/>
    <s v="0"/>
    <n v="1"/>
    <n v="400000"/>
    <n v="320000"/>
    <n v="150000"/>
    <n v="120000"/>
    <s v="DISC20"/>
    <n v="0.2"/>
    <s v="Promo Lebaran"/>
    <s v="Shopee"/>
    <x v="4"/>
    <d v="2023-04-23T00:00:00"/>
    <s v="Sunday"/>
    <s v="wwww"/>
  </r>
  <r>
    <n v="282"/>
    <s v="ORD-TK0282-03/04/23"/>
    <s v="PP003"/>
    <s v="Pakaian Pria"/>
    <x v="5"/>
    <n v="2"/>
    <n v="3"/>
    <n v="800000"/>
    <n v="300000"/>
    <s v="PW001"/>
    <s v="Pakaian Wanita"/>
    <s v="Dress"/>
    <n v="1"/>
    <n v="2"/>
    <n v="300000"/>
    <n v="100000"/>
    <s v="PP003"/>
    <s v="Pakaian Pria"/>
    <s v="Jaket Jeans"/>
    <n v="1"/>
    <n v="4"/>
    <n v="400000"/>
    <n v="150000"/>
    <n v="4"/>
    <n v="1500000"/>
    <n v="1350000"/>
    <n v="550000"/>
    <n v="495000"/>
    <s v="DISCAPRIL"/>
    <n v="0.1"/>
    <s v="Promo 4.4"/>
    <s v="Tokopedia"/>
    <x v="1"/>
    <d v="2023-04-03T00:00:00"/>
    <s v="Monday"/>
    <s v="wwww"/>
  </r>
  <r>
    <n v="283"/>
    <s v="ORD-BL0283-16/04/23"/>
    <s v="SP002"/>
    <s v="Sepatu Pria"/>
    <x v="8"/>
    <n v="1"/>
    <n v="2"/>
    <n v="150000"/>
    <n v="60000"/>
    <m/>
    <s v="-"/>
    <s v="-"/>
    <m/>
    <m/>
    <s v="0"/>
    <s v="0"/>
    <m/>
    <s v="-"/>
    <s v="-"/>
    <m/>
    <m/>
    <s v="0"/>
    <s v="0"/>
    <n v="1"/>
    <n v="150000"/>
    <n v="127500"/>
    <n v="60000"/>
    <n v="51000"/>
    <s v="BUKALEBAR"/>
    <n v="0.15"/>
    <s v="Promo Lebaran"/>
    <s v="Bukalapak"/>
    <x v="4"/>
    <d v="2023-04-16T00:00:00"/>
    <s v="Sunday"/>
    <s v="wwww"/>
  </r>
  <r>
    <n v="284"/>
    <s v="ORD-SP0284-02/04/23"/>
    <s v="PP001"/>
    <s v="Pakaian Pria"/>
    <x v="3"/>
    <n v="7"/>
    <n v="3"/>
    <n v="1400000"/>
    <n v="560000"/>
    <m/>
    <s v="-"/>
    <s v="-"/>
    <m/>
    <m/>
    <s v="0"/>
    <s v="0"/>
    <m/>
    <s v="-"/>
    <s v="-"/>
    <m/>
    <m/>
    <s v="0"/>
    <s v="0"/>
    <n v="7"/>
    <n v="1400000"/>
    <n v="1260000"/>
    <n v="560000"/>
    <n v="504000"/>
    <s v="DISC10"/>
    <n v="0.1"/>
    <s v="Promo 4.4"/>
    <s v="Shopee"/>
    <x v="4"/>
    <d v="2023-04-02T00:00:00"/>
    <s v="Sunday"/>
    <s v="wwww"/>
  </r>
  <r>
    <n v="285"/>
    <s v="ORD-SP0285-16/04/23"/>
    <s v="PW003"/>
    <s v="Pakaian Wanita"/>
    <x v="2"/>
    <n v="2"/>
    <n v="3"/>
    <n v="500000"/>
    <n v="200000"/>
    <s v="SW001"/>
    <s v="Sepatu Wanita"/>
    <s v="Flat Shoes"/>
    <n v="3"/>
    <n v="5"/>
    <n v="750000"/>
    <n v="300000"/>
    <m/>
    <s v="-"/>
    <s v="-"/>
    <m/>
    <m/>
    <s v="0"/>
    <s v="0"/>
    <n v="5"/>
    <n v="1250000"/>
    <n v="1000000"/>
    <n v="500000"/>
    <n v="400000"/>
    <s v="DISC20"/>
    <n v="0.2"/>
    <s v="Promo Lebaran"/>
    <s v="Shopee"/>
    <x v="0"/>
    <d v="2023-04-16T00:00:00"/>
    <s v="Sunday"/>
    <s v="wwww"/>
  </r>
  <r>
    <n v="286"/>
    <s v="ORD-SP0286-03/04/23"/>
    <s v="PW001"/>
    <s v="Pakaian Wanita"/>
    <x v="0"/>
    <n v="2"/>
    <n v="4"/>
    <n v="600000"/>
    <n v="200000"/>
    <m/>
    <s v="-"/>
    <s v="-"/>
    <m/>
    <m/>
    <s v="0"/>
    <s v="0"/>
    <m/>
    <s v="-"/>
    <s v="-"/>
    <m/>
    <m/>
    <s v="0"/>
    <s v="0"/>
    <n v="2"/>
    <n v="600000"/>
    <n v="510000"/>
    <n v="200000"/>
    <n v="170000"/>
    <s v="DISC15"/>
    <n v="0.15"/>
    <s v="Promo 4.4"/>
    <s v="Shopee"/>
    <x v="5"/>
    <d v="2023-04-03T00:00:00"/>
    <s v="Monday"/>
    <s v="wwww"/>
  </r>
  <r>
    <n v="287"/>
    <s v="ORD-BB0287-03/04/23"/>
    <s v="PP003"/>
    <s v="Pakaian Pria"/>
    <x v="5"/>
    <n v="1"/>
    <n v="2"/>
    <n v="400000"/>
    <n v="150000"/>
    <s v="SP002"/>
    <s v="Sepatu Pria"/>
    <s v="Sandal Slip On"/>
    <n v="2"/>
    <n v="1"/>
    <n v="300000"/>
    <n v="120000"/>
    <s v="PP002"/>
    <s v="Pakaian Pria"/>
    <s v="Celana Pendek"/>
    <n v="4"/>
    <n v="2"/>
    <n v="720000"/>
    <n v="280000"/>
    <n v="7"/>
    <n v="1420000"/>
    <n v="1207000"/>
    <n v="550000"/>
    <n v="467500"/>
    <s v="BELI44"/>
    <n v="0.15"/>
    <s v="Promo 4.4"/>
    <s v="BliBli"/>
    <x v="4"/>
    <d v="2023-04-03T00:00:00"/>
    <s v="Monday"/>
    <s v="wwww"/>
  </r>
  <r>
    <n v="288"/>
    <s v="ORD-SP0288-05/04/23"/>
    <s v="PW003"/>
    <s v="Pakaian Wanita"/>
    <x v="2"/>
    <n v="2"/>
    <n v="2"/>
    <n v="500000"/>
    <n v="200000"/>
    <s v="PP003"/>
    <s v="Pakaian Pria"/>
    <s v="Jaket Jeans"/>
    <n v="1"/>
    <n v="4"/>
    <n v="400000"/>
    <n v="150000"/>
    <m/>
    <s v="-"/>
    <s v="-"/>
    <m/>
    <m/>
    <s v="0"/>
    <s v="0"/>
    <n v="3"/>
    <n v="900000"/>
    <n v="810000"/>
    <n v="350000"/>
    <n v="315000"/>
    <s v="DISC10"/>
    <n v="0.1"/>
    <s v="Promo 4.4"/>
    <s v="Shopee"/>
    <x v="5"/>
    <d v="2023-04-05T00:00:00"/>
    <s v="Wednesday"/>
    <s v="wwww"/>
  </r>
  <r>
    <n v="289"/>
    <s v="ORD-BB0289-03/04/23"/>
    <s v="PW001"/>
    <s v="Pakaian Wanita"/>
    <x v="0"/>
    <n v="4"/>
    <n v="1"/>
    <n v="1200000"/>
    <n v="400000"/>
    <s v="PW003"/>
    <s v="Pakaian Wanita"/>
    <s v="Kaftan"/>
    <n v="1"/>
    <n v="2"/>
    <n v="250000"/>
    <n v="100000"/>
    <s v="SP002"/>
    <s v="Sepatu Pria"/>
    <s v="Sandal Slip On"/>
    <n v="1"/>
    <n v="2"/>
    <n v="150000"/>
    <n v="60000"/>
    <n v="6"/>
    <n v="1600000"/>
    <n v="1360000"/>
    <n v="560000"/>
    <n v="476000"/>
    <s v="BELI44"/>
    <n v="0.15"/>
    <s v="Promo 4.4"/>
    <s v="BliBli"/>
    <x v="2"/>
    <d v="2023-04-03T00:00:00"/>
    <s v="Monday"/>
    <s v="wwww"/>
  </r>
  <r>
    <n v="290"/>
    <s v="ORD-TK0290-07/04/23"/>
    <s v="PP003"/>
    <s v="Pakaian Pria"/>
    <x v="5"/>
    <n v="6"/>
    <n v="2"/>
    <n v="2400000"/>
    <n v="900000"/>
    <s v="PP002"/>
    <s v="Pakaian Pria"/>
    <s v="Celana Pendek"/>
    <n v="1"/>
    <n v="1"/>
    <n v="180000"/>
    <n v="70000"/>
    <m/>
    <s v="-"/>
    <s v="-"/>
    <m/>
    <m/>
    <s v="0"/>
    <s v="0"/>
    <n v="7"/>
    <n v="2580000"/>
    <n v="2580000"/>
    <n v="970000"/>
    <n v="970000"/>
    <s v="-"/>
    <s v="-"/>
    <s v="-"/>
    <s v="Tokopedia"/>
    <x v="0"/>
    <d v="2023-04-07T00:00:00"/>
    <s v="Friday"/>
    <s v="wwww"/>
  </r>
  <r>
    <n v="291"/>
    <s v="ORD-SP0291-04/04/23"/>
    <s v="SP002"/>
    <s v="Sepatu Pria"/>
    <x v="8"/>
    <n v="1"/>
    <n v="4"/>
    <n v="150000"/>
    <n v="60000"/>
    <s v="SP001"/>
    <s v="Sepatu Pria"/>
    <s v="Sneakers"/>
    <n v="1"/>
    <n v="4"/>
    <n v="500000"/>
    <n v="200000"/>
    <m/>
    <s v="-"/>
    <s v="-"/>
    <m/>
    <m/>
    <s v="0"/>
    <s v="0"/>
    <n v="2"/>
    <n v="650000"/>
    <n v="552500"/>
    <n v="260000"/>
    <n v="221000"/>
    <s v="DISC15"/>
    <n v="0.15"/>
    <s v="Promo 4.4"/>
    <s v="Shopee"/>
    <x v="4"/>
    <d v="2023-04-04T00:00:00"/>
    <s v="Tuesday"/>
    <s v="wwww"/>
  </r>
  <r>
    <n v="292"/>
    <s v="ORD-BB0292-05/04/23"/>
    <s v="SW001"/>
    <s v="Sepatu Wanita"/>
    <x v="9"/>
    <n v="3"/>
    <n v="2"/>
    <n v="750000"/>
    <n v="300000"/>
    <m/>
    <s v="-"/>
    <s v="-"/>
    <m/>
    <m/>
    <s v="0"/>
    <s v="0"/>
    <m/>
    <s v="-"/>
    <s v="-"/>
    <m/>
    <m/>
    <s v="0"/>
    <s v="0"/>
    <n v="3"/>
    <n v="750000"/>
    <n v="637500"/>
    <n v="300000"/>
    <n v="255000"/>
    <s v="BELI44"/>
    <n v="0.15"/>
    <s v="Promo 4.4"/>
    <s v="BliBli"/>
    <x v="4"/>
    <d v="2023-04-05T00:00:00"/>
    <s v="Wednesday"/>
    <s v="wwww"/>
  </r>
  <r>
    <n v="293"/>
    <s v="ORD-SP0293-06/04/23"/>
    <s v="PP003"/>
    <s v="Pakaian Pria"/>
    <x v="5"/>
    <n v="2"/>
    <n v="2"/>
    <n v="800000"/>
    <n v="300000"/>
    <s v="PW003"/>
    <s v="Pakaian Wanita"/>
    <s v="Kaftan"/>
    <n v="2"/>
    <n v="1"/>
    <n v="500000"/>
    <n v="200000"/>
    <s v="PW002"/>
    <s v="Pakaian Wanita"/>
    <s v="Blouse"/>
    <n v="3"/>
    <n v="2"/>
    <n v="450000"/>
    <n v="150000"/>
    <n v="7"/>
    <n v="1750000"/>
    <n v="1487500"/>
    <n v="650000"/>
    <n v="552500"/>
    <s v="DISC15"/>
    <n v="0.15"/>
    <s v="Promo 4.4"/>
    <s v="Shopee"/>
    <x v="5"/>
    <d v="2023-04-06T00:00:00"/>
    <s v="Thursday"/>
    <s v="wwww"/>
  </r>
  <r>
    <n v="294"/>
    <s v="ORD-SP0294-17/04/23"/>
    <s v="PW002"/>
    <s v="Pakaian Wanita"/>
    <x v="1"/>
    <n v="1"/>
    <n v="2"/>
    <n v="150000"/>
    <n v="50000"/>
    <s v="PW003"/>
    <s v="Pakaian Wanita"/>
    <s v="Kaftan"/>
    <n v="1"/>
    <n v="3"/>
    <n v="250000"/>
    <n v="100000"/>
    <m/>
    <s v="-"/>
    <s v="-"/>
    <m/>
    <m/>
    <s v="0"/>
    <s v="0"/>
    <n v="2"/>
    <n v="400000"/>
    <n v="320000"/>
    <n v="150000"/>
    <n v="120000"/>
    <s v="DISC20"/>
    <n v="0.2"/>
    <s v="Promo Lebaran"/>
    <s v="Shopee"/>
    <x v="2"/>
    <d v="2023-04-17T00:00:00"/>
    <s v="Monday"/>
    <s v="wwww"/>
  </r>
  <r>
    <n v="295"/>
    <s v="ORD-SP0295-05/04/23"/>
    <s v="PW002"/>
    <s v="Pakaian Wanita"/>
    <x v="1"/>
    <n v="6"/>
    <n v="4"/>
    <n v="900000"/>
    <n v="300000"/>
    <m/>
    <s v="-"/>
    <s v="-"/>
    <m/>
    <m/>
    <s v="0"/>
    <s v="0"/>
    <m/>
    <s v="-"/>
    <s v="-"/>
    <m/>
    <m/>
    <s v="0"/>
    <s v="0"/>
    <n v="6"/>
    <n v="900000"/>
    <n v="810000"/>
    <n v="300000"/>
    <n v="270000"/>
    <s v="DISC10"/>
    <n v="0.1"/>
    <s v="Promo 4.4"/>
    <s v="Shopee"/>
    <x v="0"/>
    <d v="2023-04-05T00:00:00"/>
    <s v="Wednesday"/>
    <s v="wwww"/>
  </r>
  <r>
    <n v="296"/>
    <s v="ORD-BB0296-02/04/23"/>
    <s v="PP002"/>
    <s v="Pakaian Pria"/>
    <x v="4"/>
    <n v="3"/>
    <n v="5"/>
    <n v="540000"/>
    <n v="210000"/>
    <s v="PP001"/>
    <s v="Pakaian Pria"/>
    <s v="Kaos Polo"/>
    <n v="1"/>
    <n v="3"/>
    <n v="200000"/>
    <n v="80000"/>
    <m/>
    <s v="-"/>
    <s v="-"/>
    <m/>
    <m/>
    <s v="0"/>
    <s v="0"/>
    <n v="4"/>
    <n v="740000"/>
    <n v="629000"/>
    <n v="290000"/>
    <n v="246500"/>
    <s v="BELI44"/>
    <n v="0.15"/>
    <s v="Promo 4.4"/>
    <s v="BliBli"/>
    <x v="4"/>
    <d v="2023-04-02T00:00:00"/>
    <s v="Sunday"/>
    <s v="wwww"/>
  </r>
  <r>
    <n v="297"/>
    <s v="ORD-BB0297-13/04/23"/>
    <s v="PP003"/>
    <s v="Pakaian Pria"/>
    <x v="5"/>
    <n v="6"/>
    <n v="5"/>
    <n v="2400000"/>
    <n v="900000"/>
    <m/>
    <s v="-"/>
    <s v="-"/>
    <m/>
    <m/>
    <s v="0"/>
    <s v="0"/>
    <m/>
    <s v="-"/>
    <s v="-"/>
    <m/>
    <m/>
    <s v="0"/>
    <s v="0"/>
    <n v="6"/>
    <n v="2400000"/>
    <n v="2400000"/>
    <n v="900000"/>
    <n v="900000"/>
    <s v="-"/>
    <s v="-"/>
    <s v="-"/>
    <s v="BliBli"/>
    <x v="4"/>
    <d v="2023-04-13T00:00:00"/>
    <s v="Thursday"/>
    <s v="wwww"/>
  </r>
  <r>
    <n v="298"/>
    <s v="ORD-SP0298-02/04/23"/>
    <s v="PW001"/>
    <s v="Pakaian Wanita"/>
    <x v="0"/>
    <n v="4"/>
    <n v="1"/>
    <n v="1200000"/>
    <n v="400000"/>
    <s v="PP001"/>
    <s v="Pakaian Pria"/>
    <s v="Kaos Polo"/>
    <n v="3"/>
    <n v="4"/>
    <n v="600000"/>
    <n v="240000"/>
    <m/>
    <s v="-"/>
    <s v="-"/>
    <m/>
    <m/>
    <s v="0"/>
    <s v="0"/>
    <n v="7"/>
    <n v="1800000"/>
    <n v="1620000"/>
    <n v="640000"/>
    <n v="576000"/>
    <s v="DISC10"/>
    <n v="0.1"/>
    <s v="Promo 4.4"/>
    <s v="Shopee"/>
    <x v="0"/>
    <d v="2023-04-02T00:00:00"/>
    <s v="Sunday"/>
    <s v="wwww"/>
  </r>
  <r>
    <n v="299"/>
    <s v="ORD-TK0299-21/04/23"/>
    <s v="PW002"/>
    <s v="Pakaian Wanita"/>
    <x v="1"/>
    <n v="2"/>
    <n v="4"/>
    <n v="300000"/>
    <n v="100000"/>
    <s v="PP001"/>
    <s v="Pakaian Pria"/>
    <s v="Kaos Polo"/>
    <n v="4"/>
    <n v="3"/>
    <n v="800000"/>
    <n v="320000"/>
    <m/>
    <s v="-"/>
    <s v="-"/>
    <m/>
    <m/>
    <s v="0"/>
    <s v="0"/>
    <n v="6"/>
    <n v="1100000"/>
    <n v="990000"/>
    <n v="420000"/>
    <n v="378000"/>
    <s v="LEBAR10"/>
    <n v="0.1"/>
    <s v="Promo Lebaran"/>
    <s v="Tokopedia"/>
    <x v="5"/>
    <d v="2023-04-21T00:00:00"/>
    <s v="Friday"/>
    <s v="wwww"/>
  </r>
  <r>
    <n v="300"/>
    <s v="ORD-SP0300-04/04/23"/>
    <s v="PW001"/>
    <s v="Pakaian Wanita"/>
    <x v="0"/>
    <n v="1"/>
    <n v="3"/>
    <n v="300000"/>
    <n v="100000"/>
    <s v="SP002"/>
    <s v="Sepatu Pria"/>
    <s v="Sandal Slip On"/>
    <n v="2"/>
    <n v="4"/>
    <n v="300000"/>
    <n v="120000"/>
    <s v="PP002"/>
    <s v="Pakaian Pria"/>
    <s v="Celana Pendek"/>
    <n v="1"/>
    <n v="4"/>
    <n v="180000"/>
    <n v="70000"/>
    <n v="4"/>
    <n v="780000"/>
    <n v="663000"/>
    <n v="290000"/>
    <n v="246500"/>
    <s v="DISC15"/>
    <n v="0.15"/>
    <s v="Promo 4.4"/>
    <s v="Shopee"/>
    <x v="4"/>
    <d v="2023-04-04T00:00:00"/>
    <s v="Tuesday"/>
    <s v="wwww"/>
  </r>
  <r>
    <n v="301"/>
    <s v="ORD-SP0301-04/04/23"/>
    <s v="PP003"/>
    <s v="Pakaian Pria"/>
    <x v="5"/>
    <n v="3"/>
    <n v="4"/>
    <n v="1200000"/>
    <n v="450000"/>
    <s v="PP002"/>
    <s v="Pakaian Pria"/>
    <s v="Celana Pendek"/>
    <n v="4"/>
    <n v="4"/>
    <n v="720000"/>
    <n v="280000"/>
    <m/>
    <s v="-"/>
    <s v="-"/>
    <m/>
    <m/>
    <s v="0"/>
    <s v="0"/>
    <n v="7"/>
    <n v="1920000"/>
    <n v="1728000"/>
    <n v="730000"/>
    <n v="657000"/>
    <s v="DISC10"/>
    <n v="0.1"/>
    <s v="Promo 4.4"/>
    <s v="Shopee"/>
    <x v="3"/>
    <d v="2023-04-04T00:00:00"/>
    <s v="Tuesday"/>
    <s v="wwww"/>
  </r>
  <r>
    <n v="302"/>
    <s v="ORD-BL0302-21/04/23"/>
    <s v="PP002"/>
    <s v="Pakaian Pria"/>
    <x v="4"/>
    <n v="1"/>
    <n v="2"/>
    <n v="180000"/>
    <n v="70000"/>
    <m/>
    <s v="-"/>
    <s v="-"/>
    <m/>
    <m/>
    <s v="0"/>
    <s v="0"/>
    <m/>
    <s v="-"/>
    <s v="-"/>
    <m/>
    <m/>
    <s v="0"/>
    <s v="0"/>
    <n v="1"/>
    <n v="180000"/>
    <n v="153000"/>
    <n v="70000"/>
    <n v="59500"/>
    <s v="BUKALEBAR"/>
    <n v="0.15"/>
    <s v="Promo Lebaran"/>
    <s v="Bukalapak"/>
    <x v="0"/>
    <d v="2023-04-21T00:00:00"/>
    <s v="Friday"/>
    <s v="wwww"/>
  </r>
  <r>
    <n v="303"/>
    <s v="ORD-SP0303-01/04/23"/>
    <s v="SW001"/>
    <s v="Sepatu Wanita"/>
    <x v="9"/>
    <n v="6"/>
    <n v="2"/>
    <n v="1500000"/>
    <n v="600000"/>
    <s v="PU001"/>
    <s v="Pakaian Unisex"/>
    <s v="Jaket Hoodie"/>
    <n v="1"/>
    <n v="3"/>
    <n v="350000"/>
    <n v="130000"/>
    <m/>
    <s v="-"/>
    <s v="-"/>
    <m/>
    <m/>
    <s v="0"/>
    <s v="0"/>
    <n v="7"/>
    <n v="1850000"/>
    <n v="1665000"/>
    <n v="730000"/>
    <n v="657000"/>
    <s v="DISC10"/>
    <n v="0.1"/>
    <s v="Promo 4.4"/>
    <s v="Shopee"/>
    <x v="0"/>
    <d v="2023-04-01T00:00:00"/>
    <s v="Saturday"/>
    <s v="wwww"/>
  </r>
  <r>
    <n v="304"/>
    <s v="ORD-TK0304-27/04/23"/>
    <s v="PP003"/>
    <s v="Pakaian Pria"/>
    <x v="5"/>
    <n v="2"/>
    <n v="4"/>
    <n v="800000"/>
    <n v="300000"/>
    <m/>
    <s v="-"/>
    <s v="-"/>
    <m/>
    <m/>
    <s v="0"/>
    <s v="0"/>
    <m/>
    <s v="-"/>
    <s v="-"/>
    <m/>
    <m/>
    <s v="0"/>
    <s v="0"/>
    <n v="2"/>
    <n v="800000"/>
    <n v="720000"/>
    <n v="300000"/>
    <n v="270000"/>
    <s v="LEBAR10"/>
    <n v="0.1"/>
    <s v="Promo Lebaran"/>
    <s v="Tokopedia"/>
    <x v="1"/>
    <d v="2023-04-27T00:00:00"/>
    <s v="Thursday"/>
    <s v="wwww"/>
  </r>
  <r>
    <n v="305"/>
    <s v="ORD-SP0305-06/04/23"/>
    <s v="PP002"/>
    <s v="Pakaian Pria"/>
    <x v="4"/>
    <n v="1"/>
    <n v="2"/>
    <n v="180000"/>
    <n v="70000"/>
    <s v="PW003"/>
    <s v="Pakaian Wanita"/>
    <s v="Kaftan"/>
    <n v="4"/>
    <n v="3"/>
    <n v="1000000"/>
    <n v="400000"/>
    <m/>
    <s v="-"/>
    <s v="-"/>
    <m/>
    <m/>
    <s v="0"/>
    <s v="0"/>
    <n v="5"/>
    <n v="1180000"/>
    <n v="1062000"/>
    <n v="470000"/>
    <n v="423000"/>
    <s v="DISC10"/>
    <n v="0.1"/>
    <s v="Promo 4.4"/>
    <s v="Shopee"/>
    <x v="5"/>
    <d v="2023-04-06T00:00:00"/>
    <s v="Thursday"/>
    <s v="wwww"/>
  </r>
  <r>
    <n v="306"/>
    <s v="ORD-BB0306-06/04/23"/>
    <s v="PP003"/>
    <s v="Pakaian Pria"/>
    <x v="5"/>
    <n v="2"/>
    <n v="4"/>
    <n v="800000"/>
    <n v="300000"/>
    <s v="PW002"/>
    <s v="Pakaian Wanita"/>
    <s v="Blouse"/>
    <n v="2"/>
    <n v="4"/>
    <n v="300000"/>
    <n v="100000"/>
    <m/>
    <s v="-"/>
    <s v="-"/>
    <m/>
    <m/>
    <s v="0"/>
    <s v="0"/>
    <n v="4"/>
    <n v="1100000"/>
    <n v="935000"/>
    <n v="400000"/>
    <n v="340000"/>
    <s v="BELI44"/>
    <n v="0.15"/>
    <s v="Promo 4.4"/>
    <s v="BliBli"/>
    <x v="0"/>
    <d v="2023-04-06T00:00:00"/>
    <s v="Thursday"/>
    <s v="wwww"/>
  </r>
  <r>
    <n v="307"/>
    <s v="ORD-BB0307-06/04/23"/>
    <s v="PP001"/>
    <s v="Pakaian Pria"/>
    <x v="3"/>
    <n v="2"/>
    <n v="5"/>
    <n v="400000"/>
    <n v="160000"/>
    <s v="PU001"/>
    <s v="Pakaian Unisex"/>
    <s v="Jaket Hoodie"/>
    <n v="2"/>
    <n v="2"/>
    <n v="700000"/>
    <n v="260000"/>
    <m/>
    <s v="-"/>
    <s v="-"/>
    <m/>
    <m/>
    <s v="0"/>
    <s v="0"/>
    <n v="4"/>
    <n v="1100000"/>
    <n v="935000"/>
    <n v="420000"/>
    <n v="357000"/>
    <s v="BELI44"/>
    <n v="0.15"/>
    <s v="Promo 4.4"/>
    <s v="BliBli"/>
    <x v="4"/>
    <d v="2023-04-06T00:00:00"/>
    <s v="Thursday"/>
    <s v="wwww"/>
  </r>
  <r>
    <n v="308"/>
    <s v="ORD-TK0308-18/04/23"/>
    <s v="PP001"/>
    <s v="Pakaian Pria"/>
    <x v="3"/>
    <n v="5"/>
    <n v="4"/>
    <n v="1000000"/>
    <n v="400000"/>
    <s v="SP001"/>
    <s v="Sepatu Pria"/>
    <s v="Sneakers"/>
    <n v="2"/>
    <n v="3"/>
    <n v="1000000"/>
    <n v="400000"/>
    <m/>
    <s v="-"/>
    <s v="-"/>
    <m/>
    <m/>
    <s v="0"/>
    <s v="0"/>
    <n v="7"/>
    <n v="2000000"/>
    <n v="1800000"/>
    <n v="800000"/>
    <n v="720000"/>
    <s v="LEBAR10"/>
    <n v="0.1"/>
    <s v="Promo Lebaran"/>
    <s v="Tokopedia"/>
    <x v="3"/>
    <d v="2023-04-18T00:00:00"/>
    <s v="Tuesday"/>
    <s v="wwww"/>
  </r>
  <r>
    <n v="309"/>
    <s v="ORD-BB0309-02/04/23"/>
    <s v="PW002"/>
    <s v="Pakaian Wanita"/>
    <x v="1"/>
    <n v="2"/>
    <n v="5"/>
    <n v="300000"/>
    <n v="100000"/>
    <s v="PP001"/>
    <s v="Pakaian Pria"/>
    <s v="Kaos Polo"/>
    <n v="4"/>
    <n v="5"/>
    <n v="800000"/>
    <n v="320000"/>
    <m/>
    <s v="-"/>
    <s v="-"/>
    <m/>
    <m/>
    <s v="0"/>
    <s v="0"/>
    <n v="6"/>
    <n v="1100000"/>
    <n v="935000"/>
    <n v="420000"/>
    <n v="357000"/>
    <s v="BELI44"/>
    <n v="0.15"/>
    <s v="Promo 4.4"/>
    <s v="BliBli"/>
    <x v="4"/>
    <d v="2023-04-02T00:00:00"/>
    <s v="Sunday"/>
    <s v="wwww"/>
  </r>
  <r>
    <n v="310"/>
    <s v="ORD-BL0310-20/04/23"/>
    <s v="PW002"/>
    <s v="Pakaian Wanita"/>
    <x v="1"/>
    <n v="3"/>
    <n v="1"/>
    <n v="450000"/>
    <n v="150000"/>
    <s v="PP002"/>
    <s v="Pakaian Pria"/>
    <s v="Celana Pendek"/>
    <n v="2"/>
    <n v="4"/>
    <n v="360000"/>
    <n v="140000"/>
    <m/>
    <s v="-"/>
    <s v="-"/>
    <m/>
    <m/>
    <s v="0"/>
    <s v="0"/>
    <n v="5"/>
    <n v="810000"/>
    <n v="688500"/>
    <n v="290000"/>
    <n v="246500"/>
    <s v="BUKALEBAR"/>
    <n v="0.15"/>
    <s v="Promo Lebaran"/>
    <s v="Bukalapak"/>
    <x v="4"/>
    <d v="2023-04-20T00:00:00"/>
    <s v="Thursday"/>
    <s v="wwww"/>
  </r>
  <r>
    <n v="311"/>
    <s v="ORD-SP0311-01/04/23"/>
    <s v="PP002"/>
    <s v="Pakaian Pria"/>
    <x v="4"/>
    <n v="3"/>
    <n v="2"/>
    <n v="540000"/>
    <n v="210000"/>
    <s v="SP002"/>
    <s v="Sepatu Pria"/>
    <s v="Sandal Slip On"/>
    <n v="2"/>
    <n v="1"/>
    <n v="300000"/>
    <n v="120000"/>
    <s v="PW001"/>
    <s v="Pakaian Wanita"/>
    <s v="Dress"/>
    <n v="2"/>
    <n v="4"/>
    <n v="600000"/>
    <n v="200000"/>
    <n v="7"/>
    <n v="1440000"/>
    <n v="1296000"/>
    <n v="530000"/>
    <n v="477000"/>
    <s v="DISC10"/>
    <n v="0.1"/>
    <s v="Promo 4.4"/>
    <s v="Shopee"/>
    <x v="0"/>
    <d v="2023-04-01T00:00:00"/>
    <s v="Saturday"/>
    <s v="wwww"/>
  </r>
  <r>
    <n v="312"/>
    <s v="ORD-TK0312-26/04/23"/>
    <s v="SP001"/>
    <s v="Sepatu Pria"/>
    <x v="7"/>
    <n v="2"/>
    <n v="5"/>
    <n v="1000000"/>
    <n v="400000"/>
    <s v="PW003"/>
    <s v="Pakaian Wanita"/>
    <s v="Kaftan"/>
    <n v="1"/>
    <n v="3"/>
    <n v="250000"/>
    <n v="100000"/>
    <s v="SP002"/>
    <s v="Sepatu Pria"/>
    <s v="Sandal Slip On"/>
    <n v="1"/>
    <n v="2"/>
    <n v="150000"/>
    <n v="60000"/>
    <n v="4"/>
    <n v="1400000"/>
    <n v="1260000"/>
    <n v="560000"/>
    <n v="504000"/>
    <s v="LEBAR10"/>
    <n v="0.1"/>
    <s v="Promo Lebaran"/>
    <s v="Tokopedia"/>
    <x v="0"/>
    <d v="2023-04-26T00:00:00"/>
    <s v="Wednesday"/>
    <s v="wwww"/>
  </r>
  <r>
    <n v="313"/>
    <s v="ORD-TK0313-19/04/23"/>
    <s v="SP002"/>
    <s v="Sepatu Pria"/>
    <x v="8"/>
    <n v="4"/>
    <n v="5"/>
    <n v="600000"/>
    <n v="240000"/>
    <m/>
    <s v="-"/>
    <s v="-"/>
    <m/>
    <m/>
    <s v="0"/>
    <s v="0"/>
    <m/>
    <s v="-"/>
    <s v="-"/>
    <m/>
    <m/>
    <s v="0"/>
    <s v="0"/>
    <n v="4"/>
    <n v="600000"/>
    <n v="540000"/>
    <n v="240000"/>
    <n v="216000"/>
    <s v="LEBAR10"/>
    <n v="0.1"/>
    <s v="Promo Lebaran"/>
    <s v="Tokopedia"/>
    <x v="5"/>
    <d v="2023-04-19T00:00:00"/>
    <s v="Wednesday"/>
    <s v="wwww"/>
  </r>
  <r>
    <n v="314"/>
    <s v="ORD-SP0314-06/04/23"/>
    <s v="PW002"/>
    <s v="Pakaian Wanita"/>
    <x v="1"/>
    <n v="3"/>
    <n v="2"/>
    <n v="450000"/>
    <n v="150000"/>
    <m/>
    <s v="-"/>
    <s v="-"/>
    <m/>
    <m/>
    <s v="0"/>
    <s v="0"/>
    <m/>
    <s v="-"/>
    <s v="-"/>
    <m/>
    <m/>
    <s v="0"/>
    <s v="0"/>
    <n v="3"/>
    <n v="450000"/>
    <n v="405000"/>
    <n v="150000"/>
    <n v="135000"/>
    <s v="DISC10"/>
    <n v="0.1"/>
    <s v="Promo 4.4"/>
    <s v="Shopee"/>
    <x v="4"/>
    <d v="2023-04-06T00:00:00"/>
    <s v="Thursday"/>
    <s v="wwww"/>
  </r>
  <r>
    <n v="315"/>
    <s v="ORD-BB0315-01/04/23"/>
    <s v="SP002"/>
    <s v="Sepatu Pria"/>
    <x v="8"/>
    <n v="1"/>
    <n v="5"/>
    <n v="150000"/>
    <n v="60000"/>
    <s v="PP001"/>
    <s v="Pakaian Pria"/>
    <s v="Kaos Polo"/>
    <n v="1"/>
    <n v="1"/>
    <n v="200000"/>
    <n v="80000"/>
    <s v="PW001"/>
    <s v="Pakaian Wanita"/>
    <s v="Dress"/>
    <n v="1"/>
    <n v="1"/>
    <n v="300000"/>
    <n v="100000"/>
    <n v="3"/>
    <n v="650000"/>
    <n v="552500"/>
    <n v="240000"/>
    <n v="204000"/>
    <s v="BELI44"/>
    <n v="0.15"/>
    <s v="Promo 4.4"/>
    <s v="BliBli"/>
    <x v="2"/>
    <d v="2023-04-01T00:00:00"/>
    <s v="Saturday"/>
    <s v="wwww"/>
  </r>
  <r>
    <n v="316"/>
    <s v="ORD-BB0316-06/04/23"/>
    <s v="PW002"/>
    <s v="Pakaian Wanita"/>
    <x v="1"/>
    <n v="1"/>
    <n v="1"/>
    <n v="150000"/>
    <n v="50000"/>
    <s v="SP002"/>
    <s v="Sepatu Pria"/>
    <s v="Sandal Slip On"/>
    <n v="1"/>
    <n v="5"/>
    <n v="150000"/>
    <n v="60000"/>
    <s v="PP001"/>
    <s v="Pakaian Pria"/>
    <s v="Kaos Polo"/>
    <n v="1"/>
    <n v="3"/>
    <n v="200000"/>
    <n v="80000"/>
    <n v="3"/>
    <n v="500000"/>
    <n v="425000"/>
    <n v="190000"/>
    <n v="161500"/>
    <s v="BELI44"/>
    <n v="0.15"/>
    <s v="Promo 4.4"/>
    <s v="BliBli"/>
    <x v="4"/>
    <d v="2023-04-06T00:00:00"/>
    <s v="Thursday"/>
    <s v="wwww"/>
  </r>
  <r>
    <n v="317"/>
    <s v="ORD-SP0317-16/04/23"/>
    <s v="PP001"/>
    <s v="Pakaian Pria"/>
    <x v="3"/>
    <n v="6"/>
    <n v="1"/>
    <n v="1200000"/>
    <n v="480000"/>
    <m/>
    <s v="-"/>
    <s v="-"/>
    <m/>
    <m/>
    <s v="0"/>
    <s v="0"/>
    <m/>
    <s v="-"/>
    <s v="-"/>
    <m/>
    <m/>
    <s v="0"/>
    <s v="0"/>
    <n v="6"/>
    <n v="1200000"/>
    <n v="960000"/>
    <n v="480000"/>
    <n v="384000"/>
    <s v="DISC20"/>
    <n v="0.2"/>
    <s v="Promo Lebaran"/>
    <s v="Shopee"/>
    <x v="5"/>
    <d v="2023-04-16T00:00:00"/>
    <s v="Sunday"/>
    <s v="wwww"/>
  </r>
  <r>
    <n v="318"/>
    <s v="ORD-BB0318-06/04/23"/>
    <s v="PP003"/>
    <s v="Pakaian Pria"/>
    <x v="5"/>
    <n v="3"/>
    <n v="3"/>
    <n v="1200000"/>
    <n v="450000"/>
    <s v="SW001"/>
    <s v="Sepatu Wanita"/>
    <s v="Flat Shoes"/>
    <n v="2"/>
    <n v="3"/>
    <n v="500000"/>
    <n v="200000"/>
    <s v="PP001"/>
    <s v="Pakaian Pria"/>
    <s v="Kaos Polo"/>
    <n v="1"/>
    <n v="5"/>
    <n v="200000"/>
    <n v="80000"/>
    <n v="6"/>
    <n v="1900000"/>
    <n v="1615000"/>
    <n v="730000"/>
    <n v="620500"/>
    <s v="BELI44"/>
    <n v="0.15"/>
    <s v="Promo 4.4"/>
    <s v="BliBli"/>
    <x v="5"/>
    <d v="2023-04-06T00:00:00"/>
    <s v="Thursday"/>
    <s v="wwww"/>
  </r>
  <r>
    <n v="319"/>
    <s v="ORD-TK0319-06/04/23"/>
    <s v="PW002"/>
    <s v="Pakaian Wanita"/>
    <x v="1"/>
    <n v="3"/>
    <n v="4"/>
    <n v="450000"/>
    <n v="150000"/>
    <s v="PU001"/>
    <s v="Pakaian Unisex"/>
    <s v="Jaket Hoodie"/>
    <n v="2"/>
    <n v="3"/>
    <n v="700000"/>
    <n v="260000"/>
    <m/>
    <s v="-"/>
    <s v="-"/>
    <m/>
    <m/>
    <s v="0"/>
    <s v="0"/>
    <n v="5"/>
    <n v="1150000"/>
    <n v="1035000"/>
    <n v="410000"/>
    <n v="369000"/>
    <s v="DISCAPRIL"/>
    <n v="0.1"/>
    <s v="Promo 4.4"/>
    <s v="Tokopedia"/>
    <x v="1"/>
    <d v="2023-04-06T00:00:00"/>
    <s v="Thursday"/>
    <s v="wwww"/>
  </r>
  <r>
    <n v="320"/>
    <s v="ORD-BL0320-30/04/23"/>
    <s v="SP002"/>
    <s v="Sepatu Pria"/>
    <x v="8"/>
    <n v="1"/>
    <n v="4"/>
    <n v="150000"/>
    <n v="60000"/>
    <s v="PW001"/>
    <s v="Pakaian Wanita"/>
    <s v="Dress"/>
    <n v="1"/>
    <n v="1"/>
    <n v="300000"/>
    <n v="100000"/>
    <m/>
    <s v="-"/>
    <s v="-"/>
    <m/>
    <m/>
    <s v="0"/>
    <s v="0"/>
    <n v="2"/>
    <n v="450000"/>
    <n v="382500"/>
    <n v="160000"/>
    <n v="136000"/>
    <s v="BUKALEBAR"/>
    <n v="0.15"/>
    <s v="Promo Lebaran"/>
    <s v="Bukalapak"/>
    <x v="0"/>
    <d v="2023-04-30T00:00:00"/>
    <s v="Sunday"/>
    <s v="wwww"/>
  </r>
  <r>
    <n v="321"/>
    <s v="ORD-BB0321-04/04/23"/>
    <s v="PP001"/>
    <s v="Pakaian Pria"/>
    <x v="3"/>
    <n v="2"/>
    <n v="5"/>
    <n v="400000"/>
    <n v="160000"/>
    <s v="PP002"/>
    <s v="Pakaian Pria"/>
    <s v="Celana Pendek"/>
    <n v="2"/>
    <n v="1"/>
    <n v="360000"/>
    <n v="140000"/>
    <s v="SP002"/>
    <s v="Sepatu Pria"/>
    <s v="Sandal Slip On"/>
    <n v="2"/>
    <n v="3"/>
    <n v="300000"/>
    <n v="120000"/>
    <n v="6"/>
    <n v="1060000"/>
    <n v="901000"/>
    <n v="420000"/>
    <n v="357000"/>
    <s v="BELI44"/>
    <n v="0.15"/>
    <s v="Promo 4.4"/>
    <s v="BliBli"/>
    <x v="1"/>
    <d v="2023-04-04T00:00:00"/>
    <s v="Tuesday"/>
    <s v="wwww"/>
  </r>
  <r>
    <n v="322"/>
    <s v="ORD-SP0322-02/04/23"/>
    <s v="SP001"/>
    <s v="Sepatu Pria"/>
    <x v="7"/>
    <n v="2"/>
    <n v="1"/>
    <n v="1000000"/>
    <n v="400000"/>
    <m/>
    <s v="-"/>
    <s v="-"/>
    <m/>
    <m/>
    <s v="0"/>
    <s v="0"/>
    <m/>
    <s v="-"/>
    <s v="-"/>
    <m/>
    <m/>
    <s v="0"/>
    <s v="0"/>
    <n v="2"/>
    <n v="1000000"/>
    <n v="850000"/>
    <n v="400000"/>
    <n v="340000"/>
    <s v="DISC15"/>
    <n v="0.15"/>
    <s v="Promo 4.4"/>
    <s v="Shopee"/>
    <x v="4"/>
    <d v="2023-04-02T00:00:00"/>
    <s v="Sunday"/>
    <s v="wwww"/>
  </r>
  <r>
    <n v="323"/>
    <s v="ORD-TK0323-26/04/23"/>
    <s v="PU001"/>
    <s v="Pakaian Unisex"/>
    <x v="6"/>
    <n v="3"/>
    <n v="1"/>
    <n v="1050000"/>
    <n v="390000"/>
    <m/>
    <s v="-"/>
    <s v="-"/>
    <m/>
    <m/>
    <s v="0"/>
    <s v="0"/>
    <m/>
    <s v="-"/>
    <s v="-"/>
    <m/>
    <m/>
    <s v="0"/>
    <s v="0"/>
    <n v="3"/>
    <n v="1050000"/>
    <n v="945000"/>
    <n v="390000"/>
    <n v="351000"/>
    <s v="LEBAR10"/>
    <n v="0.1"/>
    <s v="Promo Lebaran"/>
    <s v="Tokopedia"/>
    <x v="4"/>
    <d v="2023-04-26T00:00:00"/>
    <s v="Wednesday"/>
    <s v="wwww"/>
  </r>
  <r>
    <n v="324"/>
    <s v="ORD-SP0324-01/04/23"/>
    <s v="PP003"/>
    <s v="Pakaian Pria"/>
    <x v="5"/>
    <n v="4"/>
    <n v="4"/>
    <n v="1600000"/>
    <n v="600000"/>
    <s v="PW001"/>
    <s v="Pakaian Wanita"/>
    <s v="Dress"/>
    <n v="1"/>
    <n v="3"/>
    <n v="300000"/>
    <n v="100000"/>
    <s v="SP002"/>
    <s v="Sepatu Pria"/>
    <s v="Sandal Slip On"/>
    <n v="2"/>
    <n v="4"/>
    <n v="300000"/>
    <n v="120000"/>
    <n v="7"/>
    <n v="2200000"/>
    <n v="1980000"/>
    <n v="820000"/>
    <n v="738000"/>
    <s v="DISC10"/>
    <n v="0.1"/>
    <s v="Promo 4.4"/>
    <s v="Shopee"/>
    <x v="4"/>
    <d v="2023-04-01T00:00:00"/>
    <s v="Saturday"/>
    <s v="wwww"/>
  </r>
  <r>
    <n v="325"/>
    <s v="ORD-SP0325-05/04/23"/>
    <s v="SP002"/>
    <s v="Sepatu Pria"/>
    <x v="8"/>
    <n v="3"/>
    <n v="4"/>
    <n v="450000"/>
    <n v="180000"/>
    <s v="PW002"/>
    <s v="Pakaian Wanita"/>
    <s v="Blouse"/>
    <n v="2"/>
    <n v="5"/>
    <n v="300000"/>
    <n v="100000"/>
    <s v="PP001"/>
    <s v="Pakaian Pria"/>
    <s v="Kaos Polo"/>
    <n v="1"/>
    <n v="3"/>
    <n v="200000"/>
    <n v="80000"/>
    <n v="6"/>
    <n v="950000"/>
    <n v="855000"/>
    <n v="360000"/>
    <n v="324000"/>
    <s v="DISC10"/>
    <n v="0.1"/>
    <s v="Promo 4.4"/>
    <s v="Shopee"/>
    <x v="5"/>
    <d v="2023-04-05T00:00:00"/>
    <s v="Wednesday"/>
    <s v="wwww"/>
  </r>
  <r>
    <n v="326"/>
    <s v="ORD-TK0326-10/04/23"/>
    <s v="SP001"/>
    <s v="Sepatu Pria"/>
    <x v="7"/>
    <n v="1"/>
    <n v="5"/>
    <n v="500000"/>
    <n v="200000"/>
    <m/>
    <s v="-"/>
    <s v="-"/>
    <m/>
    <m/>
    <s v="0"/>
    <s v="0"/>
    <m/>
    <s v="-"/>
    <s v="-"/>
    <m/>
    <m/>
    <s v="0"/>
    <s v="0"/>
    <n v="1"/>
    <n v="500000"/>
    <n v="500000"/>
    <n v="200000"/>
    <n v="200000"/>
    <s v="-"/>
    <s v="-"/>
    <s v="-"/>
    <s v="Tokopedia"/>
    <x v="0"/>
    <d v="2023-04-10T00:00:00"/>
    <s v="Monday"/>
    <s v="wwww"/>
  </r>
  <r>
    <n v="327"/>
    <s v="ORD-TK0327-03/04/23"/>
    <s v="PP002"/>
    <s v="Pakaian Pria"/>
    <x v="4"/>
    <n v="2"/>
    <n v="5"/>
    <n v="360000"/>
    <n v="140000"/>
    <s v="PW001"/>
    <s v="Pakaian Wanita"/>
    <s v="Dress"/>
    <n v="2"/>
    <n v="3"/>
    <n v="600000"/>
    <n v="200000"/>
    <s v="PW003"/>
    <s v="Pakaian Wanita"/>
    <s v="Kaftan"/>
    <n v="1"/>
    <n v="5"/>
    <n v="250000"/>
    <n v="100000"/>
    <n v="5"/>
    <n v="1210000"/>
    <n v="1089000"/>
    <n v="440000"/>
    <n v="396000"/>
    <s v="DISCAPRIL"/>
    <n v="0.1"/>
    <s v="Promo 4.4"/>
    <s v="Tokopedia"/>
    <x v="0"/>
    <d v="2023-04-03T00:00:00"/>
    <s v="Monday"/>
    <s v="wwww"/>
  </r>
  <r>
    <n v="328"/>
    <s v="ORD-BB0328-05/04/23"/>
    <s v="PU001"/>
    <s v="Pakaian Unisex"/>
    <x v="6"/>
    <n v="1"/>
    <n v="1"/>
    <n v="350000"/>
    <n v="130000"/>
    <m/>
    <s v="-"/>
    <s v="-"/>
    <m/>
    <m/>
    <s v="0"/>
    <s v="0"/>
    <m/>
    <s v="-"/>
    <s v="-"/>
    <m/>
    <m/>
    <s v="0"/>
    <s v="0"/>
    <n v="1"/>
    <n v="350000"/>
    <n v="297500"/>
    <n v="130000"/>
    <n v="110500"/>
    <s v="BELI44"/>
    <n v="0.15"/>
    <s v="Promo 4.4"/>
    <s v="BliBli"/>
    <x v="4"/>
    <d v="2023-04-05T00:00:00"/>
    <s v="Wednesday"/>
    <s v="wwww"/>
  </r>
  <r>
    <n v="329"/>
    <s v="ORD-SP0329-02/04/23"/>
    <s v="PW002"/>
    <s v="Pakaian Wanita"/>
    <x v="1"/>
    <n v="2"/>
    <n v="2"/>
    <n v="300000"/>
    <n v="100000"/>
    <s v="PU001"/>
    <s v="Pakaian Unisex"/>
    <s v="Jaket Hoodie"/>
    <n v="1"/>
    <n v="3"/>
    <n v="350000"/>
    <n v="130000"/>
    <s v="PP001"/>
    <s v="Pakaian Pria"/>
    <s v="Kaos Polo"/>
    <n v="1"/>
    <n v="5"/>
    <n v="200000"/>
    <n v="80000"/>
    <n v="4"/>
    <n v="850000"/>
    <n v="765000"/>
    <n v="310000"/>
    <n v="279000"/>
    <s v="DISC10"/>
    <n v="0.1"/>
    <s v="Promo 4.4"/>
    <s v="Shopee"/>
    <x v="5"/>
    <d v="2023-04-02T00:00:00"/>
    <s v="Sunday"/>
    <s v="wwww"/>
  </r>
  <r>
    <n v="330"/>
    <s v="ORD-SP0330-02/04/23"/>
    <s v="PW002"/>
    <s v="Pakaian Wanita"/>
    <x v="1"/>
    <n v="1"/>
    <n v="1"/>
    <n v="150000"/>
    <n v="50000"/>
    <m/>
    <s v="-"/>
    <s v="-"/>
    <m/>
    <m/>
    <s v="0"/>
    <s v="0"/>
    <m/>
    <s v="-"/>
    <s v="-"/>
    <m/>
    <m/>
    <s v="0"/>
    <s v="0"/>
    <n v="1"/>
    <n v="150000"/>
    <n v="135000"/>
    <n v="50000"/>
    <n v="45000"/>
    <s v="DISC10"/>
    <n v="0.1"/>
    <s v="Promo 4.4"/>
    <s v="Shopee"/>
    <x v="3"/>
    <d v="2023-04-02T00:00:00"/>
    <s v="Sunday"/>
    <s v="wwww"/>
  </r>
  <r>
    <n v="331"/>
    <s v="ORD-SP0331-12/04/23"/>
    <s v="PW002"/>
    <s v="Pakaian Wanita"/>
    <x v="1"/>
    <n v="1"/>
    <n v="4"/>
    <n v="150000"/>
    <n v="50000"/>
    <s v="SP002"/>
    <s v="Sepatu Pria"/>
    <s v="Sandal Slip On"/>
    <n v="1"/>
    <n v="1"/>
    <n v="150000"/>
    <n v="60000"/>
    <s v="SW001"/>
    <s v="Sepatu Wanita"/>
    <s v="Flat Shoes"/>
    <n v="2"/>
    <n v="2"/>
    <n v="500000"/>
    <n v="200000"/>
    <n v="4"/>
    <n v="800000"/>
    <n v="800000"/>
    <n v="310000"/>
    <n v="310000"/>
    <s v="-"/>
    <s v="-"/>
    <s v="-"/>
    <s v="Shopee"/>
    <x v="0"/>
    <d v="2023-04-12T00:00:00"/>
    <s v="Wednesday"/>
    <s v="wwww"/>
  </r>
  <r>
    <n v="332"/>
    <s v="ORD-SP0332-01/04/23"/>
    <s v="PP003"/>
    <s v="Pakaian Pria"/>
    <x v="5"/>
    <n v="2"/>
    <n v="4"/>
    <n v="800000"/>
    <n v="300000"/>
    <s v="PP002"/>
    <s v="Pakaian Pria"/>
    <s v="Celana Pendek"/>
    <n v="1"/>
    <n v="5"/>
    <n v="180000"/>
    <n v="70000"/>
    <s v="PP002"/>
    <s v="Pakaian Pria"/>
    <s v="Celana Pendek"/>
    <n v="2"/>
    <n v="1"/>
    <n v="360000"/>
    <n v="140000"/>
    <n v="5"/>
    <n v="1340000"/>
    <n v="1139000"/>
    <n v="510000"/>
    <n v="433500"/>
    <s v="DISC15"/>
    <n v="0.15"/>
    <s v="Promo 4.4"/>
    <s v="Shopee"/>
    <x v="4"/>
    <d v="2023-04-01T00:00:00"/>
    <s v="Saturday"/>
    <s v="wwww"/>
  </r>
  <r>
    <n v="333"/>
    <s v="ORD-BL0333-25/04/23"/>
    <s v="SP002"/>
    <s v="Sepatu Pria"/>
    <x v="8"/>
    <n v="1"/>
    <n v="2"/>
    <n v="150000"/>
    <n v="60000"/>
    <s v="SW001"/>
    <s v="Sepatu Wanita"/>
    <s v="Flat Shoes"/>
    <n v="3"/>
    <n v="1"/>
    <n v="750000"/>
    <n v="300000"/>
    <m/>
    <s v="-"/>
    <s v="-"/>
    <m/>
    <m/>
    <s v="0"/>
    <s v="0"/>
    <n v="4"/>
    <n v="900000"/>
    <n v="765000"/>
    <n v="360000"/>
    <n v="306000"/>
    <s v="BUKALEBAR"/>
    <n v="0.15"/>
    <s v="Promo Lebaran"/>
    <s v="Bukalapak"/>
    <x v="4"/>
    <d v="2023-04-25T00:00:00"/>
    <s v="Tuesday"/>
    <s v="wwww"/>
  </r>
  <r>
    <n v="334"/>
    <s v="ORD-TK0334-01/04/23"/>
    <s v="SP001"/>
    <s v="Sepatu Pria"/>
    <x v="7"/>
    <n v="6"/>
    <n v="4"/>
    <n v="3000000"/>
    <n v="1200000"/>
    <s v="PU001"/>
    <s v="Pakaian Unisex"/>
    <s v="Jaket Hoodie"/>
    <n v="1"/>
    <n v="4"/>
    <n v="350000"/>
    <n v="130000"/>
    <m/>
    <s v="-"/>
    <s v="-"/>
    <m/>
    <m/>
    <s v="0"/>
    <s v="0"/>
    <n v="7"/>
    <n v="3350000"/>
    <n v="3015000"/>
    <n v="1330000"/>
    <n v="1197000"/>
    <s v="DISCAPRIL"/>
    <n v="0.1"/>
    <s v="Promo 4.4"/>
    <s v="Tokopedia"/>
    <x v="4"/>
    <d v="2023-04-01T00:00:00"/>
    <s v="Saturday"/>
    <s v="wwww"/>
  </r>
  <r>
    <n v="335"/>
    <s v="ORD-SP0335-27/04/23"/>
    <s v="PP003"/>
    <s v="Pakaian Pria"/>
    <x v="5"/>
    <n v="2"/>
    <n v="2"/>
    <n v="800000"/>
    <n v="300000"/>
    <s v="PW002"/>
    <s v="Pakaian Wanita"/>
    <s v="Blouse"/>
    <n v="1"/>
    <n v="2"/>
    <n v="150000"/>
    <n v="50000"/>
    <m/>
    <s v="-"/>
    <s v="-"/>
    <m/>
    <m/>
    <s v="0"/>
    <s v="0"/>
    <n v="3"/>
    <n v="950000"/>
    <n v="760000"/>
    <n v="350000"/>
    <n v="280000"/>
    <s v="DISC20"/>
    <n v="0.2"/>
    <s v="Promo Lebaran"/>
    <s v="Shopee"/>
    <x v="5"/>
    <d v="2023-04-27T00:00:00"/>
    <s v="Thursday"/>
    <s v="wwww"/>
  </r>
  <r>
    <n v="336"/>
    <s v="ORD-BB0336-10/04/23"/>
    <s v="SP002"/>
    <s v="Sepatu Pria"/>
    <x v="8"/>
    <n v="1"/>
    <n v="4"/>
    <n v="150000"/>
    <n v="60000"/>
    <s v="PP003"/>
    <s v="Pakaian Pria"/>
    <s v="Jaket Jeans"/>
    <n v="1"/>
    <n v="1"/>
    <n v="400000"/>
    <n v="150000"/>
    <s v="PW002"/>
    <s v="Pakaian Wanita"/>
    <s v="Blouse"/>
    <n v="1"/>
    <n v="4"/>
    <n v="150000"/>
    <n v="50000"/>
    <n v="3"/>
    <n v="700000"/>
    <n v="700000"/>
    <n v="260000"/>
    <n v="260000"/>
    <s v="-"/>
    <s v="-"/>
    <s v="-"/>
    <s v="BliBli"/>
    <x v="1"/>
    <d v="2023-04-10T00:00:00"/>
    <s v="Monday"/>
    <s v="wwww"/>
  </r>
  <r>
    <n v="337"/>
    <s v="ORD-SP0337-01/04/23"/>
    <s v="PW002"/>
    <s v="Pakaian Wanita"/>
    <x v="1"/>
    <n v="1"/>
    <n v="3"/>
    <n v="150000"/>
    <n v="50000"/>
    <m/>
    <s v="-"/>
    <s v="-"/>
    <m/>
    <m/>
    <s v="0"/>
    <s v="0"/>
    <m/>
    <s v="-"/>
    <s v="-"/>
    <m/>
    <m/>
    <s v="0"/>
    <s v="0"/>
    <n v="1"/>
    <n v="150000"/>
    <n v="135000"/>
    <n v="50000"/>
    <n v="45000"/>
    <s v="DISC10"/>
    <n v="0.1"/>
    <s v="Promo 4.4"/>
    <s v="Shopee"/>
    <x v="2"/>
    <d v="2023-04-01T00:00:00"/>
    <s v="Saturday"/>
    <s v="wwww"/>
  </r>
  <r>
    <n v="338"/>
    <s v="ORD-TK0338-29/04/23"/>
    <s v="SW001"/>
    <s v="Sepatu Wanita"/>
    <x v="9"/>
    <n v="1"/>
    <n v="3"/>
    <n v="250000"/>
    <n v="100000"/>
    <m/>
    <s v="-"/>
    <s v="-"/>
    <m/>
    <m/>
    <s v="0"/>
    <s v="0"/>
    <m/>
    <s v="-"/>
    <s v="-"/>
    <m/>
    <m/>
    <s v="0"/>
    <s v="0"/>
    <n v="1"/>
    <n v="250000"/>
    <n v="225000"/>
    <n v="100000"/>
    <n v="90000"/>
    <s v="LEBAR10"/>
    <n v="0.1"/>
    <s v="Promo Lebaran"/>
    <s v="Tokopedia"/>
    <x v="5"/>
    <d v="2023-04-29T00:00:00"/>
    <s v="Saturday"/>
    <s v="wwww"/>
  </r>
  <r>
    <n v="339"/>
    <s v="ORD-SP0339-06/04/23"/>
    <s v="PP002"/>
    <s v="Pakaian Pria"/>
    <x v="4"/>
    <n v="2"/>
    <n v="5"/>
    <n v="360000"/>
    <n v="140000"/>
    <m/>
    <s v="-"/>
    <s v="-"/>
    <m/>
    <m/>
    <s v="0"/>
    <s v="0"/>
    <m/>
    <s v="-"/>
    <s v="-"/>
    <m/>
    <m/>
    <s v="0"/>
    <s v="0"/>
    <n v="2"/>
    <n v="360000"/>
    <n v="324000"/>
    <n v="140000"/>
    <n v="126000"/>
    <s v="DISC10"/>
    <n v="0.1"/>
    <s v="Promo 4.4"/>
    <s v="Shopee"/>
    <x v="1"/>
    <d v="2023-04-06T00:00:00"/>
    <s v="Thursday"/>
    <s v="wwww"/>
  </r>
  <r>
    <n v="340"/>
    <s v="ORD-SP0340-01/04/23"/>
    <s v="SW001"/>
    <s v="Sepatu Wanita"/>
    <x v="9"/>
    <n v="1"/>
    <n v="5"/>
    <n v="250000"/>
    <n v="100000"/>
    <s v="PP001"/>
    <s v="Pakaian Pria"/>
    <s v="Kaos Polo"/>
    <n v="1"/>
    <n v="1"/>
    <n v="200000"/>
    <n v="80000"/>
    <m/>
    <s v="-"/>
    <s v="-"/>
    <m/>
    <m/>
    <s v="0"/>
    <s v="0"/>
    <n v="2"/>
    <n v="450000"/>
    <n v="405000"/>
    <n v="180000"/>
    <n v="162000"/>
    <s v="DISC10"/>
    <n v="0.1"/>
    <s v="Promo 4.4"/>
    <s v="Shopee"/>
    <x v="4"/>
    <d v="2023-04-01T00:00:00"/>
    <s v="Saturday"/>
    <s v="wwww"/>
  </r>
  <r>
    <n v="341"/>
    <s v="ORD-SP0341-18/04/23"/>
    <s v="PW002"/>
    <s v="Pakaian Wanita"/>
    <x v="1"/>
    <n v="3"/>
    <n v="3"/>
    <n v="450000"/>
    <n v="150000"/>
    <m/>
    <s v="-"/>
    <s v="-"/>
    <m/>
    <m/>
    <s v="0"/>
    <s v="0"/>
    <m/>
    <s v="-"/>
    <s v="-"/>
    <m/>
    <m/>
    <s v="0"/>
    <s v="0"/>
    <n v="3"/>
    <n v="450000"/>
    <n v="360000"/>
    <n v="150000"/>
    <n v="120000"/>
    <s v="DISC20"/>
    <n v="0.2"/>
    <s v="Promo Lebaran"/>
    <s v="Shopee"/>
    <x v="5"/>
    <d v="2023-04-18T00:00:00"/>
    <s v="Tuesday"/>
    <s v="wwww"/>
  </r>
  <r>
    <n v="342"/>
    <s v="ORD-TK0342-02/04/23"/>
    <s v="PW002"/>
    <s v="Pakaian Wanita"/>
    <x v="1"/>
    <n v="3"/>
    <n v="4"/>
    <n v="450000"/>
    <n v="150000"/>
    <s v="PW001"/>
    <s v="Pakaian Wanita"/>
    <s v="Dress"/>
    <n v="1"/>
    <n v="4"/>
    <n v="300000"/>
    <n v="100000"/>
    <m/>
    <s v="-"/>
    <s v="-"/>
    <m/>
    <m/>
    <s v="0"/>
    <s v="0"/>
    <n v="4"/>
    <n v="750000"/>
    <n v="675000"/>
    <n v="250000"/>
    <n v="225000"/>
    <s v="DISCAPRIL"/>
    <n v="0.1"/>
    <s v="Promo 4.4"/>
    <s v="Tokopedia"/>
    <x v="4"/>
    <d v="2023-04-02T00:00:00"/>
    <s v="Sunday"/>
    <s v="wwww"/>
  </r>
  <r>
    <n v="343"/>
    <s v="ORD-TK0343-08/04/23"/>
    <s v="PW001"/>
    <s v="Pakaian Wanita"/>
    <x v="0"/>
    <n v="4"/>
    <n v="5"/>
    <n v="1200000"/>
    <n v="400000"/>
    <s v="PW003"/>
    <s v="Pakaian Wanita"/>
    <s v="Kaftan"/>
    <n v="3"/>
    <n v="2"/>
    <n v="750000"/>
    <n v="300000"/>
    <m/>
    <s v="-"/>
    <s v="-"/>
    <m/>
    <m/>
    <s v="0"/>
    <s v="0"/>
    <n v="7"/>
    <n v="1950000"/>
    <n v="1950000"/>
    <n v="700000"/>
    <n v="700000"/>
    <s v="-"/>
    <s v="-"/>
    <s v="-"/>
    <s v="Tokopedia"/>
    <x v="3"/>
    <d v="2023-04-08T00:00:00"/>
    <s v="Saturday"/>
    <s v="wwww"/>
  </r>
  <r>
    <n v="344"/>
    <s v="ORD-SP0344-07/04/23"/>
    <s v="PP001"/>
    <s v="Pakaian Pria"/>
    <x v="3"/>
    <n v="1"/>
    <n v="2"/>
    <n v="200000"/>
    <n v="80000"/>
    <s v="SP002"/>
    <s v="Sepatu Pria"/>
    <s v="Sandal Slip On"/>
    <n v="1"/>
    <n v="3"/>
    <n v="150000"/>
    <n v="60000"/>
    <s v="PW003"/>
    <s v="Pakaian Wanita"/>
    <s v="Kaftan"/>
    <n v="2"/>
    <n v="1"/>
    <n v="500000"/>
    <n v="200000"/>
    <n v="4"/>
    <n v="850000"/>
    <n v="850000"/>
    <n v="340000"/>
    <n v="340000"/>
    <s v="-"/>
    <s v="-"/>
    <s v="-"/>
    <s v="Shopee"/>
    <x v="5"/>
    <d v="2023-04-07T00:00:00"/>
    <s v="Friday"/>
    <s v="wwww"/>
  </r>
  <r>
    <n v="345"/>
    <s v="ORD-TK0345-17/04/23"/>
    <s v="PW001"/>
    <s v="Pakaian Wanita"/>
    <x v="0"/>
    <n v="4"/>
    <n v="5"/>
    <n v="1200000"/>
    <n v="400000"/>
    <s v="SP001"/>
    <s v="Sepatu Pria"/>
    <s v="Sneakers"/>
    <n v="1"/>
    <n v="5"/>
    <n v="500000"/>
    <n v="200000"/>
    <s v="PW001"/>
    <s v="Pakaian Wanita"/>
    <s v="Dress"/>
    <n v="1"/>
    <n v="2"/>
    <n v="300000"/>
    <n v="100000"/>
    <n v="6"/>
    <n v="2000000"/>
    <n v="1800000"/>
    <n v="700000"/>
    <n v="630000"/>
    <s v="LEBAR10"/>
    <n v="0.1"/>
    <s v="Promo Lebaran"/>
    <s v="Tokopedia"/>
    <x v="5"/>
    <d v="2023-04-17T00:00:00"/>
    <s v="Monday"/>
    <s v="wwww"/>
  </r>
  <r>
    <n v="346"/>
    <s v="ORD-SP0346-02/04/23"/>
    <s v="SP001"/>
    <s v="Sepatu Pria"/>
    <x v="7"/>
    <n v="3"/>
    <n v="2"/>
    <n v="1500000"/>
    <n v="600000"/>
    <s v="PU001"/>
    <s v="Pakaian Unisex"/>
    <s v="Jaket Hoodie"/>
    <n v="1"/>
    <n v="2"/>
    <n v="350000"/>
    <n v="130000"/>
    <m/>
    <s v="-"/>
    <s v="-"/>
    <m/>
    <m/>
    <s v="0"/>
    <s v="0"/>
    <n v="4"/>
    <n v="1850000"/>
    <n v="1572500"/>
    <n v="730000"/>
    <n v="620500"/>
    <s v="DISC15"/>
    <n v="0.15"/>
    <s v="Promo 4.4"/>
    <s v="Shopee"/>
    <x v="4"/>
    <d v="2023-04-02T00:00:00"/>
    <s v="Sunday"/>
    <s v="wwww"/>
  </r>
  <r>
    <n v="347"/>
    <s v="ORD-TK0347-05/04/23"/>
    <s v="PW002"/>
    <s v="Pakaian Wanita"/>
    <x v="1"/>
    <n v="1"/>
    <n v="2"/>
    <n v="150000"/>
    <n v="50000"/>
    <m/>
    <s v="-"/>
    <s v="-"/>
    <m/>
    <m/>
    <s v="0"/>
    <s v="0"/>
    <m/>
    <s v="-"/>
    <s v="-"/>
    <m/>
    <m/>
    <s v="0"/>
    <s v="0"/>
    <n v="1"/>
    <n v="150000"/>
    <n v="135000"/>
    <n v="50000"/>
    <n v="45000"/>
    <s v="DISCAPRIL"/>
    <n v="0.1"/>
    <s v="Promo 4.4"/>
    <s v="Tokopedia"/>
    <x v="4"/>
    <d v="2023-04-05T00:00:00"/>
    <s v="Wednesday"/>
    <s v="wwww"/>
  </r>
  <r>
    <n v="348"/>
    <s v="ORD-SP0348-02/04/23"/>
    <s v="SP001"/>
    <s v="Sepatu Pria"/>
    <x v="7"/>
    <n v="2"/>
    <n v="5"/>
    <n v="1000000"/>
    <n v="400000"/>
    <s v="SP002"/>
    <s v="Sepatu Pria"/>
    <s v="Sandal Slip On"/>
    <n v="1"/>
    <n v="4"/>
    <n v="150000"/>
    <n v="60000"/>
    <m/>
    <s v="-"/>
    <s v="-"/>
    <m/>
    <m/>
    <s v="0"/>
    <s v="0"/>
    <n v="3"/>
    <n v="1150000"/>
    <n v="1035000"/>
    <n v="460000"/>
    <n v="414000"/>
    <s v="DISC10"/>
    <n v="0.1"/>
    <s v="Promo 4.4"/>
    <s v="Shopee"/>
    <x v="4"/>
    <d v="2023-04-02T00:00:00"/>
    <s v="Sunday"/>
    <s v="wwww"/>
  </r>
  <r>
    <n v="349"/>
    <s v="ORD-SP0349-13/04/23"/>
    <s v="PP003"/>
    <s v="Pakaian Pria"/>
    <x v="5"/>
    <n v="2"/>
    <n v="2"/>
    <n v="800000"/>
    <n v="300000"/>
    <s v="PW003"/>
    <s v="Pakaian Wanita"/>
    <s v="Kaftan"/>
    <n v="3"/>
    <n v="4"/>
    <n v="750000"/>
    <n v="300000"/>
    <m/>
    <s v="-"/>
    <s v="-"/>
    <m/>
    <m/>
    <s v="0"/>
    <s v="0"/>
    <n v="5"/>
    <n v="1550000"/>
    <n v="1550000"/>
    <n v="600000"/>
    <n v="600000"/>
    <s v="-"/>
    <s v="-"/>
    <s v="-"/>
    <s v="Shopee"/>
    <x v="3"/>
    <d v="2023-04-13T00:00:00"/>
    <s v="Thursday"/>
    <s v="wwww"/>
  </r>
  <r>
    <n v="350"/>
    <s v="ORD-BL0350-29/04/23"/>
    <s v="SW001"/>
    <s v="Sepatu Wanita"/>
    <x v="9"/>
    <n v="1"/>
    <n v="3"/>
    <n v="250000"/>
    <n v="100000"/>
    <m/>
    <s v="-"/>
    <s v="-"/>
    <m/>
    <m/>
    <s v="0"/>
    <s v="0"/>
    <m/>
    <s v="-"/>
    <s v="-"/>
    <m/>
    <m/>
    <s v="0"/>
    <s v="0"/>
    <n v="1"/>
    <n v="250000"/>
    <n v="212500"/>
    <n v="100000"/>
    <n v="85000"/>
    <s v="BUKALEBAR"/>
    <n v="0.15"/>
    <s v="Promo Lebaran"/>
    <s v="Bukalapak"/>
    <x v="0"/>
    <d v="2023-04-29T00:00:00"/>
    <s v="Saturday"/>
    <s v="wwww"/>
  </r>
  <r>
    <n v="351"/>
    <s v="ORD-SP0351-11/04/23"/>
    <s v="PW001"/>
    <s v="Pakaian Wanita"/>
    <x v="0"/>
    <n v="6"/>
    <n v="5"/>
    <n v="1800000"/>
    <n v="600000"/>
    <s v="SP002"/>
    <s v="Sepatu Pria"/>
    <s v="Sandal Slip On"/>
    <n v="1"/>
    <n v="1"/>
    <n v="150000"/>
    <n v="60000"/>
    <m/>
    <s v="-"/>
    <s v="-"/>
    <m/>
    <m/>
    <s v="0"/>
    <s v="0"/>
    <n v="7"/>
    <n v="1950000"/>
    <n v="1950000"/>
    <n v="660000"/>
    <n v="660000"/>
    <s v="-"/>
    <s v="-"/>
    <s v="-"/>
    <s v="Shopee"/>
    <x v="4"/>
    <d v="2023-04-11T00:00:00"/>
    <s v="Tuesday"/>
    <s v="wwww"/>
  </r>
  <r>
    <n v="352"/>
    <s v="ORD-TK0352-06/04/23"/>
    <s v="PP001"/>
    <s v="Pakaian Pria"/>
    <x v="3"/>
    <n v="3"/>
    <n v="3"/>
    <n v="600000"/>
    <n v="240000"/>
    <m/>
    <s v="-"/>
    <s v="-"/>
    <m/>
    <m/>
    <s v="0"/>
    <s v="0"/>
    <m/>
    <s v="-"/>
    <s v="-"/>
    <m/>
    <m/>
    <s v="0"/>
    <s v="0"/>
    <n v="3"/>
    <n v="600000"/>
    <n v="540000"/>
    <n v="240000"/>
    <n v="216000"/>
    <s v="DISCAPRIL"/>
    <n v="0.1"/>
    <s v="Promo 4.4"/>
    <s v="Tokopedia"/>
    <x v="0"/>
    <d v="2023-04-06T00:00:00"/>
    <s v="Thursday"/>
    <s v="wwww"/>
  </r>
  <r>
    <n v="353"/>
    <s v="ORD-BL0353-17/04/23"/>
    <s v="PU001"/>
    <s v="Pakaian Unisex"/>
    <x v="6"/>
    <n v="1"/>
    <n v="3"/>
    <n v="350000"/>
    <n v="130000"/>
    <s v="SP002"/>
    <s v="Sepatu Pria"/>
    <s v="Sandal Slip On"/>
    <n v="1"/>
    <n v="1"/>
    <n v="150000"/>
    <n v="60000"/>
    <m/>
    <s v="-"/>
    <s v="-"/>
    <m/>
    <m/>
    <s v="0"/>
    <s v="0"/>
    <n v="2"/>
    <n v="500000"/>
    <n v="425000"/>
    <n v="190000"/>
    <n v="161500"/>
    <s v="BUKALEBAR"/>
    <n v="0.15"/>
    <s v="Promo Lebaran"/>
    <s v="Bukalapak"/>
    <x v="4"/>
    <d v="2023-04-17T00:00:00"/>
    <s v="Monday"/>
    <s v="wwww"/>
  </r>
  <r>
    <n v="354"/>
    <s v="ORD-TK0354-02/04/23"/>
    <s v="SP001"/>
    <s v="Sepatu Pria"/>
    <x v="7"/>
    <n v="3"/>
    <n v="3"/>
    <n v="1500000"/>
    <n v="600000"/>
    <s v="PW001"/>
    <s v="Pakaian Wanita"/>
    <s v="Dress"/>
    <n v="1"/>
    <n v="1"/>
    <n v="300000"/>
    <n v="100000"/>
    <s v="SW001"/>
    <s v="Sepatu Wanita"/>
    <s v="Flat Shoes"/>
    <n v="1"/>
    <n v="1"/>
    <n v="250000"/>
    <n v="100000"/>
    <n v="5"/>
    <n v="2050000"/>
    <n v="1845000"/>
    <n v="800000"/>
    <n v="720000"/>
    <s v="DISCAPRIL"/>
    <n v="0.1"/>
    <s v="Promo 4.4"/>
    <s v="Tokopedia"/>
    <x v="4"/>
    <d v="2023-04-02T00:00:00"/>
    <s v="Sunday"/>
    <s v="wwww"/>
  </r>
  <r>
    <n v="355"/>
    <s v="ORD-SP0355-19/04/23"/>
    <s v="PU001"/>
    <s v="Pakaian Unisex"/>
    <x v="6"/>
    <n v="4"/>
    <n v="1"/>
    <n v="1400000"/>
    <n v="520000"/>
    <s v="PW002"/>
    <s v="Pakaian Wanita"/>
    <s v="Blouse"/>
    <n v="1"/>
    <n v="2"/>
    <n v="150000"/>
    <n v="50000"/>
    <s v="PW001"/>
    <s v="Pakaian Wanita"/>
    <s v="Dress"/>
    <n v="1"/>
    <n v="2"/>
    <n v="300000"/>
    <n v="100000"/>
    <n v="6"/>
    <n v="1850000"/>
    <n v="1480000"/>
    <n v="670000"/>
    <n v="536000"/>
    <s v="DISC20"/>
    <n v="0.2"/>
    <s v="Promo Lebaran"/>
    <s v="Shopee"/>
    <x v="0"/>
    <d v="2023-04-19T00:00:00"/>
    <s v="Wednesday"/>
    <s v="wwww"/>
  </r>
  <r>
    <n v="356"/>
    <s v="ORD-SP0356-26/04/23"/>
    <s v="PP002"/>
    <s v="Pakaian Pria"/>
    <x v="4"/>
    <n v="1"/>
    <n v="1"/>
    <n v="180000"/>
    <n v="70000"/>
    <s v="SP002"/>
    <s v="Sepatu Pria"/>
    <s v="Sandal Slip On"/>
    <n v="1"/>
    <n v="1"/>
    <n v="150000"/>
    <n v="60000"/>
    <s v="PU001"/>
    <s v="Pakaian Unisex"/>
    <s v="Jaket Hoodie"/>
    <n v="1"/>
    <n v="4"/>
    <n v="350000"/>
    <n v="130000"/>
    <n v="3"/>
    <n v="680000"/>
    <n v="544000"/>
    <n v="260000"/>
    <n v="208000"/>
    <s v="DISC20"/>
    <n v="0.2"/>
    <s v="Promo Lebaran"/>
    <s v="Shopee"/>
    <x v="4"/>
    <d v="2023-04-26T00:00:00"/>
    <s v="Wednesday"/>
    <s v="wwww"/>
  </r>
  <r>
    <n v="357"/>
    <s v="ORD-TK0357-03/04/23"/>
    <s v="SP001"/>
    <s v="Sepatu Pria"/>
    <x v="7"/>
    <n v="5"/>
    <n v="1"/>
    <n v="2500000"/>
    <n v="1000000"/>
    <s v="PW001"/>
    <s v="Pakaian Wanita"/>
    <s v="Dress"/>
    <n v="1"/>
    <n v="1"/>
    <n v="300000"/>
    <n v="100000"/>
    <m/>
    <s v="-"/>
    <s v="-"/>
    <m/>
    <m/>
    <s v="0"/>
    <s v="0"/>
    <n v="6"/>
    <n v="2800000"/>
    <n v="2520000"/>
    <n v="1100000"/>
    <n v="990000"/>
    <s v="DISCAPRIL"/>
    <n v="0.1"/>
    <s v="Promo 4.4"/>
    <s v="Tokopedia"/>
    <x v="0"/>
    <d v="2023-04-03T00:00:00"/>
    <s v="Monday"/>
    <s v="wwww"/>
  </r>
  <r>
    <n v="358"/>
    <s v="ORD-BB0358-01/04/23"/>
    <s v="SW001"/>
    <s v="Sepatu Wanita"/>
    <x v="9"/>
    <n v="1"/>
    <n v="2"/>
    <n v="250000"/>
    <n v="100000"/>
    <s v="PW001"/>
    <s v="Pakaian Wanita"/>
    <s v="Dress"/>
    <n v="1"/>
    <n v="1"/>
    <n v="300000"/>
    <n v="100000"/>
    <s v="PW003"/>
    <s v="Pakaian Wanita"/>
    <s v="Kaftan"/>
    <n v="2"/>
    <n v="3"/>
    <n v="500000"/>
    <n v="200000"/>
    <n v="4"/>
    <n v="1050000"/>
    <n v="892500"/>
    <n v="400000"/>
    <n v="340000"/>
    <s v="BELI44"/>
    <n v="0.15"/>
    <s v="Promo 4.4"/>
    <s v="BliBli"/>
    <x v="1"/>
    <d v="2023-04-01T00:00:00"/>
    <s v="Saturday"/>
    <s v="wwww"/>
  </r>
  <r>
    <n v="359"/>
    <s v="ORD-BB0359-02/04/23"/>
    <s v="PP001"/>
    <s v="Pakaian Pria"/>
    <x v="3"/>
    <n v="1"/>
    <n v="3"/>
    <n v="200000"/>
    <n v="80000"/>
    <m/>
    <s v="-"/>
    <s v="-"/>
    <m/>
    <m/>
    <s v="0"/>
    <s v="0"/>
    <m/>
    <s v="-"/>
    <s v="-"/>
    <m/>
    <m/>
    <s v="0"/>
    <s v="0"/>
    <n v="1"/>
    <n v="200000"/>
    <n v="170000"/>
    <n v="80000"/>
    <n v="68000"/>
    <s v="BELI44"/>
    <n v="0.15"/>
    <s v="Promo 4.4"/>
    <s v="BliBli"/>
    <x v="3"/>
    <d v="2023-04-02T00:00:00"/>
    <s v="Sunday"/>
    <s v="wwww"/>
  </r>
  <r>
    <n v="360"/>
    <s v="ORD-SP0360-05/04/23"/>
    <s v="SW001"/>
    <s v="Sepatu Wanita"/>
    <x v="9"/>
    <n v="4"/>
    <n v="5"/>
    <n v="1000000"/>
    <n v="400000"/>
    <m/>
    <s v="-"/>
    <s v="-"/>
    <m/>
    <m/>
    <s v="0"/>
    <s v="0"/>
    <m/>
    <s v="-"/>
    <s v="-"/>
    <m/>
    <m/>
    <s v="0"/>
    <s v="0"/>
    <n v="4"/>
    <n v="1000000"/>
    <n v="900000"/>
    <n v="400000"/>
    <n v="360000"/>
    <s v="DISC10"/>
    <n v="0.1"/>
    <s v="Promo 4.4"/>
    <s v="Shopee"/>
    <x v="0"/>
    <d v="2023-04-05T00:00:00"/>
    <s v="Wednesday"/>
    <s v="wwww"/>
  </r>
  <r>
    <n v="361"/>
    <s v="ORD-TK0361-23/04/23"/>
    <s v="PW001"/>
    <s v="Pakaian Wanita"/>
    <x v="0"/>
    <n v="2"/>
    <n v="2"/>
    <n v="600000"/>
    <n v="200000"/>
    <s v="PP003"/>
    <s v="Pakaian Pria"/>
    <s v="Jaket Jeans"/>
    <n v="3"/>
    <n v="2"/>
    <n v="1200000"/>
    <n v="450000"/>
    <m/>
    <s v="-"/>
    <s v="-"/>
    <m/>
    <m/>
    <s v="0"/>
    <s v="0"/>
    <n v="5"/>
    <n v="1800000"/>
    <n v="1620000"/>
    <n v="650000"/>
    <n v="585000"/>
    <s v="LEBAR10"/>
    <n v="0.1"/>
    <s v="Promo Lebaran"/>
    <s v="Tokopedia"/>
    <x v="4"/>
    <d v="2023-04-23T00:00:00"/>
    <s v="Sunday"/>
    <s v="wwww"/>
  </r>
  <r>
    <n v="362"/>
    <s v="ORD-BL0362-17/04/23"/>
    <s v="SP002"/>
    <s v="Sepatu Pria"/>
    <x v="8"/>
    <n v="3"/>
    <n v="5"/>
    <n v="450000"/>
    <n v="180000"/>
    <s v="PW003"/>
    <s v="Pakaian Wanita"/>
    <s v="Kaftan"/>
    <n v="1"/>
    <n v="5"/>
    <n v="250000"/>
    <n v="100000"/>
    <m/>
    <s v="-"/>
    <s v="-"/>
    <m/>
    <m/>
    <s v="0"/>
    <s v="0"/>
    <n v="4"/>
    <n v="700000"/>
    <n v="595000"/>
    <n v="280000"/>
    <n v="238000"/>
    <s v="BUKALEBAR"/>
    <n v="0.15"/>
    <s v="Promo Lebaran"/>
    <s v="Bukalapak"/>
    <x v="5"/>
    <d v="2023-04-17T00:00:00"/>
    <s v="Monday"/>
    <s v="wwww"/>
  </r>
  <r>
    <n v="363"/>
    <s v="ORD-TK0363-07/04/23"/>
    <s v="PP002"/>
    <s v="Pakaian Pria"/>
    <x v="4"/>
    <n v="1"/>
    <n v="5"/>
    <n v="180000"/>
    <n v="70000"/>
    <s v="PW001"/>
    <s v="Pakaian Wanita"/>
    <s v="Dress"/>
    <n v="2"/>
    <n v="5"/>
    <n v="600000"/>
    <n v="200000"/>
    <m/>
    <s v="-"/>
    <s v="-"/>
    <m/>
    <m/>
    <s v="0"/>
    <s v="0"/>
    <n v="3"/>
    <n v="780000"/>
    <n v="780000"/>
    <n v="270000"/>
    <n v="270000"/>
    <s v="-"/>
    <s v="-"/>
    <s v="-"/>
    <s v="Tokopedia"/>
    <x v="2"/>
    <d v="2023-04-07T00:00:00"/>
    <s v="Friday"/>
    <s v="wwww"/>
  </r>
  <r>
    <n v="364"/>
    <s v="ORD-SP0364-30/04/23"/>
    <s v="PP001"/>
    <s v="Pakaian Pria"/>
    <x v="3"/>
    <n v="3"/>
    <n v="4"/>
    <n v="600000"/>
    <n v="240000"/>
    <m/>
    <s v="-"/>
    <s v="-"/>
    <m/>
    <m/>
    <s v="0"/>
    <s v="0"/>
    <m/>
    <s v="-"/>
    <s v="-"/>
    <m/>
    <m/>
    <s v="0"/>
    <s v="0"/>
    <n v="3"/>
    <n v="600000"/>
    <n v="480000"/>
    <n v="240000"/>
    <n v="192000"/>
    <s v="DISC20"/>
    <n v="0.2"/>
    <s v="Promo Lebaran"/>
    <s v="Shopee"/>
    <x v="1"/>
    <d v="2023-04-30T00:00:00"/>
    <s v="Sunday"/>
    <s v="wwww"/>
  </r>
  <r>
    <n v="365"/>
    <s v="ORD-SP0365-08/04/23"/>
    <s v="PW002"/>
    <s v="Pakaian Wanita"/>
    <x v="1"/>
    <n v="2"/>
    <n v="2"/>
    <n v="300000"/>
    <n v="100000"/>
    <s v="PW001"/>
    <s v="Pakaian Wanita"/>
    <s v="Dress"/>
    <n v="1"/>
    <n v="1"/>
    <n v="300000"/>
    <n v="100000"/>
    <m/>
    <s v="-"/>
    <s v="-"/>
    <m/>
    <m/>
    <s v="0"/>
    <s v="0"/>
    <n v="3"/>
    <n v="600000"/>
    <n v="600000"/>
    <n v="200000"/>
    <n v="200000"/>
    <s v="-"/>
    <s v="-"/>
    <s v="-"/>
    <s v="Shopee"/>
    <x v="2"/>
    <d v="2023-04-08T00:00:00"/>
    <s v="Saturday"/>
    <s v="wwww"/>
  </r>
  <r>
    <n v="366"/>
    <s v="ORD-BL0366-16/04/23"/>
    <s v="PW001"/>
    <s v="Pakaian Wanita"/>
    <x v="0"/>
    <n v="1"/>
    <n v="5"/>
    <n v="300000"/>
    <n v="100000"/>
    <s v="PP002"/>
    <s v="Pakaian Pria"/>
    <s v="Celana Pendek"/>
    <n v="4"/>
    <n v="5"/>
    <n v="720000"/>
    <n v="280000"/>
    <m/>
    <s v="-"/>
    <s v="-"/>
    <m/>
    <m/>
    <s v="0"/>
    <s v="0"/>
    <n v="5"/>
    <n v="1020000"/>
    <n v="867000"/>
    <n v="380000"/>
    <n v="323000"/>
    <s v="BUKALEBAR"/>
    <n v="0.15"/>
    <s v="Promo Lebaran"/>
    <s v="Bukalapak"/>
    <x v="4"/>
    <d v="2023-04-16T00:00:00"/>
    <s v="Sunday"/>
    <s v="wwww"/>
  </r>
  <r>
    <n v="367"/>
    <s v="ORD-TK0367-12/04/23"/>
    <s v="PP003"/>
    <s v="Pakaian Pria"/>
    <x v="5"/>
    <n v="4"/>
    <n v="5"/>
    <n v="1600000"/>
    <n v="600000"/>
    <s v="SP002"/>
    <s v="Sepatu Pria"/>
    <s v="Sandal Slip On"/>
    <n v="2"/>
    <n v="4"/>
    <n v="300000"/>
    <n v="120000"/>
    <m/>
    <s v="-"/>
    <s v="-"/>
    <m/>
    <m/>
    <s v="0"/>
    <s v="0"/>
    <n v="6"/>
    <n v="1900000"/>
    <n v="1900000"/>
    <n v="720000"/>
    <n v="720000"/>
    <s v="-"/>
    <s v="-"/>
    <s v="-"/>
    <s v="Tokopedia"/>
    <x v="4"/>
    <d v="2023-04-12T00:00:00"/>
    <s v="Wednesday"/>
    <s v="wwww"/>
  </r>
  <r>
    <n v="368"/>
    <s v="ORD-SP0368-06/04/23"/>
    <s v="PU001"/>
    <s v="Pakaian Unisex"/>
    <x v="6"/>
    <n v="1"/>
    <n v="3"/>
    <n v="350000"/>
    <n v="130000"/>
    <m/>
    <s v="-"/>
    <s v="-"/>
    <m/>
    <m/>
    <s v="0"/>
    <s v="0"/>
    <m/>
    <s v="-"/>
    <s v="-"/>
    <m/>
    <m/>
    <s v="0"/>
    <s v="0"/>
    <n v="1"/>
    <n v="350000"/>
    <n v="315000"/>
    <n v="130000"/>
    <n v="117000"/>
    <s v="DISC10"/>
    <n v="0.1"/>
    <s v="Promo 4.4"/>
    <s v="Shopee"/>
    <x v="5"/>
    <d v="2023-04-06T00:00:00"/>
    <s v="Thursday"/>
    <s v="wwww"/>
  </r>
  <r>
    <n v="369"/>
    <s v="ORD-SP0369-15/04/23"/>
    <s v="PW001"/>
    <s v="Pakaian Wanita"/>
    <x v="0"/>
    <n v="1"/>
    <n v="1"/>
    <n v="300000"/>
    <n v="100000"/>
    <m/>
    <s v="-"/>
    <s v="-"/>
    <m/>
    <m/>
    <s v="0"/>
    <s v="0"/>
    <m/>
    <s v="-"/>
    <s v="-"/>
    <m/>
    <m/>
    <s v="0"/>
    <s v="0"/>
    <n v="1"/>
    <n v="300000"/>
    <n v="300000"/>
    <n v="100000"/>
    <n v="100000"/>
    <s v="-"/>
    <s v="-"/>
    <s v="-"/>
    <s v="Shopee"/>
    <x v="1"/>
    <d v="2023-04-15T00:00:00"/>
    <s v="Saturday"/>
    <s v="wwww"/>
  </r>
  <r>
    <n v="370"/>
    <s v="ORD-BL0370-30/04/23"/>
    <s v="PP002"/>
    <s v="Pakaian Pria"/>
    <x v="4"/>
    <n v="1"/>
    <n v="5"/>
    <n v="180000"/>
    <n v="70000"/>
    <s v="SP001"/>
    <s v="Sepatu Pria"/>
    <s v="Sneakers"/>
    <n v="1"/>
    <n v="3"/>
    <n v="500000"/>
    <n v="200000"/>
    <m/>
    <s v="-"/>
    <s v="-"/>
    <m/>
    <m/>
    <s v="0"/>
    <s v="0"/>
    <n v="2"/>
    <n v="680000"/>
    <n v="578000"/>
    <n v="270000"/>
    <n v="229500"/>
    <s v="BUKALEBAR"/>
    <n v="0.15"/>
    <s v="Promo Lebaran"/>
    <s v="Bukalapak"/>
    <x v="4"/>
    <d v="2023-04-30T00:00:00"/>
    <s v="Sunday"/>
    <s v="wwww"/>
  </r>
  <r>
    <n v="371"/>
    <s v="ORD-BB0371-09/04/23"/>
    <s v="PW001"/>
    <s v="Pakaian Wanita"/>
    <x v="0"/>
    <n v="3"/>
    <n v="3"/>
    <n v="900000"/>
    <n v="300000"/>
    <s v="PP002"/>
    <s v="Pakaian Pria"/>
    <s v="Celana Pendek"/>
    <n v="2"/>
    <n v="3"/>
    <n v="360000"/>
    <n v="140000"/>
    <s v="SW001"/>
    <s v="Sepatu Wanita"/>
    <s v="Flat Shoes"/>
    <n v="1"/>
    <n v="2"/>
    <n v="250000"/>
    <n v="100000"/>
    <n v="6"/>
    <n v="1510000"/>
    <n v="1510000"/>
    <n v="540000"/>
    <n v="540000"/>
    <s v="-"/>
    <s v="-"/>
    <s v="-"/>
    <s v="BliBli"/>
    <x v="0"/>
    <d v="2023-04-09T00:00:00"/>
    <s v="Sunday"/>
    <s v="wwww"/>
  </r>
  <r>
    <n v="372"/>
    <s v="ORD-BB0372-02/04/23"/>
    <s v="SP002"/>
    <s v="Sepatu Pria"/>
    <x v="8"/>
    <n v="2"/>
    <n v="3"/>
    <n v="300000"/>
    <n v="120000"/>
    <s v="PW002"/>
    <s v="Pakaian Wanita"/>
    <s v="Blouse"/>
    <n v="1"/>
    <n v="4"/>
    <n v="150000"/>
    <n v="50000"/>
    <s v="PW001"/>
    <s v="Pakaian Wanita"/>
    <s v="Dress"/>
    <n v="1"/>
    <n v="3"/>
    <n v="300000"/>
    <n v="100000"/>
    <n v="4"/>
    <n v="750000"/>
    <n v="637500"/>
    <n v="270000"/>
    <n v="229500"/>
    <s v="BELI44"/>
    <n v="0.15"/>
    <s v="Promo 4.4"/>
    <s v="BliBli"/>
    <x v="1"/>
    <d v="2023-04-02T00:00:00"/>
    <s v="Sunday"/>
    <s v="wwww"/>
  </r>
  <r>
    <n v="373"/>
    <s v="ORD-TK0373-07/04/23"/>
    <s v="PW002"/>
    <s v="Pakaian Wanita"/>
    <x v="1"/>
    <n v="1"/>
    <n v="4"/>
    <n v="150000"/>
    <n v="50000"/>
    <s v="PU001"/>
    <s v="Pakaian Unisex"/>
    <s v="Jaket Hoodie"/>
    <n v="2"/>
    <n v="3"/>
    <n v="700000"/>
    <n v="260000"/>
    <m/>
    <s v="-"/>
    <s v="-"/>
    <m/>
    <m/>
    <s v="0"/>
    <s v="0"/>
    <n v="3"/>
    <n v="850000"/>
    <n v="850000"/>
    <n v="310000"/>
    <n v="310000"/>
    <s v="-"/>
    <s v="-"/>
    <s v="-"/>
    <s v="Tokopedia"/>
    <x v="4"/>
    <d v="2023-04-07T00:00:00"/>
    <s v="Friday"/>
    <s v="wwww"/>
  </r>
  <r>
    <n v="374"/>
    <s v="ORD-TK0374-28/04/23"/>
    <s v="PU001"/>
    <s v="Pakaian Unisex"/>
    <x v="6"/>
    <n v="5"/>
    <n v="2"/>
    <n v="1750000"/>
    <n v="650000"/>
    <m/>
    <s v="-"/>
    <s v="-"/>
    <m/>
    <m/>
    <s v="0"/>
    <s v="0"/>
    <m/>
    <s v="-"/>
    <s v="-"/>
    <m/>
    <m/>
    <s v="0"/>
    <s v="0"/>
    <n v="5"/>
    <n v="1750000"/>
    <n v="1575000"/>
    <n v="650000"/>
    <n v="585000"/>
    <s v="LEBAR10"/>
    <n v="0.1"/>
    <s v="Promo Lebaran"/>
    <s v="Tokopedia"/>
    <x v="0"/>
    <d v="2023-04-28T00:00:00"/>
    <s v="Friday"/>
    <s v="wwww"/>
  </r>
  <r>
    <n v="375"/>
    <s v="ORD-BB0375-01/04/23"/>
    <s v="PP001"/>
    <s v="Pakaian Pria"/>
    <x v="3"/>
    <n v="4"/>
    <n v="3"/>
    <n v="800000"/>
    <n v="320000"/>
    <m/>
    <s v="-"/>
    <s v="-"/>
    <m/>
    <m/>
    <s v="0"/>
    <s v="0"/>
    <m/>
    <s v="-"/>
    <s v="-"/>
    <m/>
    <m/>
    <s v="0"/>
    <s v="0"/>
    <n v="4"/>
    <n v="800000"/>
    <n v="680000"/>
    <n v="320000"/>
    <n v="272000"/>
    <s v="BELI44"/>
    <n v="0.15"/>
    <s v="Promo 4.4"/>
    <s v="BliBli"/>
    <x v="3"/>
    <d v="2023-04-01T00:00:00"/>
    <s v="Saturday"/>
    <s v="wwww"/>
  </r>
  <r>
    <n v="376"/>
    <s v="ORD-BL0376-20/04/23"/>
    <s v="SW001"/>
    <s v="Sepatu Wanita"/>
    <x v="9"/>
    <n v="1"/>
    <n v="1"/>
    <n v="250000"/>
    <n v="100000"/>
    <m/>
    <s v="-"/>
    <s v="-"/>
    <m/>
    <m/>
    <s v="0"/>
    <s v="0"/>
    <m/>
    <s v="-"/>
    <s v="-"/>
    <m/>
    <m/>
    <s v="0"/>
    <s v="0"/>
    <n v="1"/>
    <n v="250000"/>
    <n v="212500"/>
    <n v="100000"/>
    <n v="85000"/>
    <s v="BUKALEBAR"/>
    <n v="0.15"/>
    <s v="Promo Lebaran"/>
    <s v="Bukalapak"/>
    <x v="4"/>
    <d v="2023-04-20T00:00:00"/>
    <s v="Thursday"/>
    <s v="wwww"/>
  </r>
  <r>
    <n v="377"/>
    <s v="ORD-SP0377-26/04/23"/>
    <s v="PW001"/>
    <s v="Pakaian Wanita"/>
    <x v="0"/>
    <n v="2"/>
    <n v="1"/>
    <n v="600000"/>
    <n v="200000"/>
    <s v="SP001"/>
    <s v="Sepatu Pria"/>
    <s v="Sneakers"/>
    <n v="4"/>
    <n v="3"/>
    <n v="2000000"/>
    <n v="800000"/>
    <m/>
    <s v="-"/>
    <s v="-"/>
    <m/>
    <m/>
    <s v="0"/>
    <s v="0"/>
    <n v="6"/>
    <n v="2600000"/>
    <n v="2080000"/>
    <n v="1000000"/>
    <n v="800000"/>
    <s v="DISC20"/>
    <n v="0.2"/>
    <s v="Promo Lebaran"/>
    <s v="Shopee"/>
    <x v="4"/>
    <d v="2023-04-26T00:00:00"/>
    <s v="Wednesday"/>
    <s v="wwww"/>
  </r>
  <r>
    <n v="378"/>
    <s v="ORD-TK0378-25/04/23"/>
    <s v="SW001"/>
    <s v="Sepatu Wanita"/>
    <x v="9"/>
    <n v="3"/>
    <n v="4"/>
    <n v="750000"/>
    <n v="300000"/>
    <s v="PP003"/>
    <s v="Pakaian Pria"/>
    <s v="Jaket Jeans"/>
    <n v="2"/>
    <n v="5"/>
    <n v="800000"/>
    <n v="300000"/>
    <m/>
    <s v="-"/>
    <s v="-"/>
    <m/>
    <m/>
    <s v="0"/>
    <s v="0"/>
    <n v="5"/>
    <n v="1550000"/>
    <n v="1395000"/>
    <n v="600000"/>
    <n v="540000"/>
    <s v="LEBAR10"/>
    <n v="0.1"/>
    <s v="Promo Lebaran"/>
    <s v="Tokopedia"/>
    <x v="5"/>
    <d v="2023-04-25T00:00:00"/>
    <s v="Tuesday"/>
    <s v="wwww"/>
  </r>
  <r>
    <n v="379"/>
    <s v="ORD-SP0379-16/04/23"/>
    <s v="SW001"/>
    <s v="Sepatu Wanita"/>
    <x v="9"/>
    <n v="1"/>
    <n v="3"/>
    <n v="250000"/>
    <n v="100000"/>
    <s v="PP002"/>
    <s v="Pakaian Pria"/>
    <s v="Celana Pendek"/>
    <n v="2"/>
    <n v="1"/>
    <n v="360000"/>
    <n v="140000"/>
    <s v="PW002"/>
    <s v="Pakaian Wanita"/>
    <s v="Blouse"/>
    <n v="4"/>
    <n v="4"/>
    <n v="600000"/>
    <n v="200000"/>
    <n v="7"/>
    <n v="1210000"/>
    <n v="968000"/>
    <n v="440000"/>
    <n v="352000"/>
    <s v="DISC20"/>
    <n v="0.2"/>
    <s v="Promo Lebaran"/>
    <s v="Shopee"/>
    <x v="1"/>
    <d v="2023-04-16T00:00:00"/>
    <s v="Sunday"/>
    <s v="wwww"/>
  </r>
  <r>
    <n v="380"/>
    <s v="ORD-SP0380-22/04/23"/>
    <s v="SP001"/>
    <s v="Sepatu Pria"/>
    <x v="7"/>
    <n v="1"/>
    <n v="2"/>
    <n v="500000"/>
    <n v="200000"/>
    <s v="PP003"/>
    <s v="Pakaian Pria"/>
    <s v="Jaket Jeans"/>
    <n v="2"/>
    <n v="2"/>
    <n v="800000"/>
    <n v="300000"/>
    <s v="PW003"/>
    <s v="Pakaian Wanita"/>
    <s v="Kaftan"/>
    <n v="1"/>
    <n v="1"/>
    <n v="250000"/>
    <n v="100000"/>
    <n v="4"/>
    <n v="1550000"/>
    <n v="1240000"/>
    <n v="600000"/>
    <n v="480000"/>
    <s v="DISC20"/>
    <n v="0.2"/>
    <s v="Promo Lebaran"/>
    <s v="Shopee"/>
    <x v="4"/>
    <d v="2023-04-22T00:00:00"/>
    <s v="Saturday"/>
    <s v="wwww"/>
  </r>
  <r>
    <n v="381"/>
    <s v="ORD-TK0381-11/04/23"/>
    <s v="SW001"/>
    <s v="Sepatu Wanita"/>
    <x v="9"/>
    <n v="1"/>
    <n v="3"/>
    <n v="250000"/>
    <n v="100000"/>
    <s v="PP002"/>
    <s v="Pakaian Pria"/>
    <s v="Celana Pendek"/>
    <n v="2"/>
    <n v="3"/>
    <n v="360000"/>
    <n v="140000"/>
    <m/>
    <s v="-"/>
    <s v="-"/>
    <m/>
    <m/>
    <s v="0"/>
    <s v="0"/>
    <n v="3"/>
    <n v="610000"/>
    <n v="610000"/>
    <n v="240000"/>
    <n v="240000"/>
    <s v="-"/>
    <s v="-"/>
    <s v="-"/>
    <s v="Tokopedia"/>
    <x v="5"/>
    <d v="2023-04-11T00:00:00"/>
    <s v="Tuesday"/>
    <s v="wwww"/>
  </r>
  <r>
    <n v="382"/>
    <s v="ORD-TK0382-08/04/23"/>
    <s v="SP001"/>
    <s v="Sepatu Pria"/>
    <x v="7"/>
    <n v="4"/>
    <n v="2"/>
    <n v="2000000"/>
    <n v="800000"/>
    <s v="PP003"/>
    <s v="Pakaian Pria"/>
    <s v="Jaket Jeans"/>
    <n v="2"/>
    <n v="5"/>
    <n v="800000"/>
    <n v="300000"/>
    <m/>
    <s v="-"/>
    <s v="-"/>
    <m/>
    <m/>
    <s v="0"/>
    <s v="0"/>
    <n v="6"/>
    <n v="2800000"/>
    <n v="2800000"/>
    <n v="1100000"/>
    <n v="1100000"/>
    <s v="-"/>
    <s v="-"/>
    <s v="-"/>
    <s v="Tokopedia"/>
    <x v="4"/>
    <d v="2023-04-08T00:00:00"/>
    <s v="Saturday"/>
    <s v="wwww"/>
  </r>
  <r>
    <n v="383"/>
    <s v="ORD-SP0383-04/04/23"/>
    <s v="PP003"/>
    <s v="Pakaian Pria"/>
    <x v="5"/>
    <n v="4"/>
    <n v="4"/>
    <n v="1600000"/>
    <n v="600000"/>
    <s v="PU001"/>
    <s v="Pakaian Unisex"/>
    <s v="Jaket Hoodie"/>
    <n v="1"/>
    <n v="4"/>
    <n v="350000"/>
    <n v="130000"/>
    <s v="PP003"/>
    <s v="Pakaian Pria"/>
    <s v="Jaket Jeans"/>
    <n v="2"/>
    <n v="4"/>
    <n v="800000"/>
    <n v="300000"/>
    <n v="7"/>
    <n v="2750000"/>
    <n v="2337500"/>
    <n v="1030000"/>
    <n v="875500"/>
    <s v="DISC15"/>
    <n v="0.15"/>
    <s v="Promo 4.4"/>
    <s v="Shopee"/>
    <x v="3"/>
    <d v="2023-04-04T00:00:00"/>
    <s v="Tuesday"/>
    <s v="wwww"/>
  </r>
  <r>
    <n v="384"/>
    <s v="ORD-SP0384-06/04/23"/>
    <s v="SP001"/>
    <s v="Sepatu Pria"/>
    <x v="7"/>
    <n v="2"/>
    <n v="3"/>
    <n v="1000000"/>
    <n v="400000"/>
    <s v="PP003"/>
    <s v="Pakaian Pria"/>
    <s v="Jaket Jeans"/>
    <n v="1"/>
    <n v="4"/>
    <n v="400000"/>
    <n v="150000"/>
    <m/>
    <s v="-"/>
    <s v="-"/>
    <m/>
    <m/>
    <s v="0"/>
    <s v="0"/>
    <n v="3"/>
    <n v="1400000"/>
    <n v="1190000"/>
    <n v="550000"/>
    <n v="467500"/>
    <s v="DISC15"/>
    <n v="0.15"/>
    <s v="Promo 4.4"/>
    <s v="Shopee"/>
    <x v="1"/>
    <d v="2023-04-06T00:00:00"/>
    <s v="Thursday"/>
    <s v="wwww"/>
  </r>
  <r>
    <n v="385"/>
    <s v="ORD-SP0385-07/04/23"/>
    <s v="PP002"/>
    <s v="Pakaian Pria"/>
    <x v="4"/>
    <n v="2"/>
    <n v="1"/>
    <n v="360000"/>
    <n v="140000"/>
    <m/>
    <s v="-"/>
    <s v="-"/>
    <m/>
    <m/>
    <s v="0"/>
    <s v="0"/>
    <m/>
    <s v="-"/>
    <s v="-"/>
    <m/>
    <m/>
    <s v="0"/>
    <s v="0"/>
    <n v="2"/>
    <n v="360000"/>
    <n v="360000"/>
    <n v="140000"/>
    <n v="140000"/>
    <s v="-"/>
    <s v="-"/>
    <s v="-"/>
    <s v="Shopee"/>
    <x v="3"/>
    <d v="2023-04-07T00:00:00"/>
    <s v="Friday"/>
    <s v="wwww"/>
  </r>
  <r>
    <n v="386"/>
    <s v="ORD-SP0386-02/04/23"/>
    <s v="PP003"/>
    <s v="Pakaian Pria"/>
    <x v="5"/>
    <n v="4"/>
    <n v="2"/>
    <n v="1600000"/>
    <n v="600000"/>
    <m/>
    <s v="-"/>
    <s v="-"/>
    <m/>
    <m/>
    <s v="0"/>
    <s v="0"/>
    <m/>
    <s v="-"/>
    <s v="-"/>
    <m/>
    <m/>
    <s v="0"/>
    <s v="0"/>
    <n v="4"/>
    <n v="1600000"/>
    <n v="1440000"/>
    <n v="600000"/>
    <n v="540000"/>
    <s v="DISC10"/>
    <n v="0.1"/>
    <s v="Promo 4.4"/>
    <s v="Shopee"/>
    <x v="4"/>
    <d v="2023-04-02T00:00:00"/>
    <s v="Sunday"/>
    <s v="wwww"/>
  </r>
  <r>
    <n v="387"/>
    <s v="ORD-SP0387-01/04/23"/>
    <s v="PP002"/>
    <s v="Pakaian Pria"/>
    <x v="4"/>
    <n v="4"/>
    <n v="3"/>
    <n v="720000"/>
    <n v="280000"/>
    <s v="PU001"/>
    <s v="Pakaian Unisex"/>
    <s v="Jaket Hoodie"/>
    <n v="1"/>
    <n v="2"/>
    <n v="350000"/>
    <n v="130000"/>
    <s v="SP001"/>
    <s v="Sepatu Pria"/>
    <s v="Sneakers"/>
    <n v="2"/>
    <n v="4"/>
    <n v="1000000"/>
    <n v="400000"/>
    <n v="7"/>
    <n v="2070000"/>
    <n v="1759500"/>
    <n v="810000"/>
    <n v="688500"/>
    <s v="DISC15"/>
    <n v="0.15"/>
    <s v="Promo 4.4"/>
    <s v="Shopee"/>
    <x v="4"/>
    <d v="2023-04-01T00:00:00"/>
    <s v="Saturday"/>
    <s v="wwww"/>
  </r>
  <r>
    <n v="388"/>
    <s v="ORD-TK0388-20/04/23"/>
    <s v="PW002"/>
    <s v="Pakaian Wanita"/>
    <x v="1"/>
    <n v="3"/>
    <n v="5"/>
    <n v="450000"/>
    <n v="150000"/>
    <m/>
    <s v="-"/>
    <s v="-"/>
    <m/>
    <m/>
    <s v="0"/>
    <s v="0"/>
    <m/>
    <s v="-"/>
    <s v="-"/>
    <m/>
    <m/>
    <s v="0"/>
    <s v="0"/>
    <n v="3"/>
    <n v="450000"/>
    <n v="405000"/>
    <n v="150000"/>
    <n v="135000"/>
    <s v="LEBAR10"/>
    <n v="0.1"/>
    <s v="Promo Lebaran"/>
    <s v="Tokopedia"/>
    <x v="2"/>
    <d v="2023-04-20T00:00:00"/>
    <s v="Thursday"/>
    <s v="wwww"/>
  </r>
  <r>
    <n v="389"/>
    <s v="ORD-BL0389-10/04/23"/>
    <s v="SP002"/>
    <s v="Sepatu Pria"/>
    <x v="8"/>
    <n v="3"/>
    <n v="2"/>
    <n v="450000"/>
    <n v="180000"/>
    <m/>
    <s v="-"/>
    <s v="-"/>
    <m/>
    <m/>
    <s v="0"/>
    <s v="0"/>
    <m/>
    <s v="-"/>
    <s v="-"/>
    <m/>
    <m/>
    <s v="0"/>
    <s v="0"/>
    <n v="3"/>
    <n v="450000"/>
    <n v="450000"/>
    <n v="180000"/>
    <n v="180000"/>
    <s v="-"/>
    <s v="-"/>
    <s v="-"/>
    <s v="Bukalapak"/>
    <x v="4"/>
    <d v="2023-04-10T00:00:00"/>
    <s v="Monday"/>
    <s v="wwww"/>
  </r>
  <r>
    <n v="390"/>
    <s v="ORD-SP0390-02/04/23"/>
    <s v="PW003"/>
    <s v="Pakaian Wanita"/>
    <x v="2"/>
    <n v="2"/>
    <n v="1"/>
    <n v="500000"/>
    <n v="200000"/>
    <m/>
    <s v="-"/>
    <s v="-"/>
    <m/>
    <m/>
    <s v="0"/>
    <s v="0"/>
    <m/>
    <s v="-"/>
    <s v="-"/>
    <m/>
    <m/>
    <s v="0"/>
    <s v="0"/>
    <n v="2"/>
    <n v="500000"/>
    <n v="425000"/>
    <n v="200000"/>
    <n v="170000"/>
    <s v="DISC15"/>
    <n v="0.15"/>
    <s v="Promo 4.4"/>
    <s v="Shopee"/>
    <x v="4"/>
    <d v="2023-04-02T00:00:00"/>
    <s v="Sunday"/>
    <s v="wwww"/>
  </r>
  <r>
    <n v="391"/>
    <s v="ORD-BB0391-14/04/23"/>
    <s v="PW003"/>
    <s v="Pakaian Wanita"/>
    <x v="2"/>
    <n v="2"/>
    <n v="1"/>
    <n v="500000"/>
    <n v="200000"/>
    <s v="PW002"/>
    <s v="Pakaian Wanita"/>
    <s v="Blouse"/>
    <n v="1"/>
    <n v="5"/>
    <n v="150000"/>
    <n v="50000"/>
    <s v="PW001"/>
    <s v="Pakaian Wanita"/>
    <s v="Dress"/>
    <n v="2"/>
    <n v="3"/>
    <n v="600000"/>
    <n v="200000"/>
    <n v="5"/>
    <n v="1250000"/>
    <n v="1250000"/>
    <n v="450000"/>
    <n v="450000"/>
    <s v="-"/>
    <s v="-"/>
    <s v="-"/>
    <s v="BliBli"/>
    <x v="4"/>
    <d v="2023-04-14T00:00:00"/>
    <s v="Friday"/>
    <s v="wwww"/>
  </r>
  <r>
    <n v="392"/>
    <s v="ORD-SP0392-22/04/23"/>
    <s v="PP002"/>
    <s v="Pakaian Pria"/>
    <x v="4"/>
    <n v="1"/>
    <n v="4"/>
    <n v="180000"/>
    <n v="70000"/>
    <m/>
    <s v="-"/>
    <s v="-"/>
    <m/>
    <m/>
    <s v="0"/>
    <s v="0"/>
    <m/>
    <s v="-"/>
    <s v="-"/>
    <m/>
    <m/>
    <s v="0"/>
    <s v="0"/>
    <n v="1"/>
    <n v="180000"/>
    <n v="144000"/>
    <n v="70000"/>
    <n v="56000"/>
    <s v="DISC20"/>
    <n v="0.2"/>
    <s v="Promo Lebaran"/>
    <s v="Shopee"/>
    <x v="0"/>
    <d v="2023-04-22T00:00:00"/>
    <s v="Saturday"/>
    <s v="wwww"/>
  </r>
  <r>
    <n v="393"/>
    <s v="ORD-BL0393-22/04/23"/>
    <s v="PU001"/>
    <s v="Pakaian Unisex"/>
    <x v="6"/>
    <n v="4"/>
    <n v="2"/>
    <n v="1400000"/>
    <n v="520000"/>
    <s v="PP003"/>
    <s v="Pakaian Pria"/>
    <s v="Jaket Jeans"/>
    <n v="2"/>
    <n v="4"/>
    <n v="800000"/>
    <n v="300000"/>
    <s v="PU001"/>
    <s v="Pakaian Unisex"/>
    <s v="Jaket Hoodie"/>
    <n v="1"/>
    <n v="5"/>
    <n v="350000"/>
    <n v="130000"/>
    <n v="7"/>
    <n v="2550000"/>
    <n v="2167500"/>
    <n v="950000"/>
    <n v="807500"/>
    <s v="BUKALEBAR"/>
    <n v="0.15"/>
    <s v="Promo Lebaran"/>
    <s v="Bukalapak"/>
    <x v="1"/>
    <d v="2023-04-22T00:00:00"/>
    <s v="Saturday"/>
    <s v="wwww"/>
  </r>
  <r>
    <n v="394"/>
    <s v="ORD-TK0394-03/04/23"/>
    <s v="PP002"/>
    <s v="Pakaian Pria"/>
    <x v="4"/>
    <n v="1"/>
    <n v="2"/>
    <n v="180000"/>
    <n v="70000"/>
    <s v="SP001"/>
    <s v="Sepatu Pria"/>
    <s v="Sneakers"/>
    <n v="1"/>
    <n v="1"/>
    <n v="500000"/>
    <n v="200000"/>
    <s v="PU001"/>
    <s v="Pakaian Unisex"/>
    <s v="Jaket Hoodie"/>
    <n v="1"/>
    <n v="2"/>
    <n v="350000"/>
    <n v="130000"/>
    <n v="3"/>
    <n v="1030000"/>
    <n v="927000"/>
    <n v="400000"/>
    <n v="360000"/>
    <s v="DISCAPRIL"/>
    <n v="0.1"/>
    <s v="Promo 4.4"/>
    <s v="Tokopedia"/>
    <x v="3"/>
    <d v="2023-04-03T00:00:00"/>
    <s v="Monday"/>
    <s v="wwww"/>
  </r>
  <r>
    <n v="395"/>
    <s v="ORD-TK0395-27/04/23"/>
    <s v="SP001"/>
    <s v="Sepatu Pria"/>
    <x v="7"/>
    <n v="1"/>
    <n v="3"/>
    <n v="500000"/>
    <n v="200000"/>
    <m/>
    <s v="-"/>
    <s v="-"/>
    <m/>
    <m/>
    <s v="0"/>
    <s v="0"/>
    <m/>
    <s v="-"/>
    <s v="-"/>
    <m/>
    <m/>
    <s v="0"/>
    <s v="0"/>
    <n v="1"/>
    <n v="500000"/>
    <n v="450000"/>
    <n v="200000"/>
    <n v="180000"/>
    <s v="LEBAR10"/>
    <n v="0.1"/>
    <s v="Promo Lebaran"/>
    <s v="Tokopedia"/>
    <x v="2"/>
    <d v="2023-04-27T00:00:00"/>
    <s v="Thursday"/>
    <s v="wwww"/>
  </r>
  <r>
    <n v="396"/>
    <s v="ORD-SP0396-04/04/23"/>
    <s v="PW001"/>
    <s v="Pakaian Wanita"/>
    <x v="0"/>
    <n v="1"/>
    <n v="3"/>
    <n v="300000"/>
    <n v="100000"/>
    <s v="PW002"/>
    <s v="Pakaian Wanita"/>
    <s v="Blouse"/>
    <n v="1"/>
    <n v="3"/>
    <n v="150000"/>
    <n v="50000"/>
    <s v="PU001"/>
    <s v="Pakaian Unisex"/>
    <s v="Jaket Hoodie"/>
    <n v="3"/>
    <n v="3"/>
    <n v="1050000"/>
    <n v="390000"/>
    <n v="5"/>
    <n v="1500000"/>
    <n v="1275000"/>
    <n v="540000"/>
    <n v="459000"/>
    <s v="DISC15"/>
    <n v="0.15"/>
    <s v="Promo 4.4"/>
    <s v="Shopee"/>
    <x v="2"/>
    <d v="2023-04-04T00:00:00"/>
    <s v="Tuesday"/>
    <s v="wwww"/>
  </r>
  <r>
    <n v="397"/>
    <s v="ORD-SP0397-03/04/23"/>
    <s v="SP002"/>
    <s v="Sepatu Pria"/>
    <x v="8"/>
    <n v="3"/>
    <n v="2"/>
    <n v="450000"/>
    <n v="180000"/>
    <s v="PP003"/>
    <s v="Pakaian Pria"/>
    <s v="Jaket Jeans"/>
    <n v="3"/>
    <n v="3"/>
    <n v="1200000"/>
    <n v="450000"/>
    <m/>
    <s v="-"/>
    <s v="-"/>
    <m/>
    <m/>
    <s v="0"/>
    <s v="0"/>
    <n v="6"/>
    <n v="1650000"/>
    <n v="1402500"/>
    <n v="630000"/>
    <n v="535500"/>
    <s v="DISC15"/>
    <n v="0.15"/>
    <s v="Promo 4.4"/>
    <s v="Shopee"/>
    <x v="0"/>
    <d v="2023-04-03T00:00:00"/>
    <s v="Monday"/>
    <s v="wwww"/>
  </r>
  <r>
    <n v="398"/>
    <s v="ORD-SP0398-04/04/23"/>
    <s v="PP001"/>
    <s v="Pakaian Pria"/>
    <x v="3"/>
    <n v="2"/>
    <n v="3"/>
    <n v="400000"/>
    <n v="160000"/>
    <s v="PP002"/>
    <s v="Pakaian Pria"/>
    <s v="Celana Pendek"/>
    <n v="1"/>
    <n v="2"/>
    <n v="180000"/>
    <n v="70000"/>
    <m/>
    <s v="-"/>
    <s v="-"/>
    <m/>
    <m/>
    <s v="0"/>
    <s v="0"/>
    <n v="3"/>
    <n v="580000"/>
    <n v="522000"/>
    <n v="230000"/>
    <n v="207000"/>
    <s v="DISC10"/>
    <n v="0.1"/>
    <s v="Promo 4.4"/>
    <s v="Shopee"/>
    <x v="0"/>
    <d v="2023-04-04T00:00:00"/>
    <s v="Tuesday"/>
    <s v="wwww"/>
  </r>
  <r>
    <n v="399"/>
    <s v="ORD-BL0399-18/04/23"/>
    <s v="SP002"/>
    <s v="Sepatu Pria"/>
    <x v="8"/>
    <n v="1"/>
    <n v="2"/>
    <n v="150000"/>
    <n v="60000"/>
    <m/>
    <s v="-"/>
    <s v="-"/>
    <m/>
    <m/>
    <s v="0"/>
    <s v="0"/>
    <m/>
    <s v="-"/>
    <s v="-"/>
    <m/>
    <m/>
    <s v="0"/>
    <s v="0"/>
    <n v="1"/>
    <n v="150000"/>
    <n v="127500"/>
    <n v="60000"/>
    <n v="51000"/>
    <s v="BUKALEBAR"/>
    <n v="0.15"/>
    <s v="Promo Lebaran"/>
    <s v="Bukalapak"/>
    <x v="0"/>
    <d v="2023-04-18T00:00:00"/>
    <s v="Tuesday"/>
    <s v="wwww"/>
  </r>
  <r>
    <n v="400"/>
    <s v="ORD-SP0400-24/04/23"/>
    <s v="SP002"/>
    <s v="Sepatu Pria"/>
    <x v="8"/>
    <n v="3"/>
    <n v="3"/>
    <n v="450000"/>
    <n v="180000"/>
    <s v="PW003"/>
    <s v="Pakaian Wanita"/>
    <s v="Kaftan"/>
    <n v="1"/>
    <n v="2"/>
    <n v="250000"/>
    <n v="100000"/>
    <m/>
    <s v="-"/>
    <s v="-"/>
    <m/>
    <m/>
    <s v="0"/>
    <s v="0"/>
    <n v="4"/>
    <n v="700000"/>
    <n v="560000"/>
    <n v="280000"/>
    <n v="224000"/>
    <s v="DISC20"/>
    <n v="0.2"/>
    <s v="Promo Lebaran"/>
    <s v="Shopee"/>
    <x v="4"/>
    <d v="2023-04-24T00:00:00"/>
    <s v="Monday"/>
    <s v="wwww"/>
  </r>
  <r>
    <n v="401"/>
    <s v="ORD-SP0401-03/04/23"/>
    <s v="PP003"/>
    <s v="Pakaian Pria"/>
    <x v="5"/>
    <n v="1"/>
    <n v="2"/>
    <n v="400000"/>
    <n v="150000"/>
    <m/>
    <s v="-"/>
    <s v="-"/>
    <m/>
    <m/>
    <s v="0"/>
    <s v="0"/>
    <m/>
    <s v="-"/>
    <s v="-"/>
    <m/>
    <m/>
    <s v="0"/>
    <s v="0"/>
    <n v="1"/>
    <n v="400000"/>
    <n v="360000"/>
    <n v="150000"/>
    <n v="135000"/>
    <s v="DISC10"/>
    <n v="0.1"/>
    <s v="Promo 4.4"/>
    <s v="Shopee"/>
    <x v="1"/>
    <d v="2023-04-03T00:00:00"/>
    <s v="Monday"/>
    <s v="wwww"/>
  </r>
  <r>
    <n v="402"/>
    <s v="ORD-SP0402-01/04/23"/>
    <s v="PP003"/>
    <s v="Pakaian Pria"/>
    <x v="5"/>
    <n v="6"/>
    <n v="4"/>
    <n v="2400000"/>
    <n v="900000"/>
    <m/>
    <s v="-"/>
    <s v="-"/>
    <m/>
    <m/>
    <s v="0"/>
    <s v="0"/>
    <m/>
    <s v="-"/>
    <s v="-"/>
    <m/>
    <m/>
    <s v="0"/>
    <s v="0"/>
    <n v="6"/>
    <n v="2400000"/>
    <n v="2160000"/>
    <n v="900000"/>
    <n v="810000"/>
    <s v="DISC10"/>
    <n v="0.1"/>
    <s v="Promo 4.4"/>
    <s v="Shopee"/>
    <x v="5"/>
    <d v="2023-04-01T00:00:00"/>
    <s v="Saturday"/>
    <s v="wwww"/>
  </r>
  <r>
    <n v="403"/>
    <s v="ORD-SP0403-04/04/23"/>
    <s v="PW003"/>
    <s v="Pakaian Wanita"/>
    <x v="2"/>
    <n v="3"/>
    <n v="3"/>
    <n v="750000"/>
    <n v="300000"/>
    <s v="PW001"/>
    <s v="Pakaian Wanita"/>
    <s v="Dress"/>
    <n v="3"/>
    <n v="2"/>
    <n v="900000"/>
    <n v="300000"/>
    <m/>
    <s v="-"/>
    <s v="-"/>
    <m/>
    <m/>
    <s v="0"/>
    <s v="0"/>
    <n v="6"/>
    <n v="1650000"/>
    <n v="1402500"/>
    <n v="600000"/>
    <n v="510000"/>
    <s v="DISC15"/>
    <n v="0.15"/>
    <s v="Promo 4.4"/>
    <s v="Shopee"/>
    <x v="4"/>
    <d v="2023-04-04T00:00:00"/>
    <s v="Tuesday"/>
    <s v="wwww"/>
  </r>
  <r>
    <n v="404"/>
    <s v="ORD-BB0404-01/04/23"/>
    <s v="SW001"/>
    <s v="Sepatu Wanita"/>
    <x v="9"/>
    <n v="1"/>
    <n v="3"/>
    <n v="250000"/>
    <n v="100000"/>
    <m/>
    <s v="-"/>
    <s v="-"/>
    <m/>
    <m/>
    <s v="0"/>
    <s v="0"/>
    <m/>
    <s v="-"/>
    <s v="-"/>
    <m/>
    <m/>
    <s v="0"/>
    <s v="0"/>
    <n v="1"/>
    <n v="250000"/>
    <n v="212500"/>
    <n v="100000"/>
    <n v="85000"/>
    <s v="BELI44"/>
    <n v="0.15"/>
    <s v="Promo 4.4"/>
    <s v="BliBli"/>
    <x v="5"/>
    <d v="2023-04-01T00:00:00"/>
    <s v="Saturday"/>
    <s v="wwww"/>
  </r>
  <r>
    <n v="405"/>
    <s v="ORD-SP0405-20/04/23"/>
    <s v="PP001"/>
    <s v="Pakaian Pria"/>
    <x v="3"/>
    <n v="4"/>
    <n v="5"/>
    <n v="800000"/>
    <n v="320000"/>
    <s v="PW003"/>
    <s v="Pakaian Wanita"/>
    <s v="Kaftan"/>
    <n v="1"/>
    <n v="2"/>
    <n v="250000"/>
    <n v="100000"/>
    <s v="PW002"/>
    <s v="Pakaian Wanita"/>
    <s v="Blouse"/>
    <n v="2"/>
    <n v="1"/>
    <n v="300000"/>
    <n v="100000"/>
    <n v="7"/>
    <n v="1350000"/>
    <n v="1080000"/>
    <n v="520000"/>
    <n v="416000"/>
    <s v="DISC20"/>
    <n v="0.2"/>
    <s v="Promo Lebaran"/>
    <s v="Shopee"/>
    <x v="1"/>
    <d v="2023-04-20T00:00:00"/>
    <s v="Thursday"/>
    <s v="wwww"/>
  </r>
  <r>
    <n v="406"/>
    <s v="ORD-SP0406-02/04/23"/>
    <s v="SP002"/>
    <s v="Sepatu Pria"/>
    <x v="8"/>
    <n v="1"/>
    <n v="4"/>
    <n v="150000"/>
    <n v="60000"/>
    <s v="PP002"/>
    <s v="Pakaian Pria"/>
    <s v="Celana Pendek"/>
    <n v="1"/>
    <n v="5"/>
    <n v="180000"/>
    <n v="70000"/>
    <m/>
    <s v="-"/>
    <s v="-"/>
    <m/>
    <m/>
    <s v="0"/>
    <s v="0"/>
    <n v="2"/>
    <n v="330000"/>
    <n v="280500"/>
    <n v="130000"/>
    <n v="110500"/>
    <s v="DISC15"/>
    <n v="0.15"/>
    <s v="Promo 4.4"/>
    <s v="Shopee"/>
    <x v="4"/>
    <d v="2023-04-02T00:00:00"/>
    <s v="Sunday"/>
    <s v="wwww"/>
  </r>
  <r>
    <n v="407"/>
    <s v="ORD-SP0407-01/04/23"/>
    <s v="SP001"/>
    <s v="Sepatu Pria"/>
    <x v="7"/>
    <n v="2"/>
    <n v="5"/>
    <n v="1000000"/>
    <n v="400000"/>
    <s v="PW003"/>
    <s v="Pakaian Wanita"/>
    <s v="Kaftan"/>
    <n v="2"/>
    <n v="5"/>
    <n v="500000"/>
    <n v="200000"/>
    <s v="PW002"/>
    <s v="Pakaian Wanita"/>
    <s v="Blouse"/>
    <n v="3"/>
    <n v="4"/>
    <n v="450000"/>
    <n v="150000"/>
    <n v="7"/>
    <n v="1950000"/>
    <n v="1755000"/>
    <n v="750000"/>
    <n v="675000"/>
    <s v="DISC10"/>
    <n v="0.1"/>
    <s v="Promo 4.4"/>
    <s v="Shopee"/>
    <x v="4"/>
    <d v="2023-04-01T00:00:00"/>
    <s v="Saturday"/>
    <s v="wwww"/>
  </r>
  <r>
    <n v="408"/>
    <s v="ORD-TK0408-09/04/23"/>
    <s v="PP003"/>
    <s v="Pakaian Pria"/>
    <x v="5"/>
    <n v="1"/>
    <n v="2"/>
    <n v="400000"/>
    <n v="150000"/>
    <s v="PP001"/>
    <s v="Pakaian Pria"/>
    <s v="Kaos Polo"/>
    <n v="1"/>
    <n v="2"/>
    <n v="200000"/>
    <n v="80000"/>
    <s v="SP001"/>
    <s v="Sepatu Pria"/>
    <s v="Sneakers"/>
    <n v="3"/>
    <n v="4"/>
    <n v="1500000"/>
    <n v="600000"/>
    <n v="5"/>
    <n v="2100000"/>
    <n v="2100000"/>
    <n v="830000"/>
    <n v="830000"/>
    <s v="-"/>
    <s v="-"/>
    <s v="-"/>
    <s v="Tokopedia"/>
    <x v="4"/>
    <d v="2023-04-09T00:00:00"/>
    <s v="Sunday"/>
    <s v="wwww"/>
  </r>
  <r>
    <n v="409"/>
    <s v="ORD-SP0409-26/04/23"/>
    <s v="SW001"/>
    <s v="Sepatu Wanita"/>
    <x v="9"/>
    <n v="3"/>
    <n v="5"/>
    <n v="750000"/>
    <n v="300000"/>
    <s v="PW003"/>
    <s v="Pakaian Wanita"/>
    <s v="Kaftan"/>
    <n v="1"/>
    <n v="2"/>
    <n v="250000"/>
    <n v="100000"/>
    <m/>
    <s v="-"/>
    <s v="-"/>
    <m/>
    <m/>
    <s v="0"/>
    <s v="0"/>
    <n v="4"/>
    <n v="1000000"/>
    <n v="800000"/>
    <n v="400000"/>
    <n v="320000"/>
    <s v="DISC20"/>
    <n v="0.2"/>
    <s v="Promo Lebaran"/>
    <s v="Shopee"/>
    <x v="5"/>
    <d v="2023-04-26T00:00:00"/>
    <s v="Wednesday"/>
    <s v="wwww"/>
  </r>
  <r>
    <n v="410"/>
    <s v="ORD-SP0410-16/04/23"/>
    <s v="SW001"/>
    <s v="Sepatu Wanita"/>
    <x v="9"/>
    <n v="1"/>
    <n v="1"/>
    <n v="250000"/>
    <n v="100000"/>
    <m/>
    <s v="-"/>
    <s v="-"/>
    <m/>
    <m/>
    <s v="0"/>
    <s v="0"/>
    <m/>
    <s v="-"/>
    <s v="-"/>
    <m/>
    <m/>
    <s v="0"/>
    <s v="0"/>
    <n v="1"/>
    <n v="250000"/>
    <n v="200000"/>
    <n v="100000"/>
    <n v="80000"/>
    <s v="DISC20"/>
    <n v="0.2"/>
    <s v="Promo Lebaran"/>
    <s v="Shopee"/>
    <x v="1"/>
    <d v="2023-04-16T00:00:00"/>
    <s v="Sunday"/>
    <s v="wwww"/>
  </r>
  <r>
    <n v="411"/>
    <s v="ORD-TK0411-01/04/23"/>
    <s v="PW001"/>
    <s v="Pakaian Wanita"/>
    <x v="0"/>
    <n v="1"/>
    <n v="5"/>
    <n v="300000"/>
    <n v="100000"/>
    <m/>
    <s v="-"/>
    <s v="-"/>
    <m/>
    <m/>
    <s v="0"/>
    <s v="0"/>
    <m/>
    <s v="-"/>
    <s v="-"/>
    <m/>
    <m/>
    <s v="0"/>
    <s v="0"/>
    <n v="1"/>
    <n v="300000"/>
    <n v="270000"/>
    <n v="100000"/>
    <n v="90000"/>
    <s v="DISCAPRIL"/>
    <n v="0.1"/>
    <s v="Promo 4.4"/>
    <s v="Tokopedia"/>
    <x v="1"/>
    <d v="2023-04-01T00:00:00"/>
    <s v="Saturday"/>
    <s v="wwww"/>
  </r>
  <r>
    <n v="412"/>
    <s v="ORD-TK0412-25/04/23"/>
    <s v="PP002"/>
    <s v="Pakaian Pria"/>
    <x v="4"/>
    <n v="4"/>
    <n v="4"/>
    <n v="720000"/>
    <n v="280000"/>
    <s v="PP001"/>
    <s v="Pakaian Pria"/>
    <s v="Kaos Polo"/>
    <n v="1"/>
    <n v="4"/>
    <n v="200000"/>
    <n v="80000"/>
    <m/>
    <s v="-"/>
    <s v="-"/>
    <m/>
    <m/>
    <s v="0"/>
    <s v="0"/>
    <n v="5"/>
    <n v="920000"/>
    <n v="828000"/>
    <n v="360000"/>
    <n v="324000"/>
    <s v="LEBAR10"/>
    <n v="0.1"/>
    <s v="Promo Lebaran"/>
    <s v="Tokopedia"/>
    <x v="1"/>
    <d v="2023-04-25T00:00:00"/>
    <s v="Tuesday"/>
    <s v="wwww"/>
  </r>
  <r>
    <n v="413"/>
    <s v="ORD-SP0413-05/04/23"/>
    <s v="SP001"/>
    <s v="Sepatu Pria"/>
    <x v="7"/>
    <n v="5"/>
    <n v="1"/>
    <n v="2500000"/>
    <n v="1000000"/>
    <m/>
    <s v="-"/>
    <s v="-"/>
    <m/>
    <m/>
    <s v="0"/>
    <s v="0"/>
    <m/>
    <s v="-"/>
    <s v="-"/>
    <m/>
    <m/>
    <s v="0"/>
    <s v="0"/>
    <n v="5"/>
    <n v="2500000"/>
    <n v="2250000"/>
    <n v="1000000"/>
    <n v="900000"/>
    <s v="DISC10"/>
    <n v="0.1"/>
    <s v="Promo 4.4"/>
    <s v="Shopee"/>
    <x v="5"/>
    <d v="2023-04-05T00:00:00"/>
    <s v="Wednesday"/>
    <s v="wwww"/>
  </r>
  <r>
    <n v="414"/>
    <s v="ORD-BL0414-26/04/23"/>
    <s v="PU001"/>
    <s v="Pakaian Unisex"/>
    <x v="6"/>
    <n v="2"/>
    <n v="4"/>
    <n v="700000"/>
    <n v="260000"/>
    <s v="PP001"/>
    <s v="Pakaian Pria"/>
    <s v="Kaos Polo"/>
    <n v="1"/>
    <n v="1"/>
    <n v="200000"/>
    <n v="80000"/>
    <m/>
    <s v="-"/>
    <s v="-"/>
    <m/>
    <m/>
    <s v="0"/>
    <s v="0"/>
    <n v="3"/>
    <n v="900000"/>
    <n v="765000"/>
    <n v="340000"/>
    <n v="289000"/>
    <s v="BUKALEBAR"/>
    <n v="0.15"/>
    <s v="Promo Lebaran"/>
    <s v="Bukalapak"/>
    <x v="5"/>
    <d v="2023-04-26T00:00:00"/>
    <s v="Wednesday"/>
    <s v="wwww"/>
  </r>
  <r>
    <n v="415"/>
    <s v="ORD-TK0415-03/04/23"/>
    <s v="PP002"/>
    <s v="Pakaian Pria"/>
    <x v="4"/>
    <n v="2"/>
    <n v="5"/>
    <n v="360000"/>
    <n v="140000"/>
    <s v="SP002"/>
    <s v="Sepatu Pria"/>
    <s v="Sandal Slip On"/>
    <n v="1"/>
    <n v="5"/>
    <n v="150000"/>
    <n v="60000"/>
    <m/>
    <s v="-"/>
    <s v="-"/>
    <m/>
    <m/>
    <s v="0"/>
    <s v="0"/>
    <n v="3"/>
    <n v="510000"/>
    <n v="459000"/>
    <n v="200000"/>
    <n v="180000"/>
    <s v="DISCAPRIL"/>
    <n v="0.1"/>
    <s v="Promo 4.4"/>
    <s v="Tokopedia"/>
    <x v="4"/>
    <d v="2023-04-03T00:00:00"/>
    <s v="Monday"/>
    <s v="wwww"/>
  </r>
  <r>
    <n v="416"/>
    <s v="ORD-BB0416-06/04/23"/>
    <s v="PU001"/>
    <s v="Pakaian Unisex"/>
    <x v="6"/>
    <n v="6"/>
    <n v="5"/>
    <n v="2100000"/>
    <n v="780000"/>
    <m/>
    <s v="-"/>
    <s v="-"/>
    <m/>
    <m/>
    <s v="0"/>
    <s v="0"/>
    <m/>
    <s v="-"/>
    <s v="-"/>
    <m/>
    <m/>
    <s v="0"/>
    <s v="0"/>
    <n v="6"/>
    <n v="2100000"/>
    <n v="1785000"/>
    <n v="780000"/>
    <n v="663000"/>
    <s v="BELI44"/>
    <n v="0.15"/>
    <s v="Promo 4.4"/>
    <s v="BliBli"/>
    <x v="1"/>
    <d v="2023-04-06T00:00:00"/>
    <s v="Thursday"/>
    <s v="wwww"/>
  </r>
  <r>
    <n v="417"/>
    <s v="ORD-TK0417-30/04/23"/>
    <s v="PP001"/>
    <s v="Pakaian Pria"/>
    <x v="3"/>
    <n v="5"/>
    <n v="4"/>
    <n v="1000000"/>
    <n v="400000"/>
    <s v="PP002"/>
    <s v="Pakaian Pria"/>
    <s v="Celana Pendek"/>
    <n v="1"/>
    <n v="3"/>
    <n v="180000"/>
    <n v="70000"/>
    <m/>
    <s v="-"/>
    <s v="-"/>
    <m/>
    <m/>
    <s v="0"/>
    <s v="0"/>
    <n v="6"/>
    <n v="1180000"/>
    <n v="1062000"/>
    <n v="470000"/>
    <n v="423000"/>
    <s v="LEBAR10"/>
    <n v="0.1"/>
    <s v="Promo Lebaran"/>
    <s v="Tokopedia"/>
    <x v="4"/>
    <d v="2023-04-30T00:00:00"/>
    <s v="Sunday"/>
    <s v="wwww"/>
  </r>
  <r>
    <n v="418"/>
    <s v="ORD-BB0418-01/04/23"/>
    <s v="PW001"/>
    <s v="Pakaian Wanita"/>
    <x v="0"/>
    <n v="2"/>
    <n v="5"/>
    <n v="600000"/>
    <n v="200000"/>
    <s v="SW001"/>
    <s v="Sepatu Wanita"/>
    <s v="Flat Shoes"/>
    <n v="1"/>
    <n v="5"/>
    <n v="250000"/>
    <n v="100000"/>
    <s v="SP001"/>
    <s v="Sepatu Pria"/>
    <s v="Sneakers"/>
    <n v="1"/>
    <n v="3"/>
    <n v="500000"/>
    <n v="200000"/>
    <n v="4"/>
    <n v="1350000"/>
    <n v="1147500"/>
    <n v="500000"/>
    <n v="425000"/>
    <s v="BELI44"/>
    <n v="0.15"/>
    <s v="Promo 4.4"/>
    <s v="BliBli"/>
    <x v="5"/>
    <d v="2023-04-01T00:00:00"/>
    <s v="Saturday"/>
    <s v="wwww"/>
  </r>
  <r>
    <n v="419"/>
    <s v="ORD-BL0419-24/04/23"/>
    <s v="PW002"/>
    <s v="Pakaian Wanita"/>
    <x v="1"/>
    <n v="1"/>
    <n v="1"/>
    <n v="150000"/>
    <n v="50000"/>
    <m/>
    <s v="-"/>
    <s v="-"/>
    <m/>
    <m/>
    <s v="0"/>
    <s v="0"/>
    <m/>
    <s v="-"/>
    <s v="-"/>
    <m/>
    <m/>
    <s v="0"/>
    <s v="0"/>
    <n v="1"/>
    <n v="150000"/>
    <n v="127500"/>
    <n v="50000"/>
    <n v="42500"/>
    <s v="BUKALEBAR"/>
    <n v="0.15"/>
    <s v="Promo Lebaran"/>
    <s v="Bukalapak"/>
    <x v="4"/>
    <d v="2023-04-24T00:00:00"/>
    <s v="Monday"/>
    <s v="wwww"/>
  </r>
  <r>
    <n v="420"/>
    <s v="ORD-BB0420-05/04/23"/>
    <s v="PU001"/>
    <s v="Pakaian Unisex"/>
    <x v="6"/>
    <n v="3"/>
    <n v="4"/>
    <n v="1050000"/>
    <n v="390000"/>
    <s v="PP003"/>
    <s v="Pakaian Pria"/>
    <s v="Jaket Jeans"/>
    <n v="1"/>
    <n v="5"/>
    <n v="400000"/>
    <n v="150000"/>
    <s v="PW002"/>
    <s v="Pakaian Wanita"/>
    <s v="Blouse"/>
    <n v="2"/>
    <n v="4"/>
    <n v="300000"/>
    <n v="100000"/>
    <n v="6"/>
    <n v="1750000"/>
    <n v="1487500"/>
    <n v="640000"/>
    <n v="544000"/>
    <s v="BELI44"/>
    <n v="0.15"/>
    <s v="Promo 4.4"/>
    <s v="BliBli"/>
    <x v="1"/>
    <d v="2023-04-05T00:00:00"/>
    <s v="Wednesday"/>
    <s v="wwww"/>
  </r>
  <r>
    <n v="421"/>
    <s v="ORD-TK0421-16/04/23"/>
    <s v="PW003"/>
    <s v="Pakaian Wanita"/>
    <x v="2"/>
    <n v="1"/>
    <n v="4"/>
    <n v="250000"/>
    <n v="100000"/>
    <m/>
    <s v="-"/>
    <s v="-"/>
    <m/>
    <m/>
    <s v="0"/>
    <s v="0"/>
    <m/>
    <s v="-"/>
    <s v="-"/>
    <m/>
    <m/>
    <s v="0"/>
    <s v="0"/>
    <n v="1"/>
    <n v="250000"/>
    <n v="225000"/>
    <n v="100000"/>
    <n v="90000"/>
    <s v="LEBAR10"/>
    <n v="0.1"/>
    <s v="Promo Lebaran"/>
    <s v="Tokopedia"/>
    <x v="0"/>
    <d v="2023-04-16T00:00:00"/>
    <s v="Sunday"/>
    <s v="wwww"/>
  </r>
  <r>
    <n v="422"/>
    <s v="ORD-SP0422-11/04/23"/>
    <s v="PP003"/>
    <s v="Pakaian Pria"/>
    <x v="5"/>
    <n v="1"/>
    <n v="3"/>
    <n v="400000"/>
    <n v="150000"/>
    <s v="PP002"/>
    <s v="Pakaian Pria"/>
    <s v="Celana Pendek"/>
    <n v="5"/>
    <n v="2"/>
    <n v="900000"/>
    <n v="350000"/>
    <m/>
    <s v="-"/>
    <s v="-"/>
    <m/>
    <m/>
    <s v="0"/>
    <s v="0"/>
    <n v="6"/>
    <n v="1300000"/>
    <n v="1300000"/>
    <n v="500000"/>
    <n v="500000"/>
    <s v="-"/>
    <s v="-"/>
    <s v="-"/>
    <s v="Shopee"/>
    <x v="1"/>
    <d v="2023-04-11T00:00:00"/>
    <s v="Tuesday"/>
    <s v="wwww"/>
  </r>
  <r>
    <n v="423"/>
    <s v="ORD-SP0423-15/04/23"/>
    <s v="SW001"/>
    <s v="Sepatu Wanita"/>
    <x v="9"/>
    <n v="1"/>
    <n v="2"/>
    <n v="250000"/>
    <n v="100000"/>
    <s v="SP002"/>
    <s v="Sepatu Pria"/>
    <s v="Sandal Slip On"/>
    <n v="1"/>
    <n v="3"/>
    <n v="150000"/>
    <n v="60000"/>
    <s v="SP001"/>
    <s v="Sepatu Pria"/>
    <s v="Sneakers"/>
    <n v="1"/>
    <n v="2"/>
    <n v="500000"/>
    <n v="200000"/>
    <n v="3"/>
    <n v="900000"/>
    <n v="900000"/>
    <n v="360000"/>
    <n v="360000"/>
    <s v="-"/>
    <s v="-"/>
    <s v="-"/>
    <s v="Shopee"/>
    <x v="4"/>
    <d v="2023-04-15T00:00:00"/>
    <s v="Saturday"/>
    <s v="wwww"/>
  </r>
  <r>
    <n v="424"/>
    <s v="ORD-SP0424-29/04/23"/>
    <s v="SP001"/>
    <s v="Sepatu Pria"/>
    <x v="7"/>
    <n v="7"/>
    <n v="1"/>
    <n v="3500000"/>
    <n v="1400000"/>
    <m/>
    <s v="-"/>
    <s v="-"/>
    <m/>
    <m/>
    <s v="0"/>
    <s v="0"/>
    <m/>
    <s v="-"/>
    <s v="-"/>
    <m/>
    <m/>
    <s v="0"/>
    <s v="0"/>
    <n v="7"/>
    <n v="3500000"/>
    <n v="2800000"/>
    <n v="1400000"/>
    <n v="1120000"/>
    <s v="DISC20"/>
    <n v="0.2"/>
    <s v="Promo Lebaran"/>
    <s v="Shopee"/>
    <x v="4"/>
    <d v="2023-04-29T00:00:00"/>
    <s v="Saturday"/>
    <s v="wwww"/>
  </r>
  <r>
    <n v="425"/>
    <s v="ORD-SP0425-21/04/23"/>
    <s v="PW002"/>
    <s v="Pakaian Wanita"/>
    <x v="1"/>
    <n v="6"/>
    <n v="1"/>
    <n v="900000"/>
    <n v="300000"/>
    <s v="SP001"/>
    <s v="Sepatu Pria"/>
    <s v="Sneakers"/>
    <n v="1"/>
    <n v="3"/>
    <n v="500000"/>
    <n v="200000"/>
    <m/>
    <s v="-"/>
    <s v="-"/>
    <m/>
    <m/>
    <s v="0"/>
    <s v="0"/>
    <n v="7"/>
    <n v="1400000"/>
    <n v="1120000"/>
    <n v="500000"/>
    <n v="400000"/>
    <s v="DISC20"/>
    <n v="0.2"/>
    <s v="Promo Lebaran"/>
    <s v="Shopee"/>
    <x v="5"/>
    <d v="2023-04-21T00:00:00"/>
    <s v="Friday"/>
    <s v="wwww"/>
  </r>
  <r>
    <n v="426"/>
    <s v="ORD-SP0426-28/04/23"/>
    <s v="PP003"/>
    <s v="Pakaian Pria"/>
    <x v="5"/>
    <n v="1"/>
    <n v="5"/>
    <n v="400000"/>
    <n v="150000"/>
    <m/>
    <s v="-"/>
    <s v="-"/>
    <m/>
    <m/>
    <s v="0"/>
    <s v="0"/>
    <m/>
    <s v="-"/>
    <s v="-"/>
    <m/>
    <m/>
    <s v="0"/>
    <s v="0"/>
    <n v="1"/>
    <n v="400000"/>
    <n v="320000"/>
    <n v="150000"/>
    <n v="120000"/>
    <s v="DISC20"/>
    <n v="0.2"/>
    <s v="Promo Lebaran"/>
    <s v="Shopee"/>
    <x v="1"/>
    <d v="2023-04-28T00:00:00"/>
    <s v="Friday"/>
    <s v="wwww"/>
  </r>
  <r>
    <n v="427"/>
    <s v="ORD-TK0427-04/04/23"/>
    <s v="SP002"/>
    <s v="Sepatu Pria"/>
    <x v="8"/>
    <n v="7"/>
    <n v="4"/>
    <n v="1050000"/>
    <n v="420000"/>
    <m/>
    <s v="-"/>
    <s v="-"/>
    <m/>
    <m/>
    <s v="0"/>
    <s v="0"/>
    <m/>
    <s v="-"/>
    <s v="-"/>
    <m/>
    <m/>
    <s v="0"/>
    <s v="0"/>
    <n v="7"/>
    <n v="1050000"/>
    <n v="945000"/>
    <n v="420000"/>
    <n v="378000"/>
    <s v="DISCAPRIL"/>
    <n v="0.1"/>
    <s v="Promo 4.4"/>
    <s v="Tokopedia"/>
    <x v="1"/>
    <d v="2023-04-04T00:00:00"/>
    <s v="Tuesday"/>
    <s v="wwww"/>
  </r>
  <r>
    <n v="428"/>
    <s v="ORD-SP0428-06/04/23"/>
    <s v="SW001"/>
    <s v="Sepatu Wanita"/>
    <x v="9"/>
    <n v="1"/>
    <n v="1"/>
    <n v="250000"/>
    <n v="100000"/>
    <m/>
    <s v="-"/>
    <s v="-"/>
    <m/>
    <m/>
    <s v="0"/>
    <s v="0"/>
    <m/>
    <s v="-"/>
    <s v="-"/>
    <m/>
    <m/>
    <s v="0"/>
    <s v="0"/>
    <n v="1"/>
    <n v="250000"/>
    <n v="225000"/>
    <n v="100000"/>
    <n v="90000"/>
    <s v="DISC10"/>
    <n v="0.1"/>
    <s v="Promo 4.4"/>
    <s v="Shopee"/>
    <x v="4"/>
    <d v="2023-04-06T00:00:00"/>
    <s v="Thursday"/>
    <s v="wwww"/>
  </r>
  <r>
    <n v="429"/>
    <s v="ORD-TK0429-02/04/23"/>
    <s v="PP002"/>
    <s v="Pakaian Pria"/>
    <x v="4"/>
    <n v="5"/>
    <n v="4"/>
    <n v="900000"/>
    <n v="350000"/>
    <m/>
    <s v="-"/>
    <s v="-"/>
    <m/>
    <m/>
    <s v="0"/>
    <s v="0"/>
    <m/>
    <s v="-"/>
    <s v="-"/>
    <m/>
    <m/>
    <s v="0"/>
    <s v="0"/>
    <n v="5"/>
    <n v="900000"/>
    <n v="810000"/>
    <n v="350000"/>
    <n v="315000"/>
    <s v="DISCAPRIL"/>
    <n v="0.1"/>
    <s v="Promo 4.4"/>
    <s v="Tokopedia"/>
    <x v="3"/>
    <d v="2023-04-02T00:00:00"/>
    <s v="Sunday"/>
    <s v="wwww"/>
  </r>
  <r>
    <n v="430"/>
    <s v="ORD-BL0430-20/04/23"/>
    <s v="SW001"/>
    <s v="Sepatu Wanita"/>
    <x v="9"/>
    <n v="2"/>
    <n v="4"/>
    <n v="500000"/>
    <n v="200000"/>
    <s v="PW001"/>
    <s v="Pakaian Wanita"/>
    <s v="Dress"/>
    <n v="1"/>
    <n v="4"/>
    <n v="300000"/>
    <n v="100000"/>
    <m/>
    <s v="-"/>
    <s v="-"/>
    <m/>
    <m/>
    <s v="0"/>
    <s v="0"/>
    <n v="3"/>
    <n v="800000"/>
    <n v="680000"/>
    <n v="300000"/>
    <n v="255000"/>
    <s v="BUKALEBAR"/>
    <n v="0.15"/>
    <s v="Promo Lebaran"/>
    <s v="Bukalapak"/>
    <x v="2"/>
    <d v="2023-04-20T00:00:00"/>
    <s v="Thursday"/>
    <s v="wwww"/>
  </r>
  <r>
    <n v="431"/>
    <s v="ORD-SP0431-20/04/23"/>
    <s v="SP001"/>
    <s v="Sepatu Pria"/>
    <x v="7"/>
    <n v="3"/>
    <n v="2"/>
    <n v="1500000"/>
    <n v="600000"/>
    <s v="SW001"/>
    <s v="Sepatu Wanita"/>
    <s v="Flat Shoes"/>
    <n v="1"/>
    <n v="1"/>
    <n v="250000"/>
    <n v="100000"/>
    <m/>
    <s v="-"/>
    <s v="-"/>
    <m/>
    <m/>
    <s v="0"/>
    <s v="0"/>
    <n v="4"/>
    <n v="1750000"/>
    <n v="1400000"/>
    <n v="700000"/>
    <n v="560000"/>
    <s v="DISC20"/>
    <n v="0.2"/>
    <s v="Promo Lebaran"/>
    <s v="Shopee"/>
    <x v="2"/>
    <d v="2023-04-20T00:00:00"/>
    <s v="Thursday"/>
    <s v="wwww"/>
  </r>
  <r>
    <n v="432"/>
    <s v="ORD-TK0432-04/04/23"/>
    <s v="SW001"/>
    <s v="Sepatu Wanita"/>
    <x v="9"/>
    <n v="5"/>
    <n v="2"/>
    <n v="1250000"/>
    <n v="500000"/>
    <s v="PP002"/>
    <s v="Pakaian Pria"/>
    <s v="Celana Pendek"/>
    <n v="1"/>
    <n v="3"/>
    <n v="180000"/>
    <n v="70000"/>
    <m/>
    <s v="-"/>
    <s v="-"/>
    <m/>
    <m/>
    <s v="0"/>
    <s v="0"/>
    <n v="6"/>
    <n v="1430000"/>
    <n v="1287000"/>
    <n v="570000"/>
    <n v="513000"/>
    <s v="DISCAPRIL"/>
    <n v="0.1"/>
    <s v="Promo 4.4"/>
    <s v="Tokopedia"/>
    <x v="4"/>
    <d v="2023-04-04T00:00:00"/>
    <s v="Tuesday"/>
    <s v="wwww"/>
  </r>
  <r>
    <n v="433"/>
    <s v="ORD-SP0433-15/04/23"/>
    <s v="PW002"/>
    <s v="Pakaian Wanita"/>
    <x v="1"/>
    <n v="1"/>
    <n v="3"/>
    <n v="150000"/>
    <n v="50000"/>
    <s v="PP001"/>
    <s v="Pakaian Pria"/>
    <s v="Kaos Polo"/>
    <n v="1"/>
    <n v="3"/>
    <n v="200000"/>
    <n v="80000"/>
    <s v="PP002"/>
    <s v="Pakaian Pria"/>
    <s v="Celana Pendek"/>
    <n v="1"/>
    <n v="2"/>
    <n v="180000"/>
    <n v="70000"/>
    <n v="3"/>
    <n v="530000"/>
    <n v="530000"/>
    <n v="200000"/>
    <n v="200000"/>
    <s v="-"/>
    <s v="-"/>
    <s v="-"/>
    <s v="Shopee"/>
    <x v="4"/>
    <d v="2023-04-15T00:00:00"/>
    <s v="Saturday"/>
    <s v="wwww"/>
  </r>
  <r>
    <n v="434"/>
    <s v="ORD-BB0434-03/04/23"/>
    <s v="PW003"/>
    <s v="Pakaian Wanita"/>
    <x v="2"/>
    <n v="5"/>
    <n v="5"/>
    <n v="1250000"/>
    <n v="500000"/>
    <s v="PP001"/>
    <s v="Pakaian Pria"/>
    <s v="Kaos Polo"/>
    <n v="1"/>
    <n v="1"/>
    <n v="200000"/>
    <n v="80000"/>
    <m/>
    <s v="-"/>
    <s v="-"/>
    <m/>
    <m/>
    <s v="0"/>
    <s v="0"/>
    <n v="6"/>
    <n v="1450000"/>
    <n v="1232500"/>
    <n v="580000"/>
    <n v="493000"/>
    <s v="BELI44"/>
    <n v="0.15"/>
    <s v="Promo 4.4"/>
    <s v="BliBli"/>
    <x v="5"/>
    <d v="2023-04-03T00:00:00"/>
    <s v="Monday"/>
    <s v="wwww"/>
  </r>
  <r>
    <n v="435"/>
    <s v="ORD-SP0435-04/04/23"/>
    <s v="PW003"/>
    <s v="Pakaian Wanita"/>
    <x v="2"/>
    <n v="1"/>
    <n v="3"/>
    <n v="250000"/>
    <n v="100000"/>
    <s v="PU001"/>
    <s v="Pakaian Unisex"/>
    <s v="Jaket Hoodie"/>
    <n v="1"/>
    <n v="3"/>
    <n v="350000"/>
    <n v="130000"/>
    <s v="SW001"/>
    <s v="Sepatu Wanita"/>
    <s v="Flat Shoes"/>
    <n v="4"/>
    <n v="2"/>
    <n v="1000000"/>
    <n v="400000"/>
    <n v="6"/>
    <n v="1600000"/>
    <n v="1360000"/>
    <n v="630000"/>
    <n v="535500"/>
    <s v="DISC15"/>
    <n v="0.15"/>
    <s v="Promo 4.4"/>
    <s v="Shopee"/>
    <x v="5"/>
    <d v="2023-04-04T00:00:00"/>
    <s v="Tuesday"/>
    <s v="wwww"/>
  </r>
  <r>
    <n v="436"/>
    <s v="ORD-SP0436-01/04/23"/>
    <s v="PW001"/>
    <s v="Pakaian Wanita"/>
    <x v="0"/>
    <n v="1"/>
    <n v="5"/>
    <n v="300000"/>
    <n v="100000"/>
    <s v="PU001"/>
    <s v="Pakaian Unisex"/>
    <s v="Jaket Hoodie"/>
    <n v="3"/>
    <n v="4"/>
    <n v="1050000"/>
    <n v="390000"/>
    <m/>
    <s v="-"/>
    <s v="-"/>
    <m/>
    <m/>
    <s v="0"/>
    <s v="0"/>
    <n v="4"/>
    <n v="1350000"/>
    <n v="1215000"/>
    <n v="490000"/>
    <n v="441000"/>
    <s v="DISC10"/>
    <n v="0.1"/>
    <s v="Promo 4.4"/>
    <s v="Shopee"/>
    <x v="1"/>
    <d v="2023-04-01T00:00:00"/>
    <s v="Saturday"/>
    <s v="wwww"/>
  </r>
  <r>
    <n v="437"/>
    <s v="ORD-TK0437-13/04/23"/>
    <s v="SP002"/>
    <s v="Sepatu Pria"/>
    <x v="8"/>
    <n v="4"/>
    <n v="5"/>
    <n v="600000"/>
    <n v="240000"/>
    <m/>
    <s v="-"/>
    <s v="-"/>
    <m/>
    <m/>
    <s v="0"/>
    <s v="0"/>
    <m/>
    <s v="-"/>
    <s v="-"/>
    <m/>
    <m/>
    <s v="0"/>
    <s v="0"/>
    <n v="4"/>
    <n v="600000"/>
    <n v="600000"/>
    <n v="240000"/>
    <n v="240000"/>
    <s v="-"/>
    <s v="-"/>
    <s v="-"/>
    <s v="Tokopedia"/>
    <x v="4"/>
    <d v="2023-04-13T00:00:00"/>
    <s v="Thursday"/>
    <s v="wwww"/>
  </r>
  <r>
    <n v="438"/>
    <s v="ORD-SP0438-22/04/23"/>
    <s v="PU001"/>
    <s v="Pakaian Unisex"/>
    <x v="6"/>
    <n v="2"/>
    <n v="1"/>
    <n v="700000"/>
    <n v="260000"/>
    <s v="PP003"/>
    <s v="Pakaian Pria"/>
    <s v="Jaket Jeans"/>
    <n v="1"/>
    <n v="3"/>
    <n v="400000"/>
    <n v="150000"/>
    <m/>
    <s v="-"/>
    <s v="-"/>
    <m/>
    <m/>
    <s v="0"/>
    <s v="0"/>
    <n v="3"/>
    <n v="1100000"/>
    <n v="880000"/>
    <n v="410000"/>
    <n v="328000"/>
    <s v="DISC20"/>
    <n v="0.2"/>
    <s v="Promo Lebaran"/>
    <s v="Shopee"/>
    <x v="4"/>
    <d v="2023-04-22T00:00:00"/>
    <s v="Saturday"/>
    <s v="wwww"/>
  </r>
  <r>
    <n v="439"/>
    <s v="ORD-SP0439-04/04/23"/>
    <s v="PP002"/>
    <s v="Pakaian Pria"/>
    <x v="4"/>
    <n v="2"/>
    <n v="4"/>
    <n v="360000"/>
    <n v="140000"/>
    <s v="PU001"/>
    <s v="Pakaian Unisex"/>
    <s v="Jaket Hoodie"/>
    <n v="1"/>
    <n v="4"/>
    <n v="350000"/>
    <n v="130000"/>
    <m/>
    <s v="-"/>
    <s v="-"/>
    <m/>
    <m/>
    <s v="0"/>
    <s v="0"/>
    <n v="3"/>
    <n v="710000"/>
    <n v="639000"/>
    <n v="270000"/>
    <n v="243000"/>
    <s v="DISC10"/>
    <n v="0.1"/>
    <s v="Promo 4.4"/>
    <s v="Shopee"/>
    <x v="5"/>
    <d v="2023-04-04T00:00:00"/>
    <s v="Tuesday"/>
    <s v="wwww"/>
  </r>
  <r>
    <n v="440"/>
    <s v="ORD-TK0440-19/04/23"/>
    <s v="PP001"/>
    <s v="Pakaian Pria"/>
    <x v="3"/>
    <n v="1"/>
    <n v="5"/>
    <n v="200000"/>
    <n v="80000"/>
    <s v="SP002"/>
    <s v="Sepatu Pria"/>
    <s v="Sandal Slip On"/>
    <n v="1"/>
    <n v="5"/>
    <n v="150000"/>
    <n v="60000"/>
    <m/>
    <s v="-"/>
    <s v="-"/>
    <m/>
    <m/>
    <s v="0"/>
    <s v="0"/>
    <n v="2"/>
    <n v="350000"/>
    <n v="315000"/>
    <n v="140000"/>
    <n v="126000"/>
    <s v="LEBAR10"/>
    <n v="0.1"/>
    <s v="Promo Lebaran"/>
    <s v="Tokopedia"/>
    <x v="4"/>
    <d v="2023-04-19T00:00:00"/>
    <s v="Wednesday"/>
    <s v="wwww"/>
  </r>
  <r>
    <n v="441"/>
    <s v="ORD-TK0441-09/04/23"/>
    <s v="PW001"/>
    <s v="Pakaian Wanita"/>
    <x v="0"/>
    <n v="1"/>
    <n v="4"/>
    <n v="300000"/>
    <n v="100000"/>
    <s v="PP003"/>
    <s v="Pakaian Pria"/>
    <s v="Jaket Jeans"/>
    <n v="1"/>
    <n v="4"/>
    <n v="400000"/>
    <n v="150000"/>
    <m/>
    <s v="-"/>
    <s v="-"/>
    <m/>
    <m/>
    <s v="0"/>
    <s v="0"/>
    <n v="2"/>
    <n v="700000"/>
    <n v="700000"/>
    <n v="250000"/>
    <n v="250000"/>
    <s v="-"/>
    <s v="-"/>
    <s v="-"/>
    <s v="Tokopedia"/>
    <x v="4"/>
    <d v="2023-04-09T00:00:00"/>
    <s v="Sunday"/>
    <s v="wwww"/>
  </r>
  <r>
    <n v="442"/>
    <s v="ORD-SP0442-28/04/23"/>
    <s v="PP002"/>
    <s v="Pakaian Pria"/>
    <x v="4"/>
    <n v="1"/>
    <n v="3"/>
    <n v="180000"/>
    <n v="70000"/>
    <m/>
    <s v="-"/>
    <s v="-"/>
    <m/>
    <m/>
    <s v="0"/>
    <s v="0"/>
    <m/>
    <s v="-"/>
    <s v="-"/>
    <m/>
    <m/>
    <s v="0"/>
    <s v="0"/>
    <n v="1"/>
    <n v="180000"/>
    <n v="144000"/>
    <n v="70000"/>
    <n v="56000"/>
    <s v="DISC20"/>
    <n v="0.2"/>
    <s v="Promo Lebaran"/>
    <s v="Shopee"/>
    <x v="0"/>
    <d v="2023-04-28T00:00:00"/>
    <s v="Friday"/>
    <s v="wwww"/>
  </r>
  <r>
    <n v="443"/>
    <s v="ORD-BB0443-02/04/23"/>
    <s v="SP002"/>
    <s v="Sepatu Pria"/>
    <x v="8"/>
    <n v="5"/>
    <n v="5"/>
    <n v="750000"/>
    <n v="300000"/>
    <m/>
    <s v="-"/>
    <s v="-"/>
    <m/>
    <m/>
    <s v="0"/>
    <s v="0"/>
    <m/>
    <s v="-"/>
    <s v="-"/>
    <m/>
    <m/>
    <s v="0"/>
    <s v="0"/>
    <n v="5"/>
    <n v="750000"/>
    <n v="637500"/>
    <n v="300000"/>
    <n v="255000"/>
    <s v="BELI44"/>
    <n v="0.15"/>
    <s v="Promo 4.4"/>
    <s v="BliBli"/>
    <x v="4"/>
    <d v="2023-04-02T00:00:00"/>
    <s v="Sunday"/>
    <s v="wwww"/>
  </r>
  <r>
    <n v="444"/>
    <s v="ORD-TK0444-09/04/23"/>
    <s v="SP001"/>
    <s v="Sepatu Pria"/>
    <x v="7"/>
    <n v="1"/>
    <n v="4"/>
    <n v="500000"/>
    <n v="200000"/>
    <s v="PW001"/>
    <s v="Pakaian Wanita"/>
    <s v="Dress"/>
    <n v="1"/>
    <n v="1"/>
    <n v="300000"/>
    <n v="100000"/>
    <m/>
    <s v="-"/>
    <s v="-"/>
    <m/>
    <m/>
    <s v="0"/>
    <s v="0"/>
    <n v="2"/>
    <n v="800000"/>
    <n v="800000"/>
    <n v="300000"/>
    <n v="300000"/>
    <s v="-"/>
    <s v="-"/>
    <s v="-"/>
    <s v="Tokopedia"/>
    <x v="4"/>
    <d v="2023-04-09T00:00:00"/>
    <s v="Sunday"/>
    <s v="wwww"/>
  </r>
  <r>
    <n v="445"/>
    <s v="ORD-BB0445-02/04/23"/>
    <s v="PP001"/>
    <s v="Pakaian Pria"/>
    <x v="3"/>
    <n v="1"/>
    <n v="5"/>
    <n v="200000"/>
    <n v="80000"/>
    <m/>
    <s v="-"/>
    <s v="-"/>
    <m/>
    <m/>
    <s v="0"/>
    <s v="0"/>
    <m/>
    <s v="-"/>
    <s v="-"/>
    <m/>
    <m/>
    <s v="0"/>
    <s v="0"/>
    <n v="1"/>
    <n v="200000"/>
    <n v="170000"/>
    <n v="80000"/>
    <n v="68000"/>
    <s v="BELI44"/>
    <n v="0.15"/>
    <s v="Promo 4.4"/>
    <s v="BliBli"/>
    <x v="3"/>
    <d v="2023-04-02T00:00:00"/>
    <s v="Sunday"/>
    <s v="wwww"/>
  </r>
  <r>
    <n v="446"/>
    <s v="ORD-BB0446-03/04/23"/>
    <s v="PP001"/>
    <s v="Pakaian Pria"/>
    <x v="3"/>
    <n v="1"/>
    <n v="5"/>
    <n v="200000"/>
    <n v="80000"/>
    <s v="PP002"/>
    <s v="Pakaian Pria"/>
    <s v="Celana Pendek"/>
    <n v="2"/>
    <n v="1"/>
    <n v="360000"/>
    <n v="140000"/>
    <s v="SP002"/>
    <s v="Sepatu Pria"/>
    <s v="Sandal Slip On"/>
    <n v="1"/>
    <n v="3"/>
    <n v="150000"/>
    <n v="60000"/>
    <n v="4"/>
    <n v="710000"/>
    <n v="603500"/>
    <n v="280000"/>
    <n v="238000"/>
    <s v="BELI44"/>
    <n v="0.15"/>
    <s v="Promo 4.4"/>
    <s v="BliBli"/>
    <x v="4"/>
    <d v="2023-04-03T00:00:00"/>
    <s v="Monday"/>
    <s v="wwww"/>
  </r>
  <r>
    <n v="447"/>
    <s v="ORD-TK0447-28/04/23"/>
    <s v="PW001"/>
    <s v="Pakaian Wanita"/>
    <x v="0"/>
    <n v="7"/>
    <n v="2"/>
    <n v="2100000"/>
    <n v="700000"/>
    <m/>
    <s v="-"/>
    <s v="-"/>
    <m/>
    <m/>
    <s v="0"/>
    <s v="0"/>
    <m/>
    <s v="-"/>
    <s v="-"/>
    <m/>
    <m/>
    <s v="0"/>
    <s v="0"/>
    <n v="7"/>
    <n v="2100000"/>
    <n v="1890000"/>
    <n v="700000"/>
    <n v="630000"/>
    <s v="LEBAR10"/>
    <n v="0.1"/>
    <s v="Promo Lebaran"/>
    <s v="Tokopedia"/>
    <x v="4"/>
    <d v="2023-04-28T00:00:00"/>
    <s v="Friday"/>
    <s v="wwww"/>
  </r>
  <r>
    <n v="448"/>
    <s v="ORD-BB0448-01/04/23"/>
    <s v="PU001"/>
    <s v="Pakaian Unisex"/>
    <x v="6"/>
    <n v="2"/>
    <n v="2"/>
    <n v="700000"/>
    <n v="260000"/>
    <m/>
    <s v="-"/>
    <s v="-"/>
    <m/>
    <m/>
    <s v="0"/>
    <s v="0"/>
    <m/>
    <s v="-"/>
    <s v="-"/>
    <m/>
    <m/>
    <s v="0"/>
    <s v="0"/>
    <n v="2"/>
    <n v="700000"/>
    <n v="595000"/>
    <n v="260000"/>
    <n v="221000"/>
    <s v="BELI44"/>
    <n v="0.15"/>
    <s v="Promo 4.4"/>
    <s v="BliBli"/>
    <x v="5"/>
    <d v="2023-04-01T00:00:00"/>
    <s v="Saturday"/>
    <s v="wwww"/>
  </r>
  <r>
    <n v="449"/>
    <s v="ORD-SP0449-22/04/23"/>
    <s v="PW003"/>
    <s v="Pakaian Wanita"/>
    <x v="2"/>
    <n v="5"/>
    <n v="3"/>
    <n v="1250000"/>
    <n v="500000"/>
    <s v="PW003"/>
    <s v="Pakaian Wanita"/>
    <s v="Kaftan"/>
    <n v="1"/>
    <n v="3"/>
    <n v="250000"/>
    <n v="100000"/>
    <s v="SP001"/>
    <s v="Sepatu Pria"/>
    <s v="Sneakers"/>
    <n v="1"/>
    <n v="4"/>
    <n v="500000"/>
    <n v="200000"/>
    <n v="7"/>
    <n v="2000000"/>
    <n v="1600000"/>
    <n v="800000"/>
    <n v="640000"/>
    <s v="DISC20"/>
    <n v="0.2"/>
    <s v="Promo Lebaran"/>
    <s v="Shopee"/>
    <x v="1"/>
    <d v="2023-04-22T00:00:00"/>
    <s v="Saturday"/>
    <s v="wwww"/>
  </r>
  <r>
    <n v="450"/>
    <s v="ORD-TK0450-17/04/23"/>
    <s v="SP002"/>
    <s v="Sepatu Pria"/>
    <x v="8"/>
    <n v="6"/>
    <n v="3"/>
    <n v="900000"/>
    <n v="360000"/>
    <m/>
    <s v="-"/>
    <s v="-"/>
    <m/>
    <m/>
    <s v="0"/>
    <s v="0"/>
    <m/>
    <s v="-"/>
    <s v="-"/>
    <m/>
    <m/>
    <s v="0"/>
    <s v="0"/>
    <n v="6"/>
    <n v="900000"/>
    <n v="810000"/>
    <n v="360000"/>
    <n v="324000"/>
    <s v="LEBAR10"/>
    <n v="0.1"/>
    <s v="Promo Lebaran"/>
    <s v="Tokopedia"/>
    <x v="4"/>
    <d v="2023-04-17T00:00:00"/>
    <s v="Monday"/>
    <s v="wwww"/>
  </r>
  <r>
    <n v="451"/>
    <s v="ORD-BL0451-21/04/23"/>
    <s v="SP002"/>
    <s v="Sepatu Pria"/>
    <x v="8"/>
    <n v="1"/>
    <n v="4"/>
    <n v="150000"/>
    <n v="60000"/>
    <m/>
    <s v="-"/>
    <s v="-"/>
    <m/>
    <m/>
    <s v="0"/>
    <s v="0"/>
    <m/>
    <s v="-"/>
    <s v="-"/>
    <m/>
    <m/>
    <s v="0"/>
    <s v="0"/>
    <n v="1"/>
    <n v="150000"/>
    <n v="127500"/>
    <n v="60000"/>
    <n v="51000"/>
    <s v="BUKALEBAR"/>
    <n v="0.15"/>
    <s v="Promo Lebaran"/>
    <s v="Bukalapak"/>
    <x v="4"/>
    <d v="2023-04-21T00:00:00"/>
    <s v="Friday"/>
    <s v="wwww"/>
  </r>
  <r>
    <n v="452"/>
    <s v="ORD-SP0452-01/04/23"/>
    <s v="PP003"/>
    <s v="Pakaian Pria"/>
    <x v="5"/>
    <n v="2"/>
    <n v="2"/>
    <n v="800000"/>
    <n v="300000"/>
    <m/>
    <s v="-"/>
    <s v="-"/>
    <m/>
    <m/>
    <s v="0"/>
    <s v="0"/>
    <m/>
    <s v="-"/>
    <s v="-"/>
    <m/>
    <m/>
    <s v="0"/>
    <s v="0"/>
    <n v="2"/>
    <n v="800000"/>
    <n v="680000"/>
    <n v="300000"/>
    <n v="255000"/>
    <s v="DISC15"/>
    <n v="0.15"/>
    <s v="Promo 4.4"/>
    <s v="Shopee"/>
    <x v="4"/>
    <d v="2023-04-01T00:00:00"/>
    <s v="Saturday"/>
    <s v="wwww"/>
  </r>
  <r>
    <n v="453"/>
    <s v="ORD-BL0453-07/04/23"/>
    <s v="PW003"/>
    <s v="Pakaian Wanita"/>
    <x v="2"/>
    <n v="1"/>
    <n v="5"/>
    <n v="250000"/>
    <n v="100000"/>
    <m/>
    <s v="-"/>
    <s v="-"/>
    <m/>
    <m/>
    <s v="0"/>
    <s v="0"/>
    <m/>
    <s v="-"/>
    <s v="-"/>
    <m/>
    <m/>
    <s v="0"/>
    <s v="0"/>
    <n v="1"/>
    <n v="250000"/>
    <n v="250000"/>
    <n v="100000"/>
    <n v="100000"/>
    <s v="-"/>
    <s v="-"/>
    <s v="-"/>
    <s v="Bukalapak"/>
    <x v="4"/>
    <d v="2023-04-07T00:00:00"/>
    <s v="Friday"/>
    <s v="wwww"/>
  </r>
  <r>
    <n v="454"/>
    <s v="ORD-TK0454-16/04/23"/>
    <s v="PW003"/>
    <s v="Pakaian Wanita"/>
    <x v="2"/>
    <n v="2"/>
    <n v="2"/>
    <n v="500000"/>
    <n v="200000"/>
    <s v="PW002"/>
    <s v="Pakaian Wanita"/>
    <s v="Blouse"/>
    <n v="3"/>
    <n v="1"/>
    <n v="450000"/>
    <n v="150000"/>
    <m/>
    <s v="-"/>
    <s v="-"/>
    <m/>
    <m/>
    <s v="0"/>
    <s v="0"/>
    <n v="5"/>
    <n v="950000"/>
    <n v="855000"/>
    <n v="350000"/>
    <n v="315000"/>
    <s v="LEBAR10"/>
    <n v="0.1"/>
    <s v="Promo Lebaran"/>
    <s v="Tokopedia"/>
    <x v="4"/>
    <d v="2023-04-16T00:00:00"/>
    <s v="Sunday"/>
    <s v="wwww"/>
  </r>
  <r>
    <n v="455"/>
    <s v="ORD-BL0455-28/04/23"/>
    <s v="PW002"/>
    <s v="Pakaian Wanita"/>
    <x v="1"/>
    <n v="4"/>
    <n v="5"/>
    <n v="600000"/>
    <n v="200000"/>
    <s v="SP001"/>
    <s v="Sepatu Pria"/>
    <s v="Sneakers"/>
    <n v="1"/>
    <n v="1"/>
    <n v="500000"/>
    <n v="200000"/>
    <m/>
    <s v="-"/>
    <s v="-"/>
    <m/>
    <m/>
    <s v="0"/>
    <s v="0"/>
    <n v="5"/>
    <n v="1100000"/>
    <n v="935000"/>
    <n v="400000"/>
    <n v="340000"/>
    <s v="BUKALEBAR"/>
    <n v="0.15"/>
    <s v="Promo Lebaran"/>
    <s v="Bukalapak"/>
    <x v="4"/>
    <d v="2023-04-28T00:00:00"/>
    <s v="Friday"/>
    <s v="wwww"/>
  </r>
  <r>
    <n v="456"/>
    <s v="ORD-BB0456-05/04/23"/>
    <s v="PP002"/>
    <s v="Pakaian Pria"/>
    <x v="4"/>
    <n v="1"/>
    <n v="1"/>
    <n v="180000"/>
    <n v="70000"/>
    <s v="SW001"/>
    <s v="Sepatu Wanita"/>
    <s v="Flat Shoes"/>
    <n v="6"/>
    <n v="4"/>
    <n v="1500000"/>
    <n v="600000"/>
    <m/>
    <s v="-"/>
    <s v="-"/>
    <m/>
    <m/>
    <s v="0"/>
    <s v="0"/>
    <n v="7"/>
    <n v="1680000"/>
    <n v="1428000"/>
    <n v="670000"/>
    <n v="569500"/>
    <s v="BELI44"/>
    <n v="0.15"/>
    <s v="Promo 4.4"/>
    <s v="BliBli"/>
    <x v="4"/>
    <d v="2023-04-05T00:00:00"/>
    <s v="Wednesday"/>
    <s v="wwww"/>
  </r>
  <r>
    <n v="457"/>
    <s v="ORD-TK0457-05/04/23"/>
    <s v="PW003"/>
    <s v="Pakaian Wanita"/>
    <x v="2"/>
    <n v="1"/>
    <n v="5"/>
    <n v="250000"/>
    <n v="100000"/>
    <s v="PP002"/>
    <s v="Pakaian Pria"/>
    <s v="Celana Pendek"/>
    <n v="2"/>
    <n v="1"/>
    <n v="360000"/>
    <n v="140000"/>
    <m/>
    <s v="-"/>
    <s v="-"/>
    <m/>
    <m/>
    <s v="0"/>
    <s v="0"/>
    <n v="3"/>
    <n v="610000"/>
    <n v="549000"/>
    <n v="240000"/>
    <n v="216000"/>
    <s v="DISCAPRIL"/>
    <n v="0.1"/>
    <s v="Promo 4.4"/>
    <s v="Tokopedia"/>
    <x v="1"/>
    <d v="2023-04-05T00:00:00"/>
    <s v="Wednesday"/>
    <s v="wwww"/>
  </r>
  <r>
    <n v="458"/>
    <s v="ORD-BB0458-03/04/23"/>
    <s v="SW001"/>
    <s v="Sepatu Wanita"/>
    <x v="9"/>
    <n v="2"/>
    <n v="2"/>
    <n v="500000"/>
    <n v="200000"/>
    <s v="PP002"/>
    <s v="Pakaian Pria"/>
    <s v="Celana Pendek"/>
    <n v="2"/>
    <n v="5"/>
    <n v="360000"/>
    <n v="140000"/>
    <m/>
    <s v="-"/>
    <s v="-"/>
    <m/>
    <m/>
    <s v="0"/>
    <s v="0"/>
    <n v="4"/>
    <n v="860000"/>
    <n v="731000"/>
    <n v="340000"/>
    <n v="289000"/>
    <s v="BELI44"/>
    <n v="0.15"/>
    <s v="Promo 4.4"/>
    <s v="BliBli"/>
    <x v="2"/>
    <d v="2023-04-03T00:00:00"/>
    <s v="Monday"/>
    <s v="wwww"/>
  </r>
  <r>
    <n v="459"/>
    <s v="ORD-BL0459-21/04/23"/>
    <s v="SP002"/>
    <s v="Sepatu Pria"/>
    <x v="8"/>
    <n v="1"/>
    <n v="4"/>
    <n v="150000"/>
    <n v="60000"/>
    <s v="PW001"/>
    <s v="Pakaian Wanita"/>
    <s v="Dress"/>
    <n v="4"/>
    <n v="3"/>
    <n v="1200000"/>
    <n v="400000"/>
    <s v="PU001"/>
    <s v="Pakaian Unisex"/>
    <s v="Jaket Hoodie"/>
    <n v="1"/>
    <n v="5"/>
    <n v="350000"/>
    <n v="130000"/>
    <n v="6"/>
    <n v="1700000"/>
    <n v="1445000"/>
    <n v="590000"/>
    <n v="501500"/>
    <s v="BUKALEBAR"/>
    <n v="0.15"/>
    <s v="Promo Lebaran"/>
    <s v="Bukalapak"/>
    <x v="0"/>
    <d v="2023-04-21T00:00:00"/>
    <s v="Friday"/>
    <s v="wwww"/>
  </r>
  <r>
    <n v="460"/>
    <s v="ORD-SP0460-06/04/23"/>
    <s v="PP001"/>
    <s v="Pakaian Pria"/>
    <x v="3"/>
    <n v="4"/>
    <n v="4"/>
    <n v="800000"/>
    <n v="320000"/>
    <m/>
    <s v="-"/>
    <s v="-"/>
    <m/>
    <m/>
    <s v="0"/>
    <s v="0"/>
    <m/>
    <s v="-"/>
    <s v="-"/>
    <m/>
    <m/>
    <s v="0"/>
    <s v="0"/>
    <n v="4"/>
    <n v="800000"/>
    <n v="720000"/>
    <n v="320000"/>
    <n v="288000"/>
    <s v="DISC10"/>
    <n v="0.1"/>
    <s v="Promo 4.4"/>
    <s v="Shopee"/>
    <x v="1"/>
    <d v="2023-04-06T00:00:00"/>
    <s v="Thursday"/>
    <s v="wwww"/>
  </r>
  <r>
    <n v="461"/>
    <s v="ORD-SP0461-02/04/23"/>
    <s v="PU001"/>
    <s v="Pakaian Unisex"/>
    <x v="6"/>
    <n v="1"/>
    <n v="5"/>
    <n v="350000"/>
    <n v="130000"/>
    <m/>
    <s v="-"/>
    <s v="-"/>
    <m/>
    <m/>
    <s v="0"/>
    <s v="0"/>
    <m/>
    <s v="-"/>
    <s v="-"/>
    <m/>
    <m/>
    <s v="0"/>
    <s v="0"/>
    <n v="1"/>
    <n v="350000"/>
    <n v="297500"/>
    <n v="130000"/>
    <n v="110500"/>
    <s v="DISC15"/>
    <n v="0.15"/>
    <s v="Promo 4.4"/>
    <s v="Shopee"/>
    <x v="1"/>
    <d v="2023-04-02T00:00:00"/>
    <s v="Sunday"/>
    <s v="wwww"/>
  </r>
  <r>
    <n v="462"/>
    <s v="ORD-SP0462-27/04/23"/>
    <s v="PW003"/>
    <s v="Pakaian Wanita"/>
    <x v="2"/>
    <n v="2"/>
    <n v="4"/>
    <n v="500000"/>
    <n v="200000"/>
    <m/>
    <s v="-"/>
    <s v="-"/>
    <m/>
    <m/>
    <s v="0"/>
    <s v="0"/>
    <m/>
    <s v="-"/>
    <s v="-"/>
    <m/>
    <m/>
    <s v="0"/>
    <s v="0"/>
    <n v="2"/>
    <n v="500000"/>
    <n v="400000"/>
    <n v="200000"/>
    <n v="160000"/>
    <s v="DISC20"/>
    <n v="0.2"/>
    <s v="Promo Lebaran"/>
    <s v="Shopee"/>
    <x v="4"/>
    <d v="2023-04-27T00:00:00"/>
    <s v="Thursday"/>
    <s v="wwww"/>
  </r>
  <r>
    <n v="463"/>
    <s v="ORD-TK0463-17/04/23"/>
    <s v="SW001"/>
    <s v="Sepatu Wanita"/>
    <x v="9"/>
    <n v="4"/>
    <n v="2"/>
    <n v="1000000"/>
    <n v="400000"/>
    <s v="PW003"/>
    <s v="Pakaian Wanita"/>
    <s v="Kaftan"/>
    <n v="3"/>
    <n v="1"/>
    <n v="750000"/>
    <n v="300000"/>
    <m/>
    <s v="-"/>
    <s v="-"/>
    <m/>
    <m/>
    <s v="0"/>
    <s v="0"/>
    <n v="7"/>
    <n v="1750000"/>
    <n v="1575000"/>
    <n v="700000"/>
    <n v="630000"/>
    <s v="LEBAR10"/>
    <n v="0.1"/>
    <s v="Promo Lebaran"/>
    <s v="Tokopedia"/>
    <x v="4"/>
    <d v="2023-04-17T00:00:00"/>
    <s v="Monday"/>
    <s v="wwww"/>
  </r>
  <r>
    <n v="464"/>
    <s v="ORD-TK0464-04/04/23"/>
    <s v="SP001"/>
    <s v="Sepatu Pria"/>
    <x v="7"/>
    <n v="2"/>
    <n v="4"/>
    <n v="1000000"/>
    <n v="400000"/>
    <m/>
    <s v="-"/>
    <s v="-"/>
    <m/>
    <m/>
    <s v="0"/>
    <s v="0"/>
    <m/>
    <s v="-"/>
    <s v="-"/>
    <m/>
    <m/>
    <s v="0"/>
    <s v="0"/>
    <n v="2"/>
    <n v="1000000"/>
    <n v="900000"/>
    <n v="400000"/>
    <n v="360000"/>
    <s v="DISCAPRIL"/>
    <n v="0.1"/>
    <s v="Promo 4.4"/>
    <s v="Tokopedia"/>
    <x v="4"/>
    <d v="2023-04-04T00:00:00"/>
    <s v="Tuesday"/>
    <s v="wwww"/>
  </r>
  <r>
    <n v="465"/>
    <s v="ORD-BL0465-18/04/23"/>
    <s v="SW001"/>
    <s v="Sepatu Wanita"/>
    <x v="9"/>
    <n v="1"/>
    <n v="2"/>
    <n v="250000"/>
    <n v="100000"/>
    <m/>
    <s v="-"/>
    <s v="-"/>
    <m/>
    <m/>
    <s v="0"/>
    <s v="0"/>
    <m/>
    <s v="-"/>
    <s v="-"/>
    <m/>
    <m/>
    <s v="0"/>
    <s v="0"/>
    <n v="1"/>
    <n v="250000"/>
    <n v="212500"/>
    <n v="100000"/>
    <n v="85000"/>
    <s v="BUKALEBAR"/>
    <n v="0.15"/>
    <s v="Promo Lebaran"/>
    <s v="Bukalapak"/>
    <x v="4"/>
    <d v="2023-04-18T00:00:00"/>
    <s v="Tuesday"/>
    <s v="wwww"/>
  </r>
  <r>
    <n v="466"/>
    <s v="ORD-SP0466-05/04/23"/>
    <s v="PU001"/>
    <s v="Pakaian Unisex"/>
    <x v="6"/>
    <n v="1"/>
    <n v="1"/>
    <n v="350000"/>
    <n v="130000"/>
    <s v="PP002"/>
    <s v="Pakaian Pria"/>
    <s v="Celana Pendek"/>
    <n v="1"/>
    <n v="4"/>
    <n v="180000"/>
    <n v="70000"/>
    <m/>
    <s v="-"/>
    <s v="-"/>
    <m/>
    <m/>
    <s v="0"/>
    <s v="0"/>
    <n v="2"/>
    <n v="530000"/>
    <n v="450500"/>
    <n v="200000"/>
    <n v="170000"/>
    <s v="DISC15"/>
    <n v="0.15"/>
    <s v="Promo 4.4"/>
    <s v="Shopee"/>
    <x v="4"/>
    <d v="2023-04-05T00:00:00"/>
    <s v="Wednesday"/>
    <s v="wwww"/>
  </r>
  <r>
    <n v="467"/>
    <s v="ORD-TK0467-25/04/23"/>
    <s v="PP001"/>
    <s v="Pakaian Pria"/>
    <x v="3"/>
    <n v="3"/>
    <n v="5"/>
    <n v="600000"/>
    <n v="240000"/>
    <m/>
    <s v="-"/>
    <s v="-"/>
    <m/>
    <m/>
    <s v="0"/>
    <s v="0"/>
    <m/>
    <s v="-"/>
    <s v="-"/>
    <m/>
    <m/>
    <s v="0"/>
    <s v="0"/>
    <n v="3"/>
    <n v="600000"/>
    <n v="540000"/>
    <n v="240000"/>
    <n v="216000"/>
    <s v="LEBAR10"/>
    <n v="0.1"/>
    <s v="Promo Lebaran"/>
    <s v="Tokopedia"/>
    <x v="4"/>
    <d v="2023-04-25T00:00:00"/>
    <s v="Tuesday"/>
    <s v="wwww"/>
  </r>
  <r>
    <n v="468"/>
    <s v="ORD-TK0468-05/04/23"/>
    <s v="PU001"/>
    <s v="Pakaian Unisex"/>
    <x v="6"/>
    <n v="3"/>
    <n v="5"/>
    <n v="1050000"/>
    <n v="390000"/>
    <m/>
    <s v="-"/>
    <s v="-"/>
    <m/>
    <m/>
    <s v="0"/>
    <s v="0"/>
    <m/>
    <s v="-"/>
    <s v="-"/>
    <m/>
    <m/>
    <s v="0"/>
    <s v="0"/>
    <n v="3"/>
    <n v="1050000"/>
    <n v="945000"/>
    <n v="390000"/>
    <n v="351000"/>
    <s v="DISCAPRIL"/>
    <n v="0.1"/>
    <s v="Promo 4.4"/>
    <s v="Tokopedia"/>
    <x v="5"/>
    <d v="2023-04-05T00:00:00"/>
    <s v="Wednesday"/>
    <s v="wwww"/>
  </r>
  <r>
    <n v="469"/>
    <s v="ORD-SP0469-02/04/23"/>
    <s v="SP002"/>
    <s v="Sepatu Pria"/>
    <x v="8"/>
    <n v="2"/>
    <n v="5"/>
    <n v="300000"/>
    <n v="120000"/>
    <m/>
    <s v="-"/>
    <s v="-"/>
    <m/>
    <m/>
    <s v="0"/>
    <s v="0"/>
    <m/>
    <s v="-"/>
    <s v="-"/>
    <m/>
    <m/>
    <s v="0"/>
    <s v="0"/>
    <n v="2"/>
    <n v="300000"/>
    <n v="255000"/>
    <n v="120000"/>
    <n v="102000"/>
    <s v="DISC15"/>
    <n v="0.15"/>
    <s v="Promo 4.4"/>
    <s v="Shopee"/>
    <x v="0"/>
    <d v="2023-04-02T00:00:00"/>
    <s v="Sunday"/>
    <s v="wwww"/>
  </r>
  <r>
    <n v="470"/>
    <s v="ORD-SP0470-03/04/23"/>
    <s v="PP002"/>
    <s v="Pakaian Pria"/>
    <x v="4"/>
    <n v="4"/>
    <n v="5"/>
    <n v="720000"/>
    <n v="280000"/>
    <s v="PW002"/>
    <s v="Pakaian Wanita"/>
    <s v="Blouse"/>
    <n v="1"/>
    <n v="3"/>
    <n v="150000"/>
    <n v="50000"/>
    <s v="PP002"/>
    <s v="Pakaian Pria"/>
    <s v="Celana Pendek"/>
    <n v="2"/>
    <n v="4"/>
    <n v="360000"/>
    <n v="140000"/>
    <n v="7"/>
    <n v="1230000"/>
    <n v="1045500"/>
    <n v="470000"/>
    <n v="399500"/>
    <s v="DISC15"/>
    <n v="0.15"/>
    <s v="Promo 4.4"/>
    <s v="Shopee"/>
    <x v="0"/>
    <d v="2023-04-03T00:00:00"/>
    <s v="Monday"/>
    <s v="wwww"/>
  </r>
  <r>
    <n v="471"/>
    <s v="ORD-SP0471-24/04/23"/>
    <s v="PW002"/>
    <s v="Pakaian Wanita"/>
    <x v="1"/>
    <n v="6"/>
    <n v="5"/>
    <n v="900000"/>
    <n v="300000"/>
    <s v="SP001"/>
    <s v="Sepatu Pria"/>
    <s v="Sneakers"/>
    <n v="1"/>
    <n v="3"/>
    <n v="500000"/>
    <n v="200000"/>
    <m/>
    <s v="-"/>
    <s v="-"/>
    <m/>
    <m/>
    <s v="0"/>
    <s v="0"/>
    <n v="7"/>
    <n v="1400000"/>
    <n v="1120000"/>
    <n v="500000"/>
    <n v="400000"/>
    <s v="DISC20"/>
    <n v="0.2"/>
    <s v="Promo Lebaran"/>
    <s v="Shopee"/>
    <x v="1"/>
    <d v="2023-04-24T00:00:00"/>
    <s v="Monday"/>
    <s v="wwww"/>
  </r>
  <r>
    <n v="472"/>
    <s v="ORD-SP0472-06/04/23"/>
    <s v="SP001"/>
    <s v="Sepatu Pria"/>
    <x v="7"/>
    <n v="2"/>
    <n v="2"/>
    <n v="1000000"/>
    <n v="400000"/>
    <m/>
    <s v="-"/>
    <s v="-"/>
    <m/>
    <m/>
    <s v="0"/>
    <s v="0"/>
    <m/>
    <s v="-"/>
    <s v="-"/>
    <m/>
    <m/>
    <s v="0"/>
    <s v="0"/>
    <n v="2"/>
    <n v="1000000"/>
    <n v="900000"/>
    <n v="400000"/>
    <n v="360000"/>
    <s v="DISC10"/>
    <n v="0.1"/>
    <s v="Promo 4.4"/>
    <s v="Shopee"/>
    <x v="5"/>
    <d v="2023-04-06T00:00:00"/>
    <s v="Thursday"/>
    <s v="wwww"/>
  </r>
  <r>
    <n v="473"/>
    <s v="ORD-SP0473-25/04/23"/>
    <s v="PW001"/>
    <s v="Pakaian Wanita"/>
    <x v="0"/>
    <n v="2"/>
    <n v="3"/>
    <n v="600000"/>
    <n v="200000"/>
    <m/>
    <s v="-"/>
    <s v="-"/>
    <m/>
    <m/>
    <s v="0"/>
    <s v="0"/>
    <m/>
    <s v="-"/>
    <s v="-"/>
    <m/>
    <m/>
    <s v="0"/>
    <s v="0"/>
    <n v="2"/>
    <n v="600000"/>
    <n v="480000"/>
    <n v="200000"/>
    <n v="160000"/>
    <s v="DISC20"/>
    <n v="0.2"/>
    <s v="Promo Lebaran"/>
    <s v="Shopee"/>
    <x v="4"/>
    <d v="2023-04-25T00:00:00"/>
    <s v="Tuesday"/>
    <s v="wwww"/>
  </r>
  <r>
    <n v="474"/>
    <s v="ORD-TK0474-19/04/23"/>
    <s v="PW001"/>
    <s v="Pakaian Wanita"/>
    <x v="0"/>
    <n v="1"/>
    <n v="1"/>
    <n v="300000"/>
    <n v="100000"/>
    <s v="PP001"/>
    <s v="Pakaian Pria"/>
    <s v="Kaos Polo"/>
    <n v="1"/>
    <n v="5"/>
    <n v="200000"/>
    <n v="80000"/>
    <s v="PW002"/>
    <s v="Pakaian Wanita"/>
    <s v="Blouse"/>
    <n v="3"/>
    <n v="4"/>
    <n v="450000"/>
    <n v="150000"/>
    <n v="5"/>
    <n v="950000"/>
    <n v="855000"/>
    <n v="330000"/>
    <n v="297000"/>
    <s v="LEBAR10"/>
    <n v="0.1"/>
    <s v="Promo Lebaran"/>
    <s v="Tokopedia"/>
    <x v="4"/>
    <d v="2023-04-19T00:00:00"/>
    <s v="Wednesday"/>
    <s v="wwww"/>
  </r>
  <r>
    <n v="475"/>
    <s v="ORD-SP0475-01/04/23"/>
    <s v="PP002"/>
    <s v="Pakaian Pria"/>
    <x v="4"/>
    <n v="2"/>
    <n v="3"/>
    <n v="360000"/>
    <n v="140000"/>
    <s v="PW001"/>
    <s v="Pakaian Wanita"/>
    <s v="Dress"/>
    <n v="1"/>
    <n v="3"/>
    <n v="300000"/>
    <n v="100000"/>
    <m/>
    <s v="-"/>
    <s v="-"/>
    <m/>
    <m/>
    <s v="0"/>
    <s v="0"/>
    <n v="3"/>
    <n v="660000"/>
    <n v="594000"/>
    <n v="240000"/>
    <n v="216000"/>
    <s v="DISC10"/>
    <n v="0.1"/>
    <s v="Promo 4.4"/>
    <s v="Shopee"/>
    <x v="1"/>
    <d v="2023-04-01T00:00:00"/>
    <s v="Saturday"/>
    <s v="wwww"/>
  </r>
  <r>
    <n v="476"/>
    <s v="ORD-BB0476-04/04/23"/>
    <s v="PW002"/>
    <s v="Pakaian Wanita"/>
    <x v="1"/>
    <n v="2"/>
    <n v="5"/>
    <n v="300000"/>
    <n v="100000"/>
    <s v="SP002"/>
    <s v="Sepatu Pria"/>
    <s v="Sandal Slip On"/>
    <n v="3"/>
    <n v="1"/>
    <n v="450000"/>
    <n v="180000"/>
    <m/>
    <s v="-"/>
    <s v="-"/>
    <m/>
    <m/>
    <s v="0"/>
    <s v="0"/>
    <n v="5"/>
    <n v="750000"/>
    <n v="637500"/>
    <n v="280000"/>
    <n v="238000"/>
    <s v="BELI44"/>
    <n v="0.15"/>
    <s v="Promo 4.4"/>
    <s v="BliBli"/>
    <x v="4"/>
    <d v="2023-04-04T00:00:00"/>
    <s v="Tuesday"/>
    <s v="wwww"/>
  </r>
  <r>
    <n v="477"/>
    <s v="ORD-BL0477-29/04/23"/>
    <s v="PP003"/>
    <s v="Pakaian Pria"/>
    <x v="5"/>
    <n v="3"/>
    <n v="3"/>
    <n v="1200000"/>
    <n v="450000"/>
    <m/>
    <s v="-"/>
    <s v="-"/>
    <m/>
    <m/>
    <s v="0"/>
    <s v="0"/>
    <m/>
    <s v="-"/>
    <s v="-"/>
    <m/>
    <m/>
    <s v="0"/>
    <s v="0"/>
    <n v="3"/>
    <n v="1200000"/>
    <n v="1020000"/>
    <n v="450000"/>
    <n v="382500"/>
    <s v="BUKALEBAR"/>
    <n v="0.15"/>
    <s v="Promo Lebaran"/>
    <s v="Bukalapak"/>
    <x v="0"/>
    <d v="2023-04-29T00:00:00"/>
    <s v="Saturday"/>
    <s v="wwww"/>
  </r>
  <r>
    <n v="478"/>
    <s v="ORD-BB0478-05/04/23"/>
    <s v="PU001"/>
    <s v="Pakaian Unisex"/>
    <x v="6"/>
    <n v="1"/>
    <n v="3"/>
    <n v="350000"/>
    <n v="130000"/>
    <s v="PW002"/>
    <s v="Pakaian Wanita"/>
    <s v="Blouse"/>
    <n v="4"/>
    <n v="2"/>
    <n v="600000"/>
    <n v="200000"/>
    <s v="PU001"/>
    <s v="Pakaian Unisex"/>
    <s v="Jaket Hoodie"/>
    <n v="1"/>
    <n v="4"/>
    <n v="350000"/>
    <n v="130000"/>
    <n v="6"/>
    <n v="1300000"/>
    <n v="1105000"/>
    <n v="460000"/>
    <n v="391000"/>
    <s v="BELI44"/>
    <n v="0.15"/>
    <s v="Promo 4.4"/>
    <s v="BliBli"/>
    <x v="4"/>
    <d v="2023-04-05T00:00:00"/>
    <s v="Wednesday"/>
    <s v="wwww"/>
  </r>
  <r>
    <n v="479"/>
    <s v="ORD-TK0479-27/04/23"/>
    <s v="PP003"/>
    <s v="Pakaian Pria"/>
    <x v="5"/>
    <n v="2"/>
    <n v="1"/>
    <n v="800000"/>
    <n v="300000"/>
    <s v="SP001"/>
    <s v="Sepatu Pria"/>
    <s v="Sneakers"/>
    <n v="2"/>
    <n v="3"/>
    <n v="1000000"/>
    <n v="400000"/>
    <m/>
    <s v="-"/>
    <s v="-"/>
    <m/>
    <m/>
    <s v="0"/>
    <s v="0"/>
    <n v="4"/>
    <n v="1800000"/>
    <n v="1620000"/>
    <n v="700000"/>
    <n v="630000"/>
    <s v="LEBAR10"/>
    <n v="0.1"/>
    <s v="Promo Lebaran"/>
    <s v="Tokopedia"/>
    <x v="4"/>
    <d v="2023-04-27T00:00:00"/>
    <s v="Thursday"/>
    <s v="wwww"/>
  </r>
  <r>
    <n v="480"/>
    <s v="ORD-TK0480-03/04/23"/>
    <s v="SP001"/>
    <s v="Sepatu Pria"/>
    <x v="7"/>
    <n v="2"/>
    <n v="1"/>
    <n v="1000000"/>
    <n v="400000"/>
    <m/>
    <s v="-"/>
    <s v="-"/>
    <m/>
    <m/>
    <s v="0"/>
    <s v="0"/>
    <m/>
    <s v="-"/>
    <s v="-"/>
    <m/>
    <m/>
    <s v="0"/>
    <s v="0"/>
    <n v="2"/>
    <n v="1000000"/>
    <n v="900000"/>
    <n v="400000"/>
    <n v="360000"/>
    <s v="DISCAPRIL"/>
    <n v="0.1"/>
    <s v="Promo 4.4"/>
    <s v="Tokopedia"/>
    <x v="5"/>
    <d v="2023-04-03T00:00:00"/>
    <s v="Monday"/>
    <s v="wwww"/>
  </r>
  <r>
    <n v="481"/>
    <s v="ORD-BB0481-06/04/23"/>
    <s v="SP002"/>
    <s v="Sepatu Pria"/>
    <x v="8"/>
    <n v="2"/>
    <n v="2"/>
    <n v="300000"/>
    <n v="120000"/>
    <s v="SW001"/>
    <s v="Sepatu Wanita"/>
    <s v="Flat Shoes"/>
    <n v="2"/>
    <n v="2"/>
    <n v="500000"/>
    <n v="200000"/>
    <s v="SP001"/>
    <s v="Sepatu Pria"/>
    <s v="Sneakers"/>
    <n v="1"/>
    <n v="1"/>
    <n v="500000"/>
    <n v="200000"/>
    <n v="5"/>
    <n v="1300000"/>
    <n v="1105000"/>
    <n v="520000"/>
    <n v="442000"/>
    <s v="BELI44"/>
    <n v="0.15"/>
    <s v="Promo 4.4"/>
    <s v="BliBli"/>
    <x v="4"/>
    <d v="2023-04-06T00:00:00"/>
    <s v="Thursday"/>
    <s v="wwww"/>
  </r>
  <r>
    <n v="482"/>
    <s v="ORD-TK0482-25/04/23"/>
    <s v="PP001"/>
    <s v="Pakaian Pria"/>
    <x v="3"/>
    <n v="1"/>
    <n v="3"/>
    <n v="200000"/>
    <n v="80000"/>
    <m/>
    <s v="-"/>
    <s v="-"/>
    <m/>
    <m/>
    <s v="0"/>
    <s v="0"/>
    <m/>
    <s v="-"/>
    <s v="-"/>
    <m/>
    <m/>
    <s v="0"/>
    <s v="0"/>
    <n v="1"/>
    <n v="200000"/>
    <n v="180000"/>
    <n v="80000"/>
    <n v="72000"/>
    <s v="LEBAR10"/>
    <n v="0.1"/>
    <s v="Promo Lebaran"/>
    <s v="Tokopedia"/>
    <x v="1"/>
    <d v="2023-04-25T00:00:00"/>
    <s v="Tuesday"/>
    <s v="wwww"/>
  </r>
  <r>
    <n v="483"/>
    <s v="ORD-TK0483-05/04/23"/>
    <s v="PP001"/>
    <s v="Pakaian Pria"/>
    <x v="3"/>
    <n v="3"/>
    <n v="5"/>
    <n v="600000"/>
    <n v="240000"/>
    <s v="PW003"/>
    <s v="Pakaian Wanita"/>
    <s v="Kaftan"/>
    <n v="4"/>
    <n v="1"/>
    <n v="1000000"/>
    <n v="400000"/>
    <m/>
    <s v="-"/>
    <s v="-"/>
    <m/>
    <m/>
    <s v="0"/>
    <s v="0"/>
    <n v="7"/>
    <n v="1600000"/>
    <n v="1440000"/>
    <n v="640000"/>
    <n v="576000"/>
    <s v="DISCAPRIL"/>
    <n v="0.1"/>
    <s v="Promo 4.4"/>
    <s v="Tokopedia"/>
    <x v="4"/>
    <d v="2023-04-05T00:00:00"/>
    <s v="Wednesday"/>
    <s v="wwww"/>
  </r>
  <r>
    <n v="484"/>
    <s v="ORD-TK0484-03/04/23"/>
    <s v="PP001"/>
    <s v="Pakaian Pria"/>
    <x v="3"/>
    <n v="1"/>
    <n v="3"/>
    <n v="200000"/>
    <n v="80000"/>
    <m/>
    <s v="-"/>
    <s v="-"/>
    <m/>
    <m/>
    <s v="0"/>
    <s v="0"/>
    <m/>
    <s v="-"/>
    <s v="-"/>
    <m/>
    <m/>
    <s v="0"/>
    <s v="0"/>
    <n v="1"/>
    <n v="200000"/>
    <n v="180000"/>
    <n v="80000"/>
    <n v="72000"/>
    <s v="DISCAPRIL"/>
    <n v="0.1"/>
    <s v="Promo 4.4"/>
    <s v="Tokopedia"/>
    <x v="4"/>
    <d v="2023-04-03T00:00:00"/>
    <s v="Monday"/>
    <s v="wwww"/>
  </r>
  <r>
    <n v="485"/>
    <s v="ORD-TK0485-03/04/23"/>
    <s v="SP001"/>
    <s v="Sepatu Pria"/>
    <x v="7"/>
    <n v="2"/>
    <n v="4"/>
    <n v="1000000"/>
    <n v="400000"/>
    <m/>
    <s v="-"/>
    <s v="-"/>
    <m/>
    <m/>
    <s v="0"/>
    <s v="0"/>
    <m/>
    <s v="-"/>
    <s v="-"/>
    <m/>
    <m/>
    <s v="0"/>
    <s v="0"/>
    <n v="2"/>
    <n v="1000000"/>
    <n v="900000"/>
    <n v="400000"/>
    <n v="360000"/>
    <s v="DISCAPRIL"/>
    <n v="0.1"/>
    <s v="Promo 4.4"/>
    <s v="Tokopedia"/>
    <x v="2"/>
    <d v="2023-04-03T00:00:00"/>
    <s v="Monday"/>
    <s v="wwww"/>
  </r>
  <r>
    <n v="486"/>
    <s v="ORD-SP0486-13/04/23"/>
    <s v="PW002"/>
    <s v="Pakaian Wanita"/>
    <x v="1"/>
    <n v="2"/>
    <n v="4"/>
    <n v="300000"/>
    <n v="100000"/>
    <s v="SW001"/>
    <s v="Sepatu Wanita"/>
    <s v="Flat Shoes"/>
    <n v="2"/>
    <n v="4"/>
    <n v="500000"/>
    <n v="200000"/>
    <s v="PW002"/>
    <s v="Pakaian Wanita"/>
    <s v="Blouse"/>
    <n v="2"/>
    <n v="2"/>
    <n v="300000"/>
    <n v="100000"/>
    <n v="6"/>
    <n v="1100000"/>
    <n v="1100000"/>
    <n v="400000"/>
    <n v="400000"/>
    <s v="-"/>
    <s v="-"/>
    <s v="-"/>
    <s v="Shopee"/>
    <x v="2"/>
    <d v="2023-04-13T00:00:00"/>
    <s v="Thursday"/>
    <s v="wwww"/>
  </r>
  <r>
    <n v="487"/>
    <s v="ORD-BB0487-04/04/23"/>
    <s v="PP003"/>
    <s v="Pakaian Pria"/>
    <x v="5"/>
    <n v="2"/>
    <n v="4"/>
    <n v="800000"/>
    <n v="300000"/>
    <s v="PP001"/>
    <s v="Pakaian Pria"/>
    <s v="Kaos Polo"/>
    <n v="1"/>
    <n v="5"/>
    <n v="200000"/>
    <n v="80000"/>
    <m/>
    <s v="-"/>
    <s v="-"/>
    <m/>
    <m/>
    <s v="0"/>
    <s v="0"/>
    <n v="3"/>
    <n v="1000000"/>
    <n v="850000"/>
    <n v="380000"/>
    <n v="323000"/>
    <s v="BELI44"/>
    <n v="0.15"/>
    <s v="Promo 4.4"/>
    <s v="BliBli"/>
    <x v="0"/>
    <d v="2023-04-04T00:00:00"/>
    <s v="Tuesday"/>
    <s v="wwww"/>
  </r>
  <r>
    <n v="488"/>
    <s v="ORD-BL0488-08/04/23"/>
    <s v="SP002"/>
    <s v="Sepatu Pria"/>
    <x v="8"/>
    <n v="2"/>
    <n v="3"/>
    <n v="300000"/>
    <n v="120000"/>
    <s v="PW002"/>
    <s v="Pakaian Wanita"/>
    <s v="Blouse"/>
    <n v="1"/>
    <n v="3"/>
    <n v="150000"/>
    <n v="50000"/>
    <m/>
    <s v="-"/>
    <s v="-"/>
    <m/>
    <m/>
    <s v="0"/>
    <s v="0"/>
    <n v="3"/>
    <n v="450000"/>
    <n v="450000"/>
    <n v="170000"/>
    <n v="170000"/>
    <s v="-"/>
    <s v="-"/>
    <s v="-"/>
    <s v="Bukalapak"/>
    <x v="0"/>
    <d v="2023-04-08T00:00:00"/>
    <s v="Saturday"/>
    <s v="wwww"/>
  </r>
  <r>
    <n v="489"/>
    <s v="ORD-SP0489-07/04/23"/>
    <s v="PW001"/>
    <s v="Pakaian Wanita"/>
    <x v="0"/>
    <n v="1"/>
    <n v="5"/>
    <n v="300000"/>
    <n v="100000"/>
    <m/>
    <s v="-"/>
    <s v="-"/>
    <m/>
    <m/>
    <s v="0"/>
    <s v="0"/>
    <m/>
    <s v="-"/>
    <s v="-"/>
    <m/>
    <m/>
    <s v="0"/>
    <s v="0"/>
    <n v="1"/>
    <n v="300000"/>
    <n v="300000"/>
    <n v="100000"/>
    <n v="100000"/>
    <s v="-"/>
    <s v="-"/>
    <s v="-"/>
    <s v="Shopee"/>
    <x v="2"/>
    <d v="2023-04-07T00:00:00"/>
    <s v="Friday"/>
    <s v="wwww"/>
  </r>
  <r>
    <n v="490"/>
    <s v="ORD-BL0490-27/04/23"/>
    <s v="SP001"/>
    <s v="Sepatu Pria"/>
    <x v="7"/>
    <n v="1"/>
    <n v="2"/>
    <n v="500000"/>
    <n v="200000"/>
    <m/>
    <s v="-"/>
    <s v="-"/>
    <m/>
    <m/>
    <s v="0"/>
    <s v="0"/>
    <m/>
    <s v="-"/>
    <s v="-"/>
    <m/>
    <m/>
    <s v="0"/>
    <s v="0"/>
    <n v="1"/>
    <n v="500000"/>
    <n v="425000"/>
    <n v="200000"/>
    <n v="170000"/>
    <s v="BUKALEBAR"/>
    <n v="0.15"/>
    <s v="Promo Lebaran"/>
    <s v="Bukalapak"/>
    <x v="2"/>
    <d v="2023-04-27T00:00:00"/>
    <s v="Thursday"/>
    <s v="wwww"/>
  </r>
  <r>
    <n v="491"/>
    <s v="ORD-BB0491-05/04/23"/>
    <s v="SP001"/>
    <s v="Sepatu Pria"/>
    <x v="7"/>
    <n v="1"/>
    <n v="1"/>
    <n v="500000"/>
    <n v="200000"/>
    <s v="PP002"/>
    <s v="Pakaian Pria"/>
    <s v="Celana Pendek"/>
    <n v="2"/>
    <n v="2"/>
    <n v="360000"/>
    <n v="140000"/>
    <s v="PP003"/>
    <s v="Pakaian Pria"/>
    <s v="Jaket Jeans"/>
    <n v="1"/>
    <n v="2"/>
    <n v="400000"/>
    <n v="150000"/>
    <n v="4"/>
    <n v="1260000"/>
    <n v="1071000"/>
    <n v="490000"/>
    <n v="416500"/>
    <s v="BELI44"/>
    <n v="0.15"/>
    <s v="Promo 4.4"/>
    <s v="BliBli"/>
    <x v="4"/>
    <d v="2023-04-05T00:00:00"/>
    <s v="Wednesday"/>
    <s v="wwww"/>
  </r>
  <r>
    <n v="492"/>
    <s v="ORD-TK0492-06/04/23"/>
    <s v="PP002"/>
    <s v="Pakaian Pria"/>
    <x v="4"/>
    <n v="3"/>
    <n v="5"/>
    <n v="540000"/>
    <n v="210000"/>
    <s v="PP003"/>
    <s v="Pakaian Pria"/>
    <s v="Jaket Jeans"/>
    <n v="1"/>
    <n v="4"/>
    <n v="400000"/>
    <n v="150000"/>
    <s v="PU001"/>
    <s v="Pakaian Unisex"/>
    <s v="Jaket Hoodie"/>
    <n v="1"/>
    <n v="3"/>
    <n v="350000"/>
    <n v="130000"/>
    <n v="5"/>
    <n v="1290000"/>
    <n v="1161000"/>
    <n v="490000"/>
    <n v="441000"/>
    <s v="DISCAPRIL"/>
    <n v="0.1"/>
    <s v="Promo 4.4"/>
    <s v="Tokopedia"/>
    <x v="5"/>
    <d v="2023-04-06T00:00:00"/>
    <s v="Thursday"/>
    <s v="wwww"/>
  </r>
  <r>
    <n v="493"/>
    <s v="ORD-BB0493-13/04/23"/>
    <s v="PW002"/>
    <s v="Pakaian Wanita"/>
    <x v="1"/>
    <n v="2"/>
    <n v="4"/>
    <n v="300000"/>
    <n v="100000"/>
    <s v="PW001"/>
    <s v="Pakaian Wanita"/>
    <s v="Dress"/>
    <n v="1"/>
    <n v="5"/>
    <n v="300000"/>
    <n v="100000"/>
    <s v="PU001"/>
    <s v="Pakaian Unisex"/>
    <s v="Jaket Hoodie"/>
    <n v="1"/>
    <n v="1"/>
    <n v="350000"/>
    <n v="130000"/>
    <n v="4"/>
    <n v="950000"/>
    <n v="950000"/>
    <n v="330000"/>
    <n v="330000"/>
    <s v="-"/>
    <s v="-"/>
    <s v="-"/>
    <s v="BliBli"/>
    <x v="1"/>
    <d v="2023-04-13T00:00:00"/>
    <s v="Thursday"/>
    <s v="wwww"/>
  </r>
  <r>
    <n v="494"/>
    <s v="ORD-BB0494-05/04/23"/>
    <s v="PW002"/>
    <s v="Pakaian Wanita"/>
    <x v="1"/>
    <n v="1"/>
    <n v="4"/>
    <n v="150000"/>
    <n v="50000"/>
    <s v="PP001"/>
    <s v="Pakaian Pria"/>
    <s v="Kaos Polo"/>
    <n v="1"/>
    <n v="5"/>
    <n v="200000"/>
    <n v="80000"/>
    <s v="SW001"/>
    <s v="Sepatu Wanita"/>
    <s v="Flat Shoes"/>
    <n v="1"/>
    <n v="5"/>
    <n v="250000"/>
    <n v="100000"/>
    <n v="3"/>
    <n v="600000"/>
    <n v="510000"/>
    <n v="230000"/>
    <n v="195500"/>
    <s v="BELI44"/>
    <n v="0.15"/>
    <s v="Promo 4.4"/>
    <s v="BliBli"/>
    <x v="0"/>
    <d v="2023-04-05T00:00:00"/>
    <s v="Wednesday"/>
    <s v="wwww"/>
  </r>
  <r>
    <n v="495"/>
    <s v="ORD-SP0495-01/04/23"/>
    <s v="PU001"/>
    <s v="Pakaian Unisex"/>
    <x v="6"/>
    <n v="1"/>
    <n v="5"/>
    <n v="350000"/>
    <n v="130000"/>
    <s v="PW002"/>
    <s v="Pakaian Wanita"/>
    <s v="Blouse"/>
    <n v="1"/>
    <n v="3"/>
    <n v="150000"/>
    <n v="50000"/>
    <s v="SW001"/>
    <s v="Sepatu Wanita"/>
    <s v="Flat Shoes"/>
    <n v="5"/>
    <n v="3"/>
    <n v="1250000"/>
    <n v="500000"/>
    <n v="7"/>
    <n v="1750000"/>
    <n v="1487500"/>
    <n v="680000"/>
    <n v="578000"/>
    <s v="DISC15"/>
    <n v="0.15"/>
    <s v="Promo 4.4"/>
    <s v="Shopee"/>
    <x v="4"/>
    <d v="2023-04-01T00:00:00"/>
    <s v="Saturday"/>
    <s v="wwww"/>
  </r>
  <r>
    <n v="496"/>
    <s v="ORD-TK0496-10/04/23"/>
    <s v="PW001"/>
    <s v="Pakaian Wanita"/>
    <x v="0"/>
    <n v="3"/>
    <n v="3"/>
    <n v="900000"/>
    <n v="300000"/>
    <s v="PW002"/>
    <s v="Pakaian Wanita"/>
    <s v="Blouse"/>
    <n v="1"/>
    <n v="1"/>
    <n v="150000"/>
    <n v="50000"/>
    <s v="SW001"/>
    <s v="Sepatu Wanita"/>
    <s v="Flat Shoes"/>
    <n v="3"/>
    <n v="1"/>
    <n v="750000"/>
    <n v="300000"/>
    <n v="7"/>
    <n v="1800000"/>
    <n v="1800000"/>
    <n v="650000"/>
    <n v="650000"/>
    <s v="-"/>
    <s v="-"/>
    <s v="-"/>
    <s v="Tokopedia"/>
    <x v="5"/>
    <d v="2023-04-10T00:00:00"/>
    <s v="Monday"/>
    <s v="wwww"/>
  </r>
  <r>
    <n v="497"/>
    <s v="ORD-TK0497-24/04/23"/>
    <s v="PP003"/>
    <s v="Pakaian Pria"/>
    <x v="5"/>
    <n v="3"/>
    <n v="3"/>
    <n v="1200000"/>
    <n v="450000"/>
    <m/>
    <s v="-"/>
    <s v="-"/>
    <m/>
    <m/>
    <s v="0"/>
    <s v="0"/>
    <m/>
    <s v="-"/>
    <s v="-"/>
    <m/>
    <m/>
    <s v="0"/>
    <s v="0"/>
    <n v="3"/>
    <n v="1200000"/>
    <n v="1080000"/>
    <n v="450000"/>
    <n v="405000"/>
    <s v="LEBAR10"/>
    <n v="0.1"/>
    <s v="Promo Lebaran"/>
    <s v="Tokopedia"/>
    <x v="0"/>
    <d v="2023-04-24T00:00:00"/>
    <s v="Monday"/>
    <s v="wwww"/>
  </r>
  <r>
    <n v="498"/>
    <s v="ORD-TK0498-11/04/23"/>
    <s v="PP003"/>
    <s v="Pakaian Pria"/>
    <x v="5"/>
    <n v="4"/>
    <n v="5"/>
    <n v="1600000"/>
    <n v="600000"/>
    <s v="PP001"/>
    <s v="Pakaian Pria"/>
    <s v="Kaos Polo"/>
    <n v="2"/>
    <n v="4"/>
    <n v="400000"/>
    <n v="160000"/>
    <m/>
    <s v="-"/>
    <s v="-"/>
    <m/>
    <m/>
    <s v="0"/>
    <s v="0"/>
    <n v="6"/>
    <n v="2000000"/>
    <n v="2000000"/>
    <n v="760000"/>
    <n v="760000"/>
    <s v="-"/>
    <s v="-"/>
    <s v="-"/>
    <s v="Tokopedia"/>
    <x v="4"/>
    <d v="2023-04-11T00:00:00"/>
    <s v="Tuesday"/>
    <s v="wwww"/>
  </r>
  <r>
    <n v="499"/>
    <s v="ORD-TK0499-04/04/23"/>
    <s v="SW001"/>
    <s v="Sepatu Wanita"/>
    <x v="9"/>
    <n v="2"/>
    <n v="4"/>
    <n v="500000"/>
    <n v="200000"/>
    <s v="PP001"/>
    <s v="Pakaian Pria"/>
    <s v="Kaos Polo"/>
    <n v="1"/>
    <n v="5"/>
    <n v="200000"/>
    <n v="80000"/>
    <m/>
    <s v="-"/>
    <s v="-"/>
    <m/>
    <m/>
    <s v="0"/>
    <s v="0"/>
    <n v="3"/>
    <n v="700000"/>
    <n v="630000"/>
    <n v="280000"/>
    <n v="252000"/>
    <s v="DISCAPRIL"/>
    <n v="0.1"/>
    <s v="Promo 4.4"/>
    <s v="Tokopedia"/>
    <x v="2"/>
    <d v="2023-04-04T00:00:00"/>
    <s v="Tuesday"/>
    <s v="wwww"/>
  </r>
  <r>
    <n v="500"/>
    <s v="ORD-SP0500-29/04/23"/>
    <s v="SP002"/>
    <s v="Sepatu Pria"/>
    <x v="8"/>
    <n v="2"/>
    <n v="5"/>
    <n v="300000"/>
    <n v="120000"/>
    <m/>
    <s v="-"/>
    <s v="-"/>
    <m/>
    <m/>
    <s v="0"/>
    <s v="0"/>
    <m/>
    <s v="-"/>
    <s v="-"/>
    <m/>
    <m/>
    <s v="0"/>
    <s v="0"/>
    <n v="2"/>
    <n v="300000"/>
    <n v="240000"/>
    <n v="120000"/>
    <n v="96000"/>
    <s v="DISC20"/>
    <n v="0.2"/>
    <s v="Promo Lebaran"/>
    <s v="Shopee"/>
    <x v="4"/>
    <d v="2023-04-29T00:00:00"/>
    <s v="Saturday"/>
    <s v="wwww"/>
  </r>
  <r>
    <n v="501"/>
    <s v="ORD-BL0501-18/04/23"/>
    <s v="SP002"/>
    <s v="Sepatu Pria"/>
    <x v="8"/>
    <n v="1"/>
    <n v="3"/>
    <n v="150000"/>
    <n v="60000"/>
    <s v="PP002"/>
    <s v="Pakaian Pria"/>
    <s v="Celana Pendek"/>
    <n v="1"/>
    <n v="2"/>
    <n v="180000"/>
    <n v="70000"/>
    <m/>
    <s v="-"/>
    <s v="-"/>
    <m/>
    <m/>
    <s v="0"/>
    <s v="0"/>
    <n v="2"/>
    <n v="330000"/>
    <n v="280500"/>
    <n v="130000"/>
    <n v="110500"/>
    <s v="BUKALEBAR"/>
    <n v="0.15"/>
    <s v="Promo Lebaran"/>
    <s v="Bukalapak"/>
    <x v="2"/>
    <d v="2023-04-18T00:00:00"/>
    <s v="Tuesday"/>
    <s v="wwww"/>
  </r>
  <r>
    <n v="502"/>
    <s v="ORD-SP0502-07/04/23"/>
    <s v="PP003"/>
    <s v="Pakaian Pria"/>
    <x v="5"/>
    <n v="2"/>
    <n v="2"/>
    <n v="800000"/>
    <n v="300000"/>
    <s v="PP001"/>
    <s v="Pakaian Pria"/>
    <s v="Kaos Polo"/>
    <n v="2"/>
    <n v="4"/>
    <n v="400000"/>
    <n v="160000"/>
    <m/>
    <s v="-"/>
    <s v="-"/>
    <m/>
    <m/>
    <s v="0"/>
    <s v="0"/>
    <n v="4"/>
    <n v="1200000"/>
    <n v="1200000"/>
    <n v="460000"/>
    <n v="460000"/>
    <s v="-"/>
    <s v="-"/>
    <s v="-"/>
    <s v="Shopee"/>
    <x v="5"/>
    <d v="2023-04-07T00:00:00"/>
    <s v="Friday"/>
    <s v="wwww"/>
  </r>
  <r>
    <n v="503"/>
    <s v="ORD-BL0503-20/04/23"/>
    <s v="SP001"/>
    <s v="Sepatu Pria"/>
    <x v="7"/>
    <n v="3"/>
    <n v="1"/>
    <n v="1500000"/>
    <n v="600000"/>
    <m/>
    <s v="-"/>
    <s v="-"/>
    <m/>
    <m/>
    <s v="0"/>
    <s v="0"/>
    <m/>
    <s v="-"/>
    <s v="-"/>
    <m/>
    <m/>
    <s v="0"/>
    <s v="0"/>
    <n v="3"/>
    <n v="1500000"/>
    <n v="1275000"/>
    <n v="600000"/>
    <n v="510000"/>
    <s v="BUKALEBAR"/>
    <n v="0.15"/>
    <s v="Promo Lebaran"/>
    <s v="Bukalapak"/>
    <x v="4"/>
    <d v="2023-04-20T00:00:00"/>
    <s v="Thursday"/>
    <s v="wwww"/>
  </r>
  <r>
    <n v="504"/>
    <s v="ORD-SP0504-16/04/23"/>
    <s v="PP002"/>
    <s v="Pakaian Pria"/>
    <x v="4"/>
    <n v="5"/>
    <n v="5"/>
    <n v="900000"/>
    <n v="350000"/>
    <s v="PP003"/>
    <s v="Pakaian Pria"/>
    <s v="Jaket Jeans"/>
    <n v="1"/>
    <n v="1"/>
    <n v="400000"/>
    <n v="150000"/>
    <s v="SP001"/>
    <s v="Sepatu Pria"/>
    <s v="Sneakers"/>
    <n v="1"/>
    <n v="5"/>
    <n v="500000"/>
    <n v="200000"/>
    <n v="7"/>
    <n v="1800000"/>
    <n v="1440000"/>
    <n v="700000"/>
    <n v="560000"/>
    <s v="DISC20"/>
    <n v="0.2"/>
    <s v="Promo Lebaran"/>
    <s v="Shopee"/>
    <x v="4"/>
    <d v="2023-04-16T00:00:00"/>
    <s v="Sunday"/>
    <s v="wwww"/>
  </r>
  <r>
    <n v="505"/>
    <s v="ORD-TK0505-17/04/23"/>
    <s v="PW002"/>
    <s v="Pakaian Wanita"/>
    <x v="1"/>
    <n v="1"/>
    <n v="3"/>
    <n v="150000"/>
    <n v="50000"/>
    <s v="PU001"/>
    <s v="Pakaian Unisex"/>
    <s v="Jaket Hoodie"/>
    <n v="1"/>
    <n v="5"/>
    <n v="350000"/>
    <n v="130000"/>
    <m/>
    <s v="-"/>
    <s v="-"/>
    <m/>
    <m/>
    <s v="0"/>
    <s v="0"/>
    <n v="2"/>
    <n v="500000"/>
    <n v="450000"/>
    <n v="180000"/>
    <n v="162000"/>
    <s v="LEBAR10"/>
    <n v="0.1"/>
    <s v="Promo Lebaran"/>
    <s v="Tokopedia"/>
    <x v="1"/>
    <d v="2023-04-17T00:00:00"/>
    <s v="Monday"/>
    <s v="wwww"/>
  </r>
  <r>
    <n v="506"/>
    <s v="ORD-SP0506-03/04/23"/>
    <s v="PP003"/>
    <s v="Pakaian Pria"/>
    <x v="5"/>
    <n v="1"/>
    <n v="4"/>
    <n v="400000"/>
    <n v="150000"/>
    <s v="PW003"/>
    <s v="Pakaian Wanita"/>
    <s v="Kaftan"/>
    <n v="2"/>
    <n v="1"/>
    <n v="500000"/>
    <n v="200000"/>
    <s v="SP001"/>
    <s v="Sepatu Pria"/>
    <s v="Sneakers"/>
    <n v="1"/>
    <n v="3"/>
    <n v="500000"/>
    <n v="200000"/>
    <n v="4"/>
    <n v="1400000"/>
    <n v="1260000"/>
    <n v="550000"/>
    <n v="495000"/>
    <s v="DISC10"/>
    <n v="0.1"/>
    <s v="Promo 4.4"/>
    <s v="Shopee"/>
    <x v="1"/>
    <d v="2023-04-03T00:00:00"/>
    <s v="Monday"/>
    <s v="wwww"/>
  </r>
  <r>
    <n v="507"/>
    <s v="ORD-SP0507-22/04/23"/>
    <s v="PP001"/>
    <s v="Pakaian Pria"/>
    <x v="3"/>
    <n v="1"/>
    <n v="2"/>
    <n v="200000"/>
    <n v="80000"/>
    <s v="PU001"/>
    <s v="Pakaian Unisex"/>
    <s v="Jaket Hoodie"/>
    <n v="6"/>
    <n v="2"/>
    <n v="2100000"/>
    <n v="780000"/>
    <m/>
    <s v="-"/>
    <s v="-"/>
    <m/>
    <m/>
    <s v="0"/>
    <s v="0"/>
    <n v="7"/>
    <n v="2300000"/>
    <n v="1840000"/>
    <n v="860000"/>
    <n v="688000"/>
    <s v="DISC20"/>
    <n v="0.2"/>
    <s v="Promo Lebaran"/>
    <s v="Shopee"/>
    <x v="4"/>
    <d v="2023-04-22T00:00:00"/>
    <s v="Saturday"/>
    <s v="wwww"/>
  </r>
  <r>
    <n v="508"/>
    <s v="ORD-BL0508-16/04/23"/>
    <s v="SP002"/>
    <s v="Sepatu Pria"/>
    <x v="8"/>
    <n v="2"/>
    <n v="3"/>
    <n v="300000"/>
    <n v="120000"/>
    <s v="PW003"/>
    <s v="Pakaian Wanita"/>
    <s v="Kaftan"/>
    <n v="1"/>
    <n v="5"/>
    <n v="250000"/>
    <n v="100000"/>
    <s v="PW002"/>
    <s v="Pakaian Wanita"/>
    <s v="Blouse"/>
    <n v="2"/>
    <n v="2"/>
    <n v="300000"/>
    <n v="100000"/>
    <n v="5"/>
    <n v="850000"/>
    <n v="722500"/>
    <n v="320000"/>
    <n v="272000"/>
    <s v="BUKALEBAR"/>
    <n v="0.15"/>
    <s v="Promo Lebaran"/>
    <s v="Bukalapak"/>
    <x v="5"/>
    <d v="2023-04-16T00:00:00"/>
    <s v="Sunday"/>
    <s v="wwww"/>
  </r>
  <r>
    <n v="509"/>
    <s v="ORD-SP0509-01/04/23"/>
    <s v="SP002"/>
    <s v="Sepatu Pria"/>
    <x v="8"/>
    <n v="3"/>
    <n v="5"/>
    <n v="450000"/>
    <n v="180000"/>
    <s v="PP001"/>
    <s v="Pakaian Pria"/>
    <s v="Kaos Polo"/>
    <n v="2"/>
    <n v="2"/>
    <n v="400000"/>
    <n v="160000"/>
    <s v="PP003"/>
    <s v="Pakaian Pria"/>
    <s v="Jaket Jeans"/>
    <n v="1"/>
    <n v="2"/>
    <n v="400000"/>
    <n v="150000"/>
    <n v="6"/>
    <n v="1250000"/>
    <n v="1062500"/>
    <n v="490000"/>
    <n v="416500"/>
    <s v="DISC15"/>
    <n v="0.15"/>
    <s v="Promo 4.4"/>
    <s v="Shopee"/>
    <x v="2"/>
    <d v="2023-04-01T00:00:00"/>
    <s v="Saturday"/>
    <s v="wwww"/>
  </r>
  <r>
    <n v="510"/>
    <s v="ORD-SP0510-06/04/23"/>
    <s v="SW001"/>
    <s v="Sepatu Wanita"/>
    <x v="9"/>
    <n v="1"/>
    <n v="4"/>
    <n v="250000"/>
    <n v="100000"/>
    <m/>
    <s v="-"/>
    <s v="-"/>
    <m/>
    <m/>
    <s v="0"/>
    <s v="0"/>
    <m/>
    <s v="-"/>
    <s v="-"/>
    <m/>
    <m/>
    <s v="0"/>
    <s v="0"/>
    <n v="1"/>
    <n v="250000"/>
    <n v="212500"/>
    <n v="100000"/>
    <n v="85000"/>
    <s v="DISC15"/>
    <n v="0.15"/>
    <s v="Promo 4.4"/>
    <s v="Shopee"/>
    <x v="5"/>
    <d v="2023-04-06T00:00:00"/>
    <s v="Thursday"/>
    <s v="wwww"/>
  </r>
  <r>
    <n v="511"/>
    <s v="ORD-BL0511-28/04/23"/>
    <s v="PU001"/>
    <s v="Pakaian Unisex"/>
    <x v="6"/>
    <n v="1"/>
    <n v="5"/>
    <n v="350000"/>
    <n v="130000"/>
    <m/>
    <s v="-"/>
    <s v="-"/>
    <m/>
    <m/>
    <s v="0"/>
    <s v="0"/>
    <m/>
    <s v="-"/>
    <s v="-"/>
    <m/>
    <m/>
    <s v="0"/>
    <s v="0"/>
    <n v="1"/>
    <n v="350000"/>
    <n v="297500"/>
    <n v="130000"/>
    <n v="110500"/>
    <s v="BUKALEBAR"/>
    <n v="0.15"/>
    <s v="Promo Lebaran"/>
    <s v="Bukalapak"/>
    <x v="1"/>
    <d v="2023-04-28T00:00:00"/>
    <s v="Friday"/>
    <s v="wwww"/>
  </r>
  <r>
    <n v="512"/>
    <s v="ORD-BB0512-01/04/23"/>
    <s v="SP002"/>
    <s v="Sepatu Pria"/>
    <x v="8"/>
    <n v="1"/>
    <n v="3"/>
    <n v="150000"/>
    <n v="60000"/>
    <m/>
    <s v="-"/>
    <s v="-"/>
    <m/>
    <m/>
    <s v="0"/>
    <s v="0"/>
    <m/>
    <s v="-"/>
    <s v="-"/>
    <m/>
    <m/>
    <s v="0"/>
    <s v="0"/>
    <n v="1"/>
    <n v="150000"/>
    <n v="127500"/>
    <n v="60000"/>
    <n v="51000"/>
    <s v="BELI44"/>
    <n v="0.15"/>
    <s v="Promo 4.4"/>
    <s v="BliBli"/>
    <x v="5"/>
    <d v="2023-04-01T00:00:00"/>
    <s v="Saturday"/>
    <s v="wwww"/>
  </r>
  <r>
    <n v="513"/>
    <s v="ORD-SP0513-30/04/23"/>
    <s v="SP001"/>
    <s v="Sepatu Pria"/>
    <x v="7"/>
    <n v="3"/>
    <n v="2"/>
    <n v="1500000"/>
    <n v="600000"/>
    <s v="PP001"/>
    <s v="Pakaian Pria"/>
    <s v="Kaos Polo"/>
    <n v="2"/>
    <n v="3"/>
    <n v="400000"/>
    <n v="160000"/>
    <m/>
    <s v="-"/>
    <s v="-"/>
    <m/>
    <m/>
    <s v="0"/>
    <s v="0"/>
    <n v="5"/>
    <n v="1900000"/>
    <n v="1520000"/>
    <n v="760000"/>
    <n v="608000"/>
    <s v="DISC20"/>
    <n v="0.2"/>
    <s v="Promo Lebaran"/>
    <s v="Shopee"/>
    <x v="0"/>
    <d v="2023-04-30T00:00:00"/>
    <s v="Sunday"/>
    <s v="wwww"/>
  </r>
  <r>
    <n v="514"/>
    <s v="ORD-SP0514-16/04/23"/>
    <s v="PU001"/>
    <s v="Pakaian Unisex"/>
    <x v="6"/>
    <n v="2"/>
    <n v="4"/>
    <n v="700000"/>
    <n v="260000"/>
    <s v="PW003"/>
    <s v="Pakaian Wanita"/>
    <s v="Kaftan"/>
    <n v="2"/>
    <n v="2"/>
    <n v="500000"/>
    <n v="200000"/>
    <m/>
    <s v="-"/>
    <s v="-"/>
    <m/>
    <m/>
    <s v="0"/>
    <s v="0"/>
    <n v="4"/>
    <n v="1200000"/>
    <n v="960000"/>
    <n v="460000"/>
    <n v="368000"/>
    <s v="DISC20"/>
    <n v="0.2"/>
    <s v="Promo Lebaran"/>
    <s v="Shopee"/>
    <x v="0"/>
    <d v="2023-04-16T00:00:00"/>
    <s v="Sunday"/>
    <s v="wwww"/>
  </r>
  <r>
    <n v="515"/>
    <s v="ORD-SP0515-04/04/23"/>
    <s v="PU001"/>
    <s v="Pakaian Unisex"/>
    <x v="6"/>
    <n v="4"/>
    <n v="5"/>
    <n v="1400000"/>
    <n v="520000"/>
    <s v="SP002"/>
    <s v="Sepatu Pria"/>
    <s v="Sandal Slip On"/>
    <n v="2"/>
    <n v="1"/>
    <n v="300000"/>
    <n v="120000"/>
    <m/>
    <s v="-"/>
    <s v="-"/>
    <m/>
    <m/>
    <s v="0"/>
    <s v="0"/>
    <n v="6"/>
    <n v="1700000"/>
    <n v="1530000"/>
    <n v="640000"/>
    <n v="576000"/>
    <s v="DISC10"/>
    <n v="0.1"/>
    <s v="Promo 4.4"/>
    <s v="Shopee"/>
    <x v="4"/>
    <d v="2023-04-04T00:00:00"/>
    <s v="Tuesday"/>
    <s v="wwww"/>
  </r>
  <r>
    <n v="516"/>
    <s v="ORD-SP0516-06/04/23"/>
    <s v="PP003"/>
    <s v="Pakaian Pria"/>
    <x v="5"/>
    <n v="2"/>
    <n v="3"/>
    <n v="800000"/>
    <n v="300000"/>
    <s v="PW002"/>
    <s v="Pakaian Wanita"/>
    <s v="Blouse"/>
    <n v="3"/>
    <n v="1"/>
    <n v="450000"/>
    <n v="150000"/>
    <m/>
    <s v="-"/>
    <s v="-"/>
    <m/>
    <m/>
    <s v="0"/>
    <s v="0"/>
    <n v="5"/>
    <n v="1250000"/>
    <n v="1062500"/>
    <n v="450000"/>
    <n v="382500"/>
    <s v="DISC15"/>
    <n v="0.15"/>
    <s v="Promo 4.4"/>
    <s v="Shopee"/>
    <x v="5"/>
    <d v="2023-04-06T00:00:00"/>
    <s v="Thursday"/>
    <s v="wwww"/>
  </r>
  <r>
    <n v="517"/>
    <s v="ORD-SP0517-12/04/23"/>
    <s v="SP001"/>
    <s v="Sepatu Pria"/>
    <x v="7"/>
    <n v="4"/>
    <n v="2"/>
    <n v="2000000"/>
    <n v="800000"/>
    <s v="PW002"/>
    <s v="Pakaian Wanita"/>
    <s v="Blouse"/>
    <n v="1"/>
    <n v="4"/>
    <n v="150000"/>
    <n v="50000"/>
    <m/>
    <s v="-"/>
    <s v="-"/>
    <m/>
    <m/>
    <s v="0"/>
    <s v="0"/>
    <n v="5"/>
    <n v="2150000"/>
    <n v="2150000"/>
    <n v="850000"/>
    <n v="850000"/>
    <s v="-"/>
    <s v="-"/>
    <s v="-"/>
    <s v="Shopee"/>
    <x v="2"/>
    <d v="2023-04-12T00:00:00"/>
    <s v="Wednesday"/>
    <s v="wwww"/>
  </r>
  <r>
    <n v="518"/>
    <s v="ORD-SP0518-28/04/23"/>
    <s v="SW001"/>
    <s v="Sepatu Wanita"/>
    <x v="9"/>
    <n v="2"/>
    <n v="5"/>
    <n v="500000"/>
    <n v="200000"/>
    <s v="PP001"/>
    <s v="Pakaian Pria"/>
    <s v="Kaos Polo"/>
    <n v="1"/>
    <n v="3"/>
    <n v="200000"/>
    <n v="80000"/>
    <s v="SP001"/>
    <s v="Sepatu Pria"/>
    <s v="Sneakers"/>
    <n v="2"/>
    <n v="5"/>
    <n v="1000000"/>
    <n v="400000"/>
    <n v="5"/>
    <n v="1700000"/>
    <n v="1360000"/>
    <n v="680000"/>
    <n v="544000"/>
    <s v="DISC20"/>
    <n v="0.2"/>
    <s v="Promo Lebaran"/>
    <s v="Shopee"/>
    <x v="1"/>
    <d v="2023-04-28T00:00:00"/>
    <s v="Friday"/>
    <s v="wwww"/>
  </r>
  <r>
    <n v="519"/>
    <s v="ORD-BL0519-16/04/23"/>
    <s v="PW002"/>
    <s v="Pakaian Wanita"/>
    <x v="1"/>
    <n v="2"/>
    <n v="5"/>
    <n v="300000"/>
    <n v="100000"/>
    <s v="SW001"/>
    <s v="Sepatu Wanita"/>
    <s v="Flat Shoes"/>
    <n v="1"/>
    <n v="5"/>
    <n v="250000"/>
    <n v="100000"/>
    <m/>
    <s v="-"/>
    <s v="-"/>
    <m/>
    <m/>
    <s v="0"/>
    <s v="0"/>
    <n v="3"/>
    <n v="550000"/>
    <n v="467500"/>
    <n v="200000"/>
    <n v="170000"/>
    <s v="BUKALEBAR"/>
    <n v="0.15"/>
    <s v="Promo Lebaran"/>
    <s v="Bukalapak"/>
    <x v="0"/>
    <d v="2023-04-16T00:00:00"/>
    <s v="Sunday"/>
    <s v="wwww"/>
  </r>
  <r>
    <n v="520"/>
    <s v="ORD-SP0520-03/04/23"/>
    <s v="PW003"/>
    <s v="Pakaian Wanita"/>
    <x v="2"/>
    <n v="5"/>
    <n v="2"/>
    <n v="1250000"/>
    <n v="500000"/>
    <m/>
    <s v="-"/>
    <s v="-"/>
    <m/>
    <m/>
    <s v="0"/>
    <s v="0"/>
    <m/>
    <s v="-"/>
    <s v="-"/>
    <m/>
    <m/>
    <s v="0"/>
    <s v="0"/>
    <n v="5"/>
    <n v="1250000"/>
    <n v="1125000"/>
    <n v="500000"/>
    <n v="450000"/>
    <s v="DISC10"/>
    <n v="0.1"/>
    <s v="Promo 4.4"/>
    <s v="Shopee"/>
    <x v="0"/>
    <d v="2023-04-03T00:00:00"/>
    <s v="Monday"/>
    <s v="wwww"/>
  </r>
  <r>
    <n v="521"/>
    <s v="ORD-SP0521-06/04/23"/>
    <s v="SP002"/>
    <s v="Sepatu Pria"/>
    <x v="8"/>
    <n v="2"/>
    <n v="3"/>
    <n v="300000"/>
    <n v="120000"/>
    <s v="PW002"/>
    <s v="Pakaian Wanita"/>
    <s v="Blouse"/>
    <n v="1"/>
    <n v="5"/>
    <n v="150000"/>
    <n v="50000"/>
    <m/>
    <s v="-"/>
    <s v="-"/>
    <m/>
    <m/>
    <s v="0"/>
    <s v="0"/>
    <n v="3"/>
    <n v="450000"/>
    <n v="405000"/>
    <n v="170000"/>
    <n v="153000"/>
    <s v="DISC10"/>
    <n v="0.1"/>
    <s v="Promo 4.4"/>
    <s v="Shopee"/>
    <x v="5"/>
    <d v="2023-04-06T00:00:00"/>
    <s v="Thursday"/>
    <s v="wwww"/>
  </r>
  <r>
    <n v="522"/>
    <s v="ORD-SP0522-06/04/23"/>
    <s v="PP001"/>
    <s v="Pakaian Pria"/>
    <x v="3"/>
    <n v="3"/>
    <n v="4"/>
    <n v="600000"/>
    <n v="240000"/>
    <s v="PW001"/>
    <s v="Pakaian Wanita"/>
    <s v="Dress"/>
    <n v="1"/>
    <n v="4"/>
    <n v="300000"/>
    <n v="100000"/>
    <m/>
    <s v="-"/>
    <s v="-"/>
    <m/>
    <m/>
    <s v="0"/>
    <s v="0"/>
    <n v="4"/>
    <n v="900000"/>
    <n v="810000"/>
    <n v="340000"/>
    <n v="306000"/>
    <s v="DISC10"/>
    <n v="0.1"/>
    <s v="Promo 4.4"/>
    <s v="Shopee"/>
    <x v="5"/>
    <d v="2023-04-06T00:00:00"/>
    <s v="Thursday"/>
    <s v="wwww"/>
  </r>
  <r>
    <n v="523"/>
    <s v="ORD-SP0523-08/04/23"/>
    <s v="PP002"/>
    <s v="Pakaian Pria"/>
    <x v="4"/>
    <n v="1"/>
    <n v="4"/>
    <n v="180000"/>
    <n v="70000"/>
    <s v="PW001"/>
    <s v="Pakaian Wanita"/>
    <s v="Dress"/>
    <n v="1"/>
    <n v="3"/>
    <n v="300000"/>
    <n v="100000"/>
    <m/>
    <s v="-"/>
    <s v="-"/>
    <m/>
    <m/>
    <s v="0"/>
    <s v="0"/>
    <n v="2"/>
    <n v="480000"/>
    <n v="480000"/>
    <n v="170000"/>
    <n v="170000"/>
    <s v="-"/>
    <s v="-"/>
    <s v="-"/>
    <s v="Shopee"/>
    <x v="2"/>
    <d v="2023-04-08T00:00:00"/>
    <s v="Saturday"/>
    <s v="wwww"/>
  </r>
  <r>
    <n v="524"/>
    <s v="ORD-BL0524-17/04/23"/>
    <s v="SW001"/>
    <s v="Sepatu Wanita"/>
    <x v="9"/>
    <n v="4"/>
    <n v="2"/>
    <n v="1000000"/>
    <n v="400000"/>
    <s v="PW001"/>
    <s v="Pakaian Wanita"/>
    <s v="Dress"/>
    <n v="1"/>
    <n v="3"/>
    <n v="300000"/>
    <n v="100000"/>
    <m/>
    <s v="-"/>
    <s v="-"/>
    <m/>
    <m/>
    <s v="0"/>
    <s v="0"/>
    <n v="5"/>
    <n v="1300000"/>
    <n v="1105000"/>
    <n v="500000"/>
    <n v="425000"/>
    <s v="BUKALEBAR"/>
    <n v="0.15"/>
    <s v="Promo Lebaran"/>
    <s v="Bukalapak"/>
    <x v="1"/>
    <d v="2023-04-17T00:00:00"/>
    <s v="Monday"/>
    <s v="wwww"/>
  </r>
  <r>
    <n v="525"/>
    <s v="ORD-BB0525-04/04/23"/>
    <s v="PP002"/>
    <s v="Pakaian Pria"/>
    <x v="4"/>
    <n v="4"/>
    <n v="4"/>
    <n v="720000"/>
    <n v="280000"/>
    <s v="SW001"/>
    <s v="Sepatu Wanita"/>
    <s v="Flat Shoes"/>
    <n v="1"/>
    <n v="4"/>
    <n v="250000"/>
    <n v="100000"/>
    <m/>
    <s v="-"/>
    <s v="-"/>
    <m/>
    <m/>
    <s v="0"/>
    <s v="0"/>
    <n v="5"/>
    <n v="970000"/>
    <n v="824500"/>
    <n v="380000"/>
    <n v="323000"/>
    <s v="BELI44"/>
    <n v="0.15"/>
    <s v="Promo 4.4"/>
    <s v="BliBli"/>
    <x v="5"/>
    <d v="2023-04-04T00:00:00"/>
    <s v="Tuesday"/>
    <s v="wwww"/>
  </r>
  <r>
    <n v="526"/>
    <s v="ORD-TK0526-26/04/23"/>
    <s v="PP002"/>
    <s v="Pakaian Pria"/>
    <x v="4"/>
    <n v="1"/>
    <n v="5"/>
    <n v="180000"/>
    <n v="70000"/>
    <s v="SP002"/>
    <s v="Sepatu Pria"/>
    <s v="Sandal Slip On"/>
    <n v="4"/>
    <n v="4"/>
    <n v="600000"/>
    <n v="240000"/>
    <s v="PW002"/>
    <s v="Pakaian Wanita"/>
    <s v="Blouse"/>
    <n v="1"/>
    <n v="5"/>
    <n v="150000"/>
    <n v="50000"/>
    <n v="6"/>
    <n v="930000"/>
    <n v="837000"/>
    <n v="360000"/>
    <n v="324000"/>
    <s v="LEBAR10"/>
    <n v="0.1"/>
    <s v="Promo Lebaran"/>
    <s v="Tokopedia"/>
    <x v="2"/>
    <d v="2023-04-26T00:00:00"/>
    <s v="Wednesday"/>
    <s v="wwww"/>
  </r>
  <r>
    <n v="527"/>
    <s v="ORD-SP0527-23/04/23"/>
    <s v="PU001"/>
    <s v="Pakaian Unisex"/>
    <x v="6"/>
    <n v="6"/>
    <n v="4"/>
    <n v="2100000"/>
    <n v="780000"/>
    <s v="PW003"/>
    <s v="Pakaian Wanita"/>
    <s v="Kaftan"/>
    <n v="1"/>
    <n v="4"/>
    <n v="250000"/>
    <n v="100000"/>
    <m/>
    <s v="-"/>
    <s v="-"/>
    <m/>
    <m/>
    <s v="0"/>
    <s v="0"/>
    <n v="7"/>
    <n v="2350000"/>
    <n v="1880000"/>
    <n v="880000"/>
    <n v="704000"/>
    <s v="DISC20"/>
    <n v="0.2"/>
    <s v="Promo Lebaran"/>
    <s v="Shopee"/>
    <x v="2"/>
    <d v="2023-04-23T00:00:00"/>
    <s v="Sunday"/>
    <s v="wwww"/>
  </r>
  <r>
    <n v="528"/>
    <s v="ORD-SP0528-21/04/23"/>
    <s v="PW003"/>
    <s v="Pakaian Wanita"/>
    <x v="2"/>
    <n v="1"/>
    <n v="4"/>
    <n v="250000"/>
    <n v="100000"/>
    <s v="PP002"/>
    <s v="Pakaian Pria"/>
    <s v="Celana Pendek"/>
    <n v="3"/>
    <n v="2"/>
    <n v="540000"/>
    <n v="210000"/>
    <s v="PP002"/>
    <s v="Pakaian Pria"/>
    <s v="Celana Pendek"/>
    <n v="1"/>
    <n v="2"/>
    <n v="180000"/>
    <n v="70000"/>
    <n v="5"/>
    <n v="970000"/>
    <n v="776000"/>
    <n v="380000"/>
    <n v="304000"/>
    <s v="DISC20"/>
    <n v="0.2"/>
    <s v="Promo Lebaran"/>
    <s v="Shopee"/>
    <x v="0"/>
    <d v="2023-04-21T00:00:00"/>
    <s v="Friday"/>
    <s v="wwww"/>
  </r>
  <r>
    <n v="529"/>
    <s v="ORD-SP0529-02/04/23"/>
    <s v="PP003"/>
    <s v="Pakaian Pria"/>
    <x v="5"/>
    <n v="2"/>
    <n v="4"/>
    <n v="800000"/>
    <n v="300000"/>
    <m/>
    <s v="-"/>
    <s v="-"/>
    <m/>
    <m/>
    <s v="0"/>
    <s v="0"/>
    <m/>
    <s v="-"/>
    <s v="-"/>
    <m/>
    <m/>
    <s v="0"/>
    <s v="0"/>
    <n v="2"/>
    <n v="800000"/>
    <n v="680000"/>
    <n v="300000"/>
    <n v="255000"/>
    <s v="DISC15"/>
    <n v="0.15"/>
    <s v="Promo 4.4"/>
    <s v="Shopee"/>
    <x v="2"/>
    <d v="2023-04-02T00:00:00"/>
    <s v="Sunday"/>
    <s v="wwww"/>
  </r>
  <r>
    <n v="530"/>
    <s v="ORD-SP0530-02/04/23"/>
    <s v="SP001"/>
    <s v="Sepatu Pria"/>
    <x v="7"/>
    <n v="2"/>
    <n v="4"/>
    <n v="1000000"/>
    <n v="400000"/>
    <s v="PU001"/>
    <s v="Pakaian Unisex"/>
    <s v="Jaket Hoodie"/>
    <n v="1"/>
    <n v="3"/>
    <n v="350000"/>
    <n v="130000"/>
    <s v="PP002"/>
    <s v="Pakaian Pria"/>
    <s v="Celana Pendek"/>
    <n v="4"/>
    <n v="5"/>
    <n v="720000"/>
    <n v="280000"/>
    <n v="7"/>
    <n v="2070000"/>
    <n v="1759500"/>
    <n v="810000"/>
    <n v="688500"/>
    <s v="DISC15"/>
    <n v="0.15"/>
    <s v="Promo 4.4"/>
    <s v="Shopee"/>
    <x v="5"/>
    <d v="2023-04-02T00:00:00"/>
    <s v="Sunday"/>
    <s v="wwww"/>
  </r>
  <r>
    <n v="531"/>
    <s v="ORD-TK0531-15/04/23"/>
    <s v="SP001"/>
    <s v="Sepatu Pria"/>
    <x v="7"/>
    <n v="6"/>
    <n v="4"/>
    <n v="3000000"/>
    <n v="1200000"/>
    <m/>
    <s v="-"/>
    <s v="-"/>
    <m/>
    <m/>
    <s v="0"/>
    <s v="0"/>
    <m/>
    <s v="-"/>
    <s v="-"/>
    <m/>
    <m/>
    <s v="0"/>
    <s v="0"/>
    <n v="6"/>
    <n v="3000000"/>
    <n v="3000000"/>
    <n v="1200000"/>
    <n v="1200000"/>
    <s v="-"/>
    <s v="-"/>
    <s v="-"/>
    <s v="Tokopedia"/>
    <x v="4"/>
    <d v="2023-04-15T00:00:00"/>
    <s v="Saturday"/>
    <s v="wwww"/>
  </r>
  <r>
    <n v="532"/>
    <s v="ORD-SP0532-04/04/23"/>
    <s v="SP002"/>
    <s v="Sepatu Pria"/>
    <x v="8"/>
    <n v="1"/>
    <n v="1"/>
    <n v="150000"/>
    <n v="60000"/>
    <s v="PW002"/>
    <s v="Pakaian Wanita"/>
    <s v="Blouse"/>
    <n v="2"/>
    <n v="2"/>
    <n v="300000"/>
    <n v="100000"/>
    <m/>
    <s v="-"/>
    <s v="-"/>
    <m/>
    <m/>
    <s v="0"/>
    <s v="0"/>
    <n v="3"/>
    <n v="450000"/>
    <n v="382500"/>
    <n v="160000"/>
    <n v="136000"/>
    <s v="DISC15"/>
    <n v="0.15"/>
    <s v="Promo 4.4"/>
    <s v="Shopee"/>
    <x v="4"/>
    <d v="2023-04-04T00:00:00"/>
    <s v="Tuesday"/>
    <s v="wwww"/>
  </r>
  <r>
    <n v="533"/>
    <s v="ORD-BB0533-03/04/23"/>
    <s v="PW002"/>
    <s v="Pakaian Wanita"/>
    <x v="1"/>
    <n v="5"/>
    <n v="1"/>
    <n v="750000"/>
    <n v="250000"/>
    <s v="PP001"/>
    <s v="Pakaian Pria"/>
    <s v="Kaos Polo"/>
    <n v="2"/>
    <n v="2"/>
    <n v="400000"/>
    <n v="160000"/>
    <m/>
    <s v="-"/>
    <s v="-"/>
    <m/>
    <m/>
    <s v="0"/>
    <s v="0"/>
    <n v="7"/>
    <n v="1150000"/>
    <n v="977500"/>
    <n v="410000"/>
    <n v="348500"/>
    <s v="BELI44"/>
    <n v="0.15"/>
    <s v="Promo 4.4"/>
    <s v="BliBli"/>
    <x v="4"/>
    <d v="2023-04-03T00:00:00"/>
    <s v="Monday"/>
    <s v="wwww"/>
  </r>
  <r>
    <n v="534"/>
    <s v="ORD-TK0534-04/04/23"/>
    <s v="PU001"/>
    <s v="Pakaian Unisex"/>
    <x v="6"/>
    <n v="1"/>
    <n v="5"/>
    <n v="350000"/>
    <n v="130000"/>
    <m/>
    <s v="-"/>
    <s v="-"/>
    <m/>
    <m/>
    <s v="0"/>
    <s v="0"/>
    <m/>
    <s v="-"/>
    <s v="-"/>
    <m/>
    <m/>
    <s v="0"/>
    <s v="0"/>
    <n v="1"/>
    <n v="350000"/>
    <n v="315000"/>
    <n v="130000"/>
    <n v="117000"/>
    <s v="DISCAPRIL"/>
    <n v="0.1"/>
    <s v="Promo 4.4"/>
    <s v="Tokopedia"/>
    <x v="4"/>
    <d v="2023-04-04T00:00:00"/>
    <s v="Tuesday"/>
    <s v="wwww"/>
  </r>
  <r>
    <n v="535"/>
    <s v="ORD-SP0535-02/04/23"/>
    <s v="PP001"/>
    <s v="Pakaian Pria"/>
    <x v="3"/>
    <n v="4"/>
    <n v="4"/>
    <n v="800000"/>
    <n v="320000"/>
    <m/>
    <s v="-"/>
    <s v="-"/>
    <m/>
    <m/>
    <s v="0"/>
    <s v="0"/>
    <m/>
    <s v="-"/>
    <s v="-"/>
    <m/>
    <m/>
    <s v="0"/>
    <s v="0"/>
    <n v="4"/>
    <n v="800000"/>
    <n v="720000"/>
    <n v="320000"/>
    <n v="288000"/>
    <s v="DISC10"/>
    <n v="0.1"/>
    <s v="Promo 4.4"/>
    <s v="Shopee"/>
    <x v="4"/>
    <d v="2023-04-02T00:00:00"/>
    <s v="Sunday"/>
    <s v="wwww"/>
  </r>
  <r>
    <n v="536"/>
    <s v="ORD-BB0536-03/04/23"/>
    <s v="PU001"/>
    <s v="Pakaian Unisex"/>
    <x v="6"/>
    <n v="6"/>
    <n v="5"/>
    <n v="2100000"/>
    <n v="780000"/>
    <s v="PW002"/>
    <s v="Pakaian Wanita"/>
    <s v="Blouse"/>
    <n v="1"/>
    <n v="3"/>
    <n v="150000"/>
    <n v="50000"/>
    <m/>
    <s v="-"/>
    <s v="-"/>
    <m/>
    <m/>
    <s v="0"/>
    <s v="0"/>
    <n v="7"/>
    <n v="2250000"/>
    <n v="1912500"/>
    <n v="830000"/>
    <n v="705500"/>
    <s v="BELI44"/>
    <n v="0.15"/>
    <s v="Promo 4.4"/>
    <s v="BliBli"/>
    <x v="0"/>
    <d v="2023-04-03T00:00:00"/>
    <s v="Monday"/>
    <s v="wwww"/>
  </r>
  <r>
    <n v="537"/>
    <s v="ORD-SP0537-07/04/23"/>
    <s v="PP001"/>
    <s v="Pakaian Pria"/>
    <x v="3"/>
    <n v="3"/>
    <n v="2"/>
    <n v="600000"/>
    <n v="240000"/>
    <s v="SP001"/>
    <s v="Sepatu Pria"/>
    <s v="Sneakers"/>
    <n v="1"/>
    <n v="4"/>
    <n v="500000"/>
    <n v="200000"/>
    <m/>
    <s v="-"/>
    <s v="-"/>
    <m/>
    <m/>
    <s v="0"/>
    <s v="0"/>
    <n v="4"/>
    <n v="1100000"/>
    <n v="1100000"/>
    <n v="440000"/>
    <n v="440000"/>
    <s v="-"/>
    <s v="-"/>
    <s v="-"/>
    <s v="Shopee"/>
    <x v="4"/>
    <d v="2023-04-07T00:00:00"/>
    <s v="Friday"/>
    <s v="wwww"/>
  </r>
  <r>
    <n v="538"/>
    <s v="ORD-BB0538-01/04/23"/>
    <s v="SW001"/>
    <s v="Sepatu Wanita"/>
    <x v="9"/>
    <n v="2"/>
    <n v="2"/>
    <n v="500000"/>
    <n v="200000"/>
    <m/>
    <s v="-"/>
    <s v="-"/>
    <m/>
    <m/>
    <s v="0"/>
    <s v="0"/>
    <m/>
    <s v="-"/>
    <s v="-"/>
    <m/>
    <m/>
    <s v="0"/>
    <s v="0"/>
    <n v="2"/>
    <n v="500000"/>
    <n v="425000"/>
    <n v="200000"/>
    <n v="170000"/>
    <s v="BELI44"/>
    <n v="0.15"/>
    <s v="Promo 4.4"/>
    <s v="BliBli"/>
    <x v="2"/>
    <d v="2023-04-01T00:00:00"/>
    <s v="Saturday"/>
    <s v="wwww"/>
  </r>
  <r>
    <n v="539"/>
    <s v="ORD-SP0539-01/04/23"/>
    <s v="SP001"/>
    <s v="Sepatu Pria"/>
    <x v="7"/>
    <n v="3"/>
    <n v="5"/>
    <n v="1500000"/>
    <n v="600000"/>
    <s v="SW001"/>
    <s v="Sepatu Wanita"/>
    <s v="Flat Shoes"/>
    <n v="1"/>
    <n v="2"/>
    <n v="250000"/>
    <n v="100000"/>
    <m/>
    <s v="-"/>
    <s v="-"/>
    <m/>
    <m/>
    <s v="0"/>
    <s v="0"/>
    <n v="4"/>
    <n v="1750000"/>
    <n v="1575000"/>
    <n v="700000"/>
    <n v="630000"/>
    <s v="DISC10"/>
    <n v="0.1"/>
    <s v="Promo 4.4"/>
    <s v="Shopee"/>
    <x v="1"/>
    <d v="2023-04-01T00:00:00"/>
    <s v="Saturday"/>
    <s v="wwww"/>
  </r>
  <r>
    <n v="540"/>
    <s v="ORD-BL0540-29/04/23"/>
    <s v="PW001"/>
    <s v="Pakaian Wanita"/>
    <x v="0"/>
    <n v="3"/>
    <n v="4"/>
    <n v="900000"/>
    <n v="300000"/>
    <s v="PW002"/>
    <s v="Pakaian Wanita"/>
    <s v="Blouse"/>
    <n v="2"/>
    <n v="4"/>
    <n v="300000"/>
    <n v="100000"/>
    <s v="PP002"/>
    <s v="Pakaian Pria"/>
    <s v="Celana Pendek"/>
    <n v="1"/>
    <n v="1"/>
    <n v="180000"/>
    <n v="70000"/>
    <n v="6"/>
    <n v="1380000"/>
    <n v="1173000"/>
    <n v="470000"/>
    <n v="399500"/>
    <s v="BUKALEBAR"/>
    <n v="0.15"/>
    <s v="Promo Lebaran"/>
    <s v="Bukalapak"/>
    <x v="1"/>
    <d v="2023-04-29T00:00:00"/>
    <s v="Saturday"/>
    <s v="wwww"/>
  </r>
  <r>
    <n v="541"/>
    <s v="ORD-TK0541-05/04/23"/>
    <s v="PW001"/>
    <s v="Pakaian Wanita"/>
    <x v="0"/>
    <n v="1"/>
    <n v="2"/>
    <n v="300000"/>
    <n v="100000"/>
    <s v="PP003"/>
    <s v="Pakaian Pria"/>
    <s v="Jaket Jeans"/>
    <n v="1"/>
    <n v="4"/>
    <n v="400000"/>
    <n v="150000"/>
    <m/>
    <s v="-"/>
    <s v="-"/>
    <m/>
    <m/>
    <s v="0"/>
    <s v="0"/>
    <n v="2"/>
    <n v="700000"/>
    <n v="630000"/>
    <n v="250000"/>
    <n v="225000"/>
    <s v="DISCAPRIL"/>
    <n v="0.1"/>
    <s v="Promo 4.4"/>
    <s v="Tokopedia"/>
    <x v="4"/>
    <d v="2023-04-05T00:00:00"/>
    <s v="Wednesday"/>
    <s v="wwww"/>
  </r>
  <r>
    <n v="542"/>
    <s v="ORD-SP0542-04/04/23"/>
    <s v="PP002"/>
    <s v="Pakaian Pria"/>
    <x v="4"/>
    <n v="1"/>
    <n v="4"/>
    <n v="180000"/>
    <n v="70000"/>
    <s v="PW001"/>
    <s v="Pakaian Wanita"/>
    <s v="Dress"/>
    <n v="2"/>
    <n v="2"/>
    <n v="600000"/>
    <n v="200000"/>
    <s v="PU001"/>
    <s v="Pakaian Unisex"/>
    <s v="Jaket Hoodie"/>
    <n v="2"/>
    <n v="4"/>
    <n v="700000"/>
    <n v="260000"/>
    <n v="5"/>
    <n v="1480000"/>
    <n v="1332000"/>
    <n v="530000"/>
    <n v="477000"/>
    <s v="DISC10"/>
    <n v="0.1"/>
    <s v="Promo 4.4"/>
    <s v="Shopee"/>
    <x v="1"/>
    <d v="2023-04-04T00:00:00"/>
    <s v="Tuesday"/>
    <s v="wwww"/>
  </r>
  <r>
    <n v="543"/>
    <s v="ORD-SP0543-01/04/23"/>
    <s v="PW001"/>
    <s v="Pakaian Wanita"/>
    <x v="0"/>
    <n v="1"/>
    <n v="5"/>
    <n v="300000"/>
    <n v="100000"/>
    <s v="PP003"/>
    <s v="Pakaian Pria"/>
    <s v="Jaket Jeans"/>
    <n v="1"/>
    <n v="2"/>
    <n v="400000"/>
    <n v="150000"/>
    <m/>
    <s v="-"/>
    <s v="-"/>
    <m/>
    <m/>
    <s v="0"/>
    <s v="0"/>
    <n v="2"/>
    <n v="700000"/>
    <n v="595000"/>
    <n v="250000"/>
    <n v="212500"/>
    <s v="DISC15"/>
    <n v="0.15"/>
    <s v="Promo 4.4"/>
    <s v="Shopee"/>
    <x v="4"/>
    <d v="2023-04-01T00:00:00"/>
    <s v="Saturday"/>
    <s v="wwww"/>
  </r>
  <r>
    <n v="544"/>
    <s v="ORD-BL0544-26/04/23"/>
    <s v="PP003"/>
    <s v="Pakaian Pria"/>
    <x v="5"/>
    <n v="2"/>
    <n v="2"/>
    <n v="800000"/>
    <n v="300000"/>
    <s v="PP002"/>
    <s v="Pakaian Pria"/>
    <s v="Celana Pendek"/>
    <n v="1"/>
    <n v="3"/>
    <n v="180000"/>
    <n v="70000"/>
    <m/>
    <s v="-"/>
    <s v="-"/>
    <m/>
    <m/>
    <s v="0"/>
    <s v="0"/>
    <n v="3"/>
    <n v="980000"/>
    <n v="833000"/>
    <n v="370000"/>
    <n v="314500"/>
    <s v="BUKALEBAR"/>
    <n v="0.15"/>
    <s v="Promo Lebaran"/>
    <s v="Bukalapak"/>
    <x v="0"/>
    <d v="2023-04-26T00:00:00"/>
    <s v="Wednesday"/>
    <s v="wwww"/>
  </r>
  <r>
    <n v="545"/>
    <s v="ORD-TK0545-06/04/23"/>
    <s v="PW003"/>
    <s v="Pakaian Wanita"/>
    <x v="2"/>
    <n v="7"/>
    <n v="3"/>
    <n v="1750000"/>
    <n v="700000"/>
    <m/>
    <s v="-"/>
    <s v="-"/>
    <m/>
    <m/>
    <s v="0"/>
    <s v="0"/>
    <m/>
    <s v="-"/>
    <s v="-"/>
    <m/>
    <m/>
    <s v="0"/>
    <s v="0"/>
    <n v="7"/>
    <n v="1750000"/>
    <n v="1575000"/>
    <n v="700000"/>
    <n v="630000"/>
    <s v="DISCAPRIL"/>
    <n v="0.1"/>
    <s v="Promo 4.4"/>
    <s v="Tokopedia"/>
    <x v="4"/>
    <d v="2023-04-06T00:00:00"/>
    <s v="Thursday"/>
    <s v="wwww"/>
  </r>
  <r>
    <n v="546"/>
    <s v="ORD-BL0546-14/04/23"/>
    <s v="PU001"/>
    <s v="Pakaian Unisex"/>
    <x v="6"/>
    <n v="1"/>
    <n v="4"/>
    <n v="350000"/>
    <n v="130000"/>
    <s v="PP002"/>
    <s v="Pakaian Pria"/>
    <s v="Celana Pendek"/>
    <n v="2"/>
    <n v="3"/>
    <n v="360000"/>
    <n v="140000"/>
    <m/>
    <s v="-"/>
    <s v="-"/>
    <m/>
    <m/>
    <s v="0"/>
    <s v="0"/>
    <n v="3"/>
    <n v="710000"/>
    <n v="710000"/>
    <n v="270000"/>
    <n v="270000"/>
    <s v="-"/>
    <s v="-"/>
    <s v="-"/>
    <s v="Bukalapak"/>
    <x v="1"/>
    <d v="2023-04-14T00:00:00"/>
    <s v="Friday"/>
    <s v="wwww"/>
  </r>
  <r>
    <n v="547"/>
    <s v="ORD-BL0547-18/04/23"/>
    <s v="PW003"/>
    <s v="Pakaian Wanita"/>
    <x v="2"/>
    <n v="1"/>
    <n v="1"/>
    <n v="250000"/>
    <n v="100000"/>
    <s v="SP002"/>
    <s v="Sepatu Pria"/>
    <s v="Sandal Slip On"/>
    <n v="1"/>
    <n v="1"/>
    <n v="150000"/>
    <n v="60000"/>
    <s v="PP002"/>
    <s v="Pakaian Pria"/>
    <s v="Celana Pendek"/>
    <n v="1"/>
    <n v="1"/>
    <n v="180000"/>
    <n v="70000"/>
    <n v="3"/>
    <n v="580000"/>
    <n v="493000"/>
    <n v="230000"/>
    <n v="195500"/>
    <s v="BUKALEBAR"/>
    <n v="0.15"/>
    <s v="Promo Lebaran"/>
    <s v="Bukalapak"/>
    <x v="0"/>
    <d v="2023-04-18T00:00:00"/>
    <s v="Tuesday"/>
    <s v="wwww"/>
  </r>
  <r>
    <n v="548"/>
    <s v="ORD-TK0548-05/04/23"/>
    <s v="PU001"/>
    <s v="Pakaian Unisex"/>
    <x v="6"/>
    <n v="6"/>
    <n v="3"/>
    <n v="2100000"/>
    <n v="780000"/>
    <m/>
    <s v="-"/>
    <s v="-"/>
    <m/>
    <m/>
    <s v="0"/>
    <s v="0"/>
    <m/>
    <s v="-"/>
    <s v="-"/>
    <m/>
    <m/>
    <s v="0"/>
    <s v="0"/>
    <n v="6"/>
    <n v="2100000"/>
    <n v="1890000"/>
    <n v="780000"/>
    <n v="702000"/>
    <s v="DISCAPRIL"/>
    <n v="0.1"/>
    <s v="Promo 4.4"/>
    <s v="Tokopedia"/>
    <x v="0"/>
    <d v="2023-04-05T00:00:00"/>
    <s v="Wednesday"/>
    <s v="wwww"/>
  </r>
  <r>
    <n v="549"/>
    <s v="ORD-SP0549-02/04/23"/>
    <s v="PW002"/>
    <s v="Pakaian Wanita"/>
    <x v="1"/>
    <n v="3"/>
    <n v="1"/>
    <n v="450000"/>
    <n v="150000"/>
    <s v="PP003"/>
    <s v="Pakaian Pria"/>
    <s v="Jaket Jeans"/>
    <n v="2"/>
    <n v="5"/>
    <n v="800000"/>
    <n v="300000"/>
    <m/>
    <s v="-"/>
    <s v="-"/>
    <m/>
    <m/>
    <s v="0"/>
    <s v="0"/>
    <n v="5"/>
    <n v="1250000"/>
    <n v="1062500"/>
    <n v="450000"/>
    <n v="382500"/>
    <s v="DISC15"/>
    <n v="0.15"/>
    <s v="Promo 4.4"/>
    <s v="Shopee"/>
    <x v="4"/>
    <d v="2023-04-02T00:00:00"/>
    <s v="Sunday"/>
    <s v="wwww"/>
  </r>
  <r>
    <n v="550"/>
    <s v="ORD-SP0550-04/04/23"/>
    <s v="PP001"/>
    <s v="Pakaian Pria"/>
    <x v="3"/>
    <n v="1"/>
    <n v="1"/>
    <n v="200000"/>
    <n v="80000"/>
    <m/>
    <s v="-"/>
    <s v="-"/>
    <m/>
    <m/>
    <s v="0"/>
    <s v="0"/>
    <m/>
    <s v="-"/>
    <s v="-"/>
    <m/>
    <m/>
    <s v="0"/>
    <s v="0"/>
    <n v="1"/>
    <n v="200000"/>
    <n v="170000"/>
    <n v="80000"/>
    <n v="68000"/>
    <s v="DISC15"/>
    <n v="0.15"/>
    <s v="Promo 4.4"/>
    <s v="Shopee"/>
    <x v="3"/>
    <d v="2023-04-04T00:00:00"/>
    <s v="Tuesday"/>
    <s v="wwww"/>
  </r>
  <r>
    <n v="551"/>
    <s v="ORD-SP0551-24/04/23"/>
    <s v="PP001"/>
    <s v="Pakaian Pria"/>
    <x v="3"/>
    <n v="3"/>
    <n v="3"/>
    <n v="600000"/>
    <n v="240000"/>
    <s v="PW003"/>
    <s v="Pakaian Wanita"/>
    <s v="Kaftan"/>
    <n v="1"/>
    <n v="2"/>
    <n v="250000"/>
    <n v="100000"/>
    <s v="PW002"/>
    <s v="Pakaian Wanita"/>
    <s v="Blouse"/>
    <n v="1"/>
    <n v="5"/>
    <n v="150000"/>
    <n v="50000"/>
    <n v="5"/>
    <n v="1000000"/>
    <n v="800000"/>
    <n v="390000"/>
    <n v="312000"/>
    <s v="DISC20"/>
    <n v="0.2"/>
    <s v="Promo Lebaran"/>
    <s v="Shopee"/>
    <x v="2"/>
    <d v="2023-04-24T00:00:00"/>
    <s v="Monday"/>
    <s v="wwww"/>
  </r>
  <r>
    <n v="552"/>
    <s v="ORD-TK0552-01/04/23"/>
    <s v="SP002"/>
    <s v="Sepatu Pria"/>
    <x v="8"/>
    <n v="1"/>
    <n v="3"/>
    <n v="150000"/>
    <n v="60000"/>
    <m/>
    <s v="-"/>
    <s v="-"/>
    <m/>
    <m/>
    <s v="0"/>
    <s v="0"/>
    <m/>
    <s v="-"/>
    <s v="-"/>
    <m/>
    <m/>
    <s v="0"/>
    <s v="0"/>
    <n v="1"/>
    <n v="150000"/>
    <n v="135000"/>
    <n v="60000"/>
    <n v="54000"/>
    <s v="DISCAPRIL"/>
    <n v="0.1"/>
    <s v="Promo 4.4"/>
    <s v="Tokopedia"/>
    <x v="4"/>
    <d v="2023-04-01T00:00:00"/>
    <s v="Saturday"/>
    <s v="wwww"/>
  </r>
  <r>
    <n v="553"/>
    <s v="ORD-BL0553-29/04/23"/>
    <s v="SP002"/>
    <s v="Sepatu Pria"/>
    <x v="8"/>
    <n v="1"/>
    <n v="4"/>
    <n v="150000"/>
    <n v="60000"/>
    <s v="PP002"/>
    <s v="Pakaian Pria"/>
    <s v="Celana Pendek"/>
    <n v="1"/>
    <n v="4"/>
    <n v="180000"/>
    <n v="70000"/>
    <m/>
    <s v="-"/>
    <s v="-"/>
    <m/>
    <m/>
    <s v="0"/>
    <s v="0"/>
    <n v="2"/>
    <n v="330000"/>
    <n v="280500"/>
    <n v="130000"/>
    <n v="110500"/>
    <s v="BUKALEBAR"/>
    <n v="0.15"/>
    <s v="Promo Lebaran"/>
    <s v="Bukalapak"/>
    <x v="4"/>
    <d v="2023-04-29T00:00:00"/>
    <s v="Saturday"/>
    <s v="wwww"/>
  </r>
  <r>
    <n v="554"/>
    <s v="ORD-SP0554-01/04/23"/>
    <s v="PP003"/>
    <s v="Pakaian Pria"/>
    <x v="5"/>
    <n v="2"/>
    <n v="1"/>
    <n v="800000"/>
    <n v="300000"/>
    <s v="PU001"/>
    <s v="Pakaian Unisex"/>
    <s v="Jaket Hoodie"/>
    <n v="4"/>
    <n v="4"/>
    <n v="1400000"/>
    <n v="520000"/>
    <m/>
    <s v="-"/>
    <s v="-"/>
    <m/>
    <m/>
    <s v="0"/>
    <s v="0"/>
    <n v="6"/>
    <n v="2200000"/>
    <n v="1870000"/>
    <n v="820000"/>
    <n v="697000"/>
    <s v="DISC15"/>
    <n v="0.15"/>
    <s v="Promo 4.4"/>
    <s v="Shopee"/>
    <x v="4"/>
    <d v="2023-04-01T00:00:00"/>
    <s v="Saturday"/>
    <s v="wwww"/>
  </r>
  <r>
    <n v="555"/>
    <s v="ORD-SP0555-04/04/23"/>
    <s v="SP001"/>
    <s v="Sepatu Pria"/>
    <x v="7"/>
    <n v="3"/>
    <n v="4"/>
    <n v="1500000"/>
    <n v="600000"/>
    <s v="PP003"/>
    <s v="Pakaian Pria"/>
    <s v="Jaket Jeans"/>
    <n v="1"/>
    <n v="2"/>
    <n v="400000"/>
    <n v="150000"/>
    <s v="SP001"/>
    <s v="Sepatu Pria"/>
    <s v="Sneakers"/>
    <n v="2"/>
    <n v="2"/>
    <n v="1000000"/>
    <n v="400000"/>
    <n v="6"/>
    <n v="2900000"/>
    <n v="2610000"/>
    <n v="1150000"/>
    <n v="1035000"/>
    <s v="DISC10"/>
    <n v="0.1"/>
    <s v="Promo 4.4"/>
    <s v="Shopee"/>
    <x v="5"/>
    <d v="2023-04-04T00:00:00"/>
    <s v="Tuesday"/>
    <s v="wwww"/>
  </r>
  <r>
    <n v="556"/>
    <s v="ORD-BB0556-03/04/23"/>
    <s v="SP001"/>
    <s v="Sepatu Pria"/>
    <x v="7"/>
    <n v="5"/>
    <n v="2"/>
    <n v="2500000"/>
    <n v="1000000"/>
    <s v="SP002"/>
    <s v="Sepatu Pria"/>
    <s v="Sandal Slip On"/>
    <n v="2"/>
    <n v="5"/>
    <n v="300000"/>
    <n v="120000"/>
    <m/>
    <s v="-"/>
    <s v="-"/>
    <m/>
    <m/>
    <s v="0"/>
    <s v="0"/>
    <n v="7"/>
    <n v="2800000"/>
    <n v="2380000"/>
    <n v="1120000"/>
    <n v="952000"/>
    <s v="BELI44"/>
    <n v="0.15"/>
    <s v="Promo 4.4"/>
    <s v="BliBli"/>
    <x v="2"/>
    <d v="2023-04-03T00:00:00"/>
    <s v="Monday"/>
    <s v="wwww"/>
  </r>
  <r>
    <n v="557"/>
    <s v="ORD-SP0557-01/04/23"/>
    <s v="PW002"/>
    <s v="Pakaian Wanita"/>
    <x v="1"/>
    <n v="1"/>
    <n v="4"/>
    <n v="150000"/>
    <n v="50000"/>
    <s v="PP001"/>
    <s v="Pakaian Pria"/>
    <s v="Kaos Polo"/>
    <n v="1"/>
    <n v="3"/>
    <n v="200000"/>
    <n v="80000"/>
    <m/>
    <s v="-"/>
    <s v="-"/>
    <m/>
    <m/>
    <s v="0"/>
    <s v="0"/>
    <n v="2"/>
    <n v="350000"/>
    <n v="297500"/>
    <n v="130000"/>
    <n v="110500"/>
    <s v="DISC15"/>
    <n v="0.15"/>
    <s v="Promo 4.4"/>
    <s v="Shopee"/>
    <x v="1"/>
    <d v="2023-04-01T00:00:00"/>
    <s v="Saturday"/>
    <s v="wwww"/>
  </r>
  <r>
    <n v="558"/>
    <s v="ORD-SP0558-24/04/23"/>
    <s v="PP003"/>
    <s v="Pakaian Pria"/>
    <x v="5"/>
    <n v="5"/>
    <n v="4"/>
    <n v="2000000"/>
    <n v="750000"/>
    <s v="PW003"/>
    <s v="Pakaian Wanita"/>
    <s v="Kaftan"/>
    <n v="1"/>
    <n v="2"/>
    <n v="250000"/>
    <n v="100000"/>
    <m/>
    <s v="-"/>
    <s v="-"/>
    <m/>
    <m/>
    <s v="0"/>
    <s v="0"/>
    <n v="6"/>
    <n v="2250000"/>
    <n v="1800000"/>
    <n v="850000"/>
    <n v="680000"/>
    <s v="DISC20"/>
    <n v="0.2"/>
    <s v="Promo Lebaran"/>
    <s v="Shopee"/>
    <x v="2"/>
    <d v="2023-04-24T00:00:00"/>
    <s v="Monday"/>
    <s v="wwww"/>
  </r>
  <r>
    <n v="559"/>
    <s v="ORD-BL0559-25/04/23"/>
    <s v="PW003"/>
    <s v="Pakaian Wanita"/>
    <x v="2"/>
    <n v="1"/>
    <n v="3"/>
    <n v="250000"/>
    <n v="100000"/>
    <s v="PW001"/>
    <s v="Pakaian Wanita"/>
    <s v="Dress"/>
    <n v="4"/>
    <n v="4"/>
    <n v="1200000"/>
    <n v="400000"/>
    <s v="PW002"/>
    <s v="Pakaian Wanita"/>
    <s v="Blouse"/>
    <n v="1"/>
    <n v="1"/>
    <n v="150000"/>
    <n v="50000"/>
    <n v="6"/>
    <n v="1600000"/>
    <n v="1360000"/>
    <n v="550000"/>
    <n v="467500"/>
    <s v="BUKALEBAR"/>
    <n v="0.15"/>
    <s v="Promo Lebaran"/>
    <s v="Bukalapak"/>
    <x v="5"/>
    <d v="2023-04-25T00:00:00"/>
    <s v="Tuesday"/>
    <s v="wwww"/>
  </r>
  <r>
    <n v="560"/>
    <s v="ORD-SP0560-05/04/23"/>
    <s v="PP002"/>
    <s v="Pakaian Pria"/>
    <x v="4"/>
    <n v="3"/>
    <n v="2"/>
    <n v="540000"/>
    <n v="210000"/>
    <s v="PW003"/>
    <s v="Pakaian Wanita"/>
    <s v="Kaftan"/>
    <n v="1"/>
    <n v="3"/>
    <n v="250000"/>
    <n v="100000"/>
    <m/>
    <s v="-"/>
    <s v="-"/>
    <m/>
    <m/>
    <s v="0"/>
    <s v="0"/>
    <n v="4"/>
    <n v="790000"/>
    <n v="671500"/>
    <n v="310000"/>
    <n v="263500"/>
    <s v="DISC15"/>
    <n v="0.15"/>
    <s v="Promo 4.4"/>
    <s v="Shopee"/>
    <x v="4"/>
    <d v="2023-04-05T00:00:00"/>
    <s v="Wednesday"/>
    <s v="wwww"/>
  </r>
  <r>
    <n v="561"/>
    <s v="ORD-SP0561-06/04/23"/>
    <s v="PW001"/>
    <s v="Pakaian Wanita"/>
    <x v="0"/>
    <n v="3"/>
    <n v="4"/>
    <n v="900000"/>
    <n v="300000"/>
    <s v="PW002"/>
    <s v="Pakaian Wanita"/>
    <s v="Blouse"/>
    <n v="2"/>
    <n v="4"/>
    <n v="300000"/>
    <n v="100000"/>
    <m/>
    <s v="-"/>
    <s v="-"/>
    <m/>
    <m/>
    <s v="0"/>
    <s v="0"/>
    <n v="5"/>
    <n v="1200000"/>
    <n v="1020000"/>
    <n v="400000"/>
    <n v="340000"/>
    <s v="DISC15"/>
    <n v="0.15"/>
    <s v="Promo 4.4"/>
    <s v="Shopee"/>
    <x v="4"/>
    <d v="2023-04-06T00:00:00"/>
    <s v="Thursday"/>
    <s v="wwww"/>
  </r>
  <r>
    <n v="562"/>
    <s v="ORD-SP0562-06/04/23"/>
    <s v="PP003"/>
    <s v="Pakaian Pria"/>
    <x v="5"/>
    <n v="1"/>
    <n v="3"/>
    <n v="400000"/>
    <n v="150000"/>
    <s v="SP002"/>
    <s v="Sepatu Pria"/>
    <s v="Sandal Slip On"/>
    <n v="6"/>
    <n v="5"/>
    <n v="900000"/>
    <n v="360000"/>
    <m/>
    <s v="-"/>
    <s v="-"/>
    <m/>
    <m/>
    <s v="0"/>
    <s v="0"/>
    <n v="7"/>
    <n v="1300000"/>
    <n v="1170000"/>
    <n v="510000"/>
    <n v="459000"/>
    <s v="DISC10"/>
    <n v="0.1"/>
    <s v="Promo 4.4"/>
    <s v="Shopee"/>
    <x v="3"/>
    <d v="2023-04-06T00:00:00"/>
    <s v="Thursday"/>
    <s v="wwww"/>
  </r>
  <r>
    <n v="563"/>
    <s v="ORD-TK0563-03/04/23"/>
    <s v="PP001"/>
    <s v="Pakaian Pria"/>
    <x v="3"/>
    <n v="4"/>
    <n v="4"/>
    <n v="800000"/>
    <n v="320000"/>
    <m/>
    <s v="-"/>
    <s v="-"/>
    <m/>
    <m/>
    <s v="0"/>
    <s v="0"/>
    <m/>
    <s v="-"/>
    <s v="-"/>
    <m/>
    <m/>
    <s v="0"/>
    <s v="0"/>
    <n v="4"/>
    <n v="800000"/>
    <n v="720000"/>
    <n v="320000"/>
    <n v="288000"/>
    <s v="DISCAPRIL"/>
    <n v="0.1"/>
    <s v="Promo 4.4"/>
    <s v="Tokopedia"/>
    <x v="4"/>
    <d v="2023-04-03T00:00:00"/>
    <s v="Monday"/>
    <s v="wwww"/>
  </r>
  <r>
    <n v="564"/>
    <s v="ORD-BB0564-06/04/23"/>
    <s v="PP003"/>
    <s v="Pakaian Pria"/>
    <x v="5"/>
    <n v="2"/>
    <n v="1"/>
    <n v="800000"/>
    <n v="300000"/>
    <m/>
    <s v="-"/>
    <s v="-"/>
    <m/>
    <m/>
    <s v="0"/>
    <s v="0"/>
    <m/>
    <s v="-"/>
    <s v="-"/>
    <m/>
    <m/>
    <s v="0"/>
    <s v="0"/>
    <n v="2"/>
    <n v="800000"/>
    <n v="680000"/>
    <n v="300000"/>
    <n v="255000"/>
    <s v="BELI44"/>
    <n v="0.15"/>
    <s v="Promo 4.4"/>
    <s v="BliBli"/>
    <x v="1"/>
    <d v="2023-04-06T00:00:00"/>
    <s v="Thursday"/>
    <s v="wwww"/>
  </r>
  <r>
    <n v="565"/>
    <s v="ORD-TK0565-05/04/23"/>
    <s v="PP003"/>
    <s v="Pakaian Pria"/>
    <x v="5"/>
    <n v="3"/>
    <n v="2"/>
    <n v="1200000"/>
    <n v="450000"/>
    <s v="PW002"/>
    <s v="Pakaian Wanita"/>
    <s v="Blouse"/>
    <n v="2"/>
    <n v="4"/>
    <n v="300000"/>
    <n v="100000"/>
    <s v="PW001"/>
    <s v="Pakaian Wanita"/>
    <s v="Dress"/>
    <n v="1"/>
    <n v="5"/>
    <n v="300000"/>
    <n v="100000"/>
    <n v="6"/>
    <n v="1800000"/>
    <n v="1620000"/>
    <n v="650000"/>
    <n v="585000"/>
    <s v="DISCAPRIL"/>
    <n v="0.1"/>
    <s v="Promo 4.4"/>
    <s v="Tokopedia"/>
    <x v="0"/>
    <d v="2023-04-05T00:00:00"/>
    <s v="Wednesday"/>
    <s v="wwww"/>
  </r>
  <r>
    <n v="566"/>
    <s v="ORD-SP0566-05/04/23"/>
    <s v="PP001"/>
    <s v="Pakaian Pria"/>
    <x v="3"/>
    <n v="1"/>
    <n v="4"/>
    <n v="200000"/>
    <n v="80000"/>
    <m/>
    <s v="-"/>
    <s v="-"/>
    <m/>
    <m/>
    <s v="0"/>
    <s v="0"/>
    <m/>
    <s v="-"/>
    <s v="-"/>
    <m/>
    <m/>
    <s v="0"/>
    <s v="0"/>
    <n v="1"/>
    <n v="200000"/>
    <n v="170000"/>
    <n v="80000"/>
    <n v="68000"/>
    <s v="DISC15"/>
    <n v="0.15"/>
    <s v="Promo 4.4"/>
    <s v="Shopee"/>
    <x v="5"/>
    <d v="2023-04-05T00:00:00"/>
    <s v="Wednesday"/>
    <s v="wwww"/>
  </r>
  <r>
    <n v="567"/>
    <s v="ORD-BB0567-05/04/23"/>
    <s v="SP001"/>
    <s v="Sepatu Pria"/>
    <x v="7"/>
    <n v="3"/>
    <n v="4"/>
    <n v="1500000"/>
    <n v="600000"/>
    <m/>
    <s v="-"/>
    <s v="-"/>
    <m/>
    <m/>
    <s v="0"/>
    <s v="0"/>
    <m/>
    <s v="-"/>
    <s v="-"/>
    <m/>
    <m/>
    <s v="0"/>
    <s v="0"/>
    <n v="3"/>
    <n v="1500000"/>
    <n v="1275000"/>
    <n v="600000"/>
    <n v="510000"/>
    <s v="BELI44"/>
    <n v="0.15"/>
    <s v="Promo 4.4"/>
    <s v="BliBli"/>
    <x v="4"/>
    <d v="2023-04-05T00:00:00"/>
    <s v="Wednesday"/>
    <s v="wwww"/>
  </r>
  <r>
    <n v="568"/>
    <s v="ORD-TK0568-19/04/23"/>
    <s v="SP002"/>
    <s v="Sepatu Pria"/>
    <x v="8"/>
    <n v="5"/>
    <n v="2"/>
    <n v="750000"/>
    <n v="300000"/>
    <s v="PP002"/>
    <s v="Pakaian Pria"/>
    <s v="Celana Pendek"/>
    <n v="1"/>
    <n v="1"/>
    <n v="180000"/>
    <n v="70000"/>
    <m/>
    <s v="-"/>
    <s v="-"/>
    <m/>
    <m/>
    <s v="0"/>
    <s v="0"/>
    <n v="6"/>
    <n v="930000"/>
    <n v="837000"/>
    <n v="370000"/>
    <n v="333000"/>
    <s v="LEBAR10"/>
    <n v="0.1"/>
    <s v="Promo Lebaran"/>
    <s v="Tokopedia"/>
    <x v="2"/>
    <d v="2023-04-19T00:00:00"/>
    <s v="Wednesday"/>
    <s v="wwww"/>
  </r>
  <r>
    <n v="569"/>
    <s v="ORD-SP0569-02/04/23"/>
    <s v="PP003"/>
    <s v="Pakaian Pria"/>
    <x v="5"/>
    <n v="2"/>
    <n v="4"/>
    <n v="800000"/>
    <n v="300000"/>
    <m/>
    <s v="-"/>
    <s v="-"/>
    <m/>
    <m/>
    <s v="0"/>
    <s v="0"/>
    <m/>
    <s v="-"/>
    <s v="-"/>
    <m/>
    <m/>
    <s v="0"/>
    <s v="0"/>
    <n v="2"/>
    <n v="800000"/>
    <n v="680000"/>
    <n v="300000"/>
    <n v="255000"/>
    <s v="DISC15"/>
    <n v="0.15"/>
    <s v="Promo 4.4"/>
    <s v="Shopee"/>
    <x v="3"/>
    <d v="2023-04-02T00:00:00"/>
    <s v="Sunday"/>
    <s v="wwww"/>
  </r>
  <r>
    <n v="570"/>
    <s v="ORD-BB0570-05/04/23"/>
    <s v="SP002"/>
    <s v="Sepatu Pria"/>
    <x v="8"/>
    <n v="5"/>
    <n v="3"/>
    <n v="750000"/>
    <n v="300000"/>
    <s v="PW001"/>
    <s v="Pakaian Wanita"/>
    <s v="Dress"/>
    <n v="1"/>
    <n v="1"/>
    <n v="300000"/>
    <n v="100000"/>
    <s v="SP001"/>
    <s v="Sepatu Pria"/>
    <s v="Sneakers"/>
    <n v="1"/>
    <n v="5"/>
    <n v="500000"/>
    <n v="200000"/>
    <n v="7"/>
    <n v="1550000"/>
    <n v="1317500"/>
    <n v="600000"/>
    <n v="510000"/>
    <s v="BELI44"/>
    <n v="0.15"/>
    <s v="Promo 4.4"/>
    <s v="BliBli"/>
    <x v="4"/>
    <d v="2023-04-05T00:00:00"/>
    <s v="Wednesday"/>
    <s v="wwww"/>
  </r>
  <r>
    <n v="571"/>
    <s v="ORD-BB0571-02/04/23"/>
    <s v="PP001"/>
    <s v="Pakaian Pria"/>
    <x v="3"/>
    <n v="2"/>
    <n v="3"/>
    <n v="400000"/>
    <n v="160000"/>
    <s v="PP002"/>
    <s v="Pakaian Pria"/>
    <s v="Celana Pendek"/>
    <n v="2"/>
    <n v="4"/>
    <n v="360000"/>
    <n v="140000"/>
    <s v="SP001"/>
    <s v="Sepatu Pria"/>
    <s v="Sneakers"/>
    <n v="3"/>
    <n v="3"/>
    <n v="1500000"/>
    <n v="600000"/>
    <n v="7"/>
    <n v="2260000"/>
    <n v="1921000"/>
    <n v="900000"/>
    <n v="765000"/>
    <s v="BELI44"/>
    <n v="0.15"/>
    <s v="Promo 4.4"/>
    <s v="BliBli"/>
    <x v="2"/>
    <d v="2023-04-02T00:00:00"/>
    <s v="Sunday"/>
    <s v="wwww"/>
  </r>
  <r>
    <n v="572"/>
    <s v="ORD-TK0572-04/04/23"/>
    <s v="PW002"/>
    <s v="Pakaian Wanita"/>
    <x v="1"/>
    <n v="1"/>
    <n v="2"/>
    <n v="150000"/>
    <n v="50000"/>
    <m/>
    <s v="-"/>
    <s v="-"/>
    <m/>
    <m/>
    <s v="0"/>
    <s v="0"/>
    <m/>
    <s v="-"/>
    <s v="-"/>
    <m/>
    <m/>
    <s v="0"/>
    <s v="0"/>
    <n v="1"/>
    <n v="150000"/>
    <n v="135000"/>
    <n v="50000"/>
    <n v="45000"/>
    <s v="DISCAPRIL"/>
    <n v="0.1"/>
    <s v="Promo 4.4"/>
    <s v="Tokopedia"/>
    <x v="1"/>
    <d v="2023-04-04T00:00:00"/>
    <s v="Tuesday"/>
    <s v="wwww"/>
  </r>
  <r>
    <n v="573"/>
    <s v="ORD-SP0573-03/04/23"/>
    <s v="PW002"/>
    <s v="Pakaian Wanita"/>
    <x v="1"/>
    <n v="2"/>
    <n v="1"/>
    <n v="300000"/>
    <n v="100000"/>
    <s v="SW001"/>
    <s v="Sepatu Wanita"/>
    <s v="Flat Shoes"/>
    <n v="1"/>
    <n v="5"/>
    <n v="250000"/>
    <n v="100000"/>
    <s v="SP001"/>
    <s v="Sepatu Pria"/>
    <s v="Sneakers"/>
    <n v="1"/>
    <n v="4"/>
    <n v="500000"/>
    <n v="200000"/>
    <n v="4"/>
    <n v="1050000"/>
    <n v="892500"/>
    <n v="400000"/>
    <n v="340000"/>
    <s v="DISC15"/>
    <n v="0.15"/>
    <s v="Promo 4.4"/>
    <s v="Shopee"/>
    <x v="3"/>
    <d v="2023-04-03T00:00:00"/>
    <s v="Monday"/>
    <s v="wwww"/>
  </r>
  <r>
    <n v="574"/>
    <s v="ORD-BB0574-03/04/23"/>
    <s v="PP003"/>
    <s v="Pakaian Pria"/>
    <x v="5"/>
    <n v="2"/>
    <n v="5"/>
    <n v="800000"/>
    <n v="300000"/>
    <m/>
    <s v="-"/>
    <s v="-"/>
    <m/>
    <m/>
    <s v="0"/>
    <s v="0"/>
    <m/>
    <s v="-"/>
    <s v="-"/>
    <m/>
    <m/>
    <s v="0"/>
    <s v="0"/>
    <n v="2"/>
    <n v="800000"/>
    <n v="680000"/>
    <n v="300000"/>
    <n v="255000"/>
    <s v="BELI44"/>
    <n v="0.15"/>
    <s v="Promo 4.4"/>
    <s v="BliBli"/>
    <x v="2"/>
    <d v="2023-04-03T00:00:00"/>
    <s v="Monday"/>
    <s v="wwww"/>
  </r>
  <r>
    <n v="575"/>
    <s v="ORD-BB0575-04/04/23"/>
    <s v="PW001"/>
    <s v="Pakaian Wanita"/>
    <x v="0"/>
    <n v="1"/>
    <n v="2"/>
    <n v="300000"/>
    <n v="100000"/>
    <m/>
    <s v="-"/>
    <s v="-"/>
    <m/>
    <m/>
    <s v="0"/>
    <s v="0"/>
    <m/>
    <s v="-"/>
    <s v="-"/>
    <m/>
    <m/>
    <s v="0"/>
    <s v="0"/>
    <n v="1"/>
    <n v="300000"/>
    <n v="255000"/>
    <n v="100000"/>
    <n v="85000"/>
    <s v="BELI44"/>
    <n v="0.15"/>
    <s v="Promo 4.4"/>
    <s v="BliBli"/>
    <x v="4"/>
    <d v="2023-04-04T00:00:00"/>
    <s v="Tuesday"/>
    <s v="wwww"/>
  </r>
  <r>
    <n v="576"/>
    <s v="ORD-BL0576-16/04/23"/>
    <s v="PP002"/>
    <s v="Pakaian Pria"/>
    <x v="4"/>
    <n v="4"/>
    <n v="1"/>
    <n v="720000"/>
    <n v="280000"/>
    <s v="PW001"/>
    <s v="Pakaian Wanita"/>
    <s v="Dress"/>
    <n v="2"/>
    <n v="5"/>
    <n v="600000"/>
    <n v="200000"/>
    <m/>
    <s v="-"/>
    <s v="-"/>
    <m/>
    <m/>
    <s v="0"/>
    <s v="0"/>
    <n v="6"/>
    <n v="1320000"/>
    <n v="1122000"/>
    <n v="480000"/>
    <n v="408000"/>
    <s v="BUKALEBAR"/>
    <n v="0.15"/>
    <s v="Promo Lebaran"/>
    <s v="Bukalapak"/>
    <x v="0"/>
    <d v="2023-04-16T00:00:00"/>
    <s v="Sunday"/>
    <s v="wwww"/>
  </r>
  <r>
    <n v="577"/>
    <s v="ORD-SP0577-06/04/23"/>
    <s v="PW001"/>
    <s v="Pakaian Wanita"/>
    <x v="0"/>
    <n v="1"/>
    <n v="1"/>
    <n v="300000"/>
    <n v="100000"/>
    <s v="PU001"/>
    <s v="Pakaian Unisex"/>
    <s v="Jaket Hoodie"/>
    <n v="3"/>
    <n v="1"/>
    <n v="1050000"/>
    <n v="390000"/>
    <s v="PW001"/>
    <s v="Pakaian Wanita"/>
    <s v="Dress"/>
    <n v="1"/>
    <n v="4"/>
    <n v="300000"/>
    <n v="100000"/>
    <n v="5"/>
    <n v="1650000"/>
    <n v="1402500"/>
    <n v="590000"/>
    <n v="501500"/>
    <s v="DISC15"/>
    <n v="0.15"/>
    <s v="Promo 4.4"/>
    <s v="Shopee"/>
    <x v="0"/>
    <d v="2023-04-06T00:00:00"/>
    <s v="Thursday"/>
    <s v="wwww"/>
  </r>
  <r>
    <n v="578"/>
    <s v="ORD-BB0578-13/04/23"/>
    <s v="PP003"/>
    <s v="Pakaian Pria"/>
    <x v="5"/>
    <n v="2"/>
    <n v="2"/>
    <n v="800000"/>
    <n v="300000"/>
    <s v="PW001"/>
    <s v="Pakaian Wanita"/>
    <s v="Dress"/>
    <n v="2"/>
    <n v="2"/>
    <n v="600000"/>
    <n v="200000"/>
    <m/>
    <s v="-"/>
    <s v="-"/>
    <m/>
    <m/>
    <s v="0"/>
    <s v="0"/>
    <n v="4"/>
    <n v="1400000"/>
    <n v="1400000"/>
    <n v="500000"/>
    <n v="500000"/>
    <s v="-"/>
    <s v="-"/>
    <s v="-"/>
    <s v="BliBli"/>
    <x v="1"/>
    <d v="2023-04-13T00:00:00"/>
    <s v="Thursday"/>
    <s v="wwww"/>
  </r>
  <r>
    <n v="579"/>
    <s v="ORD-BL0579-23/04/23"/>
    <s v="PP002"/>
    <s v="Pakaian Pria"/>
    <x v="4"/>
    <n v="1"/>
    <n v="1"/>
    <n v="180000"/>
    <n v="70000"/>
    <m/>
    <s v="-"/>
    <s v="-"/>
    <m/>
    <m/>
    <s v="0"/>
    <s v="0"/>
    <m/>
    <s v="-"/>
    <s v="-"/>
    <m/>
    <m/>
    <s v="0"/>
    <s v="0"/>
    <n v="1"/>
    <n v="180000"/>
    <n v="153000"/>
    <n v="70000"/>
    <n v="59500"/>
    <s v="BUKALEBAR"/>
    <n v="0.15"/>
    <s v="Promo Lebaran"/>
    <s v="Bukalapak"/>
    <x v="1"/>
    <d v="2023-04-23T00:00:00"/>
    <s v="Sunday"/>
    <s v="wwww"/>
  </r>
  <r>
    <n v="580"/>
    <s v="ORD-BB0580-04/04/23"/>
    <s v="SW001"/>
    <s v="Sepatu Wanita"/>
    <x v="9"/>
    <n v="1"/>
    <n v="5"/>
    <n v="250000"/>
    <n v="100000"/>
    <s v="SP001"/>
    <s v="Sepatu Pria"/>
    <s v="Sneakers"/>
    <n v="1"/>
    <n v="4"/>
    <n v="500000"/>
    <n v="200000"/>
    <s v="PW001"/>
    <s v="Pakaian Wanita"/>
    <s v="Dress"/>
    <n v="1"/>
    <n v="5"/>
    <n v="300000"/>
    <n v="100000"/>
    <n v="3"/>
    <n v="1050000"/>
    <n v="892500"/>
    <n v="400000"/>
    <n v="340000"/>
    <s v="BELI44"/>
    <n v="0.15"/>
    <s v="Promo 4.4"/>
    <s v="BliBli"/>
    <x v="2"/>
    <d v="2023-04-04T00:00:00"/>
    <s v="Tuesday"/>
    <s v="wwww"/>
  </r>
  <r>
    <n v="581"/>
    <s v="ORD-SP0581-01/04/23"/>
    <s v="SP002"/>
    <s v="Sepatu Pria"/>
    <x v="8"/>
    <n v="7"/>
    <n v="2"/>
    <n v="1050000"/>
    <n v="420000"/>
    <m/>
    <s v="-"/>
    <s v="-"/>
    <m/>
    <m/>
    <s v="0"/>
    <s v="0"/>
    <m/>
    <s v="-"/>
    <s v="-"/>
    <m/>
    <m/>
    <s v="0"/>
    <s v="0"/>
    <n v="7"/>
    <n v="1050000"/>
    <n v="892500"/>
    <n v="420000"/>
    <n v="357000"/>
    <s v="DISC15"/>
    <n v="0.15"/>
    <s v="Promo 4.4"/>
    <s v="Shopee"/>
    <x v="3"/>
    <d v="2023-04-01T00:00:00"/>
    <s v="Saturday"/>
    <s v="wwww"/>
  </r>
  <r>
    <n v="582"/>
    <s v="ORD-BB0582-01/04/23"/>
    <s v="PU001"/>
    <s v="Pakaian Unisex"/>
    <x v="6"/>
    <n v="4"/>
    <n v="1"/>
    <n v="1400000"/>
    <n v="520000"/>
    <s v="PW003"/>
    <s v="Pakaian Wanita"/>
    <s v="Kaftan"/>
    <n v="1"/>
    <n v="3"/>
    <n v="250000"/>
    <n v="100000"/>
    <m/>
    <s v="-"/>
    <s v="-"/>
    <m/>
    <m/>
    <s v="0"/>
    <s v="0"/>
    <n v="5"/>
    <n v="1650000"/>
    <n v="1402500"/>
    <n v="620000"/>
    <n v="527000"/>
    <s v="BELI44"/>
    <n v="0.15"/>
    <s v="Promo 4.4"/>
    <s v="BliBli"/>
    <x v="3"/>
    <d v="2023-04-01T00:00:00"/>
    <s v="Saturday"/>
    <s v="wwww"/>
  </r>
  <r>
    <n v="583"/>
    <s v="ORD-BL0583-17/04/23"/>
    <s v="PW001"/>
    <s v="Pakaian Wanita"/>
    <x v="0"/>
    <n v="2"/>
    <n v="2"/>
    <n v="600000"/>
    <n v="200000"/>
    <m/>
    <s v="-"/>
    <s v="-"/>
    <m/>
    <m/>
    <s v="0"/>
    <s v="0"/>
    <m/>
    <s v="-"/>
    <s v="-"/>
    <m/>
    <m/>
    <s v="0"/>
    <s v="0"/>
    <n v="2"/>
    <n v="600000"/>
    <n v="510000"/>
    <n v="200000"/>
    <n v="170000"/>
    <s v="BUKALEBAR"/>
    <n v="0.15"/>
    <s v="Promo Lebaran"/>
    <s v="Bukalapak"/>
    <x v="0"/>
    <d v="2023-04-17T00:00:00"/>
    <s v="Monday"/>
    <s v="wwww"/>
  </r>
  <r>
    <n v="584"/>
    <s v="ORD-SP0584-02/04/23"/>
    <s v="PU001"/>
    <s v="Pakaian Unisex"/>
    <x v="6"/>
    <n v="4"/>
    <n v="4"/>
    <n v="1400000"/>
    <n v="520000"/>
    <s v="SP002"/>
    <s v="Sepatu Pria"/>
    <s v="Sandal Slip On"/>
    <n v="1"/>
    <n v="4"/>
    <n v="150000"/>
    <n v="60000"/>
    <s v="PP003"/>
    <s v="Pakaian Pria"/>
    <s v="Jaket Jeans"/>
    <n v="1"/>
    <n v="2"/>
    <n v="400000"/>
    <n v="150000"/>
    <n v="6"/>
    <n v="1950000"/>
    <n v="1755000"/>
    <n v="730000"/>
    <n v="657000"/>
    <s v="DISC10"/>
    <n v="0.1"/>
    <s v="Promo 4.4"/>
    <s v="Shopee"/>
    <x v="5"/>
    <d v="2023-04-02T00:00:00"/>
    <s v="Sunday"/>
    <s v="wwww"/>
  </r>
  <r>
    <n v="585"/>
    <s v="ORD-TK0585-24/04/23"/>
    <s v="PP003"/>
    <s v="Pakaian Pria"/>
    <x v="5"/>
    <n v="1"/>
    <n v="3"/>
    <n v="400000"/>
    <n v="150000"/>
    <m/>
    <s v="-"/>
    <s v="-"/>
    <m/>
    <m/>
    <s v="0"/>
    <s v="0"/>
    <m/>
    <s v="-"/>
    <s v="-"/>
    <m/>
    <m/>
    <s v="0"/>
    <s v="0"/>
    <n v="1"/>
    <n v="400000"/>
    <n v="360000"/>
    <n v="150000"/>
    <n v="135000"/>
    <s v="LEBAR10"/>
    <n v="0.1"/>
    <s v="Promo Lebaran"/>
    <s v="Tokopedia"/>
    <x v="1"/>
    <d v="2023-04-24T00:00:00"/>
    <s v="Monday"/>
    <s v="wwww"/>
  </r>
  <r>
    <n v="586"/>
    <s v="ORD-SP0586-04/04/23"/>
    <s v="PW003"/>
    <s v="Pakaian Wanita"/>
    <x v="2"/>
    <n v="3"/>
    <n v="4"/>
    <n v="750000"/>
    <n v="300000"/>
    <s v="PW002"/>
    <s v="Pakaian Wanita"/>
    <s v="Blouse"/>
    <n v="4"/>
    <n v="3"/>
    <n v="600000"/>
    <n v="200000"/>
    <m/>
    <s v="-"/>
    <s v="-"/>
    <m/>
    <m/>
    <s v="0"/>
    <s v="0"/>
    <n v="7"/>
    <n v="1350000"/>
    <n v="1215000"/>
    <n v="500000"/>
    <n v="450000"/>
    <s v="DISC10"/>
    <n v="0.1"/>
    <s v="Promo 4.4"/>
    <s v="Shopee"/>
    <x v="4"/>
    <d v="2023-04-04T00:00:00"/>
    <s v="Tuesday"/>
    <s v="wwww"/>
  </r>
  <r>
    <n v="587"/>
    <s v="ORD-SP0587-05/04/23"/>
    <s v="PW003"/>
    <s v="Pakaian Wanita"/>
    <x v="2"/>
    <n v="1"/>
    <n v="3"/>
    <n v="250000"/>
    <n v="100000"/>
    <m/>
    <s v="-"/>
    <s v="-"/>
    <m/>
    <m/>
    <s v="0"/>
    <s v="0"/>
    <m/>
    <s v="-"/>
    <s v="-"/>
    <m/>
    <m/>
    <s v="0"/>
    <s v="0"/>
    <n v="1"/>
    <n v="250000"/>
    <n v="225000"/>
    <n v="100000"/>
    <n v="90000"/>
    <s v="DISC10"/>
    <n v="0.1"/>
    <s v="Promo 4.4"/>
    <s v="Shopee"/>
    <x v="2"/>
    <d v="2023-04-05T00:00:00"/>
    <s v="Wednesday"/>
    <s v="wwww"/>
  </r>
  <r>
    <n v="588"/>
    <s v="ORD-BB0588-06/04/23"/>
    <s v="SW001"/>
    <s v="Sepatu Wanita"/>
    <x v="9"/>
    <n v="4"/>
    <n v="4"/>
    <n v="1000000"/>
    <n v="400000"/>
    <m/>
    <s v="-"/>
    <s v="-"/>
    <m/>
    <m/>
    <s v="0"/>
    <s v="0"/>
    <m/>
    <s v="-"/>
    <s v="-"/>
    <m/>
    <m/>
    <s v="0"/>
    <s v="0"/>
    <n v="4"/>
    <n v="1000000"/>
    <n v="850000"/>
    <n v="400000"/>
    <n v="340000"/>
    <s v="BELI44"/>
    <n v="0.15"/>
    <s v="Promo 4.4"/>
    <s v="BliBli"/>
    <x v="3"/>
    <d v="2023-04-06T00:00:00"/>
    <s v="Thursday"/>
    <s v="wwww"/>
  </r>
  <r>
    <n v="589"/>
    <s v="ORD-SP0589-03/04/23"/>
    <s v="PP003"/>
    <s v="Pakaian Pria"/>
    <x v="5"/>
    <n v="2"/>
    <n v="4"/>
    <n v="800000"/>
    <n v="300000"/>
    <s v="PW002"/>
    <s v="Pakaian Wanita"/>
    <s v="Blouse"/>
    <n v="3"/>
    <n v="3"/>
    <n v="450000"/>
    <n v="150000"/>
    <m/>
    <s v="-"/>
    <s v="-"/>
    <m/>
    <m/>
    <s v="0"/>
    <s v="0"/>
    <n v="5"/>
    <n v="1250000"/>
    <n v="1125000"/>
    <n v="450000"/>
    <n v="405000"/>
    <s v="DISC10"/>
    <n v="0.1"/>
    <s v="Promo 4.4"/>
    <s v="Shopee"/>
    <x v="1"/>
    <d v="2023-04-03T00:00:00"/>
    <s v="Monday"/>
    <s v="wwww"/>
  </r>
  <r>
    <n v="590"/>
    <s v="ORD-SP0590-25/04/23"/>
    <s v="PP002"/>
    <s v="Pakaian Pria"/>
    <x v="4"/>
    <n v="1"/>
    <n v="4"/>
    <n v="180000"/>
    <n v="70000"/>
    <s v="SP001"/>
    <s v="Sepatu Pria"/>
    <s v="Sneakers"/>
    <n v="2"/>
    <n v="5"/>
    <n v="1000000"/>
    <n v="400000"/>
    <s v="SP002"/>
    <s v="Sepatu Pria"/>
    <s v="Sandal Slip On"/>
    <n v="3"/>
    <n v="5"/>
    <n v="450000"/>
    <n v="180000"/>
    <n v="6"/>
    <n v="1630000"/>
    <n v="1304000"/>
    <n v="650000"/>
    <n v="520000"/>
    <s v="DISC20"/>
    <n v="0.2"/>
    <s v="Promo Lebaran"/>
    <s v="Shopee"/>
    <x v="0"/>
    <d v="2023-04-25T00:00:00"/>
    <s v="Tuesday"/>
    <s v="wwww"/>
  </r>
  <r>
    <n v="591"/>
    <s v="ORD-BL0591-11/04/23"/>
    <s v="SW001"/>
    <s v="Sepatu Wanita"/>
    <x v="9"/>
    <n v="1"/>
    <n v="4"/>
    <n v="250000"/>
    <n v="100000"/>
    <s v="PP002"/>
    <s v="Pakaian Pria"/>
    <s v="Celana Pendek"/>
    <n v="1"/>
    <n v="4"/>
    <n v="180000"/>
    <n v="70000"/>
    <m/>
    <s v="-"/>
    <s v="-"/>
    <m/>
    <m/>
    <s v="0"/>
    <s v="0"/>
    <n v="2"/>
    <n v="430000"/>
    <n v="430000"/>
    <n v="170000"/>
    <n v="170000"/>
    <s v="-"/>
    <s v="-"/>
    <s v="-"/>
    <s v="Bukalapak"/>
    <x v="3"/>
    <d v="2023-04-11T00:00:00"/>
    <s v="Tuesday"/>
    <s v="wwww"/>
  </r>
  <r>
    <n v="592"/>
    <s v="ORD-BL0592-30/04/23"/>
    <s v="PP001"/>
    <s v="Pakaian Pria"/>
    <x v="3"/>
    <n v="1"/>
    <n v="1"/>
    <n v="200000"/>
    <n v="80000"/>
    <m/>
    <s v="-"/>
    <s v="-"/>
    <m/>
    <m/>
    <s v="0"/>
    <s v="0"/>
    <m/>
    <s v="-"/>
    <s v="-"/>
    <m/>
    <m/>
    <s v="0"/>
    <s v="0"/>
    <n v="1"/>
    <n v="200000"/>
    <n v="170000"/>
    <n v="80000"/>
    <n v="68000"/>
    <s v="BUKALEBAR"/>
    <n v="0.15"/>
    <s v="Promo Lebaran"/>
    <s v="Bukalapak"/>
    <x v="0"/>
    <d v="2023-04-30T00:00:00"/>
    <s v="Sunday"/>
    <s v="wwww"/>
  </r>
  <r>
    <n v="593"/>
    <s v="ORD-BL0593-30/04/23"/>
    <s v="SP001"/>
    <s v="Sepatu Pria"/>
    <x v="7"/>
    <n v="1"/>
    <n v="3"/>
    <n v="500000"/>
    <n v="200000"/>
    <s v="SP002"/>
    <s v="Sepatu Pria"/>
    <s v="Sandal Slip On"/>
    <n v="1"/>
    <n v="3"/>
    <n v="150000"/>
    <n v="60000"/>
    <m/>
    <s v="-"/>
    <s v="-"/>
    <m/>
    <m/>
    <s v="0"/>
    <s v="0"/>
    <n v="2"/>
    <n v="650000"/>
    <n v="552500"/>
    <n v="260000"/>
    <n v="221000"/>
    <s v="BUKALEBAR"/>
    <n v="0.15"/>
    <s v="Promo Lebaran"/>
    <s v="Bukalapak"/>
    <x v="1"/>
    <d v="2023-04-30T00:00:00"/>
    <s v="Sunday"/>
    <s v="wwww"/>
  </r>
  <r>
    <n v="594"/>
    <s v="ORD-BB0594-04/04/23"/>
    <s v="SP001"/>
    <s v="Sepatu Pria"/>
    <x v="7"/>
    <n v="3"/>
    <n v="5"/>
    <n v="1500000"/>
    <n v="600000"/>
    <s v="PU001"/>
    <s v="Pakaian Unisex"/>
    <s v="Jaket Hoodie"/>
    <n v="3"/>
    <n v="5"/>
    <n v="1050000"/>
    <n v="390000"/>
    <m/>
    <s v="-"/>
    <s v="-"/>
    <m/>
    <m/>
    <s v="0"/>
    <s v="0"/>
    <n v="6"/>
    <n v="2550000"/>
    <n v="2167500"/>
    <n v="990000"/>
    <n v="841500"/>
    <s v="BELI44"/>
    <n v="0.15"/>
    <s v="Promo 4.4"/>
    <s v="BliBli"/>
    <x v="5"/>
    <d v="2023-04-04T00:00:00"/>
    <s v="Tuesday"/>
    <s v="wwww"/>
  </r>
  <r>
    <n v="595"/>
    <s v="ORD-BL0595-16/04/23"/>
    <s v="PW002"/>
    <s v="Pakaian Wanita"/>
    <x v="1"/>
    <n v="2"/>
    <n v="3"/>
    <n v="300000"/>
    <n v="100000"/>
    <s v="PW001"/>
    <s v="Pakaian Wanita"/>
    <s v="Dress"/>
    <n v="2"/>
    <n v="2"/>
    <n v="600000"/>
    <n v="200000"/>
    <s v="SP001"/>
    <s v="Sepatu Pria"/>
    <s v="Sneakers"/>
    <n v="2"/>
    <n v="2"/>
    <n v="1000000"/>
    <n v="400000"/>
    <n v="6"/>
    <n v="1900000"/>
    <n v="1615000"/>
    <n v="700000"/>
    <n v="595000"/>
    <s v="BUKALEBAR"/>
    <n v="0.15"/>
    <s v="Promo Lebaran"/>
    <s v="Bukalapak"/>
    <x v="0"/>
    <d v="2023-04-16T00:00:00"/>
    <s v="Sunday"/>
    <s v="wwww"/>
  </r>
  <r>
    <n v="596"/>
    <s v="ORD-SP0596-04/04/23"/>
    <s v="PW003"/>
    <s v="Pakaian Wanita"/>
    <x v="2"/>
    <n v="1"/>
    <n v="3"/>
    <n v="250000"/>
    <n v="100000"/>
    <s v="PP002"/>
    <s v="Pakaian Pria"/>
    <s v="Celana Pendek"/>
    <n v="5"/>
    <n v="2"/>
    <n v="900000"/>
    <n v="350000"/>
    <m/>
    <s v="-"/>
    <s v="-"/>
    <m/>
    <m/>
    <s v="0"/>
    <s v="0"/>
    <n v="6"/>
    <n v="1150000"/>
    <n v="977500"/>
    <n v="450000"/>
    <n v="382500"/>
    <s v="DISC15"/>
    <n v="0.15"/>
    <s v="Promo 4.4"/>
    <s v="Shopee"/>
    <x v="2"/>
    <d v="2023-04-04T00:00:00"/>
    <s v="Tuesday"/>
    <s v="wwww"/>
  </r>
  <r>
    <n v="597"/>
    <s v="ORD-BL0597-17/04/23"/>
    <s v="PW002"/>
    <s v="Pakaian Wanita"/>
    <x v="1"/>
    <n v="1"/>
    <n v="5"/>
    <n v="150000"/>
    <n v="50000"/>
    <m/>
    <s v="-"/>
    <s v="-"/>
    <m/>
    <m/>
    <s v="0"/>
    <s v="0"/>
    <m/>
    <s v="-"/>
    <s v="-"/>
    <m/>
    <m/>
    <s v="0"/>
    <s v="0"/>
    <n v="1"/>
    <n v="150000"/>
    <n v="127500"/>
    <n v="50000"/>
    <n v="42500"/>
    <s v="BUKALEBAR"/>
    <n v="0.15"/>
    <s v="Promo Lebaran"/>
    <s v="Bukalapak"/>
    <x v="0"/>
    <d v="2023-04-17T00:00:00"/>
    <s v="Monday"/>
    <s v="wwww"/>
  </r>
  <r>
    <n v="598"/>
    <s v="ORD-BB0598-01/04/23"/>
    <s v="PP003"/>
    <s v="Pakaian Pria"/>
    <x v="5"/>
    <n v="4"/>
    <n v="3"/>
    <n v="1600000"/>
    <n v="600000"/>
    <m/>
    <s v="-"/>
    <s v="-"/>
    <m/>
    <m/>
    <s v="0"/>
    <s v="0"/>
    <m/>
    <s v="-"/>
    <s v="-"/>
    <m/>
    <m/>
    <s v="0"/>
    <s v="0"/>
    <n v="4"/>
    <n v="1600000"/>
    <n v="1360000"/>
    <n v="600000"/>
    <n v="510000"/>
    <s v="BELI44"/>
    <n v="0.15"/>
    <s v="Promo 4.4"/>
    <s v="BliBli"/>
    <x v="4"/>
    <d v="2023-04-01T00:00:00"/>
    <s v="Saturday"/>
    <s v="wwww"/>
  </r>
  <r>
    <n v="599"/>
    <s v="ORD-SP0599-14/04/23"/>
    <s v="PP002"/>
    <s v="Pakaian Pria"/>
    <x v="4"/>
    <n v="3"/>
    <n v="5"/>
    <n v="540000"/>
    <n v="210000"/>
    <s v="SP002"/>
    <s v="Sepatu Pria"/>
    <s v="Sandal Slip On"/>
    <n v="4"/>
    <n v="4"/>
    <n v="600000"/>
    <n v="240000"/>
    <m/>
    <s v="-"/>
    <s v="-"/>
    <m/>
    <m/>
    <s v="0"/>
    <s v="0"/>
    <n v="7"/>
    <n v="1140000"/>
    <n v="1140000"/>
    <n v="450000"/>
    <n v="450000"/>
    <s v="-"/>
    <s v="-"/>
    <s v="-"/>
    <s v="Shopee"/>
    <x v="5"/>
    <d v="2023-04-14T00:00:00"/>
    <s v="Friday"/>
    <s v="wwww"/>
  </r>
  <r>
    <n v="600"/>
    <s v="ORD-TK0600-05/04/23"/>
    <s v="PP002"/>
    <s v="Pakaian Pria"/>
    <x v="4"/>
    <n v="1"/>
    <n v="1"/>
    <n v="180000"/>
    <n v="70000"/>
    <m/>
    <s v="-"/>
    <s v="-"/>
    <m/>
    <m/>
    <s v="0"/>
    <s v="0"/>
    <m/>
    <s v="-"/>
    <s v="-"/>
    <m/>
    <m/>
    <s v="0"/>
    <s v="0"/>
    <n v="1"/>
    <n v="180000"/>
    <n v="162000"/>
    <n v="70000"/>
    <n v="63000"/>
    <s v="DISCAPRIL"/>
    <n v="0.1"/>
    <s v="Promo 4.4"/>
    <s v="Tokopedia"/>
    <x v="4"/>
    <d v="2023-04-05T00:00:00"/>
    <s v="Wednesday"/>
    <s v="wwww"/>
  </r>
  <r>
    <n v="601"/>
    <s v="ORD-SP0601-27/04/23"/>
    <s v="PW003"/>
    <s v="Pakaian Wanita"/>
    <x v="2"/>
    <n v="1"/>
    <n v="1"/>
    <n v="250000"/>
    <n v="100000"/>
    <s v="PW001"/>
    <s v="Pakaian Wanita"/>
    <s v="Dress"/>
    <n v="2"/>
    <n v="3"/>
    <n v="600000"/>
    <n v="200000"/>
    <s v="PP001"/>
    <s v="Pakaian Pria"/>
    <s v="Kaos Polo"/>
    <n v="3"/>
    <n v="4"/>
    <n v="600000"/>
    <n v="240000"/>
    <n v="6"/>
    <n v="1450000"/>
    <n v="1160000"/>
    <n v="540000"/>
    <n v="432000"/>
    <s v="DISC20"/>
    <n v="0.2"/>
    <s v="Promo Lebaran"/>
    <s v="Shopee"/>
    <x v="4"/>
    <d v="2023-04-27T00:00:00"/>
    <s v="Thursday"/>
    <s v="wwww"/>
  </r>
  <r>
    <n v="602"/>
    <s v="ORD-SP0602-13/04/23"/>
    <s v="PP003"/>
    <s v="Pakaian Pria"/>
    <x v="5"/>
    <n v="5"/>
    <n v="3"/>
    <n v="2000000"/>
    <n v="750000"/>
    <s v="SW001"/>
    <s v="Sepatu Wanita"/>
    <s v="Flat Shoes"/>
    <n v="1"/>
    <n v="3"/>
    <n v="250000"/>
    <n v="100000"/>
    <m/>
    <s v="-"/>
    <s v="-"/>
    <m/>
    <m/>
    <s v="0"/>
    <s v="0"/>
    <n v="6"/>
    <n v="2250000"/>
    <n v="2250000"/>
    <n v="850000"/>
    <n v="850000"/>
    <s v="-"/>
    <s v="-"/>
    <s v="-"/>
    <s v="Shopee"/>
    <x v="2"/>
    <d v="2023-04-13T00:00:00"/>
    <s v="Thursday"/>
    <s v="wwww"/>
  </r>
  <r>
    <n v="603"/>
    <s v="ORD-BB0603-02/04/23"/>
    <s v="PP001"/>
    <s v="Pakaian Pria"/>
    <x v="3"/>
    <n v="4"/>
    <n v="2"/>
    <n v="800000"/>
    <n v="320000"/>
    <s v="SP002"/>
    <s v="Sepatu Pria"/>
    <s v="Sandal Slip On"/>
    <n v="1"/>
    <n v="1"/>
    <n v="150000"/>
    <n v="60000"/>
    <s v="SW001"/>
    <s v="Sepatu Wanita"/>
    <s v="Flat Shoes"/>
    <n v="2"/>
    <n v="2"/>
    <n v="500000"/>
    <n v="200000"/>
    <n v="7"/>
    <n v="1450000"/>
    <n v="1232500"/>
    <n v="580000"/>
    <n v="493000"/>
    <s v="BELI44"/>
    <n v="0.15"/>
    <s v="Promo 4.4"/>
    <s v="BliBli"/>
    <x v="0"/>
    <d v="2023-04-02T00:00:00"/>
    <s v="Sunday"/>
    <s v="wwww"/>
  </r>
  <r>
    <n v="604"/>
    <s v="ORD-TK0604-08/04/23"/>
    <s v="PW001"/>
    <s v="Pakaian Wanita"/>
    <x v="0"/>
    <n v="3"/>
    <n v="2"/>
    <n v="900000"/>
    <n v="300000"/>
    <s v="PW003"/>
    <s v="Pakaian Wanita"/>
    <s v="Kaftan"/>
    <n v="1"/>
    <n v="1"/>
    <n v="250000"/>
    <n v="100000"/>
    <m/>
    <s v="-"/>
    <s v="-"/>
    <m/>
    <m/>
    <s v="0"/>
    <s v="0"/>
    <n v="4"/>
    <n v="1150000"/>
    <n v="1150000"/>
    <n v="400000"/>
    <n v="400000"/>
    <s v="-"/>
    <s v="-"/>
    <s v="-"/>
    <s v="Tokopedia"/>
    <x v="1"/>
    <d v="2023-04-08T00:00:00"/>
    <s v="Saturday"/>
    <s v="wwww"/>
  </r>
  <r>
    <n v="605"/>
    <s v="ORD-BL0605-17/04/23"/>
    <s v="PW002"/>
    <s v="Pakaian Wanita"/>
    <x v="1"/>
    <n v="7"/>
    <n v="3"/>
    <n v="1050000"/>
    <n v="350000"/>
    <m/>
    <s v="-"/>
    <s v="-"/>
    <m/>
    <m/>
    <s v="0"/>
    <s v="0"/>
    <m/>
    <s v="-"/>
    <s v="-"/>
    <m/>
    <m/>
    <s v="0"/>
    <s v="0"/>
    <n v="7"/>
    <n v="1050000"/>
    <n v="892500"/>
    <n v="350000"/>
    <n v="297500"/>
    <s v="BUKALEBAR"/>
    <n v="0.15"/>
    <s v="Promo Lebaran"/>
    <s v="Bukalapak"/>
    <x v="5"/>
    <d v="2023-04-17T00:00:00"/>
    <s v="Monday"/>
    <s v="wwww"/>
  </r>
  <r>
    <n v="606"/>
    <s v="ORD-BL0606-11/04/23"/>
    <s v="SP002"/>
    <s v="Sepatu Pria"/>
    <x v="8"/>
    <n v="4"/>
    <n v="5"/>
    <n v="600000"/>
    <n v="240000"/>
    <s v="PP002"/>
    <s v="Pakaian Pria"/>
    <s v="Celana Pendek"/>
    <n v="3"/>
    <n v="1"/>
    <n v="540000"/>
    <n v="210000"/>
    <m/>
    <s v="-"/>
    <s v="-"/>
    <m/>
    <m/>
    <s v="0"/>
    <s v="0"/>
    <n v="7"/>
    <n v="1140000"/>
    <n v="1140000"/>
    <n v="450000"/>
    <n v="450000"/>
    <s v="-"/>
    <s v="-"/>
    <s v="-"/>
    <s v="Bukalapak"/>
    <x v="2"/>
    <d v="2023-04-11T00:00:00"/>
    <s v="Tuesday"/>
    <s v="wwww"/>
  </r>
  <r>
    <n v="607"/>
    <s v="ORD-SP0607-02/04/23"/>
    <s v="SW001"/>
    <s v="Sepatu Wanita"/>
    <x v="9"/>
    <n v="3"/>
    <n v="3"/>
    <n v="750000"/>
    <n v="300000"/>
    <s v="SP002"/>
    <s v="Sepatu Pria"/>
    <s v="Sandal Slip On"/>
    <n v="1"/>
    <n v="3"/>
    <n v="150000"/>
    <n v="60000"/>
    <m/>
    <s v="-"/>
    <s v="-"/>
    <m/>
    <m/>
    <s v="0"/>
    <s v="0"/>
    <n v="4"/>
    <n v="900000"/>
    <n v="810000"/>
    <n v="360000"/>
    <n v="324000"/>
    <s v="DISC10"/>
    <n v="0.1"/>
    <s v="Promo 4.4"/>
    <s v="Shopee"/>
    <x v="4"/>
    <d v="2023-04-02T00:00:00"/>
    <s v="Sunday"/>
    <s v="wwww"/>
  </r>
  <r>
    <n v="608"/>
    <s v="ORD-BL0608-29/04/23"/>
    <s v="PP002"/>
    <s v="Pakaian Pria"/>
    <x v="4"/>
    <n v="1"/>
    <n v="5"/>
    <n v="180000"/>
    <n v="70000"/>
    <s v="PP001"/>
    <s v="Pakaian Pria"/>
    <s v="Kaos Polo"/>
    <n v="1"/>
    <n v="2"/>
    <n v="200000"/>
    <n v="80000"/>
    <s v="PP002"/>
    <s v="Pakaian Pria"/>
    <s v="Celana Pendek"/>
    <n v="1"/>
    <n v="4"/>
    <n v="180000"/>
    <n v="70000"/>
    <n v="3"/>
    <n v="560000"/>
    <n v="476000"/>
    <n v="220000"/>
    <n v="187000"/>
    <s v="BUKALEBAR"/>
    <n v="0.15"/>
    <s v="Promo Lebaran"/>
    <s v="Bukalapak"/>
    <x v="5"/>
    <d v="2023-04-29T00:00:00"/>
    <s v="Saturday"/>
    <s v="wwww"/>
  </r>
  <r>
    <n v="609"/>
    <s v="ORD-TK0609-01/04/23"/>
    <s v="PU001"/>
    <s v="Pakaian Unisex"/>
    <x v="6"/>
    <n v="3"/>
    <n v="4"/>
    <n v="1050000"/>
    <n v="390000"/>
    <s v="PP003"/>
    <s v="Pakaian Pria"/>
    <s v="Jaket Jeans"/>
    <n v="1"/>
    <n v="5"/>
    <n v="400000"/>
    <n v="150000"/>
    <m/>
    <s v="-"/>
    <s v="-"/>
    <m/>
    <m/>
    <s v="0"/>
    <s v="0"/>
    <n v="4"/>
    <n v="1450000"/>
    <n v="1305000"/>
    <n v="540000"/>
    <n v="486000"/>
    <s v="DISCAPRIL"/>
    <n v="0.1"/>
    <s v="Promo 4.4"/>
    <s v="Tokopedia"/>
    <x v="4"/>
    <d v="2023-04-01T00:00:00"/>
    <s v="Saturday"/>
    <s v="wwww"/>
  </r>
  <r>
    <n v="610"/>
    <s v="ORD-TK0610-12/04/23"/>
    <s v="PP001"/>
    <s v="Pakaian Pria"/>
    <x v="3"/>
    <n v="6"/>
    <n v="1"/>
    <n v="1200000"/>
    <n v="480000"/>
    <s v="PW003"/>
    <s v="Pakaian Wanita"/>
    <s v="Kaftan"/>
    <n v="1"/>
    <n v="2"/>
    <n v="250000"/>
    <n v="100000"/>
    <m/>
    <s v="-"/>
    <s v="-"/>
    <m/>
    <m/>
    <s v="0"/>
    <s v="0"/>
    <n v="7"/>
    <n v="1450000"/>
    <n v="1450000"/>
    <n v="580000"/>
    <n v="580000"/>
    <s v="-"/>
    <s v="-"/>
    <s v="-"/>
    <s v="Tokopedia"/>
    <x v="5"/>
    <d v="2023-04-12T00:00:00"/>
    <s v="Wednesday"/>
    <s v="wwww"/>
  </r>
  <r>
    <n v="611"/>
    <s v="ORD-TK0611-01/04/23"/>
    <s v="PU001"/>
    <s v="Pakaian Unisex"/>
    <x v="6"/>
    <n v="2"/>
    <n v="1"/>
    <n v="700000"/>
    <n v="260000"/>
    <s v="PW002"/>
    <s v="Pakaian Wanita"/>
    <s v="Blouse"/>
    <n v="3"/>
    <n v="4"/>
    <n v="450000"/>
    <n v="150000"/>
    <m/>
    <s v="-"/>
    <s v="-"/>
    <m/>
    <m/>
    <s v="0"/>
    <s v="0"/>
    <n v="5"/>
    <n v="1150000"/>
    <n v="1035000"/>
    <n v="410000"/>
    <n v="369000"/>
    <s v="DISCAPRIL"/>
    <n v="0.1"/>
    <s v="Promo 4.4"/>
    <s v="Tokopedia"/>
    <x v="0"/>
    <d v="2023-04-01T00:00:00"/>
    <s v="Saturday"/>
    <s v="wwww"/>
  </r>
  <r>
    <n v="612"/>
    <s v="ORD-BL0612-17/04/23"/>
    <s v="PP001"/>
    <s v="Pakaian Pria"/>
    <x v="3"/>
    <n v="4"/>
    <n v="2"/>
    <n v="800000"/>
    <n v="320000"/>
    <m/>
    <s v="-"/>
    <s v="-"/>
    <m/>
    <m/>
    <s v="0"/>
    <s v="0"/>
    <m/>
    <s v="-"/>
    <s v="-"/>
    <m/>
    <m/>
    <s v="0"/>
    <s v="0"/>
    <n v="4"/>
    <n v="800000"/>
    <n v="680000"/>
    <n v="320000"/>
    <n v="272000"/>
    <s v="BUKALEBAR"/>
    <n v="0.15"/>
    <s v="Promo Lebaran"/>
    <s v="Bukalapak"/>
    <x v="0"/>
    <d v="2023-04-17T00:00:00"/>
    <s v="Monday"/>
    <s v="wwww"/>
  </r>
  <r>
    <n v="613"/>
    <s v="ORD-BL0613-20/04/23"/>
    <s v="PP001"/>
    <s v="Pakaian Pria"/>
    <x v="3"/>
    <n v="3"/>
    <n v="4"/>
    <n v="600000"/>
    <n v="240000"/>
    <m/>
    <s v="-"/>
    <s v="-"/>
    <m/>
    <m/>
    <s v="0"/>
    <s v="0"/>
    <m/>
    <s v="-"/>
    <s v="-"/>
    <m/>
    <m/>
    <s v="0"/>
    <s v="0"/>
    <n v="3"/>
    <n v="600000"/>
    <n v="510000"/>
    <n v="240000"/>
    <n v="204000"/>
    <s v="BUKALEBAR"/>
    <n v="0.15"/>
    <s v="Promo Lebaran"/>
    <s v="Bukalapak"/>
    <x v="4"/>
    <d v="2023-04-20T00:00:00"/>
    <s v="Thursday"/>
    <s v="wwww"/>
  </r>
  <r>
    <n v="614"/>
    <s v="ORD-SP0614-30/04/23"/>
    <s v="PP002"/>
    <s v="Pakaian Pria"/>
    <x v="4"/>
    <n v="1"/>
    <n v="5"/>
    <n v="180000"/>
    <n v="70000"/>
    <s v="SP002"/>
    <s v="Sepatu Pria"/>
    <s v="Sandal Slip On"/>
    <n v="1"/>
    <n v="3"/>
    <n v="150000"/>
    <n v="60000"/>
    <m/>
    <s v="-"/>
    <s v="-"/>
    <m/>
    <m/>
    <s v="0"/>
    <s v="0"/>
    <n v="2"/>
    <n v="330000"/>
    <n v="264000"/>
    <n v="130000"/>
    <n v="104000"/>
    <s v="DISC20"/>
    <n v="0.2"/>
    <s v="Promo Lebaran"/>
    <s v="Shopee"/>
    <x v="4"/>
    <d v="2023-04-30T00:00:00"/>
    <s v="Sunday"/>
    <s v="wwww"/>
  </r>
  <r>
    <n v="615"/>
    <s v="ORD-BL0615-25/04/23"/>
    <s v="PU001"/>
    <s v="Pakaian Unisex"/>
    <x v="6"/>
    <n v="4"/>
    <n v="1"/>
    <n v="1400000"/>
    <n v="520000"/>
    <s v="SP002"/>
    <s v="Sepatu Pria"/>
    <s v="Sandal Slip On"/>
    <n v="2"/>
    <n v="5"/>
    <n v="300000"/>
    <n v="120000"/>
    <s v="PP003"/>
    <s v="Pakaian Pria"/>
    <s v="Jaket Jeans"/>
    <n v="1"/>
    <n v="3"/>
    <n v="400000"/>
    <n v="150000"/>
    <n v="7"/>
    <n v="2100000"/>
    <n v="1785000"/>
    <n v="790000"/>
    <n v="671500"/>
    <s v="BUKALEBAR"/>
    <n v="0.15"/>
    <s v="Promo Lebaran"/>
    <s v="Bukalapak"/>
    <x v="1"/>
    <d v="2023-04-25T00:00:00"/>
    <s v="Tuesday"/>
    <s v="wwww"/>
  </r>
  <r>
    <n v="616"/>
    <s v="ORD-SP0616-04/04/23"/>
    <s v="PW001"/>
    <s v="Pakaian Wanita"/>
    <x v="0"/>
    <n v="1"/>
    <n v="2"/>
    <n v="300000"/>
    <n v="100000"/>
    <m/>
    <s v="-"/>
    <s v="-"/>
    <m/>
    <m/>
    <s v="0"/>
    <s v="0"/>
    <m/>
    <s v="-"/>
    <s v="-"/>
    <m/>
    <m/>
    <s v="0"/>
    <s v="0"/>
    <n v="1"/>
    <n v="300000"/>
    <n v="255000"/>
    <n v="100000"/>
    <n v="85000"/>
    <s v="DISC15"/>
    <n v="0.15"/>
    <s v="Promo 4.4"/>
    <s v="Shopee"/>
    <x v="1"/>
    <d v="2023-04-04T00:00:00"/>
    <s v="Tuesday"/>
    <s v="wwww"/>
  </r>
  <r>
    <n v="617"/>
    <s v="ORD-TK0617-12/04/23"/>
    <s v="PW003"/>
    <s v="Pakaian Wanita"/>
    <x v="2"/>
    <n v="2"/>
    <n v="4"/>
    <n v="500000"/>
    <n v="200000"/>
    <m/>
    <s v="-"/>
    <s v="-"/>
    <m/>
    <m/>
    <s v="0"/>
    <s v="0"/>
    <m/>
    <s v="-"/>
    <s v="-"/>
    <m/>
    <m/>
    <s v="0"/>
    <s v="0"/>
    <n v="2"/>
    <n v="500000"/>
    <n v="500000"/>
    <n v="200000"/>
    <n v="200000"/>
    <s v="-"/>
    <s v="-"/>
    <s v="-"/>
    <s v="Tokopedia"/>
    <x v="1"/>
    <d v="2023-04-12T00:00:00"/>
    <s v="Wednesday"/>
    <s v="wwww"/>
  </r>
  <r>
    <n v="618"/>
    <s v="ORD-BL0618-12/04/23"/>
    <s v="SP002"/>
    <s v="Sepatu Pria"/>
    <x v="8"/>
    <n v="1"/>
    <n v="5"/>
    <n v="150000"/>
    <n v="60000"/>
    <s v="PP003"/>
    <s v="Pakaian Pria"/>
    <s v="Jaket Jeans"/>
    <n v="1"/>
    <n v="2"/>
    <n v="400000"/>
    <n v="150000"/>
    <s v="PW001"/>
    <s v="Pakaian Wanita"/>
    <s v="Dress"/>
    <n v="4"/>
    <n v="5"/>
    <n v="1200000"/>
    <n v="400000"/>
    <n v="6"/>
    <n v="1750000"/>
    <n v="1750000"/>
    <n v="610000"/>
    <n v="610000"/>
    <s v="-"/>
    <s v="-"/>
    <s v="-"/>
    <s v="Bukalapak"/>
    <x v="4"/>
    <d v="2023-04-12T00:00:00"/>
    <s v="Wednesday"/>
    <s v="wwww"/>
  </r>
  <r>
    <n v="619"/>
    <s v="ORD-TK0619-12/04/23"/>
    <s v="PW002"/>
    <s v="Pakaian Wanita"/>
    <x v="1"/>
    <n v="5"/>
    <n v="4"/>
    <n v="750000"/>
    <n v="250000"/>
    <s v="PP003"/>
    <s v="Pakaian Pria"/>
    <s v="Jaket Jeans"/>
    <n v="1"/>
    <n v="1"/>
    <n v="400000"/>
    <n v="150000"/>
    <m/>
    <s v="-"/>
    <s v="-"/>
    <m/>
    <m/>
    <s v="0"/>
    <s v="0"/>
    <n v="6"/>
    <n v="1150000"/>
    <n v="1150000"/>
    <n v="400000"/>
    <n v="400000"/>
    <s v="-"/>
    <s v="-"/>
    <s v="-"/>
    <s v="Tokopedia"/>
    <x v="4"/>
    <d v="2023-04-12T00:00:00"/>
    <s v="Wednesday"/>
    <s v="wwww"/>
  </r>
  <r>
    <n v="620"/>
    <s v="ORD-TK0620-16/04/23"/>
    <s v="PP001"/>
    <s v="Pakaian Pria"/>
    <x v="3"/>
    <n v="5"/>
    <n v="2"/>
    <n v="1000000"/>
    <n v="400000"/>
    <m/>
    <s v="-"/>
    <s v="-"/>
    <m/>
    <m/>
    <s v="0"/>
    <s v="0"/>
    <m/>
    <s v="-"/>
    <s v="-"/>
    <m/>
    <m/>
    <s v="0"/>
    <s v="0"/>
    <n v="5"/>
    <n v="1000000"/>
    <n v="900000"/>
    <n v="400000"/>
    <n v="360000"/>
    <s v="LEBAR10"/>
    <n v="0.1"/>
    <s v="Promo Lebaran"/>
    <s v="Tokopedia"/>
    <x v="0"/>
    <d v="2023-04-16T00:00:00"/>
    <s v="Sunday"/>
    <s v="wwww"/>
  </r>
  <r>
    <n v="621"/>
    <s v="ORD-SP0621-05/04/23"/>
    <s v="SW001"/>
    <s v="Sepatu Wanita"/>
    <x v="9"/>
    <n v="7"/>
    <n v="4"/>
    <n v="1750000"/>
    <n v="700000"/>
    <m/>
    <s v="-"/>
    <s v="-"/>
    <m/>
    <m/>
    <s v="0"/>
    <s v="0"/>
    <m/>
    <s v="-"/>
    <s v="-"/>
    <m/>
    <m/>
    <s v="0"/>
    <s v="0"/>
    <n v="7"/>
    <n v="1750000"/>
    <n v="1487500"/>
    <n v="700000"/>
    <n v="595000"/>
    <s v="DISC15"/>
    <n v="0.15"/>
    <s v="Promo 4.4"/>
    <s v="Shopee"/>
    <x v="0"/>
    <d v="2023-04-05T00:00:00"/>
    <s v="Wednesday"/>
    <s v="wwww"/>
  </r>
  <r>
    <n v="622"/>
    <s v="ORD-BL0622-25/04/23"/>
    <s v="SW001"/>
    <s v="Sepatu Wanita"/>
    <x v="9"/>
    <n v="3"/>
    <n v="4"/>
    <n v="750000"/>
    <n v="300000"/>
    <s v="PU001"/>
    <s v="Pakaian Unisex"/>
    <s v="Jaket Hoodie"/>
    <n v="1"/>
    <n v="1"/>
    <n v="350000"/>
    <n v="130000"/>
    <m/>
    <s v="-"/>
    <s v="-"/>
    <m/>
    <m/>
    <s v="0"/>
    <s v="0"/>
    <n v="4"/>
    <n v="1100000"/>
    <n v="935000"/>
    <n v="430000"/>
    <n v="365500"/>
    <s v="BUKALEBAR"/>
    <n v="0.15"/>
    <s v="Promo Lebaran"/>
    <s v="Bukalapak"/>
    <x v="2"/>
    <d v="2023-04-25T00:00:00"/>
    <s v="Tuesday"/>
    <s v="wwww"/>
  </r>
  <r>
    <n v="623"/>
    <s v="ORD-SP0623-03/04/23"/>
    <s v="PW003"/>
    <s v="Pakaian Wanita"/>
    <x v="2"/>
    <n v="6"/>
    <n v="1"/>
    <n v="1500000"/>
    <n v="600000"/>
    <s v="SP001"/>
    <s v="Sepatu Pria"/>
    <s v="Sneakers"/>
    <n v="1"/>
    <n v="5"/>
    <n v="500000"/>
    <n v="200000"/>
    <m/>
    <s v="-"/>
    <s v="-"/>
    <m/>
    <m/>
    <s v="0"/>
    <s v="0"/>
    <n v="7"/>
    <n v="2000000"/>
    <n v="1700000"/>
    <n v="800000"/>
    <n v="680000"/>
    <s v="DISC15"/>
    <n v="0.15"/>
    <s v="Promo 4.4"/>
    <s v="Shopee"/>
    <x v="4"/>
    <d v="2023-04-03T00:00:00"/>
    <s v="Monday"/>
    <s v="wwww"/>
  </r>
  <r>
    <n v="624"/>
    <s v="ORD-TK0624-26/04/23"/>
    <s v="PP002"/>
    <s v="Pakaian Pria"/>
    <x v="4"/>
    <n v="2"/>
    <n v="1"/>
    <n v="360000"/>
    <n v="140000"/>
    <s v="SP001"/>
    <s v="Sepatu Pria"/>
    <s v="Sneakers"/>
    <n v="3"/>
    <n v="2"/>
    <n v="1500000"/>
    <n v="600000"/>
    <m/>
    <s v="-"/>
    <s v="-"/>
    <m/>
    <m/>
    <s v="0"/>
    <s v="0"/>
    <n v="5"/>
    <n v="1860000"/>
    <n v="1674000"/>
    <n v="740000"/>
    <n v="666000"/>
    <s v="LEBAR10"/>
    <n v="0.1"/>
    <s v="Promo Lebaran"/>
    <s v="Tokopedia"/>
    <x v="4"/>
    <d v="2023-04-26T00:00:00"/>
    <s v="Wednesday"/>
    <s v="wwww"/>
  </r>
  <r>
    <n v="625"/>
    <s v="ORD-SP0625-03/04/23"/>
    <s v="SW001"/>
    <s v="Sepatu Wanita"/>
    <x v="9"/>
    <n v="3"/>
    <n v="1"/>
    <n v="750000"/>
    <n v="300000"/>
    <s v="PW003"/>
    <s v="Pakaian Wanita"/>
    <s v="Kaftan"/>
    <n v="1"/>
    <n v="4"/>
    <n v="250000"/>
    <n v="100000"/>
    <s v="PU001"/>
    <s v="Pakaian Unisex"/>
    <s v="Jaket Hoodie"/>
    <n v="1"/>
    <n v="2"/>
    <n v="350000"/>
    <n v="130000"/>
    <n v="5"/>
    <n v="1350000"/>
    <n v="1147500"/>
    <n v="530000"/>
    <n v="450500"/>
    <s v="DISC15"/>
    <n v="0.15"/>
    <s v="Promo 4.4"/>
    <s v="Shopee"/>
    <x v="1"/>
    <d v="2023-04-03T00:00:00"/>
    <s v="Monday"/>
    <s v="wwww"/>
  </r>
  <r>
    <n v="626"/>
    <s v="ORD-TK0626-01/04/23"/>
    <s v="PU001"/>
    <s v="Pakaian Unisex"/>
    <x v="6"/>
    <n v="1"/>
    <n v="5"/>
    <n v="350000"/>
    <n v="130000"/>
    <s v="SW001"/>
    <s v="Sepatu Wanita"/>
    <s v="Flat Shoes"/>
    <n v="1"/>
    <n v="1"/>
    <n v="250000"/>
    <n v="100000"/>
    <s v="PP003"/>
    <s v="Pakaian Pria"/>
    <s v="Jaket Jeans"/>
    <n v="2"/>
    <n v="1"/>
    <n v="800000"/>
    <n v="300000"/>
    <n v="4"/>
    <n v="1400000"/>
    <n v="1260000"/>
    <n v="530000"/>
    <n v="477000"/>
    <s v="DISCAPRIL"/>
    <n v="0.1"/>
    <s v="Promo 4.4"/>
    <s v="Tokopedia"/>
    <x v="1"/>
    <d v="2023-04-01T00:00:00"/>
    <s v="Saturday"/>
    <s v="wwww"/>
  </r>
  <r>
    <n v="627"/>
    <s v="ORD-SP0627-21/04/23"/>
    <s v="SP002"/>
    <s v="Sepatu Pria"/>
    <x v="8"/>
    <n v="7"/>
    <n v="5"/>
    <n v="1050000"/>
    <n v="420000"/>
    <m/>
    <s v="-"/>
    <s v="-"/>
    <m/>
    <m/>
    <s v="0"/>
    <s v="0"/>
    <m/>
    <s v="-"/>
    <s v="-"/>
    <m/>
    <m/>
    <s v="0"/>
    <s v="0"/>
    <n v="7"/>
    <n v="1050000"/>
    <n v="840000"/>
    <n v="420000"/>
    <n v="336000"/>
    <s v="DISC20"/>
    <n v="0.2"/>
    <s v="Promo Lebaran"/>
    <s v="Shopee"/>
    <x v="3"/>
    <d v="2023-04-21T00:00:00"/>
    <s v="Friday"/>
    <s v="wwww"/>
  </r>
  <r>
    <n v="628"/>
    <s v="ORD-SP0628-25/04/23"/>
    <s v="SP001"/>
    <s v="Sepatu Pria"/>
    <x v="7"/>
    <n v="1"/>
    <n v="1"/>
    <n v="500000"/>
    <n v="200000"/>
    <s v="PW003"/>
    <s v="Pakaian Wanita"/>
    <s v="Kaftan"/>
    <n v="1"/>
    <n v="2"/>
    <n v="250000"/>
    <n v="100000"/>
    <s v="PP002"/>
    <s v="Pakaian Pria"/>
    <s v="Celana Pendek"/>
    <n v="4"/>
    <n v="4"/>
    <n v="720000"/>
    <n v="280000"/>
    <n v="6"/>
    <n v="1470000"/>
    <n v="1176000"/>
    <n v="580000"/>
    <n v="464000"/>
    <s v="DISC20"/>
    <n v="0.2"/>
    <s v="Promo Lebaran"/>
    <s v="Shopee"/>
    <x v="4"/>
    <d v="2023-04-25T00:00:00"/>
    <s v="Tuesday"/>
    <s v="wwww"/>
  </r>
  <r>
    <n v="629"/>
    <s v="ORD-TK0629-23/04/23"/>
    <s v="SP002"/>
    <s v="Sepatu Pria"/>
    <x v="8"/>
    <n v="3"/>
    <n v="5"/>
    <n v="450000"/>
    <n v="180000"/>
    <s v="SP001"/>
    <s v="Sepatu Pria"/>
    <s v="Sneakers"/>
    <n v="2"/>
    <n v="3"/>
    <n v="1000000"/>
    <n v="400000"/>
    <m/>
    <s v="-"/>
    <s v="-"/>
    <m/>
    <m/>
    <s v="0"/>
    <s v="0"/>
    <n v="5"/>
    <n v="1450000"/>
    <n v="1305000"/>
    <n v="580000"/>
    <n v="522000"/>
    <s v="LEBAR10"/>
    <n v="0.1"/>
    <s v="Promo Lebaran"/>
    <s v="Tokopedia"/>
    <x v="3"/>
    <d v="2023-04-23T00:00:00"/>
    <s v="Sunday"/>
    <s v="wwww"/>
  </r>
  <r>
    <n v="630"/>
    <s v="ORD-SP0630-24/04/23"/>
    <s v="SP002"/>
    <s v="Sepatu Pria"/>
    <x v="8"/>
    <n v="3"/>
    <n v="2"/>
    <n v="450000"/>
    <n v="180000"/>
    <s v="SW001"/>
    <s v="Sepatu Wanita"/>
    <s v="Flat Shoes"/>
    <n v="1"/>
    <n v="2"/>
    <n v="250000"/>
    <n v="100000"/>
    <s v="SW001"/>
    <s v="Sepatu Wanita"/>
    <s v="Flat Shoes"/>
    <n v="2"/>
    <n v="2"/>
    <n v="500000"/>
    <n v="200000"/>
    <n v="6"/>
    <n v="1200000"/>
    <n v="960000"/>
    <n v="480000"/>
    <n v="384000"/>
    <s v="DISC20"/>
    <n v="0.2"/>
    <s v="Promo Lebaran"/>
    <s v="Shopee"/>
    <x v="4"/>
    <d v="2023-04-24T00:00:00"/>
    <s v="Monday"/>
    <s v="wwww"/>
  </r>
  <r>
    <n v="631"/>
    <s v="ORD-TK0631-05/04/23"/>
    <s v="SW001"/>
    <s v="Sepatu Wanita"/>
    <x v="9"/>
    <n v="1"/>
    <n v="4"/>
    <n v="250000"/>
    <n v="100000"/>
    <s v="PW001"/>
    <s v="Pakaian Wanita"/>
    <s v="Dress"/>
    <n v="1"/>
    <n v="1"/>
    <n v="300000"/>
    <n v="100000"/>
    <m/>
    <s v="-"/>
    <s v="-"/>
    <m/>
    <m/>
    <s v="0"/>
    <s v="0"/>
    <n v="2"/>
    <n v="550000"/>
    <n v="495000"/>
    <n v="200000"/>
    <n v="180000"/>
    <s v="DISCAPRIL"/>
    <n v="0.1"/>
    <s v="Promo 4.4"/>
    <s v="Tokopedia"/>
    <x v="3"/>
    <d v="2023-04-05T00:00:00"/>
    <s v="Wednesday"/>
    <s v="wwww"/>
  </r>
  <r>
    <n v="632"/>
    <s v="ORD-SP0632-26/04/23"/>
    <s v="PW003"/>
    <s v="Pakaian Wanita"/>
    <x v="2"/>
    <n v="1"/>
    <n v="4"/>
    <n v="250000"/>
    <n v="100000"/>
    <s v="PW001"/>
    <s v="Pakaian Wanita"/>
    <s v="Dress"/>
    <n v="3"/>
    <n v="2"/>
    <n v="900000"/>
    <n v="300000"/>
    <m/>
    <s v="-"/>
    <s v="-"/>
    <m/>
    <m/>
    <s v="0"/>
    <s v="0"/>
    <n v="4"/>
    <n v="1150000"/>
    <n v="920000"/>
    <n v="400000"/>
    <n v="320000"/>
    <s v="DISC20"/>
    <n v="0.2"/>
    <s v="Promo Lebaran"/>
    <s v="Shopee"/>
    <x v="4"/>
    <d v="2023-04-26T00:00:00"/>
    <s v="Wednesday"/>
    <s v="wwww"/>
  </r>
  <r>
    <n v="633"/>
    <s v="ORD-BL0633-15/04/23"/>
    <s v="PW002"/>
    <s v="Pakaian Wanita"/>
    <x v="1"/>
    <n v="1"/>
    <n v="5"/>
    <n v="150000"/>
    <n v="50000"/>
    <s v="PP003"/>
    <s v="Pakaian Pria"/>
    <s v="Jaket Jeans"/>
    <n v="1"/>
    <n v="5"/>
    <n v="400000"/>
    <n v="150000"/>
    <m/>
    <s v="-"/>
    <s v="-"/>
    <m/>
    <m/>
    <s v="0"/>
    <s v="0"/>
    <n v="2"/>
    <n v="550000"/>
    <n v="550000"/>
    <n v="200000"/>
    <n v="200000"/>
    <s v="-"/>
    <s v="-"/>
    <s v="-"/>
    <s v="Bukalapak"/>
    <x v="5"/>
    <d v="2023-04-15T00:00:00"/>
    <s v="Saturday"/>
    <s v="wwww"/>
  </r>
  <r>
    <n v="634"/>
    <s v="ORD-TK0634-01/04/23"/>
    <s v="SP002"/>
    <s v="Sepatu Pria"/>
    <x v="8"/>
    <n v="1"/>
    <n v="5"/>
    <n v="150000"/>
    <n v="60000"/>
    <m/>
    <s v="-"/>
    <s v="-"/>
    <m/>
    <m/>
    <s v="0"/>
    <s v="0"/>
    <m/>
    <s v="-"/>
    <s v="-"/>
    <m/>
    <m/>
    <s v="0"/>
    <s v="0"/>
    <n v="1"/>
    <n v="150000"/>
    <n v="135000"/>
    <n v="60000"/>
    <n v="54000"/>
    <s v="DISCAPRIL"/>
    <n v="0.1"/>
    <s v="Promo 4.4"/>
    <s v="Tokopedia"/>
    <x v="0"/>
    <d v="2023-04-01T00:00:00"/>
    <s v="Saturday"/>
    <s v="wwww"/>
  </r>
  <r>
    <n v="635"/>
    <s v="ORD-TK0635-06/04/23"/>
    <s v="PP002"/>
    <s v="Pakaian Pria"/>
    <x v="4"/>
    <n v="3"/>
    <n v="2"/>
    <n v="540000"/>
    <n v="210000"/>
    <s v="SP001"/>
    <s v="Sepatu Pria"/>
    <s v="Sneakers"/>
    <n v="1"/>
    <n v="3"/>
    <n v="500000"/>
    <n v="200000"/>
    <m/>
    <s v="-"/>
    <s v="-"/>
    <m/>
    <m/>
    <s v="0"/>
    <s v="0"/>
    <n v="4"/>
    <n v="1040000"/>
    <n v="936000"/>
    <n v="410000"/>
    <n v="369000"/>
    <s v="DISCAPRIL"/>
    <n v="0.1"/>
    <s v="Promo 4.4"/>
    <s v="Tokopedia"/>
    <x v="4"/>
    <d v="2023-04-06T00:00:00"/>
    <s v="Thursday"/>
    <s v="wwww"/>
  </r>
  <r>
    <n v="636"/>
    <s v="ORD-TK0636-08/04/23"/>
    <s v="PW001"/>
    <s v="Pakaian Wanita"/>
    <x v="0"/>
    <n v="1"/>
    <n v="5"/>
    <n v="300000"/>
    <n v="100000"/>
    <m/>
    <s v="-"/>
    <s v="-"/>
    <m/>
    <m/>
    <s v="0"/>
    <s v="0"/>
    <m/>
    <s v="-"/>
    <s v="-"/>
    <m/>
    <m/>
    <s v="0"/>
    <s v="0"/>
    <n v="1"/>
    <n v="300000"/>
    <n v="300000"/>
    <n v="100000"/>
    <n v="100000"/>
    <s v="-"/>
    <s v="-"/>
    <s v="-"/>
    <s v="Tokopedia"/>
    <x v="2"/>
    <d v="2023-04-08T00:00:00"/>
    <s v="Saturday"/>
    <s v="wwww"/>
  </r>
  <r>
    <n v="637"/>
    <s v="ORD-BB0637-01/04/23"/>
    <s v="PU001"/>
    <s v="Pakaian Unisex"/>
    <x v="6"/>
    <n v="1"/>
    <n v="5"/>
    <n v="350000"/>
    <n v="130000"/>
    <s v="PP001"/>
    <s v="Pakaian Pria"/>
    <s v="Kaos Polo"/>
    <n v="2"/>
    <n v="3"/>
    <n v="400000"/>
    <n v="160000"/>
    <s v="PP002"/>
    <s v="Pakaian Pria"/>
    <s v="Celana Pendek"/>
    <n v="3"/>
    <n v="1"/>
    <n v="540000"/>
    <n v="210000"/>
    <n v="6"/>
    <n v="1290000"/>
    <n v="1096500"/>
    <n v="500000"/>
    <n v="425000"/>
    <s v="BELI44"/>
    <n v="0.15"/>
    <s v="Promo 4.4"/>
    <s v="BliBli"/>
    <x v="1"/>
    <d v="2023-04-01T00:00:00"/>
    <s v="Saturday"/>
    <s v="wwww"/>
  </r>
  <r>
    <n v="638"/>
    <s v="ORD-BB0638-04/04/23"/>
    <s v="PW001"/>
    <s v="Pakaian Wanita"/>
    <x v="0"/>
    <n v="4"/>
    <n v="4"/>
    <n v="1200000"/>
    <n v="400000"/>
    <m/>
    <s v="-"/>
    <s v="-"/>
    <m/>
    <m/>
    <s v="0"/>
    <s v="0"/>
    <m/>
    <s v="-"/>
    <s v="-"/>
    <m/>
    <m/>
    <s v="0"/>
    <s v="0"/>
    <n v="4"/>
    <n v="1200000"/>
    <n v="1020000"/>
    <n v="400000"/>
    <n v="340000"/>
    <s v="BELI44"/>
    <n v="0.15"/>
    <s v="Promo 4.4"/>
    <s v="BliBli"/>
    <x v="4"/>
    <d v="2023-04-04T00:00:00"/>
    <s v="Tuesday"/>
    <s v="wwww"/>
  </r>
  <r>
    <n v="639"/>
    <s v="ORD-TK0639-28/04/23"/>
    <s v="PW002"/>
    <s v="Pakaian Wanita"/>
    <x v="1"/>
    <n v="1"/>
    <n v="1"/>
    <n v="150000"/>
    <n v="50000"/>
    <m/>
    <s v="-"/>
    <s v="-"/>
    <m/>
    <m/>
    <s v="0"/>
    <s v="0"/>
    <m/>
    <s v="-"/>
    <s v="-"/>
    <m/>
    <m/>
    <s v="0"/>
    <s v="0"/>
    <n v="1"/>
    <n v="150000"/>
    <n v="135000"/>
    <n v="50000"/>
    <n v="45000"/>
    <s v="LEBAR10"/>
    <n v="0.1"/>
    <s v="Promo Lebaran"/>
    <s v="Tokopedia"/>
    <x v="4"/>
    <d v="2023-04-28T00:00:00"/>
    <s v="Friday"/>
    <s v="wwww"/>
  </r>
  <r>
    <n v="640"/>
    <s v="ORD-SP0640-05/04/23"/>
    <s v="PP003"/>
    <s v="Pakaian Pria"/>
    <x v="5"/>
    <n v="6"/>
    <n v="3"/>
    <n v="2400000"/>
    <n v="900000"/>
    <m/>
    <s v="-"/>
    <s v="-"/>
    <m/>
    <m/>
    <s v="0"/>
    <s v="0"/>
    <m/>
    <s v="-"/>
    <s v="-"/>
    <m/>
    <m/>
    <s v="0"/>
    <s v="0"/>
    <n v="6"/>
    <n v="2400000"/>
    <n v="2040000"/>
    <n v="900000"/>
    <n v="765000"/>
    <s v="DISC15"/>
    <n v="0.15"/>
    <s v="Promo 4.4"/>
    <s v="Shopee"/>
    <x v="1"/>
    <d v="2023-04-05T00:00:00"/>
    <s v="Wednesday"/>
    <s v="wwww"/>
  </r>
  <r>
    <n v="641"/>
    <s v="ORD-TK0641-01/04/23"/>
    <s v="PU001"/>
    <s v="Pakaian Unisex"/>
    <x v="6"/>
    <n v="2"/>
    <n v="2"/>
    <n v="700000"/>
    <n v="260000"/>
    <m/>
    <s v="-"/>
    <s v="-"/>
    <m/>
    <m/>
    <s v="0"/>
    <s v="0"/>
    <m/>
    <s v="-"/>
    <s v="-"/>
    <m/>
    <m/>
    <s v="0"/>
    <s v="0"/>
    <n v="2"/>
    <n v="700000"/>
    <n v="630000"/>
    <n v="260000"/>
    <n v="234000"/>
    <s v="DISCAPRIL"/>
    <n v="0.1"/>
    <s v="Promo 4.4"/>
    <s v="Tokopedia"/>
    <x v="0"/>
    <d v="2023-04-01T00:00:00"/>
    <s v="Saturday"/>
    <s v="wwww"/>
  </r>
  <r>
    <n v="642"/>
    <s v="ORD-SP0642-06/04/23"/>
    <s v="SW001"/>
    <s v="Sepatu Wanita"/>
    <x v="9"/>
    <n v="1"/>
    <n v="3"/>
    <n v="250000"/>
    <n v="100000"/>
    <m/>
    <s v="-"/>
    <s v="-"/>
    <m/>
    <m/>
    <s v="0"/>
    <s v="0"/>
    <m/>
    <s v="-"/>
    <s v="-"/>
    <m/>
    <m/>
    <s v="0"/>
    <s v="0"/>
    <n v="1"/>
    <n v="250000"/>
    <n v="225000"/>
    <n v="100000"/>
    <n v="90000"/>
    <s v="DISC10"/>
    <n v="0.1"/>
    <s v="Promo 4.4"/>
    <s v="Shopee"/>
    <x v="2"/>
    <d v="2023-04-06T00:00:00"/>
    <s v="Thursday"/>
    <s v="wwww"/>
  </r>
  <r>
    <n v="643"/>
    <s v="ORD-SP0643-16/04/23"/>
    <s v="PP002"/>
    <s v="Pakaian Pria"/>
    <x v="4"/>
    <n v="1"/>
    <n v="3"/>
    <n v="180000"/>
    <n v="70000"/>
    <m/>
    <s v="-"/>
    <s v="-"/>
    <m/>
    <m/>
    <s v="0"/>
    <s v="0"/>
    <m/>
    <s v="-"/>
    <s v="-"/>
    <m/>
    <m/>
    <s v="0"/>
    <s v="0"/>
    <n v="1"/>
    <n v="180000"/>
    <n v="144000"/>
    <n v="70000"/>
    <n v="56000"/>
    <s v="DISC20"/>
    <n v="0.2"/>
    <s v="Promo Lebaran"/>
    <s v="Shopee"/>
    <x v="4"/>
    <d v="2023-04-16T00:00:00"/>
    <s v="Sunday"/>
    <s v="wwww"/>
  </r>
  <r>
    <n v="644"/>
    <s v="ORD-TK0644-20/04/23"/>
    <s v="SP001"/>
    <s v="Sepatu Pria"/>
    <x v="7"/>
    <n v="4"/>
    <n v="2"/>
    <n v="2000000"/>
    <n v="800000"/>
    <s v="PU001"/>
    <s v="Pakaian Unisex"/>
    <s v="Jaket Hoodie"/>
    <n v="2"/>
    <n v="1"/>
    <n v="700000"/>
    <n v="260000"/>
    <m/>
    <s v="-"/>
    <s v="-"/>
    <m/>
    <m/>
    <s v="0"/>
    <s v="0"/>
    <n v="6"/>
    <n v="2700000"/>
    <n v="2430000"/>
    <n v="1060000"/>
    <n v="954000"/>
    <s v="LEBAR10"/>
    <n v="0.1"/>
    <s v="Promo Lebaran"/>
    <s v="Tokopedia"/>
    <x v="0"/>
    <d v="2023-04-20T00:00:00"/>
    <s v="Thursday"/>
    <s v="wwww"/>
  </r>
  <r>
    <n v="645"/>
    <s v="ORD-SP0645-05/04/23"/>
    <s v="SP001"/>
    <s v="Sepatu Pria"/>
    <x v="7"/>
    <n v="1"/>
    <n v="1"/>
    <n v="500000"/>
    <n v="200000"/>
    <s v="PW002"/>
    <s v="Pakaian Wanita"/>
    <s v="Blouse"/>
    <n v="2"/>
    <n v="1"/>
    <n v="300000"/>
    <n v="100000"/>
    <s v="PP001"/>
    <s v="Pakaian Pria"/>
    <s v="Kaos Polo"/>
    <n v="1"/>
    <n v="2"/>
    <n v="200000"/>
    <n v="80000"/>
    <n v="4"/>
    <n v="1000000"/>
    <n v="900000"/>
    <n v="380000"/>
    <n v="342000"/>
    <s v="DISC10"/>
    <n v="0.1"/>
    <s v="Promo 4.4"/>
    <s v="Shopee"/>
    <x v="0"/>
    <d v="2023-04-05T00:00:00"/>
    <s v="Wednesday"/>
    <s v="wwww"/>
  </r>
  <r>
    <n v="646"/>
    <s v="ORD-TK0646-03/04/23"/>
    <s v="PW002"/>
    <s v="Pakaian Wanita"/>
    <x v="1"/>
    <n v="2"/>
    <n v="2"/>
    <n v="300000"/>
    <n v="100000"/>
    <m/>
    <s v="-"/>
    <s v="-"/>
    <m/>
    <m/>
    <s v="0"/>
    <s v="0"/>
    <m/>
    <s v="-"/>
    <s v="-"/>
    <m/>
    <m/>
    <s v="0"/>
    <s v="0"/>
    <n v="2"/>
    <n v="300000"/>
    <n v="270000"/>
    <n v="100000"/>
    <n v="90000"/>
    <s v="DISCAPRIL"/>
    <n v="0.1"/>
    <s v="Promo 4.4"/>
    <s v="Tokopedia"/>
    <x v="0"/>
    <d v="2023-04-03T00:00:00"/>
    <s v="Monday"/>
    <s v="wwww"/>
  </r>
  <r>
    <n v="647"/>
    <s v="ORD-BL0647-27/04/23"/>
    <s v="PW002"/>
    <s v="Pakaian Wanita"/>
    <x v="1"/>
    <n v="1"/>
    <n v="1"/>
    <n v="150000"/>
    <n v="50000"/>
    <s v="SP002"/>
    <s v="Sepatu Pria"/>
    <s v="Sandal Slip On"/>
    <n v="1"/>
    <n v="1"/>
    <n v="150000"/>
    <n v="60000"/>
    <m/>
    <s v="-"/>
    <s v="-"/>
    <m/>
    <m/>
    <s v="0"/>
    <s v="0"/>
    <n v="2"/>
    <n v="300000"/>
    <n v="255000"/>
    <n v="110000"/>
    <n v="93500"/>
    <s v="BUKALEBAR"/>
    <n v="0.15"/>
    <s v="Promo Lebaran"/>
    <s v="Bukalapak"/>
    <x v="1"/>
    <d v="2023-04-27T00:00:00"/>
    <s v="Thursday"/>
    <s v="wwww"/>
  </r>
  <r>
    <n v="648"/>
    <s v="ORD-BL0648-29/04/23"/>
    <s v="PW002"/>
    <s v="Pakaian Wanita"/>
    <x v="1"/>
    <n v="3"/>
    <n v="5"/>
    <n v="450000"/>
    <n v="150000"/>
    <s v="SW001"/>
    <s v="Sepatu Wanita"/>
    <s v="Flat Shoes"/>
    <n v="3"/>
    <n v="1"/>
    <n v="750000"/>
    <n v="300000"/>
    <m/>
    <s v="-"/>
    <s v="-"/>
    <m/>
    <m/>
    <s v="0"/>
    <s v="0"/>
    <n v="6"/>
    <n v="1200000"/>
    <n v="1020000"/>
    <n v="450000"/>
    <n v="382500"/>
    <s v="BUKALEBAR"/>
    <n v="0.15"/>
    <s v="Promo Lebaran"/>
    <s v="Bukalapak"/>
    <x v="5"/>
    <d v="2023-04-29T00:00:00"/>
    <s v="Saturday"/>
    <s v="wwww"/>
  </r>
  <r>
    <n v="649"/>
    <s v="ORD-SP0649-15/04/23"/>
    <s v="PU001"/>
    <s v="Pakaian Unisex"/>
    <x v="6"/>
    <n v="4"/>
    <n v="2"/>
    <n v="1400000"/>
    <n v="520000"/>
    <s v="SP002"/>
    <s v="Sepatu Pria"/>
    <s v="Sandal Slip On"/>
    <n v="1"/>
    <n v="4"/>
    <n v="150000"/>
    <n v="60000"/>
    <s v="PP003"/>
    <s v="Pakaian Pria"/>
    <s v="Jaket Jeans"/>
    <n v="2"/>
    <n v="3"/>
    <n v="800000"/>
    <n v="300000"/>
    <n v="7"/>
    <n v="2350000"/>
    <n v="2350000"/>
    <n v="880000"/>
    <n v="880000"/>
    <s v="-"/>
    <s v="-"/>
    <s v="-"/>
    <s v="Shopee"/>
    <x v="1"/>
    <d v="2023-04-15T00:00:00"/>
    <s v="Saturday"/>
    <s v="wwww"/>
  </r>
  <r>
    <n v="650"/>
    <s v="ORD-SP0650-05/04/23"/>
    <s v="PP003"/>
    <s v="Pakaian Pria"/>
    <x v="5"/>
    <n v="3"/>
    <n v="1"/>
    <n v="1200000"/>
    <n v="450000"/>
    <m/>
    <s v="-"/>
    <s v="-"/>
    <m/>
    <m/>
    <s v="0"/>
    <s v="0"/>
    <m/>
    <s v="-"/>
    <s v="-"/>
    <m/>
    <m/>
    <s v="0"/>
    <s v="0"/>
    <n v="3"/>
    <n v="1200000"/>
    <n v="1080000"/>
    <n v="450000"/>
    <n v="405000"/>
    <s v="DISC10"/>
    <n v="0.1"/>
    <s v="Promo 4.4"/>
    <s v="Shopee"/>
    <x v="5"/>
    <d v="2023-04-05T00:00:00"/>
    <s v="Wednesday"/>
    <s v="wwww"/>
  </r>
  <r>
    <n v="651"/>
    <s v="ORD-BL0651-28/04/23"/>
    <s v="SP002"/>
    <s v="Sepatu Pria"/>
    <x v="8"/>
    <n v="1"/>
    <n v="5"/>
    <n v="150000"/>
    <n v="60000"/>
    <s v="PW002"/>
    <s v="Pakaian Wanita"/>
    <s v="Blouse"/>
    <n v="2"/>
    <n v="2"/>
    <n v="300000"/>
    <n v="100000"/>
    <m/>
    <s v="-"/>
    <s v="-"/>
    <m/>
    <m/>
    <s v="0"/>
    <s v="0"/>
    <n v="3"/>
    <n v="450000"/>
    <n v="382500"/>
    <n v="160000"/>
    <n v="136000"/>
    <s v="BUKALEBAR"/>
    <n v="0.15"/>
    <s v="Promo Lebaran"/>
    <s v="Bukalapak"/>
    <x v="1"/>
    <d v="2023-04-28T00:00:00"/>
    <s v="Friday"/>
    <s v="wwww"/>
  </r>
  <r>
    <n v="652"/>
    <s v="ORD-BL0652-14/04/23"/>
    <s v="PW002"/>
    <s v="Pakaian Wanita"/>
    <x v="1"/>
    <n v="2"/>
    <n v="1"/>
    <n v="300000"/>
    <n v="100000"/>
    <s v="PP003"/>
    <s v="Pakaian Pria"/>
    <s v="Jaket Jeans"/>
    <n v="3"/>
    <n v="3"/>
    <n v="1200000"/>
    <n v="450000"/>
    <s v="PW001"/>
    <s v="Pakaian Wanita"/>
    <s v="Dress"/>
    <n v="1"/>
    <n v="3"/>
    <n v="300000"/>
    <n v="100000"/>
    <n v="6"/>
    <n v="1800000"/>
    <n v="1800000"/>
    <n v="650000"/>
    <n v="650000"/>
    <s v="-"/>
    <s v="-"/>
    <s v="-"/>
    <s v="Bukalapak"/>
    <x v="3"/>
    <d v="2023-04-14T00:00:00"/>
    <s v="Friday"/>
    <s v="wwww"/>
  </r>
  <r>
    <n v="653"/>
    <s v="ORD-BL0653-27/04/23"/>
    <s v="PP002"/>
    <s v="Pakaian Pria"/>
    <x v="4"/>
    <n v="1"/>
    <n v="5"/>
    <n v="180000"/>
    <n v="70000"/>
    <s v="PP003"/>
    <s v="Pakaian Pria"/>
    <s v="Jaket Jeans"/>
    <n v="3"/>
    <n v="2"/>
    <n v="1200000"/>
    <n v="450000"/>
    <s v="PW003"/>
    <s v="Pakaian Wanita"/>
    <s v="Kaftan"/>
    <n v="1"/>
    <n v="3"/>
    <n v="250000"/>
    <n v="100000"/>
    <n v="5"/>
    <n v="1630000"/>
    <n v="1385500"/>
    <n v="620000"/>
    <n v="527000"/>
    <s v="BUKALEBAR"/>
    <n v="0.15"/>
    <s v="Promo Lebaran"/>
    <s v="Bukalapak"/>
    <x v="4"/>
    <d v="2023-04-27T00:00:00"/>
    <s v="Thursday"/>
    <s v="wwww"/>
  </r>
  <r>
    <n v="654"/>
    <s v="ORD-SP0654-30/04/23"/>
    <s v="SW001"/>
    <s v="Sepatu Wanita"/>
    <x v="9"/>
    <n v="1"/>
    <n v="2"/>
    <n v="250000"/>
    <n v="100000"/>
    <m/>
    <s v="-"/>
    <s v="-"/>
    <m/>
    <m/>
    <s v="0"/>
    <s v="0"/>
    <m/>
    <s v="-"/>
    <s v="-"/>
    <m/>
    <m/>
    <s v="0"/>
    <s v="0"/>
    <n v="1"/>
    <n v="250000"/>
    <n v="200000"/>
    <n v="100000"/>
    <n v="80000"/>
    <s v="DISC20"/>
    <n v="0.2"/>
    <s v="Promo Lebaran"/>
    <s v="Shopee"/>
    <x v="4"/>
    <d v="2023-04-30T00:00:00"/>
    <s v="Sunday"/>
    <s v="wwww"/>
  </r>
  <r>
    <n v="655"/>
    <s v="ORD-SP0655-05/04/23"/>
    <s v="PW001"/>
    <s v="Pakaian Wanita"/>
    <x v="0"/>
    <n v="1"/>
    <n v="2"/>
    <n v="300000"/>
    <n v="100000"/>
    <s v="SP001"/>
    <s v="Sepatu Pria"/>
    <s v="Sneakers"/>
    <n v="2"/>
    <n v="1"/>
    <n v="1000000"/>
    <n v="400000"/>
    <m/>
    <s v="-"/>
    <s v="-"/>
    <m/>
    <m/>
    <s v="0"/>
    <s v="0"/>
    <n v="3"/>
    <n v="1300000"/>
    <n v="1105000"/>
    <n v="500000"/>
    <n v="425000"/>
    <s v="DISC15"/>
    <n v="0.15"/>
    <s v="Promo 4.4"/>
    <s v="Shopee"/>
    <x v="0"/>
    <d v="2023-04-05T00:00:00"/>
    <s v="Wednesday"/>
    <s v="wwww"/>
  </r>
  <r>
    <n v="656"/>
    <s v="ORD-BB0656-04/04/23"/>
    <s v="PW002"/>
    <s v="Pakaian Wanita"/>
    <x v="1"/>
    <n v="2"/>
    <n v="5"/>
    <n v="300000"/>
    <n v="100000"/>
    <m/>
    <s v="-"/>
    <s v="-"/>
    <m/>
    <m/>
    <s v="0"/>
    <s v="0"/>
    <m/>
    <s v="-"/>
    <s v="-"/>
    <m/>
    <m/>
    <s v="0"/>
    <s v="0"/>
    <n v="2"/>
    <n v="300000"/>
    <n v="255000"/>
    <n v="100000"/>
    <n v="85000"/>
    <s v="BELI44"/>
    <n v="0.15"/>
    <s v="Promo 4.4"/>
    <s v="BliBli"/>
    <x v="4"/>
    <d v="2023-04-04T00:00:00"/>
    <s v="Tuesday"/>
    <s v="wwww"/>
  </r>
  <r>
    <n v="657"/>
    <s v="ORD-TK0657-03/04/23"/>
    <s v="SP002"/>
    <s v="Sepatu Pria"/>
    <x v="8"/>
    <n v="5"/>
    <n v="2"/>
    <n v="750000"/>
    <n v="300000"/>
    <s v="SW001"/>
    <s v="Sepatu Wanita"/>
    <s v="Flat Shoes"/>
    <n v="1"/>
    <n v="2"/>
    <n v="250000"/>
    <n v="100000"/>
    <m/>
    <s v="-"/>
    <s v="-"/>
    <m/>
    <m/>
    <s v="0"/>
    <s v="0"/>
    <n v="6"/>
    <n v="1000000"/>
    <n v="900000"/>
    <n v="400000"/>
    <n v="360000"/>
    <s v="DISCAPRIL"/>
    <n v="0.1"/>
    <s v="Promo 4.4"/>
    <s v="Tokopedia"/>
    <x v="0"/>
    <d v="2023-04-03T00:00:00"/>
    <s v="Monday"/>
    <s v="wwww"/>
  </r>
  <r>
    <n v="658"/>
    <s v="ORD-BL0658-16/04/23"/>
    <s v="PP003"/>
    <s v="Pakaian Pria"/>
    <x v="5"/>
    <n v="2"/>
    <n v="3"/>
    <n v="800000"/>
    <n v="300000"/>
    <s v="PW001"/>
    <s v="Pakaian Wanita"/>
    <s v="Dress"/>
    <n v="2"/>
    <n v="5"/>
    <n v="600000"/>
    <n v="200000"/>
    <s v="SP002"/>
    <s v="Sepatu Pria"/>
    <s v="Sandal Slip On"/>
    <n v="1"/>
    <n v="4"/>
    <n v="150000"/>
    <n v="60000"/>
    <n v="5"/>
    <n v="1550000"/>
    <n v="1317500"/>
    <n v="560000"/>
    <n v="476000"/>
    <s v="BUKALEBAR"/>
    <n v="0.15"/>
    <s v="Promo Lebaran"/>
    <s v="Bukalapak"/>
    <x v="1"/>
    <d v="2023-04-16T00:00:00"/>
    <s v="Sunday"/>
    <s v="wwww"/>
  </r>
  <r>
    <n v="659"/>
    <s v="ORD-TK0659-30/04/23"/>
    <s v="PW002"/>
    <s v="Pakaian Wanita"/>
    <x v="1"/>
    <n v="2"/>
    <n v="1"/>
    <n v="300000"/>
    <n v="100000"/>
    <s v="PP003"/>
    <s v="Pakaian Pria"/>
    <s v="Jaket Jeans"/>
    <n v="2"/>
    <n v="2"/>
    <n v="800000"/>
    <n v="300000"/>
    <s v="SP001"/>
    <s v="Sepatu Pria"/>
    <s v="Sneakers"/>
    <n v="2"/>
    <n v="3"/>
    <n v="1000000"/>
    <n v="400000"/>
    <n v="6"/>
    <n v="2100000"/>
    <n v="1890000"/>
    <n v="800000"/>
    <n v="720000"/>
    <s v="LEBAR10"/>
    <n v="0.1"/>
    <s v="Promo Lebaran"/>
    <s v="Tokopedia"/>
    <x v="2"/>
    <d v="2023-04-30T00:00:00"/>
    <s v="Sunday"/>
    <s v="wwww"/>
  </r>
  <r>
    <n v="660"/>
    <s v="ORD-BL0660-14/04/23"/>
    <s v="SW001"/>
    <s v="Sepatu Wanita"/>
    <x v="9"/>
    <n v="3"/>
    <n v="1"/>
    <n v="750000"/>
    <n v="300000"/>
    <s v="PW003"/>
    <s v="Pakaian Wanita"/>
    <s v="Kaftan"/>
    <n v="2"/>
    <n v="1"/>
    <n v="500000"/>
    <n v="200000"/>
    <s v="PW002"/>
    <s v="Pakaian Wanita"/>
    <s v="Blouse"/>
    <n v="1"/>
    <n v="2"/>
    <n v="150000"/>
    <n v="50000"/>
    <n v="6"/>
    <n v="1400000"/>
    <n v="1400000"/>
    <n v="550000"/>
    <n v="550000"/>
    <s v="-"/>
    <s v="-"/>
    <s v="-"/>
    <s v="Bukalapak"/>
    <x v="1"/>
    <d v="2023-04-14T00:00:00"/>
    <s v="Friday"/>
    <s v="wwww"/>
  </r>
  <r>
    <n v="661"/>
    <s v="ORD-SP0661-06/04/23"/>
    <s v="SP002"/>
    <s v="Sepatu Pria"/>
    <x v="8"/>
    <n v="1"/>
    <n v="4"/>
    <n v="150000"/>
    <n v="60000"/>
    <s v="PP003"/>
    <s v="Pakaian Pria"/>
    <s v="Jaket Jeans"/>
    <n v="2"/>
    <n v="3"/>
    <n v="800000"/>
    <n v="300000"/>
    <s v="SP001"/>
    <s v="Sepatu Pria"/>
    <s v="Sneakers"/>
    <n v="2"/>
    <n v="3"/>
    <n v="1000000"/>
    <n v="400000"/>
    <n v="5"/>
    <n v="1950000"/>
    <n v="1755000"/>
    <n v="760000"/>
    <n v="684000"/>
    <s v="DISC10"/>
    <n v="0.1"/>
    <s v="Promo 4.4"/>
    <s v="Shopee"/>
    <x v="3"/>
    <d v="2023-04-06T00:00:00"/>
    <s v="Thursday"/>
    <s v="wwww"/>
  </r>
  <r>
    <n v="662"/>
    <s v="ORD-SP0662-01/04/23"/>
    <s v="PW003"/>
    <s v="Pakaian Wanita"/>
    <x v="2"/>
    <n v="1"/>
    <n v="5"/>
    <n v="250000"/>
    <n v="100000"/>
    <s v="PU001"/>
    <s v="Pakaian Unisex"/>
    <s v="Jaket Hoodie"/>
    <n v="1"/>
    <n v="4"/>
    <n v="350000"/>
    <n v="130000"/>
    <m/>
    <s v="-"/>
    <s v="-"/>
    <m/>
    <m/>
    <s v="0"/>
    <s v="0"/>
    <n v="2"/>
    <n v="600000"/>
    <n v="510000"/>
    <n v="230000"/>
    <n v="195500"/>
    <s v="DISC15"/>
    <n v="0.15"/>
    <s v="Promo 4.4"/>
    <s v="Shopee"/>
    <x v="0"/>
    <d v="2023-04-01T00:00:00"/>
    <s v="Saturday"/>
    <s v="wwww"/>
  </r>
  <r>
    <n v="663"/>
    <s v="ORD-TK0663-21/04/23"/>
    <s v="SP002"/>
    <s v="Sepatu Pria"/>
    <x v="8"/>
    <n v="3"/>
    <n v="4"/>
    <n v="450000"/>
    <n v="180000"/>
    <s v="PP003"/>
    <s v="Pakaian Pria"/>
    <s v="Jaket Jeans"/>
    <n v="1"/>
    <n v="2"/>
    <n v="400000"/>
    <n v="150000"/>
    <m/>
    <s v="-"/>
    <s v="-"/>
    <m/>
    <m/>
    <s v="0"/>
    <s v="0"/>
    <n v="4"/>
    <n v="850000"/>
    <n v="765000"/>
    <n v="330000"/>
    <n v="297000"/>
    <s v="LEBAR10"/>
    <n v="0.1"/>
    <s v="Promo Lebaran"/>
    <s v="Tokopedia"/>
    <x v="4"/>
    <d v="2023-04-21T00:00:00"/>
    <s v="Friday"/>
    <s v="wwww"/>
  </r>
  <r>
    <n v="664"/>
    <s v="ORD-TK0664-26/04/23"/>
    <s v="PP003"/>
    <s v="Pakaian Pria"/>
    <x v="5"/>
    <n v="1"/>
    <n v="1"/>
    <n v="400000"/>
    <n v="150000"/>
    <s v="PW001"/>
    <s v="Pakaian Wanita"/>
    <s v="Dress"/>
    <n v="3"/>
    <n v="4"/>
    <n v="900000"/>
    <n v="300000"/>
    <s v="PP002"/>
    <s v="Pakaian Pria"/>
    <s v="Celana Pendek"/>
    <n v="1"/>
    <n v="3"/>
    <n v="180000"/>
    <n v="70000"/>
    <n v="5"/>
    <n v="1480000"/>
    <n v="1332000"/>
    <n v="520000"/>
    <n v="468000"/>
    <s v="LEBAR10"/>
    <n v="0.1"/>
    <s v="Promo Lebaran"/>
    <s v="Tokopedia"/>
    <x v="1"/>
    <d v="2023-04-26T00:00:00"/>
    <s v="Wednesday"/>
    <s v="wwww"/>
  </r>
  <r>
    <n v="665"/>
    <s v="ORD-SP0665-02/04/23"/>
    <s v="PP003"/>
    <s v="Pakaian Pria"/>
    <x v="5"/>
    <n v="2"/>
    <n v="5"/>
    <n v="800000"/>
    <n v="300000"/>
    <s v="PP002"/>
    <s v="Pakaian Pria"/>
    <s v="Celana Pendek"/>
    <n v="2"/>
    <n v="4"/>
    <n v="360000"/>
    <n v="140000"/>
    <s v="SW001"/>
    <s v="Sepatu Wanita"/>
    <s v="Flat Shoes"/>
    <n v="1"/>
    <n v="5"/>
    <n v="250000"/>
    <n v="100000"/>
    <n v="5"/>
    <n v="1410000"/>
    <n v="1198500"/>
    <n v="540000"/>
    <n v="459000"/>
    <s v="DISC15"/>
    <n v="0.15"/>
    <s v="Promo 4.4"/>
    <s v="Shopee"/>
    <x v="4"/>
    <d v="2023-04-02T00:00:00"/>
    <s v="Sunday"/>
    <s v="wwww"/>
  </r>
  <r>
    <n v="666"/>
    <s v="ORD-SP0666-11/04/23"/>
    <s v="SP002"/>
    <s v="Sepatu Pria"/>
    <x v="8"/>
    <n v="6"/>
    <n v="1"/>
    <n v="900000"/>
    <n v="360000"/>
    <m/>
    <s v="-"/>
    <s v="-"/>
    <m/>
    <m/>
    <s v="0"/>
    <s v="0"/>
    <m/>
    <s v="-"/>
    <s v="-"/>
    <m/>
    <m/>
    <s v="0"/>
    <s v="0"/>
    <n v="6"/>
    <n v="900000"/>
    <n v="900000"/>
    <n v="360000"/>
    <n v="360000"/>
    <s v="-"/>
    <s v="-"/>
    <s v="-"/>
    <s v="Shopee"/>
    <x v="4"/>
    <d v="2023-04-11T00:00:00"/>
    <s v="Tuesday"/>
    <s v="wwww"/>
  </r>
  <r>
    <n v="667"/>
    <s v="ORD-BL0667-25/04/23"/>
    <s v="PW002"/>
    <s v="Pakaian Wanita"/>
    <x v="1"/>
    <n v="5"/>
    <n v="4"/>
    <n v="750000"/>
    <n v="250000"/>
    <m/>
    <s v="-"/>
    <s v="-"/>
    <m/>
    <m/>
    <s v="0"/>
    <s v="0"/>
    <m/>
    <s v="-"/>
    <s v="-"/>
    <m/>
    <m/>
    <s v="0"/>
    <s v="0"/>
    <n v="5"/>
    <n v="750000"/>
    <n v="637500"/>
    <n v="250000"/>
    <n v="212500"/>
    <s v="BUKALEBAR"/>
    <n v="0.15"/>
    <s v="Promo Lebaran"/>
    <s v="Bukalapak"/>
    <x v="1"/>
    <d v="2023-04-25T00:00:00"/>
    <s v="Tuesday"/>
    <s v="wwww"/>
  </r>
  <r>
    <n v="668"/>
    <s v="ORD-BL0668-20/04/23"/>
    <s v="SW001"/>
    <s v="Sepatu Wanita"/>
    <x v="9"/>
    <n v="3"/>
    <n v="1"/>
    <n v="750000"/>
    <n v="300000"/>
    <s v="SP002"/>
    <s v="Sepatu Pria"/>
    <s v="Sandal Slip On"/>
    <n v="1"/>
    <n v="2"/>
    <n v="150000"/>
    <n v="60000"/>
    <m/>
    <s v="-"/>
    <s v="-"/>
    <m/>
    <m/>
    <s v="0"/>
    <s v="0"/>
    <n v="4"/>
    <n v="900000"/>
    <n v="765000"/>
    <n v="360000"/>
    <n v="306000"/>
    <s v="BUKALEBAR"/>
    <n v="0.15"/>
    <s v="Promo Lebaran"/>
    <s v="Bukalapak"/>
    <x v="1"/>
    <d v="2023-04-20T00:00:00"/>
    <s v="Thursday"/>
    <s v="wwww"/>
  </r>
  <r>
    <n v="669"/>
    <s v="ORD-SP0669-26/04/23"/>
    <s v="SW001"/>
    <s v="Sepatu Wanita"/>
    <x v="9"/>
    <n v="2"/>
    <n v="1"/>
    <n v="500000"/>
    <n v="200000"/>
    <m/>
    <s v="-"/>
    <s v="-"/>
    <m/>
    <m/>
    <s v="0"/>
    <s v="0"/>
    <m/>
    <s v="-"/>
    <s v="-"/>
    <m/>
    <m/>
    <s v="0"/>
    <s v="0"/>
    <n v="2"/>
    <n v="500000"/>
    <n v="400000"/>
    <n v="200000"/>
    <n v="160000"/>
    <s v="DISC20"/>
    <n v="0.2"/>
    <s v="Promo Lebaran"/>
    <s v="Shopee"/>
    <x v="4"/>
    <d v="2023-04-26T00:00:00"/>
    <s v="Wednesday"/>
    <s v="wwww"/>
  </r>
  <r>
    <n v="670"/>
    <s v="ORD-BB0670-04/04/23"/>
    <s v="PU001"/>
    <s v="Pakaian Unisex"/>
    <x v="6"/>
    <n v="4"/>
    <n v="5"/>
    <n v="1400000"/>
    <n v="520000"/>
    <s v="SP001"/>
    <s v="Sepatu Pria"/>
    <s v="Sneakers"/>
    <n v="1"/>
    <n v="4"/>
    <n v="500000"/>
    <n v="200000"/>
    <s v="SP002"/>
    <s v="Sepatu Pria"/>
    <s v="Sandal Slip On"/>
    <n v="1"/>
    <n v="2"/>
    <n v="150000"/>
    <n v="60000"/>
    <n v="6"/>
    <n v="2050000"/>
    <n v="1742500"/>
    <n v="780000"/>
    <n v="663000"/>
    <s v="BELI44"/>
    <n v="0.15"/>
    <s v="Promo 4.4"/>
    <s v="BliBli"/>
    <x v="0"/>
    <d v="2023-04-04T00:00:00"/>
    <s v="Tuesday"/>
    <s v="wwww"/>
  </r>
  <r>
    <n v="671"/>
    <s v="ORD-TK0671-03/04/23"/>
    <s v="PP003"/>
    <s v="Pakaian Pria"/>
    <x v="5"/>
    <n v="1"/>
    <n v="1"/>
    <n v="400000"/>
    <n v="150000"/>
    <m/>
    <s v="-"/>
    <s v="-"/>
    <m/>
    <m/>
    <s v="0"/>
    <s v="0"/>
    <m/>
    <s v="-"/>
    <s v="-"/>
    <m/>
    <m/>
    <s v="0"/>
    <s v="0"/>
    <n v="1"/>
    <n v="400000"/>
    <n v="360000"/>
    <n v="150000"/>
    <n v="135000"/>
    <s v="DISCAPRIL"/>
    <n v="0.1"/>
    <s v="Promo 4.4"/>
    <s v="Tokopedia"/>
    <x v="5"/>
    <d v="2023-04-03T00:00:00"/>
    <s v="Monday"/>
    <s v="wwww"/>
  </r>
  <r>
    <n v="672"/>
    <s v="ORD-TK0672-01/04/23"/>
    <s v="PP001"/>
    <s v="Pakaian Pria"/>
    <x v="3"/>
    <n v="1"/>
    <n v="3"/>
    <n v="200000"/>
    <n v="80000"/>
    <m/>
    <s v="-"/>
    <s v="-"/>
    <m/>
    <m/>
    <s v="0"/>
    <s v="0"/>
    <m/>
    <s v="-"/>
    <s v="-"/>
    <m/>
    <m/>
    <s v="0"/>
    <s v="0"/>
    <n v="1"/>
    <n v="200000"/>
    <n v="180000"/>
    <n v="80000"/>
    <n v="72000"/>
    <s v="DISCAPRIL"/>
    <n v="0.1"/>
    <s v="Promo 4.4"/>
    <s v="Tokopedia"/>
    <x v="0"/>
    <d v="2023-04-01T00:00:00"/>
    <s v="Saturday"/>
    <s v="wwww"/>
  </r>
  <r>
    <n v="673"/>
    <s v="ORD-TK0673-26/04/23"/>
    <s v="PW003"/>
    <s v="Pakaian Wanita"/>
    <x v="2"/>
    <n v="1"/>
    <n v="2"/>
    <n v="250000"/>
    <n v="100000"/>
    <m/>
    <s v="-"/>
    <s v="-"/>
    <m/>
    <m/>
    <s v="0"/>
    <s v="0"/>
    <m/>
    <s v="-"/>
    <s v="-"/>
    <m/>
    <m/>
    <s v="0"/>
    <s v="0"/>
    <n v="1"/>
    <n v="250000"/>
    <n v="225000"/>
    <n v="100000"/>
    <n v="90000"/>
    <s v="LEBAR10"/>
    <n v="0.1"/>
    <s v="Promo Lebaran"/>
    <s v="Tokopedia"/>
    <x v="3"/>
    <d v="2023-04-26T00:00:00"/>
    <s v="Wednesday"/>
    <s v="wwww"/>
  </r>
  <r>
    <n v="674"/>
    <s v="ORD-SP0674-04/04/23"/>
    <s v="PU001"/>
    <s v="Pakaian Unisex"/>
    <x v="6"/>
    <n v="3"/>
    <n v="4"/>
    <n v="1050000"/>
    <n v="390000"/>
    <m/>
    <s v="-"/>
    <s v="-"/>
    <m/>
    <m/>
    <s v="0"/>
    <s v="0"/>
    <m/>
    <s v="-"/>
    <s v="-"/>
    <m/>
    <m/>
    <s v="0"/>
    <s v="0"/>
    <n v="3"/>
    <n v="1050000"/>
    <n v="892500"/>
    <n v="390000"/>
    <n v="331500"/>
    <s v="DISC15"/>
    <n v="0.15"/>
    <s v="Promo 4.4"/>
    <s v="Shopee"/>
    <x v="3"/>
    <d v="2023-04-04T00:00:00"/>
    <s v="Tuesday"/>
    <s v="wwww"/>
  </r>
  <r>
    <n v="675"/>
    <s v="ORD-TK0675-01/04/23"/>
    <s v="PW002"/>
    <s v="Pakaian Wanita"/>
    <x v="1"/>
    <n v="1"/>
    <n v="2"/>
    <n v="150000"/>
    <n v="50000"/>
    <s v="SW001"/>
    <s v="Sepatu Wanita"/>
    <s v="Flat Shoes"/>
    <n v="4"/>
    <n v="5"/>
    <n v="1000000"/>
    <n v="400000"/>
    <s v="SP002"/>
    <s v="Sepatu Pria"/>
    <s v="Sandal Slip On"/>
    <n v="1"/>
    <n v="4"/>
    <n v="150000"/>
    <n v="60000"/>
    <n v="6"/>
    <n v="1300000"/>
    <n v="1170000"/>
    <n v="510000"/>
    <n v="459000"/>
    <s v="DISCAPRIL"/>
    <n v="0.1"/>
    <s v="Promo 4.4"/>
    <s v="Tokopedia"/>
    <x v="4"/>
    <d v="2023-04-01T00:00:00"/>
    <s v="Saturday"/>
    <s v="wwww"/>
  </r>
  <r>
    <n v="676"/>
    <s v="ORD-TK0676-30/04/23"/>
    <s v="PP001"/>
    <s v="Pakaian Pria"/>
    <x v="3"/>
    <n v="3"/>
    <n v="4"/>
    <n v="600000"/>
    <n v="240000"/>
    <s v="PP003"/>
    <s v="Pakaian Pria"/>
    <s v="Jaket Jeans"/>
    <n v="2"/>
    <n v="4"/>
    <n v="800000"/>
    <n v="300000"/>
    <m/>
    <s v="-"/>
    <s v="-"/>
    <m/>
    <m/>
    <s v="0"/>
    <s v="0"/>
    <n v="5"/>
    <n v="1400000"/>
    <n v="1260000"/>
    <n v="540000"/>
    <n v="486000"/>
    <s v="LEBAR10"/>
    <n v="0.1"/>
    <s v="Promo Lebaran"/>
    <s v="Tokopedia"/>
    <x v="5"/>
    <d v="2023-04-30T00:00:00"/>
    <s v="Sunday"/>
    <s v="wwww"/>
  </r>
  <r>
    <n v="677"/>
    <s v="ORD-TK0677-04/04/23"/>
    <s v="PP002"/>
    <s v="Pakaian Pria"/>
    <x v="4"/>
    <n v="1"/>
    <n v="4"/>
    <n v="180000"/>
    <n v="70000"/>
    <m/>
    <s v="-"/>
    <s v="-"/>
    <m/>
    <m/>
    <s v="0"/>
    <s v="0"/>
    <m/>
    <s v="-"/>
    <s v="-"/>
    <m/>
    <m/>
    <s v="0"/>
    <s v="0"/>
    <n v="1"/>
    <n v="180000"/>
    <n v="162000"/>
    <n v="70000"/>
    <n v="63000"/>
    <s v="DISCAPRIL"/>
    <n v="0.1"/>
    <s v="Promo 4.4"/>
    <s v="Tokopedia"/>
    <x v="5"/>
    <d v="2023-04-04T00:00:00"/>
    <s v="Tuesday"/>
    <s v="wwww"/>
  </r>
  <r>
    <n v="678"/>
    <s v="ORD-BB0678-04/04/23"/>
    <s v="SP002"/>
    <s v="Sepatu Pria"/>
    <x v="8"/>
    <n v="3"/>
    <n v="5"/>
    <n v="450000"/>
    <n v="180000"/>
    <s v="PP003"/>
    <s v="Pakaian Pria"/>
    <s v="Jaket Jeans"/>
    <n v="2"/>
    <n v="2"/>
    <n v="800000"/>
    <n v="300000"/>
    <s v="SP001"/>
    <s v="Sepatu Pria"/>
    <s v="Sneakers"/>
    <n v="1"/>
    <n v="1"/>
    <n v="500000"/>
    <n v="200000"/>
    <n v="6"/>
    <n v="1750000"/>
    <n v="1487500"/>
    <n v="680000"/>
    <n v="578000"/>
    <s v="BELI44"/>
    <n v="0.15"/>
    <s v="Promo 4.4"/>
    <s v="BliBli"/>
    <x v="3"/>
    <d v="2023-04-04T00:00:00"/>
    <s v="Tuesday"/>
    <s v="wwww"/>
  </r>
  <r>
    <n v="679"/>
    <s v="ORD-BL0679-13/04/23"/>
    <s v="SP002"/>
    <s v="Sepatu Pria"/>
    <x v="8"/>
    <n v="1"/>
    <n v="3"/>
    <n v="150000"/>
    <n v="60000"/>
    <s v="PP002"/>
    <s v="Pakaian Pria"/>
    <s v="Celana Pendek"/>
    <n v="1"/>
    <n v="3"/>
    <n v="180000"/>
    <n v="70000"/>
    <s v="SP002"/>
    <s v="Sepatu Pria"/>
    <s v="Sandal Slip On"/>
    <n v="2"/>
    <n v="2"/>
    <n v="300000"/>
    <n v="120000"/>
    <n v="4"/>
    <n v="630000"/>
    <n v="630000"/>
    <n v="250000"/>
    <n v="250000"/>
    <s v="-"/>
    <s v="-"/>
    <s v="-"/>
    <s v="Bukalapak"/>
    <x v="4"/>
    <d v="2023-04-13T00:00:00"/>
    <s v="Thursday"/>
    <s v="wwww"/>
  </r>
  <r>
    <n v="680"/>
    <s v="ORD-TK0680-03/04/23"/>
    <s v="PW002"/>
    <s v="Pakaian Wanita"/>
    <x v="1"/>
    <n v="2"/>
    <n v="1"/>
    <n v="300000"/>
    <n v="100000"/>
    <s v="PP003"/>
    <s v="Pakaian Pria"/>
    <s v="Jaket Jeans"/>
    <n v="1"/>
    <n v="1"/>
    <n v="400000"/>
    <n v="150000"/>
    <m/>
    <s v="-"/>
    <s v="-"/>
    <m/>
    <m/>
    <s v="0"/>
    <s v="0"/>
    <n v="3"/>
    <n v="700000"/>
    <n v="630000"/>
    <n v="250000"/>
    <n v="225000"/>
    <s v="DISCAPRIL"/>
    <n v="0.1"/>
    <s v="Promo 4.4"/>
    <s v="Tokopedia"/>
    <x v="2"/>
    <d v="2023-04-03T00:00:00"/>
    <s v="Monday"/>
    <s v="wwww"/>
  </r>
  <r>
    <n v="681"/>
    <s v="ORD-BL0681-21/04/23"/>
    <s v="PW001"/>
    <s v="Pakaian Wanita"/>
    <x v="0"/>
    <n v="1"/>
    <n v="4"/>
    <n v="300000"/>
    <n v="100000"/>
    <s v="PP003"/>
    <s v="Pakaian Pria"/>
    <s v="Jaket Jeans"/>
    <n v="3"/>
    <n v="4"/>
    <n v="1200000"/>
    <n v="450000"/>
    <m/>
    <s v="-"/>
    <s v="-"/>
    <m/>
    <m/>
    <s v="0"/>
    <s v="0"/>
    <n v="4"/>
    <n v="1500000"/>
    <n v="1275000"/>
    <n v="550000"/>
    <n v="467500"/>
    <s v="BUKALEBAR"/>
    <n v="0.15"/>
    <s v="Promo Lebaran"/>
    <s v="Bukalapak"/>
    <x v="4"/>
    <d v="2023-04-21T00:00:00"/>
    <s v="Friday"/>
    <s v="wwww"/>
  </r>
  <r>
    <n v="682"/>
    <s v="ORD-SP0682-01/04/23"/>
    <s v="PP003"/>
    <s v="Pakaian Pria"/>
    <x v="5"/>
    <n v="4"/>
    <n v="4"/>
    <n v="1600000"/>
    <n v="600000"/>
    <s v="SW001"/>
    <s v="Sepatu Wanita"/>
    <s v="Flat Shoes"/>
    <n v="2"/>
    <n v="3"/>
    <n v="500000"/>
    <n v="200000"/>
    <m/>
    <s v="-"/>
    <s v="-"/>
    <m/>
    <m/>
    <s v="0"/>
    <s v="0"/>
    <n v="6"/>
    <n v="2100000"/>
    <n v="1890000"/>
    <n v="800000"/>
    <n v="720000"/>
    <s v="DISC10"/>
    <n v="0.1"/>
    <s v="Promo 4.4"/>
    <s v="Shopee"/>
    <x v="2"/>
    <d v="2023-04-01T00:00:00"/>
    <s v="Saturday"/>
    <s v="wwww"/>
  </r>
  <r>
    <n v="683"/>
    <s v="ORD-SP0683-16/04/23"/>
    <s v="PP001"/>
    <s v="Pakaian Pria"/>
    <x v="3"/>
    <n v="5"/>
    <n v="4"/>
    <n v="1000000"/>
    <n v="400000"/>
    <s v="SP002"/>
    <s v="Sepatu Pria"/>
    <s v="Sandal Slip On"/>
    <n v="1"/>
    <n v="4"/>
    <n v="150000"/>
    <n v="60000"/>
    <m/>
    <s v="-"/>
    <s v="-"/>
    <m/>
    <m/>
    <s v="0"/>
    <s v="0"/>
    <n v="6"/>
    <n v="1150000"/>
    <n v="920000"/>
    <n v="460000"/>
    <n v="368000"/>
    <s v="DISC20"/>
    <n v="0.2"/>
    <s v="Promo Lebaran"/>
    <s v="Shopee"/>
    <x v="3"/>
    <d v="2023-04-16T00:00:00"/>
    <s v="Sunday"/>
    <s v="wwww"/>
  </r>
  <r>
    <n v="684"/>
    <s v="ORD-SP0684-29/04/23"/>
    <s v="PU001"/>
    <s v="Pakaian Unisex"/>
    <x v="6"/>
    <n v="2"/>
    <n v="4"/>
    <n v="700000"/>
    <n v="260000"/>
    <s v="SP001"/>
    <s v="Sepatu Pria"/>
    <s v="Sneakers"/>
    <n v="1"/>
    <n v="2"/>
    <n v="500000"/>
    <n v="200000"/>
    <m/>
    <s v="-"/>
    <s v="-"/>
    <m/>
    <m/>
    <s v="0"/>
    <s v="0"/>
    <n v="3"/>
    <n v="1200000"/>
    <n v="960000"/>
    <n v="460000"/>
    <n v="368000"/>
    <s v="DISC20"/>
    <n v="0.2"/>
    <s v="Promo Lebaran"/>
    <s v="Shopee"/>
    <x v="4"/>
    <d v="2023-04-29T00:00:00"/>
    <s v="Saturday"/>
    <s v="wwww"/>
  </r>
  <r>
    <n v="685"/>
    <s v="ORD-BL0685-30/04/23"/>
    <s v="SP002"/>
    <s v="Sepatu Pria"/>
    <x v="8"/>
    <n v="3"/>
    <n v="1"/>
    <n v="450000"/>
    <n v="180000"/>
    <m/>
    <s v="-"/>
    <s v="-"/>
    <m/>
    <m/>
    <s v="0"/>
    <s v="0"/>
    <m/>
    <s v="-"/>
    <s v="-"/>
    <m/>
    <m/>
    <s v="0"/>
    <s v="0"/>
    <n v="3"/>
    <n v="450000"/>
    <n v="382500"/>
    <n v="180000"/>
    <n v="153000"/>
    <s v="BUKALEBAR"/>
    <n v="0.15"/>
    <s v="Promo Lebaran"/>
    <s v="Bukalapak"/>
    <x v="4"/>
    <d v="2023-04-30T00:00:00"/>
    <s v="Sunday"/>
    <s v="wwww"/>
  </r>
  <r>
    <n v="686"/>
    <s v="ORD-SP0686-09/04/23"/>
    <s v="PW001"/>
    <s v="Pakaian Wanita"/>
    <x v="0"/>
    <n v="2"/>
    <n v="5"/>
    <n v="600000"/>
    <n v="200000"/>
    <s v="PU001"/>
    <s v="Pakaian Unisex"/>
    <s v="Jaket Hoodie"/>
    <n v="5"/>
    <n v="5"/>
    <n v="1750000"/>
    <n v="650000"/>
    <m/>
    <s v="-"/>
    <s v="-"/>
    <m/>
    <m/>
    <s v="0"/>
    <s v="0"/>
    <n v="7"/>
    <n v="2350000"/>
    <n v="2350000"/>
    <n v="850000"/>
    <n v="850000"/>
    <s v="-"/>
    <s v="-"/>
    <s v="-"/>
    <s v="Shopee"/>
    <x v="0"/>
    <d v="2023-04-09T00:00:00"/>
    <s v="Sunday"/>
    <s v="wwww"/>
  </r>
  <r>
    <n v="687"/>
    <s v="ORD-SP0687-23/04/23"/>
    <s v="PW003"/>
    <s v="Pakaian Wanita"/>
    <x v="2"/>
    <n v="3"/>
    <n v="3"/>
    <n v="750000"/>
    <n v="300000"/>
    <m/>
    <s v="-"/>
    <s v="-"/>
    <m/>
    <m/>
    <s v="0"/>
    <s v="0"/>
    <m/>
    <s v="-"/>
    <s v="-"/>
    <m/>
    <m/>
    <s v="0"/>
    <s v="0"/>
    <n v="3"/>
    <n v="750000"/>
    <n v="600000"/>
    <n v="300000"/>
    <n v="240000"/>
    <s v="DISC20"/>
    <n v="0.2"/>
    <s v="Promo Lebaran"/>
    <s v="Shopee"/>
    <x v="4"/>
    <d v="2023-04-23T00:00:00"/>
    <s v="Sunday"/>
    <s v="wwww"/>
  </r>
  <r>
    <n v="688"/>
    <s v="ORD-SP0688-26/04/23"/>
    <s v="PU001"/>
    <s v="Pakaian Unisex"/>
    <x v="6"/>
    <n v="4"/>
    <n v="2"/>
    <n v="1400000"/>
    <n v="520000"/>
    <s v="PP002"/>
    <s v="Pakaian Pria"/>
    <s v="Celana Pendek"/>
    <n v="1"/>
    <n v="2"/>
    <n v="180000"/>
    <n v="70000"/>
    <m/>
    <s v="-"/>
    <s v="-"/>
    <m/>
    <m/>
    <s v="0"/>
    <s v="0"/>
    <n v="5"/>
    <n v="1580000"/>
    <n v="1264000"/>
    <n v="590000"/>
    <n v="472000"/>
    <s v="DISC20"/>
    <n v="0.2"/>
    <s v="Promo Lebaran"/>
    <s v="Shopee"/>
    <x v="5"/>
    <d v="2023-04-26T00:00:00"/>
    <s v="Wednesday"/>
    <s v="wwww"/>
  </r>
  <r>
    <n v="689"/>
    <s v="ORD-BB0689-09/04/23"/>
    <s v="PU001"/>
    <s v="Pakaian Unisex"/>
    <x v="6"/>
    <n v="1"/>
    <n v="4"/>
    <n v="350000"/>
    <n v="130000"/>
    <m/>
    <s v="-"/>
    <s v="-"/>
    <m/>
    <m/>
    <s v="0"/>
    <s v="0"/>
    <m/>
    <s v="-"/>
    <s v="-"/>
    <m/>
    <m/>
    <s v="0"/>
    <s v="0"/>
    <n v="1"/>
    <n v="350000"/>
    <n v="350000"/>
    <n v="130000"/>
    <n v="130000"/>
    <s v="-"/>
    <s v="-"/>
    <s v="-"/>
    <s v="BliBli"/>
    <x v="5"/>
    <d v="2023-04-09T00:00:00"/>
    <s v="Sunday"/>
    <s v="wwww"/>
  </r>
  <r>
    <n v="690"/>
    <s v="ORD-SP0690-26/04/23"/>
    <s v="PP003"/>
    <s v="Pakaian Pria"/>
    <x v="5"/>
    <n v="3"/>
    <n v="4"/>
    <n v="1200000"/>
    <n v="450000"/>
    <s v="PP001"/>
    <s v="Pakaian Pria"/>
    <s v="Kaos Polo"/>
    <n v="2"/>
    <n v="5"/>
    <n v="400000"/>
    <n v="160000"/>
    <m/>
    <s v="-"/>
    <s v="-"/>
    <m/>
    <m/>
    <s v="0"/>
    <s v="0"/>
    <n v="5"/>
    <n v="1600000"/>
    <n v="1280000"/>
    <n v="610000"/>
    <n v="488000"/>
    <s v="DISC20"/>
    <n v="0.2"/>
    <s v="Promo Lebaran"/>
    <s v="Shopee"/>
    <x v="4"/>
    <d v="2023-04-26T00:00:00"/>
    <s v="Wednesday"/>
    <s v="wwww"/>
  </r>
  <r>
    <n v="691"/>
    <s v="ORD-SP0691-04/04/23"/>
    <s v="PW003"/>
    <s v="Pakaian Wanita"/>
    <x v="2"/>
    <n v="3"/>
    <n v="4"/>
    <n v="750000"/>
    <n v="300000"/>
    <s v="SP001"/>
    <s v="Sepatu Pria"/>
    <s v="Sneakers"/>
    <n v="3"/>
    <n v="3"/>
    <n v="1500000"/>
    <n v="600000"/>
    <s v="PW001"/>
    <s v="Pakaian Wanita"/>
    <s v="Dress"/>
    <n v="1"/>
    <n v="2"/>
    <n v="300000"/>
    <n v="100000"/>
    <n v="7"/>
    <n v="2550000"/>
    <n v="2167500"/>
    <n v="1000000"/>
    <n v="850000"/>
    <s v="DISC15"/>
    <n v="0.15"/>
    <s v="Promo 4.4"/>
    <s v="Shopee"/>
    <x v="1"/>
    <d v="2023-04-04T00:00:00"/>
    <s v="Tuesday"/>
    <s v="wwww"/>
  </r>
  <r>
    <n v="692"/>
    <s v="ORD-SP0692-04/04/23"/>
    <s v="SP002"/>
    <s v="Sepatu Pria"/>
    <x v="8"/>
    <n v="1"/>
    <n v="3"/>
    <n v="150000"/>
    <n v="60000"/>
    <s v="SP001"/>
    <s v="Sepatu Pria"/>
    <s v="Sneakers"/>
    <n v="2"/>
    <n v="2"/>
    <n v="1000000"/>
    <n v="400000"/>
    <s v="PW001"/>
    <s v="Pakaian Wanita"/>
    <s v="Dress"/>
    <n v="3"/>
    <n v="4"/>
    <n v="900000"/>
    <n v="300000"/>
    <n v="6"/>
    <n v="2050000"/>
    <n v="1742500"/>
    <n v="760000"/>
    <n v="646000"/>
    <s v="DISC15"/>
    <n v="0.15"/>
    <s v="Promo 4.4"/>
    <s v="Shopee"/>
    <x v="3"/>
    <d v="2023-04-04T00:00:00"/>
    <s v="Tuesday"/>
    <s v="wwww"/>
  </r>
  <r>
    <n v="693"/>
    <s v="ORD-SP0693-04/04/23"/>
    <s v="PW003"/>
    <s v="Pakaian Wanita"/>
    <x v="2"/>
    <n v="4"/>
    <n v="2"/>
    <n v="1000000"/>
    <n v="400000"/>
    <s v="PW002"/>
    <s v="Pakaian Wanita"/>
    <s v="Blouse"/>
    <n v="1"/>
    <n v="5"/>
    <n v="150000"/>
    <n v="50000"/>
    <m/>
    <s v="-"/>
    <s v="-"/>
    <m/>
    <m/>
    <s v="0"/>
    <s v="0"/>
    <n v="5"/>
    <n v="1150000"/>
    <n v="977500"/>
    <n v="450000"/>
    <n v="382500"/>
    <s v="DISC15"/>
    <n v="0.15"/>
    <s v="Promo 4.4"/>
    <s v="Shopee"/>
    <x v="3"/>
    <d v="2023-04-04T00:00:00"/>
    <s v="Tuesday"/>
    <s v="wwww"/>
  </r>
  <r>
    <n v="694"/>
    <s v="ORD-SP0694-01/04/23"/>
    <s v="PW001"/>
    <s v="Pakaian Wanita"/>
    <x v="0"/>
    <n v="3"/>
    <n v="4"/>
    <n v="900000"/>
    <n v="300000"/>
    <m/>
    <s v="-"/>
    <s v="-"/>
    <m/>
    <m/>
    <s v="0"/>
    <s v="0"/>
    <m/>
    <s v="-"/>
    <s v="-"/>
    <m/>
    <m/>
    <s v="0"/>
    <s v="0"/>
    <n v="3"/>
    <n v="900000"/>
    <n v="765000"/>
    <n v="300000"/>
    <n v="255000"/>
    <s v="DISC15"/>
    <n v="0.15"/>
    <s v="Promo 4.4"/>
    <s v="Shopee"/>
    <x v="0"/>
    <d v="2023-04-01T00:00:00"/>
    <s v="Saturday"/>
    <s v="wwww"/>
  </r>
  <r>
    <n v="695"/>
    <s v="ORD-BB0695-15/04/23"/>
    <s v="PP003"/>
    <s v="Pakaian Pria"/>
    <x v="5"/>
    <n v="1"/>
    <n v="5"/>
    <n v="400000"/>
    <n v="150000"/>
    <s v="SP002"/>
    <s v="Sepatu Pria"/>
    <s v="Sandal Slip On"/>
    <n v="1"/>
    <n v="4"/>
    <n v="150000"/>
    <n v="60000"/>
    <m/>
    <s v="-"/>
    <s v="-"/>
    <m/>
    <m/>
    <s v="0"/>
    <s v="0"/>
    <n v="2"/>
    <n v="550000"/>
    <n v="550000"/>
    <n v="210000"/>
    <n v="210000"/>
    <s v="-"/>
    <s v="-"/>
    <s v="-"/>
    <s v="BliBli"/>
    <x v="0"/>
    <d v="2023-04-15T00:00:00"/>
    <s v="Saturday"/>
    <s v="wwww"/>
  </r>
  <r>
    <n v="696"/>
    <s v="ORD-SP0696-06/04/23"/>
    <s v="PW001"/>
    <s v="Pakaian Wanita"/>
    <x v="0"/>
    <n v="1"/>
    <n v="4"/>
    <n v="300000"/>
    <n v="100000"/>
    <m/>
    <s v="-"/>
    <s v="-"/>
    <m/>
    <m/>
    <s v="0"/>
    <s v="0"/>
    <m/>
    <s v="-"/>
    <s v="-"/>
    <m/>
    <m/>
    <s v="0"/>
    <s v="0"/>
    <n v="1"/>
    <n v="300000"/>
    <n v="255000"/>
    <n v="100000"/>
    <n v="85000"/>
    <s v="DISC15"/>
    <n v="0.15"/>
    <s v="Promo 4.4"/>
    <s v="Shopee"/>
    <x v="2"/>
    <d v="2023-04-06T00:00:00"/>
    <s v="Thursday"/>
    <s v="wwww"/>
  </r>
  <r>
    <n v="697"/>
    <s v="ORD-TK0697-03/04/23"/>
    <s v="SP001"/>
    <s v="Sepatu Pria"/>
    <x v="7"/>
    <n v="2"/>
    <n v="3"/>
    <n v="1000000"/>
    <n v="400000"/>
    <m/>
    <s v="-"/>
    <s v="-"/>
    <m/>
    <m/>
    <s v="0"/>
    <s v="0"/>
    <m/>
    <s v="-"/>
    <s v="-"/>
    <m/>
    <m/>
    <s v="0"/>
    <s v="0"/>
    <n v="2"/>
    <n v="1000000"/>
    <n v="900000"/>
    <n v="400000"/>
    <n v="360000"/>
    <s v="DISCAPRIL"/>
    <n v="0.1"/>
    <s v="Promo 4.4"/>
    <s v="Tokopedia"/>
    <x v="1"/>
    <d v="2023-04-03T00:00:00"/>
    <s v="Monday"/>
    <s v="wwww"/>
  </r>
  <r>
    <n v="698"/>
    <s v="ORD-BL0698-30/04/23"/>
    <s v="PP002"/>
    <s v="Pakaian Pria"/>
    <x v="4"/>
    <n v="2"/>
    <n v="5"/>
    <n v="360000"/>
    <n v="140000"/>
    <m/>
    <s v="-"/>
    <s v="-"/>
    <m/>
    <m/>
    <s v="0"/>
    <s v="0"/>
    <m/>
    <s v="-"/>
    <s v="-"/>
    <m/>
    <m/>
    <s v="0"/>
    <s v="0"/>
    <n v="2"/>
    <n v="360000"/>
    <n v="306000"/>
    <n v="140000"/>
    <n v="119000"/>
    <s v="BUKALEBAR"/>
    <n v="0.15"/>
    <s v="Promo Lebaran"/>
    <s v="Bukalapak"/>
    <x v="5"/>
    <d v="2023-04-30T00:00:00"/>
    <s v="Sunday"/>
    <s v="wwww"/>
  </r>
  <r>
    <n v="699"/>
    <s v="ORD-TK0699-25/04/23"/>
    <s v="PP001"/>
    <s v="Pakaian Pria"/>
    <x v="3"/>
    <n v="4"/>
    <n v="2"/>
    <n v="800000"/>
    <n v="320000"/>
    <s v="SP002"/>
    <s v="Sepatu Pria"/>
    <s v="Sandal Slip On"/>
    <n v="1"/>
    <n v="1"/>
    <n v="150000"/>
    <n v="60000"/>
    <s v="PW001"/>
    <s v="Pakaian Wanita"/>
    <s v="Dress"/>
    <n v="2"/>
    <n v="1"/>
    <n v="600000"/>
    <n v="200000"/>
    <n v="7"/>
    <n v="1550000"/>
    <n v="1395000"/>
    <n v="580000"/>
    <n v="522000"/>
    <s v="LEBAR10"/>
    <n v="0.1"/>
    <s v="Promo Lebaran"/>
    <s v="Tokopedia"/>
    <x v="5"/>
    <d v="2023-04-25T00:00:00"/>
    <s v="Tuesday"/>
    <s v="wwww"/>
  </r>
  <r>
    <n v="700"/>
    <s v="ORD-SP0700-04/04/23"/>
    <s v="SW001"/>
    <s v="Sepatu Wanita"/>
    <x v="9"/>
    <n v="6"/>
    <n v="4"/>
    <n v="1500000"/>
    <n v="600000"/>
    <s v="SP002"/>
    <s v="Sepatu Pria"/>
    <s v="Sandal Slip On"/>
    <n v="1"/>
    <n v="3"/>
    <n v="150000"/>
    <n v="60000"/>
    <m/>
    <s v="-"/>
    <s v="-"/>
    <m/>
    <m/>
    <s v="0"/>
    <s v="0"/>
    <n v="7"/>
    <n v="1650000"/>
    <n v="1485000"/>
    <n v="660000"/>
    <n v="594000"/>
    <s v="DISC10"/>
    <n v="0.1"/>
    <s v="Promo 4.4"/>
    <s v="Shopee"/>
    <x v="0"/>
    <d v="2023-04-04T00:00:00"/>
    <s v="Tuesday"/>
    <s v="wwww"/>
  </r>
  <r>
    <n v="701"/>
    <s v="ORD-TK0701-19/04/23"/>
    <s v="PP003"/>
    <s v="Pakaian Pria"/>
    <x v="5"/>
    <n v="1"/>
    <n v="5"/>
    <n v="400000"/>
    <n v="150000"/>
    <m/>
    <s v="-"/>
    <s v="-"/>
    <m/>
    <m/>
    <s v="0"/>
    <s v="0"/>
    <m/>
    <s v="-"/>
    <s v="-"/>
    <m/>
    <m/>
    <s v="0"/>
    <s v="0"/>
    <n v="1"/>
    <n v="400000"/>
    <n v="360000"/>
    <n v="150000"/>
    <n v="135000"/>
    <s v="LEBAR10"/>
    <n v="0.1"/>
    <s v="Promo Lebaran"/>
    <s v="Tokopedia"/>
    <x v="4"/>
    <d v="2023-04-19T00:00:00"/>
    <s v="Wednesday"/>
    <s v="wwww"/>
  </r>
  <r>
    <n v="702"/>
    <s v="ORD-SP0702-28/04/23"/>
    <s v="SW001"/>
    <s v="Sepatu Wanita"/>
    <x v="9"/>
    <n v="1"/>
    <n v="1"/>
    <n v="250000"/>
    <n v="100000"/>
    <s v="PW001"/>
    <s v="Pakaian Wanita"/>
    <s v="Dress"/>
    <n v="2"/>
    <n v="3"/>
    <n v="600000"/>
    <n v="200000"/>
    <s v="PP002"/>
    <s v="Pakaian Pria"/>
    <s v="Celana Pendek"/>
    <n v="1"/>
    <n v="4"/>
    <n v="180000"/>
    <n v="70000"/>
    <n v="4"/>
    <n v="1030000"/>
    <n v="824000"/>
    <n v="370000"/>
    <n v="296000"/>
    <s v="DISC20"/>
    <n v="0.2"/>
    <s v="Promo Lebaran"/>
    <s v="Shopee"/>
    <x v="0"/>
    <d v="2023-04-28T00:00:00"/>
    <s v="Friday"/>
    <s v="wwww"/>
  </r>
  <r>
    <n v="703"/>
    <s v="ORD-TK0703-06/04/23"/>
    <s v="PP001"/>
    <s v="Pakaian Pria"/>
    <x v="3"/>
    <n v="1"/>
    <n v="2"/>
    <n v="200000"/>
    <n v="80000"/>
    <m/>
    <s v="-"/>
    <s v="-"/>
    <m/>
    <m/>
    <s v="0"/>
    <s v="0"/>
    <m/>
    <s v="-"/>
    <s v="-"/>
    <m/>
    <m/>
    <s v="0"/>
    <s v="0"/>
    <n v="1"/>
    <n v="200000"/>
    <n v="180000"/>
    <n v="80000"/>
    <n v="72000"/>
    <s v="DISCAPRIL"/>
    <n v="0.1"/>
    <s v="Promo 4.4"/>
    <s v="Tokopedia"/>
    <x v="1"/>
    <d v="2023-04-06T00:00:00"/>
    <s v="Thursday"/>
    <s v="wwww"/>
  </r>
  <r>
    <n v="704"/>
    <s v="ORD-TK0704-01/04/23"/>
    <s v="PW001"/>
    <s v="Pakaian Wanita"/>
    <x v="0"/>
    <n v="4"/>
    <n v="2"/>
    <n v="1200000"/>
    <n v="400000"/>
    <s v="SP001"/>
    <s v="Sepatu Pria"/>
    <s v="Sneakers"/>
    <n v="3"/>
    <n v="2"/>
    <n v="1500000"/>
    <n v="600000"/>
    <m/>
    <s v="-"/>
    <s v="-"/>
    <m/>
    <m/>
    <s v="0"/>
    <s v="0"/>
    <n v="7"/>
    <n v="2700000"/>
    <n v="2430000"/>
    <n v="1000000"/>
    <n v="900000"/>
    <s v="DISCAPRIL"/>
    <n v="0.1"/>
    <s v="Promo 4.4"/>
    <s v="Tokopedia"/>
    <x v="1"/>
    <d v="2023-04-01T00:00:00"/>
    <s v="Saturday"/>
    <s v="wwww"/>
  </r>
  <r>
    <n v="705"/>
    <s v="ORD-TK0705-30/04/23"/>
    <s v="PP001"/>
    <s v="Pakaian Pria"/>
    <x v="3"/>
    <n v="2"/>
    <n v="3"/>
    <n v="400000"/>
    <n v="160000"/>
    <m/>
    <s v="-"/>
    <s v="-"/>
    <m/>
    <m/>
    <s v="0"/>
    <s v="0"/>
    <m/>
    <s v="-"/>
    <s v="-"/>
    <m/>
    <m/>
    <s v="0"/>
    <s v="0"/>
    <n v="2"/>
    <n v="400000"/>
    <n v="360000"/>
    <n v="160000"/>
    <n v="144000"/>
    <s v="LEBAR10"/>
    <n v="0.1"/>
    <s v="Promo Lebaran"/>
    <s v="Tokopedia"/>
    <x v="2"/>
    <d v="2023-04-30T00:00:00"/>
    <s v="Sunday"/>
    <s v="wwww"/>
  </r>
  <r>
    <n v="706"/>
    <s v="ORD-TK0706-02/04/23"/>
    <s v="PP003"/>
    <s v="Pakaian Pria"/>
    <x v="5"/>
    <n v="2"/>
    <n v="2"/>
    <n v="800000"/>
    <n v="300000"/>
    <s v="PW001"/>
    <s v="Pakaian Wanita"/>
    <s v="Dress"/>
    <n v="4"/>
    <n v="5"/>
    <n v="1200000"/>
    <n v="400000"/>
    <m/>
    <s v="-"/>
    <s v="-"/>
    <m/>
    <m/>
    <s v="0"/>
    <s v="0"/>
    <n v="6"/>
    <n v="2000000"/>
    <n v="1800000"/>
    <n v="700000"/>
    <n v="630000"/>
    <s v="DISCAPRIL"/>
    <n v="0.1"/>
    <s v="Promo 4.4"/>
    <s v="Tokopedia"/>
    <x v="5"/>
    <d v="2023-04-02T00:00:00"/>
    <s v="Sunday"/>
    <s v="wwww"/>
  </r>
  <r>
    <n v="707"/>
    <s v="ORD-SP0707-06/04/23"/>
    <s v="PW002"/>
    <s v="Pakaian Wanita"/>
    <x v="1"/>
    <n v="4"/>
    <n v="3"/>
    <n v="600000"/>
    <n v="200000"/>
    <m/>
    <s v="-"/>
    <s v="-"/>
    <m/>
    <m/>
    <s v="0"/>
    <s v="0"/>
    <m/>
    <s v="-"/>
    <s v="-"/>
    <m/>
    <m/>
    <s v="0"/>
    <s v="0"/>
    <n v="4"/>
    <n v="600000"/>
    <n v="540000"/>
    <n v="200000"/>
    <n v="180000"/>
    <s v="DISC10"/>
    <n v="0.1"/>
    <s v="Promo 4.4"/>
    <s v="Shopee"/>
    <x v="5"/>
    <d v="2023-04-06T00:00:00"/>
    <s v="Thursday"/>
    <s v="wwww"/>
  </r>
  <r>
    <n v="708"/>
    <s v="ORD-SP0708-05/04/23"/>
    <s v="SW001"/>
    <s v="Sepatu Wanita"/>
    <x v="9"/>
    <n v="2"/>
    <n v="4"/>
    <n v="500000"/>
    <n v="200000"/>
    <s v="PP003"/>
    <s v="Pakaian Pria"/>
    <s v="Jaket Jeans"/>
    <n v="3"/>
    <n v="4"/>
    <n v="1200000"/>
    <n v="450000"/>
    <s v="SW001"/>
    <s v="Sepatu Wanita"/>
    <s v="Flat Shoes"/>
    <n v="2"/>
    <n v="3"/>
    <n v="500000"/>
    <n v="200000"/>
    <n v="7"/>
    <n v="2200000"/>
    <n v="1980000"/>
    <n v="850000"/>
    <n v="765000"/>
    <s v="DISC10"/>
    <n v="0.1"/>
    <s v="Promo 4.4"/>
    <s v="Shopee"/>
    <x v="5"/>
    <d v="2023-04-05T00:00:00"/>
    <s v="Wednesday"/>
    <s v="wwww"/>
  </r>
  <r>
    <n v="709"/>
    <s v="ORD-BB0709-06/04/23"/>
    <s v="SP002"/>
    <s v="Sepatu Pria"/>
    <x v="8"/>
    <n v="1"/>
    <n v="2"/>
    <n v="150000"/>
    <n v="60000"/>
    <s v="PW003"/>
    <s v="Pakaian Wanita"/>
    <s v="Kaftan"/>
    <n v="1"/>
    <n v="5"/>
    <n v="250000"/>
    <n v="100000"/>
    <m/>
    <s v="-"/>
    <s v="-"/>
    <m/>
    <m/>
    <s v="0"/>
    <s v="0"/>
    <n v="2"/>
    <n v="400000"/>
    <n v="340000"/>
    <n v="160000"/>
    <n v="136000"/>
    <s v="BELI44"/>
    <n v="0.15"/>
    <s v="Promo 4.4"/>
    <s v="BliBli"/>
    <x v="4"/>
    <d v="2023-04-06T00:00:00"/>
    <s v="Thursday"/>
    <s v="wwww"/>
  </r>
  <r>
    <n v="710"/>
    <s v="ORD-SP0710-19/04/23"/>
    <s v="PP003"/>
    <s v="Pakaian Pria"/>
    <x v="5"/>
    <n v="2"/>
    <n v="4"/>
    <n v="800000"/>
    <n v="300000"/>
    <m/>
    <s v="-"/>
    <s v="-"/>
    <m/>
    <m/>
    <s v="0"/>
    <s v="0"/>
    <m/>
    <s v="-"/>
    <s v="-"/>
    <m/>
    <m/>
    <s v="0"/>
    <s v="0"/>
    <n v="2"/>
    <n v="800000"/>
    <n v="640000"/>
    <n v="300000"/>
    <n v="240000"/>
    <s v="DISC20"/>
    <n v="0.2"/>
    <s v="Promo Lebaran"/>
    <s v="Shopee"/>
    <x v="4"/>
    <d v="2023-04-19T00:00:00"/>
    <s v="Wednesday"/>
    <s v="wwww"/>
  </r>
  <r>
    <n v="711"/>
    <s v="ORD-TK0711-23/04/23"/>
    <s v="PW001"/>
    <s v="Pakaian Wanita"/>
    <x v="0"/>
    <n v="2"/>
    <n v="5"/>
    <n v="600000"/>
    <n v="200000"/>
    <s v="SP002"/>
    <s v="Sepatu Pria"/>
    <s v="Sandal Slip On"/>
    <n v="3"/>
    <n v="2"/>
    <n v="450000"/>
    <n v="180000"/>
    <s v="PW003"/>
    <s v="Pakaian Wanita"/>
    <s v="Kaftan"/>
    <n v="2"/>
    <n v="4"/>
    <n v="500000"/>
    <n v="200000"/>
    <n v="7"/>
    <n v="1550000"/>
    <n v="1395000"/>
    <n v="580000"/>
    <n v="522000"/>
    <s v="LEBAR10"/>
    <n v="0.1"/>
    <s v="Promo Lebaran"/>
    <s v="Tokopedia"/>
    <x v="1"/>
    <d v="2023-04-23T00:00:00"/>
    <s v="Sunday"/>
    <s v="wwww"/>
  </r>
  <r>
    <n v="712"/>
    <s v="ORD-BB0712-06/04/23"/>
    <s v="SP001"/>
    <s v="Sepatu Pria"/>
    <x v="7"/>
    <n v="4"/>
    <n v="5"/>
    <n v="2000000"/>
    <n v="800000"/>
    <m/>
    <s v="-"/>
    <s v="-"/>
    <m/>
    <m/>
    <s v="0"/>
    <s v="0"/>
    <m/>
    <s v="-"/>
    <s v="-"/>
    <m/>
    <m/>
    <s v="0"/>
    <s v="0"/>
    <n v="4"/>
    <n v="2000000"/>
    <n v="1700000"/>
    <n v="800000"/>
    <n v="680000"/>
    <s v="BELI44"/>
    <n v="0.15"/>
    <s v="Promo 4.4"/>
    <s v="BliBli"/>
    <x v="4"/>
    <d v="2023-04-06T00:00:00"/>
    <s v="Thursday"/>
    <s v="wwww"/>
  </r>
  <r>
    <n v="713"/>
    <s v="ORD-SP0713-06/04/23"/>
    <s v="PP002"/>
    <s v="Pakaian Pria"/>
    <x v="4"/>
    <n v="4"/>
    <n v="1"/>
    <n v="720000"/>
    <n v="280000"/>
    <s v="PP001"/>
    <s v="Pakaian Pria"/>
    <s v="Kaos Polo"/>
    <n v="3"/>
    <n v="2"/>
    <n v="600000"/>
    <n v="240000"/>
    <m/>
    <s v="-"/>
    <s v="-"/>
    <m/>
    <m/>
    <s v="0"/>
    <s v="0"/>
    <n v="7"/>
    <n v="1320000"/>
    <n v="1122000"/>
    <n v="520000"/>
    <n v="442000"/>
    <s v="DISC15"/>
    <n v="0.15"/>
    <s v="Promo 4.4"/>
    <s v="Shopee"/>
    <x v="3"/>
    <d v="2023-04-06T00:00:00"/>
    <s v="Thursday"/>
    <s v="wwww"/>
  </r>
  <r>
    <n v="714"/>
    <s v="ORD-SP0714-17/04/23"/>
    <s v="PP001"/>
    <s v="Pakaian Pria"/>
    <x v="3"/>
    <n v="2"/>
    <n v="2"/>
    <n v="400000"/>
    <n v="160000"/>
    <s v="SP002"/>
    <s v="Sepatu Pria"/>
    <s v="Sandal Slip On"/>
    <n v="1"/>
    <n v="3"/>
    <n v="150000"/>
    <n v="60000"/>
    <m/>
    <s v="-"/>
    <s v="-"/>
    <m/>
    <m/>
    <s v="0"/>
    <s v="0"/>
    <n v="3"/>
    <n v="550000"/>
    <n v="440000"/>
    <n v="220000"/>
    <n v="176000"/>
    <s v="DISC20"/>
    <n v="0.2"/>
    <s v="Promo Lebaran"/>
    <s v="Shopee"/>
    <x v="3"/>
    <d v="2023-04-17T00:00:00"/>
    <s v="Monday"/>
    <s v="wwww"/>
  </r>
  <r>
    <n v="715"/>
    <s v="ORD-SP0715-21/04/23"/>
    <s v="PW001"/>
    <s v="Pakaian Wanita"/>
    <x v="0"/>
    <n v="2"/>
    <n v="5"/>
    <n v="600000"/>
    <n v="200000"/>
    <s v="SW001"/>
    <s v="Sepatu Wanita"/>
    <s v="Flat Shoes"/>
    <n v="2"/>
    <n v="1"/>
    <n v="500000"/>
    <n v="200000"/>
    <s v="SP002"/>
    <s v="Sepatu Pria"/>
    <s v="Sandal Slip On"/>
    <n v="3"/>
    <n v="5"/>
    <n v="450000"/>
    <n v="180000"/>
    <n v="7"/>
    <n v="1550000"/>
    <n v="1240000"/>
    <n v="580000"/>
    <n v="464000"/>
    <s v="DISC20"/>
    <n v="0.2"/>
    <s v="Promo Lebaran"/>
    <s v="Shopee"/>
    <x v="4"/>
    <d v="2023-04-21T00:00:00"/>
    <s v="Friday"/>
    <s v="wwww"/>
  </r>
  <r>
    <n v="716"/>
    <s v="ORD-SP0716-06/04/23"/>
    <s v="SP001"/>
    <s v="Sepatu Pria"/>
    <x v="7"/>
    <n v="7"/>
    <n v="4"/>
    <n v="3500000"/>
    <n v="1400000"/>
    <m/>
    <s v="-"/>
    <s v="-"/>
    <m/>
    <m/>
    <s v="0"/>
    <s v="0"/>
    <m/>
    <s v="-"/>
    <s v="-"/>
    <m/>
    <m/>
    <s v="0"/>
    <s v="0"/>
    <n v="7"/>
    <n v="3500000"/>
    <n v="2975000"/>
    <n v="1400000"/>
    <n v="1190000"/>
    <s v="DISC15"/>
    <n v="0.15"/>
    <s v="Promo 4.4"/>
    <s v="Shopee"/>
    <x v="4"/>
    <d v="2023-04-06T00:00:00"/>
    <s v="Thursday"/>
    <s v="wwww"/>
  </r>
  <r>
    <n v="717"/>
    <s v="ORD-TK0717-05/04/23"/>
    <s v="PP002"/>
    <s v="Pakaian Pria"/>
    <x v="4"/>
    <n v="3"/>
    <n v="3"/>
    <n v="540000"/>
    <n v="210000"/>
    <s v="PP002"/>
    <s v="Pakaian Pria"/>
    <s v="Celana Pendek"/>
    <n v="2"/>
    <n v="5"/>
    <n v="360000"/>
    <n v="140000"/>
    <s v="PW001"/>
    <s v="Pakaian Wanita"/>
    <s v="Dress"/>
    <n v="2"/>
    <n v="2"/>
    <n v="600000"/>
    <n v="200000"/>
    <n v="7"/>
    <n v="1500000"/>
    <n v="1350000"/>
    <n v="550000"/>
    <n v="495000"/>
    <s v="DISCAPRIL"/>
    <n v="0.1"/>
    <s v="Promo 4.4"/>
    <s v="Tokopedia"/>
    <x v="4"/>
    <d v="2023-04-05T00:00:00"/>
    <s v="Wednesday"/>
    <s v="wwww"/>
  </r>
  <r>
    <n v="718"/>
    <s v="ORD-SP0718-26/04/23"/>
    <s v="PW003"/>
    <s v="Pakaian Wanita"/>
    <x v="2"/>
    <n v="3"/>
    <n v="2"/>
    <n v="750000"/>
    <n v="300000"/>
    <s v="PU001"/>
    <s v="Pakaian Unisex"/>
    <s v="Jaket Hoodie"/>
    <n v="3"/>
    <n v="1"/>
    <n v="1050000"/>
    <n v="390000"/>
    <m/>
    <s v="-"/>
    <s v="-"/>
    <m/>
    <m/>
    <s v="0"/>
    <s v="0"/>
    <n v="6"/>
    <n v="1800000"/>
    <n v="1440000"/>
    <n v="690000"/>
    <n v="552000"/>
    <s v="DISC20"/>
    <n v="0.2"/>
    <s v="Promo Lebaran"/>
    <s v="Shopee"/>
    <x v="4"/>
    <d v="2023-04-26T00:00:00"/>
    <s v="Wednesday"/>
    <s v="wwww"/>
  </r>
  <r>
    <n v="719"/>
    <s v="ORD-TK0719-04/04/23"/>
    <s v="PW003"/>
    <s v="Pakaian Wanita"/>
    <x v="2"/>
    <n v="1"/>
    <n v="2"/>
    <n v="250000"/>
    <n v="100000"/>
    <s v="PP003"/>
    <s v="Pakaian Pria"/>
    <s v="Jaket Jeans"/>
    <n v="4"/>
    <n v="1"/>
    <n v="1600000"/>
    <n v="600000"/>
    <s v="SP002"/>
    <s v="Sepatu Pria"/>
    <s v="Sandal Slip On"/>
    <n v="1"/>
    <n v="5"/>
    <n v="150000"/>
    <n v="60000"/>
    <n v="6"/>
    <n v="2000000"/>
    <n v="1800000"/>
    <n v="760000"/>
    <n v="684000"/>
    <s v="DISCAPRIL"/>
    <n v="0.1"/>
    <s v="Promo 4.4"/>
    <s v="Tokopedia"/>
    <x v="4"/>
    <d v="2023-04-04T00:00:00"/>
    <s v="Tuesday"/>
    <s v="wwww"/>
  </r>
  <r>
    <n v="720"/>
    <s v="ORD-TK0720-06/04/23"/>
    <s v="PW002"/>
    <s v="Pakaian Wanita"/>
    <x v="1"/>
    <n v="1"/>
    <n v="4"/>
    <n v="150000"/>
    <n v="50000"/>
    <m/>
    <s v="-"/>
    <s v="-"/>
    <m/>
    <m/>
    <s v="0"/>
    <s v="0"/>
    <m/>
    <s v="-"/>
    <s v="-"/>
    <m/>
    <m/>
    <s v="0"/>
    <s v="0"/>
    <n v="1"/>
    <n v="150000"/>
    <n v="135000"/>
    <n v="50000"/>
    <n v="45000"/>
    <s v="DISCAPRIL"/>
    <n v="0.1"/>
    <s v="Promo 4.4"/>
    <s v="Tokopedia"/>
    <x v="2"/>
    <d v="2023-04-06T00:00:00"/>
    <s v="Thursday"/>
    <s v="wwww"/>
  </r>
  <r>
    <n v="721"/>
    <s v="ORD-TK0721-05/04/23"/>
    <s v="SW001"/>
    <s v="Sepatu Wanita"/>
    <x v="9"/>
    <n v="1"/>
    <n v="1"/>
    <n v="250000"/>
    <n v="100000"/>
    <m/>
    <s v="-"/>
    <s v="-"/>
    <m/>
    <m/>
    <s v="0"/>
    <s v="0"/>
    <m/>
    <s v="-"/>
    <s v="-"/>
    <m/>
    <m/>
    <s v="0"/>
    <s v="0"/>
    <n v="1"/>
    <n v="250000"/>
    <n v="225000"/>
    <n v="100000"/>
    <n v="90000"/>
    <s v="DISCAPRIL"/>
    <n v="0.1"/>
    <s v="Promo 4.4"/>
    <s v="Tokopedia"/>
    <x v="4"/>
    <d v="2023-04-05T00:00:00"/>
    <s v="Wednesday"/>
    <s v="wwww"/>
  </r>
  <r>
    <n v="722"/>
    <s v="ORD-TK0722-01/04/23"/>
    <s v="SP002"/>
    <s v="Sepatu Pria"/>
    <x v="8"/>
    <n v="4"/>
    <n v="2"/>
    <n v="600000"/>
    <n v="240000"/>
    <m/>
    <s v="-"/>
    <s v="-"/>
    <m/>
    <m/>
    <s v="0"/>
    <s v="0"/>
    <m/>
    <s v="-"/>
    <s v="-"/>
    <m/>
    <m/>
    <s v="0"/>
    <s v="0"/>
    <n v="4"/>
    <n v="600000"/>
    <n v="540000"/>
    <n v="240000"/>
    <n v="216000"/>
    <s v="DISCAPRIL"/>
    <n v="0.1"/>
    <s v="Promo 4.4"/>
    <s v="Tokopedia"/>
    <x v="4"/>
    <d v="2023-04-01T00:00:00"/>
    <s v="Saturday"/>
    <s v="wwww"/>
  </r>
  <r>
    <n v="723"/>
    <s v="ORD-TK0723-23/04/23"/>
    <s v="PP003"/>
    <s v="Pakaian Pria"/>
    <x v="5"/>
    <n v="2"/>
    <n v="4"/>
    <n v="800000"/>
    <n v="300000"/>
    <s v="PW003"/>
    <s v="Pakaian Wanita"/>
    <s v="Kaftan"/>
    <n v="1"/>
    <n v="2"/>
    <n v="250000"/>
    <n v="100000"/>
    <s v="PP003"/>
    <s v="Pakaian Pria"/>
    <s v="Jaket Jeans"/>
    <n v="2"/>
    <n v="3"/>
    <n v="800000"/>
    <n v="300000"/>
    <n v="5"/>
    <n v="1850000"/>
    <n v="1665000"/>
    <n v="700000"/>
    <n v="630000"/>
    <s v="LEBAR10"/>
    <n v="0.1"/>
    <s v="Promo Lebaran"/>
    <s v="Tokopedia"/>
    <x v="5"/>
    <d v="2023-04-23T00:00:00"/>
    <s v="Sunday"/>
    <s v="wwww"/>
  </r>
  <r>
    <n v="724"/>
    <s v="ORD-SP0724-28/04/23"/>
    <s v="PP003"/>
    <s v="Pakaian Pria"/>
    <x v="5"/>
    <n v="4"/>
    <n v="3"/>
    <n v="1600000"/>
    <n v="600000"/>
    <s v="SP002"/>
    <s v="Sepatu Pria"/>
    <s v="Sandal Slip On"/>
    <n v="1"/>
    <n v="4"/>
    <n v="150000"/>
    <n v="60000"/>
    <m/>
    <s v="-"/>
    <s v="-"/>
    <m/>
    <m/>
    <s v="0"/>
    <s v="0"/>
    <n v="5"/>
    <n v="1750000"/>
    <n v="1400000"/>
    <n v="660000"/>
    <n v="528000"/>
    <s v="DISC20"/>
    <n v="0.2"/>
    <s v="Promo Lebaran"/>
    <s v="Shopee"/>
    <x v="1"/>
    <d v="2023-04-28T00:00:00"/>
    <s v="Friday"/>
    <s v="wwww"/>
  </r>
  <r>
    <n v="725"/>
    <s v="ORD-SP0725-14/04/23"/>
    <s v="PP002"/>
    <s v="Pakaian Pria"/>
    <x v="4"/>
    <n v="1"/>
    <n v="1"/>
    <n v="180000"/>
    <n v="70000"/>
    <s v="PP001"/>
    <s v="Pakaian Pria"/>
    <s v="Kaos Polo"/>
    <n v="2"/>
    <n v="5"/>
    <n v="400000"/>
    <n v="160000"/>
    <s v="PW003"/>
    <s v="Pakaian Wanita"/>
    <s v="Kaftan"/>
    <n v="3"/>
    <n v="5"/>
    <n v="750000"/>
    <n v="300000"/>
    <n v="6"/>
    <n v="1330000"/>
    <n v="1330000"/>
    <n v="530000"/>
    <n v="530000"/>
    <s v="-"/>
    <s v="-"/>
    <s v="-"/>
    <s v="Shopee"/>
    <x v="2"/>
    <d v="2023-04-14T00:00:00"/>
    <s v="Friday"/>
    <s v="wwww"/>
  </r>
  <r>
    <n v="726"/>
    <s v="ORD-BL0726-17/04/23"/>
    <s v="PU001"/>
    <s v="Pakaian Unisex"/>
    <x v="6"/>
    <n v="1"/>
    <n v="1"/>
    <n v="350000"/>
    <n v="130000"/>
    <m/>
    <s v="-"/>
    <s v="-"/>
    <m/>
    <m/>
    <s v="0"/>
    <s v="0"/>
    <m/>
    <s v="-"/>
    <s v="-"/>
    <m/>
    <m/>
    <s v="0"/>
    <s v="0"/>
    <n v="1"/>
    <n v="350000"/>
    <n v="297500"/>
    <n v="130000"/>
    <n v="110500"/>
    <s v="BUKALEBAR"/>
    <n v="0.15"/>
    <s v="Promo Lebaran"/>
    <s v="Bukalapak"/>
    <x v="4"/>
    <d v="2023-04-17T00:00:00"/>
    <s v="Monday"/>
    <s v="wwww"/>
  </r>
  <r>
    <n v="727"/>
    <s v="ORD-SP0727-09/04/23"/>
    <s v="PP001"/>
    <s v="Pakaian Pria"/>
    <x v="3"/>
    <n v="3"/>
    <n v="3"/>
    <n v="600000"/>
    <n v="240000"/>
    <s v="PU001"/>
    <s v="Pakaian Unisex"/>
    <s v="Jaket Hoodie"/>
    <n v="1"/>
    <n v="3"/>
    <n v="350000"/>
    <n v="130000"/>
    <m/>
    <s v="-"/>
    <s v="-"/>
    <m/>
    <m/>
    <s v="0"/>
    <s v="0"/>
    <n v="4"/>
    <n v="950000"/>
    <n v="950000"/>
    <n v="370000"/>
    <n v="370000"/>
    <s v="-"/>
    <s v="-"/>
    <s v="-"/>
    <s v="Shopee"/>
    <x v="5"/>
    <d v="2023-04-09T00:00:00"/>
    <s v="Sunday"/>
    <s v="wwww"/>
  </r>
  <r>
    <n v="728"/>
    <s v="ORD-SP0728-11/04/23"/>
    <s v="PP003"/>
    <s v="Pakaian Pria"/>
    <x v="5"/>
    <n v="1"/>
    <n v="4"/>
    <n v="400000"/>
    <n v="150000"/>
    <m/>
    <s v="-"/>
    <s v="-"/>
    <m/>
    <m/>
    <s v="0"/>
    <s v="0"/>
    <m/>
    <s v="-"/>
    <s v="-"/>
    <m/>
    <m/>
    <s v="0"/>
    <s v="0"/>
    <n v="1"/>
    <n v="400000"/>
    <n v="400000"/>
    <n v="150000"/>
    <n v="150000"/>
    <s v="-"/>
    <s v="-"/>
    <s v="-"/>
    <s v="Shopee"/>
    <x v="5"/>
    <d v="2023-04-11T00:00:00"/>
    <s v="Tuesday"/>
    <s v="wwww"/>
  </r>
  <r>
    <n v="729"/>
    <s v="ORD-BB0729-08/04/23"/>
    <s v="PP002"/>
    <s v="Pakaian Pria"/>
    <x v="4"/>
    <n v="4"/>
    <n v="4"/>
    <n v="720000"/>
    <n v="280000"/>
    <m/>
    <s v="-"/>
    <s v="-"/>
    <m/>
    <m/>
    <s v="0"/>
    <s v="0"/>
    <m/>
    <s v="-"/>
    <s v="-"/>
    <m/>
    <m/>
    <s v="0"/>
    <s v="0"/>
    <n v="4"/>
    <n v="720000"/>
    <n v="720000"/>
    <n v="280000"/>
    <n v="280000"/>
    <s v="-"/>
    <s v="-"/>
    <s v="-"/>
    <s v="BliBli"/>
    <x v="1"/>
    <d v="2023-04-08T00:00:00"/>
    <s v="Saturday"/>
    <s v="wwww"/>
  </r>
  <r>
    <n v="730"/>
    <s v="ORD-SP0730-19/04/23"/>
    <s v="PP003"/>
    <s v="Pakaian Pria"/>
    <x v="5"/>
    <n v="5"/>
    <n v="2"/>
    <n v="2000000"/>
    <n v="750000"/>
    <s v="SP002"/>
    <s v="Sepatu Pria"/>
    <s v="Sandal Slip On"/>
    <n v="1"/>
    <n v="4"/>
    <n v="150000"/>
    <n v="60000"/>
    <m/>
    <s v="-"/>
    <s v="-"/>
    <m/>
    <m/>
    <s v="0"/>
    <s v="0"/>
    <n v="6"/>
    <n v="2150000"/>
    <n v="1720000"/>
    <n v="810000"/>
    <n v="648000"/>
    <s v="DISC20"/>
    <n v="0.2"/>
    <s v="Promo Lebaran"/>
    <s v="Shopee"/>
    <x v="4"/>
    <d v="2023-04-19T00:00:00"/>
    <s v="Wednesday"/>
    <s v="wwww"/>
  </r>
  <r>
    <n v="731"/>
    <s v="ORD-SP0731-03/04/23"/>
    <s v="SP002"/>
    <s v="Sepatu Pria"/>
    <x v="8"/>
    <n v="5"/>
    <n v="1"/>
    <n v="750000"/>
    <n v="300000"/>
    <s v="SW001"/>
    <s v="Sepatu Wanita"/>
    <s v="Flat Shoes"/>
    <n v="1"/>
    <n v="1"/>
    <n v="250000"/>
    <n v="100000"/>
    <m/>
    <s v="-"/>
    <s v="-"/>
    <m/>
    <m/>
    <s v="0"/>
    <s v="0"/>
    <n v="6"/>
    <n v="1000000"/>
    <n v="850000"/>
    <n v="400000"/>
    <n v="340000"/>
    <s v="DISC15"/>
    <n v="0.15"/>
    <s v="Promo 4.4"/>
    <s v="Shopee"/>
    <x v="0"/>
    <d v="2023-04-03T00:00:00"/>
    <s v="Monday"/>
    <s v="wwww"/>
  </r>
  <r>
    <n v="732"/>
    <s v="ORD-TK0732-07/04/23"/>
    <s v="PW003"/>
    <s v="Pakaian Wanita"/>
    <x v="2"/>
    <n v="1"/>
    <n v="3"/>
    <n v="250000"/>
    <n v="100000"/>
    <m/>
    <s v="-"/>
    <s v="-"/>
    <m/>
    <m/>
    <s v="0"/>
    <s v="0"/>
    <m/>
    <s v="-"/>
    <s v="-"/>
    <m/>
    <m/>
    <s v="0"/>
    <s v="0"/>
    <n v="1"/>
    <n v="250000"/>
    <n v="250000"/>
    <n v="100000"/>
    <n v="100000"/>
    <s v="-"/>
    <s v="-"/>
    <s v="-"/>
    <s v="Tokopedia"/>
    <x v="4"/>
    <d v="2023-04-07T00:00:00"/>
    <s v="Friday"/>
    <s v="wwww"/>
  </r>
  <r>
    <n v="733"/>
    <s v="ORD-TK0733-16/04/23"/>
    <s v="PP002"/>
    <s v="Pakaian Pria"/>
    <x v="4"/>
    <n v="1"/>
    <n v="2"/>
    <n v="180000"/>
    <n v="70000"/>
    <s v="SP002"/>
    <s v="Sepatu Pria"/>
    <s v="Sandal Slip On"/>
    <n v="3"/>
    <n v="3"/>
    <n v="450000"/>
    <n v="180000"/>
    <m/>
    <s v="-"/>
    <s v="-"/>
    <m/>
    <m/>
    <s v="0"/>
    <s v="0"/>
    <n v="4"/>
    <n v="630000"/>
    <n v="567000"/>
    <n v="250000"/>
    <n v="225000"/>
    <s v="LEBAR10"/>
    <n v="0.1"/>
    <s v="Promo Lebaran"/>
    <s v="Tokopedia"/>
    <x v="0"/>
    <d v="2023-04-16T00:00:00"/>
    <s v="Sunday"/>
    <s v="wwww"/>
  </r>
  <r>
    <n v="734"/>
    <s v="ORD-TK0734-06/04/23"/>
    <s v="SP001"/>
    <s v="Sepatu Pria"/>
    <x v="7"/>
    <n v="2"/>
    <n v="1"/>
    <n v="1000000"/>
    <n v="400000"/>
    <s v="SW001"/>
    <s v="Sepatu Wanita"/>
    <s v="Flat Shoes"/>
    <n v="2"/>
    <n v="3"/>
    <n v="500000"/>
    <n v="200000"/>
    <m/>
    <s v="-"/>
    <s v="-"/>
    <m/>
    <m/>
    <s v="0"/>
    <s v="0"/>
    <n v="4"/>
    <n v="1500000"/>
    <n v="1350000"/>
    <n v="600000"/>
    <n v="540000"/>
    <s v="DISCAPRIL"/>
    <n v="0.1"/>
    <s v="Promo 4.4"/>
    <s v="Tokopedia"/>
    <x v="1"/>
    <d v="2023-04-06T00:00:00"/>
    <s v="Thursday"/>
    <s v="wwww"/>
  </r>
  <r>
    <n v="735"/>
    <s v="ORD-TK0735-02/04/23"/>
    <s v="PW001"/>
    <s v="Pakaian Wanita"/>
    <x v="0"/>
    <n v="1"/>
    <n v="4"/>
    <n v="300000"/>
    <n v="100000"/>
    <s v="PU001"/>
    <s v="Pakaian Unisex"/>
    <s v="Jaket Hoodie"/>
    <n v="1"/>
    <n v="4"/>
    <n v="350000"/>
    <n v="130000"/>
    <s v="PP001"/>
    <s v="Pakaian Pria"/>
    <s v="Kaos Polo"/>
    <n v="5"/>
    <n v="2"/>
    <n v="1000000"/>
    <n v="400000"/>
    <n v="7"/>
    <n v="1650000"/>
    <n v="1485000"/>
    <n v="630000"/>
    <n v="567000"/>
    <s v="DISCAPRIL"/>
    <n v="0.1"/>
    <s v="Promo 4.4"/>
    <s v="Tokopedia"/>
    <x v="1"/>
    <d v="2023-04-02T00:00:00"/>
    <s v="Sunday"/>
    <s v="wwww"/>
  </r>
  <r>
    <n v="736"/>
    <s v="ORD-TK0736-15/04/23"/>
    <s v="PW001"/>
    <s v="Pakaian Wanita"/>
    <x v="0"/>
    <n v="1"/>
    <n v="3"/>
    <n v="300000"/>
    <n v="100000"/>
    <m/>
    <s v="-"/>
    <s v="-"/>
    <m/>
    <m/>
    <s v="0"/>
    <s v="0"/>
    <m/>
    <s v="-"/>
    <s v="-"/>
    <m/>
    <m/>
    <s v="0"/>
    <s v="0"/>
    <n v="1"/>
    <n v="300000"/>
    <n v="300000"/>
    <n v="100000"/>
    <n v="100000"/>
    <s v="-"/>
    <s v="-"/>
    <s v="-"/>
    <s v="Tokopedia"/>
    <x v="2"/>
    <d v="2023-04-15T00:00:00"/>
    <s v="Saturday"/>
    <s v="wwww"/>
  </r>
  <r>
    <n v="737"/>
    <s v="ORD-BB0737-06/04/23"/>
    <s v="PP002"/>
    <s v="Pakaian Pria"/>
    <x v="4"/>
    <n v="2"/>
    <n v="1"/>
    <n v="360000"/>
    <n v="140000"/>
    <s v="PP001"/>
    <s v="Pakaian Pria"/>
    <s v="Kaos Polo"/>
    <n v="1"/>
    <n v="5"/>
    <n v="200000"/>
    <n v="80000"/>
    <m/>
    <s v="-"/>
    <s v="-"/>
    <m/>
    <m/>
    <s v="0"/>
    <s v="0"/>
    <n v="3"/>
    <n v="560000"/>
    <n v="476000"/>
    <n v="220000"/>
    <n v="187000"/>
    <s v="BELI44"/>
    <n v="0.15"/>
    <s v="Promo 4.4"/>
    <s v="BliBli"/>
    <x v="1"/>
    <d v="2023-04-06T00:00:00"/>
    <s v="Thursday"/>
    <s v="wwww"/>
  </r>
  <r>
    <n v="738"/>
    <s v="ORD-SP0738-03/04/23"/>
    <s v="PU001"/>
    <s v="Pakaian Unisex"/>
    <x v="6"/>
    <n v="4"/>
    <n v="2"/>
    <n v="1400000"/>
    <n v="520000"/>
    <s v="SP001"/>
    <s v="Sepatu Pria"/>
    <s v="Sneakers"/>
    <n v="2"/>
    <n v="4"/>
    <n v="1000000"/>
    <n v="400000"/>
    <s v="PW002"/>
    <s v="Pakaian Wanita"/>
    <s v="Blouse"/>
    <n v="1"/>
    <n v="1"/>
    <n v="150000"/>
    <n v="50000"/>
    <n v="7"/>
    <n v="2550000"/>
    <n v="2167500"/>
    <n v="970000"/>
    <n v="824500"/>
    <s v="DISC15"/>
    <n v="0.15"/>
    <s v="Promo 4.4"/>
    <s v="Shopee"/>
    <x v="2"/>
    <d v="2023-04-03T00:00:00"/>
    <s v="Monday"/>
    <s v="wwww"/>
  </r>
  <r>
    <n v="739"/>
    <s v="ORD-TK0739-06/04/23"/>
    <s v="SP001"/>
    <s v="Sepatu Pria"/>
    <x v="7"/>
    <n v="1"/>
    <n v="1"/>
    <n v="500000"/>
    <n v="200000"/>
    <s v="SP002"/>
    <s v="Sepatu Pria"/>
    <s v="Sandal Slip On"/>
    <n v="1"/>
    <n v="2"/>
    <n v="150000"/>
    <n v="60000"/>
    <s v="PU001"/>
    <s v="Pakaian Unisex"/>
    <s v="Jaket Hoodie"/>
    <n v="4"/>
    <n v="1"/>
    <n v="1400000"/>
    <n v="520000"/>
    <n v="6"/>
    <n v="2050000"/>
    <n v="1845000"/>
    <n v="780000"/>
    <n v="702000"/>
    <s v="DISCAPRIL"/>
    <n v="0.1"/>
    <s v="Promo 4.4"/>
    <s v="Tokopedia"/>
    <x v="4"/>
    <d v="2023-04-06T00:00:00"/>
    <s v="Thursday"/>
    <s v="wwww"/>
  </r>
  <r>
    <n v="740"/>
    <s v="ORD-SP0740-01/04/23"/>
    <s v="PP001"/>
    <s v="Pakaian Pria"/>
    <x v="3"/>
    <n v="2"/>
    <n v="4"/>
    <n v="400000"/>
    <n v="160000"/>
    <s v="SP001"/>
    <s v="Sepatu Pria"/>
    <s v="Sneakers"/>
    <n v="2"/>
    <n v="4"/>
    <n v="1000000"/>
    <n v="400000"/>
    <m/>
    <s v="-"/>
    <s v="-"/>
    <m/>
    <m/>
    <s v="0"/>
    <s v="0"/>
    <n v="4"/>
    <n v="1400000"/>
    <n v="1260000"/>
    <n v="560000"/>
    <n v="504000"/>
    <s v="DISC10"/>
    <n v="0.1"/>
    <s v="Promo 4.4"/>
    <s v="Shopee"/>
    <x v="2"/>
    <d v="2023-04-01T00:00:00"/>
    <s v="Saturday"/>
    <s v="wwww"/>
  </r>
  <r>
    <n v="741"/>
    <s v="ORD-SP0741-26/04/23"/>
    <s v="PP002"/>
    <s v="Pakaian Pria"/>
    <x v="4"/>
    <n v="2"/>
    <n v="4"/>
    <n v="360000"/>
    <n v="140000"/>
    <s v="SP001"/>
    <s v="Sepatu Pria"/>
    <s v="Sneakers"/>
    <n v="1"/>
    <n v="4"/>
    <n v="500000"/>
    <n v="200000"/>
    <s v="SW001"/>
    <s v="Sepatu Wanita"/>
    <s v="Flat Shoes"/>
    <n v="1"/>
    <n v="3"/>
    <n v="250000"/>
    <n v="100000"/>
    <n v="4"/>
    <n v="1110000"/>
    <n v="888000"/>
    <n v="440000"/>
    <n v="352000"/>
    <s v="DISC20"/>
    <n v="0.2"/>
    <s v="Promo Lebaran"/>
    <s v="Shopee"/>
    <x v="2"/>
    <d v="2023-04-26T00:00:00"/>
    <s v="Wednesday"/>
    <s v="wwww"/>
  </r>
  <r>
    <n v="742"/>
    <s v="ORD-TK0742-03/04/23"/>
    <s v="PW002"/>
    <s v="Pakaian Wanita"/>
    <x v="1"/>
    <n v="1"/>
    <n v="1"/>
    <n v="150000"/>
    <n v="50000"/>
    <s v="PP002"/>
    <s v="Pakaian Pria"/>
    <s v="Celana Pendek"/>
    <n v="2"/>
    <n v="4"/>
    <n v="360000"/>
    <n v="140000"/>
    <s v="SP002"/>
    <s v="Sepatu Pria"/>
    <s v="Sandal Slip On"/>
    <n v="1"/>
    <n v="1"/>
    <n v="150000"/>
    <n v="60000"/>
    <n v="4"/>
    <n v="660000"/>
    <n v="594000"/>
    <n v="250000"/>
    <n v="225000"/>
    <s v="DISCAPRIL"/>
    <n v="0.1"/>
    <s v="Promo 4.4"/>
    <s v="Tokopedia"/>
    <x v="4"/>
    <d v="2023-04-03T00:00:00"/>
    <s v="Monday"/>
    <s v="wwww"/>
  </r>
  <r>
    <n v="743"/>
    <s v="ORD-BL0743-18/04/23"/>
    <s v="PU001"/>
    <s v="Pakaian Unisex"/>
    <x v="6"/>
    <n v="3"/>
    <n v="2"/>
    <n v="1050000"/>
    <n v="390000"/>
    <m/>
    <s v="-"/>
    <s v="-"/>
    <m/>
    <m/>
    <s v="0"/>
    <s v="0"/>
    <m/>
    <s v="-"/>
    <s v="-"/>
    <m/>
    <m/>
    <s v="0"/>
    <s v="0"/>
    <n v="3"/>
    <n v="1050000"/>
    <n v="892500"/>
    <n v="390000"/>
    <n v="331500"/>
    <s v="BUKALEBAR"/>
    <n v="0.15"/>
    <s v="Promo Lebaran"/>
    <s v="Bukalapak"/>
    <x v="1"/>
    <d v="2023-04-18T00:00:00"/>
    <s v="Tuesday"/>
    <s v="wwww"/>
  </r>
  <r>
    <n v="744"/>
    <s v="ORD-BB0744-02/04/23"/>
    <s v="PP003"/>
    <s v="Pakaian Pria"/>
    <x v="5"/>
    <n v="1"/>
    <n v="1"/>
    <n v="400000"/>
    <n v="150000"/>
    <s v="PP001"/>
    <s v="Pakaian Pria"/>
    <s v="Kaos Polo"/>
    <n v="1"/>
    <n v="4"/>
    <n v="200000"/>
    <n v="80000"/>
    <s v="PW003"/>
    <s v="Pakaian Wanita"/>
    <s v="Kaftan"/>
    <n v="3"/>
    <n v="3"/>
    <n v="750000"/>
    <n v="300000"/>
    <n v="5"/>
    <n v="1350000"/>
    <n v="1147500"/>
    <n v="530000"/>
    <n v="450500"/>
    <s v="BELI44"/>
    <n v="0.15"/>
    <s v="Promo 4.4"/>
    <s v="BliBli"/>
    <x v="3"/>
    <d v="2023-04-02T00:00:00"/>
    <s v="Sunday"/>
    <s v="wwww"/>
  </r>
  <r>
    <n v="745"/>
    <s v="ORD-SP0745-14/04/23"/>
    <s v="PW002"/>
    <s v="Pakaian Wanita"/>
    <x v="1"/>
    <n v="1"/>
    <n v="2"/>
    <n v="150000"/>
    <n v="50000"/>
    <m/>
    <s v="-"/>
    <s v="-"/>
    <m/>
    <m/>
    <s v="0"/>
    <s v="0"/>
    <m/>
    <s v="-"/>
    <s v="-"/>
    <m/>
    <m/>
    <s v="0"/>
    <s v="0"/>
    <n v="1"/>
    <n v="150000"/>
    <n v="150000"/>
    <n v="50000"/>
    <n v="50000"/>
    <s v="-"/>
    <s v="-"/>
    <s v="-"/>
    <s v="Shopee"/>
    <x v="5"/>
    <d v="2023-04-14T00:00:00"/>
    <s v="Friday"/>
    <s v="wwww"/>
  </r>
  <r>
    <n v="746"/>
    <s v="ORD-SP0746-05/04/23"/>
    <s v="PP003"/>
    <s v="Pakaian Pria"/>
    <x v="5"/>
    <n v="6"/>
    <n v="3"/>
    <n v="2400000"/>
    <n v="900000"/>
    <m/>
    <s v="-"/>
    <s v="-"/>
    <m/>
    <m/>
    <s v="0"/>
    <s v="0"/>
    <m/>
    <s v="-"/>
    <s v="-"/>
    <m/>
    <m/>
    <s v="0"/>
    <s v="0"/>
    <n v="6"/>
    <n v="2400000"/>
    <n v="2160000"/>
    <n v="900000"/>
    <n v="810000"/>
    <s v="DISC10"/>
    <n v="0.1"/>
    <s v="Promo 4.4"/>
    <s v="Shopee"/>
    <x v="2"/>
    <d v="2023-04-05T00:00:00"/>
    <s v="Wednesday"/>
    <s v="wwww"/>
  </r>
  <r>
    <n v="747"/>
    <s v="ORD-SP0747-26/04/23"/>
    <s v="PW003"/>
    <s v="Pakaian Wanita"/>
    <x v="2"/>
    <n v="2"/>
    <n v="4"/>
    <n v="500000"/>
    <n v="200000"/>
    <s v="PW001"/>
    <s v="Pakaian Wanita"/>
    <s v="Dress"/>
    <n v="1"/>
    <n v="3"/>
    <n v="300000"/>
    <n v="100000"/>
    <s v="SW001"/>
    <s v="Sepatu Wanita"/>
    <s v="Flat Shoes"/>
    <n v="3"/>
    <n v="5"/>
    <n v="750000"/>
    <n v="300000"/>
    <n v="6"/>
    <n v="1550000"/>
    <n v="1240000"/>
    <n v="600000"/>
    <n v="480000"/>
    <s v="DISC20"/>
    <n v="0.2"/>
    <s v="Promo Lebaran"/>
    <s v="Shopee"/>
    <x v="5"/>
    <d v="2023-04-26T00:00:00"/>
    <s v="Wednesday"/>
    <s v="wwww"/>
  </r>
  <r>
    <n v="748"/>
    <s v="ORD-SP0748-04/04/23"/>
    <s v="SP002"/>
    <s v="Sepatu Pria"/>
    <x v="8"/>
    <n v="2"/>
    <n v="2"/>
    <n v="300000"/>
    <n v="120000"/>
    <m/>
    <s v="-"/>
    <s v="-"/>
    <m/>
    <m/>
    <s v="0"/>
    <s v="0"/>
    <m/>
    <s v="-"/>
    <s v="-"/>
    <m/>
    <m/>
    <s v="0"/>
    <s v="0"/>
    <n v="2"/>
    <n v="300000"/>
    <n v="255000"/>
    <n v="120000"/>
    <n v="102000"/>
    <s v="DISC15"/>
    <n v="0.15"/>
    <s v="Promo 4.4"/>
    <s v="Shopee"/>
    <x v="4"/>
    <d v="2023-04-04T00:00:00"/>
    <s v="Tuesday"/>
    <s v="wwww"/>
  </r>
  <r>
    <n v="749"/>
    <s v="ORD-BB0749-14/04/23"/>
    <s v="PP002"/>
    <s v="Pakaian Pria"/>
    <x v="4"/>
    <n v="1"/>
    <n v="3"/>
    <n v="180000"/>
    <n v="70000"/>
    <s v="SP002"/>
    <s v="Sepatu Pria"/>
    <s v="Sandal Slip On"/>
    <n v="4"/>
    <n v="5"/>
    <n v="600000"/>
    <n v="240000"/>
    <s v="PW003"/>
    <s v="Pakaian Wanita"/>
    <s v="Kaftan"/>
    <n v="2"/>
    <n v="2"/>
    <n v="500000"/>
    <n v="200000"/>
    <n v="7"/>
    <n v="1280000"/>
    <n v="1280000"/>
    <n v="510000"/>
    <n v="510000"/>
    <s v="-"/>
    <s v="-"/>
    <s v="-"/>
    <s v="BliBli"/>
    <x v="5"/>
    <d v="2023-04-14T00:00:00"/>
    <s v="Friday"/>
    <s v="wwww"/>
  </r>
  <r>
    <n v="750"/>
    <s v="ORD-SP0750-25/04/23"/>
    <s v="PU001"/>
    <s v="Pakaian Unisex"/>
    <x v="6"/>
    <n v="1"/>
    <n v="1"/>
    <n v="350000"/>
    <n v="130000"/>
    <s v="SW001"/>
    <s v="Sepatu Wanita"/>
    <s v="Flat Shoes"/>
    <n v="3"/>
    <n v="1"/>
    <n v="750000"/>
    <n v="300000"/>
    <m/>
    <s v="-"/>
    <s v="-"/>
    <m/>
    <m/>
    <s v="0"/>
    <s v="0"/>
    <n v="4"/>
    <n v="1100000"/>
    <n v="880000"/>
    <n v="430000"/>
    <n v="344000"/>
    <s v="DISC20"/>
    <n v="0.2"/>
    <s v="Promo Lebaran"/>
    <s v="Shopee"/>
    <x v="4"/>
    <d v="2023-04-25T00:00:00"/>
    <s v="Tuesday"/>
    <s v="wwww"/>
  </r>
  <r>
    <n v="751"/>
    <s v="ORD-SP0751-13/04/23"/>
    <s v="PP003"/>
    <s v="Pakaian Pria"/>
    <x v="5"/>
    <n v="2"/>
    <n v="2"/>
    <n v="800000"/>
    <n v="300000"/>
    <s v="SP002"/>
    <s v="Sepatu Pria"/>
    <s v="Sandal Slip On"/>
    <n v="5"/>
    <n v="2"/>
    <n v="750000"/>
    <n v="300000"/>
    <m/>
    <s v="-"/>
    <s v="-"/>
    <m/>
    <m/>
    <s v="0"/>
    <s v="0"/>
    <n v="7"/>
    <n v="1550000"/>
    <n v="1550000"/>
    <n v="600000"/>
    <n v="600000"/>
    <s v="-"/>
    <s v="-"/>
    <s v="-"/>
    <s v="Shopee"/>
    <x v="4"/>
    <d v="2023-04-13T00:00:00"/>
    <s v="Thursday"/>
    <s v="wwww"/>
  </r>
  <r>
    <n v="752"/>
    <s v="ORD-SP0752-28/04/23"/>
    <s v="PW003"/>
    <s v="Pakaian Wanita"/>
    <x v="2"/>
    <n v="3"/>
    <n v="4"/>
    <n v="750000"/>
    <n v="300000"/>
    <s v="SP002"/>
    <s v="Sepatu Pria"/>
    <s v="Sandal Slip On"/>
    <n v="1"/>
    <n v="3"/>
    <n v="150000"/>
    <n v="60000"/>
    <m/>
    <s v="-"/>
    <s v="-"/>
    <m/>
    <m/>
    <s v="0"/>
    <s v="0"/>
    <n v="4"/>
    <n v="900000"/>
    <n v="720000"/>
    <n v="360000"/>
    <n v="288000"/>
    <s v="DISC20"/>
    <n v="0.2"/>
    <s v="Promo Lebaran"/>
    <s v="Shopee"/>
    <x v="5"/>
    <d v="2023-04-28T00:00:00"/>
    <s v="Friday"/>
    <s v="wwww"/>
  </r>
  <r>
    <n v="753"/>
    <s v="ORD-SP0753-07/04/23"/>
    <s v="SP001"/>
    <s v="Sepatu Pria"/>
    <x v="7"/>
    <n v="1"/>
    <n v="2"/>
    <n v="500000"/>
    <n v="200000"/>
    <m/>
    <s v="-"/>
    <s v="-"/>
    <m/>
    <m/>
    <s v="0"/>
    <s v="0"/>
    <m/>
    <s v="-"/>
    <s v="-"/>
    <m/>
    <m/>
    <s v="0"/>
    <s v="0"/>
    <n v="1"/>
    <n v="500000"/>
    <n v="500000"/>
    <n v="200000"/>
    <n v="200000"/>
    <s v="-"/>
    <s v="-"/>
    <s v="-"/>
    <s v="Shopee"/>
    <x v="4"/>
    <d v="2023-04-07T00:00:00"/>
    <s v="Friday"/>
    <s v="wwww"/>
  </r>
  <r>
    <n v="754"/>
    <s v="ORD-SP0754-05/04/23"/>
    <s v="PP003"/>
    <s v="Pakaian Pria"/>
    <x v="5"/>
    <n v="1"/>
    <n v="5"/>
    <n v="400000"/>
    <n v="150000"/>
    <s v="PP002"/>
    <s v="Pakaian Pria"/>
    <s v="Celana Pendek"/>
    <n v="1"/>
    <n v="4"/>
    <n v="180000"/>
    <n v="70000"/>
    <s v="SP002"/>
    <s v="Sepatu Pria"/>
    <s v="Sandal Slip On"/>
    <n v="5"/>
    <n v="3"/>
    <n v="750000"/>
    <n v="300000"/>
    <n v="7"/>
    <n v="1330000"/>
    <n v="1130500"/>
    <n v="520000"/>
    <n v="442000"/>
    <s v="DISC15"/>
    <n v="0.15"/>
    <s v="Promo 4.4"/>
    <s v="Shopee"/>
    <x v="0"/>
    <d v="2023-04-05T00:00:00"/>
    <s v="Wednesday"/>
    <s v="wwww"/>
  </r>
  <r>
    <n v="755"/>
    <s v="ORD-TK0755-05/04/23"/>
    <s v="SP002"/>
    <s v="Sepatu Pria"/>
    <x v="8"/>
    <n v="2"/>
    <n v="3"/>
    <n v="300000"/>
    <n v="120000"/>
    <m/>
    <s v="-"/>
    <s v="-"/>
    <m/>
    <m/>
    <s v="0"/>
    <s v="0"/>
    <m/>
    <s v="-"/>
    <s v="-"/>
    <m/>
    <m/>
    <s v="0"/>
    <s v="0"/>
    <n v="2"/>
    <n v="300000"/>
    <n v="270000"/>
    <n v="120000"/>
    <n v="108000"/>
    <s v="DISCAPRIL"/>
    <n v="0.1"/>
    <s v="Promo 4.4"/>
    <s v="Tokopedia"/>
    <x v="4"/>
    <d v="2023-04-05T00:00:00"/>
    <s v="Wednesday"/>
    <s v="wwww"/>
  </r>
  <r>
    <n v="756"/>
    <s v="ORD-BL0756-28/04/23"/>
    <s v="PU001"/>
    <s v="Pakaian Unisex"/>
    <x v="6"/>
    <n v="1"/>
    <n v="4"/>
    <n v="350000"/>
    <n v="130000"/>
    <m/>
    <s v="-"/>
    <s v="-"/>
    <m/>
    <m/>
    <s v="0"/>
    <s v="0"/>
    <m/>
    <s v="-"/>
    <s v="-"/>
    <m/>
    <m/>
    <s v="0"/>
    <s v="0"/>
    <n v="1"/>
    <n v="350000"/>
    <n v="297500"/>
    <n v="130000"/>
    <n v="110500"/>
    <s v="BUKALEBAR"/>
    <n v="0.15"/>
    <s v="Promo Lebaran"/>
    <s v="Bukalapak"/>
    <x v="0"/>
    <d v="2023-04-28T00:00:00"/>
    <s v="Friday"/>
    <s v="wwww"/>
  </r>
  <r>
    <n v="757"/>
    <s v="ORD-BB0757-06/04/23"/>
    <s v="PW003"/>
    <s v="Pakaian Wanita"/>
    <x v="2"/>
    <n v="3"/>
    <n v="2"/>
    <n v="750000"/>
    <n v="300000"/>
    <s v="PP003"/>
    <s v="Pakaian Pria"/>
    <s v="Jaket Jeans"/>
    <n v="1"/>
    <n v="4"/>
    <n v="400000"/>
    <n v="150000"/>
    <m/>
    <s v="-"/>
    <s v="-"/>
    <m/>
    <m/>
    <s v="0"/>
    <s v="0"/>
    <n v="4"/>
    <n v="1150000"/>
    <n v="977500"/>
    <n v="450000"/>
    <n v="382500"/>
    <s v="BELI44"/>
    <n v="0.15"/>
    <s v="Promo 4.4"/>
    <s v="BliBli"/>
    <x v="4"/>
    <d v="2023-04-06T00:00:00"/>
    <s v="Thursday"/>
    <s v="wwww"/>
  </r>
  <r>
    <n v="758"/>
    <s v="ORD-BL0758-17/04/23"/>
    <s v="PP001"/>
    <s v="Pakaian Pria"/>
    <x v="3"/>
    <n v="2"/>
    <n v="1"/>
    <n v="400000"/>
    <n v="160000"/>
    <s v="PW003"/>
    <s v="Pakaian Wanita"/>
    <s v="Kaftan"/>
    <n v="1"/>
    <n v="1"/>
    <n v="250000"/>
    <n v="100000"/>
    <s v="PW002"/>
    <s v="Pakaian Wanita"/>
    <s v="Blouse"/>
    <n v="2"/>
    <n v="1"/>
    <n v="300000"/>
    <n v="100000"/>
    <n v="5"/>
    <n v="950000"/>
    <n v="807500"/>
    <n v="360000"/>
    <n v="306000"/>
    <s v="BUKALEBAR"/>
    <n v="0.15"/>
    <s v="Promo Lebaran"/>
    <s v="Bukalapak"/>
    <x v="0"/>
    <d v="2023-04-17T00:00:00"/>
    <s v="Monday"/>
    <s v="wwww"/>
  </r>
  <r>
    <n v="759"/>
    <s v="ORD-BL0759-16/04/23"/>
    <s v="PP001"/>
    <s v="Pakaian Pria"/>
    <x v="3"/>
    <n v="4"/>
    <n v="5"/>
    <n v="800000"/>
    <n v="320000"/>
    <m/>
    <s v="-"/>
    <s v="-"/>
    <m/>
    <m/>
    <s v="0"/>
    <s v="0"/>
    <m/>
    <s v="-"/>
    <s v="-"/>
    <m/>
    <m/>
    <s v="0"/>
    <s v="0"/>
    <n v="4"/>
    <n v="800000"/>
    <n v="680000"/>
    <n v="320000"/>
    <n v="272000"/>
    <s v="BUKALEBAR"/>
    <n v="0.15"/>
    <s v="Promo Lebaran"/>
    <s v="Bukalapak"/>
    <x v="1"/>
    <d v="2023-04-16T00:00:00"/>
    <s v="Sunday"/>
    <s v="wwww"/>
  </r>
  <r>
    <n v="760"/>
    <s v="ORD-SP0760-03/04/23"/>
    <s v="PW002"/>
    <s v="Pakaian Wanita"/>
    <x v="1"/>
    <n v="2"/>
    <n v="3"/>
    <n v="300000"/>
    <n v="100000"/>
    <s v="PP002"/>
    <s v="Pakaian Pria"/>
    <s v="Celana Pendek"/>
    <n v="1"/>
    <n v="5"/>
    <n v="180000"/>
    <n v="70000"/>
    <m/>
    <s v="-"/>
    <s v="-"/>
    <m/>
    <m/>
    <s v="0"/>
    <s v="0"/>
    <n v="3"/>
    <n v="480000"/>
    <n v="408000"/>
    <n v="170000"/>
    <n v="144500"/>
    <s v="DISC15"/>
    <n v="0.15"/>
    <s v="Promo 4.4"/>
    <s v="Shopee"/>
    <x v="1"/>
    <d v="2023-04-03T00:00:00"/>
    <s v="Monday"/>
    <s v="wwww"/>
  </r>
  <r>
    <n v="761"/>
    <s v="ORD-BB0761-04/04/23"/>
    <s v="SW001"/>
    <s v="Sepatu Wanita"/>
    <x v="9"/>
    <n v="1"/>
    <n v="5"/>
    <n v="250000"/>
    <n v="100000"/>
    <s v="SP001"/>
    <s v="Sepatu Pria"/>
    <s v="Sneakers"/>
    <n v="1"/>
    <n v="3"/>
    <n v="500000"/>
    <n v="200000"/>
    <m/>
    <s v="-"/>
    <s v="-"/>
    <m/>
    <m/>
    <s v="0"/>
    <s v="0"/>
    <n v="2"/>
    <n v="750000"/>
    <n v="637500"/>
    <n v="300000"/>
    <n v="255000"/>
    <s v="BELI44"/>
    <n v="0.15"/>
    <s v="Promo 4.4"/>
    <s v="BliBli"/>
    <x v="3"/>
    <d v="2023-04-04T00:00:00"/>
    <s v="Tuesday"/>
    <s v="wwww"/>
  </r>
  <r>
    <n v="762"/>
    <s v="ORD-TK0762-13/04/23"/>
    <s v="SP002"/>
    <s v="Sepatu Pria"/>
    <x v="8"/>
    <n v="2"/>
    <n v="1"/>
    <n v="300000"/>
    <n v="120000"/>
    <m/>
    <s v="-"/>
    <s v="-"/>
    <m/>
    <m/>
    <s v="0"/>
    <s v="0"/>
    <m/>
    <s v="-"/>
    <s v="-"/>
    <m/>
    <m/>
    <s v="0"/>
    <s v="0"/>
    <n v="2"/>
    <n v="300000"/>
    <n v="300000"/>
    <n v="120000"/>
    <n v="120000"/>
    <s v="-"/>
    <s v="-"/>
    <s v="-"/>
    <s v="Tokopedia"/>
    <x v="0"/>
    <d v="2023-04-13T00:00:00"/>
    <s v="Thursday"/>
    <s v="wwww"/>
  </r>
  <r>
    <n v="763"/>
    <s v="ORD-TK0763-25/04/23"/>
    <s v="PP001"/>
    <s v="Pakaian Pria"/>
    <x v="3"/>
    <n v="3"/>
    <n v="1"/>
    <n v="600000"/>
    <n v="240000"/>
    <s v="PW003"/>
    <s v="Pakaian Wanita"/>
    <s v="Kaftan"/>
    <n v="1"/>
    <n v="4"/>
    <n v="250000"/>
    <n v="100000"/>
    <m/>
    <s v="-"/>
    <s v="-"/>
    <m/>
    <m/>
    <s v="0"/>
    <s v="0"/>
    <n v="4"/>
    <n v="850000"/>
    <n v="765000"/>
    <n v="340000"/>
    <n v="306000"/>
    <s v="LEBAR10"/>
    <n v="0.1"/>
    <s v="Promo Lebaran"/>
    <s v="Tokopedia"/>
    <x v="0"/>
    <d v="2023-04-25T00:00:00"/>
    <s v="Tuesday"/>
    <s v="wwww"/>
  </r>
  <r>
    <n v="764"/>
    <s v="ORD-BL0764-21/04/23"/>
    <s v="PP001"/>
    <s v="Pakaian Pria"/>
    <x v="3"/>
    <n v="5"/>
    <n v="4"/>
    <n v="1000000"/>
    <n v="400000"/>
    <m/>
    <s v="-"/>
    <s v="-"/>
    <m/>
    <m/>
    <s v="0"/>
    <s v="0"/>
    <m/>
    <s v="-"/>
    <s v="-"/>
    <m/>
    <m/>
    <s v="0"/>
    <s v="0"/>
    <n v="5"/>
    <n v="1000000"/>
    <n v="850000"/>
    <n v="400000"/>
    <n v="340000"/>
    <s v="BUKALEBAR"/>
    <n v="0.15"/>
    <s v="Promo Lebaran"/>
    <s v="Bukalapak"/>
    <x v="4"/>
    <d v="2023-04-21T00:00:00"/>
    <s v="Friday"/>
    <s v="wwww"/>
  </r>
  <r>
    <n v="765"/>
    <s v="ORD-SP0765-29/04/23"/>
    <s v="PP001"/>
    <s v="Pakaian Pria"/>
    <x v="3"/>
    <n v="4"/>
    <n v="1"/>
    <n v="800000"/>
    <n v="320000"/>
    <s v="PP002"/>
    <s v="Pakaian Pria"/>
    <s v="Celana Pendek"/>
    <n v="1"/>
    <n v="4"/>
    <n v="180000"/>
    <n v="70000"/>
    <m/>
    <s v="-"/>
    <s v="-"/>
    <m/>
    <m/>
    <s v="0"/>
    <s v="0"/>
    <n v="5"/>
    <n v="980000"/>
    <n v="784000"/>
    <n v="390000"/>
    <n v="312000"/>
    <s v="DISC20"/>
    <n v="0.2"/>
    <s v="Promo Lebaran"/>
    <s v="Shopee"/>
    <x v="4"/>
    <d v="2023-04-29T00:00:00"/>
    <s v="Saturday"/>
    <s v="wwww"/>
  </r>
  <r>
    <n v="766"/>
    <s v="ORD-BL0766-21/04/23"/>
    <s v="PW001"/>
    <s v="Pakaian Wanita"/>
    <x v="0"/>
    <n v="3"/>
    <n v="1"/>
    <n v="900000"/>
    <n v="300000"/>
    <s v="PU001"/>
    <s v="Pakaian Unisex"/>
    <s v="Jaket Hoodie"/>
    <n v="4"/>
    <n v="1"/>
    <n v="1400000"/>
    <n v="520000"/>
    <m/>
    <s v="-"/>
    <s v="-"/>
    <m/>
    <m/>
    <s v="0"/>
    <s v="0"/>
    <n v="7"/>
    <n v="2300000"/>
    <n v="1955000"/>
    <n v="820000"/>
    <n v="697000"/>
    <s v="BUKALEBAR"/>
    <n v="0.15"/>
    <s v="Promo Lebaran"/>
    <s v="Bukalapak"/>
    <x v="4"/>
    <d v="2023-04-21T00:00:00"/>
    <s v="Friday"/>
    <s v="wwww"/>
  </r>
  <r>
    <n v="767"/>
    <s v="ORD-TK0767-24/04/23"/>
    <s v="PW001"/>
    <s v="Pakaian Wanita"/>
    <x v="0"/>
    <n v="1"/>
    <n v="2"/>
    <n v="300000"/>
    <n v="100000"/>
    <s v="PP003"/>
    <s v="Pakaian Pria"/>
    <s v="Jaket Jeans"/>
    <n v="1"/>
    <n v="1"/>
    <n v="400000"/>
    <n v="150000"/>
    <m/>
    <s v="-"/>
    <s v="-"/>
    <m/>
    <m/>
    <s v="0"/>
    <s v="0"/>
    <n v="2"/>
    <n v="700000"/>
    <n v="630000"/>
    <n v="250000"/>
    <n v="225000"/>
    <s v="LEBAR10"/>
    <n v="0.1"/>
    <s v="Promo Lebaran"/>
    <s v="Tokopedia"/>
    <x v="2"/>
    <d v="2023-04-24T00:00:00"/>
    <s v="Monday"/>
    <s v="wwww"/>
  </r>
  <r>
    <n v="768"/>
    <s v="ORD-SP0768-02/04/23"/>
    <s v="SW001"/>
    <s v="Sepatu Wanita"/>
    <x v="9"/>
    <n v="2"/>
    <n v="3"/>
    <n v="500000"/>
    <n v="200000"/>
    <s v="PW002"/>
    <s v="Pakaian Wanita"/>
    <s v="Blouse"/>
    <n v="4"/>
    <n v="1"/>
    <n v="600000"/>
    <n v="200000"/>
    <m/>
    <s v="-"/>
    <s v="-"/>
    <m/>
    <m/>
    <s v="0"/>
    <s v="0"/>
    <n v="6"/>
    <n v="1100000"/>
    <n v="935000"/>
    <n v="400000"/>
    <n v="340000"/>
    <s v="DISC15"/>
    <n v="0.15"/>
    <s v="Promo 4.4"/>
    <s v="Shopee"/>
    <x v="5"/>
    <d v="2023-04-02T00:00:00"/>
    <s v="Sunday"/>
    <s v="wwww"/>
  </r>
  <r>
    <n v="769"/>
    <s v="ORD-TK0769-29/04/23"/>
    <s v="PP003"/>
    <s v="Pakaian Pria"/>
    <x v="5"/>
    <n v="3"/>
    <n v="3"/>
    <n v="1200000"/>
    <n v="450000"/>
    <s v="PW002"/>
    <s v="Pakaian Wanita"/>
    <s v="Blouse"/>
    <n v="3"/>
    <n v="3"/>
    <n v="450000"/>
    <n v="150000"/>
    <m/>
    <s v="-"/>
    <s v="-"/>
    <m/>
    <m/>
    <s v="0"/>
    <s v="0"/>
    <n v="6"/>
    <n v="1650000"/>
    <n v="1485000"/>
    <n v="600000"/>
    <n v="540000"/>
    <s v="LEBAR10"/>
    <n v="0.1"/>
    <s v="Promo Lebaran"/>
    <s v="Tokopedia"/>
    <x v="1"/>
    <d v="2023-04-29T00:00:00"/>
    <s v="Saturday"/>
    <s v="wwww"/>
  </r>
  <r>
    <n v="770"/>
    <s v="ORD-TK0770-26/04/23"/>
    <s v="SP002"/>
    <s v="Sepatu Pria"/>
    <x v="8"/>
    <n v="2"/>
    <n v="2"/>
    <n v="300000"/>
    <n v="120000"/>
    <m/>
    <s v="-"/>
    <s v="-"/>
    <m/>
    <m/>
    <s v="0"/>
    <s v="0"/>
    <m/>
    <s v="-"/>
    <s v="-"/>
    <m/>
    <m/>
    <s v="0"/>
    <s v="0"/>
    <n v="2"/>
    <n v="300000"/>
    <n v="270000"/>
    <n v="120000"/>
    <n v="108000"/>
    <s v="LEBAR10"/>
    <n v="0.1"/>
    <s v="Promo Lebaran"/>
    <s v="Tokopedia"/>
    <x v="4"/>
    <d v="2023-04-26T00:00:00"/>
    <s v="Wednesday"/>
    <s v="wwww"/>
  </r>
  <r>
    <n v="771"/>
    <s v="ORD-TK0771-30/04/23"/>
    <s v="PW002"/>
    <s v="Pakaian Wanita"/>
    <x v="1"/>
    <n v="7"/>
    <n v="3"/>
    <n v="1050000"/>
    <n v="350000"/>
    <m/>
    <s v="-"/>
    <s v="-"/>
    <m/>
    <m/>
    <s v="0"/>
    <s v="0"/>
    <m/>
    <s v="-"/>
    <s v="-"/>
    <m/>
    <m/>
    <s v="0"/>
    <s v="0"/>
    <n v="7"/>
    <n v="1050000"/>
    <n v="945000"/>
    <n v="350000"/>
    <n v="315000"/>
    <s v="LEBAR10"/>
    <n v="0.1"/>
    <s v="Promo Lebaran"/>
    <s v="Tokopedia"/>
    <x v="4"/>
    <d v="2023-04-30T00:00:00"/>
    <s v="Sunday"/>
    <s v="wwww"/>
  </r>
  <r>
    <n v="772"/>
    <s v="ORD-SP0772-04/04/23"/>
    <s v="SP001"/>
    <s v="Sepatu Pria"/>
    <x v="7"/>
    <n v="1"/>
    <n v="3"/>
    <n v="500000"/>
    <n v="200000"/>
    <s v="PW003"/>
    <s v="Pakaian Wanita"/>
    <s v="Kaftan"/>
    <n v="4"/>
    <n v="4"/>
    <n v="1000000"/>
    <n v="400000"/>
    <m/>
    <s v="-"/>
    <s v="-"/>
    <m/>
    <m/>
    <s v="0"/>
    <s v="0"/>
    <n v="5"/>
    <n v="1500000"/>
    <n v="1275000"/>
    <n v="600000"/>
    <n v="510000"/>
    <s v="DISC15"/>
    <n v="0.15"/>
    <s v="Promo 4.4"/>
    <s v="Shopee"/>
    <x v="2"/>
    <d v="2023-04-04T00:00:00"/>
    <s v="Tuesday"/>
    <s v="wwww"/>
  </r>
  <r>
    <n v="773"/>
    <s v="ORD-SP0773-16/04/23"/>
    <s v="PP003"/>
    <s v="Pakaian Pria"/>
    <x v="5"/>
    <n v="5"/>
    <n v="2"/>
    <n v="2000000"/>
    <n v="750000"/>
    <s v="SW001"/>
    <s v="Sepatu Wanita"/>
    <s v="Flat Shoes"/>
    <n v="2"/>
    <n v="2"/>
    <n v="500000"/>
    <n v="200000"/>
    <m/>
    <s v="-"/>
    <s v="-"/>
    <m/>
    <m/>
    <s v="0"/>
    <s v="0"/>
    <n v="7"/>
    <n v="2500000"/>
    <n v="2000000"/>
    <n v="950000"/>
    <n v="760000"/>
    <s v="DISC20"/>
    <n v="0.2"/>
    <s v="Promo Lebaran"/>
    <s v="Shopee"/>
    <x v="4"/>
    <d v="2023-04-16T00:00:00"/>
    <s v="Sunday"/>
    <s v="wwww"/>
  </r>
  <r>
    <n v="774"/>
    <s v="ORD-SP0774-17/04/23"/>
    <s v="SW001"/>
    <s v="Sepatu Wanita"/>
    <x v="9"/>
    <n v="1"/>
    <n v="3"/>
    <n v="250000"/>
    <n v="100000"/>
    <m/>
    <s v="-"/>
    <s v="-"/>
    <m/>
    <m/>
    <s v="0"/>
    <s v="0"/>
    <m/>
    <s v="-"/>
    <s v="-"/>
    <m/>
    <m/>
    <s v="0"/>
    <s v="0"/>
    <n v="1"/>
    <n v="250000"/>
    <n v="200000"/>
    <n v="100000"/>
    <n v="80000"/>
    <s v="DISC20"/>
    <n v="0.2"/>
    <s v="Promo Lebaran"/>
    <s v="Shopee"/>
    <x v="1"/>
    <d v="2023-04-17T00:00:00"/>
    <s v="Monday"/>
    <s v="wwww"/>
  </r>
  <r>
    <n v="775"/>
    <s v="ORD-BB0775-03/04/23"/>
    <s v="PP003"/>
    <s v="Pakaian Pria"/>
    <x v="5"/>
    <n v="1"/>
    <n v="5"/>
    <n v="400000"/>
    <n v="150000"/>
    <s v="PW002"/>
    <s v="Pakaian Wanita"/>
    <s v="Blouse"/>
    <n v="2"/>
    <n v="3"/>
    <n v="300000"/>
    <n v="100000"/>
    <s v="PP001"/>
    <s v="Pakaian Pria"/>
    <s v="Kaos Polo"/>
    <n v="1"/>
    <n v="5"/>
    <n v="200000"/>
    <n v="80000"/>
    <n v="4"/>
    <n v="900000"/>
    <n v="765000"/>
    <n v="330000"/>
    <n v="280500"/>
    <s v="BELI44"/>
    <n v="0.15"/>
    <s v="Promo 4.4"/>
    <s v="BliBli"/>
    <x v="1"/>
    <d v="2023-04-03T00:00:00"/>
    <s v="Monday"/>
    <s v="wwww"/>
  </r>
  <r>
    <n v="776"/>
    <s v="ORD-SP0776-03/04/23"/>
    <s v="SW001"/>
    <s v="Sepatu Wanita"/>
    <x v="9"/>
    <n v="1"/>
    <n v="1"/>
    <n v="250000"/>
    <n v="100000"/>
    <s v="PW002"/>
    <s v="Pakaian Wanita"/>
    <s v="Blouse"/>
    <n v="1"/>
    <n v="1"/>
    <n v="150000"/>
    <n v="50000"/>
    <s v="PP003"/>
    <s v="Pakaian Pria"/>
    <s v="Jaket Jeans"/>
    <n v="1"/>
    <n v="2"/>
    <n v="400000"/>
    <n v="150000"/>
    <n v="3"/>
    <n v="800000"/>
    <n v="720000"/>
    <n v="300000"/>
    <n v="270000"/>
    <s v="DISC10"/>
    <n v="0.1"/>
    <s v="Promo 4.4"/>
    <s v="Shopee"/>
    <x v="0"/>
    <d v="2023-04-03T00:00:00"/>
    <s v="Monday"/>
    <s v="wwww"/>
  </r>
  <r>
    <n v="777"/>
    <s v="ORD-TK0777-03/04/23"/>
    <s v="PW002"/>
    <s v="Pakaian Wanita"/>
    <x v="1"/>
    <n v="2"/>
    <n v="2"/>
    <n v="300000"/>
    <n v="100000"/>
    <s v="PP001"/>
    <s v="Pakaian Pria"/>
    <s v="Kaos Polo"/>
    <n v="3"/>
    <n v="4"/>
    <n v="600000"/>
    <n v="240000"/>
    <m/>
    <s v="-"/>
    <s v="-"/>
    <m/>
    <m/>
    <s v="0"/>
    <s v="0"/>
    <n v="5"/>
    <n v="900000"/>
    <n v="810000"/>
    <n v="340000"/>
    <n v="306000"/>
    <s v="DISCAPRIL"/>
    <n v="0.1"/>
    <s v="Promo 4.4"/>
    <s v="Tokopedia"/>
    <x v="4"/>
    <d v="2023-04-03T00:00:00"/>
    <s v="Monday"/>
    <s v="wwww"/>
  </r>
  <r>
    <n v="778"/>
    <s v="ORD-SP0778-01/04/23"/>
    <s v="PW001"/>
    <s v="Pakaian Wanita"/>
    <x v="0"/>
    <n v="3"/>
    <n v="4"/>
    <n v="900000"/>
    <n v="300000"/>
    <m/>
    <s v="-"/>
    <s v="-"/>
    <m/>
    <m/>
    <s v="0"/>
    <s v="0"/>
    <m/>
    <s v="-"/>
    <s v="-"/>
    <m/>
    <m/>
    <s v="0"/>
    <s v="0"/>
    <n v="3"/>
    <n v="900000"/>
    <n v="765000"/>
    <n v="300000"/>
    <n v="255000"/>
    <s v="DISC15"/>
    <n v="0.15"/>
    <s v="Promo 4.4"/>
    <s v="Shopee"/>
    <x v="4"/>
    <d v="2023-04-01T00:00:00"/>
    <s v="Saturday"/>
    <s v="wwww"/>
  </r>
  <r>
    <n v="779"/>
    <s v="ORD-TK0779-04/04/23"/>
    <s v="PW003"/>
    <s v="Pakaian Wanita"/>
    <x v="2"/>
    <n v="1"/>
    <n v="4"/>
    <n v="250000"/>
    <n v="100000"/>
    <m/>
    <s v="-"/>
    <s v="-"/>
    <m/>
    <m/>
    <s v="0"/>
    <s v="0"/>
    <m/>
    <s v="-"/>
    <s v="-"/>
    <m/>
    <m/>
    <s v="0"/>
    <s v="0"/>
    <n v="1"/>
    <n v="250000"/>
    <n v="225000"/>
    <n v="100000"/>
    <n v="90000"/>
    <s v="DISCAPRIL"/>
    <n v="0.1"/>
    <s v="Promo 4.4"/>
    <s v="Tokopedia"/>
    <x v="5"/>
    <d v="2023-04-04T00:00:00"/>
    <s v="Tuesday"/>
    <s v="wwww"/>
  </r>
  <r>
    <n v="780"/>
    <s v="ORD-SP0780-01/04/23"/>
    <s v="SP001"/>
    <s v="Sepatu Pria"/>
    <x v="7"/>
    <n v="2"/>
    <n v="4"/>
    <n v="1000000"/>
    <n v="400000"/>
    <s v="PW001"/>
    <s v="Pakaian Wanita"/>
    <s v="Dress"/>
    <n v="2"/>
    <n v="2"/>
    <n v="600000"/>
    <n v="200000"/>
    <m/>
    <s v="-"/>
    <s v="-"/>
    <m/>
    <m/>
    <s v="0"/>
    <s v="0"/>
    <n v="4"/>
    <n v="1600000"/>
    <n v="1360000"/>
    <n v="600000"/>
    <n v="510000"/>
    <s v="DISC15"/>
    <n v="0.15"/>
    <s v="Promo 4.4"/>
    <s v="Shopee"/>
    <x v="1"/>
    <d v="2023-04-01T00:00:00"/>
    <s v="Saturday"/>
    <s v="wwww"/>
  </r>
  <r>
    <n v="781"/>
    <s v="ORD-SP0781-14/04/23"/>
    <s v="PW003"/>
    <s v="Pakaian Wanita"/>
    <x v="2"/>
    <n v="4"/>
    <n v="3"/>
    <n v="1000000"/>
    <n v="400000"/>
    <m/>
    <s v="-"/>
    <s v="-"/>
    <m/>
    <m/>
    <s v="0"/>
    <s v="0"/>
    <m/>
    <s v="-"/>
    <s v="-"/>
    <m/>
    <m/>
    <s v="0"/>
    <s v="0"/>
    <n v="4"/>
    <n v="1000000"/>
    <n v="1000000"/>
    <n v="400000"/>
    <n v="400000"/>
    <s v="-"/>
    <s v="-"/>
    <s v="-"/>
    <s v="Shopee"/>
    <x v="1"/>
    <d v="2023-04-14T00:00:00"/>
    <s v="Friday"/>
    <s v="wwww"/>
  </r>
  <r>
    <n v="782"/>
    <s v="ORD-TK0782-03/04/23"/>
    <s v="PW003"/>
    <s v="Pakaian Wanita"/>
    <x v="2"/>
    <n v="4"/>
    <n v="5"/>
    <n v="1000000"/>
    <n v="400000"/>
    <s v="SW001"/>
    <s v="Sepatu Wanita"/>
    <s v="Flat Shoes"/>
    <n v="3"/>
    <n v="1"/>
    <n v="750000"/>
    <n v="300000"/>
    <m/>
    <s v="-"/>
    <s v="-"/>
    <m/>
    <m/>
    <s v="0"/>
    <s v="0"/>
    <n v="7"/>
    <n v="1750000"/>
    <n v="1575000"/>
    <n v="700000"/>
    <n v="630000"/>
    <s v="DISCAPRIL"/>
    <n v="0.1"/>
    <s v="Promo 4.4"/>
    <s v="Tokopedia"/>
    <x v="0"/>
    <d v="2023-04-03T00:00:00"/>
    <s v="Monday"/>
    <s v="wwww"/>
  </r>
  <r>
    <n v="783"/>
    <s v="ORD-SP0783-02/04/23"/>
    <s v="PW001"/>
    <s v="Pakaian Wanita"/>
    <x v="0"/>
    <n v="2"/>
    <n v="2"/>
    <n v="600000"/>
    <n v="200000"/>
    <s v="PW003"/>
    <s v="Pakaian Wanita"/>
    <s v="Kaftan"/>
    <n v="1"/>
    <n v="5"/>
    <n v="250000"/>
    <n v="100000"/>
    <s v="SW001"/>
    <s v="Sepatu Wanita"/>
    <s v="Flat Shoes"/>
    <n v="1"/>
    <n v="4"/>
    <n v="250000"/>
    <n v="100000"/>
    <n v="4"/>
    <n v="1100000"/>
    <n v="935000"/>
    <n v="400000"/>
    <n v="340000"/>
    <s v="DISC15"/>
    <n v="0.15"/>
    <s v="Promo 4.4"/>
    <s v="Shopee"/>
    <x v="5"/>
    <d v="2023-04-02T00:00:00"/>
    <s v="Sunday"/>
    <s v="wwww"/>
  </r>
  <r>
    <n v="784"/>
    <s v="ORD-SP0784-22/04/23"/>
    <s v="SP002"/>
    <s v="Sepatu Pria"/>
    <x v="8"/>
    <n v="5"/>
    <n v="5"/>
    <n v="750000"/>
    <n v="300000"/>
    <s v="SW001"/>
    <s v="Sepatu Wanita"/>
    <s v="Flat Shoes"/>
    <n v="1"/>
    <n v="2"/>
    <n v="250000"/>
    <n v="100000"/>
    <s v="PP001"/>
    <s v="Pakaian Pria"/>
    <s v="Kaos Polo"/>
    <n v="1"/>
    <n v="5"/>
    <n v="200000"/>
    <n v="80000"/>
    <n v="7"/>
    <n v="1200000"/>
    <n v="960000"/>
    <n v="480000"/>
    <n v="384000"/>
    <s v="DISC20"/>
    <n v="0.2"/>
    <s v="Promo Lebaran"/>
    <s v="Shopee"/>
    <x v="2"/>
    <d v="2023-04-22T00:00:00"/>
    <s v="Saturday"/>
    <s v="wwww"/>
  </r>
  <r>
    <n v="785"/>
    <s v="ORD-TK0785-01/04/23"/>
    <s v="SP001"/>
    <s v="Sepatu Pria"/>
    <x v="7"/>
    <n v="1"/>
    <n v="1"/>
    <n v="500000"/>
    <n v="200000"/>
    <m/>
    <s v="-"/>
    <s v="-"/>
    <m/>
    <m/>
    <s v="0"/>
    <s v="0"/>
    <m/>
    <s v="-"/>
    <s v="-"/>
    <m/>
    <m/>
    <s v="0"/>
    <s v="0"/>
    <n v="1"/>
    <n v="500000"/>
    <n v="450000"/>
    <n v="200000"/>
    <n v="180000"/>
    <s v="DISCAPRIL"/>
    <n v="0.1"/>
    <s v="Promo 4.4"/>
    <s v="Tokopedia"/>
    <x v="3"/>
    <d v="2023-04-01T00:00:00"/>
    <s v="Saturday"/>
    <s v="wwww"/>
  </r>
  <r>
    <n v="786"/>
    <s v="ORD-BL0786-11/04/23"/>
    <s v="PP002"/>
    <s v="Pakaian Pria"/>
    <x v="4"/>
    <n v="1"/>
    <n v="2"/>
    <n v="180000"/>
    <n v="70000"/>
    <m/>
    <s v="-"/>
    <s v="-"/>
    <m/>
    <m/>
    <s v="0"/>
    <s v="0"/>
    <m/>
    <s v="-"/>
    <s v="-"/>
    <m/>
    <m/>
    <s v="0"/>
    <s v="0"/>
    <n v="1"/>
    <n v="180000"/>
    <n v="180000"/>
    <n v="70000"/>
    <n v="70000"/>
    <s v="-"/>
    <s v="-"/>
    <s v="-"/>
    <s v="Bukalapak"/>
    <x v="5"/>
    <d v="2023-04-11T00:00:00"/>
    <s v="Tuesday"/>
    <s v="wwww"/>
  </r>
  <r>
    <n v="787"/>
    <s v="ORD-TK0787-04/04/23"/>
    <s v="PP002"/>
    <s v="Pakaian Pria"/>
    <x v="4"/>
    <n v="1"/>
    <n v="3"/>
    <n v="180000"/>
    <n v="70000"/>
    <s v="SP001"/>
    <s v="Sepatu Pria"/>
    <s v="Sneakers"/>
    <n v="2"/>
    <n v="1"/>
    <n v="1000000"/>
    <n v="400000"/>
    <s v="PW001"/>
    <s v="Pakaian Wanita"/>
    <s v="Dress"/>
    <n v="2"/>
    <n v="2"/>
    <n v="600000"/>
    <n v="200000"/>
    <n v="5"/>
    <n v="1780000"/>
    <n v="1602000"/>
    <n v="670000"/>
    <n v="603000"/>
    <s v="DISCAPRIL"/>
    <n v="0.1"/>
    <s v="Promo 4.4"/>
    <s v="Tokopedia"/>
    <x v="1"/>
    <d v="2023-04-04T00:00:00"/>
    <s v="Tuesday"/>
    <s v="wwww"/>
  </r>
  <r>
    <n v="788"/>
    <s v="ORD-SP0788-09/04/23"/>
    <s v="PU001"/>
    <s v="Pakaian Unisex"/>
    <x v="6"/>
    <n v="6"/>
    <n v="4"/>
    <n v="2100000"/>
    <n v="780000"/>
    <s v="PW002"/>
    <s v="Pakaian Wanita"/>
    <s v="Blouse"/>
    <n v="1"/>
    <n v="2"/>
    <n v="150000"/>
    <n v="50000"/>
    <m/>
    <s v="-"/>
    <s v="-"/>
    <m/>
    <m/>
    <s v="0"/>
    <s v="0"/>
    <n v="7"/>
    <n v="2250000"/>
    <n v="2250000"/>
    <n v="830000"/>
    <n v="830000"/>
    <s v="-"/>
    <s v="-"/>
    <s v="-"/>
    <s v="Shopee"/>
    <x v="0"/>
    <d v="2023-04-09T00:00:00"/>
    <s v="Sunday"/>
    <s v="wwww"/>
  </r>
  <r>
    <n v="789"/>
    <s v="ORD-BB0789-03/04/23"/>
    <s v="SP002"/>
    <s v="Sepatu Pria"/>
    <x v="8"/>
    <n v="2"/>
    <n v="2"/>
    <n v="300000"/>
    <n v="120000"/>
    <m/>
    <s v="-"/>
    <s v="-"/>
    <m/>
    <m/>
    <s v="0"/>
    <s v="0"/>
    <m/>
    <s v="-"/>
    <s v="-"/>
    <m/>
    <m/>
    <s v="0"/>
    <s v="0"/>
    <n v="2"/>
    <n v="300000"/>
    <n v="255000"/>
    <n v="120000"/>
    <n v="102000"/>
    <s v="BELI44"/>
    <n v="0.15"/>
    <s v="Promo 4.4"/>
    <s v="BliBli"/>
    <x v="1"/>
    <d v="2023-04-03T00:00:00"/>
    <s v="Monday"/>
    <s v="wwww"/>
  </r>
  <r>
    <n v="790"/>
    <s v="ORD-BL0790-17/04/23"/>
    <s v="PP002"/>
    <s v="Pakaian Pria"/>
    <x v="4"/>
    <n v="2"/>
    <n v="5"/>
    <n v="360000"/>
    <n v="140000"/>
    <s v="SP002"/>
    <s v="Sepatu Pria"/>
    <s v="Sandal Slip On"/>
    <n v="4"/>
    <n v="1"/>
    <n v="600000"/>
    <n v="240000"/>
    <m/>
    <s v="-"/>
    <s v="-"/>
    <m/>
    <m/>
    <s v="0"/>
    <s v="0"/>
    <n v="6"/>
    <n v="960000"/>
    <n v="816000"/>
    <n v="380000"/>
    <n v="323000"/>
    <s v="BUKALEBAR"/>
    <n v="0.15"/>
    <s v="Promo Lebaran"/>
    <s v="Bukalapak"/>
    <x v="4"/>
    <d v="2023-04-17T00:00:00"/>
    <s v="Monday"/>
    <s v="wwww"/>
  </r>
  <r>
    <n v="791"/>
    <s v="ORD-TK0791-07/04/23"/>
    <s v="SP002"/>
    <s v="Sepatu Pria"/>
    <x v="8"/>
    <n v="1"/>
    <n v="3"/>
    <n v="150000"/>
    <n v="60000"/>
    <s v="SW001"/>
    <s v="Sepatu Wanita"/>
    <s v="Flat Shoes"/>
    <n v="3"/>
    <n v="5"/>
    <n v="750000"/>
    <n v="300000"/>
    <m/>
    <s v="-"/>
    <s v="-"/>
    <m/>
    <m/>
    <s v="0"/>
    <s v="0"/>
    <n v="4"/>
    <n v="900000"/>
    <n v="900000"/>
    <n v="360000"/>
    <n v="360000"/>
    <s v="-"/>
    <s v="-"/>
    <s v="-"/>
    <s v="Tokopedia"/>
    <x v="4"/>
    <d v="2023-04-07T00:00:00"/>
    <s v="Friday"/>
    <s v="wwww"/>
  </r>
  <r>
    <n v="792"/>
    <s v="ORD-SP0792-03/04/23"/>
    <s v="PP001"/>
    <s v="Pakaian Pria"/>
    <x v="3"/>
    <n v="4"/>
    <n v="1"/>
    <n v="800000"/>
    <n v="320000"/>
    <m/>
    <s v="-"/>
    <s v="-"/>
    <m/>
    <m/>
    <s v="0"/>
    <s v="0"/>
    <m/>
    <s v="-"/>
    <s v="-"/>
    <m/>
    <m/>
    <s v="0"/>
    <s v="0"/>
    <n v="4"/>
    <n v="800000"/>
    <n v="680000"/>
    <n v="320000"/>
    <n v="272000"/>
    <s v="DISC15"/>
    <n v="0.15"/>
    <s v="Promo 4.4"/>
    <s v="Shopee"/>
    <x v="4"/>
    <d v="2023-04-03T00:00:00"/>
    <s v="Monday"/>
    <s v="wwww"/>
  </r>
  <r>
    <n v="793"/>
    <s v="ORD-BL0793-24/04/23"/>
    <s v="SW001"/>
    <s v="Sepatu Wanita"/>
    <x v="9"/>
    <n v="2"/>
    <n v="2"/>
    <n v="500000"/>
    <n v="200000"/>
    <m/>
    <s v="-"/>
    <s v="-"/>
    <m/>
    <m/>
    <s v="0"/>
    <s v="0"/>
    <m/>
    <s v="-"/>
    <s v="-"/>
    <m/>
    <m/>
    <s v="0"/>
    <s v="0"/>
    <n v="2"/>
    <n v="500000"/>
    <n v="425000"/>
    <n v="200000"/>
    <n v="170000"/>
    <s v="BUKALEBAR"/>
    <n v="0.15"/>
    <s v="Promo Lebaran"/>
    <s v="Bukalapak"/>
    <x v="5"/>
    <d v="2023-04-24T00:00:00"/>
    <s v="Monday"/>
    <s v="wwww"/>
  </r>
  <r>
    <n v="794"/>
    <s v="ORD-BL0794-14/04/23"/>
    <s v="PP001"/>
    <s v="Pakaian Pria"/>
    <x v="3"/>
    <n v="1"/>
    <n v="2"/>
    <n v="200000"/>
    <n v="80000"/>
    <s v="PP002"/>
    <s v="Pakaian Pria"/>
    <s v="Celana Pendek"/>
    <n v="1"/>
    <n v="1"/>
    <n v="180000"/>
    <n v="70000"/>
    <s v="SP002"/>
    <s v="Sepatu Pria"/>
    <s v="Sandal Slip On"/>
    <n v="1"/>
    <n v="4"/>
    <n v="150000"/>
    <n v="60000"/>
    <n v="3"/>
    <n v="530000"/>
    <n v="530000"/>
    <n v="210000"/>
    <n v="210000"/>
    <s v="-"/>
    <s v="-"/>
    <s v="-"/>
    <s v="Bukalapak"/>
    <x v="4"/>
    <d v="2023-04-14T00:00:00"/>
    <s v="Friday"/>
    <s v="wwww"/>
  </r>
  <r>
    <n v="795"/>
    <s v="ORD-BB0795-02/04/23"/>
    <s v="SP001"/>
    <s v="Sepatu Pria"/>
    <x v="7"/>
    <n v="1"/>
    <n v="4"/>
    <n v="500000"/>
    <n v="200000"/>
    <s v="PP002"/>
    <s v="Pakaian Pria"/>
    <s v="Celana Pendek"/>
    <n v="1"/>
    <n v="2"/>
    <n v="180000"/>
    <n v="70000"/>
    <m/>
    <s v="-"/>
    <s v="-"/>
    <m/>
    <m/>
    <s v="0"/>
    <s v="0"/>
    <n v="2"/>
    <n v="680000"/>
    <n v="578000"/>
    <n v="270000"/>
    <n v="229500"/>
    <s v="BELI44"/>
    <n v="0.15"/>
    <s v="Promo 4.4"/>
    <s v="BliBli"/>
    <x v="4"/>
    <d v="2023-04-02T00:00:00"/>
    <s v="Sunday"/>
    <s v="wwww"/>
  </r>
  <r>
    <n v="796"/>
    <s v="ORD-BL0796-21/04/23"/>
    <s v="SP001"/>
    <s v="Sepatu Pria"/>
    <x v="7"/>
    <n v="1"/>
    <n v="3"/>
    <n v="500000"/>
    <n v="200000"/>
    <m/>
    <s v="-"/>
    <s v="-"/>
    <m/>
    <m/>
    <s v="0"/>
    <s v="0"/>
    <m/>
    <s v="-"/>
    <s v="-"/>
    <m/>
    <m/>
    <s v="0"/>
    <s v="0"/>
    <n v="1"/>
    <n v="500000"/>
    <n v="425000"/>
    <n v="200000"/>
    <n v="170000"/>
    <s v="BUKALEBAR"/>
    <n v="0.15"/>
    <s v="Promo Lebaran"/>
    <s v="Bukalapak"/>
    <x v="5"/>
    <d v="2023-04-21T00:00:00"/>
    <s v="Friday"/>
    <s v="wwww"/>
  </r>
  <r>
    <n v="797"/>
    <s v="ORD-BL0797-24/04/23"/>
    <s v="PP001"/>
    <s v="Pakaian Pria"/>
    <x v="3"/>
    <n v="3"/>
    <n v="4"/>
    <n v="600000"/>
    <n v="240000"/>
    <s v="SP001"/>
    <s v="Sepatu Pria"/>
    <s v="Sneakers"/>
    <n v="1"/>
    <n v="2"/>
    <n v="500000"/>
    <n v="200000"/>
    <m/>
    <s v="-"/>
    <s v="-"/>
    <m/>
    <m/>
    <s v="0"/>
    <s v="0"/>
    <n v="4"/>
    <n v="1100000"/>
    <n v="935000"/>
    <n v="440000"/>
    <n v="374000"/>
    <s v="BUKALEBAR"/>
    <n v="0.15"/>
    <s v="Promo Lebaran"/>
    <s v="Bukalapak"/>
    <x v="5"/>
    <d v="2023-04-24T00:00:00"/>
    <s v="Monday"/>
    <s v="wwww"/>
  </r>
  <r>
    <n v="798"/>
    <s v="ORD-TK0798-08/04/23"/>
    <s v="SW001"/>
    <s v="Sepatu Wanita"/>
    <x v="9"/>
    <n v="1"/>
    <n v="2"/>
    <n v="250000"/>
    <n v="100000"/>
    <s v="PW002"/>
    <s v="Pakaian Wanita"/>
    <s v="Blouse"/>
    <n v="1"/>
    <n v="1"/>
    <n v="150000"/>
    <n v="50000"/>
    <m/>
    <s v="-"/>
    <s v="-"/>
    <m/>
    <m/>
    <s v="0"/>
    <s v="0"/>
    <n v="2"/>
    <n v="400000"/>
    <n v="400000"/>
    <n v="150000"/>
    <n v="150000"/>
    <s v="-"/>
    <s v="-"/>
    <s v="-"/>
    <s v="Tokopedia"/>
    <x v="3"/>
    <d v="2023-04-08T00:00:00"/>
    <s v="Saturday"/>
    <s v="wwww"/>
  </r>
  <r>
    <n v="799"/>
    <s v="ORD-SP0799-05/04/23"/>
    <s v="PP003"/>
    <s v="Pakaian Pria"/>
    <x v="5"/>
    <n v="1"/>
    <n v="4"/>
    <n v="400000"/>
    <n v="150000"/>
    <s v="SP001"/>
    <s v="Sepatu Pria"/>
    <s v="Sneakers"/>
    <n v="1"/>
    <n v="2"/>
    <n v="500000"/>
    <n v="200000"/>
    <m/>
    <s v="-"/>
    <s v="-"/>
    <m/>
    <m/>
    <s v="0"/>
    <s v="0"/>
    <n v="2"/>
    <n v="900000"/>
    <n v="810000"/>
    <n v="350000"/>
    <n v="315000"/>
    <s v="DISC10"/>
    <n v="0.1"/>
    <s v="Promo 4.4"/>
    <s v="Shopee"/>
    <x v="4"/>
    <d v="2023-04-05T00:00:00"/>
    <s v="Wednesday"/>
    <s v="wwww"/>
  </r>
  <r>
    <n v="800"/>
    <s v="ORD-SP0800-19/04/23"/>
    <s v="PW003"/>
    <s v="Pakaian Wanita"/>
    <x v="2"/>
    <n v="5"/>
    <n v="4"/>
    <n v="1250000"/>
    <n v="500000"/>
    <s v="PP001"/>
    <s v="Pakaian Pria"/>
    <s v="Kaos Polo"/>
    <n v="1"/>
    <n v="3"/>
    <n v="200000"/>
    <n v="80000"/>
    <m/>
    <s v="-"/>
    <s v="-"/>
    <m/>
    <m/>
    <s v="0"/>
    <s v="0"/>
    <n v="6"/>
    <n v="1450000"/>
    <n v="1160000"/>
    <n v="580000"/>
    <n v="464000"/>
    <s v="DISC20"/>
    <n v="0.2"/>
    <s v="Promo Lebaran"/>
    <s v="Shopee"/>
    <x v="5"/>
    <d v="2023-04-19T00:00:00"/>
    <s v="Wednesday"/>
    <s v="wwww"/>
  </r>
  <r>
    <n v="801"/>
    <s v="ORD-TK0801-21/04/23"/>
    <s v="SW001"/>
    <s v="Sepatu Wanita"/>
    <x v="9"/>
    <n v="1"/>
    <n v="3"/>
    <n v="250000"/>
    <n v="100000"/>
    <s v="PP003"/>
    <s v="Pakaian Pria"/>
    <s v="Jaket Jeans"/>
    <n v="1"/>
    <n v="3"/>
    <n v="400000"/>
    <n v="150000"/>
    <s v="PW002"/>
    <s v="Pakaian Wanita"/>
    <s v="Blouse"/>
    <n v="2"/>
    <n v="2"/>
    <n v="300000"/>
    <n v="100000"/>
    <n v="4"/>
    <n v="950000"/>
    <n v="855000"/>
    <n v="350000"/>
    <n v="315000"/>
    <s v="LEBAR10"/>
    <n v="0.1"/>
    <s v="Promo Lebaran"/>
    <s v="Tokopedia"/>
    <x v="0"/>
    <d v="2023-04-21T00:00:00"/>
    <s v="Friday"/>
    <s v="wwww"/>
  </r>
  <r>
    <n v="802"/>
    <s v="ORD-BB0802-07/04/23"/>
    <s v="PW002"/>
    <s v="Pakaian Wanita"/>
    <x v="1"/>
    <n v="3"/>
    <n v="2"/>
    <n v="450000"/>
    <n v="150000"/>
    <m/>
    <s v="-"/>
    <s v="-"/>
    <m/>
    <m/>
    <s v="0"/>
    <s v="0"/>
    <m/>
    <s v="-"/>
    <s v="-"/>
    <m/>
    <m/>
    <s v="0"/>
    <s v="0"/>
    <n v="3"/>
    <n v="450000"/>
    <n v="450000"/>
    <n v="150000"/>
    <n v="150000"/>
    <s v="-"/>
    <s v="-"/>
    <s v="-"/>
    <s v="BliBli"/>
    <x v="4"/>
    <d v="2023-04-07T00:00:00"/>
    <s v="Friday"/>
    <s v="wwww"/>
  </r>
  <r>
    <n v="803"/>
    <s v="ORD-SP0803-21/04/23"/>
    <s v="PW003"/>
    <s v="Pakaian Wanita"/>
    <x v="2"/>
    <n v="4"/>
    <n v="3"/>
    <n v="1000000"/>
    <n v="400000"/>
    <s v="PU001"/>
    <s v="Pakaian Unisex"/>
    <s v="Jaket Hoodie"/>
    <n v="1"/>
    <n v="4"/>
    <n v="350000"/>
    <n v="130000"/>
    <m/>
    <s v="-"/>
    <s v="-"/>
    <m/>
    <m/>
    <s v="0"/>
    <s v="0"/>
    <n v="5"/>
    <n v="1350000"/>
    <n v="1080000"/>
    <n v="530000"/>
    <n v="424000"/>
    <s v="DISC20"/>
    <n v="0.2"/>
    <s v="Promo Lebaran"/>
    <s v="Shopee"/>
    <x v="0"/>
    <d v="2023-04-21T00:00:00"/>
    <s v="Friday"/>
    <s v="wwww"/>
  </r>
  <r>
    <n v="804"/>
    <s v="ORD-BB0804-11/04/23"/>
    <s v="PW003"/>
    <s v="Pakaian Wanita"/>
    <x v="2"/>
    <n v="5"/>
    <n v="1"/>
    <n v="1250000"/>
    <n v="500000"/>
    <s v="SP001"/>
    <s v="Sepatu Pria"/>
    <s v="Sneakers"/>
    <n v="1"/>
    <n v="4"/>
    <n v="500000"/>
    <n v="200000"/>
    <m/>
    <s v="-"/>
    <s v="-"/>
    <m/>
    <m/>
    <s v="0"/>
    <s v="0"/>
    <n v="6"/>
    <n v="1750000"/>
    <n v="1750000"/>
    <n v="700000"/>
    <n v="700000"/>
    <s v="-"/>
    <s v="-"/>
    <s v="-"/>
    <s v="BliBli"/>
    <x v="2"/>
    <d v="2023-04-11T00:00:00"/>
    <s v="Tuesday"/>
    <s v="wwww"/>
  </r>
  <r>
    <n v="805"/>
    <s v="ORD-SP0805-13/04/23"/>
    <s v="PP002"/>
    <s v="Pakaian Pria"/>
    <x v="4"/>
    <n v="4"/>
    <n v="3"/>
    <n v="720000"/>
    <n v="280000"/>
    <m/>
    <s v="-"/>
    <s v="-"/>
    <m/>
    <m/>
    <s v="0"/>
    <s v="0"/>
    <m/>
    <s v="-"/>
    <s v="-"/>
    <m/>
    <m/>
    <s v="0"/>
    <s v="0"/>
    <n v="4"/>
    <n v="720000"/>
    <n v="720000"/>
    <n v="280000"/>
    <n v="280000"/>
    <s v="-"/>
    <s v="-"/>
    <s v="-"/>
    <s v="Shopee"/>
    <x v="1"/>
    <d v="2023-04-13T00:00:00"/>
    <s v="Thursday"/>
    <s v="wwww"/>
  </r>
  <r>
    <n v="806"/>
    <s v="ORD-BB0806-15/04/23"/>
    <s v="PW002"/>
    <s v="Pakaian Wanita"/>
    <x v="1"/>
    <n v="1"/>
    <n v="4"/>
    <n v="150000"/>
    <n v="50000"/>
    <m/>
    <s v="-"/>
    <s v="-"/>
    <m/>
    <m/>
    <s v="0"/>
    <s v="0"/>
    <m/>
    <s v="-"/>
    <s v="-"/>
    <m/>
    <m/>
    <s v="0"/>
    <s v="0"/>
    <n v="1"/>
    <n v="150000"/>
    <n v="150000"/>
    <n v="50000"/>
    <n v="50000"/>
    <s v="-"/>
    <s v="-"/>
    <s v="-"/>
    <s v="BliBli"/>
    <x v="0"/>
    <d v="2023-04-15T00:00:00"/>
    <s v="Saturday"/>
    <s v="wwww"/>
  </r>
  <r>
    <n v="807"/>
    <s v="ORD-SP0807-27/04/23"/>
    <s v="PU001"/>
    <s v="Pakaian Unisex"/>
    <x v="6"/>
    <n v="3"/>
    <n v="1"/>
    <n v="1050000"/>
    <n v="390000"/>
    <m/>
    <s v="-"/>
    <s v="-"/>
    <m/>
    <m/>
    <s v="0"/>
    <s v="0"/>
    <m/>
    <s v="-"/>
    <s v="-"/>
    <m/>
    <m/>
    <s v="0"/>
    <s v="0"/>
    <n v="3"/>
    <n v="1050000"/>
    <n v="840000"/>
    <n v="390000"/>
    <n v="312000"/>
    <s v="DISC20"/>
    <n v="0.2"/>
    <s v="Promo Lebaran"/>
    <s v="Shopee"/>
    <x v="3"/>
    <d v="2023-04-27T00:00:00"/>
    <s v="Thursday"/>
    <s v="wwww"/>
  </r>
  <r>
    <n v="808"/>
    <s v="ORD-SP0808-01/04/23"/>
    <s v="PP002"/>
    <s v="Pakaian Pria"/>
    <x v="4"/>
    <n v="1"/>
    <n v="1"/>
    <n v="180000"/>
    <n v="70000"/>
    <s v="SP002"/>
    <s v="Sepatu Pria"/>
    <s v="Sandal Slip On"/>
    <n v="1"/>
    <n v="1"/>
    <n v="150000"/>
    <n v="60000"/>
    <s v="SP001"/>
    <s v="Sepatu Pria"/>
    <s v="Sneakers"/>
    <n v="1"/>
    <n v="1"/>
    <n v="500000"/>
    <n v="200000"/>
    <n v="3"/>
    <n v="830000"/>
    <n v="747000"/>
    <n v="330000"/>
    <n v="297000"/>
    <s v="DISC10"/>
    <n v="0.1"/>
    <s v="Promo 4.4"/>
    <s v="Shopee"/>
    <x v="4"/>
    <d v="2023-04-01T00:00:00"/>
    <s v="Saturday"/>
    <s v="wwww"/>
  </r>
  <r>
    <n v="809"/>
    <s v="ORD-SP0809-04/04/23"/>
    <s v="PP001"/>
    <s v="Pakaian Pria"/>
    <x v="3"/>
    <n v="1"/>
    <n v="3"/>
    <n v="200000"/>
    <n v="80000"/>
    <s v="PW003"/>
    <s v="Pakaian Wanita"/>
    <s v="Kaftan"/>
    <n v="2"/>
    <n v="5"/>
    <n v="500000"/>
    <n v="200000"/>
    <s v="PU001"/>
    <s v="Pakaian Unisex"/>
    <s v="Jaket Hoodie"/>
    <n v="2"/>
    <n v="2"/>
    <n v="700000"/>
    <n v="260000"/>
    <n v="5"/>
    <n v="1400000"/>
    <n v="1190000"/>
    <n v="540000"/>
    <n v="459000"/>
    <s v="DISC15"/>
    <n v="0.15"/>
    <s v="Promo 4.4"/>
    <s v="Shopee"/>
    <x v="5"/>
    <d v="2023-04-04T00:00:00"/>
    <s v="Tuesday"/>
    <s v="wwww"/>
  </r>
  <r>
    <n v="810"/>
    <s v="ORD-SP0810-22/04/23"/>
    <s v="PW001"/>
    <s v="Pakaian Wanita"/>
    <x v="0"/>
    <n v="1"/>
    <n v="3"/>
    <n v="300000"/>
    <n v="100000"/>
    <s v="SP002"/>
    <s v="Sepatu Pria"/>
    <s v="Sandal Slip On"/>
    <n v="3"/>
    <n v="5"/>
    <n v="450000"/>
    <n v="180000"/>
    <s v="PW002"/>
    <s v="Pakaian Wanita"/>
    <s v="Blouse"/>
    <n v="3"/>
    <n v="4"/>
    <n v="450000"/>
    <n v="150000"/>
    <n v="7"/>
    <n v="1200000"/>
    <n v="960000"/>
    <n v="430000"/>
    <n v="344000"/>
    <s v="DISC20"/>
    <n v="0.2"/>
    <s v="Promo Lebaran"/>
    <s v="Shopee"/>
    <x v="5"/>
    <d v="2023-04-22T00:00:00"/>
    <s v="Saturday"/>
    <s v="wwww"/>
  </r>
  <r>
    <n v="811"/>
    <s v="ORD-SP0811-01/04/23"/>
    <s v="SP002"/>
    <s v="Sepatu Pria"/>
    <x v="8"/>
    <n v="4"/>
    <n v="1"/>
    <n v="600000"/>
    <n v="240000"/>
    <s v="PU001"/>
    <s v="Pakaian Unisex"/>
    <s v="Jaket Hoodie"/>
    <n v="2"/>
    <n v="4"/>
    <n v="700000"/>
    <n v="260000"/>
    <m/>
    <s v="-"/>
    <s v="-"/>
    <m/>
    <m/>
    <s v="0"/>
    <s v="0"/>
    <n v="6"/>
    <n v="1300000"/>
    <n v="1170000"/>
    <n v="500000"/>
    <n v="450000"/>
    <s v="DISC10"/>
    <n v="0.1"/>
    <s v="Promo 4.4"/>
    <s v="Shopee"/>
    <x v="4"/>
    <d v="2023-04-01T00:00:00"/>
    <s v="Saturday"/>
    <s v="wwww"/>
  </r>
  <r>
    <n v="812"/>
    <s v="ORD-BB0812-02/04/23"/>
    <s v="PW002"/>
    <s v="Pakaian Wanita"/>
    <x v="1"/>
    <n v="1"/>
    <n v="1"/>
    <n v="150000"/>
    <n v="50000"/>
    <s v="SP002"/>
    <s v="Sepatu Pria"/>
    <s v="Sandal Slip On"/>
    <n v="1"/>
    <n v="1"/>
    <n v="150000"/>
    <n v="60000"/>
    <s v="SP001"/>
    <s v="Sepatu Pria"/>
    <s v="Sneakers"/>
    <n v="4"/>
    <n v="4"/>
    <n v="2000000"/>
    <n v="800000"/>
    <n v="6"/>
    <n v="2300000"/>
    <n v="1955000"/>
    <n v="910000"/>
    <n v="773500"/>
    <s v="BELI44"/>
    <n v="0.15"/>
    <s v="Promo 4.4"/>
    <s v="BliBli"/>
    <x v="5"/>
    <d v="2023-04-02T00:00:00"/>
    <s v="Sunday"/>
    <s v="wwww"/>
  </r>
  <r>
    <n v="813"/>
    <s v="ORD-SP0813-05/04/23"/>
    <s v="PU001"/>
    <s v="Pakaian Unisex"/>
    <x v="6"/>
    <n v="3"/>
    <n v="4"/>
    <n v="1050000"/>
    <n v="390000"/>
    <m/>
    <s v="-"/>
    <s v="-"/>
    <m/>
    <m/>
    <s v="0"/>
    <s v="0"/>
    <m/>
    <s v="-"/>
    <s v="-"/>
    <m/>
    <m/>
    <s v="0"/>
    <s v="0"/>
    <n v="3"/>
    <n v="1050000"/>
    <n v="892500"/>
    <n v="390000"/>
    <n v="331500"/>
    <s v="DISC15"/>
    <n v="0.15"/>
    <s v="Promo 4.4"/>
    <s v="Shopee"/>
    <x v="5"/>
    <d v="2023-04-05T00:00:00"/>
    <s v="Wednesday"/>
    <s v="wwww"/>
  </r>
  <r>
    <n v="814"/>
    <s v="ORD-BL0814-26/04/23"/>
    <s v="PU001"/>
    <s v="Pakaian Unisex"/>
    <x v="6"/>
    <n v="1"/>
    <n v="2"/>
    <n v="350000"/>
    <n v="130000"/>
    <s v="SP002"/>
    <s v="Sepatu Pria"/>
    <s v="Sandal Slip On"/>
    <n v="5"/>
    <n v="4"/>
    <n v="750000"/>
    <n v="300000"/>
    <m/>
    <s v="-"/>
    <s v="-"/>
    <m/>
    <m/>
    <s v="0"/>
    <s v="0"/>
    <n v="6"/>
    <n v="1100000"/>
    <n v="935000"/>
    <n v="430000"/>
    <n v="365500"/>
    <s v="BUKALEBAR"/>
    <n v="0.15"/>
    <s v="Promo Lebaran"/>
    <s v="Bukalapak"/>
    <x v="1"/>
    <d v="2023-04-26T00:00:00"/>
    <s v="Wednesday"/>
    <s v="wwww"/>
  </r>
  <r>
    <n v="815"/>
    <s v="ORD-SP0815-28/04/23"/>
    <s v="SP002"/>
    <s v="Sepatu Pria"/>
    <x v="8"/>
    <n v="1"/>
    <n v="2"/>
    <n v="150000"/>
    <n v="60000"/>
    <m/>
    <s v="-"/>
    <s v="-"/>
    <m/>
    <m/>
    <s v="0"/>
    <s v="0"/>
    <m/>
    <s v="-"/>
    <s v="-"/>
    <m/>
    <m/>
    <s v="0"/>
    <s v="0"/>
    <n v="1"/>
    <n v="150000"/>
    <n v="120000"/>
    <n v="60000"/>
    <n v="48000"/>
    <s v="DISC20"/>
    <n v="0.2"/>
    <s v="Promo Lebaran"/>
    <s v="Shopee"/>
    <x v="4"/>
    <d v="2023-04-28T00:00:00"/>
    <s v="Friday"/>
    <s v="wwww"/>
  </r>
  <r>
    <n v="816"/>
    <s v="ORD-TK0816-30/04/23"/>
    <s v="SP002"/>
    <s v="Sepatu Pria"/>
    <x v="8"/>
    <n v="2"/>
    <n v="5"/>
    <n v="300000"/>
    <n v="120000"/>
    <m/>
    <s v="-"/>
    <s v="-"/>
    <m/>
    <m/>
    <s v="0"/>
    <s v="0"/>
    <m/>
    <s v="-"/>
    <s v="-"/>
    <m/>
    <m/>
    <s v="0"/>
    <s v="0"/>
    <n v="2"/>
    <n v="300000"/>
    <n v="270000"/>
    <n v="120000"/>
    <n v="108000"/>
    <s v="LEBAR10"/>
    <n v="0.1"/>
    <s v="Promo Lebaran"/>
    <s v="Tokopedia"/>
    <x v="4"/>
    <d v="2023-04-30T00:00:00"/>
    <s v="Sunday"/>
    <s v="wwww"/>
  </r>
  <r>
    <n v="817"/>
    <s v="ORD-BL0817-23/04/23"/>
    <s v="SW001"/>
    <s v="Sepatu Wanita"/>
    <x v="9"/>
    <n v="3"/>
    <n v="3"/>
    <n v="750000"/>
    <n v="300000"/>
    <s v="SP001"/>
    <s v="Sepatu Pria"/>
    <s v="Sneakers"/>
    <n v="1"/>
    <n v="4"/>
    <n v="500000"/>
    <n v="200000"/>
    <s v="SP002"/>
    <s v="Sepatu Pria"/>
    <s v="Sandal Slip On"/>
    <n v="1"/>
    <n v="4"/>
    <n v="150000"/>
    <n v="60000"/>
    <n v="5"/>
    <n v="1400000"/>
    <n v="1190000"/>
    <n v="560000"/>
    <n v="476000"/>
    <s v="BUKALEBAR"/>
    <n v="0.15"/>
    <s v="Promo Lebaran"/>
    <s v="Bukalapak"/>
    <x v="0"/>
    <d v="2023-04-23T00:00:00"/>
    <s v="Sunday"/>
    <s v="wwww"/>
  </r>
  <r>
    <n v="818"/>
    <s v="ORD-BB0818-06/04/23"/>
    <s v="PP002"/>
    <s v="Pakaian Pria"/>
    <x v="4"/>
    <n v="2"/>
    <n v="5"/>
    <n v="360000"/>
    <n v="140000"/>
    <s v="PP003"/>
    <s v="Pakaian Pria"/>
    <s v="Jaket Jeans"/>
    <n v="1"/>
    <n v="4"/>
    <n v="400000"/>
    <n v="150000"/>
    <m/>
    <s v="-"/>
    <s v="-"/>
    <m/>
    <m/>
    <s v="0"/>
    <s v="0"/>
    <n v="3"/>
    <n v="760000"/>
    <n v="646000"/>
    <n v="290000"/>
    <n v="246500"/>
    <s v="BELI44"/>
    <n v="0.15"/>
    <s v="Promo 4.4"/>
    <s v="BliBli"/>
    <x v="5"/>
    <d v="2023-04-06T00:00:00"/>
    <s v="Thursday"/>
    <s v="wwww"/>
  </r>
  <r>
    <n v="819"/>
    <s v="ORD-TK0819-06/04/23"/>
    <s v="PP001"/>
    <s v="Pakaian Pria"/>
    <x v="3"/>
    <n v="1"/>
    <n v="3"/>
    <n v="200000"/>
    <n v="80000"/>
    <s v="PU001"/>
    <s v="Pakaian Unisex"/>
    <s v="Jaket Hoodie"/>
    <n v="6"/>
    <n v="4"/>
    <n v="2100000"/>
    <n v="780000"/>
    <m/>
    <s v="-"/>
    <s v="-"/>
    <m/>
    <m/>
    <s v="0"/>
    <s v="0"/>
    <n v="7"/>
    <n v="2300000"/>
    <n v="2070000"/>
    <n v="860000"/>
    <n v="774000"/>
    <s v="DISCAPRIL"/>
    <n v="0.1"/>
    <s v="Promo 4.4"/>
    <s v="Tokopedia"/>
    <x v="4"/>
    <d v="2023-04-06T00:00:00"/>
    <s v="Thursday"/>
    <s v="wwww"/>
  </r>
  <r>
    <n v="820"/>
    <s v="ORD-BL0820-26/04/23"/>
    <s v="PP001"/>
    <s v="Pakaian Pria"/>
    <x v="3"/>
    <n v="3"/>
    <n v="1"/>
    <n v="600000"/>
    <n v="240000"/>
    <s v="PP002"/>
    <s v="Pakaian Pria"/>
    <s v="Celana Pendek"/>
    <n v="1"/>
    <n v="2"/>
    <n v="180000"/>
    <n v="70000"/>
    <s v="PW002"/>
    <s v="Pakaian Wanita"/>
    <s v="Blouse"/>
    <n v="1"/>
    <n v="1"/>
    <n v="150000"/>
    <n v="50000"/>
    <n v="5"/>
    <n v="930000"/>
    <n v="790500"/>
    <n v="360000"/>
    <n v="306000"/>
    <s v="BUKALEBAR"/>
    <n v="0.15"/>
    <s v="Promo Lebaran"/>
    <s v="Bukalapak"/>
    <x v="4"/>
    <d v="2023-04-26T00:00:00"/>
    <s v="Wednesday"/>
    <s v="wwww"/>
  </r>
  <r>
    <n v="821"/>
    <s v="ORD-TK0821-22/04/23"/>
    <s v="PP002"/>
    <s v="Pakaian Pria"/>
    <x v="4"/>
    <n v="1"/>
    <n v="1"/>
    <n v="180000"/>
    <n v="70000"/>
    <s v="PP003"/>
    <s v="Pakaian Pria"/>
    <s v="Jaket Jeans"/>
    <n v="1"/>
    <n v="4"/>
    <n v="400000"/>
    <n v="150000"/>
    <m/>
    <s v="-"/>
    <s v="-"/>
    <m/>
    <m/>
    <s v="0"/>
    <s v="0"/>
    <n v="2"/>
    <n v="580000"/>
    <n v="522000"/>
    <n v="220000"/>
    <n v="198000"/>
    <s v="LEBAR10"/>
    <n v="0.1"/>
    <s v="Promo Lebaran"/>
    <s v="Tokopedia"/>
    <x v="4"/>
    <d v="2023-04-22T00:00:00"/>
    <s v="Saturday"/>
    <s v="wwww"/>
  </r>
  <r>
    <n v="822"/>
    <s v="ORD-TK0822-03/04/23"/>
    <s v="PP003"/>
    <s v="Pakaian Pria"/>
    <x v="5"/>
    <n v="3"/>
    <n v="4"/>
    <n v="1200000"/>
    <n v="450000"/>
    <s v="PP001"/>
    <s v="Pakaian Pria"/>
    <s v="Kaos Polo"/>
    <n v="1"/>
    <n v="4"/>
    <n v="200000"/>
    <n v="80000"/>
    <s v="PP001"/>
    <s v="Pakaian Pria"/>
    <s v="Kaos Polo"/>
    <n v="1"/>
    <n v="2"/>
    <n v="200000"/>
    <n v="80000"/>
    <n v="5"/>
    <n v="1600000"/>
    <n v="1440000"/>
    <n v="610000"/>
    <n v="549000"/>
    <s v="DISCAPRIL"/>
    <n v="0.1"/>
    <s v="Promo 4.4"/>
    <s v="Tokopedia"/>
    <x v="4"/>
    <d v="2023-04-03T00:00:00"/>
    <s v="Monday"/>
    <s v="wwww"/>
  </r>
  <r>
    <n v="823"/>
    <s v="ORD-SP0823-06/04/23"/>
    <s v="PW002"/>
    <s v="Pakaian Wanita"/>
    <x v="1"/>
    <n v="2"/>
    <n v="2"/>
    <n v="300000"/>
    <n v="100000"/>
    <s v="SW001"/>
    <s v="Sepatu Wanita"/>
    <s v="Flat Shoes"/>
    <n v="1"/>
    <n v="1"/>
    <n v="250000"/>
    <n v="100000"/>
    <s v="PP001"/>
    <s v="Pakaian Pria"/>
    <s v="Kaos Polo"/>
    <n v="4"/>
    <n v="2"/>
    <n v="800000"/>
    <n v="320000"/>
    <n v="7"/>
    <n v="1350000"/>
    <n v="1147500"/>
    <n v="520000"/>
    <n v="442000"/>
    <s v="DISC15"/>
    <n v="0.15"/>
    <s v="Promo 4.4"/>
    <s v="Shopee"/>
    <x v="4"/>
    <d v="2023-04-06T00:00:00"/>
    <s v="Thursday"/>
    <s v="wwww"/>
  </r>
  <r>
    <n v="824"/>
    <s v="ORD-TK0824-27/04/23"/>
    <s v="PW001"/>
    <s v="Pakaian Wanita"/>
    <x v="0"/>
    <n v="1"/>
    <n v="4"/>
    <n v="300000"/>
    <n v="100000"/>
    <m/>
    <s v="-"/>
    <s v="-"/>
    <m/>
    <m/>
    <s v="0"/>
    <s v="0"/>
    <m/>
    <s v="-"/>
    <s v="-"/>
    <m/>
    <m/>
    <s v="0"/>
    <s v="0"/>
    <n v="1"/>
    <n v="300000"/>
    <n v="270000"/>
    <n v="100000"/>
    <n v="90000"/>
    <s v="LEBAR10"/>
    <n v="0.1"/>
    <s v="Promo Lebaran"/>
    <s v="Tokopedia"/>
    <x v="4"/>
    <d v="2023-04-27T00:00:00"/>
    <s v="Thursday"/>
    <s v="wwww"/>
  </r>
  <r>
    <n v="825"/>
    <s v="ORD-BL0825-26/04/23"/>
    <s v="SW001"/>
    <s v="Sepatu Wanita"/>
    <x v="9"/>
    <n v="2"/>
    <n v="2"/>
    <n v="500000"/>
    <n v="200000"/>
    <s v="PW002"/>
    <s v="Pakaian Wanita"/>
    <s v="Blouse"/>
    <n v="4"/>
    <n v="1"/>
    <n v="600000"/>
    <n v="200000"/>
    <m/>
    <s v="-"/>
    <s v="-"/>
    <m/>
    <m/>
    <s v="0"/>
    <s v="0"/>
    <n v="6"/>
    <n v="1100000"/>
    <n v="935000"/>
    <n v="400000"/>
    <n v="340000"/>
    <s v="BUKALEBAR"/>
    <n v="0.15"/>
    <s v="Promo Lebaran"/>
    <s v="Bukalapak"/>
    <x v="4"/>
    <d v="2023-04-26T00:00:00"/>
    <s v="Wednesday"/>
    <s v="wwww"/>
  </r>
  <r>
    <n v="826"/>
    <s v="ORD-BL0826-27/04/23"/>
    <s v="PU001"/>
    <s v="Pakaian Unisex"/>
    <x v="6"/>
    <n v="4"/>
    <n v="3"/>
    <n v="1400000"/>
    <n v="520000"/>
    <s v="PW002"/>
    <s v="Pakaian Wanita"/>
    <s v="Blouse"/>
    <n v="1"/>
    <n v="5"/>
    <n v="150000"/>
    <n v="50000"/>
    <m/>
    <s v="-"/>
    <s v="-"/>
    <m/>
    <m/>
    <s v="0"/>
    <s v="0"/>
    <n v="5"/>
    <n v="1550000"/>
    <n v="1317500"/>
    <n v="570000"/>
    <n v="484500"/>
    <s v="BUKALEBAR"/>
    <n v="0.15"/>
    <s v="Promo Lebaran"/>
    <s v="Bukalapak"/>
    <x v="4"/>
    <d v="2023-04-27T00:00:00"/>
    <s v="Thursday"/>
    <s v="wwww"/>
  </r>
  <r>
    <n v="827"/>
    <s v="ORD-SP0827-05/04/23"/>
    <s v="PP001"/>
    <s v="Pakaian Pria"/>
    <x v="3"/>
    <n v="1"/>
    <n v="5"/>
    <n v="200000"/>
    <n v="80000"/>
    <m/>
    <s v="-"/>
    <s v="-"/>
    <m/>
    <m/>
    <s v="0"/>
    <s v="0"/>
    <m/>
    <s v="-"/>
    <s v="-"/>
    <m/>
    <m/>
    <s v="0"/>
    <s v="0"/>
    <n v="1"/>
    <n v="200000"/>
    <n v="170000"/>
    <n v="80000"/>
    <n v="68000"/>
    <s v="DISC15"/>
    <n v="0.15"/>
    <s v="Promo 4.4"/>
    <s v="Shopee"/>
    <x v="1"/>
    <d v="2023-04-05T00:00:00"/>
    <s v="Wednesday"/>
    <s v="wwww"/>
  </r>
  <r>
    <n v="828"/>
    <s v="ORD-BL0828-13/04/23"/>
    <s v="PP001"/>
    <s v="Pakaian Pria"/>
    <x v="3"/>
    <n v="2"/>
    <n v="2"/>
    <n v="400000"/>
    <n v="160000"/>
    <s v="SP001"/>
    <s v="Sepatu Pria"/>
    <s v="Sneakers"/>
    <n v="1"/>
    <n v="5"/>
    <n v="500000"/>
    <n v="200000"/>
    <m/>
    <s v="-"/>
    <s v="-"/>
    <m/>
    <m/>
    <s v="0"/>
    <s v="0"/>
    <n v="3"/>
    <n v="900000"/>
    <n v="900000"/>
    <n v="360000"/>
    <n v="360000"/>
    <s v="-"/>
    <s v="-"/>
    <s v="-"/>
    <s v="Bukalapak"/>
    <x v="4"/>
    <d v="2023-04-13T00:00:00"/>
    <s v="Thursday"/>
    <s v="wwww"/>
  </r>
  <r>
    <n v="829"/>
    <s v="ORD-TK0829-24/04/23"/>
    <s v="SP001"/>
    <s v="Sepatu Pria"/>
    <x v="7"/>
    <n v="1"/>
    <n v="4"/>
    <n v="500000"/>
    <n v="200000"/>
    <s v="PU001"/>
    <s v="Pakaian Unisex"/>
    <s v="Jaket Hoodie"/>
    <n v="1"/>
    <n v="2"/>
    <n v="350000"/>
    <n v="130000"/>
    <s v="SP002"/>
    <s v="Sepatu Pria"/>
    <s v="Sandal Slip On"/>
    <n v="1"/>
    <n v="2"/>
    <n v="150000"/>
    <n v="60000"/>
    <n v="3"/>
    <n v="1000000"/>
    <n v="900000"/>
    <n v="390000"/>
    <n v="351000"/>
    <s v="LEBAR10"/>
    <n v="0.1"/>
    <s v="Promo Lebaran"/>
    <s v="Tokopedia"/>
    <x v="1"/>
    <d v="2023-04-24T00:00:00"/>
    <s v="Monday"/>
    <s v="wwww"/>
  </r>
  <r>
    <n v="830"/>
    <s v="ORD-BB0830-15/04/23"/>
    <s v="PU001"/>
    <s v="Pakaian Unisex"/>
    <x v="6"/>
    <n v="3"/>
    <n v="1"/>
    <n v="1050000"/>
    <n v="390000"/>
    <s v="SP002"/>
    <s v="Sepatu Pria"/>
    <s v="Sandal Slip On"/>
    <n v="2"/>
    <n v="4"/>
    <n v="300000"/>
    <n v="120000"/>
    <s v="PW003"/>
    <s v="Pakaian Wanita"/>
    <s v="Kaftan"/>
    <n v="1"/>
    <n v="5"/>
    <n v="250000"/>
    <n v="100000"/>
    <n v="6"/>
    <n v="1600000"/>
    <n v="1600000"/>
    <n v="610000"/>
    <n v="610000"/>
    <s v="-"/>
    <s v="-"/>
    <s v="-"/>
    <s v="BliBli"/>
    <x v="3"/>
    <d v="2023-04-15T00:00:00"/>
    <s v="Saturday"/>
    <s v="wwww"/>
  </r>
  <r>
    <n v="831"/>
    <s v="ORD-SP0831-18/04/23"/>
    <s v="SP001"/>
    <s v="Sepatu Pria"/>
    <x v="7"/>
    <n v="2"/>
    <n v="5"/>
    <n v="1000000"/>
    <n v="400000"/>
    <s v="PU001"/>
    <s v="Pakaian Unisex"/>
    <s v="Jaket Hoodie"/>
    <n v="1"/>
    <n v="2"/>
    <n v="350000"/>
    <n v="130000"/>
    <s v="PW003"/>
    <s v="Pakaian Wanita"/>
    <s v="Kaftan"/>
    <n v="2"/>
    <n v="4"/>
    <n v="500000"/>
    <n v="200000"/>
    <n v="5"/>
    <n v="1850000"/>
    <n v="1480000"/>
    <n v="730000"/>
    <n v="584000"/>
    <s v="DISC20"/>
    <n v="0.2"/>
    <s v="Promo Lebaran"/>
    <s v="Shopee"/>
    <x v="4"/>
    <d v="2023-04-18T00:00:00"/>
    <s v="Tuesday"/>
    <s v="wwww"/>
  </r>
  <r>
    <n v="832"/>
    <s v="ORD-BL0832-26/04/23"/>
    <s v="PW001"/>
    <s v="Pakaian Wanita"/>
    <x v="0"/>
    <n v="1"/>
    <n v="1"/>
    <n v="300000"/>
    <n v="100000"/>
    <s v="PW001"/>
    <s v="Pakaian Wanita"/>
    <s v="Dress"/>
    <n v="1"/>
    <n v="4"/>
    <n v="300000"/>
    <n v="100000"/>
    <s v="PW001"/>
    <s v="Pakaian Wanita"/>
    <s v="Dress"/>
    <n v="1"/>
    <n v="2"/>
    <n v="300000"/>
    <n v="100000"/>
    <n v="3"/>
    <n v="900000"/>
    <n v="765000"/>
    <n v="300000"/>
    <n v="255000"/>
    <s v="BUKALEBAR"/>
    <n v="0.15"/>
    <s v="Promo Lebaran"/>
    <s v="Bukalapak"/>
    <x v="4"/>
    <d v="2023-04-26T00:00:00"/>
    <s v="Wednesday"/>
    <s v="wwww"/>
  </r>
  <r>
    <n v="833"/>
    <s v="ORD-SP0833-02/04/23"/>
    <s v="PW003"/>
    <s v="Pakaian Wanita"/>
    <x v="2"/>
    <n v="4"/>
    <n v="3"/>
    <n v="1000000"/>
    <n v="400000"/>
    <s v="PU001"/>
    <s v="Pakaian Unisex"/>
    <s v="Jaket Hoodie"/>
    <n v="1"/>
    <n v="2"/>
    <n v="350000"/>
    <n v="130000"/>
    <s v="PW001"/>
    <s v="Pakaian Wanita"/>
    <s v="Dress"/>
    <n v="2"/>
    <n v="5"/>
    <n v="600000"/>
    <n v="200000"/>
    <n v="7"/>
    <n v="1950000"/>
    <n v="1657500"/>
    <n v="730000"/>
    <n v="620500"/>
    <s v="DISC15"/>
    <n v="0.15"/>
    <s v="Promo 4.4"/>
    <s v="Shopee"/>
    <x v="0"/>
    <d v="2023-04-02T00:00:00"/>
    <s v="Sunday"/>
    <s v="wwww"/>
  </r>
  <r>
    <n v="834"/>
    <s v="ORD-BL0834-22/04/23"/>
    <s v="PW001"/>
    <s v="Pakaian Wanita"/>
    <x v="0"/>
    <n v="1"/>
    <n v="5"/>
    <n v="300000"/>
    <n v="100000"/>
    <m/>
    <s v="-"/>
    <s v="-"/>
    <m/>
    <m/>
    <s v="0"/>
    <s v="0"/>
    <m/>
    <s v="-"/>
    <s v="-"/>
    <m/>
    <m/>
    <s v="0"/>
    <s v="0"/>
    <n v="1"/>
    <n v="300000"/>
    <n v="255000"/>
    <n v="100000"/>
    <n v="85000"/>
    <s v="BUKALEBAR"/>
    <n v="0.15"/>
    <s v="Promo Lebaran"/>
    <s v="Bukalapak"/>
    <x v="1"/>
    <d v="2023-04-22T00:00:00"/>
    <s v="Saturday"/>
    <s v="wwww"/>
  </r>
  <r>
    <n v="835"/>
    <s v="ORD-SP0835-03/04/23"/>
    <s v="SP002"/>
    <s v="Sepatu Pria"/>
    <x v="8"/>
    <n v="1"/>
    <n v="5"/>
    <n v="150000"/>
    <n v="60000"/>
    <m/>
    <s v="-"/>
    <s v="-"/>
    <m/>
    <m/>
    <s v="0"/>
    <s v="0"/>
    <m/>
    <s v="-"/>
    <s v="-"/>
    <m/>
    <m/>
    <s v="0"/>
    <s v="0"/>
    <n v="1"/>
    <n v="150000"/>
    <n v="135000"/>
    <n v="60000"/>
    <n v="54000"/>
    <s v="DISC10"/>
    <n v="0.1"/>
    <s v="Promo 4.4"/>
    <s v="Shopee"/>
    <x v="5"/>
    <d v="2023-04-03T00:00:00"/>
    <s v="Monday"/>
    <s v="wwww"/>
  </r>
  <r>
    <n v="836"/>
    <s v="ORD-SP0836-02/04/23"/>
    <s v="SW001"/>
    <s v="Sepatu Wanita"/>
    <x v="9"/>
    <n v="1"/>
    <n v="5"/>
    <n v="250000"/>
    <n v="100000"/>
    <m/>
    <s v="-"/>
    <s v="-"/>
    <m/>
    <m/>
    <s v="0"/>
    <s v="0"/>
    <m/>
    <s v="-"/>
    <s v="-"/>
    <m/>
    <m/>
    <s v="0"/>
    <s v="0"/>
    <n v="1"/>
    <n v="250000"/>
    <n v="212500"/>
    <n v="100000"/>
    <n v="85000"/>
    <s v="DISC15"/>
    <n v="0.15"/>
    <s v="Promo 4.4"/>
    <s v="Shopee"/>
    <x v="4"/>
    <d v="2023-04-02T00:00:00"/>
    <s v="Sunday"/>
    <s v="wwww"/>
  </r>
  <r>
    <n v="837"/>
    <s v="ORD-TK0837-04/04/23"/>
    <s v="SP002"/>
    <s v="Sepatu Pria"/>
    <x v="8"/>
    <n v="7"/>
    <n v="4"/>
    <n v="1050000"/>
    <n v="420000"/>
    <m/>
    <s v="-"/>
    <s v="-"/>
    <m/>
    <m/>
    <s v="0"/>
    <s v="0"/>
    <m/>
    <s v="-"/>
    <s v="-"/>
    <m/>
    <m/>
    <s v="0"/>
    <s v="0"/>
    <n v="7"/>
    <n v="1050000"/>
    <n v="945000"/>
    <n v="420000"/>
    <n v="378000"/>
    <s v="DISCAPRIL"/>
    <n v="0.1"/>
    <s v="Promo 4.4"/>
    <s v="Tokopedia"/>
    <x v="4"/>
    <d v="2023-04-04T00:00:00"/>
    <s v="Tuesday"/>
    <s v="wwww"/>
  </r>
  <r>
    <n v="838"/>
    <s v="ORD-SP0838-06/04/23"/>
    <s v="PP003"/>
    <s v="Pakaian Pria"/>
    <x v="5"/>
    <n v="2"/>
    <n v="3"/>
    <n v="800000"/>
    <n v="300000"/>
    <m/>
    <s v="-"/>
    <s v="-"/>
    <m/>
    <m/>
    <s v="0"/>
    <s v="0"/>
    <m/>
    <s v="-"/>
    <s v="-"/>
    <m/>
    <m/>
    <s v="0"/>
    <s v="0"/>
    <n v="2"/>
    <n v="800000"/>
    <n v="720000"/>
    <n v="300000"/>
    <n v="270000"/>
    <s v="DISC10"/>
    <n v="0.1"/>
    <s v="Promo 4.4"/>
    <s v="Shopee"/>
    <x v="5"/>
    <d v="2023-04-06T00:00:00"/>
    <s v="Thursday"/>
    <s v="wwww"/>
  </r>
  <r>
    <n v="839"/>
    <s v="ORD-TK0839-03/04/23"/>
    <s v="PU001"/>
    <s v="Pakaian Unisex"/>
    <x v="6"/>
    <n v="1"/>
    <n v="5"/>
    <n v="350000"/>
    <n v="130000"/>
    <s v="PW002"/>
    <s v="Pakaian Wanita"/>
    <s v="Blouse"/>
    <n v="1"/>
    <n v="1"/>
    <n v="150000"/>
    <n v="50000"/>
    <m/>
    <s v="-"/>
    <s v="-"/>
    <m/>
    <m/>
    <s v="0"/>
    <s v="0"/>
    <n v="2"/>
    <n v="500000"/>
    <n v="450000"/>
    <n v="180000"/>
    <n v="162000"/>
    <s v="DISCAPRIL"/>
    <n v="0.1"/>
    <s v="Promo 4.4"/>
    <s v="Tokopedia"/>
    <x v="2"/>
    <d v="2023-04-03T00:00:00"/>
    <s v="Monday"/>
    <s v="wwww"/>
  </r>
  <r>
    <n v="840"/>
    <s v="ORD-SP0840-24/04/23"/>
    <s v="PU001"/>
    <s v="Pakaian Unisex"/>
    <x v="6"/>
    <n v="3"/>
    <n v="2"/>
    <n v="1050000"/>
    <n v="390000"/>
    <s v="PW003"/>
    <s v="Pakaian Wanita"/>
    <s v="Kaftan"/>
    <n v="1"/>
    <n v="5"/>
    <n v="250000"/>
    <n v="100000"/>
    <s v="PP002"/>
    <s v="Pakaian Pria"/>
    <s v="Celana Pendek"/>
    <n v="2"/>
    <n v="3"/>
    <n v="360000"/>
    <n v="140000"/>
    <n v="6"/>
    <n v="1660000"/>
    <n v="1328000"/>
    <n v="630000"/>
    <n v="504000"/>
    <s v="DISC20"/>
    <n v="0.2"/>
    <s v="Promo Lebaran"/>
    <s v="Shopee"/>
    <x v="0"/>
    <d v="2023-04-24T00:00:00"/>
    <s v="Monday"/>
    <s v="wwww"/>
  </r>
  <r>
    <n v="841"/>
    <s v="ORD-BL0841-15/04/23"/>
    <s v="PP003"/>
    <s v="Pakaian Pria"/>
    <x v="5"/>
    <n v="1"/>
    <n v="1"/>
    <n v="400000"/>
    <n v="150000"/>
    <s v="PP001"/>
    <s v="Pakaian Pria"/>
    <s v="Kaos Polo"/>
    <n v="4"/>
    <n v="1"/>
    <n v="800000"/>
    <n v="320000"/>
    <m/>
    <s v="-"/>
    <s v="-"/>
    <m/>
    <m/>
    <s v="0"/>
    <s v="0"/>
    <n v="5"/>
    <n v="1200000"/>
    <n v="1200000"/>
    <n v="470000"/>
    <n v="470000"/>
    <s v="-"/>
    <s v="-"/>
    <s v="-"/>
    <s v="Bukalapak"/>
    <x v="4"/>
    <d v="2023-04-15T00:00:00"/>
    <s v="Saturday"/>
    <s v="wwww"/>
  </r>
  <r>
    <n v="842"/>
    <s v="ORD-SP0842-07/04/23"/>
    <s v="SP001"/>
    <s v="Sepatu Pria"/>
    <x v="7"/>
    <n v="1"/>
    <n v="5"/>
    <n v="500000"/>
    <n v="200000"/>
    <s v="PW001"/>
    <s v="Pakaian Wanita"/>
    <s v="Dress"/>
    <n v="6"/>
    <n v="4"/>
    <n v="1800000"/>
    <n v="600000"/>
    <m/>
    <s v="-"/>
    <s v="-"/>
    <m/>
    <m/>
    <s v="0"/>
    <s v="0"/>
    <n v="7"/>
    <n v="2300000"/>
    <n v="2300000"/>
    <n v="800000"/>
    <n v="800000"/>
    <s v="-"/>
    <s v="-"/>
    <s v="-"/>
    <s v="Shopee"/>
    <x v="4"/>
    <d v="2023-04-07T00:00:00"/>
    <s v="Friday"/>
    <s v="wwww"/>
  </r>
  <r>
    <n v="843"/>
    <s v="ORD-TK0843-05/04/23"/>
    <s v="PW001"/>
    <s v="Pakaian Wanita"/>
    <x v="0"/>
    <n v="1"/>
    <n v="3"/>
    <n v="300000"/>
    <n v="100000"/>
    <s v="PP001"/>
    <s v="Pakaian Pria"/>
    <s v="Kaos Polo"/>
    <n v="3"/>
    <n v="1"/>
    <n v="600000"/>
    <n v="240000"/>
    <s v="SP001"/>
    <s v="Sepatu Pria"/>
    <s v="Sneakers"/>
    <n v="1"/>
    <n v="2"/>
    <n v="500000"/>
    <n v="200000"/>
    <n v="5"/>
    <n v="1400000"/>
    <n v="1260000"/>
    <n v="540000"/>
    <n v="486000"/>
    <s v="DISCAPRIL"/>
    <n v="0.1"/>
    <s v="Promo 4.4"/>
    <s v="Tokopedia"/>
    <x v="5"/>
    <d v="2023-04-05T00:00:00"/>
    <s v="Wednesday"/>
    <s v="wwww"/>
  </r>
  <r>
    <n v="844"/>
    <s v="ORD-TK0844-16/04/23"/>
    <s v="SP002"/>
    <s v="Sepatu Pria"/>
    <x v="8"/>
    <n v="1"/>
    <n v="5"/>
    <n v="150000"/>
    <n v="60000"/>
    <m/>
    <s v="-"/>
    <s v="-"/>
    <m/>
    <m/>
    <s v="0"/>
    <s v="0"/>
    <m/>
    <s v="-"/>
    <s v="-"/>
    <m/>
    <m/>
    <s v="0"/>
    <s v="0"/>
    <n v="1"/>
    <n v="150000"/>
    <n v="135000"/>
    <n v="60000"/>
    <n v="54000"/>
    <s v="LEBAR10"/>
    <n v="0.1"/>
    <s v="Promo Lebaran"/>
    <s v="Tokopedia"/>
    <x v="4"/>
    <d v="2023-04-16T00:00:00"/>
    <s v="Sunday"/>
    <s v="wwww"/>
  </r>
  <r>
    <n v="845"/>
    <s v="ORD-BB0845-04/04/23"/>
    <s v="PU001"/>
    <s v="Pakaian Unisex"/>
    <x v="6"/>
    <n v="2"/>
    <n v="3"/>
    <n v="700000"/>
    <n v="260000"/>
    <s v="PW001"/>
    <s v="Pakaian Wanita"/>
    <s v="Dress"/>
    <n v="2"/>
    <n v="4"/>
    <n v="600000"/>
    <n v="200000"/>
    <s v="PP002"/>
    <s v="Pakaian Pria"/>
    <s v="Celana Pendek"/>
    <n v="1"/>
    <n v="5"/>
    <n v="180000"/>
    <n v="70000"/>
    <n v="5"/>
    <n v="1480000"/>
    <n v="1258000"/>
    <n v="530000"/>
    <n v="450500"/>
    <s v="BELI44"/>
    <n v="0.15"/>
    <s v="Promo 4.4"/>
    <s v="BliBli"/>
    <x v="1"/>
    <d v="2023-04-04T00:00:00"/>
    <s v="Tuesday"/>
    <s v="wwww"/>
  </r>
  <r>
    <n v="846"/>
    <s v="ORD-SP0846-20/04/23"/>
    <s v="PU001"/>
    <s v="Pakaian Unisex"/>
    <x v="6"/>
    <n v="1"/>
    <n v="5"/>
    <n v="350000"/>
    <n v="130000"/>
    <s v="SP002"/>
    <s v="Sepatu Pria"/>
    <s v="Sandal Slip On"/>
    <n v="2"/>
    <n v="2"/>
    <n v="300000"/>
    <n v="120000"/>
    <s v="PW003"/>
    <s v="Pakaian Wanita"/>
    <s v="Kaftan"/>
    <n v="1"/>
    <n v="2"/>
    <n v="250000"/>
    <n v="100000"/>
    <n v="4"/>
    <n v="900000"/>
    <n v="720000"/>
    <n v="350000"/>
    <n v="280000"/>
    <s v="DISC20"/>
    <n v="0.2"/>
    <s v="Promo Lebaran"/>
    <s v="Shopee"/>
    <x v="4"/>
    <d v="2023-04-20T00:00:00"/>
    <s v="Thursday"/>
    <s v="wwww"/>
  </r>
  <r>
    <n v="847"/>
    <s v="ORD-SP0847-20/04/23"/>
    <s v="PW001"/>
    <s v="Pakaian Wanita"/>
    <x v="0"/>
    <n v="2"/>
    <n v="3"/>
    <n v="600000"/>
    <n v="200000"/>
    <s v="PW002"/>
    <s v="Pakaian Wanita"/>
    <s v="Blouse"/>
    <n v="2"/>
    <n v="3"/>
    <n v="300000"/>
    <n v="100000"/>
    <m/>
    <s v="-"/>
    <s v="-"/>
    <m/>
    <m/>
    <s v="0"/>
    <s v="0"/>
    <n v="4"/>
    <n v="900000"/>
    <n v="720000"/>
    <n v="300000"/>
    <n v="240000"/>
    <s v="DISC20"/>
    <n v="0.2"/>
    <s v="Promo Lebaran"/>
    <s v="Shopee"/>
    <x v="1"/>
    <d v="2023-04-20T00:00:00"/>
    <s v="Thursday"/>
    <s v="wwww"/>
  </r>
  <r>
    <n v="848"/>
    <s v="ORD-TK0848-27/04/23"/>
    <s v="PU001"/>
    <s v="Pakaian Unisex"/>
    <x v="6"/>
    <n v="3"/>
    <n v="4"/>
    <n v="1050000"/>
    <n v="390000"/>
    <s v="PU001"/>
    <s v="Pakaian Unisex"/>
    <s v="Jaket Hoodie"/>
    <n v="2"/>
    <n v="4"/>
    <n v="700000"/>
    <n v="260000"/>
    <m/>
    <s v="-"/>
    <s v="-"/>
    <m/>
    <m/>
    <s v="0"/>
    <s v="0"/>
    <n v="5"/>
    <n v="1750000"/>
    <n v="1575000"/>
    <n v="650000"/>
    <n v="585000"/>
    <s v="LEBAR10"/>
    <n v="0.1"/>
    <s v="Promo Lebaran"/>
    <s v="Tokopedia"/>
    <x v="0"/>
    <d v="2023-04-27T00:00:00"/>
    <s v="Thursday"/>
    <s v="wwww"/>
  </r>
  <r>
    <n v="849"/>
    <s v="ORD-SP0849-10/04/23"/>
    <s v="PP001"/>
    <s v="Pakaian Pria"/>
    <x v="3"/>
    <n v="1"/>
    <n v="1"/>
    <n v="200000"/>
    <n v="80000"/>
    <m/>
    <s v="-"/>
    <s v="-"/>
    <m/>
    <m/>
    <s v="0"/>
    <s v="0"/>
    <m/>
    <s v="-"/>
    <s v="-"/>
    <m/>
    <m/>
    <s v="0"/>
    <s v="0"/>
    <n v="1"/>
    <n v="200000"/>
    <n v="200000"/>
    <n v="80000"/>
    <n v="80000"/>
    <s v="-"/>
    <s v="-"/>
    <s v="-"/>
    <s v="Shopee"/>
    <x v="2"/>
    <d v="2023-04-10T00:00:00"/>
    <s v="Monday"/>
    <s v="wwww"/>
  </r>
  <r>
    <n v="850"/>
    <s v="ORD-TK0850-07/04/23"/>
    <s v="PP003"/>
    <s v="Pakaian Pria"/>
    <x v="5"/>
    <n v="2"/>
    <n v="1"/>
    <n v="800000"/>
    <n v="300000"/>
    <s v="SP001"/>
    <s v="Sepatu Pria"/>
    <s v="Sneakers"/>
    <n v="1"/>
    <n v="2"/>
    <n v="500000"/>
    <n v="200000"/>
    <s v="PP003"/>
    <s v="Pakaian Pria"/>
    <s v="Jaket Jeans"/>
    <n v="3"/>
    <n v="4"/>
    <n v="1200000"/>
    <n v="450000"/>
    <n v="6"/>
    <n v="2500000"/>
    <n v="2500000"/>
    <n v="950000"/>
    <n v="950000"/>
    <s v="-"/>
    <s v="-"/>
    <s v="-"/>
    <s v="Tokopedia"/>
    <x v="1"/>
    <d v="2023-04-07T00:00:00"/>
    <s v="Friday"/>
    <s v="wwww"/>
  </r>
  <r>
    <n v="851"/>
    <s v="ORD-BB0851-03/04/23"/>
    <s v="PW002"/>
    <s v="Pakaian Wanita"/>
    <x v="1"/>
    <n v="2"/>
    <n v="2"/>
    <n v="300000"/>
    <n v="100000"/>
    <m/>
    <s v="-"/>
    <s v="-"/>
    <m/>
    <m/>
    <s v="0"/>
    <s v="0"/>
    <m/>
    <s v="-"/>
    <s v="-"/>
    <m/>
    <m/>
    <s v="0"/>
    <s v="0"/>
    <n v="2"/>
    <n v="300000"/>
    <n v="255000"/>
    <n v="100000"/>
    <n v="85000"/>
    <s v="BELI44"/>
    <n v="0.15"/>
    <s v="Promo 4.4"/>
    <s v="BliBli"/>
    <x v="1"/>
    <d v="2023-04-03T00:00:00"/>
    <s v="Monday"/>
    <s v="wwww"/>
  </r>
  <r>
    <n v="852"/>
    <s v="ORD-BB0852-05/04/23"/>
    <s v="PU001"/>
    <s v="Pakaian Unisex"/>
    <x v="6"/>
    <n v="1"/>
    <n v="2"/>
    <n v="350000"/>
    <n v="130000"/>
    <s v="PP003"/>
    <s v="Pakaian Pria"/>
    <s v="Jaket Jeans"/>
    <n v="3"/>
    <n v="3"/>
    <n v="1200000"/>
    <n v="450000"/>
    <s v="SW001"/>
    <s v="Sepatu Wanita"/>
    <s v="Flat Shoes"/>
    <n v="3"/>
    <n v="1"/>
    <n v="750000"/>
    <n v="300000"/>
    <n v="7"/>
    <n v="2300000"/>
    <n v="1955000"/>
    <n v="880000"/>
    <n v="748000"/>
    <s v="BELI44"/>
    <n v="0.15"/>
    <s v="Promo 4.4"/>
    <s v="BliBli"/>
    <x v="4"/>
    <d v="2023-04-05T00:00:00"/>
    <s v="Wednesday"/>
    <s v="wwww"/>
  </r>
  <r>
    <n v="853"/>
    <s v="ORD-TK0853-01/04/23"/>
    <s v="PU001"/>
    <s v="Pakaian Unisex"/>
    <x v="6"/>
    <n v="2"/>
    <n v="4"/>
    <n v="700000"/>
    <n v="260000"/>
    <m/>
    <s v="-"/>
    <s v="-"/>
    <m/>
    <m/>
    <s v="0"/>
    <s v="0"/>
    <m/>
    <s v="-"/>
    <s v="-"/>
    <m/>
    <m/>
    <s v="0"/>
    <s v="0"/>
    <n v="2"/>
    <n v="700000"/>
    <n v="630000"/>
    <n v="260000"/>
    <n v="234000"/>
    <s v="DISCAPRIL"/>
    <n v="0.1"/>
    <s v="Promo 4.4"/>
    <s v="Tokopedia"/>
    <x v="4"/>
    <d v="2023-04-01T00:00:00"/>
    <s v="Saturday"/>
    <s v="wwww"/>
  </r>
  <r>
    <n v="854"/>
    <s v="ORD-TK0854-04/04/23"/>
    <s v="PW003"/>
    <s v="Pakaian Wanita"/>
    <x v="2"/>
    <n v="1"/>
    <n v="4"/>
    <n v="250000"/>
    <n v="100000"/>
    <m/>
    <s v="-"/>
    <s v="-"/>
    <m/>
    <m/>
    <s v="0"/>
    <s v="0"/>
    <m/>
    <s v="-"/>
    <s v="-"/>
    <m/>
    <m/>
    <s v="0"/>
    <s v="0"/>
    <n v="1"/>
    <n v="250000"/>
    <n v="225000"/>
    <n v="100000"/>
    <n v="90000"/>
    <s v="DISCAPRIL"/>
    <n v="0.1"/>
    <s v="Promo 4.4"/>
    <s v="Tokopedia"/>
    <x v="4"/>
    <d v="2023-04-04T00:00:00"/>
    <s v="Tuesday"/>
    <s v="wwww"/>
  </r>
  <r>
    <n v="855"/>
    <s v="ORD-BB0855-04/04/23"/>
    <s v="PP001"/>
    <s v="Pakaian Pria"/>
    <x v="3"/>
    <n v="2"/>
    <n v="3"/>
    <n v="400000"/>
    <n v="160000"/>
    <s v="SW001"/>
    <s v="Sepatu Wanita"/>
    <s v="Flat Shoes"/>
    <n v="2"/>
    <n v="5"/>
    <n v="500000"/>
    <n v="200000"/>
    <m/>
    <s v="-"/>
    <s v="-"/>
    <m/>
    <m/>
    <s v="0"/>
    <s v="0"/>
    <n v="4"/>
    <n v="900000"/>
    <n v="765000"/>
    <n v="360000"/>
    <n v="306000"/>
    <s v="BELI44"/>
    <n v="0.15"/>
    <s v="Promo 4.4"/>
    <s v="BliBli"/>
    <x v="4"/>
    <d v="2023-04-04T00:00:00"/>
    <s v="Tuesday"/>
    <s v="wwww"/>
  </r>
  <r>
    <n v="856"/>
    <s v="ORD-SP0856-03/04/23"/>
    <s v="PP003"/>
    <s v="Pakaian Pria"/>
    <x v="5"/>
    <n v="2"/>
    <n v="5"/>
    <n v="800000"/>
    <n v="300000"/>
    <s v="PU001"/>
    <s v="Pakaian Unisex"/>
    <s v="Jaket Hoodie"/>
    <n v="1"/>
    <n v="2"/>
    <n v="350000"/>
    <n v="130000"/>
    <m/>
    <s v="-"/>
    <s v="-"/>
    <m/>
    <m/>
    <s v="0"/>
    <s v="0"/>
    <n v="3"/>
    <n v="1150000"/>
    <n v="1035000"/>
    <n v="430000"/>
    <n v="387000"/>
    <s v="DISC10"/>
    <n v="0.1"/>
    <s v="Promo 4.4"/>
    <s v="Shopee"/>
    <x v="5"/>
    <d v="2023-04-03T00:00:00"/>
    <s v="Monday"/>
    <s v="wwww"/>
  </r>
  <r>
    <n v="857"/>
    <s v="ORD-TK0857-29/04/23"/>
    <s v="PP002"/>
    <s v="Pakaian Pria"/>
    <x v="4"/>
    <n v="5"/>
    <n v="1"/>
    <n v="900000"/>
    <n v="350000"/>
    <s v="PP001"/>
    <s v="Pakaian Pria"/>
    <s v="Kaos Polo"/>
    <n v="1"/>
    <n v="5"/>
    <n v="200000"/>
    <n v="80000"/>
    <s v="PP003"/>
    <s v="Pakaian Pria"/>
    <s v="Jaket Jeans"/>
    <n v="1"/>
    <n v="3"/>
    <n v="400000"/>
    <n v="150000"/>
    <n v="7"/>
    <n v="1500000"/>
    <n v="1350000"/>
    <n v="580000"/>
    <n v="522000"/>
    <s v="LEBAR10"/>
    <n v="0.1"/>
    <s v="Promo Lebaran"/>
    <s v="Tokopedia"/>
    <x v="4"/>
    <d v="2023-04-29T00:00:00"/>
    <s v="Saturday"/>
    <s v="wwww"/>
  </r>
  <r>
    <n v="858"/>
    <s v="ORD-SP0858-04/04/23"/>
    <s v="SP001"/>
    <s v="Sepatu Pria"/>
    <x v="7"/>
    <n v="1"/>
    <n v="3"/>
    <n v="500000"/>
    <n v="200000"/>
    <s v="PP003"/>
    <s v="Pakaian Pria"/>
    <s v="Jaket Jeans"/>
    <n v="1"/>
    <n v="1"/>
    <n v="400000"/>
    <n v="150000"/>
    <s v="SW001"/>
    <s v="Sepatu Wanita"/>
    <s v="Flat Shoes"/>
    <n v="3"/>
    <n v="1"/>
    <n v="750000"/>
    <n v="300000"/>
    <n v="5"/>
    <n v="1650000"/>
    <n v="1402500"/>
    <n v="650000"/>
    <n v="552500"/>
    <s v="DISC15"/>
    <n v="0.15"/>
    <s v="Promo 4.4"/>
    <s v="Shopee"/>
    <x v="1"/>
    <d v="2023-04-04T00:00:00"/>
    <s v="Tuesday"/>
    <s v="wwww"/>
  </r>
  <r>
    <n v="859"/>
    <s v="ORD-TK0859-08/04/23"/>
    <s v="PW002"/>
    <s v="Pakaian Wanita"/>
    <x v="1"/>
    <n v="1"/>
    <n v="3"/>
    <n v="150000"/>
    <n v="50000"/>
    <m/>
    <s v="-"/>
    <s v="-"/>
    <m/>
    <m/>
    <s v="0"/>
    <s v="0"/>
    <m/>
    <s v="-"/>
    <s v="-"/>
    <m/>
    <m/>
    <s v="0"/>
    <s v="0"/>
    <n v="1"/>
    <n v="150000"/>
    <n v="150000"/>
    <n v="50000"/>
    <n v="50000"/>
    <s v="-"/>
    <s v="-"/>
    <s v="-"/>
    <s v="Tokopedia"/>
    <x v="2"/>
    <d v="2023-04-08T00:00:00"/>
    <s v="Saturday"/>
    <s v="wwww"/>
  </r>
  <r>
    <n v="860"/>
    <s v="ORD-SP0860-03/04/23"/>
    <s v="PU001"/>
    <s v="Pakaian Unisex"/>
    <x v="6"/>
    <n v="6"/>
    <n v="1"/>
    <n v="2100000"/>
    <n v="780000"/>
    <m/>
    <s v="-"/>
    <s v="-"/>
    <m/>
    <m/>
    <s v="0"/>
    <s v="0"/>
    <m/>
    <s v="-"/>
    <s v="-"/>
    <m/>
    <m/>
    <s v="0"/>
    <s v="0"/>
    <n v="6"/>
    <n v="2100000"/>
    <n v="1890000"/>
    <n v="780000"/>
    <n v="702000"/>
    <s v="DISC10"/>
    <n v="0.1"/>
    <s v="Promo 4.4"/>
    <s v="Shopee"/>
    <x v="2"/>
    <d v="2023-04-03T00:00:00"/>
    <s v="Monday"/>
    <s v="wwww"/>
  </r>
  <r>
    <n v="861"/>
    <s v="ORD-TK0861-03/04/23"/>
    <s v="PP003"/>
    <s v="Pakaian Pria"/>
    <x v="5"/>
    <n v="2"/>
    <n v="2"/>
    <n v="800000"/>
    <n v="300000"/>
    <m/>
    <s v="-"/>
    <s v="-"/>
    <m/>
    <m/>
    <s v="0"/>
    <s v="0"/>
    <m/>
    <s v="-"/>
    <s v="-"/>
    <m/>
    <m/>
    <s v="0"/>
    <s v="0"/>
    <n v="2"/>
    <n v="800000"/>
    <n v="720000"/>
    <n v="300000"/>
    <n v="270000"/>
    <s v="DISCAPRIL"/>
    <n v="0.1"/>
    <s v="Promo 4.4"/>
    <s v="Tokopedia"/>
    <x v="3"/>
    <d v="2023-04-03T00:00:00"/>
    <s v="Monday"/>
    <s v="wwww"/>
  </r>
  <r>
    <n v="862"/>
    <s v="ORD-BB0862-08/04/23"/>
    <s v="SP002"/>
    <s v="Sepatu Pria"/>
    <x v="8"/>
    <n v="1"/>
    <n v="5"/>
    <n v="150000"/>
    <n v="60000"/>
    <m/>
    <s v="-"/>
    <s v="-"/>
    <m/>
    <m/>
    <s v="0"/>
    <s v="0"/>
    <m/>
    <s v="-"/>
    <s v="-"/>
    <m/>
    <m/>
    <s v="0"/>
    <s v="0"/>
    <n v="1"/>
    <n v="150000"/>
    <n v="150000"/>
    <n v="60000"/>
    <n v="60000"/>
    <s v="-"/>
    <s v="-"/>
    <s v="-"/>
    <s v="BliBli"/>
    <x v="5"/>
    <d v="2023-04-08T00:00:00"/>
    <s v="Saturday"/>
    <s v="wwww"/>
  </r>
  <r>
    <n v="863"/>
    <s v="ORD-TK0863-10/04/23"/>
    <s v="PP001"/>
    <s v="Pakaian Pria"/>
    <x v="3"/>
    <n v="2"/>
    <n v="2"/>
    <n v="400000"/>
    <n v="160000"/>
    <m/>
    <s v="-"/>
    <s v="-"/>
    <m/>
    <m/>
    <s v="0"/>
    <s v="0"/>
    <m/>
    <s v="-"/>
    <s v="-"/>
    <m/>
    <m/>
    <s v="0"/>
    <s v="0"/>
    <n v="2"/>
    <n v="400000"/>
    <n v="400000"/>
    <n v="160000"/>
    <n v="160000"/>
    <s v="-"/>
    <s v="-"/>
    <s v="-"/>
    <s v="Tokopedia"/>
    <x v="2"/>
    <d v="2023-04-10T00:00:00"/>
    <s v="Monday"/>
    <s v="wwww"/>
  </r>
  <r>
    <n v="864"/>
    <s v="ORD-SP0864-20/04/23"/>
    <s v="PP002"/>
    <s v="Pakaian Pria"/>
    <x v="4"/>
    <n v="2"/>
    <n v="4"/>
    <n v="360000"/>
    <n v="140000"/>
    <m/>
    <s v="-"/>
    <s v="-"/>
    <m/>
    <m/>
    <s v="0"/>
    <s v="0"/>
    <m/>
    <s v="-"/>
    <s v="-"/>
    <m/>
    <m/>
    <s v="0"/>
    <s v="0"/>
    <n v="2"/>
    <n v="360000"/>
    <n v="288000"/>
    <n v="140000"/>
    <n v="112000"/>
    <s v="DISC20"/>
    <n v="0.2"/>
    <s v="Promo Lebaran"/>
    <s v="Shopee"/>
    <x v="4"/>
    <d v="2023-04-20T00:00:00"/>
    <s v="Thursday"/>
    <s v="wwww"/>
  </r>
  <r>
    <n v="865"/>
    <s v="ORD-TK0865-18/04/23"/>
    <s v="PW002"/>
    <s v="Pakaian Wanita"/>
    <x v="1"/>
    <n v="2"/>
    <n v="5"/>
    <n v="300000"/>
    <n v="100000"/>
    <m/>
    <s v="-"/>
    <s v="-"/>
    <m/>
    <m/>
    <s v="0"/>
    <s v="0"/>
    <m/>
    <s v="-"/>
    <s v="-"/>
    <m/>
    <m/>
    <s v="0"/>
    <s v="0"/>
    <n v="2"/>
    <n v="300000"/>
    <n v="270000"/>
    <n v="100000"/>
    <n v="90000"/>
    <s v="LEBAR10"/>
    <n v="0.1"/>
    <s v="Promo Lebaran"/>
    <s v="Tokopedia"/>
    <x v="0"/>
    <d v="2023-04-18T00:00:00"/>
    <s v="Tuesday"/>
    <s v="wwww"/>
  </r>
  <r>
    <n v="866"/>
    <s v="ORD-SP0866-13/04/23"/>
    <s v="PP002"/>
    <s v="Pakaian Pria"/>
    <x v="4"/>
    <n v="4"/>
    <n v="5"/>
    <n v="720000"/>
    <n v="280000"/>
    <s v="PW003"/>
    <s v="Pakaian Wanita"/>
    <s v="Kaftan"/>
    <n v="1"/>
    <n v="4"/>
    <n v="250000"/>
    <n v="100000"/>
    <s v="PW003"/>
    <s v="Pakaian Wanita"/>
    <s v="Kaftan"/>
    <n v="1"/>
    <n v="1"/>
    <n v="250000"/>
    <n v="100000"/>
    <n v="6"/>
    <n v="1220000"/>
    <n v="1220000"/>
    <n v="480000"/>
    <n v="480000"/>
    <s v="-"/>
    <s v="-"/>
    <s v="-"/>
    <s v="Shopee"/>
    <x v="5"/>
    <d v="2023-04-13T00:00:00"/>
    <s v="Thursday"/>
    <s v="wwww"/>
  </r>
  <r>
    <n v="867"/>
    <s v="ORD-TK0867-03/04/23"/>
    <s v="PP002"/>
    <s v="Pakaian Pria"/>
    <x v="4"/>
    <n v="1"/>
    <n v="5"/>
    <n v="180000"/>
    <n v="70000"/>
    <m/>
    <s v="-"/>
    <s v="-"/>
    <m/>
    <m/>
    <s v="0"/>
    <s v="0"/>
    <m/>
    <s v="-"/>
    <s v="-"/>
    <m/>
    <m/>
    <s v="0"/>
    <s v="0"/>
    <n v="1"/>
    <n v="180000"/>
    <n v="162000"/>
    <n v="70000"/>
    <n v="63000"/>
    <s v="DISCAPRIL"/>
    <n v="0.1"/>
    <s v="Promo 4.4"/>
    <s v="Tokopedia"/>
    <x v="3"/>
    <d v="2023-04-03T00:00:00"/>
    <s v="Monday"/>
    <s v="wwww"/>
  </r>
  <r>
    <n v="868"/>
    <s v="ORD-BL0868-08/04/23"/>
    <s v="SP002"/>
    <s v="Sepatu Pria"/>
    <x v="8"/>
    <n v="6"/>
    <n v="3"/>
    <n v="900000"/>
    <n v="360000"/>
    <s v="PW002"/>
    <s v="Pakaian Wanita"/>
    <s v="Blouse"/>
    <n v="1"/>
    <n v="4"/>
    <n v="150000"/>
    <n v="50000"/>
    <m/>
    <s v="-"/>
    <s v="-"/>
    <m/>
    <m/>
    <s v="0"/>
    <s v="0"/>
    <n v="7"/>
    <n v="1050000"/>
    <n v="1050000"/>
    <n v="410000"/>
    <n v="410000"/>
    <s v="-"/>
    <s v="-"/>
    <s v="-"/>
    <s v="Bukalapak"/>
    <x v="0"/>
    <d v="2023-04-08T00:00:00"/>
    <s v="Saturday"/>
    <s v="wwww"/>
  </r>
  <r>
    <n v="869"/>
    <s v="ORD-BL0869-19/04/23"/>
    <s v="SW001"/>
    <s v="Sepatu Wanita"/>
    <x v="9"/>
    <n v="4"/>
    <n v="1"/>
    <n v="1000000"/>
    <n v="400000"/>
    <m/>
    <s v="-"/>
    <s v="-"/>
    <m/>
    <m/>
    <s v="0"/>
    <s v="0"/>
    <m/>
    <s v="-"/>
    <s v="-"/>
    <m/>
    <m/>
    <s v="0"/>
    <s v="0"/>
    <n v="4"/>
    <n v="1000000"/>
    <n v="850000"/>
    <n v="400000"/>
    <n v="340000"/>
    <s v="BUKALEBAR"/>
    <n v="0.15"/>
    <s v="Promo Lebaran"/>
    <s v="Bukalapak"/>
    <x v="3"/>
    <d v="2023-04-19T00:00:00"/>
    <s v="Wednesday"/>
    <s v="wwww"/>
  </r>
  <r>
    <n v="870"/>
    <s v="ORD-TK0870-08/04/23"/>
    <s v="PW001"/>
    <s v="Pakaian Wanita"/>
    <x v="0"/>
    <n v="1"/>
    <n v="2"/>
    <n v="300000"/>
    <n v="100000"/>
    <s v="PU001"/>
    <s v="Pakaian Unisex"/>
    <s v="Jaket Hoodie"/>
    <n v="1"/>
    <n v="5"/>
    <n v="350000"/>
    <n v="130000"/>
    <m/>
    <s v="-"/>
    <s v="-"/>
    <m/>
    <m/>
    <s v="0"/>
    <s v="0"/>
    <n v="2"/>
    <n v="650000"/>
    <n v="650000"/>
    <n v="230000"/>
    <n v="230000"/>
    <s v="-"/>
    <s v="-"/>
    <s v="-"/>
    <s v="Tokopedia"/>
    <x v="4"/>
    <d v="2023-04-08T00:00:00"/>
    <s v="Saturday"/>
    <s v="wwww"/>
  </r>
  <r>
    <n v="871"/>
    <s v="ORD-BL0871-23/04/23"/>
    <s v="PP003"/>
    <s v="Pakaian Pria"/>
    <x v="5"/>
    <n v="3"/>
    <n v="1"/>
    <n v="1200000"/>
    <n v="450000"/>
    <m/>
    <s v="-"/>
    <s v="-"/>
    <m/>
    <m/>
    <s v="0"/>
    <s v="0"/>
    <m/>
    <s v="-"/>
    <s v="-"/>
    <m/>
    <m/>
    <s v="0"/>
    <s v="0"/>
    <n v="3"/>
    <n v="1200000"/>
    <n v="1020000"/>
    <n v="450000"/>
    <n v="382500"/>
    <s v="BUKALEBAR"/>
    <n v="0.15"/>
    <s v="Promo Lebaran"/>
    <s v="Bukalapak"/>
    <x v="3"/>
    <d v="2023-04-23T00:00:00"/>
    <s v="Sunday"/>
    <s v="wwww"/>
  </r>
  <r>
    <n v="872"/>
    <s v="ORD-TK0872-18/04/23"/>
    <s v="PW002"/>
    <s v="Pakaian Wanita"/>
    <x v="1"/>
    <n v="7"/>
    <n v="5"/>
    <n v="1050000"/>
    <n v="350000"/>
    <m/>
    <s v="-"/>
    <s v="-"/>
    <m/>
    <m/>
    <s v="0"/>
    <s v="0"/>
    <m/>
    <s v="-"/>
    <s v="-"/>
    <m/>
    <m/>
    <s v="0"/>
    <s v="0"/>
    <n v="7"/>
    <n v="1050000"/>
    <n v="945000"/>
    <n v="350000"/>
    <n v="315000"/>
    <s v="LEBAR10"/>
    <n v="0.1"/>
    <s v="Promo Lebaran"/>
    <s v="Tokopedia"/>
    <x v="4"/>
    <d v="2023-04-18T00:00:00"/>
    <s v="Tuesday"/>
    <s v="wwww"/>
  </r>
  <r>
    <n v="873"/>
    <s v="ORD-TK0873-01/04/23"/>
    <s v="PP001"/>
    <s v="Pakaian Pria"/>
    <x v="3"/>
    <n v="1"/>
    <n v="3"/>
    <n v="200000"/>
    <n v="80000"/>
    <s v="PU001"/>
    <s v="Pakaian Unisex"/>
    <s v="Jaket Hoodie"/>
    <n v="2"/>
    <n v="5"/>
    <n v="700000"/>
    <n v="260000"/>
    <s v="PP002"/>
    <s v="Pakaian Pria"/>
    <s v="Celana Pendek"/>
    <n v="1"/>
    <n v="4"/>
    <n v="180000"/>
    <n v="70000"/>
    <n v="4"/>
    <n v="1080000"/>
    <n v="972000"/>
    <n v="410000"/>
    <n v="369000"/>
    <s v="DISCAPRIL"/>
    <n v="0.1"/>
    <s v="Promo 4.4"/>
    <s v="Tokopedia"/>
    <x v="5"/>
    <d v="2023-04-01T00:00:00"/>
    <s v="Saturday"/>
    <s v="wwww"/>
  </r>
  <r>
    <n v="874"/>
    <s v="ORD-TK0874-23/04/23"/>
    <s v="SP001"/>
    <s v="Sepatu Pria"/>
    <x v="7"/>
    <n v="2"/>
    <n v="4"/>
    <n v="1000000"/>
    <n v="400000"/>
    <s v="PP003"/>
    <s v="Pakaian Pria"/>
    <s v="Jaket Jeans"/>
    <n v="1"/>
    <n v="3"/>
    <n v="400000"/>
    <n v="150000"/>
    <s v="SW001"/>
    <s v="Sepatu Wanita"/>
    <s v="Flat Shoes"/>
    <n v="4"/>
    <n v="2"/>
    <n v="1000000"/>
    <n v="400000"/>
    <n v="7"/>
    <n v="2400000"/>
    <n v="2160000"/>
    <n v="950000"/>
    <n v="855000"/>
    <s v="LEBAR10"/>
    <n v="0.1"/>
    <s v="Promo Lebaran"/>
    <s v="Tokopedia"/>
    <x v="4"/>
    <d v="2023-04-23T00:00:00"/>
    <s v="Sunday"/>
    <s v="wwww"/>
  </r>
  <r>
    <n v="875"/>
    <s v="ORD-BL0875-21/04/23"/>
    <s v="PW003"/>
    <s v="Pakaian Wanita"/>
    <x v="2"/>
    <n v="4"/>
    <n v="1"/>
    <n v="1000000"/>
    <n v="400000"/>
    <s v="PP003"/>
    <s v="Pakaian Pria"/>
    <s v="Jaket Jeans"/>
    <n v="2"/>
    <n v="4"/>
    <n v="800000"/>
    <n v="300000"/>
    <m/>
    <s v="-"/>
    <s v="-"/>
    <m/>
    <m/>
    <s v="0"/>
    <s v="0"/>
    <n v="6"/>
    <n v="1800000"/>
    <n v="1530000"/>
    <n v="700000"/>
    <n v="595000"/>
    <s v="BUKALEBAR"/>
    <n v="0.15"/>
    <s v="Promo Lebaran"/>
    <s v="Bukalapak"/>
    <x v="4"/>
    <d v="2023-04-21T00:00:00"/>
    <s v="Friday"/>
    <s v="wwww"/>
  </r>
  <r>
    <n v="876"/>
    <s v="ORD-SP0876-01/04/23"/>
    <s v="PW001"/>
    <s v="Pakaian Wanita"/>
    <x v="0"/>
    <n v="1"/>
    <n v="2"/>
    <n v="300000"/>
    <n v="100000"/>
    <m/>
    <s v="-"/>
    <s v="-"/>
    <m/>
    <m/>
    <s v="0"/>
    <s v="0"/>
    <m/>
    <s v="-"/>
    <s v="-"/>
    <m/>
    <m/>
    <s v="0"/>
    <s v="0"/>
    <n v="1"/>
    <n v="300000"/>
    <n v="255000"/>
    <n v="100000"/>
    <n v="85000"/>
    <s v="DISC15"/>
    <n v="0.15"/>
    <s v="Promo 4.4"/>
    <s v="Shopee"/>
    <x v="5"/>
    <d v="2023-04-01T00:00:00"/>
    <s v="Saturday"/>
    <s v="wwww"/>
  </r>
  <r>
    <n v="877"/>
    <s v="ORD-SP0877-12/04/23"/>
    <s v="PP002"/>
    <s v="Pakaian Pria"/>
    <x v="4"/>
    <n v="1"/>
    <n v="1"/>
    <n v="180000"/>
    <n v="70000"/>
    <m/>
    <s v="-"/>
    <s v="-"/>
    <m/>
    <m/>
    <s v="0"/>
    <s v="0"/>
    <m/>
    <s v="-"/>
    <s v="-"/>
    <m/>
    <m/>
    <s v="0"/>
    <s v="0"/>
    <n v="1"/>
    <n v="180000"/>
    <n v="180000"/>
    <n v="70000"/>
    <n v="70000"/>
    <s v="-"/>
    <s v="-"/>
    <s v="-"/>
    <s v="Shopee"/>
    <x v="4"/>
    <d v="2023-04-12T00:00:00"/>
    <s v="Wednesday"/>
    <s v="wwww"/>
  </r>
  <r>
    <n v="878"/>
    <s v="ORD-BL0878-28/04/23"/>
    <s v="PU001"/>
    <s v="Pakaian Unisex"/>
    <x v="6"/>
    <n v="1"/>
    <n v="5"/>
    <n v="350000"/>
    <n v="130000"/>
    <s v="SP001"/>
    <s v="Sepatu Pria"/>
    <s v="Sneakers"/>
    <n v="1"/>
    <n v="3"/>
    <n v="500000"/>
    <n v="200000"/>
    <s v="PP001"/>
    <s v="Pakaian Pria"/>
    <s v="Kaos Polo"/>
    <n v="1"/>
    <n v="1"/>
    <n v="200000"/>
    <n v="80000"/>
    <n v="3"/>
    <n v="1050000"/>
    <n v="892500"/>
    <n v="410000"/>
    <n v="348500"/>
    <s v="BUKALEBAR"/>
    <n v="0.15"/>
    <s v="Promo Lebaran"/>
    <s v="Bukalapak"/>
    <x v="2"/>
    <d v="2023-04-28T00:00:00"/>
    <s v="Friday"/>
    <s v="wwww"/>
  </r>
  <r>
    <n v="879"/>
    <s v="ORD-BL0879-16/04/23"/>
    <s v="SP001"/>
    <s v="Sepatu Pria"/>
    <x v="7"/>
    <n v="7"/>
    <n v="2"/>
    <n v="3500000"/>
    <n v="1400000"/>
    <m/>
    <s v="-"/>
    <s v="-"/>
    <m/>
    <m/>
    <s v="0"/>
    <s v="0"/>
    <m/>
    <s v="-"/>
    <s v="-"/>
    <m/>
    <m/>
    <s v="0"/>
    <s v="0"/>
    <n v="7"/>
    <n v="3500000"/>
    <n v="2975000"/>
    <n v="1400000"/>
    <n v="1190000"/>
    <s v="BUKALEBAR"/>
    <n v="0.15"/>
    <s v="Promo Lebaran"/>
    <s v="Bukalapak"/>
    <x v="4"/>
    <d v="2023-04-16T00:00:00"/>
    <s v="Sunday"/>
    <s v="wwww"/>
  </r>
  <r>
    <n v="880"/>
    <s v="ORD-SP0880-01/04/23"/>
    <s v="SW001"/>
    <s v="Sepatu Wanita"/>
    <x v="9"/>
    <n v="1"/>
    <n v="1"/>
    <n v="250000"/>
    <n v="100000"/>
    <s v="PW003"/>
    <s v="Pakaian Wanita"/>
    <s v="Kaftan"/>
    <n v="2"/>
    <n v="4"/>
    <n v="500000"/>
    <n v="200000"/>
    <m/>
    <s v="-"/>
    <s v="-"/>
    <m/>
    <m/>
    <s v="0"/>
    <s v="0"/>
    <n v="3"/>
    <n v="750000"/>
    <n v="675000"/>
    <n v="300000"/>
    <n v="270000"/>
    <s v="DISC10"/>
    <n v="0.1"/>
    <s v="Promo 4.4"/>
    <s v="Shopee"/>
    <x v="4"/>
    <d v="2023-04-01T00:00:00"/>
    <s v="Saturday"/>
    <s v="wwww"/>
  </r>
  <r>
    <n v="881"/>
    <s v="ORD-TK0881-23/04/23"/>
    <s v="PW003"/>
    <s v="Pakaian Wanita"/>
    <x v="2"/>
    <n v="3"/>
    <n v="4"/>
    <n v="750000"/>
    <n v="300000"/>
    <s v="PP001"/>
    <s v="Pakaian Pria"/>
    <s v="Kaos Polo"/>
    <n v="1"/>
    <n v="1"/>
    <n v="200000"/>
    <n v="80000"/>
    <s v="PP003"/>
    <s v="Pakaian Pria"/>
    <s v="Jaket Jeans"/>
    <n v="3"/>
    <n v="5"/>
    <n v="1200000"/>
    <n v="450000"/>
    <n v="7"/>
    <n v="2150000"/>
    <n v="1935000"/>
    <n v="830000"/>
    <n v="747000"/>
    <s v="LEBAR10"/>
    <n v="0.1"/>
    <s v="Promo Lebaran"/>
    <s v="Tokopedia"/>
    <x v="0"/>
    <d v="2023-04-23T00:00:00"/>
    <s v="Sunday"/>
    <s v="wwww"/>
  </r>
  <r>
    <n v="882"/>
    <s v="ORD-TK0882-03/04/23"/>
    <s v="PU001"/>
    <s v="Pakaian Unisex"/>
    <x v="6"/>
    <n v="2"/>
    <n v="2"/>
    <n v="700000"/>
    <n v="260000"/>
    <m/>
    <s v="-"/>
    <s v="-"/>
    <m/>
    <m/>
    <s v="0"/>
    <s v="0"/>
    <m/>
    <s v="-"/>
    <s v="-"/>
    <m/>
    <m/>
    <s v="0"/>
    <s v="0"/>
    <n v="2"/>
    <n v="700000"/>
    <n v="630000"/>
    <n v="260000"/>
    <n v="234000"/>
    <s v="DISCAPRIL"/>
    <n v="0.1"/>
    <s v="Promo 4.4"/>
    <s v="Tokopedia"/>
    <x v="4"/>
    <d v="2023-04-03T00:00:00"/>
    <s v="Monday"/>
    <s v="wwww"/>
  </r>
  <r>
    <n v="883"/>
    <s v="ORD-SP0883-04/04/23"/>
    <s v="PW003"/>
    <s v="Pakaian Wanita"/>
    <x v="2"/>
    <n v="2"/>
    <n v="2"/>
    <n v="500000"/>
    <n v="200000"/>
    <s v="PW002"/>
    <s v="Pakaian Wanita"/>
    <s v="Blouse"/>
    <n v="1"/>
    <n v="5"/>
    <n v="150000"/>
    <n v="50000"/>
    <s v="SW001"/>
    <s v="Sepatu Wanita"/>
    <s v="Flat Shoes"/>
    <n v="1"/>
    <n v="4"/>
    <n v="250000"/>
    <n v="100000"/>
    <n v="4"/>
    <n v="900000"/>
    <n v="765000"/>
    <n v="350000"/>
    <n v="297500"/>
    <s v="DISC15"/>
    <n v="0.15"/>
    <s v="Promo 4.4"/>
    <s v="Shopee"/>
    <x v="1"/>
    <d v="2023-04-04T00:00:00"/>
    <s v="Tuesday"/>
    <s v="wwww"/>
  </r>
  <r>
    <n v="884"/>
    <s v="ORD-SP0884-02/04/23"/>
    <s v="PP003"/>
    <s v="Pakaian Pria"/>
    <x v="5"/>
    <n v="1"/>
    <n v="3"/>
    <n v="400000"/>
    <n v="150000"/>
    <s v="SP002"/>
    <s v="Sepatu Pria"/>
    <s v="Sandal Slip On"/>
    <n v="1"/>
    <n v="4"/>
    <n v="150000"/>
    <n v="60000"/>
    <s v="PP002"/>
    <s v="Pakaian Pria"/>
    <s v="Celana Pendek"/>
    <n v="3"/>
    <n v="5"/>
    <n v="540000"/>
    <n v="210000"/>
    <n v="5"/>
    <n v="1090000"/>
    <n v="926500"/>
    <n v="420000"/>
    <n v="357000"/>
    <s v="DISC15"/>
    <n v="0.15"/>
    <s v="Promo 4.4"/>
    <s v="Shopee"/>
    <x v="3"/>
    <d v="2023-04-02T00:00:00"/>
    <s v="Sunday"/>
    <s v="wwww"/>
  </r>
  <r>
    <n v="885"/>
    <s v="ORD-BB0885-04/04/23"/>
    <s v="SP001"/>
    <s v="Sepatu Pria"/>
    <x v="7"/>
    <n v="4"/>
    <n v="5"/>
    <n v="2000000"/>
    <n v="800000"/>
    <s v="PP001"/>
    <s v="Pakaian Pria"/>
    <s v="Kaos Polo"/>
    <n v="1"/>
    <n v="5"/>
    <n v="200000"/>
    <n v="80000"/>
    <m/>
    <s v="-"/>
    <s v="-"/>
    <m/>
    <m/>
    <s v="0"/>
    <s v="0"/>
    <n v="5"/>
    <n v="2200000"/>
    <n v="1870000"/>
    <n v="880000"/>
    <n v="748000"/>
    <s v="BELI44"/>
    <n v="0.15"/>
    <s v="Promo 4.4"/>
    <s v="BliBli"/>
    <x v="2"/>
    <d v="2023-04-04T00:00:00"/>
    <s v="Tuesday"/>
    <s v="wwww"/>
  </r>
  <r>
    <n v="886"/>
    <s v="ORD-SP0886-20/04/23"/>
    <s v="PU001"/>
    <s v="Pakaian Unisex"/>
    <x v="6"/>
    <n v="2"/>
    <n v="5"/>
    <n v="700000"/>
    <n v="260000"/>
    <s v="PP001"/>
    <s v="Pakaian Pria"/>
    <s v="Kaos Polo"/>
    <n v="2"/>
    <n v="5"/>
    <n v="400000"/>
    <n v="160000"/>
    <s v="SW001"/>
    <s v="Sepatu Wanita"/>
    <s v="Flat Shoes"/>
    <n v="2"/>
    <n v="1"/>
    <n v="500000"/>
    <n v="200000"/>
    <n v="6"/>
    <n v="1600000"/>
    <n v="1280000"/>
    <n v="620000"/>
    <n v="496000"/>
    <s v="DISC20"/>
    <n v="0.2"/>
    <s v="Promo Lebaran"/>
    <s v="Shopee"/>
    <x v="0"/>
    <d v="2023-04-20T00:00:00"/>
    <s v="Thursday"/>
    <s v="wwww"/>
  </r>
  <r>
    <n v="887"/>
    <s v="ORD-TK0887-28/04/23"/>
    <s v="PW002"/>
    <s v="Pakaian Wanita"/>
    <x v="1"/>
    <n v="1"/>
    <n v="1"/>
    <n v="150000"/>
    <n v="50000"/>
    <m/>
    <s v="-"/>
    <s v="-"/>
    <m/>
    <m/>
    <s v="0"/>
    <s v="0"/>
    <m/>
    <s v="-"/>
    <s v="-"/>
    <m/>
    <m/>
    <s v="0"/>
    <s v="0"/>
    <n v="1"/>
    <n v="150000"/>
    <n v="135000"/>
    <n v="50000"/>
    <n v="45000"/>
    <s v="LEBAR10"/>
    <n v="0.1"/>
    <s v="Promo Lebaran"/>
    <s v="Tokopedia"/>
    <x v="1"/>
    <d v="2023-04-28T00:00:00"/>
    <s v="Friday"/>
    <s v="wwww"/>
  </r>
  <r>
    <n v="888"/>
    <s v="ORD-BB0888-06/04/23"/>
    <s v="PP003"/>
    <s v="Pakaian Pria"/>
    <x v="5"/>
    <n v="1"/>
    <n v="1"/>
    <n v="400000"/>
    <n v="150000"/>
    <s v="PP002"/>
    <s v="Pakaian Pria"/>
    <s v="Celana Pendek"/>
    <n v="1"/>
    <n v="3"/>
    <n v="180000"/>
    <n v="70000"/>
    <s v="SP001"/>
    <s v="Sepatu Pria"/>
    <s v="Sneakers"/>
    <n v="2"/>
    <n v="4"/>
    <n v="1000000"/>
    <n v="400000"/>
    <n v="4"/>
    <n v="1580000"/>
    <n v="1343000"/>
    <n v="620000"/>
    <n v="527000"/>
    <s v="BELI44"/>
    <n v="0.15"/>
    <s v="Promo 4.4"/>
    <s v="BliBli"/>
    <x v="0"/>
    <d v="2023-04-06T00:00:00"/>
    <s v="Thursday"/>
    <s v="wwww"/>
  </r>
  <r>
    <n v="889"/>
    <s v="ORD-SP0889-30/04/23"/>
    <s v="SP001"/>
    <s v="Sepatu Pria"/>
    <x v="7"/>
    <n v="2"/>
    <n v="4"/>
    <n v="1000000"/>
    <n v="400000"/>
    <s v="PP002"/>
    <s v="Pakaian Pria"/>
    <s v="Celana Pendek"/>
    <n v="1"/>
    <n v="4"/>
    <n v="180000"/>
    <n v="70000"/>
    <m/>
    <s v="-"/>
    <s v="-"/>
    <m/>
    <m/>
    <s v="0"/>
    <s v="0"/>
    <n v="3"/>
    <n v="1180000"/>
    <n v="944000"/>
    <n v="470000"/>
    <n v="376000"/>
    <s v="DISC20"/>
    <n v="0.2"/>
    <s v="Promo Lebaran"/>
    <s v="Shopee"/>
    <x v="4"/>
    <d v="2023-04-30T00:00:00"/>
    <s v="Sunday"/>
    <s v="wwww"/>
  </r>
  <r>
    <n v="890"/>
    <s v="ORD-BL0890-17/04/23"/>
    <s v="PP003"/>
    <s v="Pakaian Pria"/>
    <x v="5"/>
    <n v="4"/>
    <n v="2"/>
    <n v="1600000"/>
    <n v="600000"/>
    <s v="PW003"/>
    <s v="Pakaian Wanita"/>
    <s v="Kaftan"/>
    <n v="1"/>
    <n v="5"/>
    <n v="250000"/>
    <n v="100000"/>
    <s v="SP002"/>
    <s v="Sepatu Pria"/>
    <s v="Sandal Slip On"/>
    <n v="1"/>
    <n v="5"/>
    <n v="150000"/>
    <n v="60000"/>
    <n v="6"/>
    <n v="2000000"/>
    <n v="1700000"/>
    <n v="760000"/>
    <n v="646000"/>
    <s v="BUKALEBAR"/>
    <n v="0.15"/>
    <s v="Promo Lebaran"/>
    <s v="Bukalapak"/>
    <x v="3"/>
    <d v="2023-04-17T00:00:00"/>
    <s v="Monday"/>
    <s v="wwww"/>
  </r>
  <r>
    <n v="891"/>
    <s v="ORD-TK0891-03/04/23"/>
    <s v="SP001"/>
    <s v="Sepatu Pria"/>
    <x v="7"/>
    <n v="3"/>
    <n v="4"/>
    <n v="1500000"/>
    <n v="600000"/>
    <s v="SP002"/>
    <s v="Sepatu Pria"/>
    <s v="Sandal Slip On"/>
    <n v="2"/>
    <n v="3"/>
    <n v="300000"/>
    <n v="120000"/>
    <m/>
    <s v="-"/>
    <s v="-"/>
    <m/>
    <m/>
    <s v="0"/>
    <s v="0"/>
    <n v="5"/>
    <n v="1800000"/>
    <n v="1620000"/>
    <n v="720000"/>
    <n v="648000"/>
    <s v="DISCAPRIL"/>
    <n v="0.1"/>
    <s v="Promo 4.4"/>
    <s v="Tokopedia"/>
    <x v="1"/>
    <d v="2023-04-03T00:00:00"/>
    <s v="Monday"/>
    <s v="wwww"/>
  </r>
  <r>
    <n v="892"/>
    <s v="ORD-BL0892-19/04/23"/>
    <s v="PP001"/>
    <s v="Pakaian Pria"/>
    <x v="3"/>
    <n v="1"/>
    <n v="4"/>
    <n v="200000"/>
    <n v="80000"/>
    <s v="PP002"/>
    <s v="Pakaian Pria"/>
    <s v="Celana Pendek"/>
    <n v="1"/>
    <n v="2"/>
    <n v="180000"/>
    <n v="70000"/>
    <m/>
    <s v="-"/>
    <s v="-"/>
    <m/>
    <m/>
    <s v="0"/>
    <s v="0"/>
    <n v="2"/>
    <n v="380000"/>
    <n v="323000"/>
    <n v="150000"/>
    <n v="127500"/>
    <s v="BUKALEBAR"/>
    <n v="0.15"/>
    <s v="Promo Lebaran"/>
    <s v="Bukalapak"/>
    <x v="4"/>
    <d v="2023-04-19T00:00:00"/>
    <s v="Wednesday"/>
    <s v="wwww"/>
  </r>
  <r>
    <n v="893"/>
    <s v="ORD-TK0893-04/04/23"/>
    <s v="PU001"/>
    <s v="Pakaian Unisex"/>
    <x v="6"/>
    <n v="1"/>
    <n v="1"/>
    <n v="350000"/>
    <n v="130000"/>
    <s v="SP001"/>
    <s v="Sepatu Pria"/>
    <s v="Sneakers"/>
    <n v="1"/>
    <n v="2"/>
    <n v="500000"/>
    <n v="200000"/>
    <s v="SP002"/>
    <s v="Sepatu Pria"/>
    <s v="Sandal Slip On"/>
    <n v="3"/>
    <n v="2"/>
    <n v="450000"/>
    <n v="180000"/>
    <n v="5"/>
    <n v="1300000"/>
    <n v="1170000"/>
    <n v="510000"/>
    <n v="459000"/>
    <s v="DISCAPRIL"/>
    <n v="0.1"/>
    <s v="Promo 4.4"/>
    <s v="Tokopedia"/>
    <x v="0"/>
    <d v="2023-04-04T00:00:00"/>
    <s v="Tuesday"/>
    <s v="wwww"/>
  </r>
  <r>
    <n v="894"/>
    <s v="ORD-BL0894-27/04/23"/>
    <s v="SP001"/>
    <s v="Sepatu Pria"/>
    <x v="7"/>
    <n v="4"/>
    <n v="2"/>
    <n v="2000000"/>
    <n v="800000"/>
    <s v="PW001"/>
    <s v="Pakaian Wanita"/>
    <s v="Dress"/>
    <n v="3"/>
    <n v="4"/>
    <n v="900000"/>
    <n v="300000"/>
    <m/>
    <s v="-"/>
    <s v="-"/>
    <m/>
    <m/>
    <s v="0"/>
    <s v="0"/>
    <n v="7"/>
    <n v="2900000"/>
    <n v="2465000"/>
    <n v="1100000"/>
    <n v="935000"/>
    <s v="BUKALEBAR"/>
    <n v="0.15"/>
    <s v="Promo Lebaran"/>
    <s v="Bukalapak"/>
    <x v="2"/>
    <d v="2023-04-27T00:00:00"/>
    <s v="Thursday"/>
    <s v="wwww"/>
  </r>
  <r>
    <n v="895"/>
    <s v="ORD-SP0895-20/04/23"/>
    <s v="PW001"/>
    <s v="Pakaian Wanita"/>
    <x v="0"/>
    <n v="4"/>
    <n v="4"/>
    <n v="1200000"/>
    <n v="400000"/>
    <s v="PP001"/>
    <s v="Pakaian Pria"/>
    <s v="Kaos Polo"/>
    <n v="1"/>
    <n v="5"/>
    <n v="200000"/>
    <n v="80000"/>
    <m/>
    <s v="-"/>
    <s v="-"/>
    <m/>
    <m/>
    <s v="0"/>
    <s v="0"/>
    <n v="5"/>
    <n v="1400000"/>
    <n v="1120000"/>
    <n v="480000"/>
    <n v="384000"/>
    <s v="DISC20"/>
    <n v="0.2"/>
    <s v="Promo Lebaran"/>
    <s v="Shopee"/>
    <x v="0"/>
    <d v="2023-04-20T00:00:00"/>
    <s v="Thursday"/>
    <s v="wwww"/>
  </r>
  <r>
    <n v="896"/>
    <s v="ORD-SP0896-04/04/23"/>
    <s v="PW003"/>
    <s v="Pakaian Wanita"/>
    <x v="2"/>
    <n v="1"/>
    <n v="3"/>
    <n v="250000"/>
    <n v="100000"/>
    <s v="PU001"/>
    <s v="Pakaian Unisex"/>
    <s v="Jaket Hoodie"/>
    <n v="2"/>
    <n v="5"/>
    <n v="700000"/>
    <n v="260000"/>
    <s v="PP003"/>
    <s v="Pakaian Pria"/>
    <s v="Jaket Jeans"/>
    <n v="2"/>
    <n v="2"/>
    <n v="800000"/>
    <n v="300000"/>
    <n v="5"/>
    <n v="1750000"/>
    <n v="1575000"/>
    <n v="660000"/>
    <n v="594000"/>
    <s v="DISC10"/>
    <n v="0.1"/>
    <s v="Promo 4.4"/>
    <s v="Shopee"/>
    <x v="5"/>
    <d v="2023-04-04T00:00:00"/>
    <s v="Tuesday"/>
    <s v="wwww"/>
  </r>
  <r>
    <n v="897"/>
    <s v="ORD-BL0897-25/04/23"/>
    <s v="SP001"/>
    <s v="Sepatu Pria"/>
    <x v="7"/>
    <n v="3"/>
    <n v="4"/>
    <n v="1500000"/>
    <n v="600000"/>
    <s v="PU001"/>
    <s v="Pakaian Unisex"/>
    <s v="Jaket Hoodie"/>
    <n v="3"/>
    <n v="3"/>
    <n v="1050000"/>
    <n v="390000"/>
    <m/>
    <s v="-"/>
    <s v="-"/>
    <m/>
    <m/>
    <s v="0"/>
    <s v="0"/>
    <n v="6"/>
    <n v="2550000"/>
    <n v="2167500"/>
    <n v="990000"/>
    <n v="841500"/>
    <s v="BUKALEBAR"/>
    <n v="0.15"/>
    <s v="Promo Lebaran"/>
    <s v="Bukalapak"/>
    <x v="4"/>
    <d v="2023-04-25T00:00:00"/>
    <s v="Tuesday"/>
    <s v="wwww"/>
  </r>
  <r>
    <n v="898"/>
    <s v="ORD-SP0898-01/04/23"/>
    <s v="SP001"/>
    <s v="Sepatu Pria"/>
    <x v="7"/>
    <n v="3"/>
    <n v="1"/>
    <n v="1500000"/>
    <n v="600000"/>
    <s v="SW001"/>
    <s v="Sepatu Wanita"/>
    <s v="Flat Shoes"/>
    <n v="1"/>
    <n v="4"/>
    <n v="250000"/>
    <n v="100000"/>
    <m/>
    <s v="-"/>
    <s v="-"/>
    <m/>
    <m/>
    <s v="0"/>
    <s v="0"/>
    <n v="4"/>
    <n v="1750000"/>
    <n v="1575000"/>
    <n v="700000"/>
    <n v="630000"/>
    <s v="DISC10"/>
    <n v="0.1"/>
    <s v="Promo 4.4"/>
    <s v="Shopee"/>
    <x v="2"/>
    <d v="2023-04-01T00:00:00"/>
    <s v="Saturday"/>
    <s v="wwww"/>
  </r>
  <r>
    <n v="899"/>
    <s v="ORD-BL0899-23/04/23"/>
    <s v="PU001"/>
    <s v="Pakaian Unisex"/>
    <x v="6"/>
    <n v="1"/>
    <n v="1"/>
    <n v="350000"/>
    <n v="130000"/>
    <m/>
    <s v="-"/>
    <s v="-"/>
    <m/>
    <m/>
    <s v="0"/>
    <s v="0"/>
    <m/>
    <s v="-"/>
    <s v="-"/>
    <m/>
    <m/>
    <s v="0"/>
    <s v="0"/>
    <n v="1"/>
    <n v="350000"/>
    <n v="297500"/>
    <n v="130000"/>
    <n v="110500"/>
    <s v="BUKALEBAR"/>
    <n v="0.15"/>
    <s v="Promo Lebaran"/>
    <s v="Bukalapak"/>
    <x v="3"/>
    <d v="2023-04-23T00:00:00"/>
    <s v="Sunday"/>
    <s v="wwww"/>
  </r>
  <r>
    <n v="900"/>
    <s v="ORD-TK0900-07/04/23"/>
    <s v="PW003"/>
    <s v="Pakaian Wanita"/>
    <x v="2"/>
    <n v="2"/>
    <n v="2"/>
    <n v="500000"/>
    <n v="200000"/>
    <s v="SP001"/>
    <s v="Sepatu Pria"/>
    <s v="Sneakers"/>
    <n v="2"/>
    <n v="5"/>
    <n v="1000000"/>
    <n v="400000"/>
    <m/>
    <s v="-"/>
    <s v="-"/>
    <m/>
    <m/>
    <s v="0"/>
    <s v="0"/>
    <n v="4"/>
    <n v="1500000"/>
    <n v="1500000"/>
    <n v="600000"/>
    <n v="600000"/>
    <s v="-"/>
    <s v="-"/>
    <s v="-"/>
    <s v="Tokopedia"/>
    <x v="5"/>
    <d v="2023-04-07T00:00:00"/>
    <s v="Friday"/>
    <s v="wwww"/>
  </r>
  <r>
    <n v="901"/>
    <s v="ORD-SP0901-13/04/23"/>
    <s v="PW002"/>
    <s v="Pakaian Wanita"/>
    <x v="1"/>
    <n v="1"/>
    <n v="5"/>
    <n v="150000"/>
    <n v="50000"/>
    <m/>
    <s v="-"/>
    <s v="-"/>
    <m/>
    <m/>
    <s v="0"/>
    <s v="0"/>
    <m/>
    <s v="-"/>
    <s v="-"/>
    <m/>
    <m/>
    <s v="0"/>
    <s v="0"/>
    <n v="1"/>
    <n v="150000"/>
    <n v="150000"/>
    <n v="50000"/>
    <n v="50000"/>
    <s v="-"/>
    <s v="-"/>
    <s v="-"/>
    <s v="Shopee"/>
    <x v="0"/>
    <d v="2023-04-13T00:00:00"/>
    <s v="Thursday"/>
    <s v="wwww"/>
  </r>
  <r>
    <n v="902"/>
    <s v="ORD-SP0902-05/04/23"/>
    <s v="SP002"/>
    <s v="Sepatu Pria"/>
    <x v="8"/>
    <n v="3"/>
    <n v="2"/>
    <n v="450000"/>
    <n v="180000"/>
    <s v="SW001"/>
    <s v="Sepatu Wanita"/>
    <s v="Flat Shoes"/>
    <n v="2"/>
    <n v="1"/>
    <n v="500000"/>
    <n v="200000"/>
    <m/>
    <s v="-"/>
    <s v="-"/>
    <m/>
    <m/>
    <s v="0"/>
    <s v="0"/>
    <n v="5"/>
    <n v="950000"/>
    <n v="855000"/>
    <n v="380000"/>
    <n v="342000"/>
    <s v="DISC10"/>
    <n v="0.1"/>
    <s v="Promo 4.4"/>
    <s v="Shopee"/>
    <x v="1"/>
    <d v="2023-04-05T00:00:00"/>
    <s v="Wednesday"/>
    <s v="wwww"/>
  </r>
  <r>
    <n v="903"/>
    <s v="ORD-TK0903-26/04/23"/>
    <s v="PU001"/>
    <s v="Pakaian Unisex"/>
    <x v="6"/>
    <n v="2"/>
    <n v="5"/>
    <n v="700000"/>
    <n v="260000"/>
    <m/>
    <s v="-"/>
    <s v="-"/>
    <m/>
    <m/>
    <s v="0"/>
    <s v="0"/>
    <m/>
    <s v="-"/>
    <s v="-"/>
    <m/>
    <m/>
    <s v="0"/>
    <s v="0"/>
    <n v="2"/>
    <n v="700000"/>
    <n v="630000"/>
    <n v="260000"/>
    <n v="234000"/>
    <s v="LEBAR10"/>
    <n v="0.1"/>
    <s v="Promo Lebaran"/>
    <s v="Tokopedia"/>
    <x v="2"/>
    <d v="2023-04-26T00:00:00"/>
    <s v="Wednesday"/>
    <s v="wwww"/>
  </r>
  <r>
    <n v="904"/>
    <s v="ORD-TK0904-29/04/23"/>
    <s v="SP001"/>
    <s v="Sepatu Pria"/>
    <x v="7"/>
    <n v="4"/>
    <n v="4"/>
    <n v="2000000"/>
    <n v="800000"/>
    <s v="SP002"/>
    <s v="Sepatu Pria"/>
    <s v="Sandal Slip On"/>
    <n v="1"/>
    <n v="5"/>
    <n v="150000"/>
    <n v="60000"/>
    <s v="PP003"/>
    <s v="Pakaian Pria"/>
    <s v="Jaket Jeans"/>
    <n v="1"/>
    <n v="4"/>
    <n v="400000"/>
    <n v="150000"/>
    <n v="6"/>
    <n v="2550000"/>
    <n v="2295000"/>
    <n v="1010000"/>
    <n v="909000"/>
    <s v="LEBAR10"/>
    <n v="0.1"/>
    <s v="Promo Lebaran"/>
    <s v="Tokopedia"/>
    <x v="4"/>
    <d v="2023-04-29T00:00:00"/>
    <s v="Saturday"/>
    <s v="wwww"/>
  </r>
  <r>
    <n v="905"/>
    <s v="ORD-SP0905-06/04/23"/>
    <s v="SP001"/>
    <s v="Sepatu Pria"/>
    <x v="7"/>
    <n v="3"/>
    <n v="4"/>
    <n v="1500000"/>
    <n v="600000"/>
    <s v="PP003"/>
    <s v="Pakaian Pria"/>
    <s v="Jaket Jeans"/>
    <n v="1"/>
    <n v="2"/>
    <n v="400000"/>
    <n v="150000"/>
    <s v="PP003"/>
    <s v="Pakaian Pria"/>
    <s v="Jaket Jeans"/>
    <n v="2"/>
    <n v="2"/>
    <n v="800000"/>
    <n v="300000"/>
    <n v="6"/>
    <n v="2700000"/>
    <n v="2430000"/>
    <n v="1050000"/>
    <n v="945000"/>
    <s v="DISC10"/>
    <n v="0.1"/>
    <s v="Promo 4.4"/>
    <s v="Shopee"/>
    <x v="0"/>
    <d v="2023-04-06T00:00:00"/>
    <s v="Thursday"/>
    <s v="wwww"/>
  </r>
  <r>
    <n v="906"/>
    <s v="ORD-SP0906-05/04/23"/>
    <s v="PP003"/>
    <s v="Pakaian Pria"/>
    <x v="5"/>
    <n v="1"/>
    <n v="4"/>
    <n v="400000"/>
    <n v="150000"/>
    <s v="SP002"/>
    <s v="Sepatu Pria"/>
    <s v="Sandal Slip On"/>
    <n v="4"/>
    <n v="5"/>
    <n v="600000"/>
    <n v="240000"/>
    <s v="PP003"/>
    <s v="Pakaian Pria"/>
    <s v="Jaket Jeans"/>
    <n v="1"/>
    <n v="4"/>
    <n v="400000"/>
    <n v="150000"/>
    <n v="6"/>
    <n v="1400000"/>
    <n v="1190000"/>
    <n v="540000"/>
    <n v="459000"/>
    <s v="DISC15"/>
    <n v="0.15"/>
    <s v="Promo 4.4"/>
    <s v="Shopee"/>
    <x v="4"/>
    <d v="2023-04-05T00:00:00"/>
    <s v="Wednesday"/>
    <s v="wwww"/>
  </r>
  <r>
    <n v="907"/>
    <s v="ORD-BL0907-19/04/23"/>
    <s v="SP001"/>
    <s v="Sepatu Pria"/>
    <x v="7"/>
    <n v="1"/>
    <n v="2"/>
    <n v="500000"/>
    <n v="200000"/>
    <m/>
    <s v="-"/>
    <s v="-"/>
    <m/>
    <m/>
    <s v="0"/>
    <s v="0"/>
    <m/>
    <s v="-"/>
    <s v="-"/>
    <m/>
    <m/>
    <s v="0"/>
    <s v="0"/>
    <n v="1"/>
    <n v="500000"/>
    <n v="425000"/>
    <n v="200000"/>
    <n v="170000"/>
    <s v="BUKALEBAR"/>
    <n v="0.15"/>
    <s v="Promo Lebaran"/>
    <s v="Bukalapak"/>
    <x v="0"/>
    <d v="2023-04-19T00:00:00"/>
    <s v="Wednesday"/>
    <s v="wwww"/>
  </r>
  <r>
    <n v="908"/>
    <s v="ORD-SP0908-11/04/23"/>
    <s v="PW001"/>
    <s v="Pakaian Wanita"/>
    <x v="0"/>
    <n v="2"/>
    <n v="1"/>
    <n v="600000"/>
    <n v="200000"/>
    <s v="PP001"/>
    <s v="Pakaian Pria"/>
    <s v="Kaos Polo"/>
    <n v="1"/>
    <n v="1"/>
    <n v="200000"/>
    <n v="80000"/>
    <s v="SP001"/>
    <s v="Sepatu Pria"/>
    <s v="Sneakers"/>
    <n v="2"/>
    <n v="1"/>
    <n v="1000000"/>
    <n v="400000"/>
    <n v="5"/>
    <n v="1800000"/>
    <n v="1800000"/>
    <n v="680000"/>
    <n v="680000"/>
    <s v="-"/>
    <s v="-"/>
    <s v="-"/>
    <s v="Shopee"/>
    <x v="4"/>
    <d v="2023-04-11T00:00:00"/>
    <s v="Tuesday"/>
    <s v="wwww"/>
  </r>
  <r>
    <n v="909"/>
    <s v="ORD-TK0909-01/04/23"/>
    <s v="SP002"/>
    <s v="Sepatu Pria"/>
    <x v="8"/>
    <n v="1"/>
    <n v="1"/>
    <n v="150000"/>
    <n v="60000"/>
    <m/>
    <s v="-"/>
    <s v="-"/>
    <m/>
    <m/>
    <s v="0"/>
    <s v="0"/>
    <m/>
    <s v="-"/>
    <s v="-"/>
    <m/>
    <m/>
    <s v="0"/>
    <s v="0"/>
    <n v="1"/>
    <n v="150000"/>
    <n v="135000"/>
    <n v="60000"/>
    <n v="54000"/>
    <s v="DISCAPRIL"/>
    <n v="0.1"/>
    <s v="Promo 4.4"/>
    <s v="Tokopedia"/>
    <x v="4"/>
    <d v="2023-04-01T00:00:00"/>
    <s v="Saturday"/>
    <s v="wwww"/>
  </r>
  <r>
    <n v="910"/>
    <s v="ORD-SP0910-27/04/23"/>
    <s v="SP001"/>
    <s v="Sepatu Pria"/>
    <x v="7"/>
    <n v="6"/>
    <n v="2"/>
    <n v="3000000"/>
    <n v="1200000"/>
    <s v="SP002"/>
    <s v="Sepatu Pria"/>
    <s v="Sandal Slip On"/>
    <n v="1"/>
    <n v="2"/>
    <n v="150000"/>
    <n v="60000"/>
    <m/>
    <s v="-"/>
    <s v="-"/>
    <m/>
    <m/>
    <s v="0"/>
    <s v="0"/>
    <n v="7"/>
    <n v="3150000"/>
    <n v="2520000"/>
    <n v="1260000"/>
    <n v="1008000"/>
    <s v="DISC20"/>
    <n v="0.2"/>
    <s v="Promo Lebaran"/>
    <s v="Shopee"/>
    <x v="0"/>
    <d v="2023-04-27T00:00:00"/>
    <s v="Thursday"/>
    <s v="wwww"/>
  </r>
  <r>
    <n v="911"/>
    <s v="ORD-BB0911-03/04/23"/>
    <s v="PW001"/>
    <s v="Pakaian Wanita"/>
    <x v="0"/>
    <n v="6"/>
    <n v="2"/>
    <n v="1800000"/>
    <n v="600000"/>
    <m/>
    <s v="-"/>
    <s v="-"/>
    <m/>
    <m/>
    <s v="0"/>
    <s v="0"/>
    <m/>
    <s v="-"/>
    <s v="-"/>
    <m/>
    <m/>
    <s v="0"/>
    <s v="0"/>
    <n v="6"/>
    <n v="1800000"/>
    <n v="1530000"/>
    <n v="600000"/>
    <n v="510000"/>
    <s v="BELI44"/>
    <n v="0.15"/>
    <s v="Promo 4.4"/>
    <s v="BliBli"/>
    <x v="5"/>
    <d v="2023-04-03T00:00:00"/>
    <s v="Monday"/>
    <s v="wwww"/>
  </r>
  <r>
    <n v="912"/>
    <s v="ORD-TK0912-28/04/23"/>
    <s v="PW002"/>
    <s v="Pakaian Wanita"/>
    <x v="1"/>
    <n v="6"/>
    <n v="2"/>
    <n v="900000"/>
    <n v="300000"/>
    <s v="SW001"/>
    <s v="Sepatu Wanita"/>
    <s v="Flat Shoes"/>
    <n v="1"/>
    <n v="5"/>
    <n v="250000"/>
    <n v="100000"/>
    <m/>
    <s v="-"/>
    <s v="-"/>
    <m/>
    <m/>
    <s v="0"/>
    <s v="0"/>
    <n v="7"/>
    <n v="1150000"/>
    <n v="1035000"/>
    <n v="400000"/>
    <n v="360000"/>
    <s v="LEBAR10"/>
    <n v="0.1"/>
    <s v="Promo Lebaran"/>
    <s v="Tokopedia"/>
    <x v="5"/>
    <d v="2023-04-28T00:00:00"/>
    <s v="Friday"/>
    <s v="wwww"/>
  </r>
  <r>
    <n v="913"/>
    <s v="ORD-BL0913-19/04/23"/>
    <s v="PW002"/>
    <s v="Pakaian Wanita"/>
    <x v="1"/>
    <n v="2"/>
    <n v="3"/>
    <n v="300000"/>
    <n v="100000"/>
    <s v="PW001"/>
    <s v="Pakaian Wanita"/>
    <s v="Dress"/>
    <n v="1"/>
    <n v="5"/>
    <n v="300000"/>
    <n v="100000"/>
    <m/>
    <s v="-"/>
    <s v="-"/>
    <m/>
    <m/>
    <s v="0"/>
    <s v="0"/>
    <n v="3"/>
    <n v="600000"/>
    <n v="510000"/>
    <n v="200000"/>
    <n v="170000"/>
    <s v="BUKALEBAR"/>
    <n v="0.15"/>
    <s v="Promo Lebaran"/>
    <s v="Bukalapak"/>
    <x v="5"/>
    <d v="2023-04-19T00:00:00"/>
    <s v="Wednesday"/>
    <s v="wwww"/>
  </r>
  <r>
    <n v="914"/>
    <s v="ORD-BB0914-03/04/23"/>
    <s v="PW001"/>
    <s v="Pakaian Wanita"/>
    <x v="0"/>
    <n v="4"/>
    <n v="1"/>
    <n v="1200000"/>
    <n v="400000"/>
    <m/>
    <s v="-"/>
    <s v="-"/>
    <m/>
    <m/>
    <s v="0"/>
    <s v="0"/>
    <m/>
    <s v="-"/>
    <s v="-"/>
    <m/>
    <m/>
    <s v="0"/>
    <s v="0"/>
    <n v="4"/>
    <n v="1200000"/>
    <n v="1020000"/>
    <n v="400000"/>
    <n v="340000"/>
    <s v="BELI44"/>
    <n v="0.15"/>
    <s v="Promo 4.4"/>
    <s v="BliBli"/>
    <x v="4"/>
    <d v="2023-04-03T00:00:00"/>
    <s v="Monday"/>
    <s v="wwww"/>
  </r>
  <r>
    <n v="915"/>
    <s v="ORD-SP0915-03/04/23"/>
    <s v="PW002"/>
    <s v="Pakaian Wanita"/>
    <x v="1"/>
    <n v="1"/>
    <n v="3"/>
    <n v="150000"/>
    <n v="50000"/>
    <s v="PP003"/>
    <s v="Pakaian Pria"/>
    <s v="Jaket Jeans"/>
    <n v="1"/>
    <n v="3"/>
    <n v="400000"/>
    <n v="150000"/>
    <m/>
    <s v="-"/>
    <s v="-"/>
    <m/>
    <m/>
    <s v="0"/>
    <s v="0"/>
    <n v="2"/>
    <n v="550000"/>
    <n v="495000"/>
    <n v="200000"/>
    <n v="180000"/>
    <s v="DISC10"/>
    <n v="0.1"/>
    <s v="Promo 4.4"/>
    <s v="Shopee"/>
    <x v="1"/>
    <d v="2023-04-03T00:00:00"/>
    <s v="Monday"/>
    <s v="wwww"/>
  </r>
  <r>
    <n v="916"/>
    <s v="ORD-TK0916-15/04/23"/>
    <s v="PW001"/>
    <s v="Pakaian Wanita"/>
    <x v="0"/>
    <n v="5"/>
    <n v="2"/>
    <n v="1500000"/>
    <n v="500000"/>
    <s v="PU001"/>
    <s v="Pakaian Unisex"/>
    <s v="Jaket Hoodie"/>
    <n v="2"/>
    <n v="5"/>
    <n v="700000"/>
    <n v="260000"/>
    <m/>
    <s v="-"/>
    <s v="-"/>
    <m/>
    <m/>
    <s v="0"/>
    <s v="0"/>
    <n v="7"/>
    <n v="2200000"/>
    <n v="2200000"/>
    <n v="760000"/>
    <n v="760000"/>
    <s v="-"/>
    <s v="-"/>
    <s v="-"/>
    <s v="Tokopedia"/>
    <x v="4"/>
    <d v="2023-04-15T00:00:00"/>
    <s v="Saturday"/>
    <s v="wwww"/>
  </r>
  <r>
    <n v="917"/>
    <s v="ORD-BB0917-03/04/23"/>
    <s v="SP001"/>
    <s v="Sepatu Pria"/>
    <x v="7"/>
    <n v="5"/>
    <n v="3"/>
    <n v="2500000"/>
    <n v="1000000"/>
    <s v="PP003"/>
    <s v="Pakaian Pria"/>
    <s v="Jaket Jeans"/>
    <n v="1"/>
    <n v="1"/>
    <n v="400000"/>
    <n v="150000"/>
    <s v="SW001"/>
    <s v="Sepatu Wanita"/>
    <s v="Flat Shoes"/>
    <n v="1"/>
    <n v="3"/>
    <n v="250000"/>
    <n v="100000"/>
    <n v="7"/>
    <n v="3150000"/>
    <n v="2677500"/>
    <n v="1250000"/>
    <n v="1062500"/>
    <s v="BELI44"/>
    <n v="0.15"/>
    <s v="Promo 4.4"/>
    <s v="BliBli"/>
    <x v="4"/>
    <d v="2023-04-03T00:00:00"/>
    <s v="Monday"/>
    <s v="wwww"/>
  </r>
  <r>
    <n v="918"/>
    <s v="ORD-SP0918-02/04/23"/>
    <s v="PP002"/>
    <s v="Pakaian Pria"/>
    <x v="4"/>
    <n v="1"/>
    <n v="4"/>
    <n v="180000"/>
    <n v="70000"/>
    <s v="PW002"/>
    <s v="Pakaian Wanita"/>
    <s v="Blouse"/>
    <n v="3"/>
    <n v="2"/>
    <n v="450000"/>
    <n v="150000"/>
    <s v="SW001"/>
    <s v="Sepatu Wanita"/>
    <s v="Flat Shoes"/>
    <n v="2"/>
    <n v="5"/>
    <n v="500000"/>
    <n v="200000"/>
    <n v="6"/>
    <n v="1130000"/>
    <n v="960500"/>
    <n v="420000"/>
    <n v="357000"/>
    <s v="DISC15"/>
    <n v="0.15"/>
    <s v="Promo 4.4"/>
    <s v="Shopee"/>
    <x v="2"/>
    <d v="2023-04-02T00:00:00"/>
    <s v="Sunday"/>
    <s v="wwww"/>
  </r>
  <r>
    <n v="919"/>
    <s v="ORD-SP0919-13/04/23"/>
    <s v="PP003"/>
    <s v="Pakaian Pria"/>
    <x v="5"/>
    <n v="5"/>
    <n v="5"/>
    <n v="2000000"/>
    <n v="750000"/>
    <m/>
    <s v="-"/>
    <s v="-"/>
    <m/>
    <m/>
    <s v="0"/>
    <s v="0"/>
    <m/>
    <s v="-"/>
    <s v="-"/>
    <m/>
    <m/>
    <s v="0"/>
    <s v="0"/>
    <n v="5"/>
    <n v="2000000"/>
    <n v="2000000"/>
    <n v="750000"/>
    <n v="750000"/>
    <s v="-"/>
    <s v="-"/>
    <s v="-"/>
    <s v="Shopee"/>
    <x v="0"/>
    <d v="2023-04-13T00:00:00"/>
    <s v="Thursday"/>
    <s v="wwww"/>
  </r>
  <r>
    <n v="920"/>
    <s v="ORD-SP0920-01/04/23"/>
    <s v="PP001"/>
    <s v="Pakaian Pria"/>
    <x v="3"/>
    <n v="1"/>
    <n v="5"/>
    <n v="200000"/>
    <n v="80000"/>
    <m/>
    <s v="-"/>
    <s v="-"/>
    <m/>
    <m/>
    <s v="0"/>
    <s v="0"/>
    <m/>
    <s v="-"/>
    <s v="-"/>
    <m/>
    <m/>
    <s v="0"/>
    <s v="0"/>
    <n v="1"/>
    <n v="200000"/>
    <n v="170000"/>
    <n v="80000"/>
    <n v="68000"/>
    <s v="DISC15"/>
    <n v="0.15"/>
    <s v="Promo 4.4"/>
    <s v="Shopee"/>
    <x v="5"/>
    <d v="2023-04-01T00:00:00"/>
    <s v="Saturday"/>
    <s v="wwww"/>
  </r>
  <r>
    <n v="921"/>
    <s v="ORD-SP0921-05/04/23"/>
    <s v="PP002"/>
    <s v="Pakaian Pria"/>
    <x v="4"/>
    <n v="1"/>
    <n v="1"/>
    <n v="180000"/>
    <n v="70000"/>
    <s v="SP002"/>
    <s v="Sepatu Pria"/>
    <s v="Sandal Slip On"/>
    <n v="1"/>
    <n v="3"/>
    <n v="150000"/>
    <n v="60000"/>
    <m/>
    <s v="-"/>
    <s v="-"/>
    <m/>
    <m/>
    <s v="0"/>
    <s v="0"/>
    <n v="2"/>
    <n v="330000"/>
    <n v="297000"/>
    <n v="130000"/>
    <n v="117000"/>
    <s v="DISC10"/>
    <n v="0.1"/>
    <s v="Promo 4.4"/>
    <s v="Shopee"/>
    <x v="0"/>
    <d v="2023-04-05T00:00:00"/>
    <s v="Wednesday"/>
    <s v="wwww"/>
  </r>
  <r>
    <n v="922"/>
    <s v="ORD-SP0922-02/04/23"/>
    <s v="PW003"/>
    <s v="Pakaian Wanita"/>
    <x v="2"/>
    <n v="1"/>
    <n v="1"/>
    <n v="250000"/>
    <n v="100000"/>
    <s v="PP003"/>
    <s v="Pakaian Pria"/>
    <s v="Jaket Jeans"/>
    <n v="4"/>
    <n v="3"/>
    <n v="1600000"/>
    <n v="600000"/>
    <s v="PU001"/>
    <s v="Pakaian Unisex"/>
    <s v="Jaket Hoodie"/>
    <n v="1"/>
    <n v="5"/>
    <n v="350000"/>
    <n v="130000"/>
    <n v="6"/>
    <n v="2200000"/>
    <n v="1980000"/>
    <n v="830000"/>
    <n v="747000"/>
    <s v="DISC10"/>
    <n v="0.1"/>
    <s v="Promo 4.4"/>
    <s v="Shopee"/>
    <x v="5"/>
    <d v="2023-04-02T00:00:00"/>
    <s v="Sunday"/>
    <s v="wwww"/>
  </r>
  <r>
    <n v="923"/>
    <s v="ORD-TK0923-02/04/23"/>
    <s v="PW002"/>
    <s v="Pakaian Wanita"/>
    <x v="1"/>
    <n v="2"/>
    <n v="2"/>
    <n v="300000"/>
    <n v="100000"/>
    <s v="SP002"/>
    <s v="Sepatu Pria"/>
    <s v="Sandal Slip On"/>
    <n v="2"/>
    <n v="3"/>
    <n v="300000"/>
    <n v="120000"/>
    <s v="PP001"/>
    <s v="Pakaian Pria"/>
    <s v="Kaos Polo"/>
    <n v="1"/>
    <n v="3"/>
    <n v="200000"/>
    <n v="80000"/>
    <n v="5"/>
    <n v="800000"/>
    <n v="720000"/>
    <n v="300000"/>
    <n v="270000"/>
    <s v="DISCAPRIL"/>
    <n v="0.1"/>
    <s v="Promo 4.4"/>
    <s v="Tokopedia"/>
    <x v="3"/>
    <d v="2023-04-02T00:00:00"/>
    <s v="Sunday"/>
    <s v="wwww"/>
  </r>
  <r>
    <n v="924"/>
    <s v="ORD-SP0924-02/04/23"/>
    <s v="PU001"/>
    <s v="Pakaian Unisex"/>
    <x v="6"/>
    <n v="1"/>
    <n v="4"/>
    <n v="350000"/>
    <n v="130000"/>
    <s v="SP001"/>
    <s v="Sepatu Pria"/>
    <s v="Sneakers"/>
    <n v="2"/>
    <n v="1"/>
    <n v="1000000"/>
    <n v="400000"/>
    <m/>
    <s v="-"/>
    <s v="-"/>
    <m/>
    <m/>
    <s v="0"/>
    <s v="0"/>
    <n v="3"/>
    <n v="1350000"/>
    <n v="1147500"/>
    <n v="530000"/>
    <n v="450500"/>
    <s v="DISC15"/>
    <n v="0.15"/>
    <s v="Promo 4.4"/>
    <s v="Shopee"/>
    <x v="1"/>
    <d v="2023-04-02T00:00:00"/>
    <s v="Sunday"/>
    <s v="wwww"/>
  </r>
  <r>
    <n v="925"/>
    <s v="ORD-SP0925-02/04/23"/>
    <s v="PW001"/>
    <s v="Pakaian Wanita"/>
    <x v="0"/>
    <n v="4"/>
    <n v="4"/>
    <n v="1200000"/>
    <n v="400000"/>
    <s v="PW002"/>
    <s v="Pakaian Wanita"/>
    <s v="Blouse"/>
    <n v="3"/>
    <n v="4"/>
    <n v="450000"/>
    <n v="150000"/>
    <m/>
    <s v="-"/>
    <s v="-"/>
    <m/>
    <m/>
    <s v="0"/>
    <s v="0"/>
    <n v="7"/>
    <n v="1650000"/>
    <n v="1485000"/>
    <n v="550000"/>
    <n v="495000"/>
    <s v="DISC10"/>
    <n v="0.1"/>
    <s v="Promo 4.4"/>
    <s v="Shopee"/>
    <x v="1"/>
    <d v="2023-04-02T00:00:00"/>
    <s v="Sunday"/>
    <s v="wwww"/>
  </r>
  <r>
    <n v="926"/>
    <s v="ORD-TK0926-03/04/23"/>
    <s v="PP003"/>
    <s v="Pakaian Pria"/>
    <x v="5"/>
    <n v="2"/>
    <n v="2"/>
    <n v="800000"/>
    <n v="300000"/>
    <s v="SW001"/>
    <s v="Sepatu Wanita"/>
    <s v="Flat Shoes"/>
    <n v="3"/>
    <n v="3"/>
    <n v="750000"/>
    <n v="300000"/>
    <s v="PU001"/>
    <s v="Pakaian Unisex"/>
    <s v="Jaket Hoodie"/>
    <n v="2"/>
    <n v="5"/>
    <n v="700000"/>
    <n v="260000"/>
    <n v="7"/>
    <n v="2250000"/>
    <n v="2025000"/>
    <n v="860000"/>
    <n v="774000"/>
    <s v="DISCAPRIL"/>
    <n v="0.1"/>
    <s v="Promo 4.4"/>
    <s v="Tokopedia"/>
    <x v="5"/>
    <d v="2023-04-03T00:00:00"/>
    <s v="Monday"/>
    <s v="wwww"/>
  </r>
  <r>
    <n v="927"/>
    <s v="ORD-BB0927-06/04/23"/>
    <s v="SW001"/>
    <s v="Sepatu Wanita"/>
    <x v="9"/>
    <n v="6"/>
    <n v="1"/>
    <n v="1500000"/>
    <n v="600000"/>
    <s v="PW002"/>
    <s v="Pakaian Wanita"/>
    <s v="Blouse"/>
    <n v="1"/>
    <n v="2"/>
    <n v="150000"/>
    <n v="50000"/>
    <m/>
    <s v="-"/>
    <s v="-"/>
    <m/>
    <m/>
    <s v="0"/>
    <s v="0"/>
    <n v="7"/>
    <n v="1650000"/>
    <n v="1402500"/>
    <n v="650000"/>
    <n v="552500"/>
    <s v="BELI44"/>
    <n v="0.15"/>
    <s v="Promo 4.4"/>
    <s v="BliBli"/>
    <x v="2"/>
    <d v="2023-04-06T00:00:00"/>
    <s v="Thursday"/>
    <s v="wwww"/>
  </r>
  <r>
    <n v="928"/>
    <s v="ORD-TK0928-26/04/23"/>
    <s v="SP002"/>
    <s v="Sepatu Pria"/>
    <x v="8"/>
    <n v="2"/>
    <n v="2"/>
    <n v="300000"/>
    <n v="120000"/>
    <m/>
    <s v="-"/>
    <s v="-"/>
    <m/>
    <m/>
    <s v="0"/>
    <s v="0"/>
    <m/>
    <s v="-"/>
    <s v="-"/>
    <m/>
    <m/>
    <s v="0"/>
    <s v="0"/>
    <n v="2"/>
    <n v="300000"/>
    <n v="270000"/>
    <n v="120000"/>
    <n v="108000"/>
    <s v="LEBAR10"/>
    <n v="0.1"/>
    <s v="Promo Lebaran"/>
    <s v="Tokopedia"/>
    <x v="1"/>
    <d v="2023-04-26T00:00:00"/>
    <s v="Wednesday"/>
    <s v="wwww"/>
  </r>
  <r>
    <n v="929"/>
    <s v="ORD-TK0929-03/04/23"/>
    <s v="PP003"/>
    <s v="Pakaian Pria"/>
    <x v="5"/>
    <n v="1"/>
    <n v="5"/>
    <n v="400000"/>
    <n v="150000"/>
    <s v="PW001"/>
    <s v="Pakaian Wanita"/>
    <s v="Dress"/>
    <n v="1"/>
    <n v="1"/>
    <n v="300000"/>
    <n v="100000"/>
    <m/>
    <s v="-"/>
    <s v="-"/>
    <m/>
    <m/>
    <s v="0"/>
    <s v="0"/>
    <n v="2"/>
    <n v="700000"/>
    <n v="630000"/>
    <n v="250000"/>
    <n v="225000"/>
    <s v="DISCAPRIL"/>
    <n v="0.1"/>
    <s v="Promo 4.4"/>
    <s v="Tokopedia"/>
    <x v="4"/>
    <d v="2023-04-03T00:00:00"/>
    <s v="Monday"/>
    <s v="wwww"/>
  </r>
  <r>
    <n v="930"/>
    <s v="ORD-TK0930-03/04/23"/>
    <s v="SW001"/>
    <s v="Sepatu Wanita"/>
    <x v="9"/>
    <n v="5"/>
    <n v="1"/>
    <n v="1250000"/>
    <n v="500000"/>
    <m/>
    <s v="-"/>
    <s v="-"/>
    <m/>
    <m/>
    <s v="0"/>
    <s v="0"/>
    <m/>
    <s v="-"/>
    <s v="-"/>
    <m/>
    <m/>
    <s v="0"/>
    <s v="0"/>
    <n v="5"/>
    <n v="1250000"/>
    <n v="1125000"/>
    <n v="500000"/>
    <n v="450000"/>
    <s v="DISCAPRIL"/>
    <n v="0.1"/>
    <s v="Promo 4.4"/>
    <s v="Tokopedia"/>
    <x v="1"/>
    <d v="2023-04-03T00:00:00"/>
    <s v="Monday"/>
    <s v="wwww"/>
  </r>
  <r>
    <n v="931"/>
    <s v="ORD-BB0931-06/04/23"/>
    <s v="SP002"/>
    <s v="Sepatu Pria"/>
    <x v="8"/>
    <n v="2"/>
    <n v="2"/>
    <n v="300000"/>
    <n v="120000"/>
    <s v="SP001"/>
    <s v="Sepatu Pria"/>
    <s v="Sneakers"/>
    <n v="1"/>
    <n v="5"/>
    <n v="500000"/>
    <n v="200000"/>
    <s v="SW001"/>
    <s v="Sepatu Wanita"/>
    <s v="Flat Shoes"/>
    <n v="2"/>
    <n v="5"/>
    <n v="500000"/>
    <n v="200000"/>
    <n v="5"/>
    <n v="1300000"/>
    <n v="1105000"/>
    <n v="520000"/>
    <n v="442000"/>
    <s v="BELI44"/>
    <n v="0.15"/>
    <s v="Promo 4.4"/>
    <s v="BliBli"/>
    <x v="3"/>
    <d v="2023-04-06T00:00:00"/>
    <s v="Thursday"/>
    <s v="wwww"/>
  </r>
  <r>
    <n v="932"/>
    <s v="ORD-SP0932-16/04/23"/>
    <s v="PP002"/>
    <s v="Pakaian Pria"/>
    <x v="4"/>
    <n v="3"/>
    <n v="2"/>
    <n v="540000"/>
    <n v="210000"/>
    <m/>
    <s v="-"/>
    <s v="-"/>
    <m/>
    <m/>
    <s v="0"/>
    <s v="0"/>
    <m/>
    <s v="-"/>
    <s v="-"/>
    <m/>
    <m/>
    <s v="0"/>
    <s v="0"/>
    <n v="3"/>
    <n v="540000"/>
    <n v="432000"/>
    <n v="210000"/>
    <n v="168000"/>
    <s v="DISC20"/>
    <n v="0.2"/>
    <s v="Promo Lebaran"/>
    <s v="Shopee"/>
    <x v="4"/>
    <d v="2023-04-16T00:00:00"/>
    <s v="Sunday"/>
    <s v="wwww"/>
  </r>
  <r>
    <n v="933"/>
    <s v="ORD-SP0933-26/04/23"/>
    <s v="PW002"/>
    <s v="Pakaian Wanita"/>
    <x v="1"/>
    <n v="5"/>
    <n v="1"/>
    <n v="750000"/>
    <n v="250000"/>
    <s v="PP001"/>
    <s v="Pakaian Pria"/>
    <s v="Kaos Polo"/>
    <n v="1"/>
    <n v="1"/>
    <n v="200000"/>
    <n v="80000"/>
    <m/>
    <s v="-"/>
    <s v="-"/>
    <m/>
    <m/>
    <s v="0"/>
    <s v="0"/>
    <n v="6"/>
    <n v="950000"/>
    <n v="760000"/>
    <n v="330000"/>
    <n v="264000"/>
    <s v="DISC20"/>
    <n v="0.2"/>
    <s v="Promo Lebaran"/>
    <s v="Shopee"/>
    <x v="3"/>
    <d v="2023-04-26T00:00:00"/>
    <s v="Wednesday"/>
    <s v="wwww"/>
  </r>
  <r>
    <n v="934"/>
    <s v="ORD-SP0934-02/04/23"/>
    <s v="SW001"/>
    <s v="Sepatu Wanita"/>
    <x v="9"/>
    <n v="4"/>
    <n v="5"/>
    <n v="1000000"/>
    <n v="400000"/>
    <s v="PP003"/>
    <s v="Pakaian Pria"/>
    <s v="Jaket Jeans"/>
    <n v="2"/>
    <n v="2"/>
    <n v="800000"/>
    <n v="300000"/>
    <m/>
    <s v="-"/>
    <s v="-"/>
    <m/>
    <m/>
    <s v="0"/>
    <s v="0"/>
    <n v="6"/>
    <n v="1800000"/>
    <n v="1530000"/>
    <n v="700000"/>
    <n v="595000"/>
    <s v="DISC15"/>
    <n v="0.15"/>
    <s v="Promo 4.4"/>
    <s v="Shopee"/>
    <x v="1"/>
    <d v="2023-04-02T00:00:00"/>
    <s v="Sunday"/>
    <s v="wwww"/>
  </r>
  <r>
    <n v="935"/>
    <s v="ORD-BL0935-24/04/23"/>
    <s v="PU001"/>
    <s v="Pakaian Unisex"/>
    <x v="6"/>
    <n v="5"/>
    <n v="2"/>
    <n v="1750000"/>
    <n v="650000"/>
    <s v="PW003"/>
    <s v="Pakaian Wanita"/>
    <s v="Kaftan"/>
    <n v="2"/>
    <n v="5"/>
    <n v="500000"/>
    <n v="200000"/>
    <m/>
    <s v="-"/>
    <s v="-"/>
    <m/>
    <m/>
    <s v="0"/>
    <s v="0"/>
    <n v="7"/>
    <n v="2250000"/>
    <n v="1912500"/>
    <n v="850000"/>
    <n v="722500"/>
    <s v="BUKALEBAR"/>
    <n v="0.15"/>
    <s v="Promo Lebaran"/>
    <s v="Bukalapak"/>
    <x v="0"/>
    <d v="2023-04-24T00:00:00"/>
    <s v="Monday"/>
    <s v="wwww"/>
  </r>
  <r>
    <n v="936"/>
    <s v="ORD-BL0936-18/04/23"/>
    <s v="SW001"/>
    <s v="Sepatu Wanita"/>
    <x v="9"/>
    <n v="4"/>
    <n v="4"/>
    <n v="1000000"/>
    <n v="400000"/>
    <s v="PP003"/>
    <s v="Pakaian Pria"/>
    <s v="Jaket Jeans"/>
    <n v="1"/>
    <n v="2"/>
    <n v="400000"/>
    <n v="150000"/>
    <m/>
    <s v="-"/>
    <s v="-"/>
    <m/>
    <m/>
    <s v="0"/>
    <s v="0"/>
    <n v="5"/>
    <n v="1400000"/>
    <n v="1190000"/>
    <n v="550000"/>
    <n v="467500"/>
    <s v="BUKALEBAR"/>
    <n v="0.15"/>
    <s v="Promo Lebaran"/>
    <s v="Bukalapak"/>
    <x v="0"/>
    <d v="2023-04-18T00:00:00"/>
    <s v="Tuesday"/>
    <s v="wwww"/>
  </r>
  <r>
    <n v="937"/>
    <s v="ORD-SP0937-02/04/23"/>
    <s v="PP002"/>
    <s v="Pakaian Pria"/>
    <x v="4"/>
    <n v="2"/>
    <n v="4"/>
    <n v="360000"/>
    <n v="140000"/>
    <s v="SP002"/>
    <s v="Sepatu Pria"/>
    <s v="Sandal Slip On"/>
    <n v="2"/>
    <n v="2"/>
    <n v="300000"/>
    <n v="120000"/>
    <s v="SP001"/>
    <s v="Sepatu Pria"/>
    <s v="Sneakers"/>
    <n v="1"/>
    <n v="4"/>
    <n v="500000"/>
    <n v="200000"/>
    <n v="5"/>
    <n v="1160000"/>
    <n v="1044000"/>
    <n v="460000"/>
    <n v="414000"/>
    <s v="DISC10"/>
    <n v="0.1"/>
    <s v="Promo 4.4"/>
    <s v="Shopee"/>
    <x v="5"/>
    <d v="2023-04-02T00:00:00"/>
    <s v="Sunday"/>
    <s v="wwww"/>
  </r>
  <r>
    <n v="938"/>
    <s v="ORD-TK0938-02/04/23"/>
    <s v="SP001"/>
    <s v="Sepatu Pria"/>
    <x v="7"/>
    <n v="1"/>
    <n v="2"/>
    <n v="500000"/>
    <n v="200000"/>
    <s v="PW002"/>
    <s v="Pakaian Wanita"/>
    <s v="Blouse"/>
    <n v="1"/>
    <n v="5"/>
    <n v="150000"/>
    <n v="50000"/>
    <s v="SW001"/>
    <s v="Sepatu Wanita"/>
    <s v="Flat Shoes"/>
    <n v="1"/>
    <n v="2"/>
    <n v="250000"/>
    <n v="100000"/>
    <n v="3"/>
    <n v="900000"/>
    <n v="810000"/>
    <n v="350000"/>
    <n v="315000"/>
    <s v="DISCAPRIL"/>
    <n v="0.1"/>
    <s v="Promo 4.4"/>
    <s v="Tokopedia"/>
    <x v="5"/>
    <d v="2023-04-02T00:00:00"/>
    <s v="Sunday"/>
    <s v="wwww"/>
  </r>
  <r>
    <n v="939"/>
    <s v="ORD-BL0939-08/04/23"/>
    <s v="PP001"/>
    <s v="Pakaian Pria"/>
    <x v="3"/>
    <n v="2"/>
    <n v="4"/>
    <n v="400000"/>
    <n v="160000"/>
    <s v="SP001"/>
    <s v="Sepatu Pria"/>
    <s v="Sneakers"/>
    <n v="1"/>
    <n v="2"/>
    <n v="500000"/>
    <n v="200000"/>
    <m/>
    <s v="-"/>
    <s v="-"/>
    <m/>
    <m/>
    <s v="0"/>
    <s v="0"/>
    <n v="3"/>
    <n v="900000"/>
    <n v="900000"/>
    <n v="360000"/>
    <n v="360000"/>
    <s v="-"/>
    <s v="-"/>
    <s v="-"/>
    <s v="Bukalapak"/>
    <x v="0"/>
    <d v="2023-04-08T00:00:00"/>
    <s v="Saturday"/>
    <s v="wwww"/>
  </r>
  <r>
    <n v="940"/>
    <s v="ORD-TK0940-06/04/23"/>
    <s v="SP001"/>
    <s v="Sepatu Pria"/>
    <x v="7"/>
    <n v="2"/>
    <n v="5"/>
    <n v="1000000"/>
    <n v="400000"/>
    <m/>
    <s v="-"/>
    <s v="-"/>
    <m/>
    <m/>
    <s v="0"/>
    <s v="0"/>
    <m/>
    <s v="-"/>
    <s v="-"/>
    <m/>
    <m/>
    <s v="0"/>
    <s v="0"/>
    <n v="2"/>
    <n v="1000000"/>
    <n v="900000"/>
    <n v="400000"/>
    <n v="360000"/>
    <s v="DISCAPRIL"/>
    <n v="0.1"/>
    <s v="Promo 4.4"/>
    <s v="Tokopedia"/>
    <x v="5"/>
    <d v="2023-04-06T00:00:00"/>
    <s v="Thursday"/>
    <s v="wwww"/>
  </r>
  <r>
    <n v="941"/>
    <s v="ORD-TK0941-15/04/23"/>
    <s v="PP002"/>
    <s v="Pakaian Pria"/>
    <x v="4"/>
    <n v="6"/>
    <n v="3"/>
    <n v="1080000"/>
    <n v="420000"/>
    <s v="PW003"/>
    <s v="Pakaian Wanita"/>
    <s v="Kaftan"/>
    <n v="1"/>
    <n v="3"/>
    <n v="250000"/>
    <n v="100000"/>
    <m/>
    <s v="-"/>
    <s v="-"/>
    <m/>
    <m/>
    <s v="0"/>
    <s v="0"/>
    <n v="7"/>
    <n v="1330000"/>
    <n v="1330000"/>
    <n v="520000"/>
    <n v="520000"/>
    <s v="-"/>
    <s v="-"/>
    <s v="-"/>
    <s v="Tokopedia"/>
    <x v="1"/>
    <d v="2023-04-15T00:00:00"/>
    <s v="Saturday"/>
    <s v="wwww"/>
  </r>
  <r>
    <n v="942"/>
    <s v="ORD-BB0942-04/04/23"/>
    <s v="PP001"/>
    <s v="Pakaian Pria"/>
    <x v="3"/>
    <n v="5"/>
    <n v="5"/>
    <n v="1000000"/>
    <n v="400000"/>
    <s v="PW003"/>
    <s v="Pakaian Wanita"/>
    <s v="Kaftan"/>
    <n v="1"/>
    <n v="2"/>
    <n v="250000"/>
    <n v="100000"/>
    <m/>
    <s v="-"/>
    <s v="-"/>
    <m/>
    <m/>
    <s v="0"/>
    <s v="0"/>
    <n v="6"/>
    <n v="1250000"/>
    <n v="1062500"/>
    <n v="500000"/>
    <n v="425000"/>
    <s v="BELI44"/>
    <n v="0.15"/>
    <s v="Promo 4.4"/>
    <s v="BliBli"/>
    <x v="4"/>
    <d v="2023-04-04T00:00:00"/>
    <s v="Tuesday"/>
    <s v="wwww"/>
  </r>
  <r>
    <n v="943"/>
    <s v="ORD-TK0943-03/04/23"/>
    <s v="PW002"/>
    <s v="Pakaian Wanita"/>
    <x v="1"/>
    <n v="1"/>
    <n v="3"/>
    <n v="150000"/>
    <n v="50000"/>
    <s v="SW001"/>
    <s v="Sepatu Wanita"/>
    <s v="Flat Shoes"/>
    <n v="1"/>
    <n v="5"/>
    <n v="250000"/>
    <n v="100000"/>
    <s v="PP002"/>
    <s v="Pakaian Pria"/>
    <s v="Celana Pendek"/>
    <n v="1"/>
    <n v="5"/>
    <n v="180000"/>
    <n v="70000"/>
    <n v="3"/>
    <n v="580000"/>
    <n v="522000"/>
    <n v="220000"/>
    <n v="198000"/>
    <s v="DISCAPRIL"/>
    <n v="0.1"/>
    <s v="Promo 4.4"/>
    <s v="Tokopedia"/>
    <x v="4"/>
    <d v="2023-04-03T00:00:00"/>
    <s v="Monday"/>
    <s v="wwww"/>
  </r>
  <r>
    <n v="944"/>
    <s v="ORD-SP0944-05/04/23"/>
    <s v="SP002"/>
    <s v="Sepatu Pria"/>
    <x v="8"/>
    <n v="5"/>
    <n v="4"/>
    <n v="750000"/>
    <n v="300000"/>
    <m/>
    <s v="-"/>
    <s v="-"/>
    <m/>
    <m/>
    <s v="0"/>
    <s v="0"/>
    <m/>
    <s v="-"/>
    <s v="-"/>
    <m/>
    <m/>
    <s v="0"/>
    <s v="0"/>
    <n v="5"/>
    <n v="750000"/>
    <n v="637500"/>
    <n v="300000"/>
    <n v="255000"/>
    <s v="DISC15"/>
    <n v="0.15"/>
    <s v="Promo 4.4"/>
    <s v="Shopee"/>
    <x v="4"/>
    <d v="2023-04-05T00:00:00"/>
    <s v="Wednesday"/>
    <s v="wwww"/>
  </r>
  <r>
    <n v="945"/>
    <s v="ORD-TK0945-05/04/23"/>
    <s v="PW001"/>
    <s v="Pakaian Wanita"/>
    <x v="0"/>
    <n v="6"/>
    <n v="5"/>
    <n v="1800000"/>
    <n v="600000"/>
    <s v="PP002"/>
    <s v="Pakaian Pria"/>
    <s v="Celana Pendek"/>
    <n v="1"/>
    <n v="3"/>
    <n v="180000"/>
    <n v="70000"/>
    <m/>
    <s v="-"/>
    <s v="-"/>
    <m/>
    <m/>
    <s v="0"/>
    <s v="0"/>
    <n v="7"/>
    <n v="1980000"/>
    <n v="1782000"/>
    <n v="670000"/>
    <n v="603000"/>
    <s v="DISCAPRIL"/>
    <n v="0.1"/>
    <s v="Promo 4.4"/>
    <s v="Tokopedia"/>
    <x v="2"/>
    <d v="2023-04-05T00:00:00"/>
    <s v="Wednesday"/>
    <s v="wwww"/>
  </r>
  <r>
    <n v="946"/>
    <s v="ORD-SP0946-13/04/23"/>
    <s v="PW003"/>
    <s v="Pakaian Wanita"/>
    <x v="2"/>
    <n v="2"/>
    <n v="4"/>
    <n v="500000"/>
    <n v="200000"/>
    <m/>
    <s v="-"/>
    <s v="-"/>
    <m/>
    <m/>
    <s v="0"/>
    <s v="0"/>
    <m/>
    <s v="-"/>
    <s v="-"/>
    <m/>
    <m/>
    <s v="0"/>
    <s v="0"/>
    <n v="2"/>
    <n v="500000"/>
    <n v="500000"/>
    <n v="200000"/>
    <n v="200000"/>
    <s v="-"/>
    <s v="-"/>
    <s v="-"/>
    <s v="Shopee"/>
    <x v="4"/>
    <d v="2023-04-13T00:00:00"/>
    <s v="Thursday"/>
    <s v="wwww"/>
  </r>
  <r>
    <n v="947"/>
    <s v="ORD-TK0947-18/04/23"/>
    <s v="PP003"/>
    <s v="Pakaian Pria"/>
    <x v="5"/>
    <n v="3"/>
    <n v="5"/>
    <n v="1200000"/>
    <n v="450000"/>
    <s v="PP002"/>
    <s v="Pakaian Pria"/>
    <s v="Celana Pendek"/>
    <n v="3"/>
    <n v="3"/>
    <n v="540000"/>
    <n v="210000"/>
    <m/>
    <s v="-"/>
    <s v="-"/>
    <m/>
    <m/>
    <s v="0"/>
    <s v="0"/>
    <n v="6"/>
    <n v="1740000"/>
    <n v="1566000"/>
    <n v="660000"/>
    <n v="594000"/>
    <s v="LEBAR10"/>
    <n v="0.1"/>
    <s v="Promo Lebaran"/>
    <s v="Tokopedia"/>
    <x v="0"/>
    <d v="2023-04-18T00:00:00"/>
    <s v="Tuesday"/>
    <s v="wwww"/>
  </r>
  <r>
    <n v="948"/>
    <s v="ORD-TK0948-10/04/23"/>
    <s v="PU001"/>
    <s v="Pakaian Unisex"/>
    <x v="6"/>
    <n v="2"/>
    <n v="5"/>
    <n v="700000"/>
    <n v="260000"/>
    <s v="SW001"/>
    <s v="Sepatu Wanita"/>
    <s v="Flat Shoes"/>
    <n v="1"/>
    <n v="3"/>
    <n v="250000"/>
    <n v="100000"/>
    <s v="PP003"/>
    <s v="Pakaian Pria"/>
    <s v="Jaket Jeans"/>
    <n v="3"/>
    <n v="2"/>
    <n v="1200000"/>
    <n v="450000"/>
    <n v="6"/>
    <n v="2150000"/>
    <n v="2150000"/>
    <n v="810000"/>
    <n v="810000"/>
    <s v="-"/>
    <s v="-"/>
    <s v="-"/>
    <s v="Tokopedia"/>
    <x v="0"/>
    <d v="2023-04-10T00:00:00"/>
    <s v="Monday"/>
    <s v="wwww"/>
  </r>
  <r>
    <n v="949"/>
    <s v="ORD-BL0949-19/04/23"/>
    <s v="PW002"/>
    <s v="Pakaian Wanita"/>
    <x v="1"/>
    <n v="3"/>
    <n v="3"/>
    <n v="450000"/>
    <n v="150000"/>
    <s v="PW001"/>
    <s v="Pakaian Wanita"/>
    <s v="Dress"/>
    <n v="2"/>
    <n v="3"/>
    <n v="600000"/>
    <n v="200000"/>
    <s v="PP001"/>
    <s v="Pakaian Pria"/>
    <s v="Kaos Polo"/>
    <n v="1"/>
    <n v="3"/>
    <n v="200000"/>
    <n v="80000"/>
    <n v="6"/>
    <n v="1250000"/>
    <n v="1062500"/>
    <n v="430000"/>
    <n v="365500"/>
    <s v="BUKALEBAR"/>
    <n v="0.15"/>
    <s v="Promo Lebaran"/>
    <s v="Bukalapak"/>
    <x v="4"/>
    <d v="2023-04-19T00:00:00"/>
    <s v="Wednesday"/>
    <s v="wwww"/>
  </r>
  <r>
    <n v="950"/>
    <s v="ORD-TK0950-21/04/23"/>
    <s v="PW001"/>
    <s v="Pakaian Wanita"/>
    <x v="0"/>
    <n v="2"/>
    <n v="3"/>
    <n v="600000"/>
    <n v="200000"/>
    <m/>
    <s v="-"/>
    <s v="-"/>
    <m/>
    <m/>
    <s v="0"/>
    <s v="0"/>
    <m/>
    <s v="-"/>
    <s v="-"/>
    <m/>
    <m/>
    <s v="0"/>
    <s v="0"/>
    <n v="2"/>
    <n v="600000"/>
    <n v="540000"/>
    <n v="200000"/>
    <n v="180000"/>
    <s v="LEBAR10"/>
    <n v="0.1"/>
    <s v="Promo Lebaran"/>
    <s v="Tokopedia"/>
    <x v="1"/>
    <d v="2023-04-21T00:00:00"/>
    <s v="Friday"/>
    <s v="wwww"/>
  </r>
  <r>
    <n v="951"/>
    <s v="ORD-TK0951-28/04/23"/>
    <s v="PP003"/>
    <s v="Pakaian Pria"/>
    <x v="5"/>
    <n v="2"/>
    <n v="2"/>
    <n v="800000"/>
    <n v="300000"/>
    <s v="PW003"/>
    <s v="Pakaian Wanita"/>
    <s v="Kaftan"/>
    <n v="1"/>
    <n v="4"/>
    <n v="250000"/>
    <n v="100000"/>
    <s v="SW001"/>
    <s v="Sepatu Wanita"/>
    <s v="Flat Shoes"/>
    <n v="3"/>
    <n v="5"/>
    <n v="750000"/>
    <n v="300000"/>
    <n v="6"/>
    <n v="1800000"/>
    <n v="1620000"/>
    <n v="700000"/>
    <n v="630000"/>
    <s v="LEBAR10"/>
    <n v="0.1"/>
    <s v="Promo Lebaran"/>
    <s v="Tokopedia"/>
    <x v="5"/>
    <d v="2023-04-28T00:00:00"/>
    <s v="Friday"/>
    <s v="wwww"/>
  </r>
  <r>
    <n v="952"/>
    <s v="ORD-SP0952-01/04/23"/>
    <s v="SW001"/>
    <s v="Sepatu Wanita"/>
    <x v="9"/>
    <n v="6"/>
    <n v="4"/>
    <n v="1500000"/>
    <n v="600000"/>
    <m/>
    <s v="-"/>
    <s v="-"/>
    <m/>
    <m/>
    <s v="0"/>
    <s v="0"/>
    <m/>
    <s v="-"/>
    <s v="-"/>
    <m/>
    <m/>
    <s v="0"/>
    <s v="0"/>
    <n v="6"/>
    <n v="1500000"/>
    <n v="1350000"/>
    <n v="600000"/>
    <n v="540000"/>
    <s v="DISC10"/>
    <n v="0.1"/>
    <s v="Promo 4.4"/>
    <s v="Shopee"/>
    <x v="5"/>
    <d v="2023-04-01T00:00:00"/>
    <s v="Saturday"/>
    <s v="wwww"/>
  </r>
  <r>
    <n v="953"/>
    <s v="ORD-SP0953-03/04/23"/>
    <s v="SP001"/>
    <s v="Sepatu Pria"/>
    <x v="7"/>
    <n v="5"/>
    <n v="5"/>
    <n v="2500000"/>
    <n v="1000000"/>
    <s v="PP003"/>
    <s v="Pakaian Pria"/>
    <s v="Jaket Jeans"/>
    <n v="1"/>
    <n v="5"/>
    <n v="400000"/>
    <n v="150000"/>
    <m/>
    <s v="-"/>
    <s v="-"/>
    <m/>
    <m/>
    <s v="0"/>
    <s v="0"/>
    <n v="6"/>
    <n v="2900000"/>
    <n v="2465000"/>
    <n v="1150000"/>
    <n v="977500"/>
    <s v="DISC15"/>
    <n v="0.15"/>
    <s v="Promo 4.4"/>
    <s v="Shopee"/>
    <x v="4"/>
    <d v="2023-04-03T00:00:00"/>
    <s v="Monday"/>
    <s v="wwww"/>
  </r>
  <r>
    <n v="954"/>
    <s v="ORD-TK0954-20/04/23"/>
    <s v="PP003"/>
    <s v="Pakaian Pria"/>
    <x v="5"/>
    <n v="2"/>
    <n v="3"/>
    <n v="800000"/>
    <n v="300000"/>
    <s v="PU001"/>
    <s v="Pakaian Unisex"/>
    <s v="Jaket Hoodie"/>
    <n v="1"/>
    <n v="1"/>
    <n v="350000"/>
    <n v="130000"/>
    <m/>
    <s v="-"/>
    <s v="-"/>
    <m/>
    <m/>
    <s v="0"/>
    <s v="0"/>
    <n v="3"/>
    <n v="1150000"/>
    <n v="1035000"/>
    <n v="430000"/>
    <n v="387000"/>
    <s v="LEBAR10"/>
    <n v="0.1"/>
    <s v="Promo Lebaran"/>
    <s v="Tokopedia"/>
    <x v="0"/>
    <d v="2023-04-20T00:00:00"/>
    <s v="Thursday"/>
    <s v="wwww"/>
  </r>
  <r>
    <n v="955"/>
    <s v="ORD-TK0955-04/04/23"/>
    <s v="SP002"/>
    <s v="Sepatu Pria"/>
    <x v="8"/>
    <n v="1"/>
    <n v="3"/>
    <n v="150000"/>
    <n v="60000"/>
    <s v="PP002"/>
    <s v="Pakaian Pria"/>
    <s v="Celana Pendek"/>
    <n v="3"/>
    <n v="2"/>
    <n v="540000"/>
    <n v="210000"/>
    <s v="SW001"/>
    <s v="Sepatu Wanita"/>
    <s v="Flat Shoes"/>
    <n v="1"/>
    <n v="1"/>
    <n v="250000"/>
    <n v="100000"/>
    <n v="5"/>
    <n v="940000"/>
    <n v="846000"/>
    <n v="370000"/>
    <n v="333000"/>
    <s v="DISCAPRIL"/>
    <n v="0.1"/>
    <s v="Promo 4.4"/>
    <s v="Tokopedia"/>
    <x v="1"/>
    <d v="2023-04-04T00:00:00"/>
    <s v="Tuesday"/>
    <s v="wwww"/>
  </r>
  <r>
    <n v="956"/>
    <s v="ORD-TK0956-19/04/23"/>
    <s v="SP002"/>
    <s v="Sepatu Pria"/>
    <x v="8"/>
    <n v="2"/>
    <n v="5"/>
    <n v="300000"/>
    <n v="120000"/>
    <s v="PP002"/>
    <s v="Pakaian Pria"/>
    <s v="Celana Pendek"/>
    <n v="1"/>
    <n v="4"/>
    <n v="180000"/>
    <n v="70000"/>
    <s v="PP003"/>
    <s v="Pakaian Pria"/>
    <s v="Jaket Jeans"/>
    <n v="2"/>
    <n v="4"/>
    <n v="800000"/>
    <n v="300000"/>
    <n v="5"/>
    <n v="1280000"/>
    <n v="1152000"/>
    <n v="490000"/>
    <n v="441000"/>
    <s v="LEBAR10"/>
    <n v="0.1"/>
    <s v="Promo Lebaran"/>
    <s v="Tokopedia"/>
    <x v="5"/>
    <d v="2023-04-19T00:00:00"/>
    <s v="Wednesday"/>
    <s v="wwww"/>
  </r>
  <r>
    <n v="957"/>
    <s v="ORD-BL0957-16/04/23"/>
    <s v="SW001"/>
    <s v="Sepatu Wanita"/>
    <x v="9"/>
    <n v="5"/>
    <n v="4"/>
    <n v="1250000"/>
    <n v="500000"/>
    <s v="SW001"/>
    <s v="Sepatu Wanita"/>
    <s v="Flat Shoes"/>
    <n v="1"/>
    <n v="2"/>
    <n v="250000"/>
    <n v="100000"/>
    <m/>
    <s v="-"/>
    <s v="-"/>
    <m/>
    <m/>
    <s v="0"/>
    <s v="0"/>
    <n v="6"/>
    <n v="1500000"/>
    <n v="1275000"/>
    <n v="600000"/>
    <n v="510000"/>
    <s v="BUKALEBAR"/>
    <n v="0.15"/>
    <s v="Promo Lebaran"/>
    <s v="Bukalapak"/>
    <x v="4"/>
    <d v="2023-04-16T00:00:00"/>
    <s v="Sunday"/>
    <s v="wwww"/>
  </r>
  <r>
    <n v="958"/>
    <s v="ORD-TK0958-26/04/23"/>
    <s v="SP001"/>
    <s v="Sepatu Pria"/>
    <x v="7"/>
    <n v="6"/>
    <n v="2"/>
    <n v="3000000"/>
    <n v="1200000"/>
    <s v="PP003"/>
    <s v="Pakaian Pria"/>
    <s v="Jaket Jeans"/>
    <n v="1"/>
    <n v="1"/>
    <n v="400000"/>
    <n v="150000"/>
    <m/>
    <s v="-"/>
    <s v="-"/>
    <m/>
    <m/>
    <s v="0"/>
    <s v="0"/>
    <n v="7"/>
    <n v="3400000"/>
    <n v="3060000"/>
    <n v="1350000"/>
    <n v="1215000"/>
    <s v="LEBAR10"/>
    <n v="0.1"/>
    <s v="Promo Lebaran"/>
    <s v="Tokopedia"/>
    <x v="0"/>
    <d v="2023-04-26T00:00:00"/>
    <s v="Wednesday"/>
    <s v="wwww"/>
  </r>
  <r>
    <n v="959"/>
    <s v="ORD-TK0959-27/04/23"/>
    <s v="PU001"/>
    <s v="Pakaian Unisex"/>
    <x v="6"/>
    <n v="4"/>
    <n v="3"/>
    <n v="1400000"/>
    <n v="520000"/>
    <s v="PP001"/>
    <s v="Pakaian Pria"/>
    <s v="Kaos Polo"/>
    <n v="2"/>
    <n v="4"/>
    <n v="400000"/>
    <n v="160000"/>
    <s v="PW002"/>
    <s v="Pakaian Wanita"/>
    <s v="Blouse"/>
    <n v="1"/>
    <n v="2"/>
    <n v="150000"/>
    <n v="50000"/>
    <n v="7"/>
    <n v="1950000"/>
    <n v="1755000"/>
    <n v="730000"/>
    <n v="657000"/>
    <s v="LEBAR10"/>
    <n v="0.1"/>
    <s v="Promo Lebaran"/>
    <s v="Tokopedia"/>
    <x v="5"/>
    <d v="2023-04-27T00:00:00"/>
    <s v="Thursday"/>
    <s v="wwww"/>
  </r>
  <r>
    <n v="960"/>
    <s v="ORD-SP0960-08/04/23"/>
    <s v="PP002"/>
    <s v="Pakaian Pria"/>
    <x v="4"/>
    <n v="4"/>
    <n v="5"/>
    <n v="720000"/>
    <n v="280000"/>
    <s v="PW001"/>
    <s v="Pakaian Wanita"/>
    <s v="Dress"/>
    <n v="1"/>
    <n v="2"/>
    <n v="300000"/>
    <n v="100000"/>
    <s v="PP002"/>
    <s v="Pakaian Pria"/>
    <s v="Celana Pendek"/>
    <n v="1"/>
    <n v="3"/>
    <n v="180000"/>
    <n v="70000"/>
    <n v="6"/>
    <n v="1200000"/>
    <n v="1200000"/>
    <n v="450000"/>
    <n v="450000"/>
    <s v="-"/>
    <s v="-"/>
    <s v="-"/>
    <s v="Shopee"/>
    <x v="3"/>
    <d v="2023-04-08T00:00:00"/>
    <s v="Saturday"/>
    <s v="wwww"/>
  </r>
  <r>
    <n v="961"/>
    <s v="ORD-TK0961-29/04/23"/>
    <s v="SP002"/>
    <s v="Sepatu Pria"/>
    <x v="8"/>
    <n v="2"/>
    <n v="3"/>
    <n v="300000"/>
    <n v="120000"/>
    <m/>
    <s v="-"/>
    <s v="-"/>
    <m/>
    <m/>
    <s v="0"/>
    <s v="0"/>
    <m/>
    <s v="-"/>
    <s v="-"/>
    <m/>
    <m/>
    <s v="0"/>
    <s v="0"/>
    <n v="2"/>
    <n v="300000"/>
    <n v="270000"/>
    <n v="120000"/>
    <n v="108000"/>
    <s v="LEBAR10"/>
    <n v="0.1"/>
    <s v="Promo Lebaran"/>
    <s v="Tokopedia"/>
    <x v="1"/>
    <d v="2023-04-29T00:00:00"/>
    <s v="Saturday"/>
    <s v="wwww"/>
  </r>
  <r>
    <n v="962"/>
    <s v="ORD-TK0962-06/04/23"/>
    <s v="PP002"/>
    <s v="Pakaian Pria"/>
    <x v="4"/>
    <n v="1"/>
    <n v="4"/>
    <n v="180000"/>
    <n v="70000"/>
    <s v="SP001"/>
    <s v="Sepatu Pria"/>
    <s v="Sneakers"/>
    <n v="3"/>
    <n v="1"/>
    <n v="1500000"/>
    <n v="600000"/>
    <s v="SP002"/>
    <s v="Sepatu Pria"/>
    <s v="Sandal Slip On"/>
    <n v="2"/>
    <n v="4"/>
    <n v="300000"/>
    <n v="120000"/>
    <n v="6"/>
    <n v="1980000"/>
    <n v="1782000"/>
    <n v="790000"/>
    <n v="711000"/>
    <s v="DISCAPRIL"/>
    <n v="0.1"/>
    <s v="Promo 4.4"/>
    <s v="Tokopedia"/>
    <x v="4"/>
    <d v="2023-04-06T00:00:00"/>
    <s v="Thursday"/>
    <s v="wwww"/>
  </r>
  <r>
    <n v="963"/>
    <s v="ORD-SP0963-05/04/23"/>
    <s v="PP003"/>
    <s v="Pakaian Pria"/>
    <x v="5"/>
    <n v="4"/>
    <n v="3"/>
    <n v="1600000"/>
    <n v="600000"/>
    <m/>
    <s v="-"/>
    <s v="-"/>
    <m/>
    <m/>
    <s v="0"/>
    <s v="0"/>
    <m/>
    <s v="-"/>
    <s v="-"/>
    <m/>
    <m/>
    <s v="0"/>
    <s v="0"/>
    <n v="4"/>
    <n v="1600000"/>
    <n v="1440000"/>
    <n v="600000"/>
    <n v="540000"/>
    <s v="DISC10"/>
    <n v="0.1"/>
    <s v="Promo 4.4"/>
    <s v="Shopee"/>
    <x v="4"/>
    <d v="2023-04-05T00:00:00"/>
    <s v="Wednesday"/>
    <s v="wwww"/>
  </r>
  <r>
    <n v="964"/>
    <s v="ORD-BB0964-06/04/23"/>
    <s v="PP003"/>
    <s v="Pakaian Pria"/>
    <x v="5"/>
    <n v="3"/>
    <n v="3"/>
    <n v="1200000"/>
    <n v="450000"/>
    <s v="PW002"/>
    <s v="Pakaian Wanita"/>
    <s v="Blouse"/>
    <n v="3"/>
    <n v="2"/>
    <n v="450000"/>
    <n v="150000"/>
    <m/>
    <s v="-"/>
    <s v="-"/>
    <m/>
    <m/>
    <s v="0"/>
    <s v="0"/>
    <n v="6"/>
    <n v="1650000"/>
    <n v="1402500"/>
    <n v="600000"/>
    <n v="510000"/>
    <s v="BELI44"/>
    <n v="0.15"/>
    <s v="Promo 4.4"/>
    <s v="BliBli"/>
    <x v="0"/>
    <d v="2023-04-06T00:00:00"/>
    <s v="Thursday"/>
    <s v="wwww"/>
  </r>
  <r>
    <n v="965"/>
    <s v="ORD-BL0965-29/04/23"/>
    <s v="SP001"/>
    <s v="Sepatu Pria"/>
    <x v="7"/>
    <n v="4"/>
    <n v="5"/>
    <n v="2000000"/>
    <n v="800000"/>
    <m/>
    <s v="-"/>
    <s v="-"/>
    <m/>
    <m/>
    <s v="0"/>
    <s v="0"/>
    <m/>
    <s v="-"/>
    <s v="-"/>
    <m/>
    <m/>
    <s v="0"/>
    <s v="0"/>
    <n v="4"/>
    <n v="2000000"/>
    <n v="1700000"/>
    <n v="800000"/>
    <n v="680000"/>
    <s v="BUKALEBAR"/>
    <n v="0.15"/>
    <s v="Promo Lebaran"/>
    <s v="Bukalapak"/>
    <x v="0"/>
    <d v="2023-04-29T00:00:00"/>
    <s v="Saturday"/>
    <s v="wwww"/>
  </r>
  <r>
    <n v="966"/>
    <s v="ORD-SP0966-09/04/23"/>
    <s v="PP001"/>
    <s v="Pakaian Pria"/>
    <x v="3"/>
    <n v="2"/>
    <n v="1"/>
    <n v="400000"/>
    <n v="160000"/>
    <s v="PW003"/>
    <s v="Pakaian Wanita"/>
    <s v="Kaftan"/>
    <n v="1"/>
    <n v="4"/>
    <n v="250000"/>
    <n v="100000"/>
    <s v="SW001"/>
    <s v="Sepatu Wanita"/>
    <s v="Flat Shoes"/>
    <n v="1"/>
    <n v="3"/>
    <n v="250000"/>
    <n v="100000"/>
    <n v="4"/>
    <n v="900000"/>
    <n v="900000"/>
    <n v="360000"/>
    <n v="360000"/>
    <s v="-"/>
    <s v="-"/>
    <s v="-"/>
    <s v="Shopee"/>
    <x v="1"/>
    <d v="2023-04-09T00:00:00"/>
    <s v="Sunday"/>
    <s v="wwww"/>
  </r>
  <r>
    <n v="967"/>
    <s v="ORD-TK0967-30/04/23"/>
    <s v="PU001"/>
    <s v="Pakaian Unisex"/>
    <x v="6"/>
    <n v="2"/>
    <n v="4"/>
    <n v="700000"/>
    <n v="260000"/>
    <s v="SW001"/>
    <s v="Sepatu Wanita"/>
    <s v="Flat Shoes"/>
    <n v="2"/>
    <n v="1"/>
    <n v="500000"/>
    <n v="200000"/>
    <s v="PW001"/>
    <s v="Pakaian Wanita"/>
    <s v="Dress"/>
    <n v="1"/>
    <n v="4"/>
    <n v="300000"/>
    <n v="100000"/>
    <n v="5"/>
    <n v="1500000"/>
    <n v="1350000"/>
    <n v="560000"/>
    <n v="504000"/>
    <s v="LEBAR10"/>
    <n v="0.1"/>
    <s v="Promo Lebaran"/>
    <s v="Tokopedia"/>
    <x v="4"/>
    <d v="2023-04-30T00:00:00"/>
    <s v="Sunday"/>
    <s v="wwww"/>
  </r>
  <r>
    <n v="968"/>
    <s v="ORD-BB0968-09/04/23"/>
    <s v="SW001"/>
    <s v="Sepatu Wanita"/>
    <x v="9"/>
    <n v="2"/>
    <n v="4"/>
    <n v="500000"/>
    <n v="200000"/>
    <s v="SP001"/>
    <s v="Sepatu Pria"/>
    <s v="Sneakers"/>
    <n v="3"/>
    <n v="4"/>
    <n v="1500000"/>
    <n v="600000"/>
    <s v="PP002"/>
    <s v="Pakaian Pria"/>
    <s v="Celana Pendek"/>
    <n v="1"/>
    <n v="5"/>
    <n v="180000"/>
    <n v="70000"/>
    <n v="6"/>
    <n v="2180000"/>
    <n v="2180000"/>
    <n v="870000"/>
    <n v="870000"/>
    <s v="-"/>
    <s v="-"/>
    <s v="-"/>
    <s v="BliBli"/>
    <x v="0"/>
    <d v="2023-04-09T00:00:00"/>
    <s v="Sunday"/>
    <s v="wwww"/>
  </r>
  <r>
    <n v="969"/>
    <s v="ORD-TK0969-28/04/23"/>
    <s v="PP003"/>
    <s v="Pakaian Pria"/>
    <x v="5"/>
    <n v="3"/>
    <n v="5"/>
    <n v="1200000"/>
    <n v="450000"/>
    <s v="PW001"/>
    <s v="Pakaian Wanita"/>
    <s v="Dress"/>
    <n v="1"/>
    <n v="4"/>
    <n v="300000"/>
    <n v="100000"/>
    <s v="PW002"/>
    <s v="Pakaian Wanita"/>
    <s v="Blouse"/>
    <n v="2"/>
    <n v="5"/>
    <n v="300000"/>
    <n v="100000"/>
    <n v="6"/>
    <n v="1800000"/>
    <n v="1620000"/>
    <n v="650000"/>
    <n v="585000"/>
    <s v="LEBAR10"/>
    <n v="0.1"/>
    <s v="Promo Lebaran"/>
    <s v="Tokopedia"/>
    <x v="0"/>
    <d v="2023-04-28T00:00:00"/>
    <s v="Friday"/>
    <s v="wwww"/>
  </r>
  <r>
    <n v="970"/>
    <s v="ORD-SP0970-04/04/23"/>
    <s v="SP002"/>
    <s v="Sepatu Pria"/>
    <x v="8"/>
    <n v="1"/>
    <n v="4"/>
    <n v="150000"/>
    <n v="60000"/>
    <s v="PW003"/>
    <s v="Pakaian Wanita"/>
    <s v="Kaftan"/>
    <n v="3"/>
    <n v="5"/>
    <n v="750000"/>
    <n v="300000"/>
    <m/>
    <s v="-"/>
    <s v="-"/>
    <m/>
    <m/>
    <s v="0"/>
    <s v="0"/>
    <n v="4"/>
    <n v="900000"/>
    <n v="810000"/>
    <n v="360000"/>
    <n v="324000"/>
    <s v="DISC10"/>
    <n v="0.1"/>
    <s v="Promo 4.4"/>
    <s v="Shopee"/>
    <x v="5"/>
    <d v="2023-04-04T00:00:00"/>
    <s v="Tuesday"/>
    <s v="wwww"/>
  </r>
  <r>
    <n v="971"/>
    <s v="ORD-BB0971-01/04/23"/>
    <s v="PP003"/>
    <s v="Pakaian Pria"/>
    <x v="5"/>
    <n v="5"/>
    <n v="3"/>
    <n v="2000000"/>
    <n v="750000"/>
    <m/>
    <s v="-"/>
    <s v="-"/>
    <m/>
    <m/>
    <s v="0"/>
    <s v="0"/>
    <m/>
    <s v="-"/>
    <s v="-"/>
    <m/>
    <m/>
    <s v="0"/>
    <s v="0"/>
    <n v="5"/>
    <n v="2000000"/>
    <n v="1700000"/>
    <n v="750000"/>
    <n v="637500"/>
    <s v="BELI44"/>
    <n v="0.15"/>
    <s v="Promo 4.4"/>
    <s v="BliBli"/>
    <x v="0"/>
    <d v="2023-04-01T00:00:00"/>
    <s v="Saturday"/>
    <s v="wwww"/>
  </r>
  <r>
    <n v="972"/>
    <s v="ORD-BL0972-22/04/23"/>
    <s v="PU001"/>
    <s v="Pakaian Unisex"/>
    <x v="6"/>
    <n v="4"/>
    <n v="3"/>
    <n v="1400000"/>
    <n v="520000"/>
    <s v="PW002"/>
    <s v="Pakaian Wanita"/>
    <s v="Blouse"/>
    <n v="1"/>
    <n v="5"/>
    <n v="150000"/>
    <n v="50000"/>
    <s v="SW001"/>
    <s v="Sepatu Wanita"/>
    <s v="Flat Shoes"/>
    <n v="1"/>
    <n v="4"/>
    <n v="250000"/>
    <n v="100000"/>
    <n v="6"/>
    <n v="1800000"/>
    <n v="1530000"/>
    <n v="670000"/>
    <n v="569500"/>
    <s v="BUKALEBAR"/>
    <n v="0.15"/>
    <s v="Promo Lebaran"/>
    <s v="Bukalapak"/>
    <x v="0"/>
    <d v="2023-04-22T00:00:00"/>
    <s v="Saturday"/>
    <s v="wwww"/>
  </r>
  <r>
    <n v="973"/>
    <s v="ORD-BL0973-20/04/23"/>
    <s v="PU001"/>
    <s v="Pakaian Unisex"/>
    <x v="6"/>
    <n v="2"/>
    <n v="3"/>
    <n v="700000"/>
    <n v="260000"/>
    <m/>
    <s v="-"/>
    <s v="-"/>
    <m/>
    <m/>
    <s v="0"/>
    <s v="0"/>
    <m/>
    <s v="-"/>
    <s v="-"/>
    <m/>
    <m/>
    <s v="0"/>
    <s v="0"/>
    <n v="2"/>
    <n v="700000"/>
    <n v="595000"/>
    <n v="260000"/>
    <n v="221000"/>
    <s v="BUKALEBAR"/>
    <n v="0.15"/>
    <s v="Promo Lebaran"/>
    <s v="Bukalapak"/>
    <x v="5"/>
    <d v="2023-04-20T00:00:00"/>
    <s v="Thursday"/>
    <s v="wwww"/>
  </r>
  <r>
    <n v="974"/>
    <s v="ORD-SP0974-03/04/23"/>
    <s v="SP002"/>
    <s v="Sepatu Pria"/>
    <x v="8"/>
    <n v="5"/>
    <n v="2"/>
    <n v="750000"/>
    <n v="300000"/>
    <s v="PU001"/>
    <s v="Pakaian Unisex"/>
    <s v="Jaket Hoodie"/>
    <n v="1"/>
    <n v="1"/>
    <n v="350000"/>
    <n v="130000"/>
    <s v="SW001"/>
    <s v="Sepatu Wanita"/>
    <s v="Flat Shoes"/>
    <n v="1"/>
    <n v="3"/>
    <n v="250000"/>
    <n v="100000"/>
    <n v="7"/>
    <n v="1350000"/>
    <n v="1215000"/>
    <n v="530000"/>
    <n v="477000"/>
    <s v="DISC10"/>
    <n v="0.1"/>
    <s v="Promo 4.4"/>
    <s v="Shopee"/>
    <x v="1"/>
    <d v="2023-04-03T00:00:00"/>
    <s v="Monday"/>
    <s v="wwww"/>
  </r>
  <r>
    <n v="975"/>
    <s v="ORD-TK0975-28/04/23"/>
    <s v="SP001"/>
    <s v="Sepatu Pria"/>
    <x v="7"/>
    <n v="3"/>
    <n v="1"/>
    <n v="1500000"/>
    <n v="600000"/>
    <m/>
    <s v="-"/>
    <s v="-"/>
    <m/>
    <m/>
    <s v="0"/>
    <s v="0"/>
    <m/>
    <s v="-"/>
    <s v="-"/>
    <m/>
    <m/>
    <s v="0"/>
    <s v="0"/>
    <n v="3"/>
    <n v="1500000"/>
    <n v="1350000"/>
    <n v="600000"/>
    <n v="540000"/>
    <s v="LEBAR10"/>
    <n v="0.1"/>
    <s v="Promo Lebaran"/>
    <s v="Tokopedia"/>
    <x v="4"/>
    <d v="2023-04-28T00:00:00"/>
    <s v="Friday"/>
    <s v="wwww"/>
  </r>
  <r>
    <n v="976"/>
    <s v="ORD-SP0976-22/04/23"/>
    <s v="SW001"/>
    <s v="Sepatu Wanita"/>
    <x v="9"/>
    <n v="2"/>
    <n v="3"/>
    <n v="500000"/>
    <n v="200000"/>
    <s v="SP001"/>
    <s v="Sepatu Pria"/>
    <s v="Sneakers"/>
    <n v="1"/>
    <n v="1"/>
    <n v="500000"/>
    <n v="200000"/>
    <s v="PU001"/>
    <s v="Pakaian Unisex"/>
    <s v="Jaket Hoodie"/>
    <n v="2"/>
    <n v="5"/>
    <n v="700000"/>
    <n v="260000"/>
    <n v="5"/>
    <n v="1700000"/>
    <n v="1360000"/>
    <n v="660000"/>
    <n v="528000"/>
    <s v="DISC20"/>
    <n v="0.2"/>
    <s v="Promo Lebaran"/>
    <s v="Shopee"/>
    <x v="4"/>
    <d v="2023-04-22T00:00:00"/>
    <s v="Saturday"/>
    <s v="wwww"/>
  </r>
  <r>
    <n v="977"/>
    <s v="ORD-TK0977-16/04/23"/>
    <s v="PP003"/>
    <s v="Pakaian Pria"/>
    <x v="5"/>
    <n v="6"/>
    <n v="1"/>
    <n v="2400000"/>
    <n v="900000"/>
    <s v="PP001"/>
    <s v="Pakaian Pria"/>
    <s v="Kaos Polo"/>
    <n v="1"/>
    <n v="4"/>
    <n v="200000"/>
    <n v="80000"/>
    <m/>
    <s v="-"/>
    <s v="-"/>
    <m/>
    <m/>
    <s v="0"/>
    <s v="0"/>
    <n v="7"/>
    <n v="2600000"/>
    <n v="2340000"/>
    <n v="980000"/>
    <n v="882000"/>
    <s v="LEBAR10"/>
    <n v="0.1"/>
    <s v="Promo Lebaran"/>
    <s v="Tokopedia"/>
    <x v="1"/>
    <d v="2023-04-16T00:00:00"/>
    <s v="Sunday"/>
    <s v="wwww"/>
  </r>
  <r>
    <n v="978"/>
    <s v="ORD-SP0978-20/04/23"/>
    <s v="SP002"/>
    <s v="Sepatu Pria"/>
    <x v="8"/>
    <n v="4"/>
    <n v="1"/>
    <n v="600000"/>
    <n v="240000"/>
    <s v="PW001"/>
    <s v="Pakaian Wanita"/>
    <s v="Dress"/>
    <n v="1"/>
    <n v="5"/>
    <n v="300000"/>
    <n v="100000"/>
    <m/>
    <s v="-"/>
    <s v="-"/>
    <m/>
    <m/>
    <s v="0"/>
    <s v="0"/>
    <n v="5"/>
    <n v="900000"/>
    <n v="720000"/>
    <n v="340000"/>
    <n v="272000"/>
    <s v="DISC20"/>
    <n v="0.2"/>
    <s v="Promo Lebaran"/>
    <s v="Shopee"/>
    <x v="0"/>
    <d v="2023-04-20T00:00:00"/>
    <s v="Thursday"/>
    <s v="wwww"/>
  </r>
  <r>
    <n v="979"/>
    <s v="ORD-SP0979-01/04/23"/>
    <s v="PW002"/>
    <s v="Pakaian Wanita"/>
    <x v="1"/>
    <n v="3"/>
    <n v="2"/>
    <n v="450000"/>
    <n v="150000"/>
    <m/>
    <s v="-"/>
    <s v="-"/>
    <m/>
    <m/>
    <s v="0"/>
    <s v="0"/>
    <m/>
    <s v="-"/>
    <s v="-"/>
    <m/>
    <m/>
    <s v="0"/>
    <s v="0"/>
    <n v="3"/>
    <n v="450000"/>
    <n v="405000"/>
    <n v="150000"/>
    <n v="135000"/>
    <s v="DISC10"/>
    <n v="0.1"/>
    <s v="Promo 4.4"/>
    <s v="Shopee"/>
    <x v="5"/>
    <d v="2023-04-01T00:00:00"/>
    <s v="Saturday"/>
    <s v="wwww"/>
  </r>
  <r>
    <n v="980"/>
    <s v="ORD-SP0980-07/04/23"/>
    <s v="SW001"/>
    <s v="Sepatu Wanita"/>
    <x v="9"/>
    <n v="2"/>
    <n v="4"/>
    <n v="500000"/>
    <n v="200000"/>
    <s v="SP002"/>
    <s v="Sepatu Pria"/>
    <s v="Sandal Slip On"/>
    <n v="4"/>
    <n v="5"/>
    <n v="600000"/>
    <n v="240000"/>
    <m/>
    <s v="-"/>
    <s v="-"/>
    <m/>
    <m/>
    <s v="0"/>
    <s v="0"/>
    <n v="6"/>
    <n v="1100000"/>
    <n v="1100000"/>
    <n v="440000"/>
    <n v="440000"/>
    <s v="-"/>
    <s v="-"/>
    <s v="-"/>
    <s v="Shopee"/>
    <x v="5"/>
    <d v="2023-04-07T00:00:00"/>
    <s v="Friday"/>
    <s v="wwww"/>
  </r>
  <r>
    <n v="981"/>
    <s v="ORD-SP0981-01/04/23"/>
    <s v="PW001"/>
    <s v="Pakaian Wanita"/>
    <x v="0"/>
    <n v="1"/>
    <n v="4"/>
    <n v="300000"/>
    <n v="100000"/>
    <m/>
    <s v="-"/>
    <s v="-"/>
    <m/>
    <m/>
    <s v="0"/>
    <s v="0"/>
    <m/>
    <s v="-"/>
    <s v="-"/>
    <m/>
    <m/>
    <s v="0"/>
    <s v="0"/>
    <n v="1"/>
    <n v="300000"/>
    <n v="270000"/>
    <n v="100000"/>
    <n v="90000"/>
    <s v="DISC10"/>
    <n v="0.1"/>
    <s v="Promo 4.4"/>
    <s v="Shopee"/>
    <x v="5"/>
    <d v="2023-04-01T00:00:00"/>
    <s v="Saturday"/>
    <s v="wwww"/>
  </r>
  <r>
    <n v="982"/>
    <s v="ORD-BB0982-03/04/23"/>
    <s v="PP003"/>
    <s v="Pakaian Pria"/>
    <x v="5"/>
    <n v="3"/>
    <n v="5"/>
    <n v="1200000"/>
    <n v="450000"/>
    <m/>
    <s v="-"/>
    <s v="-"/>
    <m/>
    <m/>
    <s v="0"/>
    <s v="0"/>
    <m/>
    <s v="-"/>
    <s v="-"/>
    <m/>
    <m/>
    <s v="0"/>
    <s v="0"/>
    <n v="3"/>
    <n v="1200000"/>
    <n v="1020000"/>
    <n v="450000"/>
    <n v="382500"/>
    <s v="BELI44"/>
    <n v="0.15"/>
    <s v="Promo 4.4"/>
    <s v="BliBli"/>
    <x v="1"/>
    <d v="2023-04-03T00:00:00"/>
    <s v="Monday"/>
    <s v="wwww"/>
  </r>
  <r>
    <n v="983"/>
    <s v="ORD-SP0983-06/04/23"/>
    <s v="PP002"/>
    <s v="Pakaian Pria"/>
    <x v="4"/>
    <n v="5"/>
    <n v="1"/>
    <n v="900000"/>
    <n v="350000"/>
    <s v="PW002"/>
    <s v="Pakaian Wanita"/>
    <s v="Blouse"/>
    <n v="1"/>
    <n v="5"/>
    <n v="150000"/>
    <n v="50000"/>
    <m/>
    <s v="-"/>
    <s v="-"/>
    <m/>
    <m/>
    <s v="0"/>
    <s v="0"/>
    <n v="6"/>
    <n v="1050000"/>
    <n v="892500"/>
    <n v="400000"/>
    <n v="340000"/>
    <s v="DISC15"/>
    <n v="0.15"/>
    <s v="Promo 4.4"/>
    <s v="Shopee"/>
    <x v="1"/>
    <d v="2023-04-06T00:00:00"/>
    <s v="Thursday"/>
    <s v="wwww"/>
  </r>
  <r>
    <n v="984"/>
    <s v="ORD-SP0984-05/04/23"/>
    <s v="PP002"/>
    <s v="Pakaian Pria"/>
    <x v="4"/>
    <n v="1"/>
    <n v="1"/>
    <n v="180000"/>
    <n v="70000"/>
    <s v="PU001"/>
    <s v="Pakaian Unisex"/>
    <s v="Jaket Hoodie"/>
    <n v="2"/>
    <n v="2"/>
    <n v="700000"/>
    <n v="260000"/>
    <s v="PW002"/>
    <s v="Pakaian Wanita"/>
    <s v="Blouse"/>
    <n v="2"/>
    <n v="4"/>
    <n v="300000"/>
    <n v="100000"/>
    <n v="5"/>
    <n v="1180000"/>
    <n v="1003000"/>
    <n v="430000"/>
    <n v="365500"/>
    <s v="DISC15"/>
    <n v="0.15"/>
    <s v="Promo 4.4"/>
    <s v="Shopee"/>
    <x v="0"/>
    <d v="2023-04-05T00:00:00"/>
    <s v="Wednesday"/>
    <s v="wwww"/>
  </r>
  <r>
    <n v="985"/>
    <s v="ORD-SP0985-01/04/23"/>
    <s v="SP002"/>
    <s v="Sepatu Pria"/>
    <x v="8"/>
    <n v="1"/>
    <n v="2"/>
    <n v="150000"/>
    <n v="60000"/>
    <m/>
    <s v="-"/>
    <s v="-"/>
    <m/>
    <m/>
    <s v="0"/>
    <s v="0"/>
    <m/>
    <s v="-"/>
    <s v="-"/>
    <m/>
    <m/>
    <s v="0"/>
    <s v="0"/>
    <n v="1"/>
    <n v="150000"/>
    <n v="135000"/>
    <n v="60000"/>
    <n v="54000"/>
    <s v="DISC10"/>
    <n v="0.1"/>
    <s v="Promo 4.4"/>
    <s v="Shopee"/>
    <x v="5"/>
    <d v="2023-04-01T00:00:00"/>
    <s v="Saturday"/>
    <s v="wwww"/>
  </r>
  <r>
    <n v="986"/>
    <s v="ORD-BL0986-18/04/23"/>
    <s v="PP003"/>
    <s v="Pakaian Pria"/>
    <x v="5"/>
    <n v="2"/>
    <n v="2"/>
    <n v="800000"/>
    <n v="300000"/>
    <s v="PP002"/>
    <s v="Pakaian Pria"/>
    <s v="Celana Pendek"/>
    <n v="1"/>
    <n v="5"/>
    <n v="180000"/>
    <n v="70000"/>
    <m/>
    <s v="-"/>
    <s v="-"/>
    <m/>
    <m/>
    <s v="0"/>
    <s v="0"/>
    <n v="3"/>
    <n v="980000"/>
    <n v="833000"/>
    <n v="370000"/>
    <n v="314500"/>
    <s v="BUKALEBAR"/>
    <n v="0.15"/>
    <s v="Promo Lebaran"/>
    <s v="Bukalapak"/>
    <x v="4"/>
    <d v="2023-04-18T00:00:00"/>
    <s v="Tuesday"/>
    <s v="wwww"/>
  </r>
  <r>
    <n v="987"/>
    <s v="ORD-SP0987-04/04/23"/>
    <s v="SP002"/>
    <s v="Sepatu Pria"/>
    <x v="8"/>
    <n v="5"/>
    <n v="3"/>
    <n v="750000"/>
    <n v="300000"/>
    <s v="SW001"/>
    <s v="Sepatu Wanita"/>
    <s v="Flat Shoes"/>
    <n v="1"/>
    <n v="1"/>
    <n v="250000"/>
    <n v="100000"/>
    <m/>
    <s v="-"/>
    <s v="-"/>
    <m/>
    <m/>
    <s v="0"/>
    <s v="0"/>
    <n v="6"/>
    <n v="1000000"/>
    <n v="900000"/>
    <n v="400000"/>
    <n v="360000"/>
    <s v="DISC10"/>
    <n v="0.1"/>
    <s v="Promo 4.4"/>
    <s v="Shopee"/>
    <x v="0"/>
    <d v="2023-04-04T00:00:00"/>
    <s v="Tuesday"/>
    <s v="wwww"/>
  </r>
  <r>
    <n v="988"/>
    <s v="ORD-BL0988-20/04/23"/>
    <s v="PP002"/>
    <s v="Pakaian Pria"/>
    <x v="4"/>
    <n v="1"/>
    <n v="4"/>
    <n v="180000"/>
    <n v="70000"/>
    <s v="PP003"/>
    <s v="Pakaian Pria"/>
    <s v="Jaket Jeans"/>
    <n v="2"/>
    <n v="2"/>
    <n v="800000"/>
    <n v="300000"/>
    <s v="SP002"/>
    <s v="Sepatu Pria"/>
    <s v="Sandal Slip On"/>
    <n v="2"/>
    <n v="1"/>
    <n v="300000"/>
    <n v="120000"/>
    <n v="5"/>
    <n v="1280000"/>
    <n v="1088000"/>
    <n v="490000"/>
    <n v="416500"/>
    <s v="BUKALEBAR"/>
    <n v="0.15"/>
    <s v="Promo Lebaran"/>
    <s v="Bukalapak"/>
    <x v="2"/>
    <d v="2023-04-20T00:00:00"/>
    <s v="Thursday"/>
    <s v="wwww"/>
  </r>
  <r>
    <n v="989"/>
    <s v="ORD-SP0989-12/04/23"/>
    <s v="PP003"/>
    <s v="Pakaian Pria"/>
    <x v="5"/>
    <n v="1"/>
    <n v="1"/>
    <n v="400000"/>
    <n v="150000"/>
    <s v="SW001"/>
    <s v="Sepatu Wanita"/>
    <s v="Flat Shoes"/>
    <n v="2"/>
    <n v="5"/>
    <n v="500000"/>
    <n v="200000"/>
    <s v="PU001"/>
    <s v="Pakaian Unisex"/>
    <s v="Jaket Hoodie"/>
    <n v="1"/>
    <n v="1"/>
    <n v="350000"/>
    <n v="130000"/>
    <n v="4"/>
    <n v="1250000"/>
    <n v="1250000"/>
    <n v="480000"/>
    <n v="480000"/>
    <s v="-"/>
    <s v="-"/>
    <s v="-"/>
    <s v="Shopee"/>
    <x v="2"/>
    <d v="2023-04-12T00:00:00"/>
    <s v="Wednesday"/>
    <s v="wwww"/>
  </r>
  <r>
    <n v="990"/>
    <s v="ORD-TK0990-06/04/23"/>
    <s v="PW002"/>
    <s v="Pakaian Wanita"/>
    <x v="1"/>
    <n v="1"/>
    <n v="2"/>
    <n v="150000"/>
    <n v="50000"/>
    <s v="PU001"/>
    <s v="Pakaian Unisex"/>
    <s v="Jaket Hoodie"/>
    <n v="5"/>
    <n v="1"/>
    <n v="1750000"/>
    <n v="650000"/>
    <s v="PP001"/>
    <s v="Pakaian Pria"/>
    <s v="Kaos Polo"/>
    <n v="1"/>
    <n v="2"/>
    <n v="200000"/>
    <n v="80000"/>
    <n v="7"/>
    <n v="2100000"/>
    <n v="1890000"/>
    <n v="780000"/>
    <n v="702000"/>
    <s v="DISCAPRIL"/>
    <n v="0.1"/>
    <s v="Promo 4.4"/>
    <s v="Tokopedia"/>
    <x v="1"/>
    <d v="2023-04-06T00:00:00"/>
    <s v="Thursday"/>
    <s v="wwww"/>
  </r>
  <r>
    <n v="991"/>
    <s v="ORD-SP0991-01/04/23"/>
    <s v="PU001"/>
    <s v="Pakaian Unisex"/>
    <x v="6"/>
    <n v="2"/>
    <n v="4"/>
    <n v="700000"/>
    <n v="260000"/>
    <s v="PP001"/>
    <s v="Pakaian Pria"/>
    <s v="Kaos Polo"/>
    <n v="4"/>
    <n v="3"/>
    <n v="800000"/>
    <n v="320000"/>
    <m/>
    <s v="-"/>
    <s v="-"/>
    <m/>
    <m/>
    <s v="0"/>
    <s v="0"/>
    <n v="6"/>
    <n v="1500000"/>
    <n v="1350000"/>
    <n v="580000"/>
    <n v="522000"/>
    <s v="DISC10"/>
    <n v="0.1"/>
    <s v="Promo 4.4"/>
    <s v="Shopee"/>
    <x v="5"/>
    <d v="2023-04-01T00:00:00"/>
    <s v="Saturday"/>
    <s v="wwww"/>
  </r>
  <r>
    <n v="992"/>
    <s v="ORD-TK0992-04/04/23"/>
    <s v="PW002"/>
    <s v="Pakaian Wanita"/>
    <x v="1"/>
    <n v="1"/>
    <n v="5"/>
    <n v="150000"/>
    <n v="50000"/>
    <m/>
    <s v="-"/>
    <s v="-"/>
    <m/>
    <m/>
    <s v="0"/>
    <s v="0"/>
    <m/>
    <s v="-"/>
    <s v="-"/>
    <m/>
    <m/>
    <s v="0"/>
    <s v="0"/>
    <n v="1"/>
    <n v="150000"/>
    <n v="135000"/>
    <n v="50000"/>
    <n v="45000"/>
    <s v="DISCAPRIL"/>
    <n v="0.1"/>
    <s v="Promo 4.4"/>
    <s v="Tokopedia"/>
    <x v="4"/>
    <d v="2023-04-04T00:00:00"/>
    <s v="Tuesday"/>
    <s v="wwww"/>
  </r>
  <r>
    <n v="993"/>
    <s v="ORD-SP0993-10/04/23"/>
    <s v="SW001"/>
    <s v="Sepatu Wanita"/>
    <x v="9"/>
    <n v="2"/>
    <n v="4"/>
    <n v="500000"/>
    <n v="200000"/>
    <s v="PW002"/>
    <s v="Pakaian Wanita"/>
    <s v="Blouse"/>
    <n v="1"/>
    <n v="4"/>
    <n v="150000"/>
    <n v="50000"/>
    <m/>
    <s v="-"/>
    <s v="-"/>
    <m/>
    <m/>
    <s v="0"/>
    <s v="0"/>
    <n v="3"/>
    <n v="650000"/>
    <n v="650000"/>
    <n v="250000"/>
    <n v="250000"/>
    <s v="-"/>
    <s v="-"/>
    <s v="-"/>
    <s v="Shopee"/>
    <x v="1"/>
    <d v="2023-04-10T00:00:00"/>
    <s v="Monday"/>
    <s v="wwww"/>
  </r>
  <r>
    <n v="994"/>
    <s v="ORD-BB0994-06/04/23"/>
    <s v="PW003"/>
    <s v="Pakaian Wanita"/>
    <x v="2"/>
    <n v="1"/>
    <n v="4"/>
    <n v="250000"/>
    <n v="100000"/>
    <s v="PW002"/>
    <s v="Pakaian Wanita"/>
    <s v="Blouse"/>
    <n v="1"/>
    <n v="5"/>
    <n v="150000"/>
    <n v="50000"/>
    <m/>
    <s v="-"/>
    <s v="-"/>
    <m/>
    <m/>
    <s v="0"/>
    <s v="0"/>
    <n v="2"/>
    <n v="400000"/>
    <n v="340000"/>
    <n v="150000"/>
    <n v="127500"/>
    <s v="BELI44"/>
    <n v="0.15"/>
    <s v="Promo 4.4"/>
    <s v="BliBli"/>
    <x v="0"/>
    <d v="2023-04-06T00:00:00"/>
    <s v="Thursday"/>
    <s v="wwww"/>
  </r>
  <r>
    <n v="995"/>
    <s v="ORD-SP0995-02/04/23"/>
    <s v="SW001"/>
    <s v="Sepatu Wanita"/>
    <x v="9"/>
    <n v="5"/>
    <n v="5"/>
    <n v="1250000"/>
    <n v="500000"/>
    <s v="PP002"/>
    <s v="Pakaian Pria"/>
    <s v="Celana Pendek"/>
    <n v="1"/>
    <n v="3"/>
    <n v="180000"/>
    <n v="70000"/>
    <m/>
    <s v="-"/>
    <s v="-"/>
    <m/>
    <m/>
    <s v="0"/>
    <s v="0"/>
    <n v="6"/>
    <n v="1430000"/>
    <n v="1287000"/>
    <n v="570000"/>
    <n v="513000"/>
    <s v="DISC10"/>
    <n v="0.1"/>
    <s v="Promo 4.4"/>
    <s v="Shopee"/>
    <x v="4"/>
    <d v="2023-04-02T00:00:00"/>
    <s v="Sunday"/>
    <s v="wwww"/>
  </r>
  <r>
    <n v="996"/>
    <s v="ORD-SP0996-19/04/23"/>
    <s v="PU001"/>
    <s v="Pakaian Unisex"/>
    <x v="6"/>
    <n v="1"/>
    <n v="5"/>
    <n v="350000"/>
    <n v="130000"/>
    <m/>
    <s v="-"/>
    <s v="-"/>
    <m/>
    <m/>
    <s v="0"/>
    <s v="0"/>
    <m/>
    <s v="-"/>
    <s v="-"/>
    <m/>
    <m/>
    <s v="0"/>
    <s v="0"/>
    <n v="1"/>
    <n v="350000"/>
    <n v="280000"/>
    <n v="130000"/>
    <n v="104000"/>
    <s v="DISC20"/>
    <n v="0.2"/>
    <s v="Promo Lebaran"/>
    <s v="Shopee"/>
    <x v="3"/>
    <d v="2023-04-19T00:00:00"/>
    <s v="Wednesday"/>
    <s v="wwww"/>
  </r>
  <r>
    <n v="997"/>
    <s v="ORD-TK0997-26/04/23"/>
    <s v="PP002"/>
    <s v="Pakaian Pria"/>
    <x v="4"/>
    <n v="5"/>
    <n v="4"/>
    <n v="900000"/>
    <n v="350000"/>
    <m/>
    <s v="-"/>
    <s v="-"/>
    <m/>
    <m/>
    <s v="0"/>
    <s v="0"/>
    <m/>
    <s v="-"/>
    <s v="-"/>
    <m/>
    <m/>
    <s v="0"/>
    <s v="0"/>
    <n v="5"/>
    <n v="900000"/>
    <n v="810000"/>
    <n v="350000"/>
    <n v="315000"/>
    <s v="LEBAR10"/>
    <n v="0.1"/>
    <s v="Promo Lebaran"/>
    <s v="Tokopedia"/>
    <x v="1"/>
    <d v="2023-04-26T00:00:00"/>
    <s v="Wednesday"/>
    <s v="wwww"/>
  </r>
  <r>
    <n v="998"/>
    <s v="ORD-SP0998-01/04/23"/>
    <s v="PW001"/>
    <s v="Pakaian Wanita"/>
    <x v="0"/>
    <n v="1"/>
    <n v="4"/>
    <n v="300000"/>
    <n v="100000"/>
    <m/>
    <s v="-"/>
    <s v="-"/>
    <m/>
    <m/>
    <s v="0"/>
    <s v="0"/>
    <m/>
    <s v="-"/>
    <s v="-"/>
    <m/>
    <m/>
    <s v="0"/>
    <s v="0"/>
    <n v="1"/>
    <n v="300000"/>
    <n v="270000"/>
    <n v="100000"/>
    <n v="90000"/>
    <s v="DISC10"/>
    <n v="0.1"/>
    <s v="Promo 4.4"/>
    <s v="Shopee"/>
    <x v="1"/>
    <d v="2023-04-01T00:00:00"/>
    <s v="Saturday"/>
    <s v="wwww"/>
  </r>
  <r>
    <n v="999"/>
    <s v="ORD-BL0999-18/04/23"/>
    <s v="PW002"/>
    <s v="Pakaian Wanita"/>
    <x v="1"/>
    <n v="2"/>
    <n v="3"/>
    <n v="300000"/>
    <n v="100000"/>
    <s v="PU001"/>
    <s v="Pakaian Unisex"/>
    <s v="Jaket Hoodie"/>
    <n v="1"/>
    <n v="3"/>
    <n v="350000"/>
    <n v="130000"/>
    <m/>
    <s v="-"/>
    <s v="-"/>
    <m/>
    <m/>
    <s v="0"/>
    <s v="0"/>
    <n v="3"/>
    <n v="650000"/>
    <n v="552500"/>
    <n v="230000"/>
    <n v="195500"/>
    <s v="BUKALEBAR"/>
    <n v="0.15"/>
    <s v="Promo Lebaran"/>
    <s v="Bukalapak"/>
    <x v="5"/>
    <d v="2023-04-18T00:00:00"/>
    <s v="Tuesday"/>
    <s v="wwww"/>
  </r>
  <r>
    <n v="1000"/>
    <s v="ORD-SP1000-03/04/23"/>
    <s v="SP001"/>
    <s v="Sepatu Pria"/>
    <x v="7"/>
    <n v="3"/>
    <n v="3"/>
    <n v="1500000"/>
    <n v="600000"/>
    <s v="PW001"/>
    <s v="Pakaian Wanita"/>
    <s v="Dress"/>
    <n v="2"/>
    <n v="5"/>
    <n v="600000"/>
    <n v="200000"/>
    <s v="PP001"/>
    <s v="Pakaian Pria"/>
    <s v="Kaos Polo"/>
    <n v="1"/>
    <n v="2"/>
    <n v="200000"/>
    <n v="80000"/>
    <n v="6"/>
    <n v="2300000"/>
    <n v="1955000"/>
    <n v="880000"/>
    <n v="748000"/>
    <s v="DISC15"/>
    <n v="0.15"/>
    <s v="Promo 4.4"/>
    <s v="Shopee"/>
    <x v="2"/>
    <d v="2023-04-03T00:00:00"/>
    <s v="Monday"/>
    <s v="wwww"/>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213"/>
    <n v="56760000"/>
    <n v="14160000"/>
    <n v="3.1458333333333335"/>
    <n v="120"/>
    <n v="31530000"/>
    <n v="7530000"/>
    <n v="2.8676470588235294"/>
    <n v="39"/>
    <n v="10485000"/>
    <n v="2685000"/>
    <n v="2.9615384615384617"/>
    <n v="372"/>
    <n v="98775000"/>
    <n v="24375000"/>
    <n v="2.991672951231775"/>
    <n v="74400000"/>
  </r>
  <r>
    <x v="0"/>
    <x v="1"/>
    <n v="267"/>
    <n v="35115000"/>
    <n v="8415000"/>
    <n v="2.9813084112149535"/>
    <n v="98"/>
    <n v="12892500"/>
    <n v="3092500"/>
    <n v="3.0535714285714284"/>
    <n v="65"/>
    <n v="8475000"/>
    <n v="1975000"/>
    <n v="3.0882352941176472"/>
    <n v="430"/>
    <n v="56482500"/>
    <n v="13482500"/>
    <n v="3.0410383779680097"/>
    <n v="43000000"/>
  </r>
  <r>
    <x v="0"/>
    <x v="2"/>
    <n v="202"/>
    <n v="44537500"/>
    <n v="14237500"/>
    <n v="3.1012658227848102"/>
    <n v="91"/>
    <n v="20262500"/>
    <n v="6612500"/>
    <n v="3.0793650793650795"/>
    <n v="29"/>
    <n v="6537500"/>
    <n v="2187500"/>
    <n v="2.6111111111111112"/>
    <n v="322"/>
    <n v="71337500"/>
    <n v="23037500"/>
    <n v="2.9305806710870002"/>
    <n v="48300000"/>
  </r>
  <r>
    <x v="1"/>
    <x v="3"/>
    <n v="257"/>
    <n v="45360000"/>
    <n v="14520000"/>
    <n v="2.9791666666666665"/>
    <n v="101"/>
    <n v="17960000"/>
    <n v="5840000"/>
    <n v="3.2380952380952381"/>
    <n v="41"/>
    <n v="7170000"/>
    <n v="2250000"/>
    <n v="3.5555555555555554"/>
    <n v="399"/>
    <n v="70490000"/>
    <n v="22610000"/>
    <n v="3.25760582010582"/>
    <n v="47880000"/>
  </r>
  <r>
    <x v="1"/>
    <x v="4"/>
    <n v="227"/>
    <n v="36207000"/>
    <n v="11237000"/>
    <n v="3.16"/>
    <n v="111"/>
    <n v="17739000"/>
    <n v="5529000"/>
    <n v="2.955223880597015"/>
    <n v="46"/>
    <n v="7200000"/>
    <n v="2140000"/>
    <n v="3.2592592592592591"/>
    <n v="384"/>
    <n v="61146000"/>
    <n v="18906000"/>
    <n v="3.1248277132854247"/>
    <n v="42240000"/>
  </r>
  <r>
    <x v="1"/>
    <x v="5"/>
    <n v="306"/>
    <n v="109120000"/>
    <n v="32620000"/>
    <n v="3.1967213114754101"/>
    <n v="107"/>
    <n v="37900000"/>
    <n v="11150000"/>
    <n v="2.8970588235294117"/>
    <n v="38"/>
    <n v="13820000"/>
    <n v="4320000"/>
    <n v="2.8636363636363638"/>
    <n v="451"/>
    <n v="160840000"/>
    <n v="48090000"/>
    <n v="2.985805499547062"/>
    <n v="112750000"/>
  </r>
  <r>
    <x v="2"/>
    <x v="6"/>
    <n v="252"/>
    <n v="76685000"/>
    <n v="21245000"/>
    <n v="3.0693069306930694"/>
    <n v="118"/>
    <n v="36662500"/>
    <n v="10702500"/>
    <n v="3.1147540983606556"/>
    <n v="35"/>
    <n v="10692500"/>
    <n v="2992500"/>
    <n v="3.0434782608695654"/>
    <n v="405"/>
    <n v="124040000"/>
    <n v="34940000"/>
    <n v="3.0758464299744297"/>
    <n v="89100000"/>
  </r>
  <r>
    <x v="3"/>
    <x v="7"/>
    <n v="270"/>
    <n v="119150000"/>
    <n v="38150000"/>
    <n v="2.831578947368421"/>
    <n v="95"/>
    <n v="41500000"/>
    <n v="13000000"/>
    <n v="2.8548387096774195"/>
    <n v="57"/>
    <n v="25000000"/>
    <n v="7900000"/>
    <n v="3.1515151515151514"/>
    <n v="422"/>
    <n v="185650000"/>
    <n v="59050000"/>
    <n v="2.9459776028536644"/>
    <n v="126600000"/>
  </r>
  <r>
    <x v="3"/>
    <x v="8"/>
    <n v="293"/>
    <n v="38842500"/>
    <n v="12472500"/>
    <n v="3.1636363636363636"/>
    <n v="147"/>
    <n v="19710000"/>
    <n v="6480000"/>
    <n v="3.125"/>
    <n v="52"/>
    <n v="6825000"/>
    <n v="2145000"/>
    <n v="2.9666666666666668"/>
    <n v="492"/>
    <n v="65377500"/>
    <n v="21097500"/>
    <n v="3.0851010101010101"/>
    <n v="44280000"/>
  </r>
  <r>
    <x v="4"/>
    <x v="9"/>
    <n v="222"/>
    <n v="48437500"/>
    <n v="15137500"/>
    <n v="2.9148936170212765"/>
    <n v="109"/>
    <n v="24025000"/>
    <n v="7675000"/>
    <n v="2.9682539682539684"/>
    <n v="72"/>
    <n v="15687500"/>
    <n v="4887500"/>
    <n v="2.9722222222222223"/>
    <n v="403"/>
    <n v="88150000"/>
    <n v="27700000"/>
    <n v="2.9517899358324891"/>
    <n v="604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CF87B3-673F-4616-8F69-1080EA639329}" name="PivotTable31"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2:A3" firstHeaderRow="1" firstDataRow="1" firstDataCol="0"/>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dataField="1"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Items count="1">
    <i/>
  </rowItems>
  <colItems count="1">
    <i/>
  </colItems>
  <dataFields count="1">
    <dataField name="Total Penjualan (sebelum Disc)" fld="30" baseField="0" baseItem="0"/>
  </dataFields>
  <formats count="3">
    <format dxfId="593">
      <pivotArea outline="0" collapsedLevelsAreSubtotals="1" fieldPosition="0"/>
    </format>
    <format dxfId="592">
      <pivotArea outline="0" collapsedLevelsAreSubtotals="1" fieldPosition="0"/>
    </format>
    <format dxfId="5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A5E2FD-E6B0-469B-8827-3EE134A200F8}" name="PivotTable1" cacheId="4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rowHeaderCaption="Item">
  <location ref="M2:N13" firstHeaderRow="1" firstDataRow="1" firstDataCol="1"/>
  <pivotFields count="19">
    <pivotField showAll="0">
      <items count="6">
        <item x="1"/>
        <item x="2"/>
        <item x="0"/>
        <item x="3"/>
        <item x="4"/>
        <item t="default"/>
      </items>
    </pivotField>
    <pivotField axis="axisRow" showAll="0">
      <items count="11">
        <item x="1"/>
        <item x="4"/>
        <item x="0"/>
        <item x="9"/>
        <item x="6"/>
        <item x="5"/>
        <item x="2"/>
        <item x="3"/>
        <item x="8"/>
        <item x="7"/>
        <item t="default"/>
      </items>
    </pivotField>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dataField="1" numFmtId="1" showAll="0"/>
    <pivotField numFmtId="169" showAll="0"/>
    <pivotField numFmtId="169" showAll="0"/>
    <pivotField numFmtId="2" showAll="0"/>
    <pivotField numFmtId="169" showAll="0"/>
  </pivotFields>
  <rowFields count="1">
    <field x="1"/>
  </rowFields>
  <rowItems count="11">
    <i>
      <x/>
    </i>
    <i>
      <x v="1"/>
    </i>
    <i>
      <x v="2"/>
    </i>
    <i>
      <x v="3"/>
    </i>
    <i>
      <x v="4"/>
    </i>
    <i>
      <x v="5"/>
    </i>
    <i>
      <x v="6"/>
    </i>
    <i>
      <x v="7"/>
    </i>
    <i>
      <x v="8"/>
    </i>
    <i>
      <x v="9"/>
    </i>
    <i t="grand">
      <x/>
    </i>
  </rowItems>
  <colItems count="1">
    <i/>
  </colItems>
  <dataFields count="1">
    <dataField name="Sum of Total Qty" fld="14"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D06A6-095D-4C4F-80AB-090CD73E062A}" name="PivotTable32"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4:A5" firstHeaderRow="1" firstDataRow="1" firstDataCol="0"/>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dataField="1"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Items count="1">
    <i/>
  </rowItems>
  <colItems count="1">
    <i/>
  </colItems>
  <dataFields count="1">
    <dataField name="Total Penjualan (setelah Disc)" fld="31" baseField="0" baseItem="0"/>
  </dataFields>
  <formats count="3">
    <format dxfId="596">
      <pivotArea outline="0" collapsedLevelsAreSubtotals="1" fieldPosition="0"/>
    </format>
    <format dxfId="595">
      <pivotArea outline="0" collapsedLevelsAreSubtotals="1" fieldPosition="0"/>
    </format>
    <format dxfId="5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F818F-2AAA-4C95-B253-11B40C92FB7E}" name="PivotTable37"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29:M30" firstHeaderRow="1" firstDataRow="1" firstDataCol="0"/>
  <pivotFields count="19">
    <pivotField showAll="0">
      <items count="6">
        <item x="1"/>
        <item x="2"/>
        <item x="0"/>
        <item x="3"/>
        <item x="4"/>
        <item t="default"/>
      </items>
    </pivotField>
    <pivotField showAll="0"/>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dataField="1" numFmtId="1" showAll="0"/>
    <pivotField numFmtId="169" showAll="0"/>
    <pivotField numFmtId="169" showAll="0"/>
    <pivotField numFmtId="2" showAll="0"/>
    <pivotField numFmtId="169" showAll="0"/>
  </pivotFields>
  <rowItems count="1">
    <i/>
  </rowItems>
  <colItems count="1">
    <i/>
  </colItems>
  <dataFields count="1">
    <dataField name="Sum of Total Qty"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B0B609-45EF-4072-86F0-56E5BE703B4D}" name="PivotTable33"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C2:C3" firstHeaderRow="1" firstDataRow="1" firstDataCol="0"/>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numFmtId="165" showAll="0"/>
    <pivotField numFmtId="165" showAll="0"/>
    <pivotField dataField="1"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pivotField numFmtId="2" showAll="0"/>
  </pivotFields>
  <rowItems count="1">
    <i/>
  </rowItems>
  <colItems count="1">
    <i/>
  </colItems>
  <dataFields count="1">
    <dataField name="Total Nett Profit" fld="33" baseField="0" baseItem="0"/>
  </dataFields>
  <formats count="3">
    <format dxfId="599">
      <pivotArea outline="0" collapsedLevelsAreSubtotals="1" fieldPosition="0"/>
    </format>
    <format dxfId="598">
      <pivotArea outline="0" collapsedLevelsAreSubtotals="1" fieldPosition="0"/>
    </format>
    <format dxfId="5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2283C7-9492-4DA4-9F90-F33156FF0867}" name="PivotTable2" cacheId="4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7" rowHeaderCaption="Item">
  <location ref="M15:O26" firstHeaderRow="0" firstDataRow="1" firstDataCol="1"/>
  <pivotFields count="19">
    <pivotField showAll="0">
      <items count="6">
        <item x="1"/>
        <item x="2"/>
        <item x="0"/>
        <item x="3"/>
        <item x="4"/>
        <item t="default"/>
      </items>
    </pivotField>
    <pivotField axis="axisRow" showAll="0">
      <items count="11">
        <item x="1"/>
        <item x="4"/>
        <item x="0"/>
        <item x="9"/>
        <item x="6"/>
        <item x="5"/>
        <item x="2"/>
        <item x="3"/>
        <item x="8"/>
        <item x="7"/>
        <item t="default"/>
      </items>
    </pivotField>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numFmtId="1" showAll="0"/>
    <pivotField dataField="1" numFmtId="169" showAll="0"/>
    <pivotField dataField="1" numFmtId="169" showAll="0"/>
    <pivotField numFmtId="2" showAll="0"/>
    <pivotField numFmtId="169" showAll="0"/>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Profit" fld="16" baseField="0" baseItem="0" numFmtId="170"/>
    <dataField name="Transaksi" fld="15" baseField="0" baseItem="0" numFmtId="170"/>
  </dataFields>
  <formats count="3">
    <format dxfId="602">
      <pivotArea outline="0" collapsedLevelsAreSubtotals="1" fieldPosition="0"/>
    </format>
    <format dxfId="601">
      <pivotArea outline="0" collapsedLevelsAreSubtotals="1" fieldPosition="0">
        <references count="1">
          <reference field="4294967294" count="1" selected="0">
            <x v="0"/>
          </reference>
        </references>
      </pivotArea>
    </format>
    <format dxfId="600">
      <pivotArea outline="0" collapsedLevelsAreSubtotals="1" fieldPosition="0">
        <references count="1">
          <reference field="4294967294" count="1" selected="0">
            <x v="1"/>
          </reference>
        </references>
      </pivotArea>
    </format>
  </format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AFAA51-7ADF-46F1-8020-879E32972113}" name="PivotTable5"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E2:E3" firstHeaderRow="1" firstDataRow="1" firstDataCol="0"/>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dataField="1" numFmtId="2" showAll="0"/>
  </pivotFields>
  <rowItems count="1">
    <i/>
  </rowItems>
  <colItems count="1">
    <i/>
  </colItems>
  <dataFields count="1">
    <dataField name="Average of Rating" fld="43" subtotal="average" baseField="0" baseItem="0" numFmtId="2"/>
  </dataFields>
  <formats count="3">
    <format dxfId="605">
      <pivotArea outline="0" collapsedLevelsAreSubtotals="1" fieldPosition="0"/>
    </format>
    <format dxfId="604">
      <pivotArea outline="0" collapsedLevelsAreSubtotals="1" fieldPosition="0"/>
    </format>
    <format dxfId="6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8A43CC-983E-4BCD-A1D9-5FD28965A7B9}" name="PivotTable22"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C4:C5" firstHeaderRow="1" firstDataRow="1" firstDataCol="0"/>
  <pivotFields count="44">
    <pivotField dataField="1"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Items count="1">
    <i/>
  </rowItems>
  <colItems count="1">
    <i/>
  </colItems>
  <dataFields count="1">
    <dataField name="No. of Customer" fld="0" subtotal="count" baseField="0" baseItem="0"/>
  </dataFields>
  <formats count="3">
    <format dxfId="608">
      <pivotArea outline="0" collapsedLevelsAreSubtotals="1" fieldPosition="0"/>
    </format>
    <format dxfId="607">
      <pivotArea outline="0" collapsedLevelsAreSubtotals="1" fieldPosition="0"/>
    </format>
    <format dxfId="6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3AC0DA-885D-44DB-A688-69E002031FFA}" name="PivotTable3"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E4:E5" firstHeaderRow="1" firstDataRow="1" firstDataCol="0"/>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dataField="1"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Items count="1">
    <i/>
  </rowItems>
  <colItems count="1">
    <i/>
  </colItems>
  <dataFields count="1">
    <dataField name="Sum of Total Qty" fld="29" baseField="0" baseItem="0" numFmtId="1"/>
  </dataFields>
  <formats count="4">
    <format dxfId="612">
      <pivotArea outline="0" collapsedLevelsAreSubtotals="1" fieldPosition="0"/>
    </format>
    <format dxfId="611">
      <pivotArea outline="0" collapsedLevelsAreSubtotals="1" fieldPosition="0"/>
    </format>
    <format dxfId="610">
      <pivotArea outline="0" collapsedLevelsAreSubtotals="1" fieldPosition="0"/>
    </format>
    <format dxfId="6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656E88-FBD5-4923-BD1E-D0C23AF4B1FD}" name="PivotTable8"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Q37:R41" firstHeaderRow="1" firstDataRow="1" firstDataCol="1"/>
  <pivotFields count="19">
    <pivotField showAll="0"/>
    <pivotField axis="axisRow" showAll="0" measureFilter="1" sortType="descending">
      <items count="11">
        <item x="1"/>
        <item x="4"/>
        <item x="0"/>
        <item x="9"/>
        <item x="6"/>
        <item x="5"/>
        <item x="2"/>
        <item x="3"/>
        <item x="8"/>
        <item x="7"/>
        <item t="default"/>
      </items>
      <autoSortScope>
        <pivotArea dataOnly="0" outline="0" fieldPosition="0">
          <references count="1">
            <reference field="4294967294" count="1" selected="0">
              <x v="0"/>
            </reference>
          </references>
        </pivotArea>
      </autoSortScope>
    </pivotField>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numFmtId="1" showAll="0"/>
    <pivotField dataField="1" numFmtId="169" showAll="0"/>
    <pivotField numFmtId="169" showAll="0"/>
    <pivotField numFmtId="2" showAll="0"/>
    <pivotField numFmtId="169" showAll="0"/>
  </pivotFields>
  <rowFields count="1">
    <field x="1"/>
  </rowFields>
  <rowItems count="4">
    <i>
      <x v="9"/>
    </i>
    <i>
      <x v="5"/>
    </i>
    <i>
      <x v="4"/>
    </i>
    <i t="grand">
      <x/>
    </i>
  </rowItems>
  <colItems count="1">
    <i/>
  </colItems>
  <dataFields count="1">
    <dataField name="Sum of Total Transaksi" fld="15" baseField="0" baseItem="0" numFmtId="169"/>
  </dataFields>
  <formats count="1">
    <format dxfId="61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041BF9-BFA7-49ED-BA7D-B51CAF0BF3A1}" name="PivotTable4"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41:B146" firstHeaderRow="1" firstDataRow="1"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dataField="1"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axis="axisRow" showAll="0">
      <items count="5">
        <item x="0"/>
        <item x="3"/>
        <item x="1"/>
        <item x="2"/>
        <item t="default"/>
      </items>
    </pivotField>
    <pivotField numFmtId="2" showAll="0"/>
  </pivotFields>
  <rowFields count="1">
    <field x="42"/>
  </rowFields>
  <rowItems count="5">
    <i>
      <x/>
    </i>
    <i>
      <x v="1"/>
    </i>
    <i>
      <x v="2"/>
    </i>
    <i>
      <x v="3"/>
    </i>
    <i t="grand">
      <x/>
    </i>
  </rowItems>
  <colItems count="1">
    <i/>
  </colItems>
  <dataFields count="1">
    <dataField name="Count of Total Qty" fld="29" subtotal="count" baseField="4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639BA7-15A2-4869-9EC9-734A70C47569}" name="PivotTable44"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9:E135" firstHeaderRow="1" firstDataRow="2"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dataField="1" numFmtId="165" showAll="0"/>
    <pivotField numFmtId="165" showAll="0"/>
    <pivotField numFmtId="165" showAll="0"/>
    <pivotField showAll="0"/>
    <pivotField showAll="0"/>
    <pivotField axis="axisCol" showAll="0">
      <items count="5">
        <item m="1" x="3"/>
        <item x="0"/>
        <item x="1"/>
        <item x="2"/>
        <item t="default"/>
      </items>
    </pivotField>
    <pivotField axis="axisRow"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Fields count="1">
    <field x="37"/>
  </rowFields>
  <rowItems count="5">
    <i>
      <x/>
    </i>
    <i>
      <x v="1"/>
    </i>
    <i>
      <x v="2"/>
    </i>
    <i>
      <x v="3"/>
    </i>
    <i t="grand">
      <x/>
    </i>
  </rowItems>
  <colFields count="1">
    <field x="36"/>
  </colFields>
  <colItems count="4">
    <i>
      <x v="1"/>
    </i>
    <i>
      <x v="2"/>
    </i>
    <i>
      <x v="3"/>
    </i>
    <i t="grand">
      <x/>
    </i>
  </colItems>
  <dataFields count="1">
    <dataField name="Sum of Total Transaksi"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EF9127-0930-40E9-864B-2EE659F1E032}" name="PivotTable35"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8" rowHeaderCaption="Kota">
  <location ref="A13:B20" firstHeaderRow="1" firstDataRow="1"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dataField="1" numFmtId="165" showAll="0"/>
    <pivotField numFmtId="165" showAll="0"/>
    <pivotField numFmtId="165" showAll="0"/>
    <pivotField showAll="0"/>
    <pivotField showAll="0"/>
    <pivotField showAll="0"/>
    <pivotField showAll="0">
      <items count="5">
        <item x="0"/>
        <item x="3"/>
        <item x="2"/>
        <item x="1"/>
        <item t="default"/>
      </items>
    </pivotField>
    <pivotField axis="axisRow" showAll="0">
      <items count="7">
        <item x="2"/>
        <item x="0"/>
        <item x="4"/>
        <item x="3"/>
        <item x="1"/>
        <item x="5"/>
        <item t="default"/>
      </items>
    </pivotField>
    <pivotField numFmtId="14" showAll="0"/>
    <pivotField showAll="0"/>
    <pivotField showAll="0"/>
    <pivotField showAll="0">
      <items count="5">
        <item x="0"/>
        <item x="3"/>
        <item x="1"/>
        <item x="2"/>
        <item t="default"/>
      </items>
    </pivotField>
    <pivotField numFmtId="2" showAll="0"/>
  </pivotFields>
  <rowFields count="1">
    <field x="38"/>
  </rowFields>
  <rowItems count="7">
    <i>
      <x/>
    </i>
    <i>
      <x v="1"/>
    </i>
    <i>
      <x v="2"/>
    </i>
    <i>
      <x v="3"/>
    </i>
    <i>
      <x v="4"/>
    </i>
    <i>
      <x v="5"/>
    </i>
    <i t="grand">
      <x/>
    </i>
  </rowItems>
  <colItems count="1">
    <i/>
  </colItems>
  <dataFields count="1">
    <dataField name="Transaksi" fld="31" baseField="0" baseItem="0" numFmtId="170"/>
  </dataFields>
  <formats count="3">
    <format dxfId="616">
      <pivotArea outline="0" collapsedLevelsAreSubtotals="1" fieldPosition="0">
        <references count="1">
          <reference field="4294967294" count="1" selected="0">
            <x v="0"/>
          </reference>
        </references>
      </pivotArea>
    </format>
    <format dxfId="615">
      <pivotArea outline="0" collapsedLevelsAreSubtotals="1" fieldPosition="0"/>
    </format>
    <format dxfId="614">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814F87-0C76-443A-A5A7-2FF8AC6A022A}" name="PivotTable10"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37:M38" firstHeaderRow="1" firstDataRow="1" firstDataCol="0"/>
  <pivotFields count="19">
    <pivotField showAll="0">
      <items count="6">
        <item x="1"/>
        <item x="2"/>
        <item x="0"/>
        <item x="3"/>
        <item x="4"/>
        <item t="default"/>
      </items>
    </pivotField>
    <pivotField showAll="0"/>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numFmtId="1" showAll="0"/>
    <pivotField numFmtId="169" showAll="0"/>
    <pivotField numFmtId="169" showAll="0"/>
    <pivotField dataField="1" numFmtId="2" showAll="0"/>
    <pivotField numFmtId="169" showAll="0"/>
  </pivotFields>
  <rowItems count="1">
    <i/>
  </rowItems>
  <colItems count="1">
    <i/>
  </colItems>
  <dataFields count="1">
    <dataField name="Average of Rating" fld="17" subtotal="average" baseField="0" baseItem="0" numFmtId="2"/>
  </dataFields>
  <formats count="1">
    <format dxfId="6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27EE3E-E4F4-4683-83C5-EBBCE18C0B95}" name="PivotTable6"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138:C139" firstHeaderRow="0" firstDataRow="1" firstDataCol="0"/>
  <pivotFields count="44">
    <pivotField numFmtId="1" showAll="0"/>
    <pivotField showAll="0"/>
    <pivotField showAll="0"/>
    <pivotField showAll="0"/>
    <pivotField showAll="0"/>
    <pivotField dataField="1" showAll="0"/>
    <pivotField showAll="0"/>
    <pivotField numFmtId="167" showAll="0"/>
    <pivotField numFmtId="167" showAll="0"/>
    <pivotField numFmtId="167" showAll="0"/>
    <pivotField numFmtId="167" showAll="0"/>
    <pivotField showAll="0"/>
    <pivotField showAll="0"/>
    <pivotField showAll="0"/>
    <pivotField dataField="1" showAll="0"/>
    <pivotField showAll="0"/>
    <pivotField numFmtId="167" showAll="0"/>
    <pivotField numFmtId="167" showAll="0"/>
    <pivotField numFmtId="167" showAll="0"/>
    <pivotField numFmtId="167" showAll="0"/>
    <pivotField showAll="0"/>
    <pivotField showAll="0"/>
    <pivotField showAll="0"/>
    <pivotField dataField="1" showAll="0"/>
    <pivotField showAll="0"/>
    <pivotField numFmtId="167" showAll="0"/>
    <pivotField numFmtId="167" showAll="0"/>
    <pivotField numFmtId="167" showAll="0"/>
    <pivotField numFmtId="167" showAll="0"/>
    <pivotField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Items count="1">
    <i/>
  </rowItems>
  <colFields count="1">
    <field x="-2"/>
  </colFields>
  <colItems count="3">
    <i>
      <x/>
    </i>
    <i i="1">
      <x v="1"/>
    </i>
    <i i="2">
      <x v="2"/>
    </i>
  </colItems>
  <dataFields count="3">
    <dataField name="Count of Qty A" fld="5" subtotal="count" baseField="4" baseItem="0"/>
    <dataField name="Count of Qty B" fld="14" subtotal="count" baseField="4" baseItem="0"/>
    <dataField name="Count of Qty C" fld="23" subtotal="count" baseField="4" baseItem="0"/>
  </dataFields>
  <formats count="4">
    <format dxfId="621">
      <pivotArea outline="0" collapsedLevelsAreSubtotals="1" fieldPosition="0"/>
    </format>
    <format dxfId="620">
      <pivotArea outline="0" collapsedLevelsAreSubtotals="1" fieldPosition="0">
        <references count="1">
          <reference field="4294967294" count="1" selected="0">
            <x v="0"/>
          </reference>
        </references>
      </pivotArea>
    </format>
    <format dxfId="619">
      <pivotArea outline="0" collapsedLevelsAreSubtotals="1" fieldPosition="0">
        <references count="1">
          <reference field="4294967294" count="1" selected="0">
            <x v="1"/>
          </reference>
        </references>
      </pivotArea>
    </format>
    <format dxfId="61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4B568F-A906-4E86-8B02-D89EDE7D6D45}" name="PivotTable42"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4:B69" firstHeaderRow="1" firstDataRow="1"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dataField="1" numFmtId="165" showAll="0"/>
    <pivotField numFmtId="165" showAll="0"/>
    <pivotField numFmtId="165" showAll="0"/>
    <pivotField showAll="0"/>
    <pivotField showAll="0"/>
    <pivotField showAll="0"/>
    <pivotField axis="axisRow"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Fields count="1">
    <field x="37"/>
  </rowFields>
  <rowItems count="5">
    <i>
      <x/>
    </i>
    <i>
      <x v="1"/>
    </i>
    <i>
      <x v="2"/>
    </i>
    <i>
      <x v="3"/>
    </i>
    <i t="grand">
      <x/>
    </i>
  </rowItems>
  <colItems count="1">
    <i/>
  </colItems>
  <dataFields count="1">
    <dataField name="Sum of Total Transaksi"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0B90D1-E9D1-4536-8E03-7D268F74E8C1}" name="PivotTable9"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8" rowHeaderCaption="Kota">
  <location ref="D11:E15" firstHeaderRow="1" firstDataRow="1"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dataField="1"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axis="axisRow" showAll="0" measureFilter="1" sortType="descending">
      <items count="7">
        <item x="5"/>
        <item x="1"/>
        <item x="3"/>
        <item x="4"/>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items count="5">
        <item x="0"/>
        <item x="3"/>
        <item x="1"/>
        <item x="2"/>
        <item t="default"/>
      </items>
    </pivotField>
    <pivotField numFmtId="2" showAll="0"/>
  </pivotFields>
  <rowFields count="1">
    <field x="38"/>
  </rowFields>
  <rowItems count="4">
    <i>
      <x v="3"/>
    </i>
    <i>
      <x v="4"/>
    </i>
    <i>
      <x v="1"/>
    </i>
    <i t="grand">
      <x/>
    </i>
  </rowItems>
  <colItems count="1">
    <i/>
  </colItems>
  <dataFields count="1">
    <dataField name="Sum of Total Qty" fld="29" baseField="0" baseItem="0"/>
  </dataFields>
  <formats count="2">
    <format dxfId="623">
      <pivotArea outline="0" collapsedLevelsAreSubtotals="1" fieldPosition="0"/>
    </format>
    <format dxfId="622">
      <pivotArea dataOnly="0" labelOnly="1" outline="0" axis="axisValues" fieldPosition="0"/>
    </format>
  </formats>
  <pivotTableStyleInfo name="PivotStyleLight16" showRowHeaders="1" showColHeaders="1" showRowStripes="0" showColStripes="0" showLastColumn="1"/>
  <filters count="1">
    <filter fld="38"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9C2890F-9ABA-47FC-85A2-19B50B5F335B}" name="PivotTable36"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rowHeaderCaption="Tanggal">
  <location ref="A22:C53" firstHeaderRow="0" firstDataRow="1" firstDataCol="1"/>
  <pivotFields count="44">
    <pivotField dataField="1"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dataField="1" showAll="0"/>
    <pivotField numFmtId="167" showAll="0"/>
    <pivotField numFmtId="165" showAll="0"/>
    <pivotField numFmtId="165" showAll="0"/>
    <pivotField numFmtId="165" showAll="0"/>
    <pivotField showAll="0"/>
    <pivotField showAll="0"/>
    <pivotField showAll="0"/>
    <pivotField showAll="0">
      <items count="5">
        <item x="0"/>
        <item x="3"/>
        <item x="2"/>
        <item x="1"/>
        <item t="default"/>
      </items>
    </pivotField>
    <pivotField showAll="0"/>
    <pivotField numFmtId="14" showAll="0"/>
    <pivotField axis="axisRow" showAll="0">
      <items count="31">
        <item x="0"/>
        <item x="1"/>
        <item x="2"/>
        <item x="7"/>
        <item x="9"/>
        <item x="8"/>
        <item x="28"/>
        <item x="26"/>
        <item x="10"/>
        <item x="23"/>
        <item x="29"/>
        <item x="14"/>
        <item x="21"/>
        <item x="22"/>
        <item x="16"/>
        <item x="17"/>
        <item x="3"/>
        <item x="24"/>
        <item x="19"/>
        <item x="5"/>
        <item x="20"/>
        <item x="27"/>
        <item x="25"/>
        <item x="4"/>
        <item x="6"/>
        <item x="15"/>
        <item x="18"/>
        <item x="11"/>
        <item x="13"/>
        <item x="12"/>
        <item t="default"/>
      </items>
    </pivotField>
    <pivotField showAll="0"/>
    <pivotField showAll="0">
      <items count="5">
        <item x="0"/>
        <item x="3"/>
        <item x="1"/>
        <item x="2"/>
        <item t="default"/>
      </items>
    </pivotField>
    <pivotField numFmtId="2" showAll="0"/>
  </pivotFields>
  <rowFields count="1">
    <field x="4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Total Order" fld="0" subtotal="count" baseField="39" baseItem="0"/>
    <dataField name="Quantity" fld="29" baseField="0" baseItem="0"/>
  </dataFields>
  <formats count="1">
    <format dxfId="624">
      <pivotArea outline="0" collapsedLevelsAreSubtotals="1" fieldPosition="0"/>
    </format>
  </formats>
  <chartFormats count="10">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C78BF3-3F9E-4BE5-9D80-6E69A03A6709}" name="PivotTable7"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2" rowHeaderCaption="Jenis Promo">
  <location ref="A57:B61" firstHeaderRow="1" firstDataRow="1" firstDataCol="1"/>
  <pivotFields count="44">
    <pivotField numFmtId="1" showAll="0"/>
    <pivotField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dataField="1" numFmtId="165" showAll="0"/>
    <pivotField numFmtId="165" showAll="0"/>
    <pivotField numFmtId="165" showAll="0"/>
    <pivotField showAll="0"/>
    <pivotField showAll="0"/>
    <pivotField axis="axisRow" showAll="0">
      <items count="5">
        <item m="1" x="3"/>
        <item x="0"/>
        <item x="1"/>
        <item x="2"/>
        <item t="default"/>
      </items>
    </pivotField>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Fields count="1">
    <field x="36"/>
  </rowFields>
  <rowItems count="4">
    <i>
      <x v="1"/>
    </i>
    <i>
      <x v="2"/>
    </i>
    <i>
      <x v="3"/>
    </i>
    <i t="grand">
      <x/>
    </i>
  </rowItems>
  <colItems count="1">
    <i/>
  </colItems>
  <dataFields count="1">
    <dataField name="Transaksi" fld="31" baseField="0" baseItem="0" numFmtId="170"/>
  </dataFields>
  <formats count="2">
    <format dxfId="626">
      <pivotArea outline="0" collapsedLevelsAreSubtotals="1" fieldPosition="0">
        <references count="1">
          <reference field="4294967294" count="1" selected="0">
            <x v="0"/>
          </reference>
        </references>
      </pivotArea>
    </format>
    <format dxfId="625">
      <pivotArea outline="0" collapsedLevelsAreSubtotals="1" fieldPosition="0"/>
    </format>
  </formats>
  <chartFormats count="8">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36" count="1" selected="0">
            <x v="2"/>
          </reference>
        </references>
      </pivotArea>
    </chartFormat>
    <chartFormat chart="24" format="4">
      <pivotArea type="data" outline="0" fieldPosition="0">
        <references count="2">
          <reference field="4294967294" count="1" selected="0">
            <x v="0"/>
          </reference>
          <reference field="36" count="1" selected="0">
            <x v="1"/>
          </reference>
        </references>
      </pivotArea>
    </chartFormat>
    <chartFormat chart="24" format="5">
      <pivotArea type="data" outline="0" fieldPosition="0">
        <references count="2">
          <reference field="4294967294" count="1" selected="0">
            <x v="0"/>
          </reference>
          <reference field="36" count="1" selected="0">
            <x v="0"/>
          </reference>
        </references>
      </pivotArea>
    </chartFormat>
    <chartFormat chart="24" format="6">
      <pivotArea type="data" outline="0" fieldPosition="0">
        <references count="2">
          <reference field="4294967294" count="1" selected="0">
            <x v="0"/>
          </reference>
          <reference field="3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A1F8C12-9B1C-4B16-87D6-00BE305125D6}" name="PivotTable34"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7:B11" firstHeaderRow="1" firstDataRow="1" firstDataCol="1"/>
  <pivotFields count="44">
    <pivotField numFmtId="1" showAll="0"/>
    <pivotField dataField="1"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showAll="0"/>
    <pivotField showAll="0"/>
    <pivotField showAll="0"/>
    <pivotField showAll="0"/>
    <pivotField numFmtId="167" showAll="0"/>
    <pivotField numFmtId="167" showAll="0"/>
    <pivotField numFmtId="167" showAll="0"/>
    <pivotField numFmtId="167" showAll="0"/>
    <pivotField showAll="0"/>
    <pivotField numFmtId="167" showAll="0"/>
    <pivotField numFmtId="165" showAll="0"/>
    <pivotField numFmtId="165" showAll="0"/>
    <pivotField numFmtId="165" showAll="0"/>
    <pivotField showAll="0"/>
    <pivotField showAll="0"/>
    <pivotField axis="axisRow" showAll="0">
      <items count="5">
        <item m="1" x="3"/>
        <item x="0"/>
        <item x="1"/>
        <item x="2"/>
        <item t="default"/>
      </items>
    </pivotField>
    <pivotField showAll="0">
      <items count="5">
        <item x="0"/>
        <item x="3"/>
        <item x="2"/>
        <item x="1"/>
        <item t="default"/>
      </items>
    </pivotField>
    <pivotField showAll="0"/>
    <pivotField numFmtId="14" showAll="0"/>
    <pivotField showAll="0"/>
    <pivotField showAll="0"/>
    <pivotField showAll="0">
      <items count="5">
        <item x="0"/>
        <item x="3"/>
        <item x="1"/>
        <item x="2"/>
        <item t="default"/>
      </items>
    </pivotField>
    <pivotField numFmtId="2" showAll="0"/>
  </pivotFields>
  <rowFields count="1">
    <field x="36"/>
  </rowFields>
  <rowItems count="4">
    <i>
      <x v="1"/>
    </i>
    <i>
      <x v="2"/>
    </i>
    <i>
      <x v="3"/>
    </i>
    <i t="grand">
      <x/>
    </i>
  </rowItems>
  <colItems count="1">
    <i/>
  </colItems>
  <dataFields count="1">
    <dataField name="Count of OrderID" fld="1" subtotal="count" baseField="0" baseItem="0"/>
  </dataFields>
  <formats count="1">
    <format dxfId="627">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6" count="1" selected="0">
            <x v="0"/>
          </reference>
        </references>
      </pivotArea>
    </chartFormat>
    <chartFormat chart="4" format="7">
      <pivotArea type="data" outline="0" fieldPosition="0">
        <references count="2">
          <reference field="4294967294" count="1" selected="0">
            <x v="0"/>
          </reference>
          <reference field="36" count="1" selected="0">
            <x v="1"/>
          </reference>
        </references>
      </pivotArea>
    </chartFormat>
    <chartFormat chart="4" format="8">
      <pivotArea type="data" outline="0" fieldPosition="0">
        <references count="2">
          <reference field="4294967294" count="1" selected="0">
            <x v="0"/>
          </reference>
          <reference field="36" count="1" selected="0">
            <x v="2"/>
          </reference>
        </references>
      </pivotArea>
    </chartFormat>
    <chartFormat chart="1" format="1">
      <pivotArea type="data" outline="0" fieldPosition="0">
        <references count="2">
          <reference field="4294967294" count="1" selected="0">
            <x v="0"/>
          </reference>
          <reference field="36" count="1" selected="0">
            <x v="0"/>
          </reference>
        </references>
      </pivotArea>
    </chartFormat>
    <chartFormat chart="1" format="2">
      <pivotArea type="data" outline="0" fieldPosition="0">
        <references count="2">
          <reference field="4294967294" count="1" selected="0">
            <x v="0"/>
          </reference>
          <reference field="36" count="1" selected="0">
            <x v="1"/>
          </reference>
        </references>
      </pivotArea>
    </chartFormat>
    <chartFormat chart="1" format="3">
      <pivotArea type="data" outline="0" fieldPosition="0">
        <references count="2">
          <reference field="4294967294" count="1" selected="0">
            <x v="0"/>
          </reference>
          <reference field="36" count="1" selected="0">
            <x v="2"/>
          </reference>
        </references>
      </pivotArea>
    </chartFormat>
    <chartFormat chart="4" format="9">
      <pivotArea type="data" outline="0" fieldPosition="0">
        <references count="2">
          <reference field="4294967294" count="1" selected="0">
            <x v="0"/>
          </reference>
          <reference field="3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B491681-0212-4B27-8C88-F25E3C962206}" name="PivotTable11"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N29:N35" firstHeaderRow="1" firstDataRow="1" firstDataCol="1"/>
  <pivotFields count="19">
    <pivotField axis="axisRow" showAll="0">
      <items count="6">
        <item x="1"/>
        <item x="2"/>
        <item x="0"/>
        <item x="3"/>
        <item x="4"/>
        <item t="default"/>
      </items>
    </pivotField>
    <pivotField showAll="0"/>
    <pivotField showAll="0"/>
    <pivotField numFmtId="169" showAll="0"/>
    <pivotField numFmtId="169" showAll="0"/>
    <pivotField numFmtId="2" showAll="0"/>
    <pivotField showAll="0"/>
    <pivotField numFmtId="169" showAll="0"/>
    <pivotField numFmtId="169" showAll="0"/>
    <pivotField numFmtId="2" showAll="0"/>
    <pivotField showAll="0"/>
    <pivotField numFmtId="169" showAll="0"/>
    <pivotField numFmtId="169" showAll="0"/>
    <pivotField numFmtId="2" showAll="0"/>
    <pivotField numFmtId="1" showAll="0"/>
    <pivotField numFmtId="169" showAll="0"/>
    <pivotField numFmtId="169" showAll="0"/>
    <pivotField numFmtId="2" showAll="0"/>
    <pivotField numFmtId="169" showAll="0"/>
  </pivotFields>
  <rowFields count="1">
    <field x="0"/>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6C7C02-F064-4CAE-B256-89D1A46DD229}" name="PivotTable5"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B87" firstHeaderRow="1" firstDataRow="1" firstDataCol="1"/>
  <pivotFields count="36">
    <pivotField numFmtId="1" showAll="0"/>
    <pivotField showAll="0"/>
    <pivotField showAll="0"/>
    <pivotField showAll="0"/>
    <pivotField axis="axisRow" showAll="0">
      <items count="11">
        <item x="1"/>
        <item x="4"/>
        <item x="0"/>
        <item x="9"/>
        <item x="6"/>
        <item x="5"/>
        <item x="2"/>
        <item x="3"/>
        <item x="8"/>
        <item x="7"/>
        <item t="default"/>
      </items>
    </pivotField>
    <pivotField showAll="0"/>
    <pivotField showAll="0"/>
    <pivotField numFmtId="167" showAll="0"/>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7" showAll="0"/>
    <pivotField dataField="1" numFmtId="165" showAll="0"/>
    <pivotField numFmtId="165" showAll="0"/>
    <pivotField numFmtId="165" showAll="0"/>
    <pivotField showAll="0"/>
    <pivotField showAll="0"/>
    <pivotField showAll="0"/>
    <pivotField showAll="0"/>
    <pivotField axis="axisRow" showAll="0">
      <items count="7">
        <item x="2"/>
        <item x="0"/>
        <item x="4"/>
        <item x="3"/>
        <item x="1"/>
        <item x="5"/>
        <item t="default"/>
      </items>
    </pivotField>
    <pivotField numFmtId="14" showAll="0"/>
    <pivotField showAll="0"/>
    <pivotField showAll="0"/>
  </pivotFields>
  <rowFields count="2">
    <field x="4"/>
    <field x="32"/>
  </rowFields>
  <rowItems count="71">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x v="6"/>
    </i>
    <i r="1">
      <x/>
    </i>
    <i r="1">
      <x v="1"/>
    </i>
    <i r="1">
      <x v="2"/>
    </i>
    <i r="1">
      <x v="3"/>
    </i>
    <i r="1">
      <x v="4"/>
    </i>
    <i r="1">
      <x v="5"/>
    </i>
    <i>
      <x v="7"/>
    </i>
    <i r="1">
      <x/>
    </i>
    <i r="1">
      <x v="1"/>
    </i>
    <i r="1">
      <x v="2"/>
    </i>
    <i r="1">
      <x v="3"/>
    </i>
    <i r="1">
      <x v="4"/>
    </i>
    <i r="1">
      <x v="5"/>
    </i>
    <i>
      <x v="8"/>
    </i>
    <i r="1">
      <x/>
    </i>
    <i r="1">
      <x v="1"/>
    </i>
    <i r="1">
      <x v="2"/>
    </i>
    <i r="1">
      <x v="3"/>
    </i>
    <i r="1">
      <x v="4"/>
    </i>
    <i r="1">
      <x v="5"/>
    </i>
    <i>
      <x v="9"/>
    </i>
    <i r="1">
      <x/>
    </i>
    <i r="1">
      <x v="1"/>
    </i>
    <i r="1">
      <x v="2"/>
    </i>
    <i r="1">
      <x v="3"/>
    </i>
    <i r="1">
      <x v="4"/>
    </i>
    <i r="1">
      <x v="5"/>
    </i>
    <i t="grand">
      <x/>
    </i>
  </rowItems>
  <colItems count="1">
    <i/>
  </colItems>
  <dataFields count="1">
    <dataField name="Sum of Total Transaksi"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027EB87-2C04-49B7-BE96-DBE773E09ABC}" name="PivotTable4" cacheId="3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9">
    <pivotField showAll="0"/>
    <pivotField axis="axisRow" showAll="0">
      <items count="11">
        <item x="1"/>
        <item x="4"/>
        <item x="0"/>
        <item x="9"/>
        <item x="6"/>
        <item x="5"/>
        <item x="2"/>
        <item x="3"/>
        <item x="8"/>
        <item x="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Q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place1" xr10:uid="{1D00CB6D-E1AC-41EF-B61F-2CE59FF840B3}" sourceName="Marketplace">
  <pivotTables>
    <pivotTable tabId="23" name="PivotTable35"/>
    <pivotTable tabId="23" name="PivotTable34"/>
    <pivotTable tabId="23" name="PivotTable36"/>
    <pivotTable tabId="23" name="PivotTable31"/>
    <pivotTable tabId="23" name="PivotTable32"/>
    <pivotTable tabId="23" name="PivotTable33"/>
    <pivotTable tabId="23" name="PivotTable22"/>
    <pivotTable tabId="23" name="PivotTable5"/>
    <pivotTable tabId="23" name="PivotTable6"/>
    <pivotTable tabId="23" name="PivotTable4"/>
    <pivotTable tabId="23" name="PivotTable3"/>
    <pivotTable tabId="23" name="PivotTable7"/>
    <pivotTable tabId="23" name="PivotTable9"/>
  </pivotTables>
  <data>
    <tabular pivotCacheId="1342264737">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A5797F41-D66F-4447-9663-ED6DC0C511F6}" sourceName="kategori">
  <pivotTables>
    <pivotTable tabId="23" name="PivotTable1"/>
    <pivotTable tabId="23" name="PivotTable2"/>
    <pivotTable tabId="23" name="PivotTable37"/>
    <pivotTable tabId="23" name="PivotTable10"/>
    <pivotTable tabId="23" name="PivotTable11"/>
  </pivotTables>
  <data>
    <tabular pivotCacheId="1382319230">
      <items count="5">
        <i x="1" s="1"/>
        <i x="2"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ggu_Terjual" xr10:uid="{044BBD8E-8441-4980-9F2F-532EC9A5F9C5}" sourceName="Minggu Terjual">
  <pivotTables>
    <pivotTable tabId="23" name="PivotTable34"/>
    <pivotTable tabId="23" name="PivotTable22"/>
    <pivotTable tabId="23" name="PivotTable3"/>
    <pivotTable tabId="23" name="PivotTable31"/>
    <pivotTable tabId="23" name="PivotTable32"/>
    <pivotTable tabId="23" name="PivotTable35"/>
    <pivotTable tabId="23" name="PivotTable36"/>
    <pivotTable tabId="23" name="PivotTable4"/>
    <pivotTable tabId="23" name="PivotTable42"/>
    <pivotTable tabId="23" name="PivotTable44"/>
    <pivotTable tabId="23" name="PivotTable5"/>
    <pivotTable tabId="23" name="PivotTable6"/>
    <pivotTable tabId="23" name="PivotTable7"/>
    <pivotTable tabId="23" name="PivotTable9"/>
  </pivotTables>
  <data>
    <tabular pivotCacheId="1342264737">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place 1" xr10:uid="{6B093338-36F3-49EA-A390-3B1B55B0065F}" cache="Slicer_Marketplace1" caption="Marketplace" startItem="1" rowHeight="220133"/>
  <slicer name="kategori" xr10:uid="{D13B5F2A-F73C-4F0E-B50C-317AF89D5770}" cache="Slicer_kategori" caption="kategori" startItem="1" rowHeight="220133"/>
  <slicer name="Minggu Terjual" xr10:uid="{01EB3B51-E12F-4422-B8C7-10A65242523A}" cache="Slicer_Minggu_Terjual" caption="Minggu Terjual"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place 2" xr10:uid="{86C842EA-4932-4063-8574-E4126285EFAE}" cache="Slicer_Marketplace1" caption="Marketplace" columnCount="2" style="Slicer Style 1" rowHeight="432000"/>
  <slicer name="kategori 1" xr10:uid="{A30887B8-3FE3-42D5-8C58-5542818ACD86}" cache="Slicer_kategori" caption="kategori" columnCount="5" style="Slicer Style 1" rowHeight="612000"/>
  <slicer name="Minggu Terjual 1" xr10:uid="{C4735A3B-1FF9-4061-AA86-A754CBB9785C}" cache="Slicer_Minggu_Terjual" caption="Minggu Terjual" columnCount="2" style="Slicer Style 1"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B3CAD5-08B7-45F3-A5D7-2CF5C56D939A}" name="cadangan" displayName="cadangan" ref="A1:AR1001" totalsRowShown="0" headerRowDxfId="590" dataDxfId="589" tableBorderDxfId="588">
  <autoFilter ref="A1:AR1001" xr:uid="{A3B3CAD5-08B7-45F3-A5D7-2CF5C56D939A}"/>
  <tableColumns count="44">
    <tableColumn id="1" xr3:uid="{68E20104-5B71-4337-9FBB-E994869C05A3}" name="No" dataDxfId="587"/>
    <tableColumn id="2" xr3:uid="{01A068E7-A7C6-41AD-96DF-80F663903327}" name="OrderID" dataDxfId="586">
      <calculatedColumnFormula>_xlfn.CONCAT("ORD-",INDEX(Helper!$B$2:$B$5,MATCH(cadangan[[#This Row],[Marketplace]],Helper!$A$2:$A$5,0)),TEXT(cadangan[[#This Row],[No]],"0000"),"-",TEXT(cadangan[[#This Row],[Tanggal terjual]],"dd/mm/yy"))</calculatedColumnFormula>
    </tableColumn>
    <tableColumn id="4" xr3:uid="{8939063A-B593-4749-958D-BEE24E5B9B29}" name="ItemID A" dataDxfId="585"/>
    <tableColumn id="25" xr3:uid="{F100ABE5-67E1-485E-AED6-799BF107F2C0}" name="Kategori A" dataDxfId="584">
      <calculatedColumnFormula>IFERROR(INDEX(Katalog!$A$3:$A$12,MATCH(cadangan[[#This Row],[ItemID A]],Katalog!$C$3:$C$12,0)),"-")</calculatedColumnFormula>
    </tableColumn>
    <tableColumn id="26" xr3:uid="{36EFD2CA-3562-4E72-AA8A-3A714AB1E596}" name="Item A" dataDxfId="583">
      <calculatedColumnFormula>IFERROR(INDEX(Katalog!$B$3:$B$12,MATCH(cadangan[[#This Row],[ItemID A]],Katalog!$C$3:$C$12,0)),"-")</calculatedColumnFormula>
    </tableColumn>
    <tableColumn id="5" xr3:uid="{886DEECD-5F78-4365-921F-769CB038BF1D}" name="Qty A" dataDxfId="582"/>
    <tableColumn id="6" xr3:uid="{CEAFEFB5-EBD6-43EA-A5BF-05261E7A587A}" name="Rating A" dataDxfId="581"/>
    <tableColumn id="7" xr3:uid="{1435A8B6-1E2B-477D-83C5-383E54BEED67}" name="Harga Normal A" dataDxfId="443">
      <calculatedColumnFormula>IFERROR(INDEX(Katalog!$D$3:$D$12,MATCH(cadangan[[#This Row],[ItemID A]],Katalog!$C$3:$C$12,0))*cadangan[[#This Row],[Qty A]],0)</calculatedColumnFormula>
    </tableColumn>
    <tableColumn id="35" xr3:uid="{963E7B64-80C7-47F7-AD6E-3B4791DCF12C}" name="Harga Diskon A" dataDxfId="442">
      <calculatedColumnFormula>IFERROR(cadangan[[#This Row],[Harga Normal A]]-(cadangan[[#This Row],[Harga Normal A]]*cadangan[[#This Row],[Diskon]]),cadangan[[#This Row],[Harga Normal A]])</calculatedColumnFormula>
    </tableColumn>
    <tableColumn id="36" xr3:uid="{CA5BCFC9-2CCE-42EF-B93B-D5790C94F22A}" name="Profit Normal A" dataDxfId="441">
      <calculatedColumnFormula>INDEX(Katalog!$F$3:$F$12,MATCH(cadangan[[#This Row],[ItemID A]],Katalog!$C$3:$C$12,0))*cadangan[[#This Row],[Qty A]]</calculatedColumnFormula>
    </tableColumn>
    <tableColumn id="3" xr3:uid="{B7457C88-0544-4B40-8F4D-47407076B974}" name="Profit Diskon A" dataDxfId="440">
      <calculatedColumnFormula>IFERROR(cadangan[[#This Row],[Harga Diskon A]]-INDEX(Katalog!$E$3:$E$12,MATCH(cadangan[[#This Row],[ItemID A]],Katalog!$C$3:$C$12,0))*cadangan[[#This Row],[Qty A]],0)</calculatedColumnFormula>
    </tableColumn>
    <tableColumn id="8" xr3:uid="{8A922888-3B03-4E89-99F5-551AFD255CCC}" name="ItemID B" dataDxfId="580"/>
    <tableColumn id="28" xr3:uid="{DE8D799D-3B09-45D8-9080-D63BC91B80BC}" name="Kategori B" dataDxfId="579">
      <calculatedColumnFormula>IFERROR(INDEX(Katalog!$A$3:$A$12,MATCH(cadangan[[#This Row],[ItemID B]],Katalog!$C$3:$C$12,0)),"-")</calculatedColumnFormula>
    </tableColumn>
    <tableColumn id="27" xr3:uid="{797B3161-2134-445F-9D6C-CDDC1687238D}" name="Item B" dataDxfId="578">
      <calculatedColumnFormula>IFERROR(INDEX(Katalog!$B$3:$B$12,MATCH(cadangan[[#This Row],[ItemID B]],Katalog!$C$3:$C$12,0)),"-")</calculatedColumnFormula>
    </tableColumn>
    <tableColumn id="9" xr3:uid="{7C864C0A-504B-4E15-B1E7-E92B612250DD}" name="Qty B" dataDxfId="577"/>
    <tableColumn id="10" xr3:uid="{BD46AC49-27C3-4364-B44E-A2EA3D53EBF4}" name="Rating B" dataDxfId="576"/>
    <tableColumn id="11" xr3:uid="{B67A1362-7CB9-4609-B0BF-E9BD956BC2C5}" name="Harga Normal B" dataDxfId="439">
      <calculatedColumnFormula>IFERROR(INDEX(Katalog!$D$3:$D$12,MATCH(cadangan[[#This Row],[ItemID B]],Katalog!$C$3:$C$12,0))*cadangan[[#This Row],[Qty B]],0)</calculatedColumnFormula>
    </tableColumn>
    <tableColumn id="41" xr3:uid="{281F2A29-E58F-4CC1-BF64-E3A533CF53E3}" name="Harga Diskon B" dataDxfId="438">
      <calculatedColumnFormula>IFERROR(cadangan[[#This Row],[Harga Normal B]]-(cadangan[[#This Row],[Harga Normal B]]*cadangan[[#This Row],[Diskon]]),cadangan[[#This Row],[Harga Normal B]])</calculatedColumnFormula>
    </tableColumn>
    <tableColumn id="37" xr3:uid="{03A2B578-25EC-40A5-9627-A5023D0854D9}" name="Profit Normal B" dataDxfId="437">
      <calculatedColumnFormula>IFERROR(INDEX(Katalog!$F$3:$F$12,MATCH(cadangan[[#This Row],[ItemID B]],Katalog!$C$3:$C$12,0))*cadangan[[#This Row],[Qty B]],0)</calculatedColumnFormula>
    </tableColumn>
    <tableColumn id="24" xr3:uid="{FD31AFA0-BB09-4F94-9CA9-BB1EE9CC3D98}" name="Profit Diskon B" dataDxfId="436">
      <calculatedColumnFormula>IFERROR(cadangan[[#This Row],[Harga Diskon B]]-INDEX(Katalog!$E$3:$E$12,MATCH(cadangan[[#This Row],[ItemID B]],Katalog!$C$3:$C$12,0))*cadangan[[#This Row],[Qty B]],0)</calculatedColumnFormula>
    </tableColumn>
    <tableColumn id="12" xr3:uid="{4CE4B574-7D9D-4C9C-A9CC-F21295FD5D49}" name="ItemID C" dataDxfId="575"/>
    <tableColumn id="30" xr3:uid="{7FAE0866-1D18-42B3-B77D-C59235D05A77}" name="Kategori C" dataDxfId="574">
      <calculatedColumnFormula>IFERROR(INDEX(Katalog!$A$3:$A$12,MATCH(cadangan[[#This Row],[ItemID C]],Katalog!$C$3:$C$12,0)),"-")</calculatedColumnFormula>
    </tableColumn>
    <tableColumn id="29" xr3:uid="{08383BE4-BF98-449B-B091-D3DF0DA3A34E}" name="Item C" dataDxfId="573">
      <calculatedColumnFormula>IFERROR(INDEX(Katalog!$B$3:$B$12,MATCH(cadangan[[#This Row],[ItemID C]],Katalog!$C$3:$C$12,0)),"-")</calculatedColumnFormula>
    </tableColumn>
    <tableColumn id="13" xr3:uid="{E7AB0F2B-0A96-42B1-AB8B-BF8A18827E88}" name="Qty C" dataDxfId="572"/>
    <tableColumn id="14" xr3:uid="{824A64E6-06F8-4214-B68A-1C6A594CB5B7}" name="Rating C" dataDxfId="571"/>
    <tableColumn id="15" xr3:uid="{E83DD514-056F-436B-8D44-3D28E88BB8F4}" name="Harga Normal C" dataDxfId="444">
      <calculatedColumnFormula>IFERROR(INDEX(Katalog!$D$3:$D$12,MATCH(cadangan[[#This Row],[ItemID C]],Katalog!$C$3:$C$12,0))*cadangan[[#This Row],[Qty C]],0)</calculatedColumnFormula>
    </tableColumn>
    <tableColumn id="42" xr3:uid="{F97BE9BE-A814-4AC9-8AC1-ED3FEA4F927B}" name="Harga Diskon C" dataDxfId="435">
      <calculatedColumnFormula>IFERROR(cadangan[[#This Row],[Harga Normal C]]-(cadangan[[#This Row],[Harga Normal C]]*cadangan[[#This Row],[Diskon]]),cadangan[[#This Row],[Harga Normal C]])</calculatedColumnFormula>
    </tableColumn>
    <tableColumn id="38" xr3:uid="{CFFD5C98-F2E8-44C8-8E4C-C3DF2867886C}" name="Profit Normal C" dataDxfId="434">
      <calculatedColumnFormula>IFERROR(INDEX(Katalog!$F$3:$F$12,MATCH(cadangan[[#This Row],[ItemID C]],Katalog!$C$3:$C$12,0))*cadangan[[#This Row],[Qty C]],0)</calculatedColumnFormula>
    </tableColumn>
    <tableColumn id="31" xr3:uid="{8C0773C5-A2F0-4F96-A59F-F46DBB72DB43}" name="Profit Diskon C" dataDxfId="433">
      <calculatedColumnFormula>IFERROR(cadangan[[#This Row],[Harga Diskon C]]-INDEX(Katalog!$E$3:$E$12,MATCH(cadangan[[#This Row],[ItemID C]],Katalog!$C$3:$C$12,0))*cadangan[[#This Row],[Qty C]],0)</calculatedColumnFormula>
    </tableColumn>
    <tableColumn id="16" xr3:uid="{35668821-75CD-4612-B329-26E04FD7BD45}" name="Total Qty" dataDxfId="570">
      <calculatedColumnFormula>cadangan[[#This Row],[Qty A]]+cadangan[[#This Row],[Qty B]]+cadangan[[#This Row],[Qty C]]</calculatedColumnFormula>
    </tableColumn>
    <tableColumn id="34" xr3:uid="{6F0B6A37-C3DB-43E9-A79D-F5351FC559BE}" name="Total Harga Normal" dataDxfId="432">
      <calculatedColumnFormula>cadangan[[#This Row],[Harga Normal A]]+cadangan[[#This Row],[Harga Normal B]]+cadangan[[#This Row],[Harga Normal C]]</calculatedColumnFormula>
    </tableColumn>
    <tableColumn id="17" xr3:uid="{80C1D0DF-3064-41D4-ACBC-3CAF484E0A95}" name="Total Transaksi" dataDxfId="431">
      <calculatedColumnFormula>cadangan[[#This Row],[Harga Diskon A]]+cadangan[[#This Row],[Harga Diskon B]]+cadangan[[#This Row],[Harga Diskon C]]</calculatedColumnFormula>
    </tableColumn>
    <tableColumn id="39" xr3:uid="{EE340900-E06C-48B0-A8DA-D1445B738968}" name="Total Profit Normal" dataDxfId="430">
      <calculatedColumnFormula>(cadangan[[#This Row],[Profit Normal A]]+cadangan[[#This Row],[Profit Normal B]]+cadangan[[#This Row],[Profit Normal C]])</calculatedColumnFormula>
    </tableColumn>
    <tableColumn id="33" xr3:uid="{6F697295-86F2-49F8-AFEA-FAE2D76011AA}" name="Total Profit Diskon" dataDxfId="429">
      <calculatedColumnFormula>cadangan[[#This Row],[Profit Diskon A]]+cadangan[[#This Row],[Profit Diskon B]]+cadangan[[#This Row],[Profit Diskon C]]</calculatedColumnFormula>
    </tableColumn>
    <tableColumn id="18" xr3:uid="{4FCF6E33-2802-48AD-A88C-93FFE9F1496F}" name="Kode diskon" dataDxfId="569"/>
    <tableColumn id="19" xr3:uid="{C05EE5CA-A777-4B25-8AE5-30EB36D9F030}" name="Diskon" dataDxfId="568" dataCellStyle="Percent">
      <calculatedColumnFormula>IFERROR(INDEX('Kode Diskon'!$D$3:$D$9,MATCH(cadangan[[#This Row],[Kode diskon]],'Kode Diskon'!$C$3:$C$9,0)),"-")</calculatedColumnFormula>
    </tableColumn>
    <tableColumn id="20" xr3:uid="{55F3737C-A2A2-4032-9C0B-F85C3EB74A70}" name="Jenis promo" dataDxfId="567"/>
    <tableColumn id="21" xr3:uid="{798E78A7-9F89-47D3-8A01-83C91F72439C}" name="Marketplace" dataDxfId="566"/>
    <tableColumn id="22" xr3:uid="{9D8D57B0-4DEC-4358-B822-342DC156AA0D}" name="Lokasi pembeli" dataDxfId="565"/>
    <tableColumn id="23" xr3:uid="{02823BEE-1B64-4D39-A0F5-224B26AB8537}" name="Tanggal terjual" dataDxfId="564"/>
    <tableColumn id="43" xr3:uid="{0B31A2CB-3D40-4066-AAD9-69313854F8ED}" name="Tanggal Terjual2" dataDxfId="563">
      <calculatedColumnFormula>DAY(cadangan[[#This Row],[Tanggal terjual]])</calculatedColumnFormula>
    </tableColumn>
    <tableColumn id="40" xr3:uid="{93897A34-0EA9-4068-81C9-F0D68D7A3D4A}" name="Hari terjual" dataDxfId="562">
      <calculatedColumnFormula>TEXT(cadangan[[#This Row],[Tanggal terjual]],"dddd")</calculatedColumnFormula>
    </tableColumn>
    <tableColumn id="32" xr3:uid="{436EEC89-7223-428B-8236-0DF9C5361085}" name="Minggu Terjual" dataDxfId="561">
      <calculatedColumnFormula array="1">_xlfn.IFS(cadangan[[#This Row],[Tanggal Terjual2]]&lt;8,"Minggu ke-1",AND(cadangan[[#This Row],[Tanggal Terjual2]]&gt;=8,cadangan[[#This Row],[Tanggal Terjual2]]&lt;15),"Minggu ke-2",AND(cadangan[[#This Row],[Tanggal Terjual2]]&gt;=15,cadangan[[#This Row],[Tanggal Terjual2]]&lt;22),"Minggu ke-3",cadangan[[#This Row],[Tanggal Terjual2]]&gt;=22,"Minggu ke-4")</calculatedColumnFormula>
    </tableColumn>
    <tableColumn id="44" xr3:uid="{AAE5521B-02D7-4745-93E4-9840AB7E09B7}" name="Rating" dataDxfId="560">
      <calculatedColumnFormula>AVERAGE(cadangan[[#This Row],[Rating A]],cadangan[[#This Row],[Rating B]],cadangan[[#This Row],[Rating C]])</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5CDEA6-7F9F-4971-8F1E-2B4B3E09E315}" name="Data" displayName="Data" ref="A1:AJ1001" totalsRowShown="0" headerRowDxfId="559" dataDxfId="558" tableBorderDxfId="557">
  <autoFilter ref="A1:AJ1001" xr:uid="{C05CDEA6-7F9F-4971-8F1E-2B4B3E09E315}"/>
  <tableColumns count="36">
    <tableColumn id="1" xr3:uid="{3E883D55-3286-411D-BF13-5D16EAF772B1}" name="No" dataDxfId="556"/>
    <tableColumn id="2" xr3:uid="{D385AD81-6819-4962-B13A-67DC6D4BFC37}" name="OrderID" dataDxfId="555">
      <calculatedColumnFormula>_xlfn.CONCAT("ORD-",INDEX(Helper!$B$2:$B$5,MATCH(Data[[#This Row],[Marketplace]],Helper!$A$2:$A$5,0)),TEXT(Data[[#This Row],[No]],"0000"),"-",TEXT(Data[[#This Row],[Tanggal terjual]],"dd/mm/yy"))</calculatedColumnFormula>
    </tableColumn>
    <tableColumn id="4" xr3:uid="{26B6DF49-17B0-4F72-8E41-064BD8C97AF8}" name="ItemID A" dataDxfId="554"/>
    <tableColumn id="25" xr3:uid="{A087102C-8507-4F9E-8C10-201912118EF1}" name="Kategori A" dataDxfId="553">
      <calculatedColumnFormula>IFERROR(INDEX(Katalog!$A$3:$A$12,MATCH(Data[[#This Row],[ItemID A]],Katalog!$C$3:$C$12,0)),"-")</calculatedColumnFormula>
    </tableColumn>
    <tableColumn id="26" xr3:uid="{0EDB3A4C-8D2E-46E3-A522-4A7B9C45C2F0}" name="Item A" dataDxfId="552">
      <calculatedColumnFormula>IFERROR(INDEX(Katalog!$B$3:$B$12,MATCH(Data[[#This Row],[ItemID A]],Katalog!$C$3:$C$12,0)),"-")</calculatedColumnFormula>
    </tableColumn>
    <tableColumn id="5" xr3:uid="{A1E19D19-6D51-4917-A4FC-2A97E3FC3C1A}" name="Qty A" dataDxfId="551"/>
    <tableColumn id="6" xr3:uid="{F432571D-C692-4596-99AC-3390D52CE15E}" name="Rating A" dataDxfId="550"/>
    <tableColumn id="7" xr3:uid="{EAE9A60F-BDCE-4C8E-8B8E-62F247126E5A}" name="Harga Barang A" dataDxfId="549">
      <calculatedColumnFormula>IFERROR(INDEX(Katalog!$D$3:$D$12,MATCH(Data[[#This Row],[ItemID A]],Katalog!$C$3:$C$12,0))*Data[[#This Row],[Qty A]],"0")</calculatedColumnFormula>
    </tableColumn>
    <tableColumn id="36" xr3:uid="{762B9128-A032-4A4D-BA20-8DF65DAD5C38}" name="Profit A" dataDxfId="548">
      <calculatedColumnFormula>IFERROR(INDEX(Katalog!$F$3:$F$12,MATCH(Data[[#This Row],[ItemID A]],Katalog!$C$3:$C$12,0))*Data[[#This Row],[Qty A]],0)</calculatedColumnFormula>
    </tableColumn>
    <tableColumn id="8" xr3:uid="{78DD4BB4-B17B-4EA6-87F2-CF3AB902FEAA}" name="ItemID B" dataDxfId="547"/>
    <tableColumn id="28" xr3:uid="{F27ECC7D-46B2-4E29-A7E9-3F4E781E93C2}" name="Kategori B" dataDxfId="546">
      <calculatedColumnFormula>IFERROR(INDEX(Katalog!$A$3:$A$12,MATCH(Data[[#This Row],[ItemID B]],Katalog!$C$3:$C$12,0)),"-")</calculatedColumnFormula>
    </tableColumn>
    <tableColumn id="27" xr3:uid="{AB9E8C5D-2C8E-42D2-B884-9012B9EAA1CF}" name="Item B" dataDxfId="545">
      <calculatedColumnFormula>IFERROR(INDEX(Katalog!$B$3:$B$12,MATCH(Data[[#This Row],[ItemID B]],Katalog!$C$3:$C$12,0)),"-")</calculatedColumnFormula>
    </tableColumn>
    <tableColumn id="9" xr3:uid="{9412D2A9-16A1-4B10-8153-794585793A86}" name="Qty B" dataDxfId="544"/>
    <tableColumn id="10" xr3:uid="{F843D469-5D41-4FBC-8546-B073E2DE34D3}" name="Rating B" dataDxfId="543"/>
    <tableColumn id="11" xr3:uid="{FDD08878-DB1B-4748-B826-002EDD99037A}" name="Harga Barang B" dataDxfId="542">
      <calculatedColumnFormula>IFERROR(INDEX(Katalog!$D$3:$D$12,MATCH(Data[[#This Row],[ItemID B]],Katalog!$C$3:$C$12,0))*Data[[#This Row],[Qty B]],"0")</calculatedColumnFormula>
    </tableColumn>
    <tableColumn id="37" xr3:uid="{0F5D4766-C43B-41DF-A334-6D8E3DDB2D42}" name="Profit B" dataDxfId="541">
      <calculatedColumnFormula>IFERROR(INDEX(Katalog!$F$3:$F$12,MATCH(Data[[#This Row],[ItemID B]],Katalog!$C$3:$C$12,0))*Data[[#This Row],[Qty B]],"0")</calculatedColumnFormula>
    </tableColumn>
    <tableColumn id="12" xr3:uid="{D03C01AC-DB09-494E-BF4C-73EC819A5F2D}" name="ItemID C" dataDxfId="540"/>
    <tableColumn id="30" xr3:uid="{FABAA54A-F4A5-4728-AE9F-4D189416BD9F}" name="Kategori C" dataDxfId="539">
      <calculatedColumnFormula>IFERROR(INDEX(Katalog!$A$3:$A$12,MATCH(Data[[#This Row],[ItemID C]],Katalog!$C$3:$C$12,0)),"-")</calculatedColumnFormula>
    </tableColumn>
    <tableColumn id="29" xr3:uid="{CB050339-0E4D-4294-8268-10AB217D347A}" name="Item C" dataDxfId="538">
      <calculatedColumnFormula>IFERROR(INDEX(Katalog!$B$3:$B$12,MATCH(Data[[#This Row],[ItemID C]],Katalog!$C$3:$C$12,0)),"-")</calculatedColumnFormula>
    </tableColumn>
    <tableColumn id="13" xr3:uid="{8025B88E-B1E3-48B8-A314-C7B574D52F06}" name="Qty C" dataDxfId="537"/>
    <tableColumn id="14" xr3:uid="{E9D490F4-215A-42E1-8A1B-09D8F0A53F2D}" name="Rating C" dataDxfId="536"/>
    <tableColumn id="15" xr3:uid="{EFD0EF69-3B36-4DFD-AA37-3B4A1F1858CB}" name="Harga Barang C" dataDxfId="535">
      <calculatedColumnFormula>IFERROR(INDEX(Katalog!$D$3:$D$12,MATCH(Data[[#This Row],[ItemID C]],Katalog!$C$3:$C$12,0))*Data[[#This Row],[Qty C]],"0")</calculatedColumnFormula>
    </tableColumn>
    <tableColumn id="38" xr3:uid="{621C72CF-F035-4FF0-A8C5-B239966FDD57}" name="Profit C" dataDxfId="534">
      <calculatedColumnFormula>IFERROR(INDEX(Katalog!$F$3:$F$12,MATCH(Data[[#This Row],[ItemID C]],Katalog!$C$3:$C$12,0))*Data[[#This Row],[Qty C]],"0")</calculatedColumnFormula>
    </tableColumn>
    <tableColumn id="16" xr3:uid="{3A57C4D9-5FDB-4381-AB30-153EC3B82AF9}" name="Total Qty" dataDxfId="533">
      <calculatedColumnFormula>Data[[#This Row],[Qty A]]+Data[[#This Row],[Qty B]]+Data[[#This Row],[Qty C]]</calculatedColumnFormula>
    </tableColumn>
    <tableColumn id="31" xr3:uid="{7372DE9B-1A1D-47C8-A6ED-8DFAE8C1EBFC}" name="Total Harga" dataDxfId="532">
      <calculatedColumnFormula>Data[[#This Row],[Harga Barang A]]+Data[[#This Row],[Harga Barang B]]+Data[[#This Row],[Harga Barang C]]</calculatedColumnFormula>
    </tableColumn>
    <tableColumn id="17" xr3:uid="{CA8CDAEA-CE5F-416C-BE52-0057A96AC963}" name="Total Transaksi" dataDxfId="531">
      <calculatedColumnFormula>IFERROR(Data[[#This Row],[Total Harga]]-(Data[[#This Row],[Total Harga]]*Data[[#This Row],[Diskon]]),Data[[#This Row],[Total Harga]])</calculatedColumnFormula>
    </tableColumn>
    <tableColumn id="39" xr3:uid="{D116A7A3-78F0-4639-9A9E-D4F31FF79B7F}" name="Profit non Diskon" dataDxfId="530">
      <calculatedColumnFormula>(Data[[#This Row],[Profit A]]+Data[[#This Row],[Profit B]]+Data[[#This Row],[Profit C]])</calculatedColumnFormula>
    </tableColumn>
    <tableColumn id="32" xr3:uid="{FE423149-A70E-4989-BB87-32D03FBFBC6B}" name="Total Profit" dataDxfId="529">
      <calculatedColumnFormula>IFERROR((Data[[#This Row],[Profit non Diskon]]-(Data[[#This Row],[Profit non Diskon]]*Data[[#This Row],[Diskon]])),Data[[#This Row],[Profit non Diskon]])</calculatedColumnFormula>
    </tableColumn>
    <tableColumn id="18" xr3:uid="{F428950D-6816-4A08-861F-9E40ED8450C7}" name="Kode diskon" dataDxfId="528"/>
    <tableColumn id="19" xr3:uid="{68DCEFBD-C2AC-4036-88CC-3ABA9A0A69DF}" name="Diskon" dataDxfId="527" dataCellStyle="Percent">
      <calculatedColumnFormula>IFERROR(INDEX('Kode Diskon'!$D$3:$D$9,MATCH(Data[[#This Row],[Kode diskon]],'Kode Diskon'!$C$3:$C$9,0)),"-")</calculatedColumnFormula>
    </tableColumn>
    <tableColumn id="20" xr3:uid="{262B51EF-738D-49B3-89FE-6D219A3B28EC}" name="Jenis promo" dataDxfId="526"/>
    <tableColumn id="21" xr3:uid="{C8DF1BD6-F021-441E-8501-A76B82673B39}" name="Marketplace" dataDxfId="525"/>
    <tableColumn id="22" xr3:uid="{FA2B8B10-B708-4FC8-8538-EB6680F79779}" name="Lokasi pembeli" dataDxfId="524"/>
    <tableColumn id="23" xr3:uid="{715F1A96-1EE2-478C-A4B3-246FE3697772}" name="Tanggal terjual" dataDxfId="523"/>
    <tableColumn id="40" xr3:uid="{5E194C8C-A0ED-4FD7-A76D-F742AF94A919}" name="Hari terjual" dataDxfId="522">
      <calculatedColumnFormula>TEXT(Data[[#This Row],[Tanggal terjual]],"dddd")</calculatedColumnFormula>
    </tableColumn>
    <tableColumn id="33" xr3:uid="{A6E52220-5382-41A8-A601-1AFAA813F9E3}" name="Minggu Terjual" dataDxfId="521">
      <calculatedColumnFormula>TEXT(Data[[#This Row],[Tanggal terjual]],"wwww")</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7FAF18-AECE-4E7F-A6D9-54916B6CF07E}" name="cadangan3" displayName="cadangan3" ref="A1:AQ1001" totalsRowShown="0" headerRowDxfId="520" dataDxfId="519" tableBorderDxfId="518">
  <autoFilter ref="A1:AQ1001" xr:uid="{A3B3CAD5-08B7-45F3-A5D7-2CF5C56D939A}"/>
  <tableColumns count="43">
    <tableColumn id="1" xr3:uid="{0BC869AC-2493-46F4-A850-4FFA6B5C8C33}" name="No" dataDxfId="517"/>
    <tableColumn id="2" xr3:uid="{C4EC1D7F-C812-43E3-939A-2F026ED32EE1}" name="OrderID" dataDxfId="516">
      <calculatedColumnFormula>_xlfn.CONCAT("ORD-",INDEX(Helper!$B$2:$B$5,MATCH(cadangan3[[#This Row],[Marketplace]],Helper!$A$2:$A$5,0)),TEXT(cadangan3[[#This Row],[No]],"0000"),"-",TEXT(cadangan3[[#This Row],[Tanggal terjual]],"dd/mm/yy"))</calculatedColumnFormula>
    </tableColumn>
    <tableColumn id="4" xr3:uid="{D1A800F0-0368-466D-95E8-0E1D880F146C}" name="ItemID A" dataDxfId="515"/>
    <tableColumn id="25" xr3:uid="{CE8F5039-E6D1-42FF-8D1B-D7E323C1DA1C}" name="Kategori A" dataDxfId="514">
      <calculatedColumnFormula>IFERROR(INDEX(Katalog!$A$3:$A$12,MATCH(cadangan3[[#This Row],[ItemID A]],Katalog!$C$3:$C$12,0)),"-")</calculatedColumnFormula>
    </tableColumn>
    <tableColumn id="26" xr3:uid="{B284418E-1E43-4428-B67A-743299A91F3E}" name="Item A" dataDxfId="513">
      <calculatedColumnFormula>IFERROR(INDEX(Katalog!$B$3:$B$12,MATCH(cadangan3[[#This Row],[ItemID A]],Katalog!$C$3:$C$12,0)),"-")</calculatedColumnFormula>
    </tableColumn>
    <tableColumn id="5" xr3:uid="{276E4680-7BC3-48B6-8794-1AE94B4325B8}" name="Qty A" dataDxfId="512"/>
    <tableColumn id="6" xr3:uid="{D8F0C67E-DF03-49A3-A704-B72BBB99DF90}" name="Rating A" dataDxfId="511"/>
    <tableColumn id="7" xr3:uid="{B0B78F91-0B31-4DF4-8B00-4117A74F8301}" name="Harga Asli A" dataDxfId="510">
      <calculatedColumnFormula>IFERROR(INDEX(Katalog!$D$3:$D$12,MATCH(cadangan3[[#This Row],[ItemID A]],Katalog!$C$3:$C$12,0))*cadangan3[[#This Row],[Qty A]],0)</calculatedColumnFormula>
    </tableColumn>
    <tableColumn id="34" xr3:uid="{E30EF83E-1BC7-45A1-8400-8741AD782ED7}" name="Harga A" dataDxfId="509">
      <calculatedColumnFormula>IFERROR(INDEX(Katalog!$D$3:$D$12,MATCH(cadangan3[[#This Row],[Item A]],Katalog!$B$3:$B$12,0))*cadangan3[[#This Row],[Qty A]],0)</calculatedColumnFormula>
    </tableColumn>
    <tableColumn id="35" xr3:uid="{F5A0DE19-87B1-4B04-B6D1-9DF91AA12F1B}" name="Harga A + Diskon" dataDxfId="508">
      <calculatedColumnFormula>IFERROR(cadangan3[[#This Row],[Harga Asli A]]-(cadangan3[[#This Row],[Harga Asli A]]*cadangan3[[#This Row],[Diskon]]),cadangan3[[#This Row],[Harga Asli A]])</calculatedColumnFormula>
    </tableColumn>
    <tableColumn id="36" xr3:uid="{D6AD699A-4AD8-4D79-AB60-9024CBB4BAAD}" name="Profit A" dataDxfId="507">
      <calculatedColumnFormula>INDEX(Katalog!$F$3:$F$12,MATCH(cadangan3[[#This Row],[ItemID A]],Katalog!$C$3:$C$12,0))*cadangan3[[#This Row],[Qty A]]</calculatedColumnFormula>
    </tableColumn>
    <tableColumn id="3" xr3:uid="{CEF527CB-5084-4271-8541-C67D50680E50}" name="Provit A + Diskon" dataDxfId="506">
      <calculatedColumnFormula>IFERROR(cadangan3[[#This Row],[Profit A]]-(cadangan3[[#This Row],[Profit A]]*cadangan3[[#This Row],[Diskon]]),K2)</calculatedColumnFormula>
    </tableColumn>
    <tableColumn id="8" xr3:uid="{3A769CE5-C93E-4FEE-9530-5689F851DC29}" name="ItemID B" dataDxfId="505"/>
    <tableColumn id="28" xr3:uid="{93965775-766E-46D8-996D-BF8DE37642D8}" name="Kategori B" dataDxfId="504">
      <calculatedColumnFormula>IFERROR(INDEX(Katalog!$A$3:$A$12,MATCH(cadangan3[[#This Row],[ItemID B]],Katalog!$C$3:$C$12,0)),"-")</calculatedColumnFormula>
    </tableColumn>
    <tableColumn id="27" xr3:uid="{13065EC8-106A-42F9-9D44-ED0F87EA15C2}" name="Item B" dataDxfId="503">
      <calculatedColumnFormula>IFERROR(INDEX(Katalog!$B$3:$B$12,MATCH(cadangan3[[#This Row],[ItemID B]],Katalog!$C$3:$C$12,0)),"-")</calculatedColumnFormula>
    </tableColumn>
    <tableColumn id="9" xr3:uid="{B1E61929-1DA1-420F-820E-5BEEBB63D75E}" name="Qty B" dataDxfId="502"/>
    <tableColumn id="10" xr3:uid="{61AA63DE-9698-4685-906B-3EBEC013D44C}" name="Rating B" dataDxfId="501"/>
    <tableColumn id="11" xr3:uid="{13345EE8-F804-4799-A768-C4E4BD474CFA}" name="Harga Asli B" dataDxfId="500">
      <calculatedColumnFormula>IFERROR(INDEX(Katalog!$D$3:$D$12,MATCH(cadangan3[[#This Row],[ItemID B]],Katalog!$C$3:$C$12,0))*cadangan3[[#This Row],[Qty B]],0)</calculatedColumnFormula>
    </tableColumn>
    <tableColumn id="43" xr3:uid="{0DE628DA-E799-44E6-AF41-6E11FC8D2F70}" name="Harga B" dataDxfId="499">
      <calculatedColumnFormula>IFERROR(INDEX(Katalog!$D$3:$D$12,MATCH(cadangan3[[#This Row],[Item B]],Katalog!$B$3:$B$12,0))*cadangan3[[#This Row],[Qty B]],0)</calculatedColumnFormula>
    </tableColumn>
    <tableColumn id="41" xr3:uid="{EC2BE27C-00BC-4636-9FBB-70F01E3DC257}" name="Harga + Diskon B" dataDxfId="498">
      <calculatedColumnFormula>IFERROR(cadangan3[[#This Row],[Harga Asli B]]-(cadangan3[[#This Row],[Harga Asli B]]*cadangan3[[#This Row],[Diskon]]),cadangan3[[#This Row],[Harga Asli B]])</calculatedColumnFormula>
    </tableColumn>
    <tableColumn id="37" xr3:uid="{B07650DA-B5F6-4DF5-AB93-96B30A7B1089}" name="Profit B" dataDxfId="497">
      <calculatedColumnFormula>IFERROR(INDEX(Katalog!$F$3:$F$12,MATCH(cadangan3[[#This Row],[ItemID B]],Katalog!$C$3:$C$12,0))*cadangan3[[#This Row],[Qty B]],0)</calculatedColumnFormula>
    </tableColumn>
    <tableColumn id="24" xr3:uid="{17F5371F-777F-47C2-BE54-1CDEFA5BBF30}" name="Provit B + Diskon" dataDxfId="496">
      <calculatedColumnFormula>IFERROR(cadangan3[[#This Row],[Profit B]]-(cadangan3[[#This Row],[Profit B]]*cadangan3[[#This Row],[Diskon]]),U2)</calculatedColumnFormula>
    </tableColumn>
    <tableColumn id="12" xr3:uid="{DEF57983-3A17-4B6E-ADB2-06138DB16543}" name="ItemID C" dataDxfId="495"/>
    <tableColumn id="30" xr3:uid="{26AB3D78-98AB-4496-AED5-9F014ADCA8BC}" name="Kategori C" dataDxfId="494">
      <calculatedColumnFormula>IFERROR(INDEX(Katalog!$A$3:$A$12,MATCH(cadangan3[[#This Row],[ItemID C]],Katalog!$C$3:$C$12,0)),"-")</calculatedColumnFormula>
    </tableColumn>
    <tableColumn id="29" xr3:uid="{AD87A464-F390-4DFA-9CF6-259437327516}" name="Item C" dataDxfId="493">
      <calculatedColumnFormula>IFERROR(INDEX(Katalog!$B$3:$B$12,MATCH(cadangan3[[#This Row],[ItemID C]],Katalog!$C$3:$C$12,0)),"-")</calculatedColumnFormula>
    </tableColumn>
    <tableColumn id="13" xr3:uid="{1F7B46CF-434C-4A79-B9F1-6D1CBADA2270}" name="Qty C" dataDxfId="492"/>
    <tableColumn id="14" xr3:uid="{0904131A-9722-443D-B791-AC6DD4A16151}" name="Rating C" dataDxfId="491"/>
    <tableColumn id="15" xr3:uid="{B7E452E5-08A1-4B1B-96A4-24BC5CDB2D93}" name="Harga Asli C" dataDxfId="490">
      <calculatedColumnFormula>IFERROR(INDEX(Katalog!$D$3:$D$12,MATCH(cadangan3[[#This Row],[ItemID C]],Katalog!$C$3:$C$12,0))*cadangan3[[#This Row],[Qty C]],0)</calculatedColumnFormula>
    </tableColumn>
    <tableColumn id="46" xr3:uid="{6A43A995-1431-441A-90BA-E5B2EC54A6F5}" name="Harga C" dataDxfId="489">
      <calculatedColumnFormula>IFERROR(INDEX(Katalog!$D$3:$D$12,MATCH(cadangan3[[#This Row],[Item C]],Katalog!$B$3:$B$12,0))*cadangan3[[#This Row],[Qty C]],0)</calculatedColumnFormula>
    </tableColumn>
    <tableColumn id="42" xr3:uid="{CEB194F8-ABB6-4578-A935-AE2046A8330C}" name="Harga + Diskon C" dataDxfId="488">
      <calculatedColumnFormula>IFERROR(cadangan3[[#This Row],[Harga Asli C]]-(cadangan3[[#This Row],[Harga Asli C]]*cadangan3[[#This Row],[Diskon]]),cadangan3[[#This Row],[Harga Asli C]])</calculatedColumnFormula>
    </tableColumn>
    <tableColumn id="38" xr3:uid="{51B45034-75B1-4C77-8B9C-D1C0F84CEE36}" name="Profit C" dataDxfId="487">
      <calculatedColumnFormula>IFERROR(INDEX(Katalog!$F$3:$F$12,MATCH(cadangan3[[#This Row],[ItemID C]],Katalog!$C$3:$C$12,0))*cadangan3[[#This Row],[Qty C]],0)</calculatedColumnFormula>
    </tableColumn>
    <tableColumn id="31" xr3:uid="{913653F3-CECF-41D3-A3D5-EB6CF30DB13D}" name="Provit C + Diskon" dataDxfId="486">
      <calculatedColumnFormula>IFERROR(cadangan3[[#This Row],[Profit C]]-(cadangan3[[#This Row],[Profit C]]*cadangan3[[#This Row],[Diskon]]),cadangan3[[#This Row],[Profit C]])</calculatedColumnFormula>
    </tableColumn>
    <tableColumn id="16" xr3:uid="{27F826FC-69EE-4D0D-9DB4-D2B2D3FC8135}" name="Total Qty" dataDxfId="485">
      <calculatedColumnFormula>cadangan3[[#This Row],[Qty A]]+cadangan3[[#This Row],[Qty B]]+cadangan3[[#This Row],[Qty C]]</calculatedColumnFormula>
    </tableColumn>
    <tableColumn id="17" xr3:uid="{B1888022-4626-4403-997A-A5CD15B2D4CF}" name="Total Transaksi" dataDxfId="484">
      <calculatedColumnFormula>cadangan3[[#This Row],[Harga A + Diskon]]+cadangan3[[#This Row],[Harga + Diskon B]]+cadangan3[[#This Row],[Harga + Diskon C]]</calculatedColumnFormula>
    </tableColumn>
    <tableColumn id="39" xr3:uid="{70FC77AB-C98F-4E1D-9952-8329D0CCCB01}" name="Profit non Diskon" dataDxfId="483">
      <calculatedColumnFormula>(cadangan3[[#This Row],[Profit A]]+cadangan3[[#This Row],[Profit B]]+cadangan3[[#This Row],[Profit C]])</calculatedColumnFormula>
    </tableColumn>
    <tableColumn id="33" xr3:uid="{6D65493E-65D6-4715-944B-91DBE51F2FDA}" name="Total Provit + Diskon" dataDxfId="482">
      <calculatedColumnFormula>cadangan3[[#This Row],[Provit A + Diskon]]+cadangan3[[#This Row],[Provit B + Diskon]]+cadangan3[[#This Row],[Provit C + Diskon]]</calculatedColumnFormula>
    </tableColumn>
    <tableColumn id="18" xr3:uid="{7F0EEE60-FB39-4C84-9958-E77AD1350775}" name="Kode diskon" dataDxfId="481"/>
    <tableColumn id="19" xr3:uid="{FE2270FC-F211-4ADE-AE9C-9E4985FD411D}" name="Diskon" dataDxfId="480" dataCellStyle="Percent">
      <calculatedColumnFormula>IFERROR(INDEX('Kode Diskon'!$D$3:$D$9,MATCH(cadangan3[[#This Row],[Kode diskon]],'Kode Diskon'!$C$3:$C$9,0)),"-")</calculatedColumnFormula>
    </tableColumn>
    <tableColumn id="20" xr3:uid="{80CBAD8F-710A-40C7-82BC-36958454287F}" name="Jenis promo" dataDxfId="479"/>
    <tableColumn id="21" xr3:uid="{826CC34A-68FF-4595-AE73-DFD177F70085}" name="Marketplace" dataDxfId="478"/>
    <tableColumn id="22" xr3:uid="{6D120FE1-CB4E-444A-83CB-97174D180EB6}" name="Lokasi pembeli" dataDxfId="477"/>
    <tableColumn id="23" xr3:uid="{535E7803-07FF-45FF-84F4-93EC1AC18210}" name="Tanggal terjual" dataDxfId="476"/>
    <tableColumn id="40" xr3:uid="{C370C985-1E39-403A-8BCE-97FCBF67894D}" name="Hari terjual" dataDxfId="475">
      <calculatedColumnFormula>TEXT(cadangan3[[#This Row],[Tanggal terjual]],"dddd")</calculatedColumnFormula>
    </tableColumn>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9587E8-5A22-4D55-AE3A-97478365435D}" name="TableBaru" displayName="TableBaru" ref="A1:S11" totalsRowShown="0" headerRowDxfId="474">
  <autoFilter ref="A1:S11" xr:uid="{05A569C8-E25E-48F0-88DC-4B892A3FBB93}"/>
  <tableColumns count="19">
    <tableColumn id="1" xr3:uid="{49F1320D-BD2B-4C78-8515-41F2989896B2}" name="kategori">
      <calculatedColumnFormula>TEXT(Katalog!A3,"")</calculatedColumnFormula>
    </tableColumn>
    <tableColumn id="2" xr3:uid="{3A2FA772-CC19-467A-AFE8-FE93BB157921}" name="Item">
      <calculatedColumnFormula>TEXT(Katalog!B3,"")</calculatedColumnFormula>
    </tableColumn>
    <tableColumn id="3" xr3:uid="{47680F57-20B3-49A4-AF4B-C33AD772812F}" name="Qty A">
      <calculatedColumnFormula>SUMIF(Data[Item A],$B2,Data[Qty A])</calculatedColumnFormula>
    </tableColumn>
    <tableColumn id="20" xr3:uid="{F2C2A00E-8B13-4E41-A147-38E3E8DF5BA5}" name="Transaksi A (Diskon)" dataDxfId="473">
      <calculatedColumnFormula>SUMIFS(cadangan[Harga Diskon A],cadangan[Item A],TableBaru[[#This Row],[Item]])</calculatedColumnFormula>
    </tableColumn>
    <tableColumn id="21" xr3:uid="{5616858E-453A-4BB7-ABB9-D07C8415124B}" name="Profit A (Diskon)" dataDxfId="472" dataCellStyle="Currency">
      <calculatedColumnFormula>SUMIFS(cadangan[Profit Diskon A],cadangan[Item A],TableBaru[[#This Row],[Item]])</calculatedColumnFormula>
    </tableColumn>
    <tableColumn id="25" xr3:uid="{21DDEDCB-D115-4A64-A112-C337F885DC8C}" name="Rating A" dataDxfId="471" dataCellStyle="Currency">
      <calculatedColumnFormula>AVERAGEIFS(cadangan[Rating A],cadangan[Item A],TableBaru[[#This Row],[Item]])</calculatedColumnFormula>
    </tableColumn>
    <tableColumn id="4" xr3:uid="{8182EC52-B06E-40E4-B03D-46FCD871801E}" name="Qty B">
      <calculatedColumnFormula>SUMIF(Data[Item B],$B2,Data[Qty B])</calculatedColumnFormula>
    </tableColumn>
    <tableColumn id="22" xr3:uid="{94DB1E48-FFFA-4641-8263-EC8985BF46BE}" name="Transaksi B (Diskon)" dataDxfId="470">
      <calculatedColumnFormula>SUMIFS(cadangan[Harga Diskon B],cadangan[Item B],TableBaru[[#This Row],[Item]])</calculatedColumnFormula>
    </tableColumn>
    <tableColumn id="23" xr3:uid="{EE61DB65-9D3A-4CD9-AA3F-0A96CE0F7335}" name="Profit B (Diskon)" dataDxfId="469">
      <calculatedColumnFormula>SUMIFS(cadangan[Profit Diskon B],cadangan[Item B],TableBaru[[#This Row],[Item]])</calculatedColumnFormula>
    </tableColumn>
    <tableColumn id="26" xr3:uid="{1280545D-E160-4585-ABA5-E7ADB29F57C7}" name="Rating B" dataDxfId="468" dataCellStyle="Currency">
      <calculatedColumnFormula>AVERAGEIFS(cadangan[Rating B],cadangan[Item B],TableBaru[[#This Row],[Item]])</calculatedColumnFormula>
    </tableColumn>
    <tableColumn id="5" xr3:uid="{9EEC0CF5-836E-406C-B711-86A62F690A42}" name="Qty C">
      <calculatedColumnFormula>SUMIF(Data[Item C],$B2,Data[Qty C])</calculatedColumnFormula>
    </tableColumn>
    <tableColumn id="29" xr3:uid="{0E1C761E-242B-4F60-B620-80D3BAC2167B}" name="Transaksi C (Diskon)" dataDxfId="467">
      <calculatedColumnFormula>SUMIFS(cadangan[Harga Diskon C],cadangan[Item C],TableBaru[[#This Row],[Item]])</calculatedColumnFormula>
    </tableColumn>
    <tableColumn id="24" xr3:uid="{3F7F1743-459E-4D88-91E3-717AAC91CF4B}" name="Profit C (Diskon)" dataDxfId="466">
      <calculatedColumnFormula>SUMIFS(cadangan[Profit Diskon C],cadangan[Item C],TableBaru[[#This Row],[Item]])</calculatedColumnFormula>
    </tableColumn>
    <tableColumn id="27" xr3:uid="{8DBE04CF-DCEE-4FE7-BB05-27E5AF4BE564}" name="Rating C" dataDxfId="465">
      <calculatedColumnFormula>AVERAGEIFS(cadangan[Rating C],cadangan[Item C],TableBaru[[#This Row],[Item]])</calculatedColumnFormula>
    </tableColumn>
    <tableColumn id="31" xr3:uid="{01E15767-A69A-4591-87CE-05139C488F6D}" name="Total Qty" dataDxfId="464">
      <calculatedColumnFormula>TableBaru[[#This Row],[Qty A]]+TableBaru[[#This Row],[Qty B]]+TableBaru[[#This Row],[Qty C]]</calculatedColumnFormula>
    </tableColumn>
    <tableColumn id="28" xr3:uid="{F9527897-B192-42FD-A483-4B58378DBE2B}" name="Total Transaksi" dataDxfId="463">
      <calculatedColumnFormula>TableBaru[[#This Row],[Transaksi A (Diskon)]]+TableBaru[[#This Row],[Transaksi B (Diskon)]]+TableBaru[[#This Row],[Transaksi C (Diskon)]]</calculatedColumnFormula>
    </tableColumn>
    <tableColumn id="30" xr3:uid="{E99924D0-53DC-4E93-B47E-211A39BD6BCE}" name="Total Profit" dataDxfId="462">
      <calculatedColumnFormula>TableBaru[[#This Row],[Profit A (Diskon)]]+TableBaru[[#This Row],[Profit B (Diskon)]]+TableBaru[[#This Row],[Profit C (Diskon)]]</calculatedColumnFormula>
    </tableColumn>
    <tableColumn id="32" xr3:uid="{732211B4-A131-4056-9BD2-914B282460F9}" name="Rating" dataDxfId="461">
      <calculatedColumnFormula>AVERAGE(TableBaru[[#This Row],[Rating A]],TableBaru[[#This Row],[Rating B]],TableBaru[[#This Row],[Rating C]])</calculatedColumnFormula>
    </tableColumn>
    <tableColumn id="6" xr3:uid="{BCDE9935-ED0F-41D8-A2B6-37D05A2AA911}" name="Total Biaya Porduksi" dataDxfId="460">
      <calculatedColumnFormula>TableBaru[[#This Row],[Total Transaksi]]-TableBaru[[#This Row],[Total Profit]]</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A569C8-E25E-48F0-88DC-4B892A3FBB93}" name="itemsell" displayName="itemsell" ref="A1:S11" totalsRowShown="0" headerRowDxfId="459">
  <autoFilter ref="A1:S11" xr:uid="{05A569C8-E25E-48F0-88DC-4B892A3FBB93}"/>
  <tableColumns count="19">
    <tableColumn id="1" xr3:uid="{9B2B52FC-0A59-4A7A-80A6-3832D7CAB282}" name="kategori">
      <calculatedColumnFormula>TEXT(Katalog!A3,"")</calculatedColumnFormula>
    </tableColumn>
    <tableColumn id="2" xr3:uid="{58EEFB22-7010-40E7-9FAB-6DD60C0E5D32}" name="Item">
      <calculatedColumnFormula>TEXT(Katalog!B3,"")</calculatedColumnFormula>
    </tableColumn>
    <tableColumn id="3" xr3:uid="{2BA2E683-D49D-468E-8A09-7BF304F5DB9D}" name="Qty A">
      <calculatedColumnFormula>SUMIF(Data[Item A],$B2,Data[Qty A])</calculatedColumnFormula>
    </tableColumn>
    <tableColumn id="4" xr3:uid="{AE59D0EA-7B82-4E7A-948E-8392307211C5}" name="Qty B">
      <calculatedColumnFormula>SUMIF(Data[Item B],$B2,Data[Qty B])</calculatedColumnFormula>
    </tableColumn>
    <tableColumn id="5" xr3:uid="{A5BB7EEC-0F48-49C6-8DAD-E3E7EE1FF944}" name="Qty C">
      <calculatedColumnFormula>SUMIF(Data[Item C],$B2,Data[Qty C])</calculatedColumnFormula>
    </tableColumn>
    <tableColumn id="6" xr3:uid="{7AECE6B7-1665-4CE4-B000-77A78564A6F6}" name="Qty" dataDxfId="458">
      <calculatedColumnFormula>SUM(itemsell[[#This Row],[Qty A]:[Qty C]])</calculatedColumnFormula>
    </tableColumn>
    <tableColumn id="7" xr3:uid="{EFAECB62-9CBB-4C00-A598-A719C702727B}" name="Rating A" dataDxfId="457">
      <calculatedColumnFormula>AVERAGEIF(Data[Item A],$B2,Data[Rating A])</calculatedColumnFormula>
    </tableColumn>
    <tableColumn id="8" xr3:uid="{4D3E9DF0-107A-4B9E-A54F-548CD57DE330}" name="Rating B" dataDxfId="456">
      <calculatedColumnFormula>AVERAGEIF(Data[Item B],$B2,Data[Rating B])</calculatedColumnFormula>
    </tableColumn>
    <tableColumn id="9" xr3:uid="{8F510910-4873-4FB1-8F70-82BAE45FC7CF}" name="Rating C" dataDxfId="455">
      <calculatedColumnFormula>AVERAGEIF(Data[Item C],$B2,Data[Rating C])</calculatedColumnFormula>
    </tableColumn>
    <tableColumn id="10" xr3:uid="{CB8494C7-D9CE-4BCA-AF91-1D1DE2F878EE}" name="Rating" dataDxfId="454">
      <calculatedColumnFormula>AVERAGE(itemsell[[#This Row],[Rating A]:[Rating C]])</calculatedColumnFormula>
    </tableColumn>
    <tableColumn id="11" xr3:uid="{908C65DD-9AA9-4B80-8C14-57ACEEC1F031}" name="Harga A" dataDxfId="453">
      <calculatedColumnFormula>SUMIF(Data[Item A],$B2,Data[Harga Barang A])</calculatedColumnFormula>
    </tableColumn>
    <tableColumn id="12" xr3:uid="{90A81CD8-2731-4034-A61E-BDFDC6474B09}" name="Harga B" dataDxfId="452">
      <calculatedColumnFormula>SUMIF(Data[Item B],$B2,Data[Harga Barang B])</calculatedColumnFormula>
    </tableColumn>
    <tableColumn id="13" xr3:uid="{284D10D6-8582-4DC2-8D00-AF83363B9523}" name="Harga C" dataDxfId="451">
      <calculatedColumnFormula>SUMIF(Data[Item C],$B2,Data[Harga Barang C])</calculatedColumnFormula>
    </tableColumn>
    <tableColumn id="14" xr3:uid="{5469B9EB-53BF-48A3-ABF8-FD0A387197A1}" name="Harga" dataDxfId="450">
      <calculatedColumnFormula>SUM(itemsell[[#This Row],[Harga A]:[Harga C]])</calculatedColumnFormula>
    </tableColumn>
    <tableColumn id="15" xr3:uid="{B7562ADF-EB78-47F4-97E6-6D51BFC356CC}" name="Profit A" dataDxfId="449">
      <calculatedColumnFormula>SUMIF(Data[Item A],$B2,Data[Profit A])</calculatedColumnFormula>
    </tableColumn>
    <tableColumn id="16" xr3:uid="{CCC1032C-8A95-4A29-ACE5-C31C1F31F3B5}" name="Porfit B" dataDxfId="448">
      <calculatedColumnFormula>SUMIF(Data[Item B],$B2,Data[Profit B])</calculatedColumnFormula>
    </tableColumn>
    <tableColumn id="17" xr3:uid="{115A8228-38AB-4D8D-A8F7-F410C6921BAD}" name="Profit C" dataDxfId="447">
      <calculatedColumnFormula>SUMIF(Data[Item C],$B2,Data[Profit C])</calculatedColumnFormula>
    </tableColumn>
    <tableColumn id="18" xr3:uid="{A7C67338-231C-4D2E-9E7F-407DAC67CE40}" name="Profit" dataDxfId="446">
      <calculatedColumnFormula>SUM(itemsell[[#This Row],[Profit A]:[Profit C]])</calculatedColumnFormula>
    </tableColumn>
    <tableColumn id="19" xr3:uid="{F98E25F9-5E23-490F-9278-706D56881A4D}" name="Total Transaksi" dataDxfId="445"/>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outlinePr summaryBelow="0" summaryRight="0"/>
  </sheetPr>
  <dimension ref="A1:J62"/>
  <sheetViews>
    <sheetView topLeftCell="A13" zoomScale="114" workbookViewId="0">
      <selection activeCell="G74" sqref="G74"/>
    </sheetView>
  </sheetViews>
  <sheetFormatPr defaultColWidth="12.7109375" defaultRowHeight="12.75" x14ac:dyDescent="0.2"/>
  <cols>
    <col min="1" max="1" width="17.7109375" style="9" customWidth="1"/>
    <col min="2" max="2" width="7.85546875" style="9" customWidth="1"/>
    <col min="3" max="3" width="20.85546875" style="9" bestFit="1" customWidth="1"/>
    <col min="4" max="9" width="12.7109375" style="9"/>
    <col min="10" max="10" width="1.5703125" style="9" bestFit="1" customWidth="1"/>
    <col min="11" max="16384" width="12.7109375" style="9"/>
  </cols>
  <sheetData>
    <row r="1" spans="1:10" ht="15" x14ac:dyDescent="0.25">
      <c r="A1" s="10" t="s">
        <v>41</v>
      </c>
      <c r="B1" s="1"/>
      <c r="C1" s="1"/>
      <c r="D1" s="1"/>
      <c r="E1" s="1"/>
      <c r="F1" s="1"/>
    </row>
    <row r="2" spans="1:10" x14ac:dyDescent="0.2">
      <c r="A2" s="33" t="s">
        <v>81</v>
      </c>
      <c r="B2" s="1"/>
      <c r="C2" s="1"/>
      <c r="D2" s="1"/>
      <c r="E2" s="1"/>
      <c r="F2" s="1"/>
    </row>
    <row r="3" spans="1:10" x14ac:dyDescent="0.2">
      <c r="A3" s="1"/>
      <c r="B3" s="1" t="s">
        <v>42</v>
      </c>
      <c r="C3" s="1" t="s">
        <v>104</v>
      </c>
      <c r="D3" s="1"/>
      <c r="E3" s="1"/>
      <c r="F3" s="1"/>
    </row>
    <row r="4" spans="1:10" x14ac:dyDescent="0.2">
      <c r="A4" s="1"/>
      <c r="B4" s="1"/>
      <c r="C4" s="1" t="s">
        <v>105</v>
      </c>
      <c r="D4" s="1"/>
      <c r="E4" s="1"/>
      <c r="F4" s="1"/>
    </row>
    <row r="5" spans="1:10" x14ac:dyDescent="0.2">
      <c r="A5" s="9" t="s">
        <v>82</v>
      </c>
      <c r="B5" s="1"/>
      <c r="C5" s="1"/>
      <c r="D5" s="1"/>
      <c r="E5" s="1"/>
      <c r="F5" s="1"/>
      <c r="J5" s="9" t="s">
        <v>85</v>
      </c>
    </row>
    <row r="6" spans="1:10" x14ac:dyDescent="0.2">
      <c r="A6" s="9" t="s">
        <v>83</v>
      </c>
      <c r="B6" s="1"/>
      <c r="C6" s="1"/>
      <c r="D6" s="1"/>
      <c r="E6" s="1"/>
      <c r="F6" s="1"/>
    </row>
    <row r="7" spans="1:10" x14ac:dyDescent="0.2">
      <c r="A7" s="9" t="s">
        <v>84</v>
      </c>
      <c r="B7" s="1"/>
      <c r="C7" s="1"/>
      <c r="D7" s="1"/>
      <c r="E7" s="1"/>
      <c r="F7" s="1"/>
    </row>
    <row r="8" spans="1:10" x14ac:dyDescent="0.2">
      <c r="A8" s="1" t="s">
        <v>96</v>
      </c>
      <c r="B8" s="1"/>
      <c r="C8" s="1"/>
      <c r="D8" s="1"/>
      <c r="E8" s="1"/>
      <c r="F8" s="1"/>
    </row>
    <row r="9" spans="1:10" x14ac:dyDescent="0.2">
      <c r="A9" s="1" t="s">
        <v>97</v>
      </c>
      <c r="B9" s="1"/>
      <c r="C9" s="1"/>
      <c r="D9" s="1"/>
      <c r="E9" s="1"/>
      <c r="F9" s="1"/>
    </row>
    <row r="10" spans="1:10" x14ac:dyDescent="0.2">
      <c r="A10" s="1" t="s">
        <v>98</v>
      </c>
    </row>
    <row r="11" spans="1:10" x14ac:dyDescent="0.2">
      <c r="A11" s="1" t="s">
        <v>99</v>
      </c>
    </row>
    <row r="12" spans="1:10" x14ac:dyDescent="0.2">
      <c r="A12" s="1" t="s">
        <v>95</v>
      </c>
      <c r="B12" s="1"/>
    </row>
    <row r="13" spans="1:10" x14ac:dyDescent="0.2">
      <c r="A13" s="1" t="s">
        <v>100</v>
      </c>
      <c r="B13" s="1"/>
    </row>
    <row r="14" spans="1:10" x14ac:dyDescent="0.2">
      <c r="A14" s="1" t="s">
        <v>101</v>
      </c>
      <c r="B14" s="1"/>
    </row>
    <row r="15" spans="1:10" x14ac:dyDescent="0.2">
      <c r="A15" s="1" t="s">
        <v>102</v>
      </c>
      <c r="B15" s="1"/>
    </row>
    <row r="16" spans="1:10" x14ac:dyDescent="0.2">
      <c r="A16" s="1" t="s">
        <v>103</v>
      </c>
      <c r="B16" s="1"/>
    </row>
    <row r="17" spans="1:2" x14ac:dyDescent="0.2">
      <c r="A17" s="1"/>
    </row>
    <row r="18" spans="1:2" ht="15" x14ac:dyDescent="0.25">
      <c r="A18" s="11" t="s">
        <v>47</v>
      </c>
    </row>
    <row r="19" spans="1:2" x14ac:dyDescent="0.2">
      <c r="A19" s="9" t="str" cm="1">
        <f t="array" ref="A19:A62">TRANSPOSE(cadangan[#Headers])</f>
        <v>No</v>
      </c>
      <c r="B19" s="9" t="s">
        <v>48</v>
      </c>
    </row>
    <row r="20" spans="1:2" x14ac:dyDescent="0.2">
      <c r="A20" s="9" t="str">
        <v>OrderID</v>
      </c>
      <c r="B20" s="9" t="s">
        <v>49</v>
      </c>
    </row>
    <row r="21" spans="1:2" x14ac:dyDescent="0.2">
      <c r="A21" s="9" t="str">
        <v>ItemID A</v>
      </c>
      <c r="B21" s="9" t="s">
        <v>243</v>
      </c>
    </row>
    <row r="22" spans="1:2" x14ac:dyDescent="0.2">
      <c r="A22" s="9" t="str">
        <v>Kategori A</v>
      </c>
      <c r="B22" s="9" t="s">
        <v>237</v>
      </c>
    </row>
    <row r="23" spans="1:2" x14ac:dyDescent="0.2">
      <c r="A23" s="9" t="str">
        <v>Item A</v>
      </c>
      <c r="B23" s="9" t="s">
        <v>238</v>
      </c>
    </row>
    <row r="24" spans="1:2" x14ac:dyDescent="0.2">
      <c r="A24" s="9" t="str">
        <v>Qty A</v>
      </c>
      <c r="B24" s="9" t="s">
        <v>242</v>
      </c>
    </row>
    <row r="25" spans="1:2" x14ac:dyDescent="0.2">
      <c r="A25" s="9" t="str">
        <v>Rating A</v>
      </c>
      <c r="B25" s="9" t="s">
        <v>92</v>
      </c>
    </row>
    <row r="26" spans="1:2" x14ac:dyDescent="0.2">
      <c r="A26" s="9" t="str">
        <v>Harga Normal A</v>
      </c>
      <c r="B26" s="9" t="s">
        <v>239</v>
      </c>
    </row>
    <row r="27" spans="1:2" x14ac:dyDescent="0.2">
      <c r="A27" s="9" t="str">
        <v>Harga Diskon A</v>
      </c>
      <c r="B27" s="9" t="s">
        <v>241</v>
      </c>
    </row>
    <row r="28" spans="1:2" x14ac:dyDescent="0.2">
      <c r="A28" s="9" t="str">
        <v>Profit Normal A</v>
      </c>
      <c r="B28" s="9" t="s">
        <v>240</v>
      </c>
    </row>
    <row r="29" spans="1:2" x14ac:dyDescent="0.2">
      <c r="A29" s="9" t="str">
        <v>Profit Diskon A</v>
      </c>
      <c r="B29" s="9" t="s">
        <v>244</v>
      </c>
    </row>
    <row r="30" spans="1:2" x14ac:dyDescent="0.2">
      <c r="A30" s="9" t="str">
        <v>ItemID B</v>
      </c>
      <c r="B30" s="9" t="s">
        <v>245</v>
      </c>
    </row>
    <row r="31" spans="1:2" x14ac:dyDescent="0.2">
      <c r="A31" s="9" t="str">
        <v>Kategori B</v>
      </c>
      <c r="B31" s="9" t="s">
        <v>247</v>
      </c>
    </row>
    <row r="32" spans="1:2" x14ac:dyDescent="0.2">
      <c r="A32" s="9" t="str">
        <v>Item B</v>
      </c>
      <c r="B32" s="9" t="s">
        <v>246</v>
      </c>
    </row>
    <row r="33" spans="1:2" x14ac:dyDescent="0.2">
      <c r="A33" s="9" t="str">
        <v>Qty B</v>
      </c>
      <c r="B33" s="9" t="s">
        <v>248</v>
      </c>
    </row>
    <row r="34" spans="1:2" x14ac:dyDescent="0.2">
      <c r="A34" s="9" t="str">
        <v>Rating B</v>
      </c>
      <c r="B34" s="9" t="s">
        <v>93</v>
      </c>
    </row>
    <row r="35" spans="1:2" x14ac:dyDescent="0.2">
      <c r="A35" s="9" t="str">
        <v>Harga Normal B</v>
      </c>
      <c r="B35" s="9" t="s">
        <v>249</v>
      </c>
    </row>
    <row r="36" spans="1:2" x14ac:dyDescent="0.2">
      <c r="A36" s="9" t="str">
        <v>Harga Diskon B</v>
      </c>
      <c r="B36" s="9" t="s">
        <v>250</v>
      </c>
    </row>
    <row r="37" spans="1:2" x14ac:dyDescent="0.2">
      <c r="A37" s="9" t="str">
        <v>Profit Normal B</v>
      </c>
      <c r="B37" s="9" t="s">
        <v>251</v>
      </c>
    </row>
    <row r="38" spans="1:2" x14ac:dyDescent="0.2">
      <c r="A38" s="9" t="str">
        <v>Profit Diskon B</v>
      </c>
      <c r="B38" s="9" t="s">
        <v>252</v>
      </c>
    </row>
    <row r="39" spans="1:2" x14ac:dyDescent="0.2">
      <c r="A39" s="9" t="str">
        <v>ItemID C</v>
      </c>
      <c r="B39" s="9" t="s">
        <v>253</v>
      </c>
    </row>
    <row r="40" spans="1:2" x14ac:dyDescent="0.2">
      <c r="A40" s="9" t="str">
        <v>Kategori C</v>
      </c>
      <c r="B40" s="9" t="s">
        <v>254</v>
      </c>
    </row>
    <row r="41" spans="1:2" x14ac:dyDescent="0.2">
      <c r="A41" s="9" t="str">
        <v>Item C</v>
      </c>
      <c r="B41" s="9" t="s">
        <v>255</v>
      </c>
    </row>
    <row r="42" spans="1:2" x14ac:dyDescent="0.2">
      <c r="A42" s="9" t="str">
        <v>Qty C</v>
      </c>
      <c r="B42" s="9" t="s">
        <v>256</v>
      </c>
    </row>
    <row r="43" spans="1:2" x14ac:dyDescent="0.2">
      <c r="A43" s="9" t="str">
        <v>Rating C</v>
      </c>
      <c r="B43" s="9" t="s">
        <v>94</v>
      </c>
    </row>
    <row r="44" spans="1:2" x14ac:dyDescent="0.2">
      <c r="A44" s="9" t="str">
        <v>Harga Normal C</v>
      </c>
      <c r="B44" s="9" t="s">
        <v>257</v>
      </c>
    </row>
    <row r="45" spans="1:2" x14ac:dyDescent="0.2">
      <c r="A45" s="9" t="str">
        <v>Harga Diskon C</v>
      </c>
      <c r="B45" s="9" t="s">
        <v>258</v>
      </c>
    </row>
    <row r="46" spans="1:2" x14ac:dyDescent="0.2">
      <c r="A46" s="9" t="str">
        <v>Profit Normal C</v>
      </c>
      <c r="B46" s="9" t="s">
        <v>259</v>
      </c>
    </row>
    <row r="47" spans="1:2" x14ac:dyDescent="0.2">
      <c r="A47" s="9" t="str">
        <v>Profit Diskon C</v>
      </c>
      <c r="B47" s="9" t="s">
        <v>260</v>
      </c>
    </row>
    <row r="48" spans="1:2" x14ac:dyDescent="0.2">
      <c r="A48" s="9" t="str">
        <v>Total Qty</v>
      </c>
      <c r="B48" s="9" t="s">
        <v>261</v>
      </c>
    </row>
    <row r="49" spans="1:2" x14ac:dyDescent="0.2">
      <c r="A49" s="9" t="str">
        <v>Total Harga Normal</v>
      </c>
      <c r="B49" s="9" t="s">
        <v>262</v>
      </c>
    </row>
    <row r="50" spans="1:2" x14ac:dyDescent="0.2">
      <c r="A50" s="9" t="str">
        <v>Total Transaksi</v>
      </c>
      <c r="B50" s="9" t="s">
        <v>263</v>
      </c>
    </row>
    <row r="51" spans="1:2" x14ac:dyDescent="0.2">
      <c r="A51" s="9" t="str">
        <v>Total Profit Normal</v>
      </c>
      <c r="B51" s="9" t="s">
        <v>264</v>
      </c>
    </row>
    <row r="52" spans="1:2" x14ac:dyDescent="0.2">
      <c r="A52" s="9" t="str">
        <v>Total Profit Diskon</v>
      </c>
      <c r="B52" s="9" t="s">
        <v>265</v>
      </c>
    </row>
    <row r="53" spans="1:2" x14ac:dyDescent="0.2">
      <c r="A53" s="9" t="str">
        <v>Kode diskon</v>
      </c>
      <c r="B53" s="9" t="s">
        <v>88</v>
      </c>
    </row>
    <row r="54" spans="1:2" x14ac:dyDescent="0.2">
      <c r="A54" s="9" t="str">
        <v>Diskon</v>
      </c>
      <c r="B54" s="9" t="s">
        <v>50</v>
      </c>
    </row>
    <row r="55" spans="1:2" x14ac:dyDescent="0.2">
      <c r="A55" s="9" t="str">
        <v>Jenis promo</v>
      </c>
      <c r="B55" s="9" t="s">
        <v>51</v>
      </c>
    </row>
    <row r="56" spans="1:2" x14ac:dyDescent="0.2">
      <c r="A56" s="9" t="str">
        <v>Marketplace</v>
      </c>
      <c r="B56" s="9" t="s">
        <v>87</v>
      </c>
    </row>
    <row r="57" spans="1:2" x14ac:dyDescent="0.2">
      <c r="A57" s="9" t="str">
        <v>Lokasi pembeli</v>
      </c>
      <c r="B57" s="9" t="s">
        <v>86</v>
      </c>
    </row>
    <row r="58" spans="1:2" x14ac:dyDescent="0.2">
      <c r="A58" s="9" t="str">
        <v>Tanggal terjual</v>
      </c>
      <c r="B58" s="9" t="s">
        <v>52</v>
      </c>
    </row>
    <row r="59" spans="1:2" x14ac:dyDescent="0.2">
      <c r="A59" s="9" t="str">
        <v>Tanggal Terjual2</v>
      </c>
      <c r="B59" s="9" t="s">
        <v>266</v>
      </c>
    </row>
    <row r="60" spans="1:2" x14ac:dyDescent="0.2">
      <c r="A60" s="9" t="str">
        <v>Hari terjual</v>
      </c>
      <c r="B60" s="9" t="s">
        <v>267</v>
      </c>
    </row>
    <row r="61" spans="1:2" x14ac:dyDescent="0.2">
      <c r="A61" s="9" t="str">
        <v>Minggu Terjual</v>
      </c>
      <c r="B61" s="9" t="s">
        <v>268</v>
      </c>
    </row>
    <row r="62" spans="1:2" x14ac:dyDescent="0.2">
      <c r="A62" s="9" t="str">
        <v>Rating</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0AFA1-107B-42C6-BD83-266DC36F58A2}">
  <dimension ref="A1:R146"/>
  <sheetViews>
    <sheetView zoomScale="85" zoomScaleNormal="85" workbookViewId="0">
      <selection activeCell="A57" sqref="A57"/>
    </sheetView>
  </sheetViews>
  <sheetFormatPr defaultRowHeight="12.75" x14ac:dyDescent="0.2"/>
  <cols>
    <col min="1" max="1" width="15.5703125" bestFit="1" customWidth="1"/>
    <col min="2" max="2" width="10.42578125" bestFit="1" customWidth="1"/>
    <col min="3" max="3" width="14.5703125" bestFit="1" customWidth="1"/>
    <col min="4" max="4" width="12.7109375" bestFit="1" customWidth="1"/>
    <col min="5" max="5" width="16.42578125" bestFit="1" customWidth="1"/>
    <col min="6" max="6" width="14.5703125" bestFit="1" customWidth="1"/>
    <col min="7" max="7" width="17.28515625" bestFit="1" customWidth="1"/>
    <col min="8" max="10" width="12.140625" bestFit="1" customWidth="1"/>
    <col min="11" max="11" width="11.42578125" bestFit="1" customWidth="1"/>
    <col min="12" max="12" width="10.140625" bestFit="1" customWidth="1"/>
    <col min="13" max="13" width="17.85546875" bestFit="1" customWidth="1"/>
    <col min="14" max="14" width="14.5703125" bestFit="1" customWidth="1"/>
    <col min="15" max="15" width="10.42578125" bestFit="1" customWidth="1"/>
    <col min="16" max="16" width="11.28515625" bestFit="1" customWidth="1"/>
    <col min="17" max="17" width="14.5703125" bestFit="1" customWidth="1"/>
    <col min="18" max="18" width="23" bestFit="1" customWidth="1"/>
    <col min="19" max="19" width="21.140625" bestFit="1" customWidth="1"/>
  </cols>
  <sheetData>
    <row r="1" spans="1:15" x14ac:dyDescent="0.2">
      <c r="A1" s="9" t="s">
        <v>206</v>
      </c>
      <c r="M1" s="9" t="s">
        <v>220</v>
      </c>
    </row>
    <row r="2" spans="1:15" x14ac:dyDescent="0.2">
      <c r="A2" t="s">
        <v>276</v>
      </c>
      <c r="C2" t="s">
        <v>196</v>
      </c>
      <c r="E2" t="s">
        <v>278</v>
      </c>
      <c r="M2" s="38" t="s">
        <v>174</v>
      </c>
      <c r="N2" t="s">
        <v>277</v>
      </c>
    </row>
    <row r="3" spans="1:15" ht="15" x14ac:dyDescent="0.3">
      <c r="A3" s="62">
        <v>1113220000</v>
      </c>
      <c r="C3" s="62">
        <v>293288500</v>
      </c>
      <c r="E3" s="63">
        <v>3.0610000000000008</v>
      </c>
      <c r="M3" s="39" t="s">
        <v>56</v>
      </c>
      <c r="N3" s="68">
        <v>430</v>
      </c>
    </row>
    <row r="4" spans="1:15" x14ac:dyDescent="0.2">
      <c r="A4" t="s">
        <v>195</v>
      </c>
      <c r="C4" t="s">
        <v>197</v>
      </c>
      <c r="E4" t="s">
        <v>277</v>
      </c>
      <c r="M4" s="39" t="s">
        <v>15</v>
      </c>
      <c r="N4" s="68">
        <v>384</v>
      </c>
    </row>
    <row r="5" spans="1:15" ht="15" x14ac:dyDescent="0.3">
      <c r="A5" s="62">
        <v>982288500</v>
      </c>
      <c r="C5" s="69">
        <v>1000</v>
      </c>
      <c r="E5" s="64">
        <v>4080</v>
      </c>
      <c r="M5" s="39" t="s">
        <v>55</v>
      </c>
      <c r="N5" s="68">
        <v>372</v>
      </c>
    </row>
    <row r="6" spans="1:15" x14ac:dyDescent="0.2">
      <c r="M6" s="39" t="s">
        <v>16</v>
      </c>
      <c r="N6" s="68">
        <v>403</v>
      </c>
    </row>
    <row r="7" spans="1:15" x14ac:dyDescent="0.2">
      <c r="A7" s="38" t="s">
        <v>126</v>
      </c>
      <c r="B7" t="s">
        <v>199</v>
      </c>
      <c r="M7" s="39" t="s">
        <v>17</v>
      </c>
      <c r="N7" s="68">
        <v>405</v>
      </c>
    </row>
    <row r="8" spans="1:15" x14ac:dyDescent="0.2">
      <c r="A8" s="39" t="s">
        <v>29</v>
      </c>
      <c r="B8" s="68">
        <v>492</v>
      </c>
      <c r="M8" s="39" t="s">
        <v>18</v>
      </c>
      <c r="N8" s="68">
        <v>451</v>
      </c>
    </row>
    <row r="9" spans="1:15" x14ac:dyDescent="0.2">
      <c r="A9" s="39" t="s">
        <v>9</v>
      </c>
      <c r="B9" s="68">
        <v>373</v>
      </c>
      <c r="M9" s="39" t="s">
        <v>19</v>
      </c>
      <c r="N9" s="68">
        <v>322</v>
      </c>
    </row>
    <row r="10" spans="1:15" x14ac:dyDescent="0.2">
      <c r="A10" s="39" t="s">
        <v>290</v>
      </c>
      <c r="B10" s="68">
        <v>135</v>
      </c>
      <c r="M10" s="39" t="s">
        <v>20</v>
      </c>
      <c r="N10" s="68">
        <v>399</v>
      </c>
    </row>
    <row r="11" spans="1:15" x14ac:dyDescent="0.2">
      <c r="A11" s="39" t="s">
        <v>127</v>
      </c>
      <c r="B11" s="68">
        <v>1000</v>
      </c>
      <c r="D11" s="38" t="s">
        <v>201</v>
      </c>
      <c r="E11" s="68" t="s">
        <v>277</v>
      </c>
      <c r="M11" s="39" t="s">
        <v>21</v>
      </c>
      <c r="N11" s="68">
        <v>492</v>
      </c>
    </row>
    <row r="12" spans="1:15" x14ac:dyDescent="0.2">
      <c r="D12" s="39" t="s">
        <v>80</v>
      </c>
      <c r="E12" s="68">
        <v>1421</v>
      </c>
      <c r="M12" s="39" t="s">
        <v>57</v>
      </c>
      <c r="N12" s="68">
        <v>422</v>
      </c>
    </row>
    <row r="13" spans="1:15" x14ac:dyDescent="0.2">
      <c r="A13" s="38" t="s">
        <v>201</v>
      </c>
      <c r="B13" s="66" t="s">
        <v>200</v>
      </c>
      <c r="D13" s="39" t="s">
        <v>75</v>
      </c>
      <c r="E13" s="68">
        <v>711</v>
      </c>
      <c r="M13" s="39" t="s">
        <v>127</v>
      </c>
      <c r="N13" s="68">
        <v>4080</v>
      </c>
    </row>
    <row r="14" spans="1:15" x14ac:dyDescent="0.2">
      <c r="A14" s="39" t="s">
        <v>77</v>
      </c>
      <c r="B14" s="66">
        <v>99734500</v>
      </c>
      <c r="D14" s="39" t="s">
        <v>76</v>
      </c>
      <c r="E14" s="68">
        <v>645</v>
      </c>
    </row>
    <row r="15" spans="1:15" x14ac:dyDescent="0.2">
      <c r="A15" s="39" t="s">
        <v>75</v>
      </c>
      <c r="B15" s="66">
        <v>174517000</v>
      </c>
      <c r="D15" s="39" t="s">
        <v>127</v>
      </c>
      <c r="E15" s="68">
        <v>2777</v>
      </c>
      <c r="M15" s="38" t="s">
        <v>174</v>
      </c>
      <c r="N15" s="67" t="s">
        <v>120</v>
      </c>
      <c r="O15" s="67" t="s">
        <v>200</v>
      </c>
    </row>
    <row r="16" spans="1:15" x14ac:dyDescent="0.2">
      <c r="A16" s="39" t="s">
        <v>80</v>
      </c>
      <c r="B16" s="66">
        <v>343170500</v>
      </c>
      <c r="M16" s="39" t="s">
        <v>56</v>
      </c>
      <c r="N16" s="66">
        <v>13482500</v>
      </c>
      <c r="O16" s="66">
        <v>56482500</v>
      </c>
    </row>
    <row r="17" spans="1:15" x14ac:dyDescent="0.2">
      <c r="A17" s="39" t="s">
        <v>78</v>
      </c>
      <c r="B17" s="66">
        <v>61411500</v>
      </c>
      <c r="M17" s="39" t="s">
        <v>15</v>
      </c>
      <c r="N17" s="66">
        <v>18906000</v>
      </c>
      <c r="O17" s="66">
        <v>61146000</v>
      </c>
    </row>
    <row r="18" spans="1:15" x14ac:dyDescent="0.2">
      <c r="A18" s="39" t="s">
        <v>76</v>
      </c>
      <c r="B18" s="66">
        <v>154779500</v>
      </c>
      <c r="M18" s="39" t="s">
        <v>55</v>
      </c>
      <c r="N18" s="66">
        <v>24375000</v>
      </c>
      <c r="O18" s="66">
        <v>98775000</v>
      </c>
    </row>
    <row r="19" spans="1:15" x14ac:dyDescent="0.2">
      <c r="A19" s="39" t="s">
        <v>79</v>
      </c>
      <c r="B19" s="66">
        <v>148675500</v>
      </c>
      <c r="M19" s="39" t="s">
        <v>16</v>
      </c>
      <c r="N19" s="66">
        <v>27700000</v>
      </c>
      <c r="O19" s="66">
        <v>88150000</v>
      </c>
    </row>
    <row r="20" spans="1:15" x14ac:dyDescent="0.2">
      <c r="A20" s="39" t="s">
        <v>127</v>
      </c>
      <c r="B20" s="66">
        <v>982288500</v>
      </c>
      <c r="M20" s="39" t="s">
        <v>17</v>
      </c>
      <c r="N20" s="66">
        <v>34940000</v>
      </c>
      <c r="O20" s="66">
        <v>124040000</v>
      </c>
    </row>
    <row r="21" spans="1:15" x14ac:dyDescent="0.2">
      <c r="M21" s="39" t="s">
        <v>18</v>
      </c>
      <c r="N21" s="66">
        <v>48090000</v>
      </c>
      <c r="O21" s="66">
        <v>160840000</v>
      </c>
    </row>
    <row r="22" spans="1:15" x14ac:dyDescent="0.2">
      <c r="A22" s="38" t="s">
        <v>198</v>
      </c>
      <c r="B22" s="67" t="s">
        <v>202</v>
      </c>
      <c r="C22" s="67" t="s">
        <v>203</v>
      </c>
      <c r="M22" s="39" t="s">
        <v>19</v>
      </c>
      <c r="N22" s="66">
        <v>23037500</v>
      </c>
      <c r="O22" s="66">
        <v>71337500</v>
      </c>
    </row>
    <row r="23" spans="1:15" x14ac:dyDescent="0.2">
      <c r="A23" s="39">
        <v>1</v>
      </c>
      <c r="B23" s="68">
        <v>89</v>
      </c>
      <c r="C23" s="68">
        <v>338</v>
      </c>
      <c r="M23" s="39" t="s">
        <v>20</v>
      </c>
      <c r="N23" s="66">
        <v>22610000</v>
      </c>
      <c r="O23" s="66">
        <v>70490000</v>
      </c>
    </row>
    <row r="24" spans="1:15" x14ac:dyDescent="0.2">
      <c r="A24" s="39">
        <v>2</v>
      </c>
      <c r="B24" s="68">
        <v>69</v>
      </c>
      <c r="C24" s="68">
        <v>309</v>
      </c>
      <c r="M24" s="39" t="s">
        <v>21</v>
      </c>
      <c r="N24" s="66">
        <v>21097500</v>
      </c>
      <c r="O24" s="66">
        <v>65377500</v>
      </c>
    </row>
    <row r="25" spans="1:15" x14ac:dyDescent="0.2">
      <c r="A25" s="39">
        <v>3</v>
      </c>
      <c r="B25" s="68">
        <v>80</v>
      </c>
      <c r="C25" s="68">
        <v>336</v>
      </c>
      <c r="M25" s="39" t="s">
        <v>57</v>
      </c>
      <c r="N25" s="66">
        <v>59050000</v>
      </c>
      <c r="O25" s="66">
        <v>185650000</v>
      </c>
    </row>
    <row r="26" spans="1:15" x14ac:dyDescent="0.2">
      <c r="A26" s="39">
        <v>4</v>
      </c>
      <c r="B26" s="68">
        <v>88</v>
      </c>
      <c r="C26" s="68">
        <v>381</v>
      </c>
      <c r="M26" s="39" t="s">
        <v>127</v>
      </c>
      <c r="N26" s="66">
        <v>293288500</v>
      </c>
      <c r="O26" s="66">
        <v>982288500</v>
      </c>
    </row>
    <row r="27" spans="1:15" x14ac:dyDescent="0.2">
      <c r="A27" s="39">
        <v>5</v>
      </c>
      <c r="B27" s="68">
        <v>78</v>
      </c>
      <c r="C27" s="68">
        <v>318</v>
      </c>
    </row>
    <row r="28" spans="1:15" x14ac:dyDescent="0.2">
      <c r="A28" s="39">
        <v>6</v>
      </c>
      <c r="B28" s="68">
        <v>88</v>
      </c>
      <c r="C28" s="68">
        <v>351</v>
      </c>
    </row>
    <row r="29" spans="1:15" x14ac:dyDescent="0.2">
      <c r="A29" s="39">
        <v>7</v>
      </c>
      <c r="B29" s="68">
        <v>18</v>
      </c>
      <c r="C29" s="68">
        <v>63</v>
      </c>
      <c r="M29" t="s">
        <v>277</v>
      </c>
      <c r="N29" s="38" t="s">
        <v>126</v>
      </c>
    </row>
    <row r="30" spans="1:15" x14ac:dyDescent="0.2">
      <c r="A30" s="39">
        <v>8</v>
      </c>
      <c r="B30" s="68">
        <v>22</v>
      </c>
      <c r="C30" s="68">
        <v>81</v>
      </c>
      <c r="M30" s="68">
        <v>4080</v>
      </c>
      <c r="N30" s="39" t="s">
        <v>37</v>
      </c>
    </row>
    <row r="31" spans="1:15" x14ac:dyDescent="0.2">
      <c r="A31" s="39">
        <v>9</v>
      </c>
      <c r="B31" s="68">
        <v>16</v>
      </c>
      <c r="C31" s="68">
        <v>72</v>
      </c>
      <c r="N31" s="39" t="s">
        <v>38</v>
      </c>
    </row>
    <row r="32" spans="1:15" x14ac:dyDescent="0.2">
      <c r="A32" s="39">
        <v>10</v>
      </c>
      <c r="B32" s="68">
        <v>9</v>
      </c>
      <c r="C32" s="68">
        <v>32</v>
      </c>
      <c r="N32" s="39" t="s">
        <v>36</v>
      </c>
    </row>
    <row r="33" spans="1:18" x14ac:dyDescent="0.2">
      <c r="A33" s="39">
        <v>11</v>
      </c>
      <c r="B33" s="68">
        <v>11</v>
      </c>
      <c r="C33" s="68">
        <v>50</v>
      </c>
      <c r="N33" s="39" t="s">
        <v>39</v>
      </c>
    </row>
    <row r="34" spans="1:18" x14ac:dyDescent="0.2">
      <c r="A34" s="39">
        <v>12</v>
      </c>
      <c r="B34" s="68">
        <v>11</v>
      </c>
      <c r="C34" s="68">
        <v>48</v>
      </c>
      <c r="N34" s="39" t="s">
        <v>40</v>
      </c>
    </row>
    <row r="35" spans="1:18" x14ac:dyDescent="0.2">
      <c r="A35" s="39">
        <v>13</v>
      </c>
      <c r="B35" s="68">
        <v>18</v>
      </c>
      <c r="C35" s="68">
        <v>78</v>
      </c>
      <c r="N35" s="39" t="s">
        <v>127</v>
      </c>
    </row>
    <row r="36" spans="1:18" x14ac:dyDescent="0.2">
      <c r="A36" s="39">
        <v>14</v>
      </c>
      <c r="B36" s="68">
        <v>14</v>
      </c>
      <c r="C36" s="68">
        <v>63</v>
      </c>
    </row>
    <row r="37" spans="1:18" x14ac:dyDescent="0.2">
      <c r="A37" s="39">
        <v>15</v>
      </c>
      <c r="B37" s="68">
        <v>16</v>
      </c>
      <c r="C37" s="68">
        <v>66</v>
      </c>
      <c r="M37" t="s">
        <v>278</v>
      </c>
      <c r="Q37" s="38" t="s">
        <v>126</v>
      </c>
      <c r="R37" t="s">
        <v>129</v>
      </c>
    </row>
    <row r="38" spans="1:18" x14ac:dyDescent="0.2">
      <c r="A38" s="39">
        <v>16</v>
      </c>
      <c r="B38" s="68">
        <v>34</v>
      </c>
      <c r="C38" s="68">
        <v>142</v>
      </c>
      <c r="M38" s="44">
        <v>3.0390246011986681</v>
      </c>
      <c r="Q38" s="39" t="s">
        <v>57</v>
      </c>
      <c r="R38" s="47">
        <v>185650000</v>
      </c>
    </row>
    <row r="39" spans="1:18" x14ac:dyDescent="0.2">
      <c r="A39" s="39">
        <v>17</v>
      </c>
      <c r="B39" s="68">
        <v>28</v>
      </c>
      <c r="C39" s="68">
        <v>111</v>
      </c>
      <c r="Q39" s="39" t="s">
        <v>18</v>
      </c>
      <c r="R39" s="47">
        <v>160840000</v>
      </c>
    </row>
    <row r="40" spans="1:18" x14ac:dyDescent="0.2">
      <c r="A40" s="39">
        <v>18</v>
      </c>
      <c r="B40" s="68">
        <v>19</v>
      </c>
      <c r="C40" s="68">
        <v>72</v>
      </c>
      <c r="Q40" s="39" t="s">
        <v>17</v>
      </c>
      <c r="R40" s="47">
        <v>124040000</v>
      </c>
    </row>
    <row r="41" spans="1:18" x14ac:dyDescent="0.2">
      <c r="A41" s="39">
        <v>19</v>
      </c>
      <c r="B41" s="68">
        <v>21</v>
      </c>
      <c r="C41" s="68">
        <v>78</v>
      </c>
      <c r="Q41" s="39" t="s">
        <v>127</v>
      </c>
      <c r="R41" s="47">
        <v>470530000</v>
      </c>
    </row>
    <row r="42" spans="1:18" x14ac:dyDescent="0.2">
      <c r="A42" s="39">
        <v>20</v>
      </c>
      <c r="B42" s="68">
        <v>28</v>
      </c>
      <c r="C42" s="68">
        <v>110</v>
      </c>
    </row>
    <row r="43" spans="1:18" x14ac:dyDescent="0.2">
      <c r="A43" s="39">
        <v>21</v>
      </c>
      <c r="B43" s="68">
        <v>27</v>
      </c>
      <c r="C43" s="68">
        <v>116</v>
      </c>
    </row>
    <row r="44" spans="1:18" x14ac:dyDescent="0.2">
      <c r="A44" s="39">
        <v>22</v>
      </c>
      <c r="B44" s="68">
        <v>18</v>
      </c>
      <c r="C44" s="68">
        <v>84</v>
      </c>
    </row>
    <row r="45" spans="1:18" x14ac:dyDescent="0.2">
      <c r="A45" s="39">
        <v>23</v>
      </c>
      <c r="B45" s="68">
        <v>18</v>
      </c>
      <c r="C45" s="68">
        <v>74</v>
      </c>
    </row>
    <row r="46" spans="1:18" x14ac:dyDescent="0.2">
      <c r="A46" s="39">
        <v>24</v>
      </c>
      <c r="B46" s="68">
        <v>21</v>
      </c>
      <c r="C46" s="68">
        <v>83</v>
      </c>
    </row>
    <row r="47" spans="1:18" x14ac:dyDescent="0.2">
      <c r="A47" s="39">
        <v>25</v>
      </c>
      <c r="B47" s="68">
        <v>26</v>
      </c>
      <c r="C47" s="68">
        <v>119</v>
      </c>
    </row>
    <row r="48" spans="1:18" x14ac:dyDescent="0.2">
      <c r="A48" s="39">
        <v>26</v>
      </c>
      <c r="B48" s="68">
        <v>36</v>
      </c>
      <c r="C48" s="68">
        <v>147</v>
      </c>
    </row>
    <row r="49" spans="1:3" x14ac:dyDescent="0.2">
      <c r="A49" s="39">
        <v>27</v>
      </c>
      <c r="B49" s="68">
        <v>20</v>
      </c>
      <c r="C49" s="68">
        <v>77</v>
      </c>
    </row>
    <row r="50" spans="1:3" x14ac:dyDescent="0.2">
      <c r="A50" s="39">
        <v>28</v>
      </c>
      <c r="B50" s="68">
        <v>29</v>
      </c>
      <c r="C50" s="68">
        <v>109</v>
      </c>
    </row>
    <row r="51" spans="1:3" x14ac:dyDescent="0.2">
      <c r="A51" s="39">
        <v>29</v>
      </c>
      <c r="B51" s="68">
        <v>22</v>
      </c>
      <c r="C51" s="68">
        <v>84</v>
      </c>
    </row>
    <row r="52" spans="1:3" x14ac:dyDescent="0.2">
      <c r="A52" s="39">
        <v>30</v>
      </c>
      <c r="B52" s="68">
        <v>26</v>
      </c>
      <c r="C52" s="68">
        <v>88</v>
      </c>
    </row>
    <row r="53" spans="1:3" x14ac:dyDescent="0.2">
      <c r="A53" s="39" t="s">
        <v>127</v>
      </c>
      <c r="B53" s="68">
        <v>1000</v>
      </c>
      <c r="C53" s="68">
        <v>4080</v>
      </c>
    </row>
    <row r="57" spans="1:3" x14ac:dyDescent="0.2">
      <c r="A57" s="38" t="s">
        <v>44</v>
      </c>
      <c r="B57" t="s">
        <v>200</v>
      </c>
    </row>
    <row r="58" spans="1:3" x14ac:dyDescent="0.2">
      <c r="A58" s="39" t="s">
        <v>29</v>
      </c>
      <c r="B58" s="66">
        <v>487110500</v>
      </c>
    </row>
    <row r="59" spans="1:3" x14ac:dyDescent="0.2">
      <c r="A59" s="39" t="s">
        <v>9</v>
      </c>
      <c r="B59" s="66">
        <v>342668000</v>
      </c>
    </row>
    <row r="60" spans="1:3" x14ac:dyDescent="0.2">
      <c r="A60" s="39" t="s">
        <v>290</v>
      </c>
      <c r="B60" s="66">
        <v>152510000</v>
      </c>
    </row>
    <row r="61" spans="1:3" x14ac:dyDescent="0.2">
      <c r="A61" s="39" t="s">
        <v>127</v>
      </c>
      <c r="B61" s="66">
        <v>982288500</v>
      </c>
    </row>
    <row r="64" spans="1:3" x14ac:dyDescent="0.2">
      <c r="A64" s="38" t="s">
        <v>126</v>
      </c>
      <c r="B64" t="s">
        <v>129</v>
      </c>
    </row>
    <row r="65" spans="1:2" x14ac:dyDescent="0.2">
      <c r="A65" s="39" t="s">
        <v>14</v>
      </c>
      <c r="B65" s="68">
        <v>148921500</v>
      </c>
    </row>
    <row r="66" spans="1:2" x14ac:dyDescent="0.2">
      <c r="A66" s="39" t="s">
        <v>12</v>
      </c>
      <c r="B66" s="68">
        <v>133029000</v>
      </c>
    </row>
    <row r="67" spans="1:2" x14ac:dyDescent="0.2">
      <c r="A67" s="39" t="s">
        <v>7</v>
      </c>
      <c r="B67" s="68">
        <v>411689000</v>
      </c>
    </row>
    <row r="68" spans="1:2" x14ac:dyDescent="0.2">
      <c r="A68" s="39" t="s">
        <v>10</v>
      </c>
      <c r="B68" s="68">
        <v>288649000</v>
      </c>
    </row>
    <row r="69" spans="1:2" x14ac:dyDescent="0.2">
      <c r="A69" s="39" t="s">
        <v>127</v>
      </c>
      <c r="B69" s="68">
        <v>982288500</v>
      </c>
    </row>
    <row r="129" spans="1:5" x14ac:dyDescent="0.2">
      <c r="A129" s="38" t="s">
        <v>129</v>
      </c>
      <c r="B129" s="38" t="s">
        <v>280</v>
      </c>
    </row>
    <row r="130" spans="1:5" x14ac:dyDescent="0.2">
      <c r="A130" s="38" t="s">
        <v>126</v>
      </c>
      <c r="B130" s="67" t="s">
        <v>29</v>
      </c>
      <c r="C130" s="67" t="s">
        <v>9</v>
      </c>
      <c r="D130" s="67" t="s">
        <v>290</v>
      </c>
      <c r="E130" s="67" t="s">
        <v>127</v>
      </c>
    </row>
    <row r="131" spans="1:5" x14ac:dyDescent="0.2">
      <c r="A131" s="39" t="s">
        <v>14</v>
      </c>
      <c r="B131" s="68">
        <v>122051500</v>
      </c>
      <c r="C131" s="68"/>
      <c r="D131" s="68">
        <v>26870000</v>
      </c>
      <c r="E131" s="68">
        <v>148921500</v>
      </c>
    </row>
    <row r="132" spans="1:5" x14ac:dyDescent="0.2">
      <c r="A132" s="39" t="s">
        <v>12</v>
      </c>
      <c r="B132" s="68"/>
      <c r="C132" s="68">
        <v>113509000</v>
      </c>
      <c r="D132" s="68">
        <v>19520000</v>
      </c>
      <c r="E132" s="68">
        <v>133029000</v>
      </c>
    </row>
    <row r="133" spans="1:5" x14ac:dyDescent="0.2">
      <c r="A133" s="39" t="s">
        <v>7</v>
      </c>
      <c r="B133" s="68">
        <v>245467000</v>
      </c>
      <c r="C133" s="68">
        <v>107992000</v>
      </c>
      <c r="D133" s="68">
        <v>58230000</v>
      </c>
      <c r="E133" s="68">
        <v>411689000</v>
      </c>
    </row>
    <row r="134" spans="1:5" x14ac:dyDescent="0.2">
      <c r="A134" s="39" t="s">
        <v>10</v>
      </c>
      <c r="B134" s="68">
        <v>119592000</v>
      </c>
      <c r="C134" s="68">
        <v>121167000</v>
      </c>
      <c r="D134" s="68">
        <v>47890000</v>
      </c>
      <c r="E134" s="68">
        <v>288649000</v>
      </c>
    </row>
    <row r="135" spans="1:5" x14ac:dyDescent="0.2">
      <c r="A135" s="39" t="s">
        <v>127</v>
      </c>
      <c r="B135" s="68">
        <v>487110500</v>
      </c>
      <c r="C135" s="68">
        <v>342668000</v>
      </c>
      <c r="D135" s="68">
        <v>152510000</v>
      </c>
      <c r="E135" s="68">
        <v>982288500</v>
      </c>
    </row>
    <row r="138" spans="1:5" x14ac:dyDescent="0.2">
      <c r="A138" s="67" t="s">
        <v>286</v>
      </c>
      <c r="B138" s="67" t="s">
        <v>287</v>
      </c>
      <c r="C138" s="67" t="s">
        <v>288</v>
      </c>
    </row>
    <row r="139" spans="1:5" x14ac:dyDescent="0.2">
      <c r="A139" s="68">
        <v>1000</v>
      </c>
      <c r="B139" s="68">
        <v>651</v>
      </c>
      <c r="C139" s="68">
        <v>276</v>
      </c>
    </row>
    <row r="141" spans="1:5" x14ac:dyDescent="0.2">
      <c r="A141" s="38" t="s">
        <v>126</v>
      </c>
      <c r="B141" t="s">
        <v>285</v>
      </c>
    </row>
    <row r="142" spans="1:5" x14ac:dyDescent="0.2">
      <c r="A142" s="39" t="s">
        <v>282</v>
      </c>
      <c r="B142" s="68">
        <v>510</v>
      </c>
    </row>
    <row r="143" spans="1:5" x14ac:dyDescent="0.2">
      <c r="A143" s="39" t="s">
        <v>283</v>
      </c>
      <c r="B143" s="68">
        <v>101</v>
      </c>
    </row>
    <row r="144" spans="1:5" x14ac:dyDescent="0.2">
      <c r="A144" s="39" t="s">
        <v>284</v>
      </c>
      <c r="B144" s="68">
        <v>173</v>
      </c>
    </row>
    <row r="145" spans="1:2" x14ac:dyDescent="0.2">
      <c r="A145" s="39" t="s">
        <v>289</v>
      </c>
      <c r="B145" s="68">
        <v>216</v>
      </c>
    </row>
    <row r="146" spans="1:2" x14ac:dyDescent="0.2">
      <c r="A146" s="39" t="s">
        <v>127</v>
      </c>
      <c r="B146" s="68">
        <v>1000</v>
      </c>
    </row>
  </sheetData>
  <pageMargins left="0.7" right="0.7" top="0.75" bottom="0.75" header="0.3" footer="0.3"/>
  <drawing r:id="rId22"/>
  <extLst>
    <ext xmlns:x14="http://schemas.microsoft.com/office/spreadsheetml/2009/9/main" uri="{A8765BA9-456A-4dab-B4F3-ACF838C121DE}">
      <x14:slicerList>
        <x14:slicer r:id="rId2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38473-491C-4C58-8EF2-5C1E3C5B960C}">
  <dimension ref="A1:AR1001"/>
  <sheetViews>
    <sheetView topLeftCell="AB1" zoomScale="85" zoomScaleNormal="85" workbookViewId="0">
      <selection activeCell="AK1" sqref="AK1:AK1048576"/>
    </sheetView>
  </sheetViews>
  <sheetFormatPr defaultColWidth="12.7109375" defaultRowHeight="12.75" x14ac:dyDescent="0.2"/>
  <cols>
    <col min="1" max="1" width="8" style="50" bestFit="1" customWidth="1"/>
    <col min="2" max="2" width="20.140625" style="39" bestFit="1" customWidth="1"/>
    <col min="3" max="3" width="13.28515625" style="39" bestFit="1" customWidth="1"/>
    <col min="4" max="4" width="15.140625" style="39" bestFit="1" customWidth="1"/>
    <col min="5" max="5" width="13.7109375" style="39" bestFit="1" customWidth="1"/>
    <col min="6" max="6" width="10.42578125" style="50" bestFit="1" customWidth="1"/>
    <col min="7" max="7" width="13.28515625" style="50" bestFit="1" customWidth="1"/>
    <col min="8" max="8" width="21.28515625" style="74" bestFit="1" customWidth="1"/>
    <col min="9" max="10" width="20.7109375" style="74" bestFit="1" customWidth="1"/>
    <col min="11" max="11" width="20.140625" style="74" bestFit="1" customWidth="1"/>
    <col min="12" max="12" width="13.28515625" style="39" bestFit="1" customWidth="1"/>
    <col min="13" max="13" width="15.140625" style="39" bestFit="1" customWidth="1"/>
    <col min="14" max="14" width="13.7109375" style="39" bestFit="1" customWidth="1"/>
    <col min="15" max="15" width="10.42578125" style="50" bestFit="1" customWidth="1"/>
    <col min="16" max="16" width="13.28515625" style="50" bestFit="1" customWidth="1"/>
    <col min="17" max="17" width="21.28515625" style="74" bestFit="1" customWidth="1"/>
    <col min="18" max="19" width="20.7109375" style="74" bestFit="1" customWidth="1"/>
    <col min="20" max="20" width="20.140625" style="74" bestFit="1" customWidth="1"/>
    <col min="21" max="21" width="13.28515625" style="39" bestFit="1" customWidth="1"/>
    <col min="22" max="22" width="15.140625" style="39" bestFit="1" customWidth="1"/>
    <col min="23" max="23" width="13.7109375" style="39" bestFit="1" customWidth="1"/>
    <col min="24" max="24" width="10.42578125" style="50" bestFit="1" customWidth="1"/>
    <col min="25" max="25" width="13.28515625" style="50" bestFit="1" customWidth="1"/>
    <col min="26" max="26" width="21.28515625" style="74" bestFit="1" customWidth="1"/>
    <col min="27" max="28" width="20.7109375" style="74" bestFit="1" customWidth="1"/>
    <col min="29" max="29" width="20.140625" style="74" bestFit="1" customWidth="1"/>
    <col min="30" max="30" width="13.7109375" style="50" bestFit="1" customWidth="1"/>
    <col min="31" max="31" width="23.5703125" style="74" bestFit="1" customWidth="1"/>
    <col min="32" max="32" width="19.42578125" style="74" bestFit="1" customWidth="1"/>
    <col min="33" max="33" width="17.7109375" style="74" bestFit="1" customWidth="1"/>
    <col min="34" max="34" width="22.42578125" style="74" bestFit="1" customWidth="1"/>
    <col min="35" max="35" width="16.7109375" style="39" bestFit="1" customWidth="1"/>
    <col min="36" max="36" width="11.5703125" style="54" bestFit="1" customWidth="1"/>
    <col min="37" max="38" width="16.7109375" style="39" bestFit="1" customWidth="1"/>
    <col min="39" max="39" width="19.5703125" style="39" bestFit="1" customWidth="1"/>
    <col min="40" max="40" width="19.5703125" style="56" bestFit="1" customWidth="1"/>
    <col min="41" max="41" width="21.140625" style="50" bestFit="1" customWidth="1"/>
    <col min="42" max="42" width="15.7109375" style="39" bestFit="1" customWidth="1"/>
    <col min="43" max="43" width="19.42578125" style="39" bestFit="1" customWidth="1"/>
  </cols>
  <sheetData>
    <row r="1" spans="1:44" x14ac:dyDescent="0.2">
      <c r="A1" s="49" t="s">
        <v>22</v>
      </c>
      <c r="B1" s="49" t="s">
        <v>23</v>
      </c>
      <c r="C1" s="49" t="s">
        <v>114</v>
      </c>
      <c r="D1" s="49" t="s">
        <v>117</v>
      </c>
      <c r="E1" s="49" t="s">
        <v>68</v>
      </c>
      <c r="F1" s="49" t="s">
        <v>24</v>
      </c>
      <c r="G1" s="49" t="s">
        <v>89</v>
      </c>
      <c r="H1" s="72" t="s">
        <v>221</v>
      </c>
      <c r="I1" s="72" t="s">
        <v>222</v>
      </c>
      <c r="J1" s="72" t="s">
        <v>223</v>
      </c>
      <c r="K1" s="72" t="s">
        <v>224</v>
      </c>
      <c r="L1" s="49" t="s">
        <v>115</v>
      </c>
      <c r="M1" s="49" t="s">
        <v>118</v>
      </c>
      <c r="N1" s="49" t="s">
        <v>69</v>
      </c>
      <c r="O1" s="49" t="s">
        <v>25</v>
      </c>
      <c r="P1" s="49" t="s">
        <v>90</v>
      </c>
      <c r="Q1" s="72" t="s">
        <v>225</v>
      </c>
      <c r="R1" s="72" t="s">
        <v>226</v>
      </c>
      <c r="S1" s="72" t="s">
        <v>227</v>
      </c>
      <c r="T1" s="72" t="s">
        <v>228</v>
      </c>
      <c r="U1" s="49" t="s">
        <v>116</v>
      </c>
      <c r="V1" s="49" t="s">
        <v>119</v>
      </c>
      <c r="W1" s="49" t="s">
        <v>70</v>
      </c>
      <c r="X1" s="49" t="s">
        <v>26</v>
      </c>
      <c r="Y1" s="49" t="s">
        <v>91</v>
      </c>
      <c r="Z1" s="72" t="s">
        <v>230</v>
      </c>
      <c r="AA1" s="72" t="s">
        <v>229</v>
      </c>
      <c r="AB1" s="72" t="s">
        <v>231</v>
      </c>
      <c r="AC1" s="72" t="s">
        <v>232</v>
      </c>
      <c r="AD1" s="49" t="s">
        <v>27</v>
      </c>
      <c r="AE1" s="72" t="s">
        <v>233</v>
      </c>
      <c r="AF1" s="72" t="s">
        <v>74</v>
      </c>
      <c r="AG1" s="72" t="s">
        <v>279</v>
      </c>
      <c r="AH1" s="72" t="s">
        <v>234</v>
      </c>
      <c r="AI1" s="57" t="s">
        <v>0</v>
      </c>
      <c r="AJ1" s="58" t="s">
        <v>1</v>
      </c>
      <c r="AK1" s="57" t="s">
        <v>2</v>
      </c>
      <c r="AL1" s="57" t="s">
        <v>3</v>
      </c>
      <c r="AM1" s="57" t="s">
        <v>5</v>
      </c>
      <c r="AN1" s="59" t="s">
        <v>4</v>
      </c>
      <c r="AO1" s="49" t="s">
        <v>207</v>
      </c>
      <c r="AP1" s="49" t="s">
        <v>125</v>
      </c>
      <c r="AQ1" s="57" t="s">
        <v>184</v>
      </c>
      <c r="AR1" s="57" t="s">
        <v>175</v>
      </c>
    </row>
    <row r="2" spans="1:44" x14ac:dyDescent="0.2">
      <c r="A2" s="20">
        <v>1</v>
      </c>
      <c r="B2" s="21" t="str">
        <f>_xlfn.CONCAT("ORD-",INDEX(Helper!$B$2:$B$5,MATCH(cadangan[[#This Row],[Marketplace]],Helper!$A$2:$A$5,0)),TEXT(cadangan[[#This Row],[No]],"0000"),"-",TEXT(cadangan[[#This Row],[Tanggal terjual]],"dd/mm/yy"))</f>
        <v>ORD-BB0001-01/04/23</v>
      </c>
      <c r="C2" s="39" t="s">
        <v>58</v>
      </c>
      <c r="D2" s="39" t="str">
        <f>IFERROR(INDEX(Katalog!$A$3:$A$12,MATCH(cadangan[[#This Row],[ItemID A]],Katalog!$C$3:$C$12,0)),"-")</f>
        <v>Pakaian Wanita</v>
      </c>
      <c r="E2" s="39" t="str">
        <f>IFERROR(INDEX(Katalog!$B$3:$B$12,MATCH(cadangan[[#This Row],[ItemID A]],Katalog!$C$3:$C$12,0)),"-")</f>
        <v>Dress</v>
      </c>
      <c r="F2" s="50">
        <v>1</v>
      </c>
      <c r="G2" s="50">
        <v>4</v>
      </c>
      <c r="H2" s="73">
        <f>IFERROR(INDEX(Katalog!$D$3:$D$12,MATCH(cadangan[[#This Row],[ItemID A]],Katalog!$C$3:$C$12,0))*cadangan[[#This Row],[Qty A]],0)</f>
        <v>300000</v>
      </c>
      <c r="I2" s="73">
        <f>IFERROR(cadangan[[#This Row],[Harga Normal A]]-(cadangan[[#This Row],[Harga Normal A]]*cadangan[[#This Row],[Diskon]]),cadangan[[#This Row],[Harga Normal A]])</f>
        <v>255000</v>
      </c>
      <c r="J2" s="73">
        <f>INDEX(Katalog!$F$3:$F$12,MATCH(cadangan[[#This Row],[ItemID A]],Katalog!$C$3:$C$12,0))*cadangan[[#This Row],[Qty A]]</f>
        <v>100000</v>
      </c>
      <c r="K2" s="73">
        <f>IFERROR(cadangan[[#This Row],[Harga Diskon A]]-INDEX(Katalog!$E$3:$E$12,MATCH(cadangan[[#This Row],[ItemID A]],Katalog!$C$3:$C$12,0))*cadangan[[#This Row],[Qty A]],0)</f>
        <v>55000</v>
      </c>
      <c r="L2" s="52" t="s">
        <v>65</v>
      </c>
      <c r="M2" s="39" t="str">
        <f>IFERROR(INDEX(Katalog!$A$3:$A$12,MATCH(cadangan[[#This Row],[ItemID B]],Katalog!$C$3:$C$12,0)),"-")</f>
        <v>Sepatu Pria</v>
      </c>
      <c r="N2" s="39" t="str">
        <f>IFERROR(INDEX(Katalog!$B$3:$B$12,MATCH(cadangan[[#This Row],[ItemID B]],Katalog!$C$3:$C$12,0)),"-")</f>
        <v>Sneakers</v>
      </c>
      <c r="O2" s="50">
        <v>3</v>
      </c>
      <c r="P2" s="50">
        <v>4</v>
      </c>
      <c r="Q2" s="73">
        <f>IFERROR(INDEX(Katalog!$D$3:$D$12,MATCH(cadangan[[#This Row],[ItemID B]],Katalog!$C$3:$C$12,0))*cadangan[[#This Row],[Qty B]],0)</f>
        <v>1500000</v>
      </c>
      <c r="R2" s="73">
        <f>IFERROR(cadangan[[#This Row],[Harga Normal B]]-(cadangan[[#This Row],[Harga Normal B]]*cadangan[[#This Row],[Diskon]]),cadangan[[#This Row],[Harga Normal B]])</f>
        <v>1275000</v>
      </c>
      <c r="S2" s="73">
        <f>IFERROR(INDEX(Katalog!$F$3:$F$12,MATCH(cadangan[[#This Row],[ItemID B]],Katalog!$C$3:$C$12,0))*cadangan[[#This Row],[Qty B]],0)</f>
        <v>600000</v>
      </c>
      <c r="T2" s="73">
        <f>IFERROR(cadangan[[#This Row],[Harga Diskon B]]-INDEX(Katalog!$E$3:$E$12,MATCH(cadangan[[#This Row],[ItemID B]],Katalog!$C$3:$C$12,0))*cadangan[[#This Row],[Qty B]],0)</f>
        <v>375000</v>
      </c>
      <c r="U2" s="39" t="s">
        <v>67</v>
      </c>
      <c r="V2" s="39" t="str">
        <f>IFERROR(INDEX(Katalog!$A$3:$A$12,MATCH(cadangan[[#This Row],[ItemID C]],Katalog!$C$3:$C$12,0)),"-")</f>
        <v>Sepatu Wanita</v>
      </c>
      <c r="W2" s="39" t="str">
        <f>IFERROR(INDEX(Katalog!$B$3:$B$12,MATCH(cadangan[[#This Row],[ItemID C]],Katalog!$C$3:$C$12,0)),"-")</f>
        <v>Flat Shoes</v>
      </c>
      <c r="X2" s="50">
        <v>2</v>
      </c>
      <c r="Y2" s="50">
        <v>3</v>
      </c>
      <c r="Z2" s="73">
        <f>IFERROR(INDEX(Katalog!$D$3:$D$12,MATCH(cadangan[[#This Row],[ItemID C]],Katalog!$C$3:$C$12,0))*cadangan[[#This Row],[Qty C]],0)</f>
        <v>500000</v>
      </c>
      <c r="AA2" s="73">
        <f>IFERROR(cadangan[[#This Row],[Harga Normal C]]-(cadangan[[#This Row],[Harga Normal C]]*cadangan[[#This Row],[Diskon]]),cadangan[[#This Row],[Harga Normal C]])</f>
        <v>425000</v>
      </c>
      <c r="AB2" s="73">
        <f>IFERROR(INDEX(Katalog!$F$3:$F$12,MATCH(cadangan[[#This Row],[ItemID C]],Katalog!$C$3:$C$12,0))*cadangan[[#This Row],[Qty C]],0)</f>
        <v>200000</v>
      </c>
      <c r="AC2" s="73">
        <f>IFERROR(cadangan[[#This Row],[Harga Diskon C]]-INDEX(Katalog!$E$3:$E$12,MATCH(cadangan[[#This Row],[ItemID C]],Katalog!$C$3:$C$12,0))*cadangan[[#This Row],[Qty C]],0)</f>
        <v>125000</v>
      </c>
      <c r="AD2" s="53">
        <f>cadangan[[#This Row],[Qty A]]+cadangan[[#This Row],[Qty B]]+cadangan[[#This Row],[Qty C]]</f>
        <v>6</v>
      </c>
      <c r="AE2" s="73">
        <f>cadangan[[#This Row],[Harga Normal A]]+cadangan[[#This Row],[Harga Normal B]]+cadangan[[#This Row],[Harga Normal C]]</f>
        <v>2300000</v>
      </c>
      <c r="AF2" s="73">
        <f>cadangan[[#This Row],[Harga Diskon A]]+cadangan[[#This Row],[Harga Diskon B]]+cadangan[[#This Row],[Harga Diskon C]]</f>
        <v>1955000</v>
      </c>
      <c r="AG2" s="73">
        <f>(cadangan[[#This Row],[Profit Normal A]]+cadangan[[#This Row],[Profit Normal B]]+cadangan[[#This Row],[Profit Normal C]])</f>
        <v>900000</v>
      </c>
      <c r="AH2" s="73">
        <f>cadangan[[#This Row],[Profit Diskon A]]+cadangan[[#This Row],[Profit Diskon B]]+cadangan[[#This Row],[Profit Diskon C]]</f>
        <v>555000</v>
      </c>
      <c r="AI2" s="23" t="s">
        <v>28</v>
      </c>
      <c r="AJ2" s="37">
        <f>IFERROR(INDEX('Kode Diskon'!$D$3:$D$9,MATCH(cadangan[[#This Row],[Kode diskon]],'Kode Diskon'!$C$3:$C$9,0)),"-")</f>
        <v>0.15</v>
      </c>
      <c r="AK2" s="23" t="s">
        <v>29</v>
      </c>
      <c r="AL2" s="23" t="s">
        <v>14</v>
      </c>
      <c r="AM2" s="23" t="s">
        <v>75</v>
      </c>
      <c r="AN2" s="55">
        <v>45017</v>
      </c>
      <c r="AO2" s="53">
        <f>DAY(cadangan[[#This Row],[Tanggal terjual]])</f>
        <v>1</v>
      </c>
      <c r="AP2" s="21" t="str">
        <f>TEXT(cadangan[[#This Row],[Tanggal terjual]],"dddd")</f>
        <v>Saturday</v>
      </c>
      <c r="AQ2" s="23" t="str" cm="1">
        <f t="array" ref="AQ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 s="61">
        <f>AVERAGE(cadangan[[#This Row],[Rating A]],cadangan[[#This Row],[Rating B]],cadangan[[#This Row],[Rating C]])</f>
        <v>3.6666666666666665</v>
      </c>
    </row>
    <row r="3" spans="1:44" x14ac:dyDescent="0.2">
      <c r="A3" s="20">
        <v>2</v>
      </c>
      <c r="B3" s="21" t="str">
        <f>_xlfn.CONCAT("ORD-",INDEX(Helper!$B$2:$B$5,MATCH(cadangan[[#This Row],[Marketplace]],Helper!$A$2:$A$5,0)),TEXT(cadangan[[#This Row],[No]],"0000"),"-",TEXT(cadangan[[#This Row],[Tanggal terjual]],"dd/mm/yy"))</f>
        <v>ORD-TK0002-02/04/23</v>
      </c>
      <c r="C3" s="39" t="s">
        <v>59</v>
      </c>
      <c r="D3" s="39" t="str">
        <f>IFERROR(INDEX(Katalog!$A$3:$A$12,MATCH(cadangan[[#This Row],[ItemID A]],Katalog!$C$3:$C$12,0)),"-")</f>
        <v>Pakaian Wanita</v>
      </c>
      <c r="E3" s="39" t="str">
        <f>IFERROR(INDEX(Katalog!$B$3:$B$12,MATCH(cadangan[[#This Row],[ItemID A]],Katalog!$C$3:$C$12,0)),"-")</f>
        <v>Blouse</v>
      </c>
      <c r="F3" s="50">
        <v>1</v>
      </c>
      <c r="G3" s="50">
        <v>2</v>
      </c>
      <c r="H3" s="73">
        <f>IFERROR(INDEX(Katalog!$D$3:$D$12,MATCH(cadangan[[#This Row],[ItemID A]],Katalog!$C$3:$C$12,0))*cadangan[[#This Row],[Qty A]],0)</f>
        <v>150000</v>
      </c>
      <c r="I3" s="73">
        <f>IFERROR(cadangan[[#This Row],[Harga Normal A]]-(cadangan[[#This Row],[Harga Normal A]]*cadangan[[#This Row],[Diskon]]),cadangan[[#This Row],[Harga Normal A]])</f>
        <v>135000</v>
      </c>
      <c r="J3" s="73">
        <f>INDEX(Katalog!$F$3:$F$12,MATCH(cadangan[[#This Row],[ItemID A]],Katalog!$C$3:$C$12,0))*cadangan[[#This Row],[Qty A]]</f>
        <v>50000</v>
      </c>
      <c r="K3" s="73">
        <f>IFERROR(cadangan[[#This Row],[Harga Diskon A]]-INDEX(Katalog!$E$3:$E$12,MATCH(cadangan[[#This Row],[ItemID A]],Katalog!$C$3:$C$12,0))*cadangan[[#This Row],[Qty A]],0)</f>
        <v>35000</v>
      </c>
      <c r="L3" s="39" t="s">
        <v>63</v>
      </c>
      <c r="M3" s="39" t="str">
        <f>IFERROR(INDEX(Katalog!$A$3:$A$12,MATCH(cadangan[[#This Row],[ItemID B]],Katalog!$C$3:$C$12,0)),"-")</f>
        <v>Pakaian Pria</v>
      </c>
      <c r="N3" s="39" t="str">
        <f>IFERROR(INDEX(Katalog!$B$3:$B$12,MATCH(cadangan[[#This Row],[ItemID B]],Katalog!$C$3:$C$12,0)),"-")</f>
        <v>Jaket Jeans</v>
      </c>
      <c r="O3" s="50">
        <v>1</v>
      </c>
      <c r="P3" s="50">
        <v>1</v>
      </c>
      <c r="Q3" s="73">
        <f>IFERROR(INDEX(Katalog!$D$3:$D$12,MATCH(cadangan[[#This Row],[ItemID B]],Katalog!$C$3:$C$12,0))*cadangan[[#This Row],[Qty B]],0)</f>
        <v>400000</v>
      </c>
      <c r="R3" s="73">
        <f>IFERROR(cadangan[[#This Row],[Harga Normal B]]-(cadangan[[#This Row],[Harga Normal B]]*cadangan[[#This Row],[Diskon]]),cadangan[[#This Row],[Harga Normal B]])</f>
        <v>360000</v>
      </c>
      <c r="S3" s="73">
        <f>IFERROR(INDEX(Katalog!$F$3:$F$12,MATCH(cadangan[[#This Row],[ItemID B]],Katalog!$C$3:$C$12,0))*cadangan[[#This Row],[Qty B]],0)</f>
        <v>150000</v>
      </c>
      <c r="T3" s="73">
        <f>IFERROR(cadangan[[#This Row],[Harga Diskon B]]-INDEX(Katalog!$E$3:$E$12,MATCH(cadangan[[#This Row],[ItemID B]],Katalog!$C$3:$C$12,0))*cadangan[[#This Row],[Qty B]],0)</f>
        <v>110000</v>
      </c>
      <c r="U3" s="39" t="s">
        <v>66</v>
      </c>
      <c r="V3" s="39" t="str">
        <f>IFERROR(INDEX(Katalog!$A$3:$A$12,MATCH(cadangan[[#This Row],[ItemID C]],Katalog!$C$3:$C$12,0)),"-")</f>
        <v>Sepatu Pria</v>
      </c>
      <c r="W3" s="39" t="str">
        <f>IFERROR(INDEX(Katalog!$B$3:$B$12,MATCH(cadangan[[#This Row],[ItemID C]],Katalog!$C$3:$C$12,0)),"-")</f>
        <v>Sandal Slip On</v>
      </c>
      <c r="X3" s="50">
        <v>2</v>
      </c>
      <c r="Y3" s="50">
        <v>4</v>
      </c>
      <c r="Z3" s="73">
        <f>IFERROR(INDEX(Katalog!$D$3:$D$12,MATCH(cadangan[[#This Row],[ItemID C]],Katalog!$C$3:$C$12,0))*cadangan[[#This Row],[Qty C]],0)</f>
        <v>300000</v>
      </c>
      <c r="AA3" s="73">
        <f>IFERROR(cadangan[[#This Row],[Harga Normal C]]-(cadangan[[#This Row],[Harga Normal C]]*cadangan[[#This Row],[Diskon]]),cadangan[[#This Row],[Harga Normal C]])</f>
        <v>270000</v>
      </c>
      <c r="AB3" s="73">
        <f>IFERROR(INDEX(Katalog!$F$3:$F$12,MATCH(cadangan[[#This Row],[ItemID C]],Katalog!$C$3:$C$12,0))*cadangan[[#This Row],[Qty C]],0)</f>
        <v>120000</v>
      </c>
      <c r="AC3" s="73">
        <f>IFERROR(cadangan[[#This Row],[Harga Diskon C]]-INDEX(Katalog!$E$3:$E$12,MATCH(cadangan[[#This Row],[ItemID C]],Katalog!$C$3:$C$12,0))*cadangan[[#This Row],[Qty C]],0)</f>
        <v>90000</v>
      </c>
      <c r="AD3" s="53">
        <f>cadangan[[#This Row],[Qty A]]+cadangan[[#This Row],[Qty B]]+cadangan[[#This Row],[Qty C]]</f>
        <v>4</v>
      </c>
      <c r="AE3" s="73">
        <f>cadangan[[#This Row],[Harga Normal A]]+cadangan[[#This Row],[Harga Normal B]]+cadangan[[#This Row],[Harga Normal C]]</f>
        <v>850000</v>
      </c>
      <c r="AF3" s="73">
        <f>cadangan[[#This Row],[Harga Diskon A]]+cadangan[[#This Row],[Harga Diskon B]]+cadangan[[#This Row],[Harga Diskon C]]</f>
        <v>765000</v>
      </c>
      <c r="AG3" s="73">
        <f>(cadangan[[#This Row],[Profit Normal A]]+cadangan[[#This Row],[Profit Normal B]]+cadangan[[#This Row],[Profit Normal C]])</f>
        <v>320000</v>
      </c>
      <c r="AH3" s="73">
        <f>cadangan[[#This Row],[Profit Diskon A]]+cadangan[[#This Row],[Profit Diskon B]]+cadangan[[#This Row],[Profit Diskon C]]</f>
        <v>235000</v>
      </c>
      <c r="AI3" s="23" t="s">
        <v>30</v>
      </c>
      <c r="AJ3" s="37">
        <f>IFERROR(INDEX('Kode Diskon'!$D$3:$D$9,MATCH(cadangan[[#This Row],[Kode diskon]],'Kode Diskon'!$C$3:$C$9,0)),"-")</f>
        <v>0.1</v>
      </c>
      <c r="AK3" s="23" t="s">
        <v>29</v>
      </c>
      <c r="AL3" s="23" t="s">
        <v>10</v>
      </c>
      <c r="AM3" s="23" t="s">
        <v>75</v>
      </c>
      <c r="AN3" s="55">
        <v>45018</v>
      </c>
      <c r="AO3" s="53">
        <f>DAY(cadangan[[#This Row],[Tanggal terjual]])</f>
        <v>2</v>
      </c>
      <c r="AP3" s="21" t="str">
        <f>TEXT(cadangan[[#This Row],[Tanggal terjual]],"dddd")</f>
        <v>Sunday</v>
      </c>
      <c r="AQ3" s="23" t="str" cm="1">
        <f t="array" ref="AQ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 s="61">
        <f>AVERAGE(cadangan[[#This Row],[Rating A]],cadangan[[#This Row],[Rating B]],cadangan[[#This Row],[Rating C]])</f>
        <v>2.3333333333333335</v>
      </c>
    </row>
    <row r="4" spans="1:44" x14ac:dyDescent="0.2">
      <c r="A4" s="20">
        <v>3</v>
      </c>
      <c r="B4" s="21" t="str">
        <f>_xlfn.CONCAT("ORD-",INDEX(Helper!$B$2:$B$5,MATCH(cadangan[[#This Row],[Marketplace]],Helper!$A$2:$A$5,0)),TEXT(cadangan[[#This Row],[No]],"0000"),"-",TEXT(cadangan[[#This Row],[Tanggal terjual]],"dd/mm/yy"))</f>
        <v>ORD-TK0003-03/04/23</v>
      </c>
      <c r="C4" s="39" t="s">
        <v>60</v>
      </c>
      <c r="D4" s="39" t="str">
        <f>IFERROR(INDEX(Katalog!$A$3:$A$12,MATCH(cadangan[[#This Row],[ItemID A]],Katalog!$C$3:$C$12,0)),"-")</f>
        <v>Pakaian Wanita</v>
      </c>
      <c r="E4" s="39" t="str">
        <f>IFERROR(INDEX(Katalog!$B$3:$B$12,MATCH(cadangan[[#This Row],[ItemID A]],Katalog!$C$3:$C$12,0)),"-")</f>
        <v>Kaftan</v>
      </c>
      <c r="F4" s="50">
        <v>2</v>
      </c>
      <c r="G4" s="50">
        <v>3</v>
      </c>
      <c r="H4" s="73">
        <f>IFERROR(INDEX(Katalog!$D$3:$D$12,MATCH(cadangan[[#This Row],[ItemID A]],Katalog!$C$3:$C$12,0))*cadangan[[#This Row],[Qty A]],0)</f>
        <v>500000</v>
      </c>
      <c r="I4" s="73">
        <f>IFERROR(cadangan[[#This Row],[Harga Normal A]]-(cadangan[[#This Row],[Harga Normal A]]*cadangan[[#This Row],[Diskon]]),cadangan[[#This Row],[Harga Normal A]])</f>
        <v>450000</v>
      </c>
      <c r="J4" s="73">
        <f>INDEX(Katalog!$F$3:$F$12,MATCH(cadangan[[#This Row],[ItemID A]],Katalog!$C$3:$C$12,0))*cadangan[[#This Row],[Qty A]]</f>
        <v>200000</v>
      </c>
      <c r="K4" s="73">
        <f>IFERROR(cadangan[[#This Row],[Harga Diskon A]]-INDEX(Katalog!$E$3:$E$12,MATCH(cadangan[[#This Row],[ItemID A]],Katalog!$C$3:$C$12,0))*cadangan[[#This Row],[Qty A]],0)</f>
        <v>150000</v>
      </c>
      <c r="L4" s="39" t="s">
        <v>67</v>
      </c>
      <c r="M4" s="39" t="str">
        <f>IFERROR(INDEX(Katalog!$A$3:$A$12,MATCH(cadangan[[#This Row],[ItemID B]],Katalog!$C$3:$C$12,0)),"-")</f>
        <v>Sepatu Wanita</v>
      </c>
      <c r="N4" s="39" t="str">
        <f>IFERROR(INDEX(Katalog!$B$3:$B$12,MATCH(cadangan[[#This Row],[ItemID B]],Katalog!$C$3:$C$12,0)),"-")</f>
        <v>Flat Shoes</v>
      </c>
      <c r="O4" s="50">
        <v>1</v>
      </c>
      <c r="P4" s="50">
        <v>5</v>
      </c>
      <c r="Q4" s="73">
        <f>IFERROR(INDEX(Katalog!$D$3:$D$12,MATCH(cadangan[[#This Row],[ItemID B]],Katalog!$C$3:$C$12,0))*cadangan[[#This Row],[Qty B]],0)</f>
        <v>250000</v>
      </c>
      <c r="R4" s="73">
        <f>IFERROR(cadangan[[#This Row],[Harga Normal B]]-(cadangan[[#This Row],[Harga Normal B]]*cadangan[[#This Row],[Diskon]]),cadangan[[#This Row],[Harga Normal B]])</f>
        <v>225000</v>
      </c>
      <c r="S4" s="73">
        <f>IFERROR(INDEX(Katalog!$F$3:$F$12,MATCH(cadangan[[#This Row],[ItemID B]],Katalog!$C$3:$C$12,0))*cadangan[[#This Row],[Qty B]],0)</f>
        <v>100000</v>
      </c>
      <c r="T4" s="73">
        <f>IFERROR(cadangan[[#This Row],[Harga Diskon B]]-INDEX(Katalog!$E$3:$E$12,MATCH(cadangan[[#This Row],[ItemID B]],Katalog!$C$3:$C$12,0))*cadangan[[#This Row],[Qty B]],0)</f>
        <v>75000</v>
      </c>
      <c r="V4" s="39" t="str">
        <f>IFERROR(INDEX(Katalog!$A$3:$A$12,MATCH(cadangan[[#This Row],[ItemID C]],Katalog!$C$3:$C$12,0)),"-")</f>
        <v>-</v>
      </c>
      <c r="W4" s="39" t="str">
        <f>IFERROR(INDEX(Katalog!$B$3:$B$12,MATCH(cadangan[[#This Row],[ItemID C]],Katalog!$C$3:$C$12,0)),"-")</f>
        <v>-</v>
      </c>
      <c r="Z4" s="73">
        <f>IFERROR(INDEX(Katalog!$D$3:$D$12,MATCH(cadangan[[#This Row],[ItemID C]],Katalog!$C$3:$C$12,0))*cadangan[[#This Row],[Qty C]],0)</f>
        <v>0</v>
      </c>
      <c r="AA4" s="73">
        <f>IFERROR(cadangan[[#This Row],[Harga Normal C]]-(cadangan[[#This Row],[Harga Normal C]]*cadangan[[#This Row],[Diskon]]),cadangan[[#This Row],[Harga Normal C]])</f>
        <v>0</v>
      </c>
      <c r="AB4" s="73">
        <f>IFERROR(INDEX(Katalog!$F$3:$F$12,MATCH(cadangan[[#This Row],[ItemID C]],Katalog!$C$3:$C$12,0))*cadangan[[#This Row],[Qty C]],0)</f>
        <v>0</v>
      </c>
      <c r="AC4" s="73">
        <f>IFERROR(cadangan[[#This Row],[Harga Diskon C]]-INDEX(Katalog!$E$3:$E$12,MATCH(cadangan[[#This Row],[ItemID C]],Katalog!$C$3:$C$12,0))*cadangan[[#This Row],[Qty C]],0)</f>
        <v>0</v>
      </c>
      <c r="AD4" s="53">
        <f>cadangan[[#This Row],[Qty A]]+cadangan[[#This Row],[Qty B]]+cadangan[[#This Row],[Qty C]]</f>
        <v>3</v>
      </c>
      <c r="AE4" s="73">
        <f>cadangan[[#This Row],[Harga Normal A]]+cadangan[[#This Row],[Harga Normal B]]+cadangan[[#This Row],[Harga Normal C]]</f>
        <v>750000</v>
      </c>
      <c r="AF4" s="73">
        <f>cadangan[[#This Row],[Harga Diskon A]]+cadangan[[#This Row],[Harga Diskon B]]+cadangan[[#This Row],[Harga Diskon C]]</f>
        <v>675000</v>
      </c>
      <c r="AG4" s="73">
        <f>(cadangan[[#This Row],[Profit Normal A]]+cadangan[[#This Row],[Profit Normal B]]+cadangan[[#This Row],[Profit Normal C]])</f>
        <v>300000</v>
      </c>
      <c r="AH4" s="73">
        <f>cadangan[[#This Row],[Profit Diskon A]]+cadangan[[#This Row],[Profit Diskon B]]+cadangan[[#This Row],[Profit Diskon C]]</f>
        <v>225000</v>
      </c>
      <c r="AI4" s="23" t="s">
        <v>30</v>
      </c>
      <c r="AJ4" s="37">
        <f>IFERROR(INDEX('Kode Diskon'!$D$3:$D$9,MATCH(cadangan[[#This Row],[Kode diskon]],'Kode Diskon'!$C$3:$C$9,0)),"-")</f>
        <v>0.1</v>
      </c>
      <c r="AK4" s="23" t="s">
        <v>29</v>
      </c>
      <c r="AL4" s="23" t="s">
        <v>10</v>
      </c>
      <c r="AM4" s="23" t="s">
        <v>76</v>
      </c>
      <c r="AN4" s="55">
        <v>45019</v>
      </c>
      <c r="AO4" s="53">
        <f>DAY(cadangan[[#This Row],[Tanggal terjual]])</f>
        <v>3</v>
      </c>
      <c r="AP4" s="21" t="str">
        <f>TEXT(cadangan[[#This Row],[Tanggal terjual]],"dddd")</f>
        <v>Monday</v>
      </c>
      <c r="AQ4" s="23" t="str" cm="1">
        <f t="array" ref="AQ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 s="61">
        <f>AVERAGE(cadangan[[#This Row],[Rating A]],cadangan[[#This Row],[Rating B]],cadangan[[#This Row],[Rating C]])</f>
        <v>4</v>
      </c>
    </row>
    <row r="5" spans="1:44" x14ac:dyDescent="0.2">
      <c r="A5" s="20">
        <v>4</v>
      </c>
      <c r="B5" s="21" t="str">
        <f>_xlfn.CONCAT("ORD-",INDEX(Helper!$B$2:$B$5,MATCH(cadangan[[#This Row],[Marketplace]],Helper!$A$2:$A$5,0)),TEXT(cadangan[[#This Row],[No]],"0000"),"-",TEXT(cadangan[[#This Row],[Tanggal terjual]],"dd/mm/yy"))</f>
        <v>ORD-SP0004-17/04/23</v>
      </c>
      <c r="C5" s="39" t="s">
        <v>61</v>
      </c>
      <c r="D5" s="39" t="str">
        <f>IFERROR(INDEX(Katalog!$A$3:$A$12,MATCH(cadangan[[#This Row],[ItemID A]],Katalog!$C$3:$C$12,0)),"-")</f>
        <v>Pakaian Pria</v>
      </c>
      <c r="E5" s="39" t="str">
        <f>IFERROR(INDEX(Katalog!$B$3:$B$12,MATCH(cadangan[[#This Row],[ItemID A]],Katalog!$C$3:$C$12,0)),"-")</f>
        <v>Kaos Polo</v>
      </c>
      <c r="F5" s="50">
        <v>1</v>
      </c>
      <c r="G5" s="50">
        <v>1</v>
      </c>
      <c r="H5" s="73">
        <f>IFERROR(INDEX(Katalog!$D$3:$D$12,MATCH(cadangan[[#This Row],[ItemID A]],Katalog!$C$3:$C$12,0))*cadangan[[#This Row],[Qty A]],0)</f>
        <v>200000</v>
      </c>
      <c r="I5" s="73">
        <f>IFERROR(cadangan[[#This Row],[Harga Normal A]]-(cadangan[[#This Row],[Harga Normal A]]*cadangan[[#This Row],[Diskon]]),cadangan[[#This Row],[Harga Normal A]])</f>
        <v>160000</v>
      </c>
      <c r="J5" s="73">
        <f>INDEX(Katalog!$F$3:$F$12,MATCH(cadangan[[#This Row],[ItemID A]],Katalog!$C$3:$C$12,0))*cadangan[[#This Row],[Qty A]]</f>
        <v>80000</v>
      </c>
      <c r="K5" s="73">
        <f>IFERROR(cadangan[[#This Row],[Harga Diskon A]]-INDEX(Katalog!$E$3:$E$12,MATCH(cadangan[[#This Row],[ItemID A]],Katalog!$C$3:$C$12,0))*cadangan[[#This Row],[Qty A]],0)</f>
        <v>40000</v>
      </c>
      <c r="L5" s="39" t="s">
        <v>62</v>
      </c>
      <c r="M5" s="39" t="str">
        <f>IFERROR(INDEX(Katalog!$A$3:$A$12,MATCH(cadangan[[#This Row],[ItemID B]],Katalog!$C$3:$C$12,0)),"-")</f>
        <v>Pakaian Pria</v>
      </c>
      <c r="N5" s="39" t="str">
        <f>IFERROR(INDEX(Katalog!$B$3:$B$12,MATCH(cadangan[[#This Row],[ItemID B]],Katalog!$C$3:$C$12,0)),"-")</f>
        <v>Celana Pendek</v>
      </c>
      <c r="O5" s="50">
        <v>1</v>
      </c>
      <c r="P5" s="50">
        <v>3</v>
      </c>
      <c r="Q5" s="73">
        <f>IFERROR(INDEX(Katalog!$D$3:$D$12,MATCH(cadangan[[#This Row],[ItemID B]],Katalog!$C$3:$C$12,0))*cadangan[[#This Row],[Qty B]],0)</f>
        <v>180000</v>
      </c>
      <c r="R5" s="73">
        <f>IFERROR(cadangan[[#This Row],[Harga Normal B]]-(cadangan[[#This Row],[Harga Normal B]]*cadangan[[#This Row],[Diskon]]),cadangan[[#This Row],[Harga Normal B]])</f>
        <v>144000</v>
      </c>
      <c r="S5" s="73">
        <f>IFERROR(INDEX(Katalog!$F$3:$F$12,MATCH(cadangan[[#This Row],[ItemID B]],Katalog!$C$3:$C$12,0))*cadangan[[#This Row],[Qty B]],0)</f>
        <v>70000</v>
      </c>
      <c r="T5" s="73">
        <f>IFERROR(cadangan[[#This Row],[Harga Diskon B]]-INDEX(Katalog!$E$3:$E$12,MATCH(cadangan[[#This Row],[ItemID B]],Katalog!$C$3:$C$12,0))*cadangan[[#This Row],[Qty B]],0)</f>
        <v>34000</v>
      </c>
      <c r="U5" s="39" t="s">
        <v>64</v>
      </c>
      <c r="V5" s="39" t="str">
        <f>IFERROR(INDEX(Katalog!$A$3:$A$12,MATCH(cadangan[[#This Row],[ItemID C]],Katalog!$C$3:$C$12,0)),"-")</f>
        <v>Pakaian Unisex</v>
      </c>
      <c r="W5" s="39" t="str">
        <f>IFERROR(INDEX(Katalog!$B$3:$B$12,MATCH(cadangan[[#This Row],[ItemID C]],Katalog!$C$3:$C$12,0)),"-")</f>
        <v>Jaket Hoodie</v>
      </c>
      <c r="X5" s="50">
        <v>3</v>
      </c>
      <c r="Y5" s="50">
        <v>2</v>
      </c>
      <c r="Z5" s="73">
        <f>IFERROR(INDEX(Katalog!$D$3:$D$12,MATCH(cadangan[[#This Row],[ItemID C]],Katalog!$C$3:$C$12,0))*cadangan[[#This Row],[Qty C]],0)</f>
        <v>1050000</v>
      </c>
      <c r="AA5" s="73">
        <f>IFERROR(cadangan[[#This Row],[Harga Normal C]]-(cadangan[[#This Row],[Harga Normal C]]*cadangan[[#This Row],[Diskon]]),cadangan[[#This Row],[Harga Normal C]])</f>
        <v>840000</v>
      </c>
      <c r="AB5" s="73">
        <f>IFERROR(INDEX(Katalog!$F$3:$F$12,MATCH(cadangan[[#This Row],[ItemID C]],Katalog!$C$3:$C$12,0))*cadangan[[#This Row],[Qty C]],0)</f>
        <v>390000</v>
      </c>
      <c r="AC5" s="73">
        <f>IFERROR(cadangan[[#This Row],[Harga Diskon C]]-INDEX(Katalog!$E$3:$E$12,MATCH(cadangan[[#This Row],[ItemID C]],Katalog!$C$3:$C$12,0))*cadangan[[#This Row],[Qty C]],0)</f>
        <v>180000</v>
      </c>
      <c r="AD5" s="53">
        <f>cadangan[[#This Row],[Qty A]]+cadangan[[#This Row],[Qty B]]+cadangan[[#This Row],[Qty C]]</f>
        <v>5</v>
      </c>
      <c r="AE5" s="73">
        <f>cadangan[[#This Row],[Harga Normal A]]+cadangan[[#This Row],[Harga Normal B]]+cadangan[[#This Row],[Harga Normal C]]</f>
        <v>1430000</v>
      </c>
      <c r="AF5" s="73">
        <f>cadangan[[#This Row],[Harga Diskon A]]+cadangan[[#This Row],[Harga Diskon B]]+cadangan[[#This Row],[Harga Diskon C]]</f>
        <v>1144000</v>
      </c>
      <c r="AG5" s="73">
        <f>(cadangan[[#This Row],[Profit Normal A]]+cadangan[[#This Row],[Profit Normal B]]+cadangan[[#This Row],[Profit Normal C]])</f>
        <v>540000</v>
      </c>
      <c r="AH5" s="73">
        <f>cadangan[[#This Row],[Profit Diskon A]]+cadangan[[#This Row],[Profit Diskon B]]+cadangan[[#This Row],[Profit Diskon C]]</f>
        <v>254000</v>
      </c>
      <c r="AI5" s="23" t="s">
        <v>8</v>
      </c>
      <c r="AJ5" s="37">
        <f>IFERROR(INDEX('Kode Diskon'!$D$3:$D$9,MATCH(cadangan[[#This Row],[Kode diskon]],'Kode Diskon'!$C$3:$C$9,0)),"-")</f>
        <v>0.2</v>
      </c>
      <c r="AK5" s="23" t="s">
        <v>9</v>
      </c>
      <c r="AL5" s="23" t="s">
        <v>7</v>
      </c>
      <c r="AM5" s="23" t="s">
        <v>77</v>
      </c>
      <c r="AN5" s="55">
        <v>45033</v>
      </c>
      <c r="AO5" s="53">
        <f>DAY(cadangan[[#This Row],[Tanggal terjual]])</f>
        <v>17</v>
      </c>
      <c r="AP5" s="21" t="str">
        <f>TEXT(cadangan[[#This Row],[Tanggal terjual]],"dddd")</f>
        <v>Monday</v>
      </c>
      <c r="AQ5" s="23" t="str" cm="1">
        <f t="array" ref="AQ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 s="61">
        <f>AVERAGE(cadangan[[#This Row],[Rating A]],cadangan[[#This Row],[Rating B]],cadangan[[#This Row],[Rating C]])</f>
        <v>2</v>
      </c>
    </row>
    <row r="6" spans="1:44" x14ac:dyDescent="0.2">
      <c r="A6" s="20">
        <v>5</v>
      </c>
      <c r="B6" s="21" t="str">
        <f>_xlfn.CONCAT("ORD-",INDEX(Helper!$B$2:$B$5,MATCH(cadangan[[#This Row],[Marketplace]],Helper!$A$2:$A$5,0)),TEXT(cadangan[[#This Row],[No]],"0000"),"-",TEXT(cadangan[[#This Row],[Tanggal terjual]],"dd/mm/yy"))</f>
        <v>ORD-TK0005-24/04/23</v>
      </c>
      <c r="C6" s="39" t="s">
        <v>62</v>
      </c>
      <c r="D6" s="39" t="str">
        <f>IFERROR(INDEX(Katalog!$A$3:$A$12,MATCH(cadangan[[#This Row],[ItemID A]],Katalog!$C$3:$C$12,0)),"-")</f>
        <v>Pakaian Pria</v>
      </c>
      <c r="E6" s="39" t="str">
        <f>IFERROR(INDEX(Katalog!$B$3:$B$12,MATCH(cadangan[[#This Row],[ItemID A]],Katalog!$C$3:$C$12,0)),"-")</f>
        <v>Celana Pendek</v>
      </c>
      <c r="F6" s="50">
        <v>2</v>
      </c>
      <c r="G6" s="50">
        <v>3</v>
      </c>
      <c r="H6" s="73">
        <f>IFERROR(INDEX(Katalog!$D$3:$D$12,MATCH(cadangan[[#This Row],[ItemID A]],Katalog!$C$3:$C$12,0))*cadangan[[#This Row],[Qty A]],0)</f>
        <v>360000</v>
      </c>
      <c r="I6" s="73">
        <f>IFERROR(cadangan[[#This Row],[Harga Normal A]]-(cadangan[[#This Row],[Harga Normal A]]*cadangan[[#This Row],[Diskon]]),cadangan[[#This Row],[Harga Normal A]])</f>
        <v>324000</v>
      </c>
      <c r="J6" s="73">
        <f>INDEX(Katalog!$F$3:$F$12,MATCH(cadangan[[#This Row],[ItemID A]],Katalog!$C$3:$C$12,0))*cadangan[[#This Row],[Qty A]]</f>
        <v>140000</v>
      </c>
      <c r="K6" s="73">
        <f>IFERROR(cadangan[[#This Row],[Harga Diskon A]]-INDEX(Katalog!$E$3:$E$12,MATCH(cadangan[[#This Row],[ItemID A]],Katalog!$C$3:$C$12,0))*cadangan[[#This Row],[Qty A]],0)</f>
        <v>104000</v>
      </c>
      <c r="L6" s="39" t="s">
        <v>62</v>
      </c>
      <c r="M6" s="39" t="str">
        <f>IFERROR(INDEX(Katalog!$A$3:$A$12,MATCH(cadangan[[#This Row],[ItemID B]],Katalog!$C$3:$C$12,0)),"-")</f>
        <v>Pakaian Pria</v>
      </c>
      <c r="N6" s="39" t="str">
        <f>IFERROR(INDEX(Katalog!$B$3:$B$12,MATCH(cadangan[[#This Row],[ItemID B]],Katalog!$C$3:$C$12,0)),"-")</f>
        <v>Celana Pendek</v>
      </c>
      <c r="O6" s="50">
        <v>1</v>
      </c>
      <c r="P6" s="50">
        <v>2</v>
      </c>
      <c r="Q6" s="73">
        <f>IFERROR(INDEX(Katalog!$D$3:$D$12,MATCH(cadangan[[#This Row],[ItemID B]],Katalog!$C$3:$C$12,0))*cadangan[[#This Row],[Qty B]],0)</f>
        <v>180000</v>
      </c>
      <c r="R6" s="73">
        <f>IFERROR(cadangan[[#This Row],[Harga Normal B]]-(cadangan[[#This Row],[Harga Normal B]]*cadangan[[#This Row],[Diskon]]),cadangan[[#This Row],[Harga Normal B]])</f>
        <v>162000</v>
      </c>
      <c r="S6" s="73">
        <f>IFERROR(INDEX(Katalog!$F$3:$F$12,MATCH(cadangan[[#This Row],[ItemID B]],Katalog!$C$3:$C$12,0))*cadangan[[#This Row],[Qty B]],0)</f>
        <v>70000</v>
      </c>
      <c r="T6" s="73">
        <f>IFERROR(cadangan[[#This Row],[Harga Diskon B]]-INDEX(Katalog!$E$3:$E$12,MATCH(cadangan[[#This Row],[ItemID B]],Katalog!$C$3:$C$12,0))*cadangan[[#This Row],[Qty B]],0)</f>
        <v>52000</v>
      </c>
      <c r="V6" s="39" t="str">
        <f>IFERROR(INDEX(Katalog!$A$3:$A$12,MATCH(cadangan[[#This Row],[ItemID C]],Katalog!$C$3:$C$12,0)),"-")</f>
        <v>-</v>
      </c>
      <c r="W6" s="39" t="str">
        <f>IFERROR(INDEX(Katalog!$B$3:$B$12,MATCH(cadangan[[#This Row],[ItemID C]],Katalog!$C$3:$C$12,0)),"-")</f>
        <v>-</v>
      </c>
      <c r="Z6" s="73">
        <f>IFERROR(INDEX(Katalog!$D$3:$D$12,MATCH(cadangan[[#This Row],[ItemID C]],Katalog!$C$3:$C$12,0))*cadangan[[#This Row],[Qty C]],0)</f>
        <v>0</v>
      </c>
      <c r="AA6" s="73">
        <f>IFERROR(cadangan[[#This Row],[Harga Normal C]]-(cadangan[[#This Row],[Harga Normal C]]*cadangan[[#This Row],[Diskon]]),cadangan[[#This Row],[Harga Normal C]])</f>
        <v>0</v>
      </c>
      <c r="AB6" s="73">
        <f>IFERROR(INDEX(Katalog!$F$3:$F$12,MATCH(cadangan[[#This Row],[ItemID C]],Katalog!$C$3:$C$12,0))*cadangan[[#This Row],[Qty C]],0)</f>
        <v>0</v>
      </c>
      <c r="AC6" s="73">
        <f>IFERROR(cadangan[[#This Row],[Harga Diskon C]]-INDEX(Katalog!$E$3:$E$12,MATCH(cadangan[[#This Row],[ItemID C]],Katalog!$C$3:$C$12,0))*cadangan[[#This Row],[Qty C]],0)</f>
        <v>0</v>
      </c>
      <c r="AD6" s="53">
        <f>cadangan[[#This Row],[Qty A]]+cadangan[[#This Row],[Qty B]]+cadangan[[#This Row],[Qty C]]</f>
        <v>3</v>
      </c>
      <c r="AE6" s="73">
        <f>cadangan[[#This Row],[Harga Normal A]]+cadangan[[#This Row],[Harga Normal B]]+cadangan[[#This Row],[Harga Normal C]]</f>
        <v>540000</v>
      </c>
      <c r="AF6" s="73">
        <f>cadangan[[#This Row],[Harga Diskon A]]+cadangan[[#This Row],[Harga Diskon B]]+cadangan[[#This Row],[Harga Diskon C]]</f>
        <v>486000</v>
      </c>
      <c r="AG6" s="73">
        <f>(cadangan[[#This Row],[Profit Normal A]]+cadangan[[#This Row],[Profit Normal B]]+cadangan[[#This Row],[Profit Normal C]])</f>
        <v>210000</v>
      </c>
      <c r="AH6" s="73">
        <f>cadangan[[#This Row],[Profit Diskon A]]+cadangan[[#This Row],[Profit Diskon B]]+cadangan[[#This Row],[Profit Diskon C]]</f>
        <v>156000</v>
      </c>
      <c r="AI6" s="23" t="s">
        <v>31</v>
      </c>
      <c r="AJ6" s="37">
        <f>IFERROR(INDEX('Kode Diskon'!$D$3:$D$9,MATCH(cadangan[[#This Row],[Kode diskon]],'Kode Diskon'!$C$3:$C$9,0)),"-")</f>
        <v>0.1</v>
      </c>
      <c r="AK6" s="23" t="s">
        <v>9</v>
      </c>
      <c r="AL6" s="23" t="s">
        <v>10</v>
      </c>
      <c r="AM6" s="23" t="s">
        <v>78</v>
      </c>
      <c r="AN6" s="55">
        <v>45040</v>
      </c>
      <c r="AO6" s="53">
        <f>DAY(cadangan[[#This Row],[Tanggal terjual]])</f>
        <v>24</v>
      </c>
      <c r="AP6" s="21" t="str">
        <f>TEXT(cadangan[[#This Row],[Tanggal terjual]],"dddd")</f>
        <v>Monday</v>
      </c>
      <c r="AQ6" s="23" t="str" cm="1">
        <f t="array" ref="AQ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 s="61">
        <f>AVERAGE(cadangan[[#This Row],[Rating A]],cadangan[[#This Row],[Rating B]],cadangan[[#This Row],[Rating C]])</f>
        <v>2.5</v>
      </c>
    </row>
    <row r="7" spans="1:44" x14ac:dyDescent="0.2">
      <c r="A7" s="20">
        <v>6</v>
      </c>
      <c r="B7" s="21" t="str">
        <f>_xlfn.CONCAT("ORD-",INDEX(Helper!$B$2:$B$5,MATCH(cadangan[[#This Row],[Marketplace]],Helper!$A$2:$A$5,0)),TEXT(cadangan[[#This Row],[No]],"0000"),"-",TEXT(cadangan[[#This Row],[Tanggal terjual]],"dd/mm/yy"))</f>
        <v>ORD-TK0006-20/04/23</v>
      </c>
      <c r="C7" s="39" t="s">
        <v>63</v>
      </c>
      <c r="D7" s="39" t="str">
        <f>IFERROR(INDEX(Katalog!$A$3:$A$12,MATCH(cadangan[[#This Row],[ItemID A]],Katalog!$C$3:$C$12,0)),"-")</f>
        <v>Pakaian Pria</v>
      </c>
      <c r="E7" s="39" t="str">
        <f>IFERROR(INDEX(Katalog!$B$3:$B$12,MATCH(cadangan[[#This Row],[ItemID A]],Katalog!$C$3:$C$12,0)),"-")</f>
        <v>Jaket Jeans</v>
      </c>
      <c r="F7" s="51">
        <v>2</v>
      </c>
      <c r="G7" s="50">
        <v>4</v>
      </c>
      <c r="H7" s="73">
        <f>IFERROR(INDEX(Katalog!$D$3:$D$12,MATCH(cadangan[[#This Row],[ItemID A]],Katalog!$C$3:$C$12,0))*cadangan[[#This Row],[Qty A]],0)</f>
        <v>800000</v>
      </c>
      <c r="I7" s="73">
        <f>IFERROR(cadangan[[#This Row],[Harga Normal A]]-(cadangan[[#This Row],[Harga Normal A]]*cadangan[[#This Row],[Diskon]]),cadangan[[#This Row],[Harga Normal A]])</f>
        <v>720000</v>
      </c>
      <c r="J7" s="73">
        <f>INDEX(Katalog!$F$3:$F$12,MATCH(cadangan[[#This Row],[ItemID A]],Katalog!$C$3:$C$12,0))*cadangan[[#This Row],[Qty A]]</f>
        <v>300000</v>
      </c>
      <c r="K7" s="73">
        <f>IFERROR(cadangan[[#This Row],[Harga Diskon A]]-INDEX(Katalog!$E$3:$E$12,MATCH(cadangan[[#This Row],[ItemID A]],Katalog!$C$3:$C$12,0))*cadangan[[#This Row],[Qty A]],0)</f>
        <v>220000</v>
      </c>
      <c r="L7" s="39" t="s">
        <v>62</v>
      </c>
      <c r="M7" s="39" t="str">
        <f>IFERROR(INDEX(Katalog!$A$3:$A$12,MATCH(cadangan[[#This Row],[ItemID B]],Katalog!$C$3:$C$12,0)),"-")</f>
        <v>Pakaian Pria</v>
      </c>
      <c r="N7" s="39" t="str">
        <f>IFERROR(INDEX(Katalog!$B$3:$B$12,MATCH(cadangan[[#This Row],[ItemID B]],Katalog!$C$3:$C$12,0)),"-")</f>
        <v>Celana Pendek</v>
      </c>
      <c r="O7" s="50">
        <v>2</v>
      </c>
      <c r="P7" s="50">
        <v>3</v>
      </c>
      <c r="Q7" s="73">
        <f>IFERROR(INDEX(Katalog!$D$3:$D$12,MATCH(cadangan[[#This Row],[ItemID B]],Katalog!$C$3:$C$12,0))*cadangan[[#This Row],[Qty B]],0)</f>
        <v>360000</v>
      </c>
      <c r="R7" s="73">
        <f>IFERROR(cadangan[[#This Row],[Harga Normal B]]-(cadangan[[#This Row],[Harga Normal B]]*cadangan[[#This Row],[Diskon]]),cadangan[[#This Row],[Harga Normal B]])</f>
        <v>324000</v>
      </c>
      <c r="S7" s="73">
        <f>IFERROR(INDEX(Katalog!$F$3:$F$12,MATCH(cadangan[[#This Row],[ItemID B]],Katalog!$C$3:$C$12,0))*cadangan[[#This Row],[Qty B]],0)</f>
        <v>140000</v>
      </c>
      <c r="T7" s="73">
        <f>IFERROR(cadangan[[#This Row],[Harga Diskon B]]-INDEX(Katalog!$E$3:$E$12,MATCH(cadangan[[#This Row],[ItemID B]],Katalog!$C$3:$C$12,0))*cadangan[[#This Row],[Qty B]],0)</f>
        <v>104000</v>
      </c>
      <c r="U7" s="39" t="s">
        <v>64</v>
      </c>
      <c r="V7" s="39" t="str">
        <f>IFERROR(INDEX(Katalog!$A$3:$A$12,MATCH(cadangan[[#This Row],[ItemID C]],Katalog!$C$3:$C$12,0)),"-")</f>
        <v>Pakaian Unisex</v>
      </c>
      <c r="W7" s="39" t="str">
        <f>IFERROR(INDEX(Katalog!$B$3:$B$12,MATCH(cadangan[[#This Row],[ItemID C]],Katalog!$C$3:$C$12,0)),"-")</f>
        <v>Jaket Hoodie</v>
      </c>
      <c r="X7" s="50">
        <v>1</v>
      </c>
      <c r="Y7" s="50">
        <v>5</v>
      </c>
      <c r="Z7" s="73">
        <f>IFERROR(INDEX(Katalog!$D$3:$D$12,MATCH(cadangan[[#This Row],[ItemID C]],Katalog!$C$3:$C$12,0))*cadangan[[#This Row],[Qty C]],0)</f>
        <v>350000</v>
      </c>
      <c r="AA7" s="73">
        <f>IFERROR(cadangan[[#This Row],[Harga Normal C]]-(cadangan[[#This Row],[Harga Normal C]]*cadangan[[#This Row],[Diskon]]),cadangan[[#This Row],[Harga Normal C]])</f>
        <v>315000</v>
      </c>
      <c r="AB7" s="73">
        <f>IFERROR(INDEX(Katalog!$F$3:$F$12,MATCH(cadangan[[#This Row],[ItemID C]],Katalog!$C$3:$C$12,0))*cadangan[[#This Row],[Qty C]],0)</f>
        <v>130000</v>
      </c>
      <c r="AC7" s="73">
        <f>IFERROR(cadangan[[#This Row],[Harga Diskon C]]-INDEX(Katalog!$E$3:$E$12,MATCH(cadangan[[#This Row],[ItemID C]],Katalog!$C$3:$C$12,0))*cadangan[[#This Row],[Qty C]],0)</f>
        <v>95000</v>
      </c>
      <c r="AD7" s="53">
        <f>cadangan[[#This Row],[Qty A]]+cadangan[[#This Row],[Qty B]]+cadangan[[#This Row],[Qty C]]</f>
        <v>5</v>
      </c>
      <c r="AE7" s="73">
        <f>cadangan[[#This Row],[Harga Normal A]]+cadangan[[#This Row],[Harga Normal B]]+cadangan[[#This Row],[Harga Normal C]]</f>
        <v>1510000</v>
      </c>
      <c r="AF7" s="73">
        <f>cadangan[[#This Row],[Harga Diskon A]]+cadangan[[#This Row],[Harga Diskon B]]+cadangan[[#This Row],[Harga Diskon C]]</f>
        <v>1359000</v>
      </c>
      <c r="AG7" s="73">
        <f>(cadangan[[#This Row],[Profit Normal A]]+cadangan[[#This Row],[Profit Normal B]]+cadangan[[#This Row],[Profit Normal C]])</f>
        <v>570000</v>
      </c>
      <c r="AH7" s="73">
        <f>cadangan[[#This Row],[Profit Diskon A]]+cadangan[[#This Row],[Profit Diskon B]]+cadangan[[#This Row],[Profit Diskon C]]</f>
        <v>419000</v>
      </c>
      <c r="AI7" s="23" t="s">
        <v>31</v>
      </c>
      <c r="AJ7" s="37">
        <f>IFERROR(INDEX('Kode Diskon'!$D$3:$D$9,MATCH(cadangan[[#This Row],[Kode diskon]],'Kode Diskon'!$C$3:$C$9,0)),"-")</f>
        <v>0.1</v>
      </c>
      <c r="AK7" s="23" t="s">
        <v>9</v>
      </c>
      <c r="AL7" s="23" t="s">
        <v>10</v>
      </c>
      <c r="AM7" s="23" t="s">
        <v>80</v>
      </c>
      <c r="AN7" s="55">
        <v>45036</v>
      </c>
      <c r="AO7" s="53">
        <f>DAY(cadangan[[#This Row],[Tanggal terjual]])</f>
        <v>20</v>
      </c>
      <c r="AP7" s="21" t="str">
        <f>TEXT(cadangan[[#This Row],[Tanggal terjual]],"dddd")</f>
        <v>Thursday</v>
      </c>
      <c r="AQ7" s="23" t="str" cm="1">
        <f t="array" ref="AQ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 s="61">
        <f>AVERAGE(cadangan[[#This Row],[Rating A]],cadangan[[#This Row],[Rating B]],cadangan[[#This Row],[Rating C]])</f>
        <v>4</v>
      </c>
    </row>
    <row r="8" spans="1:44" x14ac:dyDescent="0.2">
      <c r="A8" s="20">
        <v>7</v>
      </c>
      <c r="B8" s="21" t="str">
        <f>_xlfn.CONCAT("ORD-",INDEX(Helper!$B$2:$B$5,MATCH(cadangan[[#This Row],[Marketplace]],Helper!$A$2:$A$5,0)),TEXT(cadangan[[#This Row],[No]],"0000"),"-",TEXT(cadangan[[#This Row],[Tanggal terjual]],"dd/mm/yy"))</f>
        <v>ORD-BB0007-01/04/23</v>
      </c>
      <c r="C8" s="39" t="s">
        <v>64</v>
      </c>
      <c r="D8" s="39" t="str">
        <f>IFERROR(INDEX(Katalog!$A$3:$A$12,MATCH(cadangan[[#This Row],[ItemID A]],Katalog!$C$3:$C$12,0)),"-")</f>
        <v>Pakaian Unisex</v>
      </c>
      <c r="E8" s="39" t="str">
        <f>IFERROR(INDEX(Katalog!$B$3:$B$12,MATCH(cadangan[[#This Row],[ItemID A]],Katalog!$C$3:$C$12,0)),"-")</f>
        <v>Jaket Hoodie</v>
      </c>
      <c r="F8" s="50">
        <v>4</v>
      </c>
      <c r="G8" s="50">
        <v>4</v>
      </c>
      <c r="H8" s="73">
        <f>IFERROR(INDEX(Katalog!$D$3:$D$12,MATCH(cadangan[[#This Row],[ItemID A]],Katalog!$C$3:$C$12,0))*cadangan[[#This Row],[Qty A]],0)</f>
        <v>1400000</v>
      </c>
      <c r="I8" s="73">
        <f>IFERROR(cadangan[[#This Row],[Harga Normal A]]-(cadangan[[#This Row],[Harga Normal A]]*cadangan[[#This Row],[Diskon]]),cadangan[[#This Row],[Harga Normal A]])</f>
        <v>1190000</v>
      </c>
      <c r="J8" s="73">
        <f>INDEX(Katalog!$F$3:$F$12,MATCH(cadangan[[#This Row],[ItemID A]],Katalog!$C$3:$C$12,0))*cadangan[[#This Row],[Qty A]]</f>
        <v>520000</v>
      </c>
      <c r="K8" s="73">
        <f>IFERROR(cadangan[[#This Row],[Harga Diskon A]]-INDEX(Katalog!$E$3:$E$12,MATCH(cadangan[[#This Row],[ItemID A]],Katalog!$C$3:$C$12,0))*cadangan[[#This Row],[Qty A]],0)</f>
        <v>310000</v>
      </c>
      <c r="M8" s="39" t="str">
        <f>IFERROR(INDEX(Katalog!$A$3:$A$12,MATCH(cadangan[[#This Row],[ItemID B]],Katalog!$C$3:$C$12,0)),"-")</f>
        <v>-</v>
      </c>
      <c r="N8" s="39" t="str">
        <f>IFERROR(INDEX(Katalog!$B$3:$B$12,MATCH(cadangan[[#This Row],[ItemID B]],Katalog!$C$3:$C$12,0)),"-")</f>
        <v>-</v>
      </c>
      <c r="Q8" s="73">
        <f>IFERROR(INDEX(Katalog!$D$3:$D$12,MATCH(cadangan[[#This Row],[ItemID B]],Katalog!$C$3:$C$12,0))*cadangan[[#This Row],[Qty B]],0)</f>
        <v>0</v>
      </c>
      <c r="R8" s="73">
        <f>IFERROR(cadangan[[#This Row],[Harga Normal B]]-(cadangan[[#This Row],[Harga Normal B]]*cadangan[[#This Row],[Diskon]]),cadangan[[#This Row],[Harga Normal B]])</f>
        <v>0</v>
      </c>
      <c r="S8" s="73">
        <f>IFERROR(INDEX(Katalog!$F$3:$F$12,MATCH(cadangan[[#This Row],[ItemID B]],Katalog!$C$3:$C$12,0))*cadangan[[#This Row],[Qty B]],0)</f>
        <v>0</v>
      </c>
      <c r="T8" s="73">
        <f>IFERROR(cadangan[[#This Row],[Harga Diskon B]]-INDEX(Katalog!$E$3:$E$12,MATCH(cadangan[[#This Row],[ItemID B]],Katalog!$C$3:$C$12,0))*cadangan[[#This Row],[Qty B]],0)</f>
        <v>0</v>
      </c>
      <c r="V8" s="39" t="str">
        <f>IFERROR(INDEX(Katalog!$A$3:$A$12,MATCH(cadangan[[#This Row],[ItemID C]],Katalog!$C$3:$C$12,0)),"-")</f>
        <v>-</v>
      </c>
      <c r="W8" s="39" t="str">
        <f>IFERROR(INDEX(Katalog!$B$3:$B$12,MATCH(cadangan[[#This Row],[ItemID C]],Katalog!$C$3:$C$12,0)),"-")</f>
        <v>-</v>
      </c>
      <c r="Z8" s="73">
        <f>IFERROR(INDEX(Katalog!$D$3:$D$12,MATCH(cadangan[[#This Row],[ItemID C]],Katalog!$C$3:$C$12,0))*cadangan[[#This Row],[Qty C]],0)</f>
        <v>0</v>
      </c>
      <c r="AA8" s="73">
        <f>IFERROR(cadangan[[#This Row],[Harga Normal C]]-(cadangan[[#This Row],[Harga Normal C]]*cadangan[[#This Row],[Diskon]]),cadangan[[#This Row],[Harga Normal C]])</f>
        <v>0</v>
      </c>
      <c r="AB8" s="73">
        <f>IFERROR(INDEX(Katalog!$F$3:$F$12,MATCH(cadangan[[#This Row],[ItemID C]],Katalog!$C$3:$C$12,0))*cadangan[[#This Row],[Qty C]],0)</f>
        <v>0</v>
      </c>
      <c r="AC8" s="73">
        <f>IFERROR(cadangan[[#This Row],[Harga Diskon C]]-INDEX(Katalog!$E$3:$E$12,MATCH(cadangan[[#This Row],[ItemID C]],Katalog!$C$3:$C$12,0))*cadangan[[#This Row],[Qty C]],0)</f>
        <v>0</v>
      </c>
      <c r="AD8" s="53">
        <f>cadangan[[#This Row],[Qty A]]+cadangan[[#This Row],[Qty B]]+cadangan[[#This Row],[Qty C]]</f>
        <v>4</v>
      </c>
      <c r="AE8" s="73">
        <f>cadangan[[#This Row],[Harga Normal A]]+cadangan[[#This Row],[Harga Normal B]]+cadangan[[#This Row],[Harga Normal C]]</f>
        <v>1400000</v>
      </c>
      <c r="AF8" s="73">
        <f>cadangan[[#This Row],[Harga Diskon A]]+cadangan[[#This Row],[Harga Diskon B]]+cadangan[[#This Row],[Harga Diskon C]]</f>
        <v>1190000</v>
      </c>
      <c r="AG8" s="73">
        <f>(cadangan[[#This Row],[Profit Normal A]]+cadangan[[#This Row],[Profit Normal B]]+cadangan[[#This Row],[Profit Normal C]])</f>
        <v>520000</v>
      </c>
      <c r="AH8" s="73">
        <f>cadangan[[#This Row],[Profit Diskon A]]+cadangan[[#This Row],[Profit Diskon B]]+cadangan[[#This Row],[Profit Diskon C]]</f>
        <v>310000</v>
      </c>
      <c r="AI8" s="23" t="s">
        <v>28</v>
      </c>
      <c r="AJ8" s="37">
        <f>IFERROR(INDEX('Kode Diskon'!$D$3:$D$9,MATCH(cadangan[[#This Row],[Kode diskon]],'Kode Diskon'!$C$3:$C$9,0)),"-")</f>
        <v>0.15</v>
      </c>
      <c r="AK8" s="23" t="s">
        <v>29</v>
      </c>
      <c r="AL8" s="23" t="s">
        <v>14</v>
      </c>
      <c r="AM8" s="23" t="s">
        <v>79</v>
      </c>
      <c r="AN8" s="55">
        <v>45017</v>
      </c>
      <c r="AO8" s="53">
        <f>DAY(cadangan[[#This Row],[Tanggal terjual]])</f>
        <v>1</v>
      </c>
      <c r="AP8" s="21" t="str">
        <f>TEXT(cadangan[[#This Row],[Tanggal terjual]],"dddd")</f>
        <v>Saturday</v>
      </c>
      <c r="AQ8" s="23" t="str" cm="1">
        <f t="array" ref="AQ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 s="61">
        <f>AVERAGE(cadangan[[#This Row],[Rating A]],cadangan[[#This Row],[Rating B]],cadangan[[#This Row],[Rating C]])</f>
        <v>4</v>
      </c>
    </row>
    <row r="9" spans="1:44" x14ac:dyDescent="0.2">
      <c r="A9" s="20">
        <v>8</v>
      </c>
      <c r="B9" s="21" t="str">
        <f>_xlfn.CONCAT("ORD-",INDEX(Helper!$B$2:$B$5,MATCH(cadangan[[#This Row],[Marketplace]],Helper!$A$2:$A$5,0)),TEXT(cadangan[[#This Row],[No]],"0000"),"-",TEXT(cadangan[[#This Row],[Tanggal terjual]],"dd/mm/yy"))</f>
        <v>ORD-BL0008-25/04/23</v>
      </c>
      <c r="C9" s="39" t="s">
        <v>65</v>
      </c>
      <c r="D9" s="39" t="str">
        <f>IFERROR(INDEX(Katalog!$A$3:$A$12,MATCH(cadangan[[#This Row],[ItemID A]],Katalog!$C$3:$C$12,0)),"-")</f>
        <v>Sepatu Pria</v>
      </c>
      <c r="E9" s="39" t="str">
        <f>IFERROR(INDEX(Katalog!$B$3:$B$12,MATCH(cadangan[[#This Row],[ItemID A]],Katalog!$C$3:$C$12,0)),"-")</f>
        <v>Sneakers</v>
      </c>
      <c r="F9" s="50">
        <v>4</v>
      </c>
      <c r="G9" s="50">
        <v>1</v>
      </c>
      <c r="H9" s="73">
        <f>IFERROR(INDEX(Katalog!$D$3:$D$12,MATCH(cadangan[[#This Row],[ItemID A]],Katalog!$C$3:$C$12,0))*cadangan[[#This Row],[Qty A]],0)</f>
        <v>2000000</v>
      </c>
      <c r="I9" s="73">
        <f>IFERROR(cadangan[[#This Row],[Harga Normal A]]-(cadangan[[#This Row],[Harga Normal A]]*cadangan[[#This Row],[Diskon]]),cadangan[[#This Row],[Harga Normal A]])</f>
        <v>1700000</v>
      </c>
      <c r="J9" s="73">
        <f>INDEX(Katalog!$F$3:$F$12,MATCH(cadangan[[#This Row],[ItemID A]],Katalog!$C$3:$C$12,0))*cadangan[[#This Row],[Qty A]]</f>
        <v>800000</v>
      </c>
      <c r="K9" s="73">
        <f>IFERROR(cadangan[[#This Row],[Harga Diskon A]]-INDEX(Katalog!$E$3:$E$12,MATCH(cadangan[[#This Row],[ItemID A]],Katalog!$C$3:$C$12,0))*cadangan[[#This Row],[Qty A]],0)</f>
        <v>500000</v>
      </c>
      <c r="L9" s="39" t="s">
        <v>62</v>
      </c>
      <c r="M9" s="39" t="str">
        <f>IFERROR(INDEX(Katalog!$A$3:$A$12,MATCH(cadangan[[#This Row],[ItemID B]],Katalog!$C$3:$C$12,0)),"-")</f>
        <v>Pakaian Pria</v>
      </c>
      <c r="N9" s="39" t="str">
        <f>IFERROR(INDEX(Katalog!$B$3:$B$12,MATCH(cadangan[[#This Row],[ItemID B]],Katalog!$C$3:$C$12,0)),"-")</f>
        <v>Celana Pendek</v>
      </c>
      <c r="O9" s="50">
        <v>1</v>
      </c>
      <c r="P9" s="50">
        <v>3</v>
      </c>
      <c r="Q9" s="73">
        <f>IFERROR(INDEX(Katalog!$D$3:$D$12,MATCH(cadangan[[#This Row],[ItemID B]],Katalog!$C$3:$C$12,0))*cadangan[[#This Row],[Qty B]],0)</f>
        <v>180000</v>
      </c>
      <c r="R9" s="73">
        <f>IFERROR(cadangan[[#This Row],[Harga Normal B]]-(cadangan[[#This Row],[Harga Normal B]]*cadangan[[#This Row],[Diskon]]),cadangan[[#This Row],[Harga Normal B]])</f>
        <v>153000</v>
      </c>
      <c r="S9" s="73">
        <f>IFERROR(INDEX(Katalog!$F$3:$F$12,MATCH(cadangan[[#This Row],[ItemID B]],Katalog!$C$3:$C$12,0))*cadangan[[#This Row],[Qty B]],0)</f>
        <v>70000</v>
      </c>
      <c r="T9" s="73">
        <f>IFERROR(cadangan[[#This Row],[Harga Diskon B]]-INDEX(Katalog!$E$3:$E$12,MATCH(cadangan[[#This Row],[ItemID B]],Katalog!$C$3:$C$12,0))*cadangan[[#This Row],[Qty B]],0)</f>
        <v>43000</v>
      </c>
      <c r="V9" s="39" t="str">
        <f>IFERROR(INDEX(Katalog!$A$3:$A$12,MATCH(cadangan[[#This Row],[ItemID C]],Katalog!$C$3:$C$12,0)),"-")</f>
        <v>-</v>
      </c>
      <c r="W9" s="39" t="str">
        <f>IFERROR(INDEX(Katalog!$B$3:$B$12,MATCH(cadangan[[#This Row],[ItemID C]],Katalog!$C$3:$C$12,0)),"-")</f>
        <v>-</v>
      </c>
      <c r="Z9" s="73">
        <f>IFERROR(INDEX(Katalog!$D$3:$D$12,MATCH(cadangan[[#This Row],[ItemID C]],Katalog!$C$3:$C$12,0))*cadangan[[#This Row],[Qty C]],0)</f>
        <v>0</v>
      </c>
      <c r="AA9" s="73">
        <f>IFERROR(cadangan[[#This Row],[Harga Normal C]]-(cadangan[[#This Row],[Harga Normal C]]*cadangan[[#This Row],[Diskon]]),cadangan[[#This Row],[Harga Normal C]])</f>
        <v>0</v>
      </c>
      <c r="AB9" s="73">
        <f>IFERROR(INDEX(Katalog!$F$3:$F$12,MATCH(cadangan[[#This Row],[ItemID C]],Katalog!$C$3:$C$12,0))*cadangan[[#This Row],[Qty C]],0)</f>
        <v>0</v>
      </c>
      <c r="AC9" s="73">
        <f>IFERROR(cadangan[[#This Row],[Harga Diskon C]]-INDEX(Katalog!$E$3:$E$12,MATCH(cadangan[[#This Row],[ItemID C]],Katalog!$C$3:$C$12,0))*cadangan[[#This Row],[Qty C]],0)</f>
        <v>0</v>
      </c>
      <c r="AD9" s="53">
        <f>cadangan[[#This Row],[Qty A]]+cadangan[[#This Row],[Qty B]]+cadangan[[#This Row],[Qty C]]</f>
        <v>5</v>
      </c>
      <c r="AE9" s="73">
        <f>cadangan[[#This Row],[Harga Normal A]]+cadangan[[#This Row],[Harga Normal B]]+cadangan[[#This Row],[Harga Normal C]]</f>
        <v>2180000</v>
      </c>
      <c r="AF9" s="73">
        <f>cadangan[[#This Row],[Harga Diskon A]]+cadangan[[#This Row],[Harga Diskon B]]+cadangan[[#This Row],[Harga Diskon C]]</f>
        <v>1853000</v>
      </c>
      <c r="AG9" s="73">
        <f>(cadangan[[#This Row],[Profit Normal A]]+cadangan[[#This Row],[Profit Normal B]]+cadangan[[#This Row],[Profit Normal C]])</f>
        <v>870000</v>
      </c>
      <c r="AH9" s="73">
        <f>cadangan[[#This Row],[Profit Diskon A]]+cadangan[[#This Row],[Profit Diskon B]]+cadangan[[#This Row],[Profit Diskon C]]</f>
        <v>543000</v>
      </c>
      <c r="AI9" s="23" t="s">
        <v>32</v>
      </c>
      <c r="AJ9" s="37">
        <f>IFERROR(INDEX('Kode Diskon'!$D$3:$D$9,MATCH(cadangan[[#This Row],[Kode diskon]],'Kode Diskon'!$C$3:$C$9,0)),"-")</f>
        <v>0.15</v>
      </c>
      <c r="AK9" s="23" t="s">
        <v>9</v>
      </c>
      <c r="AL9" s="23" t="s">
        <v>12</v>
      </c>
      <c r="AM9" s="23" t="s">
        <v>75</v>
      </c>
      <c r="AN9" s="55">
        <v>45041</v>
      </c>
      <c r="AO9" s="53">
        <f>DAY(cadangan[[#This Row],[Tanggal terjual]])</f>
        <v>25</v>
      </c>
      <c r="AP9" s="21" t="str">
        <f>TEXT(cadangan[[#This Row],[Tanggal terjual]],"dddd")</f>
        <v>Tuesday</v>
      </c>
      <c r="AQ9" s="23" t="str" cm="1">
        <f t="array" ref="AQ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 s="61">
        <f>AVERAGE(cadangan[[#This Row],[Rating A]],cadangan[[#This Row],[Rating B]],cadangan[[#This Row],[Rating C]])</f>
        <v>2</v>
      </c>
    </row>
    <row r="10" spans="1:44" x14ac:dyDescent="0.2">
      <c r="A10" s="20">
        <v>9</v>
      </c>
      <c r="B10" s="21" t="str">
        <f>_xlfn.CONCAT("ORD-",INDEX(Helper!$B$2:$B$5,MATCH(cadangan[[#This Row],[Marketplace]],Helper!$A$2:$A$5,0)),TEXT(cadangan[[#This Row],[No]],"0000"),"-",TEXT(cadangan[[#This Row],[Tanggal terjual]],"dd/mm/yy"))</f>
        <v>ORD-TK0009-20/04/23</v>
      </c>
      <c r="C10" s="39" t="s">
        <v>59</v>
      </c>
      <c r="D10" s="39" t="str">
        <f>IFERROR(INDEX(Katalog!$A$3:$A$12,MATCH(cadangan[[#This Row],[ItemID A]],Katalog!$C$3:$C$12,0)),"-")</f>
        <v>Pakaian Wanita</v>
      </c>
      <c r="E10" s="39" t="str">
        <f>IFERROR(INDEX(Katalog!$B$3:$B$12,MATCH(cadangan[[#This Row],[ItemID A]],Katalog!$C$3:$C$12,0)),"-")</f>
        <v>Blouse</v>
      </c>
      <c r="F10" s="50">
        <v>1</v>
      </c>
      <c r="G10" s="50">
        <v>3</v>
      </c>
      <c r="H10" s="73">
        <f>IFERROR(INDEX(Katalog!$D$3:$D$12,MATCH(cadangan[[#This Row],[ItemID A]],Katalog!$C$3:$C$12,0))*cadangan[[#This Row],[Qty A]],0)</f>
        <v>150000</v>
      </c>
      <c r="I10" s="73">
        <f>IFERROR(cadangan[[#This Row],[Harga Normal A]]-(cadangan[[#This Row],[Harga Normal A]]*cadangan[[#This Row],[Diskon]]),cadangan[[#This Row],[Harga Normal A]])</f>
        <v>135000</v>
      </c>
      <c r="J10" s="73">
        <f>INDEX(Katalog!$F$3:$F$12,MATCH(cadangan[[#This Row],[ItemID A]],Katalog!$C$3:$C$12,0))*cadangan[[#This Row],[Qty A]]</f>
        <v>50000</v>
      </c>
      <c r="K10" s="73">
        <f>IFERROR(cadangan[[#This Row],[Harga Diskon A]]-INDEX(Katalog!$E$3:$E$12,MATCH(cadangan[[#This Row],[ItemID A]],Katalog!$C$3:$C$12,0))*cadangan[[#This Row],[Qty A]],0)</f>
        <v>35000</v>
      </c>
      <c r="L10" s="39" t="s">
        <v>58</v>
      </c>
      <c r="M10" s="39" t="str">
        <f>IFERROR(INDEX(Katalog!$A$3:$A$12,MATCH(cadangan[[#This Row],[ItemID B]],Katalog!$C$3:$C$12,0)),"-")</f>
        <v>Pakaian Wanita</v>
      </c>
      <c r="N10" s="39" t="str">
        <f>IFERROR(INDEX(Katalog!$B$3:$B$12,MATCH(cadangan[[#This Row],[ItemID B]],Katalog!$C$3:$C$12,0)),"-")</f>
        <v>Dress</v>
      </c>
      <c r="O10" s="50">
        <v>1</v>
      </c>
      <c r="P10" s="50">
        <v>2</v>
      </c>
      <c r="Q10" s="73">
        <f>IFERROR(INDEX(Katalog!$D$3:$D$12,MATCH(cadangan[[#This Row],[ItemID B]],Katalog!$C$3:$C$12,0))*cadangan[[#This Row],[Qty B]],0)</f>
        <v>300000</v>
      </c>
      <c r="R10" s="73">
        <f>IFERROR(cadangan[[#This Row],[Harga Normal B]]-(cadangan[[#This Row],[Harga Normal B]]*cadangan[[#This Row],[Diskon]]),cadangan[[#This Row],[Harga Normal B]])</f>
        <v>270000</v>
      </c>
      <c r="S10" s="73">
        <f>IFERROR(INDEX(Katalog!$F$3:$F$12,MATCH(cadangan[[#This Row],[ItemID B]],Katalog!$C$3:$C$12,0))*cadangan[[#This Row],[Qty B]],0)</f>
        <v>100000</v>
      </c>
      <c r="T10" s="73">
        <f>IFERROR(cadangan[[#This Row],[Harga Diskon B]]-INDEX(Katalog!$E$3:$E$12,MATCH(cadangan[[#This Row],[ItemID B]],Katalog!$C$3:$C$12,0))*cadangan[[#This Row],[Qty B]],0)</f>
        <v>70000</v>
      </c>
      <c r="V10" s="39" t="str">
        <f>IFERROR(INDEX(Katalog!$A$3:$A$12,MATCH(cadangan[[#This Row],[ItemID C]],Katalog!$C$3:$C$12,0)),"-")</f>
        <v>-</v>
      </c>
      <c r="W10" s="39" t="str">
        <f>IFERROR(INDEX(Katalog!$B$3:$B$12,MATCH(cadangan[[#This Row],[ItemID C]],Katalog!$C$3:$C$12,0)),"-")</f>
        <v>-</v>
      </c>
      <c r="Z10" s="73">
        <f>IFERROR(INDEX(Katalog!$D$3:$D$12,MATCH(cadangan[[#This Row],[ItemID C]],Katalog!$C$3:$C$12,0))*cadangan[[#This Row],[Qty C]],0)</f>
        <v>0</v>
      </c>
      <c r="AA10" s="73">
        <f>IFERROR(cadangan[[#This Row],[Harga Normal C]]-(cadangan[[#This Row],[Harga Normal C]]*cadangan[[#This Row],[Diskon]]),cadangan[[#This Row],[Harga Normal C]])</f>
        <v>0</v>
      </c>
      <c r="AB10" s="73">
        <f>IFERROR(INDEX(Katalog!$F$3:$F$12,MATCH(cadangan[[#This Row],[ItemID C]],Katalog!$C$3:$C$12,0))*cadangan[[#This Row],[Qty C]],0)</f>
        <v>0</v>
      </c>
      <c r="AC10" s="73">
        <f>IFERROR(cadangan[[#This Row],[Harga Diskon C]]-INDEX(Katalog!$E$3:$E$12,MATCH(cadangan[[#This Row],[ItemID C]],Katalog!$C$3:$C$12,0))*cadangan[[#This Row],[Qty C]],0)</f>
        <v>0</v>
      </c>
      <c r="AD10" s="53">
        <f>cadangan[[#This Row],[Qty A]]+cadangan[[#This Row],[Qty B]]+cadangan[[#This Row],[Qty C]]</f>
        <v>2</v>
      </c>
      <c r="AE10" s="73">
        <f>cadangan[[#This Row],[Harga Normal A]]+cadangan[[#This Row],[Harga Normal B]]+cadangan[[#This Row],[Harga Normal C]]</f>
        <v>450000</v>
      </c>
      <c r="AF10" s="73">
        <f>cadangan[[#This Row],[Harga Diskon A]]+cadangan[[#This Row],[Harga Diskon B]]+cadangan[[#This Row],[Harga Diskon C]]</f>
        <v>405000</v>
      </c>
      <c r="AG10" s="73">
        <f>(cadangan[[#This Row],[Profit Normal A]]+cadangan[[#This Row],[Profit Normal B]]+cadangan[[#This Row],[Profit Normal C]])</f>
        <v>150000</v>
      </c>
      <c r="AH10" s="73">
        <f>cadangan[[#This Row],[Profit Diskon A]]+cadangan[[#This Row],[Profit Diskon B]]+cadangan[[#This Row],[Profit Diskon C]]</f>
        <v>105000</v>
      </c>
      <c r="AI10" s="23" t="s">
        <v>31</v>
      </c>
      <c r="AJ10" s="37">
        <f>IFERROR(INDEX('Kode Diskon'!$D$3:$D$9,MATCH(cadangan[[#This Row],[Kode diskon]],'Kode Diskon'!$C$3:$C$9,0)),"-")</f>
        <v>0.1</v>
      </c>
      <c r="AK10" s="23" t="s">
        <v>9</v>
      </c>
      <c r="AL10" s="23" t="s">
        <v>10</v>
      </c>
      <c r="AM10" s="23" t="s">
        <v>79</v>
      </c>
      <c r="AN10" s="55">
        <v>45036</v>
      </c>
      <c r="AO10" s="53">
        <f>DAY(cadangan[[#This Row],[Tanggal terjual]])</f>
        <v>20</v>
      </c>
      <c r="AP10" s="21" t="str">
        <f>TEXT(cadangan[[#This Row],[Tanggal terjual]],"dddd")</f>
        <v>Thursday</v>
      </c>
      <c r="AQ10" s="23" t="str" cm="1">
        <f t="array" ref="AQ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0" s="61">
        <f>AVERAGE(cadangan[[#This Row],[Rating A]],cadangan[[#This Row],[Rating B]],cadangan[[#This Row],[Rating C]])</f>
        <v>2.5</v>
      </c>
    </row>
    <row r="11" spans="1:44" x14ac:dyDescent="0.2">
      <c r="A11" s="20">
        <v>10</v>
      </c>
      <c r="B11" s="21" t="str">
        <f>_xlfn.CONCAT("ORD-",INDEX(Helper!$B$2:$B$5,MATCH(cadangan[[#This Row],[Marketplace]],Helper!$A$2:$A$5,0)),TEXT(cadangan[[#This Row],[No]],"0000"),"-",TEXT(cadangan[[#This Row],[Tanggal terjual]],"dd/mm/yy"))</f>
        <v>ORD-SP0010-04/04/23</v>
      </c>
      <c r="C11" s="39" t="s">
        <v>62</v>
      </c>
      <c r="D11" s="39" t="str">
        <f>IFERROR(INDEX(Katalog!$A$3:$A$12,MATCH(cadangan[[#This Row],[ItemID A]],Katalog!$C$3:$C$12,0)),"-")</f>
        <v>Pakaian Pria</v>
      </c>
      <c r="E11" s="39" t="str">
        <f>IFERROR(INDEX(Katalog!$B$3:$B$12,MATCH(cadangan[[#This Row],[ItemID A]],Katalog!$C$3:$C$12,0)),"-")</f>
        <v>Celana Pendek</v>
      </c>
      <c r="F11" s="50">
        <v>3</v>
      </c>
      <c r="G11" s="50">
        <v>4</v>
      </c>
      <c r="H11" s="73">
        <f>IFERROR(INDEX(Katalog!$D$3:$D$12,MATCH(cadangan[[#This Row],[ItemID A]],Katalog!$C$3:$C$12,0))*cadangan[[#This Row],[Qty A]],0)</f>
        <v>540000</v>
      </c>
      <c r="I11" s="73">
        <f>IFERROR(cadangan[[#This Row],[Harga Normal A]]-(cadangan[[#This Row],[Harga Normal A]]*cadangan[[#This Row],[Diskon]]),cadangan[[#This Row],[Harga Normal A]])</f>
        <v>459000</v>
      </c>
      <c r="J11" s="73">
        <f>INDEX(Katalog!$F$3:$F$12,MATCH(cadangan[[#This Row],[ItemID A]],Katalog!$C$3:$C$12,0))*cadangan[[#This Row],[Qty A]]</f>
        <v>210000</v>
      </c>
      <c r="K11" s="73">
        <f>IFERROR(cadangan[[#This Row],[Harga Diskon A]]-INDEX(Katalog!$E$3:$E$12,MATCH(cadangan[[#This Row],[ItemID A]],Katalog!$C$3:$C$12,0))*cadangan[[#This Row],[Qty A]],0)</f>
        <v>129000</v>
      </c>
      <c r="L11" s="39" t="s">
        <v>61</v>
      </c>
      <c r="M11" s="39" t="str">
        <f>IFERROR(INDEX(Katalog!$A$3:$A$12,MATCH(cadangan[[#This Row],[ItemID B]],Katalog!$C$3:$C$12,0)),"-")</f>
        <v>Pakaian Pria</v>
      </c>
      <c r="N11" s="39" t="str">
        <f>IFERROR(INDEX(Katalog!$B$3:$B$12,MATCH(cadangan[[#This Row],[ItemID B]],Katalog!$C$3:$C$12,0)),"-")</f>
        <v>Kaos Polo</v>
      </c>
      <c r="O11" s="50">
        <v>2</v>
      </c>
      <c r="P11" s="50">
        <v>5</v>
      </c>
      <c r="Q11" s="73">
        <f>IFERROR(INDEX(Katalog!$D$3:$D$12,MATCH(cadangan[[#This Row],[ItemID B]],Katalog!$C$3:$C$12,0))*cadangan[[#This Row],[Qty B]],0)</f>
        <v>400000</v>
      </c>
      <c r="R11" s="73">
        <f>IFERROR(cadangan[[#This Row],[Harga Normal B]]-(cadangan[[#This Row],[Harga Normal B]]*cadangan[[#This Row],[Diskon]]),cadangan[[#This Row],[Harga Normal B]])</f>
        <v>340000</v>
      </c>
      <c r="S11" s="73">
        <f>IFERROR(INDEX(Katalog!$F$3:$F$12,MATCH(cadangan[[#This Row],[ItemID B]],Katalog!$C$3:$C$12,0))*cadangan[[#This Row],[Qty B]],0)</f>
        <v>160000</v>
      </c>
      <c r="T11" s="73">
        <f>IFERROR(cadangan[[#This Row],[Harga Diskon B]]-INDEX(Katalog!$E$3:$E$12,MATCH(cadangan[[#This Row],[ItemID B]],Katalog!$C$3:$C$12,0))*cadangan[[#This Row],[Qty B]],0)</f>
        <v>100000</v>
      </c>
      <c r="V11" s="39" t="str">
        <f>IFERROR(INDEX(Katalog!$A$3:$A$12,MATCH(cadangan[[#This Row],[ItemID C]],Katalog!$C$3:$C$12,0)),"-")</f>
        <v>-</v>
      </c>
      <c r="W11" s="39" t="str">
        <f>IFERROR(INDEX(Katalog!$B$3:$B$12,MATCH(cadangan[[#This Row],[ItemID C]],Katalog!$C$3:$C$12,0)),"-")</f>
        <v>-</v>
      </c>
      <c r="Z11" s="73">
        <f>IFERROR(INDEX(Katalog!$D$3:$D$12,MATCH(cadangan[[#This Row],[ItemID C]],Katalog!$C$3:$C$12,0))*cadangan[[#This Row],[Qty C]],0)</f>
        <v>0</v>
      </c>
      <c r="AA11" s="73">
        <f>IFERROR(cadangan[[#This Row],[Harga Normal C]]-(cadangan[[#This Row],[Harga Normal C]]*cadangan[[#This Row],[Diskon]]),cadangan[[#This Row],[Harga Normal C]])</f>
        <v>0</v>
      </c>
      <c r="AB11" s="73">
        <f>IFERROR(INDEX(Katalog!$F$3:$F$12,MATCH(cadangan[[#This Row],[ItemID C]],Katalog!$C$3:$C$12,0))*cadangan[[#This Row],[Qty C]],0)</f>
        <v>0</v>
      </c>
      <c r="AC11" s="73">
        <f>IFERROR(cadangan[[#This Row],[Harga Diskon C]]-INDEX(Katalog!$E$3:$E$12,MATCH(cadangan[[#This Row],[ItemID C]],Katalog!$C$3:$C$12,0))*cadangan[[#This Row],[Qty C]],0)</f>
        <v>0</v>
      </c>
      <c r="AD11" s="53">
        <f>cadangan[[#This Row],[Qty A]]+cadangan[[#This Row],[Qty B]]+cadangan[[#This Row],[Qty C]]</f>
        <v>5</v>
      </c>
      <c r="AE11" s="73">
        <f>cadangan[[#This Row],[Harga Normal A]]+cadangan[[#This Row],[Harga Normal B]]+cadangan[[#This Row],[Harga Normal C]]</f>
        <v>940000</v>
      </c>
      <c r="AF11" s="73">
        <f>cadangan[[#This Row],[Harga Diskon A]]+cadangan[[#This Row],[Harga Diskon B]]+cadangan[[#This Row],[Harga Diskon C]]</f>
        <v>799000</v>
      </c>
      <c r="AG11" s="73">
        <f>(cadangan[[#This Row],[Profit Normal A]]+cadangan[[#This Row],[Profit Normal B]]+cadangan[[#This Row],[Profit Normal C]])</f>
        <v>370000</v>
      </c>
      <c r="AH11" s="73">
        <f>cadangan[[#This Row],[Profit Diskon A]]+cadangan[[#This Row],[Profit Diskon B]]+cadangan[[#This Row],[Profit Diskon C]]</f>
        <v>229000</v>
      </c>
      <c r="AI11" s="23" t="s">
        <v>13</v>
      </c>
      <c r="AJ11" s="37">
        <f>IFERROR(INDEX('Kode Diskon'!$D$3:$D$9,MATCH(cadangan[[#This Row],[Kode diskon]],'Kode Diskon'!$C$3:$C$9,0)),"-")</f>
        <v>0.15</v>
      </c>
      <c r="AK11" s="23" t="s">
        <v>29</v>
      </c>
      <c r="AL11" s="23" t="s">
        <v>7</v>
      </c>
      <c r="AM11" s="23" t="s">
        <v>76</v>
      </c>
      <c r="AN11" s="55">
        <v>45020</v>
      </c>
      <c r="AO11" s="53">
        <f>DAY(cadangan[[#This Row],[Tanggal terjual]])</f>
        <v>4</v>
      </c>
      <c r="AP11" s="21" t="str">
        <f>TEXT(cadangan[[#This Row],[Tanggal terjual]],"dddd")</f>
        <v>Tuesday</v>
      </c>
      <c r="AQ11" s="23" t="str" cm="1">
        <f t="array" ref="AQ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 s="61">
        <f>AVERAGE(cadangan[[#This Row],[Rating A]],cadangan[[#This Row],[Rating B]],cadangan[[#This Row],[Rating C]])</f>
        <v>4.5</v>
      </c>
    </row>
    <row r="12" spans="1:44" x14ac:dyDescent="0.2">
      <c r="A12" s="20">
        <v>11</v>
      </c>
      <c r="B12" s="21" t="str">
        <f>_xlfn.CONCAT("ORD-",INDEX(Helper!$B$2:$B$5,MATCH(cadangan[[#This Row],[Marketplace]],Helper!$A$2:$A$5,0)),TEXT(cadangan[[#This Row],[No]],"0000"),"-",TEXT(cadangan[[#This Row],[Tanggal terjual]],"dd/mm/yy"))</f>
        <v>ORD-SP0011-06/04/23</v>
      </c>
      <c r="C12" s="39" t="s">
        <v>64</v>
      </c>
      <c r="D12" s="39" t="str">
        <f>IFERROR(INDEX(Katalog!$A$3:$A$12,MATCH(cadangan[[#This Row],[ItemID A]],Katalog!$C$3:$C$12,0)),"-")</f>
        <v>Pakaian Unisex</v>
      </c>
      <c r="E12" s="39" t="str">
        <f>IFERROR(INDEX(Katalog!$B$3:$B$12,MATCH(cadangan[[#This Row],[ItemID A]],Katalog!$C$3:$C$12,0)),"-")</f>
        <v>Jaket Hoodie</v>
      </c>
      <c r="F12" s="50">
        <v>3</v>
      </c>
      <c r="G12" s="50">
        <v>5</v>
      </c>
      <c r="H12" s="73">
        <f>IFERROR(INDEX(Katalog!$D$3:$D$12,MATCH(cadangan[[#This Row],[ItemID A]],Katalog!$C$3:$C$12,0))*cadangan[[#This Row],[Qty A]],0)</f>
        <v>1050000</v>
      </c>
      <c r="I12" s="73">
        <f>IFERROR(cadangan[[#This Row],[Harga Normal A]]-(cadangan[[#This Row],[Harga Normal A]]*cadangan[[#This Row],[Diskon]]),cadangan[[#This Row],[Harga Normal A]])</f>
        <v>892500</v>
      </c>
      <c r="J12" s="73">
        <f>INDEX(Katalog!$F$3:$F$12,MATCH(cadangan[[#This Row],[ItemID A]],Katalog!$C$3:$C$12,0))*cadangan[[#This Row],[Qty A]]</f>
        <v>390000</v>
      </c>
      <c r="K12" s="73">
        <f>IFERROR(cadangan[[#This Row],[Harga Diskon A]]-INDEX(Katalog!$E$3:$E$12,MATCH(cadangan[[#This Row],[ItemID A]],Katalog!$C$3:$C$12,0))*cadangan[[#This Row],[Qty A]],0)</f>
        <v>232500</v>
      </c>
      <c r="L12" s="39" t="s">
        <v>58</v>
      </c>
      <c r="M12" s="39" t="str">
        <f>IFERROR(INDEX(Katalog!$A$3:$A$12,MATCH(cadangan[[#This Row],[ItemID B]],Katalog!$C$3:$C$12,0)),"-")</f>
        <v>Pakaian Wanita</v>
      </c>
      <c r="N12" s="39" t="str">
        <f>IFERROR(INDEX(Katalog!$B$3:$B$12,MATCH(cadangan[[#This Row],[ItemID B]],Katalog!$C$3:$C$12,0)),"-")</f>
        <v>Dress</v>
      </c>
      <c r="O12" s="50">
        <v>1</v>
      </c>
      <c r="P12" s="50">
        <v>5</v>
      </c>
      <c r="Q12" s="73">
        <f>IFERROR(INDEX(Katalog!$D$3:$D$12,MATCH(cadangan[[#This Row],[ItemID B]],Katalog!$C$3:$C$12,0))*cadangan[[#This Row],[Qty B]],0)</f>
        <v>300000</v>
      </c>
      <c r="R12" s="73">
        <f>IFERROR(cadangan[[#This Row],[Harga Normal B]]-(cadangan[[#This Row],[Harga Normal B]]*cadangan[[#This Row],[Diskon]]),cadangan[[#This Row],[Harga Normal B]])</f>
        <v>255000</v>
      </c>
      <c r="S12" s="73">
        <f>IFERROR(INDEX(Katalog!$F$3:$F$12,MATCH(cadangan[[#This Row],[ItemID B]],Katalog!$C$3:$C$12,0))*cadangan[[#This Row],[Qty B]],0)</f>
        <v>100000</v>
      </c>
      <c r="T12" s="73">
        <f>IFERROR(cadangan[[#This Row],[Harga Diskon B]]-INDEX(Katalog!$E$3:$E$12,MATCH(cadangan[[#This Row],[ItemID B]],Katalog!$C$3:$C$12,0))*cadangan[[#This Row],[Qty B]],0)</f>
        <v>55000</v>
      </c>
      <c r="U12" s="39" t="s">
        <v>61</v>
      </c>
      <c r="V12" s="39" t="str">
        <f>IFERROR(INDEX(Katalog!$A$3:$A$12,MATCH(cadangan[[#This Row],[ItemID C]],Katalog!$C$3:$C$12,0)),"-")</f>
        <v>Pakaian Pria</v>
      </c>
      <c r="W12" s="39" t="str">
        <f>IFERROR(INDEX(Katalog!$B$3:$B$12,MATCH(cadangan[[#This Row],[ItemID C]],Katalog!$C$3:$C$12,0)),"-")</f>
        <v>Kaos Polo</v>
      </c>
      <c r="X12" s="50">
        <v>1</v>
      </c>
      <c r="Y12" s="50">
        <v>4</v>
      </c>
      <c r="Z12" s="73">
        <f>IFERROR(INDEX(Katalog!$D$3:$D$12,MATCH(cadangan[[#This Row],[ItemID C]],Katalog!$C$3:$C$12,0))*cadangan[[#This Row],[Qty C]],0)</f>
        <v>200000</v>
      </c>
      <c r="AA12" s="73">
        <f>IFERROR(cadangan[[#This Row],[Harga Normal C]]-(cadangan[[#This Row],[Harga Normal C]]*cadangan[[#This Row],[Diskon]]),cadangan[[#This Row],[Harga Normal C]])</f>
        <v>170000</v>
      </c>
      <c r="AB12" s="73">
        <f>IFERROR(INDEX(Katalog!$F$3:$F$12,MATCH(cadangan[[#This Row],[ItemID C]],Katalog!$C$3:$C$12,0))*cadangan[[#This Row],[Qty C]],0)</f>
        <v>80000</v>
      </c>
      <c r="AC12" s="73">
        <f>IFERROR(cadangan[[#This Row],[Harga Diskon C]]-INDEX(Katalog!$E$3:$E$12,MATCH(cadangan[[#This Row],[ItemID C]],Katalog!$C$3:$C$12,0))*cadangan[[#This Row],[Qty C]],0)</f>
        <v>50000</v>
      </c>
      <c r="AD12" s="53">
        <f>cadangan[[#This Row],[Qty A]]+cadangan[[#This Row],[Qty B]]+cadangan[[#This Row],[Qty C]]</f>
        <v>5</v>
      </c>
      <c r="AE12" s="73">
        <f>cadangan[[#This Row],[Harga Normal A]]+cadangan[[#This Row],[Harga Normal B]]+cadangan[[#This Row],[Harga Normal C]]</f>
        <v>1550000</v>
      </c>
      <c r="AF12" s="73">
        <f>cadangan[[#This Row],[Harga Diskon A]]+cadangan[[#This Row],[Harga Diskon B]]+cadangan[[#This Row],[Harga Diskon C]]</f>
        <v>1317500</v>
      </c>
      <c r="AG12" s="73">
        <f>(cadangan[[#This Row],[Profit Normal A]]+cadangan[[#This Row],[Profit Normal B]]+cadangan[[#This Row],[Profit Normal C]])</f>
        <v>570000</v>
      </c>
      <c r="AH12" s="73">
        <f>cadangan[[#This Row],[Profit Diskon A]]+cadangan[[#This Row],[Profit Diskon B]]+cadangan[[#This Row],[Profit Diskon C]]</f>
        <v>337500</v>
      </c>
      <c r="AI12" s="23" t="s">
        <v>13</v>
      </c>
      <c r="AJ12" s="37">
        <f>IFERROR(INDEX('Kode Diskon'!$D$3:$D$9,MATCH(cadangan[[#This Row],[Kode diskon]],'Kode Diskon'!$C$3:$C$9,0)),"-")</f>
        <v>0.15</v>
      </c>
      <c r="AK12" s="23" t="s">
        <v>29</v>
      </c>
      <c r="AL12" s="23" t="s">
        <v>7</v>
      </c>
      <c r="AM12" s="23" t="s">
        <v>80</v>
      </c>
      <c r="AN12" s="55">
        <v>45022</v>
      </c>
      <c r="AO12" s="53">
        <f>DAY(cadangan[[#This Row],[Tanggal terjual]])</f>
        <v>6</v>
      </c>
      <c r="AP12" s="21" t="str">
        <f>TEXT(cadangan[[#This Row],[Tanggal terjual]],"dddd")</f>
        <v>Thursday</v>
      </c>
      <c r="AQ12" s="23" t="str" cm="1">
        <f t="array" ref="AQ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 s="61">
        <f>AVERAGE(cadangan[[#This Row],[Rating A]],cadangan[[#This Row],[Rating B]],cadangan[[#This Row],[Rating C]])</f>
        <v>4.666666666666667</v>
      </c>
    </row>
    <row r="13" spans="1:44" x14ac:dyDescent="0.2">
      <c r="A13" s="20">
        <v>12</v>
      </c>
      <c r="B13" s="21" t="str">
        <f>_xlfn.CONCAT("ORD-",INDEX(Helper!$B$2:$B$5,MATCH(cadangan[[#This Row],[Marketplace]],Helper!$A$2:$A$5,0)),TEXT(cadangan[[#This Row],[No]],"0000"),"-",TEXT(cadangan[[#This Row],[Tanggal terjual]],"dd/mm/yy"))</f>
        <v>ORD-SP0012-04/04/23</v>
      </c>
      <c r="C13" s="39" t="s">
        <v>58</v>
      </c>
      <c r="D13" s="39" t="str">
        <f>IFERROR(INDEX(Katalog!$A$3:$A$12,MATCH(cadangan[[#This Row],[ItemID A]],Katalog!$C$3:$C$12,0)),"-")</f>
        <v>Pakaian Wanita</v>
      </c>
      <c r="E13" s="39" t="str">
        <f>IFERROR(INDEX(Katalog!$B$3:$B$12,MATCH(cadangan[[#This Row],[ItemID A]],Katalog!$C$3:$C$12,0)),"-")</f>
        <v>Dress</v>
      </c>
      <c r="F13" s="50">
        <v>1</v>
      </c>
      <c r="G13" s="50">
        <v>3</v>
      </c>
      <c r="H13" s="73">
        <f>IFERROR(INDEX(Katalog!$D$3:$D$12,MATCH(cadangan[[#This Row],[ItemID A]],Katalog!$C$3:$C$12,0))*cadangan[[#This Row],[Qty A]],0)</f>
        <v>300000</v>
      </c>
      <c r="I13" s="73">
        <f>IFERROR(cadangan[[#This Row],[Harga Normal A]]-(cadangan[[#This Row],[Harga Normal A]]*cadangan[[#This Row],[Diskon]]),cadangan[[#This Row],[Harga Normal A]])</f>
        <v>255000</v>
      </c>
      <c r="J13" s="73">
        <f>INDEX(Katalog!$F$3:$F$12,MATCH(cadangan[[#This Row],[ItemID A]],Katalog!$C$3:$C$12,0))*cadangan[[#This Row],[Qty A]]</f>
        <v>100000</v>
      </c>
      <c r="K13" s="73">
        <f>IFERROR(cadangan[[#This Row],[Harga Diskon A]]-INDEX(Katalog!$E$3:$E$12,MATCH(cadangan[[#This Row],[ItemID A]],Katalog!$C$3:$C$12,0))*cadangan[[#This Row],[Qty A]],0)</f>
        <v>55000</v>
      </c>
      <c r="M13" s="39" t="str">
        <f>IFERROR(INDEX(Katalog!$A$3:$A$12,MATCH(cadangan[[#This Row],[ItemID B]],Katalog!$C$3:$C$12,0)),"-")</f>
        <v>-</v>
      </c>
      <c r="N13" s="39" t="str">
        <f>IFERROR(INDEX(Katalog!$B$3:$B$12,MATCH(cadangan[[#This Row],[ItemID B]],Katalog!$C$3:$C$12,0)),"-")</f>
        <v>-</v>
      </c>
      <c r="Q13" s="73">
        <f>IFERROR(INDEX(Katalog!$D$3:$D$12,MATCH(cadangan[[#This Row],[ItemID B]],Katalog!$C$3:$C$12,0))*cadangan[[#This Row],[Qty B]],0)</f>
        <v>0</v>
      </c>
      <c r="R13" s="73">
        <f>IFERROR(cadangan[[#This Row],[Harga Normal B]]-(cadangan[[#This Row],[Harga Normal B]]*cadangan[[#This Row],[Diskon]]),cadangan[[#This Row],[Harga Normal B]])</f>
        <v>0</v>
      </c>
      <c r="S13" s="73">
        <f>IFERROR(INDEX(Katalog!$F$3:$F$12,MATCH(cadangan[[#This Row],[ItemID B]],Katalog!$C$3:$C$12,0))*cadangan[[#This Row],[Qty B]],0)</f>
        <v>0</v>
      </c>
      <c r="T13" s="73">
        <f>IFERROR(cadangan[[#This Row],[Harga Diskon B]]-INDEX(Katalog!$E$3:$E$12,MATCH(cadangan[[#This Row],[ItemID B]],Katalog!$C$3:$C$12,0))*cadangan[[#This Row],[Qty B]],0)</f>
        <v>0</v>
      </c>
      <c r="V13" s="39" t="str">
        <f>IFERROR(INDEX(Katalog!$A$3:$A$12,MATCH(cadangan[[#This Row],[ItemID C]],Katalog!$C$3:$C$12,0)),"-")</f>
        <v>-</v>
      </c>
      <c r="W13" s="39" t="str">
        <f>IFERROR(INDEX(Katalog!$B$3:$B$12,MATCH(cadangan[[#This Row],[ItemID C]],Katalog!$C$3:$C$12,0)),"-")</f>
        <v>-</v>
      </c>
      <c r="Z13" s="73">
        <f>IFERROR(INDEX(Katalog!$D$3:$D$12,MATCH(cadangan[[#This Row],[ItemID C]],Katalog!$C$3:$C$12,0))*cadangan[[#This Row],[Qty C]],0)</f>
        <v>0</v>
      </c>
      <c r="AA13" s="73">
        <f>IFERROR(cadangan[[#This Row],[Harga Normal C]]-(cadangan[[#This Row],[Harga Normal C]]*cadangan[[#This Row],[Diskon]]),cadangan[[#This Row],[Harga Normal C]])</f>
        <v>0</v>
      </c>
      <c r="AB13" s="73">
        <f>IFERROR(INDEX(Katalog!$F$3:$F$12,MATCH(cadangan[[#This Row],[ItemID C]],Katalog!$C$3:$C$12,0))*cadangan[[#This Row],[Qty C]],0)</f>
        <v>0</v>
      </c>
      <c r="AC13" s="73">
        <f>IFERROR(cadangan[[#This Row],[Harga Diskon C]]-INDEX(Katalog!$E$3:$E$12,MATCH(cadangan[[#This Row],[ItemID C]],Katalog!$C$3:$C$12,0))*cadangan[[#This Row],[Qty C]],0)</f>
        <v>0</v>
      </c>
      <c r="AD13" s="53">
        <f>cadangan[[#This Row],[Qty A]]+cadangan[[#This Row],[Qty B]]+cadangan[[#This Row],[Qty C]]</f>
        <v>1</v>
      </c>
      <c r="AE13" s="73">
        <f>cadangan[[#This Row],[Harga Normal A]]+cadangan[[#This Row],[Harga Normal B]]+cadangan[[#This Row],[Harga Normal C]]</f>
        <v>300000</v>
      </c>
      <c r="AF13" s="73">
        <f>cadangan[[#This Row],[Harga Diskon A]]+cadangan[[#This Row],[Harga Diskon B]]+cadangan[[#This Row],[Harga Diskon C]]</f>
        <v>255000</v>
      </c>
      <c r="AG13" s="73">
        <f>(cadangan[[#This Row],[Profit Normal A]]+cadangan[[#This Row],[Profit Normal B]]+cadangan[[#This Row],[Profit Normal C]])</f>
        <v>100000</v>
      </c>
      <c r="AH13" s="73">
        <f>cadangan[[#This Row],[Profit Diskon A]]+cadangan[[#This Row],[Profit Diskon B]]+cadangan[[#This Row],[Profit Diskon C]]</f>
        <v>55000</v>
      </c>
      <c r="AI13" s="23" t="s">
        <v>13</v>
      </c>
      <c r="AJ13" s="37">
        <f>IFERROR(INDEX('Kode Diskon'!$D$3:$D$9,MATCH(cadangan[[#This Row],[Kode diskon]],'Kode Diskon'!$C$3:$C$9,0)),"-")</f>
        <v>0.15</v>
      </c>
      <c r="AK13" s="23" t="s">
        <v>29</v>
      </c>
      <c r="AL13" s="23" t="s">
        <v>7</v>
      </c>
      <c r="AM13" s="23" t="s">
        <v>75</v>
      </c>
      <c r="AN13" s="55">
        <v>45020</v>
      </c>
      <c r="AO13" s="53">
        <f>DAY(cadangan[[#This Row],[Tanggal terjual]])</f>
        <v>4</v>
      </c>
      <c r="AP13" s="21" t="str">
        <f>TEXT(cadangan[[#This Row],[Tanggal terjual]],"dddd")</f>
        <v>Tuesday</v>
      </c>
      <c r="AQ13" s="23" t="str" cm="1">
        <f t="array" ref="AQ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3" s="61">
        <f>AVERAGE(cadangan[[#This Row],[Rating A]],cadangan[[#This Row],[Rating B]],cadangan[[#This Row],[Rating C]])</f>
        <v>3</v>
      </c>
    </row>
    <row r="14" spans="1:44" x14ac:dyDescent="0.2">
      <c r="A14" s="20">
        <v>13</v>
      </c>
      <c r="B14" s="21" t="str">
        <f>_xlfn.CONCAT("ORD-",INDEX(Helper!$B$2:$B$5,MATCH(cadangan[[#This Row],[Marketplace]],Helper!$A$2:$A$5,0)),TEXT(cadangan[[#This Row],[No]],"0000"),"-",TEXT(cadangan[[#This Row],[Tanggal terjual]],"dd/mm/yy"))</f>
        <v>ORD-TK0013-06/04/23</v>
      </c>
      <c r="C14" s="39" t="s">
        <v>61</v>
      </c>
      <c r="D14" s="39" t="str">
        <f>IFERROR(INDEX(Katalog!$A$3:$A$12,MATCH(cadangan[[#This Row],[ItemID A]],Katalog!$C$3:$C$12,0)),"-")</f>
        <v>Pakaian Pria</v>
      </c>
      <c r="E14" s="39" t="str">
        <f>IFERROR(INDEX(Katalog!$B$3:$B$12,MATCH(cadangan[[#This Row],[ItemID A]],Katalog!$C$3:$C$12,0)),"-")</f>
        <v>Kaos Polo</v>
      </c>
      <c r="F14" s="50">
        <v>3</v>
      </c>
      <c r="G14" s="50">
        <v>1</v>
      </c>
      <c r="H14" s="73">
        <f>IFERROR(INDEX(Katalog!$D$3:$D$12,MATCH(cadangan[[#This Row],[ItemID A]],Katalog!$C$3:$C$12,0))*cadangan[[#This Row],[Qty A]],0)</f>
        <v>600000</v>
      </c>
      <c r="I14" s="73">
        <f>IFERROR(cadangan[[#This Row],[Harga Normal A]]-(cadangan[[#This Row],[Harga Normal A]]*cadangan[[#This Row],[Diskon]]),cadangan[[#This Row],[Harga Normal A]])</f>
        <v>540000</v>
      </c>
      <c r="J14" s="73">
        <f>INDEX(Katalog!$F$3:$F$12,MATCH(cadangan[[#This Row],[ItemID A]],Katalog!$C$3:$C$12,0))*cadangan[[#This Row],[Qty A]]</f>
        <v>240000</v>
      </c>
      <c r="K14" s="73">
        <f>IFERROR(cadangan[[#This Row],[Harga Diskon A]]-INDEX(Katalog!$E$3:$E$12,MATCH(cadangan[[#This Row],[ItemID A]],Katalog!$C$3:$C$12,0))*cadangan[[#This Row],[Qty A]],0)</f>
        <v>180000</v>
      </c>
      <c r="L14" s="39" t="s">
        <v>61</v>
      </c>
      <c r="M14" s="39" t="str">
        <f>IFERROR(INDEX(Katalog!$A$3:$A$12,MATCH(cadangan[[#This Row],[ItemID B]],Katalog!$C$3:$C$12,0)),"-")</f>
        <v>Pakaian Pria</v>
      </c>
      <c r="N14" s="39" t="str">
        <f>IFERROR(INDEX(Katalog!$B$3:$B$12,MATCH(cadangan[[#This Row],[ItemID B]],Katalog!$C$3:$C$12,0)),"-")</f>
        <v>Kaos Polo</v>
      </c>
      <c r="O14" s="50">
        <v>1</v>
      </c>
      <c r="P14" s="50">
        <v>1</v>
      </c>
      <c r="Q14" s="73">
        <f>IFERROR(INDEX(Katalog!$D$3:$D$12,MATCH(cadangan[[#This Row],[ItemID B]],Katalog!$C$3:$C$12,0))*cadangan[[#This Row],[Qty B]],0)</f>
        <v>200000</v>
      </c>
      <c r="R14" s="73">
        <f>IFERROR(cadangan[[#This Row],[Harga Normal B]]-(cadangan[[#This Row],[Harga Normal B]]*cadangan[[#This Row],[Diskon]]),cadangan[[#This Row],[Harga Normal B]])</f>
        <v>180000</v>
      </c>
      <c r="S14" s="73">
        <f>IFERROR(INDEX(Katalog!$F$3:$F$12,MATCH(cadangan[[#This Row],[ItemID B]],Katalog!$C$3:$C$12,0))*cadangan[[#This Row],[Qty B]],0)</f>
        <v>80000</v>
      </c>
      <c r="T14" s="73">
        <f>IFERROR(cadangan[[#This Row],[Harga Diskon B]]-INDEX(Katalog!$E$3:$E$12,MATCH(cadangan[[#This Row],[ItemID B]],Katalog!$C$3:$C$12,0))*cadangan[[#This Row],[Qty B]],0)</f>
        <v>60000</v>
      </c>
      <c r="U14" s="39" t="s">
        <v>61</v>
      </c>
      <c r="V14" s="39" t="str">
        <f>IFERROR(INDEX(Katalog!$A$3:$A$12,MATCH(cadangan[[#This Row],[ItemID C]],Katalog!$C$3:$C$12,0)),"-")</f>
        <v>Pakaian Pria</v>
      </c>
      <c r="W14" s="39" t="str">
        <f>IFERROR(INDEX(Katalog!$B$3:$B$12,MATCH(cadangan[[#This Row],[ItemID C]],Katalog!$C$3:$C$12,0)),"-")</f>
        <v>Kaos Polo</v>
      </c>
      <c r="X14" s="50">
        <v>1</v>
      </c>
      <c r="Y14" s="50">
        <v>4</v>
      </c>
      <c r="Z14" s="73">
        <f>IFERROR(INDEX(Katalog!$D$3:$D$12,MATCH(cadangan[[#This Row],[ItemID C]],Katalog!$C$3:$C$12,0))*cadangan[[#This Row],[Qty C]],0)</f>
        <v>200000</v>
      </c>
      <c r="AA14" s="73">
        <f>IFERROR(cadangan[[#This Row],[Harga Normal C]]-(cadangan[[#This Row],[Harga Normal C]]*cadangan[[#This Row],[Diskon]]),cadangan[[#This Row],[Harga Normal C]])</f>
        <v>180000</v>
      </c>
      <c r="AB14" s="73">
        <f>IFERROR(INDEX(Katalog!$F$3:$F$12,MATCH(cadangan[[#This Row],[ItemID C]],Katalog!$C$3:$C$12,0))*cadangan[[#This Row],[Qty C]],0)</f>
        <v>80000</v>
      </c>
      <c r="AC14" s="73">
        <f>IFERROR(cadangan[[#This Row],[Harga Diskon C]]-INDEX(Katalog!$E$3:$E$12,MATCH(cadangan[[#This Row],[ItemID C]],Katalog!$C$3:$C$12,0))*cadangan[[#This Row],[Qty C]],0)</f>
        <v>60000</v>
      </c>
      <c r="AD14" s="53">
        <f>cadangan[[#This Row],[Qty A]]+cadangan[[#This Row],[Qty B]]+cadangan[[#This Row],[Qty C]]</f>
        <v>5</v>
      </c>
      <c r="AE14" s="73">
        <f>cadangan[[#This Row],[Harga Normal A]]+cadangan[[#This Row],[Harga Normal B]]+cadangan[[#This Row],[Harga Normal C]]</f>
        <v>1000000</v>
      </c>
      <c r="AF14" s="73">
        <f>cadangan[[#This Row],[Harga Diskon A]]+cadangan[[#This Row],[Harga Diskon B]]+cadangan[[#This Row],[Harga Diskon C]]</f>
        <v>900000</v>
      </c>
      <c r="AG14" s="73">
        <f>(cadangan[[#This Row],[Profit Normal A]]+cadangan[[#This Row],[Profit Normal B]]+cadangan[[#This Row],[Profit Normal C]])</f>
        <v>400000</v>
      </c>
      <c r="AH14" s="73">
        <f>cadangan[[#This Row],[Profit Diskon A]]+cadangan[[#This Row],[Profit Diskon B]]+cadangan[[#This Row],[Profit Diskon C]]</f>
        <v>300000</v>
      </c>
      <c r="AI14" s="23" t="s">
        <v>30</v>
      </c>
      <c r="AJ14" s="37">
        <f>IFERROR(INDEX('Kode Diskon'!$D$3:$D$9,MATCH(cadangan[[#This Row],[Kode diskon]],'Kode Diskon'!$C$3:$C$9,0)),"-")</f>
        <v>0.1</v>
      </c>
      <c r="AK14" s="23" t="s">
        <v>29</v>
      </c>
      <c r="AL14" s="23" t="s">
        <v>10</v>
      </c>
      <c r="AM14" s="23" t="s">
        <v>77</v>
      </c>
      <c r="AN14" s="55">
        <v>45022</v>
      </c>
      <c r="AO14" s="53">
        <f>DAY(cadangan[[#This Row],[Tanggal terjual]])</f>
        <v>6</v>
      </c>
      <c r="AP14" s="21" t="str">
        <f>TEXT(cadangan[[#This Row],[Tanggal terjual]],"dddd")</f>
        <v>Thursday</v>
      </c>
      <c r="AQ14" s="23" t="str" cm="1">
        <f t="array" ref="AQ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4" s="61">
        <f>AVERAGE(cadangan[[#This Row],[Rating A]],cadangan[[#This Row],[Rating B]],cadangan[[#This Row],[Rating C]])</f>
        <v>2</v>
      </c>
    </row>
    <row r="15" spans="1:44" x14ac:dyDescent="0.2">
      <c r="A15" s="20">
        <v>14</v>
      </c>
      <c r="B15" s="21" t="str">
        <f>_xlfn.CONCAT("ORD-",INDEX(Helper!$B$2:$B$5,MATCH(cadangan[[#This Row],[Marketplace]],Helper!$A$2:$A$5,0)),TEXT(cadangan[[#This Row],[No]],"0000"),"-",TEXT(cadangan[[#This Row],[Tanggal terjual]],"dd/mm/yy"))</f>
        <v>ORD-SP0014-05/04/23</v>
      </c>
      <c r="C15" s="39" t="s">
        <v>61</v>
      </c>
      <c r="D15" s="39" t="str">
        <f>IFERROR(INDEX(Katalog!$A$3:$A$12,MATCH(cadangan[[#This Row],[ItemID A]],Katalog!$C$3:$C$12,0)),"-")</f>
        <v>Pakaian Pria</v>
      </c>
      <c r="E15" s="39" t="str">
        <f>IFERROR(INDEX(Katalog!$B$3:$B$12,MATCH(cadangan[[#This Row],[ItemID A]],Katalog!$C$3:$C$12,0)),"-")</f>
        <v>Kaos Polo</v>
      </c>
      <c r="F15" s="50">
        <v>1</v>
      </c>
      <c r="G15" s="50">
        <v>2</v>
      </c>
      <c r="H15" s="73">
        <f>IFERROR(INDEX(Katalog!$D$3:$D$12,MATCH(cadangan[[#This Row],[ItemID A]],Katalog!$C$3:$C$12,0))*cadangan[[#This Row],[Qty A]],0)</f>
        <v>200000</v>
      </c>
      <c r="I15" s="73">
        <f>IFERROR(cadangan[[#This Row],[Harga Normal A]]-(cadangan[[#This Row],[Harga Normal A]]*cadangan[[#This Row],[Diskon]]),cadangan[[#This Row],[Harga Normal A]])</f>
        <v>170000</v>
      </c>
      <c r="J15" s="73">
        <f>INDEX(Katalog!$F$3:$F$12,MATCH(cadangan[[#This Row],[ItemID A]],Katalog!$C$3:$C$12,0))*cadangan[[#This Row],[Qty A]]</f>
        <v>80000</v>
      </c>
      <c r="K15" s="73">
        <f>IFERROR(cadangan[[#This Row],[Harga Diskon A]]-INDEX(Katalog!$E$3:$E$12,MATCH(cadangan[[#This Row],[ItemID A]],Katalog!$C$3:$C$12,0))*cadangan[[#This Row],[Qty A]],0)</f>
        <v>50000</v>
      </c>
      <c r="L15" s="39" t="s">
        <v>62</v>
      </c>
      <c r="M15" s="39" t="str">
        <f>IFERROR(INDEX(Katalog!$A$3:$A$12,MATCH(cadangan[[#This Row],[ItemID B]],Katalog!$C$3:$C$12,0)),"-")</f>
        <v>Pakaian Pria</v>
      </c>
      <c r="N15" s="39" t="str">
        <f>IFERROR(INDEX(Katalog!$B$3:$B$12,MATCH(cadangan[[#This Row],[ItemID B]],Katalog!$C$3:$C$12,0)),"-")</f>
        <v>Celana Pendek</v>
      </c>
      <c r="O15" s="50">
        <v>1</v>
      </c>
      <c r="P15" s="50">
        <v>2</v>
      </c>
      <c r="Q15" s="73">
        <f>IFERROR(INDEX(Katalog!$D$3:$D$12,MATCH(cadangan[[#This Row],[ItemID B]],Katalog!$C$3:$C$12,0))*cadangan[[#This Row],[Qty B]],0)</f>
        <v>180000</v>
      </c>
      <c r="R15" s="73">
        <f>IFERROR(cadangan[[#This Row],[Harga Normal B]]-(cadangan[[#This Row],[Harga Normal B]]*cadangan[[#This Row],[Diskon]]),cadangan[[#This Row],[Harga Normal B]])</f>
        <v>153000</v>
      </c>
      <c r="S15" s="73">
        <f>IFERROR(INDEX(Katalog!$F$3:$F$12,MATCH(cadangan[[#This Row],[ItemID B]],Katalog!$C$3:$C$12,0))*cadangan[[#This Row],[Qty B]],0)</f>
        <v>70000</v>
      </c>
      <c r="T15" s="73">
        <f>IFERROR(cadangan[[#This Row],[Harga Diskon B]]-INDEX(Katalog!$E$3:$E$12,MATCH(cadangan[[#This Row],[ItemID B]],Katalog!$C$3:$C$12,0))*cadangan[[#This Row],[Qty B]],0)</f>
        <v>43000</v>
      </c>
      <c r="U15" s="39" t="s">
        <v>61</v>
      </c>
      <c r="V15" s="39" t="str">
        <f>IFERROR(INDEX(Katalog!$A$3:$A$12,MATCH(cadangan[[#This Row],[ItemID C]],Katalog!$C$3:$C$12,0)),"-")</f>
        <v>Pakaian Pria</v>
      </c>
      <c r="W15" s="39" t="str">
        <f>IFERROR(INDEX(Katalog!$B$3:$B$12,MATCH(cadangan[[#This Row],[ItemID C]],Katalog!$C$3:$C$12,0)),"-")</f>
        <v>Kaos Polo</v>
      </c>
      <c r="X15" s="50">
        <v>1</v>
      </c>
      <c r="Y15" s="50">
        <v>5</v>
      </c>
      <c r="Z15" s="73">
        <f>IFERROR(INDEX(Katalog!$D$3:$D$12,MATCH(cadangan[[#This Row],[ItemID C]],Katalog!$C$3:$C$12,0))*cadangan[[#This Row],[Qty C]],0)</f>
        <v>200000</v>
      </c>
      <c r="AA15" s="73">
        <f>IFERROR(cadangan[[#This Row],[Harga Normal C]]-(cadangan[[#This Row],[Harga Normal C]]*cadangan[[#This Row],[Diskon]]),cadangan[[#This Row],[Harga Normal C]])</f>
        <v>170000</v>
      </c>
      <c r="AB15" s="73">
        <f>IFERROR(INDEX(Katalog!$F$3:$F$12,MATCH(cadangan[[#This Row],[ItemID C]],Katalog!$C$3:$C$12,0))*cadangan[[#This Row],[Qty C]],0)</f>
        <v>80000</v>
      </c>
      <c r="AC15" s="73">
        <f>IFERROR(cadangan[[#This Row],[Harga Diskon C]]-INDEX(Katalog!$E$3:$E$12,MATCH(cadangan[[#This Row],[ItemID C]],Katalog!$C$3:$C$12,0))*cadangan[[#This Row],[Qty C]],0)</f>
        <v>50000</v>
      </c>
      <c r="AD15" s="53">
        <f>cadangan[[#This Row],[Qty A]]+cadangan[[#This Row],[Qty B]]+cadangan[[#This Row],[Qty C]]</f>
        <v>3</v>
      </c>
      <c r="AE15" s="73">
        <f>cadangan[[#This Row],[Harga Normal A]]+cadangan[[#This Row],[Harga Normal B]]+cadangan[[#This Row],[Harga Normal C]]</f>
        <v>580000</v>
      </c>
      <c r="AF15" s="73">
        <f>cadangan[[#This Row],[Harga Diskon A]]+cadangan[[#This Row],[Harga Diskon B]]+cadangan[[#This Row],[Harga Diskon C]]</f>
        <v>493000</v>
      </c>
      <c r="AG15" s="73">
        <f>(cadangan[[#This Row],[Profit Normal A]]+cadangan[[#This Row],[Profit Normal B]]+cadangan[[#This Row],[Profit Normal C]])</f>
        <v>230000</v>
      </c>
      <c r="AH15" s="73">
        <f>cadangan[[#This Row],[Profit Diskon A]]+cadangan[[#This Row],[Profit Diskon B]]+cadangan[[#This Row],[Profit Diskon C]]</f>
        <v>143000</v>
      </c>
      <c r="AI15" s="23" t="s">
        <v>13</v>
      </c>
      <c r="AJ15" s="37">
        <f>IFERROR(INDEX('Kode Diskon'!$D$3:$D$9,MATCH(cadangan[[#This Row],[Kode diskon]],'Kode Diskon'!$C$3:$C$9,0)),"-")</f>
        <v>0.15</v>
      </c>
      <c r="AK15" s="23" t="s">
        <v>29</v>
      </c>
      <c r="AL15" s="23" t="s">
        <v>7</v>
      </c>
      <c r="AM15" s="23" t="s">
        <v>75</v>
      </c>
      <c r="AN15" s="55">
        <v>45021</v>
      </c>
      <c r="AO15" s="53">
        <f>DAY(cadangan[[#This Row],[Tanggal terjual]])</f>
        <v>5</v>
      </c>
      <c r="AP15" s="21" t="str">
        <f>TEXT(cadangan[[#This Row],[Tanggal terjual]],"dddd")</f>
        <v>Wednesday</v>
      </c>
      <c r="AQ15" s="23" t="str" cm="1">
        <f t="array" ref="AQ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 s="61">
        <f>AVERAGE(cadangan[[#This Row],[Rating A]],cadangan[[#This Row],[Rating B]],cadangan[[#This Row],[Rating C]])</f>
        <v>3</v>
      </c>
    </row>
    <row r="16" spans="1:44" x14ac:dyDescent="0.2">
      <c r="A16" s="20">
        <v>15</v>
      </c>
      <c r="B16" s="21" t="str">
        <f>_xlfn.CONCAT("ORD-",INDEX(Helper!$B$2:$B$5,MATCH(cadangan[[#This Row],[Marketplace]],Helper!$A$2:$A$5,0)),TEXT(cadangan[[#This Row],[No]],"0000"),"-",TEXT(cadangan[[#This Row],[Tanggal terjual]],"dd/mm/yy"))</f>
        <v>ORD-BB0015-05/04/23</v>
      </c>
      <c r="C16" s="39" t="s">
        <v>62</v>
      </c>
      <c r="D16" s="39" t="str">
        <f>IFERROR(INDEX(Katalog!$A$3:$A$12,MATCH(cadangan[[#This Row],[ItemID A]],Katalog!$C$3:$C$12,0)),"-")</f>
        <v>Pakaian Pria</v>
      </c>
      <c r="E16" s="39" t="str">
        <f>IFERROR(INDEX(Katalog!$B$3:$B$12,MATCH(cadangan[[#This Row],[ItemID A]],Katalog!$C$3:$C$12,0)),"-")</f>
        <v>Celana Pendek</v>
      </c>
      <c r="F16" s="50">
        <v>1</v>
      </c>
      <c r="G16" s="50">
        <v>2</v>
      </c>
      <c r="H16" s="73">
        <f>IFERROR(INDEX(Katalog!$D$3:$D$12,MATCH(cadangan[[#This Row],[ItemID A]],Katalog!$C$3:$C$12,0))*cadangan[[#This Row],[Qty A]],0)</f>
        <v>180000</v>
      </c>
      <c r="I16" s="73">
        <f>IFERROR(cadangan[[#This Row],[Harga Normal A]]-(cadangan[[#This Row],[Harga Normal A]]*cadangan[[#This Row],[Diskon]]),cadangan[[#This Row],[Harga Normal A]])</f>
        <v>153000</v>
      </c>
      <c r="J16" s="73">
        <f>INDEX(Katalog!$F$3:$F$12,MATCH(cadangan[[#This Row],[ItemID A]],Katalog!$C$3:$C$12,0))*cadangan[[#This Row],[Qty A]]</f>
        <v>70000</v>
      </c>
      <c r="K16" s="73">
        <f>IFERROR(cadangan[[#This Row],[Harga Diskon A]]-INDEX(Katalog!$E$3:$E$12,MATCH(cadangan[[#This Row],[ItemID A]],Katalog!$C$3:$C$12,0))*cadangan[[#This Row],[Qty A]],0)</f>
        <v>43000</v>
      </c>
      <c r="L16" s="39" t="s">
        <v>59</v>
      </c>
      <c r="M16" s="39" t="str">
        <f>IFERROR(INDEX(Katalog!$A$3:$A$12,MATCH(cadangan[[#This Row],[ItemID B]],Katalog!$C$3:$C$12,0)),"-")</f>
        <v>Pakaian Wanita</v>
      </c>
      <c r="N16" s="39" t="str">
        <f>IFERROR(INDEX(Katalog!$B$3:$B$12,MATCH(cadangan[[#This Row],[ItemID B]],Katalog!$C$3:$C$12,0)),"-")</f>
        <v>Blouse</v>
      </c>
      <c r="O16" s="50">
        <v>1</v>
      </c>
      <c r="P16" s="50">
        <v>4</v>
      </c>
      <c r="Q16" s="73">
        <f>IFERROR(INDEX(Katalog!$D$3:$D$12,MATCH(cadangan[[#This Row],[ItemID B]],Katalog!$C$3:$C$12,0))*cadangan[[#This Row],[Qty B]],0)</f>
        <v>150000</v>
      </c>
      <c r="R16" s="73">
        <f>IFERROR(cadangan[[#This Row],[Harga Normal B]]-(cadangan[[#This Row],[Harga Normal B]]*cadangan[[#This Row],[Diskon]]),cadangan[[#This Row],[Harga Normal B]])</f>
        <v>127500</v>
      </c>
      <c r="S16" s="73">
        <f>IFERROR(INDEX(Katalog!$F$3:$F$12,MATCH(cadangan[[#This Row],[ItemID B]],Katalog!$C$3:$C$12,0))*cadangan[[#This Row],[Qty B]],0)</f>
        <v>50000</v>
      </c>
      <c r="T16" s="73">
        <f>IFERROR(cadangan[[#This Row],[Harga Diskon B]]-INDEX(Katalog!$E$3:$E$12,MATCH(cadangan[[#This Row],[ItemID B]],Katalog!$C$3:$C$12,0))*cadangan[[#This Row],[Qty B]],0)</f>
        <v>27500</v>
      </c>
      <c r="U16" s="39" t="s">
        <v>66</v>
      </c>
      <c r="V16" s="39" t="str">
        <f>IFERROR(INDEX(Katalog!$A$3:$A$12,MATCH(cadangan[[#This Row],[ItemID C]],Katalog!$C$3:$C$12,0)),"-")</f>
        <v>Sepatu Pria</v>
      </c>
      <c r="W16" s="39" t="str">
        <f>IFERROR(INDEX(Katalog!$B$3:$B$12,MATCH(cadangan[[#This Row],[ItemID C]],Katalog!$C$3:$C$12,0)),"-")</f>
        <v>Sandal Slip On</v>
      </c>
      <c r="X16" s="50">
        <v>3</v>
      </c>
      <c r="Y16" s="50">
        <v>5</v>
      </c>
      <c r="Z16" s="73">
        <f>IFERROR(INDEX(Katalog!$D$3:$D$12,MATCH(cadangan[[#This Row],[ItemID C]],Katalog!$C$3:$C$12,0))*cadangan[[#This Row],[Qty C]],0)</f>
        <v>450000</v>
      </c>
      <c r="AA16" s="73">
        <f>IFERROR(cadangan[[#This Row],[Harga Normal C]]-(cadangan[[#This Row],[Harga Normal C]]*cadangan[[#This Row],[Diskon]]),cadangan[[#This Row],[Harga Normal C]])</f>
        <v>382500</v>
      </c>
      <c r="AB16" s="73">
        <f>IFERROR(INDEX(Katalog!$F$3:$F$12,MATCH(cadangan[[#This Row],[ItemID C]],Katalog!$C$3:$C$12,0))*cadangan[[#This Row],[Qty C]],0)</f>
        <v>180000</v>
      </c>
      <c r="AC16" s="73">
        <f>IFERROR(cadangan[[#This Row],[Harga Diskon C]]-INDEX(Katalog!$E$3:$E$12,MATCH(cadangan[[#This Row],[ItemID C]],Katalog!$C$3:$C$12,0))*cadangan[[#This Row],[Qty C]],0)</f>
        <v>112500</v>
      </c>
      <c r="AD16" s="53">
        <f>cadangan[[#This Row],[Qty A]]+cadangan[[#This Row],[Qty B]]+cadangan[[#This Row],[Qty C]]</f>
        <v>5</v>
      </c>
      <c r="AE16" s="73">
        <f>cadangan[[#This Row],[Harga Normal A]]+cadangan[[#This Row],[Harga Normal B]]+cadangan[[#This Row],[Harga Normal C]]</f>
        <v>780000</v>
      </c>
      <c r="AF16" s="73">
        <f>cadangan[[#This Row],[Harga Diskon A]]+cadangan[[#This Row],[Harga Diskon B]]+cadangan[[#This Row],[Harga Diskon C]]</f>
        <v>663000</v>
      </c>
      <c r="AG16" s="73">
        <f>(cadangan[[#This Row],[Profit Normal A]]+cadangan[[#This Row],[Profit Normal B]]+cadangan[[#This Row],[Profit Normal C]])</f>
        <v>300000</v>
      </c>
      <c r="AH16" s="73">
        <f>cadangan[[#This Row],[Profit Diskon A]]+cadangan[[#This Row],[Profit Diskon B]]+cadangan[[#This Row],[Profit Diskon C]]</f>
        <v>183000</v>
      </c>
      <c r="AI16" s="23" t="s">
        <v>28</v>
      </c>
      <c r="AJ16" s="37">
        <f>IFERROR(INDEX('Kode Diskon'!$D$3:$D$9,MATCH(cadangan[[#This Row],[Kode diskon]],'Kode Diskon'!$C$3:$C$9,0)),"-")</f>
        <v>0.15</v>
      </c>
      <c r="AK16" s="23" t="s">
        <v>29</v>
      </c>
      <c r="AL16" s="23" t="s">
        <v>14</v>
      </c>
      <c r="AM16" s="23" t="s">
        <v>75</v>
      </c>
      <c r="AN16" s="55">
        <v>45021</v>
      </c>
      <c r="AO16" s="53">
        <f>DAY(cadangan[[#This Row],[Tanggal terjual]])</f>
        <v>5</v>
      </c>
      <c r="AP16" s="21" t="str">
        <f>TEXT(cadangan[[#This Row],[Tanggal terjual]],"dddd")</f>
        <v>Wednesday</v>
      </c>
      <c r="AQ16" s="23" t="str" cm="1">
        <f t="array" ref="AQ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6" s="61">
        <f>AVERAGE(cadangan[[#This Row],[Rating A]],cadangan[[#This Row],[Rating B]],cadangan[[#This Row],[Rating C]])</f>
        <v>3.6666666666666665</v>
      </c>
    </row>
    <row r="17" spans="1:44" x14ac:dyDescent="0.2">
      <c r="A17" s="20">
        <v>16</v>
      </c>
      <c r="B17" s="21" t="str">
        <f>_xlfn.CONCAT("ORD-",INDEX(Helper!$B$2:$B$5,MATCH(cadangan[[#This Row],[Marketplace]],Helper!$A$2:$A$5,0)),TEXT(cadangan[[#This Row],[No]],"0000"),"-",TEXT(cadangan[[#This Row],[Tanggal terjual]],"dd/mm/yy"))</f>
        <v>ORD-SP0016-01/04/23</v>
      </c>
      <c r="C17" s="39" t="s">
        <v>61</v>
      </c>
      <c r="D17" s="39" t="str">
        <f>IFERROR(INDEX(Katalog!$A$3:$A$12,MATCH(cadangan[[#This Row],[ItemID A]],Katalog!$C$3:$C$12,0)),"-")</f>
        <v>Pakaian Pria</v>
      </c>
      <c r="E17" s="39" t="str">
        <f>IFERROR(INDEX(Katalog!$B$3:$B$12,MATCH(cadangan[[#This Row],[ItemID A]],Katalog!$C$3:$C$12,0)),"-")</f>
        <v>Kaos Polo</v>
      </c>
      <c r="F17" s="50">
        <v>1</v>
      </c>
      <c r="G17" s="50">
        <v>1</v>
      </c>
      <c r="H17" s="73">
        <f>IFERROR(INDEX(Katalog!$D$3:$D$12,MATCH(cadangan[[#This Row],[ItemID A]],Katalog!$C$3:$C$12,0))*cadangan[[#This Row],[Qty A]],0)</f>
        <v>200000</v>
      </c>
      <c r="I17" s="73">
        <f>IFERROR(cadangan[[#This Row],[Harga Normal A]]-(cadangan[[#This Row],[Harga Normal A]]*cadangan[[#This Row],[Diskon]]),cadangan[[#This Row],[Harga Normal A]])</f>
        <v>170000</v>
      </c>
      <c r="J17" s="73">
        <f>INDEX(Katalog!$F$3:$F$12,MATCH(cadangan[[#This Row],[ItemID A]],Katalog!$C$3:$C$12,0))*cadangan[[#This Row],[Qty A]]</f>
        <v>80000</v>
      </c>
      <c r="K17" s="73">
        <f>IFERROR(cadangan[[#This Row],[Harga Diskon A]]-INDEX(Katalog!$E$3:$E$12,MATCH(cadangan[[#This Row],[ItemID A]],Katalog!$C$3:$C$12,0))*cadangan[[#This Row],[Qty A]],0)</f>
        <v>50000</v>
      </c>
      <c r="M17" s="39" t="str">
        <f>IFERROR(INDEX(Katalog!$A$3:$A$12,MATCH(cadangan[[#This Row],[ItemID B]],Katalog!$C$3:$C$12,0)),"-")</f>
        <v>-</v>
      </c>
      <c r="N17" s="39" t="str">
        <f>IFERROR(INDEX(Katalog!$B$3:$B$12,MATCH(cadangan[[#This Row],[ItemID B]],Katalog!$C$3:$C$12,0)),"-")</f>
        <v>-</v>
      </c>
      <c r="Q17" s="73">
        <f>IFERROR(INDEX(Katalog!$D$3:$D$12,MATCH(cadangan[[#This Row],[ItemID B]],Katalog!$C$3:$C$12,0))*cadangan[[#This Row],[Qty B]],0)</f>
        <v>0</v>
      </c>
      <c r="R17" s="73">
        <f>IFERROR(cadangan[[#This Row],[Harga Normal B]]-(cadangan[[#This Row],[Harga Normal B]]*cadangan[[#This Row],[Diskon]]),cadangan[[#This Row],[Harga Normal B]])</f>
        <v>0</v>
      </c>
      <c r="S17" s="73">
        <f>IFERROR(INDEX(Katalog!$F$3:$F$12,MATCH(cadangan[[#This Row],[ItemID B]],Katalog!$C$3:$C$12,0))*cadangan[[#This Row],[Qty B]],0)</f>
        <v>0</v>
      </c>
      <c r="T17" s="73">
        <f>IFERROR(cadangan[[#This Row],[Harga Diskon B]]-INDEX(Katalog!$E$3:$E$12,MATCH(cadangan[[#This Row],[ItemID B]],Katalog!$C$3:$C$12,0))*cadangan[[#This Row],[Qty B]],0)</f>
        <v>0</v>
      </c>
      <c r="V17" s="39" t="str">
        <f>IFERROR(INDEX(Katalog!$A$3:$A$12,MATCH(cadangan[[#This Row],[ItemID C]],Katalog!$C$3:$C$12,0)),"-")</f>
        <v>-</v>
      </c>
      <c r="W17" s="39" t="str">
        <f>IFERROR(INDEX(Katalog!$B$3:$B$12,MATCH(cadangan[[#This Row],[ItemID C]],Katalog!$C$3:$C$12,0)),"-")</f>
        <v>-</v>
      </c>
      <c r="Z17" s="73">
        <f>IFERROR(INDEX(Katalog!$D$3:$D$12,MATCH(cadangan[[#This Row],[ItemID C]],Katalog!$C$3:$C$12,0))*cadangan[[#This Row],[Qty C]],0)</f>
        <v>0</v>
      </c>
      <c r="AA17" s="73">
        <f>IFERROR(cadangan[[#This Row],[Harga Normal C]]-(cadangan[[#This Row],[Harga Normal C]]*cadangan[[#This Row],[Diskon]]),cadangan[[#This Row],[Harga Normal C]])</f>
        <v>0</v>
      </c>
      <c r="AB17" s="73">
        <f>IFERROR(INDEX(Katalog!$F$3:$F$12,MATCH(cadangan[[#This Row],[ItemID C]],Katalog!$C$3:$C$12,0))*cadangan[[#This Row],[Qty C]],0)</f>
        <v>0</v>
      </c>
      <c r="AC17" s="73">
        <f>IFERROR(cadangan[[#This Row],[Harga Diskon C]]-INDEX(Katalog!$E$3:$E$12,MATCH(cadangan[[#This Row],[ItemID C]],Katalog!$C$3:$C$12,0))*cadangan[[#This Row],[Qty C]],0)</f>
        <v>0</v>
      </c>
      <c r="AD17" s="53">
        <f>cadangan[[#This Row],[Qty A]]+cadangan[[#This Row],[Qty B]]+cadangan[[#This Row],[Qty C]]</f>
        <v>1</v>
      </c>
      <c r="AE17" s="73">
        <f>cadangan[[#This Row],[Harga Normal A]]+cadangan[[#This Row],[Harga Normal B]]+cadangan[[#This Row],[Harga Normal C]]</f>
        <v>200000</v>
      </c>
      <c r="AF17" s="73">
        <f>cadangan[[#This Row],[Harga Diskon A]]+cadangan[[#This Row],[Harga Diskon B]]+cadangan[[#This Row],[Harga Diskon C]]</f>
        <v>170000</v>
      </c>
      <c r="AG17" s="73">
        <f>(cadangan[[#This Row],[Profit Normal A]]+cadangan[[#This Row],[Profit Normal B]]+cadangan[[#This Row],[Profit Normal C]])</f>
        <v>80000</v>
      </c>
      <c r="AH17" s="73">
        <f>cadangan[[#This Row],[Profit Diskon A]]+cadangan[[#This Row],[Profit Diskon B]]+cadangan[[#This Row],[Profit Diskon C]]</f>
        <v>50000</v>
      </c>
      <c r="AI17" s="23" t="s">
        <v>13</v>
      </c>
      <c r="AJ17" s="37">
        <f>IFERROR(INDEX('Kode Diskon'!$D$3:$D$9,MATCH(cadangan[[#This Row],[Kode diskon]],'Kode Diskon'!$C$3:$C$9,0)),"-")</f>
        <v>0.15</v>
      </c>
      <c r="AK17" s="23" t="s">
        <v>29</v>
      </c>
      <c r="AL17" s="23" t="s">
        <v>7</v>
      </c>
      <c r="AM17" s="23" t="s">
        <v>78</v>
      </c>
      <c r="AN17" s="55">
        <v>45017</v>
      </c>
      <c r="AO17" s="53">
        <f>DAY(cadangan[[#This Row],[Tanggal terjual]])</f>
        <v>1</v>
      </c>
      <c r="AP17" s="21" t="str">
        <f>TEXT(cadangan[[#This Row],[Tanggal terjual]],"dddd")</f>
        <v>Saturday</v>
      </c>
      <c r="AQ17" s="23" t="str" cm="1">
        <f t="array" ref="AQ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7" s="61">
        <f>AVERAGE(cadangan[[#This Row],[Rating A]],cadangan[[#This Row],[Rating B]],cadangan[[#This Row],[Rating C]])</f>
        <v>1</v>
      </c>
    </row>
    <row r="18" spans="1:44" x14ac:dyDescent="0.2">
      <c r="A18" s="20">
        <v>17</v>
      </c>
      <c r="B18" s="21" t="str">
        <f>_xlfn.CONCAT("ORD-",INDEX(Helper!$B$2:$B$5,MATCH(cadangan[[#This Row],[Marketplace]],Helper!$A$2:$A$5,0)),TEXT(cadangan[[#This Row],[No]],"0000"),"-",TEXT(cadangan[[#This Row],[Tanggal terjual]],"dd/mm/yy"))</f>
        <v>ORD-BB0017-05/04/23</v>
      </c>
      <c r="C18" s="39" t="s">
        <v>64</v>
      </c>
      <c r="D18" s="39" t="str">
        <f>IFERROR(INDEX(Katalog!$A$3:$A$12,MATCH(cadangan[[#This Row],[ItemID A]],Katalog!$C$3:$C$12,0)),"-")</f>
        <v>Pakaian Unisex</v>
      </c>
      <c r="E18" s="39" t="str">
        <f>IFERROR(INDEX(Katalog!$B$3:$B$12,MATCH(cadangan[[#This Row],[ItemID A]],Katalog!$C$3:$C$12,0)),"-")</f>
        <v>Jaket Hoodie</v>
      </c>
      <c r="F18" s="50">
        <v>2</v>
      </c>
      <c r="G18" s="50">
        <v>4</v>
      </c>
      <c r="H18" s="73">
        <f>IFERROR(INDEX(Katalog!$D$3:$D$12,MATCH(cadangan[[#This Row],[ItemID A]],Katalog!$C$3:$C$12,0))*cadangan[[#This Row],[Qty A]],0)</f>
        <v>700000</v>
      </c>
      <c r="I18" s="73">
        <f>IFERROR(cadangan[[#This Row],[Harga Normal A]]-(cadangan[[#This Row],[Harga Normal A]]*cadangan[[#This Row],[Diskon]]),cadangan[[#This Row],[Harga Normal A]])</f>
        <v>595000</v>
      </c>
      <c r="J18" s="73">
        <f>INDEX(Katalog!$F$3:$F$12,MATCH(cadangan[[#This Row],[ItemID A]],Katalog!$C$3:$C$12,0))*cadangan[[#This Row],[Qty A]]</f>
        <v>260000</v>
      </c>
      <c r="K18" s="73">
        <f>IFERROR(cadangan[[#This Row],[Harga Diskon A]]-INDEX(Katalog!$E$3:$E$12,MATCH(cadangan[[#This Row],[ItemID A]],Katalog!$C$3:$C$12,0))*cadangan[[#This Row],[Qty A]],0)</f>
        <v>155000</v>
      </c>
      <c r="L18" s="39" t="s">
        <v>58</v>
      </c>
      <c r="M18" s="39" t="str">
        <f>IFERROR(INDEX(Katalog!$A$3:$A$12,MATCH(cadangan[[#This Row],[ItemID B]],Katalog!$C$3:$C$12,0)),"-")</f>
        <v>Pakaian Wanita</v>
      </c>
      <c r="N18" s="39" t="str">
        <f>IFERROR(INDEX(Katalog!$B$3:$B$12,MATCH(cadangan[[#This Row],[ItemID B]],Katalog!$C$3:$C$12,0)),"-")</f>
        <v>Dress</v>
      </c>
      <c r="O18" s="50">
        <v>1</v>
      </c>
      <c r="P18" s="50">
        <v>5</v>
      </c>
      <c r="Q18" s="73">
        <f>IFERROR(INDEX(Katalog!$D$3:$D$12,MATCH(cadangan[[#This Row],[ItemID B]],Katalog!$C$3:$C$12,0))*cadangan[[#This Row],[Qty B]],0)</f>
        <v>300000</v>
      </c>
      <c r="R18" s="73">
        <f>IFERROR(cadangan[[#This Row],[Harga Normal B]]-(cadangan[[#This Row],[Harga Normal B]]*cadangan[[#This Row],[Diskon]]),cadangan[[#This Row],[Harga Normal B]])</f>
        <v>255000</v>
      </c>
      <c r="S18" s="73">
        <f>IFERROR(INDEX(Katalog!$F$3:$F$12,MATCH(cadangan[[#This Row],[ItemID B]],Katalog!$C$3:$C$12,0))*cadangan[[#This Row],[Qty B]],0)</f>
        <v>100000</v>
      </c>
      <c r="T18" s="73">
        <f>IFERROR(cadangan[[#This Row],[Harga Diskon B]]-INDEX(Katalog!$E$3:$E$12,MATCH(cadangan[[#This Row],[ItemID B]],Katalog!$C$3:$C$12,0))*cadangan[[#This Row],[Qty B]],0)</f>
        <v>55000</v>
      </c>
      <c r="V18" s="39" t="str">
        <f>IFERROR(INDEX(Katalog!$A$3:$A$12,MATCH(cadangan[[#This Row],[ItemID C]],Katalog!$C$3:$C$12,0)),"-")</f>
        <v>-</v>
      </c>
      <c r="W18" s="39" t="str">
        <f>IFERROR(INDEX(Katalog!$B$3:$B$12,MATCH(cadangan[[#This Row],[ItemID C]],Katalog!$C$3:$C$12,0)),"-")</f>
        <v>-</v>
      </c>
      <c r="Z18" s="73">
        <f>IFERROR(INDEX(Katalog!$D$3:$D$12,MATCH(cadangan[[#This Row],[ItemID C]],Katalog!$C$3:$C$12,0))*cadangan[[#This Row],[Qty C]],0)</f>
        <v>0</v>
      </c>
      <c r="AA18" s="73">
        <f>IFERROR(cadangan[[#This Row],[Harga Normal C]]-(cadangan[[#This Row],[Harga Normal C]]*cadangan[[#This Row],[Diskon]]),cadangan[[#This Row],[Harga Normal C]])</f>
        <v>0</v>
      </c>
      <c r="AB18" s="73">
        <f>IFERROR(INDEX(Katalog!$F$3:$F$12,MATCH(cadangan[[#This Row],[ItemID C]],Katalog!$C$3:$C$12,0))*cadangan[[#This Row],[Qty C]],0)</f>
        <v>0</v>
      </c>
      <c r="AC18" s="73">
        <f>IFERROR(cadangan[[#This Row],[Harga Diskon C]]-INDEX(Katalog!$E$3:$E$12,MATCH(cadangan[[#This Row],[ItemID C]],Katalog!$C$3:$C$12,0))*cadangan[[#This Row],[Qty C]],0)</f>
        <v>0</v>
      </c>
      <c r="AD18" s="53">
        <f>cadangan[[#This Row],[Qty A]]+cadangan[[#This Row],[Qty B]]+cadangan[[#This Row],[Qty C]]</f>
        <v>3</v>
      </c>
      <c r="AE18" s="73">
        <f>cadangan[[#This Row],[Harga Normal A]]+cadangan[[#This Row],[Harga Normal B]]+cadangan[[#This Row],[Harga Normal C]]</f>
        <v>1000000</v>
      </c>
      <c r="AF18" s="73">
        <f>cadangan[[#This Row],[Harga Diskon A]]+cadangan[[#This Row],[Harga Diskon B]]+cadangan[[#This Row],[Harga Diskon C]]</f>
        <v>850000</v>
      </c>
      <c r="AG18" s="73">
        <f>(cadangan[[#This Row],[Profit Normal A]]+cadangan[[#This Row],[Profit Normal B]]+cadangan[[#This Row],[Profit Normal C]])</f>
        <v>360000</v>
      </c>
      <c r="AH18" s="73">
        <f>cadangan[[#This Row],[Profit Diskon A]]+cadangan[[#This Row],[Profit Diskon B]]+cadangan[[#This Row],[Profit Diskon C]]</f>
        <v>210000</v>
      </c>
      <c r="AI18" s="23" t="s">
        <v>28</v>
      </c>
      <c r="AJ18" s="37">
        <f>IFERROR(INDEX('Kode Diskon'!$D$3:$D$9,MATCH(cadangan[[#This Row],[Kode diskon]],'Kode Diskon'!$C$3:$C$9,0)),"-")</f>
        <v>0.15</v>
      </c>
      <c r="AK18" s="23" t="s">
        <v>29</v>
      </c>
      <c r="AL18" s="23" t="s">
        <v>14</v>
      </c>
      <c r="AM18" s="23" t="s">
        <v>80</v>
      </c>
      <c r="AN18" s="55">
        <v>45021</v>
      </c>
      <c r="AO18" s="53">
        <f>DAY(cadangan[[#This Row],[Tanggal terjual]])</f>
        <v>5</v>
      </c>
      <c r="AP18" s="21" t="str">
        <f>TEXT(cadangan[[#This Row],[Tanggal terjual]],"dddd")</f>
        <v>Wednesday</v>
      </c>
      <c r="AQ18" s="23" t="str" cm="1">
        <f t="array" ref="AQ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 s="61">
        <f>AVERAGE(cadangan[[#This Row],[Rating A]],cadangan[[#This Row],[Rating B]],cadangan[[#This Row],[Rating C]])</f>
        <v>4.5</v>
      </c>
    </row>
    <row r="19" spans="1:44" x14ac:dyDescent="0.2">
      <c r="A19" s="20">
        <v>18</v>
      </c>
      <c r="B19" s="21" t="str">
        <f>_xlfn.CONCAT("ORD-",INDEX(Helper!$B$2:$B$5,MATCH(cadangan[[#This Row],[Marketplace]],Helper!$A$2:$A$5,0)),TEXT(cadangan[[#This Row],[No]],"0000"),"-",TEXT(cadangan[[#This Row],[Tanggal terjual]],"dd/mm/yy"))</f>
        <v>ORD-BB0018-06/04/23</v>
      </c>
      <c r="C19" s="39" t="s">
        <v>58</v>
      </c>
      <c r="D19" s="39" t="str">
        <f>IFERROR(INDEX(Katalog!$A$3:$A$12,MATCH(cadangan[[#This Row],[ItemID A]],Katalog!$C$3:$C$12,0)),"-")</f>
        <v>Pakaian Wanita</v>
      </c>
      <c r="E19" s="39" t="str">
        <f>IFERROR(INDEX(Katalog!$B$3:$B$12,MATCH(cadangan[[#This Row],[ItemID A]],Katalog!$C$3:$C$12,0)),"-")</f>
        <v>Dress</v>
      </c>
      <c r="F19" s="50">
        <v>1</v>
      </c>
      <c r="G19" s="50">
        <v>4</v>
      </c>
      <c r="H19" s="73">
        <f>IFERROR(INDEX(Katalog!$D$3:$D$12,MATCH(cadangan[[#This Row],[ItemID A]],Katalog!$C$3:$C$12,0))*cadangan[[#This Row],[Qty A]],0)</f>
        <v>300000</v>
      </c>
      <c r="I19" s="73">
        <f>IFERROR(cadangan[[#This Row],[Harga Normal A]]-(cadangan[[#This Row],[Harga Normal A]]*cadangan[[#This Row],[Diskon]]),cadangan[[#This Row],[Harga Normal A]])</f>
        <v>255000</v>
      </c>
      <c r="J19" s="73">
        <f>INDEX(Katalog!$F$3:$F$12,MATCH(cadangan[[#This Row],[ItemID A]],Katalog!$C$3:$C$12,0))*cadangan[[#This Row],[Qty A]]</f>
        <v>100000</v>
      </c>
      <c r="K19" s="73">
        <f>IFERROR(cadangan[[#This Row],[Harga Diskon A]]-INDEX(Katalog!$E$3:$E$12,MATCH(cadangan[[#This Row],[ItemID A]],Katalog!$C$3:$C$12,0))*cadangan[[#This Row],[Qty A]],0)</f>
        <v>55000</v>
      </c>
      <c r="M19" s="39" t="str">
        <f>IFERROR(INDEX(Katalog!$A$3:$A$12,MATCH(cadangan[[#This Row],[ItemID B]],Katalog!$C$3:$C$12,0)),"-")</f>
        <v>-</v>
      </c>
      <c r="N19" s="39" t="str">
        <f>IFERROR(INDEX(Katalog!$B$3:$B$12,MATCH(cadangan[[#This Row],[ItemID B]],Katalog!$C$3:$C$12,0)),"-")</f>
        <v>-</v>
      </c>
      <c r="Q19" s="73">
        <f>IFERROR(INDEX(Katalog!$D$3:$D$12,MATCH(cadangan[[#This Row],[ItemID B]],Katalog!$C$3:$C$12,0))*cadangan[[#This Row],[Qty B]],0)</f>
        <v>0</v>
      </c>
      <c r="R19" s="73">
        <f>IFERROR(cadangan[[#This Row],[Harga Normal B]]-(cadangan[[#This Row],[Harga Normal B]]*cadangan[[#This Row],[Diskon]]),cadangan[[#This Row],[Harga Normal B]])</f>
        <v>0</v>
      </c>
      <c r="S19" s="73">
        <f>IFERROR(INDEX(Katalog!$F$3:$F$12,MATCH(cadangan[[#This Row],[ItemID B]],Katalog!$C$3:$C$12,0))*cadangan[[#This Row],[Qty B]],0)</f>
        <v>0</v>
      </c>
      <c r="T19" s="73">
        <f>IFERROR(cadangan[[#This Row],[Harga Diskon B]]-INDEX(Katalog!$E$3:$E$12,MATCH(cadangan[[#This Row],[ItemID B]],Katalog!$C$3:$C$12,0))*cadangan[[#This Row],[Qty B]],0)</f>
        <v>0</v>
      </c>
      <c r="V19" s="39" t="str">
        <f>IFERROR(INDEX(Katalog!$A$3:$A$12,MATCH(cadangan[[#This Row],[ItemID C]],Katalog!$C$3:$C$12,0)),"-")</f>
        <v>-</v>
      </c>
      <c r="W19" s="39" t="str">
        <f>IFERROR(INDEX(Katalog!$B$3:$B$12,MATCH(cadangan[[#This Row],[ItemID C]],Katalog!$C$3:$C$12,0)),"-")</f>
        <v>-</v>
      </c>
      <c r="Z19" s="73">
        <f>IFERROR(INDEX(Katalog!$D$3:$D$12,MATCH(cadangan[[#This Row],[ItemID C]],Katalog!$C$3:$C$12,0))*cadangan[[#This Row],[Qty C]],0)</f>
        <v>0</v>
      </c>
      <c r="AA19" s="73">
        <f>IFERROR(cadangan[[#This Row],[Harga Normal C]]-(cadangan[[#This Row],[Harga Normal C]]*cadangan[[#This Row],[Diskon]]),cadangan[[#This Row],[Harga Normal C]])</f>
        <v>0</v>
      </c>
      <c r="AB19" s="73">
        <f>IFERROR(INDEX(Katalog!$F$3:$F$12,MATCH(cadangan[[#This Row],[ItemID C]],Katalog!$C$3:$C$12,0))*cadangan[[#This Row],[Qty C]],0)</f>
        <v>0</v>
      </c>
      <c r="AC19" s="73">
        <f>IFERROR(cadangan[[#This Row],[Harga Diskon C]]-INDEX(Katalog!$E$3:$E$12,MATCH(cadangan[[#This Row],[ItemID C]],Katalog!$C$3:$C$12,0))*cadangan[[#This Row],[Qty C]],0)</f>
        <v>0</v>
      </c>
      <c r="AD19" s="53">
        <f>cadangan[[#This Row],[Qty A]]+cadangan[[#This Row],[Qty B]]+cadangan[[#This Row],[Qty C]]</f>
        <v>1</v>
      </c>
      <c r="AE19" s="73">
        <f>cadangan[[#This Row],[Harga Normal A]]+cadangan[[#This Row],[Harga Normal B]]+cadangan[[#This Row],[Harga Normal C]]</f>
        <v>300000</v>
      </c>
      <c r="AF19" s="73">
        <f>cadangan[[#This Row],[Harga Diskon A]]+cadangan[[#This Row],[Harga Diskon B]]+cadangan[[#This Row],[Harga Diskon C]]</f>
        <v>255000</v>
      </c>
      <c r="AG19" s="73">
        <f>(cadangan[[#This Row],[Profit Normal A]]+cadangan[[#This Row],[Profit Normal B]]+cadangan[[#This Row],[Profit Normal C]])</f>
        <v>100000</v>
      </c>
      <c r="AH19" s="73">
        <f>cadangan[[#This Row],[Profit Diskon A]]+cadangan[[#This Row],[Profit Diskon B]]+cadangan[[#This Row],[Profit Diskon C]]</f>
        <v>55000</v>
      </c>
      <c r="AI19" s="23" t="s">
        <v>28</v>
      </c>
      <c r="AJ19" s="37">
        <f>IFERROR(INDEX('Kode Diskon'!$D$3:$D$9,MATCH(cadangan[[#This Row],[Kode diskon]],'Kode Diskon'!$C$3:$C$9,0)),"-")</f>
        <v>0.15</v>
      </c>
      <c r="AK19" s="23" t="s">
        <v>29</v>
      </c>
      <c r="AL19" s="23" t="s">
        <v>14</v>
      </c>
      <c r="AM19" s="23" t="s">
        <v>77</v>
      </c>
      <c r="AN19" s="55">
        <v>45022</v>
      </c>
      <c r="AO19" s="53">
        <f>DAY(cadangan[[#This Row],[Tanggal terjual]])</f>
        <v>6</v>
      </c>
      <c r="AP19" s="21" t="str">
        <f>TEXT(cadangan[[#This Row],[Tanggal terjual]],"dddd")</f>
        <v>Thursday</v>
      </c>
      <c r="AQ19" s="23" t="str" cm="1">
        <f t="array" ref="AQ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 s="61">
        <f>AVERAGE(cadangan[[#This Row],[Rating A]],cadangan[[#This Row],[Rating B]],cadangan[[#This Row],[Rating C]])</f>
        <v>4</v>
      </c>
    </row>
    <row r="20" spans="1:44" x14ac:dyDescent="0.2">
      <c r="A20" s="20">
        <v>19</v>
      </c>
      <c r="B20" s="21" t="str">
        <f>_xlfn.CONCAT("ORD-",INDEX(Helper!$B$2:$B$5,MATCH(cadangan[[#This Row],[Marketplace]],Helper!$A$2:$A$5,0)),TEXT(cadangan[[#This Row],[No]],"0000"),"-",TEXT(cadangan[[#This Row],[Tanggal terjual]],"dd/mm/yy"))</f>
        <v>ORD-SP0019-02/04/23</v>
      </c>
      <c r="C20" s="39" t="s">
        <v>66</v>
      </c>
      <c r="D20" s="39" t="str">
        <f>IFERROR(INDEX(Katalog!$A$3:$A$12,MATCH(cadangan[[#This Row],[ItemID A]],Katalog!$C$3:$C$12,0)),"-")</f>
        <v>Sepatu Pria</v>
      </c>
      <c r="E20" s="39" t="str">
        <f>IFERROR(INDEX(Katalog!$B$3:$B$12,MATCH(cadangan[[#This Row],[ItemID A]],Katalog!$C$3:$C$12,0)),"-")</f>
        <v>Sandal Slip On</v>
      </c>
      <c r="F20" s="50">
        <v>1</v>
      </c>
      <c r="G20" s="50">
        <v>4</v>
      </c>
      <c r="H20" s="73">
        <f>IFERROR(INDEX(Katalog!$D$3:$D$12,MATCH(cadangan[[#This Row],[ItemID A]],Katalog!$C$3:$C$12,0))*cadangan[[#This Row],[Qty A]],0)</f>
        <v>150000</v>
      </c>
      <c r="I20" s="73">
        <f>IFERROR(cadangan[[#This Row],[Harga Normal A]]-(cadangan[[#This Row],[Harga Normal A]]*cadangan[[#This Row],[Diskon]]),cadangan[[#This Row],[Harga Normal A]])</f>
        <v>135000</v>
      </c>
      <c r="J20" s="73">
        <f>INDEX(Katalog!$F$3:$F$12,MATCH(cadangan[[#This Row],[ItemID A]],Katalog!$C$3:$C$12,0))*cadangan[[#This Row],[Qty A]]</f>
        <v>60000</v>
      </c>
      <c r="K20" s="73">
        <f>IFERROR(cadangan[[#This Row],[Harga Diskon A]]-INDEX(Katalog!$E$3:$E$12,MATCH(cadangan[[#This Row],[ItemID A]],Katalog!$C$3:$C$12,0))*cadangan[[#This Row],[Qty A]],0)</f>
        <v>45000</v>
      </c>
      <c r="L20" s="39" t="s">
        <v>67</v>
      </c>
      <c r="M20" s="39" t="str">
        <f>IFERROR(INDEX(Katalog!$A$3:$A$12,MATCH(cadangan[[#This Row],[ItemID B]],Katalog!$C$3:$C$12,0)),"-")</f>
        <v>Sepatu Wanita</v>
      </c>
      <c r="N20" s="39" t="str">
        <f>IFERROR(INDEX(Katalog!$B$3:$B$12,MATCH(cadangan[[#This Row],[ItemID B]],Katalog!$C$3:$C$12,0)),"-")</f>
        <v>Flat Shoes</v>
      </c>
      <c r="O20" s="50">
        <v>2</v>
      </c>
      <c r="P20" s="50">
        <v>2</v>
      </c>
      <c r="Q20" s="73">
        <f>IFERROR(INDEX(Katalog!$D$3:$D$12,MATCH(cadangan[[#This Row],[ItemID B]],Katalog!$C$3:$C$12,0))*cadangan[[#This Row],[Qty B]],0)</f>
        <v>500000</v>
      </c>
      <c r="R20" s="73">
        <f>IFERROR(cadangan[[#This Row],[Harga Normal B]]-(cadangan[[#This Row],[Harga Normal B]]*cadangan[[#This Row],[Diskon]]),cadangan[[#This Row],[Harga Normal B]])</f>
        <v>450000</v>
      </c>
      <c r="S20" s="73">
        <f>IFERROR(INDEX(Katalog!$F$3:$F$12,MATCH(cadangan[[#This Row],[ItemID B]],Katalog!$C$3:$C$12,0))*cadangan[[#This Row],[Qty B]],0)</f>
        <v>200000</v>
      </c>
      <c r="T20" s="73">
        <f>IFERROR(cadangan[[#This Row],[Harga Diskon B]]-INDEX(Katalog!$E$3:$E$12,MATCH(cadangan[[#This Row],[ItemID B]],Katalog!$C$3:$C$12,0))*cadangan[[#This Row],[Qty B]],0)</f>
        <v>150000</v>
      </c>
      <c r="U20" s="39" t="s">
        <v>61</v>
      </c>
      <c r="V20" s="39" t="str">
        <f>IFERROR(INDEX(Katalog!$A$3:$A$12,MATCH(cadangan[[#This Row],[ItemID C]],Katalog!$C$3:$C$12,0)),"-")</f>
        <v>Pakaian Pria</v>
      </c>
      <c r="W20" s="39" t="str">
        <f>IFERROR(INDEX(Katalog!$B$3:$B$12,MATCH(cadangan[[#This Row],[ItemID C]],Katalog!$C$3:$C$12,0)),"-")</f>
        <v>Kaos Polo</v>
      </c>
      <c r="X20" s="50">
        <v>1</v>
      </c>
      <c r="Y20" s="50">
        <v>4</v>
      </c>
      <c r="Z20" s="73">
        <f>IFERROR(INDEX(Katalog!$D$3:$D$12,MATCH(cadangan[[#This Row],[ItemID C]],Katalog!$C$3:$C$12,0))*cadangan[[#This Row],[Qty C]],0)</f>
        <v>200000</v>
      </c>
      <c r="AA20" s="73">
        <f>IFERROR(cadangan[[#This Row],[Harga Normal C]]-(cadangan[[#This Row],[Harga Normal C]]*cadangan[[#This Row],[Diskon]]),cadangan[[#This Row],[Harga Normal C]])</f>
        <v>180000</v>
      </c>
      <c r="AB20" s="73">
        <f>IFERROR(INDEX(Katalog!$F$3:$F$12,MATCH(cadangan[[#This Row],[ItemID C]],Katalog!$C$3:$C$12,0))*cadangan[[#This Row],[Qty C]],0)</f>
        <v>80000</v>
      </c>
      <c r="AC20" s="73">
        <f>IFERROR(cadangan[[#This Row],[Harga Diskon C]]-INDEX(Katalog!$E$3:$E$12,MATCH(cadangan[[#This Row],[ItemID C]],Katalog!$C$3:$C$12,0))*cadangan[[#This Row],[Qty C]],0)</f>
        <v>60000</v>
      </c>
      <c r="AD20" s="53">
        <f>cadangan[[#This Row],[Qty A]]+cadangan[[#This Row],[Qty B]]+cadangan[[#This Row],[Qty C]]</f>
        <v>4</v>
      </c>
      <c r="AE20" s="73">
        <f>cadangan[[#This Row],[Harga Normal A]]+cadangan[[#This Row],[Harga Normal B]]+cadangan[[#This Row],[Harga Normal C]]</f>
        <v>850000</v>
      </c>
      <c r="AF20" s="73">
        <f>cadangan[[#This Row],[Harga Diskon A]]+cadangan[[#This Row],[Harga Diskon B]]+cadangan[[#This Row],[Harga Diskon C]]</f>
        <v>765000</v>
      </c>
      <c r="AG20" s="73">
        <f>(cadangan[[#This Row],[Profit Normal A]]+cadangan[[#This Row],[Profit Normal B]]+cadangan[[#This Row],[Profit Normal C]])</f>
        <v>340000</v>
      </c>
      <c r="AH20" s="73">
        <f>cadangan[[#This Row],[Profit Diskon A]]+cadangan[[#This Row],[Profit Diskon B]]+cadangan[[#This Row],[Profit Diskon C]]</f>
        <v>255000</v>
      </c>
      <c r="AI20" s="23" t="s">
        <v>6</v>
      </c>
      <c r="AJ20" s="37">
        <f>IFERROR(INDEX('Kode Diskon'!$D$3:$D$9,MATCH(cadangan[[#This Row],[Kode diskon]],'Kode Diskon'!$C$3:$C$9,0)),"-")</f>
        <v>0.1</v>
      </c>
      <c r="AK20" s="23" t="s">
        <v>29</v>
      </c>
      <c r="AL20" s="23" t="s">
        <v>7</v>
      </c>
      <c r="AM20" s="23" t="s">
        <v>78</v>
      </c>
      <c r="AN20" s="55">
        <v>45018</v>
      </c>
      <c r="AO20" s="53">
        <f>DAY(cadangan[[#This Row],[Tanggal terjual]])</f>
        <v>2</v>
      </c>
      <c r="AP20" s="21" t="str">
        <f>TEXT(cadangan[[#This Row],[Tanggal terjual]],"dddd")</f>
        <v>Sunday</v>
      </c>
      <c r="AQ20" s="23" t="str" cm="1">
        <f t="array" ref="AQ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0" s="61">
        <f>AVERAGE(cadangan[[#This Row],[Rating A]],cadangan[[#This Row],[Rating B]],cadangan[[#This Row],[Rating C]])</f>
        <v>3.3333333333333335</v>
      </c>
    </row>
    <row r="21" spans="1:44" x14ac:dyDescent="0.2">
      <c r="A21" s="20">
        <v>20</v>
      </c>
      <c r="B21" s="21" t="str">
        <f>_xlfn.CONCAT("ORD-",INDEX(Helper!$B$2:$B$5,MATCH(cadangan[[#This Row],[Marketplace]],Helper!$A$2:$A$5,0)),TEXT(cadangan[[#This Row],[No]],"0000"),"-",TEXT(cadangan[[#This Row],[Tanggal terjual]],"dd/mm/yy"))</f>
        <v>ORD-SP0020-09/04/23</v>
      </c>
      <c r="C21" s="39" t="s">
        <v>62</v>
      </c>
      <c r="D21" s="39" t="str">
        <f>IFERROR(INDEX(Katalog!$A$3:$A$12,MATCH(cadangan[[#This Row],[ItemID A]],Katalog!$C$3:$C$12,0)),"-")</f>
        <v>Pakaian Pria</v>
      </c>
      <c r="E21" s="39" t="str">
        <f>IFERROR(INDEX(Katalog!$B$3:$B$12,MATCH(cadangan[[#This Row],[ItemID A]],Katalog!$C$3:$C$12,0)),"-")</f>
        <v>Celana Pendek</v>
      </c>
      <c r="F21" s="50">
        <v>1</v>
      </c>
      <c r="G21" s="50">
        <v>1</v>
      </c>
      <c r="H21" s="73">
        <f>IFERROR(INDEX(Katalog!$D$3:$D$12,MATCH(cadangan[[#This Row],[ItemID A]],Katalog!$C$3:$C$12,0))*cadangan[[#This Row],[Qty A]],0)</f>
        <v>180000</v>
      </c>
      <c r="I21" s="73">
        <f>IFERROR(cadangan[[#This Row],[Harga Normal A]]-(cadangan[[#This Row],[Harga Normal A]]*cadangan[[#This Row],[Diskon]]),cadangan[[#This Row],[Harga Normal A]])</f>
        <v>180000</v>
      </c>
      <c r="J21" s="73">
        <f>INDEX(Katalog!$F$3:$F$12,MATCH(cadangan[[#This Row],[ItemID A]],Katalog!$C$3:$C$12,0))*cadangan[[#This Row],[Qty A]]</f>
        <v>70000</v>
      </c>
      <c r="K21" s="73">
        <f>IFERROR(cadangan[[#This Row],[Harga Diskon A]]-INDEX(Katalog!$E$3:$E$12,MATCH(cadangan[[#This Row],[ItemID A]],Katalog!$C$3:$C$12,0))*cadangan[[#This Row],[Qty A]],0)</f>
        <v>70000</v>
      </c>
      <c r="M21" s="39" t="str">
        <f>IFERROR(INDEX(Katalog!$A$3:$A$12,MATCH(cadangan[[#This Row],[ItemID B]],Katalog!$C$3:$C$12,0)),"-")</f>
        <v>-</v>
      </c>
      <c r="N21" s="39" t="str">
        <f>IFERROR(INDEX(Katalog!$B$3:$B$12,MATCH(cadangan[[#This Row],[ItemID B]],Katalog!$C$3:$C$12,0)),"-")</f>
        <v>-</v>
      </c>
      <c r="Q21" s="73">
        <f>IFERROR(INDEX(Katalog!$D$3:$D$12,MATCH(cadangan[[#This Row],[ItemID B]],Katalog!$C$3:$C$12,0))*cadangan[[#This Row],[Qty B]],0)</f>
        <v>0</v>
      </c>
      <c r="R21" s="73">
        <f>IFERROR(cadangan[[#This Row],[Harga Normal B]]-(cadangan[[#This Row],[Harga Normal B]]*cadangan[[#This Row],[Diskon]]),cadangan[[#This Row],[Harga Normal B]])</f>
        <v>0</v>
      </c>
      <c r="S21" s="73">
        <f>IFERROR(INDEX(Katalog!$F$3:$F$12,MATCH(cadangan[[#This Row],[ItemID B]],Katalog!$C$3:$C$12,0))*cadangan[[#This Row],[Qty B]],0)</f>
        <v>0</v>
      </c>
      <c r="T21" s="73">
        <f>IFERROR(cadangan[[#This Row],[Harga Diskon B]]-INDEX(Katalog!$E$3:$E$12,MATCH(cadangan[[#This Row],[ItemID B]],Katalog!$C$3:$C$12,0))*cadangan[[#This Row],[Qty B]],0)</f>
        <v>0</v>
      </c>
      <c r="V21" s="39" t="str">
        <f>IFERROR(INDEX(Katalog!$A$3:$A$12,MATCH(cadangan[[#This Row],[ItemID C]],Katalog!$C$3:$C$12,0)),"-")</f>
        <v>-</v>
      </c>
      <c r="W21" s="39" t="str">
        <f>IFERROR(INDEX(Katalog!$B$3:$B$12,MATCH(cadangan[[#This Row],[ItemID C]],Katalog!$C$3:$C$12,0)),"-")</f>
        <v>-</v>
      </c>
      <c r="Z21" s="73">
        <f>IFERROR(INDEX(Katalog!$D$3:$D$12,MATCH(cadangan[[#This Row],[ItemID C]],Katalog!$C$3:$C$12,0))*cadangan[[#This Row],[Qty C]],0)</f>
        <v>0</v>
      </c>
      <c r="AA21" s="73">
        <f>IFERROR(cadangan[[#This Row],[Harga Normal C]]-(cadangan[[#This Row],[Harga Normal C]]*cadangan[[#This Row],[Diskon]]),cadangan[[#This Row],[Harga Normal C]])</f>
        <v>0</v>
      </c>
      <c r="AB21" s="73">
        <f>IFERROR(INDEX(Katalog!$F$3:$F$12,MATCH(cadangan[[#This Row],[ItemID C]],Katalog!$C$3:$C$12,0))*cadangan[[#This Row],[Qty C]],0)</f>
        <v>0</v>
      </c>
      <c r="AC21" s="73">
        <f>IFERROR(cadangan[[#This Row],[Harga Diskon C]]-INDEX(Katalog!$E$3:$E$12,MATCH(cadangan[[#This Row],[ItemID C]],Katalog!$C$3:$C$12,0))*cadangan[[#This Row],[Qty C]],0)</f>
        <v>0</v>
      </c>
      <c r="AD21" s="53">
        <f>cadangan[[#This Row],[Qty A]]+cadangan[[#This Row],[Qty B]]+cadangan[[#This Row],[Qty C]]</f>
        <v>1</v>
      </c>
      <c r="AE21" s="73">
        <f>cadangan[[#This Row],[Harga Normal A]]+cadangan[[#This Row],[Harga Normal B]]+cadangan[[#This Row],[Harga Normal C]]</f>
        <v>180000</v>
      </c>
      <c r="AF21" s="73">
        <f>cadangan[[#This Row],[Harga Diskon A]]+cadangan[[#This Row],[Harga Diskon B]]+cadangan[[#This Row],[Harga Diskon C]]</f>
        <v>180000</v>
      </c>
      <c r="AG21" s="73">
        <f>(cadangan[[#This Row],[Profit Normal A]]+cadangan[[#This Row],[Profit Normal B]]+cadangan[[#This Row],[Profit Normal C]])</f>
        <v>70000</v>
      </c>
      <c r="AH21" s="73">
        <f>cadangan[[#This Row],[Profit Diskon A]]+cadangan[[#This Row],[Profit Diskon B]]+cadangan[[#This Row],[Profit Diskon C]]</f>
        <v>70000</v>
      </c>
      <c r="AI21" s="23" t="s">
        <v>290</v>
      </c>
      <c r="AJ21" s="37" t="str">
        <f>IFERROR(INDEX('Kode Diskon'!$D$3:$D$9,MATCH(cadangan[[#This Row],[Kode diskon]],'Kode Diskon'!$C$3:$C$9,0)),"-")</f>
        <v>-</v>
      </c>
      <c r="AK21" s="23" t="s">
        <v>290</v>
      </c>
      <c r="AL21" s="23" t="s">
        <v>7</v>
      </c>
      <c r="AM21" s="23" t="s">
        <v>77</v>
      </c>
      <c r="AN21" s="55">
        <v>45025</v>
      </c>
      <c r="AO21" s="53">
        <f>DAY(cadangan[[#This Row],[Tanggal terjual]])</f>
        <v>9</v>
      </c>
      <c r="AP21" s="21" t="str">
        <f>TEXT(cadangan[[#This Row],[Tanggal terjual]],"dddd")</f>
        <v>Sunday</v>
      </c>
      <c r="AQ21" s="23" t="str" cm="1">
        <f t="array" ref="AQ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1" s="61">
        <f>AVERAGE(cadangan[[#This Row],[Rating A]],cadangan[[#This Row],[Rating B]],cadangan[[#This Row],[Rating C]])</f>
        <v>1</v>
      </c>
    </row>
    <row r="22" spans="1:44" x14ac:dyDescent="0.2">
      <c r="A22" s="20">
        <v>21</v>
      </c>
      <c r="B22" s="21" t="str">
        <f>_xlfn.CONCAT("ORD-",INDEX(Helper!$B$2:$B$5,MATCH(cadangan[[#This Row],[Marketplace]],Helper!$A$2:$A$5,0)),TEXT(cadangan[[#This Row],[No]],"0000"),"-",TEXT(cadangan[[#This Row],[Tanggal terjual]],"dd/mm/yy"))</f>
        <v>ORD-SP0021-04/04/23</v>
      </c>
      <c r="C22" s="39" t="s">
        <v>59</v>
      </c>
      <c r="D22" s="39" t="str">
        <f>IFERROR(INDEX(Katalog!$A$3:$A$12,MATCH(cadangan[[#This Row],[ItemID A]],Katalog!$C$3:$C$12,0)),"-")</f>
        <v>Pakaian Wanita</v>
      </c>
      <c r="E22" s="39" t="str">
        <f>IFERROR(INDEX(Katalog!$B$3:$B$12,MATCH(cadangan[[#This Row],[ItemID A]],Katalog!$C$3:$C$12,0)),"-")</f>
        <v>Blouse</v>
      </c>
      <c r="F22" s="50">
        <v>2</v>
      </c>
      <c r="G22" s="50">
        <v>5</v>
      </c>
      <c r="H22" s="73">
        <f>IFERROR(INDEX(Katalog!$D$3:$D$12,MATCH(cadangan[[#This Row],[ItemID A]],Katalog!$C$3:$C$12,0))*cadangan[[#This Row],[Qty A]],0)</f>
        <v>300000</v>
      </c>
      <c r="I22" s="73">
        <f>IFERROR(cadangan[[#This Row],[Harga Normal A]]-(cadangan[[#This Row],[Harga Normal A]]*cadangan[[#This Row],[Diskon]]),cadangan[[#This Row],[Harga Normal A]])</f>
        <v>270000</v>
      </c>
      <c r="J22" s="73">
        <f>INDEX(Katalog!$F$3:$F$12,MATCH(cadangan[[#This Row],[ItemID A]],Katalog!$C$3:$C$12,0))*cadangan[[#This Row],[Qty A]]</f>
        <v>100000</v>
      </c>
      <c r="K22" s="73">
        <f>IFERROR(cadangan[[#This Row],[Harga Diskon A]]-INDEX(Katalog!$E$3:$E$12,MATCH(cadangan[[#This Row],[ItemID A]],Katalog!$C$3:$C$12,0))*cadangan[[#This Row],[Qty A]],0)</f>
        <v>70000</v>
      </c>
      <c r="L22" s="39" t="s">
        <v>66</v>
      </c>
      <c r="M22" s="39" t="str">
        <f>IFERROR(INDEX(Katalog!$A$3:$A$12,MATCH(cadangan[[#This Row],[ItemID B]],Katalog!$C$3:$C$12,0)),"-")</f>
        <v>Sepatu Pria</v>
      </c>
      <c r="N22" s="39" t="str">
        <f>IFERROR(INDEX(Katalog!$B$3:$B$12,MATCH(cadangan[[#This Row],[ItemID B]],Katalog!$C$3:$C$12,0)),"-")</f>
        <v>Sandal Slip On</v>
      </c>
      <c r="O22" s="50">
        <v>1</v>
      </c>
      <c r="P22" s="50">
        <v>2</v>
      </c>
      <c r="Q22" s="73">
        <f>IFERROR(INDEX(Katalog!$D$3:$D$12,MATCH(cadangan[[#This Row],[ItemID B]],Katalog!$C$3:$C$12,0))*cadangan[[#This Row],[Qty B]],0)</f>
        <v>150000</v>
      </c>
      <c r="R22" s="73">
        <f>IFERROR(cadangan[[#This Row],[Harga Normal B]]-(cadangan[[#This Row],[Harga Normal B]]*cadangan[[#This Row],[Diskon]]),cadangan[[#This Row],[Harga Normal B]])</f>
        <v>135000</v>
      </c>
      <c r="S22" s="73">
        <f>IFERROR(INDEX(Katalog!$F$3:$F$12,MATCH(cadangan[[#This Row],[ItemID B]],Katalog!$C$3:$C$12,0))*cadangan[[#This Row],[Qty B]],0)</f>
        <v>60000</v>
      </c>
      <c r="T22" s="73">
        <f>IFERROR(cadangan[[#This Row],[Harga Diskon B]]-INDEX(Katalog!$E$3:$E$12,MATCH(cadangan[[#This Row],[ItemID B]],Katalog!$C$3:$C$12,0))*cadangan[[#This Row],[Qty B]],0)</f>
        <v>45000</v>
      </c>
      <c r="V22" s="39" t="str">
        <f>IFERROR(INDEX(Katalog!$A$3:$A$12,MATCH(cadangan[[#This Row],[ItemID C]],Katalog!$C$3:$C$12,0)),"-")</f>
        <v>-</v>
      </c>
      <c r="W22" s="39" t="str">
        <f>IFERROR(INDEX(Katalog!$B$3:$B$12,MATCH(cadangan[[#This Row],[ItemID C]],Katalog!$C$3:$C$12,0)),"-")</f>
        <v>-</v>
      </c>
      <c r="Z22" s="73">
        <f>IFERROR(INDEX(Katalog!$D$3:$D$12,MATCH(cadangan[[#This Row],[ItemID C]],Katalog!$C$3:$C$12,0))*cadangan[[#This Row],[Qty C]],0)</f>
        <v>0</v>
      </c>
      <c r="AA22" s="73">
        <f>IFERROR(cadangan[[#This Row],[Harga Normal C]]-(cadangan[[#This Row],[Harga Normal C]]*cadangan[[#This Row],[Diskon]]),cadangan[[#This Row],[Harga Normal C]])</f>
        <v>0</v>
      </c>
      <c r="AB22" s="73">
        <f>IFERROR(INDEX(Katalog!$F$3:$F$12,MATCH(cadangan[[#This Row],[ItemID C]],Katalog!$C$3:$C$12,0))*cadangan[[#This Row],[Qty C]],0)</f>
        <v>0</v>
      </c>
      <c r="AC22" s="73">
        <f>IFERROR(cadangan[[#This Row],[Harga Diskon C]]-INDEX(Katalog!$E$3:$E$12,MATCH(cadangan[[#This Row],[ItemID C]],Katalog!$C$3:$C$12,0))*cadangan[[#This Row],[Qty C]],0)</f>
        <v>0</v>
      </c>
      <c r="AD22" s="53">
        <f>cadangan[[#This Row],[Qty A]]+cadangan[[#This Row],[Qty B]]+cadangan[[#This Row],[Qty C]]</f>
        <v>3</v>
      </c>
      <c r="AE22" s="73">
        <f>cadangan[[#This Row],[Harga Normal A]]+cadangan[[#This Row],[Harga Normal B]]+cadangan[[#This Row],[Harga Normal C]]</f>
        <v>450000</v>
      </c>
      <c r="AF22" s="73">
        <f>cadangan[[#This Row],[Harga Diskon A]]+cadangan[[#This Row],[Harga Diskon B]]+cadangan[[#This Row],[Harga Diskon C]]</f>
        <v>405000</v>
      </c>
      <c r="AG22" s="73">
        <f>(cadangan[[#This Row],[Profit Normal A]]+cadangan[[#This Row],[Profit Normal B]]+cadangan[[#This Row],[Profit Normal C]])</f>
        <v>160000</v>
      </c>
      <c r="AH22" s="73">
        <f>cadangan[[#This Row],[Profit Diskon A]]+cadangan[[#This Row],[Profit Diskon B]]+cadangan[[#This Row],[Profit Diskon C]]</f>
        <v>115000</v>
      </c>
      <c r="AI22" s="23" t="s">
        <v>6</v>
      </c>
      <c r="AJ22" s="37">
        <f>IFERROR(INDEX('Kode Diskon'!$D$3:$D$9,MATCH(cadangan[[#This Row],[Kode diskon]],'Kode Diskon'!$C$3:$C$9,0)),"-")</f>
        <v>0.1</v>
      </c>
      <c r="AK22" s="23" t="s">
        <v>29</v>
      </c>
      <c r="AL22" s="23" t="s">
        <v>7</v>
      </c>
      <c r="AM22" s="23" t="s">
        <v>80</v>
      </c>
      <c r="AN22" s="55">
        <v>45020</v>
      </c>
      <c r="AO22" s="53">
        <f>DAY(cadangan[[#This Row],[Tanggal terjual]])</f>
        <v>4</v>
      </c>
      <c r="AP22" s="21" t="str">
        <f>TEXT(cadangan[[#This Row],[Tanggal terjual]],"dddd")</f>
        <v>Tuesday</v>
      </c>
      <c r="AQ22" s="23" t="str" cm="1">
        <f t="array" ref="AQ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 s="61">
        <f>AVERAGE(cadangan[[#This Row],[Rating A]],cadangan[[#This Row],[Rating B]],cadangan[[#This Row],[Rating C]])</f>
        <v>3.5</v>
      </c>
    </row>
    <row r="23" spans="1:44" x14ac:dyDescent="0.2">
      <c r="A23" s="20">
        <v>22</v>
      </c>
      <c r="B23" s="21" t="str">
        <f>_xlfn.CONCAT("ORD-",INDEX(Helper!$B$2:$B$5,MATCH(cadangan[[#This Row],[Marketplace]],Helper!$A$2:$A$5,0)),TEXT(cadangan[[#This Row],[No]],"0000"),"-",TEXT(cadangan[[#This Row],[Tanggal terjual]],"dd/mm/yy"))</f>
        <v>ORD-SP0022-28/04/23</v>
      </c>
      <c r="C23" s="39" t="s">
        <v>64</v>
      </c>
      <c r="D23" s="39" t="str">
        <f>IFERROR(INDEX(Katalog!$A$3:$A$12,MATCH(cadangan[[#This Row],[ItemID A]],Katalog!$C$3:$C$12,0)),"-")</f>
        <v>Pakaian Unisex</v>
      </c>
      <c r="E23" s="39" t="str">
        <f>IFERROR(INDEX(Katalog!$B$3:$B$12,MATCH(cadangan[[#This Row],[ItemID A]],Katalog!$C$3:$C$12,0)),"-")</f>
        <v>Jaket Hoodie</v>
      </c>
      <c r="F23" s="50">
        <v>1</v>
      </c>
      <c r="G23" s="50">
        <v>1</v>
      </c>
      <c r="H23" s="73">
        <f>IFERROR(INDEX(Katalog!$D$3:$D$12,MATCH(cadangan[[#This Row],[ItemID A]],Katalog!$C$3:$C$12,0))*cadangan[[#This Row],[Qty A]],0)</f>
        <v>350000</v>
      </c>
      <c r="I23" s="73">
        <f>IFERROR(cadangan[[#This Row],[Harga Normal A]]-(cadangan[[#This Row],[Harga Normal A]]*cadangan[[#This Row],[Diskon]]),cadangan[[#This Row],[Harga Normal A]])</f>
        <v>280000</v>
      </c>
      <c r="J23" s="73">
        <f>INDEX(Katalog!$F$3:$F$12,MATCH(cadangan[[#This Row],[ItemID A]],Katalog!$C$3:$C$12,0))*cadangan[[#This Row],[Qty A]]</f>
        <v>130000</v>
      </c>
      <c r="K23" s="73">
        <f>IFERROR(cadangan[[#This Row],[Harga Diskon A]]-INDEX(Katalog!$E$3:$E$12,MATCH(cadangan[[#This Row],[ItemID A]],Katalog!$C$3:$C$12,0))*cadangan[[#This Row],[Qty A]],0)</f>
        <v>60000</v>
      </c>
      <c r="L23" s="39" t="s">
        <v>58</v>
      </c>
      <c r="M23" s="39" t="str">
        <f>IFERROR(INDEX(Katalog!$A$3:$A$12,MATCH(cadangan[[#This Row],[ItemID B]],Katalog!$C$3:$C$12,0)),"-")</f>
        <v>Pakaian Wanita</v>
      </c>
      <c r="N23" s="39" t="str">
        <f>IFERROR(INDEX(Katalog!$B$3:$B$12,MATCH(cadangan[[#This Row],[ItemID B]],Katalog!$C$3:$C$12,0)),"-")</f>
        <v>Dress</v>
      </c>
      <c r="O23" s="50">
        <v>3</v>
      </c>
      <c r="P23" s="50">
        <v>1</v>
      </c>
      <c r="Q23" s="73">
        <f>IFERROR(INDEX(Katalog!$D$3:$D$12,MATCH(cadangan[[#This Row],[ItemID B]],Katalog!$C$3:$C$12,0))*cadangan[[#This Row],[Qty B]],0)</f>
        <v>900000</v>
      </c>
      <c r="R23" s="73">
        <f>IFERROR(cadangan[[#This Row],[Harga Normal B]]-(cadangan[[#This Row],[Harga Normal B]]*cadangan[[#This Row],[Diskon]]),cadangan[[#This Row],[Harga Normal B]])</f>
        <v>720000</v>
      </c>
      <c r="S23" s="73">
        <f>IFERROR(INDEX(Katalog!$F$3:$F$12,MATCH(cadangan[[#This Row],[ItemID B]],Katalog!$C$3:$C$12,0))*cadangan[[#This Row],[Qty B]],0)</f>
        <v>300000</v>
      </c>
      <c r="T23" s="73">
        <f>IFERROR(cadangan[[#This Row],[Harga Diskon B]]-INDEX(Katalog!$E$3:$E$12,MATCH(cadangan[[#This Row],[ItemID B]],Katalog!$C$3:$C$12,0))*cadangan[[#This Row],[Qty B]],0)</f>
        <v>120000</v>
      </c>
      <c r="V23" s="39" t="str">
        <f>IFERROR(INDEX(Katalog!$A$3:$A$12,MATCH(cadangan[[#This Row],[ItemID C]],Katalog!$C$3:$C$12,0)),"-")</f>
        <v>-</v>
      </c>
      <c r="W23" s="39" t="str">
        <f>IFERROR(INDEX(Katalog!$B$3:$B$12,MATCH(cadangan[[#This Row],[ItemID C]],Katalog!$C$3:$C$12,0)),"-")</f>
        <v>-</v>
      </c>
      <c r="Z23" s="73">
        <f>IFERROR(INDEX(Katalog!$D$3:$D$12,MATCH(cadangan[[#This Row],[ItemID C]],Katalog!$C$3:$C$12,0))*cadangan[[#This Row],[Qty C]],0)</f>
        <v>0</v>
      </c>
      <c r="AA23" s="73">
        <f>IFERROR(cadangan[[#This Row],[Harga Normal C]]-(cadangan[[#This Row],[Harga Normal C]]*cadangan[[#This Row],[Diskon]]),cadangan[[#This Row],[Harga Normal C]])</f>
        <v>0</v>
      </c>
      <c r="AB23" s="73">
        <f>IFERROR(INDEX(Katalog!$F$3:$F$12,MATCH(cadangan[[#This Row],[ItemID C]],Katalog!$C$3:$C$12,0))*cadangan[[#This Row],[Qty C]],0)</f>
        <v>0</v>
      </c>
      <c r="AC23" s="73">
        <f>IFERROR(cadangan[[#This Row],[Harga Diskon C]]-INDEX(Katalog!$E$3:$E$12,MATCH(cadangan[[#This Row],[ItemID C]],Katalog!$C$3:$C$12,0))*cadangan[[#This Row],[Qty C]],0)</f>
        <v>0</v>
      </c>
      <c r="AD23" s="53">
        <f>cadangan[[#This Row],[Qty A]]+cadangan[[#This Row],[Qty B]]+cadangan[[#This Row],[Qty C]]</f>
        <v>4</v>
      </c>
      <c r="AE23" s="73">
        <f>cadangan[[#This Row],[Harga Normal A]]+cadangan[[#This Row],[Harga Normal B]]+cadangan[[#This Row],[Harga Normal C]]</f>
        <v>1250000</v>
      </c>
      <c r="AF23" s="73">
        <f>cadangan[[#This Row],[Harga Diskon A]]+cadangan[[#This Row],[Harga Diskon B]]+cadangan[[#This Row],[Harga Diskon C]]</f>
        <v>1000000</v>
      </c>
      <c r="AG23" s="73">
        <f>(cadangan[[#This Row],[Profit Normal A]]+cadangan[[#This Row],[Profit Normal B]]+cadangan[[#This Row],[Profit Normal C]])</f>
        <v>430000</v>
      </c>
      <c r="AH23" s="73">
        <f>cadangan[[#This Row],[Profit Diskon A]]+cadangan[[#This Row],[Profit Diskon B]]+cadangan[[#This Row],[Profit Diskon C]]</f>
        <v>180000</v>
      </c>
      <c r="AI23" s="23" t="s">
        <v>8</v>
      </c>
      <c r="AJ23" s="37">
        <f>IFERROR(INDEX('Kode Diskon'!$D$3:$D$9,MATCH(cadangan[[#This Row],[Kode diskon]],'Kode Diskon'!$C$3:$C$9,0)),"-")</f>
        <v>0.2</v>
      </c>
      <c r="AK23" s="23" t="s">
        <v>9</v>
      </c>
      <c r="AL23" s="23" t="s">
        <v>7</v>
      </c>
      <c r="AM23" s="23" t="s">
        <v>78</v>
      </c>
      <c r="AN23" s="55">
        <v>45044</v>
      </c>
      <c r="AO23" s="53">
        <f>DAY(cadangan[[#This Row],[Tanggal terjual]])</f>
        <v>28</v>
      </c>
      <c r="AP23" s="21" t="str">
        <f>TEXT(cadangan[[#This Row],[Tanggal terjual]],"dddd")</f>
        <v>Friday</v>
      </c>
      <c r="AQ23" s="23" t="str" cm="1">
        <f t="array" ref="AQ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3" s="61">
        <f>AVERAGE(cadangan[[#This Row],[Rating A]],cadangan[[#This Row],[Rating B]],cadangan[[#This Row],[Rating C]])</f>
        <v>1</v>
      </c>
    </row>
    <row r="24" spans="1:44" x14ac:dyDescent="0.2">
      <c r="A24" s="20">
        <v>23</v>
      </c>
      <c r="B24" s="21" t="str">
        <f>_xlfn.CONCAT("ORD-",INDEX(Helper!$B$2:$B$5,MATCH(cadangan[[#This Row],[Marketplace]],Helper!$A$2:$A$5,0)),TEXT(cadangan[[#This Row],[No]],"0000"),"-",TEXT(cadangan[[#This Row],[Tanggal terjual]],"dd/mm/yy"))</f>
        <v>ORD-SP0023-30/04/23</v>
      </c>
      <c r="C24" s="39" t="s">
        <v>59</v>
      </c>
      <c r="D24" s="39" t="str">
        <f>IFERROR(INDEX(Katalog!$A$3:$A$12,MATCH(cadangan[[#This Row],[ItemID A]],Katalog!$C$3:$C$12,0)),"-")</f>
        <v>Pakaian Wanita</v>
      </c>
      <c r="E24" s="39" t="str">
        <f>IFERROR(INDEX(Katalog!$B$3:$B$12,MATCH(cadangan[[#This Row],[ItemID A]],Katalog!$C$3:$C$12,0)),"-")</f>
        <v>Blouse</v>
      </c>
      <c r="F24" s="50">
        <v>3</v>
      </c>
      <c r="G24" s="50">
        <v>2</v>
      </c>
      <c r="H24" s="73">
        <f>IFERROR(INDEX(Katalog!$D$3:$D$12,MATCH(cadangan[[#This Row],[ItemID A]],Katalog!$C$3:$C$12,0))*cadangan[[#This Row],[Qty A]],0)</f>
        <v>450000</v>
      </c>
      <c r="I24" s="73">
        <f>IFERROR(cadangan[[#This Row],[Harga Normal A]]-(cadangan[[#This Row],[Harga Normal A]]*cadangan[[#This Row],[Diskon]]),cadangan[[#This Row],[Harga Normal A]])</f>
        <v>360000</v>
      </c>
      <c r="J24" s="73">
        <f>INDEX(Katalog!$F$3:$F$12,MATCH(cadangan[[#This Row],[ItemID A]],Katalog!$C$3:$C$12,0))*cadangan[[#This Row],[Qty A]]</f>
        <v>150000</v>
      </c>
      <c r="K24" s="73">
        <f>IFERROR(cadangan[[#This Row],[Harga Diskon A]]-INDEX(Katalog!$E$3:$E$12,MATCH(cadangan[[#This Row],[ItemID A]],Katalog!$C$3:$C$12,0))*cadangan[[#This Row],[Qty A]],0)</f>
        <v>60000</v>
      </c>
      <c r="L24" s="39" t="s">
        <v>66</v>
      </c>
      <c r="M24" s="39" t="str">
        <f>IFERROR(INDEX(Katalog!$A$3:$A$12,MATCH(cadangan[[#This Row],[ItemID B]],Katalog!$C$3:$C$12,0)),"-")</f>
        <v>Sepatu Pria</v>
      </c>
      <c r="N24" s="39" t="str">
        <f>IFERROR(INDEX(Katalog!$B$3:$B$12,MATCH(cadangan[[#This Row],[ItemID B]],Katalog!$C$3:$C$12,0)),"-")</f>
        <v>Sandal Slip On</v>
      </c>
      <c r="O24" s="50">
        <v>1</v>
      </c>
      <c r="P24" s="50">
        <v>5</v>
      </c>
      <c r="Q24" s="73">
        <f>IFERROR(INDEX(Katalog!$D$3:$D$12,MATCH(cadangan[[#This Row],[ItemID B]],Katalog!$C$3:$C$12,0))*cadangan[[#This Row],[Qty B]],0)</f>
        <v>150000</v>
      </c>
      <c r="R24" s="73">
        <f>IFERROR(cadangan[[#This Row],[Harga Normal B]]-(cadangan[[#This Row],[Harga Normal B]]*cadangan[[#This Row],[Diskon]]),cadangan[[#This Row],[Harga Normal B]])</f>
        <v>120000</v>
      </c>
      <c r="S24" s="73">
        <f>IFERROR(INDEX(Katalog!$F$3:$F$12,MATCH(cadangan[[#This Row],[ItemID B]],Katalog!$C$3:$C$12,0))*cadangan[[#This Row],[Qty B]],0)</f>
        <v>60000</v>
      </c>
      <c r="T24" s="73">
        <f>IFERROR(cadangan[[#This Row],[Harga Diskon B]]-INDEX(Katalog!$E$3:$E$12,MATCH(cadangan[[#This Row],[ItemID B]],Katalog!$C$3:$C$12,0))*cadangan[[#This Row],[Qty B]],0)</f>
        <v>30000</v>
      </c>
      <c r="V24" s="39" t="str">
        <f>IFERROR(INDEX(Katalog!$A$3:$A$12,MATCH(cadangan[[#This Row],[ItemID C]],Katalog!$C$3:$C$12,0)),"-")</f>
        <v>-</v>
      </c>
      <c r="W24" s="39" t="str">
        <f>IFERROR(INDEX(Katalog!$B$3:$B$12,MATCH(cadangan[[#This Row],[ItemID C]],Katalog!$C$3:$C$12,0)),"-")</f>
        <v>-</v>
      </c>
      <c r="Z24" s="73">
        <f>IFERROR(INDEX(Katalog!$D$3:$D$12,MATCH(cadangan[[#This Row],[ItemID C]],Katalog!$C$3:$C$12,0))*cadangan[[#This Row],[Qty C]],0)</f>
        <v>0</v>
      </c>
      <c r="AA24" s="73">
        <f>IFERROR(cadangan[[#This Row],[Harga Normal C]]-(cadangan[[#This Row],[Harga Normal C]]*cadangan[[#This Row],[Diskon]]),cadangan[[#This Row],[Harga Normal C]])</f>
        <v>0</v>
      </c>
      <c r="AB24" s="73">
        <f>IFERROR(INDEX(Katalog!$F$3:$F$12,MATCH(cadangan[[#This Row],[ItemID C]],Katalog!$C$3:$C$12,0))*cadangan[[#This Row],[Qty C]],0)</f>
        <v>0</v>
      </c>
      <c r="AC24" s="73">
        <f>IFERROR(cadangan[[#This Row],[Harga Diskon C]]-INDEX(Katalog!$E$3:$E$12,MATCH(cadangan[[#This Row],[ItemID C]],Katalog!$C$3:$C$12,0))*cadangan[[#This Row],[Qty C]],0)</f>
        <v>0</v>
      </c>
      <c r="AD24" s="53">
        <f>cadangan[[#This Row],[Qty A]]+cadangan[[#This Row],[Qty B]]+cadangan[[#This Row],[Qty C]]</f>
        <v>4</v>
      </c>
      <c r="AE24" s="73">
        <f>cadangan[[#This Row],[Harga Normal A]]+cadangan[[#This Row],[Harga Normal B]]+cadangan[[#This Row],[Harga Normal C]]</f>
        <v>600000</v>
      </c>
      <c r="AF24" s="73">
        <f>cadangan[[#This Row],[Harga Diskon A]]+cadangan[[#This Row],[Harga Diskon B]]+cadangan[[#This Row],[Harga Diskon C]]</f>
        <v>480000</v>
      </c>
      <c r="AG24" s="73">
        <f>(cadangan[[#This Row],[Profit Normal A]]+cadangan[[#This Row],[Profit Normal B]]+cadangan[[#This Row],[Profit Normal C]])</f>
        <v>210000</v>
      </c>
      <c r="AH24" s="73">
        <f>cadangan[[#This Row],[Profit Diskon A]]+cadangan[[#This Row],[Profit Diskon B]]+cadangan[[#This Row],[Profit Diskon C]]</f>
        <v>90000</v>
      </c>
      <c r="AI24" s="23" t="s">
        <v>8</v>
      </c>
      <c r="AJ24" s="37">
        <f>IFERROR(INDEX('Kode Diskon'!$D$3:$D$9,MATCH(cadangan[[#This Row],[Kode diskon]],'Kode Diskon'!$C$3:$C$9,0)),"-")</f>
        <v>0.2</v>
      </c>
      <c r="AK24" s="23" t="s">
        <v>9</v>
      </c>
      <c r="AL24" s="23" t="s">
        <v>7</v>
      </c>
      <c r="AM24" s="23" t="s">
        <v>75</v>
      </c>
      <c r="AN24" s="55">
        <v>45046</v>
      </c>
      <c r="AO24" s="53">
        <f>DAY(cadangan[[#This Row],[Tanggal terjual]])</f>
        <v>30</v>
      </c>
      <c r="AP24" s="21" t="str">
        <f>TEXT(cadangan[[#This Row],[Tanggal terjual]],"dddd")</f>
        <v>Sunday</v>
      </c>
      <c r="AQ24" s="23" t="str" cm="1">
        <f t="array" ref="AQ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4" s="61">
        <f>AVERAGE(cadangan[[#This Row],[Rating A]],cadangan[[#This Row],[Rating B]],cadangan[[#This Row],[Rating C]])</f>
        <v>3.5</v>
      </c>
    </row>
    <row r="25" spans="1:44" x14ac:dyDescent="0.2">
      <c r="A25" s="20">
        <v>24</v>
      </c>
      <c r="B25" s="21" t="str">
        <f>_xlfn.CONCAT("ORD-",INDEX(Helper!$B$2:$B$5,MATCH(cadangan[[#This Row],[Marketplace]],Helper!$A$2:$A$5,0)),TEXT(cadangan[[#This Row],[No]],"0000"),"-",TEXT(cadangan[[#This Row],[Tanggal terjual]],"dd/mm/yy"))</f>
        <v>ORD-TK0024-06/04/23</v>
      </c>
      <c r="C25" s="39" t="s">
        <v>60</v>
      </c>
      <c r="D25" s="39" t="str">
        <f>IFERROR(INDEX(Katalog!$A$3:$A$12,MATCH(cadangan[[#This Row],[ItemID A]],Katalog!$C$3:$C$12,0)),"-")</f>
        <v>Pakaian Wanita</v>
      </c>
      <c r="E25" s="39" t="str">
        <f>IFERROR(INDEX(Katalog!$B$3:$B$12,MATCH(cadangan[[#This Row],[ItemID A]],Katalog!$C$3:$C$12,0)),"-")</f>
        <v>Kaftan</v>
      </c>
      <c r="F25" s="50">
        <v>7</v>
      </c>
      <c r="G25" s="50">
        <v>4</v>
      </c>
      <c r="H25" s="73">
        <f>IFERROR(INDEX(Katalog!$D$3:$D$12,MATCH(cadangan[[#This Row],[ItemID A]],Katalog!$C$3:$C$12,0))*cadangan[[#This Row],[Qty A]],0)</f>
        <v>1750000</v>
      </c>
      <c r="I25" s="73">
        <f>IFERROR(cadangan[[#This Row],[Harga Normal A]]-(cadangan[[#This Row],[Harga Normal A]]*cadangan[[#This Row],[Diskon]]),cadangan[[#This Row],[Harga Normal A]])</f>
        <v>1575000</v>
      </c>
      <c r="J25" s="73">
        <f>INDEX(Katalog!$F$3:$F$12,MATCH(cadangan[[#This Row],[ItemID A]],Katalog!$C$3:$C$12,0))*cadangan[[#This Row],[Qty A]]</f>
        <v>700000</v>
      </c>
      <c r="K25" s="73">
        <f>IFERROR(cadangan[[#This Row],[Harga Diskon A]]-INDEX(Katalog!$E$3:$E$12,MATCH(cadangan[[#This Row],[ItemID A]],Katalog!$C$3:$C$12,0))*cadangan[[#This Row],[Qty A]],0)</f>
        <v>525000</v>
      </c>
      <c r="M25" s="39" t="str">
        <f>IFERROR(INDEX(Katalog!$A$3:$A$12,MATCH(cadangan[[#This Row],[ItemID B]],Katalog!$C$3:$C$12,0)),"-")</f>
        <v>-</v>
      </c>
      <c r="N25" s="39" t="str">
        <f>IFERROR(INDEX(Katalog!$B$3:$B$12,MATCH(cadangan[[#This Row],[ItemID B]],Katalog!$C$3:$C$12,0)),"-")</f>
        <v>-</v>
      </c>
      <c r="Q25" s="73">
        <f>IFERROR(INDEX(Katalog!$D$3:$D$12,MATCH(cadangan[[#This Row],[ItemID B]],Katalog!$C$3:$C$12,0))*cadangan[[#This Row],[Qty B]],0)</f>
        <v>0</v>
      </c>
      <c r="R25" s="73">
        <f>IFERROR(cadangan[[#This Row],[Harga Normal B]]-(cadangan[[#This Row],[Harga Normal B]]*cadangan[[#This Row],[Diskon]]),cadangan[[#This Row],[Harga Normal B]])</f>
        <v>0</v>
      </c>
      <c r="S25" s="73">
        <f>IFERROR(INDEX(Katalog!$F$3:$F$12,MATCH(cadangan[[#This Row],[ItemID B]],Katalog!$C$3:$C$12,0))*cadangan[[#This Row],[Qty B]],0)</f>
        <v>0</v>
      </c>
      <c r="T25" s="73">
        <f>IFERROR(cadangan[[#This Row],[Harga Diskon B]]-INDEX(Katalog!$E$3:$E$12,MATCH(cadangan[[#This Row],[ItemID B]],Katalog!$C$3:$C$12,0))*cadangan[[#This Row],[Qty B]],0)</f>
        <v>0</v>
      </c>
      <c r="V25" s="39" t="str">
        <f>IFERROR(INDEX(Katalog!$A$3:$A$12,MATCH(cadangan[[#This Row],[ItemID C]],Katalog!$C$3:$C$12,0)),"-")</f>
        <v>-</v>
      </c>
      <c r="W25" s="39" t="str">
        <f>IFERROR(INDEX(Katalog!$B$3:$B$12,MATCH(cadangan[[#This Row],[ItemID C]],Katalog!$C$3:$C$12,0)),"-")</f>
        <v>-</v>
      </c>
      <c r="Z25" s="73">
        <f>IFERROR(INDEX(Katalog!$D$3:$D$12,MATCH(cadangan[[#This Row],[ItemID C]],Katalog!$C$3:$C$12,0))*cadangan[[#This Row],[Qty C]],0)</f>
        <v>0</v>
      </c>
      <c r="AA25" s="73">
        <f>IFERROR(cadangan[[#This Row],[Harga Normal C]]-(cadangan[[#This Row],[Harga Normal C]]*cadangan[[#This Row],[Diskon]]),cadangan[[#This Row],[Harga Normal C]])</f>
        <v>0</v>
      </c>
      <c r="AB25" s="73">
        <f>IFERROR(INDEX(Katalog!$F$3:$F$12,MATCH(cadangan[[#This Row],[ItemID C]],Katalog!$C$3:$C$12,0))*cadangan[[#This Row],[Qty C]],0)</f>
        <v>0</v>
      </c>
      <c r="AC25" s="73">
        <f>IFERROR(cadangan[[#This Row],[Harga Diskon C]]-INDEX(Katalog!$E$3:$E$12,MATCH(cadangan[[#This Row],[ItemID C]],Katalog!$C$3:$C$12,0))*cadangan[[#This Row],[Qty C]],0)</f>
        <v>0</v>
      </c>
      <c r="AD25" s="53">
        <f>cadangan[[#This Row],[Qty A]]+cadangan[[#This Row],[Qty B]]+cadangan[[#This Row],[Qty C]]</f>
        <v>7</v>
      </c>
      <c r="AE25" s="73">
        <f>cadangan[[#This Row],[Harga Normal A]]+cadangan[[#This Row],[Harga Normal B]]+cadangan[[#This Row],[Harga Normal C]]</f>
        <v>1750000</v>
      </c>
      <c r="AF25" s="73">
        <f>cadangan[[#This Row],[Harga Diskon A]]+cadangan[[#This Row],[Harga Diskon B]]+cadangan[[#This Row],[Harga Diskon C]]</f>
        <v>1575000</v>
      </c>
      <c r="AG25" s="73">
        <f>(cadangan[[#This Row],[Profit Normal A]]+cadangan[[#This Row],[Profit Normal B]]+cadangan[[#This Row],[Profit Normal C]])</f>
        <v>700000</v>
      </c>
      <c r="AH25" s="73">
        <f>cadangan[[#This Row],[Profit Diskon A]]+cadangan[[#This Row],[Profit Diskon B]]+cadangan[[#This Row],[Profit Diskon C]]</f>
        <v>525000</v>
      </c>
      <c r="AI25" s="23" t="s">
        <v>30</v>
      </c>
      <c r="AJ25" s="37">
        <f>IFERROR(INDEX('Kode Diskon'!$D$3:$D$9,MATCH(cadangan[[#This Row],[Kode diskon]],'Kode Diskon'!$C$3:$C$9,0)),"-")</f>
        <v>0.1</v>
      </c>
      <c r="AK25" s="23" t="s">
        <v>29</v>
      </c>
      <c r="AL25" s="23" t="s">
        <v>10</v>
      </c>
      <c r="AM25" s="23" t="s">
        <v>78</v>
      </c>
      <c r="AN25" s="55">
        <v>45022</v>
      </c>
      <c r="AO25" s="53">
        <f>DAY(cadangan[[#This Row],[Tanggal terjual]])</f>
        <v>6</v>
      </c>
      <c r="AP25" s="21" t="str">
        <f>TEXT(cadangan[[#This Row],[Tanggal terjual]],"dddd")</f>
        <v>Thursday</v>
      </c>
      <c r="AQ25" s="23" t="str" cm="1">
        <f t="array" ref="AQ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5" s="61">
        <f>AVERAGE(cadangan[[#This Row],[Rating A]],cadangan[[#This Row],[Rating B]],cadangan[[#This Row],[Rating C]])</f>
        <v>4</v>
      </c>
    </row>
    <row r="26" spans="1:44" x14ac:dyDescent="0.2">
      <c r="A26" s="20">
        <v>25</v>
      </c>
      <c r="B26" s="21" t="str">
        <f>_xlfn.CONCAT("ORD-",INDEX(Helper!$B$2:$B$5,MATCH(cadangan[[#This Row],[Marketplace]],Helper!$A$2:$A$5,0)),TEXT(cadangan[[#This Row],[No]],"0000"),"-",TEXT(cadangan[[#This Row],[Tanggal terjual]],"dd/mm/yy"))</f>
        <v>ORD-SP0025-02/04/23</v>
      </c>
      <c r="C26" s="39" t="s">
        <v>64</v>
      </c>
      <c r="D26" s="39" t="str">
        <f>IFERROR(INDEX(Katalog!$A$3:$A$12,MATCH(cadangan[[#This Row],[ItemID A]],Katalog!$C$3:$C$12,0)),"-")</f>
        <v>Pakaian Unisex</v>
      </c>
      <c r="E26" s="39" t="str">
        <f>IFERROR(INDEX(Katalog!$B$3:$B$12,MATCH(cadangan[[#This Row],[ItemID A]],Katalog!$C$3:$C$12,0)),"-")</f>
        <v>Jaket Hoodie</v>
      </c>
      <c r="F26" s="50">
        <v>1</v>
      </c>
      <c r="G26" s="50">
        <v>1</v>
      </c>
      <c r="H26" s="73">
        <f>IFERROR(INDEX(Katalog!$D$3:$D$12,MATCH(cadangan[[#This Row],[ItemID A]],Katalog!$C$3:$C$12,0))*cadangan[[#This Row],[Qty A]],0)</f>
        <v>350000</v>
      </c>
      <c r="I26" s="73">
        <f>IFERROR(cadangan[[#This Row],[Harga Normal A]]-(cadangan[[#This Row],[Harga Normal A]]*cadangan[[#This Row],[Diskon]]),cadangan[[#This Row],[Harga Normal A]])</f>
        <v>297500</v>
      </c>
      <c r="J26" s="73">
        <f>INDEX(Katalog!$F$3:$F$12,MATCH(cadangan[[#This Row],[ItemID A]],Katalog!$C$3:$C$12,0))*cadangan[[#This Row],[Qty A]]</f>
        <v>130000</v>
      </c>
      <c r="K26" s="73">
        <f>IFERROR(cadangan[[#This Row],[Harga Diskon A]]-INDEX(Katalog!$E$3:$E$12,MATCH(cadangan[[#This Row],[ItemID A]],Katalog!$C$3:$C$12,0))*cadangan[[#This Row],[Qty A]],0)</f>
        <v>77500</v>
      </c>
      <c r="L26" s="39" t="s">
        <v>58</v>
      </c>
      <c r="M26" s="39" t="str">
        <f>IFERROR(INDEX(Katalog!$A$3:$A$12,MATCH(cadangan[[#This Row],[ItemID B]],Katalog!$C$3:$C$12,0)),"-")</f>
        <v>Pakaian Wanita</v>
      </c>
      <c r="N26" s="39" t="str">
        <f>IFERROR(INDEX(Katalog!$B$3:$B$12,MATCH(cadangan[[#This Row],[ItemID B]],Katalog!$C$3:$C$12,0)),"-")</f>
        <v>Dress</v>
      </c>
      <c r="O26" s="50">
        <v>6</v>
      </c>
      <c r="P26" s="50">
        <v>5</v>
      </c>
      <c r="Q26" s="73">
        <f>IFERROR(INDEX(Katalog!$D$3:$D$12,MATCH(cadangan[[#This Row],[ItemID B]],Katalog!$C$3:$C$12,0))*cadangan[[#This Row],[Qty B]],0)</f>
        <v>1800000</v>
      </c>
      <c r="R26" s="73">
        <f>IFERROR(cadangan[[#This Row],[Harga Normal B]]-(cadangan[[#This Row],[Harga Normal B]]*cadangan[[#This Row],[Diskon]]),cadangan[[#This Row],[Harga Normal B]])</f>
        <v>1530000</v>
      </c>
      <c r="S26" s="73">
        <f>IFERROR(INDEX(Katalog!$F$3:$F$12,MATCH(cadangan[[#This Row],[ItemID B]],Katalog!$C$3:$C$12,0))*cadangan[[#This Row],[Qty B]],0)</f>
        <v>600000</v>
      </c>
      <c r="T26" s="73">
        <f>IFERROR(cadangan[[#This Row],[Harga Diskon B]]-INDEX(Katalog!$E$3:$E$12,MATCH(cadangan[[#This Row],[ItemID B]],Katalog!$C$3:$C$12,0))*cadangan[[#This Row],[Qty B]],0)</f>
        <v>330000</v>
      </c>
      <c r="V26" s="39" t="str">
        <f>IFERROR(INDEX(Katalog!$A$3:$A$12,MATCH(cadangan[[#This Row],[ItemID C]],Katalog!$C$3:$C$12,0)),"-")</f>
        <v>-</v>
      </c>
      <c r="W26" s="39" t="str">
        <f>IFERROR(INDEX(Katalog!$B$3:$B$12,MATCH(cadangan[[#This Row],[ItemID C]],Katalog!$C$3:$C$12,0)),"-")</f>
        <v>-</v>
      </c>
      <c r="Z26" s="73">
        <f>IFERROR(INDEX(Katalog!$D$3:$D$12,MATCH(cadangan[[#This Row],[ItemID C]],Katalog!$C$3:$C$12,0))*cadangan[[#This Row],[Qty C]],0)</f>
        <v>0</v>
      </c>
      <c r="AA26" s="73">
        <f>IFERROR(cadangan[[#This Row],[Harga Normal C]]-(cadangan[[#This Row],[Harga Normal C]]*cadangan[[#This Row],[Diskon]]),cadangan[[#This Row],[Harga Normal C]])</f>
        <v>0</v>
      </c>
      <c r="AB26" s="73">
        <f>IFERROR(INDEX(Katalog!$F$3:$F$12,MATCH(cadangan[[#This Row],[ItemID C]],Katalog!$C$3:$C$12,0))*cadangan[[#This Row],[Qty C]],0)</f>
        <v>0</v>
      </c>
      <c r="AC26" s="73">
        <f>IFERROR(cadangan[[#This Row],[Harga Diskon C]]-INDEX(Katalog!$E$3:$E$12,MATCH(cadangan[[#This Row],[ItemID C]],Katalog!$C$3:$C$12,0))*cadangan[[#This Row],[Qty C]],0)</f>
        <v>0</v>
      </c>
      <c r="AD26" s="53">
        <f>cadangan[[#This Row],[Qty A]]+cadangan[[#This Row],[Qty B]]+cadangan[[#This Row],[Qty C]]</f>
        <v>7</v>
      </c>
      <c r="AE26" s="73">
        <f>cadangan[[#This Row],[Harga Normal A]]+cadangan[[#This Row],[Harga Normal B]]+cadangan[[#This Row],[Harga Normal C]]</f>
        <v>2150000</v>
      </c>
      <c r="AF26" s="73">
        <f>cadangan[[#This Row],[Harga Diskon A]]+cadangan[[#This Row],[Harga Diskon B]]+cadangan[[#This Row],[Harga Diskon C]]</f>
        <v>1827500</v>
      </c>
      <c r="AG26" s="73">
        <f>(cadangan[[#This Row],[Profit Normal A]]+cadangan[[#This Row],[Profit Normal B]]+cadangan[[#This Row],[Profit Normal C]])</f>
        <v>730000</v>
      </c>
      <c r="AH26" s="73">
        <f>cadangan[[#This Row],[Profit Diskon A]]+cadangan[[#This Row],[Profit Diskon B]]+cadangan[[#This Row],[Profit Diskon C]]</f>
        <v>407500</v>
      </c>
      <c r="AI26" s="23" t="s">
        <v>13</v>
      </c>
      <c r="AJ26" s="37">
        <f>IFERROR(INDEX('Kode Diskon'!$D$3:$D$9,MATCH(cadangan[[#This Row],[Kode diskon]],'Kode Diskon'!$C$3:$C$9,0)),"-")</f>
        <v>0.15</v>
      </c>
      <c r="AK26" s="23" t="s">
        <v>29</v>
      </c>
      <c r="AL26" s="23" t="s">
        <v>7</v>
      </c>
      <c r="AM26" s="23" t="s">
        <v>80</v>
      </c>
      <c r="AN26" s="55">
        <v>45018</v>
      </c>
      <c r="AO26" s="53">
        <f>DAY(cadangan[[#This Row],[Tanggal terjual]])</f>
        <v>2</v>
      </c>
      <c r="AP26" s="21" t="str">
        <f>TEXT(cadangan[[#This Row],[Tanggal terjual]],"dddd")</f>
        <v>Sunday</v>
      </c>
      <c r="AQ26" s="23" t="str" cm="1">
        <f t="array" ref="AQ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6" s="61">
        <f>AVERAGE(cadangan[[#This Row],[Rating A]],cadangan[[#This Row],[Rating B]],cadangan[[#This Row],[Rating C]])</f>
        <v>3</v>
      </c>
    </row>
    <row r="27" spans="1:44" x14ac:dyDescent="0.2">
      <c r="A27" s="20">
        <v>26</v>
      </c>
      <c r="B27" s="21" t="str">
        <f>_xlfn.CONCAT("ORD-",INDEX(Helper!$B$2:$B$5,MATCH(cadangan[[#This Row],[Marketplace]],Helper!$A$2:$A$5,0)),TEXT(cadangan[[#This Row],[No]],"0000"),"-",TEXT(cadangan[[#This Row],[Tanggal terjual]],"dd/mm/yy"))</f>
        <v>ORD-BL0026-25/04/23</v>
      </c>
      <c r="C27" s="39" t="s">
        <v>63</v>
      </c>
      <c r="D27" s="39" t="str">
        <f>IFERROR(INDEX(Katalog!$A$3:$A$12,MATCH(cadangan[[#This Row],[ItemID A]],Katalog!$C$3:$C$12,0)),"-")</f>
        <v>Pakaian Pria</v>
      </c>
      <c r="E27" s="39" t="str">
        <f>IFERROR(INDEX(Katalog!$B$3:$B$12,MATCH(cadangan[[#This Row],[ItemID A]],Katalog!$C$3:$C$12,0)),"-")</f>
        <v>Jaket Jeans</v>
      </c>
      <c r="F27" s="50">
        <v>2</v>
      </c>
      <c r="G27" s="50">
        <v>3</v>
      </c>
      <c r="H27" s="73">
        <f>IFERROR(INDEX(Katalog!$D$3:$D$12,MATCH(cadangan[[#This Row],[ItemID A]],Katalog!$C$3:$C$12,0))*cadangan[[#This Row],[Qty A]],0)</f>
        <v>800000</v>
      </c>
      <c r="I27" s="73">
        <f>IFERROR(cadangan[[#This Row],[Harga Normal A]]-(cadangan[[#This Row],[Harga Normal A]]*cadangan[[#This Row],[Diskon]]),cadangan[[#This Row],[Harga Normal A]])</f>
        <v>680000</v>
      </c>
      <c r="J27" s="73">
        <f>INDEX(Katalog!$F$3:$F$12,MATCH(cadangan[[#This Row],[ItemID A]],Katalog!$C$3:$C$12,0))*cadangan[[#This Row],[Qty A]]</f>
        <v>300000</v>
      </c>
      <c r="K27" s="73">
        <f>IFERROR(cadangan[[#This Row],[Harga Diskon A]]-INDEX(Katalog!$E$3:$E$12,MATCH(cadangan[[#This Row],[ItemID A]],Katalog!$C$3:$C$12,0))*cadangan[[#This Row],[Qty A]],0)</f>
        <v>180000</v>
      </c>
      <c r="L27" s="39" t="s">
        <v>58</v>
      </c>
      <c r="M27" s="39" t="str">
        <f>IFERROR(INDEX(Katalog!$A$3:$A$12,MATCH(cadangan[[#This Row],[ItemID B]],Katalog!$C$3:$C$12,0)),"-")</f>
        <v>Pakaian Wanita</v>
      </c>
      <c r="N27" s="39" t="str">
        <f>IFERROR(INDEX(Katalog!$B$3:$B$12,MATCH(cadangan[[#This Row],[ItemID B]],Katalog!$C$3:$C$12,0)),"-")</f>
        <v>Dress</v>
      </c>
      <c r="O27" s="50">
        <v>3</v>
      </c>
      <c r="P27" s="50">
        <v>1</v>
      </c>
      <c r="Q27" s="73">
        <f>IFERROR(INDEX(Katalog!$D$3:$D$12,MATCH(cadangan[[#This Row],[ItemID B]],Katalog!$C$3:$C$12,0))*cadangan[[#This Row],[Qty B]],0)</f>
        <v>900000</v>
      </c>
      <c r="R27" s="73">
        <f>IFERROR(cadangan[[#This Row],[Harga Normal B]]-(cadangan[[#This Row],[Harga Normal B]]*cadangan[[#This Row],[Diskon]]),cadangan[[#This Row],[Harga Normal B]])</f>
        <v>765000</v>
      </c>
      <c r="S27" s="73">
        <f>IFERROR(INDEX(Katalog!$F$3:$F$12,MATCH(cadangan[[#This Row],[ItemID B]],Katalog!$C$3:$C$12,0))*cadangan[[#This Row],[Qty B]],0)</f>
        <v>300000</v>
      </c>
      <c r="T27" s="73">
        <f>IFERROR(cadangan[[#This Row],[Harga Diskon B]]-INDEX(Katalog!$E$3:$E$12,MATCH(cadangan[[#This Row],[ItemID B]],Katalog!$C$3:$C$12,0))*cadangan[[#This Row],[Qty B]],0)</f>
        <v>165000</v>
      </c>
      <c r="V27" s="39" t="str">
        <f>IFERROR(INDEX(Katalog!$A$3:$A$12,MATCH(cadangan[[#This Row],[ItemID C]],Katalog!$C$3:$C$12,0)),"-")</f>
        <v>-</v>
      </c>
      <c r="W27" s="39" t="str">
        <f>IFERROR(INDEX(Katalog!$B$3:$B$12,MATCH(cadangan[[#This Row],[ItemID C]],Katalog!$C$3:$C$12,0)),"-")</f>
        <v>-</v>
      </c>
      <c r="Z27" s="73">
        <f>IFERROR(INDEX(Katalog!$D$3:$D$12,MATCH(cadangan[[#This Row],[ItemID C]],Katalog!$C$3:$C$12,0))*cadangan[[#This Row],[Qty C]],0)</f>
        <v>0</v>
      </c>
      <c r="AA27" s="73">
        <f>IFERROR(cadangan[[#This Row],[Harga Normal C]]-(cadangan[[#This Row],[Harga Normal C]]*cadangan[[#This Row],[Diskon]]),cadangan[[#This Row],[Harga Normal C]])</f>
        <v>0</v>
      </c>
      <c r="AB27" s="73">
        <f>IFERROR(INDEX(Katalog!$F$3:$F$12,MATCH(cadangan[[#This Row],[ItemID C]],Katalog!$C$3:$C$12,0))*cadangan[[#This Row],[Qty C]],0)</f>
        <v>0</v>
      </c>
      <c r="AC27" s="73">
        <f>IFERROR(cadangan[[#This Row],[Harga Diskon C]]-INDEX(Katalog!$E$3:$E$12,MATCH(cadangan[[#This Row],[ItemID C]],Katalog!$C$3:$C$12,0))*cadangan[[#This Row],[Qty C]],0)</f>
        <v>0</v>
      </c>
      <c r="AD27" s="53">
        <f>cadangan[[#This Row],[Qty A]]+cadangan[[#This Row],[Qty B]]+cadangan[[#This Row],[Qty C]]</f>
        <v>5</v>
      </c>
      <c r="AE27" s="73">
        <f>cadangan[[#This Row],[Harga Normal A]]+cadangan[[#This Row],[Harga Normal B]]+cadangan[[#This Row],[Harga Normal C]]</f>
        <v>1700000</v>
      </c>
      <c r="AF27" s="73">
        <f>cadangan[[#This Row],[Harga Diskon A]]+cadangan[[#This Row],[Harga Diskon B]]+cadangan[[#This Row],[Harga Diskon C]]</f>
        <v>1445000</v>
      </c>
      <c r="AG27" s="73">
        <f>(cadangan[[#This Row],[Profit Normal A]]+cadangan[[#This Row],[Profit Normal B]]+cadangan[[#This Row],[Profit Normal C]])</f>
        <v>600000</v>
      </c>
      <c r="AH27" s="73">
        <f>cadangan[[#This Row],[Profit Diskon A]]+cadangan[[#This Row],[Profit Diskon B]]+cadangan[[#This Row],[Profit Diskon C]]</f>
        <v>345000</v>
      </c>
      <c r="AI27" s="23" t="s">
        <v>32</v>
      </c>
      <c r="AJ27" s="37">
        <f>IFERROR(INDEX('Kode Diskon'!$D$3:$D$9,MATCH(cadangan[[#This Row],[Kode diskon]],'Kode Diskon'!$C$3:$C$9,0)),"-")</f>
        <v>0.15</v>
      </c>
      <c r="AK27" s="23" t="s">
        <v>9</v>
      </c>
      <c r="AL27" s="23" t="s">
        <v>12</v>
      </c>
      <c r="AM27" s="23" t="s">
        <v>80</v>
      </c>
      <c r="AN27" s="55">
        <v>45041</v>
      </c>
      <c r="AO27" s="53">
        <f>DAY(cadangan[[#This Row],[Tanggal terjual]])</f>
        <v>25</v>
      </c>
      <c r="AP27" s="21" t="str">
        <f>TEXT(cadangan[[#This Row],[Tanggal terjual]],"dddd")</f>
        <v>Tuesday</v>
      </c>
      <c r="AQ27" s="23" t="str" cm="1">
        <f t="array" ref="AQ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7" s="61">
        <f>AVERAGE(cadangan[[#This Row],[Rating A]],cadangan[[#This Row],[Rating B]],cadangan[[#This Row],[Rating C]])</f>
        <v>2</v>
      </c>
    </row>
    <row r="28" spans="1:44" x14ac:dyDescent="0.2">
      <c r="A28" s="20">
        <v>27</v>
      </c>
      <c r="B28" s="21" t="str">
        <f>_xlfn.CONCAT("ORD-",INDEX(Helper!$B$2:$B$5,MATCH(cadangan[[#This Row],[Marketplace]],Helper!$A$2:$A$5,0)),TEXT(cadangan[[#This Row],[No]],"0000"),"-",TEXT(cadangan[[#This Row],[Tanggal terjual]],"dd/mm/yy"))</f>
        <v>ORD-BB0027-01/04/23</v>
      </c>
      <c r="C28" s="39" t="s">
        <v>67</v>
      </c>
      <c r="D28" s="39" t="str">
        <f>IFERROR(INDEX(Katalog!$A$3:$A$12,MATCH(cadangan[[#This Row],[ItemID A]],Katalog!$C$3:$C$12,0)),"-")</f>
        <v>Sepatu Wanita</v>
      </c>
      <c r="E28" s="39" t="str">
        <f>IFERROR(INDEX(Katalog!$B$3:$B$12,MATCH(cadangan[[#This Row],[ItemID A]],Katalog!$C$3:$C$12,0)),"-")</f>
        <v>Flat Shoes</v>
      </c>
      <c r="F28" s="50">
        <v>3</v>
      </c>
      <c r="G28" s="50">
        <v>1</v>
      </c>
      <c r="H28" s="73">
        <f>IFERROR(INDEX(Katalog!$D$3:$D$12,MATCH(cadangan[[#This Row],[ItemID A]],Katalog!$C$3:$C$12,0))*cadangan[[#This Row],[Qty A]],0)</f>
        <v>750000</v>
      </c>
      <c r="I28" s="73">
        <f>IFERROR(cadangan[[#This Row],[Harga Normal A]]-(cadangan[[#This Row],[Harga Normal A]]*cadangan[[#This Row],[Diskon]]),cadangan[[#This Row],[Harga Normal A]])</f>
        <v>637500</v>
      </c>
      <c r="J28" s="73">
        <f>INDEX(Katalog!$F$3:$F$12,MATCH(cadangan[[#This Row],[ItemID A]],Katalog!$C$3:$C$12,0))*cadangan[[#This Row],[Qty A]]</f>
        <v>300000</v>
      </c>
      <c r="K28" s="73">
        <f>IFERROR(cadangan[[#This Row],[Harga Diskon A]]-INDEX(Katalog!$E$3:$E$12,MATCH(cadangan[[#This Row],[ItemID A]],Katalog!$C$3:$C$12,0))*cadangan[[#This Row],[Qty A]],0)</f>
        <v>187500</v>
      </c>
      <c r="L28" s="39" t="s">
        <v>61</v>
      </c>
      <c r="M28" s="39" t="str">
        <f>IFERROR(INDEX(Katalog!$A$3:$A$12,MATCH(cadangan[[#This Row],[ItemID B]],Katalog!$C$3:$C$12,0)),"-")</f>
        <v>Pakaian Pria</v>
      </c>
      <c r="N28" s="39" t="str">
        <f>IFERROR(INDEX(Katalog!$B$3:$B$12,MATCH(cadangan[[#This Row],[ItemID B]],Katalog!$C$3:$C$12,0)),"-")</f>
        <v>Kaos Polo</v>
      </c>
      <c r="O28" s="50">
        <v>2</v>
      </c>
      <c r="P28" s="50">
        <v>3</v>
      </c>
      <c r="Q28" s="73">
        <f>IFERROR(INDEX(Katalog!$D$3:$D$12,MATCH(cadangan[[#This Row],[ItemID B]],Katalog!$C$3:$C$12,0))*cadangan[[#This Row],[Qty B]],0)</f>
        <v>400000</v>
      </c>
      <c r="R28" s="73">
        <f>IFERROR(cadangan[[#This Row],[Harga Normal B]]-(cadangan[[#This Row],[Harga Normal B]]*cadangan[[#This Row],[Diskon]]),cadangan[[#This Row],[Harga Normal B]])</f>
        <v>340000</v>
      </c>
      <c r="S28" s="73">
        <f>IFERROR(INDEX(Katalog!$F$3:$F$12,MATCH(cadangan[[#This Row],[ItemID B]],Katalog!$C$3:$C$12,0))*cadangan[[#This Row],[Qty B]],0)</f>
        <v>160000</v>
      </c>
      <c r="T28" s="73">
        <f>IFERROR(cadangan[[#This Row],[Harga Diskon B]]-INDEX(Katalog!$E$3:$E$12,MATCH(cadangan[[#This Row],[ItemID B]],Katalog!$C$3:$C$12,0))*cadangan[[#This Row],[Qty B]],0)</f>
        <v>100000</v>
      </c>
      <c r="U28" s="39" t="s">
        <v>58</v>
      </c>
      <c r="V28" s="39" t="str">
        <f>IFERROR(INDEX(Katalog!$A$3:$A$12,MATCH(cadangan[[#This Row],[ItemID C]],Katalog!$C$3:$C$12,0)),"-")</f>
        <v>Pakaian Wanita</v>
      </c>
      <c r="W28" s="39" t="str">
        <f>IFERROR(INDEX(Katalog!$B$3:$B$12,MATCH(cadangan[[#This Row],[ItemID C]],Katalog!$C$3:$C$12,0)),"-")</f>
        <v>Dress</v>
      </c>
      <c r="X28" s="50">
        <v>1</v>
      </c>
      <c r="Y28" s="50">
        <v>3</v>
      </c>
      <c r="Z28" s="73">
        <f>IFERROR(INDEX(Katalog!$D$3:$D$12,MATCH(cadangan[[#This Row],[ItemID C]],Katalog!$C$3:$C$12,0))*cadangan[[#This Row],[Qty C]],0)</f>
        <v>300000</v>
      </c>
      <c r="AA28" s="73">
        <f>IFERROR(cadangan[[#This Row],[Harga Normal C]]-(cadangan[[#This Row],[Harga Normal C]]*cadangan[[#This Row],[Diskon]]),cadangan[[#This Row],[Harga Normal C]])</f>
        <v>255000</v>
      </c>
      <c r="AB28" s="73">
        <f>IFERROR(INDEX(Katalog!$F$3:$F$12,MATCH(cadangan[[#This Row],[ItemID C]],Katalog!$C$3:$C$12,0))*cadangan[[#This Row],[Qty C]],0)</f>
        <v>100000</v>
      </c>
      <c r="AC28" s="73">
        <f>IFERROR(cadangan[[#This Row],[Harga Diskon C]]-INDEX(Katalog!$E$3:$E$12,MATCH(cadangan[[#This Row],[ItemID C]],Katalog!$C$3:$C$12,0))*cadangan[[#This Row],[Qty C]],0)</f>
        <v>55000</v>
      </c>
      <c r="AD28" s="53">
        <f>cadangan[[#This Row],[Qty A]]+cadangan[[#This Row],[Qty B]]+cadangan[[#This Row],[Qty C]]</f>
        <v>6</v>
      </c>
      <c r="AE28" s="73">
        <f>cadangan[[#This Row],[Harga Normal A]]+cadangan[[#This Row],[Harga Normal B]]+cadangan[[#This Row],[Harga Normal C]]</f>
        <v>1450000</v>
      </c>
      <c r="AF28" s="73">
        <f>cadangan[[#This Row],[Harga Diskon A]]+cadangan[[#This Row],[Harga Diskon B]]+cadangan[[#This Row],[Harga Diskon C]]</f>
        <v>1232500</v>
      </c>
      <c r="AG28" s="73">
        <f>(cadangan[[#This Row],[Profit Normal A]]+cadangan[[#This Row],[Profit Normal B]]+cadangan[[#This Row],[Profit Normal C]])</f>
        <v>560000</v>
      </c>
      <c r="AH28" s="73">
        <f>cadangan[[#This Row],[Profit Diskon A]]+cadangan[[#This Row],[Profit Diskon B]]+cadangan[[#This Row],[Profit Diskon C]]</f>
        <v>342500</v>
      </c>
      <c r="AI28" s="23" t="s">
        <v>28</v>
      </c>
      <c r="AJ28" s="37">
        <f>IFERROR(INDEX('Kode Diskon'!$D$3:$D$9,MATCH(cadangan[[#This Row],[Kode diskon]],'Kode Diskon'!$C$3:$C$9,0)),"-")</f>
        <v>0.15</v>
      </c>
      <c r="AK28" s="23" t="s">
        <v>29</v>
      </c>
      <c r="AL28" s="23" t="s">
        <v>14</v>
      </c>
      <c r="AM28" s="23" t="s">
        <v>79</v>
      </c>
      <c r="AN28" s="55">
        <v>45017</v>
      </c>
      <c r="AO28" s="53">
        <f>DAY(cadangan[[#This Row],[Tanggal terjual]])</f>
        <v>1</v>
      </c>
      <c r="AP28" s="21" t="str">
        <f>TEXT(cadangan[[#This Row],[Tanggal terjual]],"dddd")</f>
        <v>Saturday</v>
      </c>
      <c r="AQ28" s="23" t="str" cm="1">
        <f t="array" ref="AQ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 s="61">
        <f>AVERAGE(cadangan[[#This Row],[Rating A]],cadangan[[#This Row],[Rating B]],cadangan[[#This Row],[Rating C]])</f>
        <v>2.3333333333333335</v>
      </c>
    </row>
    <row r="29" spans="1:44" x14ac:dyDescent="0.2">
      <c r="A29" s="20">
        <v>28</v>
      </c>
      <c r="B29" s="21" t="str">
        <f>_xlfn.CONCAT("ORD-",INDEX(Helper!$B$2:$B$5,MATCH(cadangan[[#This Row],[Marketplace]],Helper!$A$2:$A$5,0)),TEXT(cadangan[[#This Row],[No]],"0000"),"-",TEXT(cadangan[[#This Row],[Tanggal terjual]],"dd/mm/yy"))</f>
        <v>ORD-BL0028-29/04/23</v>
      </c>
      <c r="C29" s="39" t="s">
        <v>62</v>
      </c>
      <c r="D29" s="39" t="str">
        <f>IFERROR(INDEX(Katalog!$A$3:$A$12,MATCH(cadangan[[#This Row],[ItemID A]],Katalog!$C$3:$C$12,0)),"-")</f>
        <v>Pakaian Pria</v>
      </c>
      <c r="E29" s="39" t="str">
        <f>IFERROR(INDEX(Katalog!$B$3:$B$12,MATCH(cadangan[[#This Row],[ItemID A]],Katalog!$C$3:$C$12,0)),"-")</f>
        <v>Celana Pendek</v>
      </c>
      <c r="F29" s="50">
        <v>5</v>
      </c>
      <c r="G29" s="50">
        <v>2</v>
      </c>
      <c r="H29" s="73">
        <f>IFERROR(INDEX(Katalog!$D$3:$D$12,MATCH(cadangan[[#This Row],[ItemID A]],Katalog!$C$3:$C$12,0))*cadangan[[#This Row],[Qty A]],0)</f>
        <v>900000</v>
      </c>
      <c r="I29" s="73">
        <f>IFERROR(cadangan[[#This Row],[Harga Normal A]]-(cadangan[[#This Row],[Harga Normal A]]*cadangan[[#This Row],[Diskon]]),cadangan[[#This Row],[Harga Normal A]])</f>
        <v>765000</v>
      </c>
      <c r="J29" s="73">
        <f>INDEX(Katalog!$F$3:$F$12,MATCH(cadangan[[#This Row],[ItemID A]],Katalog!$C$3:$C$12,0))*cadangan[[#This Row],[Qty A]]</f>
        <v>350000</v>
      </c>
      <c r="K29" s="73">
        <f>IFERROR(cadangan[[#This Row],[Harga Diskon A]]-INDEX(Katalog!$E$3:$E$12,MATCH(cadangan[[#This Row],[ItemID A]],Katalog!$C$3:$C$12,0))*cadangan[[#This Row],[Qty A]],0)</f>
        <v>215000</v>
      </c>
      <c r="L29" s="39" t="s">
        <v>58</v>
      </c>
      <c r="M29" s="39" t="str">
        <f>IFERROR(INDEX(Katalog!$A$3:$A$12,MATCH(cadangan[[#This Row],[ItemID B]],Katalog!$C$3:$C$12,0)),"-")</f>
        <v>Pakaian Wanita</v>
      </c>
      <c r="N29" s="39" t="str">
        <f>IFERROR(INDEX(Katalog!$B$3:$B$12,MATCH(cadangan[[#This Row],[ItemID B]],Katalog!$C$3:$C$12,0)),"-")</f>
        <v>Dress</v>
      </c>
      <c r="O29" s="50">
        <v>2</v>
      </c>
      <c r="P29" s="50">
        <v>1</v>
      </c>
      <c r="Q29" s="73">
        <f>IFERROR(INDEX(Katalog!$D$3:$D$12,MATCH(cadangan[[#This Row],[ItemID B]],Katalog!$C$3:$C$12,0))*cadangan[[#This Row],[Qty B]],0)</f>
        <v>600000</v>
      </c>
      <c r="R29" s="73">
        <f>IFERROR(cadangan[[#This Row],[Harga Normal B]]-(cadangan[[#This Row],[Harga Normal B]]*cadangan[[#This Row],[Diskon]]),cadangan[[#This Row],[Harga Normal B]])</f>
        <v>510000</v>
      </c>
      <c r="S29" s="73">
        <f>IFERROR(INDEX(Katalog!$F$3:$F$12,MATCH(cadangan[[#This Row],[ItemID B]],Katalog!$C$3:$C$12,0))*cadangan[[#This Row],[Qty B]],0)</f>
        <v>200000</v>
      </c>
      <c r="T29" s="73">
        <f>IFERROR(cadangan[[#This Row],[Harga Diskon B]]-INDEX(Katalog!$E$3:$E$12,MATCH(cadangan[[#This Row],[ItemID B]],Katalog!$C$3:$C$12,0))*cadangan[[#This Row],[Qty B]],0)</f>
        <v>110000</v>
      </c>
      <c r="V29" s="39" t="str">
        <f>IFERROR(INDEX(Katalog!$A$3:$A$12,MATCH(cadangan[[#This Row],[ItemID C]],Katalog!$C$3:$C$12,0)),"-")</f>
        <v>-</v>
      </c>
      <c r="W29" s="39" t="str">
        <f>IFERROR(INDEX(Katalog!$B$3:$B$12,MATCH(cadangan[[#This Row],[ItemID C]],Katalog!$C$3:$C$12,0)),"-")</f>
        <v>-</v>
      </c>
      <c r="Z29" s="73">
        <f>IFERROR(INDEX(Katalog!$D$3:$D$12,MATCH(cadangan[[#This Row],[ItemID C]],Katalog!$C$3:$C$12,0))*cadangan[[#This Row],[Qty C]],0)</f>
        <v>0</v>
      </c>
      <c r="AA29" s="73">
        <f>IFERROR(cadangan[[#This Row],[Harga Normal C]]-(cadangan[[#This Row],[Harga Normal C]]*cadangan[[#This Row],[Diskon]]),cadangan[[#This Row],[Harga Normal C]])</f>
        <v>0</v>
      </c>
      <c r="AB29" s="73">
        <f>IFERROR(INDEX(Katalog!$F$3:$F$12,MATCH(cadangan[[#This Row],[ItemID C]],Katalog!$C$3:$C$12,0))*cadangan[[#This Row],[Qty C]],0)</f>
        <v>0</v>
      </c>
      <c r="AC29" s="73">
        <f>IFERROR(cadangan[[#This Row],[Harga Diskon C]]-INDEX(Katalog!$E$3:$E$12,MATCH(cadangan[[#This Row],[ItemID C]],Katalog!$C$3:$C$12,0))*cadangan[[#This Row],[Qty C]],0)</f>
        <v>0</v>
      </c>
      <c r="AD29" s="53">
        <f>cadangan[[#This Row],[Qty A]]+cadangan[[#This Row],[Qty B]]+cadangan[[#This Row],[Qty C]]</f>
        <v>7</v>
      </c>
      <c r="AE29" s="73">
        <f>cadangan[[#This Row],[Harga Normal A]]+cadangan[[#This Row],[Harga Normal B]]+cadangan[[#This Row],[Harga Normal C]]</f>
        <v>1500000</v>
      </c>
      <c r="AF29" s="73">
        <f>cadangan[[#This Row],[Harga Diskon A]]+cadangan[[#This Row],[Harga Diskon B]]+cadangan[[#This Row],[Harga Diskon C]]</f>
        <v>1275000</v>
      </c>
      <c r="AG29" s="73">
        <f>(cadangan[[#This Row],[Profit Normal A]]+cadangan[[#This Row],[Profit Normal B]]+cadangan[[#This Row],[Profit Normal C]])</f>
        <v>550000</v>
      </c>
      <c r="AH29" s="73">
        <f>cadangan[[#This Row],[Profit Diskon A]]+cadangan[[#This Row],[Profit Diskon B]]+cadangan[[#This Row],[Profit Diskon C]]</f>
        <v>325000</v>
      </c>
      <c r="AI29" s="23" t="s">
        <v>32</v>
      </c>
      <c r="AJ29" s="37">
        <f>IFERROR(INDEX('Kode Diskon'!$D$3:$D$9,MATCH(cadangan[[#This Row],[Kode diskon]],'Kode Diskon'!$C$3:$C$9,0)),"-")</f>
        <v>0.15</v>
      </c>
      <c r="AK29" s="23" t="s">
        <v>9</v>
      </c>
      <c r="AL29" s="23" t="s">
        <v>12</v>
      </c>
      <c r="AM29" s="23" t="s">
        <v>79</v>
      </c>
      <c r="AN29" s="55">
        <v>45045</v>
      </c>
      <c r="AO29" s="53">
        <f>DAY(cadangan[[#This Row],[Tanggal terjual]])</f>
        <v>29</v>
      </c>
      <c r="AP29" s="21" t="str">
        <f>TEXT(cadangan[[#This Row],[Tanggal terjual]],"dddd")</f>
        <v>Saturday</v>
      </c>
      <c r="AQ29" s="23" t="str" cm="1">
        <f t="array" ref="AQ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9" s="61">
        <f>AVERAGE(cadangan[[#This Row],[Rating A]],cadangan[[#This Row],[Rating B]],cadangan[[#This Row],[Rating C]])</f>
        <v>1.5</v>
      </c>
    </row>
    <row r="30" spans="1:44" x14ac:dyDescent="0.2">
      <c r="A30" s="20">
        <v>29</v>
      </c>
      <c r="B30" s="21" t="str">
        <f>_xlfn.CONCAT("ORD-",INDEX(Helper!$B$2:$B$5,MATCH(cadangan[[#This Row],[Marketplace]],Helper!$A$2:$A$5,0)),TEXT(cadangan[[#This Row],[No]],"0000"),"-",TEXT(cadangan[[#This Row],[Tanggal terjual]],"dd/mm/yy"))</f>
        <v>ORD-SP0029-30/04/23</v>
      </c>
      <c r="C30" s="39" t="s">
        <v>60</v>
      </c>
      <c r="D30" s="39" t="str">
        <f>IFERROR(INDEX(Katalog!$A$3:$A$12,MATCH(cadangan[[#This Row],[ItemID A]],Katalog!$C$3:$C$12,0)),"-")</f>
        <v>Pakaian Wanita</v>
      </c>
      <c r="E30" s="39" t="str">
        <f>IFERROR(INDEX(Katalog!$B$3:$B$12,MATCH(cadangan[[#This Row],[ItemID A]],Katalog!$C$3:$C$12,0)),"-")</f>
        <v>Kaftan</v>
      </c>
      <c r="F30" s="50">
        <v>1</v>
      </c>
      <c r="G30" s="50">
        <v>1</v>
      </c>
      <c r="H30" s="73">
        <f>IFERROR(INDEX(Katalog!$D$3:$D$12,MATCH(cadangan[[#This Row],[ItemID A]],Katalog!$C$3:$C$12,0))*cadangan[[#This Row],[Qty A]],0)</f>
        <v>250000</v>
      </c>
      <c r="I30" s="73">
        <f>IFERROR(cadangan[[#This Row],[Harga Normal A]]-(cadangan[[#This Row],[Harga Normal A]]*cadangan[[#This Row],[Diskon]]),cadangan[[#This Row],[Harga Normal A]])</f>
        <v>200000</v>
      </c>
      <c r="J30" s="73">
        <f>INDEX(Katalog!$F$3:$F$12,MATCH(cadangan[[#This Row],[ItemID A]],Katalog!$C$3:$C$12,0))*cadangan[[#This Row],[Qty A]]</f>
        <v>100000</v>
      </c>
      <c r="K30" s="73">
        <f>IFERROR(cadangan[[#This Row],[Harga Diskon A]]-INDEX(Katalog!$E$3:$E$12,MATCH(cadangan[[#This Row],[ItemID A]],Katalog!$C$3:$C$12,0))*cadangan[[#This Row],[Qty A]],0)</f>
        <v>50000</v>
      </c>
      <c r="M30" s="39" t="str">
        <f>IFERROR(INDEX(Katalog!$A$3:$A$12,MATCH(cadangan[[#This Row],[ItemID B]],Katalog!$C$3:$C$12,0)),"-")</f>
        <v>-</v>
      </c>
      <c r="N30" s="39" t="str">
        <f>IFERROR(INDEX(Katalog!$B$3:$B$12,MATCH(cadangan[[#This Row],[ItemID B]],Katalog!$C$3:$C$12,0)),"-")</f>
        <v>-</v>
      </c>
      <c r="Q30" s="73">
        <f>IFERROR(INDEX(Katalog!$D$3:$D$12,MATCH(cadangan[[#This Row],[ItemID B]],Katalog!$C$3:$C$12,0))*cadangan[[#This Row],[Qty B]],0)</f>
        <v>0</v>
      </c>
      <c r="R30" s="73">
        <f>IFERROR(cadangan[[#This Row],[Harga Normal B]]-(cadangan[[#This Row],[Harga Normal B]]*cadangan[[#This Row],[Diskon]]),cadangan[[#This Row],[Harga Normal B]])</f>
        <v>0</v>
      </c>
      <c r="S30" s="73">
        <f>IFERROR(INDEX(Katalog!$F$3:$F$12,MATCH(cadangan[[#This Row],[ItemID B]],Katalog!$C$3:$C$12,0))*cadangan[[#This Row],[Qty B]],0)</f>
        <v>0</v>
      </c>
      <c r="T30" s="73">
        <f>IFERROR(cadangan[[#This Row],[Harga Diskon B]]-INDEX(Katalog!$E$3:$E$12,MATCH(cadangan[[#This Row],[ItemID B]],Katalog!$C$3:$C$12,0))*cadangan[[#This Row],[Qty B]],0)</f>
        <v>0</v>
      </c>
      <c r="V30" s="39" t="str">
        <f>IFERROR(INDEX(Katalog!$A$3:$A$12,MATCH(cadangan[[#This Row],[ItemID C]],Katalog!$C$3:$C$12,0)),"-")</f>
        <v>-</v>
      </c>
      <c r="W30" s="39" t="str">
        <f>IFERROR(INDEX(Katalog!$B$3:$B$12,MATCH(cadangan[[#This Row],[ItemID C]],Katalog!$C$3:$C$12,0)),"-")</f>
        <v>-</v>
      </c>
      <c r="Z30" s="73">
        <f>IFERROR(INDEX(Katalog!$D$3:$D$12,MATCH(cadangan[[#This Row],[ItemID C]],Katalog!$C$3:$C$12,0))*cadangan[[#This Row],[Qty C]],0)</f>
        <v>0</v>
      </c>
      <c r="AA30" s="73">
        <f>IFERROR(cadangan[[#This Row],[Harga Normal C]]-(cadangan[[#This Row],[Harga Normal C]]*cadangan[[#This Row],[Diskon]]),cadangan[[#This Row],[Harga Normal C]])</f>
        <v>0</v>
      </c>
      <c r="AB30" s="73">
        <f>IFERROR(INDEX(Katalog!$F$3:$F$12,MATCH(cadangan[[#This Row],[ItemID C]],Katalog!$C$3:$C$12,0))*cadangan[[#This Row],[Qty C]],0)</f>
        <v>0</v>
      </c>
      <c r="AC30" s="73">
        <f>IFERROR(cadangan[[#This Row],[Harga Diskon C]]-INDEX(Katalog!$E$3:$E$12,MATCH(cadangan[[#This Row],[ItemID C]],Katalog!$C$3:$C$12,0))*cadangan[[#This Row],[Qty C]],0)</f>
        <v>0</v>
      </c>
      <c r="AD30" s="53">
        <f>cadangan[[#This Row],[Qty A]]+cadangan[[#This Row],[Qty B]]+cadangan[[#This Row],[Qty C]]</f>
        <v>1</v>
      </c>
      <c r="AE30" s="73">
        <f>cadangan[[#This Row],[Harga Normal A]]+cadangan[[#This Row],[Harga Normal B]]+cadangan[[#This Row],[Harga Normal C]]</f>
        <v>250000</v>
      </c>
      <c r="AF30" s="73">
        <f>cadangan[[#This Row],[Harga Diskon A]]+cadangan[[#This Row],[Harga Diskon B]]+cadangan[[#This Row],[Harga Diskon C]]</f>
        <v>200000</v>
      </c>
      <c r="AG30" s="73">
        <f>(cadangan[[#This Row],[Profit Normal A]]+cadangan[[#This Row],[Profit Normal B]]+cadangan[[#This Row],[Profit Normal C]])</f>
        <v>100000</v>
      </c>
      <c r="AH30" s="73">
        <f>cadangan[[#This Row],[Profit Diskon A]]+cadangan[[#This Row],[Profit Diskon B]]+cadangan[[#This Row],[Profit Diskon C]]</f>
        <v>50000</v>
      </c>
      <c r="AI30" s="23" t="s">
        <v>8</v>
      </c>
      <c r="AJ30" s="37">
        <f>IFERROR(INDEX('Kode Diskon'!$D$3:$D$9,MATCH(cadangan[[#This Row],[Kode diskon]],'Kode Diskon'!$C$3:$C$9,0)),"-")</f>
        <v>0.2</v>
      </c>
      <c r="AK30" s="23" t="s">
        <v>9</v>
      </c>
      <c r="AL30" s="23" t="s">
        <v>7</v>
      </c>
      <c r="AM30" s="23" t="s">
        <v>80</v>
      </c>
      <c r="AN30" s="55">
        <v>45046</v>
      </c>
      <c r="AO30" s="53">
        <f>DAY(cadangan[[#This Row],[Tanggal terjual]])</f>
        <v>30</v>
      </c>
      <c r="AP30" s="21" t="str">
        <f>TEXT(cadangan[[#This Row],[Tanggal terjual]],"dddd")</f>
        <v>Sunday</v>
      </c>
      <c r="AQ30" s="23" t="str" cm="1">
        <f t="array" ref="AQ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0" s="61">
        <f>AVERAGE(cadangan[[#This Row],[Rating A]],cadangan[[#This Row],[Rating B]],cadangan[[#This Row],[Rating C]])</f>
        <v>1</v>
      </c>
    </row>
    <row r="31" spans="1:44" x14ac:dyDescent="0.2">
      <c r="A31" s="20">
        <v>30</v>
      </c>
      <c r="B31" s="21" t="str">
        <f>_xlfn.CONCAT("ORD-",INDEX(Helper!$B$2:$B$5,MATCH(cadangan[[#This Row],[Marketplace]],Helper!$A$2:$A$5,0)),TEXT(cadangan[[#This Row],[No]],"0000"),"-",TEXT(cadangan[[#This Row],[Tanggal terjual]],"dd/mm/yy"))</f>
        <v>ORD-BB0030-04/04/23</v>
      </c>
      <c r="C31" s="39" t="s">
        <v>62</v>
      </c>
      <c r="D31" s="39" t="str">
        <f>IFERROR(INDEX(Katalog!$A$3:$A$12,MATCH(cadangan[[#This Row],[ItemID A]],Katalog!$C$3:$C$12,0)),"-")</f>
        <v>Pakaian Pria</v>
      </c>
      <c r="E31" s="39" t="str">
        <f>IFERROR(INDEX(Katalog!$B$3:$B$12,MATCH(cadangan[[#This Row],[ItemID A]],Katalog!$C$3:$C$12,0)),"-")</f>
        <v>Celana Pendek</v>
      </c>
      <c r="F31" s="50">
        <v>2</v>
      </c>
      <c r="G31" s="50">
        <v>2</v>
      </c>
      <c r="H31" s="73">
        <f>IFERROR(INDEX(Katalog!$D$3:$D$12,MATCH(cadangan[[#This Row],[ItemID A]],Katalog!$C$3:$C$12,0))*cadangan[[#This Row],[Qty A]],0)</f>
        <v>360000</v>
      </c>
      <c r="I31" s="73">
        <f>IFERROR(cadangan[[#This Row],[Harga Normal A]]-(cadangan[[#This Row],[Harga Normal A]]*cadangan[[#This Row],[Diskon]]),cadangan[[#This Row],[Harga Normal A]])</f>
        <v>306000</v>
      </c>
      <c r="J31" s="73">
        <f>INDEX(Katalog!$F$3:$F$12,MATCH(cadangan[[#This Row],[ItemID A]],Katalog!$C$3:$C$12,0))*cadangan[[#This Row],[Qty A]]</f>
        <v>140000</v>
      </c>
      <c r="K31" s="73">
        <f>IFERROR(cadangan[[#This Row],[Harga Diskon A]]-INDEX(Katalog!$E$3:$E$12,MATCH(cadangan[[#This Row],[ItemID A]],Katalog!$C$3:$C$12,0))*cadangan[[#This Row],[Qty A]],0)</f>
        <v>86000</v>
      </c>
      <c r="L31" s="39" t="s">
        <v>67</v>
      </c>
      <c r="M31" s="39" t="str">
        <f>IFERROR(INDEX(Katalog!$A$3:$A$12,MATCH(cadangan[[#This Row],[ItemID B]],Katalog!$C$3:$C$12,0)),"-")</f>
        <v>Sepatu Wanita</v>
      </c>
      <c r="N31" s="39" t="str">
        <f>IFERROR(INDEX(Katalog!$B$3:$B$12,MATCH(cadangan[[#This Row],[ItemID B]],Katalog!$C$3:$C$12,0)),"-")</f>
        <v>Flat Shoes</v>
      </c>
      <c r="O31" s="50">
        <v>1</v>
      </c>
      <c r="P31" s="50">
        <v>1</v>
      </c>
      <c r="Q31" s="73">
        <f>IFERROR(INDEX(Katalog!$D$3:$D$12,MATCH(cadangan[[#This Row],[ItemID B]],Katalog!$C$3:$C$12,0))*cadangan[[#This Row],[Qty B]],0)</f>
        <v>250000</v>
      </c>
      <c r="R31" s="73">
        <f>IFERROR(cadangan[[#This Row],[Harga Normal B]]-(cadangan[[#This Row],[Harga Normal B]]*cadangan[[#This Row],[Diskon]]),cadangan[[#This Row],[Harga Normal B]])</f>
        <v>212500</v>
      </c>
      <c r="S31" s="73">
        <f>IFERROR(INDEX(Katalog!$F$3:$F$12,MATCH(cadangan[[#This Row],[ItemID B]],Katalog!$C$3:$C$12,0))*cadangan[[#This Row],[Qty B]],0)</f>
        <v>100000</v>
      </c>
      <c r="T31" s="73">
        <f>IFERROR(cadangan[[#This Row],[Harga Diskon B]]-INDEX(Katalog!$E$3:$E$12,MATCH(cadangan[[#This Row],[ItemID B]],Katalog!$C$3:$C$12,0))*cadangan[[#This Row],[Qty B]],0)</f>
        <v>62500</v>
      </c>
      <c r="U31" s="39" t="s">
        <v>59</v>
      </c>
      <c r="V31" s="39" t="str">
        <f>IFERROR(INDEX(Katalog!$A$3:$A$12,MATCH(cadangan[[#This Row],[ItemID C]],Katalog!$C$3:$C$12,0)),"-")</f>
        <v>Pakaian Wanita</v>
      </c>
      <c r="W31" s="39" t="str">
        <f>IFERROR(INDEX(Katalog!$B$3:$B$12,MATCH(cadangan[[#This Row],[ItemID C]],Katalog!$C$3:$C$12,0)),"-")</f>
        <v>Blouse</v>
      </c>
      <c r="X31" s="50">
        <v>3</v>
      </c>
      <c r="Y31" s="50">
        <v>1</v>
      </c>
      <c r="Z31" s="73">
        <f>IFERROR(INDEX(Katalog!$D$3:$D$12,MATCH(cadangan[[#This Row],[ItemID C]],Katalog!$C$3:$C$12,0))*cadangan[[#This Row],[Qty C]],0)</f>
        <v>450000</v>
      </c>
      <c r="AA31" s="73">
        <f>IFERROR(cadangan[[#This Row],[Harga Normal C]]-(cadangan[[#This Row],[Harga Normal C]]*cadangan[[#This Row],[Diskon]]),cadangan[[#This Row],[Harga Normal C]])</f>
        <v>382500</v>
      </c>
      <c r="AB31" s="73">
        <f>IFERROR(INDEX(Katalog!$F$3:$F$12,MATCH(cadangan[[#This Row],[ItemID C]],Katalog!$C$3:$C$12,0))*cadangan[[#This Row],[Qty C]],0)</f>
        <v>150000</v>
      </c>
      <c r="AC31" s="73">
        <f>IFERROR(cadangan[[#This Row],[Harga Diskon C]]-INDEX(Katalog!$E$3:$E$12,MATCH(cadangan[[#This Row],[ItemID C]],Katalog!$C$3:$C$12,0))*cadangan[[#This Row],[Qty C]],0)</f>
        <v>82500</v>
      </c>
      <c r="AD31" s="53">
        <f>cadangan[[#This Row],[Qty A]]+cadangan[[#This Row],[Qty B]]+cadangan[[#This Row],[Qty C]]</f>
        <v>6</v>
      </c>
      <c r="AE31" s="73">
        <f>cadangan[[#This Row],[Harga Normal A]]+cadangan[[#This Row],[Harga Normal B]]+cadangan[[#This Row],[Harga Normal C]]</f>
        <v>1060000</v>
      </c>
      <c r="AF31" s="73">
        <f>cadangan[[#This Row],[Harga Diskon A]]+cadangan[[#This Row],[Harga Diskon B]]+cadangan[[#This Row],[Harga Diskon C]]</f>
        <v>901000</v>
      </c>
      <c r="AG31" s="73">
        <f>(cadangan[[#This Row],[Profit Normal A]]+cadangan[[#This Row],[Profit Normal B]]+cadangan[[#This Row],[Profit Normal C]])</f>
        <v>390000</v>
      </c>
      <c r="AH31" s="73">
        <f>cadangan[[#This Row],[Profit Diskon A]]+cadangan[[#This Row],[Profit Diskon B]]+cadangan[[#This Row],[Profit Diskon C]]</f>
        <v>231000</v>
      </c>
      <c r="AI31" s="23" t="s">
        <v>28</v>
      </c>
      <c r="AJ31" s="37">
        <f>IFERROR(INDEX('Kode Diskon'!$D$3:$D$9,MATCH(cadangan[[#This Row],[Kode diskon]],'Kode Diskon'!$C$3:$C$9,0)),"-")</f>
        <v>0.15</v>
      </c>
      <c r="AK31" s="23" t="s">
        <v>29</v>
      </c>
      <c r="AL31" s="23" t="s">
        <v>14</v>
      </c>
      <c r="AM31" s="23" t="s">
        <v>80</v>
      </c>
      <c r="AN31" s="55">
        <v>45020</v>
      </c>
      <c r="AO31" s="53">
        <f>DAY(cadangan[[#This Row],[Tanggal terjual]])</f>
        <v>4</v>
      </c>
      <c r="AP31" s="21" t="str">
        <f>TEXT(cadangan[[#This Row],[Tanggal terjual]],"dddd")</f>
        <v>Tuesday</v>
      </c>
      <c r="AQ31" s="23" t="str" cm="1">
        <f t="array" ref="AQ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 s="61">
        <f>AVERAGE(cadangan[[#This Row],[Rating A]],cadangan[[#This Row],[Rating B]],cadangan[[#This Row],[Rating C]])</f>
        <v>1.3333333333333333</v>
      </c>
    </row>
    <row r="32" spans="1:44" x14ac:dyDescent="0.2">
      <c r="A32" s="20">
        <v>31</v>
      </c>
      <c r="B32" s="21" t="str">
        <f>_xlfn.CONCAT("ORD-",INDEX(Helper!$B$2:$B$5,MATCH(cadangan[[#This Row],[Marketplace]],Helper!$A$2:$A$5,0)),TEXT(cadangan[[#This Row],[No]],"0000"),"-",TEXT(cadangan[[#This Row],[Tanggal terjual]],"dd/mm/yy"))</f>
        <v>ORD-SP0031-01/04/23</v>
      </c>
      <c r="C32" s="39" t="s">
        <v>64</v>
      </c>
      <c r="D32" s="39" t="str">
        <f>IFERROR(INDEX(Katalog!$A$3:$A$12,MATCH(cadangan[[#This Row],[ItemID A]],Katalog!$C$3:$C$12,0)),"-")</f>
        <v>Pakaian Unisex</v>
      </c>
      <c r="E32" s="39" t="str">
        <f>IFERROR(INDEX(Katalog!$B$3:$B$12,MATCH(cadangan[[#This Row],[ItemID A]],Katalog!$C$3:$C$12,0)),"-")</f>
        <v>Jaket Hoodie</v>
      </c>
      <c r="F32" s="50">
        <v>2</v>
      </c>
      <c r="G32" s="50">
        <v>3</v>
      </c>
      <c r="H32" s="73">
        <f>IFERROR(INDEX(Katalog!$D$3:$D$12,MATCH(cadangan[[#This Row],[ItemID A]],Katalog!$C$3:$C$12,0))*cadangan[[#This Row],[Qty A]],0)</f>
        <v>700000</v>
      </c>
      <c r="I32" s="73">
        <f>IFERROR(cadangan[[#This Row],[Harga Normal A]]-(cadangan[[#This Row],[Harga Normal A]]*cadangan[[#This Row],[Diskon]]),cadangan[[#This Row],[Harga Normal A]])</f>
        <v>595000</v>
      </c>
      <c r="J32" s="73">
        <f>INDEX(Katalog!$F$3:$F$12,MATCH(cadangan[[#This Row],[ItemID A]],Katalog!$C$3:$C$12,0))*cadangan[[#This Row],[Qty A]]</f>
        <v>260000</v>
      </c>
      <c r="K32" s="73">
        <f>IFERROR(cadangan[[#This Row],[Harga Diskon A]]-INDEX(Katalog!$E$3:$E$12,MATCH(cadangan[[#This Row],[ItemID A]],Katalog!$C$3:$C$12,0))*cadangan[[#This Row],[Qty A]],0)</f>
        <v>155000</v>
      </c>
      <c r="L32" s="39" t="s">
        <v>58</v>
      </c>
      <c r="M32" s="39" t="str">
        <f>IFERROR(INDEX(Katalog!$A$3:$A$12,MATCH(cadangan[[#This Row],[ItemID B]],Katalog!$C$3:$C$12,0)),"-")</f>
        <v>Pakaian Wanita</v>
      </c>
      <c r="N32" s="39" t="str">
        <f>IFERROR(INDEX(Katalog!$B$3:$B$12,MATCH(cadangan[[#This Row],[ItemID B]],Katalog!$C$3:$C$12,0)),"-")</f>
        <v>Dress</v>
      </c>
      <c r="O32" s="50">
        <v>4</v>
      </c>
      <c r="P32" s="50">
        <v>3</v>
      </c>
      <c r="Q32" s="73">
        <f>IFERROR(INDEX(Katalog!$D$3:$D$12,MATCH(cadangan[[#This Row],[ItemID B]],Katalog!$C$3:$C$12,0))*cadangan[[#This Row],[Qty B]],0)</f>
        <v>1200000</v>
      </c>
      <c r="R32" s="73">
        <f>IFERROR(cadangan[[#This Row],[Harga Normal B]]-(cadangan[[#This Row],[Harga Normal B]]*cadangan[[#This Row],[Diskon]]),cadangan[[#This Row],[Harga Normal B]])</f>
        <v>1020000</v>
      </c>
      <c r="S32" s="73">
        <f>IFERROR(INDEX(Katalog!$F$3:$F$12,MATCH(cadangan[[#This Row],[ItemID B]],Katalog!$C$3:$C$12,0))*cadangan[[#This Row],[Qty B]],0)</f>
        <v>400000</v>
      </c>
      <c r="T32" s="73">
        <f>IFERROR(cadangan[[#This Row],[Harga Diskon B]]-INDEX(Katalog!$E$3:$E$12,MATCH(cadangan[[#This Row],[ItemID B]],Katalog!$C$3:$C$12,0))*cadangan[[#This Row],[Qty B]],0)</f>
        <v>220000</v>
      </c>
      <c r="V32" s="39" t="str">
        <f>IFERROR(INDEX(Katalog!$A$3:$A$12,MATCH(cadangan[[#This Row],[ItemID C]],Katalog!$C$3:$C$12,0)),"-")</f>
        <v>-</v>
      </c>
      <c r="W32" s="39" t="str">
        <f>IFERROR(INDEX(Katalog!$B$3:$B$12,MATCH(cadangan[[#This Row],[ItemID C]],Katalog!$C$3:$C$12,0)),"-")</f>
        <v>-</v>
      </c>
      <c r="Z32" s="73">
        <f>IFERROR(INDEX(Katalog!$D$3:$D$12,MATCH(cadangan[[#This Row],[ItemID C]],Katalog!$C$3:$C$12,0))*cadangan[[#This Row],[Qty C]],0)</f>
        <v>0</v>
      </c>
      <c r="AA32" s="73">
        <f>IFERROR(cadangan[[#This Row],[Harga Normal C]]-(cadangan[[#This Row],[Harga Normal C]]*cadangan[[#This Row],[Diskon]]),cadangan[[#This Row],[Harga Normal C]])</f>
        <v>0</v>
      </c>
      <c r="AB32" s="73">
        <f>IFERROR(INDEX(Katalog!$F$3:$F$12,MATCH(cadangan[[#This Row],[ItemID C]],Katalog!$C$3:$C$12,0))*cadangan[[#This Row],[Qty C]],0)</f>
        <v>0</v>
      </c>
      <c r="AC32" s="73">
        <f>IFERROR(cadangan[[#This Row],[Harga Diskon C]]-INDEX(Katalog!$E$3:$E$12,MATCH(cadangan[[#This Row],[ItemID C]],Katalog!$C$3:$C$12,0))*cadangan[[#This Row],[Qty C]],0)</f>
        <v>0</v>
      </c>
      <c r="AD32" s="53">
        <f>cadangan[[#This Row],[Qty A]]+cadangan[[#This Row],[Qty B]]+cadangan[[#This Row],[Qty C]]</f>
        <v>6</v>
      </c>
      <c r="AE32" s="73">
        <f>cadangan[[#This Row],[Harga Normal A]]+cadangan[[#This Row],[Harga Normal B]]+cadangan[[#This Row],[Harga Normal C]]</f>
        <v>1900000</v>
      </c>
      <c r="AF32" s="73">
        <f>cadangan[[#This Row],[Harga Diskon A]]+cadangan[[#This Row],[Harga Diskon B]]+cadangan[[#This Row],[Harga Diskon C]]</f>
        <v>1615000</v>
      </c>
      <c r="AG32" s="73">
        <f>(cadangan[[#This Row],[Profit Normal A]]+cadangan[[#This Row],[Profit Normal B]]+cadangan[[#This Row],[Profit Normal C]])</f>
        <v>660000</v>
      </c>
      <c r="AH32" s="73">
        <f>cadangan[[#This Row],[Profit Diskon A]]+cadangan[[#This Row],[Profit Diskon B]]+cadangan[[#This Row],[Profit Diskon C]]</f>
        <v>375000</v>
      </c>
      <c r="AI32" s="23" t="s">
        <v>13</v>
      </c>
      <c r="AJ32" s="37">
        <f>IFERROR(INDEX('Kode Diskon'!$D$3:$D$9,MATCH(cadangan[[#This Row],[Kode diskon]],'Kode Diskon'!$C$3:$C$9,0)),"-")</f>
        <v>0.15</v>
      </c>
      <c r="AK32" s="23" t="s">
        <v>29</v>
      </c>
      <c r="AL32" s="23" t="s">
        <v>7</v>
      </c>
      <c r="AM32" s="23" t="s">
        <v>79</v>
      </c>
      <c r="AN32" s="55">
        <v>45017</v>
      </c>
      <c r="AO32" s="53">
        <f>DAY(cadangan[[#This Row],[Tanggal terjual]])</f>
        <v>1</v>
      </c>
      <c r="AP32" s="21" t="str">
        <f>TEXT(cadangan[[#This Row],[Tanggal terjual]],"dddd")</f>
        <v>Saturday</v>
      </c>
      <c r="AQ32" s="23" t="str" cm="1">
        <f t="array" ref="AQ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 s="61">
        <f>AVERAGE(cadangan[[#This Row],[Rating A]],cadangan[[#This Row],[Rating B]],cadangan[[#This Row],[Rating C]])</f>
        <v>3</v>
      </c>
    </row>
    <row r="33" spans="1:44" x14ac:dyDescent="0.2">
      <c r="A33" s="20">
        <v>32</v>
      </c>
      <c r="B33" s="21" t="str">
        <f>_xlfn.CONCAT("ORD-",INDEX(Helper!$B$2:$B$5,MATCH(cadangan[[#This Row],[Marketplace]],Helper!$A$2:$A$5,0)),TEXT(cadangan[[#This Row],[No]],"0000"),"-",TEXT(cadangan[[#This Row],[Tanggal terjual]],"dd/mm/yy"))</f>
        <v>ORD-SP0032-25/04/23</v>
      </c>
      <c r="C33" s="39" t="s">
        <v>63</v>
      </c>
      <c r="D33" s="39" t="str">
        <f>IFERROR(INDEX(Katalog!$A$3:$A$12,MATCH(cadangan[[#This Row],[ItemID A]],Katalog!$C$3:$C$12,0)),"-")</f>
        <v>Pakaian Pria</v>
      </c>
      <c r="E33" s="39" t="str">
        <f>IFERROR(INDEX(Katalog!$B$3:$B$12,MATCH(cadangan[[#This Row],[ItemID A]],Katalog!$C$3:$C$12,0)),"-")</f>
        <v>Jaket Jeans</v>
      </c>
      <c r="F33" s="50">
        <v>5</v>
      </c>
      <c r="G33" s="50">
        <v>5</v>
      </c>
      <c r="H33" s="73">
        <f>IFERROR(INDEX(Katalog!$D$3:$D$12,MATCH(cadangan[[#This Row],[ItemID A]],Katalog!$C$3:$C$12,0))*cadangan[[#This Row],[Qty A]],0)</f>
        <v>2000000</v>
      </c>
      <c r="I33" s="73">
        <f>IFERROR(cadangan[[#This Row],[Harga Normal A]]-(cadangan[[#This Row],[Harga Normal A]]*cadangan[[#This Row],[Diskon]]),cadangan[[#This Row],[Harga Normal A]])</f>
        <v>1600000</v>
      </c>
      <c r="J33" s="73">
        <f>INDEX(Katalog!$F$3:$F$12,MATCH(cadangan[[#This Row],[ItemID A]],Katalog!$C$3:$C$12,0))*cadangan[[#This Row],[Qty A]]</f>
        <v>750000</v>
      </c>
      <c r="K33" s="73">
        <f>IFERROR(cadangan[[#This Row],[Harga Diskon A]]-INDEX(Katalog!$E$3:$E$12,MATCH(cadangan[[#This Row],[ItemID A]],Katalog!$C$3:$C$12,0))*cadangan[[#This Row],[Qty A]],0)</f>
        <v>350000</v>
      </c>
      <c r="M33" s="39" t="str">
        <f>IFERROR(INDEX(Katalog!$A$3:$A$12,MATCH(cadangan[[#This Row],[ItemID B]],Katalog!$C$3:$C$12,0)),"-")</f>
        <v>-</v>
      </c>
      <c r="N33" s="39" t="str">
        <f>IFERROR(INDEX(Katalog!$B$3:$B$12,MATCH(cadangan[[#This Row],[ItemID B]],Katalog!$C$3:$C$12,0)),"-")</f>
        <v>-</v>
      </c>
      <c r="Q33" s="73">
        <f>IFERROR(INDEX(Katalog!$D$3:$D$12,MATCH(cadangan[[#This Row],[ItemID B]],Katalog!$C$3:$C$12,0))*cadangan[[#This Row],[Qty B]],0)</f>
        <v>0</v>
      </c>
      <c r="R33" s="73">
        <f>IFERROR(cadangan[[#This Row],[Harga Normal B]]-(cadangan[[#This Row],[Harga Normal B]]*cadangan[[#This Row],[Diskon]]),cadangan[[#This Row],[Harga Normal B]])</f>
        <v>0</v>
      </c>
      <c r="S33" s="73">
        <f>IFERROR(INDEX(Katalog!$F$3:$F$12,MATCH(cadangan[[#This Row],[ItemID B]],Katalog!$C$3:$C$12,0))*cadangan[[#This Row],[Qty B]],0)</f>
        <v>0</v>
      </c>
      <c r="T33" s="73">
        <f>IFERROR(cadangan[[#This Row],[Harga Diskon B]]-INDEX(Katalog!$E$3:$E$12,MATCH(cadangan[[#This Row],[ItemID B]],Katalog!$C$3:$C$12,0))*cadangan[[#This Row],[Qty B]],0)</f>
        <v>0</v>
      </c>
      <c r="V33" s="39" t="str">
        <f>IFERROR(INDEX(Katalog!$A$3:$A$12,MATCH(cadangan[[#This Row],[ItemID C]],Katalog!$C$3:$C$12,0)),"-")</f>
        <v>-</v>
      </c>
      <c r="W33" s="39" t="str">
        <f>IFERROR(INDEX(Katalog!$B$3:$B$12,MATCH(cadangan[[#This Row],[ItemID C]],Katalog!$C$3:$C$12,0)),"-")</f>
        <v>-</v>
      </c>
      <c r="Z33" s="73">
        <f>IFERROR(INDEX(Katalog!$D$3:$D$12,MATCH(cadangan[[#This Row],[ItemID C]],Katalog!$C$3:$C$12,0))*cadangan[[#This Row],[Qty C]],0)</f>
        <v>0</v>
      </c>
      <c r="AA33" s="73">
        <f>IFERROR(cadangan[[#This Row],[Harga Normal C]]-(cadangan[[#This Row],[Harga Normal C]]*cadangan[[#This Row],[Diskon]]),cadangan[[#This Row],[Harga Normal C]])</f>
        <v>0</v>
      </c>
      <c r="AB33" s="73">
        <f>IFERROR(INDEX(Katalog!$F$3:$F$12,MATCH(cadangan[[#This Row],[ItemID C]],Katalog!$C$3:$C$12,0))*cadangan[[#This Row],[Qty C]],0)</f>
        <v>0</v>
      </c>
      <c r="AC33" s="73">
        <f>IFERROR(cadangan[[#This Row],[Harga Diskon C]]-INDEX(Katalog!$E$3:$E$12,MATCH(cadangan[[#This Row],[ItemID C]],Katalog!$C$3:$C$12,0))*cadangan[[#This Row],[Qty C]],0)</f>
        <v>0</v>
      </c>
      <c r="AD33" s="53">
        <f>cadangan[[#This Row],[Qty A]]+cadangan[[#This Row],[Qty B]]+cadangan[[#This Row],[Qty C]]</f>
        <v>5</v>
      </c>
      <c r="AE33" s="73">
        <f>cadangan[[#This Row],[Harga Normal A]]+cadangan[[#This Row],[Harga Normal B]]+cadangan[[#This Row],[Harga Normal C]]</f>
        <v>2000000</v>
      </c>
      <c r="AF33" s="73">
        <f>cadangan[[#This Row],[Harga Diskon A]]+cadangan[[#This Row],[Harga Diskon B]]+cadangan[[#This Row],[Harga Diskon C]]</f>
        <v>1600000</v>
      </c>
      <c r="AG33" s="73">
        <f>(cadangan[[#This Row],[Profit Normal A]]+cadangan[[#This Row],[Profit Normal B]]+cadangan[[#This Row],[Profit Normal C]])</f>
        <v>750000</v>
      </c>
      <c r="AH33" s="73">
        <f>cadangan[[#This Row],[Profit Diskon A]]+cadangan[[#This Row],[Profit Diskon B]]+cadangan[[#This Row],[Profit Diskon C]]</f>
        <v>350000</v>
      </c>
      <c r="AI33" s="23" t="s">
        <v>8</v>
      </c>
      <c r="AJ33" s="37">
        <f>IFERROR(INDEX('Kode Diskon'!$D$3:$D$9,MATCH(cadangan[[#This Row],[Kode diskon]],'Kode Diskon'!$C$3:$C$9,0)),"-")</f>
        <v>0.2</v>
      </c>
      <c r="AK33" s="23" t="s">
        <v>9</v>
      </c>
      <c r="AL33" s="23" t="s">
        <v>7</v>
      </c>
      <c r="AM33" s="23" t="s">
        <v>77</v>
      </c>
      <c r="AN33" s="55">
        <v>45041</v>
      </c>
      <c r="AO33" s="53">
        <f>DAY(cadangan[[#This Row],[Tanggal terjual]])</f>
        <v>25</v>
      </c>
      <c r="AP33" s="21" t="str">
        <f>TEXT(cadangan[[#This Row],[Tanggal terjual]],"dddd")</f>
        <v>Tuesday</v>
      </c>
      <c r="AQ33" s="23" t="str" cm="1">
        <f t="array" ref="AQ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3" s="61">
        <f>AVERAGE(cadangan[[#This Row],[Rating A]],cadangan[[#This Row],[Rating B]],cadangan[[#This Row],[Rating C]])</f>
        <v>5</v>
      </c>
    </row>
    <row r="34" spans="1:44" x14ac:dyDescent="0.2">
      <c r="A34" s="20">
        <v>33</v>
      </c>
      <c r="B34" s="21" t="str">
        <f>_xlfn.CONCAT("ORD-",INDEX(Helper!$B$2:$B$5,MATCH(cadangan[[#This Row],[Marketplace]],Helper!$A$2:$A$5,0)),TEXT(cadangan[[#This Row],[No]],"0000"),"-",TEXT(cadangan[[#This Row],[Tanggal terjual]],"dd/mm/yy"))</f>
        <v>ORD-BB0033-06/04/23</v>
      </c>
      <c r="C34" s="39" t="s">
        <v>58</v>
      </c>
      <c r="D34" s="39" t="str">
        <f>IFERROR(INDEX(Katalog!$A$3:$A$12,MATCH(cadangan[[#This Row],[ItemID A]],Katalog!$C$3:$C$12,0)),"-")</f>
        <v>Pakaian Wanita</v>
      </c>
      <c r="E34" s="39" t="str">
        <f>IFERROR(INDEX(Katalog!$B$3:$B$12,MATCH(cadangan[[#This Row],[ItemID A]],Katalog!$C$3:$C$12,0)),"-")</f>
        <v>Dress</v>
      </c>
      <c r="F34" s="50">
        <v>4</v>
      </c>
      <c r="G34" s="50">
        <v>1</v>
      </c>
      <c r="H34" s="73">
        <f>IFERROR(INDEX(Katalog!$D$3:$D$12,MATCH(cadangan[[#This Row],[ItemID A]],Katalog!$C$3:$C$12,0))*cadangan[[#This Row],[Qty A]],0)</f>
        <v>1200000</v>
      </c>
      <c r="I34" s="73">
        <f>IFERROR(cadangan[[#This Row],[Harga Normal A]]-(cadangan[[#This Row],[Harga Normal A]]*cadangan[[#This Row],[Diskon]]),cadangan[[#This Row],[Harga Normal A]])</f>
        <v>1020000</v>
      </c>
      <c r="J34" s="73">
        <f>INDEX(Katalog!$F$3:$F$12,MATCH(cadangan[[#This Row],[ItemID A]],Katalog!$C$3:$C$12,0))*cadangan[[#This Row],[Qty A]]</f>
        <v>400000</v>
      </c>
      <c r="K34" s="73">
        <f>IFERROR(cadangan[[#This Row],[Harga Diskon A]]-INDEX(Katalog!$E$3:$E$12,MATCH(cadangan[[#This Row],[ItemID A]],Katalog!$C$3:$C$12,0))*cadangan[[#This Row],[Qty A]],0)</f>
        <v>220000</v>
      </c>
      <c r="M34" s="39" t="str">
        <f>IFERROR(INDEX(Katalog!$A$3:$A$12,MATCH(cadangan[[#This Row],[ItemID B]],Katalog!$C$3:$C$12,0)),"-")</f>
        <v>-</v>
      </c>
      <c r="N34" s="39" t="str">
        <f>IFERROR(INDEX(Katalog!$B$3:$B$12,MATCH(cadangan[[#This Row],[ItemID B]],Katalog!$C$3:$C$12,0)),"-")</f>
        <v>-</v>
      </c>
      <c r="Q34" s="73">
        <f>IFERROR(INDEX(Katalog!$D$3:$D$12,MATCH(cadangan[[#This Row],[ItemID B]],Katalog!$C$3:$C$12,0))*cadangan[[#This Row],[Qty B]],0)</f>
        <v>0</v>
      </c>
      <c r="R34" s="73">
        <f>IFERROR(cadangan[[#This Row],[Harga Normal B]]-(cadangan[[#This Row],[Harga Normal B]]*cadangan[[#This Row],[Diskon]]),cadangan[[#This Row],[Harga Normal B]])</f>
        <v>0</v>
      </c>
      <c r="S34" s="73">
        <f>IFERROR(INDEX(Katalog!$F$3:$F$12,MATCH(cadangan[[#This Row],[ItemID B]],Katalog!$C$3:$C$12,0))*cadangan[[#This Row],[Qty B]],0)</f>
        <v>0</v>
      </c>
      <c r="T34" s="73">
        <f>IFERROR(cadangan[[#This Row],[Harga Diskon B]]-INDEX(Katalog!$E$3:$E$12,MATCH(cadangan[[#This Row],[ItemID B]],Katalog!$C$3:$C$12,0))*cadangan[[#This Row],[Qty B]],0)</f>
        <v>0</v>
      </c>
      <c r="V34" s="39" t="str">
        <f>IFERROR(INDEX(Katalog!$A$3:$A$12,MATCH(cadangan[[#This Row],[ItemID C]],Katalog!$C$3:$C$12,0)),"-")</f>
        <v>-</v>
      </c>
      <c r="W34" s="39" t="str">
        <f>IFERROR(INDEX(Katalog!$B$3:$B$12,MATCH(cadangan[[#This Row],[ItemID C]],Katalog!$C$3:$C$12,0)),"-")</f>
        <v>-</v>
      </c>
      <c r="Z34" s="73">
        <f>IFERROR(INDEX(Katalog!$D$3:$D$12,MATCH(cadangan[[#This Row],[ItemID C]],Katalog!$C$3:$C$12,0))*cadangan[[#This Row],[Qty C]],0)</f>
        <v>0</v>
      </c>
      <c r="AA34" s="73">
        <f>IFERROR(cadangan[[#This Row],[Harga Normal C]]-(cadangan[[#This Row],[Harga Normal C]]*cadangan[[#This Row],[Diskon]]),cadangan[[#This Row],[Harga Normal C]])</f>
        <v>0</v>
      </c>
      <c r="AB34" s="73">
        <f>IFERROR(INDEX(Katalog!$F$3:$F$12,MATCH(cadangan[[#This Row],[ItemID C]],Katalog!$C$3:$C$12,0))*cadangan[[#This Row],[Qty C]],0)</f>
        <v>0</v>
      </c>
      <c r="AC34" s="73">
        <f>IFERROR(cadangan[[#This Row],[Harga Diskon C]]-INDEX(Katalog!$E$3:$E$12,MATCH(cadangan[[#This Row],[ItemID C]],Katalog!$C$3:$C$12,0))*cadangan[[#This Row],[Qty C]],0)</f>
        <v>0</v>
      </c>
      <c r="AD34" s="53">
        <f>cadangan[[#This Row],[Qty A]]+cadangan[[#This Row],[Qty B]]+cadangan[[#This Row],[Qty C]]</f>
        <v>4</v>
      </c>
      <c r="AE34" s="73">
        <f>cadangan[[#This Row],[Harga Normal A]]+cadangan[[#This Row],[Harga Normal B]]+cadangan[[#This Row],[Harga Normal C]]</f>
        <v>1200000</v>
      </c>
      <c r="AF34" s="73">
        <f>cadangan[[#This Row],[Harga Diskon A]]+cadangan[[#This Row],[Harga Diskon B]]+cadangan[[#This Row],[Harga Diskon C]]</f>
        <v>1020000</v>
      </c>
      <c r="AG34" s="73">
        <f>(cadangan[[#This Row],[Profit Normal A]]+cadangan[[#This Row],[Profit Normal B]]+cadangan[[#This Row],[Profit Normal C]])</f>
        <v>400000</v>
      </c>
      <c r="AH34" s="73">
        <f>cadangan[[#This Row],[Profit Diskon A]]+cadangan[[#This Row],[Profit Diskon B]]+cadangan[[#This Row],[Profit Diskon C]]</f>
        <v>220000</v>
      </c>
      <c r="AI34" s="23" t="s">
        <v>28</v>
      </c>
      <c r="AJ34" s="37">
        <f>IFERROR(INDEX('Kode Diskon'!$D$3:$D$9,MATCH(cadangan[[#This Row],[Kode diskon]],'Kode Diskon'!$C$3:$C$9,0)),"-")</f>
        <v>0.15</v>
      </c>
      <c r="AK34" s="23" t="s">
        <v>29</v>
      </c>
      <c r="AL34" s="23" t="s">
        <v>14</v>
      </c>
      <c r="AM34" s="23" t="s">
        <v>80</v>
      </c>
      <c r="AN34" s="55">
        <v>45022</v>
      </c>
      <c r="AO34" s="53">
        <f>DAY(cadangan[[#This Row],[Tanggal terjual]])</f>
        <v>6</v>
      </c>
      <c r="AP34" s="21" t="str">
        <f>TEXT(cadangan[[#This Row],[Tanggal terjual]],"dddd")</f>
        <v>Thursday</v>
      </c>
      <c r="AQ34" s="23" t="str" cm="1">
        <f t="array" ref="AQ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 s="61">
        <f>AVERAGE(cadangan[[#This Row],[Rating A]],cadangan[[#This Row],[Rating B]],cadangan[[#This Row],[Rating C]])</f>
        <v>1</v>
      </c>
    </row>
    <row r="35" spans="1:44" x14ac:dyDescent="0.2">
      <c r="A35" s="20">
        <v>34</v>
      </c>
      <c r="B35" s="21" t="str">
        <f>_xlfn.CONCAT("ORD-",INDEX(Helper!$B$2:$B$5,MATCH(cadangan[[#This Row],[Marketplace]],Helper!$A$2:$A$5,0)),TEXT(cadangan[[#This Row],[No]],"0000"),"-",TEXT(cadangan[[#This Row],[Tanggal terjual]],"dd/mm/yy"))</f>
        <v>ORD-TK0034-04/04/23</v>
      </c>
      <c r="C35" s="39" t="s">
        <v>64</v>
      </c>
      <c r="D35" s="39" t="str">
        <f>IFERROR(INDEX(Katalog!$A$3:$A$12,MATCH(cadangan[[#This Row],[ItemID A]],Katalog!$C$3:$C$12,0)),"-")</f>
        <v>Pakaian Unisex</v>
      </c>
      <c r="E35" s="39" t="str">
        <f>IFERROR(INDEX(Katalog!$B$3:$B$12,MATCH(cadangan[[#This Row],[ItemID A]],Katalog!$C$3:$C$12,0)),"-")</f>
        <v>Jaket Hoodie</v>
      </c>
      <c r="F35" s="50">
        <v>2</v>
      </c>
      <c r="G35" s="50">
        <v>1</v>
      </c>
      <c r="H35" s="73">
        <f>IFERROR(INDEX(Katalog!$D$3:$D$12,MATCH(cadangan[[#This Row],[ItemID A]],Katalog!$C$3:$C$12,0))*cadangan[[#This Row],[Qty A]],0)</f>
        <v>700000</v>
      </c>
      <c r="I35" s="73">
        <f>IFERROR(cadangan[[#This Row],[Harga Normal A]]-(cadangan[[#This Row],[Harga Normal A]]*cadangan[[#This Row],[Diskon]]),cadangan[[#This Row],[Harga Normal A]])</f>
        <v>630000</v>
      </c>
      <c r="J35" s="73">
        <f>INDEX(Katalog!$F$3:$F$12,MATCH(cadangan[[#This Row],[ItemID A]],Katalog!$C$3:$C$12,0))*cadangan[[#This Row],[Qty A]]</f>
        <v>260000</v>
      </c>
      <c r="K35" s="73">
        <f>IFERROR(cadangan[[#This Row],[Harga Diskon A]]-INDEX(Katalog!$E$3:$E$12,MATCH(cadangan[[#This Row],[ItemID A]],Katalog!$C$3:$C$12,0))*cadangan[[#This Row],[Qty A]],0)</f>
        <v>190000</v>
      </c>
      <c r="L35" s="39" t="s">
        <v>65</v>
      </c>
      <c r="M35" s="39" t="str">
        <f>IFERROR(INDEX(Katalog!$A$3:$A$12,MATCH(cadangan[[#This Row],[ItemID B]],Katalog!$C$3:$C$12,0)),"-")</f>
        <v>Sepatu Pria</v>
      </c>
      <c r="N35" s="39" t="str">
        <f>IFERROR(INDEX(Katalog!$B$3:$B$12,MATCH(cadangan[[#This Row],[ItemID B]],Katalog!$C$3:$C$12,0)),"-")</f>
        <v>Sneakers</v>
      </c>
      <c r="O35" s="50">
        <v>2</v>
      </c>
      <c r="P35" s="50">
        <v>4</v>
      </c>
      <c r="Q35" s="73">
        <f>IFERROR(INDEX(Katalog!$D$3:$D$12,MATCH(cadangan[[#This Row],[ItemID B]],Katalog!$C$3:$C$12,0))*cadangan[[#This Row],[Qty B]],0)</f>
        <v>1000000</v>
      </c>
      <c r="R35" s="73">
        <f>IFERROR(cadangan[[#This Row],[Harga Normal B]]-(cadangan[[#This Row],[Harga Normal B]]*cadangan[[#This Row],[Diskon]]),cadangan[[#This Row],[Harga Normal B]])</f>
        <v>900000</v>
      </c>
      <c r="S35" s="73">
        <f>IFERROR(INDEX(Katalog!$F$3:$F$12,MATCH(cadangan[[#This Row],[ItemID B]],Katalog!$C$3:$C$12,0))*cadangan[[#This Row],[Qty B]],0)</f>
        <v>400000</v>
      </c>
      <c r="T35" s="73">
        <f>IFERROR(cadangan[[#This Row],[Harga Diskon B]]-INDEX(Katalog!$E$3:$E$12,MATCH(cadangan[[#This Row],[ItemID B]],Katalog!$C$3:$C$12,0))*cadangan[[#This Row],[Qty B]],0)</f>
        <v>300000</v>
      </c>
      <c r="U35" s="39" t="s">
        <v>62</v>
      </c>
      <c r="V35" s="39" t="str">
        <f>IFERROR(INDEX(Katalog!$A$3:$A$12,MATCH(cadangan[[#This Row],[ItemID C]],Katalog!$C$3:$C$12,0)),"-")</f>
        <v>Pakaian Pria</v>
      </c>
      <c r="W35" s="39" t="str">
        <f>IFERROR(INDEX(Katalog!$B$3:$B$12,MATCH(cadangan[[#This Row],[ItemID C]],Katalog!$C$3:$C$12,0)),"-")</f>
        <v>Celana Pendek</v>
      </c>
      <c r="X35" s="50">
        <v>2</v>
      </c>
      <c r="Y35" s="50">
        <v>2</v>
      </c>
      <c r="Z35" s="73">
        <f>IFERROR(INDEX(Katalog!$D$3:$D$12,MATCH(cadangan[[#This Row],[ItemID C]],Katalog!$C$3:$C$12,0))*cadangan[[#This Row],[Qty C]],0)</f>
        <v>360000</v>
      </c>
      <c r="AA35" s="73">
        <f>IFERROR(cadangan[[#This Row],[Harga Normal C]]-(cadangan[[#This Row],[Harga Normal C]]*cadangan[[#This Row],[Diskon]]),cadangan[[#This Row],[Harga Normal C]])</f>
        <v>324000</v>
      </c>
      <c r="AB35" s="73">
        <f>IFERROR(INDEX(Katalog!$F$3:$F$12,MATCH(cadangan[[#This Row],[ItemID C]],Katalog!$C$3:$C$12,0))*cadangan[[#This Row],[Qty C]],0)</f>
        <v>140000</v>
      </c>
      <c r="AC35" s="73">
        <f>IFERROR(cadangan[[#This Row],[Harga Diskon C]]-INDEX(Katalog!$E$3:$E$12,MATCH(cadangan[[#This Row],[ItemID C]],Katalog!$C$3:$C$12,0))*cadangan[[#This Row],[Qty C]],0)</f>
        <v>104000</v>
      </c>
      <c r="AD35" s="53">
        <f>cadangan[[#This Row],[Qty A]]+cadangan[[#This Row],[Qty B]]+cadangan[[#This Row],[Qty C]]</f>
        <v>6</v>
      </c>
      <c r="AE35" s="73">
        <f>cadangan[[#This Row],[Harga Normal A]]+cadangan[[#This Row],[Harga Normal B]]+cadangan[[#This Row],[Harga Normal C]]</f>
        <v>2060000</v>
      </c>
      <c r="AF35" s="73">
        <f>cadangan[[#This Row],[Harga Diskon A]]+cadangan[[#This Row],[Harga Diskon B]]+cadangan[[#This Row],[Harga Diskon C]]</f>
        <v>1854000</v>
      </c>
      <c r="AG35" s="73">
        <f>(cadangan[[#This Row],[Profit Normal A]]+cadangan[[#This Row],[Profit Normal B]]+cadangan[[#This Row],[Profit Normal C]])</f>
        <v>800000</v>
      </c>
      <c r="AH35" s="73">
        <f>cadangan[[#This Row],[Profit Diskon A]]+cadangan[[#This Row],[Profit Diskon B]]+cadangan[[#This Row],[Profit Diskon C]]</f>
        <v>594000</v>
      </c>
      <c r="AI35" s="23" t="s">
        <v>30</v>
      </c>
      <c r="AJ35" s="37">
        <f>IFERROR(INDEX('Kode Diskon'!$D$3:$D$9,MATCH(cadangan[[#This Row],[Kode diskon]],'Kode Diskon'!$C$3:$C$9,0)),"-")</f>
        <v>0.1</v>
      </c>
      <c r="AK35" s="23" t="s">
        <v>29</v>
      </c>
      <c r="AL35" s="23" t="s">
        <v>10</v>
      </c>
      <c r="AM35" s="23" t="s">
        <v>75</v>
      </c>
      <c r="AN35" s="55">
        <v>45020</v>
      </c>
      <c r="AO35" s="53">
        <f>DAY(cadangan[[#This Row],[Tanggal terjual]])</f>
        <v>4</v>
      </c>
      <c r="AP35" s="21" t="str">
        <f>TEXT(cadangan[[#This Row],[Tanggal terjual]],"dddd")</f>
        <v>Tuesday</v>
      </c>
      <c r="AQ35" s="23" t="str" cm="1">
        <f t="array" ref="AQ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5" s="61">
        <f>AVERAGE(cadangan[[#This Row],[Rating A]],cadangan[[#This Row],[Rating B]],cadangan[[#This Row],[Rating C]])</f>
        <v>2.3333333333333335</v>
      </c>
    </row>
    <row r="36" spans="1:44" x14ac:dyDescent="0.2">
      <c r="A36" s="20">
        <v>35</v>
      </c>
      <c r="B36" s="21" t="str">
        <f>_xlfn.CONCAT("ORD-",INDEX(Helper!$B$2:$B$5,MATCH(cadangan[[#This Row],[Marketplace]],Helper!$A$2:$A$5,0)),TEXT(cadangan[[#This Row],[No]],"0000"),"-",TEXT(cadangan[[#This Row],[Tanggal terjual]],"dd/mm/yy"))</f>
        <v>ORD-TK0035-04/04/23</v>
      </c>
      <c r="C36" s="39" t="s">
        <v>60</v>
      </c>
      <c r="D36" s="39" t="str">
        <f>IFERROR(INDEX(Katalog!$A$3:$A$12,MATCH(cadangan[[#This Row],[ItemID A]],Katalog!$C$3:$C$12,0)),"-")</f>
        <v>Pakaian Wanita</v>
      </c>
      <c r="E36" s="39" t="str">
        <f>IFERROR(INDEX(Katalog!$B$3:$B$12,MATCH(cadangan[[#This Row],[ItemID A]],Katalog!$C$3:$C$12,0)),"-")</f>
        <v>Kaftan</v>
      </c>
      <c r="F36" s="50">
        <v>2</v>
      </c>
      <c r="G36" s="50">
        <v>2</v>
      </c>
      <c r="H36" s="73">
        <f>IFERROR(INDEX(Katalog!$D$3:$D$12,MATCH(cadangan[[#This Row],[ItemID A]],Katalog!$C$3:$C$12,0))*cadangan[[#This Row],[Qty A]],0)</f>
        <v>500000</v>
      </c>
      <c r="I36" s="73">
        <f>IFERROR(cadangan[[#This Row],[Harga Normal A]]-(cadangan[[#This Row],[Harga Normal A]]*cadangan[[#This Row],[Diskon]]),cadangan[[#This Row],[Harga Normal A]])</f>
        <v>450000</v>
      </c>
      <c r="J36" s="73">
        <f>INDEX(Katalog!$F$3:$F$12,MATCH(cadangan[[#This Row],[ItemID A]],Katalog!$C$3:$C$12,0))*cadangan[[#This Row],[Qty A]]</f>
        <v>200000</v>
      </c>
      <c r="K36" s="73">
        <f>IFERROR(cadangan[[#This Row],[Harga Diskon A]]-INDEX(Katalog!$E$3:$E$12,MATCH(cadangan[[#This Row],[ItemID A]],Katalog!$C$3:$C$12,0))*cadangan[[#This Row],[Qty A]],0)</f>
        <v>150000</v>
      </c>
      <c r="L36" s="39" t="s">
        <v>63</v>
      </c>
      <c r="M36" s="39" t="str">
        <f>IFERROR(INDEX(Katalog!$A$3:$A$12,MATCH(cadangan[[#This Row],[ItemID B]],Katalog!$C$3:$C$12,0)),"-")</f>
        <v>Pakaian Pria</v>
      </c>
      <c r="N36" s="39" t="str">
        <f>IFERROR(INDEX(Katalog!$B$3:$B$12,MATCH(cadangan[[#This Row],[ItemID B]],Katalog!$C$3:$C$12,0)),"-")</f>
        <v>Jaket Jeans</v>
      </c>
      <c r="O36" s="50">
        <v>1</v>
      </c>
      <c r="P36" s="50">
        <v>2</v>
      </c>
      <c r="Q36" s="73">
        <f>IFERROR(INDEX(Katalog!$D$3:$D$12,MATCH(cadangan[[#This Row],[ItemID B]],Katalog!$C$3:$C$12,0))*cadangan[[#This Row],[Qty B]],0)</f>
        <v>400000</v>
      </c>
      <c r="R36" s="73">
        <f>IFERROR(cadangan[[#This Row],[Harga Normal B]]-(cadangan[[#This Row],[Harga Normal B]]*cadangan[[#This Row],[Diskon]]),cadangan[[#This Row],[Harga Normal B]])</f>
        <v>360000</v>
      </c>
      <c r="S36" s="73">
        <f>IFERROR(INDEX(Katalog!$F$3:$F$12,MATCH(cadangan[[#This Row],[ItemID B]],Katalog!$C$3:$C$12,0))*cadangan[[#This Row],[Qty B]],0)</f>
        <v>150000</v>
      </c>
      <c r="T36" s="73">
        <f>IFERROR(cadangan[[#This Row],[Harga Diskon B]]-INDEX(Katalog!$E$3:$E$12,MATCH(cadangan[[#This Row],[ItemID B]],Katalog!$C$3:$C$12,0))*cadangan[[#This Row],[Qty B]],0)</f>
        <v>110000</v>
      </c>
      <c r="V36" s="39" t="str">
        <f>IFERROR(INDEX(Katalog!$A$3:$A$12,MATCH(cadangan[[#This Row],[ItemID C]],Katalog!$C$3:$C$12,0)),"-")</f>
        <v>-</v>
      </c>
      <c r="W36" s="39" t="str">
        <f>IFERROR(INDEX(Katalog!$B$3:$B$12,MATCH(cadangan[[#This Row],[ItemID C]],Katalog!$C$3:$C$12,0)),"-")</f>
        <v>-</v>
      </c>
      <c r="Z36" s="73">
        <f>IFERROR(INDEX(Katalog!$D$3:$D$12,MATCH(cadangan[[#This Row],[ItemID C]],Katalog!$C$3:$C$12,0))*cadangan[[#This Row],[Qty C]],0)</f>
        <v>0</v>
      </c>
      <c r="AA36" s="73">
        <f>IFERROR(cadangan[[#This Row],[Harga Normal C]]-(cadangan[[#This Row],[Harga Normal C]]*cadangan[[#This Row],[Diskon]]),cadangan[[#This Row],[Harga Normal C]])</f>
        <v>0</v>
      </c>
      <c r="AB36" s="73">
        <f>IFERROR(INDEX(Katalog!$F$3:$F$12,MATCH(cadangan[[#This Row],[ItemID C]],Katalog!$C$3:$C$12,0))*cadangan[[#This Row],[Qty C]],0)</f>
        <v>0</v>
      </c>
      <c r="AC36" s="73">
        <f>IFERROR(cadangan[[#This Row],[Harga Diskon C]]-INDEX(Katalog!$E$3:$E$12,MATCH(cadangan[[#This Row],[ItemID C]],Katalog!$C$3:$C$12,0))*cadangan[[#This Row],[Qty C]],0)</f>
        <v>0</v>
      </c>
      <c r="AD36" s="53">
        <f>cadangan[[#This Row],[Qty A]]+cadangan[[#This Row],[Qty B]]+cadangan[[#This Row],[Qty C]]</f>
        <v>3</v>
      </c>
      <c r="AE36" s="73">
        <f>cadangan[[#This Row],[Harga Normal A]]+cadangan[[#This Row],[Harga Normal B]]+cadangan[[#This Row],[Harga Normal C]]</f>
        <v>900000</v>
      </c>
      <c r="AF36" s="73">
        <f>cadangan[[#This Row],[Harga Diskon A]]+cadangan[[#This Row],[Harga Diskon B]]+cadangan[[#This Row],[Harga Diskon C]]</f>
        <v>810000</v>
      </c>
      <c r="AG36" s="73">
        <f>(cadangan[[#This Row],[Profit Normal A]]+cadangan[[#This Row],[Profit Normal B]]+cadangan[[#This Row],[Profit Normal C]])</f>
        <v>350000</v>
      </c>
      <c r="AH36" s="73">
        <f>cadangan[[#This Row],[Profit Diskon A]]+cadangan[[#This Row],[Profit Diskon B]]+cadangan[[#This Row],[Profit Diskon C]]</f>
        <v>260000</v>
      </c>
      <c r="AI36" s="23" t="s">
        <v>30</v>
      </c>
      <c r="AJ36" s="37">
        <f>IFERROR(INDEX('Kode Diskon'!$D$3:$D$9,MATCH(cadangan[[#This Row],[Kode diskon]],'Kode Diskon'!$C$3:$C$9,0)),"-")</f>
        <v>0.1</v>
      </c>
      <c r="AK36" s="23" t="s">
        <v>29</v>
      </c>
      <c r="AL36" s="23" t="s">
        <v>10</v>
      </c>
      <c r="AM36" s="23" t="s">
        <v>80</v>
      </c>
      <c r="AN36" s="55">
        <v>45020</v>
      </c>
      <c r="AO36" s="53">
        <f>DAY(cadangan[[#This Row],[Tanggal terjual]])</f>
        <v>4</v>
      </c>
      <c r="AP36" s="21" t="str">
        <f>TEXT(cadangan[[#This Row],[Tanggal terjual]],"dddd")</f>
        <v>Tuesday</v>
      </c>
      <c r="AQ36" s="23" t="str" cm="1">
        <f t="array" ref="AQ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6" s="61">
        <f>AVERAGE(cadangan[[#This Row],[Rating A]],cadangan[[#This Row],[Rating B]],cadangan[[#This Row],[Rating C]])</f>
        <v>2</v>
      </c>
    </row>
    <row r="37" spans="1:44" x14ac:dyDescent="0.2">
      <c r="A37" s="20">
        <v>36</v>
      </c>
      <c r="B37" s="21" t="str">
        <f>_xlfn.CONCAT("ORD-",INDEX(Helper!$B$2:$B$5,MATCH(cadangan[[#This Row],[Marketplace]],Helper!$A$2:$A$5,0)),TEXT(cadangan[[#This Row],[No]],"0000"),"-",TEXT(cadangan[[#This Row],[Tanggal terjual]],"dd/mm/yy"))</f>
        <v>ORD-BL0036-12/04/23</v>
      </c>
      <c r="C37" s="39" t="s">
        <v>59</v>
      </c>
      <c r="D37" s="39" t="str">
        <f>IFERROR(INDEX(Katalog!$A$3:$A$12,MATCH(cadangan[[#This Row],[ItemID A]],Katalog!$C$3:$C$12,0)),"-")</f>
        <v>Pakaian Wanita</v>
      </c>
      <c r="E37" s="39" t="str">
        <f>IFERROR(INDEX(Katalog!$B$3:$B$12,MATCH(cadangan[[#This Row],[ItemID A]],Katalog!$C$3:$C$12,0)),"-")</f>
        <v>Blouse</v>
      </c>
      <c r="F37" s="50">
        <v>1</v>
      </c>
      <c r="G37" s="50">
        <v>1</v>
      </c>
      <c r="H37" s="73">
        <f>IFERROR(INDEX(Katalog!$D$3:$D$12,MATCH(cadangan[[#This Row],[ItemID A]],Katalog!$C$3:$C$12,0))*cadangan[[#This Row],[Qty A]],0)</f>
        <v>150000</v>
      </c>
      <c r="I37" s="73">
        <f>IFERROR(cadangan[[#This Row],[Harga Normal A]]-(cadangan[[#This Row],[Harga Normal A]]*cadangan[[#This Row],[Diskon]]),cadangan[[#This Row],[Harga Normal A]])</f>
        <v>150000</v>
      </c>
      <c r="J37" s="73">
        <f>INDEX(Katalog!$F$3:$F$12,MATCH(cadangan[[#This Row],[ItemID A]],Katalog!$C$3:$C$12,0))*cadangan[[#This Row],[Qty A]]</f>
        <v>50000</v>
      </c>
      <c r="K37" s="73">
        <f>IFERROR(cadangan[[#This Row],[Harga Diskon A]]-INDEX(Katalog!$E$3:$E$12,MATCH(cadangan[[#This Row],[ItemID A]],Katalog!$C$3:$C$12,0))*cadangan[[#This Row],[Qty A]],0)</f>
        <v>50000</v>
      </c>
      <c r="L37" s="39" t="s">
        <v>67</v>
      </c>
      <c r="M37" s="39" t="str">
        <f>IFERROR(INDEX(Katalog!$A$3:$A$12,MATCH(cadangan[[#This Row],[ItemID B]],Katalog!$C$3:$C$12,0)),"-")</f>
        <v>Sepatu Wanita</v>
      </c>
      <c r="N37" s="39" t="str">
        <f>IFERROR(INDEX(Katalog!$B$3:$B$12,MATCH(cadangan[[#This Row],[ItemID B]],Katalog!$C$3:$C$12,0)),"-")</f>
        <v>Flat Shoes</v>
      </c>
      <c r="O37" s="50">
        <v>1</v>
      </c>
      <c r="P37" s="50">
        <v>5</v>
      </c>
      <c r="Q37" s="73">
        <f>IFERROR(INDEX(Katalog!$D$3:$D$12,MATCH(cadangan[[#This Row],[ItemID B]],Katalog!$C$3:$C$12,0))*cadangan[[#This Row],[Qty B]],0)</f>
        <v>250000</v>
      </c>
      <c r="R37" s="73">
        <f>IFERROR(cadangan[[#This Row],[Harga Normal B]]-(cadangan[[#This Row],[Harga Normal B]]*cadangan[[#This Row],[Diskon]]),cadangan[[#This Row],[Harga Normal B]])</f>
        <v>250000</v>
      </c>
      <c r="S37" s="73">
        <f>IFERROR(INDEX(Katalog!$F$3:$F$12,MATCH(cadangan[[#This Row],[ItemID B]],Katalog!$C$3:$C$12,0))*cadangan[[#This Row],[Qty B]],0)</f>
        <v>100000</v>
      </c>
      <c r="T37" s="73">
        <f>IFERROR(cadangan[[#This Row],[Harga Diskon B]]-INDEX(Katalog!$E$3:$E$12,MATCH(cadangan[[#This Row],[ItemID B]],Katalog!$C$3:$C$12,0))*cadangan[[#This Row],[Qty B]],0)</f>
        <v>100000</v>
      </c>
      <c r="V37" s="39" t="str">
        <f>IFERROR(INDEX(Katalog!$A$3:$A$12,MATCH(cadangan[[#This Row],[ItemID C]],Katalog!$C$3:$C$12,0)),"-")</f>
        <v>-</v>
      </c>
      <c r="W37" s="39" t="str">
        <f>IFERROR(INDEX(Katalog!$B$3:$B$12,MATCH(cadangan[[#This Row],[ItemID C]],Katalog!$C$3:$C$12,0)),"-")</f>
        <v>-</v>
      </c>
      <c r="Z37" s="73">
        <f>IFERROR(INDEX(Katalog!$D$3:$D$12,MATCH(cadangan[[#This Row],[ItemID C]],Katalog!$C$3:$C$12,0))*cadangan[[#This Row],[Qty C]],0)</f>
        <v>0</v>
      </c>
      <c r="AA37" s="73">
        <f>IFERROR(cadangan[[#This Row],[Harga Normal C]]-(cadangan[[#This Row],[Harga Normal C]]*cadangan[[#This Row],[Diskon]]),cadangan[[#This Row],[Harga Normal C]])</f>
        <v>0</v>
      </c>
      <c r="AB37" s="73">
        <f>IFERROR(INDEX(Katalog!$F$3:$F$12,MATCH(cadangan[[#This Row],[ItemID C]],Katalog!$C$3:$C$12,0))*cadangan[[#This Row],[Qty C]],0)</f>
        <v>0</v>
      </c>
      <c r="AC37" s="73">
        <f>IFERROR(cadangan[[#This Row],[Harga Diskon C]]-INDEX(Katalog!$E$3:$E$12,MATCH(cadangan[[#This Row],[ItemID C]],Katalog!$C$3:$C$12,0))*cadangan[[#This Row],[Qty C]],0)</f>
        <v>0</v>
      </c>
      <c r="AD37" s="53">
        <f>cadangan[[#This Row],[Qty A]]+cadangan[[#This Row],[Qty B]]+cadangan[[#This Row],[Qty C]]</f>
        <v>2</v>
      </c>
      <c r="AE37" s="73">
        <f>cadangan[[#This Row],[Harga Normal A]]+cadangan[[#This Row],[Harga Normal B]]+cadangan[[#This Row],[Harga Normal C]]</f>
        <v>400000</v>
      </c>
      <c r="AF37" s="73">
        <f>cadangan[[#This Row],[Harga Diskon A]]+cadangan[[#This Row],[Harga Diskon B]]+cadangan[[#This Row],[Harga Diskon C]]</f>
        <v>400000</v>
      </c>
      <c r="AG37" s="73">
        <f>(cadangan[[#This Row],[Profit Normal A]]+cadangan[[#This Row],[Profit Normal B]]+cadangan[[#This Row],[Profit Normal C]])</f>
        <v>150000</v>
      </c>
      <c r="AH37" s="73">
        <f>cadangan[[#This Row],[Profit Diskon A]]+cadangan[[#This Row],[Profit Diskon B]]+cadangan[[#This Row],[Profit Diskon C]]</f>
        <v>150000</v>
      </c>
      <c r="AI37" s="23" t="s">
        <v>290</v>
      </c>
      <c r="AJ37" s="37" t="str">
        <f>IFERROR(INDEX('Kode Diskon'!$D$3:$D$9,MATCH(cadangan[[#This Row],[Kode diskon]],'Kode Diskon'!$C$3:$C$9,0)),"-")</f>
        <v>-</v>
      </c>
      <c r="AK37" s="23" t="s">
        <v>290</v>
      </c>
      <c r="AL37" s="23" t="s">
        <v>12</v>
      </c>
      <c r="AM37" s="23" t="s">
        <v>79</v>
      </c>
      <c r="AN37" s="55">
        <v>45028</v>
      </c>
      <c r="AO37" s="53">
        <f>DAY(cadangan[[#This Row],[Tanggal terjual]])</f>
        <v>12</v>
      </c>
      <c r="AP37" s="21" t="str">
        <f>TEXT(cadangan[[#This Row],[Tanggal terjual]],"dddd")</f>
        <v>Wednesday</v>
      </c>
      <c r="AQ37" s="23" t="str" cm="1">
        <f t="array" ref="AQ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7" s="61">
        <f>AVERAGE(cadangan[[#This Row],[Rating A]],cadangan[[#This Row],[Rating B]],cadangan[[#This Row],[Rating C]])</f>
        <v>3</v>
      </c>
    </row>
    <row r="38" spans="1:44" x14ac:dyDescent="0.2">
      <c r="A38" s="20">
        <v>37</v>
      </c>
      <c r="B38" s="21" t="str">
        <f>_xlfn.CONCAT("ORD-",INDEX(Helper!$B$2:$B$5,MATCH(cadangan[[#This Row],[Marketplace]],Helper!$A$2:$A$5,0)),TEXT(cadangan[[#This Row],[No]],"0000"),"-",TEXT(cadangan[[#This Row],[Tanggal terjual]],"dd/mm/yy"))</f>
        <v>ORD-BL0037-26/04/23</v>
      </c>
      <c r="C38" s="39" t="s">
        <v>67</v>
      </c>
      <c r="D38" s="39" t="str">
        <f>IFERROR(INDEX(Katalog!$A$3:$A$12,MATCH(cadangan[[#This Row],[ItemID A]],Katalog!$C$3:$C$12,0)),"-")</f>
        <v>Sepatu Wanita</v>
      </c>
      <c r="E38" s="39" t="str">
        <f>IFERROR(INDEX(Katalog!$B$3:$B$12,MATCH(cadangan[[#This Row],[ItemID A]],Katalog!$C$3:$C$12,0)),"-")</f>
        <v>Flat Shoes</v>
      </c>
      <c r="F38" s="50">
        <v>1</v>
      </c>
      <c r="G38" s="50">
        <v>3</v>
      </c>
      <c r="H38" s="73">
        <f>IFERROR(INDEX(Katalog!$D$3:$D$12,MATCH(cadangan[[#This Row],[ItemID A]],Katalog!$C$3:$C$12,0))*cadangan[[#This Row],[Qty A]],0)</f>
        <v>250000</v>
      </c>
      <c r="I38" s="73">
        <f>IFERROR(cadangan[[#This Row],[Harga Normal A]]-(cadangan[[#This Row],[Harga Normal A]]*cadangan[[#This Row],[Diskon]]),cadangan[[#This Row],[Harga Normal A]])</f>
        <v>212500</v>
      </c>
      <c r="J38" s="73">
        <f>INDEX(Katalog!$F$3:$F$12,MATCH(cadangan[[#This Row],[ItemID A]],Katalog!$C$3:$C$12,0))*cadangan[[#This Row],[Qty A]]</f>
        <v>100000</v>
      </c>
      <c r="K38" s="73">
        <f>IFERROR(cadangan[[#This Row],[Harga Diskon A]]-INDEX(Katalog!$E$3:$E$12,MATCH(cadangan[[#This Row],[ItemID A]],Katalog!$C$3:$C$12,0))*cadangan[[#This Row],[Qty A]],0)</f>
        <v>62500</v>
      </c>
      <c r="L38" s="39" t="s">
        <v>62</v>
      </c>
      <c r="M38" s="39" t="str">
        <f>IFERROR(INDEX(Katalog!$A$3:$A$12,MATCH(cadangan[[#This Row],[ItemID B]],Katalog!$C$3:$C$12,0)),"-")</f>
        <v>Pakaian Pria</v>
      </c>
      <c r="N38" s="39" t="str">
        <f>IFERROR(INDEX(Katalog!$B$3:$B$12,MATCH(cadangan[[#This Row],[ItemID B]],Katalog!$C$3:$C$12,0)),"-")</f>
        <v>Celana Pendek</v>
      </c>
      <c r="O38" s="50">
        <v>2</v>
      </c>
      <c r="P38" s="50">
        <v>2</v>
      </c>
      <c r="Q38" s="73">
        <f>IFERROR(INDEX(Katalog!$D$3:$D$12,MATCH(cadangan[[#This Row],[ItemID B]],Katalog!$C$3:$C$12,0))*cadangan[[#This Row],[Qty B]],0)</f>
        <v>360000</v>
      </c>
      <c r="R38" s="73">
        <f>IFERROR(cadangan[[#This Row],[Harga Normal B]]-(cadangan[[#This Row],[Harga Normal B]]*cadangan[[#This Row],[Diskon]]),cadangan[[#This Row],[Harga Normal B]])</f>
        <v>306000</v>
      </c>
      <c r="S38" s="73">
        <f>IFERROR(INDEX(Katalog!$F$3:$F$12,MATCH(cadangan[[#This Row],[ItemID B]],Katalog!$C$3:$C$12,0))*cadangan[[#This Row],[Qty B]],0)</f>
        <v>140000</v>
      </c>
      <c r="T38" s="73">
        <f>IFERROR(cadangan[[#This Row],[Harga Diskon B]]-INDEX(Katalog!$E$3:$E$12,MATCH(cadangan[[#This Row],[ItemID B]],Katalog!$C$3:$C$12,0))*cadangan[[#This Row],[Qty B]],0)</f>
        <v>86000</v>
      </c>
      <c r="V38" s="39" t="str">
        <f>IFERROR(INDEX(Katalog!$A$3:$A$12,MATCH(cadangan[[#This Row],[ItemID C]],Katalog!$C$3:$C$12,0)),"-")</f>
        <v>-</v>
      </c>
      <c r="W38" s="39" t="str">
        <f>IFERROR(INDEX(Katalog!$B$3:$B$12,MATCH(cadangan[[#This Row],[ItemID C]],Katalog!$C$3:$C$12,0)),"-")</f>
        <v>-</v>
      </c>
      <c r="Z38" s="73">
        <f>IFERROR(INDEX(Katalog!$D$3:$D$12,MATCH(cadangan[[#This Row],[ItemID C]],Katalog!$C$3:$C$12,0))*cadangan[[#This Row],[Qty C]],0)</f>
        <v>0</v>
      </c>
      <c r="AA38" s="73">
        <f>IFERROR(cadangan[[#This Row],[Harga Normal C]]-(cadangan[[#This Row],[Harga Normal C]]*cadangan[[#This Row],[Diskon]]),cadangan[[#This Row],[Harga Normal C]])</f>
        <v>0</v>
      </c>
      <c r="AB38" s="73">
        <f>IFERROR(INDEX(Katalog!$F$3:$F$12,MATCH(cadangan[[#This Row],[ItemID C]],Katalog!$C$3:$C$12,0))*cadangan[[#This Row],[Qty C]],0)</f>
        <v>0</v>
      </c>
      <c r="AC38" s="73">
        <f>IFERROR(cadangan[[#This Row],[Harga Diskon C]]-INDEX(Katalog!$E$3:$E$12,MATCH(cadangan[[#This Row],[ItemID C]],Katalog!$C$3:$C$12,0))*cadangan[[#This Row],[Qty C]],0)</f>
        <v>0</v>
      </c>
      <c r="AD38" s="53">
        <f>cadangan[[#This Row],[Qty A]]+cadangan[[#This Row],[Qty B]]+cadangan[[#This Row],[Qty C]]</f>
        <v>3</v>
      </c>
      <c r="AE38" s="73">
        <f>cadangan[[#This Row],[Harga Normal A]]+cadangan[[#This Row],[Harga Normal B]]+cadangan[[#This Row],[Harga Normal C]]</f>
        <v>610000</v>
      </c>
      <c r="AF38" s="73">
        <f>cadangan[[#This Row],[Harga Diskon A]]+cadangan[[#This Row],[Harga Diskon B]]+cadangan[[#This Row],[Harga Diskon C]]</f>
        <v>518500</v>
      </c>
      <c r="AG38" s="73">
        <f>(cadangan[[#This Row],[Profit Normal A]]+cadangan[[#This Row],[Profit Normal B]]+cadangan[[#This Row],[Profit Normal C]])</f>
        <v>240000</v>
      </c>
      <c r="AH38" s="73">
        <f>cadangan[[#This Row],[Profit Diskon A]]+cadangan[[#This Row],[Profit Diskon B]]+cadangan[[#This Row],[Profit Diskon C]]</f>
        <v>148500</v>
      </c>
      <c r="AI38" s="23" t="s">
        <v>32</v>
      </c>
      <c r="AJ38" s="37">
        <f>IFERROR(INDEX('Kode Diskon'!$D$3:$D$9,MATCH(cadangan[[#This Row],[Kode diskon]],'Kode Diskon'!$C$3:$C$9,0)),"-")</f>
        <v>0.15</v>
      </c>
      <c r="AK38" s="23" t="s">
        <v>9</v>
      </c>
      <c r="AL38" s="23" t="s">
        <v>12</v>
      </c>
      <c r="AM38" s="23" t="s">
        <v>79</v>
      </c>
      <c r="AN38" s="55">
        <v>45042</v>
      </c>
      <c r="AO38" s="53">
        <f>DAY(cadangan[[#This Row],[Tanggal terjual]])</f>
        <v>26</v>
      </c>
      <c r="AP38" s="21" t="str">
        <f>TEXT(cadangan[[#This Row],[Tanggal terjual]],"dddd")</f>
        <v>Wednesday</v>
      </c>
      <c r="AQ38" s="23" t="str" cm="1">
        <f t="array" ref="AQ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8" s="61">
        <f>AVERAGE(cadangan[[#This Row],[Rating A]],cadangan[[#This Row],[Rating B]],cadangan[[#This Row],[Rating C]])</f>
        <v>2.5</v>
      </c>
    </row>
    <row r="39" spans="1:44" x14ac:dyDescent="0.2">
      <c r="A39" s="20">
        <v>38</v>
      </c>
      <c r="B39" s="21" t="str">
        <f>_xlfn.CONCAT("ORD-",INDEX(Helper!$B$2:$B$5,MATCH(cadangan[[#This Row],[Marketplace]],Helper!$A$2:$A$5,0)),TEXT(cadangan[[#This Row],[No]],"0000"),"-",TEXT(cadangan[[#This Row],[Tanggal terjual]],"dd/mm/yy"))</f>
        <v>ORD-BB0038-04/04/23</v>
      </c>
      <c r="C39" s="39" t="s">
        <v>64</v>
      </c>
      <c r="D39" s="39" t="str">
        <f>IFERROR(INDEX(Katalog!$A$3:$A$12,MATCH(cadangan[[#This Row],[ItemID A]],Katalog!$C$3:$C$12,0)),"-")</f>
        <v>Pakaian Unisex</v>
      </c>
      <c r="E39" s="39" t="str">
        <f>IFERROR(INDEX(Katalog!$B$3:$B$12,MATCH(cadangan[[#This Row],[ItemID A]],Katalog!$C$3:$C$12,0)),"-")</f>
        <v>Jaket Hoodie</v>
      </c>
      <c r="F39" s="50">
        <v>7</v>
      </c>
      <c r="G39" s="50">
        <v>3</v>
      </c>
      <c r="H39" s="73">
        <f>IFERROR(INDEX(Katalog!$D$3:$D$12,MATCH(cadangan[[#This Row],[ItemID A]],Katalog!$C$3:$C$12,0))*cadangan[[#This Row],[Qty A]],0)</f>
        <v>2450000</v>
      </c>
      <c r="I39" s="73">
        <f>IFERROR(cadangan[[#This Row],[Harga Normal A]]-(cadangan[[#This Row],[Harga Normal A]]*cadangan[[#This Row],[Diskon]]),cadangan[[#This Row],[Harga Normal A]])</f>
        <v>2082500</v>
      </c>
      <c r="J39" s="73">
        <f>INDEX(Katalog!$F$3:$F$12,MATCH(cadangan[[#This Row],[ItemID A]],Katalog!$C$3:$C$12,0))*cadangan[[#This Row],[Qty A]]</f>
        <v>910000</v>
      </c>
      <c r="K39" s="73">
        <f>IFERROR(cadangan[[#This Row],[Harga Diskon A]]-INDEX(Katalog!$E$3:$E$12,MATCH(cadangan[[#This Row],[ItemID A]],Katalog!$C$3:$C$12,0))*cadangan[[#This Row],[Qty A]],0)</f>
        <v>542500</v>
      </c>
      <c r="M39" s="39" t="str">
        <f>IFERROR(INDEX(Katalog!$A$3:$A$12,MATCH(cadangan[[#This Row],[ItemID B]],Katalog!$C$3:$C$12,0)),"-")</f>
        <v>-</v>
      </c>
      <c r="N39" s="39" t="str">
        <f>IFERROR(INDEX(Katalog!$B$3:$B$12,MATCH(cadangan[[#This Row],[ItemID B]],Katalog!$C$3:$C$12,0)),"-")</f>
        <v>-</v>
      </c>
      <c r="Q39" s="73">
        <f>IFERROR(INDEX(Katalog!$D$3:$D$12,MATCH(cadangan[[#This Row],[ItemID B]],Katalog!$C$3:$C$12,0))*cadangan[[#This Row],[Qty B]],0)</f>
        <v>0</v>
      </c>
      <c r="R39" s="73">
        <f>IFERROR(cadangan[[#This Row],[Harga Normal B]]-(cadangan[[#This Row],[Harga Normal B]]*cadangan[[#This Row],[Diskon]]),cadangan[[#This Row],[Harga Normal B]])</f>
        <v>0</v>
      </c>
      <c r="S39" s="73">
        <f>IFERROR(INDEX(Katalog!$F$3:$F$12,MATCH(cadangan[[#This Row],[ItemID B]],Katalog!$C$3:$C$12,0))*cadangan[[#This Row],[Qty B]],0)</f>
        <v>0</v>
      </c>
      <c r="T39" s="73">
        <f>IFERROR(cadangan[[#This Row],[Harga Diskon B]]-INDEX(Katalog!$E$3:$E$12,MATCH(cadangan[[#This Row],[ItemID B]],Katalog!$C$3:$C$12,0))*cadangan[[#This Row],[Qty B]],0)</f>
        <v>0</v>
      </c>
      <c r="V39" s="39" t="str">
        <f>IFERROR(INDEX(Katalog!$A$3:$A$12,MATCH(cadangan[[#This Row],[ItemID C]],Katalog!$C$3:$C$12,0)),"-")</f>
        <v>-</v>
      </c>
      <c r="W39" s="39" t="str">
        <f>IFERROR(INDEX(Katalog!$B$3:$B$12,MATCH(cadangan[[#This Row],[ItemID C]],Katalog!$C$3:$C$12,0)),"-")</f>
        <v>-</v>
      </c>
      <c r="Z39" s="73">
        <f>IFERROR(INDEX(Katalog!$D$3:$D$12,MATCH(cadangan[[#This Row],[ItemID C]],Katalog!$C$3:$C$12,0))*cadangan[[#This Row],[Qty C]],0)</f>
        <v>0</v>
      </c>
      <c r="AA39" s="73">
        <f>IFERROR(cadangan[[#This Row],[Harga Normal C]]-(cadangan[[#This Row],[Harga Normal C]]*cadangan[[#This Row],[Diskon]]),cadangan[[#This Row],[Harga Normal C]])</f>
        <v>0</v>
      </c>
      <c r="AB39" s="73">
        <f>IFERROR(INDEX(Katalog!$F$3:$F$12,MATCH(cadangan[[#This Row],[ItemID C]],Katalog!$C$3:$C$12,0))*cadangan[[#This Row],[Qty C]],0)</f>
        <v>0</v>
      </c>
      <c r="AC39" s="73">
        <f>IFERROR(cadangan[[#This Row],[Harga Diskon C]]-INDEX(Katalog!$E$3:$E$12,MATCH(cadangan[[#This Row],[ItemID C]],Katalog!$C$3:$C$12,0))*cadangan[[#This Row],[Qty C]],0)</f>
        <v>0</v>
      </c>
      <c r="AD39" s="53">
        <f>cadangan[[#This Row],[Qty A]]+cadangan[[#This Row],[Qty B]]+cadangan[[#This Row],[Qty C]]</f>
        <v>7</v>
      </c>
      <c r="AE39" s="73">
        <f>cadangan[[#This Row],[Harga Normal A]]+cadangan[[#This Row],[Harga Normal B]]+cadangan[[#This Row],[Harga Normal C]]</f>
        <v>2450000</v>
      </c>
      <c r="AF39" s="73">
        <f>cadangan[[#This Row],[Harga Diskon A]]+cadangan[[#This Row],[Harga Diskon B]]+cadangan[[#This Row],[Harga Diskon C]]</f>
        <v>2082500</v>
      </c>
      <c r="AG39" s="73">
        <f>(cadangan[[#This Row],[Profit Normal A]]+cadangan[[#This Row],[Profit Normal B]]+cadangan[[#This Row],[Profit Normal C]])</f>
        <v>910000</v>
      </c>
      <c r="AH39" s="73">
        <f>cadangan[[#This Row],[Profit Diskon A]]+cadangan[[#This Row],[Profit Diskon B]]+cadangan[[#This Row],[Profit Diskon C]]</f>
        <v>542500</v>
      </c>
      <c r="AI39" s="23" t="s">
        <v>28</v>
      </c>
      <c r="AJ39" s="37">
        <f>IFERROR(INDEX('Kode Diskon'!$D$3:$D$9,MATCH(cadangan[[#This Row],[Kode diskon]],'Kode Diskon'!$C$3:$C$9,0)),"-")</f>
        <v>0.15</v>
      </c>
      <c r="AK39" s="23" t="s">
        <v>29</v>
      </c>
      <c r="AL39" s="23" t="s">
        <v>14</v>
      </c>
      <c r="AM39" s="23" t="s">
        <v>80</v>
      </c>
      <c r="AN39" s="55">
        <v>45020</v>
      </c>
      <c r="AO39" s="53">
        <f>DAY(cadangan[[#This Row],[Tanggal terjual]])</f>
        <v>4</v>
      </c>
      <c r="AP39" s="21" t="str">
        <f>TEXT(cadangan[[#This Row],[Tanggal terjual]],"dddd")</f>
        <v>Tuesday</v>
      </c>
      <c r="AQ39" s="23" t="str" cm="1">
        <f t="array" ref="AQ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 s="61">
        <f>AVERAGE(cadangan[[#This Row],[Rating A]],cadangan[[#This Row],[Rating B]],cadangan[[#This Row],[Rating C]])</f>
        <v>3</v>
      </c>
    </row>
    <row r="40" spans="1:44" x14ac:dyDescent="0.2">
      <c r="A40" s="20">
        <v>39</v>
      </c>
      <c r="B40" s="21" t="str">
        <f>_xlfn.CONCAT("ORD-",INDEX(Helper!$B$2:$B$5,MATCH(cadangan[[#This Row],[Marketplace]],Helper!$A$2:$A$5,0)),TEXT(cadangan[[#This Row],[No]],"0000"),"-",TEXT(cadangan[[#This Row],[Tanggal terjual]],"dd/mm/yy"))</f>
        <v>ORD-TK0039-25/04/23</v>
      </c>
      <c r="C40" s="39" t="s">
        <v>66</v>
      </c>
      <c r="D40" s="39" t="str">
        <f>IFERROR(INDEX(Katalog!$A$3:$A$12,MATCH(cadangan[[#This Row],[ItemID A]],Katalog!$C$3:$C$12,0)),"-")</f>
        <v>Sepatu Pria</v>
      </c>
      <c r="E40" s="39" t="str">
        <f>IFERROR(INDEX(Katalog!$B$3:$B$12,MATCH(cadangan[[#This Row],[ItemID A]],Katalog!$C$3:$C$12,0)),"-")</f>
        <v>Sandal Slip On</v>
      </c>
      <c r="F40" s="50">
        <v>6</v>
      </c>
      <c r="G40" s="50">
        <v>4</v>
      </c>
      <c r="H40" s="73">
        <f>IFERROR(INDEX(Katalog!$D$3:$D$12,MATCH(cadangan[[#This Row],[ItemID A]],Katalog!$C$3:$C$12,0))*cadangan[[#This Row],[Qty A]],0)</f>
        <v>900000</v>
      </c>
      <c r="I40" s="73">
        <f>IFERROR(cadangan[[#This Row],[Harga Normal A]]-(cadangan[[#This Row],[Harga Normal A]]*cadangan[[#This Row],[Diskon]]),cadangan[[#This Row],[Harga Normal A]])</f>
        <v>810000</v>
      </c>
      <c r="J40" s="73">
        <f>INDEX(Katalog!$F$3:$F$12,MATCH(cadangan[[#This Row],[ItemID A]],Katalog!$C$3:$C$12,0))*cadangan[[#This Row],[Qty A]]</f>
        <v>360000</v>
      </c>
      <c r="K40" s="73">
        <f>IFERROR(cadangan[[#This Row],[Harga Diskon A]]-INDEX(Katalog!$E$3:$E$12,MATCH(cadangan[[#This Row],[ItemID A]],Katalog!$C$3:$C$12,0))*cadangan[[#This Row],[Qty A]],0)</f>
        <v>270000</v>
      </c>
      <c r="M40" s="39" t="str">
        <f>IFERROR(INDEX(Katalog!$A$3:$A$12,MATCH(cadangan[[#This Row],[ItemID B]],Katalog!$C$3:$C$12,0)),"-")</f>
        <v>-</v>
      </c>
      <c r="N40" s="39" t="str">
        <f>IFERROR(INDEX(Katalog!$B$3:$B$12,MATCH(cadangan[[#This Row],[ItemID B]],Katalog!$C$3:$C$12,0)),"-")</f>
        <v>-</v>
      </c>
      <c r="Q40" s="73">
        <f>IFERROR(INDEX(Katalog!$D$3:$D$12,MATCH(cadangan[[#This Row],[ItemID B]],Katalog!$C$3:$C$12,0))*cadangan[[#This Row],[Qty B]],0)</f>
        <v>0</v>
      </c>
      <c r="R40" s="73">
        <f>IFERROR(cadangan[[#This Row],[Harga Normal B]]-(cadangan[[#This Row],[Harga Normal B]]*cadangan[[#This Row],[Diskon]]),cadangan[[#This Row],[Harga Normal B]])</f>
        <v>0</v>
      </c>
      <c r="S40" s="73">
        <f>IFERROR(INDEX(Katalog!$F$3:$F$12,MATCH(cadangan[[#This Row],[ItemID B]],Katalog!$C$3:$C$12,0))*cadangan[[#This Row],[Qty B]],0)</f>
        <v>0</v>
      </c>
      <c r="T40" s="73">
        <f>IFERROR(cadangan[[#This Row],[Harga Diskon B]]-INDEX(Katalog!$E$3:$E$12,MATCH(cadangan[[#This Row],[ItemID B]],Katalog!$C$3:$C$12,0))*cadangan[[#This Row],[Qty B]],0)</f>
        <v>0</v>
      </c>
      <c r="V40" s="39" t="str">
        <f>IFERROR(INDEX(Katalog!$A$3:$A$12,MATCH(cadangan[[#This Row],[ItemID C]],Katalog!$C$3:$C$12,0)),"-")</f>
        <v>-</v>
      </c>
      <c r="W40" s="39" t="str">
        <f>IFERROR(INDEX(Katalog!$B$3:$B$12,MATCH(cadangan[[#This Row],[ItemID C]],Katalog!$C$3:$C$12,0)),"-")</f>
        <v>-</v>
      </c>
      <c r="Z40" s="73">
        <f>IFERROR(INDEX(Katalog!$D$3:$D$12,MATCH(cadangan[[#This Row],[ItemID C]],Katalog!$C$3:$C$12,0))*cadangan[[#This Row],[Qty C]],0)</f>
        <v>0</v>
      </c>
      <c r="AA40" s="73">
        <f>IFERROR(cadangan[[#This Row],[Harga Normal C]]-(cadangan[[#This Row],[Harga Normal C]]*cadangan[[#This Row],[Diskon]]),cadangan[[#This Row],[Harga Normal C]])</f>
        <v>0</v>
      </c>
      <c r="AB40" s="73">
        <f>IFERROR(INDEX(Katalog!$F$3:$F$12,MATCH(cadangan[[#This Row],[ItemID C]],Katalog!$C$3:$C$12,0))*cadangan[[#This Row],[Qty C]],0)</f>
        <v>0</v>
      </c>
      <c r="AC40" s="73">
        <f>IFERROR(cadangan[[#This Row],[Harga Diskon C]]-INDEX(Katalog!$E$3:$E$12,MATCH(cadangan[[#This Row],[ItemID C]],Katalog!$C$3:$C$12,0))*cadangan[[#This Row],[Qty C]],0)</f>
        <v>0</v>
      </c>
      <c r="AD40" s="53">
        <f>cadangan[[#This Row],[Qty A]]+cadangan[[#This Row],[Qty B]]+cadangan[[#This Row],[Qty C]]</f>
        <v>6</v>
      </c>
      <c r="AE40" s="73">
        <f>cadangan[[#This Row],[Harga Normal A]]+cadangan[[#This Row],[Harga Normal B]]+cadangan[[#This Row],[Harga Normal C]]</f>
        <v>900000</v>
      </c>
      <c r="AF40" s="73">
        <f>cadangan[[#This Row],[Harga Diskon A]]+cadangan[[#This Row],[Harga Diskon B]]+cadangan[[#This Row],[Harga Diskon C]]</f>
        <v>810000</v>
      </c>
      <c r="AG40" s="73">
        <f>(cadangan[[#This Row],[Profit Normal A]]+cadangan[[#This Row],[Profit Normal B]]+cadangan[[#This Row],[Profit Normal C]])</f>
        <v>360000</v>
      </c>
      <c r="AH40" s="73">
        <f>cadangan[[#This Row],[Profit Diskon A]]+cadangan[[#This Row],[Profit Diskon B]]+cadangan[[#This Row],[Profit Diskon C]]</f>
        <v>270000</v>
      </c>
      <c r="AI40" s="23" t="s">
        <v>31</v>
      </c>
      <c r="AJ40" s="37">
        <f>IFERROR(INDEX('Kode Diskon'!$D$3:$D$9,MATCH(cadangan[[#This Row],[Kode diskon]],'Kode Diskon'!$C$3:$C$9,0)),"-")</f>
        <v>0.1</v>
      </c>
      <c r="AK40" s="23" t="s">
        <v>9</v>
      </c>
      <c r="AL40" s="23" t="s">
        <v>10</v>
      </c>
      <c r="AM40" s="23" t="s">
        <v>76</v>
      </c>
      <c r="AN40" s="55">
        <v>45041</v>
      </c>
      <c r="AO40" s="53">
        <f>DAY(cadangan[[#This Row],[Tanggal terjual]])</f>
        <v>25</v>
      </c>
      <c r="AP40" s="21" t="str">
        <f>TEXT(cadangan[[#This Row],[Tanggal terjual]],"dddd")</f>
        <v>Tuesday</v>
      </c>
      <c r="AQ40" s="23" t="str" cm="1">
        <f t="array" ref="AQ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0" s="61">
        <f>AVERAGE(cadangan[[#This Row],[Rating A]],cadangan[[#This Row],[Rating B]],cadangan[[#This Row],[Rating C]])</f>
        <v>4</v>
      </c>
    </row>
    <row r="41" spans="1:44" x14ac:dyDescent="0.2">
      <c r="A41" s="20">
        <v>40</v>
      </c>
      <c r="B41" s="21" t="str">
        <f>_xlfn.CONCAT("ORD-",INDEX(Helper!$B$2:$B$5,MATCH(cadangan[[#This Row],[Marketplace]],Helper!$A$2:$A$5,0)),TEXT(cadangan[[#This Row],[No]],"0000"),"-",TEXT(cadangan[[#This Row],[Tanggal terjual]],"dd/mm/yy"))</f>
        <v>ORD-TK0040-15/04/23</v>
      </c>
      <c r="C41" s="39" t="s">
        <v>60</v>
      </c>
      <c r="D41" s="39" t="str">
        <f>IFERROR(INDEX(Katalog!$A$3:$A$12,MATCH(cadangan[[#This Row],[ItemID A]],Katalog!$C$3:$C$12,0)),"-")</f>
        <v>Pakaian Wanita</v>
      </c>
      <c r="E41" s="39" t="str">
        <f>IFERROR(INDEX(Katalog!$B$3:$B$12,MATCH(cadangan[[#This Row],[ItemID A]],Katalog!$C$3:$C$12,0)),"-")</f>
        <v>Kaftan</v>
      </c>
      <c r="F41" s="50">
        <v>2</v>
      </c>
      <c r="G41" s="50">
        <v>5</v>
      </c>
      <c r="H41" s="73">
        <f>IFERROR(INDEX(Katalog!$D$3:$D$12,MATCH(cadangan[[#This Row],[ItemID A]],Katalog!$C$3:$C$12,0))*cadangan[[#This Row],[Qty A]],0)</f>
        <v>500000</v>
      </c>
      <c r="I41" s="73">
        <f>IFERROR(cadangan[[#This Row],[Harga Normal A]]-(cadangan[[#This Row],[Harga Normal A]]*cadangan[[#This Row],[Diskon]]),cadangan[[#This Row],[Harga Normal A]])</f>
        <v>500000</v>
      </c>
      <c r="J41" s="73">
        <f>INDEX(Katalog!$F$3:$F$12,MATCH(cadangan[[#This Row],[ItemID A]],Katalog!$C$3:$C$12,0))*cadangan[[#This Row],[Qty A]]</f>
        <v>200000</v>
      </c>
      <c r="K41" s="73">
        <f>IFERROR(cadangan[[#This Row],[Harga Diskon A]]-INDEX(Katalog!$E$3:$E$12,MATCH(cadangan[[#This Row],[ItemID A]],Katalog!$C$3:$C$12,0))*cadangan[[#This Row],[Qty A]],0)</f>
        <v>200000</v>
      </c>
      <c r="L41" s="39" t="s">
        <v>62</v>
      </c>
      <c r="M41" s="39" t="str">
        <f>IFERROR(INDEX(Katalog!$A$3:$A$12,MATCH(cadangan[[#This Row],[ItemID B]],Katalog!$C$3:$C$12,0)),"-")</f>
        <v>Pakaian Pria</v>
      </c>
      <c r="N41" s="39" t="str">
        <f>IFERROR(INDEX(Katalog!$B$3:$B$12,MATCH(cadangan[[#This Row],[ItemID B]],Katalog!$C$3:$C$12,0)),"-")</f>
        <v>Celana Pendek</v>
      </c>
      <c r="O41" s="50">
        <v>3</v>
      </c>
      <c r="P41" s="50">
        <v>3</v>
      </c>
      <c r="Q41" s="73">
        <f>IFERROR(INDEX(Katalog!$D$3:$D$12,MATCH(cadangan[[#This Row],[ItemID B]],Katalog!$C$3:$C$12,0))*cadangan[[#This Row],[Qty B]],0)</f>
        <v>540000</v>
      </c>
      <c r="R41" s="73">
        <f>IFERROR(cadangan[[#This Row],[Harga Normal B]]-(cadangan[[#This Row],[Harga Normal B]]*cadangan[[#This Row],[Diskon]]),cadangan[[#This Row],[Harga Normal B]])</f>
        <v>540000</v>
      </c>
      <c r="S41" s="73">
        <f>IFERROR(INDEX(Katalog!$F$3:$F$12,MATCH(cadangan[[#This Row],[ItemID B]],Katalog!$C$3:$C$12,0))*cadangan[[#This Row],[Qty B]],0)</f>
        <v>210000</v>
      </c>
      <c r="T41" s="73">
        <f>IFERROR(cadangan[[#This Row],[Harga Diskon B]]-INDEX(Katalog!$E$3:$E$12,MATCH(cadangan[[#This Row],[ItemID B]],Katalog!$C$3:$C$12,0))*cadangan[[#This Row],[Qty B]],0)</f>
        <v>210000</v>
      </c>
      <c r="U41" s="39" t="s">
        <v>61</v>
      </c>
      <c r="V41" s="39" t="str">
        <f>IFERROR(INDEX(Katalog!$A$3:$A$12,MATCH(cadangan[[#This Row],[ItemID C]],Katalog!$C$3:$C$12,0)),"-")</f>
        <v>Pakaian Pria</v>
      </c>
      <c r="W41" s="39" t="str">
        <f>IFERROR(INDEX(Katalog!$B$3:$B$12,MATCH(cadangan[[#This Row],[ItemID C]],Katalog!$C$3:$C$12,0)),"-")</f>
        <v>Kaos Polo</v>
      </c>
      <c r="X41" s="50">
        <v>2</v>
      </c>
      <c r="Y41" s="50">
        <v>3</v>
      </c>
      <c r="Z41" s="73">
        <f>IFERROR(INDEX(Katalog!$D$3:$D$12,MATCH(cadangan[[#This Row],[ItemID C]],Katalog!$C$3:$C$12,0))*cadangan[[#This Row],[Qty C]],0)</f>
        <v>400000</v>
      </c>
      <c r="AA41" s="73">
        <f>IFERROR(cadangan[[#This Row],[Harga Normal C]]-(cadangan[[#This Row],[Harga Normal C]]*cadangan[[#This Row],[Diskon]]),cadangan[[#This Row],[Harga Normal C]])</f>
        <v>400000</v>
      </c>
      <c r="AB41" s="73">
        <f>IFERROR(INDEX(Katalog!$F$3:$F$12,MATCH(cadangan[[#This Row],[ItemID C]],Katalog!$C$3:$C$12,0))*cadangan[[#This Row],[Qty C]],0)</f>
        <v>160000</v>
      </c>
      <c r="AC41" s="73">
        <f>IFERROR(cadangan[[#This Row],[Harga Diskon C]]-INDEX(Katalog!$E$3:$E$12,MATCH(cadangan[[#This Row],[ItemID C]],Katalog!$C$3:$C$12,0))*cadangan[[#This Row],[Qty C]],0)</f>
        <v>160000</v>
      </c>
      <c r="AD41" s="53">
        <f>cadangan[[#This Row],[Qty A]]+cadangan[[#This Row],[Qty B]]+cadangan[[#This Row],[Qty C]]</f>
        <v>7</v>
      </c>
      <c r="AE41" s="73">
        <f>cadangan[[#This Row],[Harga Normal A]]+cadangan[[#This Row],[Harga Normal B]]+cadangan[[#This Row],[Harga Normal C]]</f>
        <v>1440000</v>
      </c>
      <c r="AF41" s="73">
        <f>cadangan[[#This Row],[Harga Diskon A]]+cadangan[[#This Row],[Harga Diskon B]]+cadangan[[#This Row],[Harga Diskon C]]</f>
        <v>1440000</v>
      </c>
      <c r="AG41" s="73">
        <f>(cadangan[[#This Row],[Profit Normal A]]+cadangan[[#This Row],[Profit Normal B]]+cadangan[[#This Row],[Profit Normal C]])</f>
        <v>570000</v>
      </c>
      <c r="AH41" s="73">
        <f>cadangan[[#This Row],[Profit Diskon A]]+cadangan[[#This Row],[Profit Diskon B]]+cadangan[[#This Row],[Profit Diskon C]]</f>
        <v>570000</v>
      </c>
      <c r="AI41" s="23" t="s">
        <v>290</v>
      </c>
      <c r="AJ41" s="37" t="str">
        <f>IFERROR(INDEX('Kode Diskon'!$D$3:$D$9,MATCH(cadangan[[#This Row],[Kode diskon]],'Kode Diskon'!$C$3:$C$9,0)),"-")</f>
        <v>-</v>
      </c>
      <c r="AK41" s="23" t="s">
        <v>290</v>
      </c>
      <c r="AL41" s="23" t="s">
        <v>10</v>
      </c>
      <c r="AM41" s="23" t="s">
        <v>80</v>
      </c>
      <c r="AN41" s="55">
        <v>45031</v>
      </c>
      <c r="AO41" s="53">
        <f>DAY(cadangan[[#This Row],[Tanggal terjual]])</f>
        <v>15</v>
      </c>
      <c r="AP41" s="21" t="str">
        <f>TEXT(cadangan[[#This Row],[Tanggal terjual]],"dddd")</f>
        <v>Saturday</v>
      </c>
      <c r="AQ41" s="23" t="str" cm="1">
        <f t="array" ref="AQ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1" s="61">
        <f>AVERAGE(cadangan[[#This Row],[Rating A]],cadangan[[#This Row],[Rating B]],cadangan[[#This Row],[Rating C]])</f>
        <v>3.6666666666666665</v>
      </c>
    </row>
    <row r="42" spans="1:44" x14ac:dyDescent="0.2">
      <c r="A42" s="20">
        <v>41</v>
      </c>
      <c r="B42" s="21" t="str">
        <f>_xlfn.CONCAT("ORD-",INDEX(Helper!$B$2:$B$5,MATCH(cadangan[[#This Row],[Marketplace]],Helper!$A$2:$A$5,0)),TEXT(cadangan[[#This Row],[No]],"0000"),"-",TEXT(cadangan[[#This Row],[Tanggal terjual]],"dd/mm/yy"))</f>
        <v>ORD-TK0041-01/04/23</v>
      </c>
      <c r="C42" s="39" t="s">
        <v>66</v>
      </c>
      <c r="D42" s="39" t="str">
        <f>IFERROR(INDEX(Katalog!$A$3:$A$12,MATCH(cadangan[[#This Row],[ItemID A]],Katalog!$C$3:$C$12,0)),"-")</f>
        <v>Sepatu Pria</v>
      </c>
      <c r="E42" s="39" t="str">
        <f>IFERROR(INDEX(Katalog!$B$3:$B$12,MATCH(cadangan[[#This Row],[ItemID A]],Katalog!$C$3:$C$12,0)),"-")</f>
        <v>Sandal Slip On</v>
      </c>
      <c r="F42" s="50">
        <v>2</v>
      </c>
      <c r="G42" s="50">
        <v>3</v>
      </c>
      <c r="H42" s="73">
        <f>IFERROR(INDEX(Katalog!$D$3:$D$12,MATCH(cadangan[[#This Row],[ItemID A]],Katalog!$C$3:$C$12,0))*cadangan[[#This Row],[Qty A]],0)</f>
        <v>300000</v>
      </c>
      <c r="I42" s="73">
        <f>IFERROR(cadangan[[#This Row],[Harga Normal A]]-(cadangan[[#This Row],[Harga Normal A]]*cadangan[[#This Row],[Diskon]]),cadangan[[#This Row],[Harga Normal A]])</f>
        <v>270000</v>
      </c>
      <c r="J42" s="73">
        <f>INDEX(Katalog!$F$3:$F$12,MATCH(cadangan[[#This Row],[ItemID A]],Katalog!$C$3:$C$12,0))*cadangan[[#This Row],[Qty A]]</f>
        <v>120000</v>
      </c>
      <c r="K42" s="73">
        <f>IFERROR(cadangan[[#This Row],[Harga Diskon A]]-INDEX(Katalog!$E$3:$E$12,MATCH(cadangan[[#This Row],[ItemID A]],Katalog!$C$3:$C$12,0))*cadangan[[#This Row],[Qty A]],0)</f>
        <v>90000</v>
      </c>
      <c r="M42" s="39" t="str">
        <f>IFERROR(INDEX(Katalog!$A$3:$A$12,MATCH(cadangan[[#This Row],[ItemID B]],Katalog!$C$3:$C$12,0)),"-")</f>
        <v>-</v>
      </c>
      <c r="N42" s="39" t="str">
        <f>IFERROR(INDEX(Katalog!$B$3:$B$12,MATCH(cadangan[[#This Row],[ItemID B]],Katalog!$C$3:$C$12,0)),"-")</f>
        <v>-</v>
      </c>
      <c r="Q42" s="73">
        <f>IFERROR(INDEX(Katalog!$D$3:$D$12,MATCH(cadangan[[#This Row],[ItemID B]],Katalog!$C$3:$C$12,0))*cadangan[[#This Row],[Qty B]],0)</f>
        <v>0</v>
      </c>
      <c r="R42" s="73">
        <f>IFERROR(cadangan[[#This Row],[Harga Normal B]]-(cadangan[[#This Row],[Harga Normal B]]*cadangan[[#This Row],[Diskon]]),cadangan[[#This Row],[Harga Normal B]])</f>
        <v>0</v>
      </c>
      <c r="S42" s="73">
        <f>IFERROR(INDEX(Katalog!$F$3:$F$12,MATCH(cadangan[[#This Row],[ItemID B]],Katalog!$C$3:$C$12,0))*cadangan[[#This Row],[Qty B]],0)</f>
        <v>0</v>
      </c>
      <c r="T42" s="73">
        <f>IFERROR(cadangan[[#This Row],[Harga Diskon B]]-INDEX(Katalog!$E$3:$E$12,MATCH(cadangan[[#This Row],[ItemID B]],Katalog!$C$3:$C$12,0))*cadangan[[#This Row],[Qty B]],0)</f>
        <v>0</v>
      </c>
      <c r="V42" s="39" t="str">
        <f>IFERROR(INDEX(Katalog!$A$3:$A$12,MATCH(cadangan[[#This Row],[ItemID C]],Katalog!$C$3:$C$12,0)),"-")</f>
        <v>-</v>
      </c>
      <c r="W42" s="39" t="str">
        <f>IFERROR(INDEX(Katalog!$B$3:$B$12,MATCH(cadangan[[#This Row],[ItemID C]],Katalog!$C$3:$C$12,0)),"-")</f>
        <v>-</v>
      </c>
      <c r="Z42" s="73">
        <f>IFERROR(INDEX(Katalog!$D$3:$D$12,MATCH(cadangan[[#This Row],[ItemID C]],Katalog!$C$3:$C$12,0))*cadangan[[#This Row],[Qty C]],0)</f>
        <v>0</v>
      </c>
      <c r="AA42" s="73">
        <f>IFERROR(cadangan[[#This Row],[Harga Normal C]]-(cadangan[[#This Row],[Harga Normal C]]*cadangan[[#This Row],[Diskon]]),cadangan[[#This Row],[Harga Normal C]])</f>
        <v>0</v>
      </c>
      <c r="AB42" s="73">
        <f>IFERROR(INDEX(Katalog!$F$3:$F$12,MATCH(cadangan[[#This Row],[ItemID C]],Katalog!$C$3:$C$12,0))*cadangan[[#This Row],[Qty C]],0)</f>
        <v>0</v>
      </c>
      <c r="AC42" s="73">
        <f>IFERROR(cadangan[[#This Row],[Harga Diskon C]]-INDEX(Katalog!$E$3:$E$12,MATCH(cadangan[[#This Row],[ItemID C]],Katalog!$C$3:$C$12,0))*cadangan[[#This Row],[Qty C]],0)</f>
        <v>0</v>
      </c>
      <c r="AD42" s="53">
        <f>cadangan[[#This Row],[Qty A]]+cadangan[[#This Row],[Qty B]]+cadangan[[#This Row],[Qty C]]</f>
        <v>2</v>
      </c>
      <c r="AE42" s="73">
        <f>cadangan[[#This Row],[Harga Normal A]]+cadangan[[#This Row],[Harga Normal B]]+cadangan[[#This Row],[Harga Normal C]]</f>
        <v>300000</v>
      </c>
      <c r="AF42" s="73">
        <f>cadangan[[#This Row],[Harga Diskon A]]+cadangan[[#This Row],[Harga Diskon B]]+cadangan[[#This Row],[Harga Diskon C]]</f>
        <v>270000</v>
      </c>
      <c r="AG42" s="73">
        <f>(cadangan[[#This Row],[Profit Normal A]]+cadangan[[#This Row],[Profit Normal B]]+cadangan[[#This Row],[Profit Normal C]])</f>
        <v>120000</v>
      </c>
      <c r="AH42" s="73">
        <f>cadangan[[#This Row],[Profit Diskon A]]+cadangan[[#This Row],[Profit Diskon B]]+cadangan[[#This Row],[Profit Diskon C]]</f>
        <v>90000</v>
      </c>
      <c r="AI42" s="23" t="s">
        <v>30</v>
      </c>
      <c r="AJ42" s="37">
        <f>IFERROR(INDEX('Kode Diskon'!$D$3:$D$9,MATCH(cadangan[[#This Row],[Kode diskon]],'Kode Diskon'!$C$3:$C$9,0)),"-")</f>
        <v>0.1</v>
      </c>
      <c r="AK42" s="23" t="s">
        <v>29</v>
      </c>
      <c r="AL42" s="23" t="s">
        <v>10</v>
      </c>
      <c r="AM42" s="23" t="s">
        <v>80</v>
      </c>
      <c r="AN42" s="55">
        <v>45017</v>
      </c>
      <c r="AO42" s="53">
        <f>DAY(cadangan[[#This Row],[Tanggal terjual]])</f>
        <v>1</v>
      </c>
      <c r="AP42" s="21" t="str">
        <f>TEXT(cadangan[[#This Row],[Tanggal terjual]],"dddd")</f>
        <v>Saturday</v>
      </c>
      <c r="AQ42" s="23" t="str" cm="1">
        <f t="array" ref="AQ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2" s="61">
        <f>AVERAGE(cadangan[[#This Row],[Rating A]],cadangan[[#This Row],[Rating B]],cadangan[[#This Row],[Rating C]])</f>
        <v>3</v>
      </c>
    </row>
    <row r="43" spans="1:44" x14ac:dyDescent="0.2">
      <c r="A43" s="20">
        <v>42</v>
      </c>
      <c r="B43" s="21" t="str">
        <f>_xlfn.CONCAT("ORD-",INDEX(Helper!$B$2:$B$5,MATCH(cadangan[[#This Row],[Marketplace]],Helper!$A$2:$A$5,0)),TEXT(cadangan[[#This Row],[No]],"0000"),"-",TEXT(cadangan[[#This Row],[Tanggal terjual]],"dd/mm/yy"))</f>
        <v>ORD-BB0042-15/04/23</v>
      </c>
      <c r="C43" s="39" t="s">
        <v>63</v>
      </c>
      <c r="D43" s="39" t="str">
        <f>IFERROR(INDEX(Katalog!$A$3:$A$12,MATCH(cadangan[[#This Row],[ItemID A]],Katalog!$C$3:$C$12,0)),"-")</f>
        <v>Pakaian Pria</v>
      </c>
      <c r="E43" s="39" t="str">
        <f>IFERROR(INDEX(Katalog!$B$3:$B$12,MATCH(cadangan[[#This Row],[ItemID A]],Katalog!$C$3:$C$12,0)),"-")</f>
        <v>Jaket Jeans</v>
      </c>
      <c r="F43" s="50">
        <v>1</v>
      </c>
      <c r="G43" s="50">
        <v>5</v>
      </c>
      <c r="H43" s="73">
        <f>IFERROR(INDEX(Katalog!$D$3:$D$12,MATCH(cadangan[[#This Row],[ItemID A]],Katalog!$C$3:$C$12,0))*cadangan[[#This Row],[Qty A]],0)</f>
        <v>400000</v>
      </c>
      <c r="I43" s="73">
        <f>IFERROR(cadangan[[#This Row],[Harga Normal A]]-(cadangan[[#This Row],[Harga Normal A]]*cadangan[[#This Row],[Diskon]]),cadangan[[#This Row],[Harga Normal A]])</f>
        <v>400000</v>
      </c>
      <c r="J43" s="73">
        <f>INDEX(Katalog!$F$3:$F$12,MATCH(cadangan[[#This Row],[ItemID A]],Katalog!$C$3:$C$12,0))*cadangan[[#This Row],[Qty A]]</f>
        <v>150000</v>
      </c>
      <c r="K43" s="73">
        <f>IFERROR(cadangan[[#This Row],[Harga Diskon A]]-INDEX(Katalog!$E$3:$E$12,MATCH(cadangan[[#This Row],[ItemID A]],Katalog!$C$3:$C$12,0))*cadangan[[#This Row],[Qty A]],0)</f>
        <v>150000</v>
      </c>
      <c r="M43" s="39" t="str">
        <f>IFERROR(INDEX(Katalog!$A$3:$A$12,MATCH(cadangan[[#This Row],[ItemID B]],Katalog!$C$3:$C$12,0)),"-")</f>
        <v>-</v>
      </c>
      <c r="N43" s="39" t="str">
        <f>IFERROR(INDEX(Katalog!$B$3:$B$12,MATCH(cadangan[[#This Row],[ItemID B]],Katalog!$C$3:$C$12,0)),"-")</f>
        <v>-</v>
      </c>
      <c r="Q43" s="73">
        <f>IFERROR(INDEX(Katalog!$D$3:$D$12,MATCH(cadangan[[#This Row],[ItemID B]],Katalog!$C$3:$C$12,0))*cadangan[[#This Row],[Qty B]],0)</f>
        <v>0</v>
      </c>
      <c r="R43" s="73">
        <f>IFERROR(cadangan[[#This Row],[Harga Normal B]]-(cadangan[[#This Row],[Harga Normal B]]*cadangan[[#This Row],[Diskon]]),cadangan[[#This Row],[Harga Normal B]])</f>
        <v>0</v>
      </c>
      <c r="S43" s="73">
        <f>IFERROR(INDEX(Katalog!$F$3:$F$12,MATCH(cadangan[[#This Row],[ItemID B]],Katalog!$C$3:$C$12,0))*cadangan[[#This Row],[Qty B]],0)</f>
        <v>0</v>
      </c>
      <c r="T43" s="73">
        <f>IFERROR(cadangan[[#This Row],[Harga Diskon B]]-INDEX(Katalog!$E$3:$E$12,MATCH(cadangan[[#This Row],[ItemID B]],Katalog!$C$3:$C$12,0))*cadangan[[#This Row],[Qty B]],0)</f>
        <v>0</v>
      </c>
      <c r="V43" s="39" t="str">
        <f>IFERROR(INDEX(Katalog!$A$3:$A$12,MATCH(cadangan[[#This Row],[ItemID C]],Katalog!$C$3:$C$12,0)),"-")</f>
        <v>-</v>
      </c>
      <c r="W43" s="39" t="str">
        <f>IFERROR(INDEX(Katalog!$B$3:$B$12,MATCH(cadangan[[#This Row],[ItemID C]],Katalog!$C$3:$C$12,0)),"-")</f>
        <v>-</v>
      </c>
      <c r="Z43" s="73">
        <f>IFERROR(INDEX(Katalog!$D$3:$D$12,MATCH(cadangan[[#This Row],[ItemID C]],Katalog!$C$3:$C$12,0))*cadangan[[#This Row],[Qty C]],0)</f>
        <v>0</v>
      </c>
      <c r="AA43" s="73">
        <f>IFERROR(cadangan[[#This Row],[Harga Normal C]]-(cadangan[[#This Row],[Harga Normal C]]*cadangan[[#This Row],[Diskon]]),cadangan[[#This Row],[Harga Normal C]])</f>
        <v>0</v>
      </c>
      <c r="AB43" s="73">
        <f>IFERROR(INDEX(Katalog!$F$3:$F$12,MATCH(cadangan[[#This Row],[ItemID C]],Katalog!$C$3:$C$12,0))*cadangan[[#This Row],[Qty C]],0)</f>
        <v>0</v>
      </c>
      <c r="AC43" s="73">
        <f>IFERROR(cadangan[[#This Row],[Harga Diskon C]]-INDEX(Katalog!$E$3:$E$12,MATCH(cadangan[[#This Row],[ItemID C]],Katalog!$C$3:$C$12,0))*cadangan[[#This Row],[Qty C]],0)</f>
        <v>0</v>
      </c>
      <c r="AD43" s="53">
        <f>cadangan[[#This Row],[Qty A]]+cadangan[[#This Row],[Qty B]]+cadangan[[#This Row],[Qty C]]</f>
        <v>1</v>
      </c>
      <c r="AE43" s="73">
        <f>cadangan[[#This Row],[Harga Normal A]]+cadangan[[#This Row],[Harga Normal B]]+cadangan[[#This Row],[Harga Normal C]]</f>
        <v>400000</v>
      </c>
      <c r="AF43" s="73">
        <f>cadangan[[#This Row],[Harga Diskon A]]+cadangan[[#This Row],[Harga Diskon B]]+cadangan[[#This Row],[Harga Diskon C]]</f>
        <v>400000</v>
      </c>
      <c r="AG43" s="73">
        <f>(cadangan[[#This Row],[Profit Normal A]]+cadangan[[#This Row],[Profit Normal B]]+cadangan[[#This Row],[Profit Normal C]])</f>
        <v>150000</v>
      </c>
      <c r="AH43" s="73">
        <f>cadangan[[#This Row],[Profit Diskon A]]+cadangan[[#This Row],[Profit Diskon B]]+cadangan[[#This Row],[Profit Diskon C]]</f>
        <v>150000</v>
      </c>
      <c r="AI43" s="23" t="s">
        <v>290</v>
      </c>
      <c r="AJ43" s="37" t="str">
        <f>IFERROR(INDEX('Kode Diskon'!$D$3:$D$9,MATCH(cadangan[[#This Row],[Kode diskon]],'Kode Diskon'!$C$3:$C$9,0)),"-")</f>
        <v>-</v>
      </c>
      <c r="AK43" s="23" t="s">
        <v>290</v>
      </c>
      <c r="AL43" s="23" t="s">
        <v>14</v>
      </c>
      <c r="AM43" s="23" t="s">
        <v>77</v>
      </c>
      <c r="AN43" s="55">
        <v>45031</v>
      </c>
      <c r="AO43" s="53">
        <f>DAY(cadangan[[#This Row],[Tanggal terjual]])</f>
        <v>15</v>
      </c>
      <c r="AP43" s="21" t="str">
        <f>TEXT(cadangan[[#This Row],[Tanggal terjual]],"dddd")</f>
        <v>Saturday</v>
      </c>
      <c r="AQ43" s="23" t="str" cm="1">
        <f t="array" ref="AQ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3" s="61">
        <f>AVERAGE(cadangan[[#This Row],[Rating A]],cadangan[[#This Row],[Rating B]],cadangan[[#This Row],[Rating C]])</f>
        <v>5</v>
      </c>
    </row>
    <row r="44" spans="1:44" x14ac:dyDescent="0.2">
      <c r="A44" s="20">
        <v>43</v>
      </c>
      <c r="B44" s="21" t="str">
        <f>_xlfn.CONCAT("ORD-",INDEX(Helper!$B$2:$B$5,MATCH(cadangan[[#This Row],[Marketplace]],Helper!$A$2:$A$5,0)),TEXT(cadangan[[#This Row],[No]],"0000"),"-",TEXT(cadangan[[#This Row],[Tanggal terjual]],"dd/mm/yy"))</f>
        <v>ORD-BB0043-05/04/23</v>
      </c>
      <c r="C44" s="39" t="s">
        <v>65</v>
      </c>
      <c r="D44" s="39" t="str">
        <f>IFERROR(INDEX(Katalog!$A$3:$A$12,MATCH(cadangan[[#This Row],[ItemID A]],Katalog!$C$3:$C$12,0)),"-")</f>
        <v>Sepatu Pria</v>
      </c>
      <c r="E44" s="39" t="str">
        <f>IFERROR(INDEX(Katalog!$B$3:$B$12,MATCH(cadangan[[#This Row],[ItemID A]],Katalog!$C$3:$C$12,0)),"-")</f>
        <v>Sneakers</v>
      </c>
      <c r="F44" s="50">
        <v>5</v>
      </c>
      <c r="G44" s="50">
        <v>1</v>
      </c>
      <c r="H44" s="73">
        <f>IFERROR(INDEX(Katalog!$D$3:$D$12,MATCH(cadangan[[#This Row],[ItemID A]],Katalog!$C$3:$C$12,0))*cadangan[[#This Row],[Qty A]],0)</f>
        <v>2500000</v>
      </c>
      <c r="I44" s="73">
        <f>IFERROR(cadangan[[#This Row],[Harga Normal A]]-(cadangan[[#This Row],[Harga Normal A]]*cadangan[[#This Row],[Diskon]]),cadangan[[#This Row],[Harga Normal A]])</f>
        <v>2125000</v>
      </c>
      <c r="J44" s="73">
        <f>INDEX(Katalog!$F$3:$F$12,MATCH(cadangan[[#This Row],[ItemID A]],Katalog!$C$3:$C$12,0))*cadangan[[#This Row],[Qty A]]</f>
        <v>1000000</v>
      </c>
      <c r="K44" s="73">
        <f>IFERROR(cadangan[[#This Row],[Harga Diskon A]]-INDEX(Katalog!$E$3:$E$12,MATCH(cadangan[[#This Row],[ItemID A]],Katalog!$C$3:$C$12,0))*cadangan[[#This Row],[Qty A]],0)</f>
        <v>625000</v>
      </c>
      <c r="L44" s="39" t="s">
        <v>59</v>
      </c>
      <c r="M44" s="39" t="str">
        <f>IFERROR(INDEX(Katalog!$A$3:$A$12,MATCH(cadangan[[#This Row],[ItemID B]],Katalog!$C$3:$C$12,0)),"-")</f>
        <v>Pakaian Wanita</v>
      </c>
      <c r="N44" s="39" t="str">
        <f>IFERROR(INDEX(Katalog!$B$3:$B$12,MATCH(cadangan[[#This Row],[ItemID B]],Katalog!$C$3:$C$12,0)),"-")</f>
        <v>Blouse</v>
      </c>
      <c r="O44" s="50">
        <v>2</v>
      </c>
      <c r="P44" s="50">
        <v>3</v>
      </c>
      <c r="Q44" s="73">
        <f>IFERROR(INDEX(Katalog!$D$3:$D$12,MATCH(cadangan[[#This Row],[ItemID B]],Katalog!$C$3:$C$12,0))*cadangan[[#This Row],[Qty B]],0)</f>
        <v>300000</v>
      </c>
      <c r="R44" s="73">
        <f>IFERROR(cadangan[[#This Row],[Harga Normal B]]-(cadangan[[#This Row],[Harga Normal B]]*cadangan[[#This Row],[Diskon]]),cadangan[[#This Row],[Harga Normal B]])</f>
        <v>255000</v>
      </c>
      <c r="S44" s="73">
        <f>IFERROR(INDEX(Katalog!$F$3:$F$12,MATCH(cadangan[[#This Row],[ItemID B]],Katalog!$C$3:$C$12,0))*cadangan[[#This Row],[Qty B]],0)</f>
        <v>100000</v>
      </c>
      <c r="T44" s="73">
        <f>IFERROR(cadangan[[#This Row],[Harga Diskon B]]-INDEX(Katalog!$E$3:$E$12,MATCH(cadangan[[#This Row],[ItemID B]],Katalog!$C$3:$C$12,0))*cadangan[[#This Row],[Qty B]],0)</f>
        <v>55000</v>
      </c>
      <c r="V44" s="39" t="str">
        <f>IFERROR(INDEX(Katalog!$A$3:$A$12,MATCH(cadangan[[#This Row],[ItemID C]],Katalog!$C$3:$C$12,0)),"-")</f>
        <v>-</v>
      </c>
      <c r="W44" s="39" t="str">
        <f>IFERROR(INDEX(Katalog!$B$3:$B$12,MATCH(cadangan[[#This Row],[ItemID C]],Katalog!$C$3:$C$12,0)),"-")</f>
        <v>-</v>
      </c>
      <c r="Z44" s="73">
        <f>IFERROR(INDEX(Katalog!$D$3:$D$12,MATCH(cadangan[[#This Row],[ItemID C]],Katalog!$C$3:$C$12,0))*cadangan[[#This Row],[Qty C]],0)</f>
        <v>0</v>
      </c>
      <c r="AA44" s="73">
        <f>IFERROR(cadangan[[#This Row],[Harga Normal C]]-(cadangan[[#This Row],[Harga Normal C]]*cadangan[[#This Row],[Diskon]]),cadangan[[#This Row],[Harga Normal C]])</f>
        <v>0</v>
      </c>
      <c r="AB44" s="73">
        <f>IFERROR(INDEX(Katalog!$F$3:$F$12,MATCH(cadangan[[#This Row],[ItemID C]],Katalog!$C$3:$C$12,0))*cadangan[[#This Row],[Qty C]],0)</f>
        <v>0</v>
      </c>
      <c r="AC44" s="73">
        <f>IFERROR(cadangan[[#This Row],[Harga Diskon C]]-INDEX(Katalog!$E$3:$E$12,MATCH(cadangan[[#This Row],[ItemID C]],Katalog!$C$3:$C$12,0))*cadangan[[#This Row],[Qty C]],0)</f>
        <v>0</v>
      </c>
      <c r="AD44" s="53">
        <f>cadangan[[#This Row],[Qty A]]+cadangan[[#This Row],[Qty B]]+cadangan[[#This Row],[Qty C]]</f>
        <v>7</v>
      </c>
      <c r="AE44" s="73">
        <f>cadangan[[#This Row],[Harga Normal A]]+cadangan[[#This Row],[Harga Normal B]]+cadangan[[#This Row],[Harga Normal C]]</f>
        <v>2800000</v>
      </c>
      <c r="AF44" s="73">
        <f>cadangan[[#This Row],[Harga Diskon A]]+cadangan[[#This Row],[Harga Diskon B]]+cadangan[[#This Row],[Harga Diskon C]]</f>
        <v>2380000</v>
      </c>
      <c r="AG44" s="73">
        <f>(cadangan[[#This Row],[Profit Normal A]]+cadangan[[#This Row],[Profit Normal B]]+cadangan[[#This Row],[Profit Normal C]])</f>
        <v>1100000</v>
      </c>
      <c r="AH44" s="73">
        <f>cadangan[[#This Row],[Profit Diskon A]]+cadangan[[#This Row],[Profit Diskon B]]+cadangan[[#This Row],[Profit Diskon C]]</f>
        <v>680000</v>
      </c>
      <c r="AI44" s="23" t="s">
        <v>28</v>
      </c>
      <c r="AJ44" s="37">
        <f>IFERROR(INDEX('Kode Diskon'!$D$3:$D$9,MATCH(cadangan[[#This Row],[Kode diskon]],'Kode Diskon'!$C$3:$C$9,0)),"-")</f>
        <v>0.15</v>
      </c>
      <c r="AK44" s="23" t="s">
        <v>29</v>
      </c>
      <c r="AL44" s="23" t="s">
        <v>14</v>
      </c>
      <c r="AM44" s="23" t="s">
        <v>77</v>
      </c>
      <c r="AN44" s="55">
        <v>45021</v>
      </c>
      <c r="AO44" s="53">
        <f>DAY(cadangan[[#This Row],[Tanggal terjual]])</f>
        <v>5</v>
      </c>
      <c r="AP44" s="21" t="str">
        <f>TEXT(cadangan[[#This Row],[Tanggal terjual]],"dddd")</f>
        <v>Wednesday</v>
      </c>
      <c r="AQ44" s="23" t="str" cm="1">
        <f t="array" ref="AQ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 s="61">
        <f>AVERAGE(cadangan[[#This Row],[Rating A]],cadangan[[#This Row],[Rating B]],cadangan[[#This Row],[Rating C]])</f>
        <v>2</v>
      </c>
    </row>
    <row r="45" spans="1:44" x14ac:dyDescent="0.2">
      <c r="A45" s="20">
        <v>44</v>
      </c>
      <c r="B45" s="21" t="str">
        <f>_xlfn.CONCAT("ORD-",INDEX(Helper!$B$2:$B$5,MATCH(cadangan[[#This Row],[Marketplace]],Helper!$A$2:$A$5,0)),TEXT(cadangan[[#This Row],[No]],"0000"),"-",TEXT(cadangan[[#This Row],[Tanggal terjual]],"dd/mm/yy"))</f>
        <v>ORD-SP0044-06/04/23</v>
      </c>
      <c r="C45" s="39" t="s">
        <v>58</v>
      </c>
      <c r="D45" s="39" t="str">
        <f>IFERROR(INDEX(Katalog!$A$3:$A$12,MATCH(cadangan[[#This Row],[ItemID A]],Katalog!$C$3:$C$12,0)),"-")</f>
        <v>Pakaian Wanita</v>
      </c>
      <c r="E45" s="39" t="str">
        <f>IFERROR(INDEX(Katalog!$B$3:$B$12,MATCH(cadangan[[#This Row],[ItemID A]],Katalog!$C$3:$C$12,0)),"-")</f>
        <v>Dress</v>
      </c>
      <c r="F45" s="50">
        <v>4</v>
      </c>
      <c r="G45" s="50">
        <v>3</v>
      </c>
      <c r="H45" s="73">
        <f>IFERROR(INDEX(Katalog!$D$3:$D$12,MATCH(cadangan[[#This Row],[ItemID A]],Katalog!$C$3:$C$12,0))*cadangan[[#This Row],[Qty A]],0)</f>
        <v>1200000</v>
      </c>
      <c r="I45" s="73">
        <f>IFERROR(cadangan[[#This Row],[Harga Normal A]]-(cadangan[[#This Row],[Harga Normal A]]*cadangan[[#This Row],[Diskon]]),cadangan[[#This Row],[Harga Normal A]])</f>
        <v>1020000</v>
      </c>
      <c r="J45" s="73">
        <f>INDEX(Katalog!$F$3:$F$12,MATCH(cadangan[[#This Row],[ItemID A]],Katalog!$C$3:$C$12,0))*cadangan[[#This Row],[Qty A]]</f>
        <v>400000</v>
      </c>
      <c r="K45" s="73">
        <f>IFERROR(cadangan[[#This Row],[Harga Diskon A]]-INDEX(Katalog!$E$3:$E$12,MATCH(cadangan[[#This Row],[ItemID A]],Katalog!$C$3:$C$12,0))*cadangan[[#This Row],[Qty A]],0)</f>
        <v>220000</v>
      </c>
      <c r="L45" s="39" t="s">
        <v>63</v>
      </c>
      <c r="M45" s="39" t="str">
        <f>IFERROR(INDEX(Katalog!$A$3:$A$12,MATCH(cadangan[[#This Row],[ItemID B]],Katalog!$C$3:$C$12,0)),"-")</f>
        <v>Pakaian Pria</v>
      </c>
      <c r="N45" s="39" t="str">
        <f>IFERROR(INDEX(Katalog!$B$3:$B$12,MATCH(cadangan[[#This Row],[ItemID B]],Katalog!$C$3:$C$12,0)),"-")</f>
        <v>Jaket Jeans</v>
      </c>
      <c r="O45" s="50">
        <v>1</v>
      </c>
      <c r="P45" s="50">
        <v>5</v>
      </c>
      <c r="Q45" s="73">
        <f>IFERROR(INDEX(Katalog!$D$3:$D$12,MATCH(cadangan[[#This Row],[ItemID B]],Katalog!$C$3:$C$12,0))*cadangan[[#This Row],[Qty B]],0)</f>
        <v>400000</v>
      </c>
      <c r="R45" s="73">
        <f>IFERROR(cadangan[[#This Row],[Harga Normal B]]-(cadangan[[#This Row],[Harga Normal B]]*cadangan[[#This Row],[Diskon]]),cadangan[[#This Row],[Harga Normal B]])</f>
        <v>340000</v>
      </c>
      <c r="S45" s="73">
        <f>IFERROR(INDEX(Katalog!$F$3:$F$12,MATCH(cadangan[[#This Row],[ItemID B]],Katalog!$C$3:$C$12,0))*cadangan[[#This Row],[Qty B]],0)</f>
        <v>150000</v>
      </c>
      <c r="T45" s="73">
        <f>IFERROR(cadangan[[#This Row],[Harga Diskon B]]-INDEX(Katalog!$E$3:$E$12,MATCH(cadangan[[#This Row],[ItemID B]],Katalog!$C$3:$C$12,0))*cadangan[[#This Row],[Qty B]],0)</f>
        <v>90000</v>
      </c>
      <c r="U45" s="39" t="s">
        <v>60</v>
      </c>
      <c r="V45" s="39" t="str">
        <f>IFERROR(INDEX(Katalog!$A$3:$A$12,MATCH(cadangan[[#This Row],[ItemID C]],Katalog!$C$3:$C$12,0)),"-")</f>
        <v>Pakaian Wanita</v>
      </c>
      <c r="W45" s="39" t="str">
        <f>IFERROR(INDEX(Katalog!$B$3:$B$12,MATCH(cadangan[[#This Row],[ItemID C]],Katalog!$C$3:$C$12,0)),"-")</f>
        <v>Kaftan</v>
      </c>
      <c r="X45" s="50">
        <v>2</v>
      </c>
      <c r="Y45" s="50">
        <v>1</v>
      </c>
      <c r="Z45" s="73">
        <f>IFERROR(INDEX(Katalog!$D$3:$D$12,MATCH(cadangan[[#This Row],[ItemID C]],Katalog!$C$3:$C$12,0))*cadangan[[#This Row],[Qty C]],0)</f>
        <v>500000</v>
      </c>
      <c r="AA45" s="73">
        <f>IFERROR(cadangan[[#This Row],[Harga Normal C]]-(cadangan[[#This Row],[Harga Normal C]]*cadangan[[#This Row],[Diskon]]),cadangan[[#This Row],[Harga Normal C]])</f>
        <v>425000</v>
      </c>
      <c r="AB45" s="73">
        <f>IFERROR(INDEX(Katalog!$F$3:$F$12,MATCH(cadangan[[#This Row],[ItemID C]],Katalog!$C$3:$C$12,0))*cadangan[[#This Row],[Qty C]],0)</f>
        <v>200000</v>
      </c>
      <c r="AC45" s="73">
        <f>IFERROR(cadangan[[#This Row],[Harga Diskon C]]-INDEX(Katalog!$E$3:$E$12,MATCH(cadangan[[#This Row],[ItemID C]],Katalog!$C$3:$C$12,0))*cadangan[[#This Row],[Qty C]],0)</f>
        <v>125000</v>
      </c>
      <c r="AD45" s="53">
        <f>cadangan[[#This Row],[Qty A]]+cadangan[[#This Row],[Qty B]]+cadangan[[#This Row],[Qty C]]</f>
        <v>7</v>
      </c>
      <c r="AE45" s="73">
        <f>cadangan[[#This Row],[Harga Normal A]]+cadangan[[#This Row],[Harga Normal B]]+cadangan[[#This Row],[Harga Normal C]]</f>
        <v>2100000</v>
      </c>
      <c r="AF45" s="73">
        <f>cadangan[[#This Row],[Harga Diskon A]]+cadangan[[#This Row],[Harga Diskon B]]+cadangan[[#This Row],[Harga Diskon C]]</f>
        <v>1785000</v>
      </c>
      <c r="AG45" s="73">
        <f>(cadangan[[#This Row],[Profit Normal A]]+cadangan[[#This Row],[Profit Normal B]]+cadangan[[#This Row],[Profit Normal C]])</f>
        <v>750000</v>
      </c>
      <c r="AH45" s="73">
        <f>cadangan[[#This Row],[Profit Diskon A]]+cadangan[[#This Row],[Profit Diskon B]]+cadangan[[#This Row],[Profit Diskon C]]</f>
        <v>435000</v>
      </c>
      <c r="AI45" s="23" t="s">
        <v>13</v>
      </c>
      <c r="AJ45" s="37">
        <f>IFERROR(INDEX('Kode Diskon'!$D$3:$D$9,MATCH(cadangan[[#This Row],[Kode diskon]],'Kode Diskon'!$C$3:$C$9,0)),"-")</f>
        <v>0.15</v>
      </c>
      <c r="AK45" s="23" t="s">
        <v>29</v>
      </c>
      <c r="AL45" s="23" t="s">
        <v>7</v>
      </c>
      <c r="AM45" s="23" t="s">
        <v>80</v>
      </c>
      <c r="AN45" s="55">
        <v>45022</v>
      </c>
      <c r="AO45" s="53">
        <f>DAY(cadangan[[#This Row],[Tanggal terjual]])</f>
        <v>6</v>
      </c>
      <c r="AP45" s="21" t="str">
        <f>TEXT(cadangan[[#This Row],[Tanggal terjual]],"dddd")</f>
        <v>Thursday</v>
      </c>
      <c r="AQ45" s="23" t="str" cm="1">
        <f t="array" ref="AQ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 s="61">
        <f>AVERAGE(cadangan[[#This Row],[Rating A]],cadangan[[#This Row],[Rating B]],cadangan[[#This Row],[Rating C]])</f>
        <v>3</v>
      </c>
    </row>
    <row r="46" spans="1:44" x14ac:dyDescent="0.2">
      <c r="A46" s="20">
        <v>45</v>
      </c>
      <c r="B46" s="21" t="str">
        <f>_xlfn.CONCAT("ORD-",INDEX(Helper!$B$2:$B$5,MATCH(cadangan[[#This Row],[Marketplace]],Helper!$A$2:$A$5,0)),TEXT(cadangan[[#This Row],[No]],"0000"),"-",TEXT(cadangan[[#This Row],[Tanggal terjual]],"dd/mm/yy"))</f>
        <v>ORD-BL0045-16/04/23</v>
      </c>
      <c r="C46" s="39" t="s">
        <v>59</v>
      </c>
      <c r="D46" s="39" t="str">
        <f>IFERROR(INDEX(Katalog!$A$3:$A$12,MATCH(cadangan[[#This Row],[ItemID A]],Katalog!$C$3:$C$12,0)),"-")</f>
        <v>Pakaian Wanita</v>
      </c>
      <c r="E46" s="39" t="str">
        <f>IFERROR(INDEX(Katalog!$B$3:$B$12,MATCH(cadangan[[#This Row],[ItemID A]],Katalog!$C$3:$C$12,0)),"-")</f>
        <v>Blouse</v>
      </c>
      <c r="F46" s="50">
        <v>2</v>
      </c>
      <c r="G46" s="50">
        <v>3</v>
      </c>
      <c r="H46" s="73">
        <f>IFERROR(INDEX(Katalog!$D$3:$D$12,MATCH(cadangan[[#This Row],[ItemID A]],Katalog!$C$3:$C$12,0))*cadangan[[#This Row],[Qty A]],0)</f>
        <v>300000</v>
      </c>
      <c r="I46" s="73">
        <f>IFERROR(cadangan[[#This Row],[Harga Normal A]]-(cadangan[[#This Row],[Harga Normal A]]*cadangan[[#This Row],[Diskon]]),cadangan[[#This Row],[Harga Normal A]])</f>
        <v>255000</v>
      </c>
      <c r="J46" s="73">
        <f>INDEX(Katalog!$F$3:$F$12,MATCH(cadangan[[#This Row],[ItemID A]],Katalog!$C$3:$C$12,0))*cadangan[[#This Row],[Qty A]]</f>
        <v>100000</v>
      </c>
      <c r="K46" s="73">
        <f>IFERROR(cadangan[[#This Row],[Harga Diskon A]]-INDEX(Katalog!$E$3:$E$12,MATCH(cadangan[[#This Row],[ItemID A]],Katalog!$C$3:$C$12,0))*cadangan[[#This Row],[Qty A]],0)</f>
        <v>55000</v>
      </c>
      <c r="M46" s="39" t="str">
        <f>IFERROR(INDEX(Katalog!$A$3:$A$12,MATCH(cadangan[[#This Row],[ItemID B]],Katalog!$C$3:$C$12,0)),"-")</f>
        <v>-</v>
      </c>
      <c r="N46" s="39" t="str">
        <f>IFERROR(INDEX(Katalog!$B$3:$B$12,MATCH(cadangan[[#This Row],[ItemID B]],Katalog!$C$3:$C$12,0)),"-")</f>
        <v>-</v>
      </c>
      <c r="Q46" s="73">
        <f>IFERROR(INDEX(Katalog!$D$3:$D$12,MATCH(cadangan[[#This Row],[ItemID B]],Katalog!$C$3:$C$12,0))*cadangan[[#This Row],[Qty B]],0)</f>
        <v>0</v>
      </c>
      <c r="R46" s="73">
        <f>IFERROR(cadangan[[#This Row],[Harga Normal B]]-(cadangan[[#This Row],[Harga Normal B]]*cadangan[[#This Row],[Diskon]]),cadangan[[#This Row],[Harga Normal B]])</f>
        <v>0</v>
      </c>
      <c r="S46" s="73">
        <f>IFERROR(INDEX(Katalog!$F$3:$F$12,MATCH(cadangan[[#This Row],[ItemID B]],Katalog!$C$3:$C$12,0))*cadangan[[#This Row],[Qty B]],0)</f>
        <v>0</v>
      </c>
      <c r="T46" s="73">
        <f>IFERROR(cadangan[[#This Row],[Harga Diskon B]]-INDEX(Katalog!$E$3:$E$12,MATCH(cadangan[[#This Row],[ItemID B]],Katalog!$C$3:$C$12,0))*cadangan[[#This Row],[Qty B]],0)</f>
        <v>0</v>
      </c>
      <c r="V46" s="39" t="str">
        <f>IFERROR(INDEX(Katalog!$A$3:$A$12,MATCH(cadangan[[#This Row],[ItemID C]],Katalog!$C$3:$C$12,0)),"-")</f>
        <v>-</v>
      </c>
      <c r="W46" s="39" t="str">
        <f>IFERROR(INDEX(Katalog!$B$3:$B$12,MATCH(cadangan[[#This Row],[ItemID C]],Katalog!$C$3:$C$12,0)),"-")</f>
        <v>-</v>
      </c>
      <c r="Z46" s="73">
        <f>IFERROR(INDEX(Katalog!$D$3:$D$12,MATCH(cadangan[[#This Row],[ItemID C]],Katalog!$C$3:$C$12,0))*cadangan[[#This Row],[Qty C]],0)</f>
        <v>0</v>
      </c>
      <c r="AA46" s="73">
        <f>IFERROR(cadangan[[#This Row],[Harga Normal C]]-(cadangan[[#This Row],[Harga Normal C]]*cadangan[[#This Row],[Diskon]]),cadangan[[#This Row],[Harga Normal C]])</f>
        <v>0</v>
      </c>
      <c r="AB46" s="73">
        <f>IFERROR(INDEX(Katalog!$F$3:$F$12,MATCH(cadangan[[#This Row],[ItemID C]],Katalog!$C$3:$C$12,0))*cadangan[[#This Row],[Qty C]],0)</f>
        <v>0</v>
      </c>
      <c r="AC46" s="73">
        <f>IFERROR(cadangan[[#This Row],[Harga Diskon C]]-INDEX(Katalog!$E$3:$E$12,MATCH(cadangan[[#This Row],[ItemID C]],Katalog!$C$3:$C$12,0))*cadangan[[#This Row],[Qty C]],0)</f>
        <v>0</v>
      </c>
      <c r="AD46" s="53">
        <f>cadangan[[#This Row],[Qty A]]+cadangan[[#This Row],[Qty B]]+cadangan[[#This Row],[Qty C]]</f>
        <v>2</v>
      </c>
      <c r="AE46" s="73">
        <f>cadangan[[#This Row],[Harga Normal A]]+cadangan[[#This Row],[Harga Normal B]]+cadangan[[#This Row],[Harga Normal C]]</f>
        <v>300000</v>
      </c>
      <c r="AF46" s="73">
        <f>cadangan[[#This Row],[Harga Diskon A]]+cadangan[[#This Row],[Harga Diskon B]]+cadangan[[#This Row],[Harga Diskon C]]</f>
        <v>255000</v>
      </c>
      <c r="AG46" s="73">
        <f>(cadangan[[#This Row],[Profit Normal A]]+cadangan[[#This Row],[Profit Normal B]]+cadangan[[#This Row],[Profit Normal C]])</f>
        <v>100000</v>
      </c>
      <c r="AH46" s="73">
        <f>cadangan[[#This Row],[Profit Diskon A]]+cadangan[[#This Row],[Profit Diskon B]]+cadangan[[#This Row],[Profit Diskon C]]</f>
        <v>55000</v>
      </c>
      <c r="AI46" s="23" t="s">
        <v>32</v>
      </c>
      <c r="AJ46" s="37">
        <f>IFERROR(INDEX('Kode Diskon'!$D$3:$D$9,MATCH(cadangan[[#This Row],[Kode diskon]],'Kode Diskon'!$C$3:$C$9,0)),"-")</f>
        <v>0.15</v>
      </c>
      <c r="AK46" s="23" t="s">
        <v>9</v>
      </c>
      <c r="AL46" s="23" t="s">
        <v>12</v>
      </c>
      <c r="AM46" s="23" t="s">
        <v>80</v>
      </c>
      <c r="AN46" s="55">
        <v>45032</v>
      </c>
      <c r="AO46" s="53">
        <f>DAY(cadangan[[#This Row],[Tanggal terjual]])</f>
        <v>16</v>
      </c>
      <c r="AP46" s="21" t="str">
        <f>TEXT(cadangan[[#This Row],[Tanggal terjual]],"dddd")</f>
        <v>Sunday</v>
      </c>
      <c r="AQ46" s="23" t="str" cm="1">
        <f t="array" ref="AQ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6" s="61">
        <f>AVERAGE(cadangan[[#This Row],[Rating A]],cadangan[[#This Row],[Rating B]],cadangan[[#This Row],[Rating C]])</f>
        <v>3</v>
      </c>
    </row>
    <row r="47" spans="1:44" x14ac:dyDescent="0.2">
      <c r="A47" s="20">
        <v>46</v>
      </c>
      <c r="B47" s="21" t="str">
        <f>_xlfn.CONCAT("ORD-",INDEX(Helper!$B$2:$B$5,MATCH(cadangan[[#This Row],[Marketplace]],Helper!$A$2:$A$5,0)),TEXT(cadangan[[#This Row],[No]],"0000"),"-",TEXT(cadangan[[#This Row],[Tanggal terjual]],"dd/mm/yy"))</f>
        <v>ORD-BL0046-28/04/23</v>
      </c>
      <c r="C47" s="39" t="s">
        <v>65</v>
      </c>
      <c r="D47" s="39" t="str">
        <f>IFERROR(INDEX(Katalog!$A$3:$A$12,MATCH(cadangan[[#This Row],[ItemID A]],Katalog!$C$3:$C$12,0)),"-")</f>
        <v>Sepatu Pria</v>
      </c>
      <c r="E47" s="39" t="str">
        <f>IFERROR(INDEX(Katalog!$B$3:$B$12,MATCH(cadangan[[#This Row],[ItemID A]],Katalog!$C$3:$C$12,0)),"-")</f>
        <v>Sneakers</v>
      </c>
      <c r="F47" s="50">
        <v>1</v>
      </c>
      <c r="G47" s="50">
        <v>2</v>
      </c>
      <c r="H47" s="73">
        <f>IFERROR(INDEX(Katalog!$D$3:$D$12,MATCH(cadangan[[#This Row],[ItemID A]],Katalog!$C$3:$C$12,0))*cadangan[[#This Row],[Qty A]],0)</f>
        <v>500000</v>
      </c>
      <c r="I47" s="73">
        <f>IFERROR(cadangan[[#This Row],[Harga Normal A]]-(cadangan[[#This Row],[Harga Normal A]]*cadangan[[#This Row],[Diskon]]),cadangan[[#This Row],[Harga Normal A]])</f>
        <v>425000</v>
      </c>
      <c r="J47" s="73">
        <f>INDEX(Katalog!$F$3:$F$12,MATCH(cadangan[[#This Row],[ItemID A]],Katalog!$C$3:$C$12,0))*cadangan[[#This Row],[Qty A]]</f>
        <v>200000</v>
      </c>
      <c r="K47" s="73">
        <f>IFERROR(cadangan[[#This Row],[Harga Diskon A]]-INDEX(Katalog!$E$3:$E$12,MATCH(cadangan[[#This Row],[ItemID A]],Katalog!$C$3:$C$12,0))*cadangan[[#This Row],[Qty A]],0)</f>
        <v>125000</v>
      </c>
      <c r="L47" s="39" t="s">
        <v>58</v>
      </c>
      <c r="M47" s="39" t="str">
        <f>IFERROR(INDEX(Katalog!$A$3:$A$12,MATCH(cadangan[[#This Row],[ItemID B]],Katalog!$C$3:$C$12,0)),"-")</f>
        <v>Pakaian Wanita</v>
      </c>
      <c r="N47" s="39" t="str">
        <f>IFERROR(INDEX(Katalog!$B$3:$B$12,MATCH(cadangan[[#This Row],[ItemID B]],Katalog!$C$3:$C$12,0)),"-")</f>
        <v>Dress</v>
      </c>
      <c r="O47" s="50">
        <v>1</v>
      </c>
      <c r="P47" s="50">
        <v>1</v>
      </c>
      <c r="Q47" s="73">
        <f>IFERROR(INDEX(Katalog!$D$3:$D$12,MATCH(cadangan[[#This Row],[ItemID B]],Katalog!$C$3:$C$12,0))*cadangan[[#This Row],[Qty B]],0)</f>
        <v>300000</v>
      </c>
      <c r="R47" s="73">
        <f>IFERROR(cadangan[[#This Row],[Harga Normal B]]-(cadangan[[#This Row],[Harga Normal B]]*cadangan[[#This Row],[Diskon]]),cadangan[[#This Row],[Harga Normal B]])</f>
        <v>255000</v>
      </c>
      <c r="S47" s="73">
        <f>IFERROR(INDEX(Katalog!$F$3:$F$12,MATCH(cadangan[[#This Row],[ItemID B]],Katalog!$C$3:$C$12,0))*cadangan[[#This Row],[Qty B]],0)</f>
        <v>100000</v>
      </c>
      <c r="T47" s="73">
        <f>IFERROR(cadangan[[#This Row],[Harga Diskon B]]-INDEX(Katalog!$E$3:$E$12,MATCH(cadangan[[#This Row],[ItemID B]],Katalog!$C$3:$C$12,0))*cadangan[[#This Row],[Qty B]],0)</f>
        <v>55000</v>
      </c>
      <c r="U47" s="39" t="s">
        <v>63</v>
      </c>
      <c r="V47" s="39" t="str">
        <f>IFERROR(INDEX(Katalog!$A$3:$A$12,MATCH(cadangan[[#This Row],[ItemID C]],Katalog!$C$3:$C$12,0)),"-")</f>
        <v>Pakaian Pria</v>
      </c>
      <c r="W47" s="39" t="str">
        <f>IFERROR(INDEX(Katalog!$B$3:$B$12,MATCH(cadangan[[#This Row],[ItemID C]],Katalog!$C$3:$C$12,0)),"-")</f>
        <v>Jaket Jeans</v>
      </c>
      <c r="X47" s="50">
        <v>1</v>
      </c>
      <c r="Y47" s="50">
        <v>4</v>
      </c>
      <c r="Z47" s="73">
        <f>IFERROR(INDEX(Katalog!$D$3:$D$12,MATCH(cadangan[[#This Row],[ItemID C]],Katalog!$C$3:$C$12,0))*cadangan[[#This Row],[Qty C]],0)</f>
        <v>400000</v>
      </c>
      <c r="AA47" s="73">
        <f>IFERROR(cadangan[[#This Row],[Harga Normal C]]-(cadangan[[#This Row],[Harga Normal C]]*cadangan[[#This Row],[Diskon]]),cadangan[[#This Row],[Harga Normal C]])</f>
        <v>340000</v>
      </c>
      <c r="AB47" s="73">
        <f>IFERROR(INDEX(Katalog!$F$3:$F$12,MATCH(cadangan[[#This Row],[ItemID C]],Katalog!$C$3:$C$12,0))*cadangan[[#This Row],[Qty C]],0)</f>
        <v>150000</v>
      </c>
      <c r="AC47" s="73">
        <f>IFERROR(cadangan[[#This Row],[Harga Diskon C]]-INDEX(Katalog!$E$3:$E$12,MATCH(cadangan[[#This Row],[ItemID C]],Katalog!$C$3:$C$12,0))*cadangan[[#This Row],[Qty C]],0)</f>
        <v>90000</v>
      </c>
      <c r="AD47" s="53">
        <f>cadangan[[#This Row],[Qty A]]+cadangan[[#This Row],[Qty B]]+cadangan[[#This Row],[Qty C]]</f>
        <v>3</v>
      </c>
      <c r="AE47" s="73">
        <f>cadangan[[#This Row],[Harga Normal A]]+cadangan[[#This Row],[Harga Normal B]]+cadangan[[#This Row],[Harga Normal C]]</f>
        <v>1200000</v>
      </c>
      <c r="AF47" s="73">
        <f>cadangan[[#This Row],[Harga Diskon A]]+cadangan[[#This Row],[Harga Diskon B]]+cadangan[[#This Row],[Harga Diskon C]]</f>
        <v>1020000</v>
      </c>
      <c r="AG47" s="73">
        <f>(cadangan[[#This Row],[Profit Normal A]]+cadangan[[#This Row],[Profit Normal B]]+cadangan[[#This Row],[Profit Normal C]])</f>
        <v>450000</v>
      </c>
      <c r="AH47" s="73">
        <f>cadangan[[#This Row],[Profit Diskon A]]+cadangan[[#This Row],[Profit Diskon B]]+cadangan[[#This Row],[Profit Diskon C]]</f>
        <v>270000</v>
      </c>
      <c r="AI47" s="23" t="s">
        <v>32</v>
      </c>
      <c r="AJ47" s="37">
        <f>IFERROR(INDEX('Kode Diskon'!$D$3:$D$9,MATCH(cadangan[[#This Row],[Kode diskon]],'Kode Diskon'!$C$3:$C$9,0)),"-")</f>
        <v>0.15</v>
      </c>
      <c r="AK47" s="23" t="s">
        <v>9</v>
      </c>
      <c r="AL47" s="23" t="s">
        <v>12</v>
      </c>
      <c r="AM47" s="23" t="s">
        <v>77</v>
      </c>
      <c r="AN47" s="55">
        <v>45044</v>
      </c>
      <c r="AO47" s="53">
        <f>DAY(cadangan[[#This Row],[Tanggal terjual]])</f>
        <v>28</v>
      </c>
      <c r="AP47" s="21" t="str">
        <f>TEXT(cadangan[[#This Row],[Tanggal terjual]],"dddd")</f>
        <v>Friday</v>
      </c>
      <c r="AQ47" s="23" t="str" cm="1">
        <f t="array" ref="AQ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7" s="61">
        <f>AVERAGE(cadangan[[#This Row],[Rating A]],cadangan[[#This Row],[Rating B]],cadangan[[#This Row],[Rating C]])</f>
        <v>2.3333333333333335</v>
      </c>
    </row>
    <row r="48" spans="1:44" x14ac:dyDescent="0.2">
      <c r="A48" s="20">
        <v>47</v>
      </c>
      <c r="B48" s="21" t="str">
        <f>_xlfn.CONCAT("ORD-",INDEX(Helper!$B$2:$B$5,MATCH(cadangan[[#This Row],[Marketplace]],Helper!$A$2:$A$5,0)),TEXT(cadangan[[#This Row],[No]],"0000"),"-",TEXT(cadangan[[#This Row],[Tanggal terjual]],"dd/mm/yy"))</f>
        <v>ORD-SP0047-04/04/23</v>
      </c>
      <c r="C48" s="39" t="s">
        <v>58</v>
      </c>
      <c r="D48" s="39" t="str">
        <f>IFERROR(INDEX(Katalog!$A$3:$A$12,MATCH(cadangan[[#This Row],[ItemID A]],Katalog!$C$3:$C$12,0)),"-")</f>
        <v>Pakaian Wanita</v>
      </c>
      <c r="E48" s="39" t="str">
        <f>IFERROR(INDEX(Katalog!$B$3:$B$12,MATCH(cadangan[[#This Row],[ItemID A]],Katalog!$C$3:$C$12,0)),"-")</f>
        <v>Dress</v>
      </c>
      <c r="F48" s="50">
        <v>1</v>
      </c>
      <c r="G48" s="50">
        <v>1</v>
      </c>
      <c r="H48" s="73">
        <f>IFERROR(INDEX(Katalog!$D$3:$D$12,MATCH(cadangan[[#This Row],[ItemID A]],Katalog!$C$3:$C$12,0))*cadangan[[#This Row],[Qty A]],0)</f>
        <v>300000</v>
      </c>
      <c r="I48" s="73">
        <f>IFERROR(cadangan[[#This Row],[Harga Normal A]]-(cadangan[[#This Row],[Harga Normal A]]*cadangan[[#This Row],[Diskon]]),cadangan[[#This Row],[Harga Normal A]])</f>
        <v>270000</v>
      </c>
      <c r="J48" s="73">
        <f>INDEX(Katalog!$F$3:$F$12,MATCH(cadangan[[#This Row],[ItemID A]],Katalog!$C$3:$C$12,0))*cadangan[[#This Row],[Qty A]]</f>
        <v>100000</v>
      </c>
      <c r="K48" s="73">
        <f>IFERROR(cadangan[[#This Row],[Harga Diskon A]]-INDEX(Katalog!$E$3:$E$12,MATCH(cadangan[[#This Row],[ItemID A]],Katalog!$C$3:$C$12,0))*cadangan[[#This Row],[Qty A]],0)</f>
        <v>70000</v>
      </c>
      <c r="L48" s="39" t="s">
        <v>63</v>
      </c>
      <c r="M48" s="39" t="str">
        <f>IFERROR(INDEX(Katalog!$A$3:$A$12,MATCH(cadangan[[#This Row],[ItemID B]],Katalog!$C$3:$C$12,0)),"-")</f>
        <v>Pakaian Pria</v>
      </c>
      <c r="N48" s="39" t="str">
        <f>IFERROR(INDEX(Katalog!$B$3:$B$12,MATCH(cadangan[[#This Row],[ItemID B]],Katalog!$C$3:$C$12,0)),"-")</f>
        <v>Jaket Jeans</v>
      </c>
      <c r="O48" s="50">
        <v>2</v>
      </c>
      <c r="P48" s="50">
        <v>3</v>
      </c>
      <c r="Q48" s="73">
        <f>IFERROR(INDEX(Katalog!$D$3:$D$12,MATCH(cadangan[[#This Row],[ItemID B]],Katalog!$C$3:$C$12,0))*cadangan[[#This Row],[Qty B]],0)</f>
        <v>800000</v>
      </c>
      <c r="R48" s="73">
        <f>IFERROR(cadangan[[#This Row],[Harga Normal B]]-(cadangan[[#This Row],[Harga Normal B]]*cadangan[[#This Row],[Diskon]]),cadangan[[#This Row],[Harga Normal B]])</f>
        <v>720000</v>
      </c>
      <c r="S48" s="73">
        <f>IFERROR(INDEX(Katalog!$F$3:$F$12,MATCH(cadangan[[#This Row],[ItemID B]],Katalog!$C$3:$C$12,0))*cadangan[[#This Row],[Qty B]],0)</f>
        <v>300000</v>
      </c>
      <c r="T48" s="73">
        <f>IFERROR(cadangan[[#This Row],[Harga Diskon B]]-INDEX(Katalog!$E$3:$E$12,MATCH(cadangan[[#This Row],[ItemID B]],Katalog!$C$3:$C$12,0))*cadangan[[#This Row],[Qty B]],0)</f>
        <v>220000</v>
      </c>
      <c r="V48" s="39" t="str">
        <f>IFERROR(INDEX(Katalog!$A$3:$A$12,MATCH(cadangan[[#This Row],[ItemID C]],Katalog!$C$3:$C$12,0)),"-")</f>
        <v>-</v>
      </c>
      <c r="W48" s="39" t="str">
        <f>IFERROR(INDEX(Katalog!$B$3:$B$12,MATCH(cadangan[[#This Row],[ItemID C]],Katalog!$C$3:$C$12,0)),"-")</f>
        <v>-</v>
      </c>
      <c r="Z48" s="73">
        <f>IFERROR(INDEX(Katalog!$D$3:$D$12,MATCH(cadangan[[#This Row],[ItemID C]],Katalog!$C$3:$C$12,0))*cadangan[[#This Row],[Qty C]],0)</f>
        <v>0</v>
      </c>
      <c r="AA48" s="73">
        <f>IFERROR(cadangan[[#This Row],[Harga Normal C]]-(cadangan[[#This Row],[Harga Normal C]]*cadangan[[#This Row],[Diskon]]),cadangan[[#This Row],[Harga Normal C]])</f>
        <v>0</v>
      </c>
      <c r="AB48" s="73">
        <f>IFERROR(INDEX(Katalog!$F$3:$F$12,MATCH(cadangan[[#This Row],[ItemID C]],Katalog!$C$3:$C$12,0))*cadangan[[#This Row],[Qty C]],0)</f>
        <v>0</v>
      </c>
      <c r="AC48" s="73">
        <f>IFERROR(cadangan[[#This Row],[Harga Diskon C]]-INDEX(Katalog!$E$3:$E$12,MATCH(cadangan[[#This Row],[ItemID C]],Katalog!$C$3:$C$12,0))*cadangan[[#This Row],[Qty C]],0)</f>
        <v>0</v>
      </c>
      <c r="AD48" s="53">
        <f>cadangan[[#This Row],[Qty A]]+cadangan[[#This Row],[Qty B]]+cadangan[[#This Row],[Qty C]]</f>
        <v>3</v>
      </c>
      <c r="AE48" s="73">
        <f>cadangan[[#This Row],[Harga Normal A]]+cadangan[[#This Row],[Harga Normal B]]+cadangan[[#This Row],[Harga Normal C]]</f>
        <v>1100000</v>
      </c>
      <c r="AF48" s="73">
        <f>cadangan[[#This Row],[Harga Diskon A]]+cadangan[[#This Row],[Harga Diskon B]]+cadangan[[#This Row],[Harga Diskon C]]</f>
        <v>990000</v>
      </c>
      <c r="AG48" s="73">
        <f>(cadangan[[#This Row],[Profit Normal A]]+cadangan[[#This Row],[Profit Normal B]]+cadangan[[#This Row],[Profit Normal C]])</f>
        <v>400000</v>
      </c>
      <c r="AH48" s="73">
        <f>cadangan[[#This Row],[Profit Diskon A]]+cadangan[[#This Row],[Profit Diskon B]]+cadangan[[#This Row],[Profit Diskon C]]</f>
        <v>290000</v>
      </c>
      <c r="AI48" s="23" t="s">
        <v>6</v>
      </c>
      <c r="AJ48" s="37">
        <f>IFERROR(INDEX('Kode Diskon'!$D$3:$D$9,MATCH(cadangan[[#This Row],[Kode diskon]],'Kode Diskon'!$C$3:$C$9,0)),"-")</f>
        <v>0.1</v>
      </c>
      <c r="AK48" s="23" t="s">
        <v>29</v>
      </c>
      <c r="AL48" s="23" t="s">
        <v>7</v>
      </c>
      <c r="AM48" s="23" t="s">
        <v>79</v>
      </c>
      <c r="AN48" s="55">
        <v>45020</v>
      </c>
      <c r="AO48" s="53">
        <f>DAY(cadangan[[#This Row],[Tanggal terjual]])</f>
        <v>4</v>
      </c>
      <c r="AP48" s="21" t="str">
        <f>TEXT(cadangan[[#This Row],[Tanggal terjual]],"dddd")</f>
        <v>Tuesday</v>
      </c>
      <c r="AQ48" s="23" t="str" cm="1">
        <f t="array" ref="AQ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 s="61">
        <f>AVERAGE(cadangan[[#This Row],[Rating A]],cadangan[[#This Row],[Rating B]],cadangan[[#This Row],[Rating C]])</f>
        <v>2</v>
      </c>
    </row>
    <row r="49" spans="1:44" x14ac:dyDescent="0.2">
      <c r="A49" s="20">
        <v>48</v>
      </c>
      <c r="B49" s="21" t="str">
        <f>_xlfn.CONCAT("ORD-",INDEX(Helper!$B$2:$B$5,MATCH(cadangan[[#This Row],[Marketplace]],Helper!$A$2:$A$5,0)),TEXT(cadangan[[#This Row],[No]],"0000"),"-",TEXT(cadangan[[#This Row],[Tanggal terjual]],"dd/mm/yy"))</f>
        <v>ORD-SP0048-01/04/23</v>
      </c>
      <c r="C49" s="39" t="s">
        <v>61</v>
      </c>
      <c r="D49" s="39" t="str">
        <f>IFERROR(INDEX(Katalog!$A$3:$A$12,MATCH(cadangan[[#This Row],[ItemID A]],Katalog!$C$3:$C$12,0)),"-")</f>
        <v>Pakaian Pria</v>
      </c>
      <c r="E49" s="39" t="str">
        <f>IFERROR(INDEX(Katalog!$B$3:$B$12,MATCH(cadangan[[#This Row],[ItemID A]],Katalog!$C$3:$C$12,0)),"-")</f>
        <v>Kaos Polo</v>
      </c>
      <c r="F49" s="50">
        <v>4</v>
      </c>
      <c r="G49" s="50">
        <v>1</v>
      </c>
      <c r="H49" s="73">
        <f>IFERROR(INDEX(Katalog!$D$3:$D$12,MATCH(cadangan[[#This Row],[ItemID A]],Katalog!$C$3:$C$12,0))*cadangan[[#This Row],[Qty A]],0)</f>
        <v>800000</v>
      </c>
      <c r="I49" s="73">
        <f>IFERROR(cadangan[[#This Row],[Harga Normal A]]-(cadangan[[#This Row],[Harga Normal A]]*cadangan[[#This Row],[Diskon]]),cadangan[[#This Row],[Harga Normal A]])</f>
        <v>680000</v>
      </c>
      <c r="J49" s="73">
        <f>INDEX(Katalog!$F$3:$F$12,MATCH(cadangan[[#This Row],[ItemID A]],Katalog!$C$3:$C$12,0))*cadangan[[#This Row],[Qty A]]</f>
        <v>320000</v>
      </c>
      <c r="K49" s="73">
        <f>IFERROR(cadangan[[#This Row],[Harga Diskon A]]-INDEX(Katalog!$E$3:$E$12,MATCH(cadangan[[#This Row],[ItemID A]],Katalog!$C$3:$C$12,0))*cadangan[[#This Row],[Qty A]],0)</f>
        <v>200000</v>
      </c>
      <c r="M49" s="39" t="str">
        <f>IFERROR(INDEX(Katalog!$A$3:$A$12,MATCH(cadangan[[#This Row],[ItemID B]],Katalog!$C$3:$C$12,0)),"-")</f>
        <v>-</v>
      </c>
      <c r="N49" s="39" t="str">
        <f>IFERROR(INDEX(Katalog!$B$3:$B$12,MATCH(cadangan[[#This Row],[ItemID B]],Katalog!$C$3:$C$12,0)),"-")</f>
        <v>-</v>
      </c>
      <c r="Q49" s="73">
        <f>IFERROR(INDEX(Katalog!$D$3:$D$12,MATCH(cadangan[[#This Row],[ItemID B]],Katalog!$C$3:$C$12,0))*cadangan[[#This Row],[Qty B]],0)</f>
        <v>0</v>
      </c>
      <c r="R49" s="73">
        <f>IFERROR(cadangan[[#This Row],[Harga Normal B]]-(cadangan[[#This Row],[Harga Normal B]]*cadangan[[#This Row],[Diskon]]),cadangan[[#This Row],[Harga Normal B]])</f>
        <v>0</v>
      </c>
      <c r="S49" s="73">
        <f>IFERROR(INDEX(Katalog!$F$3:$F$12,MATCH(cadangan[[#This Row],[ItemID B]],Katalog!$C$3:$C$12,0))*cadangan[[#This Row],[Qty B]],0)</f>
        <v>0</v>
      </c>
      <c r="T49" s="73">
        <f>IFERROR(cadangan[[#This Row],[Harga Diskon B]]-INDEX(Katalog!$E$3:$E$12,MATCH(cadangan[[#This Row],[ItemID B]],Katalog!$C$3:$C$12,0))*cadangan[[#This Row],[Qty B]],0)</f>
        <v>0</v>
      </c>
      <c r="V49" s="39" t="str">
        <f>IFERROR(INDEX(Katalog!$A$3:$A$12,MATCH(cadangan[[#This Row],[ItemID C]],Katalog!$C$3:$C$12,0)),"-")</f>
        <v>-</v>
      </c>
      <c r="W49" s="39" t="str">
        <f>IFERROR(INDEX(Katalog!$B$3:$B$12,MATCH(cadangan[[#This Row],[ItemID C]],Katalog!$C$3:$C$12,0)),"-")</f>
        <v>-</v>
      </c>
      <c r="Z49" s="73">
        <f>IFERROR(INDEX(Katalog!$D$3:$D$12,MATCH(cadangan[[#This Row],[ItemID C]],Katalog!$C$3:$C$12,0))*cadangan[[#This Row],[Qty C]],0)</f>
        <v>0</v>
      </c>
      <c r="AA49" s="73">
        <f>IFERROR(cadangan[[#This Row],[Harga Normal C]]-(cadangan[[#This Row],[Harga Normal C]]*cadangan[[#This Row],[Diskon]]),cadangan[[#This Row],[Harga Normal C]])</f>
        <v>0</v>
      </c>
      <c r="AB49" s="73">
        <f>IFERROR(INDEX(Katalog!$F$3:$F$12,MATCH(cadangan[[#This Row],[ItemID C]],Katalog!$C$3:$C$12,0))*cadangan[[#This Row],[Qty C]],0)</f>
        <v>0</v>
      </c>
      <c r="AC49" s="73">
        <f>IFERROR(cadangan[[#This Row],[Harga Diskon C]]-INDEX(Katalog!$E$3:$E$12,MATCH(cadangan[[#This Row],[ItemID C]],Katalog!$C$3:$C$12,0))*cadangan[[#This Row],[Qty C]],0)</f>
        <v>0</v>
      </c>
      <c r="AD49" s="53">
        <f>cadangan[[#This Row],[Qty A]]+cadangan[[#This Row],[Qty B]]+cadangan[[#This Row],[Qty C]]</f>
        <v>4</v>
      </c>
      <c r="AE49" s="73">
        <f>cadangan[[#This Row],[Harga Normal A]]+cadangan[[#This Row],[Harga Normal B]]+cadangan[[#This Row],[Harga Normal C]]</f>
        <v>800000</v>
      </c>
      <c r="AF49" s="73">
        <f>cadangan[[#This Row],[Harga Diskon A]]+cadangan[[#This Row],[Harga Diskon B]]+cadangan[[#This Row],[Harga Diskon C]]</f>
        <v>680000</v>
      </c>
      <c r="AG49" s="73">
        <f>(cadangan[[#This Row],[Profit Normal A]]+cadangan[[#This Row],[Profit Normal B]]+cadangan[[#This Row],[Profit Normal C]])</f>
        <v>320000</v>
      </c>
      <c r="AH49" s="73">
        <f>cadangan[[#This Row],[Profit Diskon A]]+cadangan[[#This Row],[Profit Diskon B]]+cadangan[[#This Row],[Profit Diskon C]]</f>
        <v>200000</v>
      </c>
      <c r="AI49" s="23" t="s">
        <v>13</v>
      </c>
      <c r="AJ49" s="37">
        <f>IFERROR(INDEX('Kode Diskon'!$D$3:$D$9,MATCH(cadangan[[#This Row],[Kode diskon]],'Kode Diskon'!$C$3:$C$9,0)),"-")</f>
        <v>0.15</v>
      </c>
      <c r="AK49" s="23" t="s">
        <v>29</v>
      </c>
      <c r="AL49" s="23" t="s">
        <v>7</v>
      </c>
      <c r="AM49" s="23" t="s">
        <v>80</v>
      </c>
      <c r="AN49" s="55">
        <v>45017</v>
      </c>
      <c r="AO49" s="53">
        <f>DAY(cadangan[[#This Row],[Tanggal terjual]])</f>
        <v>1</v>
      </c>
      <c r="AP49" s="21" t="str">
        <f>TEXT(cadangan[[#This Row],[Tanggal terjual]],"dddd")</f>
        <v>Saturday</v>
      </c>
      <c r="AQ49" s="23" t="str" cm="1">
        <f t="array" ref="AQ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 s="61">
        <f>AVERAGE(cadangan[[#This Row],[Rating A]],cadangan[[#This Row],[Rating B]],cadangan[[#This Row],[Rating C]])</f>
        <v>1</v>
      </c>
    </row>
    <row r="50" spans="1:44" x14ac:dyDescent="0.2">
      <c r="A50" s="20">
        <v>49</v>
      </c>
      <c r="B50" s="21" t="str">
        <f>_xlfn.CONCAT("ORD-",INDEX(Helper!$B$2:$B$5,MATCH(cadangan[[#This Row],[Marketplace]],Helper!$A$2:$A$5,0)),TEXT(cadangan[[#This Row],[No]],"0000"),"-",TEXT(cadangan[[#This Row],[Tanggal terjual]],"dd/mm/yy"))</f>
        <v>ORD-TK0049-05/04/23</v>
      </c>
      <c r="C50" s="39" t="s">
        <v>64</v>
      </c>
      <c r="D50" s="39" t="str">
        <f>IFERROR(INDEX(Katalog!$A$3:$A$12,MATCH(cadangan[[#This Row],[ItemID A]],Katalog!$C$3:$C$12,0)),"-")</f>
        <v>Pakaian Unisex</v>
      </c>
      <c r="E50" s="39" t="str">
        <f>IFERROR(INDEX(Katalog!$B$3:$B$12,MATCH(cadangan[[#This Row],[ItemID A]],Katalog!$C$3:$C$12,0)),"-")</f>
        <v>Jaket Hoodie</v>
      </c>
      <c r="F50" s="50">
        <v>1</v>
      </c>
      <c r="G50" s="50">
        <v>3</v>
      </c>
      <c r="H50" s="73">
        <f>IFERROR(INDEX(Katalog!$D$3:$D$12,MATCH(cadangan[[#This Row],[ItemID A]],Katalog!$C$3:$C$12,0))*cadangan[[#This Row],[Qty A]],0)</f>
        <v>350000</v>
      </c>
      <c r="I50" s="73">
        <f>IFERROR(cadangan[[#This Row],[Harga Normal A]]-(cadangan[[#This Row],[Harga Normal A]]*cadangan[[#This Row],[Diskon]]),cadangan[[#This Row],[Harga Normal A]])</f>
        <v>315000</v>
      </c>
      <c r="J50" s="73">
        <f>INDEX(Katalog!$F$3:$F$12,MATCH(cadangan[[#This Row],[ItemID A]],Katalog!$C$3:$C$12,0))*cadangan[[#This Row],[Qty A]]</f>
        <v>130000</v>
      </c>
      <c r="K50" s="73">
        <f>IFERROR(cadangan[[#This Row],[Harga Diskon A]]-INDEX(Katalog!$E$3:$E$12,MATCH(cadangan[[#This Row],[ItemID A]],Katalog!$C$3:$C$12,0))*cadangan[[#This Row],[Qty A]],0)</f>
        <v>95000</v>
      </c>
      <c r="L50" s="39" t="s">
        <v>67</v>
      </c>
      <c r="M50" s="39" t="str">
        <f>IFERROR(INDEX(Katalog!$A$3:$A$12,MATCH(cadangan[[#This Row],[ItemID B]],Katalog!$C$3:$C$12,0)),"-")</f>
        <v>Sepatu Wanita</v>
      </c>
      <c r="N50" s="39" t="str">
        <f>IFERROR(INDEX(Katalog!$B$3:$B$12,MATCH(cadangan[[#This Row],[ItemID B]],Katalog!$C$3:$C$12,0)),"-")</f>
        <v>Flat Shoes</v>
      </c>
      <c r="O50" s="50">
        <v>4</v>
      </c>
      <c r="P50" s="50">
        <v>3</v>
      </c>
      <c r="Q50" s="73">
        <f>IFERROR(INDEX(Katalog!$D$3:$D$12,MATCH(cadangan[[#This Row],[ItemID B]],Katalog!$C$3:$C$12,0))*cadangan[[#This Row],[Qty B]],0)</f>
        <v>1000000</v>
      </c>
      <c r="R50" s="73">
        <f>IFERROR(cadangan[[#This Row],[Harga Normal B]]-(cadangan[[#This Row],[Harga Normal B]]*cadangan[[#This Row],[Diskon]]),cadangan[[#This Row],[Harga Normal B]])</f>
        <v>900000</v>
      </c>
      <c r="S50" s="73">
        <f>IFERROR(INDEX(Katalog!$F$3:$F$12,MATCH(cadangan[[#This Row],[ItemID B]],Katalog!$C$3:$C$12,0))*cadangan[[#This Row],[Qty B]],0)</f>
        <v>400000</v>
      </c>
      <c r="T50" s="73">
        <f>IFERROR(cadangan[[#This Row],[Harga Diskon B]]-INDEX(Katalog!$E$3:$E$12,MATCH(cadangan[[#This Row],[ItemID B]],Katalog!$C$3:$C$12,0))*cadangan[[#This Row],[Qty B]],0)</f>
        <v>300000</v>
      </c>
      <c r="V50" s="39" t="str">
        <f>IFERROR(INDEX(Katalog!$A$3:$A$12,MATCH(cadangan[[#This Row],[ItemID C]],Katalog!$C$3:$C$12,0)),"-")</f>
        <v>-</v>
      </c>
      <c r="W50" s="39" t="str">
        <f>IFERROR(INDEX(Katalog!$B$3:$B$12,MATCH(cadangan[[#This Row],[ItemID C]],Katalog!$C$3:$C$12,0)),"-")</f>
        <v>-</v>
      </c>
      <c r="Z50" s="73">
        <f>IFERROR(INDEX(Katalog!$D$3:$D$12,MATCH(cadangan[[#This Row],[ItemID C]],Katalog!$C$3:$C$12,0))*cadangan[[#This Row],[Qty C]],0)</f>
        <v>0</v>
      </c>
      <c r="AA50" s="73">
        <f>IFERROR(cadangan[[#This Row],[Harga Normal C]]-(cadangan[[#This Row],[Harga Normal C]]*cadangan[[#This Row],[Diskon]]),cadangan[[#This Row],[Harga Normal C]])</f>
        <v>0</v>
      </c>
      <c r="AB50" s="73">
        <f>IFERROR(INDEX(Katalog!$F$3:$F$12,MATCH(cadangan[[#This Row],[ItemID C]],Katalog!$C$3:$C$12,0))*cadangan[[#This Row],[Qty C]],0)</f>
        <v>0</v>
      </c>
      <c r="AC50" s="73">
        <f>IFERROR(cadangan[[#This Row],[Harga Diskon C]]-INDEX(Katalog!$E$3:$E$12,MATCH(cadangan[[#This Row],[ItemID C]],Katalog!$C$3:$C$12,0))*cadangan[[#This Row],[Qty C]],0)</f>
        <v>0</v>
      </c>
      <c r="AD50" s="53">
        <f>cadangan[[#This Row],[Qty A]]+cadangan[[#This Row],[Qty B]]+cadangan[[#This Row],[Qty C]]</f>
        <v>5</v>
      </c>
      <c r="AE50" s="73">
        <f>cadangan[[#This Row],[Harga Normal A]]+cadangan[[#This Row],[Harga Normal B]]+cadangan[[#This Row],[Harga Normal C]]</f>
        <v>1350000</v>
      </c>
      <c r="AF50" s="73">
        <f>cadangan[[#This Row],[Harga Diskon A]]+cadangan[[#This Row],[Harga Diskon B]]+cadangan[[#This Row],[Harga Diskon C]]</f>
        <v>1215000</v>
      </c>
      <c r="AG50" s="73">
        <f>(cadangan[[#This Row],[Profit Normal A]]+cadangan[[#This Row],[Profit Normal B]]+cadangan[[#This Row],[Profit Normal C]])</f>
        <v>530000</v>
      </c>
      <c r="AH50" s="73">
        <f>cadangan[[#This Row],[Profit Diskon A]]+cadangan[[#This Row],[Profit Diskon B]]+cadangan[[#This Row],[Profit Diskon C]]</f>
        <v>395000</v>
      </c>
      <c r="AI50" s="23" t="s">
        <v>30</v>
      </c>
      <c r="AJ50" s="37">
        <f>IFERROR(INDEX('Kode Diskon'!$D$3:$D$9,MATCH(cadangan[[#This Row],[Kode diskon]],'Kode Diskon'!$C$3:$C$9,0)),"-")</f>
        <v>0.1</v>
      </c>
      <c r="AK50" s="23" t="s">
        <v>29</v>
      </c>
      <c r="AL50" s="23" t="s">
        <v>10</v>
      </c>
      <c r="AM50" s="23" t="s">
        <v>76</v>
      </c>
      <c r="AN50" s="55">
        <v>45021</v>
      </c>
      <c r="AO50" s="53">
        <f>DAY(cadangan[[#This Row],[Tanggal terjual]])</f>
        <v>5</v>
      </c>
      <c r="AP50" s="21" t="str">
        <f>TEXT(cadangan[[#This Row],[Tanggal terjual]],"dddd")</f>
        <v>Wednesday</v>
      </c>
      <c r="AQ50" s="23" t="str" cm="1">
        <f t="array" ref="AQ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0" s="61">
        <f>AVERAGE(cadangan[[#This Row],[Rating A]],cadangan[[#This Row],[Rating B]],cadangan[[#This Row],[Rating C]])</f>
        <v>3</v>
      </c>
    </row>
    <row r="51" spans="1:44" x14ac:dyDescent="0.2">
      <c r="A51" s="20">
        <v>50</v>
      </c>
      <c r="B51" s="21" t="str">
        <f>_xlfn.CONCAT("ORD-",INDEX(Helper!$B$2:$B$5,MATCH(cadangan[[#This Row],[Marketplace]],Helper!$A$2:$A$5,0)),TEXT(cadangan[[#This Row],[No]],"0000"),"-",TEXT(cadangan[[#This Row],[Tanggal terjual]],"dd/mm/yy"))</f>
        <v>ORD-SP0050-03/04/23</v>
      </c>
      <c r="C51" s="39" t="s">
        <v>61</v>
      </c>
      <c r="D51" s="39" t="str">
        <f>IFERROR(INDEX(Katalog!$A$3:$A$12,MATCH(cadangan[[#This Row],[ItemID A]],Katalog!$C$3:$C$12,0)),"-")</f>
        <v>Pakaian Pria</v>
      </c>
      <c r="E51" s="39" t="str">
        <f>IFERROR(INDEX(Katalog!$B$3:$B$12,MATCH(cadangan[[#This Row],[ItemID A]],Katalog!$C$3:$C$12,0)),"-")</f>
        <v>Kaos Polo</v>
      </c>
      <c r="F51" s="50">
        <v>1</v>
      </c>
      <c r="G51" s="50">
        <v>2</v>
      </c>
      <c r="H51" s="73">
        <f>IFERROR(INDEX(Katalog!$D$3:$D$12,MATCH(cadangan[[#This Row],[ItemID A]],Katalog!$C$3:$C$12,0))*cadangan[[#This Row],[Qty A]],0)</f>
        <v>200000</v>
      </c>
      <c r="I51" s="73">
        <f>IFERROR(cadangan[[#This Row],[Harga Normal A]]-(cadangan[[#This Row],[Harga Normal A]]*cadangan[[#This Row],[Diskon]]),cadangan[[#This Row],[Harga Normal A]])</f>
        <v>170000</v>
      </c>
      <c r="J51" s="73">
        <f>INDEX(Katalog!$F$3:$F$12,MATCH(cadangan[[#This Row],[ItemID A]],Katalog!$C$3:$C$12,0))*cadangan[[#This Row],[Qty A]]</f>
        <v>80000</v>
      </c>
      <c r="K51" s="73">
        <f>IFERROR(cadangan[[#This Row],[Harga Diskon A]]-INDEX(Katalog!$E$3:$E$12,MATCH(cadangan[[#This Row],[ItemID A]],Katalog!$C$3:$C$12,0))*cadangan[[#This Row],[Qty A]],0)</f>
        <v>50000</v>
      </c>
      <c r="L51" s="39" t="s">
        <v>67</v>
      </c>
      <c r="M51" s="39" t="str">
        <f>IFERROR(INDEX(Katalog!$A$3:$A$12,MATCH(cadangan[[#This Row],[ItemID B]],Katalog!$C$3:$C$12,0)),"-")</f>
        <v>Sepatu Wanita</v>
      </c>
      <c r="N51" s="39" t="str">
        <f>IFERROR(INDEX(Katalog!$B$3:$B$12,MATCH(cadangan[[#This Row],[ItemID B]],Katalog!$C$3:$C$12,0)),"-")</f>
        <v>Flat Shoes</v>
      </c>
      <c r="O51" s="50">
        <v>3</v>
      </c>
      <c r="P51" s="50">
        <v>5</v>
      </c>
      <c r="Q51" s="73">
        <f>IFERROR(INDEX(Katalog!$D$3:$D$12,MATCH(cadangan[[#This Row],[ItemID B]],Katalog!$C$3:$C$12,0))*cadangan[[#This Row],[Qty B]],0)</f>
        <v>750000</v>
      </c>
      <c r="R51" s="73">
        <f>IFERROR(cadangan[[#This Row],[Harga Normal B]]-(cadangan[[#This Row],[Harga Normal B]]*cadangan[[#This Row],[Diskon]]),cadangan[[#This Row],[Harga Normal B]])</f>
        <v>637500</v>
      </c>
      <c r="S51" s="73">
        <f>IFERROR(INDEX(Katalog!$F$3:$F$12,MATCH(cadangan[[#This Row],[ItemID B]],Katalog!$C$3:$C$12,0))*cadangan[[#This Row],[Qty B]],0)</f>
        <v>300000</v>
      </c>
      <c r="T51" s="73">
        <f>IFERROR(cadangan[[#This Row],[Harga Diskon B]]-INDEX(Katalog!$E$3:$E$12,MATCH(cadangan[[#This Row],[ItemID B]],Katalog!$C$3:$C$12,0))*cadangan[[#This Row],[Qty B]],0)</f>
        <v>187500</v>
      </c>
      <c r="U51" s="39" t="s">
        <v>65</v>
      </c>
      <c r="V51" s="39" t="str">
        <f>IFERROR(INDEX(Katalog!$A$3:$A$12,MATCH(cadangan[[#This Row],[ItemID C]],Katalog!$C$3:$C$12,0)),"-")</f>
        <v>Sepatu Pria</v>
      </c>
      <c r="W51" s="39" t="str">
        <f>IFERROR(INDEX(Katalog!$B$3:$B$12,MATCH(cadangan[[#This Row],[ItemID C]],Katalog!$C$3:$C$12,0)),"-")</f>
        <v>Sneakers</v>
      </c>
      <c r="X51" s="50">
        <v>3</v>
      </c>
      <c r="Y51" s="50">
        <v>2</v>
      </c>
      <c r="Z51" s="73">
        <f>IFERROR(INDEX(Katalog!$D$3:$D$12,MATCH(cadangan[[#This Row],[ItemID C]],Katalog!$C$3:$C$12,0))*cadangan[[#This Row],[Qty C]],0)</f>
        <v>1500000</v>
      </c>
      <c r="AA51" s="73">
        <f>IFERROR(cadangan[[#This Row],[Harga Normal C]]-(cadangan[[#This Row],[Harga Normal C]]*cadangan[[#This Row],[Diskon]]),cadangan[[#This Row],[Harga Normal C]])</f>
        <v>1275000</v>
      </c>
      <c r="AB51" s="73">
        <f>IFERROR(INDEX(Katalog!$F$3:$F$12,MATCH(cadangan[[#This Row],[ItemID C]],Katalog!$C$3:$C$12,0))*cadangan[[#This Row],[Qty C]],0)</f>
        <v>600000</v>
      </c>
      <c r="AC51" s="73">
        <f>IFERROR(cadangan[[#This Row],[Harga Diskon C]]-INDEX(Katalog!$E$3:$E$12,MATCH(cadangan[[#This Row],[ItemID C]],Katalog!$C$3:$C$12,0))*cadangan[[#This Row],[Qty C]],0)</f>
        <v>375000</v>
      </c>
      <c r="AD51" s="53">
        <f>cadangan[[#This Row],[Qty A]]+cadangan[[#This Row],[Qty B]]+cadangan[[#This Row],[Qty C]]</f>
        <v>7</v>
      </c>
      <c r="AE51" s="73">
        <f>cadangan[[#This Row],[Harga Normal A]]+cadangan[[#This Row],[Harga Normal B]]+cadangan[[#This Row],[Harga Normal C]]</f>
        <v>2450000</v>
      </c>
      <c r="AF51" s="73">
        <f>cadangan[[#This Row],[Harga Diskon A]]+cadangan[[#This Row],[Harga Diskon B]]+cadangan[[#This Row],[Harga Diskon C]]</f>
        <v>2082500</v>
      </c>
      <c r="AG51" s="73">
        <f>(cadangan[[#This Row],[Profit Normal A]]+cadangan[[#This Row],[Profit Normal B]]+cadangan[[#This Row],[Profit Normal C]])</f>
        <v>980000</v>
      </c>
      <c r="AH51" s="73">
        <f>cadangan[[#This Row],[Profit Diskon A]]+cadangan[[#This Row],[Profit Diskon B]]+cadangan[[#This Row],[Profit Diskon C]]</f>
        <v>612500</v>
      </c>
      <c r="AI51" s="23" t="s">
        <v>13</v>
      </c>
      <c r="AJ51" s="37">
        <f>IFERROR(INDEX('Kode Diskon'!$D$3:$D$9,MATCH(cadangan[[#This Row],[Kode diskon]],'Kode Diskon'!$C$3:$C$9,0)),"-")</f>
        <v>0.15</v>
      </c>
      <c r="AK51" s="23" t="s">
        <v>29</v>
      </c>
      <c r="AL51" s="23" t="s">
        <v>7</v>
      </c>
      <c r="AM51" s="23" t="s">
        <v>77</v>
      </c>
      <c r="AN51" s="55">
        <v>45019</v>
      </c>
      <c r="AO51" s="53">
        <f>DAY(cadangan[[#This Row],[Tanggal terjual]])</f>
        <v>3</v>
      </c>
      <c r="AP51" s="21" t="str">
        <f>TEXT(cadangan[[#This Row],[Tanggal terjual]],"dddd")</f>
        <v>Monday</v>
      </c>
      <c r="AQ51" s="23" t="str" cm="1">
        <f t="array" ref="AQ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 s="61">
        <f>AVERAGE(cadangan[[#This Row],[Rating A]],cadangan[[#This Row],[Rating B]],cadangan[[#This Row],[Rating C]])</f>
        <v>3</v>
      </c>
    </row>
    <row r="52" spans="1:44" x14ac:dyDescent="0.2">
      <c r="A52" s="20">
        <v>51</v>
      </c>
      <c r="B52" s="21" t="str">
        <f>_xlfn.CONCAT("ORD-",INDEX(Helper!$B$2:$B$5,MATCH(cadangan[[#This Row],[Marketplace]],Helper!$A$2:$A$5,0)),TEXT(cadangan[[#This Row],[No]],"0000"),"-",TEXT(cadangan[[#This Row],[Tanggal terjual]],"dd/mm/yy"))</f>
        <v>ORD-BB0051-05/04/23</v>
      </c>
      <c r="C52" s="39" t="s">
        <v>59</v>
      </c>
      <c r="D52" s="39" t="str">
        <f>IFERROR(INDEX(Katalog!$A$3:$A$12,MATCH(cadangan[[#This Row],[ItemID A]],Katalog!$C$3:$C$12,0)),"-")</f>
        <v>Pakaian Wanita</v>
      </c>
      <c r="E52" s="39" t="str">
        <f>IFERROR(INDEX(Katalog!$B$3:$B$12,MATCH(cadangan[[#This Row],[ItemID A]],Katalog!$C$3:$C$12,0)),"-")</f>
        <v>Blouse</v>
      </c>
      <c r="F52" s="50">
        <v>5</v>
      </c>
      <c r="G52" s="50">
        <v>4</v>
      </c>
      <c r="H52" s="73">
        <f>IFERROR(INDEX(Katalog!$D$3:$D$12,MATCH(cadangan[[#This Row],[ItemID A]],Katalog!$C$3:$C$12,0))*cadangan[[#This Row],[Qty A]],0)</f>
        <v>750000</v>
      </c>
      <c r="I52" s="73">
        <f>IFERROR(cadangan[[#This Row],[Harga Normal A]]-(cadangan[[#This Row],[Harga Normal A]]*cadangan[[#This Row],[Diskon]]),cadangan[[#This Row],[Harga Normal A]])</f>
        <v>637500</v>
      </c>
      <c r="J52" s="73">
        <f>INDEX(Katalog!$F$3:$F$12,MATCH(cadangan[[#This Row],[ItemID A]],Katalog!$C$3:$C$12,0))*cadangan[[#This Row],[Qty A]]</f>
        <v>250000</v>
      </c>
      <c r="K52" s="73">
        <f>IFERROR(cadangan[[#This Row],[Harga Diskon A]]-INDEX(Katalog!$E$3:$E$12,MATCH(cadangan[[#This Row],[ItemID A]],Katalog!$C$3:$C$12,0))*cadangan[[#This Row],[Qty A]],0)</f>
        <v>137500</v>
      </c>
      <c r="L52" s="39" t="s">
        <v>65</v>
      </c>
      <c r="M52" s="39" t="str">
        <f>IFERROR(INDEX(Katalog!$A$3:$A$12,MATCH(cadangan[[#This Row],[ItemID B]],Katalog!$C$3:$C$12,0)),"-")</f>
        <v>Sepatu Pria</v>
      </c>
      <c r="N52" s="39" t="str">
        <f>IFERROR(INDEX(Katalog!$B$3:$B$12,MATCH(cadangan[[#This Row],[ItemID B]],Katalog!$C$3:$C$12,0)),"-")</f>
        <v>Sneakers</v>
      </c>
      <c r="O52" s="50">
        <v>1</v>
      </c>
      <c r="P52" s="50">
        <v>3</v>
      </c>
      <c r="Q52" s="73">
        <f>IFERROR(INDEX(Katalog!$D$3:$D$12,MATCH(cadangan[[#This Row],[ItemID B]],Katalog!$C$3:$C$12,0))*cadangan[[#This Row],[Qty B]],0)</f>
        <v>500000</v>
      </c>
      <c r="R52" s="73">
        <f>IFERROR(cadangan[[#This Row],[Harga Normal B]]-(cadangan[[#This Row],[Harga Normal B]]*cadangan[[#This Row],[Diskon]]),cadangan[[#This Row],[Harga Normal B]])</f>
        <v>425000</v>
      </c>
      <c r="S52" s="73">
        <f>IFERROR(INDEX(Katalog!$F$3:$F$12,MATCH(cadangan[[#This Row],[ItemID B]],Katalog!$C$3:$C$12,0))*cadangan[[#This Row],[Qty B]],0)</f>
        <v>200000</v>
      </c>
      <c r="T52" s="73">
        <f>IFERROR(cadangan[[#This Row],[Harga Diskon B]]-INDEX(Katalog!$E$3:$E$12,MATCH(cadangan[[#This Row],[ItemID B]],Katalog!$C$3:$C$12,0))*cadangan[[#This Row],[Qty B]],0)</f>
        <v>125000</v>
      </c>
      <c r="V52" s="39" t="str">
        <f>IFERROR(INDEX(Katalog!$A$3:$A$12,MATCH(cadangan[[#This Row],[ItemID C]],Katalog!$C$3:$C$12,0)),"-")</f>
        <v>-</v>
      </c>
      <c r="W52" s="39" t="str">
        <f>IFERROR(INDEX(Katalog!$B$3:$B$12,MATCH(cadangan[[#This Row],[ItemID C]],Katalog!$C$3:$C$12,0)),"-")</f>
        <v>-</v>
      </c>
      <c r="Z52" s="73">
        <f>IFERROR(INDEX(Katalog!$D$3:$D$12,MATCH(cadangan[[#This Row],[ItemID C]],Katalog!$C$3:$C$12,0))*cadangan[[#This Row],[Qty C]],0)</f>
        <v>0</v>
      </c>
      <c r="AA52" s="73">
        <f>IFERROR(cadangan[[#This Row],[Harga Normal C]]-(cadangan[[#This Row],[Harga Normal C]]*cadangan[[#This Row],[Diskon]]),cadangan[[#This Row],[Harga Normal C]])</f>
        <v>0</v>
      </c>
      <c r="AB52" s="73">
        <f>IFERROR(INDEX(Katalog!$F$3:$F$12,MATCH(cadangan[[#This Row],[ItemID C]],Katalog!$C$3:$C$12,0))*cadangan[[#This Row],[Qty C]],0)</f>
        <v>0</v>
      </c>
      <c r="AC52" s="73">
        <f>IFERROR(cadangan[[#This Row],[Harga Diskon C]]-INDEX(Katalog!$E$3:$E$12,MATCH(cadangan[[#This Row],[ItemID C]],Katalog!$C$3:$C$12,0))*cadangan[[#This Row],[Qty C]],0)</f>
        <v>0</v>
      </c>
      <c r="AD52" s="53">
        <f>cadangan[[#This Row],[Qty A]]+cadangan[[#This Row],[Qty B]]+cadangan[[#This Row],[Qty C]]</f>
        <v>6</v>
      </c>
      <c r="AE52" s="73">
        <f>cadangan[[#This Row],[Harga Normal A]]+cadangan[[#This Row],[Harga Normal B]]+cadangan[[#This Row],[Harga Normal C]]</f>
        <v>1250000</v>
      </c>
      <c r="AF52" s="73">
        <f>cadangan[[#This Row],[Harga Diskon A]]+cadangan[[#This Row],[Harga Diskon B]]+cadangan[[#This Row],[Harga Diskon C]]</f>
        <v>1062500</v>
      </c>
      <c r="AG52" s="73">
        <f>(cadangan[[#This Row],[Profit Normal A]]+cadangan[[#This Row],[Profit Normal B]]+cadangan[[#This Row],[Profit Normal C]])</f>
        <v>450000</v>
      </c>
      <c r="AH52" s="73">
        <f>cadangan[[#This Row],[Profit Diskon A]]+cadangan[[#This Row],[Profit Diskon B]]+cadangan[[#This Row],[Profit Diskon C]]</f>
        <v>262500</v>
      </c>
      <c r="AI52" s="23" t="s">
        <v>28</v>
      </c>
      <c r="AJ52" s="37">
        <f>IFERROR(INDEX('Kode Diskon'!$D$3:$D$9,MATCH(cadangan[[#This Row],[Kode diskon]],'Kode Diskon'!$C$3:$C$9,0)),"-")</f>
        <v>0.15</v>
      </c>
      <c r="AK52" s="23" t="s">
        <v>29</v>
      </c>
      <c r="AL52" s="23" t="s">
        <v>14</v>
      </c>
      <c r="AM52" s="23" t="s">
        <v>77</v>
      </c>
      <c r="AN52" s="55">
        <v>45021</v>
      </c>
      <c r="AO52" s="53">
        <f>DAY(cadangan[[#This Row],[Tanggal terjual]])</f>
        <v>5</v>
      </c>
      <c r="AP52" s="21" t="str">
        <f>TEXT(cadangan[[#This Row],[Tanggal terjual]],"dddd")</f>
        <v>Wednesday</v>
      </c>
      <c r="AQ52" s="23" t="str" cm="1">
        <f t="array" ref="AQ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2" s="61">
        <f>AVERAGE(cadangan[[#This Row],[Rating A]],cadangan[[#This Row],[Rating B]],cadangan[[#This Row],[Rating C]])</f>
        <v>3.5</v>
      </c>
    </row>
    <row r="53" spans="1:44" x14ac:dyDescent="0.2">
      <c r="A53" s="20">
        <v>52</v>
      </c>
      <c r="B53" s="21" t="str">
        <f>_xlfn.CONCAT("ORD-",INDEX(Helper!$B$2:$B$5,MATCH(cadangan[[#This Row],[Marketplace]],Helper!$A$2:$A$5,0)),TEXT(cadangan[[#This Row],[No]],"0000"),"-",TEXT(cadangan[[#This Row],[Tanggal terjual]],"dd/mm/yy"))</f>
        <v>ORD-BL0052-27/04/23</v>
      </c>
      <c r="C53" s="39" t="s">
        <v>66</v>
      </c>
      <c r="D53" s="39" t="str">
        <f>IFERROR(INDEX(Katalog!$A$3:$A$12,MATCH(cadangan[[#This Row],[ItemID A]],Katalog!$C$3:$C$12,0)),"-")</f>
        <v>Sepatu Pria</v>
      </c>
      <c r="E53" s="39" t="str">
        <f>IFERROR(INDEX(Katalog!$B$3:$B$12,MATCH(cadangan[[#This Row],[ItemID A]],Katalog!$C$3:$C$12,0)),"-")</f>
        <v>Sandal Slip On</v>
      </c>
      <c r="F53" s="50">
        <v>2</v>
      </c>
      <c r="G53" s="50">
        <v>1</v>
      </c>
      <c r="H53" s="73">
        <f>IFERROR(INDEX(Katalog!$D$3:$D$12,MATCH(cadangan[[#This Row],[ItemID A]],Katalog!$C$3:$C$12,0))*cadangan[[#This Row],[Qty A]],0)</f>
        <v>300000</v>
      </c>
      <c r="I53" s="73">
        <f>IFERROR(cadangan[[#This Row],[Harga Normal A]]-(cadangan[[#This Row],[Harga Normal A]]*cadangan[[#This Row],[Diskon]]),cadangan[[#This Row],[Harga Normal A]])</f>
        <v>255000</v>
      </c>
      <c r="J53" s="73">
        <f>INDEX(Katalog!$F$3:$F$12,MATCH(cadangan[[#This Row],[ItemID A]],Katalog!$C$3:$C$12,0))*cadangan[[#This Row],[Qty A]]</f>
        <v>120000</v>
      </c>
      <c r="K53" s="73">
        <f>IFERROR(cadangan[[#This Row],[Harga Diskon A]]-INDEX(Katalog!$E$3:$E$12,MATCH(cadangan[[#This Row],[ItemID A]],Katalog!$C$3:$C$12,0))*cadangan[[#This Row],[Qty A]],0)</f>
        <v>75000</v>
      </c>
      <c r="L53" s="39" t="s">
        <v>65</v>
      </c>
      <c r="M53" s="39" t="str">
        <f>IFERROR(INDEX(Katalog!$A$3:$A$12,MATCH(cadangan[[#This Row],[ItemID B]],Katalog!$C$3:$C$12,0)),"-")</f>
        <v>Sepatu Pria</v>
      </c>
      <c r="N53" s="39" t="str">
        <f>IFERROR(INDEX(Katalog!$B$3:$B$12,MATCH(cadangan[[#This Row],[ItemID B]],Katalog!$C$3:$C$12,0)),"-")</f>
        <v>Sneakers</v>
      </c>
      <c r="O53" s="50">
        <v>2</v>
      </c>
      <c r="P53" s="50">
        <v>3</v>
      </c>
      <c r="Q53" s="73">
        <f>IFERROR(INDEX(Katalog!$D$3:$D$12,MATCH(cadangan[[#This Row],[ItemID B]],Katalog!$C$3:$C$12,0))*cadangan[[#This Row],[Qty B]],0)</f>
        <v>1000000</v>
      </c>
      <c r="R53" s="73">
        <f>IFERROR(cadangan[[#This Row],[Harga Normal B]]-(cadangan[[#This Row],[Harga Normal B]]*cadangan[[#This Row],[Diskon]]),cadangan[[#This Row],[Harga Normal B]])</f>
        <v>850000</v>
      </c>
      <c r="S53" s="73">
        <f>IFERROR(INDEX(Katalog!$F$3:$F$12,MATCH(cadangan[[#This Row],[ItemID B]],Katalog!$C$3:$C$12,0))*cadangan[[#This Row],[Qty B]],0)</f>
        <v>400000</v>
      </c>
      <c r="T53" s="73">
        <f>IFERROR(cadangan[[#This Row],[Harga Diskon B]]-INDEX(Katalog!$E$3:$E$12,MATCH(cadangan[[#This Row],[ItemID B]],Katalog!$C$3:$C$12,0))*cadangan[[#This Row],[Qty B]],0)</f>
        <v>250000</v>
      </c>
      <c r="U53" s="39" t="s">
        <v>59</v>
      </c>
      <c r="V53" s="39" t="str">
        <f>IFERROR(INDEX(Katalog!$A$3:$A$12,MATCH(cadangan[[#This Row],[ItemID C]],Katalog!$C$3:$C$12,0)),"-")</f>
        <v>Pakaian Wanita</v>
      </c>
      <c r="W53" s="39" t="str">
        <f>IFERROR(INDEX(Katalog!$B$3:$B$12,MATCH(cadangan[[#This Row],[ItemID C]],Katalog!$C$3:$C$12,0)),"-")</f>
        <v>Blouse</v>
      </c>
      <c r="X53" s="50">
        <v>1</v>
      </c>
      <c r="Y53" s="50">
        <v>5</v>
      </c>
      <c r="Z53" s="73">
        <f>IFERROR(INDEX(Katalog!$D$3:$D$12,MATCH(cadangan[[#This Row],[ItemID C]],Katalog!$C$3:$C$12,0))*cadangan[[#This Row],[Qty C]],0)</f>
        <v>150000</v>
      </c>
      <c r="AA53" s="73">
        <f>IFERROR(cadangan[[#This Row],[Harga Normal C]]-(cadangan[[#This Row],[Harga Normal C]]*cadangan[[#This Row],[Diskon]]),cadangan[[#This Row],[Harga Normal C]])</f>
        <v>127500</v>
      </c>
      <c r="AB53" s="73">
        <f>IFERROR(INDEX(Katalog!$F$3:$F$12,MATCH(cadangan[[#This Row],[ItemID C]],Katalog!$C$3:$C$12,0))*cadangan[[#This Row],[Qty C]],0)</f>
        <v>50000</v>
      </c>
      <c r="AC53" s="73">
        <f>IFERROR(cadangan[[#This Row],[Harga Diskon C]]-INDEX(Katalog!$E$3:$E$12,MATCH(cadangan[[#This Row],[ItemID C]],Katalog!$C$3:$C$12,0))*cadangan[[#This Row],[Qty C]],0)</f>
        <v>27500</v>
      </c>
      <c r="AD53" s="53">
        <f>cadangan[[#This Row],[Qty A]]+cadangan[[#This Row],[Qty B]]+cadangan[[#This Row],[Qty C]]</f>
        <v>5</v>
      </c>
      <c r="AE53" s="73">
        <f>cadangan[[#This Row],[Harga Normal A]]+cadangan[[#This Row],[Harga Normal B]]+cadangan[[#This Row],[Harga Normal C]]</f>
        <v>1450000</v>
      </c>
      <c r="AF53" s="73">
        <f>cadangan[[#This Row],[Harga Diskon A]]+cadangan[[#This Row],[Harga Diskon B]]+cadangan[[#This Row],[Harga Diskon C]]</f>
        <v>1232500</v>
      </c>
      <c r="AG53" s="73">
        <f>(cadangan[[#This Row],[Profit Normal A]]+cadangan[[#This Row],[Profit Normal B]]+cadangan[[#This Row],[Profit Normal C]])</f>
        <v>570000</v>
      </c>
      <c r="AH53" s="73">
        <f>cadangan[[#This Row],[Profit Diskon A]]+cadangan[[#This Row],[Profit Diskon B]]+cadangan[[#This Row],[Profit Diskon C]]</f>
        <v>352500</v>
      </c>
      <c r="AI53" s="23" t="s">
        <v>32</v>
      </c>
      <c r="AJ53" s="37">
        <f>IFERROR(INDEX('Kode Diskon'!$D$3:$D$9,MATCH(cadangan[[#This Row],[Kode diskon]],'Kode Diskon'!$C$3:$C$9,0)),"-")</f>
        <v>0.15</v>
      </c>
      <c r="AK53" s="23" t="s">
        <v>9</v>
      </c>
      <c r="AL53" s="23" t="s">
        <v>12</v>
      </c>
      <c r="AM53" s="23" t="s">
        <v>80</v>
      </c>
      <c r="AN53" s="55">
        <v>45043</v>
      </c>
      <c r="AO53" s="53">
        <f>DAY(cadangan[[#This Row],[Tanggal terjual]])</f>
        <v>27</v>
      </c>
      <c r="AP53" s="21" t="str">
        <f>TEXT(cadangan[[#This Row],[Tanggal terjual]],"dddd")</f>
        <v>Thursday</v>
      </c>
      <c r="AQ53" s="23" t="str" cm="1">
        <f t="array" ref="AQ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3" s="61">
        <f>AVERAGE(cadangan[[#This Row],[Rating A]],cadangan[[#This Row],[Rating B]],cadangan[[#This Row],[Rating C]])</f>
        <v>3</v>
      </c>
    </row>
    <row r="54" spans="1:44" x14ac:dyDescent="0.2">
      <c r="A54" s="20">
        <v>53</v>
      </c>
      <c r="B54" s="21" t="str">
        <f>_xlfn.CONCAT("ORD-",INDEX(Helper!$B$2:$B$5,MATCH(cadangan[[#This Row],[Marketplace]],Helper!$A$2:$A$5,0)),TEXT(cadangan[[#This Row],[No]],"0000"),"-",TEXT(cadangan[[#This Row],[Tanggal terjual]],"dd/mm/yy"))</f>
        <v>ORD-BB0053-03/04/23</v>
      </c>
      <c r="C54" s="39" t="s">
        <v>65</v>
      </c>
      <c r="D54" s="39" t="str">
        <f>IFERROR(INDEX(Katalog!$A$3:$A$12,MATCH(cadangan[[#This Row],[ItemID A]],Katalog!$C$3:$C$12,0)),"-")</f>
        <v>Sepatu Pria</v>
      </c>
      <c r="E54" s="39" t="str">
        <f>IFERROR(INDEX(Katalog!$B$3:$B$12,MATCH(cadangan[[#This Row],[ItemID A]],Katalog!$C$3:$C$12,0)),"-")</f>
        <v>Sneakers</v>
      </c>
      <c r="F54" s="50">
        <v>2</v>
      </c>
      <c r="G54" s="50">
        <v>1</v>
      </c>
      <c r="H54" s="73">
        <f>IFERROR(INDEX(Katalog!$D$3:$D$12,MATCH(cadangan[[#This Row],[ItemID A]],Katalog!$C$3:$C$12,0))*cadangan[[#This Row],[Qty A]],0)</f>
        <v>1000000</v>
      </c>
      <c r="I54" s="73">
        <f>IFERROR(cadangan[[#This Row],[Harga Normal A]]-(cadangan[[#This Row],[Harga Normal A]]*cadangan[[#This Row],[Diskon]]),cadangan[[#This Row],[Harga Normal A]])</f>
        <v>850000</v>
      </c>
      <c r="J54" s="73">
        <f>INDEX(Katalog!$F$3:$F$12,MATCH(cadangan[[#This Row],[ItemID A]],Katalog!$C$3:$C$12,0))*cadangan[[#This Row],[Qty A]]</f>
        <v>400000</v>
      </c>
      <c r="K54" s="73">
        <f>IFERROR(cadangan[[#This Row],[Harga Diskon A]]-INDEX(Katalog!$E$3:$E$12,MATCH(cadangan[[#This Row],[ItemID A]],Katalog!$C$3:$C$12,0))*cadangan[[#This Row],[Qty A]],0)</f>
        <v>250000</v>
      </c>
      <c r="L54" s="39" t="s">
        <v>64</v>
      </c>
      <c r="M54" s="39" t="str">
        <f>IFERROR(INDEX(Katalog!$A$3:$A$12,MATCH(cadangan[[#This Row],[ItemID B]],Katalog!$C$3:$C$12,0)),"-")</f>
        <v>Pakaian Unisex</v>
      </c>
      <c r="N54" s="39" t="str">
        <f>IFERROR(INDEX(Katalog!$B$3:$B$12,MATCH(cadangan[[#This Row],[ItemID B]],Katalog!$C$3:$C$12,0)),"-")</f>
        <v>Jaket Hoodie</v>
      </c>
      <c r="O54" s="50">
        <v>1</v>
      </c>
      <c r="P54" s="50">
        <v>1</v>
      </c>
      <c r="Q54" s="73">
        <f>IFERROR(INDEX(Katalog!$D$3:$D$12,MATCH(cadangan[[#This Row],[ItemID B]],Katalog!$C$3:$C$12,0))*cadangan[[#This Row],[Qty B]],0)</f>
        <v>350000</v>
      </c>
      <c r="R54" s="73">
        <f>IFERROR(cadangan[[#This Row],[Harga Normal B]]-(cadangan[[#This Row],[Harga Normal B]]*cadangan[[#This Row],[Diskon]]),cadangan[[#This Row],[Harga Normal B]])</f>
        <v>297500</v>
      </c>
      <c r="S54" s="73">
        <f>IFERROR(INDEX(Katalog!$F$3:$F$12,MATCH(cadangan[[#This Row],[ItemID B]],Katalog!$C$3:$C$12,0))*cadangan[[#This Row],[Qty B]],0)</f>
        <v>130000</v>
      </c>
      <c r="T54" s="73">
        <f>IFERROR(cadangan[[#This Row],[Harga Diskon B]]-INDEX(Katalog!$E$3:$E$12,MATCH(cadangan[[#This Row],[ItemID B]],Katalog!$C$3:$C$12,0))*cadangan[[#This Row],[Qty B]],0)</f>
        <v>77500</v>
      </c>
      <c r="V54" s="39" t="str">
        <f>IFERROR(INDEX(Katalog!$A$3:$A$12,MATCH(cadangan[[#This Row],[ItemID C]],Katalog!$C$3:$C$12,0)),"-")</f>
        <v>-</v>
      </c>
      <c r="W54" s="39" t="str">
        <f>IFERROR(INDEX(Katalog!$B$3:$B$12,MATCH(cadangan[[#This Row],[ItemID C]],Katalog!$C$3:$C$12,0)),"-")</f>
        <v>-</v>
      </c>
      <c r="Z54" s="73">
        <f>IFERROR(INDEX(Katalog!$D$3:$D$12,MATCH(cadangan[[#This Row],[ItemID C]],Katalog!$C$3:$C$12,0))*cadangan[[#This Row],[Qty C]],0)</f>
        <v>0</v>
      </c>
      <c r="AA54" s="73">
        <f>IFERROR(cadangan[[#This Row],[Harga Normal C]]-(cadangan[[#This Row],[Harga Normal C]]*cadangan[[#This Row],[Diskon]]),cadangan[[#This Row],[Harga Normal C]])</f>
        <v>0</v>
      </c>
      <c r="AB54" s="73">
        <f>IFERROR(INDEX(Katalog!$F$3:$F$12,MATCH(cadangan[[#This Row],[ItemID C]],Katalog!$C$3:$C$12,0))*cadangan[[#This Row],[Qty C]],0)</f>
        <v>0</v>
      </c>
      <c r="AC54" s="73">
        <f>IFERROR(cadangan[[#This Row],[Harga Diskon C]]-INDEX(Katalog!$E$3:$E$12,MATCH(cadangan[[#This Row],[ItemID C]],Katalog!$C$3:$C$12,0))*cadangan[[#This Row],[Qty C]],0)</f>
        <v>0</v>
      </c>
      <c r="AD54" s="53">
        <f>cadangan[[#This Row],[Qty A]]+cadangan[[#This Row],[Qty B]]+cadangan[[#This Row],[Qty C]]</f>
        <v>3</v>
      </c>
      <c r="AE54" s="73">
        <f>cadangan[[#This Row],[Harga Normal A]]+cadangan[[#This Row],[Harga Normal B]]+cadangan[[#This Row],[Harga Normal C]]</f>
        <v>1350000</v>
      </c>
      <c r="AF54" s="73">
        <f>cadangan[[#This Row],[Harga Diskon A]]+cadangan[[#This Row],[Harga Diskon B]]+cadangan[[#This Row],[Harga Diskon C]]</f>
        <v>1147500</v>
      </c>
      <c r="AG54" s="73">
        <f>(cadangan[[#This Row],[Profit Normal A]]+cadangan[[#This Row],[Profit Normal B]]+cadangan[[#This Row],[Profit Normal C]])</f>
        <v>530000</v>
      </c>
      <c r="AH54" s="73">
        <f>cadangan[[#This Row],[Profit Diskon A]]+cadangan[[#This Row],[Profit Diskon B]]+cadangan[[#This Row],[Profit Diskon C]]</f>
        <v>327500</v>
      </c>
      <c r="AI54" s="23" t="s">
        <v>28</v>
      </c>
      <c r="AJ54" s="37">
        <f>IFERROR(INDEX('Kode Diskon'!$D$3:$D$9,MATCH(cadangan[[#This Row],[Kode diskon]],'Kode Diskon'!$C$3:$C$9,0)),"-")</f>
        <v>0.15</v>
      </c>
      <c r="AK54" s="23" t="s">
        <v>29</v>
      </c>
      <c r="AL54" s="23" t="s">
        <v>14</v>
      </c>
      <c r="AM54" s="23" t="s">
        <v>80</v>
      </c>
      <c r="AN54" s="55">
        <v>45019</v>
      </c>
      <c r="AO54" s="53">
        <f>DAY(cadangan[[#This Row],[Tanggal terjual]])</f>
        <v>3</v>
      </c>
      <c r="AP54" s="21" t="str">
        <f>TEXT(cadangan[[#This Row],[Tanggal terjual]],"dddd")</f>
        <v>Monday</v>
      </c>
      <c r="AQ54" s="23" t="str" cm="1">
        <f t="array" ref="AQ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 s="61">
        <f>AVERAGE(cadangan[[#This Row],[Rating A]],cadangan[[#This Row],[Rating B]],cadangan[[#This Row],[Rating C]])</f>
        <v>1</v>
      </c>
    </row>
    <row r="55" spans="1:44" x14ac:dyDescent="0.2">
      <c r="A55" s="20">
        <v>54</v>
      </c>
      <c r="B55" s="21" t="str">
        <f>_xlfn.CONCAT("ORD-",INDEX(Helper!$B$2:$B$5,MATCH(cadangan[[#This Row],[Marketplace]],Helper!$A$2:$A$5,0)),TEXT(cadangan[[#This Row],[No]],"0000"),"-",TEXT(cadangan[[#This Row],[Tanggal terjual]],"dd/mm/yy"))</f>
        <v>ORD-SP0054-03/04/23</v>
      </c>
      <c r="C55" s="39" t="s">
        <v>58</v>
      </c>
      <c r="D55" s="39" t="str">
        <f>IFERROR(INDEX(Katalog!$A$3:$A$12,MATCH(cadangan[[#This Row],[ItemID A]],Katalog!$C$3:$C$12,0)),"-")</f>
        <v>Pakaian Wanita</v>
      </c>
      <c r="E55" s="39" t="str">
        <f>IFERROR(INDEX(Katalog!$B$3:$B$12,MATCH(cadangan[[#This Row],[ItemID A]],Katalog!$C$3:$C$12,0)),"-")</f>
        <v>Dress</v>
      </c>
      <c r="F55" s="50">
        <v>1</v>
      </c>
      <c r="G55" s="50">
        <v>1</v>
      </c>
      <c r="H55" s="73">
        <f>IFERROR(INDEX(Katalog!$D$3:$D$12,MATCH(cadangan[[#This Row],[ItemID A]],Katalog!$C$3:$C$12,0))*cadangan[[#This Row],[Qty A]],0)</f>
        <v>300000</v>
      </c>
      <c r="I55" s="73">
        <f>IFERROR(cadangan[[#This Row],[Harga Normal A]]-(cadangan[[#This Row],[Harga Normal A]]*cadangan[[#This Row],[Diskon]]),cadangan[[#This Row],[Harga Normal A]])</f>
        <v>255000</v>
      </c>
      <c r="J55" s="73">
        <f>INDEX(Katalog!$F$3:$F$12,MATCH(cadangan[[#This Row],[ItemID A]],Katalog!$C$3:$C$12,0))*cadangan[[#This Row],[Qty A]]</f>
        <v>100000</v>
      </c>
      <c r="K55" s="73">
        <f>IFERROR(cadangan[[#This Row],[Harga Diskon A]]-INDEX(Katalog!$E$3:$E$12,MATCH(cadangan[[#This Row],[ItemID A]],Katalog!$C$3:$C$12,0))*cadangan[[#This Row],[Qty A]],0)</f>
        <v>55000</v>
      </c>
      <c r="L55" s="39" t="s">
        <v>66</v>
      </c>
      <c r="M55" s="39" t="str">
        <f>IFERROR(INDEX(Katalog!$A$3:$A$12,MATCH(cadangan[[#This Row],[ItemID B]],Katalog!$C$3:$C$12,0)),"-")</f>
        <v>Sepatu Pria</v>
      </c>
      <c r="N55" s="39" t="str">
        <f>IFERROR(INDEX(Katalog!$B$3:$B$12,MATCH(cadangan[[#This Row],[ItemID B]],Katalog!$C$3:$C$12,0)),"-")</f>
        <v>Sandal Slip On</v>
      </c>
      <c r="O55" s="50">
        <v>5</v>
      </c>
      <c r="P55" s="50">
        <v>5</v>
      </c>
      <c r="Q55" s="73">
        <f>IFERROR(INDEX(Katalog!$D$3:$D$12,MATCH(cadangan[[#This Row],[ItemID B]],Katalog!$C$3:$C$12,0))*cadangan[[#This Row],[Qty B]],0)</f>
        <v>750000</v>
      </c>
      <c r="R55" s="73">
        <f>IFERROR(cadangan[[#This Row],[Harga Normal B]]-(cadangan[[#This Row],[Harga Normal B]]*cadangan[[#This Row],[Diskon]]),cadangan[[#This Row],[Harga Normal B]])</f>
        <v>637500</v>
      </c>
      <c r="S55" s="73">
        <f>IFERROR(INDEX(Katalog!$F$3:$F$12,MATCH(cadangan[[#This Row],[ItemID B]],Katalog!$C$3:$C$12,0))*cadangan[[#This Row],[Qty B]],0)</f>
        <v>300000</v>
      </c>
      <c r="T55" s="73">
        <f>IFERROR(cadangan[[#This Row],[Harga Diskon B]]-INDEX(Katalog!$E$3:$E$12,MATCH(cadangan[[#This Row],[ItemID B]],Katalog!$C$3:$C$12,0))*cadangan[[#This Row],[Qty B]],0)</f>
        <v>187500</v>
      </c>
      <c r="V55" s="39" t="str">
        <f>IFERROR(INDEX(Katalog!$A$3:$A$12,MATCH(cadangan[[#This Row],[ItemID C]],Katalog!$C$3:$C$12,0)),"-")</f>
        <v>-</v>
      </c>
      <c r="W55" s="39" t="str">
        <f>IFERROR(INDEX(Katalog!$B$3:$B$12,MATCH(cadangan[[#This Row],[ItemID C]],Katalog!$C$3:$C$12,0)),"-")</f>
        <v>-</v>
      </c>
      <c r="Z55" s="73">
        <f>IFERROR(INDEX(Katalog!$D$3:$D$12,MATCH(cadangan[[#This Row],[ItemID C]],Katalog!$C$3:$C$12,0))*cadangan[[#This Row],[Qty C]],0)</f>
        <v>0</v>
      </c>
      <c r="AA55" s="73">
        <f>IFERROR(cadangan[[#This Row],[Harga Normal C]]-(cadangan[[#This Row],[Harga Normal C]]*cadangan[[#This Row],[Diskon]]),cadangan[[#This Row],[Harga Normal C]])</f>
        <v>0</v>
      </c>
      <c r="AB55" s="73">
        <f>IFERROR(INDEX(Katalog!$F$3:$F$12,MATCH(cadangan[[#This Row],[ItemID C]],Katalog!$C$3:$C$12,0))*cadangan[[#This Row],[Qty C]],0)</f>
        <v>0</v>
      </c>
      <c r="AC55" s="73">
        <f>IFERROR(cadangan[[#This Row],[Harga Diskon C]]-INDEX(Katalog!$E$3:$E$12,MATCH(cadangan[[#This Row],[ItemID C]],Katalog!$C$3:$C$12,0))*cadangan[[#This Row],[Qty C]],0)</f>
        <v>0</v>
      </c>
      <c r="AD55" s="53">
        <f>cadangan[[#This Row],[Qty A]]+cadangan[[#This Row],[Qty B]]+cadangan[[#This Row],[Qty C]]</f>
        <v>6</v>
      </c>
      <c r="AE55" s="73">
        <f>cadangan[[#This Row],[Harga Normal A]]+cadangan[[#This Row],[Harga Normal B]]+cadangan[[#This Row],[Harga Normal C]]</f>
        <v>1050000</v>
      </c>
      <c r="AF55" s="73">
        <f>cadangan[[#This Row],[Harga Diskon A]]+cadangan[[#This Row],[Harga Diskon B]]+cadangan[[#This Row],[Harga Diskon C]]</f>
        <v>892500</v>
      </c>
      <c r="AG55" s="73">
        <f>(cadangan[[#This Row],[Profit Normal A]]+cadangan[[#This Row],[Profit Normal B]]+cadangan[[#This Row],[Profit Normal C]])</f>
        <v>400000</v>
      </c>
      <c r="AH55" s="73">
        <f>cadangan[[#This Row],[Profit Diskon A]]+cadangan[[#This Row],[Profit Diskon B]]+cadangan[[#This Row],[Profit Diskon C]]</f>
        <v>242500</v>
      </c>
      <c r="AI55" s="23" t="s">
        <v>13</v>
      </c>
      <c r="AJ55" s="37">
        <f>IFERROR(INDEX('Kode Diskon'!$D$3:$D$9,MATCH(cadangan[[#This Row],[Kode diskon]],'Kode Diskon'!$C$3:$C$9,0)),"-")</f>
        <v>0.15</v>
      </c>
      <c r="AK55" s="23" t="s">
        <v>29</v>
      </c>
      <c r="AL55" s="23" t="s">
        <v>7</v>
      </c>
      <c r="AM55" s="23" t="s">
        <v>79</v>
      </c>
      <c r="AN55" s="55">
        <v>45019</v>
      </c>
      <c r="AO55" s="53">
        <f>DAY(cadangan[[#This Row],[Tanggal terjual]])</f>
        <v>3</v>
      </c>
      <c r="AP55" s="21" t="str">
        <f>TEXT(cadangan[[#This Row],[Tanggal terjual]],"dddd")</f>
        <v>Monday</v>
      </c>
      <c r="AQ55" s="23" t="str" cm="1">
        <f t="array" ref="AQ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 s="61">
        <f>AVERAGE(cadangan[[#This Row],[Rating A]],cadangan[[#This Row],[Rating B]],cadangan[[#This Row],[Rating C]])</f>
        <v>3</v>
      </c>
    </row>
    <row r="56" spans="1:44" x14ac:dyDescent="0.2">
      <c r="A56" s="20">
        <v>55</v>
      </c>
      <c r="B56" s="21" t="str">
        <f>_xlfn.CONCAT("ORD-",INDEX(Helper!$B$2:$B$5,MATCH(cadangan[[#This Row],[Marketplace]],Helper!$A$2:$A$5,0)),TEXT(cadangan[[#This Row],[No]],"0000"),"-",TEXT(cadangan[[#This Row],[Tanggal terjual]],"dd/mm/yy"))</f>
        <v>ORD-SP0055-05/04/23</v>
      </c>
      <c r="C56" s="39" t="s">
        <v>65</v>
      </c>
      <c r="D56" s="39" t="str">
        <f>IFERROR(INDEX(Katalog!$A$3:$A$12,MATCH(cadangan[[#This Row],[ItemID A]],Katalog!$C$3:$C$12,0)),"-")</f>
        <v>Sepatu Pria</v>
      </c>
      <c r="E56" s="39" t="str">
        <f>IFERROR(INDEX(Katalog!$B$3:$B$12,MATCH(cadangan[[#This Row],[ItemID A]],Katalog!$C$3:$C$12,0)),"-")</f>
        <v>Sneakers</v>
      </c>
      <c r="F56" s="50">
        <v>2</v>
      </c>
      <c r="G56" s="50">
        <v>1</v>
      </c>
      <c r="H56" s="73">
        <f>IFERROR(INDEX(Katalog!$D$3:$D$12,MATCH(cadangan[[#This Row],[ItemID A]],Katalog!$C$3:$C$12,0))*cadangan[[#This Row],[Qty A]],0)</f>
        <v>1000000</v>
      </c>
      <c r="I56" s="73">
        <f>IFERROR(cadangan[[#This Row],[Harga Normal A]]-(cadangan[[#This Row],[Harga Normal A]]*cadangan[[#This Row],[Diskon]]),cadangan[[#This Row],[Harga Normal A]])</f>
        <v>900000</v>
      </c>
      <c r="J56" s="73">
        <f>INDEX(Katalog!$F$3:$F$12,MATCH(cadangan[[#This Row],[ItemID A]],Katalog!$C$3:$C$12,0))*cadangan[[#This Row],[Qty A]]</f>
        <v>400000</v>
      </c>
      <c r="K56" s="73">
        <f>IFERROR(cadangan[[#This Row],[Harga Diskon A]]-INDEX(Katalog!$E$3:$E$12,MATCH(cadangan[[#This Row],[ItemID A]],Katalog!$C$3:$C$12,0))*cadangan[[#This Row],[Qty A]],0)</f>
        <v>300000</v>
      </c>
      <c r="M56" s="39" t="str">
        <f>IFERROR(INDEX(Katalog!$A$3:$A$12,MATCH(cadangan[[#This Row],[ItemID B]],Katalog!$C$3:$C$12,0)),"-")</f>
        <v>-</v>
      </c>
      <c r="N56" s="39" t="str">
        <f>IFERROR(INDEX(Katalog!$B$3:$B$12,MATCH(cadangan[[#This Row],[ItemID B]],Katalog!$C$3:$C$12,0)),"-")</f>
        <v>-</v>
      </c>
      <c r="Q56" s="73">
        <f>IFERROR(INDEX(Katalog!$D$3:$D$12,MATCH(cadangan[[#This Row],[ItemID B]],Katalog!$C$3:$C$12,0))*cadangan[[#This Row],[Qty B]],0)</f>
        <v>0</v>
      </c>
      <c r="R56" s="73">
        <f>IFERROR(cadangan[[#This Row],[Harga Normal B]]-(cadangan[[#This Row],[Harga Normal B]]*cadangan[[#This Row],[Diskon]]),cadangan[[#This Row],[Harga Normal B]])</f>
        <v>0</v>
      </c>
      <c r="S56" s="73">
        <f>IFERROR(INDEX(Katalog!$F$3:$F$12,MATCH(cadangan[[#This Row],[ItemID B]],Katalog!$C$3:$C$12,0))*cadangan[[#This Row],[Qty B]],0)</f>
        <v>0</v>
      </c>
      <c r="T56" s="73">
        <f>IFERROR(cadangan[[#This Row],[Harga Diskon B]]-INDEX(Katalog!$E$3:$E$12,MATCH(cadangan[[#This Row],[ItemID B]],Katalog!$C$3:$C$12,0))*cadangan[[#This Row],[Qty B]],0)</f>
        <v>0</v>
      </c>
      <c r="V56" s="39" t="str">
        <f>IFERROR(INDEX(Katalog!$A$3:$A$12,MATCH(cadangan[[#This Row],[ItemID C]],Katalog!$C$3:$C$12,0)),"-")</f>
        <v>-</v>
      </c>
      <c r="W56" s="39" t="str">
        <f>IFERROR(INDEX(Katalog!$B$3:$B$12,MATCH(cadangan[[#This Row],[ItemID C]],Katalog!$C$3:$C$12,0)),"-")</f>
        <v>-</v>
      </c>
      <c r="Z56" s="73">
        <f>IFERROR(INDEX(Katalog!$D$3:$D$12,MATCH(cadangan[[#This Row],[ItemID C]],Katalog!$C$3:$C$12,0))*cadangan[[#This Row],[Qty C]],0)</f>
        <v>0</v>
      </c>
      <c r="AA56" s="73">
        <f>IFERROR(cadangan[[#This Row],[Harga Normal C]]-(cadangan[[#This Row],[Harga Normal C]]*cadangan[[#This Row],[Diskon]]),cadangan[[#This Row],[Harga Normal C]])</f>
        <v>0</v>
      </c>
      <c r="AB56" s="73">
        <f>IFERROR(INDEX(Katalog!$F$3:$F$12,MATCH(cadangan[[#This Row],[ItemID C]],Katalog!$C$3:$C$12,0))*cadangan[[#This Row],[Qty C]],0)</f>
        <v>0</v>
      </c>
      <c r="AC56" s="73">
        <f>IFERROR(cadangan[[#This Row],[Harga Diskon C]]-INDEX(Katalog!$E$3:$E$12,MATCH(cadangan[[#This Row],[ItemID C]],Katalog!$C$3:$C$12,0))*cadangan[[#This Row],[Qty C]],0)</f>
        <v>0</v>
      </c>
      <c r="AD56" s="53">
        <f>cadangan[[#This Row],[Qty A]]+cadangan[[#This Row],[Qty B]]+cadangan[[#This Row],[Qty C]]</f>
        <v>2</v>
      </c>
      <c r="AE56" s="73">
        <f>cadangan[[#This Row],[Harga Normal A]]+cadangan[[#This Row],[Harga Normal B]]+cadangan[[#This Row],[Harga Normal C]]</f>
        <v>1000000</v>
      </c>
      <c r="AF56" s="73">
        <f>cadangan[[#This Row],[Harga Diskon A]]+cadangan[[#This Row],[Harga Diskon B]]+cadangan[[#This Row],[Harga Diskon C]]</f>
        <v>900000</v>
      </c>
      <c r="AG56" s="73">
        <f>(cadangan[[#This Row],[Profit Normal A]]+cadangan[[#This Row],[Profit Normal B]]+cadangan[[#This Row],[Profit Normal C]])</f>
        <v>400000</v>
      </c>
      <c r="AH56" s="73">
        <f>cadangan[[#This Row],[Profit Diskon A]]+cadangan[[#This Row],[Profit Diskon B]]+cadangan[[#This Row],[Profit Diskon C]]</f>
        <v>300000</v>
      </c>
      <c r="AI56" s="23" t="s">
        <v>6</v>
      </c>
      <c r="AJ56" s="37">
        <f>IFERROR(INDEX('Kode Diskon'!$D$3:$D$9,MATCH(cadangan[[#This Row],[Kode diskon]],'Kode Diskon'!$C$3:$C$9,0)),"-")</f>
        <v>0.1</v>
      </c>
      <c r="AK56" s="23" t="s">
        <v>29</v>
      </c>
      <c r="AL56" s="23" t="s">
        <v>7</v>
      </c>
      <c r="AM56" s="23" t="s">
        <v>80</v>
      </c>
      <c r="AN56" s="55">
        <v>45021</v>
      </c>
      <c r="AO56" s="53">
        <f>DAY(cadangan[[#This Row],[Tanggal terjual]])</f>
        <v>5</v>
      </c>
      <c r="AP56" s="21" t="str">
        <f>TEXT(cadangan[[#This Row],[Tanggal terjual]],"dddd")</f>
        <v>Wednesday</v>
      </c>
      <c r="AQ56" s="23" t="str" cm="1">
        <f t="array" ref="AQ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 s="61">
        <f>AVERAGE(cadangan[[#This Row],[Rating A]],cadangan[[#This Row],[Rating B]],cadangan[[#This Row],[Rating C]])</f>
        <v>1</v>
      </c>
    </row>
    <row r="57" spans="1:44" x14ac:dyDescent="0.2">
      <c r="A57" s="20">
        <v>56</v>
      </c>
      <c r="B57" s="21" t="str">
        <f>_xlfn.CONCAT("ORD-",INDEX(Helper!$B$2:$B$5,MATCH(cadangan[[#This Row],[Marketplace]],Helper!$A$2:$A$5,0)),TEXT(cadangan[[#This Row],[No]],"0000"),"-",TEXT(cadangan[[#This Row],[Tanggal terjual]],"dd/mm/yy"))</f>
        <v>ORD-BB0056-06/04/23</v>
      </c>
      <c r="C57" s="39" t="s">
        <v>62</v>
      </c>
      <c r="D57" s="39" t="str">
        <f>IFERROR(INDEX(Katalog!$A$3:$A$12,MATCH(cadangan[[#This Row],[ItemID A]],Katalog!$C$3:$C$12,0)),"-")</f>
        <v>Pakaian Pria</v>
      </c>
      <c r="E57" s="39" t="str">
        <f>IFERROR(INDEX(Katalog!$B$3:$B$12,MATCH(cadangan[[#This Row],[ItemID A]],Katalog!$C$3:$C$12,0)),"-")</f>
        <v>Celana Pendek</v>
      </c>
      <c r="F57" s="50">
        <v>1</v>
      </c>
      <c r="G57" s="50">
        <v>5</v>
      </c>
      <c r="H57" s="73">
        <f>IFERROR(INDEX(Katalog!$D$3:$D$12,MATCH(cadangan[[#This Row],[ItemID A]],Katalog!$C$3:$C$12,0))*cadangan[[#This Row],[Qty A]],0)</f>
        <v>180000</v>
      </c>
      <c r="I57" s="73">
        <f>IFERROR(cadangan[[#This Row],[Harga Normal A]]-(cadangan[[#This Row],[Harga Normal A]]*cadangan[[#This Row],[Diskon]]),cadangan[[#This Row],[Harga Normal A]])</f>
        <v>153000</v>
      </c>
      <c r="J57" s="73">
        <f>INDEX(Katalog!$F$3:$F$12,MATCH(cadangan[[#This Row],[ItemID A]],Katalog!$C$3:$C$12,0))*cadangan[[#This Row],[Qty A]]</f>
        <v>70000</v>
      </c>
      <c r="K57" s="73">
        <f>IFERROR(cadangan[[#This Row],[Harga Diskon A]]-INDEX(Katalog!$E$3:$E$12,MATCH(cadangan[[#This Row],[ItemID A]],Katalog!$C$3:$C$12,0))*cadangan[[#This Row],[Qty A]],0)</f>
        <v>43000</v>
      </c>
      <c r="L57" s="39" t="s">
        <v>64</v>
      </c>
      <c r="M57" s="39" t="str">
        <f>IFERROR(INDEX(Katalog!$A$3:$A$12,MATCH(cadangan[[#This Row],[ItemID B]],Katalog!$C$3:$C$12,0)),"-")</f>
        <v>Pakaian Unisex</v>
      </c>
      <c r="N57" s="39" t="str">
        <f>IFERROR(INDEX(Katalog!$B$3:$B$12,MATCH(cadangan[[#This Row],[ItemID B]],Katalog!$C$3:$C$12,0)),"-")</f>
        <v>Jaket Hoodie</v>
      </c>
      <c r="O57" s="50">
        <v>1</v>
      </c>
      <c r="P57" s="50">
        <v>5</v>
      </c>
      <c r="Q57" s="73">
        <f>IFERROR(INDEX(Katalog!$D$3:$D$12,MATCH(cadangan[[#This Row],[ItemID B]],Katalog!$C$3:$C$12,0))*cadangan[[#This Row],[Qty B]],0)</f>
        <v>350000</v>
      </c>
      <c r="R57" s="73">
        <f>IFERROR(cadangan[[#This Row],[Harga Normal B]]-(cadangan[[#This Row],[Harga Normal B]]*cadangan[[#This Row],[Diskon]]),cadangan[[#This Row],[Harga Normal B]])</f>
        <v>297500</v>
      </c>
      <c r="S57" s="73">
        <f>IFERROR(INDEX(Katalog!$F$3:$F$12,MATCH(cadangan[[#This Row],[ItemID B]],Katalog!$C$3:$C$12,0))*cadangan[[#This Row],[Qty B]],0)</f>
        <v>130000</v>
      </c>
      <c r="T57" s="73">
        <f>IFERROR(cadangan[[#This Row],[Harga Diskon B]]-INDEX(Katalog!$E$3:$E$12,MATCH(cadangan[[#This Row],[ItemID B]],Katalog!$C$3:$C$12,0))*cadangan[[#This Row],[Qty B]],0)</f>
        <v>77500</v>
      </c>
      <c r="V57" s="39" t="str">
        <f>IFERROR(INDEX(Katalog!$A$3:$A$12,MATCH(cadangan[[#This Row],[ItemID C]],Katalog!$C$3:$C$12,0)),"-")</f>
        <v>-</v>
      </c>
      <c r="W57" s="39" t="str">
        <f>IFERROR(INDEX(Katalog!$B$3:$B$12,MATCH(cadangan[[#This Row],[ItemID C]],Katalog!$C$3:$C$12,0)),"-")</f>
        <v>-</v>
      </c>
      <c r="Z57" s="73">
        <f>IFERROR(INDEX(Katalog!$D$3:$D$12,MATCH(cadangan[[#This Row],[ItemID C]],Katalog!$C$3:$C$12,0))*cadangan[[#This Row],[Qty C]],0)</f>
        <v>0</v>
      </c>
      <c r="AA57" s="73">
        <f>IFERROR(cadangan[[#This Row],[Harga Normal C]]-(cadangan[[#This Row],[Harga Normal C]]*cadangan[[#This Row],[Diskon]]),cadangan[[#This Row],[Harga Normal C]])</f>
        <v>0</v>
      </c>
      <c r="AB57" s="73">
        <f>IFERROR(INDEX(Katalog!$F$3:$F$12,MATCH(cadangan[[#This Row],[ItemID C]],Katalog!$C$3:$C$12,0))*cadangan[[#This Row],[Qty C]],0)</f>
        <v>0</v>
      </c>
      <c r="AC57" s="73">
        <f>IFERROR(cadangan[[#This Row],[Harga Diskon C]]-INDEX(Katalog!$E$3:$E$12,MATCH(cadangan[[#This Row],[ItemID C]],Katalog!$C$3:$C$12,0))*cadangan[[#This Row],[Qty C]],0)</f>
        <v>0</v>
      </c>
      <c r="AD57" s="53">
        <f>cadangan[[#This Row],[Qty A]]+cadangan[[#This Row],[Qty B]]+cadangan[[#This Row],[Qty C]]</f>
        <v>2</v>
      </c>
      <c r="AE57" s="73">
        <f>cadangan[[#This Row],[Harga Normal A]]+cadangan[[#This Row],[Harga Normal B]]+cadangan[[#This Row],[Harga Normal C]]</f>
        <v>530000</v>
      </c>
      <c r="AF57" s="73">
        <f>cadangan[[#This Row],[Harga Diskon A]]+cadangan[[#This Row],[Harga Diskon B]]+cadangan[[#This Row],[Harga Diskon C]]</f>
        <v>450500</v>
      </c>
      <c r="AG57" s="73">
        <f>(cadangan[[#This Row],[Profit Normal A]]+cadangan[[#This Row],[Profit Normal B]]+cadangan[[#This Row],[Profit Normal C]])</f>
        <v>200000</v>
      </c>
      <c r="AH57" s="73">
        <f>cadangan[[#This Row],[Profit Diskon A]]+cadangan[[#This Row],[Profit Diskon B]]+cadangan[[#This Row],[Profit Diskon C]]</f>
        <v>120500</v>
      </c>
      <c r="AI57" s="23" t="s">
        <v>28</v>
      </c>
      <c r="AJ57" s="37">
        <f>IFERROR(INDEX('Kode Diskon'!$D$3:$D$9,MATCH(cadangan[[#This Row],[Kode diskon]],'Kode Diskon'!$C$3:$C$9,0)),"-")</f>
        <v>0.15</v>
      </c>
      <c r="AK57" s="23" t="s">
        <v>29</v>
      </c>
      <c r="AL57" s="23" t="s">
        <v>14</v>
      </c>
      <c r="AM57" s="23" t="s">
        <v>76</v>
      </c>
      <c r="AN57" s="55">
        <v>45022</v>
      </c>
      <c r="AO57" s="53">
        <f>DAY(cadangan[[#This Row],[Tanggal terjual]])</f>
        <v>6</v>
      </c>
      <c r="AP57" s="21" t="str">
        <f>TEXT(cadangan[[#This Row],[Tanggal terjual]],"dddd")</f>
        <v>Thursday</v>
      </c>
      <c r="AQ57" s="23" t="str" cm="1">
        <f t="array" ref="AQ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 s="61">
        <f>AVERAGE(cadangan[[#This Row],[Rating A]],cadangan[[#This Row],[Rating B]],cadangan[[#This Row],[Rating C]])</f>
        <v>5</v>
      </c>
    </row>
    <row r="58" spans="1:44" x14ac:dyDescent="0.2">
      <c r="A58" s="20">
        <v>57</v>
      </c>
      <c r="B58" s="21" t="str">
        <f>_xlfn.CONCAT("ORD-",INDEX(Helper!$B$2:$B$5,MATCH(cadangan[[#This Row],[Marketplace]],Helper!$A$2:$A$5,0)),TEXT(cadangan[[#This Row],[No]],"0000"),"-",TEXT(cadangan[[#This Row],[Tanggal terjual]],"dd/mm/yy"))</f>
        <v>ORD-SP0057-05/04/23</v>
      </c>
      <c r="C58" s="39" t="s">
        <v>67</v>
      </c>
      <c r="D58" s="39" t="str">
        <f>IFERROR(INDEX(Katalog!$A$3:$A$12,MATCH(cadangan[[#This Row],[ItemID A]],Katalog!$C$3:$C$12,0)),"-")</f>
        <v>Sepatu Wanita</v>
      </c>
      <c r="E58" s="39" t="str">
        <f>IFERROR(INDEX(Katalog!$B$3:$B$12,MATCH(cadangan[[#This Row],[ItemID A]],Katalog!$C$3:$C$12,0)),"-")</f>
        <v>Flat Shoes</v>
      </c>
      <c r="F58" s="50">
        <v>2</v>
      </c>
      <c r="G58" s="50">
        <v>2</v>
      </c>
      <c r="H58" s="73">
        <f>IFERROR(INDEX(Katalog!$D$3:$D$12,MATCH(cadangan[[#This Row],[ItemID A]],Katalog!$C$3:$C$12,0))*cadangan[[#This Row],[Qty A]],0)</f>
        <v>500000</v>
      </c>
      <c r="I58" s="73">
        <f>IFERROR(cadangan[[#This Row],[Harga Normal A]]-(cadangan[[#This Row],[Harga Normal A]]*cadangan[[#This Row],[Diskon]]),cadangan[[#This Row],[Harga Normal A]])</f>
        <v>450000</v>
      </c>
      <c r="J58" s="73">
        <f>INDEX(Katalog!$F$3:$F$12,MATCH(cadangan[[#This Row],[ItemID A]],Katalog!$C$3:$C$12,0))*cadangan[[#This Row],[Qty A]]</f>
        <v>200000</v>
      </c>
      <c r="K58" s="73">
        <f>IFERROR(cadangan[[#This Row],[Harga Diskon A]]-INDEX(Katalog!$E$3:$E$12,MATCH(cadangan[[#This Row],[ItemID A]],Katalog!$C$3:$C$12,0))*cadangan[[#This Row],[Qty A]],0)</f>
        <v>150000</v>
      </c>
      <c r="M58" s="39" t="str">
        <f>IFERROR(INDEX(Katalog!$A$3:$A$12,MATCH(cadangan[[#This Row],[ItemID B]],Katalog!$C$3:$C$12,0)),"-")</f>
        <v>-</v>
      </c>
      <c r="N58" s="39" t="str">
        <f>IFERROR(INDEX(Katalog!$B$3:$B$12,MATCH(cadangan[[#This Row],[ItemID B]],Katalog!$C$3:$C$12,0)),"-")</f>
        <v>-</v>
      </c>
      <c r="Q58" s="73">
        <f>IFERROR(INDEX(Katalog!$D$3:$D$12,MATCH(cadangan[[#This Row],[ItemID B]],Katalog!$C$3:$C$12,0))*cadangan[[#This Row],[Qty B]],0)</f>
        <v>0</v>
      </c>
      <c r="R58" s="73">
        <f>IFERROR(cadangan[[#This Row],[Harga Normal B]]-(cadangan[[#This Row],[Harga Normal B]]*cadangan[[#This Row],[Diskon]]),cadangan[[#This Row],[Harga Normal B]])</f>
        <v>0</v>
      </c>
      <c r="S58" s="73">
        <f>IFERROR(INDEX(Katalog!$F$3:$F$12,MATCH(cadangan[[#This Row],[ItemID B]],Katalog!$C$3:$C$12,0))*cadangan[[#This Row],[Qty B]],0)</f>
        <v>0</v>
      </c>
      <c r="T58" s="73">
        <f>IFERROR(cadangan[[#This Row],[Harga Diskon B]]-INDEX(Katalog!$E$3:$E$12,MATCH(cadangan[[#This Row],[ItemID B]],Katalog!$C$3:$C$12,0))*cadangan[[#This Row],[Qty B]],0)</f>
        <v>0</v>
      </c>
      <c r="V58" s="39" t="str">
        <f>IFERROR(INDEX(Katalog!$A$3:$A$12,MATCH(cadangan[[#This Row],[ItemID C]],Katalog!$C$3:$C$12,0)),"-")</f>
        <v>-</v>
      </c>
      <c r="W58" s="39" t="str">
        <f>IFERROR(INDEX(Katalog!$B$3:$B$12,MATCH(cadangan[[#This Row],[ItemID C]],Katalog!$C$3:$C$12,0)),"-")</f>
        <v>-</v>
      </c>
      <c r="Z58" s="73">
        <f>IFERROR(INDEX(Katalog!$D$3:$D$12,MATCH(cadangan[[#This Row],[ItemID C]],Katalog!$C$3:$C$12,0))*cadangan[[#This Row],[Qty C]],0)</f>
        <v>0</v>
      </c>
      <c r="AA58" s="73">
        <f>IFERROR(cadangan[[#This Row],[Harga Normal C]]-(cadangan[[#This Row],[Harga Normal C]]*cadangan[[#This Row],[Diskon]]),cadangan[[#This Row],[Harga Normal C]])</f>
        <v>0</v>
      </c>
      <c r="AB58" s="73">
        <f>IFERROR(INDEX(Katalog!$F$3:$F$12,MATCH(cadangan[[#This Row],[ItemID C]],Katalog!$C$3:$C$12,0))*cadangan[[#This Row],[Qty C]],0)</f>
        <v>0</v>
      </c>
      <c r="AC58" s="73">
        <f>IFERROR(cadangan[[#This Row],[Harga Diskon C]]-INDEX(Katalog!$E$3:$E$12,MATCH(cadangan[[#This Row],[ItemID C]],Katalog!$C$3:$C$12,0))*cadangan[[#This Row],[Qty C]],0)</f>
        <v>0</v>
      </c>
      <c r="AD58" s="53">
        <f>cadangan[[#This Row],[Qty A]]+cadangan[[#This Row],[Qty B]]+cadangan[[#This Row],[Qty C]]</f>
        <v>2</v>
      </c>
      <c r="AE58" s="73">
        <f>cadangan[[#This Row],[Harga Normal A]]+cadangan[[#This Row],[Harga Normal B]]+cadangan[[#This Row],[Harga Normal C]]</f>
        <v>500000</v>
      </c>
      <c r="AF58" s="73">
        <f>cadangan[[#This Row],[Harga Diskon A]]+cadangan[[#This Row],[Harga Diskon B]]+cadangan[[#This Row],[Harga Diskon C]]</f>
        <v>450000</v>
      </c>
      <c r="AG58" s="73">
        <f>(cadangan[[#This Row],[Profit Normal A]]+cadangan[[#This Row],[Profit Normal B]]+cadangan[[#This Row],[Profit Normal C]])</f>
        <v>200000</v>
      </c>
      <c r="AH58" s="73">
        <f>cadangan[[#This Row],[Profit Diskon A]]+cadangan[[#This Row],[Profit Diskon B]]+cadangan[[#This Row],[Profit Diskon C]]</f>
        <v>150000</v>
      </c>
      <c r="AI58" s="23" t="s">
        <v>6</v>
      </c>
      <c r="AJ58" s="37">
        <f>IFERROR(INDEX('Kode Diskon'!$D$3:$D$9,MATCH(cadangan[[#This Row],[Kode diskon]],'Kode Diskon'!$C$3:$C$9,0)),"-")</f>
        <v>0.1</v>
      </c>
      <c r="AK58" s="23" t="s">
        <v>29</v>
      </c>
      <c r="AL58" s="23" t="s">
        <v>7</v>
      </c>
      <c r="AM58" s="23" t="s">
        <v>77</v>
      </c>
      <c r="AN58" s="55">
        <v>45021</v>
      </c>
      <c r="AO58" s="53">
        <f>DAY(cadangan[[#This Row],[Tanggal terjual]])</f>
        <v>5</v>
      </c>
      <c r="AP58" s="21" t="str">
        <f>TEXT(cadangan[[#This Row],[Tanggal terjual]],"dddd")</f>
        <v>Wednesday</v>
      </c>
      <c r="AQ58" s="23" t="str" cm="1">
        <f t="array" ref="AQ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 s="61">
        <f>AVERAGE(cadangan[[#This Row],[Rating A]],cadangan[[#This Row],[Rating B]],cadangan[[#This Row],[Rating C]])</f>
        <v>2</v>
      </c>
    </row>
    <row r="59" spans="1:44" x14ac:dyDescent="0.2">
      <c r="A59" s="20">
        <v>58</v>
      </c>
      <c r="B59" s="21" t="str">
        <f>_xlfn.CONCAT("ORD-",INDEX(Helper!$B$2:$B$5,MATCH(cadangan[[#This Row],[Marketplace]],Helper!$A$2:$A$5,0)),TEXT(cadangan[[#This Row],[No]],"0000"),"-",TEXT(cadangan[[#This Row],[Tanggal terjual]],"dd/mm/yy"))</f>
        <v>ORD-BB0058-06/04/23</v>
      </c>
      <c r="C59" s="39" t="s">
        <v>58</v>
      </c>
      <c r="D59" s="39" t="str">
        <f>IFERROR(INDEX(Katalog!$A$3:$A$12,MATCH(cadangan[[#This Row],[ItemID A]],Katalog!$C$3:$C$12,0)),"-")</f>
        <v>Pakaian Wanita</v>
      </c>
      <c r="E59" s="39" t="str">
        <f>IFERROR(INDEX(Katalog!$B$3:$B$12,MATCH(cadangan[[#This Row],[ItemID A]],Katalog!$C$3:$C$12,0)),"-")</f>
        <v>Dress</v>
      </c>
      <c r="F59" s="50">
        <v>2</v>
      </c>
      <c r="G59" s="50">
        <v>5</v>
      </c>
      <c r="H59" s="73">
        <f>IFERROR(INDEX(Katalog!$D$3:$D$12,MATCH(cadangan[[#This Row],[ItemID A]],Katalog!$C$3:$C$12,0))*cadangan[[#This Row],[Qty A]],0)</f>
        <v>600000</v>
      </c>
      <c r="I59" s="73">
        <f>IFERROR(cadangan[[#This Row],[Harga Normal A]]-(cadangan[[#This Row],[Harga Normal A]]*cadangan[[#This Row],[Diskon]]),cadangan[[#This Row],[Harga Normal A]])</f>
        <v>510000</v>
      </c>
      <c r="J59" s="73">
        <f>INDEX(Katalog!$F$3:$F$12,MATCH(cadangan[[#This Row],[ItemID A]],Katalog!$C$3:$C$12,0))*cadangan[[#This Row],[Qty A]]</f>
        <v>200000</v>
      </c>
      <c r="K59" s="73">
        <f>IFERROR(cadangan[[#This Row],[Harga Diskon A]]-INDEX(Katalog!$E$3:$E$12,MATCH(cadangan[[#This Row],[ItemID A]],Katalog!$C$3:$C$12,0))*cadangan[[#This Row],[Qty A]],0)</f>
        <v>110000</v>
      </c>
      <c r="M59" s="39" t="str">
        <f>IFERROR(INDEX(Katalog!$A$3:$A$12,MATCH(cadangan[[#This Row],[ItemID B]],Katalog!$C$3:$C$12,0)),"-")</f>
        <v>-</v>
      </c>
      <c r="N59" s="39" t="str">
        <f>IFERROR(INDEX(Katalog!$B$3:$B$12,MATCH(cadangan[[#This Row],[ItemID B]],Katalog!$C$3:$C$12,0)),"-")</f>
        <v>-</v>
      </c>
      <c r="Q59" s="73">
        <f>IFERROR(INDEX(Katalog!$D$3:$D$12,MATCH(cadangan[[#This Row],[ItemID B]],Katalog!$C$3:$C$12,0))*cadangan[[#This Row],[Qty B]],0)</f>
        <v>0</v>
      </c>
      <c r="R59" s="73">
        <f>IFERROR(cadangan[[#This Row],[Harga Normal B]]-(cadangan[[#This Row],[Harga Normal B]]*cadangan[[#This Row],[Diskon]]),cadangan[[#This Row],[Harga Normal B]])</f>
        <v>0</v>
      </c>
      <c r="S59" s="73">
        <f>IFERROR(INDEX(Katalog!$F$3:$F$12,MATCH(cadangan[[#This Row],[ItemID B]],Katalog!$C$3:$C$12,0))*cadangan[[#This Row],[Qty B]],0)</f>
        <v>0</v>
      </c>
      <c r="T59" s="73">
        <f>IFERROR(cadangan[[#This Row],[Harga Diskon B]]-INDEX(Katalog!$E$3:$E$12,MATCH(cadangan[[#This Row],[ItemID B]],Katalog!$C$3:$C$12,0))*cadangan[[#This Row],[Qty B]],0)</f>
        <v>0</v>
      </c>
      <c r="V59" s="39" t="str">
        <f>IFERROR(INDEX(Katalog!$A$3:$A$12,MATCH(cadangan[[#This Row],[ItemID C]],Katalog!$C$3:$C$12,0)),"-")</f>
        <v>-</v>
      </c>
      <c r="W59" s="39" t="str">
        <f>IFERROR(INDEX(Katalog!$B$3:$B$12,MATCH(cadangan[[#This Row],[ItemID C]],Katalog!$C$3:$C$12,0)),"-")</f>
        <v>-</v>
      </c>
      <c r="Z59" s="73">
        <f>IFERROR(INDEX(Katalog!$D$3:$D$12,MATCH(cadangan[[#This Row],[ItemID C]],Katalog!$C$3:$C$12,0))*cadangan[[#This Row],[Qty C]],0)</f>
        <v>0</v>
      </c>
      <c r="AA59" s="73">
        <f>IFERROR(cadangan[[#This Row],[Harga Normal C]]-(cadangan[[#This Row],[Harga Normal C]]*cadangan[[#This Row],[Diskon]]),cadangan[[#This Row],[Harga Normal C]])</f>
        <v>0</v>
      </c>
      <c r="AB59" s="73">
        <f>IFERROR(INDEX(Katalog!$F$3:$F$12,MATCH(cadangan[[#This Row],[ItemID C]],Katalog!$C$3:$C$12,0))*cadangan[[#This Row],[Qty C]],0)</f>
        <v>0</v>
      </c>
      <c r="AC59" s="73">
        <f>IFERROR(cadangan[[#This Row],[Harga Diskon C]]-INDEX(Katalog!$E$3:$E$12,MATCH(cadangan[[#This Row],[ItemID C]],Katalog!$C$3:$C$12,0))*cadangan[[#This Row],[Qty C]],0)</f>
        <v>0</v>
      </c>
      <c r="AD59" s="53">
        <f>cadangan[[#This Row],[Qty A]]+cadangan[[#This Row],[Qty B]]+cadangan[[#This Row],[Qty C]]</f>
        <v>2</v>
      </c>
      <c r="AE59" s="73">
        <f>cadangan[[#This Row],[Harga Normal A]]+cadangan[[#This Row],[Harga Normal B]]+cadangan[[#This Row],[Harga Normal C]]</f>
        <v>600000</v>
      </c>
      <c r="AF59" s="73">
        <f>cadangan[[#This Row],[Harga Diskon A]]+cadangan[[#This Row],[Harga Diskon B]]+cadangan[[#This Row],[Harga Diskon C]]</f>
        <v>510000</v>
      </c>
      <c r="AG59" s="73">
        <f>(cadangan[[#This Row],[Profit Normal A]]+cadangan[[#This Row],[Profit Normal B]]+cadangan[[#This Row],[Profit Normal C]])</f>
        <v>200000</v>
      </c>
      <c r="AH59" s="73">
        <f>cadangan[[#This Row],[Profit Diskon A]]+cadangan[[#This Row],[Profit Diskon B]]+cadangan[[#This Row],[Profit Diskon C]]</f>
        <v>110000</v>
      </c>
      <c r="AI59" s="23" t="s">
        <v>28</v>
      </c>
      <c r="AJ59" s="37">
        <f>IFERROR(INDEX('Kode Diskon'!$D$3:$D$9,MATCH(cadangan[[#This Row],[Kode diskon]],'Kode Diskon'!$C$3:$C$9,0)),"-")</f>
        <v>0.15</v>
      </c>
      <c r="AK59" s="23" t="s">
        <v>29</v>
      </c>
      <c r="AL59" s="23" t="s">
        <v>14</v>
      </c>
      <c r="AM59" s="23" t="s">
        <v>80</v>
      </c>
      <c r="AN59" s="55">
        <v>45022</v>
      </c>
      <c r="AO59" s="53">
        <f>DAY(cadangan[[#This Row],[Tanggal terjual]])</f>
        <v>6</v>
      </c>
      <c r="AP59" s="21" t="str">
        <f>TEXT(cadangan[[#This Row],[Tanggal terjual]],"dddd")</f>
        <v>Thursday</v>
      </c>
      <c r="AQ59" s="23" t="str" cm="1">
        <f t="array" ref="AQ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9" s="61">
        <f>AVERAGE(cadangan[[#This Row],[Rating A]],cadangan[[#This Row],[Rating B]],cadangan[[#This Row],[Rating C]])</f>
        <v>5</v>
      </c>
    </row>
    <row r="60" spans="1:44" x14ac:dyDescent="0.2">
      <c r="A60" s="20">
        <v>59</v>
      </c>
      <c r="B60" s="21" t="str">
        <f>_xlfn.CONCAT("ORD-",INDEX(Helper!$B$2:$B$5,MATCH(cadangan[[#This Row],[Marketplace]],Helper!$A$2:$A$5,0)),TEXT(cadangan[[#This Row],[No]],"0000"),"-",TEXT(cadangan[[#This Row],[Tanggal terjual]],"dd/mm/yy"))</f>
        <v>ORD-SP0059-04/04/23</v>
      </c>
      <c r="C60" s="39" t="s">
        <v>66</v>
      </c>
      <c r="D60" s="39" t="str">
        <f>IFERROR(INDEX(Katalog!$A$3:$A$12,MATCH(cadangan[[#This Row],[ItemID A]],Katalog!$C$3:$C$12,0)),"-")</f>
        <v>Sepatu Pria</v>
      </c>
      <c r="E60" s="39" t="str">
        <f>IFERROR(INDEX(Katalog!$B$3:$B$12,MATCH(cadangan[[#This Row],[ItemID A]],Katalog!$C$3:$C$12,0)),"-")</f>
        <v>Sandal Slip On</v>
      </c>
      <c r="F60" s="50">
        <v>5</v>
      </c>
      <c r="G60" s="50">
        <v>5</v>
      </c>
      <c r="H60" s="73">
        <f>IFERROR(INDEX(Katalog!$D$3:$D$12,MATCH(cadangan[[#This Row],[ItemID A]],Katalog!$C$3:$C$12,0))*cadangan[[#This Row],[Qty A]],0)</f>
        <v>750000</v>
      </c>
      <c r="I60" s="73">
        <f>IFERROR(cadangan[[#This Row],[Harga Normal A]]-(cadangan[[#This Row],[Harga Normal A]]*cadangan[[#This Row],[Diskon]]),cadangan[[#This Row],[Harga Normal A]])</f>
        <v>637500</v>
      </c>
      <c r="J60" s="73">
        <f>INDEX(Katalog!$F$3:$F$12,MATCH(cadangan[[#This Row],[ItemID A]],Katalog!$C$3:$C$12,0))*cadangan[[#This Row],[Qty A]]</f>
        <v>300000</v>
      </c>
      <c r="K60" s="73">
        <f>IFERROR(cadangan[[#This Row],[Harga Diskon A]]-INDEX(Katalog!$E$3:$E$12,MATCH(cadangan[[#This Row],[ItemID A]],Katalog!$C$3:$C$12,0))*cadangan[[#This Row],[Qty A]],0)</f>
        <v>187500</v>
      </c>
      <c r="L60" s="39" t="s">
        <v>67</v>
      </c>
      <c r="M60" s="39" t="str">
        <f>IFERROR(INDEX(Katalog!$A$3:$A$12,MATCH(cadangan[[#This Row],[ItemID B]],Katalog!$C$3:$C$12,0)),"-")</f>
        <v>Sepatu Wanita</v>
      </c>
      <c r="N60" s="39" t="str">
        <f>IFERROR(INDEX(Katalog!$B$3:$B$12,MATCH(cadangan[[#This Row],[ItemID B]],Katalog!$C$3:$C$12,0)),"-")</f>
        <v>Flat Shoes</v>
      </c>
      <c r="O60" s="50">
        <v>1</v>
      </c>
      <c r="P60" s="50">
        <v>4</v>
      </c>
      <c r="Q60" s="73">
        <f>IFERROR(INDEX(Katalog!$D$3:$D$12,MATCH(cadangan[[#This Row],[ItemID B]],Katalog!$C$3:$C$12,0))*cadangan[[#This Row],[Qty B]],0)</f>
        <v>250000</v>
      </c>
      <c r="R60" s="73">
        <f>IFERROR(cadangan[[#This Row],[Harga Normal B]]-(cadangan[[#This Row],[Harga Normal B]]*cadangan[[#This Row],[Diskon]]),cadangan[[#This Row],[Harga Normal B]])</f>
        <v>212500</v>
      </c>
      <c r="S60" s="73">
        <f>IFERROR(INDEX(Katalog!$F$3:$F$12,MATCH(cadangan[[#This Row],[ItemID B]],Katalog!$C$3:$C$12,0))*cadangan[[#This Row],[Qty B]],0)</f>
        <v>100000</v>
      </c>
      <c r="T60" s="73">
        <f>IFERROR(cadangan[[#This Row],[Harga Diskon B]]-INDEX(Katalog!$E$3:$E$12,MATCH(cadangan[[#This Row],[ItemID B]],Katalog!$C$3:$C$12,0))*cadangan[[#This Row],[Qty B]],0)</f>
        <v>62500</v>
      </c>
      <c r="V60" s="39" t="str">
        <f>IFERROR(INDEX(Katalog!$A$3:$A$12,MATCH(cadangan[[#This Row],[ItemID C]],Katalog!$C$3:$C$12,0)),"-")</f>
        <v>-</v>
      </c>
      <c r="W60" s="39" t="str">
        <f>IFERROR(INDEX(Katalog!$B$3:$B$12,MATCH(cadangan[[#This Row],[ItemID C]],Katalog!$C$3:$C$12,0)),"-")</f>
        <v>-</v>
      </c>
      <c r="Z60" s="73">
        <f>IFERROR(INDEX(Katalog!$D$3:$D$12,MATCH(cadangan[[#This Row],[ItemID C]],Katalog!$C$3:$C$12,0))*cadangan[[#This Row],[Qty C]],0)</f>
        <v>0</v>
      </c>
      <c r="AA60" s="73">
        <f>IFERROR(cadangan[[#This Row],[Harga Normal C]]-(cadangan[[#This Row],[Harga Normal C]]*cadangan[[#This Row],[Diskon]]),cadangan[[#This Row],[Harga Normal C]])</f>
        <v>0</v>
      </c>
      <c r="AB60" s="73">
        <f>IFERROR(INDEX(Katalog!$F$3:$F$12,MATCH(cadangan[[#This Row],[ItemID C]],Katalog!$C$3:$C$12,0))*cadangan[[#This Row],[Qty C]],0)</f>
        <v>0</v>
      </c>
      <c r="AC60" s="73">
        <f>IFERROR(cadangan[[#This Row],[Harga Diskon C]]-INDEX(Katalog!$E$3:$E$12,MATCH(cadangan[[#This Row],[ItemID C]],Katalog!$C$3:$C$12,0))*cadangan[[#This Row],[Qty C]],0)</f>
        <v>0</v>
      </c>
      <c r="AD60" s="53">
        <f>cadangan[[#This Row],[Qty A]]+cadangan[[#This Row],[Qty B]]+cadangan[[#This Row],[Qty C]]</f>
        <v>6</v>
      </c>
      <c r="AE60" s="73">
        <f>cadangan[[#This Row],[Harga Normal A]]+cadangan[[#This Row],[Harga Normal B]]+cadangan[[#This Row],[Harga Normal C]]</f>
        <v>1000000</v>
      </c>
      <c r="AF60" s="73">
        <f>cadangan[[#This Row],[Harga Diskon A]]+cadangan[[#This Row],[Harga Diskon B]]+cadangan[[#This Row],[Harga Diskon C]]</f>
        <v>850000</v>
      </c>
      <c r="AG60" s="73">
        <f>(cadangan[[#This Row],[Profit Normal A]]+cadangan[[#This Row],[Profit Normal B]]+cadangan[[#This Row],[Profit Normal C]])</f>
        <v>400000</v>
      </c>
      <c r="AH60" s="73">
        <f>cadangan[[#This Row],[Profit Diskon A]]+cadangan[[#This Row],[Profit Diskon B]]+cadangan[[#This Row],[Profit Diskon C]]</f>
        <v>250000</v>
      </c>
      <c r="AI60" s="23" t="s">
        <v>13</v>
      </c>
      <c r="AJ60" s="37">
        <f>IFERROR(INDEX('Kode Diskon'!$D$3:$D$9,MATCH(cadangan[[#This Row],[Kode diskon]],'Kode Diskon'!$C$3:$C$9,0)),"-")</f>
        <v>0.15</v>
      </c>
      <c r="AK60" s="23" t="s">
        <v>29</v>
      </c>
      <c r="AL60" s="23" t="s">
        <v>7</v>
      </c>
      <c r="AM60" s="23" t="s">
        <v>80</v>
      </c>
      <c r="AN60" s="55">
        <v>45020</v>
      </c>
      <c r="AO60" s="53">
        <f>DAY(cadangan[[#This Row],[Tanggal terjual]])</f>
        <v>4</v>
      </c>
      <c r="AP60" s="21" t="str">
        <f>TEXT(cadangan[[#This Row],[Tanggal terjual]],"dddd")</f>
        <v>Tuesday</v>
      </c>
      <c r="AQ60" s="23" t="str" cm="1">
        <f t="array" ref="AQ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0" s="61">
        <f>AVERAGE(cadangan[[#This Row],[Rating A]],cadangan[[#This Row],[Rating B]],cadangan[[#This Row],[Rating C]])</f>
        <v>4.5</v>
      </c>
    </row>
    <row r="61" spans="1:44" x14ac:dyDescent="0.2">
      <c r="A61" s="20">
        <v>60</v>
      </c>
      <c r="B61" s="21" t="str">
        <f>_xlfn.CONCAT("ORD-",INDEX(Helper!$B$2:$B$5,MATCH(cadangan[[#This Row],[Marketplace]],Helper!$A$2:$A$5,0)),TEXT(cadangan[[#This Row],[No]],"0000"),"-",TEXT(cadangan[[#This Row],[Tanggal terjual]],"dd/mm/yy"))</f>
        <v>ORD-SP0060-02/04/23</v>
      </c>
      <c r="C61" s="39" t="s">
        <v>67</v>
      </c>
      <c r="D61" s="39" t="str">
        <f>IFERROR(INDEX(Katalog!$A$3:$A$12,MATCH(cadangan[[#This Row],[ItemID A]],Katalog!$C$3:$C$12,0)),"-")</f>
        <v>Sepatu Wanita</v>
      </c>
      <c r="E61" s="39" t="str">
        <f>IFERROR(INDEX(Katalog!$B$3:$B$12,MATCH(cadangan[[#This Row],[ItemID A]],Katalog!$C$3:$C$12,0)),"-")</f>
        <v>Flat Shoes</v>
      </c>
      <c r="F61" s="50">
        <v>5</v>
      </c>
      <c r="G61" s="50">
        <v>5</v>
      </c>
      <c r="H61" s="73">
        <f>IFERROR(INDEX(Katalog!$D$3:$D$12,MATCH(cadangan[[#This Row],[ItemID A]],Katalog!$C$3:$C$12,0))*cadangan[[#This Row],[Qty A]],0)</f>
        <v>1250000</v>
      </c>
      <c r="I61" s="73">
        <f>IFERROR(cadangan[[#This Row],[Harga Normal A]]-(cadangan[[#This Row],[Harga Normal A]]*cadangan[[#This Row],[Diskon]]),cadangan[[#This Row],[Harga Normal A]])</f>
        <v>1062500</v>
      </c>
      <c r="J61" s="73">
        <f>INDEX(Katalog!$F$3:$F$12,MATCH(cadangan[[#This Row],[ItemID A]],Katalog!$C$3:$C$12,0))*cadangan[[#This Row],[Qty A]]</f>
        <v>500000</v>
      </c>
      <c r="K61" s="73">
        <f>IFERROR(cadangan[[#This Row],[Harga Diskon A]]-INDEX(Katalog!$E$3:$E$12,MATCH(cadangan[[#This Row],[ItemID A]],Katalog!$C$3:$C$12,0))*cadangan[[#This Row],[Qty A]],0)</f>
        <v>312500</v>
      </c>
      <c r="M61" s="39" t="str">
        <f>IFERROR(INDEX(Katalog!$A$3:$A$12,MATCH(cadangan[[#This Row],[ItemID B]],Katalog!$C$3:$C$12,0)),"-")</f>
        <v>-</v>
      </c>
      <c r="N61" s="39" t="str">
        <f>IFERROR(INDEX(Katalog!$B$3:$B$12,MATCH(cadangan[[#This Row],[ItemID B]],Katalog!$C$3:$C$12,0)),"-")</f>
        <v>-</v>
      </c>
      <c r="Q61" s="73">
        <f>IFERROR(INDEX(Katalog!$D$3:$D$12,MATCH(cadangan[[#This Row],[ItemID B]],Katalog!$C$3:$C$12,0))*cadangan[[#This Row],[Qty B]],0)</f>
        <v>0</v>
      </c>
      <c r="R61" s="73">
        <f>IFERROR(cadangan[[#This Row],[Harga Normal B]]-(cadangan[[#This Row],[Harga Normal B]]*cadangan[[#This Row],[Diskon]]),cadangan[[#This Row],[Harga Normal B]])</f>
        <v>0</v>
      </c>
      <c r="S61" s="73">
        <f>IFERROR(INDEX(Katalog!$F$3:$F$12,MATCH(cadangan[[#This Row],[ItemID B]],Katalog!$C$3:$C$12,0))*cadangan[[#This Row],[Qty B]],0)</f>
        <v>0</v>
      </c>
      <c r="T61" s="73">
        <f>IFERROR(cadangan[[#This Row],[Harga Diskon B]]-INDEX(Katalog!$E$3:$E$12,MATCH(cadangan[[#This Row],[ItemID B]],Katalog!$C$3:$C$12,0))*cadangan[[#This Row],[Qty B]],0)</f>
        <v>0</v>
      </c>
      <c r="V61" s="39" t="str">
        <f>IFERROR(INDEX(Katalog!$A$3:$A$12,MATCH(cadangan[[#This Row],[ItemID C]],Katalog!$C$3:$C$12,0)),"-")</f>
        <v>-</v>
      </c>
      <c r="W61" s="39" t="str">
        <f>IFERROR(INDEX(Katalog!$B$3:$B$12,MATCH(cadangan[[#This Row],[ItemID C]],Katalog!$C$3:$C$12,0)),"-")</f>
        <v>-</v>
      </c>
      <c r="Z61" s="73">
        <f>IFERROR(INDEX(Katalog!$D$3:$D$12,MATCH(cadangan[[#This Row],[ItemID C]],Katalog!$C$3:$C$12,0))*cadangan[[#This Row],[Qty C]],0)</f>
        <v>0</v>
      </c>
      <c r="AA61" s="73">
        <f>IFERROR(cadangan[[#This Row],[Harga Normal C]]-(cadangan[[#This Row],[Harga Normal C]]*cadangan[[#This Row],[Diskon]]),cadangan[[#This Row],[Harga Normal C]])</f>
        <v>0</v>
      </c>
      <c r="AB61" s="73">
        <f>IFERROR(INDEX(Katalog!$F$3:$F$12,MATCH(cadangan[[#This Row],[ItemID C]],Katalog!$C$3:$C$12,0))*cadangan[[#This Row],[Qty C]],0)</f>
        <v>0</v>
      </c>
      <c r="AC61" s="73">
        <f>IFERROR(cadangan[[#This Row],[Harga Diskon C]]-INDEX(Katalog!$E$3:$E$12,MATCH(cadangan[[#This Row],[ItemID C]],Katalog!$C$3:$C$12,0))*cadangan[[#This Row],[Qty C]],0)</f>
        <v>0</v>
      </c>
      <c r="AD61" s="53">
        <f>cadangan[[#This Row],[Qty A]]+cadangan[[#This Row],[Qty B]]+cadangan[[#This Row],[Qty C]]</f>
        <v>5</v>
      </c>
      <c r="AE61" s="73">
        <f>cadangan[[#This Row],[Harga Normal A]]+cadangan[[#This Row],[Harga Normal B]]+cadangan[[#This Row],[Harga Normal C]]</f>
        <v>1250000</v>
      </c>
      <c r="AF61" s="73">
        <f>cadangan[[#This Row],[Harga Diskon A]]+cadangan[[#This Row],[Harga Diskon B]]+cadangan[[#This Row],[Harga Diskon C]]</f>
        <v>1062500</v>
      </c>
      <c r="AG61" s="73">
        <f>(cadangan[[#This Row],[Profit Normal A]]+cadangan[[#This Row],[Profit Normal B]]+cadangan[[#This Row],[Profit Normal C]])</f>
        <v>500000</v>
      </c>
      <c r="AH61" s="73">
        <f>cadangan[[#This Row],[Profit Diskon A]]+cadangan[[#This Row],[Profit Diskon B]]+cadangan[[#This Row],[Profit Diskon C]]</f>
        <v>312500</v>
      </c>
      <c r="AI61" s="23" t="s">
        <v>13</v>
      </c>
      <c r="AJ61" s="37">
        <f>IFERROR(INDEX('Kode Diskon'!$D$3:$D$9,MATCH(cadangan[[#This Row],[Kode diskon]],'Kode Diskon'!$C$3:$C$9,0)),"-")</f>
        <v>0.15</v>
      </c>
      <c r="AK61" s="23" t="s">
        <v>29</v>
      </c>
      <c r="AL61" s="23" t="s">
        <v>7</v>
      </c>
      <c r="AM61" s="23" t="s">
        <v>79</v>
      </c>
      <c r="AN61" s="55">
        <v>45018</v>
      </c>
      <c r="AO61" s="53">
        <f>DAY(cadangan[[#This Row],[Tanggal terjual]])</f>
        <v>2</v>
      </c>
      <c r="AP61" s="21" t="str">
        <f>TEXT(cadangan[[#This Row],[Tanggal terjual]],"dddd")</f>
        <v>Sunday</v>
      </c>
      <c r="AQ61" s="23" t="str" cm="1">
        <f t="array" ref="AQ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1" s="61">
        <f>AVERAGE(cadangan[[#This Row],[Rating A]],cadangan[[#This Row],[Rating B]],cadangan[[#This Row],[Rating C]])</f>
        <v>5</v>
      </c>
    </row>
    <row r="62" spans="1:44" x14ac:dyDescent="0.2">
      <c r="A62" s="20">
        <v>61</v>
      </c>
      <c r="B62" s="21" t="str">
        <f>_xlfn.CONCAT("ORD-",INDEX(Helper!$B$2:$B$5,MATCH(cadangan[[#This Row],[Marketplace]],Helper!$A$2:$A$5,0)),TEXT(cadangan[[#This Row],[No]],"0000"),"-",TEXT(cadangan[[#This Row],[Tanggal terjual]],"dd/mm/yy"))</f>
        <v>ORD-SP0061-03/04/23</v>
      </c>
      <c r="C62" s="39" t="s">
        <v>65</v>
      </c>
      <c r="D62" s="39" t="str">
        <f>IFERROR(INDEX(Katalog!$A$3:$A$12,MATCH(cadangan[[#This Row],[ItemID A]],Katalog!$C$3:$C$12,0)),"-")</f>
        <v>Sepatu Pria</v>
      </c>
      <c r="E62" s="39" t="str">
        <f>IFERROR(INDEX(Katalog!$B$3:$B$12,MATCH(cadangan[[#This Row],[ItemID A]],Katalog!$C$3:$C$12,0)),"-")</f>
        <v>Sneakers</v>
      </c>
      <c r="F62" s="50">
        <v>2</v>
      </c>
      <c r="G62" s="50">
        <v>1</v>
      </c>
      <c r="H62" s="73">
        <f>IFERROR(INDEX(Katalog!$D$3:$D$12,MATCH(cadangan[[#This Row],[ItemID A]],Katalog!$C$3:$C$12,0))*cadangan[[#This Row],[Qty A]],0)</f>
        <v>1000000</v>
      </c>
      <c r="I62" s="73">
        <f>IFERROR(cadangan[[#This Row],[Harga Normal A]]-(cadangan[[#This Row],[Harga Normal A]]*cadangan[[#This Row],[Diskon]]),cadangan[[#This Row],[Harga Normal A]])</f>
        <v>900000</v>
      </c>
      <c r="J62" s="73">
        <f>INDEX(Katalog!$F$3:$F$12,MATCH(cadangan[[#This Row],[ItemID A]],Katalog!$C$3:$C$12,0))*cadangan[[#This Row],[Qty A]]</f>
        <v>400000</v>
      </c>
      <c r="K62" s="73">
        <f>IFERROR(cadangan[[#This Row],[Harga Diskon A]]-INDEX(Katalog!$E$3:$E$12,MATCH(cadangan[[#This Row],[ItemID A]],Katalog!$C$3:$C$12,0))*cadangan[[#This Row],[Qty A]],0)</f>
        <v>300000</v>
      </c>
      <c r="L62" s="39" t="s">
        <v>61</v>
      </c>
      <c r="M62" s="39" t="str">
        <f>IFERROR(INDEX(Katalog!$A$3:$A$12,MATCH(cadangan[[#This Row],[ItemID B]],Katalog!$C$3:$C$12,0)),"-")</f>
        <v>Pakaian Pria</v>
      </c>
      <c r="N62" s="39" t="str">
        <f>IFERROR(INDEX(Katalog!$B$3:$B$12,MATCH(cadangan[[#This Row],[ItemID B]],Katalog!$C$3:$C$12,0)),"-")</f>
        <v>Kaos Polo</v>
      </c>
      <c r="O62" s="50">
        <v>1</v>
      </c>
      <c r="P62" s="50">
        <v>4</v>
      </c>
      <c r="Q62" s="73">
        <f>IFERROR(INDEX(Katalog!$D$3:$D$12,MATCH(cadangan[[#This Row],[ItemID B]],Katalog!$C$3:$C$12,0))*cadangan[[#This Row],[Qty B]],0)</f>
        <v>200000</v>
      </c>
      <c r="R62" s="73">
        <f>IFERROR(cadangan[[#This Row],[Harga Normal B]]-(cadangan[[#This Row],[Harga Normal B]]*cadangan[[#This Row],[Diskon]]),cadangan[[#This Row],[Harga Normal B]])</f>
        <v>180000</v>
      </c>
      <c r="S62" s="73">
        <f>IFERROR(INDEX(Katalog!$F$3:$F$12,MATCH(cadangan[[#This Row],[ItemID B]],Katalog!$C$3:$C$12,0))*cadangan[[#This Row],[Qty B]],0)</f>
        <v>80000</v>
      </c>
      <c r="T62" s="73">
        <f>IFERROR(cadangan[[#This Row],[Harga Diskon B]]-INDEX(Katalog!$E$3:$E$12,MATCH(cadangan[[#This Row],[ItemID B]],Katalog!$C$3:$C$12,0))*cadangan[[#This Row],[Qty B]],0)</f>
        <v>60000</v>
      </c>
      <c r="V62" s="39" t="str">
        <f>IFERROR(INDEX(Katalog!$A$3:$A$12,MATCH(cadangan[[#This Row],[ItemID C]],Katalog!$C$3:$C$12,0)),"-")</f>
        <v>-</v>
      </c>
      <c r="W62" s="39" t="str">
        <f>IFERROR(INDEX(Katalog!$B$3:$B$12,MATCH(cadangan[[#This Row],[ItemID C]],Katalog!$C$3:$C$12,0)),"-")</f>
        <v>-</v>
      </c>
      <c r="Z62" s="73">
        <f>IFERROR(INDEX(Katalog!$D$3:$D$12,MATCH(cadangan[[#This Row],[ItemID C]],Katalog!$C$3:$C$12,0))*cadangan[[#This Row],[Qty C]],0)</f>
        <v>0</v>
      </c>
      <c r="AA62" s="73">
        <f>IFERROR(cadangan[[#This Row],[Harga Normal C]]-(cadangan[[#This Row],[Harga Normal C]]*cadangan[[#This Row],[Diskon]]),cadangan[[#This Row],[Harga Normal C]])</f>
        <v>0</v>
      </c>
      <c r="AB62" s="73">
        <f>IFERROR(INDEX(Katalog!$F$3:$F$12,MATCH(cadangan[[#This Row],[ItemID C]],Katalog!$C$3:$C$12,0))*cadangan[[#This Row],[Qty C]],0)</f>
        <v>0</v>
      </c>
      <c r="AC62" s="73">
        <f>IFERROR(cadangan[[#This Row],[Harga Diskon C]]-INDEX(Katalog!$E$3:$E$12,MATCH(cadangan[[#This Row],[ItemID C]],Katalog!$C$3:$C$12,0))*cadangan[[#This Row],[Qty C]],0)</f>
        <v>0</v>
      </c>
      <c r="AD62" s="53">
        <f>cadangan[[#This Row],[Qty A]]+cadangan[[#This Row],[Qty B]]+cadangan[[#This Row],[Qty C]]</f>
        <v>3</v>
      </c>
      <c r="AE62" s="73">
        <f>cadangan[[#This Row],[Harga Normal A]]+cadangan[[#This Row],[Harga Normal B]]+cadangan[[#This Row],[Harga Normal C]]</f>
        <v>1200000</v>
      </c>
      <c r="AF62" s="73">
        <f>cadangan[[#This Row],[Harga Diskon A]]+cadangan[[#This Row],[Harga Diskon B]]+cadangan[[#This Row],[Harga Diskon C]]</f>
        <v>1080000</v>
      </c>
      <c r="AG62" s="73">
        <f>(cadangan[[#This Row],[Profit Normal A]]+cadangan[[#This Row],[Profit Normal B]]+cadangan[[#This Row],[Profit Normal C]])</f>
        <v>480000</v>
      </c>
      <c r="AH62" s="73">
        <f>cadangan[[#This Row],[Profit Diskon A]]+cadangan[[#This Row],[Profit Diskon B]]+cadangan[[#This Row],[Profit Diskon C]]</f>
        <v>360000</v>
      </c>
      <c r="AI62" s="23" t="s">
        <v>6</v>
      </c>
      <c r="AJ62" s="37">
        <f>IFERROR(INDEX('Kode Diskon'!$D$3:$D$9,MATCH(cadangan[[#This Row],[Kode diskon]],'Kode Diskon'!$C$3:$C$9,0)),"-")</f>
        <v>0.1</v>
      </c>
      <c r="AK62" s="23" t="s">
        <v>29</v>
      </c>
      <c r="AL62" s="23" t="s">
        <v>7</v>
      </c>
      <c r="AM62" s="23" t="s">
        <v>77</v>
      </c>
      <c r="AN62" s="55">
        <v>45019</v>
      </c>
      <c r="AO62" s="53">
        <f>DAY(cadangan[[#This Row],[Tanggal terjual]])</f>
        <v>3</v>
      </c>
      <c r="AP62" s="21" t="str">
        <f>TEXT(cadangan[[#This Row],[Tanggal terjual]],"dddd")</f>
        <v>Monday</v>
      </c>
      <c r="AQ62" s="23" t="str" cm="1">
        <f t="array" ref="AQ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2" s="61">
        <f>AVERAGE(cadangan[[#This Row],[Rating A]],cadangan[[#This Row],[Rating B]],cadangan[[#This Row],[Rating C]])</f>
        <v>2.5</v>
      </c>
    </row>
    <row r="63" spans="1:44" x14ac:dyDescent="0.2">
      <c r="A63" s="20">
        <v>62</v>
      </c>
      <c r="B63" s="21" t="str">
        <f>_xlfn.CONCAT("ORD-",INDEX(Helper!$B$2:$B$5,MATCH(cadangan[[#This Row],[Marketplace]],Helper!$A$2:$A$5,0)),TEXT(cadangan[[#This Row],[No]],"0000"),"-",TEXT(cadangan[[#This Row],[Tanggal terjual]],"dd/mm/yy"))</f>
        <v>ORD-BL0062-12/04/23</v>
      </c>
      <c r="C63" s="39" t="s">
        <v>64</v>
      </c>
      <c r="D63" s="39" t="str">
        <f>IFERROR(INDEX(Katalog!$A$3:$A$12,MATCH(cadangan[[#This Row],[ItemID A]],Katalog!$C$3:$C$12,0)),"-")</f>
        <v>Pakaian Unisex</v>
      </c>
      <c r="E63" s="39" t="str">
        <f>IFERROR(INDEX(Katalog!$B$3:$B$12,MATCH(cadangan[[#This Row],[ItemID A]],Katalog!$C$3:$C$12,0)),"-")</f>
        <v>Jaket Hoodie</v>
      </c>
      <c r="F63" s="50">
        <v>1</v>
      </c>
      <c r="G63" s="50">
        <v>4</v>
      </c>
      <c r="H63" s="73">
        <f>IFERROR(INDEX(Katalog!$D$3:$D$12,MATCH(cadangan[[#This Row],[ItemID A]],Katalog!$C$3:$C$12,0))*cadangan[[#This Row],[Qty A]],0)</f>
        <v>350000</v>
      </c>
      <c r="I63" s="73">
        <f>IFERROR(cadangan[[#This Row],[Harga Normal A]]-(cadangan[[#This Row],[Harga Normal A]]*cadangan[[#This Row],[Diskon]]),cadangan[[#This Row],[Harga Normal A]])</f>
        <v>350000</v>
      </c>
      <c r="J63" s="73">
        <f>INDEX(Katalog!$F$3:$F$12,MATCH(cadangan[[#This Row],[ItemID A]],Katalog!$C$3:$C$12,0))*cadangan[[#This Row],[Qty A]]</f>
        <v>130000</v>
      </c>
      <c r="K63" s="73">
        <f>IFERROR(cadangan[[#This Row],[Harga Diskon A]]-INDEX(Katalog!$E$3:$E$12,MATCH(cadangan[[#This Row],[ItemID A]],Katalog!$C$3:$C$12,0))*cadangan[[#This Row],[Qty A]],0)</f>
        <v>130000</v>
      </c>
      <c r="L63" s="39" t="s">
        <v>60</v>
      </c>
      <c r="M63" s="39" t="str">
        <f>IFERROR(INDEX(Katalog!$A$3:$A$12,MATCH(cadangan[[#This Row],[ItemID B]],Katalog!$C$3:$C$12,0)),"-")</f>
        <v>Pakaian Wanita</v>
      </c>
      <c r="N63" s="39" t="str">
        <f>IFERROR(INDEX(Katalog!$B$3:$B$12,MATCH(cadangan[[#This Row],[ItemID B]],Katalog!$C$3:$C$12,0)),"-")</f>
        <v>Kaftan</v>
      </c>
      <c r="O63" s="50">
        <v>1</v>
      </c>
      <c r="P63" s="50">
        <v>2</v>
      </c>
      <c r="Q63" s="73">
        <f>IFERROR(INDEX(Katalog!$D$3:$D$12,MATCH(cadangan[[#This Row],[ItemID B]],Katalog!$C$3:$C$12,0))*cadangan[[#This Row],[Qty B]],0)</f>
        <v>250000</v>
      </c>
      <c r="R63" s="73">
        <f>IFERROR(cadangan[[#This Row],[Harga Normal B]]-(cadangan[[#This Row],[Harga Normal B]]*cadangan[[#This Row],[Diskon]]),cadangan[[#This Row],[Harga Normal B]])</f>
        <v>250000</v>
      </c>
      <c r="S63" s="73">
        <f>IFERROR(INDEX(Katalog!$F$3:$F$12,MATCH(cadangan[[#This Row],[ItemID B]],Katalog!$C$3:$C$12,0))*cadangan[[#This Row],[Qty B]],0)</f>
        <v>100000</v>
      </c>
      <c r="T63" s="73">
        <f>IFERROR(cadangan[[#This Row],[Harga Diskon B]]-INDEX(Katalog!$E$3:$E$12,MATCH(cadangan[[#This Row],[ItemID B]],Katalog!$C$3:$C$12,0))*cadangan[[#This Row],[Qty B]],0)</f>
        <v>100000</v>
      </c>
      <c r="U63" s="39" t="s">
        <v>62</v>
      </c>
      <c r="V63" s="39" t="str">
        <f>IFERROR(INDEX(Katalog!$A$3:$A$12,MATCH(cadangan[[#This Row],[ItemID C]],Katalog!$C$3:$C$12,0)),"-")</f>
        <v>Pakaian Pria</v>
      </c>
      <c r="W63" s="39" t="str">
        <f>IFERROR(INDEX(Katalog!$B$3:$B$12,MATCH(cadangan[[#This Row],[ItemID C]],Katalog!$C$3:$C$12,0)),"-")</f>
        <v>Celana Pendek</v>
      </c>
      <c r="X63" s="50">
        <v>3</v>
      </c>
      <c r="Y63" s="50">
        <v>5</v>
      </c>
      <c r="Z63" s="73">
        <f>IFERROR(INDEX(Katalog!$D$3:$D$12,MATCH(cadangan[[#This Row],[ItemID C]],Katalog!$C$3:$C$12,0))*cadangan[[#This Row],[Qty C]],0)</f>
        <v>540000</v>
      </c>
      <c r="AA63" s="73">
        <f>IFERROR(cadangan[[#This Row],[Harga Normal C]]-(cadangan[[#This Row],[Harga Normal C]]*cadangan[[#This Row],[Diskon]]),cadangan[[#This Row],[Harga Normal C]])</f>
        <v>540000</v>
      </c>
      <c r="AB63" s="73">
        <f>IFERROR(INDEX(Katalog!$F$3:$F$12,MATCH(cadangan[[#This Row],[ItemID C]],Katalog!$C$3:$C$12,0))*cadangan[[#This Row],[Qty C]],0)</f>
        <v>210000</v>
      </c>
      <c r="AC63" s="73">
        <f>IFERROR(cadangan[[#This Row],[Harga Diskon C]]-INDEX(Katalog!$E$3:$E$12,MATCH(cadangan[[#This Row],[ItemID C]],Katalog!$C$3:$C$12,0))*cadangan[[#This Row],[Qty C]],0)</f>
        <v>210000</v>
      </c>
      <c r="AD63" s="53">
        <f>cadangan[[#This Row],[Qty A]]+cadangan[[#This Row],[Qty B]]+cadangan[[#This Row],[Qty C]]</f>
        <v>5</v>
      </c>
      <c r="AE63" s="73">
        <f>cadangan[[#This Row],[Harga Normal A]]+cadangan[[#This Row],[Harga Normal B]]+cadangan[[#This Row],[Harga Normal C]]</f>
        <v>1140000</v>
      </c>
      <c r="AF63" s="73">
        <f>cadangan[[#This Row],[Harga Diskon A]]+cadangan[[#This Row],[Harga Diskon B]]+cadangan[[#This Row],[Harga Diskon C]]</f>
        <v>1140000</v>
      </c>
      <c r="AG63" s="73">
        <f>(cadangan[[#This Row],[Profit Normal A]]+cadangan[[#This Row],[Profit Normal B]]+cadangan[[#This Row],[Profit Normal C]])</f>
        <v>440000</v>
      </c>
      <c r="AH63" s="73">
        <f>cadangan[[#This Row],[Profit Diskon A]]+cadangan[[#This Row],[Profit Diskon B]]+cadangan[[#This Row],[Profit Diskon C]]</f>
        <v>440000</v>
      </c>
      <c r="AI63" s="23" t="s">
        <v>290</v>
      </c>
      <c r="AJ63" s="37" t="str">
        <f>IFERROR(INDEX('Kode Diskon'!$D$3:$D$9,MATCH(cadangan[[#This Row],[Kode diskon]],'Kode Diskon'!$C$3:$C$9,0)),"-")</f>
        <v>-</v>
      </c>
      <c r="AK63" s="23" t="s">
        <v>290</v>
      </c>
      <c r="AL63" s="23" t="s">
        <v>12</v>
      </c>
      <c r="AM63" s="23" t="s">
        <v>79</v>
      </c>
      <c r="AN63" s="55">
        <v>45028</v>
      </c>
      <c r="AO63" s="53">
        <f>DAY(cadangan[[#This Row],[Tanggal terjual]])</f>
        <v>12</v>
      </c>
      <c r="AP63" s="21" t="str">
        <f>TEXT(cadangan[[#This Row],[Tanggal terjual]],"dddd")</f>
        <v>Wednesday</v>
      </c>
      <c r="AQ63" s="23" t="str" cm="1">
        <f t="array" ref="AQ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3" s="61">
        <f>AVERAGE(cadangan[[#This Row],[Rating A]],cadangan[[#This Row],[Rating B]],cadangan[[#This Row],[Rating C]])</f>
        <v>3.6666666666666665</v>
      </c>
    </row>
    <row r="64" spans="1:44" x14ac:dyDescent="0.2">
      <c r="A64" s="20">
        <v>63</v>
      </c>
      <c r="B64" s="21" t="str">
        <f>_xlfn.CONCAT("ORD-",INDEX(Helper!$B$2:$B$5,MATCH(cadangan[[#This Row],[Marketplace]],Helper!$A$2:$A$5,0)),TEXT(cadangan[[#This Row],[No]],"0000"),"-",TEXT(cadangan[[#This Row],[Tanggal terjual]],"dd/mm/yy"))</f>
        <v>ORD-BL0063-16/04/23</v>
      </c>
      <c r="C64" s="39" t="s">
        <v>59</v>
      </c>
      <c r="D64" s="39" t="str">
        <f>IFERROR(INDEX(Katalog!$A$3:$A$12,MATCH(cadangan[[#This Row],[ItemID A]],Katalog!$C$3:$C$12,0)),"-")</f>
        <v>Pakaian Wanita</v>
      </c>
      <c r="E64" s="39" t="str">
        <f>IFERROR(INDEX(Katalog!$B$3:$B$12,MATCH(cadangan[[#This Row],[ItemID A]],Katalog!$C$3:$C$12,0)),"-")</f>
        <v>Blouse</v>
      </c>
      <c r="F64" s="50">
        <v>2</v>
      </c>
      <c r="G64" s="50">
        <v>5</v>
      </c>
      <c r="H64" s="73">
        <f>IFERROR(INDEX(Katalog!$D$3:$D$12,MATCH(cadangan[[#This Row],[ItemID A]],Katalog!$C$3:$C$12,0))*cadangan[[#This Row],[Qty A]],0)</f>
        <v>300000</v>
      </c>
      <c r="I64" s="73">
        <f>IFERROR(cadangan[[#This Row],[Harga Normal A]]-(cadangan[[#This Row],[Harga Normal A]]*cadangan[[#This Row],[Diskon]]),cadangan[[#This Row],[Harga Normal A]])</f>
        <v>255000</v>
      </c>
      <c r="J64" s="73">
        <f>INDEX(Katalog!$F$3:$F$12,MATCH(cadangan[[#This Row],[ItemID A]],Katalog!$C$3:$C$12,0))*cadangan[[#This Row],[Qty A]]</f>
        <v>100000</v>
      </c>
      <c r="K64" s="73">
        <f>IFERROR(cadangan[[#This Row],[Harga Diskon A]]-INDEX(Katalog!$E$3:$E$12,MATCH(cadangan[[#This Row],[ItemID A]],Katalog!$C$3:$C$12,0))*cadangan[[#This Row],[Qty A]],0)</f>
        <v>55000</v>
      </c>
      <c r="M64" s="39" t="str">
        <f>IFERROR(INDEX(Katalog!$A$3:$A$12,MATCH(cadangan[[#This Row],[ItemID B]],Katalog!$C$3:$C$12,0)),"-")</f>
        <v>-</v>
      </c>
      <c r="N64" s="39" t="str">
        <f>IFERROR(INDEX(Katalog!$B$3:$B$12,MATCH(cadangan[[#This Row],[ItemID B]],Katalog!$C$3:$C$12,0)),"-")</f>
        <v>-</v>
      </c>
      <c r="Q64" s="73">
        <f>IFERROR(INDEX(Katalog!$D$3:$D$12,MATCH(cadangan[[#This Row],[ItemID B]],Katalog!$C$3:$C$12,0))*cadangan[[#This Row],[Qty B]],0)</f>
        <v>0</v>
      </c>
      <c r="R64" s="73">
        <f>IFERROR(cadangan[[#This Row],[Harga Normal B]]-(cadangan[[#This Row],[Harga Normal B]]*cadangan[[#This Row],[Diskon]]),cadangan[[#This Row],[Harga Normal B]])</f>
        <v>0</v>
      </c>
      <c r="S64" s="73">
        <f>IFERROR(INDEX(Katalog!$F$3:$F$12,MATCH(cadangan[[#This Row],[ItemID B]],Katalog!$C$3:$C$12,0))*cadangan[[#This Row],[Qty B]],0)</f>
        <v>0</v>
      </c>
      <c r="T64" s="73">
        <f>IFERROR(cadangan[[#This Row],[Harga Diskon B]]-INDEX(Katalog!$E$3:$E$12,MATCH(cadangan[[#This Row],[ItemID B]],Katalog!$C$3:$C$12,0))*cadangan[[#This Row],[Qty B]],0)</f>
        <v>0</v>
      </c>
      <c r="V64" s="39" t="str">
        <f>IFERROR(INDEX(Katalog!$A$3:$A$12,MATCH(cadangan[[#This Row],[ItemID C]],Katalog!$C$3:$C$12,0)),"-")</f>
        <v>-</v>
      </c>
      <c r="W64" s="39" t="str">
        <f>IFERROR(INDEX(Katalog!$B$3:$B$12,MATCH(cadangan[[#This Row],[ItemID C]],Katalog!$C$3:$C$12,0)),"-")</f>
        <v>-</v>
      </c>
      <c r="Z64" s="73">
        <f>IFERROR(INDEX(Katalog!$D$3:$D$12,MATCH(cadangan[[#This Row],[ItemID C]],Katalog!$C$3:$C$12,0))*cadangan[[#This Row],[Qty C]],0)</f>
        <v>0</v>
      </c>
      <c r="AA64" s="73">
        <f>IFERROR(cadangan[[#This Row],[Harga Normal C]]-(cadangan[[#This Row],[Harga Normal C]]*cadangan[[#This Row],[Diskon]]),cadangan[[#This Row],[Harga Normal C]])</f>
        <v>0</v>
      </c>
      <c r="AB64" s="73">
        <f>IFERROR(INDEX(Katalog!$F$3:$F$12,MATCH(cadangan[[#This Row],[ItemID C]],Katalog!$C$3:$C$12,0))*cadangan[[#This Row],[Qty C]],0)</f>
        <v>0</v>
      </c>
      <c r="AC64" s="73">
        <f>IFERROR(cadangan[[#This Row],[Harga Diskon C]]-INDEX(Katalog!$E$3:$E$12,MATCH(cadangan[[#This Row],[ItemID C]],Katalog!$C$3:$C$12,0))*cadangan[[#This Row],[Qty C]],0)</f>
        <v>0</v>
      </c>
      <c r="AD64" s="53">
        <f>cadangan[[#This Row],[Qty A]]+cadangan[[#This Row],[Qty B]]+cadangan[[#This Row],[Qty C]]</f>
        <v>2</v>
      </c>
      <c r="AE64" s="73">
        <f>cadangan[[#This Row],[Harga Normal A]]+cadangan[[#This Row],[Harga Normal B]]+cadangan[[#This Row],[Harga Normal C]]</f>
        <v>300000</v>
      </c>
      <c r="AF64" s="73">
        <f>cadangan[[#This Row],[Harga Diskon A]]+cadangan[[#This Row],[Harga Diskon B]]+cadangan[[#This Row],[Harga Diskon C]]</f>
        <v>255000</v>
      </c>
      <c r="AG64" s="73">
        <f>(cadangan[[#This Row],[Profit Normal A]]+cadangan[[#This Row],[Profit Normal B]]+cadangan[[#This Row],[Profit Normal C]])</f>
        <v>100000</v>
      </c>
      <c r="AH64" s="73">
        <f>cadangan[[#This Row],[Profit Diskon A]]+cadangan[[#This Row],[Profit Diskon B]]+cadangan[[#This Row],[Profit Diskon C]]</f>
        <v>55000</v>
      </c>
      <c r="AI64" s="23" t="s">
        <v>32</v>
      </c>
      <c r="AJ64" s="37">
        <f>IFERROR(INDEX('Kode Diskon'!$D$3:$D$9,MATCH(cadangan[[#This Row],[Kode diskon]],'Kode Diskon'!$C$3:$C$9,0)),"-")</f>
        <v>0.15</v>
      </c>
      <c r="AK64" s="23" t="s">
        <v>9</v>
      </c>
      <c r="AL64" s="23" t="s">
        <v>12</v>
      </c>
      <c r="AM64" s="23" t="s">
        <v>80</v>
      </c>
      <c r="AN64" s="55">
        <v>45032</v>
      </c>
      <c r="AO64" s="53">
        <f>DAY(cadangan[[#This Row],[Tanggal terjual]])</f>
        <v>16</v>
      </c>
      <c r="AP64" s="21" t="str">
        <f>TEXT(cadangan[[#This Row],[Tanggal terjual]],"dddd")</f>
        <v>Sunday</v>
      </c>
      <c r="AQ64" s="23" t="str" cm="1">
        <f t="array" ref="AQ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4" s="61">
        <f>AVERAGE(cadangan[[#This Row],[Rating A]],cadangan[[#This Row],[Rating B]],cadangan[[#This Row],[Rating C]])</f>
        <v>5</v>
      </c>
    </row>
    <row r="65" spans="1:44" x14ac:dyDescent="0.2">
      <c r="A65" s="20">
        <v>64</v>
      </c>
      <c r="B65" s="21" t="str">
        <f>_xlfn.CONCAT("ORD-",INDEX(Helper!$B$2:$B$5,MATCH(cadangan[[#This Row],[Marketplace]],Helper!$A$2:$A$5,0)),TEXT(cadangan[[#This Row],[No]],"0000"),"-",TEXT(cadangan[[#This Row],[Tanggal terjual]],"dd/mm/yy"))</f>
        <v>ORD-BB0064-09/04/23</v>
      </c>
      <c r="C65" s="39" t="s">
        <v>65</v>
      </c>
      <c r="D65" s="39" t="str">
        <f>IFERROR(INDEX(Katalog!$A$3:$A$12,MATCH(cadangan[[#This Row],[ItemID A]],Katalog!$C$3:$C$12,0)),"-")</f>
        <v>Sepatu Pria</v>
      </c>
      <c r="E65" s="39" t="str">
        <f>IFERROR(INDEX(Katalog!$B$3:$B$12,MATCH(cadangan[[#This Row],[ItemID A]],Katalog!$C$3:$C$12,0)),"-")</f>
        <v>Sneakers</v>
      </c>
      <c r="F65" s="50">
        <v>6</v>
      </c>
      <c r="G65" s="50">
        <v>1</v>
      </c>
      <c r="H65" s="73">
        <f>IFERROR(INDEX(Katalog!$D$3:$D$12,MATCH(cadangan[[#This Row],[ItemID A]],Katalog!$C$3:$C$12,0))*cadangan[[#This Row],[Qty A]],0)</f>
        <v>3000000</v>
      </c>
      <c r="I65" s="73">
        <f>IFERROR(cadangan[[#This Row],[Harga Normal A]]-(cadangan[[#This Row],[Harga Normal A]]*cadangan[[#This Row],[Diskon]]),cadangan[[#This Row],[Harga Normal A]])</f>
        <v>3000000</v>
      </c>
      <c r="J65" s="73">
        <f>INDEX(Katalog!$F$3:$F$12,MATCH(cadangan[[#This Row],[ItemID A]],Katalog!$C$3:$C$12,0))*cadangan[[#This Row],[Qty A]]</f>
        <v>1200000</v>
      </c>
      <c r="K65" s="73">
        <f>IFERROR(cadangan[[#This Row],[Harga Diskon A]]-INDEX(Katalog!$E$3:$E$12,MATCH(cadangan[[#This Row],[ItemID A]],Katalog!$C$3:$C$12,0))*cadangan[[#This Row],[Qty A]],0)</f>
        <v>1200000</v>
      </c>
      <c r="L65" s="39" t="s">
        <v>62</v>
      </c>
      <c r="M65" s="39" t="str">
        <f>IFERROR(INDEX(Katalog!$A$3:$A$12,MATCH(cadangan[[#This Row],[ItemID B]],Katalog!$C$3:$C$12,0)),"-")</f>
        <v>Pakaian Pria</v>
      </c>
      <c r="N65" s="39" t="str">
        <f>IFERROR(INDEX(Katalog!$B$3:$B$12,MATCH(cadangan[[#This Row],[ItemID B]],Katalog!$C$3:$C$12,0)),"-")</f>
        <v>Celana Pendek</v>
      </c>
      <c r="O65" s="50">
        <v>1</v>
      </c>
      <c r="P65" s="50">
        <v>2</v>
      </c>
      <c r="Q65" s="73">
        <f>IFERROR(INDEX(Katalog!$D$3:$D$12,MATCH(cadangan[[#This Row],[ItemID B]],Katalog!$C$3:$C$12,0))*cadangan[[#This Row],[Qty B]],0)</f>
        <v>180000</v>
      </c>
      <c r="R65" s="73">
        <f>IFERROR(cadangan[[#This Row],[Harga Normal B]]-(cadangan[[#This Row],[Harga Normal B]]*cadangan[[#This Row],[Diskon]]),cadangan[[#This Row],[Harga Normal B]])</f>
        <v>180000</v>
      </c>
      <c r="S65" s="73">
        <f>IFERROR(INDEX(Katalog!$F$3:$F$12,MATCH(cadangan[[#This Row],[ItemID B]],Katalog!$C$3:$C$12,0))*cadangan[[#This Row],[Qty B]],0)</f>
        <v>70000</v>
      </c>
      <c r="T65" s="73">
        <f>IFERROR(cadangan[[#This Row],[Harga Diskon B]]-INDEX(Katalog!$E$3:$E$12,MATCH(cadangan[[#This Row],[ItemID B]],Katalog!$C$3:$C$12,0))*cadangan[[#This Row],[Qty B]],0)</f>
        <v>70000</v>
      </c>
      <c r="V65" s="39" t="str">
        <f>IFERROR(INDEX(Katalog!$A$3:$A$12,MATCH(cadangan[[#This Row],[ItemID C]],Katalog!$C$3:$C$12,0)),"-")</f>
        <v>-</v>
      </c>
      <c r="W65" s="39" t="str">
        <f>IFERROR(INDEX(Katalog!$B$3:$B$12,MATCH(cadangan[[#This Row],[ItemID C]],Katalog!$C$3:$C$12,0)),"-")</f>
        <v>-</v>
      </c>
      <c r="Z65" s="73">
        <f>IFERROR(INDEX(Katalog!$D$3:$D$12,MATCH(cadangan[[#This Row],[ItemID C]],Katalog!$C$3:$C$12,0))*cadangan[[#This Row],[Qty C]],0)</f>
        <v>0</v>
      </c>
      <c r="AA65" s="73">
        <f>IFERROR(cadangan[[#This Row],[Harga Normal C]]-(cadangan[[#This Row],[Harga Normal C]]*cadangan[[#This Row],[Diskon]]),cadangan[[#This Row],[Harga Normal C]])</f>
        <v>0</v>
      </c>
      <c r="AB65" s="73">
        <f>IFERROR(INDEX(Katalog!$F$3:$F$12,MATCH(cadangan[[#This Row],[ItemID C]],Katalog!$C$3:$C$12,0))*cadangan[[#This Row],[Qty C]],0)</f>
        <v>0</v>
      </c>
      <c r="AC65" s="73">
        <f>IFERROR(cadangan[[#This Row],[Harga Diskon C]]-INDEX(Katalog!$E$3:$E$12,MATCH(cadangan[[#This Row],[ItemID C]],Katalog!$C$3:$C$12,0))*cadangan[[#This Row],[Qty C]],0)</f>
        <v>0</v>
      </c>
      <c r="AD65" s="53">
        <f>cadangan[[#This Row],[Qty A]]+cadangan[[#This Row],[Qty B]]+cadangan[[#This Row],[Qty C]]</f>
        <v>7</v>
      </c>
      <c r="AE65" s="73">
        <f>cadangan[[#This Row],[Harga Normal A]]+cadangan[[#This Row],[Harga Normal B]]+cadangan[[#This Row],[Harga Normal C]]</f>
        <v>3180000</v>
      </c>
      <c r="AF65" s="73">
        <f>cadangan[[#This Row],[Harga Diskon A]]+cadangan[[#This Row],[Harga Diskon B]]+cadangan[[#This Row],[Harga Diskon C]]</f>
        <v>3180000</v>
      </c>
      <c r="AG65" s="73">
        <f>(cadangan[[#This Row],[Profit Normal A]]+cadangan[[#This Row],[Profit Normal B]]+cadangan[[#This Row],[Profit Normal C]])</f>
        <v>1270000</v>
      </c>
      <c r="AH65" s="73">
        <f>cadangan[[#This Row],[Profit Diskon A]]+cadangan[[#This Row],[Profit Diskon B]]+cadangan[[#This Row],[Profit Diskon C]]</f>
        <v>1270000</v>
      </c>
      <c r="AI65" s="23" t="s">
        <v>290</v>
      </c>
      <c r="AJ65" s="37" t="str">
        <f>IFERROR(INDEX('Kode Diskon'!$D$3:$D$9,MATCH(cadangan[[#This Row],[Kode diskon]],'Kode Diskon'!$C$3:$C$9,0)),"-")</f>
        <v>-</v>
      </c>
      <c r="AK65" s="23" t="s">
        <v>290</v>
      </c>
      <c r="AL65" s="23" t="s">
        <v>14</v>
      </c>
      <c r="AM65" s="23" t="s">
        <v>76</v>
      </c>
      <c r="AN65" s="55">
        <v>45025</v>
      </c>
      <c r="AO65" s="53">
        <f>DAY(cadangan[[#This Row],[Tanggal terjual]])</f>
        <v>9</v>
      </c>
      <c r="AP65" s="21" t="str">
        <f>TEXT(cadangan[[#This Row],[Tanggal terjual]],"dddd")</f>
        <v>Sunday</v>
      </c>
      <c r="AQ65" s="23" t="str" cm="1">
        <f t="array" ref="AQ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5" s="61">
        <f>AVERAGE(cadangan[[#This Row],[Rating A]],cadangan[[#This Row],[Rating B]],cadangan[[#This Row],[Rating C]])</f>
        <v>1.5</v>
      </c>
    </row>
    <row r="66" spans="1:44" x14ac:dyDescent="0.2">
      <c r="A66" s="20">
        <v>65</v>
      </c>
      <c r="B66" s="21" t="str">
        <f>_xlfn.CONCAT("ORD-",INDEX(Helper!$B$2:$B$5,MATCH(cadangan[[#This Row],[Marketplace]],Helper!$A$2:$A$5,0)),TEXT(cadangan[[#This Row],[No]],"0000"),"-",TEXT(cadangan[[#This Row],[Tanggal terjual]],"dd/mm/yy"))</f>
        <v>ORD-SP0065-26/04/23</v>
      </c>
      <c r="C66" s="39" t="s">
        <v>58</v>
      </c>
      <c r="D66" s="39" t="str">
        <f>IFERROR(INDEX(Katalog!$A$3:$A$12,MATCH(cadangan[[#This Row],[ItemID A]],Katalog!$C$3:$C$12,0)),"-")</f>
        <v>Pakaian Wanita</v>
      </c>
      <c r="E66" s="39" t="str">
        <f>IFERROR(INDEX(Katalog!$B$3:$B$12,MATCH(cadangan[[#This Row],[ItemID A]],Katalog!$C$3:$C$12,0)),"-")</f>
        <v>Dress</v>
      </c>
      <c r="F66" s="50">
        <v>1</v>
      </c>
      <c r="G66" s="50">
        <v>5</v>
      </c>
      <c r="H66" s="73">
        <f>IFERROR(INDEX(Katalog!$D$3:$D$12,MATCH(cadangan[[#This Row],[ItemID A]],Katalog!$C$3:$C$12,0))*cadangan[[#This Row],[Qty A]],0)</f>
        <v>300000</v>
      </c>
      <c r="I66" s="73">
        <f>IFERROR(cadangan[[#This Row],[Harga Normal A]]-(cadangan[[#This Row],[Harga Normal A]]*cadangan[[#This Row],[Diskon]]),cadangan[[#This Row],[Harga Normal A]])</f>
        <v>240000</v>
      </c>
      <c r="J66" s="73">
        <f>INDEX(Katalog!$F$3:$F$12,MATCH(cadangan[[#This Row],[ItemID A]],Katalog!$C$3:$C$12,0))*cadangan[[#This Row],[Qty A]]</f>
        <v>100000</v>
      </c>
      <c r="K66" s="73">
        <f>IFERROR(cadangan[[#This Row],[Harga Diskon A]]-INDEX(Katalog!$E$3:$E$12,MATCH(cadangan[[#This Row],[ItemID A]],Katalog!$C$3:$C$12,0))*cadangan[[#This Row],[Qty A]],0)</f>
        <v>40000</v>
      </c>
      <c r="M66" s="39" t="str">
        <f>IFERROR(INDEX(Katalog!$A$3:$A$12,MATCH(cadangan[[#This Row],[ItemID B]],Katalog!$C$3:$C$12,0)),"-")</f>
        <v>-</v>
      </c>
      <c r="N66" s="39" t="str">
        <f>IFERROR(INDEX(Katalog!$B$3:$B$12,MATCH(cadangan[[#This Row],[ItemID B]],Katalog!$C$3:$C$12,0)),"-")</f>
        <v>-</v>
      </c>
      <c r="Q66" s="73">
        <f>IFERROR(INDEX(Katalog!$D$3:$D$12,MATCH(cadangan[[#This Row],[ItemID B]],Katalog!$C$3:$C$12,0))*cadangan[[#This Row],[Qty B]],0)</f>
        <v>0</v>
      </c>
      <c r="R66" s="73">
        <f>IFERROR(cadangan[[#This Row],[Harga Normal B]]-(cadangan[[#This Row],[Harga Normal B]]*cadangan[[#This Row],[Diskon]]),cadangan[[#This Row],[Harga Normal B]])</f>
        <v>0</v>
      </c>
      <c r="S66" s="73">
        <f>IFERROR(INDEX(Katalog!$F$3:$F$12,MATCH(cadangan[[#This Row],[ItemID B]],Katalog!$C$3:$C$12,0))*cadangan[[#This Row],[Qty B]],0)</f>
        <v>0</v>
      </c>
      <c r="T66" s="73">
        <f>IFERROR(cadangan[[#This Row],[Harga Diskon B]]-INDEX(Katalog!$E$3:$E$12,MATCH(cadangan[[#This Row],[ItemID B]],Katalog!$C$3:$C$12,0))*cadangan[[#This Row],[Qty B]],0)</f>
        <v>0</v>
      </c>
      <c r="V66" s="39" t="str">
        <f>IFERROR(INDEX(Katalog!$A$3:$A$12,MATCH(cadangan[[#This Row],[ItemID C]],Katalog!$C$3:$C$12,0)),"-")</f>
        <v>-</v>
      </c>
      <c r="W66" s="39" t="str">
        <f>IFERROR(INDEX(Katalog!$B$3:$B$12,MATCH(cadangan[[#This Row],[ItemID C]],Katalog!$C$3:$C$12,0)),"-")</f>
        <v>-</v>
      </c>
      <c r="Z66" s="73">
        <f>IFERROR(INDEX(Katalog!$D$3:$D$12,MATCH(cadangan[[#This Row],[ItemID C]],Katalog!$C$3:$C$12,0))*cadangan[[#This Row],[Qty C]],0)</f>
        <v>0</v>
      </c>
      <c r="AA66" s="73">
        <f>IFERROR(cadangan[[#This Row],[Harga Normal C]]-(cadangan[[#This Row],[Harga Normal C]]*cadangan[[#This Row],[Diskon]]),cadangan[[#This Row],[Harga Normal C]])</f>
        <v>0</v>
      </c>
      <c r="AB66" s="73">
        <f>IFERROR(INDEX(Katalog!$F$3:$F$12,MATCH(cadangan[[#This Row],[ItemID C]],Katalog!$C$3:$C$12,0))*cadangan[[#This Row],[Qty C]],0)</f>
        <v>0</v>
      </c>
      <c r="AC66" s="73">
        <f>IFERROR(cadangan[[#This Row],[Harga Diskon C]]-INDEX(Katalog!$E$3:$E$12,MATCH(cadangan[[#This Row],[ItemID C]],Katalog!$C$3:$C$12,0))*cadangan[[#This Row],[Qty C]],0)</f>
        <v>0</v>
      </c>
      <c r="AD66" s="53">
        <f>cadangan[[#This Row],[Qty A]]+cadangan[[#This Row],[Qty B]]+cadangan[[#This Row],[Qty C]]</f>
        <v>1</v>
      </c>
      <c r="AE66" s="73">
        <f>cadangan[[#This Row],[Harga Normal A]]+cadangan[[#This Row],[Harga Normal B]]+cadangan[[#This Row],[Harga Normal C]]</f>
        <v>300000</v>
      </c>
      <c r="AF66" s="73">
        <f>cadangan[[#This Row],[Harga Diskon A]]+cadangan[[#This Row],[Harga Diskon B]]+cadangan[[#This Row],[Harga Diskon C]]</f>
        <v>240000</v>
      </c>
      <c r="AG66" s="73">
        <f>(cadangan[[#This Row],[Profit Normal A]]+cadangan[[#This Row],[Profit Normal B]]+cadangan[[#This Row],[Profit Normal C]])</f>
        <v>100000</v>
      </c>
      <c r="AH66" s="73">
        <f>cadangan[[#This Row],[Profit Diskon A]]+cadangan[[#This Row],[Profit Diskon B]]+cadangan[[#This Row],[Profit Diskon C]]</f>
        <v>40000</v>
      </c>
      <c r="AI66" s="23" t="s">
        <v>8</v>
      </c>
      <c r="AJ66" s="37">
        <f>IFERROR(INDEX('Kode Diskon'!$D$3:$D$9,MATCH(cadangan[[#This Row],[Kode diskon]],'Kode Diskon'!$C$3:$C$9,0)),"-")</f>
        <v>0.2</v>
      </c>
      <c r="AK66" s="23" t="s">
        <v>9</v>
      </c>
      <c r="AL66" s="23" t="s">
        <v>7</v>
      </c>
      <c r="AM66" s="23" t="s">
        <v>79</v>
      </c>
      <c r="AN66" s="55">
        <v>45042</v>
      </c>
      <c r="AO66" s="53">
        <f>DAY(cadangan[[#This Row],[Tanggal terjual]])</f>
        <v>26</v>
      </c>
      <c r="AP66" s="21" t="str">
        <f>TEXT(cadangan[[#This Row],[Tanggal terjual]],"dddd")</f>
        <v>Wednesday</v>
      </c>
      <c r="AQ66" s="23" t="str" cm="1">
        <f t="array" ref="AQ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6" s="61">
        <f>AVERAGE(cadangan[[#This Row],[Rating A]],cadangan[[#This Row],[Rating B]],cadangan[[#This Row],[Rating C]])</f>
        <v>5</v>
      </c>
    </row>
    <row r="67" spans="1:44" x14ac:dyDescent="0.2">
      <c r="A67" s="20">
        <v>66</v>
      </c>
      <c r="B67" s="21" t="str">
        <f>_xlfn.CONCAT("ORD-",INDEX(Helper!$B$2:$B$5,MATCH(cadangan[[#This Row],[Marketplace]],Helper!$A$2:$A$5,0)),TEXT(cadangan[[#This Row],[No]],"0000"),"-",TEXT(cadangan[[#This Row],[Tanggal terjual]],"dd/mm/yy"))</f>
        <v>ORD-TK0066-03/04/23</v>
      </c>
      <c r="C67" s="39" t="s">
        <v>59</v>
      </c>
      <c r="D67" s="39" t="str">
        <f>IFERROR(INDEX(Katalog!$A$3:$A$12,MATCH(cadangan[[#This Row],[ItemID A]],Katalog!$C$3:$C$12,0)),"-")</f>
        <v>Pakaian Wanita</v>
      </c>
      <c r="E67" s="39" t="str">
        <f>IFERROR(INDEX(Katalog!$B$3:$B$12,MATCH(cadangan[[#This Row],[ItemID A]],Katalog!$C$3:$C$12,0)),"-")</f>
        <v>Blouse</v>
      </c>
      <c r="F67" s="50">
        <v>1</v>
      </c>
      <c r="G67" s="50">
        <v>2</v>
      </c>
      <c r="H67" s="73">
        <f>IFERROR(INDEX(Katalog!$D$3:$D$12,MATCH(cadangan[[#This Row],[ItemID A]],Katalog!$C$3:$C$12,0))*cadangan[[#This Row],[Qty A]],0)</f>
        <v>150000</v>
      </c>
      <c r="I67" s="73">
        <f>IFERROR(cadangan[[#This Row],[Harga Normal A]]-(cadangan[[#This Row],[Harga Normal A]]*cadangan[[#This Row],[Diskon]]),cadangan[[#This Row],[Harga Normal A]])</f>
        <v>135000</v>
      </c>
      <c r="J67" s="73">
        <f>INDEX(Katalog!$F$3:$F$12,MATCH(cadangan[[#This Row],[ItemID A]],Katalog!$C$3:$C$12,0))*cadangan[[#This Row],[Qty A]]</f>
        <v>50000</v>
      </c>
      <c r="K67" s="73">
        <f>IFERROR(cadangan[[#This Row],[Harga Diskon A]]-INDEX(Katalog!$E$3:$E$12,MATCH(cadangan[[#This Row],[ItemID A]],Katalog!$C$3:$C$12,0))*cadangan[[#This Row],[Qty A]],0)</f>
        <v>35000</v>
      </c>
      <c r="L67" s="39" t="s">
        <v>65</v>
      </c>
      <c r="M67" s="39" t="str">
        <f>IFERROR(INDEX(Katalog!$A$3:$A$12,MATCH(cadangan[[#This Row],[ItemID B]],Katalog!$C$3:$C$12,0)),"-")</f>
        <v>Sepatu Pria</v>
      </c>
      <c r="N67" s="39" t="str">
        <f>IFERROR(INDEX(Katalog!$B$3:$B$12,MATCH(cadangan[[#This Row],[ItemID B]],Katalog!$C$3:$C$12,0)),"-")</f>
        <v>Sneakers</v>
      </c>
      <c r="O67" s="50">
        <v>2</v>
      </c>
      <c r="P67" s="50">
        <v>1</v>
      </c>
      <c r="Q67" s="73">
        <f>IFERROR(INDEX(Katalog!$D$3:$D$12,MATCH(cadangan[[#This Row],[ItemID B]],Katalog!$C$3:$C$12,0))*cadangan[[#This Row],[Qty B]],0)</f>
        <v>1000000</v>
      </c>
      <c r="R67" s="73">
        <f>IFERROR(cadangan[[#This Row],[Harga Normal B]]-(cadangan[[#This Row],[Harga Normal B]]*cadangan[[#This Row],[Diskon]]),cadangan[[#This Row],[Harga Normal B]])</f>
        <v>900000</v>
      </c>
      <c r="S67" s="73">
        <f>IFERROR(INDEX(Katalog!$F$3:$F$12,MATCH(cadangan[[#This Row],[ItemID B]],Katalog!$C$3:$C$12,0))*cadangan[[#This Row],[Qty B]],0)</f>
        <v>400000</v>
      </c>
      <c r="T67" s="73">
        <f>IFERROR(cadangan[[#This Row],[Harga Diskon B]]-INDEX(Katalog!$E$3:$E$12,MATCH(cadangan[[#This Row],[ItemID B]],Katalog!$C$3:$C$12,0))*cadangan[[#This Row],[Qty B]],0)</f>
        <v>300000</v>
      </c>
      <c r="U67" s="39" t="s">
        <v>61</v>
      </c>
      <c r="V67" s="39" t="str">
        <f>IFERROR(INDEX(Katalog!$A$3:$A$12,MATCH(cadangan[[#This Row],[ItemID C]],Katalog!$C$3:$C$12,0)),"-")</f>
        <v>Pakaian Pria</v>
      </c>
      <c r="W67" s="39" t="str">
        <f>IFERROR(INDEX(Katalog!$B$3:$B$12,MATCH(cadangan[[#This Row],[ItemID C]],Katalog!$C$3:$C$12,0)),"-")</f>
        <v>Kaos Polo</v>
      </c>
      <c r="X67" s="50">
        <v>1</v>
      </c>
      <c r="Y67" s="50">
        <v>5</v>
      </c>
      <c r="Z67" s="73">
        <f>IFERROR(INDEX(Katalog!$D$3:$D$12,MATCH(cadangan[[#This Row],[ItemID C]],Katalog!$C$3:$C$12,0))*cadangan[[#This Row],[Qty C]],0)</f>
        <v>200000</v>
      </c>
      <c r="AA67" s="73">
        <f>IFERROR(cadangan[[#This Row],[Harga Normal C]]-(cadangan[[#This Row],[Harga Normal C]]*cadangan[[#This Row],[Diskon]]),cadangan[[#This Row],[Harga Normal C]])</f>
        <v>180000</v>
      </c>
      <c r="AB67" s="73">
        <f>IFERROR(INDEX(Katalog!$F$3:$F$12,MATCH(cadangan[[#This Row],[ItemID C]],Katalog!$C$3:$C$12,0))*cadangan[[#This Row],[Qty C]],0)</f>
        <v>80000</v>
      </c>
      <c r="AC67" s="73">
        <f>IFERROR(cadangan[[#This Row],[Harga Diskon C]]-INDEX(Katalog!$E$3:$E$12,MATCH(cadangan[[#This Row],[ItemID C]],Katalog!$C$3:$C$12,0))*cadangan[[#This Row],[Qty C]],0)</f>
        <v>60000</v>
      </c>
      <c r="AD67" s="53">
        <f>cadangan[[#This Row],[Qty A]]+cadangan[[#This Row],[Qty B]]+cadangan[[#This Row],[Qty C]]</f>
        <v>4</v>
      </c>
      <c r="AE67" s="73">
        <f>cadangan[[#This Row],[Harga Normal A]]+cadangan[[#This Row],[Harga Normal B]]+cadangan[[#This Row],[Harga Normal C]]</f>
        <v>1350000</v>
      </c>
      <c r="AF67" s="73">
        <f>cadangan[[#This Row],[Harga Diskon A]]+cadangan[[#This Row],[Harga Diskon B]]+cadangan[[#This Row],[Harga Diskon C]]</f>
        <v>1215000</v>
      </c>
      <c r="AG67" s="73">
        <f>(cadangan[[#This Row],[Profit Normal A]]+cadangan[[#This Row],[Profit Normal B]]+cadangan[[#This Row],[Profit Normal C]])</f>
        <v>530000</v>
      </c>
      <c r="AH67" s="73">
        <f>cadangan[[#This Row],[Profit Diskon A]]+cadangan[[#This Row],[Profit Diskon B]]+cadangan[[#This Row],[Profit Diskon C]]</f>
        <v>395000</v>
      </c>
      <c r="AI67" s="23" t="s">
        <v>30</v>
      </c>
      <c r="AJ67" s="37">
        <f>IFERROR(INDEX('Kode Diskon'!$D$3:$D$9,MATCH(cadangan[[#This Row],[Kode diskon]],'Kode Diskon'!$C$3:$C$9,0)),"-")</f>
        <v>0.1</v>
      </c>
      <c r="AK67" s="23" t="s">
        <v>29</v>
      </c>
      <c r="AL67" s="23" t="s">
        <v>10</v>
      </c>
      <c r="AM67" s="23" t="s">
        <v>80</v>
      </c>
      <c r="AN67" s="55">
        <v>45019</v>
      </c>
      <c r="AO67" s="53">
        <f>DAY(cadangan[[#This Row],[Tanggal terjual]])</f>
        <v>3</v>
      </c>
      <c r="AP67" s="21" t="str">
        <f>TEXT(cadangan[[#This Row],[Tanggal terjual]],"dddd")</f>
        <v>Monday</v>
      </c>
      <c r="AQ67" s="23" t="str" cm="1">
        <f t="array" ref="AQ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 s="61">
        <f>AVERAGE(cadangan[[#This Row],[Rating A]],cadangan[[#This Row],[Rating B]],cadangan[[#This Row],[Rating C]])</f>
        <v>2.6666666666666665</v>
      </c>
    </row>
    <row r="68" spans="1:44" x14ac:dyDescent="0.2">
      <c r="A68" s="20">
        <v>67</v>
      </c>
      <c r="B68" s="21" t="str">
        <f>_xlfn.CONCAT("ORD-",INDEX(Helper!$B$2:$B$5,MATCH(cadangan[[#This Row],[Marketplace]],Helper!$A$2:$A$5,0)),TEXT(cadangan[[#This Row],[No]],"0000"),"-",TEXT(cadangan[[#This Row],[Tanggal terjual]],"dd/mm/yy"))</f>
        <v>ORD-SP0067-19/04/23</v>
      </c>
      <c r="C68" s="39" t="s">
        <v>65</v>
      </c>
      <c r="D68" s="39" t="str">
        <f>IFERROR(INDEX(Katalog!$A$3:$A$12,MATCH(cadangan[[#This Row],[ItemID A]],Katalog!$C$3:$C$12,0)),"-")</f>
        <v>Sepatu Pria</v>
      </c>
      <c r="E68" s="39" t="str">
        <f>IFERROR(INDEX(Katalog!$B$3:$B$12,MATCH(cadangan[[#This Row],[ItemID A]],Katalog!$C$3:$C$12,0)),"-")</f>
        <v>Sneakers</v>
      </c>
      <c r="F68" s="50">
        <v>3</v>
      </c>
      <c r="G68" s="50">
        <v>1</v>
      </c>
      <c r="H68" s="73">
        <f>IFERROR(INDEX(Katalog!$D$3:$D$12,MATCH(cadangan[[#This Row],[ItemID A]],Katalog!$C$3:$C$12,0))*cadangan[[#This Row],[Qty A]],0)</f>
        <v>1500000</v>
      </c>
      <c r="I68" s="73">
        <f>IFERROR(cadangan[[#This Row],[Harga Normal A]]-(cadangan[[#This Row],[Harga Normal A]]*cadangan[[#This Row],[Diskon]]),cadangan[[#This Row],[Harga Normal A]])</f>
        <v>1200000</v>
      </c>
      <c r="J68" s="73">
        <f>INDEX(Katalog!$F$3:$F$12,MATCH(cadangan[[#This Row],[ItemID A]],Katalog!$C$3:$C$12,0))*cadangan[[#This Row],[Qty A]]</f>
        <v>600000</v>
      </c>
      <c r="K68" s="73">
        <f>IFERROR(cadangan[[#This Row],[Harga Diskon A]]-INDEX(Katalog!$E$3:$E$12,MATCH(cadangan[[#This Row],[ItemID A]],Katalog!$C$3:$C$12,0))*cadangan[[#This Row],[Qty A]],0)</f>
        <v>300000</v>
      </c>
      <c r="L68" s="39" t="s">
        <v>62</v>
      </c>
      <c r="M68" s="39" t="str">
        <f>IFERROR(INDEX(Katalog!$A$3:$A$12,MATCH(cadangan[[#This Row],[ItemID B]],Katalog!$C$3:$C$12,0)),"-")</f>
        <v>Pakaian Pria</v>
      </c>
      <c r="N68" s="39" t="str">
        <f>IFERROR(INDEX(Katalog!$B$3:$B$12,MATCH(cadangan[[#This Row],[ItemID B]],Katalog!$C$3:$C$12,0)),"-")</f>
        <v>Celana Pendek</v>
      </c>
      <c r="O68" s="50">
        <v>1</v>
      </c>
      <c r="P68" s="50">
        <v>1</v>
      </c>
      <c r="Q68" s="73">
        <f>IFERROR(INDEX(Katalog!$D$3:$D$12,MATCH(cadangan[[#This Row],[ItemID B]],Katalog!$C$3:$C$12,0))*cadangan[[#This Row],[Qty B]],0)</f>
        <v>180000</v>
      </c>
      <c r="R68" s="73">
        <f>IFERROR(cadangan[[#This Row],[Harga Normal B]]-(cadangan[[#This Row],[Harga Normal B]]*cadangan[[#This Row],[Diskon]]),cadangan[[#This Row],[Harga Normal B]])</f>
        <v>144000</v>
      </c>
      <c r="S68" s="73">
        <f>IFERROR(INDEX(Katalog!$F$3:$F$12,MATCH(cadangan[[#This Row],[ItemID B]],Katalog!$C$3:$C$12,0))*cadangan[[#This Row],[Qty B]],0)</f>
        <v>70000</v>
      </c>
      <c r="T68" s="73">
        <f>IFERROR(cadangan[[#This Row],[Harga Diskon B]]-INDEX(Katalog!$E$3:$E$12,MATCH(cadangan[[#This Row],[ItemID B]],Katalog!$C$3:$C$12,0))*cadangan[[#This Row],[Qty B]],0)</f>
        <v>34000</v>
      </c>
      <c r="U68" s="39" t="s">
        <v>67</v>
      </c>
      <c r="V68" s="39" t="str">
        <f>IFERROR(INDEX(Katalog!$A$3:$A$12,MATCH(cadangan[[#This Row],[ItemID C]],Katalog!$C$3:$C$12,0)),"-")</f>
        <v>Sepatu Wanita</v>
      </c>
      <c r="W68" s="39" t="str">
        <f>IFERROR(INDEX(Katalog!$B$3:$B$12,MATCH(cadangan[[#This Row],[ItemID C]],Katalog!$C$3:$C$12,0)),"-")</f>
        <v>Flat Shoes</v>
      </c>
      <c r="X68" s="50">
        <v>2</v>
      </c>
      <c r="Y68" s="50">
        <v>3</v>
      </c>
      <c r="Z68" s="73">
        <f>IFERROR(INDEX(Katalog!$D$3:$D$12,MATCH(cadangan[[#This Row],[ItemID C]],Katalog!$C$3:$C$12,0))*cadangan[[#This Row],[Qty C]],0)</f>
        <v>500000</v>
      </c>
      <c r="AA68" s="73">
        <f>IFERROR(cadangan[[#This Row],[Harga Normal C]]-(cadangan[[#This Row],[Harga Normal C]]*cadangan[[#This Row],[Diskon]]),cadangan[[#This Row],[Harga Normal C]])</f>
        <v>400000</v>
      </c>
      <c r="AB68" s="73">
        <f>IFERROR(INDEX(Katalog!$F$3:$F$12,MATCH(cadangan[[#This Row],[ItemID C]],Katalog!$C$3:$C$12,0))*cadangan[[#This Row],[Qty C]],0)</f>
        <v>200000</v>
      </c>
      <c r="AC68" s="73">
        <f>IFERROR(cadangan[[#This Row],[Harga Diskon C]]-INDEX(Katalog!$E$3:$E$12,MATCH(cadangan[[#This Row],[ItemID C]],Katalog!$C$3:$C$12,0))*cadangan[[#This Row],[Qty C]],0)</f>
        <v>100000</v>
      </c>
      <c r="AD68" s="53">
        <f>cadangan[[#This Row],[Qty A]]+cadangan[[#This Row],[Qty B]]+cadangan[[#This Row],[Qty C]]</f>
        <v>6</v>
      </c>
      <c r="AE68" s="73">
        <f>cadangan[[#This Row],[Harga Normal A]]+cadangan[[#This Row],[Harga Normal B]]+cadangan[[#This Row],[Harga Normal C]]</f>
        <v>2180000</v>
      </c>
      <c r="AF68" s="73">
        <f>cadangan[[#This Row],[Harga Diskon A]]+cadangan[[#This Row],[Harga Diskon B]]+cadangan[[#This Row],[Harga Diskon C]]</f>
        <v>1744000</v>
      </c>
      <c r="AG68" s="73">
        <f>(cadangan[[#This Row],[Profit Normal A]]+cadangan[[#This Row],[Profit Normal B]]+cadangan[[#This Row],[Profit Normal C]])</f>
        <v>870000</v>
      </c>
      <c r="AH68" s="73">
        <f>cadangan[[#This Row],[Profit Diskon A]]+cadangan[[#This Row],[Profit Diskon B]]+cadangan[[#This Row],[Profit Diskon C]]</f>
        <v>434000</v>
      </c>
      <c r="AI68" s="23" t="s">
        <v>8</v>
      </c>
      <c r="AJ68" s="37">
        <f>IFERROR(INDEX('Kode Diskon'!$D$3:$D$9,MATCH(cadangan[[#This Row],[Kode diskon]],'Kode Diskon'!$C$3:$C$9,0)),"-")</f>
        <v>0.2</v>
      </c>
      <c r="AK68" s="23" t="s">
        <v>9</v>
      </c>
      <c r="AL68" s="23" t="s">
        <v>7</v>
      </c>
      <c r="AM68" s="23" t="s">
        <v>80</v>
      </c>
      <c r="AN68" s="55">
        <v>45035</v>
      </c>
      <c r="AO68" s="53">
        <f>DAY(cadangan[[#This Row],[Tanggal terjual]])</f>
        <v>19</v>
      </c>
      <c r="AP68" s="21" t="str">
        <f>TEXT(cadangan[[#This Row],[Tanggal terjual]],"dddd")</f>
        <v>Wednesday</v>
      </c>
      <c r="AQ68" s="23" t="str" cm="1">
        <f t="array" ref="AQ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8" s="61">
        <f>AVERAGE(cadangan[[#This Row],[Rating A]],cadangan[[#This Row],[Rating B]],cadangan[[#This Row],[Rating C]])</f>
        <v>1.6666666666666667</v>
      </c>
    </row>
    <row r="69" spans="1:44" x14ac:dyDescent="0.2">
      <c r="A69" s="20">
        <v>68</v>
      </c>
      <c r="B69" s="21" t="str">
        <f>_xlfn.CONCAT("ORD-",INDEX(Helper!$B$2:$B$5,MATCH(cadangan[[#This Row],[Marketplace]],Helper!$A$2:$A$5,0)),TEXT(cadangan[[#This Row],[No]],"0000"),"-",TEXT(cadangan[[#This Row],[Tanggal terjual]],"dd/mm/yy"))</f>
        <v>ORD-SP0068-05/04/23</v>
      </c>
      <c r="C69" s="39" t="s">
        <v>59</v>
      </c>
      <c r="D69" s="39" t="str">
        <f>IFERROR(INDEX(Katalog!$A$3:$A$12,MATCH(cadangan[[#This Row],[ItemID A]],Katalog!$C$3:$C$12,0)),"-")</f>
        <v>Pakaian Wanita</v>
      </c>
      <c r="E69" s="39" t="str">
        <f>IFERROR(INDEX(Katalog!$B$3:$B$12,MATCH(cadangan[[#This Row],[ItemID A]],Katalog!$C$3:$C$12,0)),"-")</f>
        <v>Blouse</v>
      </c>
      <c r="F69" s="50">
        <v>2</v>
      </c>
      <c r="G69" s="50">
        <v>3</v>
      </c>
      <c r="H69" s="73">
        <f>IFERROR(INDEX(Katalog!$D$3:$D$12,MATCH(cadangan[[#This Row],[ItemID A]],Katalog!$C$3:$C$12,0))*cadangan[[#This Row],[Qty A]],0)</f>
        <v>300000</v>
      </c>
      <c r="I69" s="73">
        <f>IFERROR(cadangan[[#This Row],[Harga Normal A]]-(cadangan[[#This Row],[Harga Normal A]]*cadangan[[#This Row],[Diskon]]),cadangan[[#This Row],[Harga Normal A]])</f>
        <v>255000</v>
      </c>
      <c r="J69" s="73">
        <f>INDEX(Katalog!$F$3:$F$12,MATCH(cadangan[[#This Row],[ItemID A]],Katalog!$C$3:$C$12,0))*cadangan[[#This Row],[Qty A]]</f>
        <v>100000</v>
      </c>
      <c r="K69" s="73">
        <f>IFERROR(cadangan[[#This Row],[Harga Diskon A]]-INDEX(Katalog!$E$3:$E$12,MATCH(cadangan[[#This Row],[ItemID A]],Katalog!$C$3:$C$12,0))*cadangan[[#This Row],[Qty A]],0)</f>
        <v>55000</v>
      </c>
      <c r="M69" s="39" t="str">
        <f>IFERROR(INDEX(Katalog!$A$3:$A$12,MATCH(cadangan[[#This Row],[ItemID B]],Katalog!$C$3:$C$12,0)),"-")</f>
        <v>-</v>
      </c>
      <c r="N69" s="39" t="str">
        <f>IFERROR(INDEX(Katalog!$B$3:$B$12,MATCH(cadangan[[#This Row],[ItemID B]],Katalog!$C$3:$C$12,0)),"-")</f>
        <v>-</v>
      </c>
      <c r="Q69" s="73">
        <f>IFERROR(INDEX(Katalog!$D$3:$D$12,MATCH(cadangan[[#This Row],[ItemID B]],Katalog!$C$3:$C$12,0))*cadangan[[#This Row],[Qty B]],0)</f>
        <v>0</v>
      </c>
      <c r="R69" s="73">
        <f>IFERROR(cadangan[[#This Row],[Harga Normal B]]-(cadangan[[#This Row],[Harga Normal B]]*cadangan[[#This Row],[Diskon]]),cadangan[[#This Row],[Harga Normal B]])</f>
        <v>0</v>
      </c>
      <c r="S69" s="73">
        <f>IFERROR(INDEX(Katalog!$F$3:$F$12,MATCH(cadangan[[#This Row],[ItemID B]],Katalog!$C$3:$C$12,0))*cadangan[[#This Row],[Qty B]],0)</f>
        <v>0</v>
      </c>
      <c r="T69" s="73">
        <f>IFERROR(cadangan[[#This Row],[Harga Diskon B]]-INDEX(Katalog!$E$3:$E$12,MATCH(cadangan[[#This Row],[ItemID B]],Katalog!$C$3:$C$12,0))*cadangan[[#This Row],[Qty B]],0)</f>
        <v>0</v>
      </c>
      <c r="V69" s="39" t="str">
        <f>IFERROR(INDEX(Katalog!$A$3:$A$12,MATCH(cadangan[[#This Row],[ItemID C]],Katalog!$C$3:$C$12,0)),"-")</f>
        <v>-</v>
      </c>
      <c r="W69" s="39" t="str">
        <f>IFERROR(INDEX(Katalog!$B$3:$B$12,MATCH(cadangan[[#This Row],[ItemID C]],Katalog!$C$3:$C$12,0)),"-")</f>
        <v>-</v>
      </c>
      <c r="Z69" s="73">
        <f>IFERROR(INDEX(Katalog!$D$3:$D$12,MATCH(cadangan[[#This Row],[ItemID C]],Katalog!$C$3:$C$12,0))*cadangan[[#This Row],[Qty C]],0)</f>
        <v>0</v>
      </c>
      <c r="AA69" s="73">
        <f>IFERROR(cadangan[[#This Row],[Harga Normal C]]-(cadangan[[#This Row],[Harga Normal C]]*cadangan[[#This Row],[Diskon]]),cadangan[[#This Row],[Harga Normal C]])</f>
        <v>0</v>
      </c>
      <c r="AB69" s="73">
        <f>IFERROR(INDEX(Katalog!$F$3:$F$12,MATCH(cadangan[[#This Row],[ItemID C]],Katalog!$C$3:$C$12,0))*cadangan[[#This Row],[Qty C]],0)</f>
        <v>0</v>
      </c>
      <c r="AC69" s="73">
        <f>IFERROR(cadangan[[#This Row],[Harga Diskon C]]-INDEX(Katalog!$E$3:$E$12,MATCH(cadangan[[#This Row],[ItemID C]],Katalog!$C$3:$C$12,0))*cadangan[[#This Row],[Qty C]],0)</f>
        <v>0</v>
      </c>
      <c r="AD69" s="53">
        <f>cadangan[[#This Row],[Qty A]]+cadangan[[#This Row],[Qty B]]+cadangan[[#This Row],[Qty C]]</f>
        <v>2</v>
      </c>
      <c r="AE69" s="73">
        <f>cadangan[[#This Row],[Harga Normal A]]+cadangan[[#This Row],[Harga Normal B]]+cadangan[[#This Row],[Harga Normal C]]</f>
        <v>300000</v>
      </c>
      <c r="AF69" s="73">
        <f>cadangan[[#This Row],[Harga Diskon A]]+cadangan[[#This Row],[Harga Diskon B]]+cadangan[[#This Row],[Harga Diskon C]]</f>
        <v>255000</v>
      </c>
      <c r="AG69" s="73">
        <f>(cadangan[[#This Row],[Profit Normal A]]+cadangan[[#This Row],[Profit Normal B]]+cadangan[[#This Row],[Profit Normal C]])</f>
        <v>100000</v>
      </c>
      <c r="AH69" s="73">
        <f>cadangan[[#This Row],[Profit Diskon A]]+cadangan[[#This Row],[Profit Diskon B]]+cadangan[[#This Row],[Profit Diskon C]]</f>
        <v>55000</v>
      </c>
      <c r="AI69" s="23" t="s">
        <v>13</v>
      </c>
      <c r="AJ69" s="37">
        <f>IFERROR(INDEX('Kode Diskon'!$D$3:$D$9,MATCH(cadangan[[#This Row],[Kode diskon]],'Kode Diskon'!$C$3:$C$9,0)),"-")</f>
        <v>0.15</v>
      </c>
      <c r="AK69" s="23" t="s">
        <v>29</v>
      </c>
      <c r="AL69" s="23" t="s">
        <v>7</v>
      </c>
      <c r="AM69" s="23" t="s">
        <v>79</v>
      </c>
      <c r="AN69" s="55">
        <v>45021</v>
      </c>
      <c r="AO69" s="53">
        <f>DAY(cadangan[[#This Row],[Tanggal terjual]])</f>
        <v>5</v>
      </c>
      <c r="AP69" s="21" t="str">
        <f>TEXT(cadangan[[#This Row],[Tanggal terjual]],"dddd")</f>
        <v>Wednesday</v>
      </c>
      <c r="AQ69" s="23" t="str" cm="1">
        <f t="array" ref="AQ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 s="61">
        <f>AVERAGE(cadangan[[#This Row],[Rating A]],cadangan[[#This Row],[Rating B]],cadangan[[#This Row],[Rating C]])</f>
        <v>3</v>
      </c>
    </row>
    <row r="70" spans="1:44" x14ac:dyDescent="0.2">
      <c r="A70" s="20">
        <v>69</v>
      </c>
      <c r="B70" s="21" t="str">
        <f>_xlfn.CONCAT("ORD-",INDEX(Helper!$B$2:$B$5,MATCH(cadangan[[#This Row],[Marketplace]],Helper!$A$2:$A$5,0)),TEXT(cadangan[[#This Row],[No]],"0000"),"-",TEXT(cadangan[[#This Row],[Tanggal terjual]],"dd/mm/yy"))</f>
        <v>ORD-TK0069-16/04/23</v>
      </c>
      <c r="C70" s="39" t="s">
        <v>59</v>
      </c>
      <c r="D70" s="39" t="str">
        <f>IFERROR(INDEX(Katalog!$A$3:$A$12,MATCH(cadangan[[#This Row],[ItemID A]],Katalog!$C$3:$C$12,0)),"-")</f>
        <v>Pakaian Wanita</v>
      </c>
      <c r="E70" s="39" t="str">
        <f>IFERROR(INDEX(Katalog!$B$3:$B$12,MATCH(cadangan[[#This Row],[ItemID A]],Katalog!$C$3:$C$12,0)),"-")</f>
        <v>Blouse</v>
      </c>
      <c r="F70" s="50">
        <v>4</v>
      </c>
      <c r="G70" s="50">
        <v>5</v>
      </c>
      <c r="H70" s="73">
        <f>IFERROR(INDEX(Katalog!$D$3:$D$12,MATCH(cadangan[[#This Row],[ItemID A]],Katalog!$C$3:$C$12,0))*cadangan[[#This Row],[Qty A]],0)</f>
        <v>600000</v>
      </c>
      <c r="I70" s="73">
        <f>IFERROR(cadangan[[#This Row],[Harga Normal A]]-(cadangan[[#This Row],[Harga Normal A]]*cadangan[[#This Row],[Diskon]]),cadangan[[#This Row],[Harga Normal A]])</f>
        <v>540000</v>
      </c>
      <c r="J70" s="73">
        <f>INDEX(Katalog!$F$3:$F$12,MATCH(cadangan[[#This Row],[ItemID A]],Katalog!$C$3:$C$12,0))*cadangan[[#This Row],[Qty A]]</f>
        <v>200000</v>
      </c>
      <c r="K70" s="73">
        <f>IFERROR(cadangan[[#This Row],[Harga Diskon A]]-INDEX(Katalog!$E$3:$E$12,MATCH(cadangan[[#This Row],[ItemID A]],Katalog!$C$3:$C$12,0))*cadangan[[#This Row],[Qty A]],0)</f>
        <v>140000</v>
      </c>
      <c r="L70" s="39" t="s">
        <v>63</v>
      </c>
      <c r="M70" s="39" t="str">
        <f>IFERROR(INDEX(Katalog!$A$3:$A$12,MATCH(cadangan[[#This Row],[ItemID B]],Katalog!$C$3:$C$12,0)),"-")</f>
        <v>Pakaian Pria</v>
      </c>
      <c r="N70" s="39" t="str">
        <f>IFERROR(INDEX(Katalog!$B$3:$B$12,MATCH(cadangan[[#This Row],[ItemID B]],Katalog!$C$3:$C$12,0)),"-")</f>
        <v>Jaket Jeans</v>
      </c>
      <c r="O70" s="50">
        <v>3</v>
      </c>
      <c r="P70" s="50">
        <v>1</v>
      </c>
      <c r="Q70" s="73">
        <f>IFERROR(INDEX(Katalog!$D$3:$D$12,MATCH(cadangan[[#This Row],[ItemID B]],Katalog!$C$3:$C$12,0))*cadangan[[#This Row],[Qty B]],0)</f>
        <v>1200000</v>
      </c>
      <c r="R70" s="73">
        <f>IFERROR(cadangan[[#This Row],[Harga Normal B]]-(cadangan[[#This Row],[Harga Normal B]]*cadangan[[#This Row],[Diskon]]),cadangan[[#This Row],[Harga Normal B]])</f>
        <v>1080000</v>
      </c>
      <c r="S70" s="73">
        <f>IFERROR(INDEX(Katalog!$F$3:$F$12,MATCH(cadangan[[#This Row],[ItemID B]],Katalog!$C$3:$C$12,0))*cadangan[[#This Row],[Qty B]],0)</f>
        <v>450000</v>
      </c>
      <c r="T70" s="73">
        <f>IFERROR(cadangan[[#This Row],[Harga Diskon B]]-INDEX(Katalog!$E$3:$E$12,MATCH(cadangan[[#This Row],[ItemID B]],Katalog!$C$3:$C$12,0))*cadangan[[#This Row],[Qty B]],0)</f>
        <v>330000</v>
      </c>
      <c r="V70" s="39" t="str">
        <f>IFERROR(INDEX(Katalog!$A$3:$A$12,MATCH(cadangan[[#This Row],[ItemID C]],Katalog!$C$3:$C$12,0)),"-")</f>
        <v>-</v>
      </c>
      <c r="W70" s="39" t="str">
        <f>IFERROR(INDEX(Katalog!$B$3:$B$12,MATCH(cadangan[[#This Row],[ItemID C]],Katalog!$C$3:$C$12,0)),"-")</f>
        <v>-</v>
      </c>
      <c r="Z70" s="73">
        <f>IFERROR(INDEX(Katalog!$D$3:$D$12,MATCH(cadangan[[#This Row],[ItemID C]],Katalog!$C$3:$C$12,0))*cadangan[[#This Row],[Qty C]],0)</f>
        <v>0</v>
      </c>
      <c r="AA70" s="73">
        <f>IFERROR(cadangan[[#This Row],[Harga Normal C]]-(cadangan[[#This Row],[Harga Normal C]]*cadangan[[#This Row],[Diskon]]),cadangan[[#This Row],[Harga Normal C]])</f>
        <v>0</v>
      </c>
      <c r="AB70" s="73">
        <f>IFERROR(INDEX(Katalog!$F$3:$F$12,MATCH(cadangan[[#This Row],[ItemID C]],Katalog!$C$3:$C$12,0))*cadangan[[#This Row],[Qty C]],0)</f>
        <v>0</v>
      </c>
      <c r="AC70" s="73">
        <f>IFERROR(cadangan[[#This Row],[Harga Diskon C]]-INDEX(Katalog!$E$3:$E$12,MATCH(cadangan[[#This Row],[ItemID C]],Katalog!$C$3:$C$12,0))*cadangan[[#This Row],[Qty C]],0)</f>
        <v>0</v>
      </c>
      <c r="AD70" s="53">
        <f>cadangan[[#This Row],[Qty A]]+cadangan[[#This Row],[Qty B]]+cadangan[[#This Row],[Qty C]]</f>
        <v>7</v>
      </c>
      <c r="AE70" s="73">
        <f>cadangan[[#This Row],[Harga Normal A]]+cadangan[[#This Row],[Harga Normal B]]+cadangan[[#This Row],[Harga Normal C]]</f>
        <v>1800000</v>
      </c>
      <c r="AF70" s="73">
        <f>cadangan[[#This Row],[Harga Diskon A]]+cadangan[[#This Row],[Harga Diskon B]]+cadangan[[#This Row],[Harga Diskon C]]</f>
        <v>1620000</v>
      </c>
      <c r="AG70" s="73">
        <f>(cadangan[[#This Row],[Profit Normal A]]+cadangan[[#This Row],[Profit Normal B]]+cadangan[[#This Row],[Profit Normal C]])</f>
        <v>650000</v>
      </c>
      <c r="AH70" s="73">
        <f>cadangan[[#This Row],[Profit Diskon A]]+cadangan[[#This Row],[Profit Diskon B]]+cadangan[[#This Row],[Profit Diskon C]]</f>
        <v>470000</v>
      </c>
      <c r="AI70" s="23" t="s">
        <v>31</v>
      </c>
      <c r="AJ70" s="37">
        <f>IFERROR(INDEX('Kode Diskon'!$D$3:$D$9,MATCH(cadangan[[#This Row],[Kode diskon]],'Kode Diskon'!$C$3:$C$9,0)),"-")</f>
        <v>0.1</v>
      </c>
      <c r="AK70" s="23" t="s">
        <v>9</v>
      </c>
      <c r="AL70" s="23" t="s">
        <v>10</v>
      </c>
      <c r="AM70" s="23" t="s">
        <v>76</v>
      </c>
      <c r="AN70" s="55">
        <v>45032</v>
      </c>
      <c r="AO70" s="53">
        <f>DAY(cadangan[[#This Row],[Tanggal terjual]])</f>
        <v>16</v>
      </c>
      <c r="AP70" s="21" t="str">
        <f>TEXT(cadangan[[#This Row],[Tanggal terjual]],"dddd")</f>
        <v>Sunday</v>
      </c>
      <c r="AQ70" s="23" t="str" cm="1">
        <f t="array" ref="AQ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0" s="61">
        <f>AVERAGE(cadangan[[#This Row],[Rating A]],cadangan[[#This Row],[Rating B]],cadangan[[#This Row],[Rating C]])</f>
        <v>3</v>
      </c>
    </row>
    <row r="71" spans="1:44" x14ac:dyDescent="0.2">
      <c r="A71" s="20">
        <v>70</v>
      </c>
      <c r="B71" s="21" t="str">
        <f>_xlfn.CONCAT("ORD-",INDEX(Helper!$B$2:$B$5,MATCH(cadangan[[#This Row],[Marketplace]],Helper!$A$2:$A$5,0)),TEXT(cadangan[[#This Row],[No]],"0000"),"-",TEXT(cadangan[[#This Row],[Tanggal terjual]],"dd/mm/yy"))</f>
        <v>ORD-SP0070-01/04/23</v>
      </c>
      <c r="C71" s="39" t="s">
        <v>62</v>
      </c>
      <c r="D71" s="39" t="str">
        <f>IFERROR(INDEX(Katalog!$A$3:$A$12,MATCH(cadangan[[#This Row],[ItemID A]],Katalog!$C$3:$C$12,0)),"-")</f>
        <v>Pakaian Pria</v>
      </c>
      <c r="E71" s="39" t="str">
        <f>IFERROR(INDEX(Katalog!$B$3:$B$12,MATCH(cadangan[[#This Row],[ItemID A]],Katalog!$C$3:$C$12,0)),"-")</f>
        <v>Celana Pendek</v>
      </c>
      <c r="F71" s="50">
        <v>3</v>
      </c>
      <c r="G71" s="50">
        <v>3</v>
      </c>
      <c r="H71" s="73">
        <f>IFERROR(INDEX(Katalog!$D$3:$D$12,MATCH(cadangan[[#This Row],[ItemID A]],Katalog!$C$3:$C$12,0))*cadangan[[#This Row],[Qty A]],0)</f>
        <v>540000</v>
      </c>
      <c r="I71" s="73">
        <f>IFERROR(cadangan[[#This Row],[Harga Normal A]]-(cadangan[[#This Row],[Harga Normal A]]*cadangan[[#This Row],[Diskon]]),cadangan[[#This Row],[Harga Normal A]])</f>
        <v>486000</v>
      </c>
      <c r="J71" s="73">
        <f>INDEX(Katalog!$F$3:$F$12,MATCH(cadangan[[#This Row],[ItemID A]],Katalog!$C$3:$C$12,0))*cadangan[[#This Row],[Qty A]]</f>
        <v>210000</v>
      </c>
      <c r="K71" s="73">
        <f>IFERROR(cadangan[[#This Row],[Harga Diskon A]]-INDEX(Katalog!$E$3:$E$12,MATCH(cadangan[[#This Row],[ItemID A]],Katalog!$C$3:$C$12,0))*cadangan[[#This Row],[Qty A]],0)</f>
        <v>156000</v>
      </c>
      <c r="L71" s="39" t="s">
        <v>66</v>
      </c>
      <c r="M71" s="39" t="str">
        <f>IFERROR(INDEX(Katalog!$A$3:$A$12,MATCH(cadangan[[#This Row],[ItemID B]],Katalog!$C$3:$C$12,0)),"-")</f>
        <v>Sepatu Pria</v>
      </c>
      <c r="N71" s="39" t="str">
        <f>IFERROR(INDEX(Katalog!$B$3:$B$12,MATCH(cadangan[[#This Row],[ItemID B]],Katalog!$C$3:$C$12,0)),"-")</f>
        <v>Sandal Slip On</v>
      </c>
      <c r="O71" s="50">
        <v>1</v>
      </c>
      <c r="P71" s="50">
        <v>4</v>
      </c>
      <c r="Q71" s="73">
        <f>IFERROR(INDEX(Katalog!$D$3:$D$12,MATCH(cadangan[[#This Row],[ItemID B]],Katalog!$C$3:$C$12,0))*cadangan[[#This Row],[Qty B]],0)</f>
        <v>150000</v>
      </c>
      <c r="R71" s="73">
        <f>IFERROR(cadangan[[#This Row],[Harga Normal B]]-(cadangan[[#This Row],[Harga Normal B]]*cadangan[[#This Row],[Diskon]]),cadangan[[#This Row],[Harga Normal B]])</f>
        <v>135000</v>
      </c>
      <c r="S71" s="73">
        <f>IFERROR(INDEX(Katalog!$F$3:$F$12,MATCH(cadangan[[#This Row],[ItemID B]],Katalog!$C$3:$C$12,0))*cadangan[[#This Row],[Qty B]],0)</f>
        <v>60000</v>
      </c>
      <c r="T71" s="73">
        <f>IFERROR(cadangan[[#This Row],[Harga Diskon B]]-INDEX(Katalog!$E$3:$E$12,MATCH(cadangan[[#This Row],[ItemID B]],Katalog!$C$3:$C$12,0))*cadangan[[#This Row],[Qty B]],0)</f>
        <v>45000</v>
      </c>
      <c r="U71" s="39" t="s">
        <v>62</v>
      </c>
      <c r="V71" s="39" t="str">
        <f>IFERROR(INDEX(Katalog!$A$3:$A$12,MATCH(cadangan[[#This Row],[ItemID C]],Katalog!$C$3:$C$12,0)),"-")</f>
        <v>Pakaian Pria</v>
      </c>
      <c r="W71" s="39" t="str">
        <f>IFERROR(INDEX(Katalog!$B$3:$B$12,MATCH(cadangan[[#This Row],[ItemID C]],Katalog!$C$3:$C$12,0)),"-")</f>
        <v>Celana Pendek</v>
      </c>
      <c r="X71" s="50">
        <v>1</v>
      </c>
      <c r="Y71" s="50">
        <v>5</v>
      </c>
      <c r="Z71" s="73">
        <f>IFERROR(INDEX(Katalog!$D$3:$D$12,MATCH(cadangan[[#This Row],[ItemID C]],Katalog!$C$3:$C$12,0))*cadangan[[#This Row],[Qty C]],0)</f>
        <v>180000</v>
      </c>
      <c r="AA71" s="73">
        <f>IFERROR(cadangan[[#This Row],[Harga Normal C]]-(cadangan[[#This Row],[Harga Normal C]]*cadangan[[#This Row],[Diskon]]),cadangan[[#This Row],[Harga Normal C]])</f>
        <v>162000</v>
      </c>
      <c r="AB71" s="73">
        <f>IFERROR(INDEX(Katalog!$F$3:$F$12,MATCH(cadangan[[#This Row],[ItemID C]],Katalog!$C$3:$C$12,0))*cadangan[[#This Row],[Qty C]],0)</f>
        <v>70000</v>
      </c>
      <c r="AC71" s="73">
        <f>IFERROR(cadangan[[#This Row],[Harga Diskon C]]-INDEX(Katalog!$E$3:$E$12,MATCH(cadangan[[#This Row],[ItemID C]],Katalog!$C$3:$C$12,0))*cadangan[[#This Row],[Qty C]],0)</f>
        <v>52000</v>
      </c>
      <c r="AD71" s="53">
        <f>cadangan[[#This Row],[Qty A]]+cadangan[[#This Row],[Qty B]]+cadangan[[#This Row],[Qty C]]</f>
        <v>5</v>
      </c>
      <c r="AE71" s="73">
        <f>cadangan[[#This Row],[Harga Normal A]]+cadangan[[#This Row],[Harga Normal B]]+cadangan[[#This Row],[Harga Normal C]]</f>
        <v>870000</v>
      </c>
      <c r="AF71" s="73">
        <f>cadangan[[#This Row],[Harga Diskon A]]+cadangan[[#This Row],[Harga Diskon B]]+cadangan[[#This Row],[Harga Diskon C]]</f>
        <v>783000</v>
      </c>
      <c r="AG71" s="73">
        <f>(cadangan[[#This Row],[Profit Normal A]]+cadangan[[#This Row],[Profit Normal B]]+cadangan[[#This Row],[Profit Normal C]])</f>
        <v>340000</v>
      </c>
      <c r="AH71" s="73">
        <f>cadangan[[#This Row],[Profit Diskon A]]+cadangan[[#This Row],[Profit Diskon B]]+cadangan[[#This Row],[Profit Diskon C]]</f>
        <v>253000</v>
      </c>
      <c r="AI71" s="23" t="s">
        <v>6</v>
      </c>
      <c r="AJ71" s="37">
        <f>IFERROR(INDEX('Kode Diskon'!$D$3:$D$9,MATCH(cadangan[[#This Row],[Kode diskon]],'Kode Diskon'!$C$3:$C$9,0)),"-")</f>
        <v>0.1</v>
      </c>
      <c r="AK71" s="23" t="s">
        <v>29</v>
      </c>
      <c r="AL71" s="23" t="s">
        <v>7</v>
      </c>
      <c r="AM71" s="23" t="s">
        <v>75</v>
      </c>
      <c r="AN71" s="55">
        <v>45017</v>
      </c>
      <c r="AO71" s="53">
        <f>DAY(cadangan[[#This Row],[Tanggal terjual]])</f>
        <v>1</v>
      </c>
      <c r="AP71" s="21" t="str">
        <f>TEXT(cadangan[[#This Row],[Tanggal terjual]],"dddd")</f>
        <v>Saturday</v>
      </c>
      <c r="AQ71" s="23" t="str" cm="1">
        <f t="array" ref="AQ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 s="61">
        <f>AVERAGE(cadangan[[#This Row],[Rating A]],cadangan[[#This Row],[Rating B]],cadangan[[#This Row],[Rating C]])</f>
        <v>4</v>
      </c>
    </row>
    <row r="72" spans="1:44" x14ac:dyDescent="0.2">
      <c r="A72" s="20">
        <v>71</v>
      </c>
      <c r="B72" s="21" t="str">
        <f>_xlfn.CONCAT("ORD-",INDEX(Helper!$B$2:$B$5,MATCH(cadangan[[#This Row],[Marketplace]],Helper!$A$2:$A$5,0)),TEXT(cadangan[[#This Row],[No]],"0000"),"-",TEXT(cadangan[[#This Row],[Tanggal terjual]],"dd/mm/yy"))</f>
        <v>ORD-SP0071-06/04/23</v>
      </c>
      <c r="C72" s="39" t="s">
        <v>58</v>
      </c>
      <c r="D72" s="39" t="str">
        <f>IFERROR(INDEX(Katalog!$A$3:$A$12,MATCH(cadangan[[#This Row],[ItemID A]],Katalog!$C$3:$C$12,0)),"-")</f>
        <v>Pakaian Wanita</v>
      </c>
      <c r="E72" s="39" t="str">
        <f>IFERROR(INDEX(Katalog!$B$3:$B$12,MATCH(cadangan[[#This Row],[ItemID A]],Katalog!$C$3:$C$12,0)),"-")</f>
        <v>Dress</v>
      </c>
      <c r="F72" s="50">
        <v>4</v>
      </c>
      <c r="G72" s="50">
        <v>2</v>
      </c>
      <c r="H72" s="73">
        <f>IFERROR(INDEX(Katalog!$D$3:$D$12,MATCH(cadangan[[#This Row],[ItemID A]],Katalog!$C$3:$C$12,0))*cadangan[[#This Row],[Qty A]],0)</f>
        <v>1200000</v>
      </c>
      <c r="I72" s="73">
        <f>IFERROR(cadangan[[#This Row],[Harga Normal A]]-(cadangan[[#This Row],[Harga Normal A]]*cadangan[[#This Row],[Diskon]]),cadangan[[#This Row],[Harga Normal A]])</f>
        <v>1080000</v>
      </c>
      <c r="J72" s="73">
        <f>INDEX(Katalog!$F$3:$F$12,MATCH(cadangan[[#This Row],[ItemID A]],Katalog!$C$3:$C$12,0))*cadangan[[#This Row],[Qty A]]</f>
        <v>400000</v>
      </c>
      <c r="K72" s="73">
        <f>IFERROR(cadangan[[#This Row],[Harga Diskon A]]-INDEX(Katalog!$E$3:$E$12,MATCH(cadangan[[#This Row],[ItemID A]],Katalog!$C$3:$C$12,0))*cadangan[[#This Row],[Qty A]],0)</f>
        <v>280000</v>
      </c>
      <c r="L72" s="39" t="s">
        <v>63</v>
      </c>
      <c r="M72" s="39" t="str">
        <f>IFERROR(INDEX(Katalog!$A$3:$A$12,MATCH(cadangan[[#This Row],[ItemID B]],Katalog!$C$3:$C$12,0)),"-")</f>
        <v>Pakaian Pria</v>
      </c>
      <c r="N72" s="39" t="str">
        <f>IFERROR(INDEX(Katalog!$B$3:$B$12,MATCH(cadangan[[#This Row],[ItemID B]],Katalog!$C$3:$C$12,0)),"-")</f>
        <v>Jaket Jeans</v>
      </c>
      <c r="O72" s="50">
        <v>1</v>
      </c>
      <c r="P72" s="50">
        <v>3</v>
      </c>
      <c r="Q72" s="73">
        <f>IFERROR(INDEX(Katalog!$D$3:$D$12,MATCH(cadangan[[#This Row],[ItemID B]],Katalog!$C$3:$C$12,0))*cadangan[[#This Row],[Qty B]],0)</f>
        <v>400000</v>
      </c>
      <c r="R72" s="73">
        <f>IFERROR(cadangan[[#This Row],[Harga Normal B]]-(cadangan[[#This Row],[Harga Normal B]]*cadangan[[#This Row],[Diskon]]),cadangan[[#This Row],[Harga Normal B]])</f>
        <v>360000</v>
      </c>
      <c r="S72" s="73">
        <f>IFERROR(INDEX(Katalog!$F$3:$F$12,MATCH(cadangan[[#This Row],[ItemID B]],Katalog!$C$3:$C$12,0))*cadangan[[#This Row],[Qty B]],0)</f>
        <v>150000</v>
      </c>
      <c r="T72" s="73">
        <f>IFERROR(cadangan[[#This Row],[Harga Diskon B]]-INDEX(Katalog!$E$3:$E$12,MATCH(cadangan[[#This Row],[ItemID B]],Katalog!$C$3:$C$12,0))*cadangan[[#This Row],[Qty B]],0)</f>
        <v>110000</v>
      </c>
      <c r="V72" s="39" t="str">
        <f>IFERROR(INDEX(Katalog!$A$3:$A$12,MATCH(cadangan[[#This Row],[ItemID C]],Katalog!$C$3:$C$12,0)),"-")</f>
        <v>-</v>
      </c>
      <c r="W72" s="39" t="str">
        <f>IFERROR(INDEX(Katalog!$B$3:$B$12,MATCH(cadangan[[#This Row],[ItemID C]],Katalog!$C$3:$C$12,0)),"-")</f>
        <v>-</v>
      </c>
      <c r="Z72" s="73">
        <f>IFERROR(INDEX(Katalog!$D$3:$D$12,MATCH(cadangan[[#This Row],[ItemID C]],Katalog!$C$3:$C$12,0))*cadangan[[#This Row],[Qty C]],0)</f>
        <v>0</v>
      </c>
      <c r="AA72" s="73">
        <f>IFERROR(cadangan[[#This Row],[Harga Normal C]]-(cadangan[[#This Row],[Harga Normal C]]*cadangan[[#This Row],[Diskon]]),cadangan[[#This Row],[Harga Normal C]])</f>
        <v>0</v>
      </c>
      <c r="AB72" s="73">
        <f>IFERROR(INDEX(Katalog!$F$3:$F$12,MATCH(cadangan[[#This Row],[ItemID C]],Katalog!$C$3:$C$12,0))*cadangan[[#This Row],[Qty C]],0)</f>
        <v>0</v>
      </c>
      <c r="AC72" s="73">
        <f>IFERROR(cadangan[[#This Row],[Harga Diskon C]]-INDEX(Katalog!$E$3:$E$12,MATCH(cadangan[[#This Row],[ItemID C]],Katalog!$C$3:$C$12,0))*cadangan[[#This Row],[Qty C]],0)</f>
        <v>0</v>
      </c>
      <c r="AD72" s="53">
        <f>cadangan[[#This Row],[Qty A]]+cadangan[[#This Row],[Qty B]]+cadangan[[#This Row],[Qty C]]</f>
        <v>5</v>
      </c>
      <c r="AE72" s="73">
        <f>cadangan[[#This Row],[Harga Normal A]]+cadangan[[#This Row],[Harga Normal B]]+cadangan[[#This Row],[Harga Normal C]]</f>
        <v>1600000</v>
      </c>
      <c r="AF72" s="73">
        <f>cadangan[[#This Row],[Harga Diskon A]]+cadangan[[#This Row],[Harga Diskon B]]+cadangan[[#This Row],[Harga Diskon C]]</f>
        <v>1440000</v>
      </c>
      <c r="AG72" s="73">
        <f>(cadangan[[#This Row],[Profit Normal A]]+cadangan[[#This Row],[Profit Normal B]]+cadangan[[#This Row],[Profit Normal C]])</f>
        <v>550000</v>
      </c>
      <c r="AH72" s="73">
        <f>cadangan[[#This Row],[Profit Diskon A]]+cadangan[[#This Row],[Profit Diskon B]]+cadangan[[#This Row],[Profit Diskon C]]</f>
        <v>390000</v>
      </c>
      <c r="AI72" s="23" t="s">
        <v>6</v>
      </c>
      <c r="AJ72" s="37">
        <f>IFERROR(INDEX('Kode Diskon'!$D$3:$D$9,MATCH(cadangan[[#This Row],[Kode diskon]],'Kode Diskon'!$C$3:$C$9,0)),"-")</f>
        <v>0.1</v>
      </c>
      <c r="AK72" s="23" t="s">
        <v>29</v>
      </c>
      <c r="AL72" s="23" t="s">
        <v>7</v>
      </c>
      <c r="AM72" s="23" t="s">
        <v>76</v>
      </c>
      <c r="AN72" s="55">
        <v>45022</v>
      </c>
      <c r="AO72" s="53">
        <f>DAY(cadangan[[#This Row],[Tanggal terjual]])</f>
        <v>6</v>
      </c>
      <c r="AP72" s="21" t="str">
        <f>TEXT(cadangan[[#This Row],[Tanggal terjual]],"dddd")</f>
        <v>Thursday</v>
      </c>
      <c r="AQ72" s="23" t="str" cm="1">
        <f t="array" ref="AQ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2" s="61">
        <f>AVERAGE(cadangan[[#This Row],[Rating A]],cadangan[[#This Row],[Rating B]],cadangan[[#This Row],[Rating C]])</f>
        <v>2.5</v>
      </c>
    </row>
    <row r="73" spans="1:44" x14ac:dyDescent="0.2">
      <c r="A73" s="20">
        <v>72</v>
      </c>
      <c r="B73" s="21" t="str">
        <f>_xlfn.CONCAT("ORD-",INDEX(Helper!$B$2:$B$5,MATCH(cadangan[[#This Row],[Marketplace]],Helper!$A$2:$A$5,0)),TEXT(cadangan[[#This Row],[No]],"0000"),"-",TEXT(cadangan[[#This Row],[Tanggal terjual]],"dd/mm/yy"))</f>
        <v>ORD-SP0072-02/04/23</v>
      </c>
      <c r="C73" s="39" t="s">
        <v>67</v>
      </c>
      <c r="D73" s="39" t="str">
        <f>IFERROR(INDEX(Katalog!$A$3:$A$12,MATCH(cadangan[[#This Row],[ItemID A]],Katalog!$C$3:$C$12,0)),"-")</f>
        <v>Sepatu Wanita</v>
      </c>
      <c r="E73" s="39" t="str">
        <f>IFERROR(INDEX(Katalog!$B$3:$B$12,MATCH(cadangan[[#This Row],[ItemID A]],Katalog!$C$3:$C$12,0)),"-")</f>
        <v>Flat Shoes</v>
      </c>
      <c r="F73" s="50">
        <v>3</v>
      </c>
      <c r="G73" s="50">
        <v>4</v>
      </c>
      <c r="H73" s="73">
        <f>IFERROR(INDEX(Katalog!$D$3:$D$12,MATCH(cadangan[[#This Row],[ItemID A]],Katalog!$C$3:$C$12,0))*cadangan[[#This Row],[Qty A]],0)</f>
        <v>750000</v>
      </c>
      <c r="I73" s="73">
        <f>IFERROR(cadangan[[#This Row],[Harga Normal A]]-(cadangan[[#This Row],[Harga Normal A]]*cadangan[[#This Row],[Diskon]]),cadangan[[#This Row],[Harga Normal A]])</f>
        <v>675000</v>
      </c>
      <c r="J73" s="73">
        <f>INDEX(Katalog!$F$3:$F$12,MATCH(cadangan[[#This Row],[ItemID A]],Katalog!$C$3:$C$12,0))*cadangan[[#This Row],[Qty A]]</f>
        <v>300000</v>
      </c>
      <c r="K73" s="73">
        <f>IFERROR(cadangan[[#This Row],[Harga Diskon A]]-INDEX(Katalog!$E$3:$E$12,MATCH(cadangan[[#This Row],[ItemID A]],Katalog!$C$3:$C$12,0))*cadangan[[#This Row],[Qty A]],0)</f>
        <v>225000</v>
      </c>
      <c r="L73" s="39" t="s">
        <v>61</v>
      </c>
      <c r="M73" s="39" t="str">
        <f>IFERROR(INDEX(Katalog!$A$3:$A$12,MATCH(cadangan[[#This Row],[ItemID B]],Katalog!$C$3:$C$12,0)),"-")</f>
        <v>Pakaian Pria</v>
      </c>
      <c r="N73" s="39" t="str">
        <f>IFERROR(INDEX(Katalog!$B$3:$B$12,MATCH(cadangan[[#This Row],[ItemID B]],Katalog!$C$3:$C$12,0)),"-")</f>
        <v>Kaos Polo</v>
      </c>
      <c r="O73" s="50">
        <v>2</v>
      </c>
      <c r="P73" s="50">
        <v>3</v>
      </c>
      <c r="Q73" s="73">
        <f>IFERROR(INDEX(Katalog!$D$3:$D$12,MATCH(cadangan[[#This Row],[ItemID B]],Katalog!$C$3:$C$12,0))*cadangan[[#This Row],[Qty B]],0)</f>
        <v>400000</v>
      </c>
      <c r="R73" s="73">
        <f>IFERROR(cadangan[[#This Row],[Harga Normal B]]-(cadangan[[#This Row],[Harga Normal B]]*cadangan[[#This Row],[Diskon]]),cadangan[[#This Row],[Harga Normal B]])</f>
        <v>360000</v>
      </c>
      <c r="S73" s="73">
        <f>IFERROR(INDEX(Katalog!$F$3:$F$12,MATCH(cadangan[[#This Row],[ItemID B]],Katalog!$C$3:$C$12,0))*cadangan[[#This Row],[Qty B]],0)</f>
        <v>160000</v>
      </c>
      <c r="T73" s="73">
        <f>IFERROR(cadangan[[#This Row],[Harga Diskon B]]-INDEX(Katalog!$E$3:$E$12,MATCH(cadangan[[#This Row],[ItemID B]],Katalog!$C$3:$C$12,0))*cadangan[[#This Row],[Qty B]],0)</f>
        <v>120000</v>
      </c>
      <c r="U73" s="39" t="s">
        <v>59</v>
      </c>
      <c r="V73" s="39" t="str">
        <f>IFERROR(INDEX(Katalog!$A$3:$A$12,MATCH(cadangan[[#This Row],[ItemID C]],Katalog!$C$3:$C$12,0)),"-")</f>
        <v>Pakaian Wanita</v>
      </c>
      <c r="W73" s="39" t="str">
        <f>IFERROR(INDEX(Katalog!$B$3:$B$12,MATCH(cadangan[[#This Row],[ItemID C]],Katalog!$C$3:$C$12,0)),"-")</f>
        <v>Blouse</v>
      </c>
      <c r="X73" s="50">
        <v>1</v>
      </c>
      <c r="Y73" s="50">
        <v>1</v>
      </c>
      <c r="Z73" s="73">
        <f>IFERROR(INDEX(Katalog!$D$3:$D$12,MATCH(cadangan[[#This Row],[ItemID C]],Katalog!$C$3:$C$12,0))*cadangan[[#This Row],[Qty C]],0)</f>
        <v>150000</v>
      </c>
      <c r="AA73" s="73">
        <f>IFERROR(cadangan[[#This Row],[Harga Normal C]]-(cadangan[[#This Row],[Harga Normal C]]*cadangan[[#This Row],[Diskon]]),cadangan[[#This Row],[Harga Normal C]])</f>
        <v>135000</v>
      </c>
      <c r="AB73" s="73">
        <f>IFERROR(INDEX(Katalog!$F$3:$F$12,MATCH(cadangan[[#This Row],[ItemID C]],Katalog!$C$3:$C$12,0))*cadangan[[#This Row],[Qty C]],0)</f>
        <v>50000</v>
      </c>
      <c r="AC73" s="73">
        <f>IFERROR(cadangan[[#This Row],[Harga Diskon C]]-INDEX(Katalog!$E$3:$E$12,MATCH(cadangan[[#This Row],[ItemID C]],Katalog!$C$3:$C$12,0))*cadangan[[#This Row],[Qty C]],0)</f>
        <v>35000</v>
      </c>
      <c r="AD73" s="53">
        <f>cadangan[[#This Row],[Qty A]]+cadangan[[#This Row],[Qty B]]+cadangan[[#This Row],[Qty C]]</f>
        <v>6</v>
      </c>
      <c r="AE73" s="73">
        <f>cadangan[[#This Row],[Harga Normal A]]+cadangan[[#This Row],[Harga Normal B]]+cadangan[[#This Row],[Harga Normal C]]</f>
        <v>1300000</v>
      </c>
      <c r="AF73" s="73">
        <f>cadangan[[#This Row],[Harga Diskon A]]+cadangan[[#This Row],[Harga Diskon B]]+cadangan[[#This Row],[Harga Diskon C]]</f>
        <v>1170000</v>
      </c>
      <c r="AG73" s="73">
        <f>(cadangan[[#This Row],[Profit Normal A]]+cadangan[[#This Row],[Profit Normal B]]+cadangan[[#This Row],[Profit Normal C]])</f>
        <v>510000</v>
      </c>
      <c r="AH73" s="73">
        <f>cadangan[[#This Row],[Profit Diskon A]]+cadangan[[#This Row],[Profit Diskon B]]+cadangan[[#This Row],[Profit Diskon C]]</f>
        <v>380000</v>
      </c>
      <c r="AI73" s="23" t="s">
        <v>6</v>
      </c>
      <c r="AJ73" s="37">
        <f>IFERROR(INDEX('Kode Diskon'!$D$3:$D$9,MATCH(cadangan[[#This Row],[Kode diskon]],'Kode Diskon'!$C$3:$C$9,0)),"-")</f>
        <v>0.1</v>
      </c>
      <c r="AK73" s="23" t="s">
        <v>29</v>
      </c>
      <c r="AL73" s="23" t="s">
        <v>7</v>
      </c>
      <c r="AM73" s="23" t="s">
        <v>80</v>
      </c>
      <c r="AN73" s="55">
        <v>45018</v>
      </c>
      <c r="AO73" s="53">
        <f>DAY(cadangan[[#This Row],[Tanggal terjual]])</f>
        <v>2</v>
      </c>
      <c r="AP73" s="21" t="str">
        <f>TEXT(cadangan[[#This Row],[Tanggal terjual]],"dddd")</f>
        <v>Sunday</v>
      </c>
      <c r="AQ73" s="23" t="str" cm="1">
        <f t="array" ref="AQ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 s="61">
        <f>AVERAGE(cadangan[[#This Row],[Rating A]],cadangan[[#This Row],[Rating B]],cadangan[[#This Row],[Rating C]])</f>
        <v>2.6666666666666665</v>
      </c>
    </row>
    <row r="74" spans="1:44" x14ac:dyDescent="0.2">
      <c r="A74" s="20">
        <v>73</v>
      </c>
      <c r="B74" s="21" t="str">
        <f>_xlfn.CONCAT("ORD-",INDEX(Helper!$B$2:$B$5,MATCH(cadangan[[#This Row],[Marketplace]],Helper!$A$2:$A$5,0)),TEXT(cadangan[[#This Row],[No]],"0000"),"-",TEXT(cadangan[[#This Row],[Tanggal terjual]],"dd/mm/yy"))</f>
        <v>ORD-BL0073-28/04/23</v>
      </c>
      <c r="C74" s="39" t="s">
        <v>67</v>
      </c>
      <c r="D74" s="39" t="str">
        <f>IFERROR(INDEX(Katalog!$A$3:$A$12,MATCH(cadangan[[#This Row],[ItemID A]],Katalog!$C$3:$C$12,0)),"-")</f>
        <v>Sepatu Wanita</v>
      </c>
      <c r="E74" s="39" t="str">
        <f>IFERROR(INDEX(Katalog!$B$3:$B$12,MATCH(cadangan[[#This Row],[ItemID A]],Katalog!$C$3:$C$12,0)),"-")</f>
        <v>Flat Shoes</v>
      </c>
      <c r="F74" s="50">
        <v>1</v>
      </c>
      <c r="G74" s="50">
        <v>3</v>
      </c>
      <c r="H74" s="73">
        <f>IFERROR(INDEX(Katalog!$D$3:$D$12,MATCH(cadangan[[#This Row],[ItemID A]],Katalog!$C$3:$C$12,0))*cadangan[[#This Row],[Qty A]],0)</f>
        <v>250000</v>
      </c>
      <c r="I74" s="73">
        <f>IFERROR(cadangan[[#This Row],[Harga Normal A]]-(cadangan[[#This Row],[Harga Normal A]]*cadangan[[#This Row],[Diskon]]),cadangan[[#This Row],[Harga Normal A]])</f>
        <v>212500</v>
      </c>
      <c r="J74" s="73">
        <f>INDEX(Katalog!$F$3:$F$12,MATCH(cadangan[[#This Row],[ItemID A]],Katalog!$C$3:$C$12,0))*cadangan[[#This Row],[Qty A]]</f>
        <v>100000</v>
      </c>
      <c r="K74" s="73">
        <f>IFERROR(cadangan[[#This Row],[Harga Diskon A]]-INDEX(Katalog!$E$3:$E$12,MATCH(cadangan[[#This Row],[ItemID A]],Katalog!$C$3:$C$12,0))*cadangan[[#This Row],[Qty A]],0)</f>
        <v>62500</v>
      </c>
      <c r="L74" s="39" t="s">
        <v>65</v>
      </c>
      <c r="M74" s="39" t="str">
        <f>IFERROR(INDEX(Katalog!$A$3:$A$12,MATCH(cadangan[[#This Row],[ItemID B]],Katalog!$C$3:$C$12,0)),"-")</f>
        <v>Sepatu Pria</v>
      </c>
      <c r="N74" s="39" t="str">
        <f>IFERROR(INDEX(Katalog!$B$3:$B$12,MATCH(cadangan[[#This Row],[ItemID B]],Katalog!$C$3:$C$12,0)),"-")</f>
        <v>Sneakers</v>
      </c>
      <c r="O74" s="50">
        <v>2</v>
      </c>
      <c r="P74" s="50">
        <v>2</v>
      </c>
      <c r="Q74" s="73">
        <f>IFERROR(INDEX(Katalog!$D$3:$D$12,MATCH(cadangan[[#This Row],[ItemID B]],Katalog!$C$3:$C$12,0))*cadangan[[#This Row],[Qty B]],0)</f>
        <v>1000000</v>
      </c>
      <c r="R74" s="73">
        <f>IFERROR(cadangan[[#This Row],[Harga Normal B]]-(cadangan[[#This Row],[Harga Normal B]]*cadangan[[#This Row],[Diskon]]),cadangan[[#This Row],[Harga Normal B]])</f>
        <v>850000</v>
      </c>
      <c r="S74" s="73">
        <f>IFERROR(INDEX(Katalog!$F$3:$F$12,MATCH(cadangan[[#This Row],[ItemID B]],Katalog!$C$3:$C$12,0))*cadangan[[#This Row],[Qty B]],0)</f>
        <v>400000</v>
      </c>
      <c r="T74" s="73">
        <f>IFERROR(cadangan[[#This Row],[Harga Diskon B]]-INDEX(Katalog!$E$3:$E$12,MATCH(cadangan[[#This Row],[ItemID B]],Katalog!$C$3:$C$12,0))*cadangan[[#This Row],[Qty B]],0)</f>
        <v>250000</v>
      </c>
      <c r="U74" s="39" t="s">
        <v>59</v>
      </c>
      <c r="V74" s="39" t="str">
        <f>IFERROR(INDEX(Katalog!$A$3:$A$12,MATCH(cadangan[[#This Row],[ItemID C]],Katalog!$C$3:$C$12,0)),"-")</f>
        <v>Pakaian Wanita</v>
      </c>
      <c r="W74" s="39" t="str">
        <f>IFERROR(INDEX(Katalog!$B$3:$B$12,MATCH(cadangan[[#This Row],[ItemID C]],Katalog!$C$3:$C$12,0)),"-")</f>
        <v>Blouse</v>
      </c>
      <c r="X74" s="50">
        <v>3</v>
      </c>
      <c r="Y74" s="50">
        <v>4</v>
      </c>
      <c r="Z74" s="73">
        <f>IFERROR(INDEX(Katalog!$D$3:$D$12,MATCH(cadangan[[#This Row],[ItemID C]],Katalog!$C$3:$C$12,0))*cadangan[[#This Row],[Qty C]],0)</f>
        <v>450000</v>
      </c>
      <c r="AA74" s="73">
        <f>IFERROR(cadangan[[#This Row],[Harga Normal C]]-(cadangan[[#This Row],[Harga Normal C]]*cadangan[[#This Row],[Diskon]]),cadangan[[#This Row],[Harga Normal C]])</f>
        <v>382500</v>
      </c>
      <c r="AB74" s="73">
        <f>IFERROR(INDEX(Katalog!$F$3:$F$12,MATCH(cadangan[[#This Row],[ItemID C]],Katalog!$C$3:$C$12,0))*cadangan[[#This Row],[Qty C]],0)</f>
        <v>150000</v>
      </c>
      <c r="AC74" s="73">
        <f>IFERROR(cadangan[[#This Row],[Harga Diskon C]]-INDEX(Katalog!$E$3:$E$12,MATCH(cadangan[[#This Row],[ItemID C]],Katalog!$C$3:$C$12,0))*cadangan[[#This Row],[Qty C]],0)</f>
        <v>82500</v>
      </c>
      <c r="AD74" s="53">
        <f>cadangan[[#This Row],[Qty A]]+cadangan[[#This Row],[Qty B]]+cadangan[[#This Row],[Qty C]]</f>
        <v>6</v>
      </c>
      <c r="AE74" s="73">
        <f>cadangan[[#This Row],[Harga Normal A]]+cadangan[[#This Row],[Harga Normal B]]+cadangan[[#This Row],[Harga Normal C]]</f>
        <v>1700000</v>
      </c>
      <c r="AF74" s="73">
        <f>cadangan[[#This Row],[Harga Diskon A]]+cadangan[[#This Row],[Harga Diskon B]]+cadangan[[#This Row],[Harga Diskon C]]</f>
        <v>1445000</v>
      </c>
      <c r="AG74" s="73">
        <f>(cadangan[[#This Row],[Profit Normal A]]+cadangan[[#This Row],[Profit Normal B]]+cadangan[[#This Row],[Profit Normal C]])</f>
        <v>650000</v>
      </c>
      <c r="AH74" s="73">
        <f>cadangan[[#This Row],[Profit Diskon A]]+cadangan[[#This Row],[Profit Diskon B]]+cadangan[[#This Row],[Profit Diskon C]]</f>
        <v>395000</v>
      </c>
      <c r="AI74" s="23" t="s">
        <v>32</v>
      </c>
      <c r="AJ74" s="37">
        <f>IFERROR(INDEX('Kode Diskon'!$D$3:$D$9,MATCH(cadangan[[#This Row],[Kode diskon]],'Kode Diskon'!$C$3:$C$9,0)),"-")</f>
        <v>0.15</v>
      </c>
      <c r="AK74" s="23" t="s">
        <v>9</v>
      </c>
      <c r="AL74" s="23" t="s">
        <v>12</v>
      </c>
      <c r="AM74" s="23" t="s">
        <v>80</v>
      </c>
      <c r="AN74" s="55">
        <v>45044</v>
      </c>
      <c r="AO74" s="53">
        <f>DAY(cadangan[[#This Row],[Tanggal terjual]])</f>
        <v>28</v>
      </c>
      <c r="AP74" s="21" t="str">
        <f>TEXT(cadangan[[#This Row],[Tanggal terjual]],"dddd")</f>
        <v>Friday</v>
      </c>
      <c r="AQ74" s="23" t="str" cm="1">
        <f t="array" ref="AQ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4" s="61">
        <f>AVERAGE(cadangan[[#This Row],[Rating A]],cadangan[[#This Row],[Rating B]],cadangan[[#This Row],[Rating C]])</f>
        <v>3</v>
      </c>
    </row>
    <row r="75" spans="1:44" x14ac:dyDescent="0.2">
      <c r="A75" s="20">
        <v>74</v>
      </c>
      <c r="B75" s="21" t="str">
        <f>_xlfn.CONCAT("ORD-",INDEX(Helper!$B$2:$B$5,MATCH(cadangan[[#This Row],[Marketplace]],Helper!$A$2:$A$5,0)),TEXT(cadangan[[#This Row],[No]],"0000"),"-",TEXT(cadangan[[#This Row],[Tanggal terjual]],"dd/mm/yy"))</f>
        <v>ORD-TK0074-05/04/23</v>
      </c>
      <c r="C75" s="39" t="s">
        <v>58</v>
      </c>
      <c r="D75" s="39" t="str">
        <f>IFERROR(INDEX(Katalog!$A$3:$A$12,MATCH(cadangan[[#This Row],[ItemID A]],Katalog!$C$3:$C$12,0)),"-")</f>
        <v>Pakaian Wanita</v>
      </c>
      <c r="E75" s="39" t="str">
        <f>IFERROR(INDEX(Katalog!$B$3:$B$12,MATCH(cadangan[[#This Row],[ItemID A]],Katalog!$C$3:$C$12,0)),"-")</f>
        <v>Dress</v>
      </c>
      <c r="F75" s="50">
        <v>3</v>
      </c>
      <c r="G75" s="50">
        <v>4</v>
      </c>
      <c r="H75" s="73">
        <f>IFERROR(INDEX(Katalog!$D$3:$D$12,MATCH(cadangan[[#This Row],[ItemID A]],Katalog!$C$3:$C$12,0))*cadangan[[#This Row],[Qty A]],0)</f>
        <v>900000</v>
      </c>
      <c r="I75" s="73">
        <f>IFERROR(cadangan[[#This Row],[Harga Normal A]]-(cadangan[[#This Row],[Harga Normal A]]*cadangan[[#This Row],[Diskon]]),cadangan[[#This Row],[Harga Normal A]])</f>
        <v>810000</v>
      </c>
      <c r="J75" s="73">
        <f>INDEX(Katalog!$F$3:$F$12,MATCH(cadangan[[#This Row],[ItemID A]],Katalog!$C$3:$C$12,0))*cadangan[[#This Row],[Qty A]]</f>
        <v>300000</v>
      </c>
      <c r="K75" s="73">
        <f>IFERROR(cadangan[[#This Row],[Harga Diskon A]]-INDEX(Katalog!$E$3:$E$12,MATCH(cadangan[[#This Row],[ItemID A]],Katalog!$C$3:$C$12,0))*cadangan[[#This Row],[Qty A]],0)</f>
        <v>210000</v>
      </c>
      <c r="M75" s="39" t="str">
        <f>IFERROR(INDEX(Katalog!$A$3:$A$12,MATCH(cadangan[[#This Row],[ItemID B]],Katalog!$C$3:$C$12,0)),"-")</f>
        <v>-</v>
      </c>
      <c r="N75" s="39" t="str">
        <f>IFERROR(INDEX(Katalog!$B$3:$B$12,MATCH(cadangan[[#This Row],[ItemID B]],Katalog!$C$3:$C$12,0)),"-")</f>
        <v>-</v>
      </c>
      <c r="Q75" s="73">
        <f>IFERROR(INDEX(Katalog!$D$3:$D$12,MATCH(cadangan[[#This Row],[ItemID B]],Katalog!$C$3:$C$12,0))*cadangan[[#This Row],[Qty B]],0)</f>
        <v>0</v>
      </c>
      <c r="R75" s="73">
        <f>IFERROR(cadangan[[#This Row],[Harga Normal B]]-(cadangan[[#This Row],[Harga Normal B]]*cadangan[[#This Row],[Diskon]]),cadangan[[#This Row],[Harga Normal B]])</f>
        <v>0</v>
      </c>
      <c r="S75" s="73">
        <f>IFERROR(INDEX(Katalog!$F$3:$F$12,MATCH(cadangan[[#This Row],[ItemID B]],Katalog!$C$3:$C$12,0))*cadangan[[#This Row],[Qty B]],0)</f>
        <v>0</v>
      </c>
      <c r="T75" s="73">
        <f>IFERROR(cadangan[[#This Row],[Harga Diskon B]]-INDEX(Katalog!$E$3:$E$12,MATCH(cadangan[[#This Row],[ItemID B]],Katalog!$C$3:$C$12,0))*cadangan[[#This Row],[Qty B]],0)</f>
        <v>0</v>
      </c>
      <c r="V75" s="39" t="str">
        <f>IFERROR(INDEX(Katalog!$A$3:$A$12,MATCH(cadangan[[#This Row],[ItemID C]],Katalog!$C$3:$C$12,0)),"-")</f>
        <v>-</v>
      </c>
      <c r="W75" s="39" t="str">
        <f>IFERROR(INDEX(Katalog!$B$3:$B$12,MATCH(cadangan[[#This Row],[ItemID C]],Katalog!$C$3:$C$12,0)),"-")</f>
        <v>-</v>
      </c>
      <c r="Z75" s="73">
        <f>IFERROR(INDEX(Katalog!$D$3:$D$12,MATCH(cadangan[[#This Row],[ItemID C]],Katalog!$C$3:$C$12,0))*cadangan[[#This Row],[Qty C]],0)</f>
        <v>0</v>
      </c>
      <c r="AA75" s="73">
        <f>IFERROR(cadangan[[#This Row],[Harga Normal C]]-(cadangan[[#This Row],[Harga Normal C]]*cadangan[[#This Row],[Diskon]]),cadangan[[#This Row],[Harga Normal C]])</f>
        <v>0</v>
      </c>
      <c r="AB75" s="73">
        <f>IFERROR(INDEX(Katalog!$F$3:$F$12,MATCH(cadangan[[#This Row],[ItemID C]],Katalog!$C$3:$C$12,0))*cadangan[[#This Row],[Qty C]],0)</f>
        <v>0</v>
      </c>
      <c r="AC75" s="73">
        <f>IFERROR(cadangan[[#This Row],[Harga Diskon C]]-INDEX(Katalog!$E$3:$E$12,MATCH(cadangan[[#This Row],[ItemID C]],Katalog!$C$3:$C$12,0))*cadangan[[#This Row],[Qty C]],0)</f>
        <v>0</v>
      </c>
      <c r="AD75" s="53">
        <f>cadangan[[#This Row],[Qty A]]+cadangan[[#This Row],[Qty B]]+cadangan[[#This Row],[Qty C]]</f>
        <v>3</v>
      </c>
      <c r="AE75" s="73">
        <f>cadangan[[#This Row],[Harga Normal A]]+cadangan[[#This Row],[Harga Normal B]]+cadangan[[#This Row],[Harga Normal C]]</f>
        <v>900000</v>
      </c>
      <c r="AF75" s="73">
        <f>cadangan[[#This Row],[Harga Diskon A]]+cadangan[[#This Row],[Harga Diskon B]]+cadangan[[#This Row],[Harga Diskon C]]</f>
        <v>810000</v>
      </c>
      <c r="AG75" s="73">
        <f>(cadangan[[#This Row],[Profit Normal A]]+cadangan[[#This Row],[Profit Normal B]]+cadangan[[#This Row],[Profit Normal C]])</f>
        <v>300000</v>
      </c>
      <c r="AH75" s="73">
        <f>cadangan[[#This Row],[Profit Diskon A]]+cadangan[[#This Row],[Profit Diskon B]]+cadangan[[#This Row],[Profit Diskon C]]</f>
        <v>210000</v>
      </c>
      <c r="AI75" s="23" t="s">
        <v>30</v>
      </c>
      <c r="AJ75" s="37">
        <f>IFERROR(INDEX('Kode Diskon'!$D$3:$D$9,MATCH(cadangan[[#This Row],[Kode diskon]],'Kode Diskon'!$C$3:$C$9,0)),"-")</f>
        <v>0.1</v>
      </c>
      <c r="AK75" s="23" t="s">
        <v>29</v>
      </c>
      <c r="AL75" s="23" t="s">
        <v>10</v>
      </c>
      <c r="AM75" s="23" t="s">
        <v>79</v>
      </c>
      <c r="AN75" s="55">
        <v>45021</v>
      </c>
      <c r="AO75" s="53">
        <f>DAY(cadangan[[#This Row],[Tanggal terjual]])</f>
        <v>5</v>
      </c>
      <c r="AP75" s="21" t="str">
        <f>TEXT(cadangan[[#This Row],[Tanggal terjual]],"dddd")</f>
        <v>Wednesday</v>
      </c>
      <c r="AQ75" s="23" t="str" cm="1">
        <f t="array" ref="AQ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5" s="61">
        <f>AVERAGE(cadangan[[#This Row],[Rating A]],cadangan[[#This Row],[Rating B]],cadangan[[#This Row],[Rating C]])</f>
        <v>4</v>
      </c>
    </row>
    <row r="76" spans="1:44" x14ac:dyDescent="0.2">
      <c r="A76" s="20">
        <v>75</v>
      </c>
      <c r="B76" s="21" t="str">
        <f>_xlfn.CONCAT("ORD-",INDEX(Helper!$B$2:$B$5,MATCH(cadangan[[#This Row],[Marketplace]],Helper!$A$2:$A$5,0)),TEXT(cadangan[[#This Row],[No]],"0000"),"-",TEXT(cadangan[[#This Row],[Tanggal terjual]],"dd/mm/yy"))</f>
        <v>ORD-TK0075-03/04/23</v>
      </c>
      <c r="C76" s="39" t="s">
        <v>63</v>
      </c>
      <c r="D76" s="39" t="str">
        <f>IFERROR(INDEX(Katalog!$A$3:$A$12,MATCH(cadangan[[#This Row],[ItemID A]],Katalog!$C$3:$C$12,0)),"-")</f>
        <v>Pakaian Pria</v>
      </c>
      <c r="E76" s="39" t="str">
        <f>IFERROR(INDEX(Katalog!$B$3:$B$12,MATCH(cadangan[[#This Row],[ItemID A]],Katalog!$C$3:$C$12,0)),"-")</f>
        <v>Jaket Jeans</v>
      </c>
      <c r="F76" s="50">
        <v>6</v>
      </c>
      <c r="G76" s="50">
        <v>4</v>
      </c>
      <c r="H76" s="73">
        <f>IFERROR(INDEX(Katalog!$D$3:$D$12,MATCH(cadangan[[#This Row],[ItemID A]],Katalog!$C$3:$C$12,0))*cadangan[[#This Row],[Qty A]],0)</f>
        <v>2400000</v>
      </c>
      <c r="I76" s="73">
        <f>IFERROR(cadangan[[#This Row],[Harga Normal A]]-(cadangan[[#This Row],[Harga Normal A]]*cadangan[[#This Row],[Diskon]]),cadangan[[#This Row],[Harga Normal A]])</f>
        <v>2160000</v>
      </c>
      <c r="J76" s="73">
        <f>INDEX(Katalog!$F$3:$F$12,MATCH(cadangan[[#This Row],[ItemID A]],Katalog!$C$3:$C$12,0))*cadangan[[#This Row],[Qty A]]</f>
        <v>900000</v>
      </c>
      <c r="K76" s="73">
        <f>IFERROR(cadangan[[#This Row],[Harga Diskon A]]-INDEX(Katalog!$E$3:$E$12,MATCH(cadangan[[#This Row],[ItemID A]],Katalog!$C$3:$C$12,0))*cadangan[[#This Row],[Qty A]],0)</f>
        <v>660000</v>
      </c>
      <c r="L76" s="39" t="s">
        <v>58</v>
      </c>
      <c r="M76" s="39" t="str">
        <f>IFERROR(INDEX(Katalog!$A$3:$A$12,MATCH(cadangan[[#This Row],[ItemID B]],Katalog!$C$3:$C$12,0)),"-")</f>
        <v>Pakaian Wanita</v>
      </c>
      <c r="N76" s="39" t="str">
        <f>IFERROR(INDEX(Katalog!$B$3:$B$12,MATCH(cadangan[[#This Row],[ItemID B]],Katalog!$C$3:$C$12,0)),"-")</f>
        <v>Dress</v>
      </c>
      <c r="O76" s="50">
        <v>1</v>
      </c>
      <c r="P76" s="50">
        <v>1</v>
      </c>
      <c r="Q76" s="73">
        <f>IFERROR(INDEX(Katalog!$D$3:$D$12,MATCH(cadangan[[#This Row],[ItemID B]],Katalog!$C$3:$C$12,0))*cadangan[[#This Row],[Qty B]],0)</f>
        <v>300000</v>
      </c>
      <c r="R76" s="73">
        <f>IFERROR(cadangan[[#This Row],[Harga Normal B]]-(cadangan[[#This Row],[Harga Normal B]]*cadangan[[#This Row],[Diskon]]),cadangan[[#This Row],[Harga Normal B]])</f>
        <v>270000</v>
      </c>
      <c r="S76" s="73">
        <f>IFERROR(INDEX(Katalog!$F$3:$F$12,MATCH(cadangan[[#This Row],[ItemID B]],Katalog!$C$3:$C$12,0))*cadangan[[#This Row],[Qty B]],0)</f>
        <v>100000</v>
      </c>
      <c r="T76" s="73">
        <f>IFERROR(cadangan[[#This Row],[Harga Diskon B]]-INDEX(Katalog!$E$3:$E$12,MATCH(cadangan[[#This Row],[ItemID B]],Katalog!$C$3:$C$12,0))*cadangan[[#This Row],[Qty B]],0)</f>
        <v>70000</v>
      </c>
      <c r="V76" s="39" t="str">
        <f>IFERROR(INDEX(Katalog!$A$3:$A$12,MATCH(cadangan[[#This Row],[ItemID C]],Katalog!$C$3:$C$12,0)),"-")</f>
        <v>-</v>
      </c>
      <c r="W76" s="39" t="str">
        <f>IFERROR(INDEX(Katalog!$B$3:$B$12,MATCH(cadangan[[#This Row],[ItemID C]],Katalog!$C$3:$C$12,0)),"-")</f>
        <v>-</v>
      </c>
      <c r="Z76" s="73">
        <f>IFERROR(INDEX(Katalog!$D$3:$D$12,MATCH(cadangan[[#This Row],[ItemID C]],Katalog!$C$3:$C$12,0))*cadangan[[#This Row],[Qty C]],0)</f>
        <v>0</v>
      </c>
      <c r="AA76" s="73">
        <f>IFERROR(cadangan[[#This Row],[Harga Normal C]]-(cadangan[[#This Row],[Harga Normal C]]*cadangan[[#This Row],[Diskon]]),cadangan[[#This Row],[Harga Normal C]])</f>
        <v>0</v>
      </c>
      <c r="AB76" s="73">
        <f>IFERROR(INDEX(Katalog!$F$3:$F$12,MATCH(cadangan[[#This Row],[ItemID C]],Katalog!$C$3:$C$12,0))*cadangan[[#This Row],[Qty C]],0)</f>
        <v>0</v>
      </c>
      <c r="AC76" s="73">
        <f>IFERROR(cadangan[[#This Row],[Harga Diskon C]]-INDEX(Katalog!$E$3:$E$12,MATCH(cadangan[[#This Row],[ItemID C]],Katalog!$C$3:$C$12,0))*cadangan[[#This Row],[Qty C]],0)</f>
        <v>0</v>
      </c>
      <c r="AD76" s="53">
        <f>cadangan[[#This Row],[Qty A]]+cadangan[[#This Row],[Qty B]]+cadangan[[#This Row],[Qty C]]</f>
        <v>7</v>
      </c>
      <c r="AE76" s="73">
        <f>cadangan[[#This Row],[Harga Normal A]]+cadangan[[#This Row],[Harga Normal B]]+cadangan[[#This Row],[Harga Normal C]]</f>
        <v>2700000</v>
      </c>
      <c r="AF76" s="73">
        <f>cadangan[[#This Row],[Harga Diskon A]]+cadangan[[#This Row],[Harga Diskon B]]+cadangan[[#This Row],[Harga Diskon C]]</f>
        <v>2430000</v>
      </c>
      <c r="AG76" s="73">
        <f>(cadangan[[#This Row],[Profit Normal A]]+cadangan[[#This Row],[Profit Normal B]]+cadangan[[#This Row],[Profit Normal C]])</f>
        <v>1000000</v>
      </c>
      <c r="AH76" s="73">
        <f>cadangan[[#This Row],[Profit Diskon A]]+cadangan[[#This Row],[Profit Diskon B]]+cadangan[[#This Row],[Profit Diskon C]]</f>
        <v>730000</v>
      </c>
      <c r="AI76" s="23" t="s">
        <v>30</v>
      </c>
      <c r="AJ76" s="37">
        <f>IFERROR(INDEX('Kode Diskon'!$D$3:$D$9,MATCH(cadangan[[#This Row],[Kode diskon]],'Kode Diskon'!$C$3:$C$9,0)),"-")</f>
        <v>0.1</v>
      </c>
      <c r="AK76" s="23" t="s">
        <v>29</v>
      </c>
      <c r="AL76" s="23" t="s">
        <v>10</v>
      </c>
      <c r="AM76" s="23" t="s">
        <v>79</v>
      </c>
      <c r="AN76" s="55">
        <v>45019</v>
      </c>
      <c r="AO76" s="53">
        <f>DAY(cadangan[[#This Row],[Tanggal terjual]])</f>
        <v>3</v>
      </c>
      <c r="AP76" s="21" t="str">
        <f>TEXT(cadangan[[#This Row],[Tanggal terjual]],"dddd")</f>
        <v>Monday</v>
      </c>
      <c r="AQ76" s="23" t="str" cm="1">
        <f t="array" ref="AQ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6" s="61">
        <f>AVERAGE(cadangan[[#This Row],[Rating A]],cadangan[[#This Row],[Rating B]],cadangan[[#This Row],[Rating C]])</f>
        <v>2.5</v>
      </c>
    </row>
    <row r="77" spans="1:44" x14ac:dyDescent="0.2">
      <c r="A77" s="20">
        <v>76</v>
      </c>
      <c r="B77" s="21" t="str">
        <f>_xlfn.CONCAT("ORD-",INDEX(Helper!$B$2:$B$5,MATCH(cadangan[[#This Row],[Marketplace]],Helper!$A$2:$A$5,0)),TEXT(cadangan[[#This Row],[No]],"0000"),"-",TEXT(cadangan[[#This Row],[Tanggal terjual]],"dd/mm/yy"))</f>
        <v>ORD-SP0076-26/04/23</v>
      </c>
      <c r="C77" s="39" t="s">
        <v>59</v>
      </c>
      <c r="D77" s="39" t="str">
        <f>IFERROR(INDEX(Katalog!$A$3:$A$12,MATCH(cadangan[[#This Row],[ItemID A]],Katalog!$C$3:$C$12,0)),"-")</f>
        <v>Pakaian Wanita</v>
      </c>
      <c r="E77" s="39" t="str">
        <f>IFERROR(INDEX(Katalog!$B$3:$B$12,MATCH(cadangan[[#This Row],[ItemID A]],Katalog!$C$3:$C$12,0)),"-")</f>
        <v>Blouse</v>
      </c>
      <c r="F77" s="50">
        <v>3</v>
      </c>
      <c r="G77" s="50">
        <v>1</v>
      </c>
      <c r="H77" s="73">
        <f>IFERROR(INDEX(Katalog!$D$3:$D$12,MATCH(cadangan[[#This Row],[ItemID A]],Katalog!$C$3:$C$12,0))*cadangan[[#This Row],[Qty A]],0)</f>
        <v>450000</v>
      </c>
      <c r="I77" s="73">
        <f>IFERROR(cadangan[[#This Row],[Harga Normal A]]-(cadangan[[#This Row],[Harga Normal A]]*cadangan[[#This Row],[Diskon]]),cadangan[[#This Row],[Harga Normal A]])</f>
        <v>360000</v>
      </c>
      <c r="J77" s="73">
        <f>INDEX(Katalog!$F$3:$F$12,MATCH(cadangan[[#This Row],[ItemID A]],Katalog!$C$3:$C$12,0))*cadangan[[#This Row],[Qty A]]</f>
        <v>150000</v>
      </c>
      <c r="K77" s="73">
        <f>IFERROR(cadangan[[#This Row],[Harga Diskon A]]-INDEX(Katalog!$E$3:$E$12,MATCH(cadangan[[#This Row],[ItemID A]],Katalog!$C$3:$C$12,0))*cadangan[[#This Row],[Qty A]],0)</f>
        <v>60000</v>
      </c>
      <c r="M77" s="39" t="str">
        <f>IFERROR(INDEX(Katalog!$A$3:$A$12,MATCH(cadangan[[#This Row],[ItemID B]],Katalog!$C$3:$C$12,0)),"-")</f>
        <v>-</v>
      </c>
      <c r="N77" s="39" t="str">
        <f>IFERROR(INDEX(Katalog!$B$3:$B$12,MATCH(cadangan[[#This Row],[ItemID B]],Katalog!$C$3:$C$12,0)),"-")</f>
        <v>-</v>
      </c>
      <c r="Q77" s="73">
        <f>IFERROR(INDEX(Katalog!$D$3:$D$12,MATCH(cadangan[[#This Row],[ItemID B]],Katalog!$C$3:$C$12,0))*cadangan[[#This Row],[Qty B]],0)</f>
        <v>0</v>
      </c>
      <c r="R77" s="73">
        <f>IFERROR(cadangan[[#This Row],[Harga Normal B]]-(cadangan[[#This Row],[Harga Normal B]]*cadangan[[#This Row],[Diskon]]),cadangan[[#This Row],[Harga Normal B]])</f>
        <v>0</v>
      </c>
      <c r="S77" s="73">
        <f>IFERROR(INDEX(Katalog!$F$3:$F$12,MATCH(cadangan[[#This Row],[ItemID B]],Katalog!$C$3:$C$12,0))*cadangan[[#This Row],[Qty B]],0)</f>
        <v>0</v>
      </c>
      <c r="T77" s="73">
        <f>IFERROR(cadangan[[#This Row],[Harga Diskon B]]-INDEX(Katalog!$E$3:$E$12,MATCH(cadangan[[#This Row],[ItemID B]],Katalog!$C$3:$C$12,0))*cadangan[[#This Row],[Qty B]],0)</f>
        <v>0</v>
      </c>
      <c r="V77" s="39" t="str">
        <f>IFERROR(INDEX(Katalog!$A$3:$A$12,MATCH(cadangan[[#This Row],[ItemID C]],Katalog!$C$3:$C$12,0)),"-")</f>
        <v>-</v>
      </c>
      <c r="W77" s="39" t="str">
        <f>IFERROR(INDEX(Katalog!$B$3:$B$12,MATCH(cadangan[[#This Row],[ItemID C]],Katalog!$C$3:$C$12,0)),"-")</f>
        <v>-</v>
      </c>
      <c r="Z77" s="73">
        <f>IFERROR(INDEX(Katalog!$D$3:$D$12,MATCH(cadangan[[#This Row],[ItemID C]],Katalog!$C$3:$C$12,0))*cadangan[[#This Row],[Qty C]],0)</f>
        <v>0</v>
      </c>
      <c r="AA77" s="73">
        <f>IFERROR(cadangan[[#This Row],[Harga Normal C]]-(cadangan[[#This Row],[Harga Normal C]]*cadangan[[#This Row],[Diskon]]),cadangan[[#This Row],[Harga Normal C]])</f>
        <v>0</v>
      </c>
      <c r="AB77" s="73">
        <f>IFERROR(INDEX(Katalog!$F$3:$F$12,MATCH(cadangan[[#This Row],[ItemID C]],Katalog!$C$3:$C$12,0))*cadangan[[#This Row],[Qty C]],0)</f>
        <v>0</v>
      </c>
      <c r="AC77" s="73">
        <f>IFERROR(cadangan[[#This Row],[Harga Diskon C]]-INDEX(Katalog!$E$3:$E$12,MATCH(cadangan[[#This Row],[ItemID C]],Katalog!$C$3:$C$12,0))*cadangan[[#This Row],[Qty C]],0)</f>
        <v>0</v>
      </c>
      <c r="AD77" s="53">
        <f>cadangan[[#This Row],[Qty A]]+cadangan[[#This Row],[Qty B]]+cadangan[[#This Row],[Qty C]]</f>
        <v>3</v>
      </c>
      <c r="AE77" s="73">
        <f>cadangan[[#This Row],[Harga Normal A]]+cadangan[[#This Row],[Harga Normal B]]+cadangan[[#This Row],[Harga Normal C]]</f>
        <v>450000</v>
      </c>
      <c r="AF77" s="73">
        <f>cadangan[[#This Row],[Harga Diskon A]]+cadangan[[#This Row],[Harga Diskon B]]+cadangan[[#This Row],[Harga Diskon C]]</f>
        <v>360000</v>
      </c>
      <c r="AG77" s="73">
        <f>(cadangan[[#This Row],[Profit Normal A]]+cadangan[[#This Row],[Profit Normal B]]+cadangan[[#This Row],[Profit Normal C]])</f>
        <v>150000</v>
      </c>
      <c r="AH77" s="73">
        <f>cadangan[[#This Row],[Profit Diskon A]]+cadangan[[#This Row],[Profit Diskon B]]+cadangan[[#This Row],[Profit Diskon C]]</f>
        <v>60000</v>
      </c>
      <c r="AI77" s="23" t="s">
        <v>8</v>
      </c>
      <c r="AJ77" s="37">
        <f>IFERROR(INDEX('Kode Diskon'!$D$3:$D$9,MATCH(cadangan[[#This Row],[Kode diskon]],'Kode Diskon'!$C$3:$C$9,0)),"-")</f>
        <v>0.2</v>
      </c>
      <c r="AK77" s="23" t="s">
        <v>9</v>
      </c>
      <c r="AL77" s="23" t="s">
        <v>7</v>
      </c>
      <c r="AM77" s="23" t="s">
        <v>76</v>
      </c>
      <c r="AN77" s="55">
        <v>45042</v>
      </c>
      <c r="AO77" s="53">
        <f>DAY(cadangan[[#This Row],[Tanggal terjual]])</f>
        <v>26</v>
      </c>
      <c r="AP77" s="21" t="str">
        <f>TEXT(cadangan[[#This Row],[Tanggal terjual]],"dddd")</f>
        <v>Wednesday</v>
      </c>
      <c r="AQ77" s="23" t="str" cm="1">
        <f t="array" ref="AQ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7" s="61">
        <f>AVERAGE(cadangan[[#This Row],[Rating A]],cadangan[[#This Row],[Rating B]],cadangan[[#This Row],[Rating C]])</f>
        <v>1</v>
      </c>
    </row>
    <row r="78" spans="1:44" x14ac:dyDescent="0.2">
      <c r="A78" s="20">
        <v>77</v>
      </c>
      <c r="B78" s="21" t="str">
        <f>_xlfn.CONCAT("ORD-",INDEX(Helper!$B$2:$B$5,MATCH(cadangan[[#This Row],[Marketplace]],Helper!$A$2:$A$5,0)),TEXT(cadangan[[#This Row],[No]],"0000"),"-",TEXT(cadangan[[#This Row],[Tanggal terjual]],"dd/mm/yy"))</f>
        <v>ORD-TK0077-17/04/23</v>
      </c>
      <c r="C78" s="39" t="s">
        <v>62</v>
      </c>
      <c r="D78" s="39" t="str">
        <f>IFERROR(INDEX(Katalog!$A$3:$A$12,MATCH(cadangan[[#This Row],[ItemID A]],Katalog!$C$3:$C$12,0)),"-")</f>
        <v>Pakaian Pria</v>
      </c>
      <c r="E78" s="39" t="str">
        <f>IFERROR(INDEX(Katalog!$B$3:$B$12,MATCH(cadangan[[#This Row],[ItemID A]],Katalog!$C$3:$C$12,0)),"-")</f>
        <v>Celana Pendek</v>
      </c>
      <c r="F78" s="50">
        <v>5</v>
      </c>
      <c r="G78" s="50">
        <v>5</v>
      </c>
      <c r="H78" s="73">
        <f>IFERROR(INDEX(Katalog!$D$3:$D$12,MATCH(cadangan[[#This Row],[ItemID A]],Katalog!$C$3:$C$12,0))*cadangan[[#This Row],[Qty A]],0)</f>
        <v>900000</v>
      </c>
      <c r="I78" s="73">
        <f>IFERROR(cadangan[[#This Row],[Harga Normal A]]-(cadangan[[#This Row],[Harga Normal A]]*cadangan[[#This Row],[Diskon]]),cadangan[[#This Row],[Harga Normal A]])</f>
        <v>810000</v>
      </c>
      <c r="J78" s="73">
        <f>INDEX(Katalog!$F$3:$F$12,MATCH(cadangan[[#This Row],[ItemID A]],Katalog!$C$3:$C$12,0))*cadangan[[#This Row],[Qty A]]</f>
        <v>350000</v>
      </c>
      <c r="K78" s="73">
        <f>IFERROR(cadangan[[#This Row],[Harga Diskon A]]-INDEX(Katalog!$E$3:$E$12,MATCH(cadangan[[#This Row],[ItemID A]],Katalog!$C$3:$C$12,0))*cadangan[[#This Row],[Qty A]],0)</f>
        <v>260000</v>
      </c>
      <c r="L78" s="39" t="s">
        <v>60</v>
      </c>
      <c r="M78" s="39" t="str">
        <f>IFERROR(INDEX(Katalog!$A$3:$A$12,MATCH(cadangan[[#This Row],[ItemID B]],Katalog!$C$3:$C$12,0)),"-")</f>
        <v>Pakaian Wanita</v>
      </c>
      <c r="N78" s="39" t="str">
        <f>IFERROR(INDEX(Katalog!$B$3:$B$12,MATCH(cadangan[[#This Row],[ItemID B]],Katalog!$C$3:$C$12,0)),"-")</f>
        <v>Kaftan</v>
      </c>
      <c r="O78" s="50">
        <v>1</v>
      </c>
      <c r="P78" s="50">
        <v>4</v>
      </c>
      <c r="Q78" s="73">
        <f>IFERROR(INDEX(Katalog!$D$3:$D$12,MATCH(cadangan[[#This Row],[ItemID B]],Katalog!$C$3:$C$12,0))*cadangan[[#This Row],[Qty B]],0)</f>
        <v>250000</v>
      </c>
      <c r="R78" s="73">
        <f>IFERROR(cadangan[[#This Row],[Harga Normal B]]-(cadangan[[#This Row],[Harga Normal B]]*cadangan[[#This Row],[Diskon]]),cadangan[[#This Row],[Harga Normal B]])</f>
        <v>225000</v>
      </c>
      <c r="S78" s="73">
        <f>IFERROR(INDEX(Katalog!$F$3:$F$12,MATCH(cadangan[[#This Row],[ItemID B]],Katalog!$C$3:$C$12,0))*cadangan[[#This Row],[Qty B]],0)</f>
        <v>100000</v>
      </c>
      <c r="T78" s="73">
        <f>IFERROR(cadangan[[#This Row],[Harga Diskon B]]-INDEX(Katalog!$E$3:$E$12,MATCH(cadangan[[#This Row],[ItemID B]],Katalog!$C$3:$C$12,0))*cadangan[[#This Row],[Qty B]],0)</f>
        <v>75000</v>
      </c>
      <c r="U78" s="39" t="s">
        <v>61</v>
      </c>
      <c r="V78" s="39" t="str">
        <f>IFERROR(INDEX(Katalog!$A$3:$A$12,MATCH(cadangan[[#This Row],[ItemID C]],Katalog!$C$3:$C$12,0)),"-")</f>
        <v>Pakaian Pria</v>
      </c>
      <c r="W78" s="39" t="str">
        <f>IFERROR(INDEX(Katalog!$B$3:$B$12,MATCH(cadangan[[#This Row],[ItemID C]],Katalog!$C$3:$C$12,0)),"-")</f>
        <v>Kaos Polo</v>
      </c>
      <c r="X78" s="50">
        <v>1</v>
      </c>
      <c r="Y78" s="50">
        <v>3</v>
      </c>
      <c r="Z78" s="73">
        <f>IFERROR(INDEX(Katalog!$D$3:$D$12,MATCH(cadangan[[#This Row],[ItemID C]],Katalog!$C$3:$C$12,0))*cadangan[[#This Row],[Qty C]],0)</f>
        <v>200000</v>
      </c>
      <c r="AA78" s="73">
        <f>IFERROR(cadangan[[#This Row],[Harga Normal C]]-(cadangan[[#This Row],[Harga Normal C]]*cadangan[[#This Row],[Diskon]]),cadangan[[#This Row],[Harga Normal C]])</f>
        <v>180000</v>
      </c>
      <c r="AB78" s="73">
        <f>IFERROR(INDEX(Katalog!$F$3:$F$12,MATCH(cadangan[[#This Row],[ItemID C]],Katalog!$C$3:$C$12,0))*cadangan[[#This Row],[Qty C]],0)</f>
        <v>80000</v>
      </c>
      <c r="AC78" s="73">
        <f>IFERROR(cadangan[[#This Row],[Harga Diskon C]]-INDEX(Katalog!$E$3:$E$12,MATCH(cadangan[[#This Row],[ItemID C]],Katalog!$C$3:$C$12,0))*cadangan[[#This Row],[Qty C]],0)</f>
        <v>60000</v>
      </c>
      <c r="AD78" s="53">
        <f>cadangan[[#This Row],[Qty A]]+cadangan[[#This Row],[Qty B]]+cadangan[[#This Row],[Qty C]]</f>
        <v>7</v>
      </c>
      <c r="AE78" s="73">
        <f>cadangan[[#This Row],[Harga Normal A]]+cadangan[[#This Row],[Harga Normal B]]+cadangan[[#This Row],[Harga Normal C]]</f>
        <v>1350000</v>
      </c>
      <c r="AF78" s="73">
        <f>cadangan[[#This Row],[Harga Diskon A]]+cadangan[[#This Row],[Harga Diskon B]]+cadangan[[#This Row],[Harga Diskon C]]</f>
        <v>1215000</v>
      </c>
      <c r="AG78" s="73">
        <f>(cadangan[[#This Row],[Profit Normal A]]+cadangan[[#This Row],[Profit Normal B]]+cadangan[[#This Row],[Profit Normal C]])</f>
        <v>530000</v>
      </c>
      <c r="AH78" s="73">
        <f>cadangan[[#This Row],[Profit Diskon A]]+cadangan[[#This Row],[Profit Diskon B]]+cadangan[[#This Row],[Profit Diskon C]]</f>
        <v>395000</v>
      </c>
      <c r="AI78" s="23" t="s">
        <v>31</v>
      </c>
      <c r="AJ78" s="37">
        <f>IFERROR(INDEX('Kode Diskon'!$D$3:$D$9,MATCH(cadangan[[#This Row],[Kode diskon]],'Kode Diskon'!$C$3:$C$9,0)),"-")</f>
        <v>0.1</v>
      </c>
      <c r="AK78" s="23" t="s">
        <v>9</v>
      </c>
      <c r="AL78" s="23" t="s">
        <v>10</v>
      </c>
      <c r="AM78" s="23" t="s">
        <v>75</v>
      </c>
      <c r="AN78" s="55">
        <v>45033</v>
      </c>
      <c r="AO78" s="53">
        <f>DAY(cadangan[[#This Row],[Tanggal terjual]])</f>
        <v>17</v>
      </c>
      <c r="AP78" s="21" t="str">
        <f>TEXT(cadangan[[#This Row],[Tanggal terjual]],"dddd")</f>
        <v>Monday</v>
      </c>
      <c r="AQ78" s="23" t="str" cm="1">
        <f t="array" ref="AQ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8" s="61">
        <f>AVERAGE(cadangan[[#This Row],[Rating A]],cadangan[[#This Row],[Rating B]],cadangan[[#This Row],[Rating C]])</f>
        <v>4</v>
      </c>
    </row>
    <row r="79" spans="1:44" x14ac:dyDescent="0.2">
      <c r="A79" s="20">
        <v>78</v>
      </c>
      <c r="B79" s="21" t="str">
        <f>_xlfn.CONCAT("ORD-",INDEX(Helper!$B$2:$B$5,MATCH(cadangan[[#This Row],[Marketplace]],Helper!$A$2:$A$5,0)),TEXT(cadangan[[#This Row],[No]],"0000"),"-",TEXT(cadangan[[#This Row],[Tanggal terjual]],"dd/mm/yy"))</f>
        <v>ORD-SP0078-21/04/23</v>
      </c>
      <c r="C79" s="39" t="s">
        <v>67</v>
      </c>
      <c r="D79" s="39" t="str">
        <f>IFERROR(INDEX(Katalog!$A$3:$A$12,MATCH(cadangan[[#This Row],[ItemID A]],Katalog!$C$3:$C$12,0)),"-")</f>
        <v>Sepatu Wanita</v>
      </c>
      <c r="E79" s="39" t="str">
        <f>IFERROR(INDEX(Katalog!$B$3:$B$12,MATCH(cadangan[[#This Row],[ItemID A]],Katalog!$C$3:$C$12,0)),"-")</f>
        <v>Flat Shoes</v>
      </c>
      <c r="F79" s="50">
        <v>2</v>
      </c>
      <c r="G79" s="50">
        <v>5</v>
      </c>
      <c r="H79" s="73">
        <f>IFERROR(INDEX(Katalog!$D$3:$D$12,MATCH(cadangan[[#This Row],[ItemID A]],Katalog!$C$3:$C$12,0))*cadangan[[#This Row],[Qty A]],0)</f>
        <v>500000</v>
      </c>
      <c r="I79" s="73">
        <f>IFERROR(cadangan[[#This Row],[Harga Normal A]]-(cadangan[[#This Row],[Harga Normal A]]*cadangan[[#This Row],[Diskon]]),cadangan[[#This Row],[Harga Normal A]])</f>
        <v>400000</v>
      </c>
      <c r="J79" s="73">
        <f>INDEX(Katalog!$F$3:$F$12,MATCH(cadangan[[#This Row],[ItemID A]],Katalog!$C$3:$C$12,0))*cadangan[[#This Row],[Qty A]]</f>
        <v>200000</v>
      </c>
      <c r="K79" s="73">
        <f>IFERROR(cadangan[[#This Row],[Harga Diskon A]]-INDEX(Katalog!$E$3:$E$12,MATCH(cadangan[[#This Row],[ItemID A]],Katalog!$C$3:$C$12,0))*cadangan[[#This Row],[Qty A]],0)</f>
        <v>100000</v>
      </c>
      <c r="L79" s="39" t="s">
        <v>66</v>
      </c>
      <c r="M79" s="39" t="str">
        <f>IFERROR(INDEX(Katalog!$A$3:$A$12,MATCH(cadangan[[#This Row],[ItemID B]],Katalog!$C$3:$C$12,0)),"-")</f>
        <v>Sepatu Pria</v>
      </c>
      <c r="N79" s="39" t="str">
        <f>IFERROR(INDEX(Katalog!$B$3:$B$12,MATCH(cadangan[[#This Row],[ItemID B]],Katalog!$C$3:$C$12,0)),"-")</f>
        <v>Sandal Slip On</v>
      </c>
      <c r="O79" s="50">
        <v>2</v>
      </c>
      <c r="P79" s="50">
        <v>5</v>
      </c>
      <c r="Q79" s="73">
        <f>IFERROR(INDEX(Katalog!$D$3:$D$12,MATCH(cadangan[[#This Row],[ItemID B]],Katalog!$C$3:$C$12,0))*cadangan[[#This Row],[Qty B]],0)</f>
        <v>300000</v>
      </c>
      <c r="R79" s="73">
        <f>IFERROR(cadangan[[#This Row],[Harga Normal B]]-(cadangan[[#This Row],[Harga Normal B]]*cadangan[[#This Row],[Diskon]]),cadangan[[#This Row],[Harga Normal B]])</f>
        <v>240000</v>
      </c>
      <c r="S79" s="73">
        <f>IFERROR(INDEX(Katalog!$F$3:$F$12,MATCH(cadangan[[#This Row],[ItemID B]],Katalog!$C$3:$C$12,0))*cadangan[[#This Row],[Qty B]],0)</f>
        <v>120000</v>
      </c>
      <c r="T79" s="73">
        <f>IFERROR(cadangan[[#This Row],[Harga Diskon B]]-INDEX(Katalog!$E$3:$E$12,MATCH(cadangan[[#This Row],[ItemID B]],Katalog!$C$3:$C$12,0))*cadangan[[#This Row],[Qty B]],0)</f>
        <v>60000</v>
      </c>
      <c r="U79" s="39" t="s">
        <v>60</v>
      </c>
      <c r="V79" s="39" t="str">
        <f>IFERROR(INDEX(Katalog!$A$3:$A$12,MATCH(cadangan[[#This Row],[ItemID C]],Katalog!$C$3:$C$12,0)),"-")</f>
        <v>Pakaian Wanita</v>
      </c>
      <c r="W79" s="39" t="str">
        <f>IFERROR(INDEX(Katalog!$B$3:$B$12,MATCH(cadangan[[#This Row],[ItemID C]],Katalog!$C$3:$C$12,0)),"-")</f>
        <v>Kaftan</v>
      </c>
      <c r="X79" s="50">
        <v>1</v>
      </c>
      <c r="Y79" s="50">
        <v>3</v>
      </c>
      <c r="Z79" s="73">
        <f>IFERROR(INDEX(Katalog!$D$3:$D$12,MATCH(cadangan[[#This Row],[ItemID C]],Katalog!$C$3:$C$12,0))*cadangan[[#This Row],[Qty C]],0)</f>
        <v>250000</v>
      </c>
      <c r="AA79" s="73">
        <f>IFERROR(cadangan[[#This Row],[Harga Normal C]]-(cadangan[[#This Row],[Harga Normal C]]*cadangan[[#This Row],[Diskon]]),cadangan[[#This Row],[Harga Normal C]])</f>
        <v>200000</v>
      </c>
      <c r="AB79" s="73">
        <f>IFERROR(INDEX(Katalog!$F$3:$F$12,MATCH(cadangan[[#This Row],[ItemID C]],Katalog!$C$3:$C$12,0))*cadangan[[#This Row],[Qty C]],0)</f>
        <v>100000</v>
      </c>
      <c r="AC79" s="73">
        <f>IFERROR(cadangan[[#This Row],[Harga Diskon C]]-INDEX(Katalog!$E$3:$E$12,MATCH(cadangan[[#This Row],[ItemID C]],Katalog!$C$3:$C$12,0))*cadangan[[#This Row],[Qty C]],0)</f>
        <v>50000</v>
      </c>
      <c r="AD79" s="53">
        <f>cadangan[[#This Row],[Qty A]]+cadangan[[#This Row],[Qty B]]+cadangan[[#This Row],[Qty C]]</f>
        <v>5</v>
      </c>
      <c r="AE79" s="73">
        <f>cadangan[[#This Row],[Harga Normal A]]+cadangan[[#This Row],[Harga Normal B]]+cadangan[[#This Row],[Harga Normal C]]</f>
        <v>1050000</v>
      </c>
      <c r="AF79" s="73">
        <f>cadangan[[#This Row],[Harga Diskon A]]+cadangan[[#This Row],[Harga Diskon B]]+cadangan[[#This Row],[Harga Diskon C]]</f>
        <v>840000</v>
      </c>
      <c r="AG79" s="73">
        <f>(cadangan[[#This Row],[Profit Normal A]]+cadangan[[#This Row],[Profit Normal B]]+cadangan[[#This Row],[Profit Normal C]])</f>
        <v>420000</v>
      </c>
      <c r="AH79" s="73">
        <f>cadangan[[#This Row],[Profit Diskon A]]+cadangan[[#This Row],[Profit Diskon B]]+cadangan[[#This Row],[Profit Diskon C]]</f>
        <v>210000</v>
      </c>
      <c r="AI79" s="23" t="s">
        <v>8</v>
      </c>
      <c r="AJ79" s="37">
        <f>IFERROR(INDEX('Kode Diskon'!$D$3:$D$9,MATCH(cadangan[[#This Row],[Kode diskon]],'Kode Diskon'!$C$3:$C$9,0)),"-")</f>
        <v>0.2</v>
      </c>
      <c r="AK79" s="23" t="s">
        <v>9</v>
      </c>
      <c r="AL79" s="23" t="s">
        <v>7</v>
      </c>
      <c r="AM79" s="23" t="s">
        <v>80</v>
      </c>
      <c r="AN79" s="55">
        <v>45037</v>
      </c>
      <c r="AO79" s="53">
        <f>DAY(cadangan[[#This Row],[Tanggal terjual]])</f>
        <v>21</v>
      </c>
      <c r="AP79" s="21" t="str">
        <f>TEXT(cadangan[[#This Row],[Tanggal terjual]],"dddd")</f>
        <v>Friday</v>
      </c>
      <c r="AQ79" s="23" t="str" cm="1">
        <f t="array" ref="AQ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9" s="61">
        <f>AVERAGE(cadangan[[#This Row],[Rating A]],cadangan[[#This Row],[Rating B]],cadangan[[#This Row],[Rating C]])</f>
        <v>4.333333333333333</v>
      </c>
    </row>
    <row r="80" spans="1:44" x14ac:dyDescent="0.2">
      <c r="A80" s="20">
        <v>79</v>
      </c>
      <c r="B80" s="21" t="str">
        <f>_xlfn.CONCAT("ORD-",INDEX(Helper!$B$2:$B$5,MATCH(cadangan[[#This Row],[Marketplace]],Helper!$A$2:$A$5,0)),TEXT(cadangan[[#This Row],[No]],"0000"),"-",TEXT(cadangan[[#This Row],[Tanggal terjual]],"dd/mm/yy"))</f>
        <v>ORD-BB0079-02/04/23</v>
      </c>
      <c r="C80" s="39" t="s">
        <v>63</v>
      </c>
      <c r="D80" s="39" t="str">
        <f>IFERROR(INDEX(Katalog!$A$3:$A$12,MATCH(cadangan[[#This Row],[ItemID A]],Katalog!$C$3:$C$12,0)),"-")</f>
        <v>Pakaian Pria</v>
      </c>
      <c r="E80" s="39" t="str">
        <f>IFERROR(INDEX(Katalog!$B$3:$B$12,MATCH(cadangan[[#This Row],[ItemID A]],Katalog!$C$3:$C$12,0)),"-")</f>
        <v>Jaket Jeans</v>
      </c>
      <c r="F80" s="50">
        <v>1</v>
      </c>
      <c r="G80" s="50">
        <v>1</v>
      </c>
      <c r="H80" s="73">
        <f>IFERROR(INDEX(Katalog!$D$3:$D$12,MATCH(cadangan[[#This Row],[ItemID A]],Katalog!$C$3:$C$12,0))*cadangan[[#This Row],[Qty A]],0)</f>
        <v>400000</v>
      </c>
      <c r="I80" s="73">
        <f>IFERROR(cadangan[[#This Row],[Harga Normal A]]-(cadangan[[#This Row],[Harga Normal A]]*cadangan[[#This Row],[Diskon]]),cadangan[[#This Row],[Harga Normal A]])</f>
        <v>340000</v>
      </c>
      <c r="J80" s="73">
        <f>INDEX(Katalog!$F$3:$F$12,MATCH(cadangan[[#This Row],[ItemID A]],Katalog!$C$3:$C$12,0))*cadangan[[#This Row],[Qty A]]</f>
        <v>150000</v>
      </c>
      <c r="K80" s="73">
        <f>IFERROR(cadangan[[#This Row],[Harga Diskon A]]-INDEX(Katalog!$E$3:$E$12,MATCH(cadangan[[#This Row],[ItemID A]],Katalog!$C$3:$C$12,0))*cadangan[[#This Row],[Qty A]],0)</f>
        <v>90000</v>
      </c>
      <c r="L80" s="39" t="s">
        <v>60</v>
      </c>
      <c r="M80" s="39" t="str">
        <f>IFERROR(INDEX(Katalog!$A$3:$A$12,MATCH(cadangan[[#This Row],[ItemID B]],Katalog!$C$3:$C$12,0)),"-")</f>
        <v>Pakaian Wanita</v>
      </c>
      <c r="N80" s="39" t="str">
        <f>IFERROR(INDEX(Katalog!$B$3:$B$12,MATCH(cadangan[[#This Row],[ItemID B]],Katalog!$C$3:$C$12,0)),"-")</f>
        <v>Kaftan</v>
      </c>
      <c r="O80" s="50">
        <v>1</v>
      </c>
      <c r="P80" s="50">
        <v>2</v>
      </c>
      <c r="Q80" s="73">
        <f>IFERROR(INDEX(Katalog!$D$3:$D$12,MATCH(cadangan[[#This Row],[ItemID B]],Katalog!$C$3:$C$12,0))*cadangan[[#This Row],[Qty B]],0)</f>
        <v>250000</v>
      </c>
      <c r="R80" s="73">
        <f>IFERROR(cadangan[[#This Row],[Harga Normal B]]-(cadangan[[#This Row],[Harga Normal B]]*cadangan[[#This Row],[Diskon]]),cadangan[[#This Row],[Harga Normal B]])</f>
        <v>212500</v>
      </c>
      <c r="S80" s="73">
        <f>IFERROR(INDEX(Katalog!$F$3:$F$12,MATCH(cadangan[[#This Row],[ItemID B]],Katalog!$C$3:$C$12,0))*cadangan[[#This Row],[Qty B]],0)</f>
        <v>100000</v>
      </c>
      <c r="T80" s="73">
        <f>IFERROR(cadangan[[#This Row],[Harga Diskon B]]-INDEX(Katalog!$E$3:$E$12,MATCH(cadangan[[#This Row],[ItemID B]],Katalog!$C$3:$C$12,0))*cadangan[[#This Row],[Qty B]],0)</f>
        <v>62500</v>
      </c>
      <c r="V80" s="39" t="str">
        <f>IFERROR(INDEX(Katalog!$A$3:$A$12,MATCH(cadangan[[#This Row],[ItemID C]],Katalog!$C$3:$C$12,0)),"-")</f>
        <v>-</v>
      </c>
      <c r="W80" s="39" t="str">
        <f>IFERROR(INDEX(Katalog!$B$3:$B$12,MATCH(cadangan[[#This Row],[ItemID C]],Katalog!$C$3:$C$12,0)),"-")</f>
        <v>-</v>
      </c>
      <c r="Z80" s="73">
        <f>IFERROR(INDEX(Katalog!$D$3:$D$12,MATCH(cadangan[[#This Row],[ItemID C]],Katalog!$C$3:$C$12,0))*cadangan[[#This Row],[Qty C]],0)</f>
        <v>0</v>
      </c>
      <c r="AA80" s="73">
        <f>IFERROR(cadangan[[#This Row],[Harga Normal C]]-(cadangan[[#This Row],[Harga Normal C]]*cadangan[[#This Row],[Diskon]]),cadangan[[#This Row],[Harga Normal C]])</f>
        <v>0</v>
      </c>
      <c r="AB80" s="73">
        <f>IFERROR(INDEX(Katalog!$F$3:$F$12,MATCH(cadangan[[#This Row],[ItemID C]],Katalog!$C$3:$C$12,0))*cadangan[[#This Row],[Qty C]],0)</f>
        <v>0</v>
      </c>
      <c r="AC80" s="73">
        <f>IFERROR(cadangan[[#This Row],[Harga Diskon C]]-INDEX(Katalog!$E$3:$E$12,MATCH(cadangan[[#This Row],[ItemID C]],Katalog!$C$3:$C$12,0))*cadangan[[#This Row],[Qty C]],0)</f>
        <v>0</v>
      </c>
      <c r="AD80" s="53">
        <f>cadangan[[#This Row],[Qty A]]+cadangan[[#This Row],[Qty B]]+cadangan[[#This Row],[Qty C]]</f>
        <v>2</v>
      </c>
      <c r="AE80" s="73">
        <f>cadangan[[#This Row],[Harga Normal A]]+cadangan[[#This Row],[Harga Normal B]]+cadangan[[#This Row],[Harga Normal C]]</f>
        <v>650000</v>
      </c>
      <c r="AF80" s="73">
        <f>cadangan[[#This Row],[Harga Diskon A]]+cadangan[[#This Row],[Harga Diskon B]]+cadangan[[#This Row],[Harga Diskon C]]</f>
        <v>552500</v>
      </c>
      <c r="AG80" s="73">
        <f>(cadangan[[#This Row],[Profit Normal A]]+cadangan[[#This Row],[Profit Normal B]]+cadangan[[#This Row],[Profit Normal C]])</f>
        <v>250000</v>
      </c>
      <c r="AH80" s="73">
        <f>cadangan[[#This Row],[Profit Diskon A]]+cadangan[[#This Row],[Profit Diskon B]]+cadangan[[#This Row],[Profit Diskon C]]</f>
        <v>152500</v>
      </c>
      <c r="AI80" s="23" t="s">
        <v>28</v>
      </c>
      <c r="AJ80" s="37">
        <f>IFERROR(INDEX('Kode Diskon'!$D$3:$D$9,MATCH(cadangan[[#This Row],[Kode diskon]],'Kode Diskon'!$C$3:$C$9,0)),"-")</f>
        <v>0.15</v>
      </c>
      <c r="AK80" s="23" t="s">
        <v>29</v>
      </c>
      <c r="AL80" s="23" t="s">
        <v>14</v>
      </c>
      <c r="AM80" s="23" t="s">
        <v>80</v>
      </c>
      <c r="AN80" s="55">
        <v>45018</v>
      </c>
      <c r="AO80" s="53">
        <f>DAY(cadangan[[#This Row],[Tanggal terjual]])</f>
        <v>2</v>
      </c>
      <c r="AP80" s="21" t="str">
        <f>TEXT(cadangan[[#This Row],[Tanggal terjual]],"dddd")</f>
        <v>Sunday</v>
      </c>
      <c r="AQ80" s="23" t="str" cm="1">
        <f t="array" ref="AQ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0" s="61">
        <f>AVERAGE(cadangan[[#This Row],[Rating A]],cadangan[[#This Row],[Rating B]],cadangan[[#This Row],[Rating C]])</f>
        <v>1.5</v>
      </c>
    </row>
    <row r="81" spans="1:44" x14ac:dyDescent="0.2">
      <c r="A81" s="20">
        <v>80</v>
      </c>
      <c r="B81" s="21" t="str">
        <f>_xlfn.CONCAT("ORD-",INDEX(Helper!$B$2:$B$5,MATCH(cadangan[[#This Row],[Marketplace]],Helper!$A$2:$A$5,0)),TEXT(cadangan[[#This Row],[No]],"0000"),"-",TEXT(cadangan[[#This Row],[Tanggal terjual]],"dd/mm/yy"))</f>
        <v>ORD-BB0080-05/04/23</v>
      </c>
      <c r="C81" s="39" t="s">
        <v>67</v>
      </c>
      <c r="D81" s="39" t="str">
        <f>IFERROR(INDEX(Katalog!$A$3:$A$12,MATCH(cadangan[[#This Row],[ItemID A]],Katalog!$C$3:$C$12,0)),"-")</f>
        <v>Sepatu Wanita</v>
      </c>
      <c r="E81" s="39" t="str">
        <f>IFERROR(INDEX(Katalog!$B$3:$B$12,MATCH(cadangan[[#This Row],[ItemID A]],Katalog!$C$3:$C$12,0)),"-")</f>
        <v>Flat Shoes</v>
      </c>
      <c r="F81" s="50">
        <v>4</v>
      </c>
      <c r="G81" s="50">
        <v>1</v>
      </c>
      <c r="H81" s="73">
        <f>IFERROR(INDEX(Katalog!$D$3:$D$12,MATCH(cadangan[[#This Row],[ItemID A]],Katalog!$C$3:$C$12,0))*cadangan[[#This Row],[Qty A]],0)</f>
        <v>1000000</v>
      </c>
      <c r="I81" s="73">
        <f>IFERROR(cadangan[[#This Row],[Harga Normal A]]-(cadangan[[#This Row],[Harga Normal A]]*cadangan[[#This Row],[Diskon]]),cadangan[[#This Row],[Harga Normal A]])</f>
        <v>850000</v>
      </c>
      <c r="J81" s="73">
        <f>INDEX(Katalog!$F$3:$F$12,MATCH(cadangan[[#This Row],[ItemID A]],Katalog!$C$3:$C$12,0))*cadangan[[#This Row],[Qty A]]</f>
        <v>400000</v>
      </c>
      <c r="K81" s="73">
        <f>IFERROR(cadangan[[#This Row],[Harga Diskon A]]-INDEX(Katalog!$E$3:$E$12,MATCH(cadangan[[#This Row],[ItemID A]],Katalog!$C$3:$C$12,0))*cadangan[[#This Row],[Qty A]],0)</f>
        <v>250000</v>
      </c>
      <c r="L81" s="39" t="s">
        <v>61</v>
      </c>
      <c r="M81" s="39" t="str">
        <f>IFERROR(INDEX(Katalog!$A$3:$A$12,MATCH(cadangan[[#This Row],[ItemID B]],Katalog!$C$3:$C$12,0)),"-")</f>
        <v>Pakaian Pria</v>
      </c>
      <c r="N81" s="39" t="str">
        <f>IFERROR(INDEX(Katalog!$B$3:$B$12,MATCH(cadangan[[#This Row],[ItemID B]],Katalog!$C$3:$C$12,0)),"-")</f>
        <v>Kaos Polo</v>
      </c>
      <c r="O81" s="50">
        <v>1</v>
      </c>
      <c r="P81" s="50">
        <v>2</v>
      </c>
      <c r="Q81" s="73">
        <f>IFERROR(INDEX(Katalog!$D$3:$D$12,MATCH(cadangan[[#This Row],[ItemID B]],Katalog!$C$3:$C$12,0))*cadangan[[#This Row],[Qty B]],0)</f>
        <v>200000</v>
      </c>
      <c r="R81" s="73">
        <f>IFERROR(cadangan[[#This Row],[Harga Normal B]]-(cadangan[[#This Row],[Harga Normal B]]*cadangan[[#This Row],[Diskon]]),cadangan[[#This Row],[Harga Normal B]])</f>
        <v>170000</v>
      </c>
      <c r="S81" s="73">
        <f>IFERROR(INDEX(Katalog!$F$3:$F$12,MATCH(cadangan[[#This Row],[ItemID B]],Katalog!$C$3:$C$12,0))*cadangan[[#This Row],[Qty B]],0)</f>
        <v>80000</v>
      </c>
      <c r="T81" s="73">
        <f>IFERROR(cadangan[[#This Row],[Harga Diskon B]]-INDEX(Katalog!$E$3:$E$12,MATCH(cadangan[[#This Row],[ItemID B]],Katalog!$C$3:$C$12,0))*cadangan[[#This Row],[Qty B]],0)</f>
        <v>50000</v>
      </c>
      <c r="U81" s="39" t="s">
        <v>65</v>
      </c>
      <c r="V81" s="39" t="str">
        <f>IFERROR(INDEX(Katalog!$A$3:$A$12,MATCH(cadangan[[#This Row],[ItemID C]],Katalog!$C$3:$C$12,0)),"-")</f>
        <v>Sepatu Pria</v>
      </c>
      <c r="W81" s="39" t="str">
        <f>IFERROR(INDEX(Katalog!$B$3:$B$12,MATCH(cadangan[[#This Row],[ItemID C]],Katalog!$C$3:$C$12,0)),"-")</f>
        <v>Sneakers</v>
      </c>
      <c r="X81" s="50">
        <v>2</v>
      </c>
      <c r="Y81" s="50">
        <v>1</v>
      </c>
      <c r="Z81" s="73">
        <f>IFERROR(INDEX(Katalog!$D$3:$D$12,MATCH(cadangan[[#This Row],[ItemID C]],Katalog!$C$3:$C$12,0))*cadangan[[#This Row],[Qty C]],0)</f>
        <v>1000000</v>
      </c>
      <c r="AA81" s="73">
        <f>IFERROR(cadangan[[#This Row],[Harga Normal C]]-(cadangan[[#This Row],[Harga Normal C]]*cadangan[[#This Row],[Diskon]]),cadangan[[#This Row],[Harga Normal C]])</f>
        <v>850000</v>
      </c>
      <c r="AB81" s="73">
        <f>IFERROR(INDEX(Katalog!$F$3:$F$12,MATCH(cadangan[[#This Row],[ItemID C]],Katalog!$C$3:$C$12,0))*cadangan[[#This Row],[Qty C]],0)</f>
        <v>400000</v>
      </c>
      <c r="AC81" s="73">
        <f>IFERROR(cadangan[[#This Row],[Harga Diskon C]]-INDEX(Katalog!$E$3:$E$12,MATCH(cadangan[[#This Row],[ItemID C]],Katalog!$C$3:$C$12,0))*cadangan[[#This Row],[Qty C]],0)</f>
        <v>250000</v>
      </c>
      <c r="AD81" s="53">
        <f>cadangan[[#This Row],[Qty A]]+cadangan[[#This Row],[Qty B]]+cadangan[[#This Row],[Qty C]]</f>
        <v>7</v>
      </c>
      <c r="AE81" s="73">
        <f>cadangan[[#This Row],[Harga Normal A]]+cadangan[[#This Row],[Harga Normal B]]+cadangan[[#This Row],[Harga Normal C]]</f>
        <v>2200000</v>
      </c>
      <c r="AF81" s="73">
        <f>cadangan[[#This Row],[Harga Diskon A]]+cadangan[[#This Row],[Harga Diskon B]]+cadangan[[#This Row],[Harga Diskon C]]</f>
        <v>1870000</v>
      </c>
      <c r="AG81" s="73">
        <f>(cadangan[[#This Row],[Profit Normal A]]+cadangan[[#This Row],[Profit Normal B]]+cadangan[[#This Row],[Profit Normal C]])</f>
        <v>880000</v>
      </c>
      <c r="AH81" s="73">
        <f>cadangan[[#This Row],[Profit Diskon A]]+cadangan[[#This Row],[Profit Diskon B]]+cadangan[[#This Row],[Profit Diskon C]]</f>
        <v>550000</v>
      </c>
      <c r="AI81" s="23" t="s">
        <v>28</v>
      </c>
      <c r="AJ81" s="37">
        <f>IFERROR(INDEX('Kode Diskon'!$D$3:$D$9,MATCH(cadangan[[#This Row],[Kode diskon]],'Kode Diskon'!$C$3:$C$9,0)),"-")</f>
        <v>0.15</v>
      </c>
      <c r="AK81" s="23" t="s">
        <v>29</v>
      </c>
      <c r="AL81" s="23" t="s">
        <v>14</v>
      </c>
      <c r="AM81" s="23" t="s">
        <v>78</v>
      </c>
      <c r="AN81" s="55">
        <v>45021</v>
      </c>
      <c r="AO81" s="53">
        <f>DAY(cadangan[[#This Row],[Tanggal terjual]])</f>
        <v>5</v>
      </c>
      <c r="AP81" s="21" t="str">
        <f>TEXT(cadangan[[#This Row],[Tanggal terjual]],"dddd")</f>
        <v>Wednesday</v>
      </c>
      <c r="AQ81" s="23" t="str" cm="1">
        <f t="array" ref="AQ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 s="61">
        <f>AVERAGE(cadangan[[#This Row],[Rating A]],cadangan[[#This Row],[Rating B]],cadangan[[#This Row],[Rating C]])</f>
        <v>1.3333333333333333</v>
      </c>
    </row>
    <row r="82" spans="1:44" x14ac:dyDescent="0.2">
      <c r="A82" s="20">
        <v>81</v>
      </c>
      <c r="B82" s="21" t="str">
        <f>_xlfn.CONCAT("ORD-",INDEX(Helper!$B$2:$B$5,MATCH(cadangan[[#This Row],[Marketplace]],Helper!$A$2:$A$5,0)),TEXT(cadangan[[#This Row],[No]],"0000"),"-",TEXT(cadangan[[#This Row],[Tanggal terjual]],"dd/mm/yy"))</f>
        <v>ORD-SP0081-06/04/23</v>
      </c>
      <c r="C82" s="39" t="s">
        <v>61</v>
      </c>
      <c r="D82" s="39" t="str">
        <f>IFERROR(INDEX(Katalog!$A$3:$A$12,MATCH(cadangan[[#This Row],[ItemID A]],Katalog!$C$3:$C$12,0)),"-")</f>
        <v>Pakaian Pria</v>
      </c>
      <c r="E82" s="39" t="str">
        <f>IFERROR(INDEX(Katalog!$B$3:$B$12,MATCH(cadangan[[#This Row],[ItemID A]],Katalog!$C$3:$C$12,0)),"-")</f>
        <v>Kaos Polo</v>
      </c>
      <c r="F82" s="50">
        <v>1</v>
      </c>
      <c r="G82" s="50">
        <v>5</v>
      </c>
      <c r="H82" s="73">
        <f>IFERROR(INDEX(Katalog!$D$3:$D$12,MATCH(cadangan[[#This Row],[ItemID A]],Katalog!$C$3:$C$12,0))*cadangan[[#This Row],[Qty A]],0)</f>
        <v>200000</v>
      </c>
      <c r="I82" s="73">
        <f>IFERROR(cadangan[[#This Row],[Harga Normal A]]-(cadangan[[#This Row],[Harga Normal A]]*cadangan[[#This Row],[Diskon]]),cadangan[[#This Row],[Harga Normal A]])</f>
        <v>180000</v>
      </c>
      <c r="J82" s="73">
        <f>INDEX(Katalog!$F$3:$F$12,MATCH(cadangan[[#This Row],[ItemID A]],Katalog!$C$3:$C$12,0))*cadangan[[#This Row],[Qty A]]</f>
        <v>80000</v>
      </c>
      <c r="K82" s="73">
        <f>IFERROR(cadangan[[#This Row],[Harga Diskon A]]-INDEX(Katalog!$E$3:$E$12,MATCH(cadangan[[#This Row],[ItemID A]],Katalog!$C$3:$C$12,0))*cadangan[[#This Row],[Qty A]],0)</f>
        <v>60000</v>
      </c>
      <c r="L82" s="39" t="s">
        <v>60</v>
      </c>
      <c r="M82" s="39" t="str">
        <f>IFERROR(INDEX(Katalog!$A$3:$A$12,MATCH(cadangan[[#This Row],[ItemID B]],Katalog!$C$3:$C$12,0)),"-")</f>
        <v>Pakaian Wanita</v>
      </c>
      <c r="N82" s="39" t="str">
        <f>IFERROR(INDEX(Katalog!$B$3:$B$12,MATCH(cadangan[[#This Row],[ItemID B]],Katalog!$C$3:$C$12,0)),"-")</f>
        <v>Kaftan</v>
      </c>
      <c r="O82" s="50">
        <v>1</v>
      </c>
      <c r="P82" s="50">
        <v>1</v>
      </c>
      <c r="Q82" s="73">
        <f>IFERROR(INDEX(Katalog!$D$3:$D$12,MATCH(cadangan[[#This Row],[ItemID B]],Katalog!$C$3:$C$12,0))*cadangan[[#This Row],[Qty B]],0)</f>
        <v>250000</v>
      </c>
      <c r="R82" s="73">
        <f>IFERROR(cadangan[[#This Row],[Harga Normal B]]-(cadangan[[#This Row],[Harga Normal B]]*cadangan[[#This Row],[Diskon]]),cadangan[[#This Row],[Harga Normal B]])</f>
        <v>225000</v>
      </c>
      <c r="S82" s="73">
        <f>IFERROR(INDEX(Katalog!$F$3:$F$12,MATCH(cadangan[[#This Row],[ItemID B]],Katalog!$C$3:$C$12,0))*cadangan[[#This Row],[Qty B]],0)</f>
        <v>100000</v>
      </c>
      <c r="T82" s="73">
        <f>IFERROR(cadangan[[#This Row],[Harga Diskon B]]-INDEX(Katalog!$E$3:$E$12,MATCH(cadangan[[#This Row],[ItemID B]],Katalog!$C$3:$C$12,0))*cadangan[[#This Row],[Qty B]],0)</f>
        <v>75000</v>
      </c>
      <c r="U82" s="39" t="s">
        <v>64</v>
      </c>
      <c r="V82" s="39" t="str">
        <f>IFERROR(INDEX(Katalog!$A$3:$A$12,MATCH(cadangan[[#This Row],[ItemID C]],Katalog!$C$3:$C$12,0)),"-")</f>
        <v>Pakaian Unisex</v>
      </c>
      <c r="W82" s="39" t="str">
        <f>IFERROR(INDEX(Katalog!$B$3:$B$12,MATCH(cadangan[[#This Row],[ItemID C]],Katalog!$C$3:$C$12,0)),"-")</f>
        <v>Jaket Hoodie</v>
      </c>
      <c r="X82" s="50">
        <v>1</v>
      </c>
      <c r="Y82" s="50">
        <v>3</v>
      </c>
      <c r="Z82" s="73">
        <f>IFERROR(INDEX(Katalog!$D$3:$D$12,MATCH(cadangan[[#This Row],[ItemID C]],Katalog!$C$3:$C$12,0))*cadangan[[#This Row],[Qty C]],0)</f>
        <v>350000</v>
      </c>
      <c r="AA82" s="73">
        <f>IFERROR(cadangan[[#This Row],[Harga Normal C]]-(cadangan[[#This Row],[Harga Normal C]]*cadangan[[#This Row],[Diskon]]),cadangan[[#This Row],[Harga Normal C]])</f>
        <v>315000</v>
      </c>
      <c r="AB82" s="73">
        <f>IFERROR(INDEX(Katalog!$F$3:$F$12,MATCH(cadangan[[#This Row],[ItemID C]],Katalog!$C$3:$C$12,0))*cadangan[[#This Row],[Qty C]],0)</f>
        <v>130000</v>
      </c>
      <c r="AC82" s="73">
        <f>IFERROR(cadangan[[#This Row],[Harga Diskon C]]-INDEX(Katalog!$E$3:$E$12,MATCH(cadangan[[#This Row],[ItemID C]],Katalog!$C$3:$C$12,0))*cadangan[[#This Row],[Qty C]],0)</f>
        <v>95000</v>
      </c>
      <c r="AD82" s="53">
        <f>cadangan[[#This Row],[Qty A]]+cadangan[[#This Row],[Qty B]]+cadangan[[#This Row],[Qty C]]</f>
        <v>3</v>
      </c>
      <c r="AE82" s="73">
        <f>cadangan[[#This Row],[Harga Normal A]]+cadangan[[#This Row],[Harga Normal B]]+cadangan[[#This Row],[Harga Normal C]]</f>
        <v>800000</v>
      </c>
      <c r="AF82" s="73">
        <f>cadangan[[#This Row],[Harga Diskon A]]+cadangan[[#This Row],[Harga Diskon B]]+cadangan[[#This Row],[Harga Diskon C]]</f>
        <v>720000</v>
      </c>
      <c r="AG82" s="73">
        <f>(cadangan[[#This Row],[Profit Normal A]]+cadangan[[#This Row],[Profit Normal B]]+cadangan[[#This Row],[Profit Normal C]])</f>
        <v>310000</v>
      </c>
      <c r="AH82" s="73">
        <f>cadangan[[#This Row],[Profit Diskon A]]+cadangan[[#This Row],[Profit Diskon B]]+cadangan[[#This Row],[Profit Diskon C]]</f>
        <v>230000</v>
      </c>
      <c r="AI82" s="23" t="s">
        <v>6</v>
      </c>
      <c r="AJ82" s="37">
        <f>IFERROR(INDEX('Kode Diskon'!$D$3:$D$9,MATCH(cadangan[[#This Row],[Kode diskon]],'Kode Diskon'!$C$3:$C$9,0)),"-")</f>
        <v>0.1</v>
      </c>
      <c r="AK82" s="23" t="s">
        <v>29</v>
      </c>
      <c r="AL82" s="23" t="s">
        <v>7</v>
      </c>
      <c r="AM82" s="23" t="s">
        <v>78</v>
      </c>
      <c r="AN82" s="55">
        <v>45022</v>
      </c>
      <c r="AO82" s="53">
        <f>DAY(cadangan[[#This Row],[Tanggal terjual]])</f>
        <v>6</v>
      </c>
      <c r="AP82" s="21" t="str">
        <f>TEXT(cadangan[[#This Row],[Tanggal terjual]],"dddd")</f>
        <v>Thursday</v>
      </c>
      <c r="AQ82" s="23" t="str" cm="1">
        <f t="array" ref="AQ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2" s="61">
        <f>AVERAGE(cadangan[[#This Row],[Rating A]],cadangan[[#This Row],[Rating B]],cadangan[[#This Row],[Rating C]])</f>
        <v>3</v>
      </c>
    </row>
    <row r="83" spans="1:44" x14ac:dyDescent="0.2">
      <c r="A83" s="20">
        <v>82</v>
      </c>
      <c r="B83" s="21" t="str">
        <f>_xlfn.CONCAT("ORD-",INDEX(Helper!$B$2:$B$5,MATCH(cadangan[[#This Row],[Marketplace]],Helper!$A$2:$A$5,0)),TEXT(cadangan[[#This Row],[No]],"0000"),"-",TEXT(cadangan[[#This Row],[Tanggal terjual]],"dd/mm/yy"))</f>
        <v>ORD-TK0082-04/04/23</v>
      </c>
      <c r="C83" s="39" t="s">
        <v>58</v>
      </c>
      <c r="D83" s="39" t="str">
        <f>IFERROR(INDEX(Katalog!$A$3:$A$12,MATCH(cadangan[[#This Row],[ItemID A]],Katalog!$C$3:$C$12,0)),"-")</f>
        <v>Pakaian Wanita</v>
      </c>
      <c r="E83" s="39" t="str">
        <f>IFERROR(INDEX(Katalog!$B$3:$B$12,MATCH(cadangan[[#This Row],[ItemID A]],Katalog!$C$3:$C$12,0)),"-")</f>
        <v>Dress</v>
      </c>
      <c r="F83" s="50">
        <v>2</v>
      </c>
      <c r="G83" s="50">
        <v>3</v>
      </c>
      <c r="H83" s="73">
        <f>IFERROR(INDEX(Katalog!$D$3:$D$12,MATCH(cadangan[[#This Row],[ItemID A]],Katalog!$C$3:$C$12,0))*cadangan[[#This Row],[Qty A]],0)</f>
        <v>600000</v>
      </c>
      <c r="I83" s="73">
        <f>IFERROR(cadangan[[#This Row],[Harga Normal A]]-(cadangan[[#This Row],[Harga Normal A]]*cadangan[[#This Row],[Diskon]]),cadangan[[#This Row],[Harga Normal A]])</f>
        <v>540000</v>
      </c>
      <c r="J83" s="73">
        <f>INDEX(Katalog!$F$3:$F$12,MATCH(cadangan[[#This Row],[ItemID A]],Katalog!$C$3:$C$12,0))*cadangan[[#This Row],[Qty A]]</f>
        <v>200000</v>
      </c>
      <c r="K83" s="73">
        <f>IFERROR(cadangan[[#This Row],[Harga Diskon A]]-INDEX(Katalog!$E$3:$E$12,MATCH(cadangan[[#This Row],[ItemID A]],Katalog!$C$3:$C$12,0))*cadangan[[#This Row],[Qty A]],0)</f>
        <v>140000</v>
      </c>
      <c r="L83" s="39" t="s">
        <v>62</v>
      </c>
      <c r="M83" s="39" t="str">
        <f>IFERROR(INDEX(Katalog!$A$3:$A$12,MATCH(cadangan[[#This Row],[ItemID B]],Katalog!$C$3:$C$12,0)),"-")</f>
        <v>Pakaian Pria</v>
      </c>
      <c r="N83" s="39" t="str">
        <f>IFERROR(INDEX(Katalog!$B$3:$B$12,MATCH(cadangan[[#This Row],[ItemID B]],Katalog!$C$3:$C$12,0)),"-")</f>
        <v>Celana Pendek</v>
      </c>
      <c r="O83" s="50">
        <v>1</v>
      </c>
      <c r="P83" s="50">
        <v>4</v>
      </c>
      <c r="Q83" s="73">
        <f>IFERROR(INDEX(Katalog!$D$3:$D$12,MATCH(cadangan[[#This Row],[ItemID B]],Katalog!$C$3:$C$12,0))*cadangan[[#This Row],[Qty B]],0)</f>
        <v>180000</v>
      </c>
      <c r="R83" s="73">
        <f>IFERROR(cadangan[[#This Row],[Harga Normal B]]-(cadangan[[#This Row],[Harga Normal B]]*cadangan[[#This Row],[Diskon]]),cadangan[[#This Row],[Harga Normal B]])</f>
        <v>162000</v>
      </c>
      <c r="S83" s="73">
        <f>IFERROR(INDEX(Katalog!$F$3:$F$12,MATCH(cadangan[[#This Row],[ItemID B]],Katalog!$C$3:$C$12,0))*cadangan[[#This Row],[Qty B]],0)</f>
        <v>70000</v>
      </c>
      <c r="T83" s="73">
        <f>IFERROR(cadangan[[#This Row],[Harga Diskon B]]-INDEX(Katalog!$E$3:$E$12,MATCH(cadangan[[#This Row],[ItemID B]],Katalog!$C$3:$C$12,0))*cadangan[[#This Row],[Qty B]],0)</f>
        <v>52000</v>
      </c>
      <c r="V83" s="39" t="str">
        <f>IFERROR(INDEX(Katalog!$A$3:$A$12,MATCH(cadangan[[#This Row],[ItemID C]],Katalog!$C$3:$C$12,0)),"-")</f>
        <v>-</v>
      </c>
      <c r="W83" s="39" t="str">
        <f>IFERROR(INDEX(Katalog!$B$3:$B$12,MATCH(cadangan[[#This Row],[ItemID C]],Katalog!$C$3:$C$12,0)),"-")</f>
        <v>-</v>
      </c>
      <c r="Z83" s="73">
        <f>IFERROR(INDEX(Katalog!$D$3:$D$12,MATCH(cadangan[[#This Row],[ItemID C]],Katalog!$C$3:$C$12,0))*cadangan[[#This Row],[Qty C]],0)</f>
        <v>0</v>
      </c>
      <c r="AA83" s="73">
        <f>IFERROR(cadangan[[#This Row],[Harga Normal C]]-(cadangan[[#This Row],[Harga Normal C]]*cadangan[[#This Row],[Diskon]]),cadangan[[#This Row],[Harga Normal C]])</f>
        <v>0</v>
      </c>
      <c r="AB83" s="73">
        <f>IFERROR(INDEX(Katalog!$F$3:$F$12,MATCH(cadangan[[#This Row],[ItemID C]],Katalog!$C$3:$C$12,0))*cadangan[[#This Row],[Qty C]],0)</f>
        <v>0</v>
      </c>
      <c r="AC83" s="73">
        <f>IFERROR(cadangan[[#This Row],[Harga Diskon C]]-INDEX(Katalog!$E$3:$E$12,MATCH(cadangan[[#This Row],[ItemID C]],Katalog!$C$3:$C$12,0))*cadangan[[#This Row],[Qty C]],0)</f>
        <v>0</v>
      </c>
      <c r="AD83" s="53">
        <f>cadangan[[#This Row],[Qty A]]+cadangan[[#This Row],[Qty B]]+cadangan[[#This Row],[Qty C]]</f>
        <v>3</v>
      </c>
      <c r="AE83" s="73">
        <f>cadangan[[#This Row],[Harga Normal A]]+cadangan[[#This Row],[Harga Normal B]]+cadangan[[#This Row],[Harga Normal C]]</f>
        <v>780000</v>
      </c>
      <c r="AF83" s="73">
        <f>cadangan[[#This Row],[Harga Diskon A]]+cadangan[[#This Row],[Harga Diskon B]]+cadangan[[#This Row],[Harga Diskon C]]</f>
        <v>702000</v>
      </c>
      <c r="AG83" s="73">
        <f>(cadangan[[#This Row],[Profit Normal A]]+cadangan[[#This Row],[Profit Normal B]]+cadangan[[#This Row],[Profit Normal C]])</f>
        <v>270000</v>
      </c>
      <c r="AH83" s="73">
        <f>cadangan[[#This Row],[Profit Diskon A]]+cadangan[[#This Row],[Profit Diskon B]]+cadangan[[#This Row],[Profit Diskon C]]</f>
        <v>192000</v>
      </c>
      <c r="AI83" s="23" t="s">
        <v>30</v>
      </c>
      <c r="AJ83" s="37">
        <f>IFERROR(INDEX('Kode Diskon'!$D$3:$D$9,MATCH(cadangan[[#This Row],[Kode diskon]],'Kode Diskon'!$C$3:$C$9,0)),"-")</f>
        <v>0.1</v>
      </c>
      <c r="AK83" s="23" t="s">
        <v>29</v>
      </c>
      <c r="AL83" s="23" t="s">
        <v>10</v>
      </c>
      <c r="AM83" s="23" t="s">
        <v>80</v>
      </c>
      <c r="AN83" s="55">
        <v>45020</v>
      </c>
      <c r="AO83" s="53">
        <f>DAY(cadangan[[#This Row],[Tanggal terjual]])</f>
        <v>4</v>
      </c>
      <c r="AP83" s="21" t="str">
        <f>TEXT(cadangan[[#This Row],[Tanggal terjual]],"dddd")</f>
        <v>Tuesday</v>
      </c>
      <c r="AQ83" s="23" t="str" cm="1">
        <f t="array" ref="AQ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 s="61">
        <f>AVERAGE(cadangan[[#This Row],[Rating A]],cadangan[[#This Row],[Rating B]],cadangan[[#This Row],[Rating C]])</f>
        <v>3.5</v>
      </c>
    </row>
    <row r="84" spans="1:44" x14ac:dyDescent="0.2">
      <c r="A84" s="20">
        <v>83</v>
      </c>
      <c r="B84" s="21" t="str">
        <f>_xlfn.CONCAT("ORD-",INDEX(Helper!$B$2:$B$5,MATCH(cadangan[[#This Row],[Marketplace]],Helper!$A$2:$A$5,0)),TEXT(cadangan[[#This Row],[No]],"0000"),"-",TEXT(cadangan[[#This Row],[Tanggal terjual]],"dd/mm/yy"))</f>
        <v>ORD-SP0083-03/04/23</v>
      </c>
      <c r="C84" s="39" t="s">
        <v>60</v>
      </c>
      <c r="D84" s="39" t="str">
        <f>IFERROR(INDEX(Katalog!$A$3:$A$12,MATCH(cadangan[[#This Row],[ItemID A]],Katalog!$C$3:$C$12,0)),"-")</f>
        <v>Pakaian Wanita</v>
      </c>
      <c r="E84" s="39" t="str">
        <f>IFERROR(INDEX(Katalog!$B$3:$B$12,MATCH(cadangan[[#This Row],[ItemID A]],Katalog!$C$3:$C$12,0)),"-")</f>
        <v>Kaftan</v>
      </c>
      <c r="F84" s="50">
        <v>1</v>
      </c>
      <c r="G84" s="50">
        <v>3</v>
      </c>
      <c r="H84" s="73">
        <f>IFERROR(INDEX(Katalog!$D$3:$D$12,MATCH(cadangan[[#This Row],[ItemID A]],Katalog!$C$3:$C$12,0))*cadangan[[#This Row],[Qty A]],0)</f>
        <v>250000</v>
      </c>
      <c r="I84" s="73">
        <f>IFERROR(cadangan[[#This Row],[Harga Normal A]]-(cadangan[[#This Row],[Harga Normal A]]*cadangan[[#This Row],[Diskon]]),cadangan[[#This Row],[Harga Normal A]])</f>
        <v>212500</v>
      </c>
      <c r="J84" s="73">
        <f>INDEX(Katalog!$F$3:$F$12,MATCH(cadangan[[#This Row],[ItemID A]],Katalog!$C$3:$C$12,0))*cadangan[[#This Row],[Qty A]]</f>
        <v>100000</v>
      </c>
      <c r="K84" s="73">
        <f>IFERROR(cadangan[[#This Row],[Harga Diskon A]]-INDEX(Katalog!$E$3:$E$12,MATCH(cadangan[[#This Row],[ItemID A]],Katalog!$C$3:$C$12,0))*cadangan[[#This Row],[Qty A]],0)</f>
        <v>62500</v>
      </c>
      <c r="M84" s="39" t="str">
        <f>IFERROR(INDEX(Katalog!$A$3:$A$12,MATCH(cadangan[[#This Row],[ItemID B]],Katalog!$C$3:$C$12,0)),"-")</f>
        <v>-</v>
      </c>
      <c r="N84" s="39" t="str">
        <f>IFERROR(INDEX(Katalog!$B$3:$B$12,MATCH(cadangan[[#This Row],[ItemID B]],Katalog!$C$3:$C$12,0)),"-")</f>
        <v>-</v>
      </c>
      <c r="Q84" s="73">
        <f>IFERROR(INDEX(Katalog!$D$3:$D$12,MATCH(cadangan[[#This Row],[ItemID B]],Katalog!$C$3:$C$12,0))*cadangan[[#This Row],[Qty B]],0)</f>
        <v>0</v>
      </c>
      <c r="R84" s="73">
        <f>IFERROR(cadangan[[#This Row],[Harga Normal B]]-(cadangan[[#This Row],[Harga Normal B]]*cadangan[[#This Row],[Diskon]]),cadangan[[#This Row],[Harga Normal B]])</f>
        <v>0</v>
      </c>
      <c r="S84" s="73">
        <f>IFERROR(INDEX(Katalog!$F$3:$F$12,MATCH(cadangan[[#This Row],[ItemID B]],Katalog!$C$3:$C$12,0))*cadangan[[#This Row],[Qty B]],0)</f>
        <v>0</v>
      </c>
      <c r="T84" s="73">
        <f>IFERROR(cadangan[[#This Row],[Harga Diskon B]]-INDEX(Katalog!$E$3:$E$12,MATCH(cadangan[[#This Row],[ItemID B]],Katalog!$C$3:$C$12,0))*cadangan[[#This Row],[Qty B]],0)</f>
        <v>0</v>
      </c>
      <c r="V84" s="39" t="str">
        <f>IFERROR(INDEX(Katalog!$A$3:$A$12,MATCH(cadangan[[#This Row],[ItemID C]],Katalog!$C$3:$C$12,0)),"-")</f>
        <v>-</v>
      </c>
      <c r="W84" s="39" t="str">
        <f>IFERROR(INDEX(Katalog!$B$3:$B$12,MATCH(cadangan[[#This Row],[ItemID C]],Katalog!$C$3:$C$12,0)),"-")</f>
        <v>-</v>
      </c>
      <c r="Z84" s="73">
        <f>IFERROR(INDEX(Katalog!$D$3:$D$12,MATCH(cadangan[[#This Row],[ItemID C]],Katalog!$C$3:$C$12,0))*cadangan[[#This Row],[Qty C]],0)</f>
        <v>0</v>
      </c>
      <c r="AA84" s="73">
        <f>IFERROR(cadangan[[#This Row],[Harga Normal C]]-(cadangan[[#This Row],[Harga Normal C]]*cadangan[[#This Row],[Diskon]]),cadangan[[#This Row],[Harga Normal C]])</f>
        <v>0</v>
      </c>
      <c r="AB84" s="73">
        <f>IFERROR(INDEX(Katalog!$F$3:$F$12,MATCH(cadangan[[#This Row],[ItemID C]],Katalog!$C$3:$C$12,0))*cadangan[[#This Row],[Qty C]],0)</f>
        <v>0</v>
      </c>
      <c r="AC84" s="73">
        <f>IFERROR(cadangan[[#This Row],[Harga Diskon C]]-INDEX(Katalog!$E$3:$E$12,MATCH(cadangan[[#This Row],[ItemID C]],Katalog!$C$3:$C$12,0))*cadangan[[#This Row],[Qty C]],0)</f>
        <v>0</v>
      </c>
      <c r="AD84" s="53">
        <f>cadangan[[#This Row],[Qty A]]+cadangan[[#This Row],[Qty B]]+cadangan[[#This Row],[Qty C]]</f>
        <v>1</v>
      </c>
      <c r="AE84" s="73">
        <f>cadangan[[#This Row],[Harga Normal A]]+cadangan[[#This Row],[Harga Normal B]]+cadangan[[#This Row],[Harga Normal C]]</f>
        <v>250000</v>
      </c>
      <c r="AF84" s="73">
        <f>cadangan[[#This Row],[Harga Diskon A]]+cadangan[[#This Row],[Harga Diskon B]]+cadangan[[#This Row],[Harga Diskon C]]</f>
        <v>212500</v>
      </c>
      <c r="AG84" s="73">
        <f>(cadangan[[#This Row],[Profit Normal A]]+cadangan[[#This Row],[Profit Normal B]]+cadangan[[#This Row],[Profit Normal C]])</f>
        <v>100000</v>
      </c>
      <c r="AH84" s="73">
        <f>cadangan[[#This Row],[Profit Diskon A]]+cadangan[[#This Row],[Profit Diskon B]]+cadangan[[#This Row],[Profit Diskon C]]</f>
        <v>62500</v>
      </c>
      <c r="AI84" s="23" t="s">
        <v>13</v>
      </c>
      <c r="AJ84" s="37">
        <f>IFERROR(INDEX('Kode Diskon'!$D$3:$D$9,MATCH(cadangan[[#This Row],[Kode diskon]],'Kode Diskon'!$C$3:$C$9,0)),"-")</f>
        <v>0.15</v>
      </c>
      <c r="AK84" s="23" t="s">
        <v>29</v>
      </c>
      <c r="AL84" s="23" t="s">
        <v>7</v>
      </c>
      <c r="AM84" s="23" t="s">
        <v>80</v>
      </c>
      <c r="AN84" s="55">
        <v>45019</v>
      </c>
      <c r="AO84" s="53">
        <f>DAY(cadangan[[#This Row],[Tanggal terjual]])</f>
        <v>3</v>
      </c>
      <c r="AP84" s="21" t="str">
        <f>TEXT(cadangan[[#This Row],[Tanggal terjual]],"dddd")</f>
        <v>Monday</v>
      </c>
      <c r="AQ84" s="23" t="str" cm="1">
        <f t="array" ref="AQ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4" s="61">
        <f>AVERAGE(cadangan[[#This Row],[Rating A]],cadangan[[#This Row],[Rating B]],cadangan[[#This Row],[Rating C]])</f>
        <v>3</v>
      </c>
    </row>
    <row r="85" spans="1:44" x14ac:dyDescent="0.2">
      <c r="A85" s="20">
        <v>84</v>
      </c>
      <c r="B85" s="21" t="str">
        <f>_xlfn.CONCAT("ORD-",INDEX(Helper!$B$2:$B$5,MATCH(cadangan[[#This Row],[Marketplace]],Helper!$A$2:$A$5,0)),TEXT(cadangan[[#This Row],[No]],"0000"),"-",TEXT(cadangan[[#This Row],[Tanggal terjual]],"dd/mm/yy"))</f>
        <v>ORD-BL0084-16/04/23</v>
      </c>
      <c r="C85" s="39" t="s">
        <v>58</v>
      </c>
      <c r="D85" s="39" t="str">
        <f>IFERROR(INDEX(Katalog!$A$3:$A$12,MATCH(cadangan[[#This Row],[ItemID A]],Katalog!$C$3:$C$12,0)),"-")</f>
        <v>Pakaian Wanita</v>
      </c>
      <c r="E85" s="39" t="str">
        <f>IFERROR(INDEX(Katalog!$B$3:$B$12,MATCH(cadangan[[#This Row],[ItemID A]],Katalog!$C$3:$C$12,0)),"-")</f>
        <v>Dress</v>
      </c>
      <c r="F85" s="50">
        <v>2</v>
      </c>
      <c r="G85" s="50">
        <v>4</v>
      </c>
      <c r="H85" s="73">
        <f>IFERROR(INDEX(Katalog!$D$3:$D$12,MATCH(cadangan[[#This Row],[ItemID A]],Katalog!$C$3:$C$12,0))*cadangan[[#This Row],[Qty A]],0)</f>
        <v>600000</v>
      </c>
      <c r="I85" s="73">
        <f>IFERROR(cadangan[[#This Row],[Harga Normal A]]-(cadangan[[#This Row],[Harga Normal A]]*cadangan[[#This Row],[Diskon]]),cadangan[[#This Row],[Harga Normal A]])</f>
        <v>510000</v>
      </c>
      <c r="J85" s="73">
        <f>INDEX(Katalog!$F$3:$F$12,MATCH(cadangan[[#This Row],[ItemID A]],Katalog!$C$3:$C$12,0))*cadangan[[#This Row],[Qty A]]</f>
        <v>200000</v>
      </c>
      <c r="K85" s="73">
        <f>IFERROR(cadangan[[#This Row],[Harga Diskon A]]-INDEX(Katalog!$E$3:$E$12,MATCH(cadangan[[#This Row],[ItemID A]],Katalog!$C$3:$C$12,0))*cadangan[[#This Row],[Qty A]],0)</f>
        <v>110000</v>
      </c>
      <c r="L85" s="39" t="s">
        <v>61</v>
      </c>
      <c r="M85" s="39" t="str">
        <f>IFERROR(INDEX(Katalog!$A$3:$A$12,MATCH(cadangan[[#This Row],[ItemID B]],Katalog!$C$3:$C$12,0)),"-")</f>
        <v>Pakaian Pria</v>
      </c>
      <c r="N85" s="39" t="str">
        <f>IFERROR(INDEX(Katalog!$B$3:$B$12,MATCH(cadangan[[#This Row],[ItemID B]],Katalog!$C$3:$C$12,0)),"-")</f>
        <v>Kaos Polo</v>
      </c>
      <c r="O85" s="50">
        <v>1</v>
      </c>
      <c r="P85" s="50">
        <v>3</v>
      </c>
      <c r="Q85" s="73">
        <f>IFERROR(INDEX(Katalog!$D$3:$D$12,MATCH(cadangan[[#This Row],[ItemID B]],Katalog!$C$3:$C$12,0))*cadangan[[#This Row],[Qty B]],0)</f>
        <v>200000</v>
      </c>
      <c r="R85" s="73">
        <f>IFERROR(cadangan[[#This Row],[Harga Normal B]]-(cadangan[[#This Row],[Harga Normal B]]*cadangan[[#This Row],[Diskon]]),cadangan[[#This Row],[Harga Normal B]])</f>
        <v>170000</v>
      </c>
      <c r="S85" s="73">
        <f>IFERROR(INDEX(Katalog!$F$3:$F$12,MATCH(cadangan[[#This Row],[ItemID B]],Katalog!$C$3:$C$12,0))*cadangan[[#This Row],[Qty B]],0)</f>
        <v>80000</v>
      </c>
      <c r="T85" s="73">
        <f>IFERROR(cadangan[[#This Row],[Harga Diskon B]]-INDEX(Katalog!$E$3:$E$12,MATCH(cadangan[[#This Row],[ItemID B]],Katalog!$C$3:$C$12,0))*cadangan[[#This Row],[Qty B]],0)</f>
        <v>50000</v>
      </c>
      <c r="V85" s="39" t="str">
        <f>IFERROR(INDEX(Katalog!$A$3:$A$12,MATCH(cadangan[[#This Row],[ItemID C]],Katalog!$C$3:$C$12,0)),"-")</f>
        <v>-</v>
      </c>
      <c r="W85" s="39" t="str">
        <f>IFERROR(INDEX(Katalog!$B$3:$B$12,MATCH(cadangan[[#This Row],[ItemID C]],Katalog!$C$3:$C$12,0)),"-")</f>
        <v>-</v>
      </c>
      <c r="Z85" s="73">
        <f>IFERROR(INDEX(Katalog!$D$3:$D$12,MATCH(cadangan[[#This Row],[ItemID C]],Katalog!$C$3:$C$12,0))*cadangan[[#This Row],[Qty C]],0)</f>
        <v>0</v>
      </c>
      <c r="AA85" s="73">
        <f>IFERROR(cadangan[[#This Row],[Harga Normal C]]-(cadangan[[#This Row],[Harga Normal C]]*cadangan[[#This Row],[Diskon]]),cadangan[[#This Row],[Harga Normal C]])</f>
        <v>0</v>
      </c>
      <c r="AB85" s="73">
        <f>IFERROR(INDEX(Katalog!$F$3:$F$12,MATCH(cadangan[[#This Row],[ItemID C]],Katalog!$C$3:$C$12,0))*cadangan[[#This Row],[Qty C]],0)</f>
        <v>0</v>
      </c>
      <c r="AC85" s="73">
        <f>IFERROR(cadangan[[#This Row],[Harga Diskon C]]-INDEX(Katalog!$E$3:$E$12,MATCH(cadangan[[#This Row],[ItemID C]],Katalog!$C$3:$C$12,0))*cadangan[[#This Row],[Qty C]],0)</f>
        <v>0</v>
      </c>
      <c r="AD85" s="53">
        <f>cadangan[[#This Row],[Qty A]]+cadangan[[#This Row],[Qty B]]+cadangan[[#This Row],[Qty C]]</f>
        <v>3</v>
      </c>
      <c r="AE85" s="73">
        <f>cadangan[[#This Row],[Harga Normal A]]+cadangan[[#This Row],[Harga Normal B]]+cadangan[[#This Row],[Harga Normal C]]</f>
        <v>800000</v>
      </c>
      <c r="AF85" s="73">
        <f>cadangan[[#This Row],[Harga Diskon A]]+cadangan[[#This Row],[Harga Diskon B]]+cadangan[[#This Row],[Harga Diskon C]]</f>
        <v>680000</v>
      </c>
      <c r="AG85" s="73">
        <f>(cadangan[[#This Row],[Profit Normal A]]+cadangan[[#This Row],[Profit Normal B]]+cadangan[[#This Row],[Profit Normal C]])</f>
        <v>280000</v>
      </c>
      <c r="AH85" s="73">
        <f>cadangan[[#This Row],[Profit Diskon A]]+cadangan[[#This Row],[Profit Diskon B]]+cadangan[[#This Row],[Profit Diskon C]]</f>
        <v>160000</v>
      </c>
      <c r="AI85" s="23" t="s">
        <v>32</v>
      </c>
      <c r="AJ85" s="37">
        <f>IFERROR(INDEX('Kode Diskon'!$D$3:$D$9,MATCH(cadangan[[#This Row],[Kode diskon]],'Kode Diskon'!$C$3:$C$9,0)),"-")</f>
        <v>0.15</v>
      </c>
      <c r="AK85" s="23" t="s">
        <v>9</v>
      </c>
      <c r="AL85" s="23" t="s">
        <v>12</v>
      </c>
      <c r="AM85" s="23" t="s">
        <v>75</v>
      </c>
      <c r="AN85" s="55">
        <v>45032</v>
      </c>
      <c r="AO85" s="53">
        <f>DAY(cadangan[[#This Row],[Tanggal terjual]])</f>
        <v>16</v>
      </c>
      <c r="AP85" s="21" t="str">
        <f>TEXT(cadangan[[#This Row],[Tanggal terjual]],"dddd")</f>
        <v>Sunday</v>
      </c>
      <c r="AQ85" s="23" t="str" cm="1">
        <f t="array" ref="AQ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5" s="61">
        <f>AVERAGE(cadangan[[#This Row],[Rating A]],cadangan[[#This Row],[Rating B]],cadangan[[#This Row],[Rating C]])</f>
        <v>3.5</v>
      </c>
    </row>
    <row r="86" spans="1:44" x14ac:dyDescent="0.2">
      <c r="A86" s="20">
        <v>85</v>
      </c>
      <c r="B86" s="21" t="str">
        <f>_xlfn.CONCAT("ORD-",INDEX(Helper!$B$2:$B$5,MATCH(cadangan[[#This Row],[Marketplace]],Helper!$A$2:$A$5,0)),TEXT(cadangan[[#This Row],[No]],"0000"),"-",TEXT(cadangan[[#This Row],[Tanggal terjual]],"dd/mm/yy"))</f>
        <v>ORD-TK0085-02/04/23</v>
      </c>
      <c r="C86" s="39" t="s">
        <v>63</v>
      </c>
      <c r="D86" s="39" t="str">
        <f>IFERROR(INDEX(Katalog!$A$3:$A$12,MATCH(cadangan[[#This Row],[ItemID A]],Katalog!$C$3:$C$12,0)),"-")</f>
        <v>Pakaian Pria</v>
      </c>
      <c r="E86" s="39" t="str">
        <f>IFERROR(INDEX(Katalog!$B$3:$B$12,MATCH(cadangan[[#This Row],[ItemID A]],Katalog!$C$3:$C$12,0)),"-")</f>
        <v>Jaket Jeans</v>
      </c>
      <c r="F86" s="50">
        <v>2</v>
      </c>
      <c r="G86" s="50">
        <v>1</v>
      </c>
      <c r="H86" s="73">
        <f>IFERROR(INDEX(Katalog!$D$3:$D$12,MATCH(cadangan[[#This Row],[ItemID A]],Katalog!$C$3:$C$12,0))*cadangan[[#This Row],[Qty A]],0)</f>
        <v>800000</v>
      </c>
      <c r="I86" s="73">
        <f>IFERROR(cadangan[[#This Row],[Harga Normal A]]-(cadangan[[#This Row],[Harga Normal A]]*cadangan[[#This Row],[Diskon]]),cadangan[[#This Row],[Harga Normal A]])</f>
        <v>720000</v>
      </c>
      <c r="J86" s="73">
        <f>INDEX(Katalog!$F$3:$F$12,MATCH(cadangan[[#This Row],[ItemID A]],Katalog!$C$3:$C$12,0))*cadangan[[#This Row],[Qty A]]</f>
        <v>300000</v>
      </c>
      <c r="K86" s="73">
        <f>IFERROR(cadangan[[#This Row],[Harga Diskon A]]-INDEX(Katalog!$E$3:$E$12,MATCH(cadangan[[#This Row],[ItemID A]],Katalog!$C$3:$C$12,0))*cadangan[[#This Row],[Qty A]],0)</f>
        <v>220000</v>
      </c>
      <c r="L86" s="39" t="s">
        <v>59</v>
      </c>
      <c r="M86" s="39" t="str">
        <f>IFERROR(INDEX(Katalog!$A$3:$A$12,MATCH(cadangan[[#This Row],[ItemID B]],Katalog!$C$3:$C$12,0)),"-")</f>
        <v>Pakaian Wanita</v>
      </c>
      <c r="N86" s="39" t="str">
        <f>IFERROR(INDEX(Katalog!$B$3:$B$12,MATCH(cadangan[[#This Row],[ItemID B]],Katalog!$C$3:$C$12,0)),"-")</f>
        <v>Blouse</v>
      </c>
      <c r="O86" s="50">
        <v>1</v>
      </c>
      <c r="P86" s="50">
        <v>2</v>
      </c>
      <c r="Q86" s="73">
        <f>IFERROR(INDEX(Katalog!$D$3:$D$12,MATCH(cadangan[[#This Row],[ItemID B]],Katalog!$C$3:$C$12,0))*cadangan[[#This Row],[Qty B]],0)</f>
        <v>150000</v>
      </c>
      <c r="R86" s="73">
        <f>IFERROR(cadangan[[#This Row],[Harga Normal B]]-(cadangan[[#This Row],[Harga Normal B]]*cadangan[[#This Row],[Diskon]]),cadangan[[#This Row],[Harga Normal B]])</f>
        <v>135000</v>
      </c>
      <c r="S86" s="73">
        <f>IFERROR(INDEX(Katalog!$F$3:$F$12,MATCH(cadangan[[#This Row],[ItemID B]],Katalog!$C$3:$C$12,0))*cadangan[[#This Row],[Qty B]],0)</f>
        <v>50000</v>
      </c>
      <c r="T86" s="73">
        <f>IFERROR(cadangan[[#This Row],[Harga Diskon B]]-INDEX(Katalog!$E$3:$E$12,MATCH(cadangan[[#This Row],[ItemID B]],Katalog!$C$3:$C$12,0))*cadangan[[#This Row],[Qty B]],0)</f>
        <v>35000</v>
      </c>
      <c r="U86" s="39" t="s">
        <v>62</v>
      </c>
      <c r="V86" s="39" t="str">
        <f>IFERROR(INDEX(Katalog!$A$3:$A$12,MATCH(cadangan[[#This Row],[ItemID C]],Katalog!$C$3:$C$12,0)),"-")</f>
        <v>Pakaian Pria</v>
      </c>
      <c r="W86" s="39" t="str">
        <f>IFERROR(INDEX(Katalog!$B$3:$B$12,MATCH(cadangan[[#This Row],[ItemID C]],Katalog!$C$3:$C$12,0)),"-")</f>
        <v>Celana Pendek</v>
      </c>
      <c r="X86" s="50">
        <v>1</v>
      </c>
      <c r="Y86" s="50">
        <v>4</v>
      </c>
      <c r="Z86" s="73">
        <f>IFERROR(INDEX(Katalog!$D$3:$D$12,MATCH(cadangan[[#This Row],[ItemID C]],Katalog!$C$3:$C$12,0))*cadangan[[#This Row],[Qty C]],0)</f>
        <v>180000</v>
      </c>
      <c r="AA86" s="73">
        <f>IFERROR(cadangan[[#This Row],[Harga Normal C]]-(cadangan[[#This Row],[Harga Normal C]]*cadangan[[#This Row],[Diskon]]),cadangan[[#This Row],[Harga Normal C]])</f>
        <v>162000</v>
      </c>
      <c r="AB86" s="73">
        <f>IFERROR(INDEX(Katalog!$F$3:$F$12,MATCH(cadangan[[#This Row],[ItemID C]],Katalog!$C$3:$C$12,0))*cadangan[[#This Row],[Qty C]],0)</f>
        <v>70000</v>
      </c>
      <c r="AC86" s="73">
        <f>IFERROR(cadangan[[#This Row],[Harga Diskon C]]-INDEX(Katalog!$E$3:$E$12,MATCH(cadangan[[#This Row],[ItemID C]],Katalog!$C$3:$C$12,0))*cadangan[[#This Row],[Qty C]],0)</f>
        <v>52000</v>
      </c>
      <c r="AD86" s="53">
        <f>cadangan[[#This Row],[Qty A]]+cadangan[[#This Row],[Qty B]]+cadangan[[#This Row],[Qty C]]</f>
        <v>4</v>
      </c>
      <c r="AE86" s="73">
        <f>cadangan[[#This Row],[Harga Normal A]]+cadangan[[#This Row],[Harga Normal B]]+cadangan[[#This Row],[Harga Normal C]]</f>
        <v>1130000</v>
      </c>
      <c r="AF86" s="73">
        <f>cadangan[[#This Row],[Harga Diskon A]]+cadangan[[#This Row],[Harga Diskon B]]+cadangan[[#This Row],[Harga Diskon C]]</f>
        <v>1017000</v>
      </c>
      <c r="AG86" s="73">
        <f>(cadangan[[#This Row],[Profit Normal A]]+cadangan[[#This Row],[Profit Normal B]]+cadangan[[#This Row],[Profit Normal C]])</f>
        <v>420000</v>
      </c>
      <c r="AH86" s="73">
        <f>cadangan[[#This Row],[Profit Diskon A]]+cadangan[[#This Row],[Profit Diskon B]]+cadangan[[#This Row],[Profit Diskon C]]</f>
        <v>307000</v>
      </c>
      <c r="AI86" s="23" t="s">
        <v>30</v>
      </c>
      <c r="AJ86" s="37">
        <f>IFERROR(INDEX('Kode Diskon'!$D$3:$D$9,MATCH(cadangan[[#This Row],[Kode diskon]],'Kode Diskon'!$C$3:$C$9,0)),"-")</f>
        <v>0.1</v>
      </c>
      <c r="AK86" s="23" t="s">
        <v>29</v>
      </c>
      <c r="AL86" s="23" t="s">
        <v>10</v>
      </c>
      <c r="AM86" s="23" t="s">
        <v>75</v>
      </c>
      <c r="AN86" s="55">
        <v>45018</v>
      </c>
      <c r="AO86" s="53">
        <f>DAY(cadangan[[#This Row],[Tanggal terjual]])</f>
        <v>2</v>
      </c>
      <c r="AP86" s="21" t="str">
        <f>TEXT(cadangan[[#This Row],[Tanggal terjual]],"dddd")</f>
        <v>Sunday</v>
      </c>
      <c r="AQ86" s="23" t="str" cm="1">
        <f t="array" ref="AQ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6" s="61">
        <f>AVERAGE(cadangan[[#This Row],[Rating A]],cadangan[[#This Row],[Rating B]],cadangan[[#This Row],[Rating C]])</f>
        <v>2.3333333333333335</v>
      </c>
    </row>
    <row r="87" spans="1:44" x14ac:dyDescent="0.2">
      <c r="A87" s="20">
        <v>86</v>
      </c>
      <c r="B87" s="21" t="str">
        <f>_xlfn.CONCAT("ORD-",INDEX(Helper!$B$2:$B$5,MATCH(cadangan[[#This Row],[Marketplace]],Helper!$A$2:$A$5,0)),TEXT(cadangan[[#This Row],[No]],"0000"),"-",TEXT(cadangan[[#This Row],[Tanggal terjual]],"dd/mm/yy"))</f>
        <v>ORD-SP0086-01/04/23</v>
      </c>
      <c r="C87" s="39" t="s">
        <v>60</v>
      </c>
      <c r="D87" s="39" t="str">
        <f>IFERROR(INDEX(Katalog!$A$3:$A$12,MATCH(cadangan[[#This Row],[ItemID A]],Katalog!$C$3:$C$12,0)),"-")</f>
        <v>Pakaian Wanita</v>
      </c>
      <c r="E87" s="39" t="str">
        <f>IFERROR(INDEX(Katalog!$B$3:$B$12,MATCH(cadangan[[#This Row],[ItemID A]],Katalog!$C$3:$C$12,0)),"-")</f>
        <v>Kaftan</v>
      </c>
      <c r="F87" s="50">
        <v>4</v>
      </c>
      <c r="G87" s="50">
        <v>2</v>
      </c>
      <c r="H87" s="73">
        <f>IFERROR(INDEX(Katalog!$D$3:$D$12,MATCH(cadangan[[#This Row],[ItemID A]],Katalog!$C$3:$C$12,0))*cadangan[[#This Row],[Qty A]],0)</f>
        <v>1000000</v>
      </c>
      <c r="I87" s="73">
        <f>IFERROR(cadangan[[#This Row],[Harga Normal A]]-(cadangan[[#This Row],[Harga Normal A]]*cadangan[[#This Row],[Diskon]]),cadangan[[#This Row],[Harga Normal A]])</f>
        <v>900000</v>
      </c>
      <c r="J87" s="73">
        <f>INDEX(Katalog!$F$3:$F$12,MATCH(cadangan[[#This Row],[ItemID A]],Katalog!$C$3:$C$12,0))*cadangan[[#This Row],[Qty A]]</f>
        <v>400000</v>
      </c>
      <c r="K87" s="73">
        <f>IFERROR(cadangan[[#This Row],[Harga Diskon A]]-INDEX(Katalog!$E$3:$E$12,MATCH(cadangan[[#This Row],[ItemID A]],Katalog!$C$3:$C$12,0))*cadangan[[#This Row],[Qty A]],0)</f>
        <v>300000</v>
      </c>
      <c r="L87" s="39" t="s">
        <v>58</v>
      </c>
      <c r="M87" s="39" t="str">
        <f>IFERROR(INDEX(Katalog!$A$3:$A$12,MATCH(cadangan[[#This Row],[ItemID B]],Katalog!$C$3:$C$12,0)),"-")</f>
        <v>Pakaian Wanita</v>
      </c>
      <c r="N87" s="39" t="str">
        <f>IFERROR(INDEX(Katalog!$B$3:$B$12,MATCH(cadangan[[#This Row],[ItemID B]],Katalog!$C$3:$C$12,0)),"-")</f>
        <v>Dress</v>
      </c>
      <c r="O87" s="50">
        <v>1</v>
      </c>
      <c r="P87" s="50">
        <v>5</v>
      </c>
      <c r="Q87" s="73">
        <f>IFERROR(INDEX(Katalog!$D$3:$D$12,MATCH(cadangan[[#This Row],[ItemID B]],Katalog!$C$3:$C$12,0))*cadangan[[#This Row],[Qty B]],0)</f>
        <v>300000</v>
      </c>
      <c r="R87" s="73">
        <f>IFERROR(cadangan[[#This Row],[Harga Normal B]]-(cadangan[[#This Row],[Harga Normal B]]*cadangan[[#This Row],[Diskon]]),cadangan[[#This Row],[Harga Normal B]])</f>
        <v>270000</v>
      </c>
      <c r="S87" s="73">
        <f>IFERROR(INDEX(Katalog!$F$3:$F$12,MATCH(cadangan[[#This Row],[ItemID B]],Katalog!$C$3:$C$12,0))*cadangan[[#This Row],[Qty B]],0)</f>
        <v>100000</v>
      </c>
      <c r="T87" s="73">
        <f>IFERROR(cadangan[[#This Row],[Harga Diskon B]]-INDEX(Katalog!$E$3:$E$12,MATCH(cadangan[[#This Row],[ItemID B]],Katalog!$C$3:$C$12,0))*cadangan[[#This Row],[Qty B]],0)</f>
        <v>70000</v>
      </c>
      <c r="V87" s="39" t="str">
        <f>IFERROR(INDEX(Katalog!$A$3:$A$12,MATCH(cadangan[[#This Row],[ItemID C]],Katalog!$C$3:$C$12,0)),"-")</f>
        <v>-</v>
      </c>
      <c r="W87" s="39" t="str">
        <f>IFERROR(INDEX(Katalog!$B$3:$B$12,MATCH(cadangan[[#This Row],[ItemID C]],Katalog!$C$3:$C$12,0)),"-")</f>
        <v>-</v>
      </c>
      <c r="Z87" s="73">
        <f>IFERROR(INDEX(Katalog!$D$3:$D$12,MATCH(cadangan[[#This Row],[ItemID C]],Katalog!$C$3:$C$12,0))*cadangan[[#This Row],[Qty C]],0)</f>
        <v>0</v>
      </c>
      <c r="AA87" s="73">
        <f>IFERROR(cadangan[[#This Row],[Harga Normal C]]-(cadangan[[#This Row],[Harga Normal C]]*cadangan[[#This Row],[Diskon]]),cadangan[[#This Row],[Harga Normal C]])</f>
        <v>0</v>
      </c>
      <c r="AB87" s="73">
        <f>IFERROR(INDEX(Katalog!$F$3:$F$12,MATCH(cadangan[[#This Row],[ItemID C]],Katalog!$C$3:$C$12,0))*cadangan[[#This Row],[Qty C]],0)</f>
        <v>0</v>
      </c>
      <c r="AC87" s="73">
        <f>IFERROR(cadangan[[#This Row],[Harga Diskon C]]-INDEX(Katalog!$E$3:$E$12,MATCH(cadangan[[#This Row],[ItemID C]],Katalog!$C$3:$C$12,0))*cadangan[[#This Row],[Qty C]],0)</f>
        <v>0</v>
      </c>
      <c r="AD87" s="53">
        <f>cadangan[[#This Row],[Qty A]]+cadangan[[#This Row],[Qty B]]+cadangan[[#This Row],[Qty C]]</f>
        <v>5</v>
      </c>
      <c r="AE87" s="73">
        <f>cadangan[[#This Row],[Harga Normal A]]+cadangan[[#This Row],[Harga Normal B]]+cadangan[[#This Row],[Harga Normal C]]</f>
        <v>1300000</v>
      </c>
      <c r="AF87" s="73">
        <f>cadangan[[#This Row],[Harga Diskon A]]+cadangan[[#This Row],[Harga Diskon B]]+cadangan[[#This Row],[Harga Diskon C]]</f>
        <v>1170000</v>
      </c>
      <c r="AG87" s="73">
        <f>(cadangan[[#This Row],[Profit Normal A]]+cadangan[[#This Row],[Profit Normal B]]+cadangan[[#This Row],[Profit Normal C]])</f>
        <v>500000</v>
      </c>
      <c r="AH87" s="73">
        <f>cadangan[[#This Row],[Profit Diskon A]]+cadangan[[#This Row],[Profit Diskon B]]+cadangan[[#This Row],[Profit Diskon C]]</f>
        <v>370000</v>
      </c>
      <c r="AI87" s="23" t="s">
        <v>6</v>
      </c>
      <c r="AJ87" s="37">
        <f>IFERROR(INDEX('Kode Diskon'!$D$3:$D$9,MATCH(cadangan[[#This Row],[Kode diskon]],'Kode Diskon'!$C$3:$C$9,0)),"-")</f>
        <v>0.1</v>
      </c>
      <c r="AK87" s="23" t="s">
        <v>29</v>
      </c>
      <c r="AL87" s="23" t="s">
        <v>7</v>
      </c>
      <c r="AM87" s="23" t="s">
        <v>79</v>
      </c>
      <c r="AN87" s="55">
        <v>45017</v>
      </c>
      <c r="AO87" s="53">
        <f>DAY(cadangan[[#This Row],[Tanggal terjual]])</f>
        <v>1</v>
      </c>
      <c r="AP87" s="21" t="str">
        <f>TEXT(cadangan[[#This Row],[Tanggal terjual]],"dddd")</f>
        <v>Saturday</v>
      </c>
      <c r="AQ87" s="23" t="str" cm="1">
        <f t="array" ref="AQ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7" s="61">
        <f>AVERAGE(cadangan[[#This Row],[Rating A]],cadangan[[#This Row],[Rating B]],cadangan[[#This Row],[Rating C]])</f>
        <v>3.5</v>
      </c>
    </row>
    <row r="88" spans="1:44" x14ac:dyDescent="0.2">
      <c r="A88" s="20">
        <v>87</v>
      </c>
      <c r="B88" s="21" t="str">
        <f>_xlfn.CONCAT("ORD-",INDEX(Helper!$B$2:$B$5,MATCH(cadangan[[#This Row],[Marketplace]],Helper!$A$2:$A$5,0)),TEXT(cadangan[[#This Row],[No]],"0000"),"-",TEXT(cadangan[[#This Row],[Tanggal terjual]],"dd/mm/yy"))</f>
        <v>ORD-BL0087-30/04/23</v>
      </c>
      <c r="C88" s="39" t="s">
        <v>62</v>
      </c>
      <c r="D88" s="39" t="str">
        <f>IFERROR(INDEX(Katalog!$A$3:$A$12,MATCH(cadangan[[#This Row],[ItemID A]],Katalog!$C$3:$C$12,0)),"-")</f>
        <v>Pakaian Pria</v>
      </c>
      <c r="E88" s="39" t="str">
        <f>IFERROR(INDEX(Katalog!$B$3:$B$12,MATCH(cadangan[[#This Row],[ItemID A]],Katalog!$C$3:$C$12,0)),"-")</f>
        <v>Celana Pendek</v>
      </c>
      <c r="F88" s="50">
        <v>5</v>
      </c>
      <c r="G88" s="50">
        <v>2</v>
      </c>
      <c r="H88" s="73">
        <f>IFERROR(INDEX(Katalog!$D$3:$D$12,MATCH(cadangan[[#This Row],[ItemID A]],Katalog!$C$3:$C$12,0))*cadangan[[#This Row],[Qty A]],0)</f>
        <v>900000</v>
      </c>
      <c r="I88" s="73">
        <f>IFERROR(cadangan[[#This Row],[Harga Normal A]]-(cadangan[[#This Row],[Harga Normal A]]*cadangan[[#This Row],[Diskon]]),cadangan[[#This Row],[Harga Normal A]])</f>
        <v>765000</v>
      </c>
      <c r="J88" s="73">
        <f>INDEX(Katalog!$F$3:$F$12,MATCH(cadangan[[#This Row],[ItemID A]],Katalog!$C$3:$C$12,0))*cadangan[[#This Row],[Qty A]]</f>
        <v>350000</v>
      </c>
      <c r="K88" s="73">
        <f>IFERROR(cadangan[[#This Row],[Harga Diskon A]]-INDEX(Katalog!$E$3:$E$12,MATCH(cadangan[[#This Row],[ItemID A]],Katalog!$C$3:$C$12,0))*cadangan[[#This Row],[Qty A]],0)</f>
        <v>215000</v>
      </c>
      <c r="L88" s="39" t="s">
        <v>65</v>
      </c>
      <c r="M88" s="39" t="str">
        <f>IFERROR(INDEX(Katalog!$A$3:$A$12,MATCH(cadangan[[#This Row],[ItemID B]],Katalog!$C$3:$C$12,0)),"-")</f>
        <v>Sepatu Pria</v>
      </c>
      <c r="N88" s="39" t="str">
        <f>IFERROR(INDEX(Katalog!$B$3:$B$12,MATCH(cadangan[[#This Row],[ItemID B]],Katalog!$C$3:$C$12,0)),"-")</f>
        <v>Sneakers</v>
      </c>
      <c r="O88" s="50">
        <v>1</v>
      </c>
      <c r="P88" s="50">
        <v>4</v>
      </c>
      <c r="Q88" s="73">
        <f>IFERROR(INDEX(Katalog!$D$3:$D$12,MATCH(cadangan[[#This Row],[ItemID B]],Katalog!$C$3:$C$12,0))*cadangan[[#This Row],[Qty B]],0)</f>
        <v>500000</v>
      </c>
      <c r="R88" s="73">
        <f>IFERROR(cadangan[[#This Row],[Harga Normal B]]-(cadangan[[#This Row],[Harga Normal B]]*cadangan[[#This Row],[Diskon]]),cadangan[[#This Row],[Harga Normal B]])</f>
        <v>425000</v>
      </c>
      <c r="S88" s="73">
        <f>IFERROR(INDEX(Katalog!$F$3:$F$12,MATCH(cadangan[[#This Row],[ItemID B]],Katalog!$C$3:$C$12,0))*cadangan[[#This Row],[Qty B]],0)</f>
        <v>200000</v>
      </c>
      <c r="T88" s="73">
        <f>IFERROR(cadangan[[#This Row],[Harga Diskon B]]-INDEX(Katalog!$E$3:$E$12,MATCH(cadangan[[#This Row],[ItemID B]],Katalog!$C$3:$C$12,0))*cadangan[[#This Row],[Qty B]],0)</f>
        <v>125000</v>
      </c>
      <c r="U88" s="39" t="s">
        <v>59</v>
      </c>
      <c r="V88" s="39" t="str">
        <f>IFERROR(INDEX(Katalog!$A$3:$A$12,MATCH(cadangan[[#This Row],[ItemID C]],Katalog!$C$3:$C$12,0)),"-")</f>
        <v>Pakaian Wanita</v>
      </c>
      <c r="W88" s="39" t="str">
        <f>IFERROR(INDEX(Katalog!$B$3:$B$12,MATCH(cadangan[[#This Row],[ItemID C]],Katalog!$C$3:$C$12,0)),"-")</f>
        <v>Blouse</v>
      </c>
      <c r="X88" s="50">
        <v>1</v>
      </c>
      <c r="Y88" s="50">
        <v>4</v>
      </c>
      <c r="Z88" s="73">
        <f>IFERROR(INDEX(Katalog!$D$3:$D$12,MATCH(cadangan[[#This Row],[ItemID C]],Katalog!$C$3:$C$12,0))*cadangan[[#This Row],[Qty C]],0)</f>
        <v>150000</v>
      </c>
      <c r="AA88" s="73">
        <f>IFERROR(cadangan[[#This Row],[Harga Normal C]]-(cadangan[[#This Row],[Harga Normal C]]*cadangan[[#This Row],[Diskon]]),cadangan[[#This Row],[Harga Normal C]])</f>
        <v>127500</v>
      </c>
      <c r="AB88" s="73">
        <f>IFERROR(INDEX(Katalog!$F$3:$F$12,MATCH(cadangan[[#This Row],[ItemID C]],Katalog!$C$3:$C$12,0))*cadangan[[#This Row],[Qty C]],0)</f>
        <v>50000</v>
      </c>
      <c r="AC88" s="73">
        <f>IFERROR(cadangan[[#This Row],[Harga Diskon C]]-INDEX(Katalog!$E$3:$E$12,MATCH(cadangan[[#This Row],[ItemID C]],Katalog!$C$3:$C$12,0))*cadangan[[#This Row],[Qty C]],0)</f>
        <v>27500</v>
      </c>
      <c r="AD88" s="53">
        <f>cadangan[[#This Row],[Qty A]]+cadangan[[#This Row],[Qty B]]+cadangan[[#This Row],[Qty C]]</f>
        <v>7</v>
      </c>
      <c r="AE88" s="73">
        <f>cadangan[[#This Row],[Harga Normal A]]+cadangan[[#This Row],[Harga Normal B]]+cadangan[[#This Row],[Harga Normal C]]</f>
        <v>1550000</v>
      </c>
      <c r="AF88" s="73">
        <f>cadangan[[#This Row],[Harga Diskon A]]+cadangan[[#This Row],[Harga Diskon B]]+cadangan[[#This Row],[Harga Diskon C]]</f>
        <v>1317500</v>
      </c>
      <c r="AG88" s="73">
        <f>(cadangan[[#This Row],[Profit Normal A]]+cadangan[[#This Row],[Profit Normal B]]+cadangan[[#This Row],[Profit Normal C]])</f>
        <v>600000</v>
      </c>
      <c r="AH88" s="73">
        <f>cadangan[[#This Row],[Profit Diskon A]]+cadangan[[#This Row],[Profit Diskon B]]+cadangan[[#This Row],[Profit Diskon C]]</f>
        <v>367500</v>
      </c>
      <c r="AI88" s="23" t="s">
        <v>32</v>
      </c>
      <c r="AJ88" s="37">
        <f>IFERROR(INDEX('Kode Diskon'!$D$3:$D$9,MATCH(cadangan[[#This Row],[Kode diskon]],'Kode Diskon'!$C$3:$C$9,0)),"-")</f>
        <v>0.15</v>
      </c>
      <c r="AK88" s="23" t="s">
        <v>9</v>
      </c>
      <c r="AL88" s="23" t="s">
        <v>12</v>
      </c>
      <c r="AM88" s="23" t="s">
        <v>76</v>
      </c>
      <c r="AN88" s="55">
        <v>45046</v>
      </c>
      <c r="AO88" s="53">
        <f>DAY(cadangan[[#This Row],[Tanggal terjual]])</f>
        <v>30</v>
      </c>
      <c r="AP88" s="21" t="str">
        <f>TEXT(cadangan[[#This Row],[Tanggal terjual]],"dddd")</f>
        <v>Sunday</v>
      </c>
      <c r="AQ88" s="23" t="str" cm="1">
        <f t="array" ref="AQ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8" s="61">
        <f>AVERAGE(cadangan[[#This Row],[Rating A]],cadangan[[#This Row],[Rating B]],cadangan[[#This Row],[Rating C]])</f>
        <v>3.3333333333333335</v>
      </c>
    </row>
    <row r="89" spans="1:44" x14ac:dyDescent="0.2">
      <c r="A89" s="20">
        <v>88</v>
      </c>
      <c r="B89" s="21" t="str">
        <f>_xlfn.CONCAT("ORD-",INDEX(Helper!$B$2:$B$5,MATCH(cadangan[[#This Row],[Marketplace]],Helper!$A$2:$A$5,0)),TEXT(cadangan[[#This Row],[No]],"0000"),"-",TEXT(cadangan[[#This Row],[Tanggal terjual]],"dd/mm/yy"))</f>
        <v>ORD-BL0088-16/04/23</v>
      </c>
      <c r="C89" s="39" t="s">
        <v>67</v>
      </c>
      <c r="D89" s="39" t="str">
        <f>IFERROR(INDEX(Katalog!$A$3:$A$12,MATCH(cadangan[[#This Row],[ItemID A]],Katalog!$C$3:$C$12,0)),"-")</f>
        <v>Sepatu Wanita</v>
      </c>
      <c r="E89" s="39" t="str">
        <f>IFERROR(INDEX(Katalog!$B$3:$B$12,MATCH(cadangan[[#This Row],[ItemID A]],Katalog!$C$3:$C$12,0)),"-")</f>
        <v>Flat Shoes</v>
      </c>
      <c r="F89" s="50">
        <v>2</v>
      </c>
      <c r="G89" s="50">
        <v>3</v>
      </c>
      <c r="H89" s="73">
        <f>IFERROR(INDEX(Katalog!$D$3:$D$12,MATCH(cadangan[[#This Row],[ItemID A]],Katalog!$C$3:$C$12,0))*cadangan[[#This Row],[Qty A]],0)</f>
        <v>500000</v>
      </c>
      <c r="I89" s="73">
        <f>IFERROR(cadangan[[#This Row],[Harga Normal A]]-(cadangan[[#This Row],[Harga Normal A]]*cadangan[[#This Row],[Diskon]]),cadangan[[#This Row],[Harga Normal A]])</f>
        <v>425000</v>
      </c>
      <c r="J89" s="73">
        <f>INDEX(Katalog!$F$3:$F$12,MATCH(cadangan[[#This Row],[ItemID A]],Katalog!$C$3:$C$12,0))*cadangan[[#This Row],[Qty A]]</f>
        <v>200000</v>
      </c>
      <c r="K89" s="73">
        <f>IFERROR(cadangan[[#This Row],[Harga Diskon A]]-INDEX(Katalog!$E$3:$E$12,MATCH(cadangan[[#This Row],[ItemID A]],Katalog!$C$3:$C$12,0))*cadangan[[#This Row],[Qty A]],0)</f>
        <v>125000</v>
      </c>
      <c r="L89" s="39" t="s">
        <v>58</v>
      </c>
      <c r="M89" s="39" t="str">
        <f>IFERROR(INDEX(Katalog!$A$3:$A$12,MATCH(cadangan[[#This Row],[ItemID B]],Katalog!$C$3:$C$12,0)),"-")</f>
        <v>Pakaian Wanita</v>
      </c>
      <c r="N89" s="39" t="str">
        <f>IFERROR(INDEX(Katalog!$B$3:$B$12,MATCH(cadangan[[#This Row],[ItemID B]],Katalog!$C$3:$C$12,0)),"-")</f>
        <v>Dress</v>
      </c>
      <c r="O89" s="50">
        <v>3</v>
      </c>
      <c r="P89" s="50">
        <v>1</v>
      </c>
      <c r="Q89" s="73">
        <f>IFERROR(INDEX(Katalog!$D$3:$D$12,MATCH(cadangan[[#This Row],[ItemID B]],Katalog!$C$3:$C$12,0))*cadangan[[#This Row],[Qty B]],0)</f>
        <v>900000</v>
      </c>
      <c r="R89" s="73">
        <f>IFERROR(cadangan[[#This Row],[Harga Normal B]]-(cadangan[[#This Row],[Harga Normal B]]*cadangan[[#This Row],[Diskon]]),cadangan[[#This Row],[Harga Normal B]])</f>
        <v>765000</v>
      </c>
      <c r="S89" s="73">
        <f>IFERROR(INDEX(Katalog!$F$3:$F$12,MATCH(cadangan[[#This Row],[ItemID B]],Katalog!$C$3:$C$12,0))*cadangan[[#This Row],[Qty B]],0)</f>
        <v>300000</v>
      </c>
      <c r="T89" s="73">
        <f>IFERROR(cadangan[[#This Row],[Harga Diskon B]]-INDEX(Katalog!$E$3:$E$12,MATCH(cadangan[[#This Row],[ItemID B]],Katalog!$C$3:$C$12,0))*cadangan[[#This Row],[Qty B]],0)</f>
        <v>165000</v>
      </c>
      <c r="V89" s="39" t="str">
        <f>IFERROR(INDEX(Katalog!$A$3:$A$12,MATCH(cadangan[[#This Row],[ItemID C]],Katalog!$C$3:$C$12,0)),"-")</f>
        <v>-</v>
      </c>
      <c r="W89" s="39" t="str">
        <f>IFERROR(INDEX(Katalog!$B$3:$B$12,MATCH(cadangan[[#This Row],[ItemID C]],Katalog!$C$3:$C$12,0)),"-")</f>
        <v>-</v>
      </c>
      <c r="Z89" s="73">
        <f>IFERROR(INDEX(Katalog!$D$3:$D$12,MATCH(cadangan[[#This Row],[ItemID C]],Katalog!$C$3:$C$12,0))*cadangan[[#This Row],[Qty C]],0)</f>
        <v>0</v>
      </c>
      <c r="AA89" s="73">
        <f>IFERROR(cadangan[[#This Row],[Harga Normal C]]-(cadangan[[#This Row],[Harga Normal C]]*cadangan[[#This Row],[Diskon]]),cadangan[[#This Row],[Harga Normal C]])</f>
        <v>0</v>
      </c>
      <c r="AB89" s="73">
        <f>IFERROR(INDEX(Katalog!$F$3:$F$12,MATCH(cadangan[[#This Row],[ItemID C]],Katalog!$C$3:$C$12,0))*cadangan[[#This Row],[Qty C]],0)</f>
        <v>0</v>
      </c>
      <c r="AC89" s="73">
        <f>IFERROR(cadangan[[#This Row],[Harga Diskon C]]-INDEX(Katalog!$E$3:$E$12,MATCH(cadangan[[#This Row],[ItemID C]],Katalog!$C$3:$C$12,0))*cadangan[[#This Row],[Qty C]],0)</f>
        <v>0</v>
      </c>
      <c r="AD89" s="53">
        <f>cadangan[[#This Row],[Qty A]]+cadangan[[#This Row],[Qty B]]+cadangan[[#This Row],[Qty C]]</f>
        <v>5</v>
      </c>
      <c r="AE89" s="73">
        <f>cadangan[[#This Row],[Harga Normal A]]+cadangan[[#This Row],[Harga Normal B]]+cadangan[[#This Row],[Harga Normal C]]</f>
        <v>1400000</v>
      </c>
      <c r="AF89" s="73">
        <f>cadangan[[#This Row],[Harga Diskon A]]+cadangan[[#This Row],[Harga Diskon B]]+cadangan[[#This Row],[Harga Diskon C]]</f>
        <v>1190000</v>
      </c>
      <c r="AG89" s="73">
        <f>(cadangan[[#This Row],[Profit Normal A]]+cadangan[[#This Row],[Profit Normal B]]+cadangan[[#This Row],[Profit Normal C]])</f>
        <v>500000</v>
      </c>
      <c r="AH89" s="73">
        <f>cadangan[[#This Row],[Profit Diskon A]]+cadangan[[#This Row],[Profit Diskon B]]+cadangan[[#This Row],[Profit Diskon C]]</f>
        <v>290000</v>
      </c>
      <c r="AI89" s="23" t="s">
        <v>32</v>
      </c>
      <c r="AJ89" s="37">
        <f>IFERROR(INDEX('Kode Diskon'!$D$3:$D$9,MATCH(cadangan[[#This Row],[Kode diskon]],'Kode Diskon'!$C$3:$C$9,0)),"-")</f>
        <v>0.15</v>
      </c>
      <c r="AK89" s="23" t="s">
        <v>9</v>
      </c>
      <c r="AL89" s="23" t="s">
        <v>12</v>
      </c>
      <c r="AM89" s="23" t="s">
        <v>80</v>
      </c>
      <c r="AN89" s="55">
        <v>45032</v>
      </c>
      <c r="AO89" s="53">
        <f>DAY(cadangan[[#This Row],[Tanggal terjual]])</f>
        <v>16</v>
      </c>
      <c r="AP89" s="21" t="str">
        <f>TEXT(cadangan[[#This Row],[Tanggal terjual]],"dddd")</f>
        <v>Sunday</v>
      </c>
      <c r="AQ89" s="23" t="str" cm="1">
        <f t="array" ref="AQ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9" s="61">
        <f>AVERAGE(cadangan[[#This Row],[Rating A]],cadangan[[#This Row],[Rating B]],cadangan[[#This Row],[Rating C]])</f>
        <v>2</v>
      </c>
    </row>
    <row r="90" spans="1:44" x14ac:dyDescent="0.2">
      <c r="A90" s="20">
        <v>89</v>
      </c>
      <c r="B90" s="21" t="str">
        <f>_xlfn.CONCAT("ORD-",INDEX(Helper!$B$2:$B$5,MATCH(cadangan[[#This Row],[Marketplace]],Helper!$A$2:$A$5,0)),TEXT(cadangan[[#This Row],[No]],"0000"),"-",TEXT(cadangan[[#This Row],[Tanggal terjual]],"dd/mm/yy"))</f>
        <v>ORD-SP0089-05/04/23</v>
      </c>
      <c r="C90" s="39" t="s">
        <v>60</v>
      </c>
      <c r="D90" s="39" t="str">
        <f>IFERROR(INDEX(Katalog!$A$3:$A$12,MATCH(cadangan[[#This Row],[ItemID A]],Katalog!$C$3:$C$12,0)),"-")</f>
        <v>Pakaian Wanita</v>
      </c>
      <c r="E90" s="39" t="str">
        <f>IFERROR(INDEX(Katalog!$B$3:$B$12,MATCH(cadangan[[#This Row],[ItemID A]],Katalog!$C$3:$C$12,0)),"-")</f>
        <v>Kaftan</v>
      </c>
      <c r="F90" s="50">
        <v>1</v>
      </c>
      <c r="G90" s="50">
        <v>2</v>
      </c>
      <c r="H90" s="73">
        <f>IFERROR(INDEX(Katalog!$D$3:$D$12,MATCH(cadangan[[#This Row],[ItemID A]],Katalog!$C$3:$C$12,0))*cadangan[[#This Row],[Qty A]],0)</f>
        <v>250000</v>
      </c>
      <c r="I90" s="73">
        <f>IFERROR(cadangan[[#This Row],[Harga Normal A]]-(cadangan[[#This Row],[Harga Normal A]]*cadangan[[#This Row],[Diskon]]),cadangan[[#This Row],[Harga Normal A]])</f>
        <v>225000</v>
      </c>
      <c r="J90" s="73">
        <f>INDEX(Katalog!$F$3:$F$12,MATCH(cadangan[[#This Row],[ItemID A]],Katalog!$C$3:$C$12,0))*cadangan[[#This Row],[Qty A]]</f>
        <v>100000</v>
      </c>
      <c r="K90" s="73">
        <f>IFERROR(cadangan[[#This Row],[Harga Diskon A]]-INDEX(Katalog!$E$3:$E$12,MATCH(cadangan[[#This Row],[ItemID A]],Katalog!$C$3:$C$12,0))*cadangan[[#This Row],[Qty A]],0)</f>
        <v>75000</v>
      </c>
      <c r="L90" s="39" t="s">
        <v>62</v>
      </c>
      <c r="M90" s="39" t="str">
        <f>IFERROR(INDEX(Katalog!$A$3:$A$12,MATCH(cadangan[[#This Row],[ItemID B]],Katalog!$C$3:$C$12,0)),"-")</f>
        <v>Pakaian Pria</v>
      </c>
      <c r="N90" s="39" t="str">
        <f>IFERROR(INDEX(Katalog!$B$3:$B$12,MATCH(cadangan[[#This Row],[ItemID B]],Katalog!$C$3:$C$12,0)),"-")</f>
        <v>Celana Pendek</v>
      </c>
      <c r="O90" s="50">
        <v>1</v>
      </c>
      <c r="P90" s="50">
        <v>5</v>
      </c>
      <c r="Q90" s="73">
        <f>IFERROR(INDEX(Katalog!$D$3:$D$12,MATCH(cadangan[[#This Row],[ItemID B]],Katalog!$C$3:$C$12,0))*cadangan[[#This Row],[Qty B]],0)</f>
        <v>180000</v>
      </c>
      <c r="R90" s="73">
        <f>IFERROR(cadangan[[#This Row],[Harga Normal B]]-(cadangan[[#This Row],[Harga Normal B]]*cadangan[[#This Row],[Diskon]]),cadangan[[#This Row],[Harga Normal B]])</f>
        <v>162000</v>
      </c>
      <c r="S90" s="73">
        <f>IFERROR(INDEX(Katalog!$F$3:$F$12,MATCH(cadangan[[#This Row],[ItemID B]],Katalog!$C$3:$C$12,0))*cadangan[[#This Row],[Qty B]],0)</f>
        <v>70000</v>
      </c>
      <c r="T90" s="73">
        <f>IFERROR(cadangan[[#This Row],[Harga Diskon B]]-INDEX(Katalog!$E$3:$E$12,MATCH(cadangan[[#This Row],[ItemID B]],Katalog!$C$3:$C$12,0))*cadangan[[#This Row],[Qty B]],0)</f>
        <v>52000</v>
      </c>
      <c r="V90" s="39" t="str">
        <f>IFERROR(INDEX(Katalog!$A$3:$A$12,MATCH(cadangan[[#This Row],[ItemID C]],Katalog!$C$3:$C$12,0)),"-")</f>
        <v>-</v>
      </c>
      <c r="W90" s="39" t="str">
        <f>IFERROR(INDEX(Katalog!$B$3:$B$12,MATCH(cadangan[[#This Row],[ItemID C]],Katalog!$C$3:$C$12,0)),"-")</f>
        <v>-</v>
      </c>
      <c r="Z90" s="73">
        <f>IFERROR(INDEX(Katalog!$D$3:$D$12,MATCH(cadangan[[#This Row],[ItemID C]],Katalog!$C$3:$C$12,0))*cadangan[[#This Row],[Qty C]],0)</f>
        <v>0</v>
      </c>
      <c r="AA90" s="73">
        <f>IFERROR(cadangan[[#This Row],[Harga Normal C]]-(cadangan[[#This Row],[Harga Normal C]]*cadangan[[#This Row],[Diskon]]),cadangan[[#This Row],[Harga Normal C]])</f>
        <v>0</v>
      </c>
      <c r="AB90" s="73">
        <f>IFERROR(INDEX(Katalog!$F$3:$F$12,MATCH(cadangan[[#This Row],[ItemID C]],Katalog!$C$3:$C$12,0))*cadangan[[#This Row],[Qty C]],0)</f>
        <v>0</v>
      </c>
      <c r="AC90" s="73">
        <f>IFERROR(cadangan[[#This Row],[Harga Diskon C]]-INDEX(Katalog!$E$3:$E$12,MATCH(cadangan[[#This Row],[ItemID C]],Katalog!$C$3:$C$12,0))*cadangan[[#This Row],[Qty C]],0)</f>
        <v>0</v>
      </c>
      <c r="AD90" s="53">
        <f>cadangan[[#This Row],[Qty A]]+cadangan[[#This Row],[Qty B]]+cadangan[[#This Row],[Qty C]]</f>
        <v>2</v>
      </c>
      <c r="AE90" s="73">
        <f>cadangan[[#This Row],[Harga Normal A]]+cadangan[[#This Row],[Harga Normal B]]+cadangan[[#This Row],[Harga Normal C]]</f>
        <v>430000</v>
      </c>
      <c r="AF90" s="73">
        <f>cadangan[[#This Row],[Harga Diskon A]]+cadangan[[#This Row],[Harga Diskon B]]+cadangan[[#This Row],[Harga Diskon C]]</f>
        <v>387000</v>
      </c>
      <c r="AG90" s="73">
        <f>(cadangan[[#This Row],[Profit Normal A]]+cadangan[[#This Row],[Profit Normal B]]+cadangan[[#This Row],[Profit Normal C]])</f>
        <v>170000</v>
      </c>
      <c r="AH90" s="73">
        <f>cadangan[[#This Row],[Profit Diskon A]]+cadangan[[#This Row],[Profit Diskon B]]+cadangan[[#This Row],[Profit Diskon C]]</f>
        <v>127000</v>
      </c>
      <c r="AI90" s="23" t="s">
        <v>6</v>
      </c>
      <c r="AJ90" s="37">
        <f>IFERROR(INDEX('Kode Diskon'!$D$3:$D$9,MATCH(cadangan[[#This Row],[Kode diskon]],'Kode Diskon'!$C$3:$C$9,0)),"-")</f>
        <v>0.1</v>
      </c>
      <c r="AK90" s="23" t="s">
        <v>29</v>
      </c>
      <c r="AL90" s="23" t="s">
        <v>7</v>
      </c>
      <c r="AM90" s="23" t="s">
        <v>76</v>
      </c>
      <c r="AN90" s="55">
        <v>45021</v>
      </c>
      <c r="AO90" s="53">
        <f>DAY(cadangan[[#This Row],[Tanggal terjual]])</f>
        <v>5</v>
      </c>
      <c r="AP90" s="21" t="str">
        <f>TEXT(cadangan[[#This Row],[Tanggal terjual]],"dddd")</f>
        <v>Wednesday</v>
      </c>
      <c r="AQ90" s="23" t="str" cm="1">
        <f t="array" ref="AQ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0" s="61">
        <f>AVERAGE(cadangan[[#This Row],[Rating A]],cadangan[[#This Row],[Rating B]],cadangan[[#This Row],[Rating C]])</f>
        <v>3.5</v>
      </c>
    </row>
    <row r="91" spans="1:44" x14ac:dyDescent="0.2">
      <c r="A91" s="20">
        <v>90</v>
      </c>
      <c r="B91" s="21" t="str">
        <f>_xlfn.CONCAT("ORD-",INDEX(Helper!$B$2:$B$5,MATCH(cadangan[[#This Row],[Marketplace]],Helper!$A$2:$A$5,0)),TEXT(cadangan[[#This Row],[No]],"0000"),"-",TEXT(cadangan[[#This Row],[Tanggal terjual]],"dd/mm/yy"))</f>
        <v>ORD-TK0090-01/04/23</v>
      </c>
      <c r="C91" s="39" t="s">
        <v>66</v>
      </c>
      <c r="D91" s="39" t="str">
        <f>IFERROR(INDEX(Katalog!$A$3:$A$12,MATCH(cadangan[[#This Row],[ItemID A]],Katalog!$C$3:$C$12,0)),"-")</f>
        <v>Sepatu Pria</v>
      </c>
      <c r="E91" s="39" t="str">
        <f>IFERROR(INDEX(Katalog!$B$3:$B$12,MATCH(cadangan[[#This Row],[ItemID A]],Katalog!$C$3:$C$12,0)),"-")</f>
        <v>Sandal Slip On</v>
      </c>
      <c r="F91" s="50">
        <v>1</v>
      </c>
      <c r="G91" s="50">
        <v>1</v>
      </c>
      <c r="H91" s="73">
        <f>IFERROR(INDEX(Katalog!$D$3:$D$12,MATCH(cadangan[[#This Row],[ItemID A]],Katalog!$C$3:$C$12,0))*cadangan[[#This Row],[Qty A]],0)</f>
        <v>150000</v>
      </c>
      <c r="I91" s="73">
        <f>IFERROR(cadangan[[#This Row],[Harga Normal A]]-(cadangan[[#This Row],[Harga Normal A]]*cadangan[[#This Row],[Diskon]]),cadangan[[#This Row],[Harga Normal A]])</f>
        <v>135000</v>
      </c>
      <c r="J91" s="73">
        <f>INDEX(Katalog!$F$3:$F$12,MATCH(cadangan[[#This Row],[ItemID A]],Katalog!$C$3:$C$12,0))*cadangan[[#This Row],[Qty A]]</f>
        <v>60000</v>
      </c>
      <c r="K91" s="73">
        <f>IFERROR(cadangan[[#This Row],[Harga Diskon A]]-INDEX(Katalog!$E$3:$E$12,MATCH(cadangan[[#This Row],[ItemID A]],Katalog!$C$3:$C$12,0))*cadangan[[#This Row],[Qty A]],0)</f>
        <v>45000</v>
      </c>
      <c r="M91" s="39" t="str">
        <f>IFERROR(INDEX(Katalog!$A$3:$A$12,MATCH(cadangan[[#This Row],[ItemID B]],Katalog!$C$3:$C$12,0)),"-")</f>
        <v>-</v>
      </c>
      <c r="N91" s="39" t="str">
        <f>IFERROR(INDEX(Katalog!$B$3:$B$12,MATCH(cadangan[[#This Row],[ItemID B]],Katalog!$C$3:$C$12,0)),"-")</f>
        <v>-</v>
      </c>
      <c r="Q91" s="73">
        <f>IFERROR(INDEX(Katalog!$D$3:$D$12,MATCH(cadangan[[#This Row],[ItemID B]],Katalog!$C$3:$C$12,0))*cadangan[[#This Row],[Qty B]],0)</f>
        <v>0</v>
      </c>
      <c r="R91" s="73">
        <f>IFERROR(cadangan[[#This Row],[Harga Normal B]]-(cadangan[[#This Row],[Harga Normal B]]*cadangan[[#This Row],[Diskon]]),cadangan[[#This Row],[Harga Normal B]])</f>
        <v>0</v>
      </c>
      <c r="S91" s="73">
        <f>IFERROR(INDEX(Katalog!$F$3:$F$12,MATCH(cadangan[[#This Row],[ItemID B]],Katalog!$C$3:$C$12,0))*cadangan[[#This Row],[Qty B]],0)</f>
        <v>0</v>
      </c>
      <c r="T91" s="73">
        <f>IFERROR(cadangan[[#This Row],[Harga Diskon B]]-INDEX(Katalog!$E$3:$E$12,MATCH(cadangan[[#This Row],[ItemID B]],Katalog!$C$3:$C$12,0))*cadangan[[#This Row],[Qty B]],0)</f>
        <v>0</v>
      </c>
      <c r="V91" s="39" t="str">
        <f>IFERROR(INDEX(Katalog!$A$3:$A$12,MATCH(cadangan[[#This Row],[ItemID C]],Katalog!$C$3:$C$12,0)),"-")</f>
        <v>-</v>
      </c>
      <c r="W91" s="39" t="str">
        <f>IFERROR(INDEX(Katalog!$B$3:$B$12,MATCH(cadangan[[#This Row],[ItemID C]],Katalog!$C$3:$C$12,0)),"-")</f>
        <v>-</v>
      </c>
      <c r="Z91" s="73">
        <f>IFERROR(INDEX(Katalog!$D$3:$D$12,MATCH(cadangan[[#This Row],[ItemID C]],Katalog!$C$3:$C$12,0))*cadangan[[#This Row],[Qty C]],0)</f>
        <v>0</v>
      </c>
      <c r="AA91" s="73">
        <f>IFERROR(cadangan[[#This Row],[Harga Normal C]]-(cadangan[[#This Row],[Harga Normal C]]*cadangan[[#This Row],[Diskon]]),cadangan[[#This Row],[Harga Normal C]])</f>
        <v>0</v>
      </c>
      <c r="AB91" s="73">
        <f>IFERROR(INDEX(Katalog!$F$3:$F$12,MATCH(cadangan[[#This Row],[ItemID C]],Katalog!$C$3:$C$12,0))*cadangan[[#This Row],[Qty C]],0)</f>
        <v>0</v>
      </c>
      <c r="AC91" s="73">
        <f>IFERROR(cadangan[[#This Row],[Harga Diskon C]]-INDEX(Katalog!$E$3:$E$12,MATCH(cadangan[[#This Row],[ItemID C]],Katalog!$C$3:$C$12,0))*cadangan[[#This Row],[Qty C]],0)</f>
        <v>0</v>
      </c>
      <c r="AD91" s="53">
        <f>cadangan[[#This Row],[Qty A]]+cadangan[[#This Row],[Qty B]]+cadangan[[#This Row],[Qty C]]</f>
        <v>1</v>
      </c>
      <c r="AE91" s="73">
        <f>cadangan[[#This Row],[Harga Normal A]]+cadangan[[#This Row],[Harga Normal B]]+cadangan[[#This Row],[Harga Normal C]]</f>
        <v>150000</v>
      </c>
      <c r="AF91" s="73">
        <f>cadangan[[#This Row],[Harga Diskon A]]+cadangan[[#This Row],[Harga Diskon B]]+cadangan[[#This Row],[Harga Diskon C]]</f>
        <v>135000</v>
      </c>
      <c r="AG91" s="73">
        <f>(cadangan[[#This Row],[Profit Normal A]]+cadangan[[#This Row],[Profit Normal B]]+cadangan[[#This Row],[Profit Normal C]])</f>
        <v>60000</v>
      </c>
      <c r="AH91" s="73">
        <f>cadangan[[#This Row],[Profit Diskon A]]+cadangan[[#This Row],[Profit Diskon B]]+cadangan[[#This Row],[Profit Diskon C]]</f>
        <v>45000</v>
      </c>
      <c r="AI91" s="23" t="s">
        <v>30</v>
      </c>
      <c r="AJ91" s="37">
        <f>IFERROR(INDEX('Kode Diskon'!$D$3:$D$9,MATCH(cadangan[[#This Row],[Kode diskon]],'Kode Diskon'!$C$3:$C$9,0)),"-")</f>
        <v>0.1</v>
      </c>
      <c r="AK91" s="23" t="s">
        <v>29</v>
      </c>
      <c r="AL91" s="23" t="s">
        <v>10</v>
      </c>
      <c r="AM91" s="23" t="s">
        <v>80</v>
      </c>
      <c r="AN91" s="55">
        <v>45017</v>
      </c>
      <c r="AO91" s="53">
        <f>DAY(cadangan[[#This Row],[Tanggal terjual]])</f>
        <v>1</v>
      </c>
      <c r="AP91" s="21" t="str">
        <f>TEXT(cadangan[[#This Row],[Tanggal terjual]],"dddd")</f>
        <v>Saturday</v>
      </c>
      <c r="AQ91" s="23" t="str" cm="1">
        <f t="array" ref="AQ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 s="61">
        <f>AVERAGE(cadangan[[#This Row],[Rating A]],cadangan[[#This Row],[Rating B]],cadangan[[#This Row],[Rating C]])</f>
        <v>1</v>
      </c>
    </row>
    <row r="92" spans="1:44" x14ac:dyDescent="0.2">
      <c r="A92" s="20">
        <v>91</v>
      </c>
      <c r="B92" s="21" t="str">
        <f>_xlfn.CONCAT("ORD-",INDEX(Helper!$B$2:$B$5,MATCH(cadangan[[#This Row],[Marketplace]],Helper!$A$2:$A$5,0)),TEXT(cadangan[[#This Row],[No]],"0000"),"-",TEXT(cadangan[[#This Row],[Tanggal terjual]],"dd/mm/yy"))</f>
        <v>ORD-TK0091-28/04/23</v>
      </c>
      <c r="C92" s="39" t="s">
        <v>63</v>
      </c>
      <c r="D92" s="39" t="str">
        <f>IFERROR(INDEX(Katalog!$A$3:$A$12,MATCH(cadangan[[#This Row],[ItemID A]],Katalog!$C$3:$C$12,0)),"-")</f>
        <v>Pakaian Pria</v>
      </c>
      <c r="E92" s="39" t="str">
        <f>IFERROR(INDEX(Katalog!$B$3:$B$12,MATCH(cadangan[[#This Row],[ItemID A]],Katalog!$C$3:$C$12,0)),"-")</f>
        <v>Jaket Jeans</v>
      </c>
      <c r="F92" s="50">
        <v>1</v>
      </c>
      <c r="G92" s="50">
        <v>5</v>
      </c>
      <c r="H92" s="73">
        <f>IFERROR(INDEX(Katalog!$D$3:$D$12,MATCH(cadangan[[#This Row],[ItemID A]],Katalog!$C$3:$C$12,0))*cadangan[[#This Row],[Qty A]],0)</f>
        <v>400000</v>
      </c>
      <c r="I92" s="73">
        <f>IFERROR(cadangan[[#This Row],[Harga Normal A]]-(cadangan[[#This Row],[Harga Normal A]]*cadangan[[#This Row],[Diskon]]),cadangan[[#This Row],[Harga Normal A]])</f>
        <v>360000</v>
      </c>
      <c r="J92" s="73">
        <f>INDEX(Katalog!$F$3:$F$12,MATCH(cadangan[[#This Row],[ItemID A]],Katalog!$C$3:$C$12,0))*cadangan[[#This Row],[Qty A]]</f>
        <v>150000</v>
      </c>
      <c r="K92" s="73">
        <f>IFERROR(cadangan[[#This Row],[Harga Diskon A]]-INDEX(Katalog!$E$3:$E$12,MATCH(cadangan[[#This Row],[ItemID A]],Katalog!$C$3:$C$12,0))*cadangan[[#This Row],[Qty A]],0)</f>
        <v>110000</v>
      </c>
      <c r="M92" s="39" t="str">
        <f>IFERROR(INDEX(Katalog!$A$3:$A$12,MATCH(cadangan[[#This Row],[ItemID B]],Katalog!$C$3:$C$12,0)),"-")</f>
        <v>-</v>
      </c>
      <c r="N92" s="39" t="str">
        <f>IFERROR(INDEX(Katalog!$B$3:$B$12,MATCH(cadangan[[#This Row],[ItemID B]],Katalog!$C$3:$C$12,0)),"-")</f>
        <v>-</v>
      </c>
      <c r="Q92" s="73">
        <f>IFERROR(INDEX(Katalog!$D$3:$D$12,MATCH(cadangan[[#This Row],[ItemID B]],Katalog!$C$3:$C$12,0))*cadangan[[#This Row],[Qty B]],0)</f>
        <v>0</v>
      </c>
      <c r="R92" s="73">
        <f>IFERROR(cadangan[[#This Row],[Harga Normal B]]-(cadangan[[#This Row],[Harga Normal B]]*cadangan[[#This Row],[Diskon]]),cadangan[[#This Row],[Harga Normal B]])</f>
        <v>0</v>
      </c>
      <c r="S92" s="73">
        <f>IFERROR(INDEX(Katalog!$F$3:$F$12,MATCH(cadangan[[#This Row],[ItemID B]],Katalog!$C$3:$C$12,0))*cadangan[[#This Row],[Qty B]],0)</f>
        <v>0</v>
      </c>
      <c r="T92" s="73">
        <f>IFERROR(cadangan[[#This Row],[Harga Diskon B]]-INDEX(Katalog!$E$3:$E$12,MATCH(cadangan[[#This Row],[ItemID B]],Katalog!$C$3:$C$12,0))*cadangan[[#This Row],[Qty B]],0)</f>
        <v>0</v>
      </c>
      <c r="V92" s="39" t="str">
        <f>IFERROR(INDEX(Katalog!$A$3:$A$12,MATCH(cadangan[[#This Row],[ItemID C]],Katalog!$C$3:$C$12,0)),"-")</f>
        <v>-</v>
      </c>
      <c r="W92" s="39" t="str">
        <f>IFERROR(INDEX(Katalog!$B$3:$B$12,MATCH(cadangan[[#This Row],[ItemID C]],Katalog!$C$3:$C$12,0)),"-")</f>
        <v>-</v>
      </c>
      <c r="Z92" s="73">
        <f>IFERROR(INDEX(Katalog!$D$3:$D$12,MATCH(cadangan[[#This Row],[ItemID C]],Katalog!$C$3:$C$12,0))*cadangan[[#This Row],[Qty C]],0)</f>
        <v>0</v>
      </c>
      <c r="AA92" s="73">
        <f>IFERROR(cadangan[[#This Row],[Harga Normal C]]-(cadangan[[#This Row],[Harga Normal C]]*cadangan[[#This Row],[Diskon]]),cadangan[[#This Row],[Harga Normal C]])</f>
        <v>0</v>
      </c>
      <c r="AB92" s="73">
        <f>IFERROR(INDEX(Katalog!$F$3:$F$12,MATCH(cadangan[[#This Row],[ItemID C]],Katalog!$C$3:$C$12,0))*cadangan[[#This Row],[Qty C]],0)</f>
        <v>0</v>
      </c>
      <c r="AC92" s="73">
        <f>IFERROR(cadangan[[#This Row],[Harga Diskon C]]-INDEX(Katalog!$E$3:$E$12,MATCH(cadangan[[#This Row],[ItemID C]],Katalog!$C$3:$C$12,0))*cadangan[[#This Row],[Qty C]],0)</f>
        <v>0</v>
      </c>
      <c r="AD92" s="53">
        <f>cadangan[[#This Row],[Qty A]]+cadangan[[#This Row],[Qty B]]+cadangan[[#This Row],[Qty C]]</f>
        <v>1</v>
      </c>
      <c r="AE92" s="73">
        <f>cadangan[[#This Row],[Harga Normal A]]+cadangan[[#This Row],[Harga Normal B]]+cadangan[[#This Row],[Harga Normal C]]</f>
        <v>400000</v>
      </c>
      <c r="AF92" s="73">
        <f>cadangan[[#This Row],[Harga Diskon A]]+cadangan[[#This Row],[Harga Diskon B]]+cadangan[[#This Row],[Harga Diskon C]]</f>
        <v>360000</v>
      </c>
      <c r="AG92" s="73">
        <f>(cadangan[[#This Row],[Profit Normal A]]+cadangan[[#This Row],[Profit Normal B]]+cadangan[[#This Row],[Profit Normal C]])</f>
        <v>150000</v>
      </c>
      <c r="AH92" s="73">
        <f>cadangan[[#This Row],[Profit Diskon A]]+cadangan[[#This Row],[Profit Diskon B]]+cadangan[[#This Row],[Profit Diskon C]]</f>
        <v>110000</v>
      </c>
      <c r="AI92" s="23" t="s">
        <v>31</v>
      </c>
      <c r="AJ92" s="37">
        <f>IFERROR(INDEX('Kode Diskon'!$D$3:$D$9,MATCH(cadangan[[#This Row],[Kode diskon]],'Kode Diskon'!$C$3:$C$9,0)),"-")</f>
        <v>0.1</v>
      </c>
      <c r="AK92" s="23" t="s">
        <v>9</v>
      </c>
      <c r="AL92" s="23" t="s">
        <v>10</v>
      </c>
      <c r="AM92" s="23" t="s">
        <v>76</v>
      </c>
      <c r="AN92" s="55">
        <v>45044</v>
      </c>
      <c r="AO92" s="53">
        <f>DAY(cadangan[[#This Row],[Tanggal terjual]])</f>
        <v>28</v>
      </c>
      <c r="AP92" s="21" t="str">
        <f>TEXT(cadangan[[#This Row],[Tanggal terjual]],"dddd")</f>
        <v>Friday</v>
      </c>
      <c r="AQ92" s="23" t="str" cm="1">
        <f t="array" ref="AQ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2" s="61">
        <f>AVERAGE(cadangan[[#This Row],[Rating A]],cadangan[[#This Row],[Rating B]],cadangan[[#This Row],[Rating C]])</f>
        <v>5</v>
      </c>
    </row>
    <row r="93" spans="1:44" x14ac:dyDescent="0.2">
      <c r="A93" s="20">
        <v>92</v>
      </c>
      <c r="B93" s="21" t="str">
        <f>_xlfn.CONCAT("ORD-",INDEX(Helper!$B$2:$B$5,MATCH(cadangan[[#This Row],[Marketplace]],Helper!$A$2:$A$5,0)),TEXT(cadangan[[#This Row],[No]],"0000"),"-",TEXT(cadangan[[#This Row],[Tanggal terjual]],"dd/mm/yy"))</f>
        <v>ORD-TK0092-13/04/23</v>
      </c>
      <c r="C93" s="39" t="s">
        <v>61</v>
      </c>
      <c r="D93" s="39" t="str">
        <f>IFERROR(INDEX(Katalog!$A$3:$A$12,MATCH(cadangan[[#This Row],[ItemID A]],Katalog!$C$3:$C$12,0)),"-")</f>
        <v>Pakaian Pria</v>
      </c>
      <c r="E93" s="39" t="str">
        <f>IFERROR(INDEX(Katalog!$B$3:$B$12,MATCH(cadangan[[#This Row],[ItemID A]],Katalog!$C$3:$C$12,0)),"-")</f>
        <v>Kaos Polo</v>
      </c>
      <c r="F93" s="50">
        <v>3</v>
      </c>
      <c r="G93" s="50">
        <v>1</v>
      </c>
      <c r="H93" s="73">
        <f>IFERROR(INDEX(Katalog!$D$3:$D$12,MATCH(cadangan[[#This Row],[ItemID A]],Katalog!$C$3:$C$12,0))*cadangan[[#This Row],[Qty A]],0)</f>
        <v>600000</v>
      </c>
      <c r="I93" s="73">
        <f>IFERROR(cadangan[[#This Row],[Harga Normal A]]-(cadangan[[#This Row],[Harga Normal A]]*cadangan[[#This Row],[Diskon]]),cadangan[[#This Row],[Harga Normal A]])</f>
        <v>600000</v>
      </c>
      <c r="J93" s="73">
        <f>INDEX(Katalog!$F$3:$F$12,MATCH(cadangan[[#This Row],[ItemID A]],Katalog!$C$3:$C$12,0))*cadangan[[#This Row],[Qty A]]</f>
        <v>240000</v>
      </c>
      <c r="K93" s="73">
        <f>IFERROR(cadangan[[#This Row],[Harga Diskon A]]-INDEX(Katalog!$E$3:$E$12,MATCH(cadangan[[#This Row],[ItemID A]],Katalog!$C$3:$C$12,0))*cadangan[[#This Row],[Qty A]],0)</f>
        <v>240000</v>
      </c>
      <c r="L93" s="39" t="s">
        <v>60</v>
      </c>
      <c r="M93" s="39" t="str">
        <f>IFERROR(INDEX(Katalog!$A$3:$A$12,MATCH(cadangan[[#This Row],[ItemID B]],Katalog!$C$3:$C$12,0)),"-")</f>
        <v>Pakaian Wanita</v>
      </c>
      <c r="N93" s="39" t="str">
        <f>IFERROR(INDEX(Katalog!$B$3:$B$12,MATCH(cadangan[[#This Row],[ItemID B]],Katalog!$C$3:$C$12,0)),"-")</f>
        <v>Kaftan</v>
      </c>
      <c r="O93" s="50">
        <v>1</v>
      </c>
      <c r="P93" s="50">
        <v>2</v>
      </c>
      <c r="Q93" s="73">
        <f>IFERROR(INDEX(Katalog!$D$3:$D$12,MATCH(cadangan[[#This Row],[ItemID B]],Katalog!$C$3:$C$12,0))*cadangan[[#This Row],[Qty B]],0)</f>
        <v>250000</v>
      </c>
      <c r="R93" s="73">
        <f>IFERROR(cadangan[[#This Row],[Harga Normal B]]-(cadangan[[#This Row],[Harga Normal B]]*cadangan[[#This Row],[Diskon]]),cadangan[[#This Row],[Harga Normal B]])</f>
        <v>250000</v>
      </c>
      <c r="S93" s="73">
        <f>IFERROR(INDEX(Katalog!$F$3:$F$12,MATCH(cadangan[[#This Row],[ItemID B]],Katalog!$C$3:$C$12,0))*cadangan[[#This Row],[Qty B]],0)</f>
        <v>100000</v>
      </c>
      <c r="T93" s="73">
        <f>IFERROR(cadangan[[#This Row],[Harga Diskon B]]-INDEX(Katalog!$E$3:$E$12,MATCH(cadangan[[#This Row],[ItemID B]],Katalog!$C$3:$C$12,0))*cadangan[[#This Row],[Qty B]],0)</f>
        <v>100000</v>
      </c>
      <c r="V93" s="39" t="str">
        <f>IFERROR(INDEX(Katalog!$A$3:$A$12,MATCH(cadangan[[#This Row],[ItemID C]],Katalog!$C$3:$C$12,0)),"-")</f>
        <v>-</v>
      </c>
      <c r="W93" s="39" t="str">
        <f>IFERROR(INDEX(Katalog!$B$3:$B$12,MATCH(cadangan[[#This Row],[ItemID C]],Katalog!$C$3:$C$12,0)),"-")</f>
        <v>-</v>
      </c>
      <c r="Z93" s="73">
        <f>IFERROR(INDEX(Katalog!$D$3:$D$12,MATCH(cadangan[[#This Row],[ItemID C]],Katalog!$C$3:$C$12,0))*cadangan[[#This Row],[Qty C]],0)</f>
        <v>0</v>
      </c>
      <c r="AA93" s="73">
        <f>IFERROR(cadangan[[#This Row],[Harga Normal C]]-(cadangan[[#This Row],[Harga Normal C]]*cadangan[[#This Row],[Diskon]]),cadangan[[#This Row],[Harga Normal C]])</f>
        <v>0</v>
      </c>
      <c r="AB93" s="73">
        <f>IFERROR(INDEX(Katalog!$F$3:$F$12,MATCH(cadangan[[#This Row],[ItemID C]],Katalog!$C$3:$C$12,0))*cadangan[[#This Row],[Qty C]],0)</f>
        <v>0</v>
      </c>
      <c r="AC93" s="73">
        <f>IFERROR(cadangan[[#This Row],[Harga Diskon C]]-INDEX(Katalog!$E$3:$E$12,MATCH(cadangan[[#This Row],[ItemID C]],Katalog!$C$3:$C$12,0))*cadangan[[#This Row],[Qty C]],0)</f>
        <v>0</v>
      </c>
      <c r="AD93" s="53">
        <f>cadangan[[#This Row],[Qty A]]+cadangan[[#This Row],[Qty B]]+cadangan[[#This Row],[Qty C]]</f>
        <v>4</v>
      </c>
      <c r="AE93" s="73">
        <f>cadangan[[#This Row],[Harga Normal A]]+cadangan[[#This Row],[Harga Normal B]]+cadangan[[#This Row],[Harga Normal C]]</f>
        <v>850000</v>
      </c>
      <c r="AF93" s="73">
        <f>cadangan[[#This Row],[Harga Diskon A]]+cadangan[[#This Row],[Harga Diskon B]]+cadangan[[#This Row],[Harga Diskon C]]</f>
        <v>850000</v>
      </c>
      <c r="AG93" s="73">
        <f>(cadangan[[#This Row],[Profit Normal A]]+cadangan[[#This Row],[Profit Normal B]]+cadangan[[#This Row],[Profit Normal C]])</f>
        <v>340000</v>
      </c>
      <c r="AH93" s="73">
        <f>cadangan[[#This Row],[Profit Diskon A]]+cadangan[[#This Row],[Profit Diskon B]]+cadangan[[#This Row],[Profit Diskon C]]</f>
        <v>340000</v>
      </c>
      <c r="AI93" s="23" t="s">
        <v>290</v>
      </c>
      <c r="AJ93" s="37" t="str">
        <f>IFERROR(INDEX('Kode Diskon'!$D$3:$D$9,MATCH(cadangan[[#This Row],[Kode diskon]],'Kode Diskon'!$C$3:$C$9,0)),"-")</f>
        <v>-</v>
      </c>
      <c r="AK93" s="23" t="s">
        <v>290</v>
      </c>
      <c r="AL93" s="23" t="s">
        <v>10</v>
      </c>
      <c r="AM93" s="23" t="s">
        <v>80</v>
      </c>
      <c r="AN93" s="55">
        <v>45029</v>
      </c>
      <c r="AO93" s="53">
        <f>DAY(cadangan[[#This Row],[Tanggal terjual]])</f>
        <v>13</v>
      </c>
      <c r="AP93" s="21" t="str">
        <f>TEXT(cadangan[[#This Row],[Tanggal terjual]],"dddd")</f>
        <v>Thursday</v>
      </c>
      <c r="AQ93" s="23" t="str" cm="1">
        <f t="array" ref="AQ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3" s="61">
        <f>AVERAGE(cadangan[[#This Row],[Rating A]],cadangan[[#This Row],[Rating B]],cadangan[[#This Row],[Rating C]])</f>
        <v>1.5</v>
      </c>
    </row>
    <row r="94" spans="1:44" x14ac:dyDescent="0.2">
      <c r="A94" s="20">
        <v>93</v>
      </c>
      <c r="B94" s="21" t="str">
        <f>_xlfn.CONCAT("ORD-",INDEX(Helper!$B$2:$B$5,MATCH(cadangan[[#This Row],[Marketplace]],Helper!$A$2:$A$5,0)),TEXT(cadangan[[#This Row],[No]],"0000"),"-",TEXT(cadangan[[#This Row],[Tanggal terjual]],"dd/mm/yy"))</f>
        <v>ORD-BB0093-05/04/23</v>
      </c>
      <c r="C94" s="39" t="s">
        <v>60</v>
      </c>
      <c r="D94" s="39" t="str">
        <f>IFERROR(INDEX(Katalog!$A$3:$A$12,MATCH(cadangan[[#This Row],[ItemID A]],Katalog!$C$3:$C$12,0)),"-")</f>
        <v>Pakaian Wanita</v>
      </c>
      <c r="E94" s="39" t="str">
        <f>IFERROR(INDEX(Katalog!$B$3:$B$12,MATCH(cadangan[[#This Row],[ItemID A]],Katalog!$C$3:$C$12,0)),"-")</f>
        <v>Kaftan</v>
      </c>
      <c r="F94" s="50">
        <v>3</v>
      </c>
      <c r="G94" s="50">
        <v>2</v>
      </c>
      <c r="H94" s="73">
        <f>IFERROR(INDEX(Katalog!$D$3:$D$12,MATCH(cadangan[[#This Row],[ItemID A]],Katalog!$C$3:$C$12,0))*cadangan[[#This Row],[Qty A]],0)</f>
        <v>750000</v>
      </c>
      <c r="I94" s="73">
        <f>IFERROR(cadangan[[#This Row],[Harga Normal A]]-(cadangan[[#This Row],[Harga Normal A]]*cadangan[[#This Row],[Diskon]]),cadangan[[#This Row],[Harga Normal A]])</f>
        <v>637500</v>
      </c>
      <c r="J94" s="73">
        <f>INDEX(Katalog!$F$3:$F$12,MATCH(cadangan[[#This Row],[ItemID A]],Katalog!$C$3:$C$12,0))*cadangan[[#This Row],[Qty A]]</f>
        <v>300000</v>
      </c>
      <c r="K94" s="73">
        <f>IFERROR(cadangan[[#This Row],[Harga Diskon A]]-INDEX(Katalog!$E$3:$E$12,MATCH(cadangan[[#This Row],[ItemID A]],Katalog!$C$3:$C$12,0))*cadangan[[#This Row],[Qty A]],0)</f>
        <v>187500</v>
      </c>
      <c r="M94" s="39" t="str">
        <f>IFERROR(INDEX(Katalog!$A$3:$A$12,MATCH(cadangan[[#This Row],[ItemID B]],Katalog!$C$3:$C$12,0)),"-")</f>
        <v>-</v>
      </c>
      <c r="N94" s="39" t="str">
        <f>IFERROR(INDEX(Katalog!$B$3:$B$12,MATCH(cadangan[[#This Row],[ItemID B]],Katalog!$C$3:$C$12,0)),"-")</f>
        <v>-</v>
      </c>
      <c r="Q94" s="73">
        <f>IFERROR(INDEX(Katalog!$D$3:$D$12,MATCH(cadangan[[#This Row],[ItemID B]],Katalog!$C$3:$C$12,0))*cadangan[[#This Row],[Qty B]],0)</f>
        <v>0</v>
      </c>
      <c r="R94" s="73">
        <f>IFERROR(cadangan[[#This Row],[Harga Normal B]]-(cadangan[[#This Row],[Harga Normal B]]*cadangan[[#This Row],[Diskon]]),cadangan[[#This Row],[Harga Normal B]])</f>
        <v>0</v>
      </c>
      <c r="S94" s="73">
        <f>IFERROR(INDEX(Katalog!$F$3:$F$12,MATCH(cadangan[[#This Row],[ItemID B]],Katalog!$C$3:$C$12,0))*cadangan[[#This Row],[Qty B]],0)</f>
        <v>0</v>
      </c>
      <c r="T94" s="73">
        <f>IFERROR(cadangan[[#This Row],[Harga Diskon B]]-INDEX(Katalog!$E$3:$E$12,MATCH(cadangan[[#This Row],[ItemID B]],Katalog!$C$3:$C$12,0))*cadangan[[#This Row],[Qty B]],0)</f>
        <v>0</v>
      </c>
      <c r="V94" s="39" t="str">
        <f>IFERROR(INDEX(Katalog!$A$3:$A$12,MATCH(cadangan[[#This Row],[ItemID C]],Katalog!$C$3:$C$12,0)),"-")</f>
        <v>-</v>
      </c>
      <c r="W94" s="39" t="str">
        <f>IFERROR(INDEX(Katalog!$B$3:$B$12,MATCH(cadangan[[#This Row],[ItemID C]],Katalog!$C$3:$C$12,0)),"-")</f>
        <v>-</v>
      </c>
      <c r="Z94" s="73">
        <f>IFERROR(INDEX(Katalog!$D$3:$D$12,MATCH(cadangan[[#This Row],[ItemID C]],Katalog!$C$3:$C$12,0))*cadangan[[#This Row],[Qty C]],0)</f>
        <v>0</v>
      </c>
      <c r="AA94" s="73">
        <f>IFERROR(cadangan[[#This Row],[Harga Normal C]]-(cadangan[[#This Row],[Harga Normal C]]*cadangan[[#This Row],[Diskon]]),cadangan[[#This Row],[Harga Normal C]])</f>
        <v>0</v>
      </c>
      <c r="AB94" s="73">
        <f>IFERROR(INDEX(Katalog!$F$3:$F$12,MATCH(cadangan[[#This Row],[ItemID C]],Katalog!$C$3:$C$12,0))*cadangan[[#This Row],[Qty C]],0)</f>
        <v>0</v>
      </c>
      <c r="AC94" s="73">
        <f>IFERROR(cadangan[[#This Row],[Harga Diskon C]]-INDEX(Katalog!$E$3:$E$12,MATCH(cadangan[[#This Row],[ItemID C]],Katalog!$C$3:$C$12,0))*cadangan[[#This Row],[Qty C]],0)</f>
        <v>0</v>
      </c>
      <c r="AD94" s="53">
        <f>cadangan[[#This Row],[Qty A]]+cadangan[[#This Row],[Qty B]]+cadangan[[#This Row],[Qty C]]</f>
        <v>3</v>
      </c>
      <c r="AE94" s="73">
        <f>cadangan[[#This Row],[Harga Normal A]]+cadangan[[#This Row],[Harga Normal B]]+cadangan[[#This Row],[Harga Normal C]]</f>
        <v>750000</v>
      </c>
      <c r="AF94" s="73">
        <f>cadangan[[#This Row],[Harga Diskon A]]+cadangan[[#This Row],[Harga Diskon B]]+cadangan[[#This Row],[Harga Diskon C]]</f>
        <v>637500</v>
      </c>
      <c r="AG94" s="73">
        <f>(cadangan[[#This Row],[Profit Normal A]]+cadangan[[#This Row],[Profit Normal B]]+cadangan[[#This Row],[Profit Normal C]])</f>
        <v>300000</v>
      </c>
      <c r="AH94" s="73">
        <f>cadangan[[#This Row],[Profit Diskon A]]+cadangan[[#This Row],[Profit Diskon B]]+cadangan[[#This Row],[Profit Diskon C]]</f>
        <v>187500</v>
      </c>
      <c r="AI94" s="23" t="s">
        <v>28</v>
      </c>
      <c r="AJ94" s="37">
        <f>IFERROR(INDEX('Kode Diskon'!$D$3:$D$9,MATCH(cadangan[[#This Row],[Kode diskon]],'Kode Diskon'!$C$3:$C$9,0)),"-")</f>
        <v>0.15</v>
      </c>
      <c r="AK94" s="23" t="s">
        <v>29</v>
      </c>
      <c r="AL94" s="23" t="s">
        <v>14</v>
      </c>
      <c r="AM94" s="23" t="s">
        <v>80</v>
      </c>
      <c r="AN94" s="55">
        <v>45021</v>
      </c>
      <c r="AO94" s="53">
        <f>DAY(cadangan[[#This Row],[Tanggal terjual]])</f>
        <v>5</v>
      </c>
      <c r="AP94" s="21" t="str">
        <f>TEXT(cadangan[[#This Row],[Tanggal terjual]],"dddd")</f>
        <v>Wednesday</v>
      </c>
      <c r="AQ94" s="23" t="str" cm="1">
        <f t="array" ref="AQ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 s="61">
        <f>AVERAGE(cadangan[[#This Row],[Rating A]],cadangan[[#This Row],[Rating B]],cadangan[[#This Row],[Rating C]])</f>
        <v>2</v>
      </c>
    </row>
    <row r="95" spans="1:44" x14ac:dyDescent="0.2">
      <c r="A95" s="20">
        <v>94</v>
      </c>
      <c r="B95" s="21" t="str">
        <f>_xlfn.CONCAT("ORD-",INDEX(Helper!$B$2:$B$5,MATCH(cadangan[[#This Row],[Marketplace]],Helper!$A$2:$A$5,0)),TEXT(cadangan[[#This Row],[No]],"0000"),"-",TEXT(cadangan[[#This Row],[Tanggal terjual]],"dd/mm/yy"))</f>
        <v>ORD-TK0094-26/04/23</v>
      </c>
      <c r="C95" s="39" t="s">
        <v>66</v>
      </c>
      <c r="D95" s="39" t="str">
        <f>IFERROR(INDEX(Katalog!$A$3:$A$12,MATCH(cadangan[[#This Row],[ItemID A]],Katalog!$C$3:$C$12,0)),"-")</f>
        <v>Sepatu Pria</v>
      </c>
      <c r="E95" s="39" t="str">
        <f>IFERROR(INDEX(Katalog!$B$3:$B$12,MATCH(cadangan[[#This Row],[ItemID A]],Katalog!$C$3:$C$12,0)),"-")</f>
        <v>Sandal Slip On</v>
      </c>
      <c r="F95" s="50">
        <v>1</v>
      </c>
      <c r="G95" s="50">
        <v>2</v>
      </c>
      <c r="H95" s="73">
        <f>IFERROR(INDEX(Katalog!$D$3:$D$12,MATCH(cadangan[[#This Row],[ItemID A]],Katalog!$C$3:$C$12,0))*cadangan[[#This Row],[Qty A]],0)</f>
        <v>150000</v>
      </c>
      <c r="I95" s="73">
        <f>IFERROR(cadangan[[#This Row],[Harga Normal A]]-(cadangan[[#This Row],[Harga Normal A]]*cadangan[[#This Row],[Diskon]]),cadangan[[#This Row],[Harga Normal A]])</f>
        <v>135000</v>
      </c>
      <c r="J95" s="73">
        <f>INDEX(Katalog!$F$3:$F$12,MATCH(cadangan[[#This Row],[ItemID A]],Katalog!$C$3:$C$12,0))*cadangan[[#This Row],[Qty A]]</f>
        <v>60000</v>
      </c>
      <c r="K95" s="73">
        <f>IFERROR(cadangan[[#This Row],[Harga Diskon A]]-INDEX(Katalog!$E$3:$E$12,MATCH(cadangan[[#This Row],[ItemID A]],Katalog!$C$3:$C$12,0))*cadangan[[#This Row],[Qty A]],0)</f>
        <v>45000</v>
      </c>
      <c r="L95" s="39" t="s">
        <v>62</v>
      </c>
      <c r="M95" s="39" t="str">
        <f>IFERROR(INDEX(Katalog!$A$3:$A$12,MATCH(cadangan[[#This Row],[ItemID B]],Katalog!$C$3:$C$12,0)),"-")</f>
        <v>Pakaian Pria</v>
      </c>
      <c r="N95" s="39" t="str">
        <f>IFERROR(INDEX(Katalog!$B$3:$B$12,MATCH(cadangan[[#This Row],[ItemID B]],Katalog!$C$3:$C$12,0)),"-")</f>
        <v>Celana Pendek</v>
      </c>
      <c r="O95" s="50">
        <v>1</v>
      </c>
      <c r="P95" s="50">
        <v>1</v>
      </c>
      <c r="Q95" s="73">
        <f>IFERROR(INDEX(Katalog!$D$3:$D$12,MATCH(cadangan[[#This Row],[ItemID B]],Katalog!$C$3:$C$12,0))*cadangan[[#This Row],[Qty B]],0)</f>
        <v>180000</v>
      </c>
      <c r="R95" s="73">
        <f>IFERROR(cadangan[[#This Row],[Harga Normal B]]-(cadangan[[#This Row],[Harga Normal B]]*cadangan[[#This Row],[Diskon]]),cadangan[[#This Row],[Harga Normal B]])</f>
        <v>162000</v>
      </c>
      <c r="S95" s="73">
        <f>IFERROR(INDEX(Katalog!$F$3:$F$12,MATCH(cadangan[[#This Row],[ItemID B]],Katalog!$C$3:$C$12,0))*cadangan[[#This Row],[Qty B]],0)</f>
        <v>70000</v>
      </c>
      <c r="T95" s="73">
        <f>IFERROR(cadangan[[#This Row],[Harga Diskon B]]-INDEX(Katalog!$E$3:$E$12,MATCH(cadangan[[#This Row],[ItemID B]],Katalog!$C$3:$C$12,0))*cadangan[[#This Row],[Qty B]],0)</f>
        <v>52000</v>
      </c>
      <c r="U95" s="39" t="s">
        <v>63</v>
      </c>
      <c r="V95" s="39" t="str">
        <f>IFERROR(INDEX(Katalog!$A$3:$A$12,MATCH(cadangan[[#This Row],[ItemID C]],Katalog!$C$3:$C$12,0)),"-")</f>
        <v>Pakaian Pria</v>
      </c>
      <c r="W95" s="39" t="str">
        <f>IFERROR(INDEX(Katalog!$B$3:$B$12,MATCH(cadangan[[#This Row],[ItemID C]],Katalog!$C$3:$C$12,0)),"-")</f>
        <v>Jaket Jeans</v>
      </c>
      <c r="X95" s="50">
        <v>3</v>
      </c>
      <c r="Y95" s="50">
        <v>1</v>
      </c>
      <c r="Z95" s="73">
        <f>IFERROR(INDEX(Katalog!$D$3:$D$12,MATCH(cadangan[[#This Row],[ItemID C]],Katalog!$C$3:$C$12,0))*cadangan[[#This Row],[Qty C]],0)</f>
        <v>1200000</v>
      </c>
      <c r="AA95" s="73">
        <f>IFERROR(cadangan[[#This Row],[Harga Normal C]]-(cadangan[[#This Row],[Harga Normal C]]*cadangan[[#This Row],[Diskon]]),cadangan[[#This Row],[Harga Normal C]])</f>
        <v>1080000</v>
      </c>
      <c r="AB95" s="73">
        <f>IFERROR(INDEX(Katalog!$F$3:$F$12,MATCH(cadangan[[#This Row],[ItemID C]],Katalog!$C$3:$C$12,0))*cadangan[[#This Row],[Qty C]],0)</f>
        <v>450000</v>
      </c>
      <c r="AC95" s="73">
        <f>IFERROR(cadangan[[#This Row],[Harga Diskon C]]-INDEX(Katalog!$E$3:$E$12,MATCH(cadangan[[#This Row],[ItemID C]],Katalog!$C$3:$C$12,0))*cadangan[[#This Row],[Qty C]],0)</f>
        <v>330000</v>
      </c>
      <c r="AD95" s="53">
        <f>cadangan[[#This Row],[Qty A]]+cadangan[[#This Row],[Qty B]]+cadangan[[#This Row],[Qty C]]</f>
        <v>5</v>
      </c>
      <c r="AE95" s="73">
        <f>cadangan[[#This Row],[Harga Normal A]]+cadangan[[#This Row],[Harga Normal B]]+cadangan[[#This Row],[Harga Normal C]]</f>
        <v>1530000</v>
      </c>
      <c r="AF95" s="73">
        <f>cadangan[[#This Row],[Harga Diskon A]]+cadangan[[#This Row],[Harga Diskon B]]+cadangan[[#This Row],[Harga Diskon C]]</f>
        <v>1377000</v>
      </c>
      <c r="AG95" s="73">
        <f>(cadangan[[#This Row],[Profit Normal A]]+cadangan[[#This Row],[Profit Normal B]]+cadangan[[#This Row],[Profit Normal C]])</f>
        <v>580000</v>
      </c>
      <c r="AH95" s="73">
        <f>cadangan[[#This Row],[Profit Diskon A]]+cadangan[[#This Row],[Profit Diskon B]]+cadangan[[#This Row],[Profit Diskon C]]</f>
        <v>427000</v>
      </c>
      <c r="AI95" s="23" t="s">
        <v>31</v>
      </c>
      <c r="AJ95" s="37">
        <f>IFERROR(INDEX('Kode Diskon'!$D$3:$D$9,MATCH(cadangan[[#This Row],[Kode diskon]],'Kode Diskon'!$C$3:$C$9,0)),"-")</f>
        <v>0.1</v>
      </c>
      <c r="AK95" s="23" t="s">
        <v>9</v>
      </c>
      <c r="AL95" s="23" t="s">
        <v>10</v>
      </c>
      <c r="AM95" s="23" t="s">
        <v>75</v>
      </c>
      <c r="AN95" s="55">
        <v>45042</v>
      </c>
      <c r="AO95" s="53">
        <f>DAY(cadangan[[#This Row],[Tanggal terjual]])</f>
        <v>26</v>
      </c>
      <c r="AP95" s="21" t="str">
        <f>TEXT(cadangan[[#This Row],[Tanggal terjual]],"dddd")</f>
        <v>Wednesday</v>
      </c>
      <c r="AQ95" s="23" t="str" cm="1">
        <f t="array" ref="AQ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5" s="61">
        <f>AVERAGE(cadangan[[#This Row],[Rating A]],cadangan[[#This Row],[Rating B]],cadangan[[#This Row],[Rating C]])</f>
        <v>1.3333333333333333</v>
      </c>
    </row>
    <row r="96" spans="1:44" x14ac:dyDescent="0.2">
      <c r="A96" s="20">
        <v>95</v>
      </c>
      <c r="B96" s="21" t="str">
        <f>_xlfn.CONCAT("ORD-",INDEX(Helper!$B$2:$B$5,MATCH(cadangan[[#This Row],[Marketplace]],Helper!$A$2:$A$5,0)),TEXT(cadangan[[#This Row],[No]],"0000"),"-",TEXT(cadangan[[#This Row],[Tanggal terjual]],"dd/mm/yy"))</f>
        <v>ORD-BB0095-01/04/23</v>
      </c>
      <c r="C96" s="39" t="s">
        <v>58</v>
      </c>
      <c r="D96" s="39" t="str">
        <f>IFERROR(INDEX(Katalog!$A$3:$A$12,MATCH(cadangan[[#This Row],[ItemID A]],Katalog!$C$3:$C$12,0)),"-")</f>
        <v>Pakaian Wanita</v>
      </c>
      <c r="E96" s="39" t="str">
        <f>IFERROR(INDEX(Katalog!$B$3:$B$12,MATCH(cadangan[[#This Row],[ItemID A]],Katalog!$C$3:$C$12,0)),"-")</f>
        <v>Dress</v>
      </c>
      <c r="F96" s="50">
        <v>5</v>
      </c>
      <c r="G96" s="50">
        <v>5</v>
      </c>
      <c r="H96" s="73">
        <f>IFERROR(INDEX(Katalog!$D$3:$D$12,MATCH(cadangan[[#This Row],[ItemID A]],Katalog!$C$3:$C$12,0))*cadangan[[#This Row],[Qty A]],0)</f>
        <v>1500000</v>
      </c>
      <c r="I96" s="73">
        <f>IFERROR(cadangan[[#This Row],[Harga Normal A]]-(cadangan[[#This Row],[Harga Normal A]]*cadangan[[#This Row],[Diskon]]),cadangan[[#This Row],[Harga Normal A]])</f>
        <v>1275000</v>
      </c>
      <c r="J96" s="73">
        <f>INDEX(Katalog!$F$3:$F$12,MATCH(cadangan[[#This Row],[ItemID A]],Katalog!$C$3:$C$12,0))*cadangan[[#This Row],[Qty A]]</f>
        <v>500000</v>
      </c>
      <c r="K96" s="73">
        <f>IFERROR(cadangan[[#This Row],[Harga Diskon A]]-INDEX(Katalog!$E$3:$E$12,MATCH(cadangan[[#This Row],[ItemID A]],Katalog!$C$3:$C$12,0))*cadangan[[#This Row],[Qty A]],0)</f>
        <v>275000</v>
      </c>
      <c r="M96" s="39" t="str">
        <f>IFERROR(INDEX(Katalog!$A$3:$A$12,MATCH(cadangan[[#This Row],[ItemID B]],Katalog!$C$3:$C$12,0)),"-")</f>
        <v>-</v>
      </c>
      <c r="N96" s="39" t="str">
        <f>IFERROR(INDEX(Katalog!$B$3:$B$12,MATCH(cadangan[[#This Row],[ItemID B]],Katalog!$C$3:$C$12,0)),"-")</f>
        <v>-</v>
      </c>
      <c r="Q96" s="73">
        <f>IFERROR(INDEX(Katalog!$D$3:$D$12,MATCH(cadangan[[#This Row],[ItemID B]],Katalog!$C$3:$C$12,0))*cadangan[[#This Row],[Qty B]],0)</f>
        <v>0</v>
      </c>
      <c r="R96" s="73">
        <f>IFERROR(cadangan[[#This Row],[Harga Normal B]]-(cadangan[[#This Row],[Harga Normal B]]*cadangan[[#This Row],[Diskon]]),cadangan[[#This Row],[Harga Normal B]])</f>
        <v>0</v>
      </c>
      <c r="S96" s="73">
        <f>IFERROR(INDEX(Katalog!$F$3:$F$12,MATCH(cadangan[[#This Row],[ItemID B]],Katalog!$C$3:$C$12,0))*cadangan[[#This Row],[Qty B]],0)</f>
        <v>0</v>
      </c>
      <c r="T96" s="73">
        <f>IFERROR(cadangan[[#This Row],[Harga Diskon B]]-INDEX(Katalog!$E$3:$E$12,MATCH(cadangan[[#This Row],[ItemID B]],Katalog!$C$3:$C$12,0))*cadangan[[#This Row],[Qty B]],0)</f>
        <v>0</v>
      </c>
      <c r="V96" s="39" t="str">
        <f>IFERROR(INDEX(Katalog!$A$3:$A$12,MATCH(cadangan[[#This Row],[ItemID C]],Katalog!$C$3:$C$12,0)),"-")</f>
        <v>-</v>
      </c>
      <c r="W96" s="39" t="str">
        <f>IFERROR(INDEX(Katalog!$B$3:$B$12,MATCH(cadangan[[#This Row],[ItemID C]],Katalog!$C$3:$C$12,0)),"-")</f>
        <v>-</v>
      </c>
      <c r="Z96" s="73">
        <f>IFERROR(INDEX(Katalog!$D$3:$D$12,MATCH(cadangan[[#This Row],[ItemID C]],Katalog!$C$3:$C$12,0))*cadangan[[#This Row],[Qty C]],0)</f>
        <v>0</v>
      </c>
      <c r="AA96" s="73">
        <f>IFERROR(cadangan[[#This Row],[Harga Normal C]]-(cadangan[[#This Row],[Harga Normal C]]*cadangan[[#This Row],[Diskon]]),cadangan[[#This Row],[Harga Normal C]])</f>
        <v>0</v>
      </c>
      <c r="AB96" s="73">
        <f>IFERROR(INDEX(Katalog!$F$3:$F$12,MATCH(cadangan[[#This Row],[ItemID C]],Katalog!$C$3:$C$12,0))*cadangan[[#This Row],[Qty C]],0)</f>
        <v>0</v>
      </c>
      <c r="AC96" s="73">
        <f>IFERROR(cadangan[[#This Row],[Harga Diskon C]]-INDEX(Katalog!$E$3:$E$12,MATCH(cadangan[[#This Row],[ItemID C]],Katalog!$C$3:$C$12,0))*cadangan[[#This Row],[Qty C]],0)</f>
        <v>0</v>
      </c>
      <c r="AD96" s="53">
        <f>cadangan[[#This Row],[Qty A]]+cadangan[[#This Row],[Qty B]]+cadangan[[#This Row],[Qty C]]</f>
        <v>5</v>
      </c>
      <c r="AE96" s="73">
        <f>cadangan[[#This Row],[Harga Normal A]]+cadangan[[#This Row],[Harga Normal B]]+cadangan[[#This Row],[Harga Normal C]]</f>
        <v>1500000</v>
      </c>
      <c r="AF96" s="73">
        <f>cadangan[[#This Row],[Harga Diskon A]]+cadangan[[#This Row],[Harga Diskon B]]+cadangan[[#This Row],[Harga Diskon C]]</f>
        <v>1275000</v>
      </c>
      <c r="AG96" s="73">
        <f>(cadangan[[#This Row],[Profit Normal A]]+cadangan[[#This Row],[Profit Normal B]]+cadangan[[#This Row],[Profit Normal C]])</f>
        <v>500000</v>
      </c>
      <c r="AH96" s="73">
        <f>cadangan[[#This Row],[Profit Diskon A]]+cadangan[[#This Row],[Profit Diskon B]]+cadangan[[#This Row],[Profit Diskon C]]</f>
        <v>275000</v>
      </c>
      <c r="AI96" s="23" t="s">
        <v>28</v>
      </c>
      <c r="AJ96" s="37">
        <f>IFERROR(INDEX('Kode Diskon'!$D$3:$D$9,MATCH(cadangan[[#This Row],[Kode diskon]],'Kode Diskon'!$C$3:$C$9,0)),"-")</f>
        <v>0.15</v>
      </c>
      <c r="AK96" s="23" t="s">
        <v>29</v>
      </c>
      <c r="AL96" s="23" t="s">
        <v>14</v>
      </c>
      <c r="AM96" s="23" t="s">
        <v>77</v>
      </c>
      <c r="AN96" s="55">
        <v>45017</v>
      </c>
      <c r="AO96" s="53">
        <f>DAY(cadangan[[#This Row],[Tanggal terjual]])</f>
        <v>1</v>
      </c>
      <c r="AP96" s="21" t="str">
        <f>TEXT(cadangan[[#This Row],[Tanggal terjual]],"dddd")</f>
        <v>Saturday</v>
      </c>
      <c r="AQ96" s="23" t="str" cm="1">
        <f t="array" ref="AQ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6" s="61">
        <f>AVERAGE(cadangan[[#This Row],[Rating A]],cadangan[[#This Row],[Rating B]],cadangan[[#This Row],[Rating C]])</f>
        <v>5</v>
      </c>
    </row>
    <row r="97" spans="1:44" x14ac:dyDescent="0.2">
      <c r="A97" s="20">
        <v>96</v>
      </c>
      <c r="B97" s="21" t="str">
        <f>_xlfn.CONCAT("ORD-",INDEX(Helper!$B$2:$B$5,MATCH(cadangan[[#This Row],[Marketplace]],Helper!$A$2:$A$5,0)),TEXT(cadangan[[#This Row],[No]],"0000"),"-",TEXT(cadangan[[#This Row],[Tanggal terjual]],"dd/mm/yy"))</f>
        <v>ORD-TK0096-17/04/23</v>
      </c>
      <c r="C97" s="39" t="s">
        <v>60</v>
      </c>
      <c r="D97" s="39" t="str">
        <f>IFERROR(INDEX(Katalog!$A$3:$A$12,MATCH(cadangan[[#This Row],[ItemID A]],Katalog!$C$3:$C$12,0)),"-")</f>
        <v>Pakaian Wanita</v>
      </c>
      <c r="E97" s="39" t="str">
        <f>IFERROR(INDEX(Katalog!$B$3:$B$12,MATCH(cadangan[[#This Row],[ItemID A]],Katalog!$C$3:$C$12,0)),"-")</f>
        <v>Kaftan</v>
      </c>
      <c r="F97" s="50">
        <v>4</v>
      </c>
      <c r="G97" s="50">
        <v>5</v>
      </c>
      <c r="H97" s="73">
        <f>IFERROR(INDEX(Katalog!$D$3:$D$12,MATCH(cadangan[[#This Row],[ItemID A]],Katalog!$C$3:$C$12,0))*cadangan[[#This Row],[Qty A]],0)</f>
        <v>1000000</v>
      </c>
      <c r="I97" s="73">
        <f>IFERROR(cadangan[[#This Row],[Harga Normal A]]-(cadangan[[#This Row],[Harga Normal A]]*cadangan[[#This Row],[Diskon]]),cadangan[[#This Row],[Harga Normal A]])</f>
        <v>900000</v>
      </c>
      <c r="J97" s="73">
        <f>INDEX(Katalog!$F$3:$F$12,MATCH(cadangan[[#This Row],[ItemID A]],Katalog!$C$3:$C$12,0))*cadangan[[#This Row],[Qty A]]</f>
        <v>400000</v>
      </c>
      <c r="K97" s="73">
        <f>IFERROR(cadangan[[#This Row],[Harga Diskon A]]-INDEX(Katalog!$E$3:$E$12,MATCH(cadangan[[#This Row],[ItemID A]],Katalog!$C$3:$C$12,0))*cadangan[[#This Row],[Qty A]],0)</f>
        <v>300000</v>
      </c>
      <c r="M97" s="39" t="str">
        <f>IFERROR(INDEX(Katalog!$A$3:$A$12,MATCH(cadangan[[#This Row],[ItemID B]],Katalog!$C$3:$C$12,0)),"-")</f>
        <v>-</v>
      </c>
      <c r="N97" s="39" t="str">
        <f>IFERROR(INDEX(Katalog!$B$3:$B$12,MATCH(cadangan[[#This Row],[ItemID B]],Katalog!$C$3:$C$12,0)),"-")</f>
        <v>-</v>
      </c>
      <c r="Q97" s="73">
        <f>IFERROR(INDEX(Katalog!$D$3:$D$12,MATCH(cadangan[[#This Row],[ItemID B]],Katalog!$C$3:$C$12,0))*cadangan[[#This Row],[Qty B]],0)</f>
        <v>0</v>
      </c>
      <c r="R97" s="73">
        <f>IFERROR(cadangan[[#This Row],[Harga Normal B]]-(cadangan[[#This Row],[Harga Normal B]]*cadangan[[#This Row],[Diskon]]),cadangan[[#This Row],[Harga Normal B]])</f>
        <v>0</v>
      </c>
      <c r="S97" s="73">
        <f>IFERROR(INDEX(Katalog!$F$3:$F$12,MATCH(cadangan[[#This Row],[ItemID B]],Katalog!$C$3:$C$12,0))*cadangan[[#This Row],[Qty B]],0)</f>
        <v>0</v>
      </c>
      <c r="T97" s="73">
        <f>IFERROR(cadangan[[#This Row],[Harga Diskon B]]-INDEX(Katalog!$E$3:$E$12,MATCH(cadangan[[#This Row],[ItemID B]],Katalog!$C$3:$C$12,0))*cadangan[[#This Row],[Qty B]],0)</f>
        <v>0</v>
      </c>
      <c r="V97" s="39" t="str">
        <f>IFERROR(INDEX(Katalog!$A$3:$A$12,MATCH(cadangan[[#This Row],[ItemID C]],Katalog!$C$3:$C$12,0)),"-")</f>
        <v>-</v>
      </c>
      <c r="W97" s="39" t="str">
        <f>IFERROR(INDEX(Katalog!$B$3:$B$12,MATCH(cadangan[[#This Row],[ItemID C]],Katalog!$C$3:$C$12,0)),"-")</f>
        <v>-</v>
      </c>
      <c r="Z97" s="73">
        <f>IFERROR(INDEX(Katalog!$D$3:$D$12,MATCH(cadangan[[#This Row],[ItemID C]],Katalog!$C$3:$C$12,0))*cadangan[[#This Row],[Qty C]],0)</f>
        <v>0</v>
      </c>
      <c r="AA97" s="73">
        <f>IFERROR(cadangan[[#This Row],[Harga Normal C]]-(cadangan[[#This Row],[Harga Normal C]]*cadangan[[#This Row],[Diskon]]),cadangan[[#This Row],[Harga Normal C]])</f>
        <v>0</v>
      </c>
      <c r="AB97" s="73">
        <f>IFERROR(INDEX(Katalog!$F$3:$F$12,MATCH(cadangan[[#This Row],[ItemID C]],Katalog!$C$3:$C$12,0))*cadangan[[#This Row],[Qty C]],0)</f>
        <v>0</v>
      </c>
      <c r="AC97" s="73">
        <f>IFERROR(cadangan[[#This Row],[Harga Diskon C]]-INDEX(Katalog!$E$3:$E$12,MATCH(cadangan[[#This Row],[ItemID C]],Katalog!$C$3:$C$12,0))*cadangan[[#This Row],[Qty C]],0)</f>
        <v>0</v>
      </c>
      <c r="AD97" s="53">
        <f>cadangan[[#This Row],[Qty A]]+cadangan[[#This Row],[Qty B]]+cadangan[[#This Row],[Qty C]]</f>
        <v>4</v>
      </c>
      <c r="AE97" s="73">
        <f>cadangan[[#This Row],[Harga Normal A]]+cadangan[[#This Row],[Harga Normal B]]+cadangan[[#This Row],[Harga Normal C]]</f>
        <v>1000000</v>
      </c>
      <c r="AF97" s="73">
        <f>cadangan[[#This Row],[Harga Diskon A]]+cadangan[[#This Row],[Harga Diskon B]]+cadangan[[#This Row],[Harga Diskon C]]</f>
        <v>900000</v>
      </c>
      <c r="AG97" s="73">
        <f>(cadangan[[#This Row],[Profit Normal A]]+cadangan[[#This Row],[Profit Normal B]]+cadangan[[#This Row],[Profit Normal C]])</f>
        <v>400000</v>
      </c>
      <c r="AH97" s="73">
        <f>cadangan[[#This Row],[Profit Diskon A]]+cadangan[[#This Row],[Profit Diskon B]]+cadangan[[#This Row],[Profit Diskon C]]</f>
        <v>300000</v>
      </c>
      <c r="AI97" s="23" t="s">
        <v>31</v>
      </c>
      <c r="AJ97" s="37">
        <f>IFERROR(INDEX('Kode Diskon'!$D$3:$D$9,MATCH(cadangan[[#This Row],[Kode diskon]],'Kode Diskon'!$C$3:$C$9,0)),"-")</f>
        <v>0.1</v>
      </c>
      <c r="AK97" s="23" t="s">
        <v>9</v>
      </c>
      <c r="AL97" s="23" t="s">
        <v>10</v>
      </c>
      <c r="AM97" s="23" t="s">
        <v>79</v>
      </c>
      <c r="AN97" s="55">
        <v>45033</v>
      </c>
      <c r="AO97" s="53">
        <f>DAY(cadangan[[#This Row],[Tanggal terjual]])</f>
        <v>17</v>
      </c>
      <c r="AP97" s="21" t="str">
        <f>TEXT(cadangan[[#This Row],[Tanggal terjual]],"dddd")</f>
        <v>Monday</v>
      </c>
      <c r="AQ97" s="23" t="str" cm="1">
        <f t="array" ref="AQ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7" s="61">
        <f>AVERAGE(cadangan[[#This Row],[Rating A]],cadangan[[#This Row],[Rating B]],cadangan[[#This Row],[Rating C]])</f>
        <v>5</v>
      </c>
    </row>
    <row r="98" spans="1:44" x14ac:dyDescent="0.2">
      <c r="A98" s="20">
        <v>97</v>
      </c>
      <c r="B98" s="21" t="str">
        <f>_xlfn.CONCAT("ORD-",INDEX(Helper!$B$2:$B$5,MATCH(cadangan[[#This Row],[Marketplace]],Helper!$A$2:$A$5,0)),TEXT(cadangan[[#This Row],[No]],"0000"),"-",TEXT(cadangan[[#This Row],[Tanggal terjual]],"dd/mm/yy"))</f>
        <v>ORD-SP0097-06/04/23</v>
      </c>
      <c r="C98" s="39" t="s">
        <v>58</v>
      </c>
      <c r="D98" s="39" t="str">
        <f>IFERROR(INDEX(Katalog!$A$3:$A$12,MATCH(cadangan[[#This Row],[ItemID A]],Katalog!$C$3:$C$12,0)),"-")</f>
        <v>Pakaian Wanita</v>
      </c>
      <c r="E98" s="39" t="str">
        <f>IFERROR(INDEX(Katalog!$B$3:$B$12,MATCH(cadangan[[#This Row],[ItemID A]],Katalog!$C$3:$C$12,0)),"-")</f>
        <v>Dress</v>
      </c>
      <c r="F98" s="50">
        <v>1</v>
      </c>
      <c r="G98" s="50">
        <v>1</v>
      </c>
      <c r="H98" s="73">
        <f>IFERROR(INDEX(Katalog!$D$3:$D$12,MATCH(cadangan[[#This Row],[ItemID A]],Katalog!$C$3:$C$12,0))*cadangan[[#This Row],[Qty A]],0)</f>
        <v>300000</v>
      </c>
      <c r="I98" s="73">
        <f>IFERROR(cadangan[[#This Row],[Harga Normal A]]-(cadangan[[#This Row],[Harga Normal A]]*cadangan[[#This Row],[Diskon]]),cadangan[[#This Row],[Harga Normal A]])</f>
        <v>270000</v>
      </c>
      <c r="J98" s="73">
        <f>INDEX(Katalog!$F$3:$F$12,MATCH(cadangan[[#This Row],[ItemID A]],Katalog!$C$3:$C$12,0))*cadangan[[#This Row],[Qty A]]</f>
        <v>100000</v>
      </c>
      <c r="K98" s="73">
        <f>IFERROR(cadangan[[#This Row],[Harga Diskon A]]-INDEX(Katalog!$E$3:$E$12,MATCH(cadangan[[#This Row],[ItemID A]],Katalog!$C$3:$C$12,0))*cadangan[[#This Row],[Qty A]],0)</f>
        <v>70000</v>
      </c>
      <c r="L98" s="39" t="s">
        <v>64</v>
      </c>
      <c r="M98" s="39" t="str">
        <f>IFERROR(INDEX(Katalog!$A$3:$A$12,MATCH(cadangan[[#This Row],[ItemID B]],Katalog!$C$3:$C$12,0)),"-")</f>
        <v>Pakaian Unisex</v>
      </c>
      <c r="N98" s="39" t="str">
        <f>IFERROR(INDEX(Katalog!$B$3:$B$12,MATCH(cadangan[[#This Row],[ItemID B]],Katalog!$C$3:$C$12,0)),"-")</f>
        <v>Jaket Hoodie</v>
      </c>
      <c r="O98" s="50">
        <v>1</v>
      </c>
      <c r="P98" s="50">
        <v>5</v>
      </c>
      <c r="Q98" s="73">
        <f>IFERROR(INDEX(Katalog!$D$3:$D$12,MATCH(cadangan[[#This Row],[ItemID B]],Katalog!$C$3:$C$12,0))*cadangan[[#This Row],[Qty B]],0)</f>
        <v>350000</v>
      </c>
      <c r="R98" s="73">
        <f>IFERROR(cadangan[[#This Row],[Harga Normal B]]-(cadangan[[#This Row],[Harga Normal B]]*cadangan[[#This Row],[Diskon]]),cadangan[[#This Row],[Harga Normal B]])</f>
        <v>315000</v>
      </c>
      <c r="S98" s="73">
        <f>IFERROR(INDEX(Katalog!$F$3:$F$12,MATCH(cadangan[[#This Row],[ItemID B]],Katalog!$C$3:$C$12,0))*cadangan[[#This Row],[Qty B]],0)</f>
        <v>130000</v>
      </c>
      <c r="T98" s="73">
        <f>IFERROR(cadangan[[#This Row],[Harga Diskon B]]-INDEX(Katalog!$E$3:$E$12,MATCH(cadangan[[#This Row],[ItemID B]],Katalog!$C$3:$C$12,0))*cadangan[[#This Row],[Qty B]],0)</f>
        <v>95000</v>
      </c>
      <c r="V98" s="39" t="str">
        <f>IFERROR(INDEX(Katalog!$A$3:$A$12,MATCH(cadangan[[#This Row],[ItemID C]],Katalog!$C$3:$C$12,0)),"-")</f>
        <v>-</v>
      </c>
      <c r="W98" s="39" t="str">
        <f>IFERROR(INDEX(Katalog!$B$3:$B$12,MATCH(cadangan[[#This Row],[ItemID C]],Katalog!$C$3:$C$12,0)),"-")</f>
        <v>-</v>
      </c>
      <c r="Z98" s="73">
        <f>IFERROR(INDEX(Katalog!$D$3:$D$12,MATCH(cadangan[[#This Row],[ItemID C]],Katalog!$C$3:$C$12,0))*cadangan[[#This Row],[Qty C]],0)</f>
        <v>0</v>
      </c>
      <c r="AA98" s="73">
        <f>IFERROR(cadangan[[#This Row],[Harga Normal C]]-(cadangan[[#This Row],[Harga Normal C]]*cadangan[[#This Row],[Diskon]]),cadangan[[#This Row],[Harga Normal C]])</f>
        <v>0</v>
      </c>
      <c r="AB98" s="73">
        <f>IFERROR(INDEX(Katalog!$F$3:$F$12,MATCH(cadangan[[#This Row],[ItemID C]],Katalog!$C$3:$C$12,0))*cadangan[[#This Row],[Qty C]],0)</f>
        <v>0</v>
      </c>
      <c r="AC98" s="73">
        <f>IFERROR(cadangan[[#This Row],[Harga Diskon C]]-INDEX(Katalog!$E$3:$E$12,MATCH(cadangan[[#This Row],[ItemID C]],Katalog!$C$3:$C$12,0))*cadangan[[#This Row],[Qty C]],0)</f>
        <v>0</v>
      </c>
      <c r="AD98" s="53">
        <f>cadangan[[#This Row],[Qty A]]+cadangan[[#This Row],[Qty B]]+cadangan[[#This Row],[Qty C]]</f>
        <v>2</v>
      </c>
      <c r="AE98" s="73">
        <f>cadangan[[#This Row],[Harga Normal A]]+cadangan[[#This Row],[Harga Normal B]]+cadangan[[#This Row],[Harga Normal C]]</f>
        <v>650000</v>
      </c>
      <c r="AF98" s="73">
        <f>cadangan[[#This Row],[Harga Diskon A]]+cadangan[[#This Row],[Harga Diskon B]]+cadangan[[#This Row],[Harga Diskon C]]</f>
        <v>585000</v>
      </c>
      <c r="AG98" s="73">
        <f>(cadangan[[#This Row],[Profit Normal A]]+cadangan[[#This Row],[Profit Normal B]]+cadangan[[#This Row],[Profit Normal C]])</f>
        <v>230000</v>
      </c>
      <c r="AH98" s="73">
        <f>cadangan[[#This Row],[Profit Diskon A]]+cadangan[[#This Row],[Profit Diskon B]]+cadangan[[#This Row],[Profit Diskon C]]</f>
        <v>165000</v>
      </c>
      <c r="AI98" s="23" t="s">
        <v>6</v>
      </c>
      <c r="AJ98" s="37">
        <f>IFERROR(INDEX('Kode Diskon'!$D$3:$D$9,MATCH(cadangan[[#This Row],[Kode diskon]],'Kode Diskon'!$C$3:$C$9,0)),"-")</f>
        <v>0.1</v>
      </c>
      <c r="AK98" s="23" t="s">
        <v>29</v>
      </c>
      <c r="AL98" s="23" t="s">
        <v>7</v>
      </c>
      <c r="AM98" s="23" t="s">
        <v>80</v>
      </c>
      <c r="AN98" s="55">
        <v>45022</v>
      </c>
      <c r="AO98" s="53">
        <f>DAY(cadangan[[#This Row],[Tanggal terjual]])</f>
        <v>6</v>
      </c>
      <c r="AP98" s="21" t="str">
        <f>TEXT(cadangan[[#This Row],[Tanggal terjual]],"dddd")</f>
        <v>Thursday</v>
      </c>
      <c r="AQ98" s="23" t="str" cm="1">
        <f t="array" ref="AQ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 s="61">
        <f>AVERAGE(cadangan[[#This Row],[Rating A]],cadangan[[#This Row],[Rating B]],cadangan[[#This Row],[Rating C]])</f>
        <v>3</v>
      </c>
    </row>
    <row r="99" spans="1:44" x14ac:dyDescent="0.2">
      <c r="A99" s="20">
        <v>98</v>
      </c>
      <c r="B99" s="21" t="str">
        <f>_xlfn.CONCAT("ORD-",INDEX(Helper!$B$2:$B$5,MATCH(cadangan[[#This Row],[Marketplace]],Helper!$A$2:$A$5,0)),TEXT(cadangan[[#This Row],[No]],"0000"),"-",TEXT(cadangan[[#This Row],[Tanggal terjual]],"dd/mm/yy"))</f>
        <v>ORD-SP0098-20/04/23</v>
      </c>
      <c r="C99" s="39" t="s">
        <v>64</v>
      </c>
      <c r="D99" s="39" t="str">
        <f>IFERROR(INDEX(Katalog!$A$3:$A$12,MATCH(cadangan[[#This Row],[ItemID A]],Katalog!$C$3:$C$12,0)),"-")</f>
        <v>Pakaian Unisex</v>
      </c>
      <c r="E99" s="39" t="str">
        <f>IFERROR(INDEX(Katalog!$B$3:$B$12,MATCH(cadangan[[#This Row],[ItemID A]],Katalog!$C$3:$C$12,0)),"-")</f>
        <v>Jaket Hoodie</v>
      </c>
      <c r="F99" s="50">
        <v>1</v>
      </c>
      <c r="G99" s="50">
        <v>3</v>
      </c>
      <c r="H99" s="73">
        <f>IFERROR(INDEX(Katalog!$D$3:$D$12,MATCH(cadangan[[#This Row],[ItemID A]],Katalog!$C$3:$C$12,0))*cadangan[[#This Row],[Qty A]],0)</f>
        <v>350000</v>
      </c>
      <c r="I99" s="73">
        <f>IFERROR(cadangan[[#This Row],[Harga Normal A]]-(cadangan[[#This Row],[Harga Normal A]]*cadangan[[#This Row],[Diskon]]),cadangan[[#This Row],[Harga Normal A]])</f>
        <v>280000</v>
      </c>
      <c r="J99" s="73">
        <f>INDEX(Katalog!$F$3:$F$12,MATCH(cadangan[[#This Row],[ItemID A]],Katalog!$C$3:$C$12,0))*cadangan[[#This Row],[Qty A]]</f>
        <v>130000</v>
      </c>
      <c r="K99" s="73">
        <f>IFERROR(cadangan[[#This Row],[Harga Diskon A]]-INDEX(Katalog!$E$3:$E$12,MATCH(cadangan[[#This Row],[ItemID A]],Katalog!$C$3:$C$12,0))*cadangan[[#This Row],[Qty A]],0)</f>
        <v>60000</v>
      </c>
      <c r="L99" s="39" t="s">
        <v>66</v>
      </c>
      <c r="M99" s="39" t="str">
        <f>IFERROR(INDEX(Katalog!$A$3:$A$12,MATCH(cadangan[[#This Row],[ItemID B]],Katalog!$C$3:$C$12,0)),"-")</f>
        <v>Sepatu Pria</v>
      </c>
      <c r="N99" s="39" t="str">
        <f>IFERROR(INDEX(Katalog!$B$3:$B$12,MATCH(cadangan[[#This Row],[ItemID B]],Katalog!$C$3:$C$12,0)),"-")</f>
        <v>Sandal Slip On</v>
      </c>
      <c r="O99" s="50">
        <v>2</v>
      </c>
      <c r="P99" s="50">
        <v>4</v>
      </c>
      <c r="Q99" s="73">
        <f>IFERROR(INDEX(Katalog!$D$3:$D$12,MATCH(cadangan[[#This Row],[ItemID B]],Katalog!$C$3:$C$12,0))*cadangan[[#This Row],[Qty B]],0)</f>
        <v>300000</v>
      </c>
      <c r="R99" s="73">
        <f>IFERROR(cadangan[[#This Row],[Harga Normal B]]-(cadangan[[#This Row],[Harga Normal B]]*cadangan[[#This Row],[Diskon]]),cadangan[[#This Row],[Harga Normal B]])</f>
        <v>240000</v>
      </c>
      <c r="S99" s="73">
        <f>IFERROR(INDEX(Katalog!$F$3:$F$12,MATCH(cadangan[[#This Row],[ItemID B]],Katalog!$C$3:$C$12,0))*cadangan[[#This Row],[Qty B]],0)</f>
        <v>120000</v>
      </c>
      <c r="T99" s="73">
        <f>IFERROR(cadangan[[#This Row],[Harga Diskon B]]-INDEX(Katalog!$E$3:$E$12,MATCH(cadangan[[#This Row],[ItemID B]],Katalog!$C$3:$C$12,0))*cadangan[[#This Row],[Qty B]],0)</f>
        <v>60000</v>
      </c>
      <c r="U99" s="39" t="s">
        <v>58</v>
      </c>
      <c r="V99" s="39" t="str">
        <f>IFERROR(INDEX(Katalog!$A$3:$A$12,MATCH(cadangan[[#This Row],[ItemID C]],Katalog!$C$3:$C$12,0)),"-")</f>
        <v>Pakaian Wanita</v>
      </c>
      <c r="W99" s="39" t="str">
        <f>IFERROR(INDEX(Katalog!$B$3:$B$12,MATCH(cadangan[[#This Row],[ItemID C]],Katalog!$C$3:$C$12,0)),"-")</f>
        <v>Dress</v>
      </c>
      <c r="X99" s="50">
        <v>1</v>
      </c>
      <c r="Y99" s="50">
        <v>5</v>
      </c>
      <c r="Z99" s="73">
        <f>IFERROR(INDEX(Katalog!$D$3:$D$12,MATCH(cadangan[[#This Row],[ItemID C]],Katalog!$C$3:$C$12,0))*cadangan[[#This Row],[Qty C]],0)</f>
        <v>300000</v>
      </c>
      <c r="AA99" s="73">
        <f>IFERROR(cadangan[[#This Row],[Harga Normal C]]-(cadangan[[#This Row],[Harga Normal C]]*cadangan[[#This Row],[Diskon]]),cadangan[[#This Row],[Harga Normal C]])</f>
        <v>240000</v>
      </c>
      <c r="AB99" s="73">
        <f>IFERROR(INDEX(Katalog!$F$3:$F$12,MATCH(cadangan[[#This Row],[ItemID C]],Katalog!$C$3:$C$12,0))*cadangan[[#This Row],[Qty C]],0)</f>
        <v>100000</v>
      </c>
      <c r="AC99" s="73">
        <f>IFERROR(cadangan[[#This Row],[Harga Diskon C]]-INDEX(Katalog!$E$3:$E$12,MATCH(cadangan[[#This Row],[ItemID C]],Katalog!$C$3:$C$12,0))*cadangan[[#This Row],[Qty C]],0)</f>
        <v>40000</v>
      </c>
      <c r="AD99" s="53">
        <f>cadangan[[#This Row],[Qty A]]+cadangan[[#This Row],[Qty B]]+cadangan[[#This Row],[Qty C]]</f>
        <v>4</v>
      </c>
      <c r="AE99" s="73">
        <f>cadangan[[#This Row],[Harga Normal A]]+cadangan[[#This Row],[Harga Normal B]]+cadangan[[#This Row],[Harga Normal C]]</f>
        <v>950000</v>
      </c>
      <c r="AF99" s="73">
        <f>cadangan[[#This Row],[Harga Diskon A]]+cadangan[[#This Row],[Harga Diskon B]]+cadangan[[#This Row],[Harga Diskon C]]</f>
        <v>760000</v>
      </c>
      <c r="AG99" s="73">
        <f>(cadangan[[#This Row],[Profit Normal A]]+cadangan[[#This Row],[Profit Normal B]]+cadangan[[#This Row],[Profit Normal C]])</f>
        <v>350000</v>
      </c>
      <c r="AH99" s="73">
        <f>cadangan[[#This Row],[Profit Diskon A]]+cadangan[[#This Row],[Profit Diskon B]]+cadangan[[#This Row],[Profit Diskon C]]</f>
        <v>160000</v>
      </c>
      <c r="AI99" s="23" t="s">
        <v>8</v>
      </c>
      <c r="AJ99" s="37">
        <f>IFERROR(INDEX('Kode Diskon'!$D$3:$D$9,MATCH(cadangan[[#This Row],[Kode diskon]],'Kode Diskon'!$C$3:$C$9,0)),"-")</f>
        <v>0.2</v>
      </c>
      <c r="AK99" s="23" t="s">
        <v>9</v>
      </c>
      <c r="AL99" s="23" t="s">
        <v>7</v>
      </c>
      <c r="AM99" s="23" t="s">
        <v>79</v>
      </c>
      <c r="AN99" s="55">
        <v>45036</v>
      </c>
      <c r="AO99" s="53">
        <f>DAY(cadangan[[#This Row],[Tanggal terjual]])</f>
        <v>20</v>
      </c>
      <c r="AP99" s="21" t="str">
        <f>TEXT(cadangan[[#This Row],[Tanggal terjual]],"dddd")</f>
        <v>Thursday</v>
      </c>
      <c r="AQ99" s="23" t="str" cm="1">
        <f t="array" ref="AQ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9" s="61">
        <f>AVERAGE(cadangan[[#This Row],[Rating A]],cadangan[[#This Row],[Rating B]],cadangan[[#This Row],[Rating C]])</f>
        <v>4</v>
      </c>
    </row>
    <row r="100" spans="1:44" x14ac:dyDescent="0.2">
      <c r="A100" s="20">
        <v>99</v>
      </c>
      <c r="B100" s="21" t="str">
        <f>_xlfn.CONCAT("ORD-",INDEX(Helper!$B$2:$B$5,MATCH(cadangan[[#This Row],[Marketplace]],Helper!$A$2:$A$5,0)),TEXT(cadangan[[#This Row],[No]],"0000"),"-",TEXT(cadangan[[#This Row],[Tanggal terjual]],"dd/mm/yy"))</f>
        <v>ORD-TK0099-06/04/23</v>
      </c>
      <c r="C100" s="39" t="s">
        <v>62</v>
      </c>
      <c r="D100" s="39" t="str">
        <f>IFERROR(INDEX(Katalog!$A$3:$A$12,MATCH(cadangan[[#This Row],[ItemID A]],Katalog!$C$3:$C$12,0)),"-")</f>
        <v>Pakaian Pria</v>
      </c>
      <c r="E100" s="39" t="str">
        <f>IFERROR(INDEX(Katalog!$B$3:$B$12,MATCH(cadangan[[#This Row],[ItemID A]],Katalog!$C$3:$C$12,0)),"-")</f>
        <v>Celana Pendek</v>
      </c>
      <c r="F100" s="50">
        <v>3</v>
      </c>
      <c r="G100" s="50">
        <v>5</v>
      </c>
      <c r="H100" s="73">
        <f>IFERROR(INDEX(Katalog!$D$3:$D$12,MATCH(cadangan[[#This Row],[ItemID A]],Katalog!$C$3:$C$12,0))*cadangan[[#This Row],[Qty A]],0)</f>
        <v>540000</v>
      </c>
      <c r="I100" s="73">
        <f>IFERROR(cadangan[[#This Row],[Harga Normal A]]-(cadangan[[#This Row],[Harga Normal A]]*cadangan[[#This Row],[Diskon]]),cadangan[[#This Row],[Harga Normal A]])</f>
        <v>486000</v>
      </c>
      <c r="J100" s="73">
        <f>INDEX(Katalog!$F$3:$F$12,MATCH(cadangan[[#This Row],[ItemID A]],Katalog!$C$3:$C$12,0))*cadangan[[#This Row],[Qty A]]</f>
        <v>210000</v>
      </c>
      <c r="K100" s="73">
        <f>IFERROR(cadangan[[#This Row],[Harga Diskon A]]-INDEX(Katalog!$E$3:$E$12,MATCH(cadangan[[#This Row],[ItemID A]],Katalog!$C$3:$C$12,0))*cadangan[[#This Row],[Qty A]],0)</f>
        <v>156000</v>
      </c>
      <c r="L100" s="39" t="s">
        <v>59</v>
      </c>
      <c r="M100" s="39" t="str">
        <f>IFERROR(INDEX(Katalog!$A$3:$A$12,MATCH(cadangan[[#This Row],[ItemID B]],Katalog!$C$3:$C$12,0)),"-")</f>
        <v>Pakaian Wanita</v>
      </c>
      <c r="N100" s="39" t="str">
        <f>IFERROR(INDEX(Katalog!$B$3:$B$12,MATCH(cadangan[[#This Row],[ItemID B]],Katalog!$C$3:$C$12,0)),"-")</f>
        <v>Blouse</v>
      </c>
      <c r="O100" s="50">
        <v>1</v>
      </c>
      <c r="P100" s="50">
        <v>5</v>
      </c>
      <c r="Q100" s="73">
        <f>IFERROR(INDEX(Katalog!$D$3:$D$12,MATCH(cadangan[[#This Row],[ItemID B]],Katalog!$C$3:$C$12,0))*cadangan[[#This Row],[Qty B]],0)</f>
        <v>150000</v>
      </c>
      <c r="R100" s="73">
        <f>IFERROR(cadangan[[#This Row],[Harga Normal B]]-(cadangan[[#This Row],[Harga Normal B]]*cadangan[[#This Row],[Diskon]]),cadangan[[#This Row],[Harga Normal B]])</f>
        <v>135000</v>
      </c>
      <c r="S100" s="73">
        <f>IFERROR(INDEX(Katalog!$F$3:$F$12,MATCH(cadangan[[#This Row],[ItemID B]],Katalog!$C$3:$C$12,0))*cadangan[[#This Row],[Qty B]],0)</f>
        <v>50000</v>
      </c>
      <c r="T100" s="73">
        <f>IFERROR(cadangan[[#This Row],[Harga Diskon B]]-INDEX(Katalog!$E$3:$E$12,MATCH(cadangan[[#This Row],[ItemID B]],Katalog!$C$3:$C$12,0))*cadangan[[#This Row],[Qty B]],0)</f>
        <v>35000</v>
      </c>
      <c r="U100" s="39" t="s">
        <v>62</v>
      </c>
      <c r="V100" s="39" t="str">
        <f>IFERROR(INDEX(Katalog!$A$3:$A$12,MATCH(cadangan[[#This Row],[ItemID C]],Katalog!$C$3:$C$12,0)),"-")</f>
        <v>Pakaian Pria</v>
      </c>
      <c r="W100" s="39" t="str">
        <f>IFERROR(INDEX(Katalog!$B$3:$B$12,MATCH(cadangan[[#This Row],[ItemID C]],Katalog!$C$3:$C$12,0)),"-")</f>
        <v>Celana Pendek</v>
      </c>
      <c r="X100" s="50">
        <v>1</v>
      </c>
      <c r="Y100" s="50">
        <v>3</v>
      </c>
      <c r="Z100" s="73">
        <f>IFERROR(INDEX(Katalog!$D$3:$D$12,MATCH(cadangan[[#This Row],[ItemID C]],Katalog!$C$3:$C$12,0))*cadangan[[#This Row],[Qty C]],0)</f>
        <v>180000</v>
      </c>
      <c r="AA100" s="73">
        <f>IFERROR(cadangan[[#This Row],[Harga Normal C]]-(cadangan[[#This Row],[Harga Normal C]]*cadangan[[#This Row],[Diskon]]),cadangan[[#This Row],[Harga Normal C]])</f>
        <v>162000</v>
      </c>
      <c r="AB100" s="73">
        <f>IFERROR(INDEX(Katalog!$F$3:$F$12,MATCH(cadangan[[#This Row],[ItemID C]],Katalog!$C$3:$C$12,0))*cadangan[[#This Row],[Qty C]],0)</f>
        <v>70000</v>
      </c>
      <c r="AC100" s="73">
        <f>IFERROR(cadangan[[#This Row],[Harga Diskon C]]-INDEX(Katalog!$E$3:$E$12,MATCH(cadangan[[#This Row],[ItemID C]],Katalog!$C$3:$C$12,0))*cadangan[[#This Row],[Qty C]],0)</f>
        <v>52000</v>
      </c>
      <c r="AD100" s="53">
        <f>cadangan[[#This Row],[Qty A]]+cadangan[[#This Row],[Qty B]]+cadangan[[#This Row],[Qty C]]</f>
        <v>5</v>
      </c>
      <c r="AE100" s="73">
        <f>cadangan[[#This Row],[Harga Normal A]]+cadangan[[#This Row],[Harga Normal B]]+cadangan[[#This Row],[Harga Normal C]]</f>
        <v>870000</v>
      </c>
      <c r="AF100" s="73">
        <f>cadangan[[#This Row],[Harga Diskon A]]+cadangan[[#This Row],[Harga Diskon B]]+cadangan[[#This Row],[Harga Diskon C]]</f>
        <v>783000</v>
      </c>
      <c r="AG100" s="73">
        <f>(cadangan[[#This Row],[Profit Normal A]]+cadangan[[#This Row],[Profit Normal B]]+cadangan[[#This Row],[Profit Normal C]])</f>
        <v>330000</v>
      </c>
      <c r="AH100" s="73">
        <f>cadangan[[#This Row],[Profit Diskon A]]+cadangan[[#This Row],[Profit Diskon B]]+cadangan[[#This Row],[Profit Diskon C]]</f>
        <v>243000</v>
      </c>
      <c r="AI100" s="23" t="s">
        <v>30</v>
      </c>
      <c r="AJ100" s="37">
        <f>IFERROR(INDEX('Kode Diskon'!$D$3:$D$9,MATCH(cadangan[[#This Row],[Kode diskon]],'Kode Diskon'!$C$3:$C$9,0)),"-")</f>
        <v>0.1</v>
      </c>
      <c r="AK100" s="23" t="s">
        <v>29</v>
      </c>
      <c r="AL100" s="23" t="s">
        <v>10</v>
      </c>
      <c r="AM100" s="23" t="s">
        <v>79</v>
      </c>
      <c r="AN100" s="55">
        <v>45022</v>
      </c>
      <c r="AO100" s="53">
        <f>DAY(cadangan[[#This Row],[Tanggal terjual]])</f>
        <v>6</v>
      </c>
      <c r="AP100" s="21" t="str">
        <f>TEXT(cadangan[[#This Row],[Tanggal terjual]],"dddd")</f>
        <v>Thursday</v>
      </c>
      <c r="AQ100" s="23" t="str" cm="1">
        <f t="array" ref="AQ1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0" s="61">
        <f>AVERAGE(cadangan[[#This Row],[Rating A]],cadangan[[#This Row],[Rating B]],cadangan[[#This Row],[Rating C]])</f>
        <v>4.333333333333333</v>
      </c>
    </row>
    <row r="101" spans="1:44" x14ac:dyDescent="0.2">
      <c r="A101" s="20">
        <v>100</v>
      </c>
      <c r="B101" s="21" t="str">
        <f>_xlfn.CONCAT("ORD-",INDEX(Helper!$B$2:$B$5,MATCH(cadangan[[#This Row],[Marketplace]],Helper!$A$2:$A$5,0)),TEXT(cadangan[[#This Row],[No]],"0000"),"-",TEXT(cadangan[[#This Row],[Tanggal terjual]],"dd/mm/yy"))</f>
        <v>ORD-TK0100-04/04/23</v>
      </c>
      <c r="C101" s="39" t="s">
        <v>67</v>
      </c>
      <c r="D101" s="39" t="str">
        <f>IFERROR(INDEX(Katalog!$A$3:$A$12,MATCH(cadangan[[#This Row],[ItemID A]],Katalog!$C$3:$C$12,0)),"-")</f>
        <v>Sepatu Wanita</v>
      </c>
      <c r="E101" s="39" t="str">
        <f>IFERROR(INDEX(Katalog!$B$3:$B$12,MATCH(cadangan[[#This Row],[ItemID A]],Katalog!$C$3:$C$12,0)),"-")</f>
        <v>Flat Shoes</v>
      </c>
      <c r="F101" s="50">
        <v>1</v>
      </c>
      <c r="G101" s="50">
        <v>1</v>
      </c>
      <c r="H101" s="73">
        <f>IFERROR(INDEX(Katalog!$D$3:$D$12,MATCH(cadangan[[#This Row],[ItemID A]],Katalog!$C$3:$C$12,0))*cadangan[[#This Row],[Qty A]],0)</f>
        <v>250000</v>
      </c>
      <c r="I101" s="73">
        <f>IFERROR(cadangan[[#This Row],[Harga Normal A]]-(cadangan[[#This Row],[Harga Normal A]]*cadangan[[#This Row],[Diskon]]),cadangan[[#This Row],[Harga Normal A]])</f>
        <v>225000</v>
      </c>
      <c r="J101" s="73">
        <f>INDEX(Katalog!$F$3:$F$12,MATCH(cadangan[[#This Row],[ItemID A]],Katalog!$C$3:$C$12,0))*cadangan[[#This Row],[Qty A]]</f>
        <v>100000</v>
      </c>
      <c r="K101" s="73">
        <f>IFERROR(cadangan[[#This Row],[Harga Diskon A]]-INDEX(Katalog!$E$3:$E$12,MATCH(cadangan[[#This Row],[ItemID A]],Katalog!$C$3:$C$12,0))*cadangan[[#This Row],[Qty A]],0)</f>
        <v>75000</v>
      </c>
      <c r="L101" s="39" t="s">
        <v>65</v>
      </c>
      <c r="M101" s="39" t="str">
        <f>IFERROR(INDEX(Katalog!$A$3:$A$12,MATCH(cadangan[[#This Row],[ItemID B]],Katalog!$C$3:$C$12,0)),"-")</f>
        <v>Sepatu Pria</v>
      </c>
      <c r="N101" s="39" t="str">
        <f>IFERROR(INDEX(Katalog!$B$3:$B$12,MATCH(cadangan[[#This Row],[ItemID B]],Katalog!$C$3:$C$12,0)),"-")</f>
        <v>Sneakers</v>
      </c>
      <c r="O101" s="50">
        <v>1</v>
      </c>
      <c r="P101" s="50">
        <v>2</v>
      </c>
      <c r="Q101" s="73">
        <f>IFERROR(INDEX(Katalog!$D$3:$D$12,MATCH(cadangan[[#This Row],[ItemID B]],Katalog!$C$3:$C$12,0))*cadangan[[#This Row],[Qty B]],0)</f>
        <v>500000</v>
      </c>
      <c r="R101" s="73">
        <f>IFERROR(cadangan[[#This Row],[Harga Normal B]]-(cadangan[[#This Row],[Harga Normal B]]*cadangan[[#This Row],[Diskon]]),cadangan[[#This Row],[Harga Normal B]])</f>
        <v>450000</v>
      </c>
      <c r="S101" s="73">
        <f>IFERROR(INDEX(Katalog!$F$3:$F$12,MATCH(cadangan[[#This Row],[ItemID B]],Katalog!$C$3:$C$12,0))*cadangan[[#This Row],[Qty B]],0)</f>
        <v>200000</v>
      </c>
      <c r="T101" s="73">
        <f>IFERROR(cadangan[[#This Row],[Harga Diskon B]]-INDEX(Katalog!$E$3:$E$12,MATCH(cadangan[[#This Row],[ItemID B]],Katalog!$C$3:$C$12,0))*cadangan[[#This Row],[Qty B]],0)</f>
        <v>150000</v>
      </c>
      <c r="U101" s="39" t="s">
        <v>67</v>
      </c>
      <c r="V101" s="39" t="str">
        <f>IFERROR(INDEX(Katalog!$A$3:$A$12,MATCH(cadangan[[#This Row],[ItemID C]],Katalog!$C$3:$C$12,0)),"-")</f>
        <v>Sepatu Wanita</v>
      </c>
      <c r="W101" s="39" t="str">
        <f>IFERROR(INDEX(Katalog!$B$3:$B$12,MATCH(cadangan[[#This Row],[ItemID C]],Katalog!$C$3:$C$12,0)),"-")</f>
        <v>Flat Shoes</v>
      </c>
      <c r="X101" s="50">
        <v>1</v>
      </c>
      <c r="Y101" s="50">
        <v>1</v>
      </c>
      <c r="Z101" s="73">
        <f>IFERROR(INDEX(Katalog!$D$3:$D$12,MATCH(cadangan[[#This Row],[ItemID C]],Katalog!$C$3:$C$12,0))*cadangan[[#This Row],[Qty C]],0)</f>
        <v>250000</v>
      </c>
      <c r="AA101" s="73">
        <f>IFERROR(cadangan[[#This Row],[Harga Normal C]]-(cadangan[[#This Row],[Harga Normal C]]*cadangan[[#This Row],[Diskon]]),cadangan[[#This Row],[Harga Normal C]])</f>
        <v>225000</v>
      </c>
      <c r="AB101" s="73">
        <f>IFERROR(INDEX(Katalog!$F$3:$F$12,MATCH(cadangan[[#This Row],[ItemID C]],Katalog!$C$3:$C$12,0))*cadangan[[#This Row],[Qty C]],0)</f>
        <v>100000</v>
      </c>
      <c r="AC101" s="73">
        <f>IFERROR(cadangan[[#This Row],[Harga Diskon C]]-INDEX(Katalog!$E$3:$E$12,MATCH(cadangan[[#This Row],[ItemID C]],Katalog!$C$3:$C$12,0))*cadangan[[#This Row],[Qty C]],0)</f>
        <v>75000</v>
      </c>
      <c r="AD101" s="53">
        <f>cadangan[[#This Row],[Qty A]]+cadangan[[#This Row],[Qty B]]+cadangan[[#This Row],[Qty C]]</f>
        <v>3</v>
      </c>
      <c r="AE101" s="73">
        <f>cadangan[[#This Row],[Harga Normal A]]+cadangan[[#This Row],[Harga Normal B]]+cadangan[[#This Row],[Harga Normal C]]</f>
        <v>1000000</v>
      </c>
      <c r="AF101" s="73">
        <f>cadangan[[#This Row],[Harga Diskon A]]+cadangan[[#This Row],[Harga Diskon B]]+cadangan[[#This Row],[Harga Diskon C]]</f>
        <v>900000</v>
      </c>
      <c r="AG101" s="73">
        <f>(cadangan[[#This Row],[Profit Normal A]]+cadangan[[#This Row],[Profit Normal B]]+cadangan[[#This Row],[Profit Normal C]])</f>
        <v>400000</v>
      </c>
      <c r="AH101" s="73">
        <f>cadangan[[#This Row],[Profit Diskon A]]+cadangan[[#This Row],[Profit Diskon B]]+cadangan[[#This Row],[Profit Diskon C]]</f>
        <v>300000</v>
      </c>
      <c r="AI101" s="23" t="s">
        <v>30</v>
      </c>
      <c r="AJ101" s="37">
        <f>IFERROR(INDEX('Kode Diskon'!$D$3:$D$9,MATCH(cadangan[[#This Row],[Kode diskon]],'Kode Diskon'!$C$3:$C$9,0)),"-")</f>
        <v>0.1</v>
      </c>
      <c r="AK101" s="23" t="s">
        <v>29</v>
      </c>
      <c r="AL101" s="23" t="s">
        <v>10</v>
      </c>
      <c r="AM101" s="23" t="s">
        <v>76</v>
      </c>
      <c r="AN101" s="55">
        <v>45020</v>
      </c>
      <c r="AO101" s="53">
        <f>DAY(cadangan[[#This Row],[Tanggal terjual]])</f>
        <v>4</v>
      </c>
      <c r="AP101" s="21" t="str">
        <f>TEXT(cadangan[[#This Row],[Tanggal terjual]],"dddd")</f>
        <v>Tuesday</v>
      </c>
      <c r="AQ101" s="23" t="str" cm="1">
        <f t="array" ref="AQ1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1" s="61">
        <f>AVERAGE(cadangan[[#This Row],[Rating A]],cadangan[[#This Row],[Rating B]],cadangan[[#This Row],[Rating C]])</f>
        <v>1.3333333333333333</v>
      </c>
    </row>
    <row r="102" spans="1:44" x14ac:dyDescent="0.2">
      <c r="A102" s="20">
        <v>101</v>
      </c>
      <c r="B102" s="21" t="str">
        <f>_xlfn.CONCAT("ORD-",INDEX(Helper!$B$2:$B$5,MATCH(cadangan[[#This Row],[Marketplace]],Helper!$A$2:$A$5,0)),TEXT(cadangan[[#This Row],[No]],"0000"),"-",TEXT(cadangan[[#This Row],[Tanggal terjual]],"dd/mm/yy"))</f>
        <v>ORD-SP0101-09/04/23</v>
      </c>
      <c r="C102" s="39" t="s">
        <v>65</v>
      </c>
      <c r="D102" s="39" t="str">
        <f>IFERROR(INDEX(Katalog!$A$3:$A$12,MATCH(cadangan[[#This Row],[ItemID A]],Katalog!$C$3:$C$12,0)),"-")</f>
        <v>Sepatu Pria</v>
      </c>
      <c r="E102" s="39" t="str">
        <f>IFERROR(INDEX(Katalog!$B$3:$B$12,MATCH(cadangan[[#This Row],[ItemID A]],Katalog!$C$3:$C$12,0)),"-")</f>
        <v>Sneakers</v>
      </c>
      <c r="F102" s="50">
        <v>4</v>
      </c>
      <c r="G102" s="50">
        <v>5</v>
      </c>
      <c r="H102" s="73">
        <f>IFERROR(INDEX(Katalog!$D$3:$D$12,MATCH(cadangan[[#This Row],[ItemID A]],Katalog!$C$3:$C$12,0))*cadangan[[#This Row],[Qty A]],0)</f>
        <v>2000000</v>
      </c>
      <c r="I102" s="73">
        <f>IFERROR(cadangan[[#This Row],[Harga Normal A]]-(cadangan[[#This Row],[Harga Normal A]]*cadangan[[#This Row],[Diskon]]),cadangan[[#This Row],[Harga Normal A]])</f>
        <v>2000000</v>
      </c>
      <c r="J102" s="73">
        <f>INDEX(Katalog!$F$3:$F$12,MATCH(cadangan[[#This Row],[ItemID A]],Katalog!$C$3:$C$12,0))*cadangan[[#This Row],[Qty A]]</f>
        <v>800000</v>
      </c>
      <c r="K102" s="73">
        <f>IFERROR(cadangan[[#This Row],[Harga Diskon A]]-INDEX(Katalog!$E$3:$E$12,MATCH(cadangan[[#This Row],[ItemID A]],Katalog!$C$3:$C$12,0))*cadangan[[#This Row],[Qty A]],0)</f>
        <v>800000</v>
      </c>
      <c r="L102" s="39" t="s">
        <v>63</v>
      </c>
      <c r="M102" s="39" t="str">
        <f>IFERROR(INDEX(Katalog!$A$3:$A$12,MATCH(cadangan[[#This Row],[ItemID B]],Katalog!$C$3:$C$12,0)),"-")</f>
        <v>Pakaian Pria</v>
      </c>
      <c r="N102" s="39" t="str">
        <f>IFERROR(INDEX(Katalog!$B$3:$B$12,MATCH(cadangan[[#This Row],[ItemID B]],Katalog!$C$3:$C$12,0)),"-")</f>
        <v>Jaket Jeans</v>
      </c>
      <c r="O102" s="50">
        <v>1</v>
      </c>
      <c r="P102" s="50">
        <v>1</v>
      </c>
      <c r="Q102" s="73">
        <f>IFERROR(INDEX(Katalog!$D$3:$D$12,MATCH(cadangan[[#This Row],[ItemID B]],Katalog!$C$3:$C$12,0))*cadangan[[#This Row],[Qty B]],0)</f>
        <v>400000</v>
      </c>
      <c r="R102" s="73">
        <f>IFERROR(cadangan[[#This Row],[Harga Normal B]]-(cadangan[[#This Row],[Harga Normal B]]*cadangan[[#This Row],[Diskon]]),cadangan[[#This Row],[Harga Normal B]])</f>
        <v>400000</v>
      </c>
      <c r="S102" s="73">
        <f>IFERROR(INDEX(Katalog!$F$3:$F$12,MATCH(cadangan[[#This Row],[ItemID B]],Katalog!$C$3:$C$12,0))*cadangan[[#This Row],[Qty B]],0)</f>
        <v>150000</v>
      </c>
      <c r="T102" s="73">
        <f>IFERROR(cadangan[[#This Row],[Harga Diskon B]]-INDEX(Katalog!$E$3:$E$12,MATCH(cadangan[[#This Row],[ItemID B]],Katalog!$C$3:$C$12,0))*cadangan[[#This Row],[Qty B]],0)</f>
        <v>150000</v>
      </c>
      <c r="V102" s="39" t="str">
        <f>IFERROR(INDEX(Katalog!$A$3:$A$12,MATCH(cadangan[[#This Row],[ItemID C]],Katalog!$C$3:$C$12,0)),"-")</f>
        <v>-</v>
      </c>
      <c r="W102" s="39" t="str">
        <f>IFERROR(INDEX(Katalog!$B$3:$B$12,MATCH(cadangan[[#This Row],[ItemID C]],Katalog!$C$3:$C$12,0)),"-")</f>
        <v>-</v>
      </c>
      <c r="Z102" s="73">
        <f>IFERROR(INDEX(Katalog!$D$3:$D$12,MATCH(cadangan[[#This Row],[ItemID C]],Katalog!$C$3:$C$12,0))*cadangan[[#This Row],[Qty C]],0)</f>
        <v>0</v>
      </c>
      <c r="AA102" s="73">
        <f>IFERROR(cadangan[[#This Row],[Harga Normal C]]-(cadangan[[#This Row],[Harga Normal C]]*cadangan[[#This Row],[Diskon]]),cadangan[[#This Row],[Harga Normal C]])</f>
        <v>0</v>
      </c>
      <c r="AB102" s="73">
        <f>IFERROR(INDEX(Katalog!$F$3:$F$12,MATCH(cadangan[[#This Row],[ItemID C]],Katalog!$C$3:$C$12,0))*cadangan[[#This Row],[Qty C]],0)</f>
        <v>0</v>
      </c>
      <c r="AC102" s="73">
        <f>IFERROR(cadangan[[#This Row],[Harga Diskon C]]-INDEX(Katalog!$E$3:$E$12,MATCH(cadangan[[#This Row],[ItemID C]],Katalog!$C$3:$C$12,0))*cadangan[[#This Row],[Qty C]],0)</f>
        <v>0</v>
      </c>
      <c r="AD102" s="53">
        <f>cadangan[[#This Row],[Qty A]]+cadangan[[#This Row],[Qty B]]+cadangan[[#This Row],[Qty C]]</f>
        <v>5</v>
      </c>
      <c r="AE102" s="73">
        <f>cadangan[[#This Row],[Harga Normal A]]+cadangan[[#This Row],[Harga Normal B]]+cadangan[[#This Row],[Harga Normal C]]</f>
        <v>2400000</v>
      </c>
      <c r="AF102" s="73">
        <f>cadangan[[#This Row],[Harga Diskon A]]+cadangan[[#This Row],[Harga Diskon B]]+cadangan[[#This Row],[Harga Diskon C]]</f>
        <v>2400000</v>
      </c>
      <c r="AG102" s="73">
        <f>(cadangan[[#This Row],[Profit Normal A]]+cadangan[[#This Row],[Profit Normal B]]+cadangan[[#This Row],[Profit Normal C]])</f>
        <v>950000</v>
      </c>
      <c r="AH102" s="73">
        <f>cadangan[[#This Row],[Profit Diskon A]]+cadangan[[#This Row],[Profit Diskon B]]+cadangan[[#This Row],[Profit Diskon C]]</f>
        <v>950000</v>
      </c>
      <c r="AI102" s="23" t="s">
        <v>290</v>
      </c>
      <c r="AJ102" s="37" t="str">
        <f>IFERROR(INDEX('Kode Diskon'!$D$3:$D$9,MATCH(cadangan[[#This Row],[Kode diskon]],'Kode Diskon'!$C$3:$C$9,0)),"-")</f>
        <v>-</v>
      </c>
      <c r="AK102" s="23" t="s">
        <v>290</v>
      </c>
      <c r="AL102" s="23" t="s">
        <v>7</v>
      </c>
      <c r="AM102" s="23" t="s">
        <v>80</v>
      </c>
      <c r="AN102" s="55">
        <v>45025</v>
      </c>
      <c r="AO102" s="53">
        <f>DAY(cadangan[[#This Row],[Tanggal terjual]])</f>
        <v>9</v>
      </c>
      <c r="AP102" s="21" t="str">
        <f>TEXT(cadangan[[#This Row],[Tanggal terjual]],"dddd")</f>
        <v>Sunday</v>
      </c>
      <c r="AQ102" s="23" t="str" cm="1">
        <f t="array" ref="AQ1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02" s="61">
        <f>AVERAGE(cadangan[[#This Row],[Rating A]],cadangan[[#This Row],[Rating B]],cadangan[[#This Row],[Rating C]])</f>
        <v>3</v>
      </c>
    </row>
    <row r="103" spans="1:44" x14ac:dyDescent="0.2">
      <c r="A103" s="20">
        <v>102</v>
      </c>
      <c r="B103" s="21" t="str">
        <f>_xlfn.CONCAT("ORD-",INDEX(Helper!$B$2:$B$5,MATCH(cadangan[[#This Row],[Marketplace]],Helper!$A$2:$A$5,0)),TEXT(cadangan[[#This Row],[No]],"0000"),"-",TEXT(cadangan[[#This Row],[Tanggal terjual]],"dd/mm/yy"))</f>
        <v>ORD-TK0102-04/04/23</v>
      </c>
      <c r="C103" s="39" t="s">
        <v>63</v>
      </c>
      <c r="D103" s="39" t="str">
        <f>IFERROR(INDEX(Katalog!$A$3:$A$12,MATCH(cadangan[[#This Row],[ItemID A]],Katalog!$C$3:$C$12,0)),"-")</f>
        <v>Pakaian Pria</v>
      </c>
      <c r="E103" s="39" t="str">
        <f>IFERROR(INDEX(Katalog!$B$3:$B$12,MATCH(cadangan[[#This Row],[ItemID A]],Katalog!$C$3:$C$12,0)),"-")</f>
        <v>Jaket Jeans</v>
      </c>
      <c r="F103" s="50">
        <v>3</v>
      </c>
      <c r="G103" s="50">
        <v>4</v>
      </c>
      <c r="H103" s="73">
        <f>IFERROR(INDEX(Katalog!$D$3:$D$12,MATCH(cadangan[[#This Row],[ItemID A]],Katalog!$C$3:$C$12,0))*cadangan[[#This Row],[Qty A]],0)</f>
        <v>1200000</v>
      </c>
      <c r="I103" s="73">
        <f>IFERROR(cadangan[[#This Row],[Harga Normal A]]-(cadangan[[#This Row],[Harga Normal A]]*cadangan[[#This Row],[Diskon]]),cadangan[[#This Row],[Harga Normal A]])</f>
        <v>1080000</v>
      </c>
      <c r="J103" s="73">
        <f>INDEX(Katalog!$F$3:$F$12,MATCH(cadangan[[#This Row],[ItemID A]],Katalog!$C$3:$C$12,0))*cadangan[[#This Row],[Qty A]]</f>
        <v>450000</v>
      </c>
      <c r="K103" s="73">
        <f>IFERROR(cadangan[[#This Row],[Harga Diskon A]]-INDEX(Katalog!$E$3:$E$12,MATCH(cadangan[[#This Row],[ItemID A]],Katalog!$C$3:$C$12,0))*cadangan[[#This Row],[Qty A]],0)</f>
        <v>330000</v>
      </c>
      <c r="L103" s="39" t="s">
        <v>67</v>
      </c>
      <c r="M103" s="39" t="str">
        <f>IFERROR(INDEX(Katalog!$A$3:$A$12,MATCH(cadangan[[#This Row],[ItemID B]],Katalog!$C$3:$C$12,0)),"-")</f>
        <v>Sepatu Wanita</v>
      </c>
      <c r="N103" s="39" t="str">
        <f>IFERROR(INDEX(Katalog!$B$3:$B$12,MATCH(cadangan[[#This Row],[ItemID B]],Katalog!$C$3:$C$12,0)),"-")</f>
        <v>Flat Shoes</v>
      </c>
      <c r="O103" s="50">
        <v>1</v>
      </c>
      <c r="P103" s="50">
        <v>1</v>
      </c>
      <c r="Q103" s="73">
        <f>IFERROR(INDEX(Katalog!$D$3:$D$12,MATCH(cadangan[[#This Row],[ItemID B]],Katalog!$C$3:$C$12,0))*cadangan[[#This Row],[Qty B]],0)</f>
        <v>250000</v>
      </c>
      <c r="R103" s="73">
        <f>IFERROR(cadangan[[#This Row],[Harga Normal B]]-(cadangan[[#This Row],[Harga Normal B]]*cadangan[[#This Row],[Diskon]]),cadangan[[#This Row],[Harga Normal B]])</f>
        <v>225000</v>
      </c>
      <c r="S103" s="73">
        <f>IFERROR(INDEX(Katalog!$F$3:$F$12,MATCH(cadangan[[#This Row],[ItemID B]],Katalog!$C$3:$C$12,0))*cadangan[[#This Row],[Qty B]],0)</f>
        <v>100000</v>
      </c>
      <c r="T103" s="73">
        <f>IFERROR(cadangan[[#This Row],[Harga Diskon B]]-INDEX(Katalog!$E$3:$E$12,MATCH(cadangan[[#This Row],[ItemID B]],Katalog!$C$3:$C$12,0))*cadangan[[#This Row],[Qty B]],0)</f>
        <v>75000</v>
      </c>
      <c r="U103" s="39" t="s">
        <v>65</v>
      </c>
      <c r="V103" s="39" t="str">
        <f>IFERROR(INDEX(Katalog!$A$3:$A$12,MATCH(cadangan[[#This Row],[ItemID C]],Katalog!$C$3:$C$12,0)),"-")</f>
        <v>Sepatu Pria</v>
      </c>
      <c r="W103" s="39" t="str">
        <f>IFERROR(INDEX(Katalog!$B$3:$B$12,MATCH(cadangan[[#This Row],[ItemID C]],Katalog!$C$3:$C$12,0)),"-")</f>
        <v>Sneakers</v>
      </c>
      <c r="X103" s="50">
        <v>1</v>
      </c>
      <c r="Y103" s="50">
        <v>5</v>
      </c>
      <c r="Z103" s="73">
        <f>IFERROR(INDEX(Katalog!$D$3:$D$12,MATCH(cadangan[[#This Row],[ItemID C]],Katalog!$C$3:$C$12,0))*cadangan[[#This Row],[Qty C]],0)</f>
        <v>500000</v>
      </c>
      <c r="AA103" s="73">
        <f>IFERROR(cadangan[[#This Row],[Harga Normal C]]-(cadangan[[#This Row],[Harga Normal C]]*cadangan[[#This Row],[Diskon]]),cadangan[[#This Row],[Harga Normal C]])</f>
        <v>450000</v>
      </c>
      <c r="AB103" s="73">
        <f>IFERROR(INDEX(Katalog!$F$3:$F$12,MATCH(cadangan[[#This Row],[ItemID C]],Katalog!$C$3:$C$12,0))*cadangan[[#This Row],[Qty C]],0)</f>
        <v>200000</v>
      </c>
      <c r="AC103" s="73">
        <f>IFERROR(cadangan[[#This Row],[Harga Diskon C]]-INDEX(Katalog!$E$3:$E$12,MATCH(cadangan[[#This Row],[ItemID C]],Katalog!$C$3:$C$12,0))*cadangan[[#This Row],[Qty C]],0)</f>
        <v>150000</v>
      </c>
      <c r="AD103" s="53">
        <f>cadangan[[#This Row],[Qty A]]+cadangan[[#This Row],[Qty B]]+cadangan[[#This Row],[Qty C]]</f>
        <v>5</v>
      </c>
      <c r="AE103" s="73">
        <f>cadangan[[#This Row],[Harga Normal A]]+cadangan[[#This Row],[Harga Normal B]]+cadangan[[#This Row],[Harga Normal C]]</f>
        <v>1950000</v>
      </c>
      <c r="AF103" s="73">
        <f>cadangan[[#This Row],[Harga Diskon A]]+cadangan[[#This Row],[Harga Diskon B]]+cadangan[[#This Row],[Harga Diskon C]]</f>
        <v>1755000</v>
      </c>
      <c r="AG103" s="73">
        <f>(cadangan[[#This Row],[Profit Normal A]]+cadangan[[#This Row],[Profit Normal B]]+cadangan[[#This Row],[Profit Normal C]])</f>
        <v>750000</v>
      </c>
      <c r="AH103" s="73">
        <f>cadangan[[#This Row],[Profit Diskon A]]+cadangan[[#This Row],[Profit Diskon B]]+cadangan[[#This Row],[Profit Diskon C]]</f>
        <v>555000</v>
      </c>
      <c r="AI103" s="23" t="s">
        <v>30</v>
      </c>
      <c r="AJ103" s="37">
        <f>IFERROR(INDEX('Kode Diskon'!$D$3:$D$9,MATCH(cadangan[[#This Row],[Kode diskon]],'Kode Diskon'!$C$3:$C$9,0)),"-")</f>
        <v>0.1</v>
      </c>
      <c r="AK103" s="23" t="s">
        <v>29</v>
      </c>
      <c r="AL103" s="23" t="s">
        <v>10</v>
      </c>
      <c r="AM103" s="23" t="s">
        <v>80</v>
      </c>
      <c r="AN103" s="55">
        <v>45020</v>
      </c>
      <c r="AO103" s="53">
        <f>DAY(cadangan[[#This Row],[Tanggal terjual]])</f>
        <v>4</v>
      </c>
      <c r="AP103" s="21" t="str">
        <f>TEXT(cadangan[[#This Row],[Tanggal terjual]],"dddd")</f>
        <v>Tuesday</v>
      </c>
      <c r="AQ103" s="23" t="str" cm="1">
        <f t="array" ref="AQ1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3" s="61">
        <f>AVERAGE(cadangan[[#This Row],[Rating A]],cadangan[[#This Row],[Rating B]],cadangan[[#This Row],[Rating C]])</f>
        <v>3.3333333333333335</v>
      </c>
    </row>
    <row r="104" spans="1:44" x14ac:dyDescent="0.2">
      <c r="A104" s="20">
        <v>103</v>
      </c>
      <c r="B104" s="21" t="str">
        <f>_xlfn.CONCAT("ORD-",INDEX(Helper!$B$2:$B$5,MATCH(cadangan[[#This Row],[Marketplace]],Helper!$A$2:$A$5,0)),TEXT(cadangan[[#This Row],[No]],"0000"),"-",TEXT(cadangan[[#This Row],[Tanggal terjual]],"dd/mm/yy"))</f>
        <v>ORD-TK0103-17/04/23</v>
      </c>
      <c r="C104" s="39" t="s">
        <v>64</v>
      </c>
      <c r="D104" s="39" t="str">
        <f>IFERROR(INDEX(Katalog!$A$3:$A$12,MATCH(cadangan[[#This Row],[ItemID A]],Katalog!$C$3:$C$12,0)),"-")</f>
        <v>Pakaian Unisex</v>
      </c>
      <c r="E104" s="39" t="str">
        <f>IFERROR(INDEX(Katalog!$B$3:$B$12,MATCH(cadangan[[#This Row],[ItemID A]],Katalog!$C$3:$C$12,0)),"-")</f>
        <v>Jaket Hoodie</v>
      </c>
      <c r="F104" s="50">
        <v>1</v>
      </c>
      <c r="G104" s="50">
        <v>5</v>
      </c>
      <c r="H104" s="73">
        <f>IFERROR(INDEX(Katalog!$D$3:$D$12,MATCH(cadangan[[#This Row],[ItemID A]],Katalog!$C$3:$C$12,0))*cadangan[[#This Row],[Qty A]],0)</f>
        <v>350000</v>
      </c>
      <c r="I104" s="73">
        <f>IFERROR(cadangan[[#This Row],[Harga Normal A]]-(cadangan[[#This Row],[Harga Normal A]]*cadangan[[#This Row],[Diskon]]),cadangan[[#This Row],[Harga Normal A]])</f>
        <v>315000</v>
      </c>
      <c r="J104" s="73">
        <f>INDEX(Katalog!$F$3:$F$12,MATCH(cadangan[[#This Row],[ItemID A]],Katalog!$C$3:$C$12,0))*cadangan[[#This Row],[Qty A]]</f>
        <v>130000</v>
      </c>
      <c r="K104" s="73">
        <f>IFERROR(cadangan[[#This Row],[Harga Diskon A]]-INDEX(Katalog!$E$3:$E$12,MATCH(cadangan[[#This Row],[ItemID A]],Katalog!$C$3:$C$12,0))*cadangan[[#This Row],[Qty A]],0)</f>
        <v>95000</v>
      </c>
      <c r="L104" s="39" t="s">
        <v>67</v>
      </c>
      <c r="M104" s="39" t="str">
        <f>IFERROR(INDEX(Katalog!$A$3:$A$12,MATCH(cadangan[[#This Row],[ItemID B]],Katalog!$C$3:$C$12,0)),"-")</f>
        <v>Sepatu Wanita</v>
      </c>
      <c r="N104" s="39" t="str">
        <f>IFERROR(INDEX(Katalog!$B$3:$B$12,MATCH(cadangan[[#This Row],[ItemID B]],Katalog!$C$3:$C$12,0)),"-")</f>
        <v>Flat Shoes</v>
      </c>
      <c r="O104" s="50">
        <v>1</v>
      </c>
      <c r="P104" s="50">
        <v>5</v>
      </c>
      <c r="Q104" s="73">
        <f>IFERROR(INDEX(Katalog!$D$3:$D$12,MATCH(cadangan[[#This Row],[ItemID B]],Katalog!$C$3:$C$12,0))*cadangan[[#This Row],[Qty B]],0)</f>
        <v>250000</v>
      </c>
      <c r="R104" s="73">
        <f>IFERROR(cadangan[[#This Row],[Harga Normal B]]-(cadangan[[#This Row],[Harga Normal B]]*cadangan[[#This Row],[Diskon]]),cadangan[[#This Row],[Harga Normal B]])</f>
        <v>225000</v>
      </c>
      <c r="S104" s="73">
        <f>IFERROR(INDEX(Katalog!$F$3:$F$12,MATCH(cadangan[[#This Row],[ItemID B]],Katalog!$C$3:$C$12,0))*cadangan[[#This Row],[Qty B]],0)</f>
        <v>100000</v>
      </c>
      <c r="T104" s="73">
        <f>IFERROR(cadangan[[#This Row],[Harga Diskon B]]-INDEX(Katalog!$E$3:$E$12,MATCH(cadangan[[#This Row],[ItemID B]],Katalog!$C$3:$C$12,0))*cadangan[[#This Row],[Qty B]],0)</f>
        <v>75000</v>
      </c>
      <c r="V104" s="39" t="str">
        <f>IFERROR(INDEX(Katalog!$A$3:$A$12,MATCH(cadangan[[#This Row],[ItemID C]],Katalog!$C$3:$C$12,0)),"-")</f>
        <v>-</v>
      </c>
      <c r="W104" s="39" t="str">
        <f>IFERROR(INDEX(Katalog!$B$3:$B$12,MATCH(cadangan[[#This Row],[ItemID C]],Katalog!$C$3:$C$12,0)),"-")</f>
        <v>-</v>
      </c>
      <c r="Z104" s="73">
        <f>IFERROR(INDEX(Katalog!$D$3:$D$12,MATCH(cadangan[[#This Row],[ItemID C]],Katalog!$C$3:$C$12,0))*cadangan[[#This Row],[Qty C]],0)</f>
        <v>0</v>
      </c>
      <c r="AA104" s="73">
        <f>IFERROR(cadangan[[#This Row],[Harga Normal C]]-(cadangan[[#This Row],[Harga Normal C]]*cadangan[[#This Row],[Diskon]]),cadangan[[#This Row],[Harga Normal C]])</f>
        <v>0</v>
      </c>
      <c r="AB104" s="73">
        <f>IFERROR(INDEX(Katalog!$F$3:$F$12,MATCH(cadangan[[#This Row],[ItemID C]],Katalog!$C$3:$C$12,0))*cadangan[[#This Row],[Qty C]],0)</f>
        <v>0</v>
      </c>
      <c r="AC104" s="73">
        <f>IFERROR(cadangan[[#This Row],[Harga Diskon C]]-INDEX(Katalog!$E$3:$E$12,MATCH(cadangan[[#This Row],[ItemID C]],Katalog!$C$3:$C$12,0))*cadangan[[#This Row],[Qty C]],0)</f>
        <v>0</v>
      </c>
      <c r="AD104" s="53">
        <f>cadangan[[#This Row],[Qty A]]+cadangan[[#This Row],[Qty B]]+cadangan[[#This Row],[Qty C]]</f>
        <v>2</v>
      </c>
      <c r="AE104" s="73">
        <f>cadangan[[#This Row],[Harga Normal A]]+cadangan[[#This Row],[Harga Normal B]]+cadangan[[#This Row],[Harga Normal C]]</f>
        <v>600000</v>
      </c>
      <c r="AF104" s="73">
        <f>cadangan[[#This Row],[Harga Diskon A]]+cadangan[[#This Row],[Harga Diskon B]]+cadangan[[#This Row],[Harga Diskon C]]</f>
        <v>540000</v>
      </c>
      <c r="AG104" s="73">
        <f>(cadangan[[#This Row],[Profit Normal A]]+cadangan[[#This Row],[Profit Normal B]]+cadangan[[#This Row],[Profit Normal C]])</f>
        <v>230000</v>
      </c>
      <c r="AH104" s="73">
        <f>cadangan[[#This Row],[Profit Diskon A]]+cadangan[[#This Row],[Profit Diskon B]]+cadangan[[#This Row],[Profit Diskon C]]</f>
        <v>170000</v>
      </c>
      <c r="AI104" s="23" t="s">
        <v>31</v>
      </c>
      <c r="AJ104" s="37">
        <f>IFERROR(INDEX('Kode Diskon'!$D$3:$D$9,MATCH(cadangan[[#This Row],[Kode diskon]],'Kode Diskon'!$C$3:$C$9,0)),"-")</f>
        <v>0.1</v>
      </c>
      <c r="AK104" s="23" t="s">
        <v>9</v>
      </c>
      <c r="AL104" s="23" t="s">
        <v>10</v>
      </c>
      <c r="AM104" s="23" t="s">
        <v>77</v>
      </c>
      <c r="AN104" s="55">
        <v>45033</v>
      </c>
      <c r="AO104" s="53">
        <f>DAY(cadangan[[#This Row],[Tanggal terjual]])</f>
        <v>17</v>
      </c>
      <c r="AP104" s="21" t="str">
        <f>TEXT(cadangan[[#This Row],[Tanggal terjual]],"dddd")</f>
        <v>Monday</v>
      </c>
      <c r="AQ104" s="23" t="str" cm="1">
        <f t="array" ref="AQ1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04" s="61">
        <f>AVERAGE(cadangan[[#This Row],[Rating A]],cadangan[[#This Row],[Rating B]],cadangan[[#This Row],[Rating C]])</f>
        <v>5</v>
      </c>
    </row>
    <row r="105" spans="1:44" x14ac:dyDescent="0.2">
      <c r="A105" s="20">
        <v>104</v>
      </c>
      <c r="B105" s="21" t="str">
        <f>_xlfn.CONCAT("ORD-",INDEX(Helper!$B$2:$B$5,MATCH(cadangan[[#This Row],[Marketplace]],Helper!$A$2:$A$5,0)),TEXT(cadangan[[#This Row],[No]],"0000"),"-",TEXT(cadangan[[#This Row],[Tanggal terjual]],"dd/mm/yy"))</f>
        <v>ORD-SP0104-06/04/23</v>
      </c>
      <c r="C105" s="39" t="s">
        <v>58</v>
      </c>
      <c r="D105" s="39" t="str">
        <f>IFERROR(INDEX(Katalog!$A$3:$A$12,MATCH(cadangan[[#This Row],[ItemID A]],Katalog!$C$3:$C$12,0)),"-")</f>
        <v>Pakaian Wanita</v>
      </c>
      <c r="E105" s="39" t="str">
        <f>IFERROR(INDEX(Katalog!$B$3:$B$12,MATCH(cadangan[[#This Row],[ItemID A]],Katalog!$C$3:$C$12,0)),"-")</f>
        <v>Dress</v>
      </c>
      <c r="F105" s="50">
        <v>2</v>
      </c>
      <c r="G105" s="50">
        <v>2</v>
      </c>
      <c r="H105" s="73">
        <f>IFERROR(INDEX(Katalog!$D$3:$D$12,MATCH(cadangan[[#This Row],[ItemID A]],Katalog!$C$3:$C$12,0))*cadangan[[#This Row],[Qty A]],0)</f>
        <v>600000</v>
      </c>
      <c r="I105" s="73">
        <f>IFERROR(cadangan[[#This Row],[Harga Normal A]]-(cadangan[[#This Row],[Harga Normal A]]*cadangan[[#This Row],[Diskon]]),cadangan[[#This Row],[Harga Normal A]])</f>
        <v>510000</v>
      </c>
      <c r="J105" s="73">
        <f>INDEX(Katalog!$F$3:$F$12,MATCH(cadangan[[#This Row],[ItemID A]],Katalog!$C$3:$C$12,0))*cadangan[[#This Row],[Qty A]]</f>
        <v>200000</v>
      </c>
      <c r="K105" s="73">
        <f>IFERROR(cadangan[[#This Row],[Harga Diskon A]]-INDEX(Katalog!$E$3:$E$12,MATCH(cadangan[[#This Row],[ItemID A]],Katalog!$C$3:$C$12,0))*cadangan[[#This Row],[Qty A]],0)</f>
        <v>110000</v>
      </c>
      <c r="L105" s="39" t="s">
        <v>60</v>
      </c>
      <c r="M105" s="39" t="str">
        <f>IFERROR(INDEX(Katalog!$A$3:$A$12,MATCH(cadangan[[#This Row],[ItemID B]],Katalog!$C$3:$C$12,0)),"-")</f>
        <v>Pakaian Wanita</v>
      </c>
      <c r="N105" s="39" t="str">
        <f>IFERROR(INDEX(Katalog!$B$3:$B$12,MATCH(cadangan[[#This Row],[ItemID B]],Katalog!$C$3:$C$12,0)),"-")</f>
        <v>Kaftan</v>
      </c>
      <c r="O105" s="50">
        <v>1</v>
      </c>
      <c r="P105" s="50">
        <v>1</v>
      </c>
      <c r="Q105" s="73">
        <f>IFERROR(INDEX(Katalog!$D$3:$D$12,MATCH(cadangan[[#This Row],[ItemID B]],Katalog!$C$3:$C$12,0))*cadangan[[#This Row],[Qty B]],0)</f>
        <v>250000</v>
      </c>
      <c r="R105" s="73">
        <f>IFERROR(cadangan[[#This Row],[Harga Normal B]]-(cadangan[[#This Row],[Harga Normal B]]*cadangan[[#This Row],[Diskon]]),cadangan[[#This Row],[Harga Normal B]])</f>
        <v>212500</v>
      </c>
      <c r="S105" s="73">
        <f>IFERROR(INDEX(Katalog!$F$3:$F$12,MATCH(cadangan[[#This Row],[ItemID B]],Katalog!$C$3:$C$12,0))*cadangan[[#This Row],[Qty B]],0)</f>
        <v>100000</v>
      </c>
      <c r="T105" s="73">
        <f>IFERROR(cadangan[[#This Row],[Harga Diskon B]]-INDEX(Katalog!$E$3:$E$12,MATCH(cadangan[[#This Row],[ItemID B]],Katalog!$C$3:$C$12,0))*cadangan[[#This Row],[Qty B]],0)</f>
        <v>62500</v>
      </c>
      <c r="V105" s="39" t="str">
        <f>IFERROR(INDEX(Katalog!$A$3:$A$12,MATCH(cadangan[[#This Row],[ItemID C]],Katalog!$C$3:$C$12,0)),"-")</f>
        <v>-</v>
      </c>
      <c r="W105" s="39" t="str">
        <f>IFERROR(INDEX(Katalog!$B$3:$B$12,MATCH(cadangan[[#This Row],[ItemID C]],Katalog!$C$3:$C$12,0)),"-")</f>
        <v>-</v>
      </c>
      <c r="Z105" s="73">
        <f>IFERROR(INDEX(Katalog!$D$3:$D$12,MATCH(cadangan[[#This Row],[ItemID C]],Katalog!$C$3:$C$12,0))*cadangan[[#This Row],[Qty C]],0)</f>
        <v>0</v>
      </c>
      <c r="AA105" s="73">
        <f>IFERROR(cadangan[[#This Row],[Harga Normal C]]-(cadangan[[#This Row],[Harga Normal C]]*cadangan[[#This Row],[Diskon]]),cadangan[[#This Row],[Harga Normal C]])</f>
        <v>0</v>
      </c>
      <c r="AB105" s="73">
        <f>IFERROR(INDEX(Katalog!$F$3:$F$12,MATCH(cadangan[[#This Row],[ItemID C]],Katalog!$C$3:$C$12,0))*cadangan[[#This Row],[Qty C]],0)</f>
        <v>0</v>
      </c>
      <c r="AC105" s="73">
        <f>IFERROR(cadangan[[#This Row],[Harga Diskon C]]-INDEX(Katalog!$E$3:$E$12,MATCH(cadangan[[#This Row],[ItemID C]],Katalog!$C$3:$C$12,0))*cadangan[[#This Row],[Qty C]],0)</f>
        <v>0</v>
      </c>
      <c r="AD105" s="53">
        <f>cadangan[[#This Row],[Qty A]]+cadangan[[#This Row],[Qty B]]+cadangan[[#This Row],[Qty C]]</f>
        <v>3</v>
      </c>
      <c r="AE105" s="73">
        <f>cadangan[[#This Row],[Harga Normal A]]+cadangan[[#This Row],[Harga Normal B]]+cadangan[[#This Row],[Harga Normal C]]</f>
        <v>850000</v>
      </c>
      <c r="AF105" s="73">
        <f>cadangan[[#This Row],[Harga Diskon A]]+cadangan[[#This Row],[Harga Diskon B]]+cadangan[[#This Row],[Harga Diskon C]]</f>
        <v>722500</v>
      </c>
      <c r="AG105" s="73">
        <f>(cadangan[[#This Row],[Profit Normal A]]+cadangan[[#This Row],[Profit Normal B]]+cadangan[[#This Row],[Profit Normal C]])</f>
        <v>300000</v>
      </c>
      <c r="AH105" s="73">
        <f>cadangan[[#This Row],[Profit Diskon A]]+cadangan[[#This Row],[Profit Diskon B]]+cadangan[[#This Row],[Profit Diskon C]]</f>
        <v>172500</v>
      </c>
      <c r="AI105" s="23" t="s">
        <v>13</v>
      </c>
      <c r="AJ105" s="37">
        <f>IFERROR(INDEX('Kode Diskon'!$D$3:$D$9,MATCH(cadangan[[#This Row],[Kode diskon]],'Kode Diskon'!$C$3:$C$9,0)),"-")</f>
        <v>0.15</v>
      </c>
      <c r="AK105" s="23" t="s">
        <v>29</v>
      </c>
      <c r="AL105" s="23" t="s">
        <v>7</v>
      </c>
      <c r="AM105" s="23" t="s">
        <v>75</v>
      </c>
      <c r="AN105" s="55">
        <v>45022</v>
      </c>
      <c r="AO105" s="53">
        <f>DAY(cadangan[[#This Row],[Tanggal terjual]])</f>
        <v>6</v>
      </c>
      <c r="AP105" s="21" t="str">
        <f>TEXT(cadangan[[#This Row],[Tanggal terjual]],"dddd")</f>
        <v>Thursday</v>
      </c>
      <c r="AQ105" s="23" t="str" cm="1">
        <f t="array" ref="AQ1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5" s="61">
        <f>AVERAGE(cadangan[[#This Row],[Rating A]],cadangan[[#This Row],[Rating B]],cadangan[[#This Row],[Rating C]])</f>
        <v>1.5</v>
      </c>
    </row>
    <row r="106" spans="1:44" x14ac:dyDescent="0.2">
      <c r="A106" s="20">
        <v>105</v>
      </c>
      <c r="B106" s="21" t="str">
        <f>_xlfn.CONCAT("ORD-",INDEX(Helper!$B$2:$B$5,MATCH(cadangan[[#This Row],[Marketplace]],Helper!$A$2:$A$5,0)),TEXT(cadangan[[#This Row],[No]],"0000"),"-",TEXT(cadangan[[#This Row],[Tanggal terjual]],"dd/mm/yy"))</f>
        <v>ORD-SP0105-14/04/23</v>
      </c>
      <c r="C106" s="39" t="s">
        <v>65</v>
      </c>
      <c r="D106" s="39" t="str">
        <f>IFERROR(INDEX(Katalog!$A$3:$A$12,MATCH(cadangan[[#This Row],[ItemID A]],Katalog!$C$3:$C$12,0)),"-")</f>
        <v>Sepatu Pria</v>
      </c>
      <c r="E106" s="39" t="str">
        <f>IFERROR(INDEX(Katalog!$B$3:$B$12,MATCH(cadangan[[#This Row],[ItemID A]],Katalog!$C$3:$C$12,0)),"-")</f>
        <v>Sneakers</v>
      </c>
      <c r="F106" s="50">
        <v>3</v>
      </c>
      <c r="G106" s="50">
        <v>5</v>
      </c>
      <c r="H106" s="73">
        <f>IFERROR(INDEX(Katalog!$D$3:$D$12,MATCH(cadangan[[#This Row],[ItemID A]],Katalog!$C$3:$C$12,0))*cadangan[[#This Row],[Qty A]],0)</f>
        <v>1500000</v>
      </c>
      <c r="I106" s="73">
        <f>IFERROR(cadangan[[#This Row],[Harga Normal A]]-(cadangan[[#This Row],[Harga Normal A]]*cadangan[[#This Row],[Diskon]]),cadangan[[#This Row],[Harga Normal A]])</f>
        <v>1500000</v>
      </c>
      <c r="J106" s="73">
        <f>INDEX(Katalog!$F$3:$F$12,MATCH(cadangan[[#This Row],[ItemID A]],Katalog!$C$3:$C$12,0))*cadangan[[#This Row],[Qty A]]</f>
        <v>600000</v>
      </c>
      <c r="K106" s="73">
        <f>IFERROR(cadangan[[#This Row],[Harga Diskon A]]-INDEX(Katalog!$E$3:$E$12,MATCH(cadangan[[#This Row],[ItemID A]],Katalog!$C$3:$C$12,0))*cadangan[[#This Row],[Qty A]],0)</f>
        <v>600000</v>
      </c>
      <c r="M106" s="39" t="str">
        <f>IFERROR(INDEX(Katalog!$A$3:$A$12,MATCH(cadangan[[#This Row],[ItemID B]],Katalog!$C$3:$C$12,0)),"-")</f>
        <v>-</v>
      </c>
      <c r="N106" s="39" t="str">
        <f>IFERROR(INDEX(Katalog!$B$3:$B$12,MATCH(cadangan[[#This Row],[ItemID B]],Katalog!$C$3:$C$12,0)),"-")</f>
        <v>-</v>
      </c>
      <c r="Q106" s="73">
        <f>IFERROR(INDEX(Katalog!$D$3:$D$12,MATCH(cadangan[[#This Row],[ItemID B]],Katalog!$C$3:$C$12,0))*cadangan[[#This Row],[Qty B]],0)</f>
        <v>0</v>
      </c>
      <c r="R106" s="73">
        <f>IFERROR(cadangan[[#This Row],[Harga Normal B]]-(cadangan[[#This Row],[Harga Normal B]]*cadangan[[#This Row],[Diskon]]),cadangan[[#This Row],[Harga Normal B]])</f>
        <v>0</v>
      </c>
      <c r="S106" s="73">
        <f>IFERROR(INDEX(Katalog!$F$3:$F$12,MATCH(cadangan[[#This Row],[ItemID B]],Katalog!$C$3:$C$12,0))*cadangan[[#This Row],[Qty B]],0)</f>
        <v>0</v>
      </c>
      <c r="T106" s="73">
        <f>IFERROR(cadangan[[#This Row],[Harga Diskon B]]-INDEX(Katalog!$E$3:$E$12,MATCH(cadangan[[#This Row],[ItemID B]],Katalog!$C$3:$C$12,0))*cadangan[[#This Row],[Qty B]],0)</f>
        <v>0</v>
      </c>
      <c r="V106" s="39" t="str">
        <f>IFERROR(INDEX(Katalog!$A$3:$A$12,MATCH(cadangan[[#This Row],[ItemID C]],Katalog!$C$3:$C$12,0)),"-")</f>
        <v>-</v>
      </c>
      <c r="W106" s="39" t="str">
        <f>IFERROR(INDEX(Katalog!$B$3:$B$12,MATCH(cadangan[[#This Row],[ItemID C]],Katalog!$C$3:$C$12,0)),"-")</f>
        <v>-</v>
      </c>
      <c r="Z106" s="73">
        <f>IFERROR(INDEX(Katalog!$D$3:$D$12,MATCH(cadangan[[#This Row],[ItemID C]],Katalog!$C$3:$C$12,0))*cadangan[[#This Row],[Qty C]],0)</f>
        <v>0</v>
      </c>
      <c r="AA106" s="73">
        <f>IFERROR(cadangan[[#This Row],[Harga Normal C]]-(cadangan[[#This Row],[Harga Normal C]]*cadangan[[#This Row],[Diskon]]),cadangan[[#This Row],[Harga Normal C]])</f>
        <v>0</v>
      </c>
      <c r="AB106" s="73">
        <f>IFERROR(INDEX(Katalog!$F$3:$F$12,MATCH(cadangan[[#This Row],[ItemID C]],Katalog!$C$3:$C$12,0))*cadangan[[#This Row],[Qty C]],0)</f>
        <v>0</v>
      </c>
      <c r="AC106" s="73">
        <f>IFERROR(cadangan[[#This Row],[Harga Diskon C]]-INDEX(Katalog!$E$3:$E$12,MATCH(cadangan[[#This Row],[ItemID C]],Katalog!$C$3:$C$12,0))*cadangan[[#This Row],[Qty C]],0)</f>
        <v>0</v>
      </c>
      <c r="AD106" s="53">
        <f>cadangan[[#This Row],[Qty A]]+cadangan[[#This Row],[Qty B]]+cadangan[[#This Row],[Qty C]]</f>
        <v>3</v>
      </c>
      <c r="AE106" s="73">
        <f>cadangan[[#This Row],[Harga Normal A]]+cadangan[[#This Row],[Harga Normal B]]+cadangan[[#This Row],[Harga Normal C]]</f>
        <v>1500000</v>
      </c>
      <c r="AF106" s="73">
        <f>cadangan[[#This Row],[Harga Diskon A]]+cadangan[[#This Row],[Harga Diskon B]]+cadangan[[#This Row],[Harga Diskon C]]</f>
        <v>1500000</v>
      </c>
      <c r="AG106" s="73">
        <f>(cadangan[[#This Row],[Profit Normal A]]+cadangan[[#This Row],[Profit Normal B]]+cadangan[[#This Row],[Profit Normal C]])</f>
        <v>600000</v>
      </c>
      <c r="AH106" s="73">
        <f>cadangan[[#This Row],[Profit Diskon A]]+cadangan[[#This Row],[Profit Diskon B]]+cadangan[[#This Row],[Profit Diskon C]]</f>
        <v>600000</v>
      </c>
      <c r="AI106" s="23" t="s">
        <v>290</v>
      </c>
      <c r="AJ106" s="37" t="str">
        <f>IFERROR(INDEX('Kode Diskon'!$D$3:$D$9,MATCH(cadangan[[#This Row],[Kode diskon]],'Kode Diskon'!$C$3:$C$9,0)),"-")</f>
        <v>-</v>
      </c>
      <c r="AK106" s="23" t="s">
        <v>290</v>
      </c>
      <c r="AL106" s="23" t="s">
        <v>7</v>
      </c>
      <c r="AM106" s="23" t="s">
        <v>75</v>
      </c>
      <c r="AN106" s="55">
        <v>45030</v>
      </c>
      <c r="AO106" s="53">
        <f>DAY(cadangan[[#This Row],[Tanggal terjual]])</f>
        <v>14</v>
      </c>
      <c r="AP106" s="21" t="str">
        <f>TEXT(cadangan[[#This Row],[Tanggal terjual]],"dddd")</f>
        <v>Friday</v>
      </c>
      <c r="AQ106" s="23" t="str" cm="1">
        <f t="array" ref="AQ1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06" s="61">
        <f>AVERAGE(cadangan[[#This Row],[Rating A]],cadangan[[#This Row],[Rating B]],cadangan[[#This Row],[Rating C]])</f>
        <v>5</v>
      </c>
    </row>
    <row r="107" spans="1:44" x14ac:dyDescent="0.2">
      <c r="A107" s="20">
        <v>106</v>
      </c>
      <c r="B107" s="21" t="str">
        <f>_xlfn.CONCAT("ORD-",INDEX(Helper!$B$2:$B$5,MATCH(cadangan[[#This Row],[Marketplace]],Helper!$A$2:$A$5,0)),TEXT(cadangan[[#This Row],[No]],"0000"),"-",TEXT(cadangan[[#This Row],[Tanggal terjual]],"dd/mm/yy"))</f>
        <v>ORD-TK0106-21/04/23</v>
      </c>
      <c r="C107" s="39" t="s">
        <v>60</v>
      </c>
      <c r="D107" s="39" t="str">
        <f>IFERROR(INDEX(Katalog!$A$3:$A$12,MATCH(cadangan[[#This Row],[ItemID A]],Katalog!$C$3:$C$12,0)),"-")</f>
        <v>Pakaian Wanita</v>
      </c>
      <c r="E107" s="39" t="str">
        <f>IFERROR(INDEX(Katalog!$B$3:$B$12,MATCH(cadangan[[#This Row],[ItemID A]],Katalog!$C$3:$C$12,0)),"-")</f>
        <v>Kaftan</v>
      </c>
      <c r="F107" s="50">
        <v>5</v>
      </c>
      <c r="G107" s="50">
        <v>4</v>
      </c>
      <c r="H107" s="73">
        <f>IFERROR(INDEX(Katalog!$D$3:$D$12,MATCH(cadangan[[#This Row],[ItemID A]],Katalog!$C$3:$C$12,0))*cadangan[[#This Row],[Qty A]],0)</f>
        <v>1250000</v>
      </c>
      <c r="I107" s="73">
        <f>IFERROR(cadangan[[#This Row],[Harga Normal A]]-(cadangan[[#This Row],[Harga Normal A]]*cadangan[[#This Row],[Diskon]]),cadangan[[#This Row],[Harga Normal A]])</f>
        <v>1125000</v>
      </c>
      <c r="J107" s="73">
        <f>INDEX(Katalog!$F$3:$F$12,MATCH(cadangan[[#This Row],[ItemID A]],Katalog!$C$3:$C$12,0))*cadangan[[#This Row],[Qty A]]</f>
        <v>500000</v>
      </c>
      <c r="K107" s="73">
        <f>IFERROR(cadangan[[#This Row],[Harga Diskon A]]-INDEX(Katalog!$E$3:$E$12,MATCH(cadangan[[#This Row],[ItemID A]],Katalog!$C$3:$C$12,0))*cadangan[[#This Row],[Qty A]],0)</f>
        <v>375000</v>
      </c>
      <c r="M107" s="39" t="str">
        <f>IFERROR(INDEX(Katalog!$A$3:$A$12,MATCH(cadangan[[#This Row],[ItemID B]],Katalog!$C$3:$C$12,0)),"-")</f>
        <v>-</v>
      </c>
      <c r="N107" s="39" t="str">
        <f>IFERROR(INDEX(Katalog!$B$3:$B$12,MATCH(cadangan[[#This Row],[ItemID B]],Katalog!$C$3:$C$12,0)),"-")</f>
        <v>-</v>
      </c>
      <c r="Q107" s="73">
        <f>IFERROR(INDEX(Katalog!$D$3:$D$12,MATCH(cadangan[[#This Row],[ItemID B]],Katalog!$C$3:$C$12,0))*cadangan[[#This Row],[Qty B]],0)</f>
        <v>0</v>
      </c>
      <c r="R107" s="73">
        <f>IFERROR(cadangan[[#This Row],[Harga Normal B]]-(cadangan[[#This Row],[Harga Normal B]]*cadangan[[#This Row],[Diskon]]),cadangan[[#This Row],[Harga Normal B]])</f>
        <v>0</v>
      </c>
      <c r="S107" s="73">
        <f>IFERROR(INDEX(Katalog!$F$3:$F$12,MATCH(cadangan[[#This Row],[ItemID B]],Katalog!$C$3:$C$12,0))*cadangan[[#This Row],[Qty B]],0)</f>
        <v>0</v>
      </c>
      <c r="T107" s="73">
        <f>IFERROR(cadangan[[#This Row],[Harga Diskon B]]-INDEX(Katalog!$E$3:$E$12,MATCH(cadangan[[#This Row],[ItemID B]],Katalog!$C$3:$C$12,0))*cadangan[[#This Row],[Qty B]],0)</f>
        <v>0</v>
      </c>
      <c r="V107" s="39" t="str">
        <f>IFERROR(INDEX(Katalog!$A$3:$A$12,MATCH(cadangan[[#This Row],[ItemID C]],Katalog!$C$3:$C$12,0)),"-")</f>
        <v>-</v>
      </c>
      <c r="W107" s="39" t="str">
        <f>IFERROR(INDEX(Katalog!$B$3:$B$12,MATCH(cadangan[[#This Row],[ItemID C]],Katalog!$C$3:$C$12,0)),"-")</f>
        <v>-</v>
      </c>
      <c r="Z107" s="73">
        <f>IFERROR(INDEX(Katalog!$D$3:$D$12,MATCH(cadangan[[#This Row],[ItemID C]],Katalog!$C$3:$C$12,0))*cadangan[[#This Row],[Qty C]],0)</f>
        <v>0</v>
      </c>
      <c r="AA107" s="73">
        <f>IFERROR(cadangan[[#This Row],[Harga Normal C]]-(cadangan[[#This Row],[Harga Normal C]]*cadangan[[#This Row],[Diskon]]),cadangan[[#This Row],[Harga Normal C]])</f>
        <v>0</v>
      </c>
      <c r="AB107" s="73">
        <f>IFERROR(INDEX(Katalog!$F$3:$F$12,MATCH(cadangan[[#This Row],[ItemID C]],Katalog!$C$3:$C$12,0))*cadangan[[#This Row],[Qty C]],0)</f>
        <v>0</v>
      </c>
      <c r="AC107" s="73">
        <f>IFERROR(cadangan[[#This Row],[Harga Diskon C]]-INDEX(Katalog!$E$3:$E$12,MATCH(cadangan[[#This Row],[ItemID C]],Katalog!$C$3:$C$12,0))*cadangan[[#This Row],[Qty C]],0)</f>
        <v>0</v>
      </c>
      <c r="AD107" s="53">
        <f>cadangan[[#This Row],[Qty A]]+cadangan[[#This Row],[Qty B]]+cadangan[[#This Row],[Qty C]]</f>
        <v>5</v>
      </c>
      <c r="AE107" s="73">
        <f>cadangan[[#This Row],[Harga Normal A]]+cadangan[[#This Row],[Harga Normal B]]+cadangan[[#This Row],[Harga Normal C]]</f>
        <v>1250000</v>
      </c>
      <c r="AF107" s="73">
        <f>cadangan[[#This Row],[Harga Diskon A]]+cadangan[[#This Row],[Harga Diskon B]]+cadangan[[#This Row],[Harga Diskon C]]</f>
        <v>1125000</v>
      </c>
      <c r="AG107" s="73">
        <f>(cadangan[[#This Row],[Profit Normal A]]+cadangan[[#This Row],[Profit Normal B]]+cadangan[[#This Row],[Profit Normal C]])</f>
        <v>500000</v>
      </c>
      <c r="AH107" s="73">
        <f>cadangan[[#This Row],[Profit Diskon A]]+cadangan[[#This Row],[Profit Diskon B]]+cadangan[[#This Row],[Profit Diskon C]]</f>
        <v>375000</v>
      </c>
      <c r="AI107" s="23" t="s">
        <v>31</v>
      </c>
      <c r="AJ107" s="37">
        <f>IFERROR(INDEX('Kode Diskon'!$D$3:$D$9,MATCH(cadangan[[#This Row],[Kode diskon]],'Kode Diskon'!$C$3:$C$9,0)),"-")</f>
        <v>0.1</v>
      </c>
      <c r="AK107" s="23" t="s">
        <v>9</v>
      </c>
      <c r="AL107" s="23" t="s">
        <v>10</v>
      </c>
      <c r="AM107" s="23" t="s">
        <v>80</v>
      </c>
      <c r="AN107" s="55">
        <v>45037</v>
      </c>
      <c r="AO107" s="53">
        <f>DAY(cadangan[[#This Row],[Tanggal terjual]])</f>
        <v>21</v>
      </c>
      <c r="AP107" s="21" t="str">
        <f>TEXT(cadangan[[#This Row],[Tanggal terjual]],"dddd")</f>
        <v>Friday</v>
      </c>
      <c r="AQ107" s="23" t="str" cm="1">
        <f t="array" ref="AQ1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07" s="61">
        <f>AVERAGE(cadangan[[#This Row],[Rating A]],cadangan[[#This Row],[Rating B]],cadangan[[#This Row],[Rating C]])</f>
        <v>4</v>
      </c>
    </row>
    <row r="108" spans="1:44" x14ac:dyDescent="0.2">
      <c r="A108" s="20">
        <v>107</v>
      </c>
      <c r="B108" s="21" t="str">
        <f>_xlfn.CONCAT("ORD-",INDEX(Helper!$B$2:$B$5,MATCH(cadangan[[#This Row],[Marketplace]],Helper!$A$2:$A$5,0)),TEXT(cadangan[[#This Row],[No]],"0000"),"-",TEXT(cadangan[[#This Row],[Tanggal terjual]],"dd/mm/yy"))</f>
        <v>ORD-BL0107-24/04/23</v>
      </c>
      <c r="C108" s="39" t="s">
        <v>58</v>
      </c>
      <c r="D108" s="39" t="str">
        <f>IFERROR(INDEX(Katalog!$A$3:$A$12,MATCH(cadangan[[#This Row],[ItemID A]],Katalog!$C$3:$C$12,0)),"-")</f>
        <v>Pakaian Wanita</v>
      </c>
      <c r="E108" s="39" t="str">
        <f>IFERROR(INDEX(Katalog!$B$3:$B$12,MATCH(cadangan[[#This Row],[ItemID A]],Katalog!$C$3:$C$12,0)),"-")</f>
        <v>Dress</v>
      </c>
      <c r="F108" s="50">
        <v>1</v>
      </c>
      <c r="G108" s="50">
        <v>5</v>
      </c>
      <c r="H108" s="73">
        <f>IFERROR(INDEX(Katalog!$D$3:$D$12,MATCH(cadangan[[#This Row],[ItemID A]],Katalog!$C$3:$C$12,0))*cadangan[[#This Row],[Qty A]],0)</f>
        <v>300000</v>
      </c>
      <c r="I108" s="73">
        <f>IFERROR(cadangan[[#This Row],[Harga Normal A]]-(cadangan[[#This Row],[Harga Normal A]]*cadangan[[#This Row],[Diskon]]),cadangan[[#This Row],[Harga Normal A]])</f>
        <v>255000</v>
      </c>
      <c r="J108" s="73">
        <f>INDEX(Katalog!$F$3:$F$12,MATCH(cadangan[[#This Row],[ItemID A]],Katalog!$C$3:$C$12,0))*cadangan[[#This Row],[Qty A]]</f>
        <v>100000</v>
      </c>
      <c r="K108" s="73">
        <f>IFERROR(cadangan[[#This Row],[Harga Diskon A]]-INDEX(Katalog!$E$3:$E$12,MATCH(cadangan[[#This Row],[ItemID A]],Katalog!$C$3:$C$12,0))*cadangan[[#This Row],[Qty A]],0)</f>
        <v>55000</v>
      </c>
      <c r="L108" s="39" t="s">
        <v>64</v>
      </c>
      <c r="M108" s="39" t="str">
        <f>IFERROR(INDEX(Katalog!$A$3:$A$12,MATCH(cadangan[[#This Row],[ItemID B]],Katalog!$C$3:$C$12,0)),"-")</f>
        <v>Pakaian Unisex</v>
      </c>
      <c r="N108" s="39" t="str">
        <f>IFERROR(INDEX(Katalog!$B$3:$B$12,MATCH(cadangan[[#This Row],[ItemID B]],Katalog!$C$3:$C$12,0)),"-")</f>
        <v>Jaket Hoodie</v>
      </c>
      <c r="O108" s="50">
        <v>1</v>
      </c>
      <c r="P108" s="50">
        <v>3</v>
      </c>
      <c r="Q108" s="73">
        <f>IFERROR(INDEX(Katalog!$D$3:$D$12,MATCH(cadangan[[#This Row],[ItemID B]],Katalog!$C$3:$C$12,0))*cadangan[[#This Row],[Qty B]],0)</f>
        <v>350000</v>
      </c>
      <c r="R108" s="73">
        <f>IFERROR(cadangan[[#This Row],[Harga Normal B]]-(cadangan[[#This Row],[Harga Normal B]]*cadangan[[#This Row],[Diskon]]),cadangan[[#This Row],[Harga Normal B]])</f>
        <v>297500</v>
      </c>
      <c r="S108" s="73">
        <f>IFERROR(INDEX(Katalog!$F$3:$F$12,MATCH(cadangan[[#This Row],[ItemID B]],Katalog!$C$3:$C$12,0))*cadangan[[#This Row],[Qty B]],0)</f>
        <v>130000</v>
      </c>
      <c r="T108" s="73">
        <f>IFERROR(cadangan[[#This Row],[Harga Diskon B]]-INDEX(Katalog!$E$3:$E$12,MATCH(cadangan[[#This Row],[ItemID B]],Katalog!$C$3:$C$12,0))*cadangan[[#This Row],[Qty B]],0)</f>
        <v>77500</v>
      </c>
      <c r="V108" s="39" t="str">
        <f>IFERROR(INDEX(Katalog!$A$3:$A$12,MATCH(cadangan[[#This Row],[ItemID C]],Katalog!$C$3:$C$12,0)),"-")</f>
        <v>-</v>
      </c>
      <c r="W108" s="39" t="str">
        <f>IFERROR(INDEX(Katalog!$B$3:$B$12,MATCH(cadangan[[#This Row],[ItemID C]],Katalog!$C$3:$C$12,0)),"-")</f>
        <v>-</v>
      </c>
      <c r="Z108" s="73">
        <f>IFERROR(INDEX(Katalog!$D$3:$D$12,MATCH(cadangan[[#This Row],[ItemID C]],Katalog!$C$3:$C$12,0))*cadangan[[#This Row],[Qty C]],0)</f>
        <v>0</v>
      </c>
      <c r="AA108" s="73">
        <f>IFERROR(cadangan[[#This Row],[Harga Normal C]]-(cadangan[[#This Row],[Harga Normal C]]*cadangan[[#This Row],[Diskon]]),cadangan[[#This Row],[Harga Normal C]])</f>
        <v>0</v>
      </c>
      <c r="AB108" s="73">
        <f>IFERROR(INDEX(Katalog!$F$3:$F$12,MATCH(cadangan[[#This Row],[ItemID C]],Katalog!$C$3:$C$12,0))*cadangan[[#This Row],[Qty C]],0)</f>
        <v>0</v>
      </c>
      <c r="AC108" s="73">
        <f>IFERROR(cadangan[[#This Row],[Harga Diskon C]]-INDEX(Katalog!$E$3:$E$12,MATCH(cadangan[[#This Row],[ItemID C]],Katalog!$C$3:$C$12,0))*cadangan[[#This Row],[Qty C]],0)</f>
        <v>0</v>
      </c>
      <c r="AD108" s="53">
        <f>cadangan[[#This Row],[Qty A]]+cadangan[[#This Row],[Qty B]]+cadangan[[#This Row],[Qty C]]</f>
        <v>2</v>
      </c>
      <c r="AE108" s="73">
        <f>cadangan[[#This Row],[Harga Normal A]]+cadangan[[#This Row],[Harga Normal B]]+cadangan[[#This Row],[Harga Normal C]]</f>
        <v>650000</v>
      </c>
      <c r="AF108" s="73">
        <f>cadangan[[#This Row],[Harga Diskon A]]+cadangan[[#This Row],[Harga Diskon B]]+cadangan[[#This Row],[Harga Diskon C]]</f>
        <v>552500</v>
      </c>
      <c r="AG108" s="73">
        <f>(cadangan[[#This Row],[Profit Normal A]]+cadangan[[#This Row],[Profit Normal B]]+cadangan[[#This Row],[Profit Normal C]])</f>
        <v>230000</v>
      </c>
      <c r="AH108" s="73">
        <f>cadangan[[#This Row],[Profit Diskon A]]+cadangan[[#This Row],[Profit Diskon B]]+cadangan[[#This Row],[Profit Diskon C]]</f>
        <v>132500</v>
      </c>
      <c r="AI108" s="23" t="s">
        <v>32</v>
      </c>
      <c r="AJ108" s="37">
        <f>IFERROR(INDEX('Kode Diskon'!$D$3:$D$9,MATCH(cadangan[[#This Row],[Kode diskon]],'Kode Diskon'!$C$3:$C$9,0)),"-")</f>
        <v>0.15</v>
      </c>
      <c r="AK108" s="23" t="s">
        <v>9</v>
      </c>
      <c r="AL108" s="23" t="s">
        <v>12</v>
      </c>
      <c r="AM108" s="23" t="s">
        <v>78</v>
      </c>
      <c r="AN108" s="55">
        <v>45040</v>
      </c>
      <c r="AO108" s="53">
        <f>DAY(cadangan[[#This Row],[Tanggal terjual]])</f>
        <v>24</v>
      </c>
      <c r="AP108" s="21" t="str">
        <f>TEXT(cadangan[[#This Row],[Tanggal terjual]],"dddd")</f>
        <v>Monday</v>
      </c>
      <c r="AQ108" s="23" t="str" cm="1">
        <f t="array" ref="AQ1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08" s="61">
        <f>AVERAGE(cadangan[[#This Row],[Rating A]],cadangan[[#This Row],[Rating B]],cadangan[[#This Row],[Rating C]])</f>
        <v>4</v>
      </c>
    </row>
    <row r="109" spans="1:44" x14ac:dyDescent="0.2">
      <c r="A109" s="20">
        <v>108</v>
      </c>
      <c r="B109" s="21" t="str">
        <f>_xlfn.CONCAT("ORD-",INDEX(Helper!$B$2:$B$5,MATCH(cadangan[[#This Row],[Marketplace]],Helper!$A$2:$A$5,0)),TEXT(cadangan[[#This Row],[No]],"0000"),"-",TEXT(cadangan[[#This Row],[Tanggal terjual]],"dd/mm/yy"))</f>
        <v>ORD-BB0108-05/04/23</v>
      </c>
      <c r="C109" s="39" t="s">
        <v>64</v>
      </c>
      <c r="D109" s="39" t="str">
        <f>IFERROR(INDEX(Katalog!$A$3:$A$12,MATCH(cadangan[[#This Row],[ItemID A]],Katalog!$C$3:$C$12,0)),"-")</f>
        <v>Pakaian Unisex</v>
      </c>
      <c r="E109" s="39" t="str">
        <f>IFERROR(INDEX(Katalog!$B$3:$B$12,MATCH(cadangan[[#This Row],[ItemID A]],Katalog!$C$3:$C$12,0)),"-")</f>
        <v>Jaket Hoodie</v>
      </c>
      <c r="F109" s="50">
        <v>7</v>
      </c>
      <c r="G109" s="50">
        <v>4</v>
      </c>
      <c r="H109" s="73">
        <f>IFERROR(INDEX(Katalog!$D$3:$D$12,MATCH(cadangan[[#This Row],[ItemID A]],Katalog!$C$3:$C$12,0))*cadangan[[#This Row],[Qty A]],0)</f>
        <v>2450000</v>
      </c>
      <c r="I109" s="73">
        <f>IFERROR(cadangan[[#This Row],[Harga Normal A]]-(cadangan[[#This Row],[Harga Normal A]]*cadangan[[#This Row],[Diskon]]),cadangan[[#This Row],[Harga Normal A]])</f>
        <v>2082500</v>
      </c>
      <c r="J109" s="73">
        <f>INDEX(Katalog!$F$3:$F$12,MATCH(cadangan[[#This Row],[ItemID A]],Katalog!$C$3:$C$12,0))*cadangan[[#This Row],[Qty A]]</f>
        <v>910000</v>
      </c>
      <c r="K109" s="73">
        <f>IFERROR(cadangan[[#This Row],[Harga Diskon A]]-INDEX(Katalog!$E$3:$E$12,MATCH(cadangan[[#This Row],[ItemID A]],Katalog!$C$3:$C$12,0))*cadangan[[#This Row],[Qty A]],0)</f>
        <v>542500</v>
      </c>
      <c r="M109" s="39" t="str">
        <f>IFERROR(INDEX(Katalog!$A$3:$A$12,MATCH(cadangan[[#This Row],[ItemID B]],Katalog!$C$3:$C$12,0)),"-")</f>
        <v>-</v>
      </c>
      <c r="N109" s="39" t="str">
        <f>IFERROR(INDEX(Katalog!$B$3:$B$12,MATCH(cadangan[[#This Row],[ItemID B]],Katalog!$C$3:$C$12,0)),"-")</f>
        <v>-</v>
      </c>
      <c r="Q109" s="73">
        <f>IFERROR(INDEX(Katalog!$D$3:$D$12,MATCH(cadangan[[#This Row],[ItemID B]],Katalog!$C$3:$C$12,0))*cadangan[[#This Row],[Qty B]],0)</f>
        <v>0</v>
      </c>
      <c r="R109" s="73">
        <f>IFERROR(cadangan[[#This Row],[Harga Normal B]]-(cadangan[[#This Row],[Harga Normal B]]*cadangan[[#This Row],[Diskon]]),cadangan[[#This Row],[Harga Normal B]])</f>
        <v>0</v>
      </c>
      <c r="S109" s="73">
        <f>IFERROR(INDEX(Katalog!$F$3:$F$12,MATCH(cadangan[[#This Row],[ItemID B]],Katalog!$C$3:$C$12,0))*cadangan[[#This Row],[Qty B]],0)</f>
        <v>0</v>
      </c>
      <c r="T109" s="73">
        <f>IFERROR(cadangan[[#This Row],[Harga Diskon B]]-INDEX(Katalog!$E$3:$E$12,MATCH(cadangan[[#This Row],[ItemID B]],Katalog!$C$3:$C$12,0))*cadangan[[#This Row],[Qty B]],0)</f>
        <v>0</v>
      </c>
      <c r="V109" s="39" t="str">
        <f>IFERROR(INDEX(Katalog!$A$3:$A$12,MATCH(cadangan[[#This Row],[ItemID C]],Katalog!$C$3:$C$12,0)),"-")</f>
        <v>-</v>
      </c>
      <c r="W109" s="39" t="str">
        <f>IFERROR(INDEX(Katalog!$B$3:$B$12,MATCH(cadangan[[#This Row],[ItemID C]],Katalog!$C$3:$C$12,0)),"-")</f>
        <v>-</v>
      </c>
      <c r="Z109" s="73">
        <f>IFERROR(INDEX(Katalog!$D$3:$D$12,MATCH(cadangan[[#This Row],[ItemID C]],Katalog!$C$3:$C$12,0))*cadangan[[#This Row],[Qty C]],0)</f>
        <v>0</v>
      </c>
      <c r="AA109" s="73">
        <f>IFERROR(cadangan[[#This Row],[Harga Normal C]]-(cadangan[[#This Row],[Harga Normal C]]*cadangan[[#This Row],[Diskon]]),cadangan[[#This Row],[Harga Normal C]])</f>
        <v>0</v>
      </c>
      <c r="AB109" s="73">
        <f>IFERROR(INDEX(Katalog!$F$3:$F$12,MATCH(cadangan[[#This Row],[ItemID C]],Katalog!$C$3:$C$12,0))*cadangan[[#This Row],[Qty C]],0)</f>
        <v>0</v>
      </c>
      <c r="AC109" s="73">
        <f>IFERROR(cadangan[[#This Row],[Harga Diskon C]]-INDEX(Katalog!$E$3:$E$12,MATCH(cadangan[[#This Row],[ItemID C]],Katalog!$C$3:$C$12,0))*cadangan[[#This Row],[Qty C]],0)</f>
        <v>0</v>
      </c>
      <c r="AD109" s="53">
        <f>cadangan[[#This Row],[Qty A]]+cadangan[[#This Row],[Qty B]]+cadangan[[#This Row],[Qty C]]</f>
        <v>7</v>
      </c>
      <c r="AE109" s="73">
        <f>cadangan[[#This Row],[Harga Normal A]]+cadangan[[#This Row],[Harga Normal B]]+cadangan[[#This Row],[Harga Normal C]]</f>
        <v>2450000</v>
      </c>
      <c r="AF109" s="73">
        <f>cadangan[[#This Row],[Harga Diskon A]]+cadangan[[#This Row],[Harga Diskon B]]+cadangan[[#This Row],[Harga Diskon C]]</f>
        <v>2082500</v>
      </c>
      <c r="AG109" s="73">
        <f>(cadangan[[#This Row],[Profit Normal A]]+cadangan[[#This Row],[Profit Normal B]]+cadangan[[#This Row],[Profit Normal C]])</f>
        <v>910000</v>
      </c>
      <c r="AH109" s="73">
        <f>cadangan[[#This Row],[Profit Diskon A]]+cadangan[[#This Row],[Profit Diskon B]]+cadangan[[#This Row],[Profit Diskon C]]</f>
        <v>542500</v>
      </c>
      <c r="AI109" s="23" t="s">
        <v>28</v>
      </c>
      <c r="AJ109" s="37">
        <f>IFERROR(INDEX('Kode Diskon'!$D$3:$D$9,MATCH(cadangan[[#This Row],[Kode diskon]],'Kode Diskon'!$C$3:$C$9,0)),"-")</f>
        <v>0.15</v>
      </c>
      <c r="AK109" s="23" t="s">
        <v>29</v>
      </c>
      <c r="AL109" s="23" t="s">
        <v>14</v>
      </c>
      <c r="AM109" s="23" t="s">
        <v>80</v>
      </c>
      <c r="AN109" s="55">
        <v>45021</v>
      </c>
      <c r="AO109" s="53">
        <f>DAY(cadangan[[#This Row],[Tanggal terjual]])</f>
        <v>5</v>
      </c>
      <c r="AP109" s="21" t="str">
        <f>TEXT(cadangan[[#This Row],[Tanggal terjual]],"dddd")</f>
        <v>Wednesday</v>
      </c>
      <c r="AQ109" s="23" t="str" cm="1">
        <f t="array" ref="AQ1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9" s="61">
        <f>AVERAGE(cadangan[[#This Row],[Rating A]],cadangan[[#This Row],[Rating B]],cadangan[[#This Row],[Rating C]])</f>
        <v>4</v>
      </c>
    </row>
    <row r="110" spans="1:44" x14ac:dyDescent="0.2">
      <c r="A110" s="20">
        <v>109</v>
      </c>
      <c r="B110" s="21" t="str">
        <f>_xlfn.CONCAT("ORD-",INDEX(Helper!$B$2:$B$5,MATCH(cadangan[[#This Row],[Marketplace]],Helper!$A$2:$A$5,0)),TEXT(cadangan[[#This Row],[No]],"0000"),"-",TEXT(cadangan[[#This Row],[Tanggal terjual]],"dd/mm/yy"))</f>
        <v>ORD-SP0109-17/04/23</v>
      </c>
      <c r="C110" s="39" t="s">
        <v>67</v>
      </c>
      <c r="D110" s="39" t="str">
        <f>IFERROR(INDEX(Katalog!$A$3:$A$12,MATCH(cadangan[[#This Row],[ItemID A]],Katalog!$C$3:$C$12,0)),"-")</f>
        <v>Sepatu Wanita</v>
      </c>
      <c r="E110" s="39" t="str">
        <f>IFERROR(INDEX(Katalog!$B$3:$B$12,MATCH(cadangan[[#This Row],[ItemID A]],Katalog!$C$3:$C$12,0)),"-")</f>
        <v>Flat Shoes</v>
      </c>
      <c r="F110" s="50">
        <v>1</v>
      </c>
      <c r="G110" s="50">
        <v>4</v>
      </c>
      <c r="H110" s="73">
        <f>IFERROR(INDEX(Katalog!$D$3:$D$12,MATCH(cadangan[[#This Row],[ItemID A]],Katalog!$C$3:$C$12,0))*cadangan[[#This Row],[Qty A]],0)</f>
        <v>250000</v>
      </c>
      <c r="I110" s="73">
        <f>IFERROR(cadangan[[#This Row],[Harga Normal A]]-(cadangan[[#This Row],[Harga Normal A]]*cadangan[[#This Row],[Diskon]]),cadangan[[#This Row],[Harga Normal A]])</f>
        <v>200000</v>
      </c>
      <c r="J110" s="73">
        <f>INDEX(Katalog!$F$3:$F$12,MATCH(cadangan[[#This Row],[ItemID A]],Katalog!$C$3:$C$12,0))*cadangan[[#This Row],[Qty A]]</f>
        <v>100000</v>
      </c>
      <c r="K110" s="73">
        <f>IFERROR(cadangan[[#This Row],[Harga Diskon A]]-INDEX(Katalog!$E$3:$E$12,MATCH(cadangan[[#This Row],[ItemID A]],Katalog!$C$3:$C$12,0))*cadangan[[#This Row],[Qty A]],0)</f>
        <v>50000</v>
      </c>
      <c r="L110" s="39" t="s">
        <v>62</v>
      </c>
      <c r="M110" s="39" t="str">
        <f>IFERROR(INDEX(Katalog!$A$3:$A$12,MATCH(cadangan[[#This Row],[ItemID B]],Katalog!$C$3:$C$12,0)),"-")</f>
        <v>Pakaian Pria</v>
      </c>
      <c r="N110" s="39" t="str">
        <f>IFERROR(INDEX(Katalog!$B$3:$B$12,MATCH(cadangan[[#This Row],[ItemID B]],Katalog!$C$3:$C$12,0)),"-")</f>
        <v>Celana Pendek</v>
      </c>
      <c r="O110" s="50">
        <v>1</v>
      </c>
      <c r="P110" s="50">
        <v>3</v>
      </c>
      <c r="Q110" s="73">
        <f>IFERROR(INDEX(Katalog!$D$3:$D$12,MATCH(cadangan[[#This Row],[ItemID B]],Katalog!$C$3:$C$12,0))*cadangan[[#This Row],[Qty B]],0)</f>
        <v>180000</v>
      </c>
      <c r="R110" s="73">
        <f>IFERROR(cadangan[[#This Row],[Harga Normal B]]-(cadangan[[#This Row],[Harga Normal B]]*cadangan[[#This Row],[Diskon]]),cadangan[[#This Row],[Harga Normal B]])</f>
        <v>144000</v>
      </c>
      <c r="S110" s="73">
        <f>IFERROR(INDEX(Katalog!$F$3:$F$12,MATCH(cadangan[[#This Row],[ItemID B]],Katalog!$C$3:$C$12,0))*cadangan[[#This Row],[Qty B]],0)</f>
        <v>70000</v>
      </c>
      <c r="T110" s="73">
        <f>IFERROR(cadangan[[#This Row],[Harga Diskon B]]-INDEX(Katalog!$E$3:$E$12,MATCH(cadangan[[#This Row],[ItemID B]],Katalog!$C$3:$C$12,0))*cadangan[[#This Row],[Qty B]],0)</f>
        <v>34000</v>
      </c>
      <c r="V110" s="39" t="str">
        <f>IFERROR(INDEX(Katalog!$A$3:$A$12,MATCH(cadangan[[#This Row],[ItemID C]],Katalog!$C$3:$C$12,0)),"-")</f>
        <v>-</v>
      </c>
      <c r="W110" s="39" t="str">
        <f>IFERROR(INDEX(Katalog!$B$3:$B$12,MATCH(cadangan[[#This Row],[ItemID C]],Katalog!$C$3:$C$12,0)),"-")</f>
        <v>-</v>
      </c>
      <c r="Z110" s="73">
        <f>IFERROR(INDEX(Katalog!$D$3:$D$12,MATCH(cadangan[[#This Row],[ItemID C]],Katalog!$C$3:$C$12,0))*cadangan[[#This Row],[Qty C]],0)</f>
        <v>0</v>
      </c>
      <c r="AA110" s="73">
        <f>IFERROR(cadangan[[#This Row],[Harga Normal C]]-(cadangan[[#This Row],[Harga Normal C]]*cadangan[[#This Row],[Diskon]]),cadangan[[#This Row],[Harga Normal C]])</f>
        <v>0</v>
      </c>
      <c r="AB110" s="73">
        <f>IFERROR(INDEX(Katalog!$F$3:$F$12,MATCH(cadangan[[#This Row],[ItemID C]],Katalog!$C$3:$C$12,0))*cadangan[[#This Row],[Qty C]],0)</f>
        <v>0</v>
      </c>
      <c r="AC110" s="73">
        <f>IFERROR(cadangan[[#This Row],[Harga Diskon C]]-INDEX(Katalog!$E$3:$E$12,MATCH(cadangan[[#This Row],[ItemID C]],Katalog!$C$3:$C$12,0))*cadangan[[#This Row],[Qty C]],0)</f>
        <v>0</v>
      </c>
      <c r="AD110" s="53">
        <f>cadangan[[#This Row],[Qty A]]+cadangan[[#This Row],[Qty B]]+cadangan[[#This Row],[Qty C]]</f>
        <v>2</v>
      </c>
      <c r="AE110" s="73">
        <f>cadangan[[#This Row],[Harga Normal A]]+cadangan[[#This Row],[Harga Normal B]]+cadangan[[#This Row],[Harga Normal C]]</f>
        <v>430000</v>
      </c>
      <c r="AF110" s="73">
        <f>cadangan[[#This Row],[Harga Diskon A]]+cadangan[[#This Row],[Harga Diskon B]]+cadangan[[#This Row],[Harga Diskon C]]</f>
        <v>344000</v>
      </c>
      <c r="AG110" s="73">
        <f>(cadangan[[#This Row],[Profit Normal A]]+cadangan[[#This Row],[Profit Normal B]]+cadangan[[#This Row],[Profit Normal C]])</f>
        <v>170000</v>
      </c>
      <c r="AH110" s="73">
        <f>cadangan[[#This Row],[Profit Diskon A]]+cadangan[[#This Row],[Profit Diskon B]]+cadangan[[#This Row],[Profit Diskon C]]</f>
        <v>84000</v>
      </c>
      <c r="AI110" s="23" t="s">
        <v>8</v>
      </c>
      <c r="AJ110" s="37">
        <f>IFERROR(INDEX('Kode Diskon'!$D$3:$D$9,MATCH(cadangan[[#This Row],[Kode diskon]],'Kode Diskon'!$C$3:$C$9,0)),"-")</f>
        <v>0.2</v>
      </c>
      <c r="AK110" s="23" t="s">
        <v>9</v>
      </c>
      <c r="AL110" s="23" t="s">
        <v>7</v>
      </c>
      <c r="AM110" s="23" t="s">
        <v>77</v>
      </c>
      <c r="AN110" s="55">
        <v>45033</v>
      </c>
      <c r="AO110" s="53">
        <f>DAY(cadangan[[#This Row],[Tanggal terjual]])</f>
        <v>17</v>
      </c>
      <c r="AP110" s="21" t="str">
        <f>TEXT(cadangan[[#This Row],[Tanggal terjual]],"dddd")</f>
        <v>Monday</v>
      </c>
      <c r="AQ110" s="23" t="str" cm="1">
        <f t="array" ref="AQ1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10" s="61">
        <f>AVERAGE(cadangan[[#This Row],[Rating A]],cadangan[[#This Row],[Rating B]],cadangan[[#This Row],[Rating C]])</f>
        <v>3.5</v>
      </c>
    </row>
    <row r="111" spans="1:44" x14ac:dyDescent="0.2">
      <c r="A111" s="20">
        <v>110</v>
      </c>
      <c r="B111" s="21" t="str">
        <f>_xlfn.CONCAT("ORD-",INDEX(Helper!$B$2:$B$5,MATCH(cadangan[[#This Row],[Marketplace]],Helper!$A$2:$A$5,0)),TEXT(cadangan[[#This Row],[No]],"0000"),"-",TEXT(cadangan[[#This Row],[Tanggal terjual]],"dd/mm/yy"))</f>
        <v>ORD-SP0110-06/04/23</v>
      </c>
      <c r="C111" s="39" t="s">
        <v>58</v>
      </c>
      <c r="D111" s="39" t="str">
        <f>IFERROR(INDEX(Katalog!$A$3:$A$12,MATCH(cadangan[[#This Row],[ItemID A]],Katalog!$C$3:$C$12,0)),"-")</f>
        <v>Pakaian Wanita</v>
      </c>
      <c r="E111" s="39" t="str">
        <f>IFERROR(INDEX(Katalog!$B$3:$B$12,MATCH(cadangan[[#This Row],[ItemID A]],Katalog!$C$3:$C$12,0)),"-")</f>
        <v>Dress</v>
      </c>
      <c r="F111" s="50">
        <v>4</v>
      </c>
      <c r="G111" s="50">
        <v>2</v>
      </c>
      <c r="H111" s="73">
        <f>IFERROR(INDEX(Katalog!$D$3:$D$12,MATCH(cadangan[[#This Row],[ItemID A]],Katalog!$C$3:$C$12,0))*cadangan[[#This Row],[Qty A]],0)</f>
        <v>1200000</v>
      </c>
      <c r="I111" s="73">
        <f>IFERROR(cadangan[[#This Row],[Harga Normal A]]-(cadangan[[#This Row],[Harga Normal A]]*cadangan[[#This Row],[Diskon]]),cadangan[[#This Row],[Harga Normal A]])</f>
        <v>1080000</v>
      </c>
      <c r="J111" s="73">
        <f>INDEX(Katalog!$F$3:$F$12,MATCH(cadangan[[#This Row],[ItemID A]],Katalog!$C$3:$C$12,0))*cadangan[[#This Row],[Qty A]]</f>
        <v>400000</v>
      </c>
      <c r="K111" s="73">
        <f>IFERROR(cadangan[[#This Row],[Harga Diskon A]]-INDEX(Katalog!$E$3:$E$12,MATCH(cadangan[[#This Row],[ItemID A]],Katalog!$C$3:$C$12,0))*cadangan[[#This Row],[Qty A]],0)</f>
        <v>280000</v>
      </c>
      <c r="M111" s="39" t="str">
        <f>IFERROR(INDEX(Katalog!$A$3:$A$12,MATCH(cadangan[[#This Row],[ItemID B]],Katalog!$C$3:$C$12,0)),"-")</f>
        <v>-</v>
      </c>
      <c r="N111" s="39" t="str">
        <f>IFERROR(INDEX(Katalog!$B$3:$B$12,MATCH(cadangan[[#This Row],[ItemID B]],Katalog!$C$3:$C$12,0)),"-")</f>
        <v>-</v>
      </c>
      <c r="Q111" s="73">
        <f>IFERROR(INDEX(Katalog!$D$3:$D$12,MATCH(cadangan[[#This Row],[ItemID B]],Katalog!$C$3:$C$12,0))*cadangan[[#This Row],[Qty B]],0)</f>
        <v>0</v>
      </c>
      <c r="R111" s="73">
        <f>IFERROR(cadangan[[#This Row],[Harga Normal B]]-(cadangan[[#This Row],[Harga Normal B]]*cadangan[[#This Row],[Diskon]]),cadangan[[#This Row],[Harga Normal B]])</f>
        <v>0</v>
      </c>
      <c r="S111" s="73">
        <f>IFERROR(INDEX(Katalog!$F$3:$F$12,MATCH(cadangan[[#This Row],[ItemID B]],Katalog!$C$3:$C$12,0))*cadangan[[#This Row],[Qty B]],0)</f>
        <v>0</v>
      </c>
      <c r="T111" s="73">
        <f>IFERROR(cadangan[[#This Row],[Harga Diskon B]]-INDEX(Katalog!$E$3:$E$12,MATCH(cadangan[[#This Row],[ItemID B]],Katalog!$C$3:$C$12,0))*cadangan[[#This Row],[Qty B]],0)</f>
        <v>0</v>
      </c>
      <c r="V111" s="39" t="str">
        <f>IFERROR(INDEX(Katalog!$A$3:$A$12,MATCH(cadangan[[#This Row],[ItemID C]],Katalog!$C$3:$C$12,0)),"-")</f>
        <v>-</v>
      </c>
      <c r="W111" s="39" t="str">
        <f>IFERROR(INDEX(Katalog!$B$3:$B$12,MATCH(cadangan[[#This Row],[ItemID C]],Katalog!$C$3:$C$12,0)),"-")</f>
        <v>-</v>
      </c>
      <c r="Z111" s="73">
        <f>IFERROR(INDEX(Katalog!$D$3:$D$12,MATCH(cadangan[[#This Row],[ItemID C]],Katalog!$C$3:$C$12,0))*cadangan[[#This Row],[Qty C]],0)</f>
        <v>0</v>
      </c>
      <c r="AA111" s="73">
        <f>IFERROR(cadangan[[#This Row],[Harga Normal C]]-(cadangan[[#This Row],[Harga Normal C]]*cadangan[[#This Row],[Diskon]]),cadangan[[#This Row],[Harga Normal C]])</f>
        <v>0</v>
      </c>
      <c r="AB111" s="73">
        <f>IFERROR(INDEX(Katalog!$F$3:$F$12,MATCH(cadangan[[#This Row],[ItemID C]],Katalog!$C$3:$C$12,0))*cadangan[[#This Row],[Qty C]],0)</f>
        <v>0</v>
      </c>
      <c r="AC111" s="73">
        <f>IFERROR(cadangan[[#This Row],[Harga Diskon C]]-INDEX(Katalog!$E$3:$E$12,MATCH(cadangan[[#This Row],[ItemID C]],Katalog!$C$3:$C$12,0))*cadangan[[#This Row],[Qty C]],0)</f>
        <v>0</v>
      </c>
      <c r="AD111" s="53">
        <f>cadangan[[#This Row],[Qty A]]+cadangan[[#This Row],[Qty B]]+cadangan[[#This Row],[Qty C]]</f>
        <v>4</v>
      </c>
      <c r="AE111" s="73">
        <f>cadangan[[#This Row],[Harga Normal A]]+cadangan[[#This Row],[Harga Normal B]]+cadangan[[#This Row],[Harga Normal C]]</f>
        <v>1200000</v>
      </c>
      <c r="AF111" s="73">
        <f>cadangan[[#This Row],[Harga Diskon A]]+cadangan[[#This Row],[Harga Diskon B]]+cadangan[[#This Row],[Harga Diskon C]]</f>
        <v>1080000</v>
      </c>
      <c r="AG111" s="73">
        <f>(cadangan[[#This Row],[Profit Normal A]]+cadangan[[#This Row],[Profit Normal B]]+cadangan[[#This Row],[Profit Normal C]])</f>
        <v>400000</v>
      </c>
      <c r="AH111" s="73">
        <f>cadangan[[#This Row],[Profit Diskon A]]+cadangan[[#This Row],[Profit Diskon B]]+cadangan[[#This Row],[Profit Diskon C]]</f>
        <v>280000</v>
      </c>
      <c r="AI111" s="23" t="s">
        <v>6</v>
      </c>
      <c r="AJ111" s="37">
        <f>IFERROR(INDEX('Kode Diskon'!$D$3:$D$9,MATCH(cadangan[[#This Row],[Kode diskon]],'Kode Diskon'!$C$3:$C$9,0)),"-")</f>
        <v>0.1</v>
      </c>
      <c r="AK111" s="23" t="s">
        <v>29</v>
      </c>
      <c r="AL111" s="23" t="s">
        <v>7</v>
      </c>
      <c r="AM111" s="23" t="s">
        <v>75</v>
      </c>
      <c r="AN111" s="55">
        <v>45022</v>
      </c>
      <c r="AO111" s="53">
        <f>DAY(cadangan[[#This Row],[Tanggal terjual]])</f>
        <v>6</v>
      </c>
      <c r="AP111" s="21" t="str">
        <f>TEXT(cadangan[[#This Row],[Tanggal terjual]],"dddd")</f>
        <v>Thursday</v>
      </c>
      <c r="AQ111" s="23" t="str" cm="1">
        <f t="array" ref="AQ1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1" s="61">
        <f>AVERAGE(cadangan[[#This Row],[Rating A]],cadangan[[#This Row],[Rating B]],cadangan[[#This Row],[Rating C]])</f>
        <v>2</v>
      </c>
    </row>
    <row r="112" spans="1:44" x14ac:dyDescent="0.2">
      <c r="A112" s="20">
        <v>111</v>
      </c>
      <c r="B112" s="21" t="str">
        <f>_xlfn.CONCAT("ORD-",INDEX(Helper!$B$2:$B$5,MATCH(cadangan[[#This Row],[Marketplace]],Helper!$A$2:$A$5,0)),TEXT(cadangan[[#This Row],[No]],"0000"),"-",TEXT(cadangan[[#This Row],[Tanggal terjual]],"dd/mm/yy"))</f>
        <v>ORD-BL0111-10/04/23</v>
      </c>
      <c r="C112" s="39" t="s">
        <v>63</v>
      </c>
      <c r="D112" s="39" t="str">
        <f>IFERROR(INDEX(Katalog!$A$3:$A$12,MATCH(cadangan[[#This Row],[ItemID A]],Katalog!$C$3:$C$12,0)),"-")</f>
        <v>Pakaian Pria</v>
      </c>
      <c r="E112" s="39" t="str">
        <f>IFERROR(INDEX(Katalog!$B$3:$B$12,MATCH(cadangan[[#This Row],[ItemID A]],Katalog!$C$3:$C$12,0)),"-")</f>
        <v>Jaket Jeans</v>
      </c>
      <c r="F112" s="50">
        <v>3</v>
      </c>
      <c r="G112" s="50">
        <v>4</v>
      </c>
      <c r="H112" s="73">
        <f>IFERROR(INDEX(Katalog!$D$3:$D$12,MATCH(cadangan[[#This Row],[ItemID A]],Katalog!$C$3:$C$12,0))*cadangan[[#This Row],[Qty A]],0)</f>
        <v>1200000</v>
      </c>
      <c r="I112" s="73">
        <f>IFERROR(cadangan[[#This Row],[Harga Normal A]]-(cadangan[[#This Row],[Harga Normal A]]*cadangan[[#This Row],[Diskon]]),cadangan[[#This Row],[Harga Normal A]])</f>
        <v>1200000</v>
      </c>
      <c r="J112" s="73">
        <f>INDEX(Katalog!$F$3:$F$12,MATCH(cadangan[[#This Row],[ItemID A]],Katalog!$C$3:$C$12,0))*cadangan[[#This Row],[Qty A]]</f>
        <v>450000</v>
      </c>
      <c r="K112" s="73">
        <f>IFERROR(cadangan[[#This Row],[Harga Diskon A]]-INDEX(Katalog!$E$3:$E$12,MATCH(cadangan[[#This Row],[ItemID A]],Katalog!$C$3:$C$12,0))*cadangan[[#This Row],[Qty A]],0)</f>
        <v>450000</v>
      </c>
      <c r="L112" s="39" t="s">
        <v>61</v>
      </c>
      <c r="M112" s="39" t="str">
        <f>IFERROR(INDEX(Katalog!$A$3:$A$12,MATCH(cadangan[[#This Row],[ItemID B]],Katalog!$C$3:$C$12,0)),"-")</f>
        <v>Pakaian Pria</v>
      </c>
      <c r="N112" s="39" t="str">
        <f>IFERROR(INDEX(Katalog!$B$3:$B$12,MATCH(cadangan[[#This Row],[ItemID B]],Katalog!$C$3:$C$12,0)),"-")</f>
        <v>Kaos Polo</v>
      </c>
      <c r="O112" s="50">
        <v>2</v>
      </c>
      <c r="P112" s="50">
        <v>5</v>
      </c>
      <c r="Q112" s="73">
        <f>IFERROR(INDEX(Katalog!$D$3:$D$12,MATCH(cadangan[[#This Row],[ItemID B]],Katalog!$C$3:$C$12,0))*cadangan[[#This Row],[Qty B]],0)</f>
        <v>400000</v>
      </c>
      <c r="R112" s="73">
        <f>IFERROR(cadangan[[#This Row],[Harga Normal B]]-(cadangan[[#This Row],[Harga Normal B]]*cadangan[[#This Row],[Diskon]]),cadangan[[#This Row],[Harga Normal B]])</f>
        <v>400000</v>
      </c>
      <c r="S112" s="73">
        <f>IFERROR(INDEX(Katalog!$F$3:$F$12,MATCH(cadangan[[#This Row],[ItemID B]],Katalog!$C$3:$C$12,0))*cadangan[[#This Row],[Qty B]],0)</f>
        <v>160000</v>
      </c>
      <c r="T112" s="73">
        <f>IFERROR(cadangan[[#This Row],[Harga Diskon B]]-INDEX(Katalog!$E$3:$E$12,MATCH(cadangan[[#This Row],[ItemID B]],Katalog!$C$3:$C$12,0))*cadangan[[#This Row],[Qty B]],0)</f>
        <v>160000</v>
      </c>
      <c r="U112" s="39" t="s">
        <v>65</v>
      </c>
      <c r="V112" s="39" t="str">
        <f>IFERROR(INDEX(Katalog!$A$3:$A$12,MATCH(cadangan[[#This Row],[ItemID C]],Katalog!$C$3:$C$12,0)),"-")</f>
        <v>Sepatu Pria</v>
      </c>
      <c r="W112" s="39" t="str">
        <f>IFERROR(INDEX(Katalog!$B$3:$B$12,MATCH(cadangan[[#This Row],[ItemID C]],Katalog!$C$3:$C$12,0)),"-")</f>
        <v>Sneakers</v>
      </c>
      <c r="X112" s="50">
        <v>1</v>
      </c>
      <c r="Y112" s="50">
        <v>5</v>
      </c>
      <c r="Z112" s="73">
        <f>IFERROR(INDEX(Katalog!$D$3:$D$12,MATCH(cadangan[[#This Row],[ItemID C]],Katalog!$C$3:$C$12,0))*cadangan[[#This Row],[Qty C]],0)</f>
        <v>500000</v>
      </c>
      <c r="AA112" s="73">
        <f>IFERROR(cadangan[[#This Row],[Harga Normal C]]-(cadangan[[#This Row],[Harga Normal C]]*cadangan[[#This Row],[Diskon]]),cadangan[[#This Row],[Harga Normal C]])</f>
        <v>500000</v>
      </c>
      <c r="AB112" s="73">
        <f>IFERROR(INDEX(Katalog!$F$3:$F$12,MATCH(cadangan[[#This Row],[ItemID C]],Katalog!$C$3:$C$12,0))*cadangan[[#This Row],[Qty C]],0)</f>
        <v>200000</v>
      </c>
      <c r="AC112" s="73">
        <f>IFERROR(cadangan[[#This Row],[Harga Diskon C]]-INDEX(Katalog!$E$3:$E$12,MATCH(cadangan[[#This Row],[ItemID C]],Katalog!$C$3:$C$12,0))*cadangan[[#This Row],[Qty C]],0)</f>
        <v>200000</v>
      </c>
      <c r="AD112" s="53">
        <f>cadangan[[#This Row],[Qty A]]+cadangan[[#This Row],[Qty B]]+cadangan[[#This Row],[Qty C]]</f>
        <v>6</v>
      </c>
      <c r="AE112" s="73">
        <f>cadangan[[#This Row],[Harga Normal A]]+cadangan[[#This Row],[Harga Normal B]]+cadangan[[#This Row],[Harga Normal C]]</f>
        <v>2100000</v>
      </c>
      <c r="AF112" s="73">
        <f>cadangan[[#This Row],[Harga Diskon A]]+cadangan[[#This Row],[Harga Diskon B]]+cadangan[[#This Row],[Harga Diskon C]]</f>
        <v>2100000</v>
      </c>
      <c r="AG112" s="73">
        <f>(cadangan[[#This Row],[Profit Normal A]]+cadangan[[#This Row],[Profit Normal B]]+cadangan[[#This Row],[Profit Normal C]])</f>
        <v>810000</v>
      </c>
      <c r="AH112" s="73">
        <f>cadangan[[#This Row],[Profit Diskon A]]+cadangan[[#This Row],[Profit Diskon B]]+cadangan[[#This Row],[Profit Diskon C]]</f>
        <v>810000</v>
      </c>
      <c r="AI112" s="23" t="s">
        <v>290</v>
      </c>
      <c r="AJ112" s="37" t="str">
        <f>IFERROR(INDEX('Kode Diskon'!$D$3:$D$9,MATCH(cadangan[[#This Row],[Kode diskon]],'Kode Diskon'!$C$3:$C$9,0)),"-")</f>
        <v>-</v>
      </c>
      <c r="AK112" s="23" t="s">
        <v>290</v>
      </c>
      <c r="AL112" s="23" t="s">
        <v>12</v>
      </c>
      <c r="AM112" s="23" t="s">
        <v>77</v>
      </c>
      <c r="AN112" s="55">
        <v>45026</v>
      </c>
      <c r="AO112" s="53">
        <f>DAY(cadangan[[#This Row],[Tanggal terjual]])</f>
        <v>10</v>
      </c>
      <c r="AP112" s="21" t="str">
        <f>TEXT(cadangan[[#This Row],[Tanggal terjual]],"dddd")</f>
        <v>Monday</v>
      </c>
      <c r="AQ112" s="23" t="str" cm="1">
        <f t="array" ref="AQ1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12" s="61">
        <f>AVERAGE(cadangan[[#This Row],[Rating A]],cadangan[[#This Row],[Rating B]],cadangan[[#This Row],[Rating C]])</f>
        <v>4.666666666666667</v>
      </c>
    </row>
    <row r="113" spans="1:44" x14ac:dyDescent="0.2">
      <c r="A113" s="20">
        <v>112</v>
      </c>
      <c r="B113" s="21" t="str">
        <f>_xlfn.CONCAT("ORD-",INDEX(Helper!$B$2:$B$5,MATCH(cadangan[[#This Row],[Marketplace]],Helper!$A$2:$A$5,0)),TEXT(cadangan[[#This Row],[No]],"0000"),"-",TEXT(cadangan[[#This Row],[Tanggal terjual]],"dd/mm/yy"))</f>
        <v>ORD-TK0112-18/04/23</v>
      </c>
      <c r="C113" s="39" t="s">
        <v>67</v>
      </c>
      <c r="D113" s="39" t="str">
        <f>IFERROR(INDEX(Katalog!$A$3:$A$12,MATCH(cadangan[[#This Row],[ItemID A]],Katalog!$C$3:$C$12,0)),"-")</f>
        <v>Sepatu Wanita</v>
      </c>
      <c r="E113" s="39" t="str">
        <f>IFERROR(INDEX(Katalog!$B$3:$B$12,MATCH(cadangan[[#This Row],[ItemID A]],Katalog!$C$3:$C$12,0)),"-")</f>
        <v>Flat Shoes</v>
      </c>
      <c r="F113" s="50">
        <v>1</v>
      </c>
      <c r="G113" s="50">
        <v>2</v>
      </c>
      <c r="H113" s="73">
        <f>IFERROR(INDEX(Katalog!$D$3:$D$12,MATCH(cadangan[[#This Row],[ItemID A]],Katalog!$C$3:$C$12,0))*cadangan[[#This Row],[Qty A]],0)</f>
        <v>250000</v>
      </c>
      <c r="I113" s="73">
        <f>IFERROR(cadangan[[#This Row],[Harga Normal A]]-(cadangan[[#This Row],[Harga Normal A]]*cadangan[[#This Row],[Diskon]]),cadangan[[#This Row],[Harga Normal A]])</f>
        <v>225000</v>
      </c>
      <c r="J113" s="73">
        <f>INDEX(Katalog!$F$3:$F$12,MATCH(cadangan[[#This Row],[ItemID A]],Katalog!$C$3:$C$12,0))*cadangan[[#This Row],[Qty A]]</f>
        <v>100000</v>
      </c>
      <c r="K113" s="73">
        <f>IFERROR(cadangan[[#This Row],[Harga Diskon A]]-INDEX(Katalog!$E$3:$E$12,MATCH(cadangan[[#This Row],[ItemID A]],Katalog!$C$3:$C$12,0))*cadangan[[#This Row],[Qty A]],0)</f>
        <v>75000</v>
      </c>
      <c r="L113" s="39" t="s">
        <v>65</v>
      </c>
      <c r="M113" s="39" t="str">
        <f>IFERROR(INDEX(Katalog!$A$3:$A$12,MATCH(cadangan[[#This Row],[ItemID B]],Katalog!$C$3:$C$12,0)),"-")</f>
        <v>Sepatu Pria</v>
      </c>
      <c r="N113" s="39" t="str">
        <f>IFERROR(INDEX(Katalog!$B$3:$B$12,MATCH(cadangan[[#This Row],[ItemID B]],Katalog!$C$3:$C$12,0)),"-")</f>
        <v>Sneakers</v>
      </c>
      <c r="O113" s="50">
        <v>1</v>
      </c>
      <c r="P113" s="50">
        <v>2</v>
      </c>
      <c r="Q113" s="73">
        <f>IFERROR(INDEX(Katalog!$D$3:$D$12,MATCH(cadangan[[#This Row],[ItemID B]],Katalog!$C$3:$C$12,0))*cadangan[[#This Row],[Qty B]],0)</f>
        <v>500000</v>
      </c>
      <c r="R113" s="73">
        <f>IFERROR(cadangan[[#This Row],[Harga Normal B]]-(cadangan[[#This Row],[Harga Normal B]]*cadangan[[#This Row],[Diskon]]),cadangan[[#This Row],[Harga Normal B]])</f>
        <v>450000</v>
      </c>
      <c r="S113" s="73">
        <f>IFERROR(INDEX(Katalog!$F$3:$F$12,MATCH(cadangan[[#This Row],[ItemID B]],Katalog!$C$3:$C$12,0))*cadangan[[#This Row],[Qty B]],0)</f>
        <v>200000</v>
      </c>
      <c r="T113" s="73">
        <f>IFERROR(cadangan[[#This Row],[Harga Diskon B]]-INDEX(Katalog!$E$3:$E$12,MATCH(cadangan[[#This Row],[ItemID B]],Katalog!$C$3:$C$12,0))*cadangan[[#This Row],[Qty B]],0)</f>
        <v>150000</v>
      </c>
      <c r="U113" s="39" t="s">
        <v>67</v>
      </c>
      <c r="V113" s="39" t="str">
        <f>IFERROR(INDEX(Katalog!$A$3:$A$12,MATCH(cadangan[[#This Row],[ItemID C]],Katalog!$C$3:$C$12,0)),"-")</f>
        <v>Sepatu Wanita</v>
      </c>
      <c r="W113" s="39" t="str">
        <f>IFERROR(INDEX(Katalog!$B$3:$B$12,MATCH(cadangan[[#This Row],[ItemID C]],Katalog!$C$3:$C$12,0)),"-")</f>
        <v>Flat Shoes</v>
      </c>
      <c r="X113" s="50">
        <v>2</v>
      </c>
      <c r="Y113" s="50">
        <v>5</v>
      </c>
      <c r="Z113" s="73">
        <f>IFERROR(INDEX(Katalog!$D$3:$D$12,MATCH(cadangan[[#This Row],[ItemID C]],Katalog!$C$3:$C$12,0))*cadangan[[#This Row],[Qty C]],0)</f>
        <v>500000</v>
      </c>
      <c r="AA113" s="73">
        <f>IFERROR(cadangan[[#This Row],[Harga Normal C]]-(cadangan[[#This Row],[Harga Normal C]]*cadangan[[#This Row],[Diskon]]),cadangan[[#This Row],[Harga Normal C]])</f>
        <v>450000</v>
      </c>
      <c r="AB113" s="73">
        <f>IFERROR(INDEX(Katalog!$F$3:$F$12,MATCH(cadangan[[#This Row],[ItemID C]],Katalog!$C$3:$C$12,0))*cadangan[[#This Row],[Qty C]],0)</f>
        <v>200000</v>
      </c>
      <c r="AC113" s="73">
        <f>IFERROR(cadangan[[#This Row],[Harga Diskon C]]-INDEX(Katalog!$E$3:$E$12,MATCH(cadangan[[#This Row],[ItemID C]],Katalog!$C$3:$C$12,0))*cadangan[[#This Row],[Qty C]],0)</f>
        <v>150000</v>
      </c>
      <c r="AD113" s="53">
        <f>cadangan[[#This Row],[Qty A]]+cadangan[[#This Row],[Qty B]]+cadangan[[#This Row],[Qty C]]</f>
        <v>4</v>
      </c>
      <c r="AE113" s="73">
        <f>cadangan[[#This Row],[Harga Normal A]]+cadangan[[#This Row],[Harga Normal B]]+cadangan[[#This Row],[Harga Normal C]]</f>
        <v>1250000</v>
      </c>
      <c r="AF113" s="73">
        <f>cadangan[[#This Row],[Harga Diskon A]]+cadangan[[#This Row],[Harga Diskon B]]+cadangan[[#This Row],[Harga Diskon C]]</f>
        <v>1125000</v>
      </c>
      <c r="AG113" s="73">
        <f>(cadangan[[#This Row],[Profit Normal A]]+cadangan[[#This Row],[Profit Normal B]]+cadangan[[#This Row],[Profit Normal C]])</f>
        <v>500000</v>
      </c>
      <c r="AH113" s="73">
        <f>cadangan[[#This Row],[Profit Diskon A]]+cadangan[[#This Row],[Profit Diskon B]]+cadangan[[#This Row],[Profit Diskon C]]</f>
        <v>375000</v>
      </c>
      <c r="AI113" s="23" t="s">
        <v>31</v>
      </c>
      <c r="AJ113" s="37">
        <f>IFERROR(INDEX('Kode Diskon'!$D$3:$D$9,MATCH(cadangan[[#This Row],[Kode diskon]],'Kode Diskon'!$C$3:$C$9,0)),"-")</f>
        <v>0.1</v>
      </c>
      <c r="AK113" s="23" t="s">
        <v>9</v>
      </c>
      <c r="AL113" s="23" t="s">
        <v>10</v>
      </c>
      <c r="AM113" s="23" t="s">
        <v>76</v>
      </c>
      <c r="AN113" s="55">
        <v>45034</v>
      </c>
      <c r="AO113" s="53">
        <f>DAY(cadangan[[#This Row],[Tanggal terjual]])</f>
        <v>18</v>
      </c>
      <c r="AP113" s="21" t="str">
        <f>TEXT(cadangan[[#This Row],[Tanggal terjual]],"dddd")</f>
        <v>Tuesday</v>
      </c>
      <c r="AQ113" s="23" t="str" cm="1">
        <f t="array" ref="AQ1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13" s="61">
        <f>AVERAGE(cadangan[[#This Row],[Rating A]],cadangan[[#This Row],[Rating B]],cadangan[[#This Row],[Rating C]])</f>
        <v>3</v>
      </c>
    </row>
    <row r="114" spans="1:44" x14ac:dyDescent="0.2">
      <c r="A114" s="20">
        <v>113</v>
      </c>
      <c r="B114" s="21" t="str">
        <f>_xlfn.CONCAT("ORD-",INDEX(Helper!$B$2:$B$5,MATCH(cadangan[[#This Row],[Marketplace]],Helper!$A$2:$A$5,0)),TEXT(cadangan[[#This Row],[No]],"0000"),"-",TEXT(cadangan[[#This Row],[Tanggal terjual]],"dd/mm/yy"))</f>
        <v>ORD-BB0113-14/04/23</v>
      </c>
      <c r="C114" s="39" t="s">
        <v>65</v>
      </c>
      <c r="D114" s="39" t="str">
        <f>IFERROR(INDEX(Katalog!$A$3:$A$12,MATCH(cadangan[[#This Row],[ItemID A]],Katalog!$C$3:$C$12,0)),"-")</f>
        <v>Sepatu Pria</v>
      </c>
      <c r="E114" s="39" t="str">
        <f>IFERROR(INDEX(Katalog!$B$3:$B$12,MATCH(cadangan[[#This Row],[ItemID A]],Katalog!$C$3:$C$12,0)),"-")</f>
        <v>Sneakers</v>
      </c>
      <c r="F114" s="50">
        <v>3</v>
      </c>
      <c r="G114" s="50">
        <v>1</v>
      </c>
      <c r="H114" s="73">
        <f>IFERROR(INDEX(Katalog!$D$3:$D$12,MATCH(cadangan[[#This Row],[ItemID A]],Katalog!$C$3:$C$12,0))*cadangan[[#This Row],[Qty A]],0)</f>
        <v>1500000</v>
      </c>
      <c r="I114" s="73">
        <f>IFERROR(cadangan[[#This Row],[Harga Normal A]]-(cadangan[[#This Row],[Harga Normal A]]*cadangan[[#This Row],[Diskon]]),cadangan[[#This Row],[Harga Normal A]])</f>
        <v>1500000</v>
      </c>
      <c r="J114" s="73">
        <f>INDEX(Katalog!$F$3:$F$12,MATCH(cadangan[[#This Row],[ItemID A]],Katalog!$C$3:$C$12,0))*cadangan[[#This Row],[Qty A]]</f>
        <v>600000</v>
      </c>
      <c r="K114" s="73">
        <f>IFERROR(cadangan[[#This Row],[Harga Diskon A]]-INDEX(Katalog!$E$3:$E$12,MATCH(cadangan[[#This Row],[ItemID A]],Katalog!$C$3:$C$12,0))*cadangan[[#This Row],[Qty A]],0)</f>
        <v>600000</v>
      </c>
      <c r="L114" s="39" t="s">
        <v>60</v>
      </c>
      <c r="M114" s="39" t="str">
        <f>IFERROR(INDEX(Katalog!$A$3:$A$12,MATCH(cadangan[[#This Row],[ItemID B]],Katalog!$C$3:$C$12,0)),"-")</f>
        <v>Pakaian Wanita</v>
      </c>
      <c r="N114" s="39" t="str">
        <f>IFERROR(INDEX(Katalog!$B$3:$B$12,MATCH(cadangan[[#This Row],[ItemID B]],Katalog!$C$3:$C$12,0)),"-")</f>
        <v>Kaftan</v>
      </c>
      <c r="O114" s="50">
        <v>1</v>
      </c>
      <c r="P114" s="50">
        <v>4</v>
      </c>
      <c r="Q114" s="73">
        <f>IFERROR(INDEX(Katalog!$D$3:$D$12,MATCH(cadangan[[#This Row],[ItemID B]],Katalog!$C$3:$C$12,0))*cadangan[[#This Row],[Qty B]],0)</f>
        <v>250000</v>
      </c>
      <c r="R114" s="73">
        <f>IFERROR(cadangan[[#This Row],[Harga Normal B]]-(cadangan[[#This Row],[Harga Normal B]]*cadangan[[#This Row],[Diskon]]),cadangan[[#This Row],[Harga Normal B]])</f>
        <v>250000</v>
      </c>
      <c r="S114" s="73">
        <f>IFERROR(INDEX(Katalog!$F$3:$F$12,MATCH(cadangan[[#This Row],[ItemID B]],Katalog!$C$3:$C$12,0))*cadangan[[#This Row],[Qty B]],0)</f>
        <v>100000</v>
      </c>
      <c r="T114" s="73">
        <f>IFERROR(cadangan[[#This Row],[Harga Diskon B]]-INDEX(Katalog!$E$3:$E$12,MATCH(cadangan[[#This Row],[ItemID B]],Katalog!$C$3:$C$12,0))*cadangan[[#This Row],[Qty B]],0)</f>
        <v>100000</v>
      </c>
      <c r="V114" s="39" t="str">
        <f>IFERROR(INDEX(Katalog!$A$3:$A$12,MATCH(cadangan[[#This Row],[ItemID C]],Katalog!$C$3:$C$12,0)),"-")</f>
        <v>-</v>
      </c>
      <c r="W114" s="39" t="str">
        <f>IFERROR(INDEX(Katalog!$B$3:$B$12,MATCH(cadangan[[#This Row],[ItemID C]],Katalog!$C$3:$C$12,0)),"-")</f>
        <v>-</v>
      </c>
      <c r="Z114" s="73">
        <f>IFERROR(INDEX(Katalog!$D$3:$D$12,MATCH(cadangan[[#This Row],[ItemID C]],Katalog!$C$3:$C$12,0))*cadangan[[#This Row],[Qty C]],0)</f>
        <v>0</v>
      </c>
      <c r="AA114" s="73">
        <f>IFERROR(cadangan[[#This Row],[Harga Normal C]]-(cadangan[[#This Row],[Harga Normal C]]*cadangan[[#This Row],[Diskon]]),cadangan[[#This Row],[Harga Normal C]])</f>
        <v>0</v>
      </c>
      <c r="AB114" s="73">
        <f>IFERROR(INDEX(Katalog!$F$3:$F$12,MATCH(cadangan[[#This Row],[ItemID C]],Katalog!$C$3:$C$12,0))*cadangan[[#This Row],[Qty C]],0)</f>
        <v>0</v>
      </c>
      <c r="AC114" s="73">
        <f>IFERROR(cadangan[[#This Row],[Harga Diskon C]]-INDEX(Katalog!$E$3:$E$12,MATCH(cadangan[[#This Row],[ItemID C]],Katalog!$C$3:$C$12,0))*cadangan[[#This Row],[Qty C]],0)</f>
        <v>0</v>
      </c>
      <c r="AD114" s="53">
        <f>cadangan[[#This Row],[Qty A]]+cadangan[[#This Row],[Qty B]]+cadangan[[#This Row],[Qty C]]</f>
        <v>4</v>
      </c>
      <c r="AE114" s="73">
        <f>cadangan[[#This Row],[Harga Normal A]]+cadangan[[#This Row],[Harga Normal B]]+cadangan[[#This Row],[Harga Normal C]]</f>
        <v>1750000</v>
      </c>
      <c r="AF114" s="73">
        <f>cadangan[[#This Row],[Harga Diskon A]]+cadangan[[#This Row],[Harga Diskon B]]+cadangan[[#This Row],[Harga Diskon C]]</f>
        <v>1750000</v>
      </c>
      <c r="AG114" s="73">
        <f>(cadangan[[#This Row],[Profit Normal A]]+cadangan[[#This Row],[Profit Normal B]]+cadangan[[#This Row],[Profit Normal C]])</f>
        <v>700000</v>
      </c>
      <c r="AH114" s="73">
        <f>cadangan[[#This Row],[Profit Diskon A]]+cadangan[[#This Row],[Profit Diskon B]]+cadangan[[#This Row],[Profit Diskon C]]</f>
        <v>700000</v>
      </c>
      <c r="AI114" s="23" t="s">
        <v>290</v>
      </c>
      <c r="AJ114" s="37" t="str">
        <f>IFERROR(INDEX('Kode Diskon'!$D$3:$D$9,MATCH(cadangan[[#This Row],[Kode diskon]],'Kode Diskon'!$C$3:$C$9,0)),"-")</f>
        <v>-</v>
      </c>
      <c r="AK114" s="23" t="s">
        <v>290</v>
      </c>
      <c r="AL114" s="23" t="s">
        <v>14</v>
      </c>
      <c r="AM114" s="23" t="s">
        <v>75</v>
      </c>
      <c r="AN114" s="55">
        <v>45030</v>
      </c>
      <c r="AO114" s="53">
        <f>DAY(cadangan[[#This Row],[Tanggal terjual]])</f>
        <v>14</v>
      </c>
      <c r="AP114" s="21" t="str">
        <f>TEXT(cadangan[[#This Row],[Tanggal terjual]],"dddd")</f>
        <v>Friday</v>
      </c>
      <c r="AQ114" s="23" t="str" cm="1">
        <f t="array" ref="AQ1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14" s="61">
        <f>AVERAGE(cadangan[[#This Row],[Rating A]],cadangan[[#This Row],[Rating B]],cadangan[[#This Row],[Rating C]])</f>
        <v>2.5</v>
      </c>
    </row>
    <row r="115" spans="1:44" x14ac:dyDescent="0.2">
      <c r="A115" s="20">
        <v>114</v>
      </c>
      <c r="B115" s="21" t="str">
        <f>_xlfn.CONCAT("ORD-",INDEX(Helper!$B$2:$B$5,MATCH(cadangan[[#This Row],[Marketplace]],Helper!$A$2:$A$5,0)),TEXT(cadangan[[#This Row],[No]],"0000"),"-",TEXT(cadangan[[#This Row],[Tanggal terjual]],"dd/mm/yy"))</f>
        <v>ORD-TK0114-04/04/23</v>
      </c>
      <c r="C115" s="39" t="s">
        <v>64</v>
      </c>
      <c r="D115" s="39" t="str">
        <f>IFERROR(INDEX(Katalog!$A$3:$A$12,MATCH(cadangan[[#This Row],[ItemID A]],Katalog!$C$3:$C$12,0)),"-")</f>
        <v>Pakaian Unisex</v>
      </c>
      <c r="E115" s="39" t="str">
        <f>IFERROR(INDEX(Katalog!$B$3:$B$12,MATCH(cadangan[[#This Row],[ItemID A]],Katalog!$C$3:$C$12,0)),"-")</f>
        <v>Jaket Hoodie</v>
      </c>
      <c r="F115" s="50">
        <v>2</v>
      </c>
      <c r="G115" s="50">
        <v>3</v>
      </c>
      <c r="H115" s="73">
        <f>IFERROR(INDEX(Katalog!$D$3:$D$12,MATCH(cadangan[[#This Row],[ItemID A]],Katalog!$C$3:$C$12,0))*cadangan[[#This Row],[Qty A]],0)</f>
        <v>700000</v>
      </c>
      <c r="I115" s="73">
        <f>IFERROR(cadangan[[#This Row],[Harga Normal A]]-(cadangan[[#This Row],[Harga Normal A]]*cadangan[[#This Row],[Diskon]]),cadangan[[#This Row],[Harga Normal A]])</f>
        <v>630000</v>
      </c>
      <c r="J115" s="73">
        <f>INDEX(Katalog!$F$3:$F$12,MATCH(cadangan[[#This Row],[ItemID A]],Katalog!$C$3:$C$12,0))*cadangan[[#This Row],[Qty A]]</f>
        <v>260000</v>
      </c>
      <c r="K115" s="73">
        <f>IFERROR(cadangan[[#This Row],[Harga Diskon A]]-INDEX(Katalog!$E$3:$E$12,MATCH(cadangan[[#This Row],[ItemID A]],Katalog!$C$3:$C$12,0))*cadangan[[#This Row],[Qty A]],0)</f>
        <v>190000</v>
      </c>
      <c r="M115" s="39" t="str">
        <f>IFERROR(INDEX(Katalog!$A$3:$A$12,MATCH(cadangan[[#This Row],[ItemID B]],Katalog!$C$3:$C$12,0)),"-")</f>
        <v>-</v>
      </c>
      <c r="N115" s="39" t="str">
        <f>IFERROR(INDEX(Katalog!$B$3:$B$12,MATCH(cadangan[[#This Row],[ItemID B]],Katalog!$C$3:$C$12,0)),"-")</f>
        <v>-</v>
      </c>
      <c r="Q115" s="73">
        <f>IFERROR(INDEX(Katalog!$D$3:$D$12,MATCH(cadangan[[#This Row],[ItemID B]],Katalog!$C$3:$C$12,0))*cadangan[[#This Row],[Qty B]],0)</f>
        <v>0</v>
      </c>
      <c r="R115" s="73">
        <f>IFERROR(cadangan[[#This Row],[Harga Normal B]]-(cadangan[[#This Row],[Harga Normal B]]*cadangan[[#This Row],[Diskon]]),cadangan[[#This Row],[Harga Normal B]])</f>
        <v>0</v>
      </c>
      <c r="S115" s="73">
        <f>IFERROR(INDEX(Katalog!$F$3:$F$12,MATCH(cadangan[[#This Row],[ItemID B]],Katalog!$C$3:$C$12,0))*cadangan[[#This Row],[Qty B]],0)</f>
        <v>0</v>
      </c>
      <c r="T115" s="73">
        <f>IFERROR(cadangan[[#This Row],[Harga Diskon B]]-INDEX(Katalog!$E$3:$E$12,MATCH(cadangan[[#This Row],[ItemID B]],Katalog!$C$3:$C$12,0))*cadangan[[#This Row],[Qty B]],0)</f>
        <v>0</v>
      </c>
      <c r="V115" s="39" t="str">
        <f>IFERROR(INDEX(Katalog!$A$3:$A$12,MATCH(cadangan[[#This Row],[ItemID C]],Katalog!$C$3:$C$12,0)),"-")</f>
        <v>-</v>
      </c>
      <c r="W115" s="39" t="str">
        <f>IFERROR(INDEX(Katalog!$B$3:$B$12,MATCH(cadangan[[#This Row],[ItemID C]],Katalog!$C$3:$C$12,0)),"-")</f>
        <v>-</v>
      </c>
      <c r="Z115" s="73">
        <f>IFERROR(INDEX(Katalog!$D$3:$D$12,MATCH(cadangan[[#This Row],[ItemID C]],Katalog!$C$3:$C$12,0))*cadangan[[#This Row],[Qty C]],0)</f>
        <v>0</v>
      </c>
      <c r="AA115" s="73">
        <f>IFERROR(cadangan[[#This Row],[Harga Normal C]]-(cadangan[[#This Row],[Harga Normal C]]*cadangan[[#This Row],[Diskon]]),cadangan[[#This Row],[Harga Normal C]])</f>
        <v>0</v>
      </c>
      <c r="AB115" s="73">
        <f>IFERROR(INDEX(Katalog!$F$3:$F$12,MATCH(cadangan[[#This Row],[ItemID C]],Katalog!$C$3:$C$12,0))*cadangan[[#This Row],[Qty C]],0)</f>
        <v>0</v>
      </c>
      <c r="AC115" s="73">
        <f>IFERROR(cadangan[[#This Row],[Harga Diskon C]]-INDEX(Katalog!$E$3:$E$12,MATCH(cadangan[[#This Row],[ItemID C]],Katalog!$C$3:$C$12,0))*cadangan[[#This Row],[Qty C]],0)</f>
        <v>0</v>
      </c>
      <c r="AD115" s="53">
        <f>cadangan[[#This Row],[Qty A]]+cadangan[[#This Row],[Qty B]]+cadangan[[#This Row],[Qty C]]</f>
        <v>2</v>
      </c>
      <c r="AE115" s="73">
        <f>cadangan[[#This Row],[Harga Normal A]]+cadangan[[#This Row],[Harga Normal B]]+cadangan[[#This Row],[Harga Normal C]]</f>
        <v>700000</v>
      </c>
      <c r="AF115" s="73">
        <f>cadangan[[#This Row],[Harga Diskon A]]+cadangan[[#This Row],[Harga Diskon B]]+cadangan[[#This Row],[Harga Diskon C]]</f>
        <v>630000</v>
      </c>
      <c r="AG115" s="73">
        <f>(cadangan[[#This Row],[Profit Normal A]]+cadangan[[#This Row],[Profit Normal B]]+cadangan[[#This Row],[Profit Normal C]])</f>
        <v>260000</v>
      </c>
      <c r="AH115" s="73">
        <f>cadangan[[#This Row],[Profit Diskon A]]+cadangan[[#This Row],[Profit Diskon B]]+cadangan[[#This Row],[Profit Diskon C]]</f>
        <v>190000</v>
      </c>
      <c r="AI115" s="23" t="s">
        <v>30</v>
      </c>
      <c r="AJ115" s="37">
        <f>IFERROR(INDEX('Kode Diskon'!$D$3:$D$9,MATCH(cadangan[[#This Row],[Kode diskon]],'Kode Diskon'!$C$3:$C$9,0)),"-")</f>
        <v>0.1</v>
      </c>
      <c r="AK115" s="23" t="s">
        <v>29</v>
      </c>
      <c r="AL115" s="23" t="s">
        <v>10</v>
      </c>
      <c r="AM115" s="23" t="s">
        <v>76</v>
      </c>
      <c r="AN115" s="55">
        <v>45020</v>
      </c>
      <c r="AO115" s="53">
        <f>DAY(cadangan[[#This Row],[Tanggal terjual]])</f>
        <v>4</v>
      </c>
      <c r="AP115" s="21" t="str">
        <f>TEXT(cadangan[[#This Row],[Tanggal terjual]],"dddd")</f>
        <v>Tuesday</v>
      </c>
      <c r="AQ115" s="23" t="str" cm="1">
        <f t="array" ref="AQ1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5" s="61">
        <f>AVERAGE(cadangan[[#This Row],[Rating A]],cadangan[[#This Row],[Rating B]],cadangan[[#This Row],[Rating C]])</f>
        <v>3</v>
      </c>
    </row>
    <row r="116" spans="1:44" x14ac:dyDescent="0.2">
      <c r="A116" s="20">
        <v>115</v>
      </c>
      <c r="B116" s="21" t="str">
        <f>_xlfn.CONCAT("ORD-",INDEX(Helper!$B$2:$B$5,MATCH(cadangan[[#This Row],[Marketplace]],Helper!$A$2:$A$5,0)),TEXT(cadangan[[#This Row],[No]],"0000"),"-",TEXT(cadangan[[#This Row],[Tanggal terjual]],"dd/mm/yy"))</f>
        <v>ORD-TK0115-01/04/23</v>
      </c>
      <c r="C116" s="39" t="s">
        <v>62</v>
      </c>
      <c r="D116" s="39" t="str">
        <f>IFERROR(INDEX(Katalog!$A$3:$A$12,MATCH(cadangan[[#This Row],[ItemID A]],Katalog!$C$3:$C$12,0)),"-")</f>
        <v>Pakaian Pria</v>
      </c>
      <c r="E116" s="39" t="str">
        <f>IFERROR(INDEX(Katalog!$B$3:$B$12,MATCH(cadangan[[#This Row],[ItemID A]],Katalog!$C$3:$C$12,0)),"-")</f>
        <v>Celana Pendek</v>
      </c>
      <c r="F116" s="50">
        <v>2</v>
      </c>
      <c r="G116" s="50">
        <v>3</v>
      </c>
      <c r="H116" s="73">
        <f>IFERROR(INDEX(Katalog!$D$3:$D$12,MATCH(cadangan[[#This Row],[ItemID A]],Katalog!$C$3:$C$12,0))*cadangan[[#This Row],[Qty A]],0)</f>
        <v>360000</v>
      </c>
      <c r="I116" s="73">
        <f>IFERROR(cadangan[[#This Row],[Harga Normal A]]-(cadangan[[#This Row],[Harga Normal A]]*cadangan[[#This Row],[Diskon]]),cadangan[[#This Row],[Harga Normal A]])</f>
        <v>324000</v>
      </c>
      <c r="J116" s="73">
        <f>INDEX(Katalog!$F$3:$F$12,MATCH(cadangan[[#This Row],[ItemID A]],Katalog!$C$3:$C$12,0))*cadangan[[#This Row],[Qty A]]</f>
        <v>140000</v>
      </c>
      <c r="K116" s="73">
        <f>IFERROR(cadangan[[#This Row],[Harga Diskon A]]-INDEX(Katalog!$E$3:$E$12,MATCH(cadangan[[#This Row],[ItemID A]],Katalog!$C$3:$C$12,0))*cadangan[[#This Row],[Qty A]],0)</f>
        <v>104000</v>
      </c>
      <c r="L116" s="39" t="s">
        <v>60</v>
      </c>
      <c r="M116" s="39" t="str">
        <f>IFERROR(INDEX(Katalog!$A$3:$A$12,MATCH(cadangan[[#This Row],[ItemID B]],Katalog!$C$3:$C$12,0)),"-")</f>
        <v>Pakaian Wanita</v>
      </c>
      <c r="N116" s="39" t="str">
        <f>IFERROR(INDEX(Katalog!$B$3:$B$12,MATCH(cadangan[[#This Row],[ItemID B]],Katalog!$C$3:$C$12,0)),"-")</f>
        <v>Kaftan</v>
      </c>
      <c r="O116" s="50">
        <v>1</v>
      </c>
      <c r="P116" s="50">
        <v>4</v>
      </c>
      <c r="Q116" s="73">
        <f>IFERROR(INDEX(Katalog!$D$3:$D$12,MATCH(cadangan[[#This Row],[ItemID B]],Katalog!$C$3:$C$12,0))*cadangan[[#This Row],[Qty B]],0)</f>
        <v>250000</v>
      </c>
      <c r="R116" s="73">
        <f>IFERROR(cadangan[[#This Row],[Harga Normal B]]-(cadangan[[#This Row],[Harga Normal B]]*cadangan[[#This Row],[Diskon]]),cadangan[[#This Row],[Harga Normal B]])</f>
        <v>225000</v>
      </c>
      <c r="S116" s="73">
        <f>IFERROR(INDEX(Katalog!$F$3:$F$12,MATCH(cadangan[[#This Row],[ItemID B]],Katalog!$C$3:$C$12,0))*cadangan[[#This Row],[Qty B]],0)</f>
        <v>100000</v>
      </c>
      <c r="T116" s="73">
        <f>IFERROR(cadangan[[#This Row],[Harga Diskon B]]-INDEX(Katalog!$E$3:$E$12,MATCH(cadangan[[#This Row],[ItemID B]],Katalog!$C$3:$C$12,0))*cadangan[[#This Row],[Qty B]],0)</f>
        <v>75000</v>
      </c>
      <c r="V116" s="39" t="str">
        <f>IFERROR(INDEX(Katalog!$A$3:$A$12,MATCH(cadangan[[#This Row],[ItemID C]],Katalog!$C$3:$C$12,0)),"-")</f>
        <v>-</v>
      </c>
      <c r="W116" s="39" t="str">
        <f>IFERROR(INDEX(Katalog!$B$3:$B$12,MATCH(cadangan[[#This Row],[ItemID C]],Katalog!$C$3:$C$12,0)),"-")</f>
        <v>-</v>
      </c>
      <c r="Z116" s="73">
        <f>IFERROR(INDEX(Katalog!$D$3:$D$12,MATCH(cadangan[[#This Row],[ItemID C]],Katalog!$C$3:$C$12,0))*cadangan[[#This Row],[Qty C]],0)</f>
        <v>0</v>
      </c>
      <c r="AA116" s="73">
        <f>IFERROR(cadangan[[#This Row],[Harga Normal C]]-(cadangan[[#This Row],[Harga Normal C]]*cadangan[[#This Row],[Diskon]]),cadangan[[#This Row],[Harga Normal C]])</f>
        <v>0</v>
      </c>
      <c r="AB116" s="73">
        <f>IFERROR(INDEX(Katalog!$F$3:$F$12,MATCH(cadangan[[#This Row],[ItemID C]],Katalog!$C$3:$C$12,0))*cadangan[[#This Row],[Qty C]],0)</f>
        <v>0</v>
      </c>
      <c r="AC116" s="73">
        <f>IFERROR(cadangan[[#This Row],[Harga Diskon C]]-INDEX(Katalog!$E$3:$E$12,MATCH(cadangan[[#This Row],[ItemID C]],Katalog!$C$3:$C$12,0))*cadangan[[#This Row],[Qty C]],0)</f>
        <v>0</v>
      </c>
      <c r="AD116" s="53">
        <f>cadangan[[#This Row],[Qty A]]+cadangan[[#This Row],[Qty B]]+cadangan[[#This Row],[Qty C]]</f>
        <v>3</v>
      </c>
      <c r="AE116" s="73">
        <f>cadangan[[#This Row],[Harga Normal A]]+cadangan[[#This Row],[Harga Normal B]]+cadangan[[#This Row],[Harga Normal C]]</f>
        <v>610000</v>
      </c>
      <c r="AF116" s="73">
        <f>cadangan[[#This Row],[Harga Diskon A]]+cadangan[[#This Row],[Harga Diskon B]]+cadangan[[#This Row],[Harga Diskon C]]</f>
        <v>549000</v>
      </c>
      <c r="AG116" s="73">
        <f>(cadangan[[#This Row],[Profit Normal A]]+cadangan[[#This Row],[Profit Normal B]]+cadangan[[#This Row],[Profit Normal C]])</f>
        <v>240000</v>
      </c>
      <c r="AH116" s="73">
        <f>cadangan[[#This Row],[Profit Diskon A]]+cadangan[[#This Row],[Profit Diskon B]]+cadangan[[#This Row],[Profit Diskon C]]</f>
        <v>179000</v>
      </c>
      <c r="AI116" s="23" t="s">
        <v>30</v>
      </c>
      <c r="AJ116" s="37">
        <f>IFERROR(INDEX('Kode Diskon'!$D$3:$D$9,MATCH(cadangan[[#This Row],[Kode diskon]],'Kode Diskon'!$C$3:$C$9,0)),"-")</f>
        <v>0.1</v>
      </c>
      <c r="AK116" s="23" t="s">
        <v>29</v>
      </c>
      <c r="AL116" s="23" t="s">
        <v>10</v>
      </c>
      <c r="AM116" s="23" t="s">
        <v>75</v>
      </c>
      <c r="AN116" s="55">
        <v>45017</v>
      </c>
      <c r="AO116" s="53">
        <f>DAY(cadangan[[#This Row],[Tanggal terjual]])</f>
        <v>1</v>
      </c>
      <c r="AP116" s="21" t="str">
        <f>TEXT(cadangan[[#This Row],[Tanggal terjual]],"dddd")</f>
        <v>Saturday</v>
      </c>
      <c r="AQ116" s="23" t="str" cm="1">
        <f t="array" ref="AQ1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6" s="61">
        <f>AVERAGE(cadangan[[#This Row],[Rating A]],cadangan[[#This Row],[Rating B]],cadangan[[#This Row],[Rating C]])</f>
        <v>3.5</v>
      </c>
    </row>
    <row r="117" spans="1:44" x14ac:dyDescent="0.2">
      <c r="A117" s="20">
        <v>116</v>
      </c>
      <c r="B117" s="21" t="str">
        <f>_xlfn.CONCAT("ORD-",INDEX(Helper!$B$2:$B$5,MATCH(cadangan[[#This Row],[Marketplace]],Helper!$A$2:$A$5,0)),TEXT(cadangan[[#This Row],[No]],"0000"),"-",TEXT(cadangan[[#This Row],[Tanggal terjual]],"dd/mm/yy"))</f>
        <v>ORD-BB0116-01/04/23</v>
      </c>
      <c r="C117" s="39" t="s">
        <v>60</v>
      </c>
      <c r="D117" s="39" t="str">
        <f>IFERROR(INDEX(Katalog!$A$3:$A$12,MATCH(cadangan[[#This Row],[ItemID A]],Katalog!$C$3:$C$12,0)),"-")</f>
        <v>Pakaian Wanita</v>
      </c>
      <c r="E117" s="39" t="str">
        <f>IFERROR(INDEX(Katalog!$B$3:$B$12,MATCH(cadangan[[#This Row],[ItemID A]],Katalog!$C$3:$C$12,0)),"-")</f>
        <v>Kaftan</v>
      </c>
      <c r="F117" s="50">
        <v>1</v>
      </c>
      <c r="G117" s="50">
        <v>1</v>
      </c>
      <c r="H117" s="73">
        <f>IFERROR(INDEX(Katalog!$D$3:$D$12,MATCH(cadangan[[#This Row],[ItemID A]],Katalog!$C$3:$C$12,0))*cadangan[[#This Row],[Qty A]],0)</f>
        <v>250000</v>
      </c>
      <c r="I117" s="73">
        <f>IFERROR(cadangan[[#This Row],[Harga Normal A]]-(cadangan[[#This Row],[Harga Normal A]]*cadangan[[#This Row],[Diskon]]),cadangan[[#This Row],[Harga Normal A]])</f>
        <v>212500</v>
      </c>
      <c r="J117" s="73">
        <f>INDEX(Katalog!$F$3:$F$12,MATCH(cadangan[[#This Row],[ItemID A]],Katalog!$C$3:$C$12,0))*cadangan[[#This Row],[Qty A]]</f>
        <v>100000</v>
      </c>
      <c r="K117" s="73">
        <f>IFERROR(cadangan[[#This Row],[Harga Diskon A]]-INDEX(Katalog!$E$3:$E$12,MATCH(cadangan[[#This Row],[ItemID A]],Katalog!$C$3:$C$12,0))*cadangan[[#This Row],[Qty A]],0)</f>
        <v>62500</v>
      </c>
      <c r="M117" s="39" t="str">
        <f>IFERROR(INDEX(Katalog!$A$3:$A$12,MATCH(cadangan[[#This Row],[ItemID B]],Katalog!$C$3:$C$12,0)),"-")</f>
        <v>-</v>
      </c>
      <c r="N117" s="39" t="str">
        <f>IFERROR(INDEX(Katalog!$B$3:$B$12,MATCH(cadangan[[#This Row],[ItemID B]],Katalog!$C$3:$C$12,0)),"-")</f>
        <v>-</v>
      </c>
      <c r="Q117" s="73">
        <f>IFERROR(INDEX(Katalog!$D$3:$D$12,MATCH(cadangan[[#This Row],[ItemID B]],Katalog!$C$3:$C$12,0))*cadangan[[#This Row],[Qty B]],0)</f>
        <v>0</v>
      </c>
      <c r="R117" s="73">
        <f>IFERROR(cadangan[[#This Row],[Harga Normal B]]-(cadangan[[#This Row],[Harga Normal B]]*cadangan[[#This Row],[Diskon]]),cadangan[[#This Row],[Harga Normal B]])</f>
        <v>0</v>
      </c>
      <c r="S117" s="73">
        <f>IFERROR(INDEX(Katalog!$F$3:$F$12,MATCH(cadangan[[#This Row],[ItemID B]],Katalog!$C$3:$C$12,0))*cadangan[[#This Row],[Qty B]],0)</f>
        <v>0</v>
      </c>
      <c r="T117" s="73">
        <f>IFERROR(cadangan[[#This Row],[Harga Diskon B]]-INDEX(Katalog!$E$3:$E$12,MATCH(cadangan[[#This Row],[ItemID B]],Katalog!$C$3:$C$12,0))*cadangan[[#This Row],[Qty B]],0)</f>
        <v>0</v>
      </c>
      <c r="V117" s="39" t="str">
        <f>IFERROR(INDEX(Katalog!$A$3:$A$12,MATCH(cadangan[[#This Row],[ItemID C]],Katalog!$C$3:$C$12,0)),"-")</f>
        <v>-</v>
      </c>
      <c r="W117" s="39" t="str">
        <f>IFERROR(INDEX(Katalog!$B$3:$B$12,MATCH(cadangan[[#This Row],[ItemID C]],Katalog!$C$3:$C$12,0)),"-")</f>
        <v>-</v>
      </c>
      <c r="Z117" s="73">
        <f>IFERROR(INDEX(Katalog!$D$3:$D$12,MATCH(cadangan[[#This Row],[ItemID C]],Katalog!$C$3:$C$12,0))*cadangan[[#This Row],[Qty C]],0)</f>
        <v>0</v>
      </c>
      <c r="AA117" s="73">
        <f>IFERROR(cadangan[[#This Row],[Harga Normal C]]-(cadangan[[#This Row],[Harga Normal C]]*cadangan[[#This Row],[Diskon]]),cadangan[[#This Row],[Harga Normal C]])</f>
        <v>0</v>
      </c>
      <c r="AB117" s="73">
        <f>IFERROR(INDEX(Katalog!$F$3:$F$12,MATCH(cadangan[[#This Row],[ItemID C]],Katalog!$C$3:$C$12,0))*cadangan[[#This Row],[Qty C]],0)</f>
        <v>0</v>
      </c>
      <c r="AC117" s="73">
        <f>IFERROR(cadangan[[#This Row],[Harga Diskon C]]-INDEX(Katalog!$E$3:$E$12,MATCH(cadangan[[#This Row],[ItemID C]],Katalog!$C$3:$C$12,0))*cadangan[[#This Row],[Qty C]],0)</f>
        <v>0</v>
      </c>
      <c r="AD117" s="53">
        <f>cadangan[[#This Row],[Qty A]]+cadangan[[#This Row],[Qty B]]+cadangan[[#This Row],[Qty C]]</f>
        <v>1</v>
      </c>
      <c r="AE117" s="73">
        <f>cadangan[[#This Row],[Harga Normal A]]+cadangan[[#This Row],[Harga Normal B]]+cadangan[[#This Row],[Harga Normal C]]</f>
        <v>250000</v>
      </c>
      <c r="AF117" s="73">
        <f>cadangan[[#This Row],[Harga Diskon A]]+cadangan[[#This Row],[Harga Diskon B]]+cadangan[[#This Row],[Harga Diskon C]]</f>
        <v>212500</v>
      </c>
      <c r="AG117" s="73">
        <f>(cadangan[[#This Row],[Profit Normal A]]+cadangan[[#This Row],[Profit Normal B]]+cadangan[[#This Row],[Profit Normal C]])</f>
        <v>100000</v>
      </c>
      <c r="AH117" s="73">
        <f>cadangan[[#This Row],[Profit Diskon A]]+cadangan[[#This Row],[Profit Diskon B]]+cadangan[[#This Row],[Profit Diskon C]]</f>
        <v>62500</v>
      </c>
      <c r="AI117" s="23" t="s">
        <v>28</v>
      </c>
      <c r="AJ117" s="37">
        <f>IFERROR(INDEX('Kode Diskon'!$D$3:$D$9,MATCH(cadangan[[#This Row],[Kode diskon]],'Kode Diskon'!$C$3:$C$9,0)),"-")</f>
        <v>0.15</v>
      </c>
      <c r="AK117" s="23" t="s">
        <v>29</v>
      </c>
      <c r="AL117" s="23" t="s">
        <v>14</v>
      </c>
      <c r="AM117" s="23" t="s">
        <v>77</v>
      </c>
      <c r="AN117" s="55">
        <v>45017</v>
      </c>
      <c r="AO117" s="53">
        <f>DAY(cadangan[[#This Row],[Tanggal terjual]])</f>
        <v>1</v>
      </c>
      <c r="AP117" s="21" t="str">
        <f>TEXT(cadangan[[#This Row],[Tanggal terjual]],"dddd")</f>
        <v>Saturday</v>
      </c>
      <c r="AQ117" s="23" t="str" cm="1">
        <f t="array" ref="AQ1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7" s="61">
        <f>AVERAGE(cadangan[[#This Row],[Rating A]],cadangan[[#This Row],[Rating B]],cadangan[[#This Row],[Rating C]])</f>
        <v>1</v>
      </c>
    </row>
    <row r="118" spans="1:44" x14ac:dyDescent="0.2">
      <c r="A118" s="20">
        <v>117</v>
      </c>
      <c r="B118" s="21" t="str">
        <f>_xlfn.CONCAT("ORD-",INDEX(Helper!$B$2:$B$5,MATCH(cadangan[[#This Row],[Marketplace]],Helper!$A$2:$A$5,0)),TEXT(cadangan[[#This Row],[No]],"0000"),"-",TEXT(cadangan[[#This Row],[Tanggal terjual]],"dd/mm/yy"))</f>
        <v>ORD-TK0117-02/04/23</v>
      </c>
      <c r="C118" s="39" t="s">
        <v>67</v>
      </c>
      <c r="D118" s="39" t="str">
        <f>IFERROR(INDEX(Katalog!$A$3:$A$12,MATCH(cadangan[[#This Row],[ItemID A]],Katalog!$C$3:$C$12,0)),"-")</f>
        <v>Sepatu Wanita</v>
      </c>
      <c r="E118" s="39" t="str">
        <f>IFERROR(INDEX(Katalog!$B$3:$B$12,MATCH(cadangan[[#This Row],[ItemID A]],Katalog!$C$3:$C$12,0)),"-")</f>
        <v>Flat Shoes</v>
      </c>
      <c r="F118" s="50">
        <v>4</v>
      </c>
      <c r="G118" s="50">
        <v>4</v>
      </c>
      <c r="H118" s="73">
        <f>IFERROR(INDEX(Katalog!$D$3:$D$12,MATCH(cadangan[[#This Row],[ItemID A]],Katalog!$C$3:$C$12,0))*cadangan[[#This Row],[Qty A]],0)</f>
        <v>1000000</v>
      </c>
      <c r="I118" s="73">
        <f>IFERROR(cadangan[[#This Row],[Harga Normal A]]-(cadangan[[#This Row],[Harga Normal A]]*cadangan[[#This Row],[Diskon]]),cadangan[[#This Row],[Harga Normal A]])</f>
        <v>900000</v>
      </c>
      <c r="J118" s="73">
        <f>INDEX(Katalog!$F$3:$F$12,MATCH(cadangan[[#This Row],[ItemID A]],Katalog!$C$3:$C$12,0))*cadangan[[#This Row],[Qty A]]</f>
        <v>400000</v>
      </c>
      <c r="K118" s="73">
        <f>IFERROR(cadangan[[#This Row],[Harga Diskon A]]-INDEX(Katalog!$E$3:$E$12,MATCH(cadangan[[#This Row],[ItemID A]],Katalog!$C$3:$C$12,0))*cadangan[[#This Row],[Qty A]],0)</f>
        <v>300000</v>
      </c>
      <c r="M118" s="39" t="str">
        <f>IFERROR(INDEX(Katalog!$A$3:$A$12,MATCH(cadangan[[#This Row],[ItemID B]],Katalog!$C$3:$C$12,0)),"-")</f>
        <v>-</v>
      </c>
      <c r="N118" s="39" t="str">
        <f>IFERROR(INDEX(Katalog!$B$3:$B$12,MATCH(cadangan[[#This Row],[ItemID B]],Katalog!$C$3:$C$12,0)),"-")</f>
        <v>-</v>
      </c>
      <c r="Q118" s="73">
        <f>IFERROR(INDEX(Katalog!$D$3:$D$12,MATCH(cadangan[[#This Row],[ItemID B]],Katalog!$C$3:$C$12,0))*cadangan[[#This Row],[Qty B]],0)</f>
        <v>0</v>
      </c>
      <c r="R118" s="73">
        <f>IFERROR(cadangan[[#This Row],[Harga Normal B]]-(cadangan[[#This Row],[Harga Normal B]]*cadangan[[#This Row],[Diskon]]),cadangan[[#This Row],[Harga Normal B]])</f>
        <v>0</v>
      </c>
      <c r="S118" s="73">
        <f>IFERROR(INDEX(Katalog!$F$3:$F$12,MATCH(cadangan[[#This Row],[ItemID B]],Katalog!$C$3:$C$12,0))*cadangan[[#This Row],[Qty B]],0)</f>
        <v>0</v>
      </c>
      <c r="T118" s="73">
        <f>IFERROR(cadangan[[#This Row],[Harga Diskon B]]-INDEX(Katalog!$E$3:$E$12,MATCH(cadangan[[#This Row],[ItemID B]],Katalog!$C$3:$C$12,0))*cadangan[[#This Row],[Qty B]],0)</f>
        <v>0</v>
      </c>
      <c r="V118" s="39" t="str">
        <f>IFERROR(INDEX(Katalog!$A$3:$A$12,MATCH(cadangan[[#This Row],[ItemID C]],Katalog!$C$3:$C$12,0)),"-")</f>
        <v>-</v>
      </c>
      <c r="W118" s="39" t="str">
        <f>IFERROR(INDEX(Katalog!$B$3:$B$12,MATCH(cadangan[[#This Row],[ItemID C]],Katalog!$C$3:$C$12,0)),"-")</f>
        <v>-</v>
      </c>
      <c r="Z118" s="73">
        <f>IFERROR(INDEX(Katalog!$D$3:$D$12,MATCH(cadangan[[#This Row],[ItemID C]],Katalog!$C$3:$C$12,0))*cadangan[[#This Row],[Qty C]],0)</f>
        <v>0</v>
      </c>
      <c r="AA118" s="73">
        <f>IFERROR(cadangan[[#This Row],[Harga Normal C]]-(cadangan[[#This Row],[Harga Normal C]]*cadangan[[#This Row],[Diskon]]),cadangan[[#This Row],[Harga Normal C]])</f>
        <v>0</v>
      </c>
      <c r="AB118" s="73">
        <f>IFERROR(INDEX(Katalog!$F$3:$F$12,MATCH(cadangan[[#This Row],[ItemID C]],Katalog!$C$3:$C$12,0))*cadangan[[#This Row],[Qty C]],0)</f>
        <v>0</v>
      </c>
      <c r="AC118" s="73">
        <f>IFERROR(cadangan[[#This Row],[Harga Diskon C]]-INDEX(Katalog!$E$3:$E$12,MATCH(cadangan[[#This Row],[ItemID C]],Katalog!$C$3:$C$12,0))*cadangan[[#This Row],[Qty C]],0)</f>
        <v>0</v>
      </c>
      <c r="AD118" s="53">
        <f>cadangan[[#This Row],[Qty A]]+cadangan[[#This Row],[Qty B]]+cadangan[[#This Row],[Qty C]]</f>
        <v>4</v>
      </c>
      <c r="AE118" s="73">
        <f>cadangan[[#This Row],[Harga Normal A]]+cadangan[[#This Row],[Harga Normal B]]+cadangan[[#This Row],[Harga Normal C]]</f>
        <v>1000000</v>
      </c>
      <c r="AF118" s="73">
        <f>cadangan[[#This Row],[Harga Diskon A]]+cadangan[[#This Row],[Harga Diskon B]]+cadangan[[#This Row],[Harga Diskon C]]</f>
        <v>900000</v>
      </c>
      <c r="AG118" s="73">
        <f>(cadangan[[#This Row],[Profit Normal A]]+cadangan[[#This Row],[Profit Normal B]]+cadangan[[#This Row],[Profit Normal C]])</f>
        <v>400000</v>
      </c>
      <c r="AH118" s="73">
        <f>cadangan[[#This Row],[Profit Diskon A]]+cadangan[[#This Row],[Profit Diskon B]]+cadangan[[#This Row],[Profit Diskon C]]</f>
        <v>300000</v>
      </c>
      <c r="AI118" s="23" t="s">
        <v>30</v>
      </c>
      <c r="AJ118" s="37">
        <f>IFERROR(INDEX('Kode Diskon'!$D$3:$D$9,MATCH(cadangan[[#This Row],[Kode diskon]],'Kode Diskon'!$C$3:$C$9,0)),"-")</f>
        <v>0.1</v>
      </c>
      <c r="AK118" s="23" t="s">
        <v>29</v>
      </c>
      <c r="AL118" s="23" t="s">
        <v>10</v>
      </c>
      <c r="AM118" s="23" t="s">
        <v>80</v>
      </c>
      <c r="AN118" s="55">
        <v>45018</v>
      </c>
      <c r="AO118" s="53">
        <f>DAY(cadangan[[#This Row],[Tanggal terjual]])</f>
        <v>2</v>
      </c>
      <c r="AP118" s="21" t="str">
        <f>TEXT(cadangan[[#This Row],[Tanggal terjual]],"dddd")</f>
        <v>Sunday</v>
      </c>
      <c r="AQ118" s="23" t="str" cm="1">
        <f t="array" ref="AQ1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18" s="61">
        <f>AVERAGE(cadangan[[#This Row],[Rating A]],cadangan[[#This Row],[Rating B]],cadangan[[#This Row],[Rating C]])</f>
        <v>4</v>
      </c>
    </row>
    <row r="119" spans="1:44" x14ac:dyDescent="0.2">
      <c r="A119" s="20">
        <v>118</v>
      </c>
      <c r="B119" s="21" t="str">
        <f>_xlfn.CONCAT("ORD-",INDEX(Helper!$B$2:$B$5,MATCH(cadangan[[#This Row],[Marketplace]],Helper!$A$2:$A$5,0)),TEXT(cadangan[[#This Row],[No]],"0000"),"-",TEXT(cadangan[[#This Row],[Tanggal terjual]],"dd/mm/yy"))</f>
        <v>ORD-TK0118-23/04/23</v>
      </c>
      <c r="C119" s="39" t="s">
        <v>67</v>
      </c>
      <c r="D119" s="39" t="str">
        <f>IFERROR(INDEX(Katalog!$A$3:$A$12,MATCH(cadangan[[#This Row],[ItemID A]],Katalog!$C$3:$C$12,0)),"-")</f>
        <v>Sepatu Wanita</v>
      </c>
      <c r="E119" s="39" t="str">
        <f>IFERROR(INDEX(Katalog!$B$3:$B$12,MATCH(cadangan[[#This Row],[ItemID A]],Katalog!$C$3:$C$12,0)),"-")</f>
        <v>Flat Shoes</v>
      </c>
      <c r="F119" s="50">
        <v>1</v>
      </c>
      <c r="G119" s="50">
        <v>5</v>
      </c>
      <c r="H119" s="73">
        <f>IFERROR(INDEX(Katalog!$D$3:$D$12,MATCH(cadangan[[#This Row],[ItemID A]],Katalog!$C$3:$C$12,0))*cadangan[[#This Row],[Qty A]],0)</f>
        <v>250000</v>
      </c>
      <c r="I119" s="73">
        <f>IFERROR(cadangan[[#This Row],[Harga Normal A]]-(cadangan[[#This Row],[Harga Normal A]]*cadangan[[#This Row],[Diskon]]),cadangan[[#This Row],[Harga Normal A]])</f>
        <v>225000</v>
      </c>
      <c r="J119" s="73">
        <f>INDEX(Katalog!$F$3:$F$12,MATCH(cadangan[[#This Row],[ItemID A]],Katalog!$C$3:$C$12,0))*cadangan[[#This Row],[Qty A]]</f>
        <v>100000</v>
      </c>
      <c r="K119" s="73">
        <f>IFERROR(cadangan[[#This Row],[Harga Diskon A]]-INDEX(Katalog!$E$3:$E$12,MATCH(cadangan[[#This Row],[ItemID A]],Katalog!$C$3:$C$12,0))*cadangan[[#This Row],[Qty A]],0)</f>
        <v>75000</v>
      </c>
      <c r="L119" s="39" t="s">
        <v>60</v>
      </c>
      <c r="M119" s="39" t="str">
        <f>IFERROR(INDEX(Katalog!$A$3:$A$12,MATCH(cadangan[[#This Row],[ItemID B]],Katalog!$C$3:$C$12,0)),"-")</f>
        <v>Pakaian Wanita</v>
      </c>
      <c r="N119" s="39" t="str">
        <f>IFERROR(INDEX(Katalog!$B$3:$B$12,MATCH(cadangan[[#This Row],[ItemID B]],Katalog!$C$3:$C$12,0)),"-")</f>
        <v>Kaftan</v>
      </c>
      <c r="O119" s="50">
        <v>1</v>
      </c>
      <c r="P119" s="50">
        <v>2</v>
      </c>
      <c r="Q119" s="73">
        <f>IFERROR(INDEX(Katalog!$D$3:$D$12,MATCH(cadangan[[#This Row],[ItemID B]],Katalog!$C$3:$C$12,0))*cadangan[[#This Row],[Qty B]],0)</f>
        <v>250000</v>
      </c>
      <c r="R119" s="73">
        <f>IFERROR(cadangan[[#This Row],[Harga Normal B]]-(cadangan[[#This Row],[Harga Normal B]]*cadangan[[#This Row],[Diskon]]),cadangan[[#This Row],[Harga Normal B]])</f>
        <v>225000</v>
      </c>
      <c r="S119" s="73">
        <f>IFERROR(INDEX(Katalog!$F$3:$F$12,MATCH(cadangan[[#This Row],[ItemID B]],Katalog!$C$3:$C$12,0))*cadangan[[#This Row],[Qty B]],0)</f>
        <v>100000</v>
      </c>
      <c r="T119" s="73">
        <f>IFERROR(cadangan[[#This Row],[Harga Diskon B]]-INDEX(Katalog!$E$3:$E$12,MATCH(cadangan[[#This Row],[ItemID B]],Katalog!$C$3:$C$12,0))*cadangan[[#This Row],[Qty B]],0)</f>
        <v>75000</v>
      </c>
      <c r="V119" s="39" t="str">
        <f>IFERROR(INDEX(Katalog!$A$3:$A$12,MATCH(cadangan[[#This Row],[ItemID C]],Katalog!$C$3:$C$12,0)),"-")</f>
        <v>-</v>
      </c>
      <c r="W119" s="39" t="str">
        <f>IFERROR(INDEX(Katalog!$B$3:$B$12,MATCH(cadangan[[#This Row],[ItemID C]],Katalog!$C$3:$C$12,0)),"-")</f>
        <v>-</v>
      </c>
      <c r="Z119" s="73">
        <f>IFERROR(INDEX(Katalog!$D$3:$D$12,MATCH(cadangan[[#This Row],[ItemID C]],Katalog!$C$3:$C$12,0))*cadangan[[#This Row],[Qty C]],0)</f>
        <v>0</v>
      </c>
      <c r="AA119" s="73">
        <f>IFERROR(cadangan[[#This Row],[Harga Normal C]]-(cadangan[[#This Row],[Harga Normal C]]*cadangan[[#This Row],[Diskon]]),cadangan[[#This Row],[Harga Normal C]])</f>
        <v>0</v>
      </c>
      <c r="AB119" s="73">
        <f>IFERROR(INDEX(Katalog!$F$3:$F$12,MATCH(cadangan[[#This Row],[ItemID C]],Katalog!$C$3:$C$12,0))*cadangan[[#This Row],[Qty C]],0)</f>
        <v>0</v>
      </c>
      <c r="AC119" s="73">
        <f>IFERROR(cadangan[[#This Row],[Harga Diskon C]]-INDEX(Katalog!$E$3:$E$12,MATCH(cadangan[[#This Row],[ItemID C]],Katalog!$C$3:$C$12,0))*cadangan[[#This Row],[Qty C]],0)</f>
        <v>0</v>
      </c>
      <c r="AD119" s="53">
        <f>cadangan[[#This Row],[Qty A]]+cadangan[[#This Row],[Qty B]]+cadangan[[#This Row],[Qty C]]</f>
        <v>2</v>
      </c>
      <c r="AE119" s="73">
        <f>cadangan[[#This Row],[Harga Normal A]]+cadangan[[#This Row],[Harga Normal B]]+cadangan[[#This Row],[Harga Normal C]]</f>
        <v>500000</v>
      </c>
      <c r="AF119" s="73">
        <f>cadangan[[#This Row],[Harga Diskon A]]+cadangan[[#This Row],[Harga Diskon B]]+cadangan[[#This Row],[Harga Diskon C]]</f>
        <v>450000</v>
      </c>
      <c r="AG119" s="73">
        <f>(cadangan[[#This Row],[Profit Normal A]]+cadangan[[#This Row],[Profit Normal B]]+cadangan[[#This Row],[Profit Normal C]])</f>
        <v>200000</v>
      </c>
      <c r="AH119" s="73">
        <f>cadangan[[#This Row],[Profit Diskon A]]+cadangan[[#This Row],[Profit Diskon B]]+cadangan[[#This Row],[Profit Diskon C]]</f>
        <v>150000</v>
      </c>
      <c r="AI119" s="23" t="s">
        <v>31</v>
      </c>
      <c r="AJ119" s="37">
        <f>IFERROR(INDEX('Kode Diskon'!$D$3:$D$9,MATCH(cadangan[[#This Row],[Kode diskon]],'Kode Diskon'!$C$3:$C$9,0)),"-")</f>
        <v>0.1</v>
      </c>
      <c r="AK119" s="23" t="s">
        <v>9</v>
      </c>
      <c r="AL119" s="23" t="s">
        <v>10</v>
      </c>
      <c r="AM119" s="23" t="s">
        <v>79</v>
      </c>
      <c r="AN119" s="55">
        <v>45039</v>
      </c>
      <c r="AO119" s="53">
        <f>DAY(cadangan[[#This Row],[Tanggal terjual]])</f>
        <v>23</v>
      </c>
      <c r="AP119" s="21" t="str">
        <f>TEXT(cadangan[[#This Row],[Tanggal terjual]],"dddd")</f>
        <v>Sunday</v>
      </c>
      <c r="AQ119" s="23" t="str" cm="1">
        <f t="array" ref="AQ1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19" s="61">
        <f>AVERAGE(cadangan[[#This Row],[Rating A]],cadangan[[#This Row],[Rating B]],cadangan[[#This Row],[Rating C]])</f>
        <v>3.5</v>
      </c>
    </row>
    <row r="120" spans="1:44" x14ac:dyDescent="0.2">
      <c r="A120" s="20">
        <v>119</v>
      </c>
      <c r="B120" s="21" t="str">
        <f>_xlfn.CONCAT("ORD-",INDEX(Helper!$B$2:$B$5,MATCH(cadangan[[#This Row],[Marketplace]],Helper!$A$2:$A$5,0)),TEXT(cadangan[[#This Row],[No]],"0000"),"-",TEXT(cadangan[[#This Row],[Tanggal terjual]],"dd/mm/yy"))</f>
        <v>ORD-SP0119-02/04/23</v>
      </c>
      <c r="C120" s="39" t="s">
        <v>58</v>
      </c>
      <c r="D120" s="39" t="str">
        <f>IFERROR(INDEX(Katalog!$A$3:$A$12,MATCH(cadangan[[#This Row],[ItemID A]],Katalog!$C$3:$C$12,0)),"-")</f>
        <v>Pakaian Wanita</v>
      </c>
      <c r="E120" s="39" t="str">
        <f>IFERROR(INDEX(Katalog!$B$3:$B$12,MATCH(cadangan[[#This Row],[ItemID A]],Katalog!$C$3:$C$12,0)),"-")</f>
        <v>Dress</v>
      </c>
      <c r="F120" s="50">
        <v>5</v>
      </c>
      <c r="G120" s="50">
        <v>4</v>
      </c>
      <c r="H120" s="73">
        <f>IFERROR(INDEX(Katalog!$D$3:$D$12,MATCH(cadangan[[#This Row],[ItemID A]],Katalog!$C$3:$C$12,0))*cadangan[[#This Row],[Qty A]],0)</f>
        <v>1500000</v>
      </c>
      <c r="I120" s="73">
        <f>IFERROR(cadangan[[#This Row],[Harga Normal A]]-(cadangan[[#This Row],[Harga Normal A]]*cadangan[[#This Row],[Diskon]]),cadangan[[#This Row],[Harga Normal A]])</f>
        <v>1275000</v>
      </c>
      <c r="J120" s="73">
        <f>INDEX(Katalog!$F$3:$F$12,MATCH(cadangan[[#This Row],[ItemID A]],Katalog!$C$3:$C$12,0))*cadangan[[#This Row],[Qty A]]</f>
        <v>500000</v>
      </c>
      <c r="K120" s="73">
        <f>IFERROR(cadangan[[#This Row],[Harga Diskon A]]-INDEX(Katalog!$E$3:$E$12,MATCH(cadangan[[#This Row],[ItemID A]],Katalog!$C$3:$C$12,0))*cadangan[[#This Row],[Qty A]],0)</f>
        <v>275000</v>
      </c>
      <c r="M120" s="39" t="str">
        <f>IFERROR(INDEX(Katalog!$A$3:$A$12,MATCH(cadangan[[#This Row],[ItemID B]],Katalog!$C$3:$C$12,0)),"-")</f>
        <v>-</v>
      </c>
      <c r="N120" s="39" t="str">
        <f>IFERROR(INDEX(Katalog!$B$3:$B$12,MATCH(cadangan[[#This Row],[ItemID B]],Katalog!$C$3:$C$12,0)),"-")</f>
        <v>-</v>
      </c>
      <c r="Q120" s="73">
        <f>IFERROR(INDEX(Katalog!$D$3:$D$12,MATCH(cadangan[[#This Row],[ItemID B]],Katalog!$C$3:$C$12,0))*cadangan[[#This Row],[Qty B]],0)</f>
        <v>0</v>
      </c>
      <c r="R120" s="73">
        <f>IFERROR(cadangan[[#This Row],[Harga Normal B]]-(cadangan[[#This Row],[Harga Normal B]]*cadangan[[#This Row],[Diskon]]),cadangan[[#This Row],[Harga Normal B]])</f>
        <v>0</v>
      </c>
      <c r="S120" s="73">
        <f>IFERROR(INDEX(Katalog!$F$3:$F$12,MATCH(cadangan[[#This Row],[ItemID B]],Katalog!$C$3:$C$12,0))*cadangan[[#This Row],[Qty B]],0)</f>
        <v>0</v>
      </c>
      <c r="T120" s="73">
        <f>IFERROR(cadangan[[#This Row],[Harga Diskon B]]-INDEX(Katalog!$E$3:$E$12,MATCH(cadangan[[#This Row],[ItemID B]],Katalog!$C$3:$C$12,0))*cadangan[[#This Row],[Qty B]],0)</f>
        <v>0</v>
      </c>
      <c r="V120" s="39" t="str">
        <f>IFERROR(INDEX(Katalog!$A$3:$A$12,MATCH(cadangan[[#This Row],[ItemID C]],Katalog!$C$3:$C$12,0)),"-")</f>
        <v>-</v>
      </c>
      <c r="W120" s="39" t="str">
        <f>IFERROR(INDEX(Katalog!$B$3:$B$12,MATCH(cadangan[[#This Row],[ItemID C]],Katalog!$C$3:$C$12,0)),"-")</f>
        <v>-</v>
      </c>
      <c r="Z120" s="73">
        <f>IFERROR(INDEX(Katalog!$D$3:$D$12,MATCH(cadangan[[#This Row],[ItemID C]],Katalog!$C$3:$C$12,0))*cadangan[[#This Row],[Qty C]],0)</f>
        <v>0</v>
      </c>
      <c r="AA120" s="73">
        <f>IFERROR(cadangan[[#This Row],[Harga Normal C]]-(cadangan[[#This Row],[Harga Normal C]]*cadangan[[#This Row],[Diskon]]),cadangan[[#This Row],[Harga Normal C]])</f>
        <v>0</v>
      </c>
      <c r="AB120" s="73">
        <f>IFERROR(INDEX(Katalog!$F$3:$F$12,MATCH(cadangan[[#This Row],[ItemID C]],Katalog!$C$3:$C$12,0))*cadangan[[#This Row],[Qty C]],0)</f>
        <v>0</v>
      </c>
      <c r="AC120" s="73">
        <f>IFERROR(cadangan[[#This Row],[Harga Diskon C]]-INDEX(Katalog!$E$3:$E$12,MATCH(cadangan[[#This Row],[ItemID C]],Katalog!$C$3:$C$12,0))*cadangan[[#This Row],[Qty C]],0)</f>
        <v>0</v>
      </c>
      <c r="AD120" s="53">
        <f>cadangan[[#This Row],[Qty A]]+cadangan[[#This Row],[Qty B]]+cadangan[[#This Row],[Qty C]]</f>
        <v>5</v>
      </c>
      <c r="AE120" s="73">
        <f>cadangan[[#This Row],[Harga Normal A]]+cadangan[[#This Row],[Harga Normal B]]+cadangan[[#This Row],[Harga Normal C]]</f>
        <v>1500000</v>
      </c>
      <c r="AF120" s="73">
        <f>cadangan[[#This Row],[Harga Diskon A]]+cadangan[[#This Row],[Harga Diskon B]]+cadangan[[#This Row],[Harga Diskon C]]</f>
        <v>1275000</v>
      </c>
      <c r="AG120" s="73">
        <f>(cadangan[[#This Row],[Profit Normal A]]+cadangan[[#This Row],[Profit Normal B]]+cadangan[[#This Row],[Profit Normal C]])</f>
        <v>500000</v>
      </c>
      <c r="AH120" s="73">
        <f>cadangan[[#This Row],[Profit Diskon A]]+cadangan[[#This Row],[Profit Diskon B]]+cadangan[[#This Row],[Profit Diskon C]]</f>
        <v>275000</v>
      </c>
      <c r="AI120" s="23" t="s">
        <v>13</v>
      </c>
      <c r="AJ120" s="37">
        <f>IFERROR(INDEX('Kode Diskon'!$D$3:$D$9,MATCH(cadangan[[#This Row],[Kode diskon]],'Kode Diskon'!$C$3:$C$9,0)),"-")</f>
        <v>0.15</v>
      </c>
      <c r="AK120" s="23" t="s">
        <v>29</v>
      </c>
      <c r="AL120" s="23" t="s">
        <v>7</v>
      </c>
      <c r="AM120" s="23" t="s">
        <v>76</v>
      </c>
      <c r="AN120" s="55">
        <v>45018</v>
      </c>
      <c r="AO120" s="53">
        <f>DAY(cadangan[[#This Row],[Tanggal terjual]])</f>
        <v>2</v>
      </c>
      <c r="AP120" s="21" t="str">
        <f>TEXT(cadangan[[#This Row],[Tanggal terjual]],"dddd")</f>
        <v>Sunday</v>
      </c>
      <c r="AQ120" s="23" t="str" cm="1">
        <f t="array" ref="AQ1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0" s="61">
        <f>AVERAGE(cadangan[[#This Row],[Rating A]],cadangan[[#This Row],[Rating B]],cadangan[[#This Row],[Rating C]])</f>
        <v>4</v>
      </c>
    </row>
    <row r="121" spans="1:44" x14ac:dyDescent="0.2">
      <c r="A121" s="20">
        <v>120</v>
      </c>
      <c r="B121" s="21" t="str">
        <f>_xlfn.CONCAT("ORD-",INDEX(Helper!$B$2:$B$5,MATCH(cadangan[[#This Row],[Marketplace]],Helper!$A$2:$A$5,0)),TEXT(cadangan[[#This Row],[No]],"0000"),"-",TEXT(cadangan[[#This Row],[Tanggal terjual]],"dd/mm/yy"))</f>
        <v>ORD-BL0120-21/04/23</v>
      </c>
      <c r="C121" s="39" t="s">
        <v>64</v>
      </c>
      <c r="D121" s="39" t="str">
        <f>IFERROR(INDEX(Katalog!$A$3:$A$12,MATCH(cadangan[[#This Row],[ItemID A]],Katalog!$C$3:$C$12,0)),"-")</f>
        <v>Pakaian Unisex</v>
      </c>
      <c r="E121" s="39" t="str">
        <f>IFERROR(INDEX(Katalog!$B$3:$B$12,MATCH(cadangan[[#This Row],[ItemID A]],Katalog!$C$3:$C$12,0)),"-")</f>
        <v>Jaket Hoodie</v>
      </c>
      <c r="F121" s="50">
        <v>2</v>
      </c>
      <c r="G121" s="50">
        <v>1</v>
      </c>
      <c r="H121" s="73">
        <f>IFERROR(INDEX(Katalog!$D$3:$D$12,MATCH(cadangan[[#This Row],[ItemID A]],Katalog!$C$3:$C$12,0))*cadangan[[#This Row],[Qty A]],0)</f>
        <v>700000</v>
      </c>
      <c r="I121" s="73">
        <f>IFERROR(cadangan[[#This Row],[Harga Normal A]]-(cadangan[[#This Row],[Harga Normal A]]*cadangan[[#This Row],[Diskon]]),cadangan[[#This Row],[Harga Normal A]])</f>
        <v>595000</v>
      </c>
      <c r="J121" s="73">
        <f>INDEX(Katalog!$F$3:$F$12,MATCH(cadangan[[#This Row],[ItemID A]],Katalog!$C$3:$C$12,0))*cadangan[[#This Row],[Qty A]]</f>
        <v>260000</v>
      </c>
      <c r="K121" s="73">
        <f>IFERROR(cadangan[[#This Row],[Harga Diskon A]]-INDEX(Katalog!$E$3:$E$12,MATCH(cadangan[[#This Row],[ItemID A]],Katalog!$C$3:$C$12,0))*cadangan[[#This Row],[Qty A]],0)</f>
        <v>155000</v>
      </c>
      <c r="L121" s="39" t="s">
        <v>58</v>
      </c>
      <c r="M121" s="39" t="str">
        <f>IFERROR(INDEX(Katalog!$A$3:$A$12,MATCH(cadangan[[#This Row],[ItemID B]],Katalog!$C$3:$C$12,0)),"-")</f>
        <v>Pakaian Wanita</v>
      </c>
      <c r="N121" s="39" t="str">
        <f>IFERROR(INDEX(Katalog!$B$3:$B$12,MATCH(cadangan[[#This Row],[ItemID B]],Katalog!$C$3:$C$12,0)),"-")</f>
        <v>Dress</v>
      </c>
      <c r="O121" s="50">
        <v>2</v>
      </c>
      <c r="P121" s="50">
        <v>5</v>
      </c>
      <c r="Q121" s="73">
        <f>IFERROR(INDEX(Katalog!$D$3:$D$12,MATCH(cadangan[[#This Row],[ItemID B]],Katalog!$C$3:$C$12,0))*cadangan[[#This Row],[Qty B]],0)</f>
        <v>600000</v>
      </c>
      <c r="R121" s="73">
        <f>IFERROR(cadangan[[#This Row],[Harga Normal B]]-(cadangan[[#This Row],[Harga Normal B]]*cadangan[[#This Row],[Diskon]]),cadangan[[#This Row],[Harga Normal B]])</f>
        <v>510000</v>
      </c>
      <c r="S121" s="73">
        <f>IFERROR(INDEX(Katalog!$F$3:$F$12,MATCH(cadangan[[#This Row],[ItemID B]],Katalog!$C$3:$C$12,0))*cadangan[[#This Row],[Qty B]],0)</f>
        <v>200000</v>
      </c>
      <c r="T121" s="73">
        <f>IFERROR(cadangan[[#This Row],[Harga Diskon B]]-INDEX(Katalog!$E$3:$E$12,MATCH(cadangan[[#This Row],[ItemID B]],Katalog!$C$3:$C$12,0))*cadangan[[#This Row],[Qty B]],0)</f>
        <v>110000</v>
      </c>
      <c r="U121" s="39" t="s">
        <v>66</v>
      </c>
      <c r="V121" s="39" t="str">
        <f>IFERROR(INDEX(Katalog!$A$3:$A$12,MATCH(cadangan[[#This Row],[ItemID C]],Katalog!$C$3:$C$12,0)),"-")</f>
        <v>Sepatu Pria</v>
      </c>
      <c r="W121" s="39" t="str">
        <f>IFERROR(INDEX(Katalog!$B$3:$B$12,MATCH(cadangan[[#This Row],[ItemID C]],Katalog!$C$3:$C$12,0)),"-")</f>
        <v>Sandal Slip On</v>
      </c>
      <c r="X121" s="50">
        <v>3</v>
      </c>
      <c r="Y121" s="50">
        <v>3</v>
      </c>
      <c r="Z121" s="73">
        <f>IFERROR(INDEX(Katalog!$D$3:$D$12,MATCH(cadangan[[#This Row],[ItemID C]],Katalog!$C$3:$C$12,0))*cadangan[[#This Row],[Qty C]],0)</f>
        <v>450000</v>
      </c>
      <c r="AA121" s="73">
        <f>IFERROR(cadangan[[#This Row],[Harga Normal C]]-(cadangan[[#This Row],[Harga Normal C]]*cadangan[[#This Row],[Diskon]]),cadangan[[#This Row],[Harga Normal C]])</f>
        <v>382500</v>
      </c>
      <c r="AB121" s="73">
        <f>IFERROR(INDEX(Katalog!$F$3:$F$12,MATCH(cadangan[[#This Row],[ItemID C]],Katalog!$C$3:$C$12,0))*cadangan[[#This Row],[Qty C]],0)</f>
        <v>180000</v>
      </c>
      <c r="AC121" s="73">
        <f>IFERROR(cadangan[[#This Row],[Harga Diskon C]]-INDEX(Katalog!$E$3:$E$12,MATCH(cadangan[[#This Row],[ItemID C]],Katalog!$C$3:$C$12,0))*cadangan[[#This Row],[Qty C]],0)</f>
        <v>112500</v>
      </c>
      <c r="AD121" s="53">
        <f>cadangan[[#This Row],[Qty A]]+cadangan[[#This Row],[Qty B]]+cadangan[[#This Row],[Qty C]]</f>
        <v>7</v>
      </c>
      <c r="AE121" s="73">
        <f>cadangan[[#This Row],[Harga Normal A]]+cadangan[[#This Row],[Harga Normal B]]+cadangan[[#This Row],[Harga Normal C]]</f>
        <v>1750000</v>
      </c>
      <c r="AF121" s="73">
        <f>cadangan[[#This Row],[Harga Diskon A]]+cadangan[[#This Row],[Harga Diskon B]]+cadangan[[#This Row],[Harga Diskon C]]</f>
        <v>1487500</v>
      </c>
      <c r="AG121" s="73">
        <f>(cadangan[[#This Row],[Profit Normal A]]+cadangan[[#This Row],[Profit Normal B]]+cadangan[[#This Row],[Profit Normal C]])</f>
        <v>640000</v>
      </c>
      <c r="AH121" s="73">
        <f>cadangan[[#This Row],[Profit Diskon A]]+cadangan[[#This Row],[Profit Diskon B]]+cadangan[[#This Row],[Profit Diskon C]]</f>
        <v>377500</v>
      </c>
      <c r="AI121" s="23" t="s">
        <v>32</v>
      </c>
      <c r="AJ121" s="37">
        <f>IFERROR(INDEX('Kode Diskon'!$D$3:$D$9,MATCH(cadangan[[#This Row],[Kode diskon]],'Kode Diskon'!$C$3:$C$9,0)),"-")</f>
        <v>0.15</v>
      </c>
      <c r="AK121" s="23" t="s">
        <v>9</v>
      </c>
      <c r="AL121" s="23" t="s">
        <v>12</v>
      </c>
      <c r="AM121" s="23" t="s">
        <v>76</v>
      </c>
      <c r="AN121" s="55">
        <v>45037</v>
      </c>
      <c r="AO121" s="53">
        <f>DAY(cadangan[[#This Row],[Tanggal terjual]])</f>
        <v>21</v>
      </c>
      <c r="AP121" s="21" t="str">
        <f>TEXT(cadangan[[#This Row],[Tanggal terjual]],"dddd")</f>
        <v>Friday</v>
      </c>
      <c r="AQ121" s="23" t="str" cm="1">
        <f t="array" ref="AQ1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21" s="61">
        <f>AVERAGE(cadangan[[#This Row],[Rating A]],cadangan[[#This Row],[Rating B]],cadangan[[#This Row],[Rating C]])</f>
        <v>3</v>
      </c>
    </row>
    <row r="122" spans="1:44" x14ac:dyDescent="0.2">
      <c r="A122" s="20">
        <v>121</v>
      </c>
      <c r="B122" s="21" t="str">
        <f>_xlfn.CONCAT("ORD-",INDEX(Helper!$B$2:$B$5,MATCH(cadangan[[#This Row],[Marketplace]],Helper!$A$2:$A$5,0)),TEXT(cadangan[[#This Row],[No]],"0000"),"-",TEXT(cadangan[[#This Row],[Tanggal terjual]],"dd/mm/yy"))</f>
        <v>ORD-TK0121-16/04/23</v>
      </c>
      <c r="C122" s="39" t="s">
        <v>65</v>
      </c>
      <c r="D122" s="39" t="str">
        <f>IFERROR(INDEX(Katalog!$A$3:$A$12,MATCH(cadangan[[#This Row],[ItemID A]],Katalog!$C$3:$C$12,0)),"-")</f>
        <v>Sepatu Pria</v>
      </c>
      <c r="E122" s="39" t="str">
        <f>IFERROR(INDEX(Katalog!$B$3:$B$12,MATCH(cadangan[[#This Row],[ItemID A]],Katalog!$C$3:$C$12,0)),"-")</f>
        <v>Sneakers</v>
      </c>
      <c r="F122" s="50">
        <v>2</v>
      </c>
      <c r="G122" s="50">
        <v>3</v>
      </c>
      <c r="H122" s="73">
        <f>IFERROR(INDEX(Katalog!$D$3:$D$12,MATCH(cadangan[[#This Row],[ItemID A]],Katalog!$C$3:$C$12,0))*cadangan[[#This Row],[Qty A]],0)</f>
        <v>1000000</v>
      </c>
      <c r="I122" s="73">
        <f>IFERROR(cadangan[[#This Row],[Harga Normal A]]-(cadangan[[#This Row],[Harga Normal A]]*cadangan[[#This Row],[Diskon]]),cadangan[[#This Row],[Harga Normal A]])</f>
        <v>900000</v>
      </c>
      <c r="J122" s="73">
        <f>INDEX(Katalog!$F$3:$F$12,MATCH(cadangan[[#This Row],[ItemID A]],Katalog!$C$3:$C$12,0))*cadangan[[#This Row],[Qty A]]</f>
        <v>400000</v>
      </c>
      <c r="K122" s="73">
        <f>IFERROR(cadangan[[#This Row],[Harga Diskon A]]-INDEX(Katalog!$E$3:$E$12,MATCH(cadangan[[#This Row],[ItemID A]],Katalog!$C$3:$C$12,0))*cadangan[[#This Row],[Qty A]],0)</f>
        <v>300000</v>
      </c>
      <c r="L122" s="39" t="s">
        <v>67</v>
      </c>
      <c r="M122" s="39" t="str">
        <f>IFERROR(INDEX(Katalog!$A$3:$A$12,MATCH(cadangan[[#This Row],[ItemID B]],Katalog!$C$3:$C$12,0)),"-")</f>
        <v>Sepatu Wanita</v>
      </c>
      <c r="N122" s="39" t="str">
        <f>IFERROR(INDEX(Katalog!$B$3:$B$12,MATCH(cadangan[[#This Row],[ItemID B]],Katalog!$C$3:$C$12,0)),"-")</f>
        <v>Flat Shoes</v>
      </c>
      <c r="O122" s="50">
        <v>1</v>
      </c>
      <c r="P122" s="50">
        <v>2</v>
      </c>
      <c r="Q122" s="73">
        <f>IFERROR(INDEX(Katalog!$D$3:$D$12,MATCH(cadangan[[#This Row],[ItemID B]],Katalog!$C$3:$C$12,0))*cadangan[[#This Row],[Qty B]],0)</f>
        <v>250000</v>
      </c>
      <c r="R122" s="73">
        <f>IFERROR(cadangan[[#This Row],[Harga Normal B]]-(cadangan[[#This Row],[Harga Normal B]]*cadangan[[#This Row],[Diskon]]),cadangan[[#This Row],[Harga Normal B]])</f>
        <v>225000</v>
      </c>
      <c r="S122" s="73">
        <f>IFERROR(INDEX(Katalog!$F$3:$F$12,MATCH(cadangan[[#This Row],[ItemID B]],Katalog!$C$3:$C$12,0))*cadangan[[#This Row],[Qty B]],0)</f>
        <v>100000</v>
      </c>
      <c r="T122" s="73">
        <f>IFERROR(cadangan[[#This Row],[Harga Diskon B]]-INDEX(Katalog!$E$3:$E$12,MATCH(cadangan[[#This Row],[ItemID B]],Katalog!$C$3:$C$12,0))*cadangan[[#This Row],[Qty B]],0)</f>
        <v>75000</v>
      </c>
      <c r="V122" s="39" t="str">
        <f>IFERROR(INDEX(Katalog!$A$3:$A$12,MATCH(cadangan[[#This Row],[ItemID C]],Katalog!$C$3:$C$12,0)),"-")</f>
        <v>-</v>
      </c>
      <c r="W122" s="39" t="str">
        <f>IFERROR(INDEX(Katalog!$B$3:$B$12,MATCH(cadangan[[#This Row],[ItemID C]],Katalog!$C$3:$C$12,0)),"-")</f>
        <v>-</v>
      </c>
      <c r="Z122" s="73">
        <f>IFERROR(INDEX(Katalog!$D$3:$D$12,MATCH(cadangan[[#This Row],[ItemID C]],Katalog!$C$3:$C$12,0))*cadangan[[#This Row],[Qty C]],0)</f>
        <v>0</v>
      </c>
      <c r="AA122" s="73">
        <f>IFERROR(cadangan[[#This Row],[Harga Normal C]]-(cadangan[[#This Row],[Harga Normal C]]*cadangan[[#This Row],[Diskon]]),cadangan[[#This Row],[Harga Normal C]])</f>
        <v>0</v>
      </c>
      <c r="AB122" s="73">
        <f>IFERROR(INDEX(Katalog!$F$3:$F$12,MATCH(cadangan[[#This Row],[ItemID C]],Katalog!$C$3:$C$12,0))*cadangan[[#This Row],[Qty C]],0)</f>
        <v>0</v>
      </c>
      <c r="AC122" s="73">
        <f>IFERROR(cadangan[[#This Row],[Harga Diskon C]]-INDEX(Katalog!$E$3:$E$12,MATCH(cadangan[[#This Row],[ItemID C]],Katalog!$C$3:$C$12,0))*cadangan[[#This Row],[Qty C]],0)</f>
        <v>0</v>
      </c>
      <c r="AD122" s="53">
        <f>cadangan[[#This Row],[Qty A]]+cadangan[[#This Row],[Qty B]]+cadangan[[#This Row],[Qty C]]</f>
        <v>3</v>
      </c>
      <c r="AE122" s="73">
        <f>cadangan[[#This Row],[Harga Normal A]]+cadangan[[#This Row],[Harga Normal B]]+cadangan[[#This Row],[Harga Normal C]]</f>
        <v>1250000</v>
      </c>
      <c r="AF122" s="73">
        <f>cadangan[[#This Row],[Harga Diskon A]]+cadangan[[#This Row],[Harga Diskon B]]+cadangan[[#This Row],[Harga Diskon C]]</f>
        <v>1125000</v>
      </c>
      <c r="AG122" s="73">
        <f>(cadangan[[#This Row],[Profit Normal A]]+cadangan[[#This Row],[Profit Normal B]]+cadangan[[#This Row],[Profit Normal C]])</f>
        <v>500000</v>
      </c>
      <c r="AH122" s="73">
        <f>cadangan[[#This Row],[Profit Diskon A]]+cadangan[[#This Row],[Profit Diskon B]]+cadangan[[#This Row],[Profit Diskon C]]</f>
        <v>375000</v>
      </c>
      <c r="AI122" s="23" t="s">
        <v>31</v>
      </c>
      <c r="AJ122" s="37">
        <f>IFERROR(INDEX('Kode Diskon'!$D$3:$D$9,MATCH(cadangan[[#This Row],[Kode diskon]],'Kode Diskon'!$C$3:$C$9,0)),"-")</f>
        <v>0.1</v>
      </c>
      <c r="AK122" s="23" t="s">
        <v>9</v>
      </c>
      <c r="AL122" s="23" t="s">
        <v>10</v>
      </c>
      <c r="AM122" s="23" t="s">
        <v>80</v>
      </c>
      <c r="AN122" s="55">
        <v>45032</v>
      </c>
      <c r="AO122" s="53">
        <f>DAY(cadangan[[#This Row],[Tanggal terjual]])</f>
        <v>16</v>
      </c>
      <c r="AP122" s="21" t="str">
        <f>TEXT(cadangan[[#This Row],[Tanggal terjual]],"dddd")</f>
        <v>Sunday</v>
      </c>
      <c r="AQ122" s="23" t="str" cm="1">
        <f t="array" ref="AQ1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22" s="61">
        <f>AVERAGE(cadangan[[#This Row],[Rating A]],cadangan[[#This Row],[Rating B]],cadangan[[#This Row],[Rating C]])</f>
        <v>2.5</v>
      </c>
    </row>
    <row r="123" spans="1:44" x14ac:dyDescent="0.2">
      <c r="A123" s="20">
        <v>122</v>
      </c>
      <c r="B123" s="21" t="str">
        <f>_xlfn.CONCAT("ORD-",INDEX(Helper!$B$2:$B$5,MATCH(cadangan[[#This Row],[Marketplace]],Helper!$A$2:$A$5,0)),TEXT(cadangan[[#This Row],[No]],"0000"),"-",TEXT(cadangan[[#This Row],[Tanggal terjual]],"dd/mm/yy"))</f>
        <v>ORD-TK0122-28/04/23</v>
      </c>
      <c r="C123" s="39" t="s">
        <v>58</v>
      </c>
      <c r="D123" s="39" t="str">
        <f>IFERROR(INDEX(Katalog!$A$3:$A$12,MATCH(cadangan[[#This Row],[ItemID A]],Katalog!$C$3:$C$12,0)),"-")</f>
        <v>Pakaian Wanita</v>
      </c>
      <c r="E123" s="39" t="str">
        <f>IFERROR(INDEX(Katalog!$B$3:$B$12,MATCH(cadangan[[#This Row],[ItemID A]],Katalog!$C$3:$C$12,0)),"-")</f>
        <v>Dress</v>
      </c>
      <c r="F123" s="50">
        <v>2</v>
      </c>
      <c r="G123" s="50">
        <v>1</v>
      </c>
      <c r="H123" s="73">
        <f>IFERROR(INDEX(Katalog!$D$3:$D$12,MATCH(cadangan[[#This Row],[ItemID A]],Katalog!$C$3:$C$12,0))*cadangan[[#This Row],[Qty A]],0)</f>
        <v>600000</v>
      </c>
      <c r="I123" s="73">
        <f>IFERROR(cadangan[[#This Row],[Harga Normal A]]-(cadangan[[#This Row],[Harga Normal A]]*cadangan[[#This Row],[Diskon]]),cadangan[[#This Row],[Harga Normal A]])</f>
        <v>540000</v>
      </c>
      <c r="J123" s="73">
        <f>INDEX(Katalog!$F$3:$F$12,MATCH(cadangan[[#This Row],[ItemID A]],Katalog!$C$3:$C$12,0))*cadangan[[#This Row],[Qty A]]</f>
        <v>200000</v>
      </c>
      <c r="K123" s="73">
        <f>IFERROR(cadangan[[#This Row],[Harga Diskon A]]-INDEX(Katalog!$E$3:$E$12,MATCH(cadangan[[#This Row],[ItemID A]],Katalog!$C$3:$C$12,0))*cadangan[[#This Row],[Qty A]],0)</f>
        <v>140000</v>
      </c>
      <c r="M123" s="39" t="str">
        <f>IFERROR(INDEX(Katalog!$A$3:$A$12,MATCH(cadangan[[#This Row],[ItemID B]],Katalog!$C$3:$C$12,0)),"-")</f>
        <v>-</v>
      </c>
      <c r="N123" s="39" t="str">
        <f>IFERROR(INDEX(Katalog!$B$3:$B$12,MATCH(cadangan[[#This Row],[ItemID B]],Katalog!$C$3:$C$12,0)),"-")</f>
        <v>-</v>
      </c>
      <c r="Q123" s="73">
        <f>IFERROR(INDEX(Katalog!$D$3:$D$12,MATCH(cadangan[[#This Row],[ItemID B]],Katalog!$C$3:$C$12,0))*cadangan[[#This Row],[Qty B]],0)</f>
        <v>0</v>
      </c>
      <c r="R123" s="73">
        <f>IFERROR(cadangan[[#This Row],[Harga Normal B]]-(cadangan[[#This Row],[Harga Normal B]]*cadangan[[#This Row],[Diskon]]),cadangan[[#This Row],[Harga Normal B]])</f>
        <v>0</v>
      </c>
      <c r="S123" s="73">
        <f>IFERROR(INDEX(Katalog!$F$3:$F$12,MATCH(cadangan[[#This Row],[ItemID B]],Katalog!$C$3:$C$12,0))*cadangan[[#This Row],[Qty B]],0)</f>
        <v>0</v>
      </c>
      <c r="T123" s="73">
        <f>IFERROR(cadangan[[#This Row],[Harga Diskon B]]-INDEX(Katalog!$E$3:$E$12,MATCH(cadangan[[#This Row],[ItemID B]],Katalog!$C$3:$C$12,0))*cadangan[[#This Row],[Qty B]],0)</f>
        <v>0</v>
      </c>
      <c r="V123" s="39" t="str">
        <f>IFERROR(INDEX(Katalog!$A$3:$A$12,MATCH(cadangan[[#This Row],[ItemID C]],Katalog!$C$3:$C$12,0)),"-")</f>
        <v>-</v>
      </c>
      <c r="W123" s="39" t="str">
        <f>IFERROR(INDEX(Katalog!$B$3:$B$12,MATCH(cadangan[[#This Row],[ItemID C]],Katalog!$C$3:$C$12,0)),"-")</f>
        <v>-</v>
      </c>
      <c r="Z123" s="73">
        <f>IFERROR(INDEX(Katalog!$D$3:$D$12,MATCH(cadangan[[#This Row],[ItemID C]],Katalog!$C$3:$C$12,0))*cadangan[[#This Row],[Qty C]],0)</f>
        <v>0</v>
      </c>
      <c r="AA123" s="73">
        <f>IFERROR(cadangan[[#This Row],[Harga Normal C]]-(cadangan[[#This Row],[Harga Normal C]]*cadangan[[#This Row],[Diskon]]),cadangan[[#This Row],[Harga Normal C]])</f>
        <v>0</v>
      </c>
      <c r="AB123" s="73">
        <f>IFERROR(INDEX(Katalog!$F$3:$F$12,MATCH(cadangan[[#This Row],[ItemID C]],Katalog!$C$3:$C$12,0))*cadangan[[#This Row],[Qty C]],0)</f>
        <v>0</v>
      </c>
      <c r="AC123" s="73">
        <f>IFERROR(cadangan[[#This Row],[Harga Diskon C]]-INDEX(Katalog!$E$3:$E$12,MATCH(cadangan[[#This Row],[ItemID C]],Katalog!$C$3:$C$12,0))*cadangan[[#This Row],[Qty C]],0)</f>
        <v>0</v>
      </c>
      <c r="AD123" s="53">
        <f>cadangan[[#This Row],[Qty A]]+cadangan[[#This Row],[Qty B]]+cadangan[[#This Row],[Qty C]]</f>
        <v>2</v>
      </c>
      <c r="AE123" s="73">
        <f>cadangan[[#This Row],[Harga Normal A]]+cadangan[[#This Row],[Harga Normal B]]+cadangan[[#This Row],[Harga Normal C]]</f>
        <v>600000</v>
      </c>
      <c r="AF123" s="73">
        <f>cadangan[[#This Row],[Harga Diskon A]]+cadangan[[#This Row],[Harga Diskon B]]+cadangan[[#This Row],[Harga Diskon C]]</f>
        <v>540000</v>
      </c>
      <c r="AG123" s="73">
        <f>(cadangan[[#This Row],[Profit Normal A]]+cadangan[[#This Row],[Profit Normal B]]+cadangan[[#This Row],[Profit Normal C]])</f>
        <v>200000</v>
      </c>
      <c r="AH123" s="73">
        <f>cadangan[[#This Row],[Profit Diskon A]]+cadangan[[#This Row],[Profit Diskon B]]+cadangan[[#This Row],[Profit Diskon C]]</f>
        <v>140000</v>
      </c>
      <c r="AI123" s="23" t="s">
        <v>31</v>
      </c>
      <c r="AJ123" s="37">
        <f>IFERROR(INDEX('Kode Diskon'!$D$3:$D$9,MATCH(cadangan[[#This Row],[Kode diskon]],'Kode Diskon'!$C$3:$C$9,0)),"-")</f>
        <v>0.1</v>
      </c>
      <c r="AK123" s="23" t="s">
        <v>9</v>
      </c>
      <c r="AL123" s="23" t="s">
        <v>10</v>
      </c>
      <c r="AM123" s="23" t="s">
        <v>80</v>
      </c>
      <c r="AN123" s="55">
        <v>45044</v>
      </c>
      <c r="AO123" s="53">
        <f>DAY(cadangan[[#This Row],[Tanggal terjual]])</f>
        <v>28</v>
      </c>
      <c r="AP123" s="21" t="str">
        <f>TEXT(cadangan[[#This Row],[Tanggal terjual]],"dddd")</f>
        <v>Friday</v>
      </c>
      <c r="AQ123" s="23" t="str" cm="1">
        <f t="array" ref="AQ1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23" s="61">
        <f>AVERAGE(cadangan[[#This Row],[Rating A]],cadangan[[#This Row],[Rating B]],cadangan[[#This Row],[Rating C]])</f>
        <v>1</v>
      </c>
    </row>
    <row r="124" spans="1:44" x14ac:dyDescent="0.2">
      <c r="A124" s="20">
        <v>123</v>
      </c>
      <c r="B124" s="21" t="str">
        <f>_xlfn.CONCAT("ORD-",INDEX(Helper!$B$2:$B$5,MATCH(cadangan[[#This Row],[Marketplace]],Helper!$A$2:$A$5,0)),TEXT(cadangan[[#This Row],[No]],"0000"),"-",TEXT(cadangan[[#This Row],[Tanggal terjual]],"dd/mm/yy"))</f>
        <v>ORD-SP0123-04/04/23</v>
      </c>
      <c r="C124" s="39" t="s">
        <v>63</v>
      </c>
      <c r="D124" s="39" t="str">
        <f>IFERROR(INDEX(Katalog!$A$3:$A$12,MATCH(cadangan[[#This Row],[ItemID A]],Katalog!$C$3:$C$12,0)),"-")</f>
        <v>Pakaian Pria</v>
      </c>
      <c r="E124" s="39" t="str">
        <f>IFERROR(INDEX(Katalog!$B$3:$B$12,MATCH(cadangan[[#This Row],[ItemID A]],Katalog!$C$3:$C$12,0)),"-")</f>
        <v>Jaket Jeans</v>
      </c>
      <c r="F124" s="50">
        <v>3</v>
      </c>
      <c r="G124" s="50">
        <v>5</v>
      </c>
      <c r="H124" s="73">
        <f>IFERROR(INDEX(Katalog!$D$3:$D$12,MATCH(cadangan[[#This Row],[ItemID A]],Katalog!$C$3:$C$12,0))*cadangan[[#This Row],[Qty A]],0)</f>
        <v>1200000</v>
      </c>
      <c r="I124" s="73">
        <f>IFERROR(cadangan[[#This Row],[Harga Normal A]]-(cadangan[[#This Row],[Harga Normal A]]*cadangan[[#This Row],[Diskon]]),cadangan[[#This Row],[Harga Normal A]])</f>
        <v>1080000</v>
      </c>
      <c r="J124" s="73">
        <f>INDEX(Katalog!$F$3:$F$12,MATCH(cadangan[[#This Row],[ItemID A]],Katalog!$C$3:$C$12,0))*cadangan[[#This Row],[Qty A]]</f>
        <v>450000</v>
      </c>
      <c r="K124" s="73">
        <f>IFERROR(cadangan[[#This Row],[Harga Diskon A]]-INDEX(Katalog!$E$3:$E$12,MATCH(cadangan[[#This Row],[ItemID A]],Katalog!$C$3:$C$12,0))*cadangan[[#This Row],[Qty A]],0)</f>
        <v>330000</v>
      </c>
      <c r="L124" s="39" t="s">
        <v>65</v>
      </c>
      <c r="M124" s="39" t="str">
        <f>IFERROR(INDEX(Katalog!$A$3:$A$12,MATCH(cadangan[[#This Row],[ItemID B]],Katalog!$C$3:$C$12,0)),"-")</f>
        <v>Sepatu Pria</v>
      </c>
      <c r="N124" s="39" t="str">
        <f>IFERROR(INDEX(Katalog!$B$3:$B$12,MATCH(cadangan[[#This Row],[ItemID B]],Katalog!$C$3:$C$12,0)),"-")</f>
        <v>Sneakers</v>
      </c>
      <c r="O124" s="50">
        <v>1</v>
      </c>
      <c r="P124" s="50">
        <v>3</v>
      </c>
      <c r="Q124" s="73">
        <f>IFERROR(INDEX(Katalog!$D$3:$D$12,MATCH(cadangan[[#This Row],[ItemID B]],Katalog!$C$3:$C$12,0))*cadangan[[#This Row],[Qty B]],0)</f>
        <v>500000</v>
      </c>
      <c r="R124" s="73">
        <f>IFERROR(cadangan[[#This Row],[Harga Normal B]]-(cadangan[[#This Row],[Harga Normal B]]*cadangan[[#This Row],[Diskon]]),cadangan[[#This Row],[Harga Normal B]])</f>
        <v>450000</v>
      </c>
      <c r="S124" s="73">
        <f>IFERROR(INDEX(Katalog!$F$3:$F$12,MATCH(cadangan[[#This Row],[ItemID B]],Katalog!$C$3:$C$12,0))*cadangan[[#This Row],[Qty B]],0)</f>
        <v>200000</v>
      </c>
      <c r="T124" s="73">
        <f>IFERROR(cadangan[[#This Row],[Harga Diskon B]]-INDEX(Katalog!$E$3:$E$12,MATCH(cadangan[[#This Row],[ItemID B]],Katalog!$C$3:$C$12,0))*cadangan[[#This Row],[Qty B]],0)</f>
        <v>150000</v>
      </c>
      <c r="V124" s="39" t="str">
        <f>IFERROR(INDEX(Katalog!$A$3:$A$12,MATCH(cadangan[[#This Row],[ItemID C]],Katalog!$C$3:$C$12,0)),"-")</f>
        <v>-</v>
      </c>
      <c r="W124" s="39" t="str">
        <f>IFERROR(INDEX(Katalog!$B$3:$B$12,MATCH(cadangan[[#This Row],[ItemID C]],Katalog!$C$3:$C$12,0)),"-")</f>
        <v>-</v>
      </c>
      <c r="Z124" s="73">
        <f>IFERROR(INDEX(Katalog!$D$3:$D$12,MATCH(cadangan[[#This Row],[ItemID C]],Katalog!$C$3:$C$12,0))*cadangan[[#This Row],[Qty C]],0)</f>
        <v>0</v>
      </c>
      <c r="AA124" s="73">
        <f>IFERROR(cadangan[[#This Row],[Harga Normal C]]-(cadangan[[#This Row],[Harga Normal C]]*cadangan[[#This Row],[Diskon]]),cadangan[[#This Row],[Harga Normal C]])</f>
        <v>0</v>
      </c>
      <c r="AB124" s="73">
        <f>IFERROR(INDEX(Katalog!$F$3:$F$12,MATCH(cadangan[[#This Row],[ItemID C]],Katalog!$C$3:$C$12,0))*cadangan[[#This Row],[Qty C]],0)</f>
        <v>0</v>
      </c>
      <c r="AC124" s="73">
        <f>IFERROR(cadangan[[#This Row],[Harga Diskon C]]-INDEX(Katalog!$E$3:$E$12,MATCH(cadangan[[#This Row],[ItemID C]],Katalog!$C$3:$C$12,0))*cadangan[[#This Row],[Qty C]],0)</f>
        <v>0</v>
      </c>
      <c r="AD124" s="53">
        <f>cadangan[[#This Row],[Qty A]]+cadangan[[#This Row],[Qty B]]+cadangan[[#This Row],[Qty C]]</f>
        <v>4</v>
      </c>
      <c r="AE124" s="73">
        <f>cadangan[[#This Row],[Harga Normal A]]+cadangan[[#This Row],[Harga Normal B]]+cadangan[[#This Row],[Harga Normal C]]</f>
        <v>1700000</v>
      </c>
      <c r="AF124" s="73">
        <f>cadangan[[#This Row],[Harga Diskon A]]+cadangan[[#This Row],[Harga Diskon B]]+cadangan[[#This Row],[Harga Diskon C]]</f>
        <v>1530000</v>
      </c>
      <c r="AG124" s="73">
        <f>(cadangan[[#This Row],[Profit Normal A]]+cadangan[[#This Row],[Profit Normal B]]+cadangan[[#This Row],[Profit Normal C]])</f>
        <v>650000</v>
      </c>
      <c r="AH124" s="73">
        <f>cadangan[[#This Row],[Profit Diskon A]]+cadangan[[#This Row],[Profit Diskon B]]+cadangan[[#This Row],[Profit Diskon C]]</f>
        <v>480000</v>
      </c>
      <c r="AI124" s="23" t="s">
        <v>6</v>
      </c>
      <c r="AJ124" s="37">
        <f>IFERROR(INDEX('Kode Diskon'!$D$3:$D$9,MATCH(cadangan[[#This Row],[Kode diskon]],'Kode Diskon'!$C$3:$C$9,0)),"-")</f>
        <v>0.1</v>
      </c>
      <c r="AK124" s="23" t="s">
        <v>29</v>
      </c>
      <c r="AL124" s="23" t="s">
        <v>7</v>
      </c>
      <c r="AM124" s="23" t="s">
        <v>76</v>
      </c>
      <c r="AN124" s="55">
        <v>45020</v>
      </c>
      <c r="AO124" s="53">
        <f>DAY(cadangan[[#This Row],[Tanggal terjual]])</f>
        <v>4</v>
      </c>
      <c r="AP124" s="21" t="str">
        <f>TEXT(cadangan[[#This Row],[Tanggal terjual]],"dddd")</f>
        <v>Tuesday</v>
      </c>
      <c r="AQ124" s="23" t="str" cm="1">
        <f t="array" ref="AQ1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4" s="61">
        <f>AVERAGE(cadangan[[#This Row],[Rating A]],cadangan[[#This Row],[Rating B]],cadangan[[#This Row],[Rating C]])</f>
        <v>4</v>
      </c>
    </row>
    <row r="125" spans="1:44" x14ac:dyDescent="0.2">
      <c r="A125" s="20">
        <v>124</v>
      </c>
      <c r="B125" s="21" t="str">
        <f>_xlfn.CONCAT("ORD-",INDEX(Helper!$B$2:$B$5,MATCH(cadangan[[#This Row],[Marketplace]],Helper!$A$2:$A$5,0)),TEXT(cadangan[[#This Row],[No]],"0000"),"-",TEXT(cadangan[[#This Row],[Tanggal terjual]],"dd/mm/yy"))</f>
        <v>ORD-SP0124-04/04/23</v>
      </c>
      <c r="C125" s="39" t="s">
        <v>60</v>
      </c>
      <c r="D125" s="39" t="str">
        <f>IFERROR(INDEX(Katalog!$A$3:$A$12,MATCH(cadangan[[#This Row],[ItemID A]],Katalog!$C$3:$C$12,0)),"-")</f>
        <v>Pakaian Wanita</v>
      </c>
      <c r="E125" s="39" t="str">
        <f>IFERROR(INDEX(Katalog!$B$3:$B$12,MATCH(cadangan[[#This Row],[ItemID A]],Katalog!$C$3:$C$12,0)),"-")</f>
        <v>Kaftan</v>
      </c>
      <c r="F125" s="50">
        <v>2</v>
      </c>
      <c r="G125" s="50">
        <v>5</v>
      </c>
      <c r="H125" s="73">
        <f>IFERROR(INDEX(Katalog!$D$3:$D$12,MATCH(cadangan[[#This Row],[ItemID A]],Katalog!$C$3:$C$12,0))*cadangan[[#This Row],[Qty A]],0)</f>
        <v>500000</v>
      </c>
      <c r="I125" s="73">
        <f>IFERROR(cadangan[[#This Row],[Harga Normal A]]-(cadangan[[#This Row],[Harga Normal A]]*cadangan[[#This Row],[Diskon]]),cadangan[[#This Row],[Harga Normal A]])</f>
        <v>425000</v>
      </c>
      <c r="J125" s="73">
        <f>INDEX(Katalog!$F$3:$F$12,MATCH(cadangan[[#This Row],[ItemID A]],Katalog!$C$3:$C$12,0))*cadangan[[#This Row],[Qty A]]</f>
        <v>200000</v>
      </c>
      <c r="K125" s="73">
        <f>IFERROR(cadangan[[#This Row],[Harga Diskon A]]-INDEX(Katalog!$E$3:$E$12,MATCH(cadangan[[#This Row],[ItemID A]],Katalog!$C$3:$C$12,0))*cadangan[[#This Row],[Qty A]],0)</f>
        <v>125000</v>
      </c>
      <c r="L125" s="39" t="s">
        <v>63</v>
      </c>
      <c r="M125" s="39" t="str">
        <f>IFERROR(INDEX(Katalog!$A$3:$A$12,MATCH(cadangan[[#This Row],[ItemID B]],Katalog!$C$3:$C$12,0)),"-")</f>
        <v>Pakaian Pria</v>
      </c>
      <c r="N125" s="39" t="str">
        <f>IFERROR(INDEX(Katalog!$B$3:$B$12,MATCH(cadangan[[#This Row],[ItemID B]],Katalog!$C$3:$C$12,0)),"-")</f>
        <v>Jaket Jeans</v>
      </c>
      <c r="O125" s="50">
        <v>2</v>
      </c>
      <c r="P125" s="50">
        <v>2</v>
      </c>
      <c r="Q125" s="73">
        <f>IFERROR(INDEX(Katalog!$D$3:$D$12,MATCH(cadangan[[#This Row],[ItemID B]],Katalog!$C$3:$C$12,0))*cadangan[[#This Row],[Qty B]],0)</f>
        <v>800000</v>
      </c>
      <c r="R125" s="73">
        <f>IFERROR(cadangan[[#This Row],[Harga Normal B]]-(cadangan[[#This Row],[Harga Normal B]]*cadangan[[#This Row],[Diskon]]),cadangan[[#This Row],[Harga Normal B]])</f>
        <v>680000</v>
      </c>
      <c r="S125" s="73">
        <f>IFERROR(INDEX(Katalog!$F$3:$F$12,MATCH(cadangan[[#This Row],[ItemID B]],Katalog!$C$3:$C$12,0))*cadangan[[#This Row],[Qty B]],0)</f>
        <v>300000</v>
      </c>
      <c r="T125" s="73">
        <f>IFERROR(cadangan[[#This Row],[Harga Diskon B]]-INDEX(Katalog!$E$3:$E$12,MATCH(cadangan[[#This Row],[ItemID B]],Katalog!$C$3:$C$12,0))*cadangan[[#This Row],[Qty B]],0)</f>
        <v>180000</v>
      </c>
      <c r="V125" s="39" t="str">
        <f>IFERROR(INDEX(Katalog!$A$3:$A$12,MATCH(cadangan[[#This Row],[ItemID C]],Katalog!$C$3:$C$12,0)),"-")</f>
        <v>-</v>
      </c>
      <c r="W125" s="39" t="str">
        <f>IFERROR(INDEX(Katalog!$B$3:$B$12,MATCH(cadangan[[#This Row],[ItemID C]],Katalog!$C$3:$C$12,0)),"-")</f>
        <v>-</v>
      </c>
      <c r="Z125" s="73">
        <f>IFERROR(INDEX(Katalog!$D$3:$D$12,MATCH(cadangan[[#This Row],[ItemID C]],Katalog!$C$3:$C$12,0))*cadangan[[#This Row],[Qty C]],0)</f>
        <v>0</v>
      </c>
      <c r="AA125" s="73">
        <f>IFERROR(cadangan[[#This Row],[Harga Normal C]]-(cadangan[[#This Row],[Harga Normal C]]*cadangan[[#This Row],[Diskon]]),cadangan[[#This Row],[Harga Normal C]])</f>
        <v>0</v>
      </c>
      <c r="AB125" s="73">
        <f>IFERROR(INDEX(Katalog!$F$3:$F$12,MATCH(cadangan[[#This Row],[ItemID C]],Katalog!$C$3:$C$12,0))*cadangan[[#This Row],[Qty C]],0)</f>
        <v>0</v>
      </c>
      <c r="AC125" s="73">
        <f>IFERROR(cadangan[[#This Row],[Harga Diskon C]]-INDEX(Katalog!$E$3:$E$12,MATCH(cadangan[[#This Row],[ItemID C]],Katalog!$C$3:$C$12,0))*cadangan[[#This Row],[Qty C]],0)</f>
        <v>0</v>
      </c>
      <c r="AD125" s="53">
        <f>cadangan[[#This Row],[Qty A]]+cadangan[[#This Row],[Qty B]]+cadangan[[#This Row],[Qty C]]</f>
        <v>4</v>
      </c>
      <c r="AE125" s="73">
        <f>cadangan[[#This Row],[Harga Normal A]]+cadangan[[#This Row],[Harga Normal B]]+cadangan[[#This Row],[Harga Normal C]]</f>
        <v>1300000</v>
      </c>
      <c r="AF125" s="73">
        <f>cadangan[[#This Row],[Harga Diskon A]]+cadangan[[#This Row],[Harga Diskon B]]+cadangan[[#This Row],[Harga Diskon C]]</f>
        <v>1105000</v>
      </c>
      <c r="AG125" s="73">
        <f>(cadangan[[#This Row],[Profit Normal A]]+cadangan[[#This Row],[Profit Normal B]]+cadangan[[#This Row],[Profit Normal C]])</f>
        <v>500000</v>
      </c>
      <c r="AH125" s="73">
        <f>cadangan[[#This Row],[Profit Diskon A]]+cadangan[[#This Row],[Profit Diskon B]]+cadangan[[#This Row],[Profit Diskon C]]</f>
        <v>305000</v>
      </c>
      <c r="AI125" s="23" t="s">
        <v>13</v>
      </c>
      <c r="AJ125" s="37">
        <f>IFERROR(INDEX('Kode Diskon'!$D$3:$D$9,MATCH(cadangan[[#This Row],[Kode diskon]],'Kode Diskon'!$C$3:$C$9,0)),"-")</f>
        <v>0.15</v>
      </c>
      <c r="AK125" s="23" t="s">
        <v>29</v>
      </c>
      <c r="AL125" s="23" t="s">
        <v>7</v>
      </c>
      <c r="AM125" s="23" t="s">
        <v>76</v>
      </c>
      <c r="AN125" s="55">
        <v>45020</v>
      </c>
      <c r="AO125" s="53">
        <f>DAY(cadangan[[#This Row],[Tanggal terjual]])</f>
        <v>4</v>
      </c>
      <c r="AP125" s="21" t="str">
        <f>TEXT(cadangan[[#This Row],[Tanggal terjual]],"dddd")</f>
        <v>Tuesday</v>
      </c>
      <c r="AQ125" s="23" t="str" cm="1">
        <f t="array" ref="AQ1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5" s="61">
        <f>AVERAGE(cadangan[[#This Row],[Rating A]],cadangan[[#This Row],[Rating B]],cadangan[[#This Row],[Rating C]])</f>
        <v>3.5</v>
      </c>
    </row>
    <row r="126" spans="1:44" x14ac:dyDescent="0.2">
      <c r="A126" s="20">
        <v>125</v>
      </c>
      <c r="B126" s="21" t="str">
        <f>_xlfn.CONCAT("ORD-",INDEX(Helper!$B$2:$B$5,MATCH(cadangan[[#This Row],[Marketplace]],Helper!$A$2:$A$5,0)),TEXT(cadangan[[#This Row],[No]],"0000"),"-",TEXT(cadangan[[#This Row],[Tanggal terjual]],"dd/mm/yy"))</f>
        <v>ORD-SP0125-06/04/23</v>
      </c>
      <c r="C126" s="39" t="s">
        <v>65</v>
      </c>
      <c r="D126" s="39" t="str">
        <f>IFERROR(INDEX(Katalog!$A$3:$A$12,MATCH(cadangan[[#This Row],[ItemID A]],Katalog!$C$3:$C$12,0)),"-")</f>
        <v>Sepatu Pria</v>
      </c>
      <c r="E126" s="39" t="str">
        <f>IFERROR(INDEX(Katalog!$B$3:$B$12,MATCH(cadangan[[#This Row],[ItemID A]],Katalog!$C$3:$C$12,0)),"-")</f>
        <v>Sneakers</v>
      </c>
      <c r="F126" s="50">
        <v>1</v>
      </c>
      <c r="G126" s="50">
        <v>5</v>
      </c>
      <c r="H126" s="73">
        <f>IFERROR(INDEX(Katalog!$D$3:$D$12,MATCH(cadangan[[#This Row],[ItemID A]],Katalog!$C$3:$C$12,0))*cadangan[[#This Row],[Qty A]],0)</f>
        <v>500000</v>
      </c>
      <c r="I126" s="73">
        <f>IFERROR(cadangan[[#This Row],[Harga Normal A]]-(cadangan[[#This Row],[Harga Normal A]]*cadangan[[#This Row],[Diskon]]),cadangan[[#This Row],[Harga Normal A]])</f>
        <v>450000</v>
      </c>
      <c r="J126" s="73">
        <f>INDEX(Katalog!$F$3:$F$12,MATCH(cadangan[[#This Row],[ItemID A]],Katalog!$C$3:$C$12,0))*cadangan[[#This Row],[Qty A]]</f>
        <v>200000</v>
      </c>
      <c r="K126" s="73">
        <f>IFERROR(cadangan[[#This Row],[Harga Diskon A]]-INDEX(Katalog!$E$3:$E$12,MATCH(cadangan[[#This Row],[ItemID A]],Katalog!$C$3:$C$12,0))*cadangan[[#This Row],[Qty A]],0)</f>
        <v>150000</v>
      </c>
      <c r="L126" s="39" t="s">
        <v>67</v>
      </c>
      <c r="M126" s="39" t="str">
        <f>IFERROR(INDEX(Katalog!$A$3:$A$12,MATCH(cadangan[[#This Row],[ItemID B]],Katalog!$C$3:$C$12,0)),"-")</f>
        <v>Sepatu Wanita</v>
      </c>
      <c r="N126" s="39" t="str">
        <f>IFERROR(INDEX(Katalog!$B$3:$B$12,MATCH(cadangan[[#This Row],[ItemID B]],Katalog!$C$3:$C$12,0)),"-")</f>
        <v>Flat Shoes</v>
      </c>
      <c r="O126" s="50">
        <v>1</v>
      </c>
      <c r="P126" s="50">
        <v>4</v>
      </c>
      <c r="Q126" s="73">
        <f>IFERROR(INDEX(Katalog!$D$3:$D$12,MATCH(cadangan[[#This Row],[ItemID B]],Katalog!$C$3:$C$12,0))*cadangan[[#This Row],[Qty B]],0)</f>
        <v>250000</v>
      </c>
      <c r="R126" s="73">
        <f>IFERROR(cadangan[[#This Row],[Harga Normal B]]-(cadangan[[#This Row],[Harga Normal B]]*cadangan[[#This Row],[Diskon]]),cadangan[[#This Row],[Harga Normal B]])</f>
        <v>225000</v>
      </c>
      <c r="S126" s="73">
        <f>IFERROR(INDEX(Katalog!$F$3:$F$12,MATCH(cadangan[[#This Row],[ItemID B]],Katalog!$C$3:$C$12,0))*cadangan[[#This Row],[Qty B]],0)</f>
        <v>100000</v>
      </c>
      <c r="T126" s="73">
        <f>IFERROR(cadangan[[#This Row],[Harga Diskon B]]-INDEX(Katalog!$E$3:$E$12,MATCH(cadangan[[#This Row],[ItemID B]],Katalog!$C$3:$C$12,0))*cadangan[[#This Row],[Qty B]],0)</f>
        <v>75000</v>
      </c>
      <c r="V126" s="39" t="str">
        <f>IFERROR(INDEX(Katalog!$A$3:$A$12,MATCH(cadangan[[#This Row],[ItemID C]],Katalog!$C$3:$C$12,0)),"-")</f>
        <v>-</v>
      </c>
      <c r="W126" s="39" t="str">
        <f>IFERROR(INDEX(Katalog!$B$3:$B$12,MATCH(cadangan[[#This Row],[ItemID C]],Katalog!$C$3:$C$12,0)),"-")</f>
        <v>-</v>
      </c>
      <c r="Z126" s="73">
        <f>IFERROR(INDEX(Katalog!$D$3:$D$12,MATCH(cadangan[[#This Row],[ItemID C]],Katalog!$C$3:$C$12,0))*cadangan[[#This Row],[Qty C]],0)</f>
        <v>0</v>
      </c>
      <c r="AA126" s="73">
        <f>IFERROR(cadangan[[#This Row],[Harga Normal C]]-(cadangan[[#This Row],[Harga Normal C]]*cadangan[[#This Row],[Diskon]]),cadangan[[#This Row],[Harga Normal C]])</f>
        <v>0</v>
      </c>
      <c r="AB126" s="73">
        <f>IFERROR(INDEX(Katalog!$F$3:$F$12,MATCH(cadangan[[#This Row],[ItemID C]],Katalog!$C$3:$C$12,0))*cadangan[[#This Row],[Qty C]],0)</f>
        <v>0</v>
      </c>
      <c r="AC126" s="73">
        <f>IFERROR(cadangan[[#This Row],[Harga Diskon C]]-INDEX(Katalog!$E$3:$E$12,MATCH(cadangan[[#This Row],[ItemID C]],Katalog!$C$3:$C$12,0))*cadangan[[#This Row],[Qty C]],0)</f>
        <v>0</v>
      </c>
      <c r="AD126" s="53">
        <f>cadangan[[#This Row],[Qty A]]+cadangan[[#This Row],[Qty B]]+cadangan[[#This Row],[Qty C]]</f>
        <v>2</v>
      </c>
      <c r="AE126" s="73">
        <f>cadangan[[#This Row],[Harga Normal A]]+cadangan[[#This Row],[Harga Normal B]]+cadangan[[#This Row],[Harga Normal C]]</f>
        <v>750000</v>
      </c>
      <c r="AF126" s="73">
        <f>cadangan[[#This Row],[Harga Diskon A]]+cadangan[[#This Row],[Harga Diskon B]]+cadangan[[#This Row],[Harga Diskon C]]</f>
        <v>675000</v>
      </c>
      <c r="AG126" s="73">
        <f>(cadangan[[#This Row],[Profit Normal A]]+cadangan[[#This Row],[Profit Normal B]]+cadangan[[#This Row],[Profit Normal C]])</f>
        <v>300000</v>
      </c>
      <c r="AH126" s="73">
        <f>cadangan[[#This Row],[Profit Diskon A]]+cadangan[[#This Row],[Profit Diskon B]]+cadangan[[#This Row],[Profit Diskon C]]</f>
        <v>225000</v>
      </c>
      <c r="AI126" s="23" t="s">
        <v>6</v>
      </c>
      <c r="AJ126" s="37">
        <f>IFERROR(INDEX('Kode Diskon'!$D$3:$D$9,MATCH(cadangan[[#This Row],[Kode diskon]],'Kode Diskon'!$C$3:$C$9,0)),"-")</f>
        <v>0.1</v>
      </c>
      <c r="AK126" s="23" t="s">
        <v>29</v>
      </c>
      <c r="AL126" s="23" t="s">
        <v>7</v>
      </c>
      <c r="AM126" s="23" t="s">
        <v>80</v>
      </c>
      <c r="AN126" s="55">
        <v>45022</v>
      </c>
      <c r="AO126" s="53">
        <f>DAY(cadangan[[#This Row],[Tanggal terjual]])</f>
        <v>6</v>
      </c>
      <c r="AP126" s="21" t="str">
        <f>TEXT(cadangan[[#This Row],[Tanggal terjual]],"dddd")</f>
        <v>Thursday</v>
      </c>
      <c r="AQ126" s="23" t="str" cm="1">
        <f t="array" ref="AQ1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6" s="61">
        <f>AVERAGE(cadangan[[#This Row],[Rating A]],cadangan[[#This Row],[Rating B]],cadangan[[#This Row],[Rating C]])</f>
        <v>4.5</v>
      </c>
    </row>
    <row r="127" spans="1:44" x14ac:dyDescent="0.2">
      <c r="A127" s="20">
        <v>126</v>
      </c>
      <c r="B127" s="21" t="str">
        <f>_xlfn.CONCAT("ORD-",INDEX(Helper!$B$2:$B$5,MATCH(cadangan[[#This Row],[Marketplace]],Helper!$A$2:$A$5,0)),TEXT(cadangan[[#This Row],[No]],"0000"),"-",TEXT(cadangan[[#This Row],[Tanggal terjual]],"dd/mm/yy"))</f>
        <v>ORD-TK0126-17/04/23</v>
      </c>
      <c r="C127" s="39" t="s">
        <v>60</v>
      </c>
      <c r="D127" s="39" t="str">
        <f>IFERROR(INDEX(Katalog!$A$3:$A$12,MATCH(cadangan[[#This Row],[ItemID A]],Katalog!$C$3:$C$12,0)),"-")</f>
        <v>Pakaian Wanita</v>
      </c>
      <c r="E127" s="39" t="str">
        <f>IFERROR(INDEX(Katalog!$B$3:$B$12,MATCH(cadangan[[#This Row],[ItemID A]],Katalog!$C$3:$C$12,0)),"-")</f>
        <v>Kaftan</v>
      </c>
      <c r="F127" s="50">
        <v>4</v>
      </c>
      <c r="G127" s="50">
        <v>5</v>
      </c>
      <c r="H127" s="73">
        <f>IFERROR(INDEX(Katalog!$D$3:$D$12,MATCH(cadangan[[#This Row],[ItemID A]],Katalog!$C$3:$C$12,0))*cadangan[[#This Row],[Qty A]],0)</f>
        <v>1000000</v>
      </c>
      <c r="I127" s="73">
        <f>IFERROR(cadangan[[#This Row],[Harga Normal A]]-(cadangan[[#This Row],[Harga Normal A]]*cadangan[[#This Row],[Diskon]]),cadangan[[#This Row],[Harga Normal A]])</f>
        <v>900000</v>
      </c>
      <c r="J127" s="73">
        <f>INDEX(Katalog!$F$3:$F$12,MATCH(cadangan[[#This Row],[ItemID A]],Katalog!$C$3:$C$12,0))*cadangan[[#This Row],[Qty A]]</f>
        <v>400000</v>
      </c>
      <c r="K127" s="73">
        <f>IFERROR(cadangan[[#This Row],[Harga Diskon A]]-INDEX(Katalog!$E$3:$E$12,MATCH(cadangan[[#This Row],[ItemID A]],Katalog!$C$3:$C$12,0))*cadangan[[#This Row],[Qty A]],0)</f>
        <v>300000</v>
      </c>
      <c r="L127" s="39" t="s">
        <v>67</v>
      </c>
      <c r="M127" s="39" t="str">
        <f>IFERROR(INDEX(Katalog!$A$3:$A$12,MATCH(cadangan[[#This Row],[ItemID B]],Katalog!$C$3:$C$12,0)),"-")</f>
        <v>Sepatu Wanita</v>
      </c>
      <c r="N127" s="39" t="str">
        <f>IFERROR(INDEX(Katalog!$B$3:$B$12,MATCH(cadangan[[#This Row],[ItemID B]],Katalog!$C$3:$C$12,0)),"-")</f>
        <v>Flat Shoes</v>
      </c>
      <c r="O127" s="50">
        <v>1</v>
      </c>
      <c r="P127" s="50">
        <v>2</v>
      </c>
      <c r="Q127" s="73">
        <f>IFERROR(INDEX(Katalog!$D$3:$D$12,MATCH(cadangan[[#This Row],[ItemID B]],Katalog!$C$3:$C$12,0))*cadangan[[#This Row],[Qty B]],0)</f>
        <v>250000</v>
      </c>
      <c r="R127" s="73">
        <f>IFERROR(cadangan[[#This Row],[Harga Normal B]]-(cadangan[[#This Row],[Harga Normal B]]*cadangan[[#This Row],[Diskon]]),cadangan[[#This Row],[Harga Normal B]])</f>
        <v>225000</v>
      </c>
      <c r="S127" s="73">
        <f>IFERROR(INDEX(Katalog!$F$3:$F$12,MATCH(cadangan[[#This Row],[ItemID B]],Katalog!$C$3:$C$12,0))*cadangan[[#This Row],[Qty B]],0)</f>
        <v>100000</v>
      </c>
      <c r="T127" s="73">
        <f>IFERROR(cadangan[[#This Row],[Harga Diskon B]]-INDEX(Katalog!$E$3:$E$12,MATCH(cadangan[[#This Row],[ItemID B]],Katalog!$C$3:$C$12,0))*cadangan[[#This Row],[Qty B]],0)</f>
        <v>75000</v>
      </c>
      <c r="U127" s="39" t="s">
        <v>59</v>
      </c>
      <c r="V127" s="39" t="str">
        <f>IFERROR(INDEX(Katalog!$A$3:$A$12,MATCH(cadangan[[#This Row],[ItemID C]],Katalog!$C$3:$C$12,0)),"-")</f>
        <v>Pakaian Wanita</v>
      </c>
      <c r="W127" s="39" t="str">
        <f>IFERROR(INDEX(Katalog!$B$3:$B$12,MATCH(cadangan[[#This Row],[ItemID C]],Katalog!$C$3:$C$12,0)),"-")</f>
        <v>Blouse</v>
      </c>
      <c r="X127" s="50">
        <v>2</v>
      </c>
      <c r="Y127" s="50">
        <v>5</v>
      </c>
      <c r="Z127" s="73">
        <f>IFERROR(INDEX(Katalog!$D$3:$D$12,MATCH(cadangan[[#This Row],[ItemID C]],Katalog!$C$3:$C$12,0))*cadangan[[#This Row],[Qty C]],0)</f>
        <v>300000</v>
      </c>
      <c r="AA127" s="73">
        <f>IFERROR(cadangan[[#This Row],[Harga Normal C]]-(cadangan[[#This Row],[Harga Normal C]]*cadangan[[#This Row],[Diskon]]),cadangan[[#This Row],[Harga Normal C]])</f>
        <v>270000</v>
      </c>
      <c r="AB127" s="73">
        <f>IFERROR(INDEX(Katalog!$F$3:$F$12,MATCH(cadangan[[#This Row],[ItemID C]],Katalog!$C$3:$C$12,0))*cadangan[[#This Row],[Qty C]],0)</f>
        <v>100000</v>
      </c>
      <c r="AC127" s="73">
        <f>IFERROR(cadangan[[#This Row],[Harga Diskon C]]-INDEX(Katalog!$E$3:$E$12,MATCH(cadangan[[#This Row],[ItemID C]],Katalog!$C$3:$C$12,0))*cadangan[[#This Row],[Qty C]],0)</f>
        <v>70000</v>
      </c>
      <c r="AD127" s="53">
        <f>cadangan[[#This Row],[Qty A]]+cadangan[[#This Row],[Qty B]]+cadangan[[#This Row],[Qty C]]</f>
        <v>7</v>
      </c>
      <c r="AE127" s="73">
        <f>cadangan[[#This Row],[Harga Normal A]]+cadangan[[#This Row],[Harga Normal B]]+cadangan[[#This Row],[Harga Normal C]]</f>
        <v>1550000</v>
      </c>
      <c r="AF127" s="73">
        <f>cadangan[[#This Row],[Harga Diskon A]]+cadangan[[#This Row],[Harga Diskon B]]+cadangan[[#This Row],[Harga Diskon C]]</f>
        <v>1395000</v>
      </c>
      <c r="AG127" s="73">
        <f>(cadangan[[#This Row],[Profit Normal A]]+cadangan[[#This Row],[Profit Normal B]]+cadangan[[#This Row],[Profit Normal C]])</f>
        <v>600000</v>
      </c>
      <c r="AH127" s="73">
        <f>cadangan[[#This Row],[Profit Diskon A]]+cadangan[[#This Row],[Profit Diskon B]]+cadangan[[#This Row],[Profit Diskon C]]</f>
        <v>445000</v>
      </c>
      <c r="AI127" s="23" t="s">
        <v>31</v>
      </c>
      <c r="AJ127" s="37">
        <f>IFERROR(INDEX('Kode Diskon'!$D$3:$D$9,MATCH(cadangan[[#This Row],[Kode diskon]],'Kode Diskon'!$C$3:$C$9,0)),"-")</f>
        <v>0.1</v>
      </c>
      <c r="AK127" s="23" t="s">
        <v>9</v>
      </c>
      <c r="AL127" s="23" t="s">
        <v>10</v>
      </c>
      <c r="AM127" s="23" t="s">
        <v>78</v>
      </c>
      <c r="AN127" s="55">
        <v>45033</v>
      </c>
      <c r="AO127" s="53">
        <f>DAY(cadangan[[#This Row],[Tanggal terjual]])</f>
        <v>17</v>
      </c>
      <c r="AP127" s="21" t="str">
        <f>TEXT(cadangan[[#This Row],[Tanggal terjual]],"dddd")</f>
        <v>Monday</v>
      </c>
      <c r="AQ127" s="23" t="str" cm="1">
        <f t="array" ref="AQ1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27" s="61">
        <f>AVERAGE(cadangan[[#This Row],[Rating A]],cadangan[[#This Row],[Rating B]],cadangan[[#This Row],[Rating C]])</f>
        <v>4</v>
      </c>
    </row>
    <row r="128" spans="1:44" x14ac:dyDescent="0.2">
      <c r="A128" s="20">
        <v>127</v>
      </c>
      <c r="B128" s="21" t="str">
        <f>_xlfn.CONCAT("ORD-",INDEX(Helper!$B$2:$B$5,MATCH(cadangan[[#This Row],[Marketplace]],Helper!$A$2:$A$5,0)),TEXT(cadangan[[#This Row],[No]],"0000"),"-",TEXT(cadangan[[#This Row],[Tanggal terjual]],"dd/mm/yy"))</f>
        <v>ORD-BB0127-02/04/23</v>
      </c>
      <c r="C128" s="39" t="s">
        <v>59</v>
      </c>
      <c r="D128" s="39" t="str">
        <f>IFERROR(INDEX(Katalog!$A$3:$A$12,MATCH(cadangan[[#This Row],[ItemID A]],Katalog!$C$3:$C$12,0)),"-")</f>
        <v>Pakaian Wanita</v>
      </c>
      <c r="E128" s="39" t="str">
        <f>IFERROR(INDEX(Katalog!$B$3:$B$12,MATCH(cadangan[[#This Row],[ItemID A]],Katalog!$C$3:$C$12,0)),"-")</f>
        <v>Blouse</v>
      </c>
      <c r="F128" s="50">
        <v>3</v>
      </c>
      <c r="G128" s="50">
        <v>2</v>
      </c>
      <c r="H128" s="73">
        <f>IFERROR(INDEX(Katalog!$D$3:$D$12,MATCH(cadangan[[#This Row],[ItemID A]],Katalog!$C$3:$C$12,0))*cadangan[[#This Row],[Qty A]],0)</f>
        <v>450000</v>
      </c>
      <c r="I128" s="73">
        <f>IFERROR(cadangan[[#This Row],[Harga Normal A]]-(cadangan[[#This Row],[Harga Normal A]]*cadangan[[#This Row],[Diskon]]),cadangan[[#This Row],[Harga Normal A]])</f>
        <v>382500</v>
      </c>
      <c r="J128" s="73">
        <f>INDEX(Katalog!$F$3:$F$12,MATCH(cadangan[[#This Row],[ItemID A]],Katalog!$C$3:$C$12,0))*cadangan[[#This Row],[Qty A]]</f>
        <v>150000</v>
      </c>
      <c r="K128" s="73">
        <f>IFERROR(cadangan[[#This Row],[Harga Diskon A]]-INDEX(Katalog!$E$3:$E$12,MATCH(cadangan[[#This Row],[ItemID A]],Katalog!$C$3:$C$12,0))*cadangan[[#This Row],[Qty A]],0)</f>
        <v>82500</v>
      </c>
      <c r="L128" s="39" t="s">
        <v>67</v>
      </c>
      <c r="M128" s="39" t="str">
        <f>IFERROR(INDEX(Katalog!$A$3:$A$12,MATCH(cadangan[[#This Row],[ItemID B]],Katalog!$C$3:$C$12,0)),"-")</f>
        <v>Sepatu Wanita</v>
      </c>
      <c r="N128" s="39" t="str">
        <f>IFERROR(INDEX(Katalog!$B$3:$B$12,MATCH(cadangan[[#This Row],[ItemID B]],Katalog!$C$3:$C$12,0)),"-")</f>
        <v>Flat Shoes</v>
      </c>
      <c r="O128" s="50">
        <v>2</v>
      </c>
      <c r="P128" s="50">
        <v>4</v>
      </c>
      <c r="Q128" s="73">
        <f>IFERROR(INDEX(Katalog!$D$3:$D$12,MATCH(cadangan[[#This Row],[ItemID B]],Katalog!$C$3:$C$12,0))*cadangan[[#This Row],[Qty B]],0)</f>
        <v>500000</v>
      </c>
      <c r="R128" s="73">
        <f>IFERROR(cadangan[[#This Row],[Harga Normal B]]-(cadangan[[#This Row],[Harga Normal B]]*cadangan[[#This Row],[Diskon]]),cadangan[[#This Row],[Harga Normal B]])</f>
        <v>425000</v>
      </c>
      <c r="S128" s="73">
        <f>IFERROR(INDEX(Katalog!$F$3:$F$12,MATCH(cadangan[[#This Row],[ItemID B]],Katalog!$C$3:$C$12,0))*cadangan[[#This Row],[Qty B]],0)</f>
        <v>200000</v>
      </c>
      <c r="T128" s="73">
        <f>IFERROR(cadangan[[#This Row],[Harga Diskon B]]-INDEX(Katalog!$E$3:$E$12,MATCH(cadangan[[#This Row],[ItemID B]],Katalog!$C$3:$C$12,0))*cadangan[[#This Row],[Qty B]],0)</f>
        <v>125000</v>
      </c>
      <c r="U128" s="39" t="s">
        <v>64</v>
      </c>
      <c r="V128" s="39" t="str">
        <f>IFERROR(INDEX(Katalog!$A$3:$A$12,MATCH(cadangan[[#This Row],[ItemID C]],Katalog!$C$3:$C$12,0)),"-")</f>
        <v>Pakaian Unisex</v>
      </c>
      <c r="W128" s="39" t="str">
        <f>IFERROR(INDEX(Katalog!$B$3:$B$12,MATCH(cadangan[[#This Row],[ItemID C]],Katalog!$C$3:$C$12,0)),"-")</f>
        <v>Jaket Hoodie</v>
      </c>
      <c r="X128" s="50">
        <v>1</v>
      </c>
      <c r="Y128" s="50">
        <v>1</v>
      </c>
      <c r="Z128" s="73">
        <f>IFERROR(INDEX(Katalog!$D$3:$D$12,MATCH(cadangan[[#This Row],[ItemID C]],Katalog!$C$3:$C$12,0))*cadangan[[#This Row],[Qty C]],0)</f>
        <v>350000</v>
      </c>
      <c r="AA128" s="73">
        <f>IFERROR(cadangan[[#This Row],[Harga Normal C]]-(cadangan[[#This Row],[Harga Normal C]]*cadangan[[#This Row],[Diskon]]),cadangan[[#This Row],[Harga Normal C]])</f>
        <v>297500</v>
      </c>
      <c r="AB128" s="73">
        <f>IFERROR(INDEX(Katalog!$F$3:$F$12,MATCH(cadangan[[#This Row],[ItemID C]],Katalog!$C$3:$C$12,0))*cadangan[[#This Row],[Qty C]],0)</f>
        <v>130000</v>
      </c>
      <c r="AC128" s="73">
        <f>IFERROR(cadangan[[#This Row],[Harga Diskon C]]-INDEX(Katalog!$E$3:$E$12,MATCH(cadangan[[#This Row],[ItemID C]],Katalog!$C$3:$C$12,0))*cadangan[[#This Row],[Qty C]],0)</f>
        <v>77500</v>
      </c>
      <c r="AD128" s="53">
        <f>cadangan[[#This Row],[Qty A]]+cadangan[[#This Row],[Qty B]]+cadangan[[#This Row],[Qty C]]</f>
        <v>6</v>
      </c>
      <c r="AE128" s="73">
        <f>cadangan[[#This Row],[Harga Normal A]]+cadangan[[#This Row],[Harga Normal B]]+cadangan[[#This Row],[Harga Normal C]]</f>
        <v>1300000</v>
      </c>
      <c r="AF128" s="73">
        <f>cadangan[[#This Row],[Harga Diskon A]]+cadangan[[#This Row],[Harga Diskon B]]+cadangan[[#This Row],[Harga Diskon C]]</f>
        <v>1105000</v>
      </c>
      <c r="AG128" s="73">
        <f>(cadangan[[#This Row],[Profit Normal A]]+cadangan[[#This Row],[Profit Normal B]]+cadangan[[#This Row],[Profit Normal C]])</f>
        <v>480000</v>
      </c>
      <c r="AH128" s="73">
        <f>cadangan[[#This Row],[Profit Diskon A]]+cadangan[[#This Row],[Profit Diskon B]]+cadangan[[#This Row],[Profit Diskon C]]</f>
        <v>285000</v>
      </c>
      <c r="AI128" s="23" t="s">
        <v>28</v>
      </c>
      <c r="AJ128" s="37">
        <f>IFERROR(INDEX('Kode Diskon'!$D$3:$D$9,MATCH(cadangan[[#This Row],[Kode diskon]],'Kode Diskon'!$C$3:$C$9,0)),"-")</f>
        <v>0.15</v>
      </c>
      <c r="AK128" s="23" t="s">
        <v>29</v>
      </c>
      <c r="AL128" s="23" t="s">
        <v>14</v>
      </c>
      <c r="AM128" s="23" t="s">
        <v>76</v>
      </c>
      <c r="AN128" s="55">
        <v>45018</v>
      </c>
      <c r="AO128" s="53">
        <f>DAY(cadangan[[#This Row],[Tanggal terjual]])</f>
        <v>2</v>
      </c>
      <c r="AP128" s="21" t="str">
        <f>TEXT(cadangan[[#This Row],[Tanggal terjual]],"dddd")</f>
        <v>Sunday</v>
      </c>
      <c r="AQ128" s="23" t="str" cm="1">
        <f t="array" ref="AQ1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28" s="61">
        <f>AVERAGE(cadangan[[#This Row],[Rating A]],cadangan[[#This Row],[Rating B]],cadangan[[#This Row],[Rating C]])</f>
        <v>2.3333333333333335</v>
      </c>
    </row>
    <row r="129" spans="1:44" x14ac:dyDescent="0.2">
      <c r="A129" s="20">
        <v>128</v>
      </c>
      <c r="B129" s="21" t="str">
        <f>_xlfn.CONCAT("ORD-",INDEX(Helper!$B$2:$B$5,MATCH(cadangan[[#This Row],[Marketplace]],Helper!$A$2:$A$5,0)),TEXT(cadangan[[#This Row],[No]],"0000"),"-",TEXT(cadangan[[#This Row],[Tanggal terjual]],"dd/mm/yy"))</f>
        <v>ORD-BL0128-28/04/23</v>
      </c>
      <c r="C129" s="39" t="s">
        <v>64</v>
      </c>
      <c r="D129" s="39" t="str">
        <f>IFERROR(INDEX(Katalog!$A$3:$A$12,MATCH(cadangan[[#This Row],[ItemID A]],Katalog!$C$3:$C$12,0)),"-")</f>
        <v>Pakaian Unisex</v>
      </c>
      <c r="E129" s="39" t="str">
        <f>IFERROR(INDEX(Katalog!$B$3:$B$12,MATCH(cadangan[[#This Row],[ItemID A]],Katalog!$C$3:$C$12,0)),"-")</f>
        <v>Jaket Hoodie</v>
      </c>
      <c r="F129" s="50">
        <v>7</v>
      </c>
      <c r="G129" s="50">
        <v>3</v>
      </c>
      <c r="H129" s="73">
        <f>IFERROR(INDEX(Katalog!$D$3:$D$12,MATCH(cadangan[[#This Row],[ItemID A]],Katalog!$C$3:$C$12,0))*cadangan[[#This Row],[Qty A]],0)</f>
        <v>2450000</v>
      </c>
      <c r="I129" s="73">
        <f>IFERROR(cadangan[[#This Row],[Harga Normal A]]-(cadangan[[#This Row],[Harga Normal A]]*cadangan[[#This Row],[Diskon]]),cadangan[[#This Row],[Harga Normal A]])</f>
        <v>2082500</v>
      </c>
      <c r="J129" s="73">
        <f>INDEX(Katalog!$F$3:$F$12,MATCH(cadangan[[#This Row],[ItemID A]],Katalog!$C$3:$C$12,0))*cadangan[[#This Row],[Qty A]]</f>
        <v>910000</v>
      </c>
      <c r="K129" s="73">
        <f>IFERROR(cadangan[[#This Row],[Harga Diskon A]]-INDEX(Katalog!$E$3:$E$12,MATCH(cadangan[[#This Row],[ItemID A]],Katalog!$C$3:$C$12,0))*cadangan[[#This Row],[Qty A]],0)</f>
        <v>542500</v>
      </c>
      <c r="M129" s="39" t="str">
        <f>IFERROR(INDEX(Katalog!$A$3:$A$12,MATCH(cadangan[[#This Row],[ItemID B]],Katalog!$C$3:$C$12,0)),"-")</f>
        <v>-</v>
      </c>
      <c r="N129" s="39" t="str">
        <f>IFERROR(INDEX(Katalog!$B$3:$B$12,MATCH(cadangan[[#This Row],[ItemID B]],Katalog!$C$3:$C$12,0)),"-")</f>
        <v>-</v>
      </c>
      <c r="Q129" s="73">
        <f>IFERROR(INDEX(Katalog!$D$3:$D$12,MATCH(cadangan[[#This Row],[ItemID B]],Katalog!$C$3:$C$12,0))*cadangan[[#This Row],[Qty B]],0)</f>
        <v>0</v>
      </c>
      <c r="R129" s="73">
        <f>IFERROR(cadangan[[#This Row],[Harga Normal B]]-(cadangan[[#This Row],[Harga Normal B]]*cadangan[[#This Row],[Diskon]]),cadangan[[#This Row],[Harga Normal B]])</f>
        <v>0</v>
      </c>
      <c r="S129" s="73">
        <f>IFERROR(INDEX(Katalog!$F$3:$F$12,MATCH(cadangan[[#This Row],[ItemID B]],Katalog!$C$3:$C$12,0))*cadangan[[#This Row],[Qty B]],0)</f>
        <v>0</v>
      </c>
      <c r="T129" s="73">
        <f>IFERROR(cadangan[[#This Row],[Harga Diskon B]]-INDEX(Katalog!$E$3:$E$12,MATCH(cadangan[[#This Row],[ItemID B]],Katalog!$C$3:$C$12,0))*cadangan[[#This Row],[Qty B]],0)</f>
        <v>0</v>
      </c>
      <c r="V129" s="39" t="str">
        <f>IFERROR(INDEX(Katalog!$A$3:$A$12,MATCH(cadangan[[#This Row],[ItemID C]],Katalog!$C$3:$C$12,0)),"-")</f>
        <v>-</v>
      </c>
      <c r="W129" s="39" t="str">
        <f>IFERROR(INDEX(Katalog!$B$3:$B$12,MATCH(cadangan[[#This Row],[ItemID C]],Katalog!$C$3:$C$12,0)),"-")</f>
        <v>-</v>
      </c>
      <c r="Z129" s="73">
        <f>IFERROR(INDEX(Katalog!$D$3:$D$12,MATCH(cadangan[[#This Row],[ItemID C]],Katalog!$C$3:$C$12,0))*cadangan[[#This Row],[Qty C]],0)</f>
        <v>0</v>
      </c>
      <c r="AA129" s="73">
        <f>IFERROR(cadangan[[#This Row],[Harga Normal C]]-(cadangan[[#This Row],[Harga Normal C]]*cadangan[[#This Row],[Diskon]]),cadangan[[#This Row],[Harga Normal C]])</f>
        <v>0</v>
      </c>
      <c r="AB129" s="73">
        <f>IFERROR(INDEX(Katalog!$F$3:$F$12,MATCH(cadangan[[#This Row],[ItemID C]],Katalog!$C$3:$C$12,0))*cadangan[[#This Row],[Qty C]],0)</f>
        <v>0</v>
      </c>
      <c r="AC129" s="73">
        <f>IFERROR(cadangan[[#This Row],[Harga Diskon C]]-INDEX(Katalog!$E$3:$E$12,MATCH(cadangan[[#This Row],[ItemID C]],Katalog!$C$3:$C$12,0))*cadangan[[#This Row],[Qty C]],0)</f>
        <v>0</v>
      </c>
      <c r="AD129" s="53">
        <f>cadangan[[#This Row],[Qty A]]+cadangan[[#This Row],[Qty B]]+cadangan[[#This Row],[Qty C]]</f>
        <v>7</v>
      </c>
      <c r="AE129" s="73">
        <f>cadangan[[#This Row],[Harga Normal A]]+cadangan[[#This Row],[Harga Normal B]]+cadangan[[#This Row],[Harga Normal C]]</f>
        <v>2450000</v>
      </c>
      <c r="AF129" s="73">
        <f>cadangan[[#This Row],[Harga Diskon A]]+cadangan[[#This Row],[Harga Diskon B]]+cadangan[[#This Row],[Harga Diskon C]]</f>
        <v>2082500</v>
      </c>
      <c r="AG129" s="73">
        <f>(cadangan[[#This Row],[Profit Normal A]]+cadangan[[#This Row],[Profit Normal B]]+cadangan[[#This Row],[Profit Normal C]])</f>
        <v>910000</v>
      </c>
      <c r="AH129" s="73">
        <f>cadangan[[#This Row],[Profit Diskon A]]+cadangan[[#This Row],[Profit Diskon B]]+cadangan[[#This Row],[Profit Diskon C]]</f>
        <v>542500</v>
      </c>
      <c r="AI129" s="23" t="s">
        <v>32</v>
      </c>
      <c r="AJ129" s="37">
        <f>IFERROR(INDEX('Kode Diskon'!$D$3:$D$9,MATCH(cadangan[[#This Row],[Kode diskon]],'Kode Diskon'!$C$3:$C$9,0)),"-")</f>
        <v>0.15</v>
      </c>
      <c r="AK129" s="23" t="s">
        <v>9</v>
      </c>
      <c r="AL129" s="23" t="s">
        <v>12</v>
      </c>
      <c r="AM129" s="23" t="s">
        <v>80</v>
      </c>
      <c r="AN129" s="55">
        <v>45044</v>
      </c>
      <c r="AO129" s="53">
        <f>DAY(cadangan[[#This Row],[Tanggal terjual]])</f>
        <v>28</v>
      </c>
      <c r="AP129" s="21" t="str">
        <f>TEXT(cadangan[[#This Row],[Tanggal terjual]],"dddd")</f>
        <v>Friday</v>
      </c>
      <c r="AQ129" s="23" t="str" cm="1">
        <f t="array" ref="AQ1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29" s="61">
        <f>AVERAGE(cadangan[[#This Row],[Rating A]],cadangan[[#This Row],[Rating B]],cadangan[[#This Row],[Rating C]])</f>
        <v>3</v>
      </c>
    </row>
    <row r="130" spans="1:44" x14ac:dyDescent="0.2">
      <c r="A130" s="20">
        <v>129</v>
      </c>
      <c r="B130" s="21" t="str">
        <f>_xlfn.CONCAT("ORD-",INDEX(Helper!$B$2:$B$5,MATCH(cadangan[[#This Row],[Marketplace]],Helper!$A$2:$A$5,0)),TEXT(cadangan[[#This Row],[No]],"0000"),"-",TEXT(cadangan[[#This Row],[Tanggal terjual]],"dd/mm/yy"))</f>
        <v>ORD-BB0129-06/04/23</v>
      </c>
      <c r="C130" s="39" t="s">
        <v>61</v>
      </c>
      <c r="D130" s="39" t="str">
        <f>IFERROR(INDEX(Katalog!$A$3:$A$12,MATCH(cadangan[[#This Row],[ItemID A]],Katalog!$C$3:$C$12,0)),"-")</f>
        <v>Pakaian Pria</v>
      </c>
      <c r="E130" s="39" t="str">
        <f>IFERROR(INDEX(Katalog!$B$3:$B$12,MATCH(cadangan[[#This Row],[ItemID A]],Katalog!$C$3:$C$12,0)),"-")</f>
        <v>Kaos Polo</v>
      </c>
      <c r="F130" s="50">
        <v>3</v>
      </c>
      <c r="G130" s="50">
        <v>2</v>
      </c>
      <c r="H130" s="73">
        <f>IFERROR(INDEX(Katalog!$D$3:$D$12,MATCH(cadangan[[#This Row],[ItemID A]],Katalog!$C$3:$C$12,0))*cadangan[[#This Row],[Qty A]],0)</f>
        <v>600000</v>
      </c>
      <c r="I130" s="73">
        <f>IFERROR(cadangan[[#This Row],[Harga Normal A]]-(cadangan[[#This Row],[Harga Normal A]]*cadangan[[#This Row],[Diskon]]),cadangan[[#This Row],[Harga Normal A]])</f>
        <v>510000</v>
      </c>
      <c r="J130" s="73">
        <f>INDEX(Katalog!$F$3:$F$12,MATCH(cadangan[[#This Row],[ItemID A]],Katalog!$C$3:$C$12,0))*cadangan[[#This Row],[Qty A]]</f>
        <v>240000</v>
      </c>
      <c r="K130" s="73">
        <f>IFERROR(cadangan[[#This Row],[Harga Diskon A]]-INDEX(Katalog!$E$3:$E$12,MATCH(cadangan[[#This Row],[ItemID A]],Katalog!$C$3:$C$12,0))*cadangan[[#This Row],[Qty A]],0)</f>
        <v>150000</v>
      </c>
      <c r="M130" s="39" t="str">
        <f>IFERROR(INDEX(Katalog!$A$3:$A$12,MATCH(cadangan[[#This Row],[ItemID B]],Katalog!$C$3:$C$12,0)),"-")</f>
        <v>-</v>
      </c>
      <c r="N130" s="39" t="str">
        <f>IFERROR(INDEX(Katalog!$B$3:$B$12,MATCH(cadangan[[#This Row],[ItemID B]],Katalog!$C$3:$C$12,0)),"-")</f>
        <v>-</v>
      </c>
      <c r="Q130" s="73">
        <f>IFERROR(INDEX(Katalog!$D$3:$D$12,MATCH(cadangan[[#This Row],[ItemID B]],Katalog!$C$3:$C$12,0))*cadangan[[#This Row],[Qty B]],0)</f>
        <v>0</v>
      </c>
      <c r="R130" s="73">
        <f>IFERROR(cadangan[[#This Row],[Harga Normal B]]-(cadangan[[#This Row],[Harga Normal B]]*cadangan[[#This Row],[Diskon]]),cadangan[[#This Row],[Harga Normal B]])</f>
        <v>0</v>
      </c>
      <c r="S130" s="73">
        <f>IFERROR(INDEX(Katalog!$F$3:$F$12,MATCH(cadangan[[#This Row],[ItemID B]],Katalog!$C$3:$C$12,0))*cadangan[[#This Row],[Qty B]],0)</f>
        <v>0</v>
      </c>
      <c r="T130" s="73">
        <f>IFERROR(cadangan[[#This Row],[Harga Diskon B]]-INDEX(Katalog!$E$3:$E$12,MATCH(cadangan[[#This Row],[ItemID B]],Katalog!$C$3:$C$12,0))*cadangan[[#This Row],[Qty B]],0)</f>
        <v>0</v>
      </c>
      <c r="V130" s="39" t="str">
        <f>IFERROR(INDEX(Katalog!$A$3:$A$12,MATCH(cadangan[[#This Row],[ItemID C]],Katalog!$C$3:$C$12,0)),"-")</f>
        <v>-</v>
      </c>
      <c r="W130" s="39" t="str">
        <f>IFERROR(INDEX(Katalog!$B$3:$B$12,MATCH(cadangan[[#This Row],[ItemID C]],Katalog!$C$3:$C$12,0)),"-")</f>
        <v>-</v>
      </c>
      <c r="Z130" s="73">
        <f>IFERROR(INDEX(Katalog!$D$3:$D$12,MATCH(cadangan[[#This Row],[ItemID C]],Katalog!$C$3:$C$12,0))*cadangan[[#This Row],[Qty C]],0)</f>
        <v>0</v>
      </c>
      <c r="AA130" s="73">
        <f>IFERROR(cadangan[[#This Row],[Harga Normal C]]-(cadangan[[#This Row],[Harga Normal C]]*cadangan[[#This Row],[Diskon]]),cadangan[[#This Row],[Harga Normal C]])</f>
        <v>0</v>
      </c>
      <c r="AB130" s="73">
        <f>IFERROR(INDEX(Katalog!$F$3:$F$12,MATCH(cadangan[[#This Row],[ItemID C]],Katalog!$C$3:$C$12,0))*cadangan[[#This Row],[Qty C]],0)</f>
        <v>0</v>
      </c>
      <c r="AC130" s="73">
        <f>IFERROR(cadangan[[#This Row],[Harga Diskon C]]-INDEX(Katalog!$E$3:$E$12,MATCH(cadangan[[#This Row],[ItemID C]],Katalog!$C$3:$C$12,0))*cadangan[[#This Row],[Qty C]],0)</f>
        <v>0</v>
      </c>
      <c r="AD130" s="53">
        <f>cadangan[[#This Row],[Qty A]]+cadangan[[#This Row],[Qty B]]+cadangan[[#This Row],[Qty C]]</f>
        <v>3</v>
      </c>
      <c r="AE130" s="73">
        <f>cadangan[[#This Row],[Harga Normal A]]+cadangan[[#This Row],[Harga Normal B]]+cadangan[[#This Row],[Harga Normal C]]</f>
        <v>600000</v>
      </c>
      <c r="AF130" s="73">
        <f>cadangan[[#This Row],[Harga Diskon A]]+cadangan[[#This Row],[Harga Diskon B]]+cadangan[[#This Row],[Harga Diskon C]]</f>
        <v>510000</v>
      </c>
      <c r="AG130" s="73">
        <f>(cadangan[[#This Row],[Profit Normal A]]+cadangan[[#This Row],[Profit Normal B]]+cadangan[[#This Row],[Profit Normal C]])</f>
        <v>240000</v>
      </c>
      <c r="AH130" s="73">
        <f>cadangan[[#This Row],[Profit Diskon A]]+cadangan[[#This Row],[Profit Diskon B]]+cadangan[[#This Row],[Profit Diskon C]]</f>
        <v>150000</v>
      </c>
      <c r="AI130" s="23" t="s">
        <v>28</v>
      </c>
      <c r="AJ130" s="37">
        <f>IFERROR(INDEX('Kode Diskon'!$D$3:$D$9,MATCH(cadangan[[#This Row],[Kode diskon]],'Kode Diskon'!$C$3:$C$9,0)),"-")</f>
        <v>0.15</v>
      </c>
      <c r="AK130" s="23" t="s">
        <v>29</v>
      </c>
      <c r="AL130" s="23" t="s">
        <v>14</v>
      </c>
      <c r="AM130" s="23" t="s">
        <v>80</v>
      </c>
      <c r="AN130" s="55">
        <v>45022</v>
      </c>
      <c r="AO130" s="53">
        <f>DAY(cadangan[[#This Row],[Tanggal terjual]])</f>
        <v>6</v>
      </c>
      <c r="AP130" s="21" t="str">
        <f>TEXT(cadangan[[#This Row],[Tanggal terjual]],"dddd")</f>
        <v>Thursday</v>
      </c>
      <c r="AQ130" s="23" t="str" cm="1">
        <f t="array" ref="AQ1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30" s="61">
        <f>AVERAGE(cadangan[[#This Row],[Rating A]],cadangan[[#This Row],[Rating B]],cadangan[[#This Row],[Rating C]])</f>
        <v>2</v>
      </c>
    </row>
    <row r="131" spans="1:44" x14ac:dyDescent="0.2">
      <c r="A131" s="20">
        <v>130</v>
      </c>
      <c r="B131" s="21" t="str">
        <f>_xlfn.CONCAT("ORD-",INDEX(Helper!$B$2:$B$5,MATCH(cadangan[[#This Row],[Marketplace]],Helper!$A$2:$A$5,0)),TEXT(cadangan[[#This Row],[No]],"0000"),"-",TEXT(cadangan[[#This Row],[Tanggal terjual]],"dd/mm/yy"))</f>
        <v>ORD-TK0130-05/04/23</v>
      </c>
      <c r="C131" s="39" t="s">
        <v>66</v>
      </c>
      <c r="D131" s="39" t="str">
        <f>IFERROR(INDEX(Katalog!$A$3:$A$12,MATCH(cadangan[[#This Row],[ItemID A]],Katalog!$C$3:$C$12,0)),"-")</f>
        <v>Sepatu Pria</v>
      </c>
      <c r="E131" s="39" t="str">
        <f>IFERROR(INDEX(Katalog!$B$3:$B$12,MATCH(cadangan[[#This Row],[ItemID A]],Katalog!$C$3:$C$12,0)),"-")</f>
        <v>Sandal Slip On</v>
      </c>
      <c r="F131" s="50">
        <v>2</v>
      </c>
      <c r="G131" s="50">
        <v>2</v>
      </c>
      <c r="H131" s="73">
        <f>IFERROR(INDEX(Katalog!$D$3:$D$12,MATCH(cadangan[[#This Row],[ItemID A]],Katalog!$C$3:$C$12,0))*cadangan[[#This Row],[Qty A]],0)</f>
        <v>300000</v>
      </c>
      <c r="I131" s="73">
        <f>IFERROR(cadangan[[#This Row],[Harga Normal A]]-(cadangan[[#This Row],[Harga Normal A]]*cadangan[[#This Row],[Diskon]]),cadangan[[#This Row],[Harga Normal A]])</f>
        <v>270000</v>
      </c>
      <c r="J131" s="73">
        <f>INDEX(Katalog!$F$3:$F$12,MATCH(cadangan[[#This Row],[ItemID A]],Katalog!$C$3:$C$12,0))*cadangan[[#This Row],[Qty A]]</f>
        <v>120000</v>
      </c>
      <c r="K131" s="73">
        <f>IFERROR(cadangan[[#This Row],[Harga Diskon A]]-INDEX(Katalog!$E$3:$E$12,MATCH(cadangan[[#This Row],[ItemID A]],Katalog!$C$3:$C$12,0))*cadangan[[#This Row],[Qty A]],0)</f>
        <v>90000</v>
      </c>
      <c r="M131" s="39" t="str">
        <f>IFERROR(INDEX(Katalog!$A$3:$A$12,MATCH(cadangan[[#This Row],[ItemID B]],Katalog!$C$3:$C$12,0)),"-")</f>
        <v>-</v>
      </c>
      <c r="N131" s="39" t="str">
        <f>IFERROR(INDEX(Katalog!$B$3:$B$12,MATCH(cadangan[[#This Row],[ItemID B]],Katalog!$C$3:$C$12,0)),"-")</f>
        <v>-</v>
      </c>
      <c r="Q131" s="73">
        <f>IFERROR(INDEX(Katalog!$D$3:$D$12,MATCH(cadangan[[#This Row],[ItemID B]],Katalog!$C$3:$C$12,0))*cadangan[[#This Row],[Qty B]],0)</f>
        <v>0</v>
      </c>
      <c r="R131" s="73">
        <f>IFERROR(cadangan[[#This Row],[Harga Normal B]]-(cadangan[[#This Row],[Harga Normal B]]*cadangan[[#This Row],[Diskon]]),cadangan[[#This Row],[Harga Normal B]])</f>
        <v>0</v>
      </c>
      <c r="S131" s="73">
        <f>IFERROR(INDEX(Katalog!$F$3:$F$12,MATCH(cadangan[[#This Row],[ItemID B]],Katalog!$C$3:$C$12,0))*cadangan[[#This Row],[Qty B]],0)</f>
        <v>0</v>
      </c>
      <c r="T131" s="73">
        <f>IFERROR(cadangan[[#This Row],[Harga Diskon B]]-INDEX(Katalog!$E$3:$E$12,MATCH(cadangan[[#This Row],[ItemID B]],Katalog!$C$3:$C$12,0))*cadangan[[#This Row],[Qty B]],0)</f>
        <v>0</v>
      </c>
      <c r="V131" s="39" t="str">
        <f>IFERROR(INDEX(Katalog!$A$3:$A$12,MATCH(cadangan[[#This Row],[ItemID C]],Katalog!$C$3:$C$12,0)),"-")</f>
        <v>-</v>
      </c>
      <c r="W131" s="39" t="str">
        <f>IFERROR(INDEX(Katalog!$B$3:$B$12,MATCH(cadangan[[#This Row],[ItemID C]],Katalog!$C$3:$C$12,0)),"-")</f>
        <v>-</v>
      </c>
      <c r="Z131" s="73">
        <f>IFERROR(INDEX(Katalog!$D$3:$D$12,MATCH(cadangan[[#This Row],[ItemID C]],Katalog!$C$3:$C$12,0))*cadangan[[#This Row],[Qty C]],0)</f>
        <v>0</v>
      </c>
      <c r="AA131" s="73">
        <f>IFERROR(cadangan[[#This Row],[Harga Normal C]]-(cadangan[[#This Row],[Harga Normal C]]*cadangan[[#This Row],[Diskon]]),cadangan[[#This Row],[Harga Normal C]])</f>
        <v>0</v>
      </c>
      <c r="AB131" s="73">
        <f>IFERROR(INDEX(Katalog!$F$3:$F$12,MATCH(cadangan[[#This Row],[ItemID C]],Katalog!$C$3:$C$12,0))*cadangan[[#This Row],[Qty C]],0)</f>
        <v>0</v>
      </c>
      <c r="AC131" s="73">
        <f>IFERROR(cadangan[[#This Row],[Harga Diskon C]]-INDEX(Katalog!$E$3:$E$12,MATCH(cadangan[[#This Row],[ItemID C]],Katalog!$C$3:$C$12,0))*cadangan[[#This Row],[Qty C]],0)</f>
        <v>0</v>
      </c>
      <c r="AD131" s="53">
        <f>cadangan[[#This Row],[Qty A]]+cadangan[[#This Row],[Qty B]]+cadangan[[#This Row],[Qty C]]</f>
        <v>2</v>
      </c>
      <c r="AE131" s="73">
        <f>cadangan[[#This Row],[Harga Normal A]]+cadangan[[#This Row],[Harga Normal B]]+cadangan[[#This Row],[Harga Normal C]]</f>
        <v>300000</v>
      </c>
      <c r="AF131" s="73">
        <f>cadangan[[#This Row],[Harga Diskon A]]+cadangan[[#This Row],[Harga Diskon B]]+cadangan[[#This Row],[Harga Diskon C]]</f>
        <v>270000</v>
      </c>
      <c r="AG131" s="73">
        <f>(cadangan[[#This Row],[Profit Normal A]]+cadangan[[#This Row],[Profit Normal B]]+cadangan[[#This Row],[Profit Normal C]])</f>
        <v>120000</v>
      </c>
      <c r="AH131" s="73">
        <f>cadangan[[#This Row],[Profit Diskon A]]+cadangan[[#This Row],[Profit Diskon B]]+cadangan[[#This Row],[Profit Diskon C]]</f>
        <v>90000</v>
      </c>
      <c r="AI131" s="23" t="s">
        <v>30</v>
      </c>
      <c r="AJ131" s="37">
        <f>IFERROR(INDEX('Kode Diskon'!$D$3:$D$9,MATCH(cadangan[[#This Row],[Kode diskon]],'Kode Diskon'!$C$3:$C$9,0)),"-")</f>
        <v>0.1</v>
      </c>
      <c r="AK131" s="23" t="s">
        <v>29</v>
      </c>
      <c r="AL131" s="23" t="s">
        <v>10</v>
      </c>
      <c r="AM131" s="23" t="s">
        <v>80</v>
      </c>
      <c r="AN131" s="55">
        <v>45021</v>
      </c>
      <c r="AO131" s="53">
        <f>DAY(cadangan[[#This Row],[Tanggal terjual]])</f>
        <v>5</v>
      </c>
      <c r="AP131" s="21" t="str">
        <f>TEXT(cadangan[[#This Row],[Tanggal terjual]],"dddd")</f>
        <v>Wednesday</v>
      </c>
      <c r="AQ131" s="23" t="str" cm="1">
        <f t="array" ref="AQ1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31" s="61">
        <f>AVERAGE(cadangan[[#This Row],[Rating A]],cadangan[[#This Row],[Rating B]],cadangan[[#This Row],[Rating C]])</f>
        <v>2</v>
      </c>
    </row>
    <row r="132" spans="1:44" x14ac:dyDescent="0.2">
      <c r="A132" s="20">
        <v>131</v>
      </c>
      <c r="B132" s="21" t="str">
        <f>_xlfn.CONCAT("ORD-",INDEX(Helper!$B$2:$B$5,MATCH(cadangan[[#This Row],[Marketplace]],Helper!$A$2:$A$5,0)),TEXT(cadangan[[#This Row],[No]],"0000"),"-",TEXT(cadangan[[#This Row],[Tanggal terjual]],"dd/mm/yy"))</f>
        <v>ORD-BB0131-08/04/23</v>
      </c>
      <c r="C132" s="39" t="s">
        <v>61</v>
      </c>
      <c r="D132" s="39" t="str">
        <f>IFERROR(INDEX(Katalog!$A$3:$A$12,MATCH(cadangan[[#This Row],[ItemID A]],Katalog!$C$3:$C$12,0)),"-")</f>
        <v>Pakaian Pria</v>
      </c>
      <c r="E132" s="39" t="str">
        <f>IFERROR(INDEX(Katalog!$B$3:$B$12,MATCH(cadangan[[#This Row],[ItemID A]],Katalog!$C$3:$C$12,0)),"-")</f>
        <v>Kaos Polo</v>
      </c>
      <c r="F132" s="50">
        <v>1</v>
      </c>
      <c r="G132" s="50">
        <v>4</v>
      </c>
      <c r="H132" s="73">
        <f>IFERROR(INDEX(Katalog!$D$3:$D$12,MATCH(cadangan[[#This Row],[ItemID A]],Katalog!$C$3:$C$12,0))*cadangan[[#This Row],[Qty A]],0)</f>
        <v>200000</v>
      </c>
      <c r="I132" s="73">
        <f>IFERROR(cadangan[[#This Row],[Harga Normal A]]-(cadangan[[#This Row],[Harga Normal A]]*cadangan[[#This Row],[Diskon]]),cadangan[[#This Row],[Harga Normal A]])</f>
        <v>200000</v>
      </c>
      <c r="J132" s="73">
        <f>INDEX(Katalog!$F$3:$F$12,MATCH(cadangan[[#This Row],[ItemID A]],Katalog!$C$3:$C$12,0))*cadangan[[#This Row],[Qty A]]</f>
        <v>80000</v>
      </c>
      <c r="K132" s="73">
        <f>IFERROR(cadangan[[#This Row],[Harga Diskon A]]-INDEX(Katalog!$E$3:$E$12,MATCH(cadangan[[#This Row],[ItemID A]],Katalog!$C$3:$C$12,0))*cadangan[[#This Row],[Qty A]],0)</f>
        <v>80000</v>
      </c>
      <c r="L132" s="39" t="s">
        <v>67</v>
      </c>
      <c r="M132" s="39" t="str">
        <f>IFERROR(INDEX(Katalog!$A$3:$A$12,MATCH(cadangan[[#This Row],[ItemID B]],Katalog!$C$3:$C$12,0)),"-")</f>
        <v>Sepatu Wanita</v>
      </c>
      <c r="N132" s="39" t="str">
        <f>IFERROR(INDEX(Katalog!$B$3:$B$12,MATCH(cadangan[[#This Row],[ItemID B]],Katalog!$C$3:$C$12,0)),"-")</f>
        <v>Flat Shoes</v>
      </c>
      <c r="O132" s="50">
        <v>1</v>
      </c>
      <c r="P132" s="50">
        <v>1</v>
      </c>
      <c r="Q132" s="73">
        <f>IFERROR(INDEX(Katalog!$D$3:$D$12,MATCH(cadangan[[#This Row],[ItemID B]],Katalog!$C$3:$C$12,0))*cadangan[[#This Row],[Qty B]],0)</f>
        <v>250000</v>
      </c>
      <c r="R132" s="73">
        <f>IFERROR(cadangan[[#This Row],[Harga Normal B]]-(cadangan[[#This Row],[Harga Normal B]]*cadangan[[#This Row],[Diskon]]),cadangan[[#This Row],[Harga Normal B]])</f>
        <v>250000</v>
      </c>
      <c r="S132" s="73">
        <f>IFERROR(INDEX(Katalog!$F$3:$F$12,MATCH(cadangan[[#This Row],[ItemID B]],Katalog!$C$3:$C$12,0))*cadangan[[#This Row],[Qty B]],0)</f>
        <v>100000</v>
      </c>
      <c r="T132" s="73">
        <f>IFERROR(cadangan[[#This Row],[Harga Diskon B]]-INDEX(Katalog!$E$3:$E$12,MATCH(cadangan[[#This Row],[ItemID B]],Katalog!$C$3:$C$12,0))*cadangan[[#This Row],[Qty B]],0)</f>
        <v>100000</v>
      </c>
      <c r="V132" s="39" t="str">
        <f>IFERROR(INDEX(Katalog!$A$3:$A$12,MATCH(cadangan[[#This Row],[ItemID C]],Katalog!$C$3:$C$12,0)),"-")</f>
        <v>-</v>
      </c>
      <c r="W132" s="39" t="str">
        <f>IFERROR(INDEX(Katalog!$B$3:$B$12,MATCH(cadangan[[#This Row],[ItemID C]],Katalog!$C$3:$C$12,0)),"-")</f>
        <v>-</v>
      </c>
      <c r="Z132" s="73">
        <f>IFERROR(INDEX(Katalog!$D$3:$D$12,MATCH(cadangan[[#This Row],[ItemID C]],Katalog!$C$3:$C$12,0))*cadangan[[#This Row],[Qty C]],0)</f>
        <v>0</v>
      </c>
      <c r="AA132" s="73">
        <f>IFERROR(cadangan[[#This Row],[Harga Normal C]]-(cadangan[[#This Row],[Harga Normal C]]*cadangan[[#This Row],[Diskon]]),cadangan[[#This Row],[Harga Normal C]])</f>
        <v>0</v>
      </c>
      <c r="AB132" s="73">
        <f>IFERROR(INDEX(Katalog!$F$3:$F$12,MATCH(cadangan[[#This Row],[ItemID C]],Katalog!$C$3:$C$12,0))*cadangan[[#This Row],[Qty C]],0)</f>
        <v>0</v>
      </c>
      <c r="AC132" s="73">
        <f>IFERROR(cadangan[[#This Row],[Harga Diskon C]]-INDEX(Katalog!$E$3:$E$12,MATCH(cadangan[[#This Row],[ItemID C]],Katalog!$C$3:$C$12,0))*cadangan[[#This Row],[Qty C]],0)</f>
        <v>0</v>
      </c>
      <c r="AD132" s="53">
        <f>cadangan[[#This Row],[Qty A]]+cadangan[[#This Row],[Qty B]]+cadangan[[#This Row],[Qty C]]</f>
        <v>2</v>
      </c>
      <c r="AE132" s="73">
        <f>cadangan[[#This Row],[Harga Normal A]]+cadangan[[#This Row],[Harga Normal B]]+cadangan[[#This Row],[Harga Normal C]]</f>
        <v>450000</v>
      </c>
      <c r="AF132" s="73">
        <f>cadangan[[#This Row],[Harga Diskon A]]+cadangan[[#This Row],[Harga Diskon B]]+cadangan[[#This Row],[Harga Diskon C]]</f>
        <v>450000</v>
      </c>
      <c r="AG132" s="73">
        <f>(cadangan[[#This Row],[Profit Normal A]]+cadangan[[#This Row],[Profit Normal B]]+cadangan[[#This Row],[Profit Normal C]])</f>
        <v>180000</v>
      </c>
      <c r="AH132" s="73">
        <f>cadangan[[#This Row],[Profit Diskon A]]+cadangan[[#This Row],[Profit Diskon B]]+cadangan[[#This Row],[Profit Diskon C]]</f>
        <v>180000</v>
      </c>
      <c r="AI132" s="23" t="s">
        <v>290</v>
      </c>
      <c r="AJ132" s="37" t="str">
        <f>IFERROR(INDEX('Kode Diskon'!$D$3:$D$9,MATCH(cadangan[[#This Row],[Kode diskon]],'Kode Diskon'!$C$3:$C$9,0)),"-")</f>
        <v>-</v>
      </c>
      <c r="AK132" s="23" t="s">
        <v>290</v>
      </c>
      <c r="AL132" s="23" t="s">
        <v>14</v>
      </c>
      <c r="AM132" s="23" t="s">
        <v>75</v>
      </c>
      <c r="AN132" s="55">
        <v>45024</v>
      </c>
      <c r="AO132" s="53">
        <f>DAY(cadangan[[#This Row],[Tanggal terjual]])</f>
        <v>8</v>
      </c>
      <c r="AP132" s="21" t="str">
        <f>TEXT(cadangan[[#This Row],[Tanggal terjual]],"dddd")</f>
        <v>Saturday</v>
      </c>
      <c r="AQ132" s="23" t="str" cm="1">
        <f t="array" ref="AQ1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32" s="61">
        <f>AVERAGE(cadangan[[#This Row],[Rating A]],cadangan[[#This Row],[Rating B]],cadangan[[#This Row],[Rating C]])</f>
        <v>2.5</v>
      </c>
    </row>
    <row r="133" spans="1:44" x14ac:dyDescent="0.2">
      <c r="A133" s="20">
        <v>132</v>
      </c>
      <c r="B133" s="21" t="str">
        <f>_xlfn.CONCAT("ORD-",INDEX(Helper!$B$2:$B$5,MATCH(cadangan[[#This Row],[Marketplace]],Helper!$A$2:$A$5,0)),TEXT(cadangan[[#This Row],[No]],"0000"),"-",TEXT(cadangan[[#This Row],[Tanggal terjual]],"dd/mm/yy"))</f>
        <v>ORD-SP0132-30/04/23</v>
      </c>
      <c r="C133" s="39" t="s">
        <v>63</v>
      </c>
      <c r="D133" s="39" t="str">
        <f>IFERROR(INDEX(Katalog!$A$3:$A$12,MATCH(cadangan[[#This Row],[ItemID A]],Katalog!$C$3:$C$12,0)),"-")</f>
        <v>Pakaian Pria</v>
      </c>
      <c r="E133" s="39" t="str">
        <f>IFERROR(INDEX(Katalog!$B$3:$B$12,MATCH(cadangan[[#This Row],[ItemID A]],Katalog!$C$3:$C$12,0)),"-")</f>
        <v>Jaket Jeans</v>
      </c>
      <c r="F133" s="50">
        <v>5</v>
      </c>
      <c r="G133" s="50">
        <v>5</v>
      </c>
      <c r="H133" s="73">
        <f>IFERROR(INDEX(Katalog!$D$3:$D$12,MATCH(cadangan[[#This Row],[ItemID A]],Katalog!$C$3:$C$12,0))*cadangan[[#This Row],[Qty A]],0)</f>
        <v>2000000</v>
      </c>
      <c r="I133" s="73">
        <f>IFERROR(cadangan[[#This Row],[Harga Normal A]]-(cadangan[[#This Row],[Harga Normal A]]*cadangan[[#This Row],[Diskon]]),cadangan[[#This Row],[Harga Normal A]])</f>
        <v>1600000</v>
      </c>
      <c r="J133" s="73">
        <f>INDEX(Katalog!$F$3:$F$12,MATCH(cadangan[[#This Row],[ItemID A]],Katalog!$C$3:$C$12,0))*cadangan[[#This Row],[Qty A]]</f>
        <v>750000</v>
      </c>
      <c r="K133" s="73">
        <f>IFERROR(cadangan[[#This Row],[Harga Diskon A]]-INDEX(Katalog!$E$3:$E$12,MATCH(cadangan[[#This Row],[ItemID A]],Katalog!$C$3:$C$12,0))*cadangan[[#This Row],[Qty A]],0)</f>
        <v>350000</v>
      </c>
      <c r="L133" s="39" t="s">
        <v>59</v>
      </c>
      <c r="M133" s="39" t="str">
        <f>IFERROR(INDEX(Katalog!$A$3:$A$12,MATCH(cadangan[[#This Row],[ItemID B]],Katalog!$C$3:$C$12,0)),"-")</f>
        <v>Pakaian Wanita</v>
      </c>
      <c r="N133" s="39" t="str">
        <f>IFERROR(INDEX(Katalog!$B$3:$B$12,MATCH(cadangan[[#This Row],[ItemID B]],Katalog!$C$3:$C$12,0)),"-")</f>
        <v>Blouse</v>
      </c>
      <c r="O133" s="50">
        <v>1</v>
      </c>
      <c r="P133" s="50">
        <v>1</v>
      </c>
      <c r="Q133" s="73">
        <f>IFERROR(INDEX(Katalog!$D$3:$D$12,MATCH(cadangan[[#This Row],[ItemID B]],Katalog!$C$3:$C$12,0))*cadangan[[#This Row],[Qty B]],0)</f>
        <v>150000</v>
      </c>
      <c r="R133" s="73">
        <f>IFERROR(cadangan[[#This Row],[Harga Normal B]]-(cadangan[[#This Row],[Harga Normal B]]*cadangan[[#This Row],[Diskon]]),cadangan[[#This Row],[Harga Normal B]])</f>
        <v>120000</v>
      </c>
      <c r="S133" s="73">
        <f>IFERROR(INDEX(Katalog!$F$3:$F$12,MATCH(cadangan[[#This Row],[ItemID B]],Katalog!$C$3:$C$12,0))*cadangan[[#This Row],[Qty B]],0)</f>
        <v>50000</v>
      </c>
      <c r="T133" s="73">
        <f>IFERROR(cadangan[[#This Row],[Harga Diskon B]]-INDEX(Katalog!$E$3:$E$12,MATCH(cadangan[[#This Row],[ItemID B]],Katalog!$C$3:$C$12,0))*cadangan[[#This Row],[Qty B]],0)</f>
        <v>20000</v>
      </c>
      <c r="V133" s="39" t="str">
        <f>IFERROR(INDEX(Katalog!$A$3:$A$12,MATCH(cadangan[[#This Row],[ItemID C]],Katalog!$C$3:$C$12,0)),"-")</f>
        <v>-</v>
      </c>
      <c r="W133" s="39" t="str">
        <f>IFERROR(INDEX(Katalog!$B$3:$B$12,MATCH(cadangan[[#This Row],[ItemID C]],Katalog!$C$3:$C$12,0)),"-")</f>
        <v>-</v>
      </c>
      <c r="Z133" s="73">
        <f>IFERROR(INDEX(Katalog!$D$3:$D$12,MATCH(cadangan[[#This Row],[ItemID C]],Katalog!$C$3:$C$12,0))*cadangan[[#This Row],[Qty C]],0)</f>
        <v>0</v>
      </c>
      <c r="AA133" s="73">
        <f>IFERROR(cadangan[[#This Row],[Harga Normal C]]-(cadangan[[#This Row],[Harga Normal C]]*cadangan[[#This Row],[Diskon]]),cadangan[[#This Row],[Harga Normal C]])</f>
        <v>0</v>
      </c>
      <c r="AB133" s="73">
        <f>IFERROR(INDEX(Katalog!$F$3:$F$12,MATCH(cadangan[[#This Row],[ItemID C]],Katalog!$C$3:$C$12,0))*cadangan[[#This Row],[Qty C]],0)</f>
        <v>0</v>
      </c>
      <c r="AC133" s="73">
        <f>IFERROR(cadangan[[#This Row],[Harga Diskon C]]-INDEX(Katalog!$E$3:$E$12,MATCH(cadangan[[#This Row],[ItemID C]],Katalog!$C$3:$C$12,0))*cadangan[[#This Row],[Qty C]],0)</f>
        <v>0</v>
      </c>
      <c r="AD133" s="53">
        <f>cadangan[[#This Row],[Qty A]]+cadangan[[#This Row],[Qty B]]+cadangan[[#This Row],[Qty C]]</f>
        <v>6</v>
      </c>
      <c r="AE133" s="73">
        <f>cadangan[[#This Row],[Harga Normal A]]+cadangan[[#This Row],[Harga Normal B]]+cadangan[[#This Row],[Harga Normal C]]</f>
        <v>2150000</v>
      </c>
      <c r="AF133" s="73">
        <f>cadangan[[#This Row],[Harga Diskon A]]+cadangan[[#This Row],[Harga Diskon B]]+cadangan[[#This Row],[Harga Diskon C]]</f>
        <v>1720000</v>
      </c>
      <c r="AG133" s="73">
        <f>(cadangan[[#This Row],[Profit Normal A]]+cadangan[[#This Row],[Profit Normal B]]+cadangan[[#This Row],[Profit Normal C]])</f>
        <v>800000</v>
      </c>
      <c r="AH133" s="73">
        <f>cadangan[[#This Row],[Profit Diskon A]]+cadangan[[#This Row],[Profit Diskon B]]+cadangan[[#This Row],[Profit Diskon C]]</f>
        <v>370000</v>
      </c>
      <c r="AI133" s="23" t="s">
        <v>8</v>
      </c>
      <c r="AJ133" s="37">
        <f>IFERROR(INDEX('Kode Diskon'!$D$3:$D$9,MATCH(cadangan[[#This Row],[Kode diskon]],'Kode Diskon'!$C$3:$C$9,0)),"-")</f>
        <v>0.2</v>
      </c>
      <c r="AK133" s="23" t="s">
        <v>9</v>
      </c>
      <c r="AL133" s="23" t="s">
        <v>7</v>
      </c>
      <c r="AM133" s="23" t="s">
        <v>80</v>
      </c>
      <c r="AN133" s="55">
        <v>45046</v>
      </c>
      <c r="AO133" s="53">
        <f>DAY(cadangan[[#This Row],[Tanggal terjual]])</f>
        <v>30</v>
      </c>
      <c r="AP133" s="21" t="str">
        <f>TEXT(cadangan[[#This Row],[Tanggal terjual]],"dddd")</f>
        <v>Sunday</v>
      </c>
      <c r="AQ133" s="23" t="str" cm="1">
        <f t="array" ref="AQ1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33" s="61">
        <f>AVERAGE(cadangan[[#This Row],[Rating A]],cadangan[[#This Row],[Rating B]],cadangan[[#This Row],[Rating C]])</f>
        <v>3</v>
      </c>
    </row>
    <row r="134" spans="1:44" x14ac:dyDescent="0.2">
      <c r="A134" s="20">
        <v>133</v>
      </c>
      <c r="B134" s="21" t="str">
        <f>_xlfn.CONCAT("ORD-",INDEX(Helper!$B$2:$B$5,MATCH(cadangan[[#This Row],[Marketplace]],Helper!$A$2:$A$5,0)),TEXT(cadangan[[#This Row],[No]],"0000"),"-",TEXT(cadangan[[#This Row],[Tanggal terjual]],"dd/mm/yy"))</f>
        <v>ORD-SP0133-05/04/23</v>
      </c>
      <c r="C134" s="39" t="s">
        <v>59</v>
      </c>
      <c r="D134" s="39" t="str">
        <f>IFERROR(INDEX(Katalog!$A$3:$A$12,MATCH(cadangan[[#This Row],[ItemID A]],Katalog!$C$3:$C$12,0)),"-")</f>
        <v>Pakaian Wanita</v>
      </c>
      <c r="E134" s="39" t="str">
        <f>IFERROR(INDEX(Katalog!$B$3:$B$12,MATCH(cadangan[[#This Row],[ItemID A]],Katalog!$C$3:$C$12,0)),"-")</f>
        <v>Blouse</v>
      </c>
      <c r="F134" s="50">
        <v>1</v>
      </c>
      <c r="G134" s="50">
        <v>4</v>
      </c>
      <c r="H134" s="73">
        <f>IFERROR(INDEX(Katalog!$D$3:$D$12,MATCH(cadangan[[#This Row],[ItemID A]],Katalog!$C$3:$C$12,0))*cadangan[[#This Row],[Qty A]],0)</f>
        <v>150000</v>
      </c>
      <c r="I134" s="73">
        <f>IFERROR(cadangan[[#This Row],[Harga Normal A]]-(cadangan[[#This Row],[Harga Normal A]]*cadangan[[#This Row],[Diskon]]),cadangan[[#This Row],[Harga Normal A]])</f>
        <v>127500</v>
      </c>
      <c r="J134" s="73">
        <f>INDEX(Katalog!$F$3:$F$12,MATCH(cadangan[[#This Row],[ItemID A]],Katalog!$C$3:$C$12,0))*cadangan[[#This Row],[Qty A]]</f>
        <v>50000</v>
      </c>
      <c r="K134" s="73">
        <f>IFERROR(cadangan[[#This Row],[Harga Diskon A]]-INDEX(Katalog!$E$3:$E$12,MATCH(cadangan[[#This Row],[ItemID A]],Katalog!$C$3:$C$12,0))*cadangan[[#This Row],[Qty A]],0)</f>
        <v>27500</v>
      </c>
      <c r="L134" s="39" t="s">
        <v>61</v>
      </c>
      <c r="M134" s="39" t="str">
        <f>IFERROR(INDEX(Katalog!$A$3:$A$12,MATCH(cadangan[[#This Row],[ItemID B]],Katalog!$C$3:$C$12,0)),"-")</f>
        <v>Pakaian Pria</v>
      </c>
      <c r="N134" s="39" t="str">
        <f>IFERROR(INDEX(Katalog!$B$3:$B$12,MATCH(cadangan[[#This Row],[ItemID B]],Katalog!$C$3:$C$12,0)),"-")</f>
        <v>Kaos Polo</v>
      </c>
      <c r="O134" s="50">
        <v>1</v>
      </c>
      <c r="P134" s="50">
        <v>3</v>
      </c>
      <c r="Q134" s="73">
        <f>IFERROR(INDEX(Katalog!$D$3:$D$12,MATCH(cadangan[[#This Row],[ItemID B]],Katalog!$C$3:$C$12,0))*cadangan[[#This Row],[Qty B]],0)</f>
        <v>200000</v>
      </c>
      <c r="R134" s="73">
        <f>IFERROR(cadangan[[#This Row],[Harga Normal B]]-(cadangan[[#This Row],[Harga Normal B]]*cadangan[[#This Row],[Diskon]]),cadangan[[#This Row],[Harga Normal B]])</f>
        <v>170000</v>
      </c>
      <c r="S134" s="73">
        <f>IFERROR(INDEX(Katalog!$F$3:$F$12,MATCH(cadangan[[#This Row],[ItemID B]],Katalog!$C$3:$C$12,0))*cadangan[[#This Row],[Qty B]],0)</f>
        <v>80000</v>
      </c>
      <c r="T134" s="73">
        <f>IFERROR(cadangan[[#This Row],[Harga Diskon B]]-INDEX(Katalog!$E$3:$E$12,MATCH(cadangan[[#This Row],[ItemID B]],Katalog!$C$3:$C$12,0))*cadangan[[#This Row],[Qty B]],0)</f>
        <v>50000</v>
      </c>
      <c r="U134" s="39" t="s">
        <v>67</v>
      </c>
      <c r="V134" s="39" t="str">
        <f>IFERROR(INDEX(Katalog!$A$3:$A$12,MATCH(cadangan[[#This Row],[ItemID C]],Katalog!$C$3:$C$12,0)),"-")</f>
        <v>Sepatu Wanita</v>
      </c>
      <c r="W134" s="39" t="str">
        <f>IFERROR(INDEX(Katalog!$B$3:$B$12,MATCH(cadangan[[#This Row],[ItemID C]],Katalog!$C$3:$C$12,0)),"-")</f>
        <v>Flat Shoes</v>
      </c>
      <c r="X134" s="50">
        <v>5</v>
      </c>
      <c r="Y134" s="50">
        <v>5</v>
      </c>
      <c r="Z134" s="73">
        <f>IFERROR(INDEX(Katalog!$D$3:$D$12,MATCH(cadangan[[#This Row],[ItemID C]],Katalog!$C$3:$C$12,0))*cadangan[[#This Row],[Qty C]],0)</f>
        <v>1250000</v>
      </c>
      <c r="AA134" s="73">
        <f>IFERROR(cadangan[[#This Row],[Harga Normal C]]-(cadangan[[#This Row],[Harga Normal C]]*cadangan[[#This Row],[Diskon]]),cadangan[[#This Row],[Harga Normal C]])</f>
        <v>1062500</v>
      </c>
      <c r="AB134" s="73">
        <f>IFERROR(INDEX(Katalog!$F$3:$F$12,MATCH(cadangan[[#This Row],[ItemID C]],Katalog!$C$3:$C$12,0))*cadangan[[#This Row],[Qty C]],0)</f>
        <v>500000</v>
      </c>
      <c r="AC134" s="73">
        <f>IFERROR(cadangan[[#This Row],[Harga Diskon C]]-INDEX(Katalog!$E$3:$E$12,MATCH(cadangan[[#This Row],[ItemID C]],Katalog!$C$3:$C$12,0))*cadangan[[#This Row],[Qty C]],0)</f>
        <v>312500</v>
      </c>
      <c r="AD134" s="53">
        <f>cadangan[[#This Row],[Qty A]]+cadangan[[#This Row],[Qty B]]+cadangan[[#This Row],[Qty C]]</f>
        <v>7</v>
      </c>
      <c r="AE134" s="73">
        <f>cadangan[[#This Row],[Harga Normal A]]+cadangan[[#This Row],[Harga Normal B]]+cadangan[[#This Row],[Harga Normal C]]</f>
        <v>1600000</v>
      </c>
      <c r="AF134" s="73">
        <f>cadangan[[#This Row],[Harga Diskon A]]+cadangan[[#This Row],[Harga Diskon B]]+cadangan[[#This Row],[Harga Diskon C]]</f>
        <v>1360000</v>
      </c>
      <c r="AG134" s="73">
        <f>(cadangan[[#This Row],[Profit Normal A]]+cadangan[[#This Row],[Profit Normal B]]+cadangan[[#This Row],[Profit Normal C]])</f>
        <v>630000</v>
      </c>
      <c r="AH134" s="73">
        <f>cadangan[[#This Row],[Profit Diskon A]]+cadangan[[#This Row],[Profit Diskon B]]+cadangan[[#This Row],[Profit Diskon C]]</f>
        <v>390000</v>
      </c>
      <c r="AI134" s="23" t="s">
        <v>13</v>
      </c>
      <c r="AJ134" s="37">
        <f>IFERROR(INDEX('Kode Diskon'!$D$3:$D$9,MATCH(cadangan[[#This Row],[Kode diskon]],'Kode Diskon'!$C$3:$C$9,0)),"-")</f>
        <v>0.15</v>
      </c>
      <c r="AK134" s="23" t="s">
        <v>29</v>
      </c>
      <c r="AL134" s="23" t="s">
        <v>7</v>
      </c>
      <c r="AM134" s="23" t="s">
        <v>75</v>
      </c>
      <c r="AN134" s="55">
        <v>45021</v>
      </c>
      <c r="AO134" s="53">
        <f>DAY(cadangan[[#This Row],[Tanggal terjual]])</f>
        <v>5</v>
      </c>
      <c r="AP134" s="21" t="str">
        <f>TEXT(cadangan[[#This Row],[Tanggal terjual]],"dddd")</f>
        <v>Wednesday</v>
      </c>
      <c r="AQ134" s="23" t="str" cm="1">
        <f t="array" ref="AQ1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34" s="61">
        <f>AVERAGE(cadangan[[#This Row],[Rating A]],cadangan[[#This Row],[Rating B]],cadangan[[#This Row],[Rating C]])</f>
        <v>4</v>
      </c>
    </row>
    <row r="135" spans="1:44" x14ac:dyDescent="0.2">
      <c r="A135" s="20">
        <v>134</v>
      </c>
      <c r="B135" s="21" t="str">
        <f>_xlfn.CONCAT("ORD-",INDEX(Helper!$B$2:$B$5,MATCH(cadangan[[#This Row],[Marketplace]],Helper!$A$2:$A$5,0)),TEXT(cadangan[[#This Row],[No]],"0000"),"-",TEXT(cadangan[[#This Row],[Tanggal terjual]],"dd/mm/yy"))</f>
        <v>ORD-TK0134-06/04/23</v>
      </c>
      <c r="C135" s="39" t="s">
        <v>59</v>
      </c>
      <c r="D135" s="39" t="str">
        <f>IFERROR(INDEX(Katalog!$A$3:$A$12,MATCH(cadangan[[#This Row],[ItemID A]],Katalog!$C$3:$C$12,0)),"-")</f>
        <v>Pakaian Wanita</v>
      </c>
      <c r="E135" s="39" t="str">
        <f>IFERROR(INDEX(Katalog!$B$3:$B$12,MATCH(cadangan[[#This Row],[ItemID A]],Katalog!$C$3:$C$12,0)),"-")</f>
        <v>Blouse</v>
      </c>
      <c r="F135" s="50">
        <v>5</v>
      </c>
      <c r="G135" s="50">
        <v>5</v>
      </c>
      <c r="H135" s="73">
        <f>IFERROR(INDEX(Katalog!$D$3:$D$12,MATCH(cadangan[[#This Row],[ItemID A]],Katalog!$C$3:$C$12,0))*cadangan[[#This Row],[Qty A]],0)</f>
        <v>750000</v>
      </c>
      <c r="I135" s="73">
        <f>IFERROR(cadangan[[#This Row],[Harga Normal A]]-(cadangan[[#This Row],[Harga Normal A]]*cadangan[[#This Row],[Diskon]]),cadangan[[#This Row],[Harga Normal A]])</f>
        <v>675000</v>
      </c>
      <c r="J135" s="73">
        <f>INDEX(Katalog!$F$3:$F$12,MATCH(cadangan[[#This Row],[ItemID A]],Katalog!$C$3:$C$12,0))*cadangan[[#This Row],[Qty A]]</f>
        <v>250000</v>
      </c>
      <c r="K135" s="73">
        <f>IFERROR(cadangan[[#This Row],[Harga Diskon A]]-INDEX(Katalog!$E$3:$E$12,MATCH(cadangan[[#This Row],[ItemID A]],Katalog!$C$3:$C$12,0))*cadangan[[#This Row],[Qty A]],0)</f>
        <v>175000</v>
      </c>
      <c r="L135" s="39" t="s">
        <v>63</v>
      </c>
      <c r="M135" s="39" t="str">
        <f>IFERROR(INDEX(Katalog!$A$3:$A$12,MATCH(cadangan[[#This Row],[ItemID B]],Katalog!$C$3:$C$12,0)),"-")</f>
        <v>Pakaian Pria</v>
      </c>
      <c r="N135" s="39" t="str">
        <f>IFERROR(INDEX(Katalog!$B$3:$B$12,MATCH(cadangan[[#This Row],[ItemID B]],Katalog!$C$3:$C$12,0)),"-")</f>
        <v>Jaket Jeans</v>
      </c>
      <c r="O135" s="50">
        <v>1</v>
      </c>
      <c r="P135" s="50">
        <v>1</v>
      </c>
      <c r="Q135" s="73">
        <f>IFERROR(INDEX(Katalog!$D$3:$D$12,MATCH(cadangan[[#This Row],[ItemID B]],Katalog!$C$3:$C$12,0))*cadangan[[#This Row],[Qty B]],0)</f>
        <v>400000</v>
      </c>
      <c r="R135" s="73">
        <f>IFERROR(cadangan[[#This Row],[Harga Normal B]]-(cadangan[[#This Row],[Harga Normal B]]*cadangan[[#This Row],[Diskon]]),cadangan[[#This Row],[Harga Normal B]])</f>
        <v>360000</v>
      </c>
      <c r="S135" s="73">
        <f>IFERROR(INDEX(Katalog!$F$3:$F$12,MATCH(cadangan[[#This Row],[ItemID B]],Katalog!$C$3:$C$12,0))*cadangan[[#This Row],[Qty B]],0)</f>
        <v>150000</v>
      </c>
      <c r="T135" s="73">
        <f>IFERROR(cadangan[[#This Row],[Harga Diskon B]]-INDEX(Katalog!$E$3:$E$12,MATCH(cadangan[[#This Row],[ItemID B]],Katalog!$C$3:$C$12,0))*cadangan[[#This Row],[Qty B]],0)</f>
        <v>110000</v>
      </c>
      <c r="U135" s="39" t="s">
        <v>61</v>
      </c>
      <c r="V135" s="39" t="str">
        <f>IFERROR(INDEX(Katalog!$A$3:$A$12,MATCH(cadangan[[#This Row],[ItemID C]],Katalog!$C$3:$C$12,0)),"-")</f>
        <v>Pakaian Pria</v>
      </c>
      <c r="W135" s="39" t="str">
        <f>IFERROR(INDEX(Katalog!$B$3:$B$12,MATCH(cadangan[[#This Row],[ItemID C]],Katalog!$C$3:$C$12,0)),"-")</f>
        <v>Kaos Polo</v>
      </c>
      <c r="X135" s="50">
        <v>1</v>
      </c>
      <c r="Y135" s="50">
        <v>5</v>
      </c>
      <c r="Z135" s="73">
        <f>IFERROR(INDEX(Katalog!$D$3:$D$12,MATCH(cadangan[[#This Row],[ItemID C]],Katalog!$C$3:$C$12,0))*cadangan[[#This Row],[Qty C]],0)</f>
        <v>200000</v>
      </c>
      <c r="AA135" s="73">
        <f>IFERROR(cadangan[[#This Row],[Harga Normal C]]-(cadangan[[#This Row],[Harga Normal C]]*cadangan[[#This Row],[Diskon]]),cadangan[[#This Row],[Harga Normal C]])</f>
        <v>180000</v>
      </c>
      <c r="AB135" s="73">
        <f>IFERROR(INDEX(Katalog!$F$3:$F$12,MATCH(cadangan[[#This Row],[ItemID C]],Katalog!$C$3:$C$12,0))*cadangan[[#This Row],[Qty C]],0)</f>
        <v>80000</v>
      </c>
      <c r="AC135" s="73">
        <f>IFERROR(cadangan[[#This Row],[Harga Diskon C]]-INDEX(Katalog!$E$3:$E$12,MATCH(cadangan[[#This Row],[ItemID C]],Katalog!$C$3:$C$12,0))*cadangan[[#This Row],[Qty C]],0)</f>
        <v>60000</v>
      </c>
      <c r="AD135" s="53">
        <f>cadangan[[#This Row],[Qty A]]+cadangan[[#This Row],[Qty B]]+cadangan[[#This Row],[Qty C]]</f>
        <v>7</v>
      </c>
      <c r="AE135" s="73">
        <f>cadangan[[#This Row],[Harga Normal A]]+cadangan[[#This Row],[Harga Normal B]]+cadangan[[#This Row],[Harga Normal C]]</f>
        <v>1350000</v>
      </c>
      <c r="AF135" s="73">
        <f>cadangan[[#This Row],[Harga Diskon A]]+cadangan[[#This Row],[Harga Diskon B]]+cadangan[[#This Row],[Harga Diskon C]]</f>
        <v>1215000</v>
      </c>
      <c r="AG135" s="73">
        <f>(cadangan[[#This Row],[Profit Normal A]]+cadangan[[#This Row],[Profit Normal B]]+cadangan[[#This Row],[Profit Normal C]])</f>
        <v>480000</v>
      </c>
      <c r="AH135" s="73">
        <f>cadangan[[#This Row],[Profit Diskon A]]+cadangan[[#This Row],[Profit Diskon B]]+cadangan[[#This Row],[Profit Diskon C]]</f>
        <v>345000</v>
      </c>
      <c r="AI135" s="23" t="s">
        <v>30</v>
      </c>
      <c r="AJ135" s="37">
        <f>IFERROR(INDEX('Kode Diskon'!$D$3:$D$9,MATCH(cadangan[[#This Row],[Kode diskon]],'Kode Diskon'!$C$3:$C$9,0)),"-")</f>
        <v>0.1</v>
      </c>
      <c r="AK135" s="23" t="s">
        <v>29</v>
      </c>
      <c r="AL135" s="23" t="s">
        <v>10</v>
      </c>
      <c r="AM135" s="23" t="s">
        <v>80</v>
      </c>
      <c r="AN135" s="55">
        <v>45022</v>
      </c>
      <c r="AO135" s="53">
        <f>DAY(cadangan[[#This Row],[Tanggal terjual]])</f>
        <v>6</v>
      </c>
      <c r="AP135" s="21" t="str">
        <f>TEXT(cadangan[[#This Row],[Tanggal terjual]],"dddd")</f>
        <v>Thursday</v>
      </c>
      <c r="AQ135" s="23" t="str" cm="1">
        <f t="array" ref="AQ1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35" s="61">
        <f>AVERAGE(cadangan[[#This Row],[Rating A]],cadangan[[#This Row],[Rating B]],cadangan[[#This Row],[Rating C]])</f>
        <v>3.6666666666666665</v>
      </c>
    </row>
    <row r="136" spans="1:44" x14ac:dyDescent="0.2">
      <c r="A136" s="20">
        <v>135</v>
      </c>
      <c r="B136" s="21" t="str">
        <f>_xlfn.CONCAT("ORD-",INDEX(Helper!$B$2:$B$5,MATCH(cadangan[[#This Row],[Marketplace]],Helper!$A$2:$A$5,0)),TEXT(cadangan[[#This Row],[No]],"0000"),"-",TEXT(cadangan[[#This Row],[Tanggal terjual]],"dd/mm/yy"))</f>
        <v>ORD-BL0135-09/04/23</v>
      </c>
      <c r="C136" s="39" t="s">
        <v>62</v>
      </c>
      <c r="D136" s="39" t="str">
        <f>IFERROR(INDEX(Katalog!$A$3:$A$12,MATCH(cadangan[[#This Row],[ItemID A]],Katalog!$C$3:$C$12,0)),"-")</f>
        <v>Pakaian Pria</v>
      </c>
      <c r="E136" s="39" t="str">
        <f>IFERROR(INDEX(Katalog!$B$3:$B$12,MATCH(cadangan[[#This Row],[ItemID A]],Katalog!$C$3:$C$12,0)),"-")</f>
        <v>Celana Pendek</v>
      </c>
      <c r="F136" s="50">
        <v>2</v>
      </c>
      <c r="G136" s="50">
        <v>3</v>
      </c>
      <c r="H136" s="73">
        <f>IFERROR(INDEX(Katalog!$D$3:$D$12,MATCH(cadangan[[#This Row],[ItemID A]],Katalog!$C$3:$C$12,0))*cadangan[[#This Row],[Qty A]],0)</f>
        <v>360000</v>
      </c>
      <c r="I136" s="73">
        <f>IFERROR(cadangan[[#This Row],[Harga Normal A]]-(cadangan[[#This Row],[Harga Normal A]]*cadangan[[#This Row],[Diskon]]),cadangan[[#This Row],[Harga Normal A]])</f>
        <v>360000</v>
      </c>
      <c r="J136" s="73">
        <f>INDEX(Katalog!$F$3:$F$12,MATCH(cadangan[[#This Row],[ItemID A]],Katalog!$C$3:$C$12,0))*cadangan[[#This Row],[Qty A]]</f>
        <v>140000</v>
      </c>
      <c r="K136" s="73">
        <f>IFERROR(cadangan[[#This Row],[Harga Diskon A]]-INDEX(Katalog!$E$3:$E$12,MATCH(cadangan[[#This Row],[ItemID A]],Katalog!$C$3:$C$12,0))*cadangan[[#This Row],[Qty A]],0)</f>
        <v>140000</v>
      </c>
      <c r="L136" s="39" t="s">
        <v>64</v>
      </c>
      <c r="M136" s="39" t="str">
        <f>IFERROR(INDEX(Katalog!$A$3:$A$12,MATCH(cadangan[[#This Row],[ItemID B]],Katalog!$C$3:$C$12,0)),"-")</f>
        <v>Pakaian Unisex</v>
      </c>
      <c r="N136" s="39" t="str">
        <f>IFERROR(INDEX(Katalog!$B$3:$B$12,MATCH(cadangan[[#This Row],[ItemID B]],Katalog!$C$3:$C$12,0)),"-")</f>
        <v>Jaket Hoodie</v>
      </c>
      <c r="O136" s="50">
        <v>2</v>
      </c>
      <c r="P136" s="50">
        <v>3</v>
      </c>
      <c r="Q136" s="73">
        <f>IFERROR(INDEX(Katalog!$D$3:$D$12,MATCH(cadangan[[#This Row],[ItemID B]],Katalog!$C$3:$C$12,0))*cadangan[[#This Row],[Qty B]],0)</f>
        <v>700000</v>
      </c>
      <c r="R136" s="73">
        <f>IFERROR(cadangan[[#This Row],[Harga Normal B]]-(cadangan[[#This Row],[Harga Normal B]]*cadangan[[#This Row],[Diskon]]),cadangan[[#This Row],[Harga Normal B]])</f>
        <v>700000</v>
      </c>
      <c r="S136" s="73">
        <f>IFERROR(INDEX(Katalog!$F$3:$F$12,MATCH(cadangan[[#This Row],[ItemID B]],Katalog!$C$3:$C$12,0))*cadangan[[#This Row],[Qty B]],0)</f>
        <v>260000</v>
      </c>
      <c r="T136" s="73">
        <f>IFERROR(cadangan[[#This Row],[Harga Diskon B]]-INDEX(Katalog!$E$3:$E$12,MATCH(cadangan[[#This Row],[ItemID B]],Katalog!$C$3:$C$12,0))*cadangan[[#This Row],[Qty B]],0)</f>
        <v>260000</v>
      </c>
      <c r="U136" s="39" t="s">
        <v>65</v>
      </c>
      <c r="V136" s="39" t="str">
        <f>IFERROR(INDEX(Katalog!$A$3:$A$12,MATCH(cadangan[[#This Row],[ItemID C]],Katalog!$C$3:$C$12,0)),"-")</f>
        <v>Sepatu Pria</v>
      </c>
      <c r="W136" s="39" t="str">
        <f>IFERROR(INDEX(Katalog!$B$3:$B$12,MATCH(cadangan[[#This Row],[ItemID C]],Katalog!$C$3:$C$12,0)),"-")</f>
        <v>Sneakers</v>
      </c>
      <c r="X136" s="50">
        <v>1</v>
      </c>
      <c r="Y136" s="50">
        <v>5</v>
      </c>
      <c r="Z136" s="73">
        <f>IFERROR(INDEX(Katalog!$D$3:$D$12,MATCH(cadangan[[#This Row],[ItemID C]],Katalog!$C$3:$C$12,0))*cadangan[[#This Row],[Qty C]],0)</f>
        <v>500000</v>
      </c>
      <c r="AA136" s="73">
        <f>IFERROR(cadangan[[#This Row],[Harga Normal C]]-(cadangan[[#This Row],[Harga Normal C]]*cadangan[[#This Row],[Diskon]]),cadangan[[#This Row],[Harga Normal C]])</f>
        <v>500000</v>
      </c>
      <c r="AB136" s="73">
        <f>IFERROR(INDEX(Katalog!$F$3:$F$12,MATCH(cadangan[[#This Row],[ItemID C]],Katalog!$C$3:$C$12,0))*cadangan[[#This Row],[Qty C]],0)</f>
        <v>200000</v>
      </c>
      <c r="AC136" s="73">
        <f>IFERROR(cadangan[[#This Row],[Harga Diskon C]]-INDEX(Katalog!$E$3:$E$12,MATCH(cadangan[[#This Row],[ItemID C]],Katalog!$C$3:$C$12,0))*cadangan[[#This Row],[Qty C]],0)</f>
        <v>200000</v>
      </c>
      <c r="AD136" s="53">
        <f>cadangan[[#This Row],[Qty A]]+cadangan[[#This Row],[Qty B]]+cadangan[[#This Row],[Qty C]]</f>
        <v>5</v>
      </c>
      <c r="AE136" s="73">
        <f>cadangan[[#This Row],[Harga Normal A]]+cadangan[[#This Row],[Harga Normal B]]+cadangan[[#This Row],[Harga Normal C]]</f>
        <v>1560000</v>
      </c>
      <c r="AF136" s="73">
        <f>cadangan[[#This Row],[Harga Diskon A]]+cadangan[[#This Row],[Harga Diskon B]]+cadangan[[#This Row],[Harga Diskon C]]</f>
        <v>1560000</v>
      </c>
      <c r="AG136" s="73">
        <f>(cadangan[[#This Row],[Profit Normal A]]+cadangan[[#This Row],[Profit Normal B]]+cadangan[[#This Row],[Profit Normal C]])</f>
        <v>600000</v>
      </c>
      <c r="AH136" s="73">
        <f>cadangan[[#This Row],[Profit Diskon A]]+cadangan[[#This Row],[Profit Diskon B]]+cadangan[[#This Row],[Profit Diskon C]]</f>
        <v>600000</v>
      </c>
      <c r="AI136" s="23" t="s">
        <v>290</v>
      </c>
      <c r="AJ136" s="37" t="str">
        <f>IFERROR(INDEX('Kode Diskon'!$D$3:$D$9,MATCH(cadangan[[#This Row],[Kode diskon]],'Kode Diskon'!$C$3:$C$9,0)),"-")</f>
        <v>-</v>
      </c>
      <c r="AK136" s="23" t="s">
        <v>290</v>
      </c>
      <c r="AL136" s="23" t="s">
        <v>12</v>
      </c>
      <c r="AM136" s="23" t="s">
        <v>80</v>
      </c>
      <c r="AN136" s="55">
        <v>45025</v>
      </c>
      <c r="AO136" s="53">
        <f>DAY(cadangan[[#This Row],[Tanggal terjual]])</f>
        <v>9</v>
      </c>
      <c r="AP136" s="21" t="str">
        <f>TEXT(cadangan[[#This Row],[Tanggal terjual]],"dddd")</f>
        <v>Sunday</v>
      </c>
      <c r="AQ136" s="23" t="str" cm="1">
        <f t="array" ref="AQ1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36" s="61">
        <f>AVERAGE(cadangan[[#This Row],[Rating A]],cadangan[[#This Row],[Rating B]],cadangan[[#This Row],[Rating C]])</f>
        <v>3.6666666666666665</v>
      </c>
    </row>
    <row r="137" spans="1:44" x14ac:dyDescent="0.2">
      <c r="A137" s="20">
        <v>136</v>
      </c>
      <c r="B137" s="21" t="str">
        <f>_xlfn.CONCAT("ORD-",INDEX(Helper!$B$2:$B$5,MATCH(cadangan[[#This Row],[Marketplace]],Helper!$A$2:$A$5,0)),TEXT(cadangan[[#This Row],[No]],"0000"),"-",TEXT(cadangan[[#This Row],[Tanggal terjual]],"dd/mm/yy"))</f>
        <v>ORD-SP0136-24/04/23</v>
      </c>
      <c r="C137" s="39" t="s">
        <v>67</v>
      </c>
      <c r="D137" s="39" t="str">
        <f>IFERROR(INDEX(Katalog!$A$3:$A$12,MATCH(cadangan[[#This Row],[ItemID A]],Katalog!$C$3:$C$12,0)),"-")</f>
        <v>Sepatu Wanita</v>
      </c>
      <c r="E137" s="39" t="str">
        <f>IFERROR(INDEX(Katalog!$B$3:$B$12,MATCH(cadangan[[#This Row],[ItemID A]],Katalog!$C$3:$C$12,0)),"-")</f>
        <v>Flat Shoes</v>
      </c>
      <c r="F137" s="50">
        <v>3</v>
      </c>
      <c r="G137" s="50">
        <v>4</v>
      </c>
      <c r="H137" s="73">
        <f>IFERROR(INDEX(Katalog!$D$3:$D$12,MATCH(cadangan[[#This Row],[ItemID A]],Katalog!$C$3:$C$12,0))*cadangan[[#This Row],[Qty A]],0)</f>
        <v>750000</v>
      </c>
      <c r="I137" s="73">
        <f>IFERROR(cadangan[[#This Row],[Harga Normal A]]-(cadangan[[#This Row],[Harga Normal A]]*cadangan[[#This Row],[Diskon]]),cadangan[[#This Row],[Harga Normal A]])</f>
        <v>600000</v>
      </c>
      <c r="J137" s="73">
        <f>INDEX(Katalog!$F$3:$F$12,MATCH(cadangan[[#This Row],[ItemID A]],Katalog!$C$3:$C$12,0))*cadangan[[#This Row],[Qty A]]</f>
        <v>300000</v>
      </c>
      <c r="K137" s="73">
        <f>IFERROR(cadangan[[#This Row],[Harga Diskon A]]-INDEX(Katalog!$E$3:$E$12,MATCH(cadangan[[#This Row],[ItemID A]],Katalog!$C$3:$C$12,0))*cadangan[[#This Row],[Qty A]],0)</f>
        <v>150000</v>
      </c>
      <c r="L137" s="39" t="s">
        <v>58</v>
      </c>
      <c r="M137" s="39" t="str">
        <f>IFERROR(INDEX(Katalog!$A$3:$A$12,MATCH(cadangan[[#This Row],[ItemID B]],Katalog!$C$3:$C$12,0)),"-")</f>
        <v>Pakaian Wanita</v>
      </c>
      <c r="N137" s="39" t="str">
        <f>IFERROR(INDEX(Katalog!$B$3:$B$12,MATCH(cadangan[[#This Row],[ItemID B]],Katalog!$C$3:$C$12,0)),"-")</f>
        <v>Dress</v>
      </c>
      <c r="O137" s="50">
        <v>1</v>
      </c>
      <c r="P137" s="50">
        <v>4</v>
      </c>
      <c r="Q137" s="73">
        <f>IFERROR(INDEX(Katalog!$D$3:$D$12,MATCH(cadangan[[#This Row],[ItemID B]],Katalog!$C$3:$C$12,0))*cadangan[[#This Row],[Qty B]],0)</f>
        <v>300000</v>
      </c>
      <c r="R137" s="73">
        <f>IFERROR(cadangan[[#This Row],[Harga Normal B]]-(cadangan[[#This Row],[Harga Normal B]]*cadangan[[#This Row],[Diskon]]),cadangan[[#This Row],[Harga Normal B]])</f>
        <v>240000</v>
      </c>
      <c r="S137" s="73">
        <f>IFERROR(INDEX(Katalog!$F$3:$F$12,MATCH(cadangan[[#This Row],[ItemID B]],Katalog!$C$3:$C$12,0))*cadangan[[#This Row],[Qty B]],0)</f>
        <v>100000</v>
      </c>
      <c r="T137" s="73">
        <f>IFERROR(cadangan[[#This Row],[Harga Diskon B]]-INDEX(Katalog!$E$3:$E$12,MATCH(cadangan[[#This Row],[ItemID B]],Katalog!$C$3:$C$12,0))*cadangan[[#This Row],[Qty B]],0)</f>
        <v>40000</v>
      </c>
      <c r="V137" s="39" t="str">
        <f>IFERROR(INDEX(Katalog!$A$3:$A$12,MATCH(cadangan[[#This Row],[ItemID C]],Katalog!$C$3:$C$12,0)),"-")</f>
        <v>-</v>
      </c>
      <c r="W137" s="39" t="str">
        <f>IFERROR(INDEX(Katalog!$B$3:$B$12,MATCH(cadangan[[#This Row],[ItemID C]],Katalog!$C$3:$C$12,0)),"-")</f>
        <v>-</v>
      </c>
      <c r="Z137" s="73">
        <f>IFERROR(INDEX(Katalog!$D$3:$D$12,MATCH(cadangan[[#This Row],[ItemID C]],Katalog!$C$3:$C$12,0))*cadangan[[#This Row],[Qty C]],0)</f>
        <v>0</v>
      </c>
      <c r="AA137" s="73">
        <f>IFERROR(cadangan[[#This Row],[Harga Normal C]]-(cadangan[[#This Row],[Harga Normal C]]*cadangan[[#This Row],[Diskon]]),cadangan[[#This Row],[Harga Normal C]])</f>
        <v>0</v>
      </c>
      <c r="AB137" s="73">
        <f>IFERROR(INDEX(Katalog!$F$3:$F$12,MATCH(cadangan[[#This Row],[ItemID C]],Katalog!$C$3:$C$12,0))*cadangan[[#This Row],[Qty C]],0)</f>
        <v>0</v>
      </c>
      <c r="AC137" s="73">
        <f>IFERROR(cadangan[[#This Row],[Harga Diskon C]]-INDEX(Katalog!$E$3:$E$12,MATCH(cadangan[[#This Row],[ItemID C]],Katalog!$C$3:$C$12,0))*cadangan[[#This Row],[Qty C]],0)</f>
        <v>0</v>
      </c>
      <c r="AD137" s="53">
        <f>cadangan[[#This Row],[Qty A]]+cadangan[[#This Row],[Qty B]]+cadangan[[#This Row],[Qty C]]</f>
        <v>4</v>
      </c>
      <c r="AE137" s="73">
        <f>cadangan[[#This Row],[Harga Normal A]]+cadangan[[#This Row],[Harga Normal B]]+cadangan[[#This Row],[Harga Normal C]]</f>
        <v>1050000</v>
      </c>
      <c r="AF137" s="73">
        <f>cadangan[[#This Row],[Harga Diskon A]]+cadangan[[#This Row],[Harga Diskon B]]+cadangan[[#This Row],[Harga Diskon C]]</f>
        <v>840000</v>
      </c>
      <c r="AG137" s="73">
        <f>(cadangan[[#This Row],[Profit Normal A]]+cadangan[[#This Row],[Profit Normal B]]+cadangan[[#This Row],[Profit Normal C]])</f>
        <v>400000</v>
      </c>
      <c r="AH137" s="73">
        <f>cadangan[[#This Row],[Profit Diskon A]]+cadangan[[#This Row],[Profit Diskon B]]+cadangan[[#This Row],[Profit Diskon C]]</f>
        <v>190000</v>
      </c>
      <c r="AI137" s="23" t="s">
        <v>8</v>
      </c>
      <c r="AJ137" s="37">
        <f>IFERROR(INDEX('Kode Diskon'!$D$3:$D$9,MATCH(cadangan[[#This Row],[Kode diskon]],'Kode Diskon'!$C$3:$C$9,0)),"-")</f>
        <v>0.2</v>
      </c>
      <c r="AK137" s="23" t="s">
        <v>9</v>
      </c>
      <c r="AL137" s="23" t="s">
        <v>7</v>
      </c>
      <c r="AM137" s="23" t="s">
        <v>80</v>
      </c>
      <c r="AN137" s="55">
        <v>45040</v>
      </c>
      <c r="AO137" s="53">
        <f>DAY(cadangan[[#This Row],[Tanggal terjual]])</f>
        <v>24</v>
      </c>
      <c r="AP137" s="21" t="str">
        <f>TEXT(cadangan[[#This Row],[Tanggal terjual]],"dddd")</f>
        <v>Monday</v>
      </c>
      <c r="AQ137" s="23" t="str" cm="1">
        <f t="array" ref="AQ1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37" s="61">
        <f>AVERAGE(cadangan[[#This Row],[Rating A]],cadangan[[#This Row],[Rating B]],cadangan[[#This Row],[Rating C]])</f>
        <v>4</v>
      </c>
    </row>
    <row r="138" spans="1:44" x14ac:dyDescent="0.2">
      <c r="A138" s="20">
        <v>137</v>
      </c>
      <c r="B138" s="21" t="str">
        <f>_xlfn.CONCAT("ORD-",INDEX(Helper!$B$2:$B$5,MATCH(cadangan[[#This Row],[Marketplace]],Helper!$A$2:$A$5,0)),TEXT(cadangan[[#This Row],[No]],"0000"),"-",TEXT(cadangan[[#This Row],[Tanggal terjual]],"dd/mm/yy"))</f>
        <v>ORD-BL0137-25/04/23</v>
      </c>
      <c r="C138" s="39" t="s">
        <v>63</v>
      </c>
      <c r="D138" s="39" t="str">
        <f>IFERROR(INDEX(Katalog!$A$3:$A$12,MATCH(cadangan[[#This Row],[ItemID A]],Katalog!$C$3:$C$12,0)),"-")</f>
        <v>Pakaian Pria</v>
      </c>
      <c r="E138" s="39" t="str">
        <f>IFERROR(INDEX(Katalog!$B$3:$B$12,MATCH(cadangan[[#This Row],[ItemID A]],Katalog!$C$3:$C$12,0)),"-")</f>
        <v>Jaket Jeans</v>
      </c>
      <c r="F138" s="50">
        <v>1</v>
      </c>
      <c r="G138" s="50">
        <v>2</v>
      </c>
      <c r="H138" s="73">
        <f>IFERROR(INDEX(Katalog!$D$3:$D$12,MATCH(cadangan[[#This Row],[ItemID A]],Katalog!$C$3:$C$12,0))*cadangan[[#This Row],[Qty A]],0)</f>
        <v>400000</v>
      </c>
      <c r="I138" s="73">
        <f>IFERROR(cadangan[[#This Row],[Harga Normal A]]-(cadangan[[#This Row],[Harga Normal A]]*cadangan[[#This Row],[Diskon]]),cadangan[[#This Row],[Harga Normal A]])</f>
        <v>340000</v>
      </c>
      <c r="J138" s="73">
        <f>INDEX(Katalog!$F$3:$F$12,MATCH(cadangan[[#This Row],[ItemID A]],Katalog!$C$3:$C$12,0))*cadangan[[#This Row],[Qty A]]</f>
        <v>150000</v>
      </c>
      <c r="K138" s="73">
        <f>IFERROR(cadangan[[#This Row],[Harga Diskon A]]-INDEX(Katalog!$E$3:$E$12,MATCH(cadangan[[#This Row],[ItemID A]],Katalog!$C$3:$C$12,0))*cadangan[[#This Row],[Qty A]],0)</f>
        <v>90000</v>
      </c>
      <c r="M138" s="39" t="str">
        <f>IFERROR(INDEX(Katalog!$A$3:$A$12,MATCH(cadangan[[#This Row],[ItemID B]],Katalog!$C$3:$C$12,0)),"-")</f>
        <v>-</v>
      </c>
      <c r="N138" s="39" t="str">
        <f>IFERROR(INDEX(Katalog!$B$3:$B$12,MATCH(cadangan[[#This Row],[ItemID B]],Katalog!$C$3:$C$12,0)),"-")</f>
        <v>-</v>
      </c>
      <c r="Q138" s="73">
        <f>IFERROR(INDEX(Katalog!$D$3:$D$12,MATCH(cadangan[[#This Row],[ItemID B]],Katalog!$C$3:$C$12,0))*cadangan[[#This Row],[Qty B]],0)</f>
        <v>0</v>
      </c>
      <c r="R138" s="73">
        <f>IFERROR(cadangan[[#This Row],[Harga Normal B]]-(cadangan[[#This Row],[Harga Normal B]]*cadangan[[#This Row],[Diskon]]),cadangan[[#This Row],[Harga Normal B]])</f>
        <v>0</v>
      </c>
      <c r="S138" s="73">
        <f>IFERROR(INDEX(Katalog!$F$3:$F$12,MATCH(cadangan[[#This Row],[ItemID B]],Katalog!$C$3:$C$12,0))*cadangan[[#This Row],[Qty B]],0)</f>
        <v>0</v>
      </c>
      <c r="T138" s="73">
        <f>IFERROR(cadangan[[#This Row],[Harga Diskon B]]-INDEX(Katalog!$E$3:$E$12,MATCH(cadangan[[#This Row],[ItemID B]],Katalog!$C$3:$C$12,0))*cadangan[[#This Row],[Qty B]],0)</f>
        <v>0</v>
      </c>
      <c r="V138" s="39" t="str">
        <f>IFERROR(INDEX(Katalog!$A$3:$A$12,MATCH(cadangan[[#This Row],[ItemID C]],Katalog!$C$3:$C$12,0)),"-")</f>
        <v>-</v>
      </c>
      <c r="W138" s="39" t="str">
        <f>IFERROR(INDEX(Katalog!$B$3:$B$12,MATCH(cadangan[[#This Row],[ItemID C]],Katalog!$C$3:$C$12,0)),"-")</f>
        <v>-</v>
      </c>
      <c r="Z138" s="73">
        <f>IFERROR(INDEX(Katalog!$D$3:$D$12,MATCH(cadangan[[#This Row],[ItemID C]],Katalog!$C$3:$C$12,0))*cadangan[[#This Row],[Qty C]],0)</f>
        <v>0</v>
      </c>
      <c r="AA138" s="73">
        <f>IFERROR(cadangan[[#This Row],[Harga Normal C]]-(cadangan[[#This Row],[Harga Normal C]]*cadangan[[#This Row],[Diskon]]),cadangan[[#This Row],[Harga Normal C]])</f>
        <v>0</v>
      </c>
      <c r="AB138" s="73">
        <f>IFERROR(INDEX(Katalog!$F$3:$F$12,MATCH(cadangan[[#This Row],[ItemID C]],Katalog!$C$3:$C$12,0))*cadangan[[#This Row],[Qty C]],0)</f>
        <v>0</v>
      </c>
      <c r="AC138" s="73">
        <f>IFERROR(cadangan[[#This Row],[Harga Diskon C]]-INDEX(Katalog!$E$3:$E$12,MATCH(cadangan[[#This Row],[ItemID C]],Katalog!$C$3:$C$12,0))*cadangan[[#This Row],[Qty C]],0)</f>
        <v>0</v>
      </c>
      <c r="AD138" s="53">
        <f>cadangan[[#This Row],[Qty A]]+cadangan[[#This Row],[Qty B]]+cadangan[[#This Row],[Qty C]]</f>
        <v>1</v>
      </c>
      <c r="AE138" s="73">
        <f>cadangan[[#This Row],[Harga Normal A]]+cadangan[[#This Row],[Harga Normal B]]+cadangan[[#This Row],[Harga Normal C]]</f>
        <v>400000</v>
      </c>
      <c r="AF138" s="73">
        <f>cadangan[[#This Row],[Harga Diskon A]]+cadangan[[#This Row],[Harga Diskon B]]+cadangan[[#This Row],[Harga Diskon C]]</f>
        <v>340000</v>
      </c>
      <c r="AG138" s="73">
        <f>(cadangan[[#This Row],[Profit Normal A]]+cadangan[[#This Row],[Profit Normal B]]+cadangan[[#This Row],[Profit Normal C]])</f>
        <v>150000</v>
      </c>
      <c r="AH138" s="73">
        <f>cadangan[[#This Row],[Profit Diskon A]]+cadangan[[#This Row],[Profit Diskon B]]+cadangan[[#This Row],[Profit Diskon C]]</f>
        <v>90000</v>
      </c>
      <c r="AI138" s="23" t="s">
        <v>32</v>
      </c>
      <c r="AJ138" s="37">
        <f>IFERROR(INDEX('Kode Diskon'!$D$3:$D$9,MATCH(cadangan[[#This Row],[Kode diskon]],'Kode Diskon'!$C$3:$C$9,0)),"-")</f>
        <v>0.15</v>
      </c>
      <c r="AK138" s="23" t="s">
        <v>9</v>
      </c>
      <c r="AL138" s="23" t="s">
        <v>12</v>
      </c>
      <c r="AM138" s="23" t="s">
        <v>76</v>
      </c>
      <c r="AN138" s="55">
        <v>45041</v>
      </c>
      <c r="AO138" s="53">
        <f>DAY(cadangan[[#This Row],[Tanggal terjual]])</f>
        <v>25</v>
      </c>
      <c r="AP138" s="21" t="str">
        <f>TEXT(cadangan[[#This Row],[Tanggal terjual]],"dddd")</f>
        <v>Tuesday</v>
      </c>
      <c r="AQ138" s="23" t="str" cm="1">
        <f t="array" ref="AQ1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38" s="61">
        <f>AVERAGE(cadangan[[#This Row],[Rating A]],cadangan[[#This Row],[Rating B]],cadangan[[#This Row],[Rating C]])</f>
        <v>2</v>
      </c>
    </row>
    <row r="139" spans="1:44" x14ac:dyDescent="0.2">
      <c r="A139" s="20">
        <v>138</v>
      </c>
      <c r="B139" s="21" t="str">
        <f>_xlfn.CONCAT("ORD-",INDEX(Helper!$B$2:$B$5,MATCH(cadangan[[#This Row],[Marketplace]],Helper!$A$2:$A$5,0)),TEXT(cadangan[[#This Row],[No]],"0000"),"-",TEXT(cadangan[[#This Row],[Tanggal terjual]],"dd/mm/yy"))</f>
        <v>ORD-TK0138-23/04/23</v>
      </c>
      <c r="C139" s="39" t="s">
        <v>67</v>
      </c>
      <c r="D139" s="39" t="str">
        <f>IFERROR(INDEX(Katalog!$A$3:$A$12,MATCH(cadangan[[#This Row],[ItemID A]],Katalog!$C$3:$C$12,0)),"-")</f>
        <v>Sepatu Wanita</v>
      </c>
      <c r="E139" s="39" t="str">
        <f>IFERROR(INDEX(Katalog!$B$3:$B$12,MATCH(cadangan[[#This Row],[ItemID A]],Katalog!$C$3:$C$12,0)),"-")</f>
        <v>Flat Shoes</v>
      </c>
      <c r="F139" s="50">
        <v>1</v>
      </c>
      <c r="G139" s="50">
        <v>2</v>
      </c>
      <c r="H139" s="73">
        <f>IFERROR(INDEX(Katalog!$D$3:$D$12,MATCH(cadangan[[#This Row],[ItemID A]],Katalog!$C$3:$C$12,0))*cadangan[[#This Row],[Qty A]],0)</f>
        <v>250000</v>
      </c>
      <c r="I139" s="73">
        <f>IFERROR(cadangan[[#This Row],[Harga Normal A]]-(cadangan[[#This Row],[Harga Normal A]]*cadangan[[#This Row],[Diskon]]),cadangan[[#This Row],[Harga Normal A]])</f>
        <v>225000</v>
      </c>
      <c r="J139" s="73">
        <f>INDEX(Katalog!$F$3:$F$12,MATCH(cadangan[[#This Row],[ItemID A]],Katalog!$C$3:$C$12,0))*cadangan[[#This Row],[Qty A]]</f>
        <v>100000</v>
      </c>
      <c r="K139" s="73">
        <f>IFERROR(cadangan[[#This Row],[Harga Diskon A]]-INDEX(Katalog!$E$3:$E$12,MATCH(cadangan[[#This Row],[ItemID A]],Katalog!$C$3:$C$12,0))*cadangan[[#This Row],[Qty A]],0)</f>
        <v>75000</v>
      </c>
      <c r="L139" s="39" t="s">
        <v>64</v>
      </c>
      <c r="M139" s="39" t="str">
        <f>IFERROR(INDEX(Katalog!$A$3:$A$12,MATCH(cadangan[[#This Row],[ItemID B]],Katalog!$C$3:$C$12,0)),"-")</f>
        <v>Pakaian Unisex</v>
      </c>
      <c r="N139" s="39" t="str">
        <f>IFERROR(INDEX(Katalog!$B$3:$B$12,MATCH(cadangan[[#This Row],[ItemID B]],Katalog!$C$3:$C$12,0)),"-")</f>
        <v>Jaket Hoodie</v>
      </c>
      <c r="O139" s="50">
        <v>1</v>
      </c>
      <c r="P139" s="50">
        <v>4</v>
      </c>
      <c r="Q139" s="73">
        <f>IFERROR(INDEX(Katalog!$D$3:$D$12,MATCH(cadangan[[#This Row],[ItemID B]],Katalog!$C$3:$C$12,0))*cadangan[[#This Row],[Qty B]],0)</f>
        <v>350000</v>
      </c>
      <c r="R139" s="73">
        <f>IFERROR(cadangan[[#This Row],[Harga Normal B]]-(cadangan[[#This Row],[Harga Normal B]]*cadangan[[#This Row],[Diskon]]),cadangan[[#This Row],[Harga Normal B]])</f>
        <v>315000</v>
      </c>
      <c r="S139" s="73">
        <f>IFERROR(INDEX(Katalog!$F$3:$F$12,MATCH(cadangan[[#This Row],[ItemID B]],Katalog!$C$3:$C$12,0))*cadangan[[#This Row],[Qty B]],0)</f>
        <v>130000</v>
      </c>
      <c r="T139" s="73">
        <f>IFERROR(cadangan[[#This Row],[Harga Diskon B]]-INDEX(Katalog!$E$3:$E$12,MATCH(cadangan[[#This Row],[ItemID B]],Katalog!$C$3:$C$12,0))*cadangan[[#This Row],[Qty B]],0)</f>
        <v>95000</v>
      </c>
      <c r="U139" s="39" t="s">
        <v>58</v>
      </c>
      <c r="V139" s="39" t="str">
        <f>IFERROR(INDEX(Katalog!$A$3:$A$12,MATCH(cadangan[[#This Row],[ItemID C]],Katalog!$C$3:$C$12,0)),"-")</f>
        <v>Pakaian Wanita</v>
      </c>
      <c r="W139" s="39" t="str">
        <f>IFERROR(INDEX(Katalog!$B$3:$B$12,MATCH(cadangan[[#This Row],[ItemID C]],Katalog!$C$3:$C$12,0)),"-")</f>
        <v>Dress</v>
      </c>
      <c r="X139" s="50">
        <v>3</v>
      </c>
      <c r="Y139" s="50">
        <v>3</v>
      </c>
      <c r="Z139" s="73">
        <f>IFERROR(INDEX(Katalog!$D$3:$D$12,MATCH(cadangan[[#This Row],[ItemID C]],Katalog!$C$3:$C$12,0))*cadangan[[#This Row],[Qty C]],0)</f>
        <v>900000</v>
      </c>
      <c r="AA139" s="73">
        <f>IFERROR(cadangan[[#This Row],[Harga Normal C]]-(cadangan[[#This Row],[Harga Normal C]]*cadangan[[#This Row],[Diskon]]),cadangan[[#This Row],[Harga Normal C]])</f>
        <v>810000</v>
      </c>
      <c r="AB139" s="73">
        <f>IFERROR(INDEX(Katalog!$F$3:$F$12,MATCH(cadangan[[#This Row],[ItemID C]],Katalog!$C$3:$C$12,0))*cadangan[[#This Row],[Qty C]],0)</f>
        <v>300000</v>
      </c>
      <c r="AC139" s="73">
        <f>IFERROR(cadangan[[#This Row],[Harga Diskon C]]-INDEX(Katalog!$E$3:$E$12,MATCH(cadangan[[#This Row],[ItemID C]],Katalog!$C$3:$C$12,0))*cadangan[[#This Row],[Qty C]],0)</f>
        <v>210000</v>
      </c>
      <c r="AD139" s="53">
        <f>cadangan[[#This Row],[Qty A]]+cadangan[[#This Row],[Qty B]]+cadangan[[#This Row],[Qty C]]</f>
        <v>5</v>
      </c>
      <c r="AE139" s="73">
        <f>cadangan[[#This Row],[Harga Normal A]]+cadangan[[#This Row],[Harga Normal B]]+cadangan[[#This Row],[Harga Normal C]]</f>
        <v>1500000</v>
      </c>
      <c r="AF139" s="73">
        <f>cadangan[[#This Row],[Harga Diskon A]]+cadangan[[#This Row],[Harga Diskon B]]+cadangan[[#This Row],[Harga Diskon C]]</f>
        <v>1350000</v>
      </c>
      <c r="AG139" s="73">
        <f>(cadangan[[#This Row],[Profit Normal A]]+cadangan[[#This Row],[Profit Normal B]]+cadangan[[#This Row],[Profit Normal C]])</f>
        <v>530000</v>
      </c>
      <c r="AH139" s="73">
        <f>cadangan[[#This Row],[Profit Diskon A]]+cadangan[[#This Row],[Profit Diskon B]]+cadangan[[#This Row],[Profit Diskon C]]</f>
        <v>380000</v>
      </c>
      <c r="AI139" s="23" t="s">
        <v>31</v>
      </c>
      <c r="AJ139" s="37">
        <f>IFERROR(INDEX('Kode Diskon'!$D$3:$D$9,MATCH(cadangan[[#This Row],[Kode diskon]],'Kode Diskon'!$C$3:$C$9,0)),"-")</f>
        <v>0.1</v>
      </c>
      <c r="AK139" s="23" t="s">
        <v>9</v>
      </c>
      <c r="AL139" s="23" t="s">
        <v>10</v>
      </c>
      <c r="AM139" s="23" t="s">
        <v>75</v>
      </c>
      <c r="AN139" s="55">
        <v>45039</v>
      </c>
      <c r="AO139" s="53">
        <f>DAY(cadangan[[#This Row],[Tanggal terjual]])</f>
        <v>23</v>
      </c>
      <c r="AP139" s="21" t="str">
        <f>TEXT(cadangan[[#This Row],[Tanggal terjual]],"dddd")</f>
        <v>Sunday</v>
      </c>
      <c r="AQ139" s="23" t="str" cm="1">
        <f t="array" ref="AQ1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39" s="61">
        <f>AVERAGE(cadangan[[#This Row],[Rating A]],cadangan[[#This Row],[Rating B]],cadangan[[#This Row],[Rating C]])</f>
        <v>3</v>
      </c>
    </row>
    <row r="140" spans="1:44" x14ac:dyDescent="0.2">
      <c r="A140" s="20">
        <v>139</v>
      </c>
      <c r="B140" s="21" t="str">
        <f>_xlfn.CONCAT("ORD-",INDEX(Helper!$B$2:$B$5,MATCH(cadangan[[#This Row],[Marketplace]],Helper!$A$2:$A$5,0)),TEXT(cadangan[[#This Row],[No]],"0000"),"-",TEXT(cadangan[[#This Row],[Tanggal terjual]],"dd/mm/yy"))</f>
        <v>ORD-SP0139-23/04/23</v>
      </c>
      <c r="C140" s="39" t="s">
        <v>59</v>
      </c>
      <c r="D140" s="39" t="str">
        <f>IFERROR(INDEX(Katalog!$A$3:$A$12,MATCH(cadangan[[#This Row],[ItemID A]],Katalog!$C$3:$C$12,0)),"-")</f>
        <v>Pakaian Wanita</v>
      </c>
      <c r="E140" s="39" t="str">
        <f>IFERROR(INDEX(Katalog!$B$3:$B$12,MATCH(cadangan[[#This Row],[ItemID A]],Katalog!$C$3:$C$12,0)),"-")</f>
        <v>Blouse</v>
      </c>
      <c r="F140" s="50">
        <v>4</v>
      </c>
      <c r="G140" s="50">
        <v>4</v>
      </c>
      <c r="H140" s="73">
        <f>IFERROR(INDEX(Katalog!$D$3:$D$12,MATCH(cadangan[[#This Row],[ItemID A]],Katalog!$C$3:$C$12,0))*cadangan[[#This Row],[Qty A]],0)</f>
        <v>600000</v>
      </c>
      <c r="I140" s="73">
        <f>IFERROR(cadangan[[#This Row],[Harga Normal A]]-(cadangan[[#This Row],[Harga Normal A]]*cadangan[[#This Row],[Diskon]]),cadangan[[#This Row],[Harga Normal A]])</f>
        <v>480000</v>
      </c>
      <c r="J140" s="73">
        <f>INDEX(Katalog!$F$3:$F$12,MATCH(cadangan[[#This Row],[ItemID A]],Katalog!$C$3:$C$12,0))*cadangan[[#This Row],[Qty A]]</f>
        <v>200000</v>
      </c>
      <c r="K140" s="73">
        <f>IFERROR(cadangan[[#This Row],[Harga Diskon A]]-INDEX(Katalog!$E$3:$E$12,MATCH(cadangan[[#This Row],[ItemID A]],Katalog!$C$3:$C$12,0))*cadangan[[#This Row],[Qty A]],0)</f>
        <v>80000</v>
      </c>
      <c r="M140" s="39" t="str">
        <f>IFERROR(INDEX(Katalog!$A$3:$A$12,MATCH(cadangan[[#This Row],[ItemID B]],Katalog!$C$3:$C$12,0)),"-")</f>
        <v>-</v>
      </c>
      <c r="N140" s="39" t="str">
        <f>IFERROR(INDEX(Katalog!$B$3:$B$12,MATCH(cadangan[[#This Row],[ItemID B]],Katalog!$C$3:$C$12,0)),"-")</f>
        <v>-</v>
      </c>
      <c r="Q140" s="73">
        <f>IFERROR(INDEX(Katalog!$D$3:$D$12,MATCH(cadangan[[#This Row],[ItemID B]],Katalog!$C$3:$C$12,0))*cadangan[[#This Row],[Qty B]],0)</f>
        <v>0</v>
      </c>
      <c r="R140" s="73">
        <f>IFERROR(cadangan[[#This Row],[Harga Normal B]]-(cadangan[[#This Row],[Harga Normal B]]*cadangan[[#This Row],[Diskon]]),cadangan[[#This Row],[Harga Normal B]])</f>
        <v>0</v>
      </c>
      <c r="S140" s="73">
        <f>IFERROR(INDEX(Katalog!$F$3:$F$12,MATCH(cadangan[[#This Row],[ItemID B]],Katalog!$C$3:$C$12,0))*cadangan[[#This Row],[Qty B]],0)</f>
        <v>0</v>
      </c>
      <c r="T140" s="73">
        <f>IFERROR(cadangan[[#This Row],[Harga Diskon B]]-INDEX(Katalog!$E$3:$E$12,MATCH(cadangan[[#This Row],[ItemID B]],Katalog!$C$3:$C$12,0))*cadangan[[#This Row],[Qty B]],0)</f>
        <v>0</v>
      </c>
      <c r="V140" s="39" t="str">
        <f>IFERROR(INDEX(Katalog!$A$3:$A$12,MATCH(cadangan[[#This Row],[ItemID C]],Katalog!$C$3:$C$12,0)),"-")</f>
        <v>-</v>
      </c>
      <c r="W140" s="39" t="str">
        <f>IFERROR(INDEX(Katalog!$B$3:$B$12,MATCH(cadangan[[#This Row],[ItemID C]],Katalog!$C$3:$C$12,0)),"-")</f>
        <v>-</v>
      </c>
      <c r="Z140" s="73">
        <f>IFERROR(INDEX(Katalog!$D$3:$D$12,MATCH(cadangan[[#This Row],[ItemID C]],Katalog!$C$3:$C$12,0))*cadangan[[#This Row],[Qty C]],0)</f>
        <v>0</v>
      </c>
      <c r="AA140" s="73">
        <f>IFERROR(cadangan[[#This Row],[Harga Normal C]]-(cadangan[[#This Row],[Harga Normal C]]*cadangan[[#This Row],[Diskon]]),cadangan[[#This Row],[Harga Normal C]])</f>
        <v>0</v>
      </c>
      <c r="AB140" s="73">
        <f>IFERROR(INDEX(Katalog!$F$3:$F$12,MATCH(cadangan[[#This Row],[ItemID C]],Katalog!$C$3:$C$12,0))*cadangan[[#This Row],[Qty C]],0)</f>
        <v>0</v>
      </c>
      <c r="AC140" s="73">
        <f>IFERROR(cadangan[[#This Row],[Harga Diskon C]]-INDEX(Katalog!$E$3:$E$12,MATCH(cadangan[[#This Row],[ItemID C]],Katalog!$C$3:$C$12,0))*cadangan[[#This Row],[Qty C]],0)</f>
        <v>0</v>
      </c>
      <c r="AD140" s="53">
        <f>cadangan[[#This Row],[Qty A]]+cadangan[[#This Row],[Qty B]]+cadangan[[#This Row],[Qty C]]</f>
        <v>4</v>
      </c>
      <c r="AE140" s="73">
        <f>cadangan[[#This Row],[Harga Normal A]]+cadangan[[#This Row],[Harga Normal B]]+cadangan[[#This Row],[Harga Normal C]]</f>
        <v>600000</v>
      </c>
      <c r="AF140" s="73">
        <f>cadangan[[#This Row],[Harga Diskon A]]+cadangan[[#This Row],[Harga Diskon B]]+cadangan[[#This Row],[Harga Diskon C]]</f>
        <v>480000</v>
      </c>
      <c r="AG140" s="73">
        <f>(cadangan[[#This Row],[Profit Normal A]]+cadangan[[#This Row],[Profit Normal B]]+cadangan[[#This Row],[Profit Normal C]])</f>
        <v>200000</v>
      </c>
      <c r="AH140" s="73">
        <f>cadangan[[#This Row],[Profit Diskon A]]+cadangan[[#This Row],[Profit Diskon B]]+cadangan[[#This Row],[Profit Diskon C]]</f>
        <v>80000</v>
      </c>
      <c r="AI140" s="23" t="s">
        <v>8</v>
      </c>
      <c r="AJ140" s="37">
        <f>IFERROR(INDEX('Kode Diskon'!$D$3:$D$9,MATCH(cadangan[[#This Row],[Kode diskon]],'Kode Diskon'!$C$3:$C$9,0)),"-")</f>
        <v>0.2</v>
      </c>
      <c r="AK140" s="23" t="s">
        <v>9</v>
      </c>
      <c r="AL140" s="23" t="s">
        <v>7</v>
      </c>
      <c r="AM140" s="23" t="s">
        <v>79</v>
      </c>
      <c r="AN140" s="55">
        <v>45039</v>
      </c>
      <c r="AO140" s="53">
        <f>DAY(cadangan[[#This Row],[Tanggal terjual]])</f>
        <v>23</v>
      </c>
      <c r="AP140" s="21" t="str">
        <f>TEXT(cadangan[[#This Row],[Tanggal terjual]],"dddd")</f>
        <v>Sunday</v>
      </c>
      <c r="AQ140" s="23" t="str" cm="1">
        <f t="array" ref="AQ1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40" s="61">
        <f>AVERAGE(cadangan[[#This Row],[Rating A]],cadangan[[#This Row],[Rating B]],cadangan[[#This Row],[Rating C]])</f>
        <v>4</v>
      </c>
    </row>
    <row r="141" spans="1:44" x14ac:dyDescent="0.2">
      <c r="A141" s="20">
        <v>140</v>
      </c>
      <c r="B141" s="21" t="str">
        <f>_xlfn.CONCAT("ORD-",INDEX(Helper!$B$2:$B$5,MATCH(cadangan[[#This Row],[Marketplace]],Helper!$A$2:$A$5,0)),TEXT(cadangan[[#This Row],[No]],"0000"),"-",TEXT(cadangan[[#This Row],[Tanggal terjual]],"dd/mm/yy"))</f>
        <v>ORD-BL0140-21/04/23</v>
      </c>
      <c r="C141" s="39" t="s">
        <v>66</v>
      </c>
      <c r="D141" s="39" t="str">
        <f>IFERROR(INDEX(Katalog!$A$3:$A$12,MATCH(cadangan[[#This Row],[ItemID A]],Katalog!$C$3:$C$12,0)),"-")</f>
        <v>Sepatu Pria</v>
      </c>
      <c r="E141" s="39" t="str">
        <f>IFERROR(INDEX(Katalog!$B$3:$B$12,MATCH(cadangan[[#This Row],[ItemID A]],Katalog!$C$3:$C$12,0)),"-")</f>
        <v>Sandal Slip On</v>
      </c>
      <c r="F141" s="50">
        <v>3</v>
      </c>
      <c r="G141" s="50">
        <v>3</v>
      </c>
      <c r="H141" s="73">
        <f>IFERROR(INDEX(Katalog!$D$3:$D$12,MATCH(cadangan[[#This Row],[ItemID A]],Katalog!$C$3:$C$12,0))*cadangan[[#This Row],[Qty A]],0)</f>
        <v>450000</v>
      </c>
      <c r="I141" s="73">
        <f>IFERROR(cadangan[[#This Row],[Harga Normal A]]-(cadangan[[#This Row],[Harga Normal A]]*cadangan[[#This Row],[Diskon]]),cadangan[[#This Row],[Harga Normal A]])</f>
        <v>382500</v>
      </c>
      <c r="J141" s="73">
        <f>INDEX(Katalog!$F$3:$F$12,MATCH(cadangan[[#This Row],[ItemID A]],Katalog!$C$3:$C$12,0))*cadangan[[#This Row],[Qty A]]</f>
        <v>180000</v>
      </c>
      <c r="K141" s="73">
        <f>IFERROR(cadangan[[#This Row],[Harga Diskon A]]-INDEX(Katalog!$E$3:$E$12,MATCH(cadangan[[#This Row],[ItemID A]],Katalog!$C$3:$C$12,0))*cadangan[[#This Row],[Qty A]],0)</f>
        <v>112500</v>
      </c>
      <c r="L141" s="39" t="s">
        <v>58</v>
      </c>
      <c r="M141" s="39" t="str">
        <f>IFERROR(INDEX(Katalog!$A$3:$A$12,MATCH(cadangan[[#This Row],[ItemID B]],Katalog!$C$3:$C$12,0)),"-")</f>
        <v>Pakaian Wanita</v>
      </c>
      <c r="N141" s="39" t="str">
        <f>IFERROR(INDEX(Katalog!$B$3:$B$12,MATCH(cadangan[[#This Row],[ItemID B]],Katalog!$C$3:$C$12,0)),"-")</f>
        <v>Dress</v>
      </c>
      <c r="O141" s="50">
        <v>1</v>
      </c>
      <c r="P141" s="50">
        <v>3</v>
      </c>
      <c r="Q141" s="73">
        <f>IFERROR(INDEX(Katalog!$D$3:$D$12,MATCH(cadangan[[#This Row],[ItemID B]],Katalog!$C$3:$C$12,0))*cadangan[[#This Row],[Qty B]],0)</f>
        <v>300000</v>
      </c>
      <c r="R141" s="73">
        <f>IFERROR(cadangan[[#This Row],[Harga Normal B]]-(cadangan[[#This Row],[Harga Normal B]]*cadangan[[#This Row],[Diskon]]),cadangan[[#This Row],[Harga Normal B]])</f>
        <v>255000</v>
      </c>
      <c r="S141" s="73">
        <f>IFERROR(INDEX(Katalog!$F$3:$F$12,MATCH(cadangan[[#This Row],[ItemID B]],Katalog!$C$3:$C$12,0))*cadangan[[#This Row],[Qty B]],0)</f>
        <v>100000</v>
      </c>
      <c r="T141" s="73">
        <f>IFERROR(cadangan[[#This Row],[Harga Diskon B]]-INDEX(Katalog!$E$3:$E$12,MATCH(cadangan[[#This Row],[ItemID B]],Katalog!$C$3:$C$12,0))*cadangan[[#This Row],[Qty B]],0)</f>
        <v>55000</v>
      </c>
      <c r="U141" s="39" t="s">
        <v>66</v>
      </c>
      <c r="V141" s="39" t="str">
        <f>IFERROR(INDEX(Katalog!$A$3:$A$12,MATCH(cadangan[[#This Row],[ItemID C]],Katalog!$C$3:$C$12,0)),"-")</f>
        <v>Sepatu Pria</v>
      </c>
      <c r="W141" s="39" t="str">
        <f>IFERROR(INDEX(Katalog!$B$3:$B$12,MATCH(cadangan[[#This Row],[ItemID C]],Katalog!$C$3:$C$12,0)),"-")</f>
        <v>Sandal Slip On</v>
      </c>
      <c r="X141" s="50">
        <v>1</v>
      </c>
      <c r="Y141" s="50">
        <v>4</v>
      </c>
      <c r="Z141" s="73">
        <f>IFERROR(INDEX(Katalog!$D$3:$D$12,MATCH(cadangan[[#This Row],[ItemID C]],Katalog!$C$3:$C$12,0))*cadangan[[#This Row],[Qty C]],0)</f>
        <v>150000</v>
      </c>
      <c r="AA141" s="73">
        <f>IFERROR(cadangan[[#This Row],[Harga Normal C]]-(cadangan[[#This Row],[Harga Normal C]]*cadangan[[#This Row],[Diskon]]),cadangan[[#This Row],[Harga Normal C]])</f>
        <v>127500</v>
      </c>
      <c r="AB141" s="73">
        <f>IFERROR(INDEX(Katalog!$F$3:$F$12,MATCH(cadangan[[#This Row],[ItemID C]],Katalog!$C$3:$C$12,0))*cadangan[[#This Row],[Qty C]],0)</f>
        <v>60000</v>
      </c>
      <c r="AC141" s="73">
        <f>IFERROR(cadangan[[#This Row],[Harga Diskon C]]-INDEX(Katalog!$E$3:$E$12,MATCH(cadangan[[#This Row],[ItemID C]],Katalog!$C$3:$C$12,0))*cadangan[[#This Row],[Qty C]],0)</f>
        <v>37500</v>
      </c>
      <c r="AD141" s="53">
        <f>cadangan[[#This Row],[Qty A]]+cadangan[[#This Row],[Qty B]]+cadangan[[#This Row],[Qty C]]</f>
        <v>5</v>
      </c>
      <c r="AE141" s="73">
        <f>cadangan[[#This Row],[Harga Normal A]]+cadangan[[#This Row],[Harga Normal B]]+cadangan[[#This Row],[Harga Normal C]]</f>
        <v>900000</v>
      </c>
      <c r="AF141" s="73">
        <f>cadangan[[#This Row],[Harga Diskon A]]+cadangan[[#This Row],[Harga Diskon B]]+cadangan[[#This Row],[Harga Diskon C]]</f>
        <v>765000</v>
      </c>
      <c r="AG141" s="73">
        <f>(cadangan[[#This Row],[Profit Normal A]]+cadangan[[#This Row],[Profit Normal B]]+cadangan[[#This Row],[Profit Normal C]])</f>
        <v>340000</v>
      </c>
      <c r="AH141" s="73">
        <f>cadangan[[#This Row],[Profit Diskon A]]+cadangan[[#This Row],[Profit Diskon B]]+cadangan[[#This Row],[Profit Diskon C]]</f>
        <v>205000</v>
      </c>
      <c r="AI141" s="23" t="s">
        <v>32</v>
      </c>
      <c r="AJ141" s="37">
        <f>IFERROR(INDEX('Kode Diskon'!$D$3:$D$9,MATCH(cadangan[[#This Row],[Kode diskon]],'Kode Diskon'!$C$3:$C$9,0)),"-")</f>
        <v>0.15</v>
      </c>
      <c r="AK141" s="23" t="s">
        <v>9</v>
      </c>
      <c r="AL141" s="23" t="s">
        <v>12</v>
      </c>
      <c r="AM141" s="23" t="s">
        <v>75</v>
      </c>
      <c r="AN141" s="55">
        <v>45037</v>
      </c>
      <c r="AO141" s="53">
        <f>DAY(cadangan[[#This Row],[Tanggal terjual]])</f>
        <v>21</v>
      </c>
      <c r="AP141" s="21" t="str">
        <f>TEXT(cadangan[[#This Row],[Tanggal terjual]],"dddd")</f>
        <v>Friday</v>
      </c>
      <c r="AQ141" s="23" t="str" cm="1">
        <f t="array" ref="AQ1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41" s="61">
        <f>AVERAGE(cadangan[[#This Row],[Rating A]],cadangan[[#This Row],[Rating B]],cadangan[[#This Row],[Rating C]])</f>
        <v>3.3333333333333335</v>
      </c>
    </row>
    <row r="142" spans="1:44" x14ac:dyDescent="0.2">
      <c r="A142" s="20">
        <v>141</v>
      </c>
      <c r="B142" s="21" t="str">
        <f>_xlfn.CONCAT("ORD-",INDEX(Helper!$B$2:$B$5,MATCH(cadangan[[#This Row],[Marketplace]],Helper!$A$2:$A$5,0)),TEXT(cadangan[[#This Row],[No]],"0000"),"-",TEXT(cadangan[[#This Row],[Tanggal terjual]],"dd/mm/yy"))</f>
        <v>ORD-BB0141-06/04/23</v>
      </c>
      <c r="C142" s="39" t="s">
        <v>64</v>
      </c>
      <c r="D142" s="39" t="str">
        <f>IFERROR(INDEX(Katalog!$A$3:$A$12,MATCH(cadangan[[#This Row],[ItemID A]],Katalog!$C$3:$C$12,0)),"-")</f>
        <v>Pakaian Unisex</v>
      </c>
      <c r="E142" s="39" t="str">
        <f>IFERROR(INDEX(Katalog!$B$3:$B$12,MATCH(cadangan[[#This Row],[ItemID A]],Katalog!$C$3:$C$12,0)),"-")</f>
        <v>Jaket Hoodie</v>
      </c>
      <c r="F142" s="50">
        <v>2</v>
      </c>
      <c r="G142" s="50">
        <v>1</v>
      </c>
      <c r="H142" s="73">
        <f>IFERROR(INDEX(Katalog!$D$3:$D$12,MATCH(cadangan[[#This Row],[ItemID A]],Katalog!$C$3:$C$12,0))*cadangan[[#This Row],[Qty A]],0)</f>
        <v>700000</v>
      </c>
      <c r="I142" s="73">
        <f>IFERROR(cadangan[[#This Row],[Harga Normal A]]-(cadangan[[#This Row],[Harga Normal A]]*cadangan[[#This Row],[Diskon]]),cadangan[[#This Row],[Harga Normal A]])</f>
        <v>595000</v>
      </c>
      <c r="J142" s="73">
        <f>INDEX(Katalog!$F$3:$F$12,MATCH(cadangan[[#This Row],[ItemID A]],Katalog!$C$3:$C$12,0))*cadangan[[#This Row],[Qty A]]</f>
        <v>260000</v>
      </c>
      <c r="K142" s="73">
        <f>IFERROR(cadangan[[#This Row],[Harga Diskon A]]-INDEX(Katalog!$E$3:$E$12,MATCH(cadangan[[#This Row],[ItemID A]],Katalog!$C$3:$C$12,0))*cadangan[[#This Row],[Qty A]],0)</f>
        <v>155000</v>
      </c>
      <c r="L142" s="39" t="s">
        <v>67</v>
      </c>
      <c r="M142" s="39" t="str">
        <f>IFERROR(INDEX(Katalog!$A$3:$A$12,MATCH(cadangan[[#This Row],[ItemID B]],Katalog!$C$3:$C$12,0)),"-")</f>
        <v>Sepatu Wanita</v>
      </c>
      <c r="N142" s="39" t="str">
        <f>IFERROR(INDEX(Katalog!$B$3:$B$12,MATCH(cadangan[[#This Row],[ItemID B]],Katalog!$C$3:$C$12,0)),"-")</f>
        <v>Flat Shoes</v>
      </c>
      <c r="O142" s="50">
        <v>1</v>
      </c>
      <c r="P142" s="50">
        <v>2</v>
      </c>
      <c r="Q142" s="73">
        <f>IFERROR(INDEX(Katalog!$D$3:$D$12,MATCH(cadangan[[#This Row],[ItemID B]],Katalog!$C$3:$C$12,0))*cadangan[[#This Row],[Qty B]],0)</f>
        <v>250000</v>
      </c>
      <c r="R142" s="73">
        <f>IFERROR(cadangan[[#This Row],[Harga Normal B]]-(cadangan[[#This Row],[Harga Normal B]]*cadangan[[#This Row],[Diskon]]),cadangan[[#This Row],[Harga Normal B]])</f>
        <v>212500</v>
      </c>
      <c r="S142" s="73">
        <f>IFERROR(INDEX(Katalog!$F$3:$F$12,MATCH(cadangan[[#This Row],[ItemID B]],Katalog!$C$3:$C$12,0))*cadangan[[#This Row],[Qty B]],0)</f>
        <v>100000</v>
      </c>
      <c r="T142" s="73">
        <f>IFERROR(cadangan[[#This Row],[Harga Diskon B]]-INDEX(Katalog!$E$3:$E$12,MATCH(cadangan[[#This Row],[ItemID B]],Katalog!$C$3:$C$12,0))*cadangan[[#This Row],[Qty B]],0)</f>
        <v>62500</v>
      </c>
      <c r="V142" s="39" t="str">
        <f>IFERROR(INDEX(Katalog!$A$3:$A$12,MATCH(cadangan[[#This Row],[ItemID C]],Katalog!$C$3:$C$12,0)),"-")</f>
        <v>-</v>
      </c>
      <c r="W142" s="39" t="str">
        <f>IFERROR(INDEX(Katalog!$B$3:$B$12,MATCH(cadangan[[#This Row],[ItemID C]],Katalog!$C$3:$C$12,0)),"-")</f>
        <v>-</v>
      </c>
      <c r="Z142" s="73">
        <f>IFERROR(INDEX(Katalog!$D$3:$D$12,MATCH(cadangan[[#This Row],[ItemID C]],Katalog!$C$3:$C$12,0))*cadangan[[#This Row],[Qty C]],0)</f>
        <v>0</v>
      </c>
      <c r="AA142" s="73">
        <f>IFERROR(cadangan[[#This Row],[Harga Normal C]]-(cadangan[[#This Row],[Harga Normal C]]*cadangan[[#This Row],[Diskon]]),cadangan[[#This Row],[Harga Normal C]])</f>
        <v>0</v>
      </c>
      <c r="AB142" s="73">
        <f>IFERROR(INDEX(Katalog!$F$3:$F$12,MATCH(cadangan[[#This Row],[ItemID C]],Katalog!$C$3:$C$12,0))*cadangan[[#This Row],[Qty C]],0)</f>
        <v>0</v>
      </c>
      <c r="AC142" s="73">
        <f>IFERROR(cadangan[[#This Row],[Harga Diskon C]]-INDEX(Katalog!$E$3:$E$12,MATCH(cadangan[[#This Row],[ItemID C]],Katalog!$C$3:$C$12,0))*cadangan[[#This Row],[Qty C]],0)</f>
        <v>0</v>
      </c>
      <c r="AD142" s="53">
        <f>cadangan[[#This Row],[Qty A]]+cadangan[[#This Row],[Qty B]]+cadangan[[#This Row],[Qty C]]</f>
        <v>3</v>
      </c>
      <c r="AE142" s="73">
        <f>cadangan[[#This Row],[Harga Normal A]]+cadangan[[#This Row],[Harga Normal B]]+cadangan[[#This Row],[Harga Normal C]]</f>
        <v>950000</v>
      </c>
      <c r="AF142" s="73">
        <f>cadangan[[#This Row],[Harga Diskon A]]+cadangan[[#This Row],[Harga Diskon B]]+cadangan[[#This Row],[Harga Diskon C]]</f>
        <v>807500</v>
      </c>
      <c r="AG142" s="73">
        <f>(cadangan[[#This Row],[Profit Normal A]]+cadangan[[#This Row],[Profit Normal B]]+cadangan[[#This Row],[Profit Normal C]])</f>
        <v>360000</v>
      </c>
      <c r="AH142" s="73">
        <f>cadangan[[#This Row],[Profit Diskon A]]+cadangan[[#This Row],[Profit Diskon B]]+cadangan[[#This Row],[Profit Diskon C]]</f>
        <v>217500</v>
      </c>
      <c r="AI142" s="23" t="s">
        <v>28</v>
      </c>
      <c r="AJ142" s="37">
        <f>IFERROR(INDEX('Kode Diskon'!$D$3:$D$9,MATCH(cadangan[[#This Row],[Kode diskon]],'Kode Diskon'!$C$3:$C$9,0)),"-")</f>
        <v>0.15</v>
      </c>
      <c r="AK142" s="23" t="s">
        <v>29</v>
      </c>
      <c r="AL142" s="23" t="s">
        <v>14</v>
      </c>
      <c r="AM142" s="23" t="s">
        <v>79</v>
      </c>
      <c r="AN142" s="55">
        <v>45022</v>
      </c>
      <c r="AO142" s="53">
        <f>DAY(cadangan[[#This Row],[Tanggal terjual]])</f>
        <v>6</v>
      </c>
      <c r="AP142" s="21" t="str">
        <f>TEXT(cadangan[[#This Row],[Tanggal terjual]],"dddd")</f>
        <v>Thursday</v>
      </c>
      <c r="AQ142" s="23" t="str" cm="1">
        <f t="array" ref="AQ1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42" s="61">
        <f>AVERAGE(cadangan[[#This Row],[Rating A]],cadangan[[#This Row],[Rating B]],cadangan[[#This Row],[Rating C]])</f>
        <v>1.5</v>
      </c>
    </row>
    <row r="143" spans="1:44" x14ac:dyDescent="0.2">
      <c r="A143" s="20">
        <v>142</v>
      </c>
      <c r="B143" s="21" t="str">
        <f>_xlfn.CONCAT("ORD-",INDEX(Helper!$B$2:$B$5,MATCH(cadangan[[#This Row],[Marketplace]],Helper!$A$2:$A$5,0)),TEXT(cadangan[[#This Row],[No]],"0000"),"-",TEXT(cadangan[[#This Row],[Tanggal terjual]],"dd/mm/yy"))</f>
        <v>ORD-BL0142-25/04/23</v>
      </c>
      <c r="C143" s="39" t="s">
        <v>67</v>
      </c>
      <c r="D143" s="39" t="str">
        <f>IFERROR(INDEX(Katalog!$A$3:$A$12,MATCH(cadangan[[#This Row],[ItemID A]],Katalog!$C$3:$C$12,0)),"-")</f>
        <v>Sepatu Wanita</v>
      </c>
      <c r="E143" s="39" t="str">
        <f>IFERROR(INDEX(Katalog!$B$3:$B$12,MATCH(cadangan[[#This Row],[ItemID A]],Katalog!$C$3:$C$12,0)),"-")</f>
        <v>Flat Shoes</v>
      </c>
      <c r="F143" s="50">
        <v>2</v>
      </c>
      <c r="G143" s="50">
        <v>1</v>
      </c>
      <c r="H143" s="73">
        <f>IFERROR(INDEX(Katalog!$D$3:$D$12,MATCH(cadangan[[#This Row],[ItemID A]],Katalog!$C$3:$C$12,0))*cadangan[[#This Row],[Qty A]],0)</f>
        <v>500000</v>
      </c>
      <c r="I143" s="73">
        <f>IFERROR(cadangan[[#This Row],[Harga Normal A]]-(cadangan[[#This Row],[Harga Normal A]]*cadangan[[#This Row],[Diskon]]),cadangan[[#This Row],[Harga Normal A]])</f>
        <v>425000</v>
      </c>
      <c r="J143" s="73">
        <f>INDEX(Katalog!$F$3:$F$12,MATCH(cadangan[[#This Row],[ItemID A]],Katalog!$C$3:$C$12,0))*cadangan[[#This Row],[Qty A]]</f>
        <v>200000</v>
      </c>
      <c r="K143" s="73">
        <f>IFERROR(cadangan[[#This Row],[Harga Diskon A]]-INDEX(Katalog!$E$3:$E$12,MATCH(cadangan[[#This Row],[ItemID A]],Katalog!$C$3:$C$12,0))*cadangan[[#This Row],[Qty A]],0)</f>
        <v>125000</v>
      </c>
      <c r="L143" s="39" t="s">
        <v>64</v>
      </c>
      <c r="M143" s="39" t="str">
        <f>IFERROR(INDEX(Katalog!$A$3:$A$12,MATCH(cadangan[[#This Row],[ItemID B]],Katalog!$C$3:$C$12,0)),"-")</f>
        <v>Pakaian Unisex</v>
      </c>
      <c r="N143" s="39" t="str">
        <f>IFERROR(INDEX(Katalog!$B$3:$B$12,MATCH(cadangan[[#This Row],[ItemID B]],Katalog!$C$3:$C$12,0)),"-")</f>
        <v>Jaket Hoodie</v>
      </c>
      <c r="O143" s="50">
        <v>1</v>
      </c>
      <c r="P143" s="50">
        <v>3</v>
      </c>
      <c r="Q143" s="73">
        <f>IFERROR(INDEX(Katalog!$D$3:$D$12,MATCH(cadangan[[#This Row],[ItemID B]],Katalog!$C$3:$C$12,0))*cadangan[[#This Row],[Qty B]],0)</f>
        <v>350000</v>
      </c>
      <c r="R143" s="73">
        <f>IFERROR(cadangan[[#This Row],[Harga Normal B]]-(cadangan[[#This Row],[Harga Normal B]]*cadangan[[#This Row],[Diskon]]),cadangan[[#This Row],[Harga Normal B]])</f>
        <v>297500</v>
      </c>
      <c r="S143" s="73">
        <f>IFERROR(INDEX(Katalog!$F$3:$F$12,MATCH(cadangan[[#This Row],[ItemID B]],Katalog!$C$3:$C$12,0))*cadangan[[#This Row],[Qty B]],0)</f>
        <v>130000</v>
      </c>
      <c r="T143" s="73">
        <f>IFERROR(cadangan[[#This Row],[Harga Diskon B]]-INDEX(Katalog!$E$3:$E$12,MATCH(cadangan[[#This Row],[ItemID B]],Katalog!$C$3:$C$12,0))*cadangan[[#This Row],[Qty B]],0)</f>
        <v>77500</v>
      </c>
      <c r="U143" s="39" t="s">
        <v>65</v>
      </c>
      <c r="V143" s="39" t="str">
        <f>IFERROR(INDEX(Katalog!$A$3:$A$12,MATCH(cadangan[[#This Row],[ItemID C]],Katalog!$C$3:$C$12,0)),"-")</f>
        <v>Sepatu Pria</v>
      </c>
      <c r="W143" s="39" t="str">
        <f>IFERROR(INDEX(Katalog!$B$3:$B$12,MATCH(cadangan[[#This Row],[ItemID C]],Katalog!$C$3:$C$12,0)),"-")</f>
        <v>Sneakers</v>
      </c>
      <c r="X143" s="50">
        <v>4</v>
      </c>
      <c r="Y143" s="50">
        <v>3</v>
      </c>
      <c r="Z143" s="73">
        <f>IFERROR(INDEX(Katalog!$D$3:$D$12,MATCH(cadangan[[#This Row],[ItemID C]],Katalog!$C$3:$C$12,0))*cadangan[[#This Row],[Qty C]],0)</f>
        <v>2000000</v>
      </c>
      <c r="AA143" s="73">
        <f>IFERROR(cadangan[[#This Row],[Harga Normal C]]-(cadangan[[#This Row],[Harga Normal C]]*cadangan[[#This Row],[Diskon]]),cadangan[[#This Row],[Harga Normal C]])</f>
        <v>1700000</v>
      </c>
      <c r="AB143" s="73">
        <f>IFERROR(INDEX(Katalog!$F$3:$F$12,MATCH(cadangan[[#This Row],[ItemID C]],Katalog!$C$3:$C$12,0))*cadangan[[#This Row],[Qty C]],0)</f>
        <v>800000</v>
      </c>
      <c r="AC143" s="73">
        <f>IFERROR(cadangan[[#This Row],[Harga Diskon C]]-INDEX(Katalog!$E$3:$E$12,MATCH(cadangan[[#This Row],[ItemID C]],Katalog!$C$3:$C$12,0))*cadangan[[#This Row],[Qty C]],0)</f>
        <v>500000</v>
      </c>
      <c r="AD143" s="53">
        <f>cadangan[[#This Row],[Qty A]]+cadangan[[#This Row],[Qty B]]+cadangan[[#This Row],[Qty C]]</f>
        <v>7</v>
      </c>
      <c r="AE143" s="73">
        <f>cadangan[[#This Row],[Harga Normal A]]+cadangan[[#This Row],[Harga Normal B]]+cadangan[[#This Row],[Harga Normal C]]</f>
        <v>2850000</v>
      </c>
      <c r="AF143" s="73">
        <f>cadangan[[#This Row],[Harga Diskon A]]+cadangan[[#This Row],[Harga Diskon B]]+cadangan[[#This Row],[Harga Diskon C]]</f>
        <v>2422500</v>
      </c>
      <c r="AG143" s="73">
        <f>(cadangan[[#This Row],[Profit Normal A]]+cadangan[[#This Row],[Profit Normal B]]+cadangan[[#This Row],[Profit Normal C]])</f>
        <v>1130000</v>
      </c>
      <c r="AH143" s="73">
        <f>cadangan[[#This Row],[Profit Diskon A]]+cadangan[[#This Row],[Profit Diskon B]]+cadangan[[#This Row],[Profit Diskon C]]</f>
        <v>702500</v>
      </c>
      <c r="AI143" s="23" t="s">
        <v>32</v>
      </c>
      <c r="AJ143" s="37">
        <f>IFERROR(INDEX('Kode Diskon'!$D$3:$D$9,MATCH(cadangan[[#This Row],[Kode diskon]],'Kode Diskon'!$C$3:$C$9,0)),"-")</f>
        <v>0.15</v>
      </c>
      <c r="AK143" s="23" t="s">
        <v>9</v>
      </c>
      <c r="AL143" s="23" t="s">
        <v>12</v>
      </c>
      <c r="AM143" s="23" t="s">
        <v>80</v>
      </c>
      <c r="AN143" s="55">
        <v>45041</v>
      </c>
      <c r="AO143" s="53">
        <f>DAY(cadangan[[#This Row],[Tanggal terjual]])</f>
        <v>25</v>
      </c>
      <c r="AP143" s="21" t="str">
        <f>TEXT(cadangan[[#This Row],[Tanggal terjual]],"dddd")</f>
        <v>Tuesday</v>
      </c>
      <c r="AQ143" s="23" t="str" cm="1">
        <f t="array" ref="AQ1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43" s="61">
        <f>AVERAGE(cadangan[[#This Row],[Rating A]],cadangan[[#This Row],[Rating B]],cadangan[[#This Row],[Rating C]])</f>
        <v>2.3333333333333335</v>
      </c>
    </row>
    <row r="144" spans="1:44" x14ac:dyDescent="0.2">
      <c r="A144" s="20">
        <v>143</v>
      </c>
      <c r="B144" s="21" t="str">
        <f>_xlfn.CONCAT("ORD-",INDEX(Helper!$B$2:$B$5,MATCH(cadangan[[#This Row],[Marketplace]],Helper!$A$2:$A$5,0)),TEXT(cadangan[[#This Row],[No]],"0000"),"-",TEXT(cadangan[[#This Row],[Tanggal terjual]],"dd/mm/yy"))</f>
        <v>ORD-SP0143-18/04/23</v>
      </c>
      <c r="C144" s="39" t="s">
        <v>66</v>
      </c>
      <c r="D144" s="39" t="str">
        <f>IFERROR(INDEX(Katalog!$A$3:$A$12,MATCH(cadangan[[#This Row],[ItemID A]],Katalog!$C$3:$C$12,0)),"-")</f>
        <v>Sepatu Pria</v>
      </c>
      <c r="E144" s="39" t="str">
        <f>IFERROR(INDEX(Katalog!$B$3:$B$12,MATCH(cadangan[[#This Row],[ItemID A]],Katalog!$C$3:$C$12,0)),"-")</f>
        <v>Sandal Slip On</v>
      </c>
      <c r="F144" s="50">
        <v>2</v>
      </c>
      <c r="G144" s="50">
        <v>5</v>
      </c>
      <c r="H144" s="73">
        <f>IFERROR(INDEX(Katalog!$D$3:$D$12,MATCH(cadangan[[#This Row],[ItemID A]],Katalog!$C$3:$C$12,0))*cadangan[[#This Row],[Qty A]],0)</f>
        <v>300000</v>
      </c>
      <c r="I144" s="73">
        <f>IFERROR(cadangan[[#This Row],[Harga Normal A]]-(cadangan[[#This Row],[Harga Normal A]]*cadangan[[#This Row],[Diskon]]),cadangan[[#This Row],[Harga Normal A]])</f>
        <v>240000</v>
      </c>
      <c r="J144" s="73">
        <f>INDEX(Katalog!$F$3:$F$12,MATCH(cadangan[[#This Row],[ItemID A]],Katalog!$C$3:$C$12,0))*cadangan[[#This Row],[Qty A]]</f>
        <v>120000</v>
      </c>
      <c r="K144" s="73">
        <f>IFERROR(cadangan[[#This Row],[Harga Diskon A]]-INDEX(Katalog!$E$3:$E$12,MATCH(cadangan[[#This Row],[ItemID A]],Katalog!$C$3:$C$12,0))*cadangan[[#This Row],[Qty A]],0)</f>
        <v>60000</v>
      </c>
      <c r="L144" s="39" t="s">
        <v>62</v>
      </c>
      <c r="M144" s="39" t="str">
        <f>IFERROR(INDEX(Katalog!$A$3:$A$12,MATCH(cadangan[[#This Row],[ItemID B]],Katalog!$C$3:$C$12,0)),"-")</f>
        <v>Pakaian Pria</v>
      </c>
      <c r="N144" s="39" t="str">
        <f>IFERROR(INDEX(Katalog!$B$3:$B$12,MATCH(cadangan[[#This Row],[ItemID B]],Katalog!$C$3:$C$12,0)),"-")</f>
        <v>Celana Pendek</v>
      </c>
      <c r="O144" s="50">
        <v>3</v>
      </c>
      <c r="P144" s="50">
        <v>5</v>
      </c>
      <c r="Q144" s="73">
        <f>IFERROR(INDEX(Katalog!$D$3:$D$12,MATCH(cadangan[[#This Row],[ItemID B]],Katalog!$C$3:$C$12,0))*cadangan[[#This Row],[Qty B]],0)</f>
        <v>540000</v>
      </c>
      <c r="R144" s="73">
        <f>IFERROR(cadangan[[#This Row],[Harga Normal B]]-(cadangan[[#This Row],[Harga Normal B]]*cadangan[[#This Row],[Diskon]]),cadangan[[#This Row],[Harga Normal B]])</f>
        <v>432000</v>
      </c>
      <c r="S144" s="73">
        <f>IFERROR(INDEX(Katalog!$F$3:$F$12,MATCH(cadangan[[#This Row],[ItemID B]],Katalog!$C$3:$C$12,0))*cadangan[[#This Row],[Qty B]],0)</f>
        <v>210000</v>
      </c>
      <c r="T144" s="73">
        <f>IFERROR(cadangan[[#This Row],[Harga Diskon B]]-INDEX(Katalog!$E$3:$E$12,MATCH(cadangan[[#This Row],[ItemID B]],Katalog!$C$3:$C$12,0))*cadangan[[#This Row],[Qty B]],0)</f>
        <v>102000</v>
      </c>
      <c r="V144" s="39" t="str">
        <f>IFERROR(INDEX(Katalog!$A$3:$A$12,MATCH(cadangan[[#This Row],[ItemID C]],Katalog!$C$3:$C$12,0)),"-")</f>
        <v>-</v>
      </c>
      <c r="W144" s="39" t="str">
        <f>IFERROR(INDEX(Katalog!$B$3:$B$12,MATCH(cadangan[[#This Row],[ItemID C]],Katalog!$C$3:$C$12,0)),"-")</f>
        <v>-</v>
      </c>
      <c r="Z144" s="73">
        <f>IFERROR(INDEX(Katalog!$D$3:$D$12,MATCH(cadangan[[#This Row],[ItemID C]],Katalog!$C$3:$C$12,0))*cadangan[[#This Row],[Qty C]],0)</f>
        <v>0</v>
      </c>
      <c r="AA144" s="73">
        <f>IFERROR(cadangan[[#This Row],[Harga Normal C]]-(cadangan[[#This Row],[Harga Normal C]]*cadangan[[#This Row],[Diskon]]),cadangan[[#This Row],[Harga Normal C]])</f>
        <v>0</v>
      </c>
      <c r="AB144" s="73">
        <f>IFERROR(INDEX(Katalog!$F$3:$F$12,MATCH(cadangan[[#This Row],[ItemID C]],Katalog!$C$3:$C$12,0))*cadangan[[#This Row],[Qty C]],0)</f>
        <v>0</v>
      </c>
      <c r="AC144" s="73">
        <f>IFERROR(cadangan[[#This Row],[Harga Diskon C]]-INDEX(Katalog!$E$3:$E$12,MATCH(cadangan[[#This Row],[ItemID C]],Katalog!$C$3:$C$12,0))*cadangan[[#This Row],[Qty C]],0)</f>
        <v>0</v>
      </c>
      <c r="AD144" s="53">
        <f>cadangan[[#This Row],[Qty A]]+cadangan[[#This Row],[Qty B]]+cadangan[[#This Row],[Qty C]]</f>
        <v>5</v>
      </c>
      <c r="AE144" s="73">
        <f>cadangan[[#This Row],[Harga Normal A]]+cadangan[[#This Row],[Harga Normal B]]+cadangan[[#This Row],[Harga Normal C]]</f>
        <v>840000</v>
      </c>
      <c r="AF144" s="73">
        <f>cadangan[[#This Row],[Harga Diskon A]]+cadangan[[#This Row],[Harga Diskon B]]+cadangan[[#This Row],[Harga Diskon C]]</f>
        <v>672000</v>
      </c>
      <c r="AG144" s="73">
        <f>(cadangan[[#This Row],[Profit Normal A]]+cadangan[[#This Row],[Profit Normal B]]+cadangan[[#This Row],[Profit Normal C]])</f>
        <v>330000</v>
      </c>
      <c r="AH144" s="73">
        <f>cadangan[[#This Row],[Profit Diskon A]]+cadangan[[#This Row],[Profit Diskon B]]+cadangan[[#This Row],[Profit Diskon C]]</f>
        <v>162000</v>
      </c>
      <c r="AI144" s="23" t="s">
        <v>8</v>
      </c>
      <c r="AJ144" s="37">
        <f>IFERROR(INDEX('Kode Diskon'!$D$3:$D$9,MATCH(cadangan[[#This Row],[Kode diskon]],'Kode Diskon'!$C$3:$C$9,0)),"-")</f>
        <v>0.2</v>
      </c>
      <c r="AK144" s="23" t="s">
        <v>9</v>
      </c>
      <c r="AL144" s="23" t="s">
        <v>7</v>
      </c>
      <c r="AM144" s="23" t="s">
        <v>80</v>
      </c>
      <c r="AN144" s="55">
        <v>45034</v>
      </c>
      <c r="AO144" s="53">
        <f>DAY(cadangan[[#This Row],[Tanggal terjual]])</f>
        <v>18</v>
      </c>
      <c r="AP144" s="21" t="str">
        <f>TEXT(cadangan[[#This Row],[Tanggal terjual]],"dddd")</f>
        <v>Tuesday</v>
      </c>
      <c r="AQ144" s="23" t="str" cm="1">
        <f t="array" ref="AQ1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44" s="61">
        <f>AVERAGE(cadangan[[#This Row],[Rating A]],cadangan[[#This Row],[Rating B]],cadangan[[#This Row],[Rating C]])</f>
        <v>5</v>
      </c>
    </row>
    <row r="145" spans="1:44" x14ac:dyDescent="0.2">
      <c r="A145" s="20">
        <v>144</v>
      </c>
      <c r="B145" s="21" t="str">
        <f>_xlfn.CONCAT("ORD-",INDEX(Helper!$B$2:$B$5,MATCH(cadangan[[#This Row],[Marketplace]],Helper!$A$2:$A$5,0)),TEXT(cadangan[[#This Row],[No]],"0000"),"-",TEXT(cadangan[[#This Row],[Tanggal terjual]],"dd/mm/yy"))</f>
        <v>ORD-BL0144-23/04/23</v>
      </c>
      <c r="C145" s="39" t="s">
        <v>64</v>
      </c>
      <c r="D145" s="39" t="str">
        <f>IFERROR(INDEX(Katalog!$A$3:$A$12,MATCH(cadangan[[#This Row],[ItemID A]],Katalog!$C$3:$C$12,0)),"-")</f>
        <v>Pakaian Unisex</v>
      </c>
      <c r="E145" s="39" t="str">
        <f>IFERROR(INDEX(Katalog!$B$3:$B$12,MATCH(cadangan[[#This Row],[ItemID A]],Katalog!$C$3:$C$12,0)),"-")</f>
        <v>Jaket Hoodie</v>
      </c>
      <c r="F145" s="50">
        <v>1</v>
      </c>
      <c r="G145" s="50">
        <v>1</v>
      </c>
      <c r="H145" s="73">
        <f>IFERROR(INDEX(Katalog!$D$3:$D$12,MATCH(cadangan[[#This Row],[ItemID A]],Katalog!$C$3:$C$12,0))*cadangan[[#This Row],[Qty A]],0)</f>
        <v>350000</v>
      </c>
      <c r="I145" s="73">
        <f>IFERROR(cadangan[[#This Row],[Harga Normal A]]-(cadangan[[#This Row],[Harga Normal A]]*cadangan[[#This Row],[Diskon]]),cadangan[[#This Row],[Harga Normal A]])</f>
        <v>297500</v>
      </c>
      <c r="J145" s="73">
        <f>INDEX(Katalog!$F$3:$F$12,MATCH(cadangan[[#This Row],[ItemID A]],Katalog!$C$3:$C$12,0))*cadangan[[#This Row],[Qty A]]</f>
        <v>130000</v>
      </c>
      <c r="K145" s="73">
        <f>IFERROR(cadangan[[#This Row],[Harga Diskon A]]-INDEX(Katalog!$E$3:$E$12,MATCH(cadangan[[#This Row],[ItemID A]],Katalog!$C$3:$C$12,0))*cadangan[[#This Row],[Qty A]],0)</f>
        <v>77500</v>
      </c>
      <c r="M145" s="39" t="str">
        <f>IFERROR(INDEX(Katalog!$A$3:$A$12,MATCH(cadangan[[#This Row],[ItemID B]],Katalog!$C$3:$C$12,0)),"-")</f>
        <v>-</v>
      </c>
      <c r="N145" s="39" t="str">
        <f>IFERROR(INDEX(Katalog!$B$3:$B$12,MATCH(cadangan[[#This Row],[ItemID B]],Katalog!$C$3:$C$12,0)),"-")</f>
        <v>-</v>
      </c>
      <c r="Q145" s="73">
        <f>IFERROR(INDEX(Katalog!$D$3:$D$12,MATCH(cadangan[[#This Row],[ItemID B]],Katalog!$C$3:$C$12,0))*cadangan[[#This Row],[Qty B]],0)</f>
        <v>0</v>
      </c>
      <c r="R145" s="73">
        <f>IFERROR(cadangan[[#This Row],[Harga Normal B]]-(cadangan[[#This Row],[Harga Normal B]]*cadangan[[#This Row],[Diskon]]),cadangan[[#This Row],[Harga Normal B]])</f>
        <v>0</v>
      </c>
      <c r="S145" s="73">
        <f>IFERROR(INDEX(Katalog!$F$3:$F$12,MATCH(cadangan[[#This Row],[ItemID B]],Katalog!$C$3:$C$12,0))*cadangan[[#This Row],[Qty B]],0)</f>
        <v>0</v>
      </c>
      <c r="T145" s="73">
        <f>IFERROR(cadangan[[#This Row],[Harga Diskon B]]-INDEX(Katalog!$E$3:$E$12,MATCH(cadangan[[#This Row],[ItemID B]],Katalog!$C$3:$C$12,0))*cadangan[[#This Row],[Qty B]],0)</f>
        <v>0</v>
      </c>
      <c r="V145" s="39" t="str">
        <f>IFERROR(INDEX(Katalog!$A$3:$A$12,MATCH(cadangan[[#This Row],[ItemID C]],Katalog!$C$3:$C$12,0)),"-")</f>
        <v>-</v>
      </c>
      <c r="W145" s="39" t="str">
        <f>IFERROR(INDEX(Katalog!$B$3:$B$12,MATCH(cadangan[[#This Row],[ItemID C]],Katalog!$C$3:$C$12,0)),"-")</f>
        <v>-</v>
      </c>
      <c r="Z145" s="73">
        <f>IFERROR(INDEX(Katalog!$D$3:$D$12,MATCH(cadangan[[#This Row],[ItemID C]],Katalog!$C$3:$C$12,0))*cadangan[[#This Row],[Qty C]],0)</f>
        <v>0</v>
      </c>
      <c r="AA145" s="73">
        <f>IFERROR(cadangan[[#This Row],[Harga Normal C]]-(cadangan[[#This Row],[Harga Normal C]]*cadangan[[#This Row],[Diskon]]),cadangan[[#This Row],[Harga Normal C]])</f>
        <v>0</v>
      </c>
      <c r="AB145" s="73">
        <f>IFERROR(INDEX(Katalog!$F$3:$F$12,MATCH(cadangan[[#This Row],[ItemID C]],Katalog!$C$3:$C$12,0))*cadangan[[#This Row],[Qty C]],0)</f>
        <v>0</v>
      </c>
      <c r="AC145" s="73">
        <f>IFERROR(cadangan[[#This Row],[Harga Diskon C]]-INDEX(Katalog!$E$3:$E$12,MATCH(cadangan[[#This Row],[ItemID C]],Katalog!$C$3:$C$12,0))*cadangan[[#This Row],[Qty C]],0)</f>
        <v>0</v>
      </c>
      <c r="AD145" s="53">
        <f>cadangan[[#This Row],[Qty A]]+cadangan[[#This Row],[Qty B]]+cadangan[[#This Row],[Qty C]]</f>
        <v>1</v>
      </c>
      <c r="AE145" s="73">
        <f>cadangan[[#This Row],[Harga Normal A]]+cadangan[[#This Row],[Harga Normal B]]+cadangan[[#This Row],[Harga Normal C]]</f>
        <v>350000</v>
      </c>
      <c r="AF145" s="73">
        <f>cadangan[[#This Row],[Harga Diskon A]]+cadangan[[#This Row],[Harga Diskon B]]+cadangan[[#This Row],[Harga Diskon C]]</f>
        <v>297500</v>
      </c>
      <c r="AG145" s="73">
        <f>(cadangan[[#This Row],[Profit Normal A]]+cadangan[[#This Row],[Profit Normal B]]+cadangan[[#This Row],[Profit Normal C]])</f>
        <v>130000</v>
      </c>
      <c r="AH145" s="73">
        <f>cadangan[[#This Row],[Profit Diskon A]]+cadangan[[#This Row],[Profit Diskon B]]+cadangan[[#This Row],[Profit Diskon C]]</f>
        <v>77500</v>
      </c>
      <c r="AI145" s="23" t="s">
        <v>32</v>
      </c>
      <c r="AJ145" s="37">
        <f>IFERROR(INDEX('Kode Diskon'!$D$3:$D$9,MATCH(cadangan[[#This Row],[Kode diskon]],'Kode Diskon'!$C$3:$C$9,0)),"-")</f>
        <v>0.15</v>
      </c>
      <c r="AK145" s="23" t="s">
        <v>9</v>
      </c>
      <c r="AL145" s="23" t="s">
        <v>12</v>
      </c>
      <c r="AM145" s="23" t="s">
        <v>76</v>
      </c>
      <c r="AN145" s="55">
        <v>45039</v>
      </c>
      <c r="AO145" s="53">
        <f>DAY(cadangan[[#This Row],[Tanggal terjual]])</f>
        <v>23</v>
      </c>
      <c r="AP145" s="21" t="str">
        <f>TEXT(cadangan[[#This Row],[Tanggal terjual]],"dddd")</f>
        <v>Sunday</v>
      </c>
      <c r="AQ145" s="23" t="str" cm="1">
        <f t="array" ref="AQ1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45" s="61">
        <f>AVERAGE(cadangan[[#This Row],[Rating A]],cadangan[[#This Row],[Rating B]],cadangan[[#This Row],[Rating C]])</f>
        <v>1</v>
      </c>
    </row>
    <row r="146" spans="1:44" x14ac:dyDescent="0.2">
      <c r="A146" s="20">
        <v>145</v>
      </c>
      <c r="B146" s="21" t="str">
        <f>_xlfn.CONCAT("ORD-",INDEX(Helper!$B$2:$B$5,MATCH(cadangan[[#This Row],[Marketplace]],Helper!$A$2:$A$5,0)),TEXT(cadangan[[#This Row],[No]],"0000"),"-",TEXT(cadangan[[#This Row],[Tanggal terjual]],"dd/mm/yy"))</f>
        <v>ORD-SP0145-04/04/23</v>
      </c>
      <c r="C146" s="39" t="s">
        <v>66</v>
      </c>
      <c r="D146" s="39" t="str">
        <f>IFERROR(INDEX(Katalog!$A$3:$A$12,MATCH(cadangan[[#This Row],[ItemID A]],Katalog!$C$3:$C$12,0)),"-")</f>
        <v>Sepatu Pria</v>
      </c>
      <c r="E146" s="39" t="str">
        <f>IFERROR(INDEX(Katalog!$B$3:$B$12,MATCH(cadangan[[#This Row],[ItemID A]],Katalog!$C$3:$C$12,0)),"-")</f>
        <v>Sandal Slip On</v>
      </c>
      <c r="F146" s="50">
        <v>3</v>
      </c>
      <c r="G146" s="50">
        <v>4</v>
      </c>
      <c r="H146" s="73">
        <f>IFERROR(INDEX(Katalog!$D$3:$D$12,MATCH(cadangan[[#This Row],[ItemID A]],Katalog!$C$3:$C$12,0))*cadangan[[#This Row],[Qty A]],0)</f>
        <v>450000</v>
      </c>
      <c r="I146" s="73">
        <f>IFERROR(cadangan[[#This Row],[Harga Normal A]]-(cadangan[[#This Row],[Harga Normal A]]*cadangan[[#This Row],[Diskon]]),cadangan[[#This Row],[Harga Normal A]])</f>
        <v>405000</v>
      </c>
      <c r="J146" s="73">
        <f>INDEX(Katalog!$F$3:$F$12,MATCH(cadangan[[#This Row],[ItemID A]],Katalog!$C$3:$C$12,0))*cadangan[[#This Row],[Qty A]]</f>
        <v>180000</v>
      </c>
      <c r="K146" s="73">
        <f>IFERROR(cadangan[[#This Row],[Harga Diskon A]]-INDEX(Katalog!$E$3:$E$12,MATCH(cadangan[[#This Row],[ItemID A]],Katalog!$C$3:$C$12,0))*cadangan[[#This Row],[Qty A]],0)</f>
        <v>135000</v>
      </c>
      <c r="L146" s="39" t="s">
        <v>66</v>
      </c>
      <c r="M146" s="39" t="str">
        <f>IFERROR(INDEX(Katalog!$A$3:$A$12,MATCH(cadangan[[#This Row],[ItemID B]],Katalog!$C$3:$C$12,0)),"-")</f>
        <v>Sepatu Pria</v>
      </c>
      <c r="N146" s="39" t="str">
        <f>IFERROR(INDEX(Katalog!$B$3:$B$12,MATCH(cadangan[[#This Row],[ItemID B]],Katalog!$C$3:$C$12,0)),"-")</f>
        <v>Sandal Slip On</v>
      </c>
      <c r="O146" s="50">
        <v>3</v>
      </c>
      <c r="P146" s="50">
        <v>2</v>
      </c>
      <c r="Q146" s="73">
        <f>IFERROR(INDEX(Katalog!$D$3:$D$12,MATCH(cadangan[[#This Row],[ItemID B]],Katalog!$C$3:$C$12,0))*cadangan[[#This Row],[Qty B]],0)</f>
        <v>450000</v>
      </c>
      <c r="R146" s="73">
        <f>IFERROR(cadangan[[#This Row],[Harga Normal B]]-(cadangan[[#This Row],[Harga Normal B]]*cadangan[[#This Row],[Diskon]]),cadangan[[#This Row],[Harga Normal B]])</f>
        <v>405000</v>
      </c>
      <c r="S146" s="73">
        <f>IFERROR(INDEX(Katalog!$F$3:$F$12,MATCH(cadangan[[#This Row],[ItemID B]],Katalog!$C$3:$C$12,0))*cadangan[[#This Row],[Qty B]],0)</f>
        <v>180000</v>
      </c>
      <c r="T146" s="73">
        <f>IFERROR(cadangan[[#This Row],[Harga Diskon B]]-INDEX(Katalog!$E$3:$E$12,MATCH(cadangan[[#This Row],[ItemID B]],Katalog!$C$3:$C$12,0))*cadangan[[#This Row],[Qty B]],0)</f>
        <v>135000</v>
      </c>
      <c r="U146" s="39" t="s">
        <v>59</v>
      </c>
      <c r="V146" s="39" t="str">
        <f>IFERROR(INDEX(Katalog!$A$3:$A$12,MATCH(cadangan[[#This Row],[ItemID C]],Katalog!$C$3:$C$12,0)),"-")</f>
        <v>Pakaian Wanita</v>
      </c>
      <c r="W146" s="39" t="str">
        <f>IFERROR(INDEX(Katalog!$B$3:$B$12,MATCH(cadangan[[#This Row],[ItemID C]],Katalog!$C$3:$C$12,0)),"-")</f>
        <v>Blouse</v>
      </c>
      <c r="X146" s="50">
        <v>1</v>
      </c>
      <c r="Y146" s="50">
        <v>5</v>
      </c>
      <c r="Z146" s="73">
        <f>IFERROR(INDEX(Katalog!$D$3:$D$12,MATCH(cadangan[[#This Row],[ItemID C]],Katalog!$C$3:$C$12,0))*cadangan[[#This Row],[Qty C]],0)</f>
        <v>150000</v>
      </c>
      <c r="AA146" s="73">
        <f>IFERROR(cadangan[[#This Row],[Harga Normal C]]-(cadangan[[#This Row],[Harga Normal C]]*cadangan[[#This Row],[Diskon]]),cadangan[[#This Row],[Harga Normal C]])</f>
        <v>135000</v>
      </c>
      <c r="AB146" s="73">
        <f>IFERROR(INDEX(Katalog!$F$3:$F$12,MATCH(cadangan[[#This Row],[ItemID C]],Katalog!$C$3:$C$12,0))*cadangan[[#This Row],[Qty C]],0)</f>
        <v>50000</v>
      </c>
      <c r="AC146" s="73">
        <f>IFERROR(cadangan[[#This Row],[Harga Diskon C]]-INDEX(Katalog!$E$3:$E$12,MATCH(cadangan[[#This Row],[ItemID C]],Katalog!$C$3:$C$12,0))*cadangan[[#This Row],[Qty C]],0)</f>
        <v>35000</v>
      </c>
      <c r="AD146" s="53">
        <f>cadangan[[#This Row],[Qty A]]+cadangan[[#This Row],[Qty B]]+cadangan[[#This Row],[Qty C]]</f>
        <v>7</v>
      </c>
      <c r="AE146" s="73">
        <f>cadangan[[#This Row],[Harga Normal A]]+cadangan[[#This Row],[Harga Normal B]]+cadangan[[#This Row],[Harga Normal C]]</f>
        <v>1050000</v>
      </c>
      <c r="AF146" s="73">
        <f>cadangan[[#This Row],[Harga Diskon A]]+cadangan[[#This Row],[Harga Diskon B]]+cadangan[[#This Row],[Harga Diskon C]]</f>
        <v>945000</v>
      </c>
      <c r="AG146" s="73">
        <f>(cadangan[[#This Row],[Profit Normal A]]+cadangan[[#This Row],[Profit Normal B]]+cadangan[[#This Row],[Profit Normal C]])</f>
        <v>410000</v>
      </c>
      <c r="AH146" s="73">
        <f>cadangan[[#This Row],[Profit Diskon A]]+cadangan[[#This Row],[Profit Diskon B]]+cadangan[[#This Row],[Profit Diskon C]]</f>
        <v>305000</v>
      </c>
      <c r="AI146" s="23" t="s">
        <v>6</v>
      </c>
      <c r="AJ146" s="37">
        <f>IFERROR(INDEX('Kode Diskon'!$D$3:$D$9,MATCH(cadangan[[#This Row],[Kode diskon]],'Kode Diskon'!$C$3:$C$9,0)),"-")</f>
        <v>0.1</v>
      </c>
      <c r="AK146" s="23" t="s">
        <v>29</v>
      </c>
      <c r="AL146" s="23" t="s">
        <v>7</v>
      </c>
      <c r="AM146" s="23" t="s">
        <v>80</v>
      </c>
      <c r="AN146" s="55">
        <v>45020</v>
      </c>
      <c r="AO146" s="53">
        <f>DAY(cadangan[[#This Row],[Tanggal terjual]])</f>
        <v>4</v>
      </c>
      <c r="AP146" s="21" t="str">
        <f>TEXT(cadangan[[#This Row],[Tanggal terjual]],"dddd")</f>
        <v>Tuesday</v>
      </c>
      <c r="AQ146" s="23" t="str" cm="1">
        <f t="array" ref="AQ1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46" s="61">
        <f>AVERAGE(cadangan[[#This Row],[Rating A]],cadangan[[#This Row],[Rating B]],cadangan[[#This Row],[Rating C]])</f>
        <v>3.6666666666666665</v>
      </c>
    </row>
    <row r="147" spans="1:44" x14ac:dyDescent="0.2">
      <c r="A147" s="20">
        <v>146</v>
      </c>
      <c r="B147" s="21" t="str">
        <f>_xlfn.CONCAT("ORD-",INDEX(Helper!$B$2:$B$5,MATCH(cadangan[[#This Row],[Marketplace]],Helper!$A$2:$A$5,0)),TEXT(cadangan[[#This Row],[No]],"0000"),"-",TEXT(cadangan[[#This Row],[Tanggal terjual]],"dd/mm/yy"))</f>
        <v>ORD-TK0146-26/04/23</v>
      </c>
      <c r="C147" s="39" t="s">
        <v>59</v>
      </c>
      <c r="D147" s="39" t="str">
        <f>IFERROR(INDEX(Katalog!$A$3:$A$12,MATCH(cadangan[[#This Row],[ItemID A]],Katalog!$C$3:$C$12,0)),"-")</f>
        <v>Pakaian Wanita</v>
      </c>
      <c r="E147" s="39" t="str">
        <f>IFERROR(INDEX(Katalog!$B$3:$B$12,MATCH(cadangan[[#This Row],[ItemID A]],Katalog!$C$3:$C$12,0)),"-")</f>
        <v>Blouse</v>
      </c>
      <c r="F147" s="50">
        <v>6</v>
      </c>
      <c r="G147" s="50">
        <v>1</v>
      </c>
      <c r="H147" s="73">
        <f>IFERROR(INDEX(Katalog!$D$3:$D$12,MATCH(cadangan[[#This Row],[ItemID A]],Katalog!$C$3:$C$12,0))*cadangan[[#This Row],[Qty A]],0)</f>
        <v>900000</v>
      </c>
      <c r="I147" s="73">
        <f>IFERROR(cadangan[[#This Row],[Harga Normal A]]-(cadangan[[#This Row],[Harga Normal A]]*cadangan[[#This Row],[Diskon]]),cadangan[[#This Row],[Harga Normal A]])</f>
        <v>810000</v>
      </c>
      <c r="J147" s="73">
        <f>INDEX(Katalog!$F$3:$F$12,MATCH(cadangan[[#This Row],[ItemID A]],Katalog!$C$3:$C$12,0))*cadangan[[#This Row],[Qty A]]</f>
        <v>300000</v>
      </c>
      <c r="K147" s="73">
        <f>IFERROR(cadangan[[#This Row],[Harga Diskon A]]-INDEX(Katalog!$E$3:$E$12,MATCH(cadangan[[#This Row],[ItemID A]],Katalog!$C$3:$C$12,0))*cadangan[[#This Row],[Qty A]],0)</f>
        <v>210000</v>
      </c>
      <c r="L147" s="39" t="s">
        <v>60</v>
      </c>
      <c r="M147" s="39" t="str">
        <f>IFERROR(INDEX(Katalog!$A$3:$A$12,MATCH(cadangan[[#This Row],[ItemID B]],Katalog!$C$3:$C$12,0)),"-")</f>
        <v>Pakaian Wanita</v>
      </c>
      <c r="N147" s="39" t="str">
        <f>IFERROR(INDEX(Katalog!$B$3:$B$12,MATCH(cadangan[[#This Row],[ItemID B]],Katalog!$C$3:$C$12,0)),"-")</f>
        <v>Kaftan</v>
      </c>
      <c r="O147" s="50">
        <v>1</v>
      </c>
      <c r="P147" s="50">
        <v>3</v>
      </c>
      <c r="Q147" s="73">
        <f>IFERROR(INDEX(Katalog!$D$3:$D$12,MATCH(cadangan[[#This Row],[ItemID B]],Katalog!$C$3:$C$12,0))*cadangan[[#This Row],[Qty B]],0)</f>
        <v>250000</v>
      </c>
      <c r="R147" s="73">
        <f>IFERROR(cadangan[[#This Row],[Harga Normal B]]-(cadangan[[#This Row],[Harga Normal B]]*cadangan[[#This Row],[Diskon]]),cadangan[[#This Row],[Harga Normal B]])</f>
        <v>225000</v>
      </c>
      <c r="S147" s="73">
        <f>IFERROR(INDEX(Katalog!$F$3:$F$12,MATCH(cadangan[[#This Row],[ItemID B]],Katalog!$C$3:$C$12,0))*cadangan[[#This Row],[Qty B]],0)</f>
        <v>100000</v>
      </c>
      <c r="T147" s="73">
        <f>IFERROR(cadangan[[#This Row],[Harga Diskon B]]-INDEX(Katalog!$E$3:$E$12,MATCH(cadangan[[#This Row],[ItemID B]],Katalog!$C$3:$C$12,0))*cadangan[[#This Row],[Qty B]],0)</f>
        <v>75000</v>
      </c>
      <c r="V147" s="39" t="str">
        <f>IFERROR(INDEX(Katalog!$A$3:$A$12,MATCH(cadangan[[#This Row],[ItemID C]],Katalog!$C$3:$C$12,0)),"-")</f>
        <v>-</v>
      </c>
      <c r="W147" s="39" t="str">
        <f>IFERROR(INDEX(Katalog!$B$3:$B$12,MATCH(cadangan[[#This Row],[ItemID C]],Katalog!$C$3:$C$12,0)),"-")</f>
        <v>-</v>
      </c>
      <c r="Z147" s="73">
        <f>IFERROR(INDEX(Katalog!$D$3:$D$12,MATCH(cadangan[[#This Row],[ItemID C]],Katalog!$C$3:$C$12,0))*cadangan[[#This Row],[Qty C]],0)</f>
        <v>0</v>
      </c>
      <c r="AA147" s="73">
        <f>IFERROR(cadangan[[#This Row],[Harga Normal C]]-(cadangan[[#This Row],[Harga Normal C]]*cadangan[[#This Row],[Diskon]]),cadangan[[#This Row],[Harga Normal C]])</f>
        <v>0</v>
      </c>
      <c r="AB147" s="73">
        <f>IFERROR(INDEX(Katalog!$F$3:$F$12,MATCH(cadangan[[#This Row],[ItemID C]],Katalog!$C$3:$C$12,0))*cadangan[[#This Row],[Qty C]],0)</f>
        <v>0</v>
      </c>
      <c r="AC147" s="73">
        <f>IFERROR(cadangan[[#This Row],[Harga Diskon C]]-INDEX(Katalog!$E$3:$E$12,MATCH(cadangan[[#This Row],[ItemID C]],Katalog!$C$3:$C$12,0))*cadangan[[#This Row],[Qty C]],0)</f>
        <v>0</v>
      </c>
      <c r="AD147" s="53">
        <f>cadangan[[#This Row],[Qty A]]+cadangan[[#This Row],[Qty B]]+cadangan[[#This Row],[Qty C]]</f>
        <v>7</v>
      </c>
      <c r="AE147" s="73">
        <f>cadangan[[#This Row],[Harga Normal A]]+cadangan[[#This Row],[Harga Normal B]]+cadangan[[#This Row],[Harga Normal C]]</f>
        <v>1150000</v>
      </c>
      <c r="AF147" s="73">
        <f>cadangan[[#This Row],[Harga Diskon A]]+cadangan[[#This Row],[Harga Diskon B]]+cadangan[[#This Row],[Harga Diskon C]]</f>
        <v>1035000</v>
      </c>
      <c r="AG147" s="73">
        <f>(cadangan[[#This Row],[Profit Normal A]]+cadangan[[#This Row],[Profit Normal B]]+cadangan[[#This Row],[Profit Normal C]])</f>
        <v>400000</v>
      </c>
      <c r="AH147" s="73">
        <f>cadangan[[#This Row],[Profit Diskon A]]+cadangan[[#This Row],[Profit Diskon B]]+cadangan[[#This Row],[Profit Diskon C]]</f>
        <v>285000</v>
      </c>
      <c r="AI147" s="23" t="s">
        <v>31</v>
      </c>
      <c r="AJ147" s="37">
        <f>IFERROR(INDEX('Kode Diskon'!$D$3:$D$9,MATCH(cadangan[[#This Row],[Kode diskon]],'Kode Diskon'!$C$3:$C$9,0)),"-")</f>
        <v>0.1</v>
      </c>
      <c r="AK147" s="23" t="s">
        <v>9</v>
      </c>
      <c r="AL147" s="23" t="s">
        <v>10</v>
      </c>
      <c r="AM147" s="23" t="s">
        <v>80</v>
      </c>
      <c r="AN147" s="55">
        <v>45042</v>
      </c>
      <c r="AO147" s="53">
        <f>DAY(cadangan[[#This Row],[Tanggal terjual]])</f>
        <v>26</v>
      </c>
      <c r="AP147" s="21" t="str">
        <f>TEXT(cadangan[[#This Row],[Tanggal terjual]],"dddd")</f>
        <v>Wednesday</v>
      </c>
      <c r="AQ147" s="23" t="str" cm="1">
        <f t="array" ref="AQ1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47" s="61">
        <f>AVERAGE(cadangan[[#This Row],[Rating A]],cadangan[[#This Row],[Rating B]],cadangan[[#This Row],[Rating C]])</f>
        <v>2</v>
      </c>
    </row>
    <row r="148" spans="1:44" x14ac:dyDescent="0.2">
      <c r="A148" s="20">
        <v>147</v>
      </c>
      <c r="B148" s="21" t="str">
        <f>_xlfn.CONCAT("ORD-",INDEX(Helper!$B$2:$B$5,MATCH(cadangan[[#This Row],[Marketplace]],Helper!$A$2:$A$5,0)),TEXT(cadangan[[#This Row],[No]],"0000"),"-",TEXT(cadangan[[#This Row],[Tanggal terjual]],"dd/mm/yy"))</f>
        <v>ORD-SP0147-06/04/23</v>
      </c>
      <c r="C148" s="39" t="s">
        <v>60</v>
      </c>
      <c r="D148" s="39" t="str">
        <f>IFERROR(INDEX(Katalog!$A$3:$A$12,MATCH(cadangan[[#This Row],[ItemID A]],Katalog!$C$3:$C$12,0)),"-")</f>
        <v>Pakaian Wanita</v>
      </c>
      <c r="E148" s="39" t="str">
        <f>IFERROR(INDEX(Katalog!$B$3:$B$12,MATCH(cadangan[[#This Row],[ItemID A]],Katalog!$C$3:$C$12,0)),"-")</f>
        <v>Kaftan</v>
      </c>
      <c r="F148" s="50">
        <v>2</v>
      </c>
      <c r="G148" s="50">
        <v>5</v>
      </c>
      <c r="H148" s="73">
        <f>IFERROR(INDEX(Katalog!$D$3:$D$12,MATCH(cadangan[[#This Row],[ItemID A]],Katalog!$C$3:$C$12,0))*cadangan[[#This Row],[Qty A]],0)</f>
        <v>500000</v>
      </c>
      <c r="I148" s="73">
        <f>IFERROR(cadangan[[#This Row],[Harga Normal A]]-(cadangan[[#This Row],[Harga Normal A]]*cadangan[[#This Row],[Diskon]]),cadangan[[#This Row],[Harga Normal A]])</f>
        <v>450000</v>
      </c>
      <c r="J148" s="73">
        <f>INDEX(Katalog!$F$3:$F$12,MATCH(cadangan[[#This Row],[ItemID A]],Katalog!$C$3:$C$12,0))*cadangan[[#This Row],[Qty A]]</f>
        <v>200000</v>
      </c>
      <c r="K148" s="73">
        <f>IFERROR(cadangan[[#This Row],[Harga Diskon A]]-INDEX(Katalog!$E$3:$E$12,MATCH(cadangan[[#This Row],[ItemID A]],Katalog!$C$3:$C$12,0))*cadangan[[#This Row],[Qty A]],0)</f>
        <v>150000</v>
      </c>
      <c r="M148" s="39" t="str">
        <f>IFERROR(INDEX(Katalog!$A$3:$A$12,MATCH(cadangan[[#This Row],[ItemID B]],Katalog!$C$3:$C$12,0)),"-")</f>
        <v>-</v>
      </c>
      <c r="N148" s="39" t="str">
        <f>IFERROR(INDEX(Katalog!$B$3:$B$12,MATCH(cadangan[[#This Row],[ItemID B]],Katalog!$C$3:$C$12,0)),"-")</f>
        <v>-</v>
      </c>
      <c r="Q148" s="73">
        <f>IFERROR(INDEX(Katalog!$D$3:$D$12,MATCH(cadangan[[#This Row],[ItemID B]],Katalog!$C$3:$C$12,0))*cadangan[[#This Row],[Qty B]],0)</f>
        <v>0</v>
      </c>
      <c r="R148" s="73">
        <f>IFERROR(cadangan[[#This Row],[Harga Normal B]]-(cadangan[[#This Row],[Harga Normal B]]*cadangan[[#This Row],[Diskon]]),cadangan[[#This Row],[Harga Normal B]])</f>
        <v>0</v>
      </c>
      <c r="S148" s="73">
        <f>IFERROR(INDEX(Katalog!$F$3:$F$12,MATCH(cadangan[[#This Row],[ItemID B]],Katalog!$C$3:$C$12,0))*cadangan[[#This Row],[Qty B]],0)</f>
        <v>0</v>
      </c>
      <c r="T148" s="73">
        <f>IFERROR(cadangan[[#This Row],[Harga Diskon B]]-INDEX(Katalog!$E$3:$E$12,MATCH(cadangan[[#This Row],[ItemID B]],Katalog!$C$3:$C$12,0))*cadangan[[#This Row],[Qty B]],0)</f>
        <v>0</v>
      </c>
      <c r="V148" s="39" t="str">
        <f>IFERROR(INDEX(Katalog!$A$3:$A$12,MATCH(cadangan[[#This Row],[ItemID C]],Katalog!$C$3:$C$12,0)),"-")</f>
        <v>-</v>
      </c>
      <c r="W148" s="39" t="str">
        <f>IFERROR(INDEX(Katalog!$B$3:$B$12,MATCH(cadangan[[#This Row],[ItemID C]],Katalog!$C$3:$C$12,0)),"-")</f>
        <v>-</v>
      </c>
      <c r="Z148" s="73">
        <f>IFERROR(INDEX(Katalog!$D$3:$D$12,MATCH(cadangan[[#This Row],[ItemID C]],Katalog!$C$3:$C$12,0))*cadangan[[#This Row],[Qty C]],0)</f>
        <v>0</v>
      </c>
      <c r="AA148" s="73">
        <f>IFERROR(cadangan[[#This Row],[Harga Normal C]]-(cadangan[[#This Row],[Harga Normal C]]*cadangan[[#This Row],[Diskon]]),cadangan[[#This Row],[Harga Normal C]])</f>
        <v>0</v>
      </c>
      <c r="AB148" s="73">
        <f>IFERROR(INDEX(Katalog!$F$3:$F$12,MATCH(cadangan[[#This Row],[ItemID C]],Katalog!$C$3:$C$12,0))*cadangan[[#This Row],[Qty C]],0)</f>
        <v>0</v>
      </c>
      <c r="AC148" s="73">
        <f>IFERROR(cadangan[[#This Row],[Harga Diskon C]]-INDEX(Katalog!$E$3:$E$12,MATCH(cadangan[[#This Row],[ItemID C]],Katalog!$C$3:$C$12,0))*cadangan[[#This Row],[Qty C]],0)</f>
        <v>0</v>
      </c>
      <c r="AD148" s="53">
        <f>cadangan[[#This Row],[Qty A]]+cadangan[[#This Row],[Qty B]]+cadangan[[#This Row],[Qty C]]</f>
        <v>2</v>
      </c>
      <c r="AE148" s="73">
        <f>cadangan[[#This Row],[Harga Normal A]]+cadangan[[#This Row],[Harga Normal B]]+cadangan[[#This Row],[Harga Normal C]]</f>
        <v>500000</v>
      </c>
      <c r="AF148" s="73">
        <f>cadangan[[#This Row],[Harga Diskon A]]+cadangan[[#This Row],[Harga Diskon B]]+cadangan[[#This Row],[Harga Diskon C]]</f>
        <v>450000</v>
      </c>
      <c r="AG148" s="73">
        <f>(cadangan[[#This Row],[Profit Normal A]]+cadangan[[#This Row],[Profit Normal B]]+cadangan[[#This Row],[Profit Normal C]])</f>
        <v>200000</v>
      </c>
      <c r="AH148" s="73">
        <f>cadangan[[#This Row],[Profit Diskon A]]+cadangan[[#This Row],[Profit Diskon B]]+cadangan[[#This Row],[Profit Diskon C]]</f>
        <v>150000</v>
      </c>
      <c r="AI148" s="23" t="s">
        <v>6</v>
      </c>
      <c r="AJ148" s="37">
        <f>IFERROR(INDEX('Kode Diskon'!$D$3:$D$9,MATCH(cadangan[[#This Row],[Kode diskon]],'Kode Diskon'!$C$3:$C$9,0)),"-")</f>
        <v>0.1</v>
      </c>
      <c r="AK148" s="23" t="s">
        <v>29</v>
      </c>
      <c r="AL148" s="23" t="s">
        <v>7</v>
      </c>
      <c r="AM148" s="23" t="s">
        <v>80</v>
      </c>
      <c r="AN148" s="55">
        <v>45022</v>
      </c>
      <c r="AO148" s="53">
        <f>DAY(cadangan[[#This Row],[Tanggal terjual]])</f>
        <v>6</v>
      </c>
      <c r="AP148" s="21" t="str">
        <f>TEXT(cadangan[[#This Row],[Tanggal terjual]],"dddd")</f>
        <v>Thursday</v>
      </c>
      <c r="AQ148" s="23" t="str" cm="1">
        <f t="array" ref="AQ1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48" s="61">
        <f>AVERAGE(cadangan[[#This Row],[Rating A]],cadangan[[#This Row],[Rating B]],cadangan[[#This Row],[Rating C]])</f>
        <v>5</v>
      </c>
    </row>
    <row r="149" spans="1:44" x14ac:dyDescent="0.2">
      <c r="A149" s="20">
        <v>148</v>
      </c>
      <c r="B149" s="21" t="str">
        <f>_xlfn.CONCAT("ORD-",INDEX(Helper!$B$2:$B$5,MATCH(cadangan[[#This Row],[Marketplace]],Helper!$A$2:$A$5,0)),TEXT(cadangan[[#This Row],[No]],"0000"),"-",TEXT(cadangan[[#This Row],[Tanggal terjual]],"dd/mm/yy"))</f>
        <v>ORD-SP0148-06/04/23</v>
      </c>
      <c r="C149" s="39" t="s">
        <v>67</v>
      </c>
      <c r="D149" s="39" t="str">
        <f>IFERROR(INDEX(Katalog!$A$3:$A$12,MATCH(cadangan[[#This Row],[ItemID A]],Katalog!$C$3:$C$12,0)),"-")</f>
        <v>Sepatu Wanita</v>
      </c>
      <c r="E149" s="39" t="str">
        <f>IFERROR(INDEX(Katalog!$B$3:$B$12,MATCH(cadangan[[#This Row],[ItemID A]],Katalog!$C$3:$C$12,0)),"-")</f>
        <v>Flat Shoes</v>
      </c>
      <c r="F149" s="50">
        <v>2</v>
      </c>
      <c r="G149" s="50">
        <v>5</v>
      </c>
      <c r="H149" s="73">
        <f>IFERROR(INDEX(Katalog!$D$3:$D$12,MATCH(cadangan[[#This Row],[ItemID A]],Katalog!$C$3:$C$12,0))*cadangan[[#This Row],[Qty A]],0)</f>
        <v>500000</v>
      </c>
      <c r="I149" s="73">
        <f>IFERROR(cadangan[[#This Row],[Harga Normal A]]-(cadangan[[#This Row],[Harga Normal A]]*cadangan[[#This Row],[Diskon]]),cadangan[[#This Row],[Harga Normal A]])</f>
        <v>450000</v>
      </c>
      <c r="J149" s="73">
        <f>INDEX(Katalog!$F$3:$F$12,MATCH(cadangan[[#This Row],[ItemID A]],Katalog!$C$3:$C$12,0))*cadangan[[#This Row],[Qty A]]</f>
        <v>200000</v>
      </c>
      <c r="K149" s="73">
        <f>IFERROR(cadangan[[#This Row],[Harga Diskon A]]-INDEX(Katalog!$E$3:$E$12,MATCH(cadangan[[#This Row],[ItemID A]],Katalog!$C$3:$C$12,0))*cadangan[[#This Row],[Qty A]],0)</f>
        <v>150000</v>
      </c>
      <c r="M149" s="39" t="str">
        <f>IFERROR(INDEX(Katalog!$A$3:$A$12,MATCH(cadangan[[#This Row],[ItemID B]],Katalog!$C$3:$C$12,0)),"-")</f>
        <v>-</v>
      </c>
      <c r="N149" s="39" t="str">
        <f>IFERROR(INDEX(Katalog!$B$3:$B$12,MATCH(cadangan[[#This Row],[ItemID B]],Katalog!$C$3:$C$12,0)),"-")</f>
        <v>-</v>
      </c>
      <c r="Q149" s="73">
        <f>IFERROR(INDEX(Katalog!$D$3:$D$12,MATCH(cadangan[[#This Row],[ItemID B]],Katalog!$C$3:$C$12,0))*cadangan[[#This Row],[Qty B]],0)</f>
        <v>0</v>
      </c>
      <c r="R149" s="73">
        <f>IFERROR(cadangan[[#This Row],[Harga Normal B]]-(cadangan[[#This Row],[Harga Normal B]]*cadangan[[#This Row],[Diskon]]),cadangan[[#This Row],[Harga Normal B]])</f>
        <v>0</v>
      </c>
      <c r="S149" s="73">
        <f>IFERROR(INDEX(Katalog!$F$3:$F$12,MATCH(cadangan[[#This Row],[ItemID B]],Katalog!$C$3:$C$12,0))*cadangan[[#This Row],[Qty B]],0)</f>
        <v>0</v>
      </c>
      <c r="T149" s="73">
        <f>IFERROR(cadangan[[#This Row],[Harga Diskon B]]-INDEX(Katalog!$E$3:$E$12,MATCH(cadangan[[#This Row],[ItemID B]],Katalog!$C$3:$C$12,0))*cadangan[[#This Row],[Qty B]],0)</f>
        <v>0</v>
      </c>
      <c r="V149" s="39" t="str">
        <f>IFERROR(INDEX(Katalog!$A$3:$A$12,MATCH(cadangan[[#This Row],[ItemID C]],Katalog!$C$3:$C$12,0)),"-")</f>
        <v>-</v>
      </c>
      <c r="W149" s="39" t="str">
        <f>IFERROR(INDEX(Katalog!$B$3:$B$12,MATCH(cadangan[[#This Row],[ItemID C]],Katalog!$C$3:$C$12,0)),"-")</f>
        <v>-</v>
      </c>
      <c r="Z149" s="73">
        <f>IFERROR(INDEX(Katalog!$D$3:$D$12,MATCH(cadangan[[#This Row],[ItemID C]],Katalog!$C$3:$C$12,0))*cadangan[[#This Row],[Qty C]],0)</f>
        <v>0</v>
      </c>
      <c r="AA149" s="73">
        <f>IFERROR(cadangan[[#This Row],[Harga Normal C]]-(cadangan[[#This Row],[Harga Normal C]]*cadangan[[#This Row],[Diskon]]),cadangan[[#This Row],[Harga Normal C]])</f>
        <v>0</v>
      </c>
      <c r="AB149" s="73">
        <f>IFERROR(INDEX(Katalog!$F$3:$F$12,MATCH(cadangan[[#This Row],[ItemID C]],Katalog!$C$3:$C$12,0))*cadangan[[#This Row],[Qty C]],0)</f>
        <v>0</v>
      </c>
      <c r="AC149" s="73">
        <f>IFERROR(cadangan[[#This Row],[Harga Diskon C]]-INDEX(Katalog!$E$3:$E$12,MATCH(cadangan[[#This Row],[ItemID C]],Katalog!$C$3:$C$12,0))*cadangan[[#This Row],[Qty C]],0)</f>
        <v>0</v>
      </c>
      <c r="AD149" s="53">
        <f>cadangan[[#This Row],[Qty A]]+cadangan[[#This Row],[Qty B]]+cadangan[[#This Row],[Qty C]]</f>
        <v>2</v>
      </c>
      <c r="AE149" s="73">
        <f>cadangan[[#This Row],[Harga Normal A]]+cadangan[[#This Row],[Harga Normal B]]+cadangan[[#This Row],[Harga Normal C]]</f>
        <v>500000</v>
      </c>
      <c r="AF149" s="73">
        <f>cadangan[[#This Row],[Harga Diskon A]]+cadangan[[#This Row],[Harga Diskon B]]+cadangan[[#This Row],[Harga Diskon C]]</f>
        <v>450000</v>
      </c>
      <c r="AG149" s="73">
        <f>(cadangan[[#This Row],[Profit Normal A]]+cadangan[[#This Row],[Profit Normal B]]+cadangan[[#This Row],[Profit Normal C]])</f>
        <v>200000</v>
      </c>
      <c r="AH149" s="73">
        <f>cadangan[[#This Row],[Profit Diskon A]]+cadangan[[#This Row],[Profit Diskon B]]+cadangan[[#This Row],[Profit Diskon C]]</f>
        <v>150000</v>
      </c>
      <c r="AI149" s="23" t="s">
        <v>6</v>
      </c>
      <c r="AJ149" s="37">
        <f>IFERROR(INDEX('Kode Diskon'!$D$3:$D$9,MATCH(cadangan[[#This Row],[Kode diskon]],'Kode Diskon'!$C$3:$C$9,0)),"-")</f>
        <v>0.1</v>
      </c>
      <c r="AK149" s="23" t="s">
        <v>29</v>
      </c>
      <c r="AL149" s="23" t="s">
        <v>7</v>
      </c>
      <c r="AM149" s="23" t="s">
        <v>79</v>
      </c>
      <c r="AN149" s="55">
        <v>45022</v>
      </c>
      <c r="AO149" s="53">
        <f>DAY(cadangan[[#This Row],[Tanggal terjual]])</f>
        <v>6</v>
      </c>
      <c r="AP149" s="21" t="str">
        <f>TEXT(cadangan[[#This Row],[Tanggal terjual]],"dddd")</f>
        <v>Thursday</v>
      </c>
      <c r="AQ149" s="23" t="str" cm="1">
        <f t="array" ref="AQ1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49" s="61">
        <f>AVERAGE(cadangan[[#This Row],[Rating A]],cadangan[[#This Row],[Rating B]],cadangan[[#This Row],[Rating C]])</f>
        <v>5</v>
      </c>
    </row>
    <row r="150" spans="1:44" x14ac:dyDescent="0.2">
      <c r="A150" s="20">
        <v>149</v>
      </c>
      <c r="B150" s="21" t="str">
        <f>_xlfn.CONCAT("ORD-",INDEX(Helper!$B$2:$B$5,MATCH(cadangan[[#This Row],[Marketplace]],Helper!$A$2:$A$5,0)),TEXT(cadangan[[#This Row],[No]],"0000"),"-",TEXT(cadangan[[#This Row],[Tanggal terjual]],"dd/mm/yy"))</f>
        <v>ORD-BL0149-18/04/23</v>
      </c>
      <c r="C150" s="39" t="s">
        <v>61</v>
      </c>
      <c r="D150" s="39" t="str">
        <f>IFERROR(INDEX(Katalog!$A$3:$A$12,MATCH(cadangan[[#This Row],[ItemID A]],Katalog!$C$3:$C$12,0)),"-")</f>
        <v>Pakaian Pria</v>
      </c>
      <c r="E150" s="39" t="str">
        <f>IFERROR(INDEX(Katalog!$B$3:$B$12,MATCH(cadangan[[#This Row],[ItemID A]],Katalog!$C$3:$C$12,0)),"-")</f>
        <v>Kaos Polo</v>
      </c>
      <c r="F150" s="50">
        <v>2</v>
      </c>
      <c r="G150" s="50">
        <v>4</v>
      </c>
      <c r="H150" s="73">
        <f>IFERROR(INDEX(Katalog!$D$3:$D$12,MATCH(cadangan[[#This Row],[ItemID A]],Katalog!$C$3:$C$12,0))*cadangan[[#This Row],[Qty A]],0)</f>
        <v>400000</v>
      </c>
      <c r="I150" s="73">
        <f>IFERROR(cadangan[[#This Row],[Harga Normal A]]-(cadangan[[#This Row],[Harga Normal A]]*cadangan[[#This Row],[Diskon]]),cadangan[[#This Row],[Harga Normal A]])</f>
        <v>340000</v>
      </c>
      <c r="J150" s="73">
        <f>INDEX(Katalog!$F$3:$F$12,MATCH(cadangan[[#This Row],[ItemID A]],Katalog!$C$3:$C$12,0))*cadangan[[#This Row],[Qty A]]</f>
        <v>160000</v>
      </c>
      <c r="K150" s="73">
        <f>IFERROR(cadangan[[#This Row],[Harga Diskon A]]-INDEX(Katalog!$E$3:$E$12,MATCH(cadangan[[#This Row],[ItemID A]],Katalog!$C$3:$C$12,0))*cadangan[[#This Row],[Qty A]],0)</f>
        <v>100000</v>
      </c>
      <c r="L150" s="39" t="s">
        <v>65</v>
      </c>
      <c r="M150" s="39" t="str">
        <f>IFERROR(INDEX(Katalog!$A$3:$A$12,MATCH(cadangan[[#This Row],[ItemID B]],Katalog!$C$3:$C$12,0)),"-")</f>
        <v>Sepatu Pria</v>
      </c>
      <c r="N150" s="39" t="str">
        <f>IFERROR(INDEX(Katalog!$B$3:$B$12,MATCH(cadangan[[#This Row],[ItemID B]],Katalog!$C$3:$C$12,0)),"-")</f>
        <v>Sneakers</v>
      </c>
      <c r="O150" s="50">
        <v>1</v>
      </c>
      <c r="P150" s="50">
        <v>2</v>
      </c>
      <c r="Q150" s="73">
        <f>IFERROR(INDEX(Katalog!$D$3:$D$12,MATCH(cadangan[[#This Row],[ItemID B]],Katalog!$C$3:$C$12,0))*cadangan[[#This Row],[Qty B]],0)</f>
        <v>500000</v>
      </c>
      <c r="R150" s="73">
        <f>IFERROR(cadangan[[#This Row],[Harga Normal B]]-(cadangan[[#This Row],[Harga Normal B]]*cadangan[[#This Row],[Diskon]]),cadangan[[#This Row],[Harga Normal B]])</f>
        <v>425000</v>
      </c>
      <c r="S150" s="73">
        <f>IFERROR(INDEX(Katalog!$F$3:$F$12,MATCH(cadangan[[#This Row],[ItemID B]],Katalog!$C$3:$C$12,0))*cadangan[[#This Row],[Qty B]],0)</f>
        <v>200000</v>
      </c>
      <c r="T150" s="73">
        <f>IFERROR(cadangan[[#This Row],[Harga Diskon B]]-INDEX(Katalog!$E$3:$E$12,MATCH(cadangan[[#This Row],[ItemID B]],Katalog!$C$3:$C$12,0))*cadangan[[#This Row],[Qty B]],0)</f>
        <v>125000</v>
      </c>
      <c r="U150" s="39" t="s">
        <v>59</v>
      </c>
      <c r="V150" s="39" t="str">
        <f>IFERROR(INDEX(Katalog!$A$3:$A$12,MATCH(cadangan[[#This Row],[ItemID C]],Katalog!$C$3:$C$12,0)),"-")</f>
        <v>Pakaian Wanita</v>
      </c>
      <c r="W150" s="39" t="str">
        <f>IFERROR(INDEX(Katalog!$B$3:$B$12,MATCH(cadangan[[#This Row],[ItemID C]],Katalog!$C$3:$C$12,0)),"-")</f>
        <v>Blouse</v>
      </c>
      <c r="X150" s="50">
        <v>1</v>
      </c>
      <c r="Y150" s="50">
        <v>5</v>
      </c>
      <c r="Z150" s="73">
        <f>IFERROR(INDEX(Katalog!$D$3:$D$12,MATCH(cadangan[[#This Row],[ItemID C]],Katalog!$C$3:$C$12,0))*cadangan[[#This Row],[Qty C]],0)</f>
        <v>150000</v>
      </c>
      <c r="AA150" s="73">
        <f>IFERROR(cadangan[[#This Row],[Harga Normal C]]-(cadangan[[#This Row],[Harga Normal C]]*cadangan[[#This Row],[Diskon]]),cadangan[[#This Row],[Harga Normal C]])</f>
        <v>127500</v>
      </c>
      <c r="AB150" s="73">
        <f>IFERROR(INDEX(Katalog!$F$3:$F$12,MATCH(cadangan[[#This Row],[ItemID C]],Katalog!$C$3:$C$12,0))*cadangan[[#This Row],[Qty C]],0)</f>
        <v>50000</v>
      </c>
      <c r="AC150" s="73">
        <f>IFERROR(cadangan[[#This Row],[Harga Diskon C]]-INDEX(Katalog!$E$3:$E$12,MATCH(cadangan[[#This Row],[ItemID C]],Katalog!$C$3:$C$12,0))*cadangan[[#This Row],[Qty C]],0)</f>
        <v>27500</v>
      </c>
      <c r="AD150" s="53">
        <f>cadangan[[#This Row],[Qty A]]+cadangan[[#This Row],[Qty B]]+cadangan[[#This Row],[Qty C]]</f>
        <v>4</v>
      </c>
      <c r="AE150" s="73">
        <f>cadangan[[#This Row],[Harga Normal A]]+cadangan[[#This Row],[Harga Normal B]]+cadangan[[#This Row],[Harga Normal C]]</f>
        <v>1050000</v>
      </c>
      <c r="AF150" s="73">
        <f>cadangan[[#This Row],[Harga Diskon A]]+cadangan[[#This Row],[Harga Diskon B]]+cadangan[[#This Row],[Harga Diskon C]]</f>
        <v>892500</v>
      </c>
      <c r="AG150" s="73">
        <f>(cadangan[[#This Row],[Profit Normal A]]+cadangan[[#This Row],[Profit Normal B]]+cadangan[[#This Row],[Profit Normal C]])</f>
        <v>410000</v>
      </c>
      <c r="AH150" s="73">
        <f>cadangan[[#This Row],[Profit Diskon A]]+cadangan[[#This Row],[Profit Diskon B]]+cadangan[[#This Row],[Profit Diskon C]]</f>
        <v>252500</v>
      </c>
      <c r="AI150" s="23" t="s">
        <v>32</v>
      </c>
      <c r="AJ150" s="37">
        <f>IFERROR(INDEX('Kode Diskon'!$D$3:$D$9,MATCH(cadangan[[#This Row],[Kode diskon]],'Kode Diskon'!$C$3:$C$9,0)),"-")</f>
        <v>0.15</v>
      </c>
      <c r="AK150" s="23" t="s">
        <v>9</v>
      </c>
      <c r="AL150" s="23" t="s">
        <v>12</v>
      </c>
      <c r="AM150" s="23" t="s">
        <v>76</v>
      </c>
      <c r="AN150" s="55">
        <v>45034</v>
      </c>
      <c r="AO150" s="53">
        <f>DAY(cadangan[[#This Row],[Tanggal terjual]])</f>
        <v>18</v>
      </c>
      <c r="AP150" s="21" t="str">
        <f>TEXT(cadangan[[#This Row],[Tanggal terjual]],"dddd")</f>
        <v>Tuesday</v>
      </c>
      <c r="AQ150" s="23" t="str" cm="1">
        <f t="array" ref="AQ1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50" s="61">
        <f>AVERAGE(cadangan[[#This Row],[Rating A]],cadangan[[#This Row],[Rating B]],cadangan[[#This Row],[Rating C]])</f>
        <v>3.6666666666666665</v>
      </c>
    </row>
    <row r="151" spans="1:44" x14ac:dyDescent="0.2">
      <c r="A151" s="20">
        <v>150</v>
      </c>
      <c r="B151" s="21" t="str">
        <f>_xlfn.CONCAT("ORD-",INDEX(Helper!$B$2:$B$5,MATCH(cadangan[[#This Row],[Marketplace]],Helper!$A$2:$A$5,0)),TEXT(cadangan[[#This Row],[No]],"0000"),"-",TEXT(cadangan[[#This Row],[Tanggal terjual]],"dd/mm/yy"))</f>
        <v>ORD-SP0150-05/04/23</v>
      </c>
      <c r="C151" s="39" t="s">
        <v>58</v>
      </c>
      <c r="D151" s="39" t="str">
        <f>IFERROR(INDEX(Katalog!$A$3:$A$12,MATCH(cadangan[[#This Row],[ItemID A]],Katalog!$C$3:$C$12,0)),"-")</f>
        <v>Pakaian Wanita</v>
      </c>
      <c r="E151" s="39" t="str">
        <f>IFERROR(INDEX(Katalog!$B$3:$B$12,MATCH(cadangan[[#This Row],[ItemID A]],Katalog!$C$3:$C$12,0)),"-")</f>
        <v>Dress</v>
      </c>
      <c r="F151" s="50">
        <v>1</v>
      </c>
      <c r="G151" s="50">
        <v>4</v>
      </c>
      <c r="H151" s="73">
        <f>IFERROR(INDEX(Katalog!$D$3:$D$12,MATCH(cadangan[[#This Row],[ItemID A]],Katalog!$C$3:$C$12,0))*cadangan[[#This Row],[Qty A]],0)</f>
        <v>300000</v>
      </c>
      <c r="I151" s="73">
        <f>IFERROR(cadangan[[#This Row],[Harga Normal A]]-(cadangan[[#This Row],[Harga Normal A]]*cadangan[[#This Row],[Diskon]]),cadangan[[#This Row],[Harga Normal A]])</f>
        <v>255000</v>
      </c>
      <c r="J151" s="73">
        <f>INDEX(Katalog!$F$3:$F$12,MATCH(cadangan[[#This Row],[ItemID A]],Katalog!$C$3:$C$12,0))*cadangan[[#This Row],[Qty A]]</f>
        <v>100000</v>
      </c>
      <c r="K151" s="73">
        <f>IFERROR(cadangan[[#This Row],[Harga Diskon A]]-INDEX(Katalog!$E$3:$E$12,MATCH(cadangan[[#This Row],[ItemID A]],Katalog!$C$3:$C$12,0))*cadangan[[#This Row],[Qty A]],0)</f>
        <v>55000</v>
      </c>
      <c r="L151" s="39" t="s">
        <v>66</v>
      </c>
      <c r="M151" s="39" t="str">
        <f>IFERROR(INDEX(Katalog!$A$3:$A$12,MATCH(cadangan[[#This Row],[ItemID B]],Katalog!$C$3:$C$12,0)),"-")</f>
        <v>Sepatu Pria</v>
      </c>
      <c r="N151" s="39" t="str">
        <f>IFERROR(INDEX(Katalog!$B$3:$B$12,MATCH(cadangan[[#This Row],[ItemID B]],Katalog!$C$3:$C$12,0)),"-")</f>
        <v>Sandal Slip On</v>
      </c>
      <c r="O151" s="50">
        <v>2</v>
      </c>
      <c r="P151" s="50">
        <v>2</v>
      </c>
      <c r="Q151" s="73">
        <f>IFERROR(INDEX(Katalog!$D$3:$D$12,MATCH(cadangan[[#This Row],[ItemID B]],Katalog!$C$3:$C$12,0))*cadangan[[#This Row],[Qty B]],0)</f>
        <v>300000</v>
      </c>
      <c r="R151" s="73">
        <f>IFERROR(cadangan[[#This Row],[Harga Normal B]]-(cadangan[[#This Row],[Harga Normal B]]*cadangan[[#This Row],[Diskon]]),cadangan[[#This Row],[Harga Normal B]])</f>
        <v>255000</v>
      </c>
      <c r="S151" s="73">
        <f>IFERROR(INDEX(Katalog!$F$3:$F$12,MATCH(cadangan[[#This Row],[ItemID B]],Katalog!$C$3:$C$12,0))*cadangan[[#This Row],[Qty B]],0)</f>
        <v>120000</v>
      </c>
      <c r="T151" s="73">
        <f>IFERROR(cadangan[[#This Row],[Harga Diskon B]]-INDEX(Katalog!$E$3:$E$12,MATCH(cadangan[[#This Row],[ItemID B]],Katalog!$C$3:$C$12,0))*cadangan[[#This Row],[Qty B]],0)</f>
        <v>75000</v>
      </c>
      <c r="U151" s="39" t="s">
        <v>59</v>
      </c>
      <c r="V151" s="39" t="str">
        <f>IFERROR(INDEX(Katalog!$A$3:$A$12,MATCH(cadangan[[#This Row],[ItemID C]],Katalog!$C$3:$C$12,0)),"-")</f>
        <v>Pakaian Wanita</v>
      </c>
      <c r="W151" s="39" t="str">
        <f>IFERROR(INDEX(Katalog!$B$3:$B$12,MATCH(cadangan[[#This Row],[ItemID C]],Katalog!$C$3:$C$12,0)),"-")</f>
        <v>Blouse</v>
      </c>
      <c r="X151" s="50">
        <v>3</v>
      </c>
      <c r="Y151" s="50">
        <v>4</v>
      </c>
      <c r="Z151" s="73">
        <f>IFERROR(INDEX(Katalog!$D$3:$D$12,MATCH(cadangan[[#This Row],[ItemID C]],Katalog!$C$3:$C$12,0))*cadangan[[#This Row],[Qty C]],0)</f>
        <v>450000</v>
      </c>
      <c r="AA151" s="73">
        <f>IFERROR(cadangan[[#This Row],[Harga Normal C]]-(cadangan[[#This Row],[Harga Normal C]]*cadangan[[#This Row],[Diskon]]),cadangan[[#This Row],[Harga Normal C]])</f>
        <v>382500</v>
      </c>
      <c r="AB151" s="73">
        <f>IFERROR(INDEX(Katalog!$F$3:$F$12,MATCH(cadangan[[#This Row],[ItemID C]],Katalog!$C$3:$C$12,0))*cadangan[[#This Row],[Qty C]],0)</f>
        <v>150000</v>
      </c>
      <c r="AC151" s="73">
        <f>IFERROR(cadangan[[#This Row],[Harga Diskon C]]-INDEX(Katalog!$E$3:$E$12,MATCH(cadangan[[#This Row],[ItemID C]],Katalog!$C$3:$C$12,0))*cadangan[[#This Row],[Qty C]],0)</f>
        <v>82500</v>
      </c>
      <c r="AD151" s="53">
        <f>cadangan[[#This Row],[Qty A]]+cadangan[[#This Row],[Qty B]]+cadangan[[#This Row],[Qty C]]</f>
        <v>6</v>
      </c>
      <c r="AE151" s="73">
        <f>cadangan[[#This Row],[Harga Normal A]]+cadangan[[#This Row],[Harga Normal B]]+cadangan[[#This Row],[Harga Normal C]]</f>
        <v>1050000</v>
      </c>
      <c r="AF151" s="73">
        <f>cadangan[[#This Row],[Harga Diskon A]]+cadangan[[#This Row],[Harga Diskon B]]+cadangan[[#This Row],[Harga Diskon C]]</f>
        <v>892500</v>
      </c>
      <c r="AG151" s="73">
        <f>(cadangan[[#This Row],[Profit Normal A]]+cadangan[[#This Row],[Profit Normal B]]+cadangan[[#This Row],[Profit Normal C]])</f>
        <v>370000</v>
      </c>
      <c r="AH151" s="73">
        <f>cadangan[[#This Row],[Profit Diskon A]]+cadangan[[#This Row],[Profit Diskon B]]+cadangan[[#This Row],[Profit Diskon C]]</f>
        <v>212500</v>
      </c>
      <c r="AI151" s="23" t="s">
        <v>13</v>
      </c>
      <c r="AJ151" s="37">
        <f>IFERROR(INDEX('Kode Diskon'!$D$3:$D$9,MATCH(cadangan[[#This Row],[Kode diskon]],'Kode Diskon'!$C$3:$C$9,0)),"-")</f>
        <v>0.15</v>
      </c>
      <c r="AK151" s="23" t="s">
        <v>29</v>
      </c>
      <c r="AL151" s="23" t="s">
        <v>7</v>
      </c>
      <c r="AM151" s="23" t="s">
        <v>79</v>
      </c>
      <c r="AN151" s="55">
        <v>45021</v>
      </c>
      <c r="AO151" s="53">
        <f>DAY(cadangan[[#This Row],[Tanggal terjual]])</f>
        <v>5</v>
      </c>
      <c r="AP151" s="21" t="str">
        <f>TEXT(cadangan[[#This Row],[Tanggal terjual]],"dddd")</f>
        <v>Wednesday</v>
      </c>
      <c r="AQ151" s="23" t="str" cm="1">
        <f t="array" ref="AQ1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1" s="61">
        <f>AVERAGE(cadangan[[#This Row],[Rating A]],cadangan[[#This Row],[Rating B]],cadangan[[#This Row],[Rating C]])</f>
        <v>3.3333333333333335</v>
      </c>
    </row>
    <row r="152" spans="1:44" x14ac:dyDescent="0.2">
      <c r="A152" s="20">
        <v>151</v>
      </c>
      <c r="B152" s="21" t="str">
        <f>_xlfn.CONCAT("ORD-",INDEX(Helper!$B$2:$B$5,MATCH(cadangan[[#This Row],[Marketplace]],Helper!$A$2:$A$5,0)),TEXT(cadangan[[#This Row],[No]],"0000"),"-",TEXT(cadangan[[#This Row],[Tanggal terjual]],"dd/mm/yy"))</f>
        <v>ORD-BL0151-27/04/23</v>
      </c>
      <c r="C152" s="39" t="s">
        <v>67</v>
      </c>
      <c r="D152" s="39" t="str">
        <f>IFERROR(INDEX(Katalog!$A$3:$A$12,MATCH(cadangan[[#This Row],[ItemID A]],Katalog!$C$3:$C$12,0)),"-")</f>
        <v>Sepatu Wanita</v>
      </c>
      <c r="E152" s="39" t="str">
        <f>IFERROR(INDEX(Katalog!$B$3:$B$12,MATCH(cadangan[[#This Row],[ItemID A]],Katalog!$C$3:$C$12,0)),"-")</f>
        <v>Flat Shoes</v>
      </c>
      <c r="F152" s="50">
        <v>4</v>
      </c>
      <c r="G152" s="50">
        <v>2</v>
      </c>
      <c r="H152" s="73">
        <f>IFERROR(INDEX(Katalog!$D$3:$D$12,MATCH(cadangan[[#This Row],[ItemID A]],Katalog!$C$3:$C$12,0))*cadangan[[#This Row],[Qty A]],0)</f>
        <v>1000000</v>
      </c>
      <c r="I152" s="73">
        <f>IFERROR(cadangan[[#This Row],[Harga Normal A]]-(cadangan[[#This Row],[Harga Normal A]]*cadangan[[#This Row],[Diskon]]),cadangan[[#This Row],[Harga Normal A]])</f>
        <v>850000</v>
      </c>
      <c r="J152" s="73">
        <f>INDEX(Katalog!$F$3:$F$12,MATCH(cadangan[[#This Row],[ItemID A]],Katalog!$C$3:$C$12,0))*cadangan[[#This Row],[Qty A]]</f>
        <v>400000</v>
      </c>
      <c r="K152" s="73">
        <f>IFERROR(cadangan[[#This Row],[Harga Diskon A]]-INDEX(Katalog!$E$3:$E$12,MATCH(cadangan[[#This Row],[ItemID A]],Katalog!$C$3:$C$12,0))*cadangan[[#This Row],[Qty A]],0)</f>
        <v>250000</v>
      </c>
      <c r="L152" s="39" t="s">
        <v>61</v>
      </c>
      <c r="M152" s="39" t="str">
        <f>IFERROR(INDEX(Katalog!$A$3:$A$12,MATCH(cadangan[[#This Row],[ItemID B]],Katalog!$C$3:$C$12,0)),"-")</f>
        <v>Pakaian Pria</v>
      </c>
      <c r="N152" s="39" t="str">
        <f>IFERROR(INDEX(Katalog!$B$3:$B$12,MATCH(cadangan[[#This Row],[ItemID B]],Katalog!$C$3:$C$12,0)),"-")</f>
        <v>Kaos Polo</v>
      </c>
      <c r="O152" s="50">
        <v>1</v>
      </c>
      <c r="P152" s="50">
        <v>5</v>
      </c>
      <c r="Q152" s="73">
        <f>IFERROR(INDEX(Katalog!$D$3:$D$12,MATCH(cadangan[[#This Row],[ItemID B]],Katalog!$C$3:$C$12,0))*cadangan[[#This Row],[Qty B]],0)</f>
        <v>200000</v>
      </c>
      <c r="R152" s="73">
        <f>IFERROR(cadangan[[#This Row],[Harga Normal B]]-(cadangan[[#This Row],[Harga Normal B]]*cadangan[[#This Row],[Diskon]]),cadangan[[#This Row],[Harga Normal B]])</f>
        <v>170000</v>
      </c>
      <c r="S152" s="73">
        <f>IFERROR(INDEX(Katalog!$F$3:$F$12,MATCH(cadangan[[#This Row],[ItemID B]],Katalog!$C$3:$C$12,0))*cadangan[[#This Row],[Qty B]],0)</f>
        <v>80000</v>
      </c>
      <c r="T152" s="73">
        <f>IFERROR(cadangan[[#This Row],[Harga Diskon B]]-INDEX(Katalog!$E$3:$E$12,MATCH(cadangan[[#This Row],[ItemID B]],Katalog!$C$3:$C$12,0))*cadangan[[#This Row],[Qty B]],0)</f>
        <v>50000</v>
      </c>
      <c r="V152" s="39" t="str">
        <f>IFERROR(INDEX(Katalog!$A$3:$A$12,MATCH(cadangan[[#This Row],[ItemID C]],Katalog!$C$3:$C$12,0)),"-")</f>
        <v>-</v>
      </c>
      <c r="W152" s="39" t="str">
        <f>IFERROR(INDEX(Katalog!$B$3:$B$12,MATCH(cadangan[[#This Row],[ItemID C]],Katalog!$C$3:$C$12,0)),"-")</f>
        <v>-</v>
      </c>
      <c r="Z152" s="73">
        <f>IFERROR(INDEX(Katalog!$D$3:$D$12,MATCH(cadangan[[#This Row],[ItemID C]],Katalog!$C$3:$C$12,0))*cadangan[[#This Row],[Qty C]],0)</f>
        <v>0</v>
      </c>
      <c r="AA152" s="73">
        <f>IFERROR(cadangan[[#This Row],[Harga Normal C]]-(cadangan[[#This Row],[Harga Normal C]]*cadangan[[#This Row],[Diskon]]),cadangan[[#This Row],[Harga Normal C]])</f>
        <v>0</v>
      </c>
      <c r="AB152" s="73">
        <f>IFERROR(INDEX(Katalog!$F$3:$F$12,MATCH(cadangan[[#This Row],[ItemID C]],Katalog!$C$3:$C$12,0))*cadangan[[#This Row],[Qty C]],0)</f>
        <v>0</v>
      </c>
      <c r="AC152" s="73">
        <f>IFERROR(cadangan[[#This Row],[Harga Diskon C]]-INDEX(Katalog!$E$3:$E$12,MATCH(cadangan[[#This Row],[ItemID C]],Katalog!$C$3:$C$12,0))*cadangan[[#This Row],[Qty C]],0)</f>
        <v>0</v>
      </c>
      <c r="AD152" s="53">
        <f>cadangan[[#This Row],[Qty A]]+cadangan[[#This Row],[Qty B]]+cadangan[[#This Row],[Qty C]]</f>
        <v>5</v>
      </c>
      <c r="AE152" s="73">
        <f>cadangan[[#This Row],[Harga Normal A]]+cadangan[[#This Row],[Harga Normal B]]+cadangan[[#This Row],[Harga Normal C]]</f>
        <v>1200000</v>
      </c>
      <c r="AF152" s="73">
        <f>cadangan[[#This Row],[Harga Diskon A]]+cadangan[[#This Row],[Harga Diskon B]]+cadangan[[#This Row],[Harga Diskon C]]</f>
        <v>1020000</v>
      </c>
      <c r="AG152" s="73">
        <f>(cadangan[[#This Row],[Profit Normal A]]+cadangan[[#This Row],[Profit Normal B]]+cadangan[[#This Row],[Profit Normal C]])</f>
        <v>480000</v>
      </c>
      <c r="AH152" s="73">
        <f>cadangan[[#This Row],[Profit Diskon A]]+cadangan[[#This Row],[Profit Diskon B]]+cadangan[[#This Row],[Profit Diskon C]]</f>
        <v>300000</v>
      </c>
      <c r="AI152" s="23" t="s">
        <v>32</v>
      </c>
      <c r="AJ152" s="37">
        <f>IFERROR(INDEX('Kode Diskon'!$D$3:$D$9,MATCH(cadangan[[#This Row],[Kode diskon]],'Kode Diskon'!$C$3:$C$9,0)),"-")</f>
        <v>0.15</v>
      </c>
      <c r="AK152" s="23" t="s">
        <v>9</v>
      </c>
      <c r="AL152" s="23" t="s">
        <v>12</v>
      </c>
      <c r="AM152" s="23" t="s">
        <v>79</v>
      </c>
      <c r="AN152" s="55">
        <v>45043</v>
      </c>
      <c r="AO152" s="53">
        <f>DAY(cadangan[[#This Row],[Tanggal terjual]])</f>
        <v>27</v>
      </c>
      <c r="AP152" s="21" t="str">
        <f>TEXT(cadangan[[#This Row],[Tanggal terjual]],"dddd")</f>
        <v>Thursday</v>
      </c>
      <c r="AQ152" s="23" t="str" cm="1">
        <f t="array" ref="AQ1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52" s="61">
        <f>AVERAGE(cadangan[[#This Row],[Rating A]],cadangan[[#This Row],[Rating B]],cadangan[[#This Row],[Rating C]])</f>
        <v>3.5</v>
      </c>
    </row>
    <row r="153" spans="1:44" x14ac:dyDescent="0.2">
      <c r="A153" s="20">
        <v>152</v>
      </c>
      <c r="B153" s="21" t="str">
        <f>_xlfn.CONCAT("ORD-",INDEX(Helper!$B$2:$B$5,MATCH(cadangan[[#This Row],[Marketplace]],Helper!$A$2:$A$5,0)),TEXT(cadangan[[#This Row],[No]],"0000"),"-",TEXT(cadangan[[#This Row],[Tanggal terjual]],"dd/mm/yy"))</f>
        <v>ORD-BB0152-02/04/23</v>
      </c>
      <c r="C153" s="39" t="s">
        <v>60</v>
      </c>
      <c r="D153" s="39" t="str">
        <f>IFERROR(INDEX(Katalog!$A$3:$A$12,MATCH(cadangan[[#This Row],[ItemID A]],Katalog!$C$3:$C$12,0)),"-")</f>
        <v>Pakaian Wanita</v>
      </c>
      <c r="E153" s="39" t="str">
        <f>IFERROR(INDEX(Katalog!$B$3:$B$12,MATCH(cadangan[[#This Row],[ItemID A]],Katalog!$C$3:$C$12,0)),"-")</f>
        <v>Kaftan</v>
      </c>
      <c r="F153" s="50">
        <v>4</v>
      </c>
      <c r="G153" s="50">
        <v>3</v>
      </c>
      <c r="H153" s="73">
        <f>IFERROR(INDEX(Katalog!$D$3:$D$12,MATCH(cadangan[[#This Row],[ItemID A]],Katalog!$C$3:$C$12,0))*cadangan[[#This Row],[Qty A]],0)</f>
        <v>1000000</v>
      </c>
      <c r="I153" s="73">
        <f>IFERROR(cadangan[[#This Row],[Harga Normal A]]-(cadangan[[#This Row],[Harga Normal A]]*cadangan[[#This Row],[Diskon]]),cadangan[[#This Row],[Harga Normal A]])</f>
        <v>850000</v>
      </c>
      <c r="J153" s="73">
        <f>INDEX(Katalog!$F$3:$F$12,MATCH(cadangan[[#This Row],[ItemID A]],Katalog!$C$3:$C$12,0))*cadangan[[#This Row],[Qty A]]</f>
        <v>400000</v>
      </c>
      <c r="K153" s="73">
        <f>IFERROR(cadangan[[#This Row],[Harga Diskon A]]-INDEX(Katalog!$E$3:$E$12,MATCH(cadangan[[#This Row],[ItemID A]],Katalog!$C$3:$C$12,0))*cadangan[[#This Row],[Qty A]],0)</f>
        <v>250000</v>
      </c>
      <c r="M153" s="39" t="str">
        <f>IFERROR(INDEX(Katalog!$A$3:$A$12,MATCH(cadangan[[#This Row],[ItemID B]],Katalog!$C$3:$C$12,0)),"-")</f>
        <v>-</v>
      </c>
      <c r="N153" s="39" t="str">
        <f>IFERROR(INDEX(Katalog!$B$3:$B$12,MATCH(cadangan[[#This Row],[ItemID B]],Katalog!$C$3:$C$12,0)),"-")</f>
        <v>-</v>
      </c>
      <c r="Q153" s="73">
        <f>IFERROR(INDEX(Katalog!$D$3:$D$12,MATCH(cadangan[[#This Row],[ItemID B]],Katalog!$C$3:$C$12,0))*cadangan[[#This Row],[Qty B]],0)</f>
        <v>0</v>
      </c>
      <c r="R153" s="73">
        <f>IFERROR(cadangan[[#This Row],[Harga Normal B]]-(cadangan[[#This Row],[Harga Normal B]]*cadangan[[#This Row],[Diskon]]),cadangan[[#This Row],[Harga Normal B]])</f>
        <v>0</v>
      </c>
      <c r="S153" s="73">
        <f>IFERROR(INDEX(Katalog!$F$3:$F$12,MATCH(cadangan[[#This Row],[ItemID B]],Katalog!$C$3:$C$12,0))*cadangan[[#This Row],[Qty B]],0)</f>
        <v>0</v>
      </c>
      <c r="T153" s="73">
        <f>IFERROR(cadangan[[#This Row],[Harga Diskon B]]-INDEX(Katalog!$E$3:$E$12,MATCH(cadangan[[#This Row],[ItemID B]],Katalog!$C$3:$C$12,0))*cadangan[[#This Row],[Qty B]],0)</f>
        <v>0</v>
      </c>
      <c r="V153" s="39" t="str">
        <f>IFERROR(INDEX(Katalog!$A$3:$A$12,MATCH(cadangan[[#This Row],[ItemID C]],Katalog!$C$3:$C$12,0)),"-")</f>
        <v>-</v>
      </c>
      <c r="W153" s="39" t="str">
        <f>IFERROR(INDEX(Katalog!$B$3:$B$12,MATCH(cadangan[[#This Row],[ItemID C]],Katalog!$C$3:$C$12,0)),"-")</f>
        <v>-</v>
      </c>
      <c r="Z153" s="73">
        <f>IFERROR(INDEX(Katalog!$D$3:$D$12,MATCH(cadangan[[#This Row],[ItemID C]],Katalog!$C$3:$C$12,0))*cadangan[[#This Row],[Qty C]],0)</f>
        <v>0</v>
      </c>
      <c r="AA153" s="73">
        <f>IFERROR(cadangan[[#This Row],[Harga Normal C]]-(cadangan[[#This Row],[Harga Normal C]]*cadangan[[#This Row],[Diskon]]),cadangan[[#This Row],[Harga Normal C]])</f>
        <v>0</v>
      </c>
      <c r="AB153" s="73">
        <f>IFERROR(INDEX(Katalog!$F$3:$F$12,MATCH(cadangan[[#This Row],[ItemID C]],Katalog!$C$3:$C$12,0))*cadangan[[#This Row],[Qty C]],0)</f>
        <v>0</v>
      </c>
      <c r="AC153" s="73">
        <f>IFERROR(cadangan[[#This Row],[Harga Diskon C]]-INDEX(Katalog!$E$3:$E$12,MATCH(cadangan[[#This Row],[ItemID C]],Katalog!$C$3:$C$12,0))*cadangan[[#This Row],[Qty C]],0)</f>
        <v>0</v>
      </c>
      <c r="AD153" s="53">
        <f>cadangan[[#This Row],[Qty A]]+cadangan[[#This Row],[Qty B]]+cadangan[[#This Row],[Qty C]]</f>
        <v>4</v>
      </c>
      <c r="AE153" s="73">
        <f>cadangan[[#This Row],[Harga Normal A]]+cadangan[[#This Row],[Harga Normal B]]+cadangan[[#This Row],[Harga Normal C]]</f>
        <v>1000000</v>
      </c>
      <c r="AF153" s="73">
        <f>cadangan[[#This Row],[Harga Diskon A]]+cadangan[[#This Row],[Harga Diskon B]]+cadangan[[#This Row],[Harga Diskon C]]</f>
        <v>850000</v>
      </c>
      <c r="AG153" s="73">
        <f>(cadangan[[#This Row],[Profit Normal A]]+cadangan[[#This Row],[Profit Normal B]]+cadangan[[#This Row],[Profit Normal C]])</f>
        <v>400000</v>
      </c>
      <c r="AH153" s="73">
        <f>cadangan[[#This Row],[Profit Diskon A]]+cadangan[[#This Row],[Profit Diskon B]]+cadangan[[#This Row],[Profit Diskon C]]</f>
        <v>250000</v>
      </c>
      <c r="AI153" s="23" t="s">
        <v>28</v>
      </c>
      <c r="AJ153" s="37">
        <f>IFERROR(INDEX('Kode Diskon'!$D$3:$D$9,MATCH(cadangan[[#This Row],[Kode diskon]],'Kode Diskon'!$C$3:$C$9,0)),"-")</f>
        <v>0.15</v>
      </c>
      <c r="AK153" s="23" t="s">
        <v>29</v>
      </c>
      <c r="AL153" s="23" t="s">
        <v>14</v>
      </c>
      <c r="AM153" s="23" t="s">
        <v>80</v>
      </c>
      <c r="AN153" s="55">
        <v>45018</v>
      </c>
      <c r="AO153" s="53">
        <f>DAY(cadangan[[#This Row],[Tanggal terjual]])</f>
        <v>2</v>
      </c>
      <c r="AP153" s="21" t="str">
        <f>TEXT(cadangan[[#This Row],[Tanggal terjual]],"dddd")</f>
        <v>Sunday</v>
      </c>
      <c r="AQ153" s="23" t="str" cm="1">
        <f t="array" ref="AQ1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3" s="61">
        <f>AVERAGE(cadangan[[#This Row],[Rating A]],cadangan[[#This Row],[Rating B]],cadangan[[#This Row],[Rating C]])</f>
        <v>3</v>
      </c>
    </row>
    <row r="154" spans="1:44" x14ac:dyDescent="0.2">
      <c r="A154" s="20">
        <v>153</v>
      </c>
      <c r="B154" s="21" t="str">
        <f>_xlfn.CONCAT("ORD-",INDEX(Helper!$B$2:$B$5,MATCH(cadangan[[#This Row],[Marketplace]],Helper!$A$2:$A$5,0)),TEXT(cadangan[[#This Row],[No]],"0000"),"-",TEXT(cadangan[[#This Row],[Tanggal terjual]],"dd/mm/yy"))</f>
        <v>ORD-SP0153-04/04/23</v>
      </c>
      <c r="C154" s="39" t="s">
        <v>67</v>
      </c>
      <c r="D154" s="39" t="str">
        <f>IFERROR(INDEX(Katalog!$A$3:$A$12,MATCH(cadangan[[#This Row],[ItemID A]],Katalog!$C$3:$C$12,0)),"-")</f>
        <v>Sepatu Wanita</v>
      </c>
      <c r="E154" s="39" t="str">
        <f>IFERROR(INDEX(Katalog!$B$3:$B$12,MATCH(cadangan[[#This Row],[ItemID A]],Katalog!$C$3:$C$12,0)),"-")</f>
        <v>Flat Shoes</v>
      </c>
      <c r="F154" s="50">
        <v>2</v>
      </c>
      <c r="G154" s="50">
        <v>1</v>
      </c>
      <c r="H154" s="73">
        <f>IFERROR(INDEX(Katalog!$D$3:$D$12,MATCH(cadangan[[#This Row],[ItemID A]],Katalog!$C$3:$C$12,0))*cadangan[[#This Row],[Qty A]],0)</f>
        <v>500000</v>
      </c>
      <c r="I154" s="73">
        <f>IFERROR(cadangan[[#This Row],[Harga Normal A]]-(cadangan[[#This Row],[Harga Normal A]]*cadangan[[#This Row],[Diskon]]),cadangan[[#This Row],[Harga Normal A]])</f>
        <v>450000</v>
      </c>
      <c r="J154" s="73">
        <f>INDEX(Katalog!$F$3:$F$12,MATCH(cadangan[[#This Row],[ItemID A]],Katalog!$C$3:$C$12,0))*cadangan[[#This Row],[Qty A]]</f>
        <v>200000</v>
      </c>
      <c r="K154" s="73">
        <f>IFERROR(cadangan[[#This Row],[Harga Diskon A]]-INDEX(Katalog!$E$3:$E$12,MATCH(cadangan[[#This Row],[ItemID A]],Katalog!$C$3:$C$12,0))*cadangan[[#This Row],[Qty A]],0)</f>
        <v>150000</v>
      </c>
      <c r="L154" s="39" t="s">
        <v>61</v>
      </c>
      <c r="M154" s="39" t="str">
        <f>IFERROR(INDEX(Katalog!$A$3:$A$12,MATCH(cadangan[[#This Row],[ItemID B]],Katalog!$C$3:$C$12,0)),"-")</f>
        <v>Pakaian Pria</v>
      </c>
      <c r="N154" s="39" t="str">
        <f>IFERROR(INDEX(Katalog!$B$3:$B$12,MATCH(cadangan[[#This Row],[ItemID B]],Katalog!$C$3:$C$12,0)),"-")</f>
        <v>Kaos Polo</v>
      </c>
      <c r="O154" s="50">
        <v>1</v>
      </c>
      <c r="P154" s="50">
        <v>5</v>
      </c>
      <c r="Q154" s="73">
        <f>IFERROR(INDEX(Katalog!$D$3:$D$12,MATCH(cadangan[[#This Row],[ItemID B]],Katalog!$C$3:$C$12,0))*cadangan[[#This Row],[Qty B]],0)</f>
        <v>200000</v>
      </c>
      <c r="R154" s="73">
        <f>IFERROR(cadangan[[#This Row],[Harga Normal B]]-(cadangan[[#This Row],[Harga Normal B]]*cadangan[[#This Row],[Diskon]]),cadangan[[#This Row],[Harga Normal B]])</f>
        <v>180000</v>
      </c>
      <c r="S154" s="73">
        <f>IFERROR(INDEX(Katalog!$F$3:$F$12,MATCH(cadangan[[#This Row],[ItemID B]],Katalog!$C$3:$C$12,0))*cadangan[[#This Row],[Qty B]],0)</f>
        <v>80000</v>
      </c>
      <c r="T154" s="73">
        <f>IFERROR(cadangan[[#This Row],[Harga Diskon B]]-INDEX(Katalog!$E$3:$E$12,MATCH(cadangan[[#This Row],[ItemID B]],Katalog!$C$3:$C$12,0))*cadangan[[#This Row],[Qty B]],0)</f>
        <v>60000</v>
      </c>
      <c r="V154" s="39" t="str">
        <f>IFERROR(INDEX(Katalog!$A$3:$A$12,MATCH(cadangan[[#This Row],[ItemID C]],Katalog!$C$3:$C$12,0)),"-")</f>
        <v>-</v>
      </c>
      <c r="W154" s="39" t="str">
        <f>IFERROR(INDEX(Katalog!$B$3:$B$12,MATCH(cadangan[[#This Row],[ItemID C]],Katalog!$C$3:$C$12,0)),"-")</f>
        <v>-</v>
      </c>
      <c r="Z154" s="73">
        <f>IFERROR(INDEX(Katalog!$D$3:$D$12,MATCH(cadangan[[#This Row],[ItemID C]],Katalog!$C$3:$C$12,0))*cadangan[[#This Row],[Qty C]],0)</f>
        <v>0</v>
      </c>
      <c r="AA154" s="73">
        <f>IFERROR(cadangan[[#This Row],[Harga Normal C]]-(cadangan[[#This Row],[Harga Normal C]]*cadangan[[#This Row],[Diskon]]),cadangan[[#This Row],[Harga Normal C]])</f>
        <v>0</v>
      </c>
      <c r="AB154" s="73">
        <f>IFERROR(INDEX(Katalog!$F$3:$F$12,MATCH(cadangan[[#This Row],[ItemID C]],Katalog!$C$3:$C$12,0))*cadangan[[#This Row],[Qty C]],0)</f>
        <v>0</v>
      </c>
      <c r="AC154" s="73">
        <f>IFERROR(cadangan[[#This Row],[Harga Diskon C]]-INDEX(Katalog!$E$3:$E$12,MATCH(cadangan[[#This Row],[ItemID C]],Katalog!$C$3:$C$12,0))*cadangan[[#This Row],[Qty C]],0)</f>
        <v>0</v>
      </c>
      <c r="AD154" s="53">
        <f>cadangan[[#This Row],[Qty A]]+cadangan[[#This Row],[Qty B]]+cadangan[[#This Row],[Qty C]]</f>
        <v>3</v>
      </c>
      <c r="AE154" s="73">
        <f>cadangan[[#This Row],[Harga Normal A]]+cadangan[[#This Row],[Harga Normal B]]+cadangan[[#This Row],[Harga Normal C]]</f>
        <v>700000</v>
      </c>
      <c r="AF154" s="73">
        <f>cadangan[[#This Row],[Harga Diskon A]]+cadangan[[#This Row],[Harga Diskon B]]+cadangan[[#This Row],[Harga Diskon C]]</f>
        <v>630000</v>
      </c>
      <c r="AG154" s="73">
        <f>(cadangan[[#This Row],[Profit Normal A]]+cadangan[[#This Row],[Profit Normal B]]+cadangan[[#This Row],[Profit Normal C]])</f>
        <v>280000</v>
      </c>
      <c r="AH154" s="73">
        <f>cadangan[[#This Row],[Profit Diskon A]]+cadangan[[#This Row],[Profit Diskon B]]+cadangan[[#This Row],[Profit Diskon C]]</f>
        <v>210000</v>
      </c>
      <c r="AI154" s="23" t="s">
        <v>6</v>
      </c>
      <c r="AJ154" s="37">
        <f>IFERROR(INDEX('Kode Diskon'!$D$3:$D$9,MATCH(cadangan[[#This Row],[Kode diskon]],'Kode Diskon'!$C$3:$C$9,0)),"-")</f>
        <v>0.1</v>
      </c>
      <c r="AK154" s="23" t="s">
        <v>29</v>
      </c>
      <c r="AL154" s="23" t="s">
        <v>7</v>
      </c>
      <c r="AM154" s="23" t="s">
        <v>79</v>
      </c>
      <c r="AN154" s="55">
        <v>45020</v>
      </c>
      <c r="AO154" s="53">
        <f>DAY(cadangan[[#This Row],[Tanggal terjual]])</f>
        <v>4</v>
      </c>
      <c r="AP154" s="21" t="str">
        <f>TEXT(cadangan[[#This Row],[Tanggal terjual]],"dddd")</f>
        <v>Tuesday</v>
      </c>
      <c r="AQ154" s="23" t="str" cm="1">
        <f t="array" ref="AQ1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4" s="61">
        <f>AVERAGE(cadangan[[#This Row],[Rating A]],cadangan[[#This Row],[Rating B]],cadangan[[#This Row],[Rating C]])</f>
        <v>3</v>
      </c>
    </row>
    <row r="155" spans="1:44" x14ac:dyDescent="0.2">
      <c r="A155" s="20">
        <v>154</v>
      </c>
      <c r="B155" s="21" t="str">
        <f>_xlfn.CONCAT("ORD-",INDEX(Helper!$B$2:$B$5,MATCH(cadangan[[#This Row],[Marketplace]],Helper!$A$2:$A$5,0)),TEXT(cadangan[[#This Row],[No]],"0000"),"-",TEXT(cadangan[[#This Row],[Tanggal terjual]],"dd/mm/yy"))</f>
        <v>ORD-SP0154-09/04/23</v>
      </c>
      <c r="C155" s="39" t="s">
        <v>61</v>
      </c>
      <c r="D155" s="39" t="str">
        <f>IFERROR(INDEX(Katalog!$A$3:$A$12,MATCH(cadangan[[#This Row],[ItemID A]],Katalog!$C$3:$C$12,0)),"-")</f>
        <v>Pakaian Pria</v>
      </c>
      <c r="E155" s="39" t="str">
        <f>IFERROR(INDEX(Katalog!$B$3:$B$12,MATCH(cadangan[[#This Row],[ItemID A]],Katalog!$C$3:$C$12,0)),"-")</f>
        <v>Kaos Polo</v>
      </c>
      <c r="F155" s="50">
        <v>7</v>
      </c>
      <c r="G155" s="50">
        <v>1</v>
      </c>
      <c r="H155" s="73">
        <f>IFERROR(INDEX(Katalog!$D$3:$D$12,MATCH(cadangan[[#This Row],[ItemID A]],Katalog!$C$3:$C$12,0))*cadangan[[#This Row],[Qty A]],0)</f>
        <v>1400000</v>
      </c>
      <c r="I155" s="73">
        <f>IFERROR(cadangan[[#This Row],[Harga Normal A]]-(cadangan[[#This Row],[Harga Normal A]]*cadangan[[#This Row],[Diskon]]),cadangan[[#This Row],[Harga Normal A]])</f>
        <v>1400000</v>
      </c>
      <c r="J155" s="73">
        <f>INDEX(Katalog!$F$3:$F$12,MATCH(cadangan[[#This Row],[ItemID A]],Katalog!$C$3:$C$12,0))*cadangan[[#This Row],[Qty A]]</f>
        <v>560000</v>
      </c>
      <c r="K155" s="73">
        <f>IFERROR(cadangan[[#This Row],[Harga Diskon A]]-INDEX(Katalog!$E$3:$E$12,MATCH(cadangan[[#This Row],[ItemID A]],Katalog!$C$3:$C$12,0))*cadangan[[#This Row],[Qty A]],0)</f>
        <v>560000</v>
      </c>
      <c r="M155" s="39" t="str">
        <f>IFERROR(INDEX(Katalog!$A$3:$A$12,MATCH(cadangan[[#This Row],[ItemID B]],Katalog!$C$3:$C$12,0)),"-")</f>
        <v>-</v>
      </c>
      <c r="N155" s="39" t="str">
        <f>IFERROR(INDEX(Katalog!$B$3:$B$12,MATCH(cadangan[[#This Row],[ItemID B]],Katalog!$C$3:$C$12,0)),"-")</f>
        <v>-</v>
      </c>
      <c r="Q155" s="73">
        <f>IFERROR(INDEX(Katalog!$D$3:$D$12,MATCH(cadangan[[#This Row],[ItemID B]],Katalog!$C$3:$C$12,0))*cadangan[[#This Row],[Qty B]],0)</f>
        <v>0</v>
      </c>
      <c r="R155" s="73">
        <f>IFERROR(cadangan[[#This Row],[Harga Normal B]]-(cadangan[[#This Row],[Harga Normal B]]*cadangan[[#This Row],[Diskon]]),cadangan[[#This Row],[Harga Normal B]])</f>
        <v>0</v>
      </c>
      <c r="S155" s="73">
        <f>IFERROR(INDEX(Katalog!$F$3:$F$12,MATCH(cadangan[[#This Row],[ItemID B]],Katalog!$C$3:$C$12,0))*cadangan[[#This Row],[Qty B]],0)</f>
        <v>0</v>
      </c>
      <c r="T155" s="73">
        <f>IFERROR(cadangan[[#This Row],[Harga Diskon B]]-INDEX(Katalog!$E$3:$E$12,MATCH(cadangan[[#This Row],[ItemID B]],Katalog!$C$3:$C$12,0))*cadangan[[#This Row],[Qty B]],0)</f>
        <v>0</v>
      </c>
      <c r="V155" s="39" t="str">
        <f>IFERROR(INDEX(Katalog!$A$3:$A$12,MATCH(cadangan[[#This Row],[ItemID C]],Katalog!$C$3:$C$12,0)),"-")</f>
        <v>-</v>
      </c>
      <c r="W155" s="39" t="str">
        <f>IFERROR(INDEX(Katalog!$B$3:$B$12,MATCH(cadangan[[#This Row],[ItemID C]],Katalog!$C$3:$C$12,0)),"-")</f>
        <v>-</v>
      </c>
      <c r="Z155" s="73">
        <f>IFERROR(INDEX(Katalog!$D$3:$D$12,MATCH(cadangan[[#This Row],[ItemID C]],Katalog!$C$3:$C$12,0))*cadangan[[#This Row],[Qty C]],0)</f>
        <v>0</v>
      </c>
      <c r="AA155" s="73">
        <f>IFERROR(cadangan[[#This Row],[Harga Normal C]]-(cadangan[[#This Row],[Harga Normal C]]*cadangan[[#This Row],[Diskon]]),cadangan[[#This Row],[Harga Normal C]])</f>
        <v>0</v>
      </c>
      <c r="AB155" s="73">
        <f>IFERROR(INDEX(Katalog!$F$3:$F$12,MATCH(cadangan[[#This Row],[ItemID C]],Katalog!$C$3:$C$12,0))*cadangan[[#This Row],[Qty C]],0)</f>
        <v>0</v>
      </c>
      <c r="AC155" s="73">
        <f>IFERROR(cadangan[[#This Row],[Harga Diskon C]]-INDEX(Katalog!$E$3:$E$12,MATCH(cadangan[[#This Row],[ItemID C]],Katalog!$C$3:$C$12,0))*cadangan[[#This Row],[Qty C]],0)</f>
        <v>0</v>
      </c>
      <c r="AD155" s="53">
        <f>cadangan[[#This Row],[Qty A]]+cadangan[[#This Row],[Qty B]]+cadangan[[#This Row],[Qty C]]</f>
        <v>7</v>
      </c>
      <c r="AE155" s="73">
        <f>cadangan[[#This Row],[Harga Normal A]]+cadangan[[#This Row],[Harga Normal B]]+cadangan[[#This Row],[Harga Normal C]]</f>
        <v>1400000</v>
      </c>
      <c r="AF155" s="73">
        <f>cadangan[[#This Row],[Harga Diskon A]]+cadangan[[#This Row],[Harga Diskon B]]+cadangan[[#This Row],[Harga Diskon C]]</f>
        <v>1400000</v>
      </c>
      <c r="AG155" s="73">
        <f>(cadangan[[#This Row],[Profit Normal A]]+cadangan[[#This Row],[Profit Normal B]]+cadangan[[#This Row],[Profit Normal C]])</f>
        <v>560000</v>
      </c>
      <c r="AH155" s="73">
        <f>cadangan[[#This Row],[Profit Diskon A]]+cadangan[[#This Row],[Profit Diskon B]]+cadangan[[#This Row],[Profit Diskon C]]</f>
        <v>560000</v>
      </c>
      <c r="AI155" s="23" t="s">
        <v>290</v>
      </c>
      <c r="AJ155" s="37" t="str">
        <f>IFERROR(INDEX('Kode Diskon'!$D$3:$D$9,MATCH(cadangan[[#This Row],[Kode diskon]],'Kode Diskon'!$C$3:$C$9,0)),"-")</f>
        <v>-</v>
      </c>
      <c r="AK155" s="23" t="s">
        <v>290</v>
      </c>
      <c r="AL155" s="23" t="s">
        <v>7</v>
      </c>
      <c r="AM155" s="23" t="s">
        <v>77</v>
      </c>
      <c r="AN155" s="55">
        <v>45025</v>
      </c>
      <c r="AO155" s="53">
        <f>DAY(cadangan[[#This Row],[Tanggal terjual]])</f>
        <v>9</v>
      </c>
      <c r="AP155" s="21" t="str">
        <f>TEXT(cadangan[[#This Row],[Tanggal terjual]],"dddd")</f>
        <v>Sunday</v>
      </c>
      <c r="AQ155" s="23" t="str" cm="1">
        <f t="array" ref="AQ1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55" s="61">
        <f>AVERAGE(cadangan[[#This Row],[Rating A]],cadangan[[#This Row],[Rating B]],cadangan[[#This Row],[Rating C]])</f>
        <v>1</v>
      </c>
    </row>
    <row r="156" spans="1:44" x14ac:dyDescent="0.2">
      <c r="A156" s="20">
        <v>155</v>
      </c>
      <c r="B156" s="21" t="str">
        <f>_xlfn.CONCAT("ORD-",INDEX(Helper!$B$2:$B$5,MATCH(cadangan[[#This Row],[Marketplace]],Helper!$A$2:$A$5,0)),TEXT(cadangan[[#This Row],[No]],"0000"),"-",TEXT(cadangan[[#This Row],[Tanggal terjual]],"dd/mm/yy"))</f>
        <v>ORD-BB0155-03/04/23</v>
      </c>
      <c r="C156" s="39" t="s">
        <v>61</v>
      </c>
      <c r="D156" s="39" t="str">
        <f>IFERROR(INDEX(Katalog!$A$3:$A$12,MATCH(cadangan[[#This Row],[ItemID A]],Katalog!$C$3:$C$12,0)),"-")</f>
        <v>Pakaian Pria</v>
      </c>
      <c r="E156" s="39" t="str">
        <f>IFERROR(INDEX(Katalog!$B$3:$B$12,MATCH(cadangan[[#This Row],[ItemID A]],Katalog!$C$3:$C$12,0)),"-")</f>
        <v>Kaos Polo</v>
      </c>
      <c r="F156" s="50">
        <v>4</v>
      </c>
      <c r="G156" s="50">
        <v>5</v>
      </c>
      <c r="H156" s="73">
        <f>IFERROR(INDEX(Katalog!$D$3:$D$12,MATCH(cadangan[[#This Row],[ItemID A]],Katalog!$C$3:$C$12,0))*cadangan[[#This Row],[Qty A]],0)</f>
        <v>800000</v>
      </c>
      <c r="I156" s="73">
        <f>IFERROR(cadangan[[#This Row],[Harga Normal A]]-(cadangan[[#This Row],[Harga Normal A]]*cadangan[[#This Row],[Diskon]]),cadangan[[#This Row],[Harga Normal A]])</f>
        <v>680000</v>
      </c>
      <c r="J156" s="73">
        <f>INDEX(Katalog!$F$3:$F$12,MATCH(cadangan[[#This Row],[ItemID A]],Katalog!$C$3:$C$12,0))*cadangan[[#This Row],[Qty A]]</f>
        <v>320000</v>
      </c>
      <c r="K156" s="73">
        <f>IFERROR(cadangan[[#This Row],[Harga Diskon A]]-INDEX(Katalog!$E$3:$E$12,MATCH(cadangan[[#This Row],[ItemID A]],Katalog!$C$3:$C$12,0))*cadangan[[#This Row],[Qty A]],0)</f>
        <v>200000</v>
      </c>
      <c r="L156" s="39" t="s">
        <v>66</v>
      </c>
      <c r="M156" s="39" t="str">
        <f>IFERROR(INDEX(Katalog!$A$3:$A$12,MATCH(cadangan[[#This Row],[ItemID B]],Katalog!$C$3:$C$12,0)),"-")</f>
        <v>Sepatu Pria</v>
      </c>
      <c r="N156" s="39" t="str">
        <f>IFERROR(INDEX(Katalog!$B$3:$B$12,MATCH(cadangan[[#This Row],[ItemID B]],Katalog!$C$3:$C$12,0)),"-")</f>
        <v>Sandal Slip On</v>
      </c>
      <c r="O156" s="50">
        <v>1</v>
      </c>
      <c r="P156" s="50">
        <v>3</v>
      </c>
      <c r="Q156" s="73">
        <f>IFERROR(INDEX(Katalog!$D$3:$D$12,MATCH(cadangan[[#This Row],[ItemID B]],Katalog!$C$3:$C$12,0))*cadangan[[#This Row],[Qty B]],0)</f>
        <v>150000</v>
      </c>
      <c r="R156" s="73">
        <f>IFERROR(cadangan[[#This Row],[Harga Normal B]]-(cadangan[[#This Row],[Harga Normal B]]*cadangan[[#This Row],[Diskon]]),cadangan[[#This Row],[Harga Normal B]])</f>
        <v>127500</v>
      </c>
      <c r="S156" s="73">
        <f>IFERROR(INDEX(Katalog!$F$3:$F$12,MATCH(cadangan[[#This Row],[ItemID B]],Katalog!$C$3:$C$12,0))*cadangan[[#This Row],[Qty B]],0)</f>
        <v>60000</v>
      </c>
      <c r="T156" s="73">
        <f>IFERROR(cadangan[[#This Row],[Harga Diskon B]]-INDEX(Katalog!$E$3:$E$12,MATCH(cadangan[[#This Row],[ItemID B]],Katalog!$C$3:$C$12,0))*cadangan[[#This Row],[Qty B]],0)</f>
        <v>37500</v>
      </c>
      <c r="U156" s="39" t="s">
        <v>67</v>
      </c>
      <c r="V156" s="39" t="str">
        <f>IFERROR(INDEX(Katalog!$A$3:$A$12,MATCH(cadangan[[#This Row],[ItemID C]],Katalog!$C$3:$C$12,0)),"-")</f>
        <v>Sepatu Wanita</v>
      </c>
      <c r="W156" s="39" t="str">
        <f>IFERROR(INDEX(Katalog!$B$3:$B$12,MATCH(cadangan[[#This Row],[ItemID C]],Katalog!$C$3:$C$12,0)),"-")</f>
        <v>Flat Shoes</v>
      </c>
      <c r="X156" s="50">
        <v>1</v>
      </c>
      <c r="Y156" s="50">
        <v>2</v>
      </c>
      <c r="Z156" s="73">
        <f>IFERROR(INDEX(Katalog!$D$3:$D$12,MATCH(cadangan[[#This Row],[ItemID C]],Katalog!$C$3:$C$12,0))*cadangan[[#This Row],[Qty C]],0)</f>
        <v>250000</v>
      </c>
      <c r="AA156" s="73">
        <f>IFERROR(cadangan[[#This Row],[Harga Normal C]]-(cadangan[[#This Row],[Harga Normal C]]*cadangan[[#This Row],[Diskon]]),cadangan[[#This Row],[Harga Normal C]])</f>
        <v>212500</v>
      </c>
      <c r="AB156" s="73">
        <f>IFERROR(INDEX(Katalog!$F$3:$F$12,MATCH(cadangan[[#This Row],[ItemID C]],Katalog!$C$3:$C$12,0))*cadangan[[#This Row],[Qty C]],0)</f>
        <v>100000</v>
      </c>
      <c r="AC156" s="73">
        <f>IFERROR(cadangan[[#This Row],[Harga Diskon C]]-INDEX(Katalog!$E$3:$E$12,MATCH(cadangan[[#This Row],[ItemID C]],Katalog!$C$3:$C$12,0))*cadangan[[#This Row],[Qty C]],0)</f>
        <v>62500</v>
      </c>
      <c r="AD156" s="53">
        <f>cadangan[[#This Row],[Qty A]]+cadangan[[#This Row],[Qty B]]+cadangan[[#This Row],[Qty C]]</f>
        <v>6</v>
      </c>
      <c r="AE156" s="73">
        <f>cadangan[[#This Row],[Harga Normal A]]+cadangan[[#This Row],[Harga Normal B]]+cadangan[[#This Row],[Harga Normal C]]</f>
        <v>1200000</v>
      </c>
      <c r="AF156" s="73">
        <f>cadangan[[#This Row],[Harga Diskon A]]+cadangan[[#This Row],[Harga Diskon B]]+cadangan[[#This Row],[Harga Diskon C]]</f>
        <v>1020000</v>
      </c>
      <c r="AG156" s="73">
        <f>(cadangan[[#This Row],[Profit Normal A]]+cadangan[[#This Row],[Profit Normal B]]+cadangan[[#This Row],[Profit Normal C]])</f>
        <v>480000</v>
      </c>
      <c r="AH156" s="73">
        <f>cadangan[[#This Row],[Profit Diskon A]]+cadangan[[#This Row],[Profit Diskon B]]+cadangan[[#This Row],[Profit Diskon C]]</f>
        <v>300000</v>
      </c>
      <c r="AI156" s="23" t="s">
        <v>28</v>
      </c>
      <c r="AJ156" s="37">
        <f>IFERROR(INDEX('Kode Diskon'!$D$3:$D$9,MATCH(cadangan[[#This Row],[Kode diskon]],'Kode Diskon'!$C$3:$C$9,0)),"-")</f>
        <v>0.15</v>
      </c>
      <c r="AK156" s="23" t="s">
        <v>29</v>
      </c>
      <c r="AL156" s="23" t="s">
        <v>14</v>
      </c>
      <c r="AM156" s="23" t="s">
        <v>76</v>
      </c>
      <c r="AN156" s="55">
        <v>45019</v>
      </c>
      <c r="AO156" s="53">
        <f>DAY(cadangan[[#This Row],[Tanggal terjual]])</f>
        <v>3</v>
      </c>
      <c r="AP156" s="21" t="str">
        <f>TEXT(cadangan[[#This Row],[Tanggal terjual]],"dddd")</f>
        <v>Monday</v>
      </c>
      <c r="AQ156" s="23" t="str" cm="1">
        <f t="array" ref="AQ1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6" s="61">
        <f>AVERAGE(cadangan[[#This Row],[Rating A]],cadangan[[#This Row],[Rating B]],cadangan[[#This Row],[Rating C]])</f>
        <v>3.3333333333333335</v>
      </c>
    </row>
    <row r="157" spans="1:44" x14ac:dyDescent="0.2">
      <c r="A157" s="20">
        <v>156</v>
      </c>
      <c r="B157" s="21" t="str">
        <f>_xlfn.CONCAT("ORD-",INDEX(Helper!$B$2:$B$5,MATCH(cadangan[[#This Row],[Marketplace]],Helper!$A$2:$A$5,0)),TEXT(cadangan[[#This Row],[No]],"0000"),"-",TEXT(cadangan[[#This Row],[Tanggal terjual]],"dd/mm/yy"))</f>
        <v>ORD-SP0156-01/04/23</v>
      </c>
      <c r="C157" s="39" t="s">
        <v>61</v>
      </c>
      <c r="D157" s="39" t="str">
        <f>IFERROR(INDEX(Katalog!$A$3:$A$12,MATCH(cadangan[[#This Row],[ItemID A]],Katalog!$C$3:$C$12,0)),"-")</f>
        <v>Pakaian Pria</v>
      </c>
      <c r="E157" s="39" t="str">
        <f>IFERROR(INDEX(Katalog!$B$3:$B$12,MATCH(cadangan[[#This Row],[ItemID A]],Katalog!$C$3:$C$12,0)),"-")</f>
        <v>Kaos Polo</v>
      </c>
      <c r="F157" s="50">
        <v>1</v>
      </c>
      <c r="G157" s="50">
        <v>2</v>
      </c>
      <c r="H157" s="73">
        <f>IFERROR(INDEX(Katalog!$D$3:$D$12,MATCH(cadangan[[#This Row],[ItemID A]],Katalog!$C$3:$C$12,0))*cadangan[[#This Row],[Qty A]],0)</f>
        <v>200000</v>
      </c>
      <c r="I157" s="73">
        <f>IFERROR(cadangan[[#This Row],[Harga Normal A]]-(cadangan[[#This Row],[Harga Normal A]]*cadangan[[#This Row],[Diskon]]),cadangan[[#This Row],[Harga Normal A]])</f>
        <v>170000</v>
      </c>
      <c r="J157" s="73">
        <f>INDEX(Katalog!$F$3:$F$12,MATCH(cadangan[[#This Row],[ItemID A]],Katalog!$C$3:$C$12,0))*cadangan[[#This Row],[Qty A]]</f>
        <v>80000</v>
      </c>
      <c r="K157" s="73">
        <f>IFERROR(cadangan[[#This Row],[Harga Diskon A]]-INDEX(Katalog!$E$3:$E$12,MATCH(cadangan[[#This Row],[ItemID A]],Katalog!$C$3:$C$12,0))*cadangan[[#This Row],[Qty A]],0)</f>
        <v>50000</v>
      </c>
      <c r="L157" s="39" t="s">
        <v>63</v>
      </c>
      <c r="M157" s="39" t="str">
        <f>IFERROR(INDEX(Katalog!$A$3:$A$12,MATCH(cadangan[[#This Row],[ItemID B]],Katalog!$C$3:$C$12,0)),"-")</f>
        <v>Pakaian Pria</v>
      </c>
      <c r="N157" s="39" t="str">
        <f>IFERROR(INDEX(Katalog!$B$3:$B$12,MATCH(cadangan[[#This Row],[ItemID B]],Katalog!$C$3:$C$12,0)),"-")</f>
        <v>Jaket Jeans</v>
      </c>
      <c r="O157" s="50">
        <v>2</v>
      </c>
      <c r="P157" s="50">
        <v>5</v>
      </c>
      <c r="Q157" s="73">
        <f>IFERROR(INDEX(Katalog!$D$3:$D$12,MATCH(cadangan[[#This Row],[ItemID B]],Katalog!$C$3:$C$12,0))*cadangan[[#This Row],[Qty B]],0)</f>
        <v>800000</v>
      </c>
      <c r="R157" s="73">
        <f>IFERROR(cadangan[[#This Row],[Harga Normal B]]-(cadangan[[#This Row],[Harga Normal B]]*cadangan[[#This Row],[Diskon]]),cadangan[[#This Row],[Harga Normal B]])</f>
        <v>680000</v>
      </c>
      <c r="S157" s="73">
        <f>IFERROR(INDEX(Katalog!$F$3:$F$12,MATCH(cadangan[[#This Row],[ItemID B]],Katalog!$C$3:$C$12,0))*cadangan[[#This Row],[Qty B]],0)</f>
        <v>300000</v>
      </c>
      <c r="T157" s="73">
        <f>IFERROR(cadangan[[#This Row],[Harga Diskon B]]-INDEX(Katalog!$E$3:$E$12,MATCH(cadangan[[#This Row],[ItemID B]],Katalog!$C$3:$C$12,0))*cadangan[[#This Row],[Qty B]],0)</f>
        <v>180000</v>
      </c>
      <c r="U157" s="39" t="s">
        <v>58</v>
      </c>
      <c r="V157" s="39" t="str">
        <f>IFERROR(INDEX(Katalog!$A$3:$A$12,MATCH(cadangan[[#This Row],[ItemID C]],Katalog!$C$3:$C$12,0)),"-")</f>
        <v>Pakaian Wanita</v>
      </c>
      <c r="W157" s="39" t="str">
        <f>IFERROR(INDEX(Katalog!$B$3:$B$12,MATCH(cadangan[[#This Row],[ItemID C]],Katalog!$C$3:$C$12,0)),"-")</f>
        <v>Dress</v>
      </c>
      <c r="X157" s="50">
        <v>1</v>
      </c>
      <c r="Y157" s="50">
        <v>2</v>
      </c>
      <c r="Z157" s="73">
        <f>IFERROR(INDEX(Katalog!$D$3:$D$12,MATCH(cadangan[[#This Row],[ItemID C]],Katalog!$C$3:$C$12,0))*cadangan[[#This Row],[Qty C]],0)</f>
        <v>300000</v>
      </c>
      <c r="AA157" s="73">
        <f>IFERROR(cadangan[[#This Row],[Harga Normal C]]-(cadangan[[#This Row],[Harga Normal C]]*cadangan[[#This Row],[Diskon]]),cadangan[[#This Row],[Harga Normal C]])</f>
        <v>255000</v>
      </c>
      <c r="AB157" s="73">
        <f>IFERROR(INDEX(Katalog!$F$3:$F$12,MATCH(cadangan[[#This Row],[ItemID C]],Katalog!$C$3:$C$12,0))*cadangan[[#This Row],[Qty C]],0)</f>
        <v>100000</v>
      </c>
      <c r="AC157" s="73">
        <f>IFERROR(cadangan[[#This Row],[Harga Diskon C]]-INDEX(Katalog!$E$3:$E$12,MATCH(cadangan[[#This Row],[ItemID C]],Katalog!$C$3:$C$12,0))*cadangan[[#This Row],[Qty C]],0)</f>
        <v>55000</v>
      </c>
      <c r="AD157" s="53">
        <f>cadangan[[#This Row],[Qty A]]+cadangan[[#This Row],[Qty B]]+cadangan[[#This Row],[Qty C]]</f>
        <v>4</v>
      </c>
      <c r="AE157" s="73">
        <f>cadangan[[#This Row],[Harga Normal A]]+cadangan[[#This Row],[Harga Normal B]]+cadangan[[#This Row],[Harga Normal C]]</f>
        <v>1300000</v>
      </c>
      <c r="AF157" s="73">
        <f>cadangan[[#This Row],[Harga Diskon A]]+cadangan[[#This Row],[Harga Diskon B]]+cadangan[[#This Row],[Harga Diskon C]]</f>
        <v>1105000</v>
      </c>
      <c r="AG157" s="73">
        <f>(cadangan[[#This Row],[Profit Normal A]]+cadangan[[#This Row],[Profit Normal B]]+cadangan[[#This Row],[Profit Normal C]])</f>
        <v>480000</v>
      </c>
      <c r="AH157" s="73">
        <f>cadangan[[#This Row],[Profit Diskon A]]+cadangan[[#This Row],[Profit Diskon B]]+cadangan[[#This Row],[Profit Diskon C]]</f>
        <v>285000</v>
      </c>
      <c r="AI157" s="23" t="s">
        <v>13</v>
      </c>
      <c r="AJ157" s="37">
        <f>IFERROR(INDEX('Kode Diskon'!$D$3:$D$9,MATCH(cadangan[[#This Row],[Kode diskon]],'Kode Diskon'!$C$3:$C$9,0)),"-")</f>
        <v>0.15</v>
      </c>
      <c r="AK157" s="23" t="s">
        <v>29</v>
      </c>
      <c r="AL157" s="23" t="s">
        <v>7</v>
      </c>
      <c r="AM157" s="23" t="s">
        <v>76</v>
      </c>
      <c r="AN157" s="55">
        <v>45017</v>
      </c>
      <c r="AO157" s="53">
        <f>DAY(cadangan[[#This Row],[Tanggal terjual]])</f>
        <v>1</v>
      </c>
      <c r="AP157" s="21" t="str">
        <f>TEXT(cadangan[[#This Row],[Tanggal terjual]],"dddd")</f>
        <v>Saturday</v>
      </c>
      <c r="AQ157" s="23" t="str" cm="1">
        <f t="array" ref="AQ1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7" s="61">
        <f>AVERAGE(cadangan[[#This Row],[Rating A]],cadangan[[#This Row],[Rating B]],cadangan[[#This Row],[Rating C]])</f>
        <v>3</v>
      </c>
    </row>
    <row r="158" spans="1:44" x14ac:dyDescent="0.2">
      <c r="A158" s="20">
        <v>157</v>
      </c>
      <c r="B158" s="21" t="str">
        <f>_xlfn.CONCAT("ORD-",INDEX(Helper!$B$2:$B$5,MATCH(cadangan[[#This Row],[Marketplace]],Helper!$A$2:$A$5,0)),TEXT(cadangan[[#This Row],[No]],"0000"),"-",TEXT(cadangan[[#This Row],[Tanggal terjual]],"dd/mm/yy"))</f>
        <v>ORD-SP0157-02/04/23</v>
      </c>
      <c r="C158" s="39" t="s">
        <v>67</v>
      </c>
      <c r="D158" s="39" t="str">
        <f>IFERROR(INDEX(Katalog!$A$3:$A$12,MATCH(cadangan[[#This Row],[ItemID A]],Katalog!$C$3:$C$12,0)),"-")</f>
        <v>Sepatu Wanita</v>
      </c>
      <c r="E158" s="39" t="str">
        <f>IFERROR(INDEX(Katalog!$B$3:$B$12,MATCH(cadangan[[#This Row],[ItemID A]],Katalog!$C$3:$C$12,0)),"-")</f>
        <v>Flat Shoes</v>
      </c>
      <c r="F158" s="50">
        <v>4</v>
      </c>
      <c r="G158" s="50">
        <v>2</v>
      </c>
      <c r="H158" s="73">
        <f>IFERROR(INDEX(Katalog!$D$3:$D$12,MATCH(cadangan[[#This Row],[ItemID A]],Katalog!$C$3:$C$12,0))*cadangan[[#This Row],[Qty A]],0)</f>
        <v>1000000</v>
      </c>
      <c r="I158" s="73">
        <f>IFERROR(cadangan[[#This Row],[Harga Normal A]]-(cadangan[[#This Row],[Harga Normal A]]*cadangan[[#This Row],[Diskon]]),cadangan[[#This Row],[Harga Normal A]])</f>
        <v>850000</v>
      </c>
      <c r="J158" s="73">
        <f>INDEX(Katalog!$F$3:$F$12,MATCH(cadangan[[#This Row],[ItemID A]],Katalog!$C$3:$C$12,0))*cadangan[[#This Row],[Qty A]]</f>
        <v>400000</v>
      </c>
      <c r="K158" s="73">
        <f>IFERROR(cadangan[[#This Row],[Harga Diskon A]]-INDEX(Katalog!$E$3:$E$12,MATCH(cadangan[[#This Row],[ItemID A]],Katalog!$C$3:$C$12,0))*cadangan[[#This Row],[Qty A]],0)</f>
        <v>250000</v>
      </c>
      <c r="M158" s="39" t="str">
        <f>IFERROR(INDEX(Katalog!$A$3:$A$12,MATCH(cadangan[[#This Row],[ItemID B]],Katalog!$C$3:$C$12,0)),"-")</f>
        <v>-</v>
      </c>
      <c r="N158" s="39" t="str">
        <f>IFERROR(INDEX(Katalog!$B$3:$B$12,MATCH(cadangan[[#This Row],[ItemID B]],Katalog!$C$3:$C$12,0)),"-")</f>
        <v>-</v>
      </c>
      <c r="Q158" s="73">
        <f>IFERROR(INDEX(Katalog!$D$3:$D$12,MATCH(cadangan[[#This Row],[ItemID B]],Katalog!$C$3:$C$12,0))*cadangan[[#This Row],[Qty B]],0)</f>
        <v>0</v>
      </c>
      <c r="R158" s="73">
        <f>IFERROR(cadangan[[#This Row],[Harga Normal B]]-(cadangan[[#This Row],[Harga Normal B]]*cadangan[[#This Row],[Diskon]]),cadangan[[#This Row],[Harga Normal B]])</f>
        <v>0</v>
      </c>
      <c r="S158" s="73">
        <f>IFERROR(INDEX(Katalog!$F$3:$F$12,MATCH(cadangan[[#This Row],[ItemID B]],Katalog!$C$3:$C$12,0))*cadangan[[#This Row],[Qty B]],0)</f>
        <v>0</v>
      </c>
      <c r="T158" s="73">
        <f>IFERROR(cadangan[[#This Row],[Harga Diskon B]]-INDEX(Katalog!$E$3:$E$12,MATCH(cadangan[[#This Row],[ItemID B]],Katalog!$C$3:$C$12,0))*cadangan[[#This Row],[Qty B]],0)</f>
        <v>0</v>
      </c>
      <c r="V158" s="39" t="str">
        <f>IFERROR(INDEX(Katalog!$A$3:$A$12,MATCH(cadangan[[#This Row],[ItemID C]],Katalog!$C$3:$C$12,0)),"-")</f>
        <v>-</v>
      </c>
      <c r="W158" s="39" t="str">
        <f>IFERROR(INDEX(Katalog!$B$3:$B$12,MATCH(cadangan[[#This Row],[ItemID C]],Katalog!$C$3:$C$12,0)),"-")</f>
        <v>-</v>
      </c>
      <c r="Z158" s="73">
        <f>IFERROR(INDEX(Katalog!$D$3:$D$12,MATCH(cadangan[[#This Row],[ItemID C]],Katalog!$C$3:$C$12,0))*cadangan[[#This Row],[Qty C]],0)</f>
        <v>0</v>
      </c>
      <c r="AA158" s="73">
        <f>IFERROR(cadangan[[#This Row],[Harga Normal C]]-(cadangan[[#This Row],[Harga Normal C]]*cadangan[[#This Row],[Diskon]]),cadangan[[#This Row],[Harga Normal C]])</f>
        <v>0</v>
      </c>
      <c r="AB158" s="73">
        <f>IFERROR(INDEX(Katalog!$F$3:$F$12,MATCH(cadangan[[#This Row],[ItemID C]],Katalog!$C$3:$C$12,0))*cadangan[[#This Row],[Qty C]],0)</f>
        <v>0</v>
      </c>
      <c r="AC158" s="73">
        <f>IFERROR(cadangan[[#This Row],[Harga Diskon C]]-INDEX(Katalog!$E$3:$E$12,MATCH(cadangan[[#This Row],[ItemID C]],Katalog!$C$3:$C$12,0))*cadangan[[#This Row],[Qty C]],0)</f>
        <v>0</v>
      </c>
      <c r="AD158" s="53">
        <f>cadangan[[#This Row],[Qty A]]+cadangan[[#This Row],[Qty B]]+cadangan[[#This Row],[Qty C]]</f>
        <v>4</v>
      </c>
      <c r="AE158" s="73">
        <f>cadangan[[#This Row],[Harga Normal A]]+cadangan[[#This Row],[Harga Normal B]]+cadangan[[#This Row],[Harga Normal C]]</f>
        <v>1000000</v>
      </c>
      <c r="AF158" s="73">
        <f>cadangan[[#This Row],[Harga Diskon A]]+cadangan[[#This Row],[Harga Diskon B]]+cadangan[[#This Row],[Harga Diskon C]]</f>
        <v>850000</v>
      </c>
      <c r="AG158" s="73">
        <f>(cadangan[[#This Row],[Profit Normal A]]+cadangan[[#This Row],[Profit Normal B]]+cadangan[[#This Row],[Profit Normal C]])</f>
        <v>400000</v>
      </c>
      <c r="AH158" s="73">
        <f>cadangan[[#This Row],[Profit Diskon A]]+cadangan[[#This Row],[Profit Diskon B]]+cadangan[[#This Row],[Profit Diskon C]]</f>
        <v>250000</v>
      </c>
      <c r="AI158" s="23" t="s">
        <v>13</v>
      </c>
      <c r="AJ158" s="37">
        <f>IFERROR(INDEX('Kode Diskon'!$D$3:$D$9,MATCH(cadangan[[#This Row],[Kode diskon]],'Kode Diskon'!$C$3:$C$9,0)),"-")</f>
        <v>0.15</v>
      </c>
      <c r="AK158" s="23" t="s">
        <v>29</v>
      </c>
      <c r="AL158" s="23" t="s">
        <v>7</v>
      </c>
      <c r="AM158" s="23" t="s">
        <v>76</v>
      </c>
      <c r="AN158" s="55">
        <v>45018</v>
      </c>
      <c r="AO158" s="53">
        <f>DAY(cadangan[[#This Row],[Tanggal terjual]])</f>
        <v>2</v>
      </c>
      <c r="AP158" s="21" t="str">
        <f>TEXT(cadangan[[#This Row],[Tanggal terjual]],"dddd")</f>
        <v>Sunday</v>
      </c>
      <c r="AQ158" s="23" t="str" cm="1">
        <f t="array" ref="AQ1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8" s="61">
        <f>AVERAGE(cadangan[[#This Row],[Rating A]],cadangan[[#This Row],[Rating B]],cadangan[[#This Row],[Rating C]])</f>
        <v>2</v>
      </c>
    </row>
    <row r="159" spans="1:44" x14ac:dyDescent="0.2">
      <c r="A159" s="20">
        <v>158</v>
      </c>
      <c r="B159" s="21" t="str">
        <f>_xlfn.CONCAT("ORD-",INDEX(Helper!$B$2:$B$5,MATCH(cadangan[[#This Row],[Marketplace]],Helper!$A$2:$A$5,0)),TEXT(cadangan[[#This Row],[No]],"0000"),"-",TEXT(cadangan[[#This Row],[Tanggal terjual]],"dd/mm/yy"))</f>
        <v>ORD-SP0158-06/04/23</v>
      </c>
      <c r="C159" s="39" t="s">
        <v>64</v>
      </c>
      <c r="D159" s="39" t="str">
        <f>IFERROR(INDEX(Katalog!$A$3:$A$12,MATCH(cadangan[[#This Row],[ItemID A]],Katalog!$C$3:$C$12,0)),"-")</f>
        <v>Pakaian Unisex</v>
      </c>
      <c r="E159" s="39" t="str">
        <f>IFERROR(INDEX(Katalog!$B$3:$B$12,MATCH(cadangan[[#This Row],[ItemID A]],Katalog!$C$3:$C$12,0)),"-")</f>
        <v>Jaket Hoodie</v>
      </c>
      <c r="F159" s="50">
        <v>4</v>
      </c>
      <c r="G159" s="50">
        <v>3</v>
      </c>
      <c r="H159" s="73">
        <f>IFERROR(INDEX(Katalog!$D$3:$D$12,MATCH(cadangan[[#This Row],[ItemID A]],Katalog!$C$3:$C$12,0))*cadangan[[#This Row],[Qty A]],0)</f>
        <v>1400000</v>
      </c>
      <c r="I159" s="73">
        <f>IFERROR(cadangan[[#This Row],[Harga Normal A]]-(cadangan[[#This Row],[Harga Normal A]]*cadangan[[#This Row],[Diskon]]),cadangan[[#This Row],[Harga Normal A]])</f>
        <v>1190000</v>
      </c>
      <c r="J159" s="73">
        <f>INDEX(Katalog!$F$3:$F$12,MATCH(cadangan[[#This Row],[ItemID A]],Katalog!$C$3:$C$12,0))*cadangan[[#This Row],[Qty A]]</f>
        <v>520000</v>
      </c>
      <c r="K159" s="73">
        <f>IFERROR(cadangan[[#This Row],[Harga Diskon A]]-INDEX(Katalog!$E$3:$E$12,MATCH(cadangan[[#This Row],[ItemID A]],Katalog!$C$3:$C$12,0))*cadangan[[#This Row],[Qty A]],0)</f>
        <v>310000</v>
      </c>
      <c r="L159" s="39" t="s">
        <v>63</v>
      </c>
      <c r="M159" s="39" t="str">
        <f>IFERROR(INDEX(Katalog!$A$3:$A$12,MATCH(cadangan[[#This Row],[ItemID B]],Katalog!$C$3:$C$12,0)),"-")</f>
        <v>Pakaian Pria</v>
      </c>
      <c r="N159" s="39" t="str">
        <f>IFERROR(INDEX(Katalog!$B$3:$B$12,MATCH(cadangan[[#This Row],[ItemID B]],Katalog!$C$3:$C$12,0)),"-")</f>
        <v>Jaket Jeans</v>
      </c>
      <c r="O159" s="50">
        <v>2</v>
      </c>
      <c r="P159" s="50">
        <v>5</v>
      </c>
      <c r="Q159" s="73">
        <f>IFERROR(INDEX(Katalog!$D$3:$D$12,MATCH(cadangan[[#This Row],[ItemID B]],Katalog!$C$3:$C$12,0))*cadangan[[#This Row],[Qty B]],0)</f>
        <v>800000</v>
      </c>
      <c r="R159" s="73">
        <f>IFERROR(cadangan[[#This Row],[Harga Normal B]]-(cadangan[[#This Row],[Harga Normal B]]*cadangan[[#This Row],[Diskon]]),cadangan[[#This Row],[Harga Normal B]])</f>
        <v>680000</v>
      </c>
      <c r="S159" s="73">
        <f>IFERROR(INDEX(Katalog!$F$3:$F$12,MATCH(cadangan[[#This Row],[ItemID B]],Katalog!$C$3:$C$12,0))*cadangan[[#This Row],[Qty B]],0)</f>
        <v>300000</v>
      </c>
      <c r="T159" s="73">
        <f>IFERROR(cadangan[[#This Row],[Harga Diskon B]]-INDEX(Katalog!$E$3:$E$12,MATCH(cadangan[[#This Row],[ItemID B]],Katalog!$C$3:$C$12,0))*cadangan[[#This Row],[Qty B]],0)</f>
        <v>180000</v>
      </c>
      <c r="V159" s="39" t="str">
        <f>IFERROR(INDEX(Katalog!$A$3:$A$12,MATCH(cadangan[[#This Row],[ItemID C]],Katalog!$C$3:$C$12,0)),"-")</f>
        <v>-</v>
      </c>
      <c r="W159" s="39" t="str">
        <f>IFERROR(INDEX(Katalog!$B$3:$B$12,MATCH(cadangan[[#This Row],[ItemID C]],Katalog!$C$3:$C$12,0)),"-")</f>
        <v>-</v>
      </c>
      <c r="Z159" s="73">
        <f>IFERROR(INDEX(Katalog!$D$3:$D$12,MATCH(cadangan[[#This Row],[ItemID C]],Katalog!$C$3:$C$12,0))*cadangan[[#This Row],[Qty C]],0)</f>
        <v>0</v>
      </c>
      <c r="AA159" s="73">
        <f>IFERROR(cadangan[[#This Row],[Harga Normal C]]-(cadangan[[#This Row],[Harga Normal C]]*cadangan[[#This Row],[Diskon]]),cadangan[[#This Row],[Harga Normal C]])</f>
        <v>0</v>
      </c>
      <c r="AB159" s="73">
        <f>IFERROR(INDEX(Katalog!$F$3:$F$12,MATCH(cadangan[[#This Row],[ItemID C]],Katalog!$C$3:$C$12,0))*cadangan[[#This Row],[Qty C]],0)</f>
        <v>0</v>
      </c>
      <c r="AC159" s="73">
        <f>IFERROR(cadangan[[#This Row],[Harga Diskon C]]-INDEX(Katalog!$E$3:$E$12,MATCH(cadangan[[#This Row],[ItemID C]],Katalog!$C$3:$C$12,0))*cadangan[[#This Row],[Qty C]],0)</f>
        <v>0</v>
      </c>
      <c r="AD159" s="53">
        <f>cadangan[[#This Row],[Qty A]]+cadangan[[#This Row],[Qty B]]+cadangan[[#This Row],[Qty C]]</f>
        <v>6</v>
      </c>
      <c r="AE159" s="73">
        <f>cadangan[[#This Row],[Harga Normal A]]+cadangan[[#This Row],[Harga Normal B]]+cadangan[[#This Row],[Harga Normal C]]</f>
        <v>2200000</v>
      </c>
      <c r="AF159" s="73">
        <f>cadangan[[#This Row],[Harga Diskon A]]+cadangan[[#This Row],[Harga Diskon B]]+cadangan[[#This Row],[Harga Diskon C]]</f>
        <v>1870000</v>
      </c>
      <c r="AG159" s="73">
        <f>(cadangan[[#This Row],[Profit Normal A]]+cadangan[[#This Row],[Profit Normal B]]+cadangan[[#This Row],[Profit Normal C]])</f>
        <v>820000</v>
      </c>
      <c r="AH159" s="73">
        <f>cadangan[[#This Row],[Profit Diskon A]]+cadangan[[#This Row],[Profit Diskon B]]+cadangan[[#This Row],[Profit Diskon C]]</f>
        <v>490000</v>
      </c>
      <c r="AI159" s="23" t="s">
        <v>13</v>
      </c>
      <c r="AJ159" s="37">
        <f>IFERROR(INDEX('Kode Diskon'!$D$3:$D$9,MATCH(cadangan[[#This Row],[Kode diskon]],'Kode Diskon'!$C$3:$C$9,0)),"-")</f>
        <v>0.15</v>
      </c>
      <c r="AK159" s="23" t="s">
        <v>29</v>
      </c>
      <c r="AL159" s="23" t="s">
        <v>7</v>
      </c>
      <c r="AM159" s="23" t="s">
        <v>76</v>
      </c>
      <c r="AN159" s="55">
        <v>45022</v>
      </c>
      <c r="AO159" s="53">
        <f>DAY(cadangan[[#This Row],[Tanggal terjual]])</f>
        <v>6</v>
      </c>
      <c r="AP159" s="21" t="str">
        <f>TEXT(cadangan[[#This Row],[Tanggal terjual]],"dddd")</f>
        <v>Thursday</v>
      </c>
      <c r="AQ159" s="23" t="str" cm="1">
        <f t="array" ref="AQ1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59" s="61">
        <f>AVERAGE(cadangan[[#This Row],[Rating A]],cadangan[[#This Row],[Rating B]],cadangan[[#This Row],[Rating C]])</f>
        <v>4</v>
      </c>
    </row>
    <row r="160" spans="1:44" x14ac:dyDescent="0.2">
      <c r="A160" s="20">
        <v>159</v>
      </c>
      <c r="B160" s="21" t="str">
        <f>_xlfn.CONCAT("ORD-",INDEX(Helper!$B$2:$B$5,MATCH(cadangan[[#This Row],[Marketplace]],Helper!$A$2:$A$5,0)),TEXT(cadangan[[#This Row],[No]],"0000"),"-",TEXT(cadangan[[#This Row],[Tanggal terjual]],"dd/mm/yy"))</f>
        <v>ORD-SP0159-08/04/23</v>
      </c>
      <c r="C160" s="39" t="s">
        <v>60</v>
      </c>
      <c r="D160" s="39" t="str">
        <f>IFERROR(INDEX(Katalog!$A$3:$A$12,MATCH(cadangan[[#This Row],[ItemID A]],Katalog!$C$3:$C$12,0)),"-")</f>
        <v>Pakaian Wanita</v>
      </c>
      <c r="E160" s="39" t="str">
        <f>IFERROR(INDEX(Katalog!$B$3:$B$12,MATCH(cadangan[[#This Row],[ItemID A]],Katalog!$C$3:$C$12,0)),"-")</f>
        <v>Kaftan</v>
      </c>
      <c r="F160" s="50">
        <v>1</v>
      </c>
      <c r="G160" s="50">
        <v>1</v>
      </c>
      <c r="H160" s="73">
        <f>IFERROR(INDEX(Katalog!$D$3:$D$12,MATCH(cadangan[[#This Row],[ItemID A]],Katalog!$C$3:$C$12,0))*cadangan[[#This Row],[Qty A]],0)</f>
        <v>250000</v>
      </c>
      <c r="I160" s="73">
        <f>IFERROR(cadangan[[#This Row],[Harga Normal A]]-(cadangan[[#This Row],[Harga Normal A]]*cadangan[[#This Row],[Diskon]]),cadangan[[#This Row],[Harga Normal A]])</f>
        <v>250000</v>
      </c>
      <c r="J160" s="73">
        <f>INDEX(Katalog!$F$3:$F$12,MATCH(cadangan[[#This Row],[ItemID A]],Katalog!$C$3:$C$12,0))*cadangan[[#This Row],[Qty A]]</f>
        <v>100000</v>
      </c>
      <c r="K160" s="73">
        <f>IFERROR(cadangan[[#This Row],[Harga Diskon A]]-INDEX(Katalog!$E$3:$E$12,MATCH(cadangan[[#This Row],[ItemID A]],Katalog!$C$3:$C$12,0))*cadangan[[#This Row],[Qty A]],0)</f>
        <v>100000</v>
      </c>
      <c r="M160" s="39" t="str">
        <f>IFERROR(INDEX(Katalog!$A$3:$A$12,MATCH(cadangan[[#This Row],[ItemID B]],Katalog!$C$3:$C$12,0)),"-")</f>
        <v>-</v>
      </c>
      <c r="N160" s="39" t="str">
        <f>IFERROR(INDEX(Katalog!$B$3:$B$12,MATCH(cadangan[[#This Row],[ItemID B]],Katalog!$C$3:$C$12,0)),"-")</f>
        <v>-</v>
      </c>
      <c r="Q160" s="73">
        <f>IFERROR(INDEX(Katalog!$D$3:$D$12,MATCH(cadangan[[#This Row],[ItemID B]],Katalog!$C$3:$C$12,0))*cadangan[[#This Row],[Qty B]],0)</f>
        <v>0</v>
      </c>
      <c r="R160" s="73">
        <f>IFERROR(cadangan[[#This Row],[Harga Normal B]]-(cadangan[[#This Row],[Harga Normal B]]*cadangan[[#This Row],[Diskon]]),cadangan[[#This Row],[Harga Normal B]])</f>
        <v>0</v>
      </c>
      <c r="S160" s="73">
        <f>IFERROR(INDEX(Katalog!$F$3:$F$12,MATCH(cadangan[[#This Row],[ItemID B]],Katalog!$C$3:$C$12,0))*cadangan[[#This Row],[Qty B]],0)</f>
        <v>0</v>
      </c>
      <c r="T160" s="73">
        <f>IFERROR(cadangan[[#This Row],[Harga Diskon B]]-INDEX(Katalog!$E$3:$E$12,MATCH(cadangan[[#This Row],[ItemID B]],Katalog!$C$3:$C$12,0))*cadangan[[#This Row],[Qty B]],0)</f>
        <v>0</v>
      </c>
      <c r="V160" s="39" t="str">
        <f>IFERROR(INDEX(Katalog!$A$3:$A$12,MATCH(cadangan[[#This Row],[ItemID C]],Katalog!$C$3:$C$12,0)),"-")</f>
        <v>-</v>
      </c>
      <c r="W160" s="39" t="str">
        <f>IFERROR(INDEX(Katalog!$B$3:$B$12,MATCH(cadangan[[#This Row],[ItemID C]],Katalog!$C$3:$C$12,0)),"-")</f>
        <v>-</v>
      </c>
      <c r="Z160" s="73">
        <f>IFERROR(INDEX(Katalog!$D$3:$D$12,MATCH(cadangan[[#This Row],[ItemID C]],Katalog!$C$3:$C$12,0))*cadangan[[#This Row],[Qty C]],0)</f>
        <v>0</v>
      </c>
      <c r="AA160" s="73">
        <f>IFERROR(cadangan[[#This Row],[Harga Normal C]]-(cadangan[[#This Row],[Harga Normal C]]*cadangan[[#This Row],[Diskon]]),cadangan[[#This Row],[Harga Normal C]])</f>
        <v>0</v>
      </c>
      <c r="AB160" s="73">
        <f>IFERROR(INDEX(Katalog!$F$3:$F$12,MATCH(cadangan[[#This Row],[ItemID C]],Katalog!$C$3:$C$12,0))*cadangan[[#This Row],[Qty C]],0)</f>
        <v>0</v>
      </c>
      <c r="AC160" s="73">
        <f>IFERROR(cadangan[[#This Row],[Harga Diskon C]]-INDEX(Katalog!$E$3:$E$12,MATCH(cadangan[[#This Row],[ItemID C]],Katalog!$C$3:$C$12,0))*cadangan[[#This Row],[Qty C]],0)</f>
        <v>0</v>
      </c>
      <c r="AD160" s="53">
        <f>cadangan[[#This Row],[Qty A]]+cadangan[[#This Row],[Qty B]]+cadangan[[#This Row],[Qty C]]</f>
        <v>1</v>
      </c>
      <c r="AE160" s="73">
        <f>cadangan[[#This Row],[Harga Normal A]]+cadangan[[#This Row],[Harga Normal B]]+cadangan[[#This Row],[Harga Normal C]]</f>
        <v>250000</v>
      </c>
      <c r="AF160" s="73">
        <f>cadangan[[#This Row],[Harga Diskon A]]+cadangan[[#This Row],[Harga Diskon B]]+cadangan[[#This Row],[Harga Diskon C]]</f>
        <v>250000</v>
      </c>
      <c r="AG160" s="73">
        <f>(cadangan[[#This Row],[Profit Normal A]]+cadangan[[#This Row],[Profit Normal B]]+cadangan[[#This Row],[Profit Normal C]])</f>
        <v>100000</v>
      </c>
      <c r="AH160" s="73">
        <f>cadangan[[#This Row],[Profit Diskon A]]+cadangan[[#This Row],[Profit Diskon B]]+cadangan[[#This Row],[Profit Diskon C]]</f>
        <v>100000</v>
      </c>
      <c r="AI160" s="23" t="s">
        <v>290</v>
      </c>
      <c r="AJ160" s="37" t="str">
        <f>IFERROR(INDEX('Kode Diskon'!$D$3:$D$9,MATCH(cadangan[[#This Row],[Kode diskon]],'Kode Diskon'!$C$3:$C$9,0)),"-")</f>
        <v>-</v>
      </c>
      <c r="AK160" s="23" t="s">
        <v>290</v>
      </c>
      <c r="AL160" s="23" t="s">
        <v>7</v>
      </c>
      <c r="AM160" s="23" t="s">
        <v>80</v>
      </c>
      <c r="AN160" s="55">
        <v>45024</v>
      </c>
      <c r="AO160" s="53">
        <f>DAY(cadangan[[#This Row],[Tanggal terjual]])</f>
        <v>8</v>
      </c>
      <c r="AP160" s="21" t="str">
        <f>TEXT(cadangan[[#This Row],[Tanggal terjual]],"dddd")</f>
        <v>Saturday</v>
      </c>
      <c r="AQ160" s="23" t="str" cm="1">
        <f t="array" ref="AQ1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60" s="61">
        <f>AVERAGE(cadangan[[#This Row],[Rating A]],cadangan[[#This Row],[Rating B]],cadangan[[#This Row],[Rating C]])</f>
        <v>1</v>
      </c>
    </row>
    <row r="161" spans="1:44" x14ac:dyDescent="0.2">
      <c r="A161" s="20">
        <v>160</v>
      </c>
      <c r="B161" s="21" t="str">
        <f>_xlfn.CONCAT("ORD-",INDEX(Helper!$B$2:$B$5,MATCH(cadangan[[#This Row],[Marketplace]],Helper!$A$2:$A$5,0)),TEXT(cadangan[[#This Row],[No]],"0000"),"-",TEXT(cadangan[[#This Row],[Tanggal terjual]],"dd/mm/yy"))</f>
        <v>ORD-SP0160-08/04/23</v>
      </c>
      <c r="C161" s="39" t="s">
        <v>58</v>
      </c>
      <c r="D161" s="39" t="str">
        <f>IFERROR(INDEX(Katalog!$A$3:$A$12,MATCH(cadangan[[#This Row],[ItemID A]],Katalog!$C$3:$C$12,0)),"-")</f>
        <v>Pakaian Wanita</v>
      </c>
      <c r="E161" s="39" t="str">
        <f>IFERROR(INDEX(Katalog!$B$3:$B$12,MATCH(cadangan[[#This Row],[ItemID A]],Katalog!$C$3:$C$12,0)),"-")</f>
        <v>Dress</v>
      </c>
      <c r="F161" s="50">
        <v>1</v>
      </c>
      <c r="G161" s="50">
        <v>4</v>
      </c>
      <c r="H161" s="73">
        <f>IFERROR(INDEX(Katalog!$D$3:$D$12,MATCH(cadangan[[#This Row],[ItemID A]],Katalog!$C$3:$C$12,0))*cadangan[[#This Row],[Qty A]],0)</f>
        <v>300000</v>
      </c>
      <c r="I161" s="73">
        <f>IFERROR(cadangan[[#This Row],[Harga Normal A]]-(cadangan[[#This Row],[Harga Normal A]]*cadangan[[#This Row],[Diskon]]),cadangan[[#This Row],[Harga Normal A]])</f>
        <v>300000</v>
      </c>
      <c r="J161" s="73">
        <f>INDEX(Katalog!$F$3:$F$12,MATCH(cadangan[[#This Row],[ItemID A]],Katalog!$C$3:$C$12,0))*cadangan[[#This Row],[Qty A]]</f>
        <v>100000</v>
      </c>
      <c r="K161" s="73">
        <f>IFERROR(cadangan[[#This Row],[Harga Diskon A]]-INDEX(Katalog!$E$3:$E$12,MATCH(cadangan[[#This Row],[ItemID A]],Katalog!$C$3:$C$12,0))*cadangan[[#This Row],[Qty A]],0)</f>
        <v>100000</v>
      </c>
      <c r="L161" s="39" t="s">
        <v>61</v>
      </c>
      <c r="M161" s="39" t="str">
        <f>IFERROR(INDEX(Katalog!$A$3:$A$12,MATCH(cadangan[[#This Row],[ItemID B]],Katalog!$C$3:$C$12,0)),"-")</f>
        <v>Pakaian Pria</v>
      </c>
      <c r="N161" s="39" t="str">
        <f>IFERROR(INDEX(Katalog!$B$3:$B$12,MATCH(cadangan[[#This Row],[ItemID B]],Katalog!$C$3:$C$12,0)),"-")</f>
        <v>Kaos Polo</v>
      </c>
      <c r="O161" s="50">
        <v>2</v>
      </c>
      <c r="P161" s="50">
        <v>3</v>
      </c>
      <c r="Q161" s="73">
        <f>IFERROR(INDEX(Katalog!$D$3:$D$12,MATCH(cadangan[[#This Row],[ItemID B]],Katalog!$C$3:$C$12,0))*cadangan[[#This Row],[Qty B]],0)</f>
        <v>400000</v>
      </c>
      <c r="R161" s="73">
        <f>IFERROR(cadangan[[#This Row],[Harga Normal B]]-(cadangan[[#This Row],[Harga Normal B]]*cadangan[[#This Row],[Diskon]]),cadangan[[#This Row],[Harga Normal B]])</f>
        <v>400000</v>
      </c>
      <c r="S161" s="73">
        <f>IFERROR(INDEX(Katalog!$F$3:$F$12,MATCH(cadangan[[#This Row],[ItemID B]],Katalog!$C$3:$C$12,0))*cadangan[[#This Row],[Qty B]],0)</f>
        <v>160000</v>
      </c>
      <c r="T161" s="73">
        <f>IFERROR(cadangan[[#This Row],[Harga Diskon B]]-INDEX(Katalog!$E$3:$E$12,MATCH(cadangan[[#This Row],[ItemID B]],Katalog!$C$3:$C$12,0))*cadangan[[#This Row],[Qty B]],0)</f>
        <v>160000</v>
      </c>
      <c r="U161" s="39" t="s">
        <v>66</v>
      </c>
      <c r="V161" s="39" t="str">
        <f>IFERROR(INDEX(Katalog!$A$3:$A$12,MATCH(cadangan[[#This Row],[ItemID C]],Katalog!$C$3:$C$12,0)),"-")</f>
        <v>Sepatu Pria</v>
      </c>
      <c r="W161" s="39" t="str">
        <f>IFERROR(INDEX(Katalog!$B$3:$B$12,MATCH(cadangan[[#This Row],[ItemID C]],Katalog!$C$3:$C$12,0)),"-")</f>
        <v>Sandal Slip On</v>
      </c>
      <c r="X161" s="50">
        <v>2</v>
      </c>
      <c r="Y161" s="50">
        <v>1</v>
      </c>
      <c r="Z161" s="73">
        <f>IFERROR(INDEX(Katalog!$D$3:$D$12,MATCH(cadangan[[#This Row],[ItemID C]],Katalog!$C$3:$C$12,0))*cadangan[[#This Row],[Qty C]],0)</f>
        <v>300000</v>
      </c>
      <c r="AA161" s="73">
        <f>IFERROR(cadangan[[#This Row],[Harga Normal C]]-(cadangan[[#This Row],[Harga Normal C]]*cadangan[[#This Row],[Diskon]]),cadangan[[#This Row],[Harga Normal C]])</f>
        <v>300000</v>
      </c>
      <c r="AB161" s="73">
        <f>IFERROR(INDEX(Katalog!$F$3:$F$12,MATCH(cadangan[[#This Row],[ItemID C]],Katalog!$C$3:$C$12,0))*cadangan[[#This Row],[Qty C]],0)</f>
        <v>120000</v>
      </c>
      <c r="AC161" s="73">
        <f>IFERROR(cadangan[[#This Row],[Harga Diskon C]]-INDEX(Katalog!$E$3:$E$12,MATCH(cadangan[[#This Row],[ItemID C]],Katalog!$C$3:$C$12,0))*cadangan[[#This Row],[Qty C]],0)</f>
        <v>120000</v>
      </c>
      <c r="AD161" s="53">
        <f>cadangan[[#This Row],[Qty A]]+cadangan[[#This Row],[Qty B]]+cadangan[[#This Row],[Qty C]]</f>
        <v>5</v>
      </c>
      <c r="AE161" s="73">
        <f>cadangan[[#This Row],[Harga Normal A]]+cadangan[[#This Row],[Harga Normal B]]+cadangan[[#This Row],[Harga Normal C]]</f>
        <v>1000000</v>
      </c>
      <c r="AF161" s="73">
        <f>cadangan[[#This Row],[Harga Diskon A]]+cadangan[[#This Row],[Harga Diskon B]]+cadangan[[#This Row],[Harga Diskon C]]</f>
        <v>1000000</v>
      </c>
      <c r="AG161" s="73">
        <f>(cadangan[[#This Row],[Profit Normal A]]+cadangan[[#This Row],[Profit Normal B]]+cadangan[[#This Row],[Profit Normal C]])</f>
        <v>380000</v>
      </c>
      <c r="AH161" s="73">
        <f>cadangan[[#This Row],[Profit Diskon A]]+cadangan[[#This Row],[Profit Diskon B]]+cadangan[[#This Row],[Profit Diskon C]]</f>
        <v>380000</v>
      </c>
      <c r="AI161" s="23" t="s">
        <v>290</v>
      </c>
      <c r="AJ161" s="37" t="str">
        <f>IFERROR(INDEX('Kode Diskon'!$D$3:$D$9,MATCH(cadangan[[#This Row],[Kode diskon]],'Kode Diskon'!$C$3:$C$9,0)),"-")</f>
        <v>-</v>
      </c>
      <c r="AK161" s="23" t="s">
        <v>290</v>
      </c>
      <c r="AL161" s="23" t="s">
        <v>7</v>
      </c>
      <c r="AM161" s="23" t="s">
        <v>80</v>
      </c>
      <c r="AN161" s="55">
        <v>45024</v>
      </c>
      <c r="AO161" s="53">
        <f>DAY(cadangan[[#This Row],[Tanggal terjual]])</f>
        <v>8</v>
      </c>
      <c r="AP161" s="21" t="str">
        <f>TEXT(cadangan[[#This Row],[Tanggal terjual]],"dddd")</f>
        <v>Saturday</v>
      </c>
      <c r="AQ161" s="23" t="str" cm="1">
        <f t="array" ref="AQ1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61" s="61">
        <f>AVERAGE(cadangan[[#This Row],[Rating A]],cadangan[[#This Row],[Rating B]],cadangan[[#This Row],[Rating C]])</f>
        <v>2.6666666666666665</v>
      </c>
    </row>
    <row r="162" spans="1:44" x14ac:dyDescent="0.2">
      <c r="A162" s="20">
        <v>161</v>
      </c>
      <c r="B162" s="21" t="str">
        <f>_xlfn.CONCAT("ORD-",INDEX(Helper!$B$2:$B$5,MATCH(cadangan[[#This Row],[Marketplace]],Helper!$A$2:$A$5,0)),TEXT(cadangan[[#This Row],[No]],"0000"),"-",TEXT(cadangan[[#This Row],[Tanggal terjual]],"dd/mm/yy"))</f>
        <v>ORD-SP0161-17/04/23</v>
      </c>
      <c r="C162" s="39" t="s">
        <v>63</v>
      </c>
      <c r="D162" s="39" t="str">
        <f>IFERROR(INDEX(Katalog!$A$3:$A$12,MATCH(cadangan[[#This Row],[ItemID A]],Katalog!$C$3:$C$12,0)),"-")</f>
        <v>Pakaian Pria</v>
      </c>
      <c r="E162" s="39" t="str">
        <f>IFERROR(INDEX(Katalog!$B$3:$B$12,MATCH(cadangan[[#This Row],[ItemID A]],Katalog!$C$3:$C$12,0)),"-")</f>
        <v>Jaket Jeans</v>
      </c>
      <c r="F162" s="50">
        <v>3</v>
      </c>
      <c r="G162" s="50">
        <v>2</v>
      </c>
      <c r="H162" s="73">
        <f>IFERROR(INDEX(Katalog!$D$3:$D$12,MATCH(cadangan[[#This Row],[ItemID A]],Katalog!$C$3:$C$12,0))*cadangan[[#This Row],[Qty A]],0)</f>
        <v>1200000</v>
      </c>
      <c r="I162" s="73">
        <f>IFERROR(cadangan[[#This Row],[Harga Normal A]]-(cadangan[[#This Row],[Harga Normal A]]*cadangan[[#This Row],[Diskon]]),cadangan[[#This Row],[Harga Normal A]])</f>
        <v>960000</v>
      </c>
      <c r="J162" s="73">
        <f>INDEX(Katalog!$F$3:$F$12,MATCH(cadangan[[#This Row],[ItemID A]],Katalog!$C$3:$C$12,0))*cadangan[[#This Row],[Qty A]]</f>
        <v>450000</v>
      </c>
      <c r="K162" s="73">
        <f>IFERROR(cadangan[[#This Row],[Harga Diskon A]]-INDEX(Katalog!$E$3:$E$12,MATCH(cadangan[[#This Row],[ItemID A]],Katalog!$C$3:$C$12,0))*cadangan[[#This Row],[Qty A]],0)</f>
        <v>210000</v>
      </c>
      <c r="L162" s="39" t="s">
        <v>67</v>
      </c>
      <c r="M162" s="39" t="str">
        <f>IFERROR(INDEX(Katalog!$A$3:$A$12,MATCH(cadangan[[#This Row],[ItemID B]],Katalog!$C$3:$C$12,0)),"-")</f>
        <v>Sepatu Wanita</v>
      </c>
      <c r="N162" s="39" t="str">
        <f>IFERROR(INDEX(Katalog!$B$3:$B$12,MATCH(cadangan[[#This Row],[ItemID B]],Katalog!$C$3:$C$12,0)),"-")</f>
        <v>Flat Shoes</v>
      </c>
      <c r="O162" s="50">
        <v>1</v>
      </c>
      <c r="P162" s="50">
        <v>5</v>
      </c>
      <c r="Q162" s="73">
        <f>IFERROR(INDEX(Katalog!$D$3:$D$12,MATCH(cadangan[[#This Row],[ItemID B]],Katalog!$C$3:$C$12,0))*cadangan[[#This Row],[Qty B]],0)</f>
        <v>250000</v>
      </c>
      <c r="R162" s="73">
        <f>IFERROR(cadangan[[#This Row],[Harga Normal B]]-(cadangan[[#This Row],[Harga Normal B]]*cadangan[[#This Row],[Diskon]]),cadangan[[#This Row],[Harga Normal B]])</f>
        <v>200000</v>
      </c>
      <c r="S162" s="73">
        <f>IFERROR(INDEX(Katalog!$F$3:$F$12,MATCH(cadangan[[#This Row],[ItemID B]],Katalog!$C$3:$C$12,0))*cadangan[[#This Row],[Qty B]],0)</f>
        <v>100000</v>
      </c>
      <c r="T162" s="73">
        <f>IFERROR(cadangan[[#This Row],[Harga Diskon B]]-INDEX(Katalog!$E$3:$E$12,MATCH(cadangan[[#This Row],[ItemID B]],Katalog!$C$3:$C$12,0))*cadangan[[#This Row],[Qty B]],0)</f>
        <v>50000</v>
      </c>
      <c r="V162" s="39" t="str">
        <f>IFERROR(INDEX(Katalog!$A$3:$A$12,MATCH(cadangan[[#This Row],[ItemID C]],Katalog!$C$3:$C$12,0)),"-")</f>
        <v>-</v>
      </c>
      <c r="W162" s="39" t="str">
        <f>IFERROR(INDEX(Katalog!$B$3:$B$12,MATCH(cadangan[[#This Row],[ItemID C]],Katalog!$C$3:$C$12,0)),"-")</f>
        <v>-</v>
      </c>
      <c r="Z162" s="73">
        <f>IFERROR(INDEX(Katalog!$D$3:$D$12,MATCH(cadangan[[#This Row],[ItemID C]],Katalog!$C$3:$C$12,0))*cadangan[[#This Row],[Qty C]],0)</f>
        <v>0</v>
      </c>
      <c r="AA162" s="73">
        <f>IFERROR(cadangan[[#This Row],[Harga Normal C]]-(cadangan[[#This Row],[Harga Normal C]]*cadangan[[#This Row],[Diskon]]),cadangan[[#This Row],[Harga Normal C]])</f>
        <v>0</v>
      </c>
      <c r="AB162" s="73">
        <f>IFERROR(INDEX(Katalog!$F$3:$F$12,MATCH(cadangan[[#This Row],[ItemID C]],Katalog!$C$3:$C$12,0))*cadangan[[#This Row],[Qty C]],0)</f>
        <v>0</v>
      </c>
      <c r="AC162" s="73">
        <f>IFERROR(cadangan[[#This Row],[Harga Diskon C]]-INDEX(Katalog!$E$3:$E$12,MATCH(cadangan[[#This Row],[ItemID C]],Katalog!$C$3:$C$12,0))*cadangan[[#This Row],[Qty C]],0)</f>
        <v>0</v>
      </c>
      <c r="AD162" s="53">
        <f>cadangan[[#This Row],[Qty A]]+cadangan[[#This Row],[Qty B]]+cadangan[[#This Row],[Qty C]]</f>
        <v>4</v>
      </c>
      <c r="AE162" s="73">
        <f>cadangan[[#This Row],[Harga Normal A]]+cadangan[[#This Row],[Harga Normal B]]+cadangan[[#This Row],[Harga Normal C]]</f>
        <v>1450000</v>
      </c>
      <c r="AF162" s="73">
        <f>cadangan[[#This Row],[Harga Diskon A]]+cadangan[[#This Row],[Harga Diskon B]]+cadangan[[#This Row],[Harga Diskon C]]</f>
        <v>1160000</v>
      </c>
      <c r="AG162" s="73">
        <f>(cadangan[[#This Row],[Profit Normal A]]+cadangan[[#This Row],[Profit Normal B]]+cadangan[[#This Row],[Profit Normal C]])</f>
        <v>550000</v>
      </c>
      <c r="AH162" s="73">
        <f>cadangan[[#This Row],[Profit Diskon A]]+cadangan[[#This Row],[Profit Diskon B]]+cadangan[[#This Row],[Profit Diskon C]]</f>
        <v>260000</v>
      </c>
      <c r="AI162" s="23" t="s">
        <v>8</v>
      </c>
      <c r="AJ162" s="37">
        <f>IFERROR(INDEX('Kode Diskon'!$D$3:$D$9,MATCH(cadangan[[#This Row],[Kode diskon]],'Kode Diskon'!$C$3:$C$9,0)),"-")</f>
        <v>0.2</v>
      </c>
      <c r="AK162" s="23" t="s">
        <v>9</v>
      </c>
      <c r="AL162" s="23" t="s">
        <v>7</v>
      </c>
      <c r="AM162" s="23" t="s">
        <v>76</v>
      </c>
      <c r="AN162" s="55">
        <v>45033</v>
      </c>
      <c r="AO162" s="53">
        <f>DAY(cadangan[[#This Row],[Tanggal terjual]])</f>
        <v>17</v>
      </c>
      <c r="AP162" s="21" t="str">
        <f>TEXT(cadangan[[#This Row],[Tanggal terjual]],"dddd")</f>
        <v>Monday</v>
      </c>
      <c r="AQ162" s="23" t="str" cm="1">
        <f t="array" ref="AQ1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62" s="61">
        <f>AVERAGE(cadangan[[#This Row],[Rating A]],cadangan[[#This Row],[Rating B]],cadangan[[#This Row],[Rating C]])</f>
        <v>3.5</v>
      </c>
    </row>
    <row r="163" spans="1:44" x14ac:dyDescent="0.2">
      <c r="A163" s="20">
        <v>162</v>
      </c>
      <c r="B163" s="21" t="str">
        <f>_xlfn.CONCAT("ORD-",INDEX(Helper!$B$2:$B$5,MATCH(cadangan[[#This Row],[Marketplace]],Helper!$A$2:$A$5,0)),TEXT(cadangan[[#This Row],[No]],"0000"),"-",TEXT(cadangan[[#This Row],[Tanggal terjual]],"dd/mm/yy"))</f>
        <v>ORD-SP0162-02/04/23</v>
      </c>
      <c r="C163" s="39" t="s">
        <v>64</v>
      </c>
      <c r="D163" s="39" t="str">
        <f>IFERROR(INDEX(Katalog!$A$3:$A$12,MATCH(cadangan[[#This Row],[ItemID A]],Katalog!$C$3:$C$12,0)),"-")</f>
        <v>Pakaian Unisex</v>
      </c>
      <c r="E163" s="39" t="str">
        <f>IFERROR(INDEX(Katalog!$B$3:$B$12,MATCH(cadangan[[#This Row],[ItemID A]],Katalog!$C$3:$C$12,0)),"-")</f>
        <v>Jaket Hoodie</v>
      </c>
      <c r="F163" s="50">
        <v>2</v>
      </c>
      <c r="G163" s="50">
        <v>3</v>
      </c>
      <c r="H163" s="73">
        <f>IFERROR(INDEX(Katalog!$D$3:$D$12,MATCH(cadangan[[#This Row],[ItemID A]],Katalog!$C$3:$C$12,0))*cadangan[[#This Row],[Qty A]],0)</f>
        <v>700000</v>
      </c>
      <c r="I163" s="73">
        <f>IFERROR(cadangan[[#This Row],[Harga Normal A]]-(cadangan[[#This Row],[Harga Normal A]]*cadangan[[#This Row],[Diskon]]),cadangan[[#This Row],[Harga Normal A]])</f>
        <v>630000</v>
      </c>
      <c r="J163" s="73">
        <f>INDEX(Katalog!$F$3:$F$12,MATCH(cadangan[[#This Row],[ItemID A]],Katalog!$C$3:$C$12,0))*cadangan[[#This Row],[Qty A]]</f>
        <v>260000</v>
      </c>
      <c r="K163" s="73">
        <f>IFERROR(cadangan[[#This Row],[Harga Diskon A]]-INDEX(Katalog!$E$3:$E$12,MATCH(cadangan[[#This Row],[ItemID A]],Katalog!$C$3:$C$12,0))*cadangan[[#This Row],[Qty A]],0)</f>
        <v>190000</v>
      </c>
      <c r="L163" s="39" t="s">
        <v>64</v>
      </c>
      <c r="M163" s="39" t="str">
        <f>IFERROR(INDEX(Katalog!$A$3:$A$12,MATCH(cadangan[[#This Row],[ItemID B]],Katalog!$C$3:$C$12,0)),"-")</f>
        <v>Pakaian Unisex</v>
      </c>
      <c r="N163" s="39" t="str">
        <f>IFERROR(INDEX(Katalog!$B$3:$B$12,MATCH(cadangan[[#This Row],[ItemID B]],Katalog!$C$3:$C$12,0)),"-")</f>
        <v>Jaket Hoodie</v>
      </c>
      <c r="O163" s="50">
        <v>2</v>
      </c>
      <c r="P163" s="50">
        <v>1</v>
      </c>
      <c r="Q163" s="73">
        <f>IFERROR(INDEX(Katalog!$D$3:$D$12,MATCH(cadangan[[#This Row],[ItemID B]],Katalog!$C$3:$C$12,0))*cadangan[[#This Row],[Qty B]],0)</f>
        <v>700000</v>
      </c>
      <c r="R163" s="73">
        <f>IFERROR(cadangan[[#This Row],[Harga Normal B]]-(cadangan[[#This Row],[Harga Normal B]]*cadangan[[#This Row],[Diskon]]),cadangan[[#This Row],[Harga Normal B]])</f>
        <v>630000</v>
      </c>
      <c r="S163" s="73">
        <f>IFERROR(INDEX(Katalog!$F$3:$F$12,MATCH(cadangan[[#This Row],[ItemID B]],Katalog!$C$3:$C$12,0))*cadangan[[#This Row],[Qty B]],0)</f>
        <v>260000</v>
      </c>
      <c r="T163" s="73">
        <f>IFERROR(cadangan[[#This Row],[Harga Diskon B]]-INDEX(Katalog!$E$3:$E$12,MATCH(cadangan[[#This Row],[ItemID B]],Katalog!$C$3:$C$12,0))*cadangan[[#This Row],[Qty B]],0)</f>
        <v>190000</v>
      </c>
      <c r="U163" s="39" t="s">
        <v>64</v>
      </c>
      <c r="V163" s="39" t="str">
        <f>IFERROR(INDEX(Katalog!$A$3:$A$12,MATCH(cadangan[[#This Row],[ItemID C]],Katalog!$C$3:$C$12,0)),"-")</f>
        <v>Pakaian Unisex</v>
      </c>
      <c r="W163" s="39" t="str">
        <f>IFERROR(INDEX(Katalog!$B$3:$B$12,MATCH(cadangan[[#This Row],[ItemID C]],Katalog!$C$3:$C$12,0)),"-")</f>
        <v>Jaket Hoodie</v>
      </c>
      <c r="X163" s="50">
        <v>2</v>
      </c>
      <c r="Y163" s="50">
        <v>4</v>
      </c>
      <c r="Z163" s="73">
        <f>IFERROR(INDEX(Katalog!$D$3:$D$12,MATCH(cadangan[[#This Row],[ItemID C]],Katalog!$C$3:$C$12,0))*cadangan[[#This Row],[Qty C]],0)</f>
        <v>700000</v>
      </c>
      <c r="AA163" s="73">
        <f>IFERROR(cadangan[[#This Row],[Harga Normal C]]-(cadangan[[#This Row],[Harga Normal C]]*cadangan[[#This Row],[Diskon]]),cadangan[[#This Row],[Harga Normal C]])</f>
        <v>630000</v>
      </c>
      <c r="AB163" s="73">
        <f>IFERROR(INDEX(Katalog!$F$3:$F$12,MATCH(cadangan[[#This Row],[ItemID C]],Katalog!$C$3:$C$12,0))*cadangan[[#This Row],[Qty C]],0)</f>
        <v>260000</v>
      </c>
      <c r="AC163" s="73">
        <f>IFERROR(cadangan[[#This Row],[Harga Diskon C]]-INDEX(Katalog!$E$3:$E$12,MATCH(cadangan[[#This Row],[ItemID C]],Katalog!$C$3:$C$12,0))*cadangan[[#This Row],[Qty C]],0)</f>
        <v>190000</v>
      </c>
      <c r="AD163" s="53">
        <f>cadangan[[#This Row],[Qty A]]+cadangan[[#This Row],[Qty B]]+cadangan[[#This Row],[Qty C]]</f>
        <v>6</v>
      </c>
      <c r="AE163" s="73">
        <f>cadangan[[#This Row],[Harga Normal A]]+cadangan[[#This Row],[Harga Normal B]]+cadangan[[#This Row],[Harga Normal C]]</f>
        <v>2100000</v>
      </c>
      <c r="AF163" s="73">
        <f>cadangan[[#This Row],[Harga Diskon A]]+cadangan[[#This Row],[Harga Diskon B]]+cadangan[[#This Row],[Harga Diskon C]]</f>
        <v>1890000</v>
      </c>
      <c r="AG163" s="73">
        <f>(cadangan[[#This Row],[Profit Normal A]]+cadangan[[#This Row],[Profit Normal B]]+cadangan[[#This Row],[Profit Normal C]])</f>
        <v>780000</v>
      </c>
      <c r="AH163" s="73">
        <f>cadangan[[#This Row],[Profit Diskon A]]+cadangan[[#This Row],[Profit Diskon B]]+cadangan[[#This Row],[Profit Diskon C]]</f>
        <v>570000</v>
      </c>
      <c r="AI163" s="23" t="s">
        <v>6</v>
      </c>
      <c r="AJ163" s="37">
        <f>IFERROR(INDEX('Kode Diskon'!$D$3:$D$9,MATCH(cadangan[[#This Row],[Kode diskon]],'Kode Diskon'!$C$3:$C$9,0)),"-")</f>
        <v>0.1</v>
      </c>
      <c r="AK163" s="23" t="s">
        <v>29</v>
      </c>
      <c r="AL163" s="23" t="s">
        <v>7</v>
      </c>
      <c r="AM163" s="23" t="s">
        <v>78</v>
      </c>
      <c r="AN163" s="55">
        <v>45018</v>
      </c>
      <c r="AO163" s="53">
        <f>DAY(cadangan[[#This Row],[Tanggal terjual]])</f>
        <v>2</v>
      </c>
      <c r="AP163" s="21" t="str">
        <f>TEXT(cadangan[[#This Row],[Tanggal terjual]],"dddd")</f>
        <v>Sunday</v>
      </c>
      <c r="AQ163" s="23" t="str" cm="1">
        <f t="array" ref="AQ1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63" s="61">
        <f>AVERAGE(cadangan[[#This Row],[Rating A]],cadangan[[#This Row],[Rating B]],cadangan[[#This Row],[Rating C]])</f>
        <v>2.6666666666666665</v>
      </c>
    </row>
    <row r="164" spans="1:44" x14ac:dyDescent="0.2">
      <c r="A164" s="20">
        <v>163</v>
      </c>
      <c r="B164" s="21" t="str">
        <f>_xlfn.CONCAT("ORD-",INDEX(Helper!$B$2:$B$5,MATCH(cadangan[[#This Row],[Marketplace]],Helper!$A$2:$A$5,0)),TEXT(cadangan[[#This Row],[No]],"0000"),"-",TEXT(cadangan[[#This Row],[Tanggal terjual]],"dd/mm/yy"))</f>
        <v>ORD-BL0163-19/04/23</v>
      </c>
      <c r="C164" s="39" t="s">
        <v>61</v>
      </c>
      <c r="D164" s="39" t="str">
        <f>IFERROR(INDEX(Katalog!$A$3:$A$12,MATCH(cadangan[[#This Row],[ItemID A]],Katalog!$C$3:$C$12,0)),"-")</f>
        <v>Pakaian Pria</v>
      </c>
      <c r="E164" s="39" t="str">
        <f>IFERROR(INDEX(Katalog!$B$3:$B$12,MATCH(cadangan[[#This Row],[ItemID A]],Katalog!$C$3:$C$12,0)),"-")</f>
        <v>Kaos Polo</v>
      </c>
      <c r="F164" s="50">
        <v>2</v>
      </c>
      <c r="G164" s="50">
        <v>3</v>
      </c>
      <c r="H164" s="73">
        <f>IFERROR(INDEX(Katalog!$D$3:$D$12,MATCH(cadangan[[#This Row],[ItemID A]],Katalog!$C$3:$C$12,0))*cadangan[[#This Row],[Qty A]],0)</f>
        <v>400000</v>
      </c>
      <c r="I164" s="73">
        <f>IFERROR(cadangan[[#This Row],[Harga Normal A]]-(cadangan[[#This Row],[Harga Normal A]]*cadangan[[#This Row],[Diskon]]),cadangan[[#This Row],[Harga Normal A]])</f>
        <v>340000</v>
      </c>
      <c r="J164" s="73">
        <f>INDEX(Katalog!$F$3:$F$12,MATCH(cadangan[[#This Row],[ItemID A]],Katalog!$C$3:$C$12,0))*cadangan[[#This Row],[Qty A]]</f>
        <v>160000</v>
      </c>
      <c r="K164" s="73">
        <f>IFERROR(cadangan[[#This Row],[Harga Diskon A]]-INDEX(Katalog!$E$3:$E$12,MATCH(cadangan[[#This Row],[ItemID A]],Katalog!$C$3:$C$12,0))*cadangan[[#This Row],[Qty A]],0)</f>
        <v>100000</v>
      </c>
      <c r="L164" s="39" t="s">
        <v>66</v>
      </c>
      <c r="M164" s="39" t="str">
        <f>IFERROR(INDEX(Katalog!$A$3:$A$12,MATCH(cadangan[[#This Row],[ItemID B]],Katalog!$C$3:$C$12,0)),"-")</f>
        <v>Sepatu Pria</v>
      </c>
      <c r="N164" s="39" t="str">
        <f>IFERROR(INDEX(Katalog!$B$3:$B$12,MATCH(cadangan[[#This Row],[ItemID B]],Katalog!$C$3:$C$12,0)),"-")</f>
        <v>Sandal Slip On</v>
      </c>
      <c r="O164" s="50">
        <v>1</v>
      </c>
      <c r="P164" s="50">
        <v>2</v>
      </c>
      <c r="Q164" s="73">
        <f>IFERROR(INDEX(Katalog!$D$3:$D$12,MATCH(cadangan[[#This Row],[ItemID B]],Katalog!$C$3:$C$12,0))*cadangan[[#This Row],[Qty B]],0)</f>
        <v>150000</v>
      </c>
      <c r="R164" s="73">
        <f>IFERROR(cadangan[[#This Row],[Harga Normal B]]-(cadangan[[#This Row],[Harga Normal B]]*cadangan[[#This Row],[Diskon]]),cadangan[[#This Row],[Harga Normal B]])</f>
        <v>127500</v>
      </c>
      <c r="S164" s="73">
        <f>IFERROR(INDEX(Katalog!$F$3:$F$12,MATCH(cadangan[[#This Row],[ItemID B]],Katalog!$C$3:$C$12,0))*cadangan[[#This Row],[Qty B]],0)</f>
        <v>60000</v>
      </c>
      <c r="T164" s="73">
        <f>IFERROR(cadangan[[#This Row],[Harga Diskon B]]-INDEX(Katalog!$E$3:$E$12,MATCH(cadangan[[#This Row],[ItemID B]],Katalog!$C$3:$C$12,0))*cadangan[[#This Row],[Qty B]],0)</f>
        <v>37500</v>
      </c>
      <c r="U164" s="39" t="s">
        <v>64</v>
      </c>
      <c r="V164" s="39" t="str">
        <f>IFERROR(INDEX(Katalog!$A$3:$A$12,MATCH(cadangan[[#This Row],[ItemID C]],Katalog!$C$3:$C$12,0)),"-")</f>
        <v>Pakaian Unisex</v>
      </c>
      <c r="W164" s="39" t="str">
        <f>IFERROR(INDEX(Katalog!$B$3:$B$12,MATCH(cadangan[[#This Row],[ItemID C]],Katalog!$C$3:$C$12,0)),"-")</f>
        <v>Jaket Hoodie</v>
      </c>
      <c r="X164" s="50">
        <v>1</v>
      </c>
      <c r="Y164" s="50">
        <v>1</v>
      </c>
      <c r="Z164" s="73">
        <f>IFERROR(INDEX(Katalog!$D$3:$D$12,MATCH(cadangan[[#This Row],[ItemID C]],Katalog!$C$3:$C$12,0))*cadangan[[#This Row],[Qty C]],0)</f>
        <v>350000</v>
      </c>
      <c r="AA164" s="73">
        <f>IFERROR(cadangan[[#This Row],[Harga Normal C]]-(cadangan[[#This Row],[Harga Normal C]]*cadangan[[#This Row],[Diskon]]),cadangan[[#This Row],[Harga Normal C]])</f>
        <v>297500</v>
      </c>
      <c r="AB164" s="73">
        <f>IFERROR(INDEX(Katalog!$F$3:$F$12,MATCH(cadangan[[#This Row],[ItemID C]],Katalog!$C$3:$C$12,0))*cadangan[[#This Row],[Qty C]],0)</f>
        <v>130000</v>
      </c>
      <c r="AC164" s="73">
        <f>IFERROR(cadangan[[#This Row],[Harga Diskon C]]-INDEX(Katalog!$E$3:$E$12,MATCH(cadangan[[#This Row],[ItemID C]],Katalog!$C$3:$C$12,0))*cadangan[[#This Row],[Qty C]],0)</f>
        <v>77500</v>
      </c>
      <c r="AD164" s="53">
        <f>cadangan[[#This Row],[Qty A]]+cadangan[[#This Row],[Qty B]]+cadangan[[#This Row],[Qty C]]</f>
        <v>4</v>
      </c>
      <c r="AE164" s="73">
        <f>cadangan[[#This Row],[Harga Normal A]]+cadangan[[#This Row],[Harga Normal B]]+cadangan[[#This Row],[Harga Normal C]]</f>
        <v>900000</v>
      </c>
      <c r="AF164" s="73">
        <f>cadangan[[#This Row],[Harga Diskon A]]+cadangan[[#This Row],[Harga Diskon B]]+cadangan[[#This Row],[Harga Diskon C]]</f>
        <v>765000</v>
      </c>
      <c r="AG164" s="73">
        <f>(cadangan[[#This Row],[Profit Normal A]]+cadangan[[#This Row],[Profit Normal B]]+cadangan[[#This Row],[Profit Normal C]])</f>
        <v>350000</v>
      </c>
      <c r="AH164" s="73">
        <f>cadangan[[#This Row],[Profit Diskon A]]+cadangan[[#This Row],[Profit Diskon B]]+cadangan[[#This Row],[Profit Diskon C]]</f>
        <v>215000</v>
      </c>
      <c r="AI164" s="23" t="s">
        <v>32</v>
      </c>
      <c r="AJ164" s="37">
        <f>IFERROR(INDEX('Kode Diskon'!$D$3:$D$9,MATCH(cadangan[[#This Row],[Kode diskon]],'Kode Diskon'!$C$3:$C$9,0)),"-")</f>
        <v>0.15</v>
      </c>
      <c r="AK164" s="23" t="s">
        <v>9</v>
      </c>
      <c r="AL164" s="23" t="s">
        <v>12</v>
      </c>
      <c r="AM164" s="23" t="s">
        <v>76</v>
      </c>
      <c r="AN164" s="55">
        <v>45035</v>
      </c>
      <c r="AO164" s="53">
        <f>DAY(cadangan[[#This Row],[Tanggal terjual]])</f>
        <v>19</v>
      </c>
      <c r="AP164" s="21" t="str">
        <f>TEXT(cadangan[[#This Row],[Tanggal terjual]],"dddd")</f>
        <v>Wednesday</v>
      </c>
      <c r="AQ164" s="23" t="str" cm="1">
        <f t="array" ref="AQ1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64" s="61">
        <f>AVERAGE(cadangan[[#This Row],[Rating A]],cadangan[[#This Row],[Rating B]],cadangan[[#This Row],[Rating C]])</f>
        <v>2</v>
      </c>
    </row>
    <row r="165" spans="1:44" x14ac:dyDescent="0.2">
      <c r="A165" s="20">
        <v>164</v>
      </c>
      <c r="B165" s="21" t="str">
        <f>_xlfn.CONCAT("ORD-",INDEX(Helper!$B$2:$B$5,MATCH(cadangan[[#This Row],[Marketplace]],Helper!$A$2:$A$5,0)),TEXT(cadangan[[#This Row],[No]],"0000"),"-",TEXT(cadangan[[#This Row],[Tanggal terjual]],"dd/mm/yy"))</f>
        <v>ORD-SP0164-01/04/23</v>
      </c>
      <c r="C165" s="39" t="s">
        <v>63</v>
      </c>
      <c r="D165" s="39" t="str">
        <f>IFERROR(INDEX(Katalog!$A$3:$A$12,MATCH(cadangan[[#This Row],[ItemID A]],Katalog!$C$3:$C$12,0)),"-")</f>
        <v>Pakaian Pria</v>
      </c>
      <c r="E165" s="39" t="str">
        <f>IFERROR(INDEX(Katalog!$B$3:$B$12,MATCH(cadangan[[#This Row],[ItemID A]],Katalog!$C$3:$C$12,0)),"-")</f>
        <v>Jaket Jeans</v>
      </c>
      <c r="F165" s="50">
        <v>2</v>
      </c>
      <c r="G165" s="50">
        <v>5</v>
      </c>
      <c r="H165" s="73">
        <f>IFERROR(INDEX(Katalog!$D$3:$D$12,MATCH(cadangan[[#This Row],[ItemID A]],Katalog!$C$3:$C$12,0))*cadangan[[#This Row],[Qty A]],0)</f>
        <v>800000</v>
      </c>
      <c r="I165" s="73">
        <f>IFERROR(cadangan[[#This Row],[Harga Normal A]]-(cadangan[[#This Row],[Harga Normal A]]*cadangan[[#This Row],[Diskon]]),cadangan[[#This Row],[Harga Normal A]])</f>
        <v>720000</v>
      </c>
      <c r="J165" s="73">
        <f>INDEX(Katalog!$F$3:$F$12,MATCH(cadangan[[#This Row],[ItemID A]],Katalog!$C$3:$C$12,0))*cadangan[[#This Row],[Qty A]]</f>
        <v>300000</v>
      </c>
      <c r="K165" s="73">
        <f>IFERROR(cadangan[[#This Row],[Harga Diskon A]]-INDEX(Katalog!$E$3:$E$12,MATCH(cadangan[[#This Row],[ItemID A]],Katalog!$C$3:$C$12,0))*cadangan[[#This Row],[Qty A]],0)</f>
        <v>220000</v>
      </c>
      <c r="M165" s="39" t="str">
        <f>IFERROR(INDEX(Katalog!$A$3:$A$12,MATCH(cadangan[[#This Row],[ItemID B]],Katalog!$C$3:$C$12,0)),"-")</f>
        <v>-</v>
      </c>
      <c r="N165" s="39" t="str">
        <f>IFERROR(INDEX(Katalog!$B$3:$B$12,MATCH(cadangan[[#This Row],[ItemID B]],Katalog!$C$3:$C$12,0)),"-")</f>
        <v>-</v>
      </c>
      <c r="Q165" s="73">
        <f>IFERROR(INDEX(Katalog!$D$3:$D$12,MATCH(cadangan[[#This Row],[ItemID B]],Katalog!$C$3:$C$12,0))*cadangan[[#This Row],[Qty B]],0)</f>
        <v>0</v>
      </c>
      <c r="R165" s="73">
        <f>IFERROR(cadangan[[#This Row],[Harga Normal B]]-(cadangan[[#This Row],[Harga Normal B]]*cadangan[[#This Row],[Diskon]]),cadangan[[#This Row],[Harga Normal B]])</f>
        <v>0</v>
      </c>
      <c r="S165" s="73">
        <f>IFERROR(INDEX(Katalog!$F$3:$F$12,MATCH(cadangan[[#This Row],[ItemID B]],Katalog!$C$3:$C$12,0))*cadangan[[#This Row],[Qty B]],0)</f>
        <v>0</v>
      </c>
      <c r="T165" s="73">
        <f>IFERROR(cadangan[[#This Row],[Harga Diskon B]]-INDEX(Katalog!$E$3:$E$12,MATCH(cadangan[[#This Row],[ItemID B]],Katalog!$C$3:$C$12,0))*cadangan[[#This Row],[Qty B]],0)</f>
        <v>0</v>
      </c>
      <c r="V165" s="39" t="str">
        <f>IFERROR(INDEX(Katalog!$A$3:$A$12,MATCH(cadangan[[#This Row],[ItemID C]],Katalog!$C$3:$C$12,0)),"-")</f>
        <v>-</v>
      </c>
      <c r="W165" s="39" t="str">
        <f>IFERROR(INDEX(Katalog!$B$3:$B$12,MATCH(cadangan[[#This Row],[ItemID C]],Katalog!$C$3:$C$12,0)),"-")</f>
        <v>-</v>
      </c>
      <c r="Z165" s="73">
        <f>IFERROR(INDEX(Katalog!$D$3:$D$12,MATCH(cadangan[[#This Row],[ItemID C]],Katalog!$C$3:$C$12,0))*cadangan[[#This Row],[Qty C]],0)</f>
        <v>0</v>
      </c>
      <c r="AA165" s="73">
        <f>IFERROR(cadangan[[#This Row],[Harga Normal C]]-(cadangan[[#This Row],[Harga Normal C]]*cadangan[[#This Row],[Diskon]]),cadangan[[#This Row],[Harga Normal C]])</f>
        <v>0</v>
      </c>
      <c r="AB165" s="73">
        <f>IFERROR(INDEX(Katalog!$F$3:$F$12,MATCH(cadangan[[#This Row],[ItemID C]],Katalog!$C$3:$C$12,0))*cadangan[[#This Row],[Qty C]],0)</f>
        <v>0</v>
      </c>
      <c r="AC165" s="73">
        <f>IFERROR(cadangan[[#This Row],[Harga Diskon C]]-INDEX(Katalog!$E$3:$E$12,MATCH(cadangan[[#This Row],[ItemID C]],Katalog!$C$3:$C$12,0))*cadangan[[#This Row],[Qty C]],0)</f>
        <v>0</v>
      </c>
      <c r="AD165" s="53">
        <f>cadangan[[#This Row],[Qty A]]+cadangan[[#This Row],[Qty B]]+cadangan[[#This Row],[Qty C]]</f>
        <v>2</v>
      </c>
      <c r="AE165" s="73">
        <f>cadangan[[#This Row],[Harga Normal A]]+cadangan[[#This Row],[Harga Normal B]]+cadangan[[#This Row],[Harga Normal C]]</f>
        <v>800000</v>
      </c>
      <c r="AF165" s="73">
        <f>cadangan[[#This Row],[Harga Diskon A]]+cadangan[[#This Row],[Harga Diskon B]]+cadangan[[#This Row],[Harga Diskon C]]</f>
        <v>720000</v>
      </c>
      <c r="AG165" s="73">
        <f>(cadangan[[#This Row],[Profit Normal A]]+cadangan[[#This Row],[Profit Normal B]]+cadangan[[#This Row],[Profit Normal C]])</f>
        <v>300000</v>
      </c>
      <c r="AH165" s="73">
        <f>cadangan[[#This Row],[Profit Diskon A]]+cadangan[[#This Row],[Profit Diskon B]]+cadangan[[#This Row],[Profit Diskon C]]</f>
        <v>220000</v>
      </c>
      <c r="AI165" s="23" t="s">
        <v>6</v>
      </c>
      <c r="AJ165" s="37">
        <f>IFERROR(INDEX('Kode Diskon'!$D$3:$D$9,MATCH(cadangan[[#This Row],[Kode diskon]],'Kode Diskon'!$C$3:$C$9,0)),"-")</f>
        <v>0.1</v>
      </c>
      <c r="AK165" s="23" t="s">
        <v>29</v>
      </c>
      <c r="AL165" s="23" t="s">
        <v>7</v>
      </c>
      <c r="AM165" s="23" t="s">
        <v>75</v>
      </c>
      <c r="AN165" s="55">
        <v>45017</v>
      </c>
      <c r="AO165" s="53">
        <f>DAY(cadangan[[#This Row],[Tanggal terjual]])</f>
        <v>1</v>
      </c>
      <c r="AP165" s="21" t="str">
        <f>TEXT(cadangan[[#This Row],[Tanggal terjual]],"dddd")</f>
        <v>Saturday</v>
      </c>
      <c r="AQ165" s="23" t="str" cm="1">
        <f t="array" ref="AQ1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65" s="61">
        <f>AVERAGE(cadangan[[#This Row],[Rating A]],cadangan[[#This Row],[Rating B]],cadangan[[#This Row],[Rating C]])</f>
        <v>5</v>
      </c>
    </row>
    <row r="166" spans="1:44" x14ac:dyDescent="0.2">
      <c r="A166" s="20">
        <v>165</v>
      </c>
      <c r="B166" s="21" t="str">
        <f>_xlfn.CONCAT("ORD-",INDEX(Helper!$B$2:$B$5,MATCH(cadangan[[#This Row],[Marketplace]],Helper!$A$2:$A$5,0)),TEXT(cadangan[[#This Row],[No]],"0000"),"-",TEXT(cadangan[[#This Row],[Tanggal terjual]],"dd/mm/yy"))</f>
        <v>ORD-SP0165-02/04/23</v>
      </c>
      <c r="C166" s="39" t="s">
        <v>67</v>
      </c>
      <c r="D166" s="39" t="str">
        <f>IFERROR(INDEX(Katalog!$A$3:$A$12,MATCH(cadangan[[#This Row],[ItemID A]],Katalog!$C$3:$C$12,0)),"-")</f>
        <v>Sepatu Wanita</v>
      </c>
      <c r="E166" s="39" t="str">
        <f>IFERROR(INDEX(Katalog!$B$3:$B$12,MATCH(cadangan[[#This Row],[ItemID A]],Katalog!$C$3:$C$12,0)),"-")</f>
        <v>Flat Shoes</v>
      </c>
      <c r="F166" s="50">
        <v>2</v>
      </c>
      <c r="G166" s="50">
        <v>4</v>
      </c>
      <c r="H166" s="73">
        <f>IFERROR(INDEX(Katalog!$D$3:$D$12,MATCH(cadangan[[#This Row],[ItemID A]],Katalog!$C$3:$C$12,0))*cadangan[[#This Row],[Qty A]],0)</f>
        <v>500000</v>
      </c>
      <c r="I166" s="73">
        <f>IFERROR(cadangan[[#This Row],[Harga Normal A]]-(cadangan[[#This Row],[Harga Normal A]]*cadangan[[#This Row],[Diskon]]),cadangan[[#This Row],[Harga Normal A]])</f>
        <v>450000</v>
      </c>
      <c r="J166" s="73">
        <f>INDEX(Katalog!$F$3:$F$12,MATCH(cadangan[[#This Row],[ItemID A]],Katalog!$C$3:$C$12,0))*cadangan[[#This Row],[Qty A]]</f>
        <v>200000</v>
      </c>
      <c r="K166" s="73">
        <f>IFERROR(cadangan[[#This Row],[Harga Diskon A]]-INDEX(Katalog!$E$3:$E$12,MATCH(cadangan[[#This Row],[ItemID A]],Katalog!$C$3:$C$12,0))*cadangan[[#This Row],[Qty A]],0)</f>
        <v>150000</v>
      </c>
      <c r="M166" s="39" t="str">
        <f>IFERROR(INDEX(Katalog!$A$3:$A$12,MATCH(cadangan[[#This Row],[ItemID B]],Katalog!$C$3:$C$12,0)),"-")</f>
        <v>-</v>
      </c>
      <c r="N166" s="39" t="str">
        <f>IFERROR(INDEX(Katalog!$B$3:$B$12,MATCH(cadangan[[#This Row],[ItemID B]],Katalog!$C$3:$C$12,0)),"-")</f>
        <v>-</v>
      </c>
      <c r="Q166" s="73">
        <f>IFERROR(INDEX(Katalog!$D$3:$D$12,MATCH(cadangan[[#This Row],[ItemID B]],Katalog!$C$3:$C$12,0))*cadangan[[#This Row],[Qty B]],0)</f>
        <v>0</v>
      </c>
      <c r="R166" s="73">
        <f>IFERROR(cadangan[[#This Row],[Harga Normal B]]-(cadangan[[#This Row],[Harga Normal B]]*cadangan[[#This Row],[Diskon]]),cadangan[[#This Row],[Harga Normal B]])</f>
        <v>0</v>
      </c>
      <c r="S166" s="73">
        <f>IFERROR(INDEX(Katalog!$F$3:$F$12,MATCH(cadangan[[#This Row],[ItemID B]],Katalog!$C$3:$C$12,0))*cadangan[[#This Row],[Qty B]],0)</f>
        <v>0</v>
      </c>
      <c r="T166" s="73">
        <f>IFERROR(cadangan[[#This Row],[Harga Diskon B]]-INDEX(Katalog!$E$3:$E$12,MATCH(cadangan[[#This Row],[ItemID B]],Katalog!$C$3:$C$12,0))*cadangan[[#This Row],[Qty B]],0)</f>
        <v>0</v>
      </c>
      <c r="V166" s="39" t="str">
        <f>IFERROR(INDEX(Katalog!$A$3:$A$12,MATCH(cadangan[[#This Row],[ItemID C]],Katalog!$C$3:$C$12,0)),"-")</f>
        <v>-</v>
      </c>
      <c r="W166" s="39" t="str">
        <f>IFERROR(INDEX(Katalog!$B$3:$B$12,MATCH(cadangan[[#This Row],[ItemID C]],Katalog!$C$3:$C$12,0)),"-")</f>
        <v>-</v>
      </c>
      <c r="Z166" s="73">
        <f>IFERROR(INDEX(Katalog!$D$3:$D$12,MATCH(cadangan[[#This Row],[ItemID C]],Katalog!$C$3:$C$12,0))*cadangan[[#This Row],[Qty C]],0)</f>
        <v>0</v>
      </c>
      <c r="AA166" s="73">
        <f>IFERROR(cadangan[[#This Row],[Harga Normal C]]-(cadangan[[#This Row],[Harga Normal C]]*cadangan[[#This Row],[Diskon]]),cadangan[[#This Row],[Harga Normal C]])</f>
        <v>0</v>
      </c>
      <c r="AB166" s="73">
        <f>IFERROR(INDEX(Katalog!$F$3:$F$12,MATCH(cadangan[[#This Row],[ItemID C]],Katalog!$C$3:$C$12,0))*cadangan[[#This Row],[Qty C]],0)</f>
        <v>0</v>
      </c>
      <c r="AC166" s="73">
        <f>IFERROR(cadangan[[#This Row],[Harga Diskon C]]-INDEX(Katalog!$E$3:$E$12,MATCH(cadangan[[#This Row],[ItemID C]],Katalog!$C$3:$C$12,0))*cadangan[[#This Row],[Qty C]],0)</f>
        <v>0</v>
      </c>
      <c r="AD166" s="53">
        <f>cadangan[[#This Row],[Qty A]]+cadangan[[#This Row],[Qty B]]+cadangan[[#This Row],[Qty C]]</f>
        <v>2</v>
      </c>
      <c r="AE166" s="73">
        <f>cadangan[[#This Row],[Harga Normal A]]+cadangan[[#This Row],[Harga Normal B]]+cadangan[[#This Row],[Harga Normal C]]</f>
        <v>500000</v>
      </c>
      <c r="AF166" s="73">
        <f>cadangan[[#This Row],[Harga Diskon A]]+cadangan[[#This Row],[Harga Diskon B]]+cadangan[[#This Row],[Harga Diskon C]]</f>
        <v>450000</v>
      </c>
      <c r="AG166" s="73">
        <f>(cadangan[[#This Row],[Profit Normal A]]+cadangan[[#This Row],[Profit Normal B]]+cadangan[[#This Row],[Profit Normal C]])</f>
        <v>200000</v>
      </c>
      <c r="AH166" s="73">
        <f>cadangan[[#This Row],[Profit Diskon A]]+cadangan[[#This Row],[Profit Diskon B]]+cadangan[[#This Row],[Profit Diskon C]]</f>
        <v>150000</v>
      </c>
      <c r="AI166" s="23" t="s">
        <v>6</v>
      </c>
      <c r="AJ166" s="37">
        <f>IFERROR(INDEX('Kode Diskon'!$D$3:$D$9,MATCH(cadangan[[#This Row],[Kode diskon]],'Kode Diskon'!$C$3:$C$9,0)),"-")</f>
        <v>0.1</v>
      </c>
      <c r="AK166" s="23" t="s">
        <v>29</v>
      </c>
      <c r="AL166" s="23" t="s">
        <v>7</v>
      </c>
      <c r="AM166" s="23" t="s">
        <v>80</v>
      </c>
      <c r="AN166" s="55">
        <v>45018</v>
      </c>
      <c r="AO166" s="53">
        <f>DAY(cadangan[[#This Row],[Tanggal terjual]])</f>
        <v>2</v>
      </c>
      <c r="AP166" s="21" t="str">
        <f>TEXT(cadangan[[#This Row],[Tanggal terjual]],"dddd")</f>
        <v>Sunday</v>
      </c>
      <c r="AQ166" s="23" t="str" cm="1">
        <f t="array" ref="AQ1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66" s="61">
        <f>AVERAGE(cadangan[[#This Row],[Rating A]],cadangan[[#This Row],[Rating B]],cadangan[[#This Row],[Rating C]])</f>
        <v>4</v>
      </c>
    </row>
    <row r="167" spans="1:44" x14ac:dyDescent="0.2">
      <c r="A167" s="20">
        <v>166</v>
      </c>
      <c r="B167" s="21" t="str">
        <f>_xlfn.CONCAT("ORD-",INDEX(Helper!$B$2:$B$5,MATCH(cadangan[[#This Row],[Marketplace]],Helper!$A$2:$A$5,0)),TEXT(cadangan[[#This Row],[No]],"0000"),"-",TEXT(cadangan[[#This Row],[Tanggal terjual]],"dd/mm/yy"))</f>
        <v>ORD-TK0166-27/04/23</v>
      </c>
      <c r="C167" s="39" t="s">
        <v>62</v>
      </c>
      <c r="D167" s="39" t="str">
        <f>IFERROR(INDEX(Katalog!$A$3:$A$12,MATCH(cadangan[[#This Row],[ItemID A]],Katalog!$C$3:$C$12,0)),"-")</f>
        <v>Pakaian Pria</v>
      </c>
      <c r="E167" s="39" t="str">
        <f>IFERROR(INDEX(Katalog!$B$3:$B$12,MATCH(cadangan[[#This Row],[ItemID A]],Katalog!$C$3:$C$12,0)),"-")</f>
        <v>Celana Pendek</v>
      </c>
      <c r="F167" s="50">
        <v>1</v>
      </c>
      <c r="G167" s="50">
        <v>4</v>
      </c>
      <c r="H167" s="73">
        <f>IFERROR(INDEX(Katalog!$D$3:$D$12,MATCH(cadangan[[#This Row],[ItemID A]],Katalog!$C$3:$C$12,0))*cadangan[[#This Row],[Qty A]],0)</f>
        <v>180000</v>
      </c>
      <c r="I167" s="73">
        <f>IFERROR(cadangan[[#This Row],[Harga Normal A]]-(cadangan[[#This Row],[Harga Normal A]]*cadangan[[#This Row],[Diskon]]),cadangan[[#This Row],[Harga Normal A]])</f>
        <v>162000</v>
      </c>
      <c r="J167" s="73">
        <f>INDEX(Katalog!$F$3:$F$12,MATCH(cadangan[[#This Row],[ItemID A]],Katalog!$C$3:$C$12,0))*cadangan[[#This Row],[Qty A]]</f>
        <v>70000</v>
      </c>
      <c r="K167" s="73">
        <f>IFERROR(cadangan[[#This Row],[Harga Diskon A]]-INDEX(Katalog!$E$3:$E$12,MATCH(cadangan[[#This Row],[ItemID A]],Katalog!$C$3:$C$12,0))*cadangan[[#This Row],[Qty A]],0)</f>
        <v>52000</v>
      </c>
      <c r="L167" s="39" t="s">
        <v>61</v>
      </c>
      <c r="M167" s="39" t="str">
        <f>IFERROR(INDEX(Katalog!$A$3:$A$12,MATCH(cadangan[[#This Row],[ItemID B]],Katalog!$C$3:$C$12,0)),"-")</f>
        <v>Pakaian Pria</v>
      </c>
      <c r="N167" s="39" t="str">
        <f>IFERROR(INDEX(Katalog!$B$3:$B$12,MATCH(cadangan[[#This Row],[ItemID B]],Katalog!$C$3:$C$12,0)),"-")</f>
        <v>Kaos Polo</v>
      </c>
      <c r="O167" s="50">
        <v>4</v>
      </c>
      <c r="P167" s="50">
        <v>1</v>
      </c>
      <c r="Q167" s="73">
        <f>IFERROR(INDEX(Katalog!$D$3:$D$12,MATCH(cadangan[[#This Row],[ItemID B]],Katalog!$C$3:$C$12,0))*cadangan[[#This Row],[Qty B]],0)</f>
        <v>800000</v>
      </c>
      <c r="R167" s="73">
        <f>IFERROR(cadangan[[#This Row],[Harga Normal B]]-(cadangan[[#This Row],[Harga Normal B]]*cadangan[[#This Row],[Diskon]]),cadangan[[#This Row],[Harga Normal B]])</f>
        <v>720000</v>
      </c>
      <c r="S167" s="73">
        <f>IFERROR(INDEX(Katalog!$F$3:$F$12,MATCH(cadangan[[#This Row],[ItemID B]],Katalog!$C$3:$C$12,0))*cadangan[[#This Row],[Qty B]],0)</f>
        <v>320000</v>
      </c>
      <c r="T167" s="73">
        <f>IFERROR(cadangan[[#This Row],[Harga Diskon B]]-INDEX(Katalog!$E$3:$E$12,MATCH(cadangan[[#This Row],[ItemID B]],Katalog!$C$3:$C$12,0))*cadangan[[#This Row],[Qty B]],0)</f>
        <v>240000</v>
      </c>
      <c r="V167" s="39" t="str">
        <f>IFERROR(INDEX(Katalog!$A$3:$A$12,MATCH(cadangan[[#This Row],[ItemID C]],Katalog!$C$3:$C$12,0)),"-")</f>
        <v>-</v>
      </c>
      <c r="W167" s="39" t="str">
        <f>IFERROR(INDEX(Katalog!$B$3:$B$12,MATCH(cadangan[[#This Row],[ItemID C]],Katalog!$C$3:$C$12,0)),"-")</f>
        <v>-</v>
      </c>
      <c r="Z167" s="73">
        <f>IFERROR(INDEX(Katalog!$D$3:$D$12,MATCH(cadangan[[#This Row],[ItemID C]],Katalog!$C$3:$C$12,0))*cadangan[[#This Row],[Qty C]],0)</f>
        <v>0</v>
      </c>
      <c r="AA167" s="73">
        <f>IFERROR(cadangan[[#This Row],[Harga Normal C]]-(cadangan[[#This Row],[Harga Normal C]]*cadangan[[#This Row],[Diskon]]),cadangan[[#This Row],[Harga Normal C]])</f>
        <v>0</v>
      </c>
      <c r="AB167" s="73">
        <f>IFERROR(INDEX(Katalog!$F$3:$F$12,MATCH(cadangan[[#This Row],[ItemID C]],Katalog!$C$3:$C$12,0))*cadangan[[#This Row],[Qty C]],0)</f>
        <v>0</v>
      </c>
      <c r="AC167" s="73">
        <f>IFERROR(cadangan[[#This Row],[Harga Diskon C]]-INDEX(Katalog!$E$3:$E$12,MATCH(cadangan[[#This Row],[ItemID C]],Katalog!$C$3:$C$12,0))*cadangan[[#This Row],[Qty C]],0)</f>
        <v>0</v>
      </c>
      <c r="AD167" s="53">
        <f>cadangan[[#This Row],[Qty A]]+cadangan[[#This Row],[Qty B]]+cadangan[[#This Row],[Qty C]]</f>
        <v>5</v>
      </c>
      <c r="AE167" s="73">
        <f>cadangan[[#This Row],[Harga Normal A]]+cadangan[[#This Row],[Harga Normal B]]+cadangan[[#This Row],[Harga Normal C]]</f>
        <v>980000</v>
      </c>
      <c r="AF167" s="73">
        <f>cadangan[[#This Row],[Harga Diskon A]]+cadangan[[#This Row],[Harga Diskon B]]+cadangan[[#This Row],[Harga Diskon C]]</f>
        <v>882000</v>
      </c>
      <c r="AG167" s="73">
        <f>(cadangan[[#This Row],[Profit Normal A]]+cadangan[[#This Row],[Profit Normal B]]+cadangan[[#This Row],[Profit Normal C]])</f>
        <v>390000</v>
      </c>
      <c r="AH167" s="73">
        <f>cadangan[[#This Row],[Profit Diskon A]]+cadangan[[#This Row],[Profit Diskon B]]+cadangan[[#This Row],[Profit Diskon C]]</f>
        <v>292000</v>
      </c>
      <c r="AI167" s="23" t="s">
        <v>31</v>
      </c>
      <c r="AJ167" s="37">
        <f>IFERROR(INDEX('Kode Diskon'!$D$3:$D$9,MATCH(cadangan[[#This Row],[Kode diskon]],'Kode Diskon'!$C$3:$C$9,0)),"-")</f>
        <v>0.1</v>
      </c>
      <c r="AK167" s="23" t="s">
        <v>9</v>
      </c>
      <c r="AL167" s="23" t="s">
        <v>10</v>
      </c>
      <c r="AM167" s="23" t="s">
        <v>75</v>
      </c>
      <c r="AN167" s="55">
        <v>45043</v>
      </c>
      <c r="AO167" s="53">
        <f>DAY(cadangan[[#This Row],[Tanggal terjual]])</f>
        <v>27</v>
      </c>
      <c r="AP167" s="21" t="str">
        <f>TEXT(cadangan[[#This Row],[Tanggal terjual]],"dddd")</f>
        <v>Thursday</v>
      </c>
      <c r="AQ167" s="23" t="str" cm="1">
        <f t="array" ref="AQ1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67" s="61">
        <f>AVERAGE(cadangan[[#This Row],[Rating A]],cadangan[[#This Row],[Rating B]],cadangan[[#This Row],[Rating C]])</f>
        <v>2.5</v>
      </c>
    </row>
    <row r="168" spans="1:44" x14ac:dyDescent="0.2">
      <c r="A168" s="20">
        <v>167</v>
      </c>
      <c r="B168" s="21" t="str">
        <f>_xlfn.CONCAT("ORD-",INDEX(Helper!$B$2:$B$5,MATCH(cadangan[[#This Row],[Marketplace]],Helper!$A$2:$A$5,0)),TEXT(cadangan[[#This Row],[No]],"0000"),"-",TEXT(cadangan[[#This Row],[Tanggal terjual]],"dd/mm/yy"))</f>
        <v>ORD-BB0167-15/04/23</v>
      </c>
      <c r="C168" s="39" t="s">
        <v>63</v>
      </c>
      <c r="D168" s="39" t="str">
        <f>IFERROR(INDEX(Katalog!$A$3:$A$12,MATCH(cadangan[[#This Row],[ItemID A]],Katalog!$C$3:$C$12,0)),"-")</f>
        <v>Pakaian Pria</v>
      </c>
      <c r="E168" s="39" t="str">
        <f>IFERROR(INDEX(Katalog!$B$3:$B$12,MATCH(cadangan[[#This Row],[ItemID A]],Katalog!$C$3:$C$12,0)),"-")</f>
        <v>Jaket Jeans</v>
      </c>
      <c r="F168" s="50">
        <v>5</v>
      </c>
      <c r="G168" s="50">
        <v>2</v>
      </c>
      <c r="H168" s="73">
        <f>IFERROR(INDEX(Katalog!$D$3:$D$12,MATCH(cadangan[[#This Row],[ItemID A]],Katalog!$C$3:$C$12,0))*cadangan[[#This Row],[Qty A]],0)</f>
        <v>2000000</v>
      </c>
      <c r="I168" s="73">
        <f>IFERROR(cadangan[[#This Row],[Harga Normal A]]-(cadangan[[#This Row],[Harga Normal A]]*cadangan[[#This Row],[Diskon]]),cadangan[[#This Row],[Harga Normal A]])</f>
        <v>2000000</v>
      </c>
      <c r="J168" s="73">
        <f>INDEX(Katalog!$F$3:$F$12,MATCH(cadangan[[#This Row],[ItemID A]],Katalog!$C$3:$C$12,0))*cadangan[[#This Row],[Qty A]]</f>
        <v>750000</v>
      </c>
      <c r="K168" s="73">
        <f>IFERROR(cadangan[[#This Row],[Harga Diskon A]]-INDEX(Katalog!$E$3:$E$12,MATCH(cadangan[[#This Row],[ItemID A]],Katalog!$C$3:$C$12,0))*cadangan[[#This Row],[Qty A]],0)</f>
        <v>750000</v>
      </c>
      <c r="L168" s="39" t="s">
        <v>66</v>
      </c>
      <c r="M168" s="39" t="str">
        <f>IFERROR(INDEX(Katalog!$A$3:$A$12,MATCH(cadangan[[#This Row],[ItemID B]],Katalog!$C$3:$C$12,0)),"-")</f>
        <v>Sepatu Pria</v>
      </c>
      <c r="N168" s="39" t="str">
        <f>IFERROR(INDEX(Katalog!$B$3:$B$12,MATCH(cadangan[[#This Row],[ItemID B]],Katalog!$C$3:$C$12,0)),"-")</f>
        <v>Sandal Slip On</v>
      </c>
      <c r="O168" s="50">
        <v>2</v>
      </c>
      <c r="P168" s="50">
        <v>4</v>
      </c>
      <c r="Q168" s="73">
        <f>IFERROR(INDEX(Katalog!$D$3:$D$12,MATCH(cadangan[[#This Row],[ItemID B]],Katalog!$C$3:$C$12,0))*cadangan[[#This Row],[Qty B]],0)</f>
        <v>300000</v>
      </c>
      <c r="R168" s="73">
        <f>IFERROR(cadangan[[#This Row],[Harga Normal B]]-(cadangan[[#This Row],[Harga Normal B]]*cadangan[[#This Row],[Diskon]]),cadangan[[#This Row],[Harga Normal B]])</f>
        <v>300000</v>
      </c>
      <c r="S168" s="73">
        <f>IFERROR(INDEX(Katalog!$F$3:$F$12,MATCH(cadangan[[#This Row],[ItemID B]],Katalog!$C$3:$C$12,0))*cadangan[[#This Row],[Qty B]],0)</f>
        <v>120000</v>
      </c>
      <c r="T168" s="73">
        <f>IFERROR(cadangan[[#This Row],[Harga Diskon B]]-INDEX(Katalog!$E$3:$E$12,MATCH(cadangan[[#This Row],[ItemID B]],Katalog!$C$3:$C$12,0))*cadangan[[#This Row],[Qty B]],0)</f>
        <v>120000</v>
      </c>
      <c r="V168" s="39" t="str">
        <f>IFERROR(INDEX(Katalog!$A$3:$A$12,MATCH(cadangan[[#This Row],[ItemID C]],Katalog!$C$3:$C$12,0)),"-")</f>
        <v>-</v>
      </c>
      <c r="W168" s="39" t="str">
        <f>IFERROR(INDEX(Katalog!$B$3:$B$12,MATCH(cadangan[[#This Row],[ItemID C]],Katalog!$C$3:$C$12,0)),"-")</f>
        <v>-</v>
      </c>
      <c r="Z168" s="73">
        <f>IFERROR(INDEX(Katalog!$D$3:$D$12,MATCH(cadangan[[#This Row],[ItemID C]],Katalog!$C$3:$C$12,0))*cadangan[[#This Row],[Qty C]],0)</f>
        <v>0</v>
      </c>
      <c r="AA168" s="73">
        <f>IFERROR(cadangan[[#This Row],[Harga Normal C]]-(cadangan[[#This Row],[Harga Normal C]]*cadangan[[#This Row],[Diskon]]),cadangan[[#This Row],[Harga Normal C]])</f>
        <v>0</v>
      </c>
      <c r="AB168" s="73">
        <f>IFERROR(INDEX(Katalog!$F$3:$F$12,MATCH(cadangan[[#This Row],[ItemID C]],Katalog!$C$3:$C$12,0))*cadangan[[#This Row],[Qty C]],0)</f>
        <v>0</v>
      </c>
      <c r="AC168" s="73">
        <f>IFERROR(cadangan[[#This Row],[Harga Diskon C]]-INDEX(Katalog!$E$3:$E$12,MATCH(cadangan[[#This Row],[ItemID C]],Katalog!$C$3:$C$12,0))*cadangan[[#This Row],[Qty C]],0)</f>
        <v>0</v>
      </c>
      <c r="AD168" s="53">
        <f>cadangan[[#This Row],[Qty A]]+cadangan[[#This Row],[Qty B]]+cadangan[[#This Row],[Qty C]]</f>
        <v>7</v>
      </c>
      <c r="AE168" s="73">
        <f>cadangan[[#This Row],[Harga Normal A]]+cadangan[[#This Row],[Harga Normal B]]+cadangan[[#This Row],[Harga Normal C]]</f>
        <v>2300000</v>
      </c>
      <c r="AF168" s="73">
        <f>cadangan[[#This Row],[Harga Diskon A]]+cadangan[[#This Row],[Harga Diskon B]]+cadangan[[#This Row],[Harga Diskon C]]</f>
        <v>2300000</v>
      </c>
      <c r="AG168" s="73">
        <f>(cadangan[[#This Row],[Profit Normal A]]+cadangan[[#This Row],[Profit Normal B]]+cadangan[[#This Row],[Profit Normal C]])</f>
        <v>870000</v>
      </c>
      <c r="AH168" s="73">
        <f>cadangan[[#This Row],[Profit Diskon A]]+cadangan[[#This Row],[Profit Diskon B]]+cadangan[[#This Row],[Profit Diskon C]]</f>
        <v>870000</v>
      </c>
      <c r="AI168" s="23" t="s">
        <v>290</v>
      </c>
      <c r="AJ168" s="37" t="str">
        <f>IFERROR(INDEX('Kode Diskon'!$D$3:$D$9,MATCH(cadangan[[#This Row],[Kode diskon]],'Kode Diskon'!$C$3:$C$9,0)),"-")</f>
        <v>-</v>
      </c>
      <c r="AK168" s="23" t="s">
        <v>290</v>
      </c>
      <c r="AL168" s="23" t="s">
        <v>14</v>
      </c>
      <c r="AM168" s="23" t="s">
        <v>80</v>
      </c>
      <c r="AN168" s="55">
        <v>45031</v>
      </c>
      <c r="AO168" s="53">
        <f>DAY(cadangan[[#This Row],[Tanggal terjual]])</f>
        <v>15</v>
      </c>
      <c r="AP168" s="21" t="str">
        <f>TEXT(cadangan[[#This Row],[Tanggal terjual]],"dddd")</f>
        <v>Saturday</v>
      </c>
      <c r="AQ168" s="23" t="str" cm="1">
        <f t="array" ref="AQ1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68" s="61">
        <f>AVERAGE(cadangan[[#This Row],[Rating A]],cadangan[[#This Row],[Rating B]],cadangan[[#This Row],[Rating C]])</f>
        <v>3</v>
      </c>
    </row>
    <row r="169" spans="1:44" x14ac:dyDescent="0.2">
      <c r="A169" s="20">
        <v>168</v>
      </c>
      <c r="B169" s="21" t="str">
        <f>_xlfn.CONCAT("ORD-",INDEX(Helper!$B$2:$B$5,MATCH(cadangan[[#This Row],[Marketplace]],Helper!$A$2:$A$5,0)),TEXT(cadangan[[#This Row],[No]],"0000"),"-",TEXT(cadangan[[#This Row],[Tanggal terjual]],"dd/mm/yy"))</f>
        <v>ORD-TK0168-09/04/23</v>
      </c>
      <c r="C169" s="39" t="s">
        <v>58</v>
      </c>
      <c r="D169" s="39" t="str">
        <f>IFERROR(INDEX(Katalog!$A$3:$A$12,MATCH(cadangan[[#This Row],[ItemID A]],Katalog!$C$3:$C$12,0)),"-")</f>
        <v>Pakaian Wanita</v>
      </c>
      <c r="E169" s="39" t="str">
        <f>IFERROR(INDEX(Katalog!$B$3:$B$12,MATCH(cadangan[[#This Row],[ItemID A]],Katalog!$C$3:$C$12,0)),"-")</f>
        <v>Dress</v>
      </c>
      <c r="F169" s="50">
        <v>2</v>
      </c>
      <c r="G169" s="50">
        <v>3</v>
      </c>
      <c r="H169" s="73">
        <f>IFERROR(INDEX(Katalog!$D$3:$D$12,MATCH(cadangan[[#This Row],[ItemID A]],Katalog!$C$3:$C$12,0))*cadangan[[#This Row],[Qty A]],0)</f>
        <v>600000</v>
      </c>
      <c r="I169" s="73">
        <f>IFERROR(cadangan[[#This Row],[Harga Normal A]]-(cadangan[[#This Row],[Harga Normal A]]*cadangan[[#This Row],[Diskon]]),cadangan[[#This Row],[Harga Normal A]])</f>
        <v>600000</v>
      </c>
      <c r="J169" s="73">
        <f>INDEX(Katalog!$F$3:$F$12,MATCH(cadangan[[#This Row],[ItemID A]],Katalog!$C$3:$C$12,0))*cadangan[[#This Row],[Qty A]]</f>
        <v>200000</v>
      </c>
      <c r="K169" s="73">
        <f>IFERROR(cadangan[[#This Row],[Harga Diskon A]]-INDEX(Katalog!$E$3:$E$12,MATCH(cadangan[[#This Row],[ItemID A]],Katalog!$C$3:$C$12,0))*cadangan[[#This Row],[Qty A]],0)</f>
        <v>200000</v>
      </c>
      <c r="L169" s="39" t="s">
        <v>60</v>
      </c>
      <c r="M169" s="39" t="str">
        <f>IFERROR(INDEX(Katalog!$A$3:$A$12,MATCH(cadangan[[#This Row],[ItemID B]],Katalog!$C$3:$C$12,0)),"-")</f>
        <v>Pakaian Wanita</v>
      </c>
      <c r="N169" s="39" t="str">
        <f>IFERROR(INDEX(Katalog!$B$3:$B$12,MATCH(cadangan[[#This Row],[ItemID B]],Katalog!$C$3:$C$12,0)),"-")</f>
        <v>Kaftan</v>
      </c>
      <c r="O169" s="50">
        <v>1</v>
      </c>
      <c r="P169" s="50">
        <v>4</v>
      </c>
      <c r="Q169" s="73">
        <f>IFERROR(INDEX(Katalog!$D$3:$D$12,MATCH(cadangan[[#This Row],[ItemID B]],Katalog!$C$3:$C$12,0))*cadangan[[#This Row],[Qty B]],0)</f>
        <v>250000</v>
      </c>
      <c r="R169" s="73">
        <f>IFERROR(cadangan[[#This Row],[Harga Normal B]]-(cadangan[[#This Row],[Harga Normal B]]*cadangan[[#This Row],[Diskon]]),cadangan[[#This Row],[Harga Normal B]])</f>
        <v>250000</v>
      </c>
      <c r="S169" s="73">
        <f>IFERROR(INDEX(Katalog!$F$3:$F$12,MATCH(cadangan[[#This Row],[ItemID B]],Katalog!$C$3:$C$12,0))*cadangan[[#This Row],[Qty B]],0)</f>
        <v>100000</v>
      </c>
      <c r="T169" s="73">
        <f>IFERROR(cadangan[[#This Row],[Harga Diskon B]]-INDEX(Katalog!$E$3:$E$12,MATCH(cadangan[[#This Row],[ItemID B]],Katalog!$C$3:$C$12,0))*cadangan[[#This Row],[Qty B]],0)</f>
        <v>100000</v>
      </c>
      <c r="V169" s="39" t="str">
        <f>IFERROR(INDEX(Katalog!$A$3:$A$12,MATCH(cadangan[[#This Row],[ItemID C]],Katalog!$C$3:$C$12,0)),"-")</f>
        <v>-</v>
      </c>
      <c r="W169" s="39" t="str">
        <f>IFERROR(INDEX(Katalog!$B$3:$B$12,MATCH(cadangan[[#This Row],[ItemID C]],Katalog!$C$3:$C$12,0)),"-")</f>
        <v>-</v>
      </c>
      <c r="Z169" s="73">
        <f>IFERROR(INDEX(Katalog!$D$3:$D$12,MATCH(cadangan[[#This Row],[ItemID C]],Katalog!$C$3:$C$12,0))*cadangan[[#This Row],[Qty C]],0)</f>
        <v>0</v>
      </c>
      <c r="AA169" s="73">
        <f>IFERROR(cadangan[[#This Row],[Harga Normal C]]-(cadangan[[#This Row],[Harga Normal C]]*cadangan[[#This Row],[Diskon]]),cadangan[[#This Row],[Harga Normal C]])</f>
        <v>0</v>
      </c>
      <c r="AB169" s="73">
        <f>IFERROR(INDEX(Katalog!$F$3:$F$12,MATCH(cadangan[[#This Row],[ItemID C]],Katalog!$C$3:$C$12,0))*cadangan[[#This Row],[Qty C]],0)</f>
        <v>0</v>
      </c>
      <c r="AC169" s="73">
        <f>IFERROR(cadangan[[#This Row],[Harga Diskon C]]-INDEX(Katalog!$E$3:$E$12,MATCH(cadangan[[#This Row],[ItemID C]],Katalog!$C$3:$C$12,0))*cadangan[[#This Row],[Qty C]],0)</f>
        <v>0</v>
      </c>
      <c r="AD169" s="53">
        <f>cadangan[[#This Row],[Qty A]]+cadangan[[#This Row],[Qty B]]+cadangan[[#This Row],[Qty C]]</f>
        <v>3</v>
      </c>
      <c r="AE169" s="73">
        <f>cadangan[[#This Row],[Harga Normal A]]+cadangan[[#This Row],[Harga Normal B]]+cadangan[[#This Row],[Harga Normal C]]</f>
        <v>850000</v>
      </c>
      <c r="AF169" s="73">
        <f>cadangan[[#This Row],[Harga Diskon A]]+cadangan[[#This Row],[Harga Diskon B]]+cadangan[[#This Row],[Harga Diskon C]]</f>
        <v>850000</v>
      </c>
      <c r="AG169" s="73">
        <f>(cadangan[[#This Row],[Profit Normal A]]+cadangan[[#This Row],[Profit Normal B]]+cadangan[[#This Row],[Profit Normal C]])</f>
        <v>300000</v>
      </c>
      <c r="AH169" s="73">
        <f>cadangan[[#This Row],[Profit Diskon A]]+cadangan[[#This Row],[Profit Diskon B]]+cadangan[[#This Row],[Profit Diskon C]]</f>
        <v>300000</v>
      </c>
      <c r="AI169" s="23" t="s">
        <v>290</v>
      </c>
      <c r="AJ169" s="37" t="str">
        <f>IFERROR(INDEX('Kode Diskon'!$D$3:$D$9,MATCH(cadangan[[#This Row],[Kode diskon]],'Kode Diskon'!$C$3:$C$9,0)),"-")</f>
        <v>-</v>
      </c>
      <c r="AK169" s="23" t="s">
        <v>290</v>
      </c>
      <c r="AL169" s="23" t="s">
        <v>10</v>
      </c>
      <c r="AM169" s="23" t="s">
        <v>77</v>
      </c>
      <c r="AN169" s="55">
        <v>45025</v>
      </c>
      <c r="AO169" s="53">
        <f>DAY(cadangan[[#This Row],[Tanggal terjual]])</f>
        <v>9</v>
      </c>
      <c r="AP169" s="21" t="str">
        <f>TEXT(cadangan[[#This Row],[Tanggal terjual]],"dddd")</f>
        <v>Sunday</v>
      </c>
      <c r="AQ169" s="23" t="str" cm="1">
        <f t="array" ref="AQ1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69" s="61">
        <f>AVERAGE(cadangan[[#This Row],[Rating A]],cadangan[[#This Row],[Rating B]],cadangan[[#This Row],[Rating C]])</f>
        <v>3.5</v>
      </c>
    </row>
    <row r="170" spans="1:44" x14ac:dyDescent="0.2">
      <c r="A170" s="20">
        <v>169</v>
      </c>
      <c r="B170" s="21" t="str">
        <f>_xlfn.CONCAT("ORD-",INDEX(Helper!$B$2:$B$5,MATCH(cadangan[[#This Row],[Marketplace]],Helper!$A$2:$A$5,0)),TEXT(cadangan[[#This Row],[No]],"0000"),"-",TEXT(cadangan[[#This Row],[Tanggal terjual]],"dd/mm/yy"))</f>
        <v>ORD-TK0169-22/04/23</v>
      </c>
      <c r="C170" s="39" t="s">
        <v>58</v>
      </c>
      <c r="D170" s="39" t="str">
        <f>IFERROR(INDEX(Katalog!$A$3:$A$12,MATCH(cadangan[[#This Row],[ItemID A]],Katalog!$C$3:$C$12,0)),"-")</f>
        <v>Pakaian Wanita</v>
      </c>
      <c r="E170" s="39" t="str">
        <f>IFERROR(INDEX(Katalog!$B$3:$B$12,MATCH(cadangan[[#This Row],[ItemID A]],Katalog!$C$3:$C$12,0)),"-")</f>
        <v>Dress</v>
      </c>
      <c r="F170" s="50">
        <v>1</v>
      </c>
      <c r="G170" s="50">
        <v>5</v>
      </c>
      <c r="H170" s="73">
        <f>IFERROR(INDEX(Katalog!$D$3:$D$12,MATCH(cadangan[[#This Row],[ItemID A]],Katalog!$C$3:$C$12,0))*cadangan[[#This Row],[Qty A]],0)</f>
        <v>300000</v>
      </c>
      <c r="I170" s="73">
        <f>IFERROR(cadangan[[#This Row],[Harga Normal A]]-(cadangan[[#This Row],[Harga Normal A]]*cadangan[[#This Row],[Diskon]]),cadangan[[#This Row],[Harga Normal A]])</f>
        <v>270000</v>
      </c>
      <c r="J170" s="73">
        <f>INDEX(Katalog!$F$3:$F$12,MATCH(cadangan[[#This Row],[ItemID A]],Katalog!$C$3:$C$12,0))*cadangan[[#This Row],[Qty A]]</f>
        <v>100000</v>
      </c>
      <c r="K170" s="73">
        <f>IFERROR(cadangan[[#This Row],[Harga Diskon A]]-INDEX(Katalog!$E$3:$E$12,MATCH(cadangan[[#This Row],[ItemID A]],Katalog!$C$3:$C$12,0))*cadangan[[#This Row],[Qty A]],0)</f>
        <v>70000</v>
      </c>
      <c r="L170" s="39" t="s">
        <v>66</v>
      </c>
      <c r="M170" s="39" t="str">
        <f>IFERROR(INDEX(Katalog!$A$3:$A$12,MATCH(cadangan[[#This Row],[ItemID B]],Katalog!$C$3:$C$12,0)),"-")</f>
        <v>Sepatu Pria</v>
      </c>
      <c r="N170" s="39" t="str">
        <f>IFERROR(INDEX(Katalog!$B$3:$B$12,MATCH(cadangan[[#This Row],[ItemID B]],Katalog!$C$3:$C$12,0)),"-")</f>
        <v>Sandal Slip On</v>
      </c>
      <c r="O170" s="50">
        <v>2</v>
      </c>
      <c r="P170" s="50">
        <v>5</v>
      </c>
      <c r="Q170" s="73">
        <f>IFERROR(INDEX(Katalog!$D$3:$D$12,MATCH(cadangan[[#This Row],[ItemID B]],Katalog!$C$3:$C$12,0))*cadangan[[#This Row],[Qty B]],0)</f>
        <v>300000</v>
      </c>
      <c r="R170" s="73">
        <f>IFERROR(cadangan[[#This Row],[Harga Normal B]]-(cadangan[[#This Row],[Harga Normal B]]*cadangan[[#This Row],[Diskon]]),cadangan[[#This Row],[Harga Normal B]])</f>
        <v>270000</v>
      </c>
      <c r="S170" s="73">
        <f>IFERROR(INDEX(Katalog!$F$3:$F$12,MATCH(cadangan[[#This Row],[ItemID B]],Katalog!$C$3:$C$12,0))*cadangan[[#This Row],[Qty B]],0)</f>
        <v>120000</v>
      </c>
      <c r="T170" s="73">
        <f>IFERROR(cadangan[[#This Row],[Harga Diskon B]]-INDEX(Katalog!$E$3:$E$12,MATCH(cadangan[[#This Row],[ItemID B]],Katalog!$C$3:$C$12,0))*cadangan[[#This Row],[Qty B]],0)</f>
        <v>90000</v>
      </c>
      <c r="V170" s="39" t="str">
        <f>IFERROR(INDEX(Katalog!$A$3:$A$12,MATCH(cadangan[[#This Row],[ItemID C]],Katalog!$C$3:$C$12,0)),"-")</f>
        <v>-</v>
      </c>
      <c r="W170" s="39" t="str">
        <f>IFERROR(INDEX(Katalog!$B$3:$B$12,MATCH(cadangan[[#This Row],[ItemID C]],Katalog!$C$3:$C$12,0)),"-")</f>
        <v>-</v>
      </c>
      <c r="Z170" s="73">
        <f>IFERROR(INDEX(Katalog!$D$3:$D$12,MATCH(cadangan[[#This Row],[ItemID C]],Katalog!$C$3:$C$12,0))*cadangan[[#This Row],[Qty C]],0)</f>
        <v>0</v>
      </c>
      <c r="AA170" s="73">
        <f>IFERROR(cadangan[[#This Row],[Harga Normal C]]-(cadangan[[#This Row],[Harga Normal C]]*cadangan[[#This Row],[Diskon]]),cadangan[[#This Row],[Harga Normal C]])</f>
        <v>0</v>
      </c>
      <c r="AB170" s="73">
        <f>IFERROR(INDEX(Katalog!$F$3:$F$12,MATCH(cadangan[[#This Row],[ItemID C]],Katalog!$C$3:$C$12,0))*cadangan[[#This Row],[Qty C]],0)</f>
        <v>0</v>
      </c>
      <c r="AC170" s="73">
        <f>IFERROR(cadangan[[#This Row],[Harga Diskon C]]-INDEX(Katalog!$E$3:$E$12,MATCH(cadangan[[#This Row],[ItemID C]],Katalog!$C$3:$C$12,0))*cadangan[[#This Row],[Qty C]],0)</f>
        <v>0</v>
      </c>
      <c r="AD170" s="53">
        <f>cadangan[[#This Row],[Qty A]]+cadangan[[#This Row],[Qty B]]+cadangan[[#This Row],[Qty C]]</f>
        <v>3</v>
      </c>
      <c r="AE170" s="73">
        <f>cadangan[[#This Row],[Harga Normal A]]+cadangan[[#This Row],[Harga Normal B]]+cadangan[[#This Row],[Harga Normal C]]</f>
        <v>600000</v>
      </c>
      <c r="AF170" s="73">
        <f>cadangan[[#This Row],[Harga Diskon A]]+cadangan[[#This Row],[Harga Diskon B]]+cadangan[[#This Row],[Harga Diskon C]]</f>
        <v>540000</v>
      </c>
      <c r="AG170" s="73">
        <f>(cadangan[[#This Row],[Profit Normal A]]+cadangan[[#This Row],[Profit Normal B]]+cadangan[[#This Row],[Profit Normal C]])</f>
        <v>220000</v>
      </c>
      <c r="AH170" s="73">
        <f>cadangan[[#This Row],[Profit Diskon A]]+cadangan[[#This Row],[Profit Diskon B]]+cadangan[[#This Row],[Profit Diskon C]]</f>
        <v>160000</v>
      </c>
      <c r="AI170" s="23" t="s">
        <v>31</v>
      </c>
      <c r="AJ170" s="37">
        <f>IFERROR(INDEX('Kode Diskon'!$D$3:$D$9,MATCH(cadangan[[#This Row],[Kode diskon]],'Kode Diskon'!$C$3:$C$9,0)),"-")</f>
        <v>0.1</v>
      </c>
      <c r="AK170" s="23" t="s">
        <v>9</v>
      </c>
      <c r="AL170" s="23" t="s">
        <v>10</v>
      </c>
      <c r="AM170" s="23" t="s">
        <v>80</v>
      </c>
      <c r="AN170" s="55">
        <v>45038</v>
      </c>
      <c r="AO170" s="53">
        <f>DAY(cadangan[[#This Row],[Tanggal terjual]])</f>
        <v>22</v>
      </c>
      <c r="AP170" s="21" t="str">
        <f>TEXT(cadangan[[#This Row],[Tanggal terjual]],"dddd")</f>
        <v>Saturday</v>
      </c>
      <c r="AQ170" s="23" t="str" cm="1">
        <f t="array" ref="AQ1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70" s="61">
        <f>AVERAGE(cadangan[[#This Row],[Rating A]],cadangan[[#This Row],[Rating B]],cadangan[[#This Row],[Rating C]])</f>
        <v>5</v>
      </c>
    </row>
    <row r="171" spans="1:44" x14ac:dyDescent="0.2">
      <c r="A171" s="20">
        <v>170</v>
      </c>
      <c r="B171" s="21" t="str">
        <f>_xlfn.CONCAT("ORD-",INDEX(Helper!$B$2:$B$5,MATCH(cadangan[[#This Row],[Marketplace]],Helper!$A$2:$A$5,0)),TEXT(cadangan[[#This Row],[No]],"0000"),"-",TEXT(cadangan[[#This Row],[Tanggal terjual]],"dd/mm/yy"))</f>
        <v>ORD-SP0170-27/04/23</v>
      </c>
      <c r="C171" s="39" t="s">
        <v>63</v>
      </c>
      <c r="D171" s="39" t="str">
        <f>IFERROR(INDEX(Katalog!$A$3:$A$12,MATCH(cadangan[[#This Row],[ItemID A]],Katalog!$C$3:$C$12,0)),"-")</f>
        <v>Pakaian Pria</v>
      </c>
      <c r="E171" s="39" t="str">
        <f>IFERROR(INDEX(Katalog!$B$3:$B$12,MATCH(cadangan[[#This Row],[ItemID A]],Katalog!$C$3:$C$12,0)),"-")</f>
        <v>Jaket Jeans</v>
      </c>
      <c r="F171" s="50">
        <v>1</v>
      </c>
      <c r="G171" s="50">
        <v>3</v>
      </c>
      <c r="H171" s="73">
        <f>IFERROR(INDEX(Katalog!$D$3:$D$12,MATCH(cadangan[[#This Row],[ItemID A]],Katalog!$C$3:$C$12,0))*cadangan[[#This Row],[Qty A]],0)</f>
        <v>400000</v>
      </c>
      <c r="I171" s="73">
        <f>IFERROR(cadangan[[#This Row],[Harga Normal A]]-(cadangan[[#This Row],[Harga Normal A]]*cadangan[[#This Row],[Diskon]]),cadangan[[#This Row],[Harga Normal A]])</f>
        <v>320000</v>
      </c>
      <c r="J171" s="73">
        <f>INDEX(Katalog!$F$3:$F$12,MATCH(cadangan[[#This Row],[ItemID A]],Katalog!$C$3:$C$12,0))*cadangan[[#This Row],[Qty A]]</f>
        <v>150000</v>
      </c>
      <c r="K171" s="73">
        <f>IFERROR(cadangan[[#This Row],[Harga Diskon A]]-INDEX(Katalog!$E$3:$E$12,MATCH(cadangan[[#This Row],[ItemID A]],Katalog!$C$3:$C$12,0))*cadangan[[#This Row],[Qty A]],0)</f>
        <v>70000</v>
      </c>
      <c r="M171" s="39" t="str">
        <f>IFERROR(INDEX(Katalog!$A$3:$A$12,MATCH(cadangan[[#This Row],[ItemID B]],Katalog!$C$3:$C$12,0)),"-")</f>
        <v>-</v>
      </c>
      <c r="N171" s="39" t="str">
        <f>IFERROR(INDEX(Katalog!$B$3:$B$12,MATCH(cadangan[[#This Row],[ItemID B]],Katalog!$C$3:$C$12,0)),"-")</f>
        <v>-</v>
      </c>
      <c r="Q171" s="73">
        <f>IFERROR(INDEX(Katalog!$D$3:$D$12,MATCH(cadangan[[#This Row],[ItemID B]],Katalog!$C$3:$C$12,0))*cadangan[[#This Row],[Qty B]],0)</f>
        <v>0</v>
      </c>
      <c r="R171" s="73">
        <f>IFERROR(cadangan[[#This Row],[Harga Normal B]]-(cadangan[[#This Row],[Harga Normal B]]*cadangan[[#This Row],[Diskon]]),cadangan[[#This Row],[Harga Normal B]])</f>
        <v>0</v>
      </c>
      <c r="S171" s="73">
        <f>IFERROR(INDEX(Katalog!$F$3:$F$12,MATCH(cadangan[[#This Row],[ItemID B]],Katalog!$C$3:$C$12,0))*cadangan[[#This Row],[Qty B]],0)</f>
        <v>0</v>
      </c>
      <c r="T171" s="73">
        <f>IFERROR(cadangan[[#This Row],[Harga Diskon B]]-INDEX(Katalog!$E$3:$E$12,MATCH(cadangan[[#This Row],[ItemID B]],Katalog!$C$3:$C$12,0))*cadangan[[#This Row],[Qty B]],0)</f>
        <v>0</v>
      </c>
      <c r="V171" s="39" t="str">
        <f>IFERROR(INDEX(Katalog!$A$3:$A$12,MATCH(cadangan[[#This Row],[ItemID C]],Katalog!$C$3:$C$12,0)),"-")</f>
        <v>-</v>
      </c>
      <c r="W171" s="39" t="str">
        <f>IFERROR(INDEX(Katalog!$B$3:$B$12,MATCH(cadangan[[#This Row],[ItemID C]],Katalog!$C$3:$C$12,0)),"-")</f>
        <v>-</v>
      </c>
      <c r="Z171" s="73">
        <f>IFERROR(INDEX(Katalog!$D$3:$D$12,MATCH(cadangan[[#This Row],[ItemID C]],Katalog!$C$3:$C$12,0))*cadangan[[#This Row],[Qty C]],0)</f>
        <v>0</v>
      </c>
      <c r="AA171" s="73">
        <f>IFERROR(cadangan[[#This Row],[Harga Normal C]]-(cadangan[[#This Row],[Harga Normal C]]*cadangan[[#This Row],[Diskon]]),cadangan[[#This Row],[Harga Normal C]])</f>
        <v>0</v>
      </c>
      <c r="AB171" s="73">
        <f>IFERROR(INDEX(Katalog!$F$3:$F$12,MATCH(cadangan[[#This Row],[ItemID C]],Katalog!$C$3:$C$12,0))*cadangan[[#This Row],[Qty C]],0)</f>
        <v>0</v>
      </c>
      <c r="AC171" s="73">
        <f>IFERROR(cadangan[[#This Row],[Harga Diskon C]]-INDEX(Katalog!$E$3:$E$12,MATCH(cadangan[[#This Row],[ItemID C]],Katalog!$C$3:$C$12,0))*cadangan[[#This Row],[Qty C]],0)</f>
        <v>0</v>
      </c>
      <c r="AD171" s="53">
        <f>cadangan[[#This Row],[Qty A]]+cadangan[[#This Row],[Qty B]]+cadangan[[#This Row],[Qty C]]</f>
        <v>1</v>
      </c>
      <c r="AE171" s="73">
        <f>cadangan[[#This Row],[Harga Normal A]]+cadangan[[#This Row],[Harga Normal B]]+cadangan[[#This Row],[Harga Normal C]]</f>
        <v>400000</v>
      </c>
      <c r="AF171" s="73">
        <f>cadangan[[#This Row],[Harga Diskon A]]+cadangan[[#This Row],[Harga Diskon B]]+cadangan[[#This Row],[Harga Diskon C]]</f>
        <v>320000</v>
      </c>
      <c r="AG171" s="73">
        <f>(cadangan[[#This Row],[Profit Normal A]]+cadangan[[#This Row],[Profit Normal B]]+cadangan[[#This Row],[Profit Normal C]])</f>
        <v>150000</v>
      </c>
      <c r="AH171" s="73">
        <f>cadangan[[#This Row],[Profit Diskon A]]+cadangan[[#This Row],[Profit Diskon B]]+cadangan[[#This Row],[Profit Diskon C]]</f>
        <v>70000</v>
      </c>
      <c r="AI171" s="23" t="s">
        <v>8</v>
      </c>
      <c r="AJ171" s="37">
        <f>IFERROR(INDEX('Kode Diskon'!$D$3:$D$9,MATCH(cadangan[[#This Row],[Kode diskon]],'Kode Diskon'!$C$3:$C$9,0)),"-")</f>
        <v>0.2</v>
      </c>
      <c r="AK171" s="23" t="s">
        <v>9</v>
      </c>
      <c r="AL171" s="23" t="s">
        <v>7</v>
      </c>
      <c r="AM171" s="23" t="s">
        <v>79</v>
      </c>
      <c r="AN171" s="55">
        <v>45043</v>
      </c>
      <c r="AO171" s="53">
        <f>DAY(cadangan[[#This Row],[Tanggal terjual]])</f>
        <v>27</v>
      </c>
      <c r="AP171" s="21" t="str">
        <f>TEXT(cadangan[[#This Row],[Tanggal terjual]],"dddd")</f>
        <v>Thursday</v>
      </c>
      <c r="AQ171" s="23" t="str" cm="1">
        <f t="array" ref="AQ1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71" s="61">
        <f>AVERAGE(cadangan[[#This Row],[Rating A]],cadangan[[#This Row],[Rating B]],cadangan[[#This Row],[Rating C]])</f>
        <v>3</v>
      </c>
    </row>
    <row r="172" spans="1:44" x14ac:dyDescent="0.2">
      <c r="A172" s="20">
        <v>171</v>
      </c>
      <c r="B172" s="21" t="str">
        <f>_xlfn.CONCAT("ORD-",INDEX(Helper!$B$2:$B$5,MATCH(cadangan[[#This Row],[Marketplace]],Helper!$A$2:$A$5,0)),TEXT(cadangan[[#This Row],[No]],"0000"),"-",TEXT(cadangan[[#This Row],[Tanggal terjual]],"dd/mm/yy"))</f>
        <v>ORD-SP0171-08/04/23</v>
      </c>
      <c r="C172" s="39" t="s">
        <v>62</v>
      </c>
      <c r="D172" s="39" t="str">
        <f>IFERROR(INDEX(Katalog!$A$3:$A$12,MATCH(cadangan[[#This Row],[ItemID A]],Katalog!$C$3:$C$12,0)),"-")</f>
        <v>Pakaian Pria</v>
      </c>
      <c r="E172" s="39" t="str">
        <f>IFERROR(INDEX(Katalog!$B$3:$B$12,MATCH(cadangan[[#This Row],[ItemID A]],Katalog!$C$3:$C$12,0)),"-")</f>
        <v>Celana Pendek</v>
      </c>
      <c r="F172" s="50">
        <v>3</v>
      </c>
      <c r="G172" s="50">
        <v>1</v>
      </c>
      <c r="H172" s="73">
        <f>IFERROR(INDEX(Katalog!$D$3:$D$12,MATCH(cadangan[[#This Row],[ItemID A]],Katalog!$C$3:$C$12,0))*cadangan[[#This Row],[Qty A]],0)</f>
        <v>540000</v>
      </c>
      <c r="I172" s="73">
        <f>IFERROR(cadangan[[#This Row],[Harga Normal A]]-(cadangan[[#This Row],[Harga Normal A]]*cadangan[[#This Row],[Diskon]]),cadangan[[#This Row],[Harga Normal A]])</f>
        <v>540000</v>
      </c>
      <c r="J172" s="73">
        <f>INDEX(Katalog!$F$3:$F$12,MATCH(cadangan[[#This Row],[ItemID A]],Katalog!$C$3:$C$12,0))*cadangan[[#This Row],[Qty A]]</f>
        <v>210000</v>
      </c>
      <c r="K172" s="73">
        <f>IFERROR(cadangan[[#This Row],[Harga Diskon A]]-INDEX(Katalog!$E$3:$E$12,MATCH(cadangan[[#This Row],[ItemID A]],Katalog!$C$3:$C$12,0))*cadangan[[#This Row],[Qty A]],0)</f>
        <v>210000</v>
      </c>
      <c r="L172" s="39" t="s">
        <v>66</v>
      </c>
      <c r="M172" s="39" t="str">
        <f>IFERROR(INDEX(Katalog!$A$3:$A$12,MATCH(cadangan[[#This Row],[ItemID B]],Katalog!$C$3:$C$12,0)),"-")</f>
        <v>Sepatu Pria</v>
      </c>
      <c r="N172" s="39" t="str">
        <f>IFERROR(INDEX(Katalog!$B$3:$B$12,MATCH(cadangan[[#This Row],[ItemID B]],Katalog!$C$3:$C$12,0)),"-")</f>
        <v>Sandal Slip On</v>
      </c>
      <c r="O172" s="50">
        <v>1</v>
      </c>
      <c r="P172" s="50">
        <v>2</v>
      </c>
      <c r="Q172" s="73">
        <f>IFERROR(INDEX(Katalog!$D$3:$D$12,MATCH(cadangan[[#This Row],[ItemID B]],Katalog!$C$3:$C$12,0))*cadangan[[#This Row],[Qty B]],0)</f>
        <v>150000</v>
      </c>
      <c r="R172" s="73">
        <f>IFERROR(cadangan[[#This Row],[Harga Normal B]]-(cadangan[[#This Row],[Harga Normal B]]*cadangan[[#This Row],[Diskon]]),cadangan[[#This Row],[Harga Normal B]])</f>
        <v>150000</v>
      </c>
      <c r="S172" s="73">
        <f>IFERROR(INDEX(Katalog!$F$3:$F$12,MATCH(cadangan[[#This Row],[ItemID B]],Katalog!$C$3:$C$12,0))*cadangan[[#This Row],[Qty B]],0)</f>
        <v>60000</v>
      </c>
      <c r="T172" s="73">
        <f>IFERROR(cadangan[[#This Row],[Harga Diskon B]]-INDEX(Katalog!$E$3:$E$12,MATCH(cadangan[[#This Row],[ItemID B]],Katalog!$C$3:$C$12,0))*cadangan[[#This Row],[Qty B]],0)</f>
        <v>60000</v>
      </c>
      <c r="U172" s="39" t="s">
        <v>60</v>
      </c>
      <c r="V172" s="39" t="str">
        <f>IFERROR(INDEX(Katalog!$A$3:$A$12,MATCH(cadangan[[#This Row],[ItemID C]],Katalog!$C$3:$C$12,0)),"-")</f>
        <v>Pakaian Wanita</v>
      </c>
      <c r="W172" s="39" t="str">
        <f>IFERROR(INDEX(Katalog!$B$3:$B$12,MATCH(cadangan[[#This Row],[ItemID C]],Katalog!$C$3:$C$12,0)),"-")</f>
        <v>Kaftan</v>
      </c>
      <c r="X172" s="50">
        <v>2</v>
      </c>
      <c r="Y172" s="50">
        <v>1</v>
      </c>
      <c r="Z172" s="73">
        <f>IFERROR(INDEX(Katalog!$D$3:$D$12,MATCH(cadangan[[#This Row],[ItemID C]],Katalog!$C$3:$C$12,0))*cadangan[[#This Row],[Qty C]],0)</f>
        <v>500000</v>
      </c>
      <c r="AA172" s="73">
        <f>IFERROR(cadangan[[#This Row],[Harga Normal C]]-(cadangan[[#This Row],[Harga Normal C]]*cadangan[[#This Row],[Diskon]]),cadangan[[#This Row],[Harga Normal C]])</f>
        <v>500000</v>
      </c>
      <c r="AB172" s="73">
        <f>IFERROR(INDEX(Katalog!$F$3:$F$12,MATCH(cadangan[[#This Row],[ItemID C]],Katalog!$C$3:$C$12,0))*cadangan[[#This Row],[Qty C]],0)</f>
        <v>200000</v>
      </c>
      <c r="AC172" s="73">
        <f>IFERROR(cadangan[[#This Row],[Harga Diskon C]]-INDEX(Katalog!$E$3:$E$12,MATCH(cadangan[[#This Row],[ItemID C]],Katalog!$C$3:$C$12,0))*cadangan[[#This Row],[Qty C]],0)</f>
        <v>200000</v>
      </c>
      <c r="AD172" s="53">
        <f>cadangan[[#This Row],[Qty A]]+cadangan[[#This Row],[Qty B]]+cadangan[[#This Row],[Qty C]]</f>
        <v>6</v>
      </c>
      <c r="AE172" s="73">
        <f>cadangan[[#This Row],[Harga Normal A]]+cadangan[[#This Row],[Harga Normal B]]+cadangan[[#This Row],[Harga Normal C]]</f>
        <v>1190000</v>
      </c>
      <c r="AF172" s="73">
        <f>cadangan[[#This Row],[Harga Diskon A]]+cadangan[[#This Row],[Harga Diskon B]]+cadangan[[#This Row],[Harga Diskon C]]</f>
        <v>1190000</v>
      </c>
      <c r="AG172" s="73">
        <f>(cadangan[[#This Row],[Profit Normal A]]+cadangan[[#This Row],[Profit Normal B]]+cadangan[[#This Row],[Profit Normal C]])</f>
        <v>470000</v>
      </c>
      <c r="AH172" s="73">
        <f>cadangan[[#This Row],[Profit Diskon A]]+cadangan[[#This Row],[Profit Diskon B]]+cadangan[[#This Row],[Profit Diskon C]]</f>
        <v>470000</v>
      </c>
      <c r="AI172" s="23" t="s">
        <v>290</v>
      </c>
      <c r="AJ172" s="37" t="str">
        <f>IFERROR(INDEX('Kode Diskon'!$D$3:$D$9,MATCH(cadangan[[#This Row],[Kode diskon]],'Kode Diskon'!$C$3:$C$9,0)),"-")</f>
        <v>-</v>
      </c>
      <c r="AK172" s="23" t="s">
        <v>290</v>
      </c>
      <c r="AL172" s="23" t="s">
        <v>7</v>
      </c>
      <c r="AM172" s="23" t="s">
        <v>77</v>
      </c>
      <c r="AN172" s="55">
        <v>45024</v>
      </c>
      <c r="AO172" s="53">
        <f>DAY(cadangan[[#This Row],[Tanggal terjual]])</f>
        <v>8</v>
      </c>
      <c r="AP172" s="21" t="str">
        <f>TEXT(cadangan[[#This Row],[Tanggal terjual]],"dddd")</f>
        <v>Saturday</v>
      </c>
      <c r="AQ172" s="23" t="str" cm="1">
        <f t="array" ref="AQ1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172" s="61">
        <f>AVERAGE(cadangan[[#This Row],[Rating A]],cadangan[[#This Row],[Rating B]],cadangan[[#This Row],[Rating C]])</f>
        <v>1.3333333333333333</v>
      </c>
    </row>
    <row r="173" spans="1:44" x14ac:dyDescent="0.2">
      <c r="A173" s="20">
        <v>172</v>
      </c>
      <c r="B173" s="21" t="str">
        <f>_xlfn.CONCAT("ORD-",INDEX(Helper!$B$2:$B$5,MATCH(cadangan[[#This Row],[Marketplace]],Helper!$A$2:$A$5,0)),TEXT(cadangan[[#This Row],[No]],"0000"),"-",TEXT(cadangan[[#This Row],[Tanggal terjual]],"dd/mm/yy"))</f>
        <v>ORD-TK0172-04/04/23</v>
      </c>
      <c r="C173" s="39" t="s">
        <v>63</v>
      </c>
      <c r="D173" s="39" t="str">
        <f>IFERROR(INDEX(Katalog!$A$3:$A$12,MATCH(cadangan[[#This Row],[ItemID A]],Katalog!$C$3:$C$12,0)),"-")</f>
        <v>Pakaian Pria</v>
      </c>
      <c r="E173" s="39" t="str">
        <f>IFERROR(INDEX(Katalog!$B$3:$B$12,MATCH(cadangan[[#This Row],[ItemID A]],Katalog!$C$3:$C$12,0)),"-")</f>
        <v>Jaket Jeans</v>
      </c>
      <c r="F173" s="50">
        <v>3</v>
      </c>
      <c r="G173" s="50">
        <v>3</v>
      </c>
      <c r="H173" s="73">
        <f>IFERROR(INDEX(Katalog!$D$3:$D$12,MATCH(cadangan[[#This Row],[ItemID A]],Katalog!$C$3:$C$12,0))*cadangan[[#This Row],[Qty A]],0)</f>
        <v>1200000</v>
      </c>
      <c r="I173" s="73">
        <f>IFERROR(cadangan[[#This Row],[Harga Normal A]]-(cadangan[[#This Row],[Harga Normal A]]*cadangan[[#This Row],[Diskon]]),cadangan[[#This Row],[Harga Normal A]])</f>
        <v>1080000</v>
      </c>
      <c r="J173" s="73">
        <f>INDEX(Katalog!$F$3:$F$12,MATCH(cadangan[[#This Row],[ItemID A]],Katalog!$C$3:$C$12,0))*cadangan[[#This Row],[Qty A]]</f>
        <v>450000</v>
      </c>
      <c r="K173" s="73">
        <f>IFERROR(cadangan[[#This Row],[Harga Diskon A]]-INDEX(Katalog!$E$3:$E$12,MATCH(cadangan[[#This Row],[ItemID A]],Katalog!$C$3:$C$12,0))*cadangan[[#This Row],[Qty A]],0)</f>
        <v>330000</v>
      </c>
      <c r="L173" s="39" t="s">
        <v>66</v>
      </c>
      <c r="M173" s="39" t="str">
        <f>IFERROR(INDEX(Katalog!$A$3:$A$12,MATCH(cadangan[[#This Row],[ItemID B]],Katalog!$C$3:$C$12,0)),"-")</f>
        <v>Sepatu Pria</v>
      </c>
      <c r="N173" s="39" t="str">
        <f>IFERROR(INDEX(Katalog!$B$3:$B$12,MATCH(cadangan[[#This Row],[ItemID B]],Katalog!$C$3:$C$12,0)),"-")</f>
        <v>Sandal Slip On</v>
      </c>
      <c r="O173" s="50">
        <v>1</v>
      </c>
      <c r="P173" s="50">
        <v>1</v>
      </c>
      <c r="Q173" s="73">
        <f>IFERROR(INDEX(Katalog!$D$3:$D$12,MATCH(cadangan[[#This Row],[ItemID B]],Katalog!$C$3:$C$12,0))*cadangan[[#This Row],[Qty B]],0)</f>
        <v>150000</v>
      </c>
      <c r="R173" s="73">
        <f>IFERROR(cadangan[[#This Row],[Harga Normal B]]-(cadangan[[#This Row],[Harga Normal B]]*cadangan[[#This Row],[Diskon]]),cadangan[[#This Row],[Harga Normal B]])</f>
        <v>135000</v>
      </c>
      <c r="S173" s="73">
        <f>IFERROR(INDEX(Katalog!$F$3:$F$12,MATCH(cadangan[[#This Row],[ItemID B]],Katalog!$C$3:$C$12,0))*cadangan[[#This Row],[Qty B]],0)</f>
        <v>60000</v>
      </c>
      <c r="T173" s="73">
        <f>IFERROR(cadangan[[#This Row],[Harga Diskon B]]-INDEX(Katalog!$E$3:$E$12,MATCH(cadangan[[#This Row],[ItemID B]],Katalog!$C$3:$C$12,0))*cadangan[[#This Row],[Qty B]],0)</f>
        <v>45000</v>
      </c>
      <c r="V173" s="39" t="str">
        <f>IFERROR(INDEX(Katalog!$A$3:$A$12,MATCH(cadangan[[#This Row],[ItemID C]],Katalog!$C$3:$C$12,0)),"-")</f>
        <v>-</v>
      </c>
      <c r="W173" s="39" t="str">
        <f>IFERROR(INDEX(Katalog!$B$3:$B$12,MATCH(cadangan[[#This Row],[ItemID C]],Katalog!$C$3:$C$12,0)),"-")</f>
        <v>-</v>
      </c>
      <c r="Z173" s="73">
        <f>IFERROR(INDEX(Katalog!$D$3:$D$12,MATCH(cadangan[[#This Row],[ItemID C]],Katalog!$C$3:$C$12,0))*cadangan[[#This Row],[Qty C]],0)</f>
        <v>0</v>
      </c>
      <c r="AA173" s="73">
        <f>IFERROR(cadangan[[#This Row],[Harga Normal C]]-(cadangan[[#This Row],[Harga Normal C]]*cadangan[[#This Row],[Diskon]]),cadangan[[#This Row],[Harga Normal C]])</f>
        <v>0</v>
      </c>
      <c r="AB173" s="73">
        <f>IFERROR(INDEX(Katalog!$F$3:$F$12,MATCH(cadangan[[#This Row],[ItemID C]],Katalog!$C$3:$C$12,0))*cadangan[[#This Row],[Qty C]],0)</f>
        <v>0</v>
      </c>
      <c r="AC173" s="73">
        <f>IFERROR(cadangan[[#This Row],[Harga Diskon C]]-INDEX(Katalog!$E$3:$E$12,MATCH(cadangan[[#This Row],[ItemID C]],Katalog!$C$3:$C$12,0))*cadangan[[#This Row],[Qty C]],0)</f>
        <v>0</v>
      </c>
      <c r="AD173" s="53">
        <f>cadangan[[#This Row],[Qty A]]+cadangan[[#This Row],[Qty B]]+cadangan[[#This Row],[Qty C]]</f>
        <v>4</v>
      </c>
      <c r="AE173" s="73">
        <f>cadangan[[#This Row],[Harga Normal A]]+cadangan[[#This Row],[Harga Normal B]]+cadangan[[#This Row],[Harga Normal C]]</f>
        <v>1350000</v>
      </c>
      <c r="AF173" s="73">
        <f>cadangan[[#This Row],[Harga Diskon A]]+cadangan[[#This Row],[Harga Diskon B]]+cadangan[[#This Row],[Harga Diskon C]]</f>
        <v>1215000</v>
      </c>
      <c r="AG173" s="73">
        <f>(cadangan[[#This Row],[Profit Normal A]]+cadangan[[#This Row],[Profit Normal B]]+cadangan[[#This Row],[Profit Normal C]])</f>
        <v>510000</v>
      </c>
      <c r="AH173" s="73">
        <f>cadangan[[#This Row],[Profit Diskon A]]+cadangan[[#This Row],[Profit Diskon B]]+cadangan[[#This Row],[Profit Diskon C]]</f>
        <v>375000</v>
      </c>
      <c r="AI173" s="23" t="s">
        <v>30</v>
      </c>
      <c r="AJ173" s="37">
        <f>IFERROR(INDEX('Kode Diskon'!$D$3:$D$9,MATCH(cadangan[[#This Row],[Kode diskon]],'Kode Diskon'!$C$3:$C$9,0)),"-")</f>
        <v>0.1</v>
      </c>
      <c r="AK173" s="23" t="s">
        <v>29</v>
      </c>
      <c r="AL173" s="23" t="s">
        <v>10</v>
      </c>
      <c r="AM173" s="23" t="s">
        <v>76</v>
      </c>
      <c r="AN173" s="55">
        <v>45020</v>
      </c>
      <c r="AO173" s="53">
        <f>DAY(cadangan[[#This Row],[Tanggal terjual]])</f>
        <v>4</v>
      </c>
      <c r="AP173" s="21" t="str">
        <f>TEXT(cadangan[[#This Row],[Tanggal terjual]],"dddd")</f>
        <v>Tuesday</v>
      </c>
      <c r="AQ173" s="23" t="str" cm="1">
        <f t="array" ref="AQ1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73" s="61">
        <f>AVERAGE(cadangan[[#This Row],[Rating A]],cadangan[[#This Row],[Rating B]],cadangan[[#This Row],[Rating C]])</f>
        <v>2</v>
      </c>
    </row>
    <row r="174" spans="1:44" x14ac:dyDescent="0.2">
      <c r="A174" s="20">
        <v>173</v>
      </c>
      <c r="B174" s="21" t="str">
        <f>_xlfn.CONCAT("ORD-",INDEX(Helper!$B$2:$B$5,MATCH(cadangan[[#This Row],[Marketplace]],Helper!$A$2:$A$5,0)),TEXT(cadangan[[#This Row],[No]],"0000"),"-",TEXT(cadangan[[#This Row],[Tanggal terjual]],"dd/mm/yy"))</f>
        <v>ORD-BB0173-03/04/23</v>
      </c>
      <c r="C174" s="39" t="s">
        <v>59</v>
      </c>
      <c r="D174" s="39" t="str">
        <f>IFERROR(INDEX(Katalog!$A$3:$A$12,MATCH(cadangan[[#This Row],[ItemID A]],Katalog!$C$3:$C$12,0)),"-")</f>
        <v>Pakaian Wanita</v>
      </c>
      <c r="E174" s="39" t="str">
        <f>IFERROR(INDEX(Katalog!$B$3:$B$12,MATCH(cadangan[[#This Row],[ItemID A]],Katalog!$C$3:$C$12,0)),"-")</f>
        <v>Blouse</v>
      </c>
      <c r="F174" s="50">
        <v>6</v>
      </c>
      <c r="G174" s="50">
        <v>3</v>
      </c>
      <c r="H174" s="73">
        <f>IFERROR(INDEX(Katalog!$D$3:$D$12,MATCH(cadangan[[#This Row],[ItemID A]],Katalog!$C$3:$C$12,0))*cadangan[[#This Row],[Qty A]],0)</f>
        <v>900000</v>
      </c>
      <c r="I174" s="73">
        <f>IFERROR(cadangan[[#This Row],[Harga Normal A]]-(cadangan[[#This Row],[Harga Normal A]]*cadangan[[#This Row],[Diskon]]),cadangan[[#This Row],[Harga Normal A]])</f>
        <v>765000</v>
      </c>
      <c r="J174" s="73">
        <f>INDEX(Katalog!$F$3:$F$12,MATCH(cadangan[[#This Row],[ItemID A]],Katalog!$C$3:$C$12,0))*cadangan[[#This Row],[Qty A]]</f>
        <v>300000</v>
      </c>
      <c r="K174" s="73">
        <f>IFERROR(cadangan[[#This Row],[Harga Diskon A]]-INDEX(Katalog!$E$3:$E$12,MATCH(cadangan[[#This Row],[ItemID A]],Katalog!$C$3:$C$12,0))*cadangan[[#This Row],[Qty A]],0)</f>
        <v>165000</v>
      </c>
      <c r="L174" s="39" t="s">
        <v>67</v>
      </c>
      <c r="M174" s="39" t="str">
        <f>IFERROR(INDEX(Katalog!$A$3:$A$12,MATCH(cadangan[[#This Row],[ItemID B]],Katalog!$C$3:$C$12,0)),"-")</f>
        <v>Sepatu Wanita</v>
      </c>
      <c r="N174" s="39" t="str">
        <f>IFERROR(INDEX(Katalog!$B$3:$B$12,MATCH(cadangan[[#This Row],[ItemID B]],Katalog!$C$3:$C$12,0)),"-")</f>
        <v>Flat Shoes</v>
      </c>
      <c r="O174" s="50">
        <v>1</v>
      </c>
      <c r="P174" s="50">
        <v>4</v>
      </c>
      <c r="Q174" s="73">
        <f>IFERROR(INDEX(Katalog!$D$3:$D$12,MATCH(cadangan[[#This Row],[ItemID B]],Katalog!$C$3:$C$12,0))*cadangan[[#This Row],[Qty B]],0)</f>
        <v>250000</v>
      </c>
      <c r="R174" s="73">
        <f>IFERROR(cadangan[[#This Row],[Harga Normal B]]-(cadangan[[#This Row],[Harga Normal B]]*cadangan[[#This Row],[Diskon]]),cadangan[[#This Row],[Harga Normal B]])</f>
        <v>212500</v>
      </c>
      <c r="S174" s="73">
        <f>IFERROR(INDEX(Katalog!$F$3:$F$12,MATCH(cadangan[[#This Row],[ItemID B]],Katalog!$C$3:$C$12,0))*cadangan[[#This Row],[Qty B]],0)</f>
        <v>100000</v>
      </c>
      <c r="T174" s="73">
        <f>IFERROR(cadangan[[#This Row],[Harga Diskon B]]-INDEX(Katalog!$E$3:$E$12,MATCH(cadangan[[#This Row],[ItemID B]],Katalog!$C$3:$C$12,0))*cadangan[[#This Row],[Qty B]],0)</f>
        <v>62500</v>
      </c>
      <c r="V174" s="39" t="str">
        <f>IFERROR(INDEX(Katalog!$A$3:$A$12,MATCH(cadangan[[#This Row],[ItemID C]],Katalog!$C$3:$C$12,0)),"-")</f>
        <v>-</v>
      </c>
      <c r="W174" s="39" t="str">
        <f>IFERROR(INDEX(Katalog!$B$3:$B$12,MATCH(cadangan[[#This Row],[ItemID C]],Katalog!$C$3:$C$12,0)),"-")</f>
        <v>-</v>
      </c>
      <c r="Z174" s="73">
        <f>IFERROR(INDEX(Katalog!$D$3:$D$12,MATCH(cadangan[[#This Row],[ItemID C]],Katalog!$C$3:$C$12,0))*cadangan[[#This Row],[Qty C]],0)</f>
        <v>0</v>
      </c>
      <c r="AA174" s="73">
        <f>IFERROR(cadangan[[#This Row],[Harga Normal C]]-(cadangan[[#This Row],[Harga Normal C]]*cadangan[[#This Row],[Diskon]]),cadangan[[#This Row],[Harga Normal C]])</f>
        <v>0</v>
      </c>
      <c r="AB174" s="73">
        <f>IFERROR(INDEX(Katalog!$F$3:$F$12,MATCH(cadangan[[#This Row],[ItemID C]],Katalog!$C$3:$C$12,0))*cadangan[[#This Row],[Qty C]],0)</f>
        <v>0</v>
      </c>
      <c r="AC174" s="73">
        <f>IFERROR(cadangan[[#This Row],[Harga Diskon C]]-INDEX(Katalog!$E$3:$E$12,MATCH(cadangan[[#This Row],[ItemID C]],Katalog!$C$3:$C$12,0))*cadangan[[#This Row],[Qty C]],0)</f>
        <v>0</v>
      </c>
      <c r="AD174" s="53">
        <f>cadangan[[#This Row],[Qty A]]+cadangan[[#This Row],[Qty B]]+cadangan[[#This Row],[Qty C]]</f>
        <v>7</v>
      </c>
      <c r="AE174" s="73">
        <f>cadangan[[#This Row],[Harga Normal A]]+cadangan[[#This Row],[Harga Normal B]]+cadangan[[#This Row],[Harga Normal C]]</f>
        <v>1150000</v>
      </c>
      <c r="AF174" s="73">
        <f>cadangan[[#This Row],[Harga Diskon A]]+cadangan[[#This Row],[Harga Diskon B]]+cadangan[[#This Row],[Harga Diskon C]]</f>
        <v>977500</v>
      </c>
      <c r="AG174" s="73">
        <f>(cadangan[[#This Row],[Profit Normal A]]+cadangan[[#This Row],[Profit Normal B]]+cadangan[[#This Row],[Profit Normal C]])</f>
        <v>400000</v>
      </c>
      <c r="AH174" s="73">
        <f>cadangan[[#This Row],[Profit Diskon A]]+cadangan[[#This Row],[Profit Diskon B]]+cadangan[[#This Row],[Profit Diskon C]]</f>
        <v>227500</v>
      </c>
      <c r="AI174" s="23" t="s">
        <v>28</v>
      </c>
      <c r="AJ174" s="37">
        <f>IFERROR(INDEX('Kode Diskon'!$D$3:$D$9,MATCH(cadangan[[#This Row],[Kode diskon]],'Kode Diskon'!$C$3:$C$9,0)),"-")</f>
        <v>0.15</v>
      </c>
      <c r="AK174" s="23" t="s">
        <v>29</v>
      </c>
      <c r="AL174" s="23" t="s">
        <v>14</v>
      </c>
      <c r="AM174" s="23" t="s">
        <v>79</v>
      </c>
      <c r="AN174" s="55">
        <v>45019</v>
      </c>
      <c r="AO174" s="53">
        <f>DAY(cadangan[[#This Row],[Tanggal terjual]])</f>
        <v>3</v>
      </c>
      <c r="AP174" s="21" t="str">
        <f>TEXT(cadangan[[#This Row],[Tanggal terjual]],"dddd")</f>
        <v>Monday</v>
      </c>
      <c r="AQ174" s="23" t="str" cm="1">
        <f t="array" ref="AQ1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74" s="61">
        <f>AVERAGE(cadangan[[#This Row],[Rating A]],cadangan[[#This Row],[Rating B]],cadangan[[#This Row],[Rating C]])</f>
        <v>3.5</v>
      </c>
    </row>
    <row r="175" spans="1:44" x14ac:dyDescent="0.2">
      <c r="A175" s="20">
        <v>174</v>
      </c>
      <c r="B175" s="21" t="str">
        <f>_xlfn.CONCAT("ORD-",INDEX(Helper!$B$2:$B$5,MATCH(cadangan[[#This Row],[Marketplace]],Helper!$A$2:$A$5,0)),TEXT(cadangan[[#This Row],[No]],"0000"),"-",TEXT(cadangan[[#This Row],[Tanggal terjual]],"dd/mm/yy"))</f>
        <v>ORD-SP0174-24/04/23</v>
      </c>
      <c r="C175" s="39" t="s">
        <v>64</v>
      </c>
      <c r="D175" s="39" t="str">
        <f>IFERROR(INDEX(Katalog!$A$3:$A$12,MATCH(cadangan[[#This Row],[ItemID A]],Katalog!$C$3:$C$12,0)),"-")</f>
        <v>Pakaian Unisex</v>
      </c>
      <c r="E175" s="39" t="str">
        <f>IFERROR(INDEX(Katalog!$B$3:$B$12,MATCH(cadangan[[#This Row],[ItemID A]],Katalog!$C$3:$C$12,0)),"-")</f>
        <v>Jaket Hoodie</v>
      </c>
      <c r="F175" s="50">
        <v>1</v>
      </c>
      <c r="G175" s="50">
        <v>2</v>
      </c>
      <c r="H175" s="73">
        <f>IFERROR(INDEX(Katalog!$D$3:$D$12,MATCH(cadangan[[#This Row],[ItemID A]],Katalog!$C$3:$C$12,0))*cadangan[[#This Row],[Qty A]],0)</f>
        <v>350000</v>
      </c>
      <c r="I175" s="73">
        <f>IFERROR(cadangan[[#This Row],[Harga Normal A]]-(cadangan[[#This Row],[Harga Normal A]]*cadangan[[#This Row],[Diskon]]),cadangan[[#This Row],[Harga Normal A]])</f>
        <v>280000</v>
      </c>
      <c r="J175" s="73">
        <f>INDEX(Katalog!$F$3:$F$12,MATCH(cadangan[[#This Row],[ItemID A]],Katalog!$C$3:$C$12,0))*cadangan[[#This Row],[Qty A]]</f>
        <v>130000</v>
      </c>
      <c r="K175" s="73">
        <f>IFERROR(cadangan[[#This Row],[Harga Diskon A]]-INDEX(Katalog!$E$3:$E$12,MATCH(cadangan[[#This Row],[ItemID A]],Katalog!$C$3:$C$12,0))*cadangan[[#This Row],[Qty A]],0)</f>
        <v>60000</v>
      </c>
      <c r="M175" s="39" t="str">
        <f>IFERROR(INDEX(Katalog!$A$3:$A$12,MATCH(cadangan[[#This Row],[ItemID B]],Katalog!$C$3:$C$12,0)),"-")</f>
        <v>-</v>
      </c>
      <c r="N175" s="39" t="str">
        <f>IFERROR(INDEX(Katalog!$B$3:$B$12,MATCH(cadangan[[#This Row],[ItemID B]],Katalog!$C$3:$C$12,0)),"-")</f>
        <v>-</v>
      </c>
      <c r="Q175" s="73">
        <f>IFERROR(INDEX(Katalog!$D$3:$D$12,MATCH(cadangan[[#This Row],[ItemID B]],Katalog!$C$3:$C$12,0))*cadangan[[#This Row],[Qty B]],0)</f>
        <v>0</v>
      </c>
      <c r="R175" s="73">
        <f>IFERROR(cadangan[[#This Row],[Harga Normal B]]-(cadangan[[#This Row],[Harga Normal B]]*cadangan[[#This Row],[Diskon]]),cadangan[[#This Row],[Harga Normal B]])</f>
        <v>0</v>
      </c>
      <c r="S175" s="73">
        <f>IFERROR(INDEX(Katalog!$F$3:$F$12,MATCH(cadangan[[#This Row],[ItemID B]],Katalog!$C$3:$C$12,0))*cadangan[[#This Row],[Qty B]],0)</f>
        <v>0</v>
      </c>
      <c r="T175" s="73">
        <f>IFERROR(cadangan[[#This Row],[Harga Diskon B]]-INDEX(Katalog!$E$3:$E$12,MATCH(cadangan[[#This Row],[ItemID B]],Katalog!$C$3:$C$12,0))*cadangan[[#This Row],[Qty B]],0)</f>
        <v>0</v>
      </c>
      <c r="V175" s="39" t="str">
        <f>IFERROR(INDEX(Katalog!$A$3:$A$12,MATCH(cadangan[[#This Row],[ItemID C]],Katalog!$C$3:$C$12,0)),"-")</f>
        <v>-</v>
      </c>
      <c r="W175" s="39" t="str">
        <f>IFERROR(INDEX(Katalog!$B$3:$B$12,MATCH(cadangan[[#This Row],[ItemID C]],Katalog!$C$3:$C$12,0)),"-")</f>
        <v>-</v>
      </c>
      <c r="Z175" s="73">
        <f>IFERROR(INDEX(Katalog!$D$3:$D$12,MATCH(cadangan[[#This Row],[ItemID C]],Katalog!$C$3:$C$12,0))*cadangan[[#This Row],[Qty C]],0)</f>
        <v>0</v>
      </c>
      <c r="AA175" s="73">
        <f>IFERROR(cadangan[[#This Row],[Harga Normal C]]-(cadangan[[#This Row],[Harga Normal C]]*cadangan[[#This Row],[Diskon]]),cadangan[[#This Row],[Harga Normal C]])</f>
        <v>0</v>
      </c>
      <c r="AB175" s="73">
        <f>IFERROR(INDEX(Katalog!$F$3:$F$12,MATCH(cadangan[[#This Row],[ItemID C]],Katalog!$C$3:$C$12,0))*cadangan[[#This Row],[Qty C]],0)</f>
        <v>0</v>
      </c>
      <c r="AC175" s="73">
        <f>IFERROR(cadangan[[#This Row],[Harga Diskon C]]-INDEX(Katalog!$E$3:$E$12,MATCH(cadangan[[#This Row],[ItemID C]],Katalog!$C$3:$C$12,0))*cadangan[[#This Row],[Qty C]],0)</f>
        <v>0</v>
      </c>
      <c r="AD175" s="53">
        <f>cadangan[[#This Row],[Qty A]]+cadangan[[#This Row],[Qty B]]+cadangan[[#This Row],[Qty C]]</f>
        <v>1</v>
      </c>
      <c r="AE175" s="73">
        <f>cadangan[[#This Row],[Harga Normal A]]+cadangan[[#This Row],[Harga Normal B]]+cadangan[[#This Row],[Harga Normal C]]</f>
        <v>350000</v>
      </c>
      <c r="AF175" s="73">
        <f>cadangan[[#This Row],[Harga Diskon A]]+cadangan[[#This Row],[Harga Diskon B]]+cadangan[[#This Row],[Harga Diskon C]]</f>
        <v>280000</v>
      </c>
      <c r="AG175" s="73">
        <f>(cadangan[[#This Row],[Profit Normal A]]+cadangan[[#This Row],[Profit Normal B]]+cadangan[[#This Row],[Profit Normal C]])</f>
        <v>130000</v>
      </c>
      <c r="AH175" s="73">
        <f>cadangan[[#This Row],[Profit Diskon A]]+cadangan[[#This Row],[Profit Diskon B]]+cadangan[[#This Row],[Profit Diskon C]]</f>
        <v>60000</v>
      </c>
      <c r="AI175" s="23" t="s">
        <v>8</v>
      </c>
      <c r="AJ175" s="37">
        <f>IFERROR(INDEX('Kode Diskon'!$D$3:$D$9,MATCH(cadangan[[#This Row],[Kode diskon]],'Kode Diskon'!$C$3:$C$9,0)),"-")</f>
        <v>0.2</v>
      </c>
      <c r="AK175" s="23" t="s">
        <v>9</v>
      </c>
      <c r="AL175" s="23" t="s">
        <v>7</v>
      </c>
      <c r="AM175" s="23" t="s">
        <v>80</v>
      </c>
      <c r="AN175" s="55">
        <v>45040</v>
      </c>
      <c r="AO175" s="53">
        <f>DAY(cadangan[[#This Row],[Tanggal terjual]])</f>
        <v>24</v>
      </c>
      <c r="AP175" s="21" t="str">
        <f>TEXT(cadangan[[#This Row],[Tanggal terjual]],"dddd")</f>
        <v>Monday</v>
      </c>
      <c r="AQ175" s="23" t="str" cm="1">
        <f t="array" ref="AQ1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75" s="61">
        <f>AVERAGE(cadangan[[#This Row],[Rating A]],cadangan[[#This Row],[Rating B]],cadangan[[#This Row],[Rating C]])</f>
        <v>2</v>
      </c>
    </row>
    <row r="176" spans="1:44" x14ac:dyDescent="0.2">
      <c r="A176" s="20">
        <v>175</v>
      </c>
      <c r="B176" s="21" t="str">
        <f>_xlfn.CONCAT("ORD-",INDEX(Helper!$B$2:$B$5,MATCH(cadangan[[#This Row],[Marketplace]],Helper!$A$2:$A$5,0)),TEXT(cadangan[[#This Row],[No]],"0000"),"-",TEXT(cadangan[[#This Row],[Tanggal terjual]],"dd/mm/yy"))</f>
        <v>ORD-BB0175-06/04/23</v>
      </c>
      <c r="C176" s="39" t="s">
        <v>62</v>
      </c>
      <c r="D176" s="39" t="str">
        <f>IFERROR(INDEX(Katalog!$A$3:$A$12,MATCH(cadangan[[#This Row],[ItemID A]],Katalog!$C$3:$C$12,0)),"-")</f>
        <v>Pakaian Pria</v>
      </c>
      <c r="E176" s="39" t="str">
        <f>IFERROR(INDEX(Katalog!$B$3:$B$12,MATCH(cadangan[[#This Row],[ItemID A]],Katalog!$C$3:$C$12,0)),"-")</f>
        <v>Celana Pendek</v>
      </c>
      <c r="F176" s="50">
        <v>2</v>
      </c>
      <c r="G176" s="50">
        <v>4</v>
      </c>
      <c r="H176" s="73">
        <f>IFERROR(INDEX(Katalog!$D$3:$D$12,MATCH(cadangan[[#This Row],[ItemID A]],Katalog!$C$3:$C$12,0))*cadangan[[#This Row],[Qty A]],0)</f>
        <v>360000</v>
      </c>
      <c r="I176" s="73">
        <f>IFERROR(cadangan[[#This Row],[Harga Normal A]]-(cadangan[[#This Row],[Harga Normal A]]*cadangan[[#This Row],[Diskon]]),cadangan[[#This Row],[Harga Normal A]])</f>
        <v>306000</v>
      </c>
      <c r="J176" s="73">
        <f>INDEX(Katalog!$F$3:$F$12,MATCH(cadangan[[#This Row],[ItemID A]],Katalog!$C$3:$C$12,0))*cadangan[[#This Row],[Qty A]]</f>
        <v>140000</v>
      </c>
      <c r="K176" s="73">
        <f>IFERROR(cadangan[[#This Row],[Harga Diskon A]]-INDEX(Katalog!$E$3:$E$12,MATCH(cadangan[[#This Row],[ItemID A]],Katalog!$C$3:$C$12,0))*cadangan[[#This Row],[Qty A]],0)</f>
        <v>86000</v>
      </c>
      <c r="M176" s="39" t="str">
        <f>IFERROR(INDEX(Katalog!$A$3:$A$12,MATCH(cadangan[[#This Row],[ItemID B]],Katalog!$C$3:$C$12,0)),"-")</f>
        <v>-</v>
      </c>
      <c r="N176" s="39" t="str">
        <f>IFERROR(INDEX(Katalog!$B$3:$B$12,MATCH(cadangan[[#This Row],[ItemID B]],Katalog!$C$3:$C$12,0)),"-")</f>
        <v>-</v>
      </c>
      <c r="Q176" s="73">
        <f>IFERROR(INDEX(Katalog!$D$3:$D$12,MATCH(cadangan[[#This Row],[ItemID B]],Katalog!$C$3:$C$12,0))*cadangan[[#This Row],[Qty B]],0)</f>
        <v>0</v>
      </c>
      <c r="R176" s="73">
        <f>IFERROR(cadangan[[#This Row],[Harga Normal B]]-(cadangan[[#This Row],[Harga Normal B]]*cadangan[[#This Row],[Diskon]]),cadangan[[#This Row],[Harga Normal B]])</f>
        <v>0</v>
      </c>
      <c r="S176" s="73">
        <f>IFERROR(INDEX(Katalog!$F$3:$F$12,MATCH(cadangan[[#This Row],[ItemID B]],Katalog!$C$3:$C$12,0))*cadangan[[#This Row],[Qty B]],0)</f>
        <v>0</v>
      </c>
      <c r="T176" s="73">
        <f>IFERROR(cadangan[[#This Row],[Harga Diskon B]]-INDEX(Katalog!$E$3:$E$12,MATCH(cadangan[[#This Row],[ItemID B]],Katalog!$C$3:$C$12,0))*cadangan[[#This Row],[Qty B]],0)</f>
        <v>0</v>
      </c>
      <c r="V176" s="39" t="str">
        <f>IFERROR(INDEX(Katalog!$A$3:$A$12,MATCH(cadangan[[#This Row],[ItemID C]],Katalog!$C$3:$C$12,0)),"-")</f>
        <v>-</v>
      </c>
      <c r="W176" s="39" t="str">
        <f>IFERROR(INDEX(Katalog!$B$3:$B$12,MATCH(cadangan[[#This Row],[ItemID C]],Katalog!$C$3:$C$12,0)),"-")</f>
        <v>-</v>
      </c>
      <c r="Z176" s="73">
        <f>IFERROR(INDEX(Katalog!$D$3:$D$12,MATCH(cadangan[[#This Row],[ItemID C]],Katalog!$C$3:$C$12,0))*cadangan[[#This Row],[Qty C]],0)</f>
        <v>0</v>
      </c>
      <c r="AA176" s="73">
        <f>IFERROR(cadangan[[#This Row],[Harga Normal C]]-(cadangan[[#This Row],[Harga Normal C]]*cadangan[[#This Row],[Diskon]]),cadangan[[#This Row],[Harga Normal C]])</f>
        <v>0</v>
      </c>
      <c r="AB176" s="73">
        <f>IFERROR(INDEX(Katalog!$F$3:$F$12,MATCH(cadangan[[#This Row],[ItemID C]],Katalog!$C$3:$C$12,0))*cadangan[[#This Row],[Qty C]],0)</f>
        <v>0</v>
      </c>
      <c r="AC176" s="73">
        <f>IFERROR(cadangan[[#This Row],[Harga Diskon C]]-INDEX(Katalog!$E$3:$E$12,MATCH(cadangan[[#This Row],[ItemID C]],Katalog!$C$3:$C$12,0))*cadangan[[#This Row],[Qty C]],0)</f>
        <v>0</v>
      </c>
      <c r="AD176" s="53">
        <f>cadangan[[#This Row],[Qty A]]+cadangan[[#This Row],[Qty B]]+cadangan[[#This Row],[Qty C]]</f>
        <v>2</v>
      </c>
      <c r="AE176" s="73">
        <f>cadangan[[#This Row],[Harga Normal A]]+cadangan[[#This Row],[Harga Normal B]]+cadangan[[#This Row],[Harga Normal C]]</f>
        <v>360000</v>
      </c>
      <c r="AF176" s="73">
        <f>cadangan[[#This Row],[Harga Diskon A]]+cadangan[[#This Row],[Harga Diskon B]]+cadangan[[#This Row],[Harga Diskon C]]</f>
        <v>306000</v>
      </c>
      <c r="AG176" s="73">
        <f>(cadangan[[#This Row],[Profit Normal A]]+cadangan[[#This Row],[Profit Normal B]]+cadangan[[#This Row],[Profit Normal C]])</f>
        <v>140000</v>
      </c>
      <c r="AH176" s="73">
        <f>cadangan[[#This Row],[Profit Diskon A]]+cadangan[[#This Row],[Profit Diskon B]]+cadangan[[#This Row],[Profit Diskon C]]</f>
        <v>86000</v>
      </c>
      <c r="AI176" s="23" t="s">
        <v>28</v>
      </c>
      <c r="AJ176" s="37">
        <f>IFERROR(INDEX('Kode Diskon'!$D$3:$D$9,MATCH(cadangan[[#This Row],[Kode diskon]],'Kode Diskon'!$C$3:$C$9,0)),"-")</f>
        <v>0.15</v>
      </c>
      <c r="AK176" s="23" t="s">
        <v>29</v>
      </c>
      <c r="AL176" s="23" t="s">
        <v>14</v>
      </c>
      <c r="AM176" s="23" t="s">
        <v>75</v>
      </c>
      <c r="AN176" s="55">
        <v>45022</v>
      </c>
      <c r="AO176" s="53">
        <f>DAY(cadangan[[#This Row],[Tanggal terjual]])</f>
        <v>6</v>
      </c>
      <c r="AP176" s="21" t="str">
        <f>TEXT(cadangan[[#This Row],[Tanggal terjual]],"dddd")</f>
        <v>Thursday</v>
      </c>
      <c r="AQ176" s="23" t="str" cm="1">
        <f t="array" ref="AQ1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76" s="61">
        <f>AVERAGE(cadangan[[#This Row],[Rating A]],cadangan[[#This Row],[Rating B]],cadangan[[#This Row],[Rating C]])</f>
        <v>4</v>
      </c>
    </row>
    <row r="177" spans="1:44" x14ac:dyDescent="0.2">
      <c r="A177" s="20">
        <v>176</v>
      </c>
      <c r="B177" s="21" t="str">
        <f>_xlfn.CONCAT("ORD-",INDEX(Helper!$B$2:$B$5,MATCH(cadangan[[#This Row],[Marketplace]],Helper!$A$2:$A$5,0)),TEXT(cadangan[[#This Row],[No]],"0000"),"-",TEXT(cadangan[[#This Row],[Tanggal terjual]],"dd/mm/yy"))</f>
        <v>ORD-BL0176-17/04/23</v>
      </c>
      <c r="C177" s="39" t="s">
        <v>64</v>
      </c>
      <c r="D177" s="39" t="str">
        <f>IFERROR(INDEX(Katalog!$A$3:$A$12,MATCH(cadangan[[#This Row],[ItemID A]],Katalog!$C$3:$C$12,0)),"-")</f>
        <v>Pakaian Unisex</v>
      </c>
      <c r="E177" s="39" t="str">
        <f>IFERROR(INDEX(Katalog!$B$3:$B$12,MATCH(cadangan[[#This Row],[ItemID A]],Katalog!$C$3:$C$12,0)),"-")</f>
        <v>Jaket Hoodie</v>
      </c>
      <c r="F177" s="50">
        <v>1</v>
      </c>
      <c r="G177" s="50">
        <v>3</v>
      </c>
      <c r="H177" s="73">
        <f>IFERROR(INDEX(Katalog!$D$3:$D$12,MATCH(cadangan[[#This Row],[ItemID A]],Katalog!$C$3:$C$12,0))*cadangan[[#This Row],[Qty A]],0)</f>
        <v>350000</v>
      </c>
      <c r="I177" s="73">
        <f>IFERROR(cadangan[[#This Row],[Harga Normal A]]-(cadangan[[#This Row],[Harga Normal A]]*cadangan[[#This Row],[Diskon]]),cadangan[[#This Row],[Harga Normal A]])</f>
        <v>297500</v>
      </c>
      <c r="J177" s="73">
        <f>INDEX(Katalog!$F$3:$F$12,MATCH(cadangan[[#This Row],[ItemID A]],Katalog!$C$3:$C$12,0))*cadangan[[#This Row],[Qty A]]</f>
        <v>130000</v>
      </c>
      <c r="K177" s="73">
        <f>IFERROR(cadangan[[#This Row],[Harga Diskon A]]-INDEX(Katalog!$E$3:$E$12,MATCH(cadangan[[#This Row],[ItemID A]],Katalog!$C$3:$C$12,0))*cadangan[[#This Row],[Qty A]],0)</f>
        <v>77500</v>
      </c>
      <c r="L177" s="39" t="s">
        <v>60</v>
      </c>
      <c r="M177" s="39" t="str">
        <f>IFERROR(INDEX(Katalog!$A$3:$A$12,MATCH(cadangan[[#This Row],[ItemID B]],Katalog!$C$3:$C$12,0)),"-")</f>
        <v>Pakaian Wanita</v>
      </c>
      <c r="N177" s="39" t="str">
        <f>IFERROR(INDEX(Katalog!$B$3:$B$12,MATCH(cadangan[[#This Row],[ItemID B]],Katalog!$C$3:$C$12,0)),"-")</f>
        <v>Kaftan</v>
      </c>
      <c r="O177" s="50">
        <v>1</v>
      </c>
      <c r="P177" s="50">
        <v>4</v>
      </c>
      <c r="Q177" s="73">
        <f>IFERROR(INDEX(Katalog!$D$3:$D$12,MATCH(cadangan[[#This Row],[ItemID B]],Katalog!$C$3:$C$12,0))*cadangan[[#This Row],[Qty B]],0)</f>
        <v>250000</v>
      </c>
      <c r="R177" s="73">
        <f>IFERROR(cadangan[[#This Row],[Harga Normal B]]-(cadangan[[#This Row],[Harga Normal B]]*cadangan[[#This Row],[Diskon]]),cadangan[[#This Row],[Harga Normal B]])</f>
        <v>212500</v>
      </c>
      <c r="S177" s="73">
        <f>IFERROR(INDEX(Katalog!$F$3:$F$12,MATCH(cadangan[[#This Row],[ItemID B]],Katalog!$C$3:$C$12,0))*cadangan[[#This Row],[Qty B]],0)</f>
        <v>100000</v>
      </c>
      <c r="T177" s="73">
        <f>IFERROR(cadangan[[#This Row],[Harga Diskon B]]-INDEX(Katalog!$E$3:$E$12,MATCH(cadangan[[#This Row],[ItemID B]],Katalog!$C$3:$C$12,0))*cadangan[[#This Row],[Qty B]],0)</f>
        <v>62500</v>
      </c>
      <c r="V177" s="39" t="str">
        <f>IFERROR(INDEX(Katalog!$A$3:$A$12,MATCH(cadangan[[#This Row],[ItemID C]],Katalog!$C$3:$C$12,0)),"-")</f>
        <v>-</v>
      </c>
      <c r="W177" s="39" t="str">
        <f>IFERROR(INDEX(Katalog!$B$3:$B$12,MATCH(cadangan[[#This Row],[ItemID C]],Katalog!$C$3:$C$12,0)),"-")</f>
        <v>-</v>
      </c>
      <c r="Z177" s="73">
        <f>IFERROR(INDEX(Katalog!$D$3:$D$12,MATCH(cadangan[[#This Row],[ItemID C]],Katalog!$C$3:$C$12,0))*cadangan[[#This Row],[Qty C]],0)</f>
        <v>0</v>
      </c>
      <c r="AA177" s="73">
        <f>IFERROR(cadangan[[#This Row],[Harga Normal C]]-(cadangan[[#This Row],[Harga Normal C]]*cadangan[[#This Row],[Diskon]]),cadangan[[#This Row],[Harga Normal C]])</f>
        <v>0</v>
      </c>
      <c r="AB177" s="73">
        <f>IFERROR(INDEX(Katalog!$F$3:$F$12,MATCH(cadangan[[#This Row],[ItemID C]],Katalog!$C$3:$C$12,0))*cadangan[[#This Row],[Qty C]],0)</f>
        <v>0</v>
      </c>
      <c r="AC177" s="73">
        <f>IFERROR(cadangan[[#This Row],[Harga Diskon C]]-INDEX(Katalog!$E$3:$E$12,MATCH(cadangan[[#This Row],[ItemID C]],Katalog!$C$3:$C$12,0))*cadangan[[#This Row],[Qty C]],0)</f>
        <v>0</v>
      </c>
      <c r="AD177" s="53">
        <f>cadangan[[#This Row],[Qty A]]+cadangan[[#This Row],[Qty B]]+cadangan[[#This Row],[Qty C]]</f>
        <v>2</v>
      </c>
      <c r="AE177" s="73">
        <f>cadangan[[#This Row],[Harga Normal A]]+cadangan[[#This Row],[Harga Normal B]]+cadangan[[#This Row],[Harga Normal C]]</f>
        <v>600000</v>
      </c>
      <c r="AF177" s="73">
        <f>cadangan[[#This Row],[Harga Diskon A]]+cadangan[[#This Row],[Harga Diskon B]]+cadangan[[#This Row],[Harga Diskon C]]</f>
        <v>510000</v>
      </c>
      <c r="AG177" s="73">
        <f>(cadangan[[#This Row],[Profit Normal A]]+cadangan[[#This Row],[Profit Normal B]]+cadangan[[#This Row],[Profit Normal C]])</f>
        <v>230000</v>
      </c>
      <c r="AH177" s="73">
        <f>cadangan[[#This Row],[Profit Diskon A]]+cadangan[[#This Row],[Profit Diskon B]]+cadangan[[#This Row],[Profit Diskon C]]</f>
        <v>140000</v>
      </c>
      <c r="AI177" s="23" t="s">
        <v>32</v>
      </c>
      <c r="AJ177" s="37">
        <f>IFERROR(INDEX('Kode Diskon'!$D$3:$D$9,MATCH(cadangan[[#This Row],[Kode diskon]],'Kode Diskon'!$C$3:$C$9,0)),"-")</f>
        <v>0.15</v>
      </c>
      <c r="AK177" s="23" t="s">
        <v>9</v>
      </c>
      <c r="AL177" s="23" t="s">
        <v>12</v>
      </c>
      <c r="AM177" s="23" t="s">
        <v>79</v>
      </c>
      <c r="AN177" s="55">
        <v>45033</v>
      </c>
      <c r="AO177" s="53">
        <f>DAY(cadangan[[#This Row],[Tanggal terjual]])</f>
        <v>17</v>
      </c>
      <c r="AP177" s="21" t="str">
        <f>TEXT(cadangan[[#This Row],[Tanggal terjual]],"dddd")</f>
        <v>Monday</v>
      </c>
      <c r="AQ177" s="23" t="str" cm="1">
        <f t="array" ref="AQ1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77" s="61">
        <f>AVERAGE(cadangan[[#This Row],[Rating A]],cadangan[[#This Row],[Rating B]],cadangan[[#This Row],[Rating C]])</f>
        <v>3.5</v>
      </c>
    </row>
    <row r="178" spans="1:44" x14ac:dyDescent="0.2">
      <c r="A178" s="20">
        <v>177</v>
      </c>
      <c r="B178" s="21" t="str">
        <f>_xlfn.CONCAT("ORD-",INDEX(Helper!$B$2:$B$5,MATCH(cadangan[[#This Row],[Marketplace]],Helper!$A$2:$A$5,0)),TEXT(cadangan[[#This Row],[No]],"0000"),"-",TEXT(cadangan[[#This Row],[Tanggal terjual]],"dd/mm/yy"))</f>
        <v>ORD-SP0177-29/04/23</v>
      </c>
      <c r="C178" s="39" t="s">
        <v>62</v>
      </c>
      <c r="D178" s="39" t="str">
        <f>IFERROR(INDEX(Katalog!$A$3:$A$12,MATCH(cadangan[[#This Row],[ItemID A]],Katalog!$C$3:$C$12,0)),"-")</f>
        <v>Pakaian Pria</v>
      </c>
      <c r="E178" s="39" t="str">
        <f>IFERROR(INDEX(Katalog!$B$3:$B$12,MATCH(cadangan[[#This Row],[ItemID A]],Katalog!$C$3:$C$12,0)),"-")</f>
        <v>Celana Pendek</v>
      </c>
      <c r="F178" s="50">
        <v>1</v>
      </c>
      <c r="G178" s="50">
        <v>3</v>
      </c>
      <c r="H178" s="73">
        <f>IFERROR(INDEX(Katalog!$D$3:$D$12,MATCH(cadangan[[#This Row],[ItemID A]],Katalog!$C$3:$C$12,0))*cadangan[[#This Row],[Qty A]],0)</f>
        <v>180000</v>
      </c>
      <c r="I178" s="73">
        <f>IFERROR(cadangan[[#This Row],[Harga Normal A]]-(cadangan[[#This Row],[Harga Normal A]]*cadangan[[#This Row],[Diskon]]),cadangan[[#This Row],[Harga Normal A]])</f>
        <v>144000</v>
      </c>
      <c r="J178" s="73">
        <f>INDEX(Katalog!$F$3:$F$12,MATCH(cadangan[[#This Row],[ItemID A]],Katalog!$C$3:$C$12,0))*cadangan[[#This Row],[Qty A]]</f>
        <v>70000</v>
      </c>
      <c r="K178" s="73">
        <f>IFERROR(cadangan[[#This Row],[Harga Diskon A]]-INDEX(Katalog!$E$3:$E$12,MATCH(cadangan[[#This Row],[ItemID A]],Katalog!$C$3:$C$12,0))*cadangan[[#This Row],[Qty A]],0)</f>
        <v>34000</v>
      </c>
      <c r="L178" s="39" t="s">
        <v>65</v>
      </c>
      <c r="M178" s="39" t="str">
        <f>IFERROR(INDEX(Katalog!$A$3:$A$12,MATCH(cadangan[[#This Row],[ItemID B]],Katalog!$C$3:$C$12,0)),"-")</f>
        <v>Sepatu Pria</v>
      </c>
      <c r="N178" s="39" t="str">
        <f>IFERROR(INDEX(Katalog!$B$3:$B$12,MATCH(cadangan[[#This Row],[ItemID B]],Katalog!$C$3:$C$12,0)),"-")</f>
        <v>Sneakers</v>
      </c>
      <c r="O178" s="50">
        <v>1</v>
      </c>
      <c r="P178" s="50">
        <v>4</v>
      </c>
      <c r="Q178" s="73">
        <f>IFERROR(INDEX(Katalog!$D$3:$D$12,MATCH(cadangan[[#This Row],[ItemID B]],Katalog!$C$3:$C$12,0))*cadangan[[#This Row],[Qty B]],0)</f>
        <v>500000</v>
      </c>
      <c r="R178" s="73">
        <f>IFERROR(cadangan[[#This Row],[Harga Normal B]]-(cadangan[[#This Row],[Harga Normal B]]*cadangan[[#This Row],[Diskon]]),cadangan[[#This Row],[Harga Normal B]])</f>
        <v>400000</v>
      </c>
      <c r="S178" s="73">
        <f>IFERROR(INDEX(Katalog!$F$3:$F$12,MATCH(cadangan[[#This Row],[ItemID B]],Katalog!$C$3:$C$12,0))*cadangan[[#This Row],[Qty B]],0)</f>
        <v>200000</v>
      </c>
      <c r="T178" s="73">
        <f>IFERROR(cadangan[[#This Row],[Harga Diskon B]]-INDEX(Katalog!$E$3:$E$12,MATCH(cadangan[[#This Row],[ItemID B]],Katalog!$C$3:$C$12,0))*cadangan[[#This Row],[Qty B]],0)</f>
        <v>100000</v>
      </c>
      <c r="U178" s="39" t="s">
        <v>60</v>
      </c>
      <c r="V178" s="39" t="str">
        <f>IFERROR(INDEX(Katalog!$A$3:$A$12,MATCH(cadangan[[#This Row],[ItemID C]],Katalog!$C$3:$C$12,0)),"-")</f>
        <v>Pakaian Wanita</v>
      </c>
      <c r="W178" s="39" t="str">
        <f>IFERROR(INDEX(Katalog!$B$3:$B$12,MATCH(cadangan[[#This Row],[ItemID C]],Katalog!$C$3:$C$12,0)),"-")</f>
        <v>Kaftan</v>
      </c>
      <c r="X178" s="50">
        <v>1</v>
      </c>
      <c r="Y178" s="50">
        <v>2</v>
      </c>
      <c r="Z178" s="73">
        <f>IFERROR(INDEX(Katalog!$D$3:$D$12,MATCH(cadangan[[#This Row],[ItemID C]],Katalog!$C$3:$C$12,0))*cadangan[[#This Row],[Qty C]],0)</f>
        <v>250000</v>
      </c>
      <c r="AA178" s="73">
        <f>IFERROR(cadangan[[#This Row],[Harga Normal C]]-(cadangan[[#This Row],[Harga Normal C]]*cadangan[[#This Row],[Diskon]]),cadangan[[#This Row],[Harga Normal C]])</f>
        <v>200000</v>
      </c>
      <c r="AB178" s="73">
        <f>IFERROR(INDEX(Katalog!$F$3:$F$12,MATCH(cadangan[[#This Row],[ItemID C]],Katalog!$C$3:$C$12,0))*cadangan[[#This Row],[Qty C]],0)</f>
        <v>100000</v>
      </c>
      <c r="AC178" s="73">
        <f>IFERROR(cadangan[[#This Row],[Harga Diskon C]]-INDEX(Katalog!$E$3:$E$12,MATCH(cadangan[[#This Row],[ItemID C]],Katalog!$C$3:$C$12,0))*cadangan[[#This Row],[Qty C]],0)</f>
        <v>50000</v>
      </c>
      <c r="AD178" s="53">
        <f>cadangan[[#This Row],[Qty A]]+cadangan[[#This Row],[Qty B]]+cadangan[[#This Row],[Qty C]]</f>
        <v>3</v>
      </c>
      <c r="AE178" s="73">
        <f>cadangan[[#This Row],[Harga Normal A]]+cadangan[[#This Row],[Harga Normal B]]+cadangan[[#This Row],[Harga Normal C]]</f>
        <v>930000</v>
      </c>
      <c r="AF178" s="73">
        <f>cadangan[[#This Row],[Harga Diskon A]]+cadangan[[#This Row],[Harga Diskon B]]+cadangan[[#This Row],[Harga Diskon C]]</f>
        <v>744000</v>
      </c>
      <c r="AG178" s="73">
        <f>(cadangan[[#This Row],[Profit Normal A]]+cadangan[[#This Row],[Profit Normal B]]+cadangan[[#This Row],[Profit Normal C]])</f>
        <v>370000</v>
      </c>
      <c r="AH178" s="73">
        <f>cadangan[[#This Row],[Profit Diskon A]]+cadangan[[#This Row],[Profit Diskon B]]+cadangan[[#This Row],[Profit Diskon C]]</f>
        <v>184000</v>
      </c>
      <c r="AI178" s="23" t="s">
        <v>8</v>
      </c>
      <c r="AJ178" s="37">
        <f>IFERROR(INDEX('Kode Diskon'!$D$3:$D$9,MATCH(cadangan[[#This Row],[Kode diskon]],'Kode Diskon'!$C$3:$C$9,0)),"-")</f>
        <v>0.2</v>
      </c>
      <c r="AK178" s="23" t="s">
        <v>9</v>
      </c>
      <c r="AL178" s="23" t="s">
        <v>7</v>
      </c>
      <c r="AM178" s="23" t="s">
        <v>79</v>
      </c>
      <c r="AN178" s="55">
        <v>45045</v>
      </c>
      <c r="AO178" s="53">
        <f>DAY(cadangan[[#This Row],[Tanggal terjual]])</f>
        <v>29</v>
      </c>
      <c r="AP178" s="21" t="str">
        <f>TEXT(cadangan[[#This Row],[Tanggal terjual]],"dddd")</f>
        <v>Saturday</v>
      </c>
      <c r="AQ178" s="23" t="str" cm="1">
        <f t="array" ref="AQ1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78" s="61">
        <f>AVERAGE(cadangan[[#This Row],[Rating A]],cadangan[[#This Row],[Rating B]],cadangan[[#This Row],[Rating C]])</f>
        <v>3</v>
      </c>
    </row>
    <row r="179" spans="1:44" x14ac:dyDescent="0.2">
      <c r="A179" s="20">
        <v>178</v>
      </c>
      <c r="B179" s="21" t="str">
        <f>_xlfn.CONCAT("ORD-",INDEX(Helper!$B$2:$B$5,MATCH(cadangan[[#This Row],[Marketplace]],Helper!$A$2:$A$5,0)),TEXT(cadangan[[#This Row],[No]],"0000"),"-",TEXT(cadangan[[#This Row],[Tanggal terjual]],"dd/mm/yy"))</f>
        <v>ORD-SP0178-03/04/23</v>
      </c>
      <c r="C179" s="39" t="s">
        <v>64</v>
      </c>
      <c r="D179" s="39" t="str">
        <f>IFERROR(INDEX(Katalog!$A$3:$A$12,MATCH(cadangan[[#This Row],[ItemID A]],Katalog!$C$3:$C$12,0)),"-")</f>
        <v>Pakaian Unisex</v>
      </c>
      <c r="E179" s="39" t="str">
        <f>IFERROR(INDEX(Katalog!$B$3:$B$12,MATCH(cadangan[[#This Row],[ItemID A]],Katalog!$C$3:$C$12,0)),"-")</f>
        <v>Jaket Hoodie</v>
      </c>
      <c r="F179" s="50">
        <v>1</v>
      </c>
      <c r="G179" s="50">
        <v>3</v>
      </c>
      <c r="H179" s="73">
        <f>IFERROR(INDEX(Katalog!$D$3:$D$12,MATCH(cadangan[[#This Row],[ItemID A]],Katalog!$C$3:$C$12,0))*cadangan[[#This Row],[Qty A]],0)</f>
        <v>350000</v>
      </c>
      <c r="I179" s="73">
        <f>IFERROR(cadangan[[#This Row],[Harga Normal A]]-(cadangan[[#This Row],[Harga Normal A]]*cadangan[[#This Row],[Diskon]]),cadangan[[#This Row],[Harga Normal A]])</f>
        <v>315000</v>
      </c>
      <c r="J179" s="73">
        <f>INDEX(Katalog!$F$3:$F$12,MATCH(cadangan[[#This Row],[ItemID A]],Katalog!$C$3:$C$12,0))*cadangan[[#This Row],[Qty A]]</f>
        <v>130000</v>
      </c>
      <c r="K179" s="73">
        <f>IFERROR(cadangan[[#This Row],[Harga Diskon A]]-INDEX(Katalog!$E$3:$E$12,MATCH(cadangan[[#This Row],[ItemID A]],Katalog!$C$3:$C$12,0))*cadangan[[#This Row],[Qty A]],0)</f>
        <v>95000</v>
      </c>
      <c r="L179" s="39" t="s">
        <v>66</v>
      </c>
      <c r="M179" s="39" t="str">
        <f>IFERROR(INDEX(Katalog!$A$3:$A$12,MATCH(cadangan[[#This Row],[ItemID B]],Katalog!$C$3:$C$12,0)),"-")</f>
        <v>Sepatu Pria</v>
      </c>
      <c r="N179" s="39" t="str">
        <f>IFERROR(INDEX(Katalog!$B$3:$B$12,MATCH(cadangan[[#This Row],[ItemID B]],Katalog!$C$3:$C$12,0)),"-")</f>
        <v>Sandal Slip On</v>
      </c>
      <c r="O179" s="50">
        <v>1</v>
      </c>
      <c r="P179" s="50">
        <v>5</v>
      </c>
      <c r="Q179" s="73">
        <f>IFERROR(INDEX(Katalog!$D$3:$D$12,MATCH(cadangan[[#This Row],[ItemID B]],Katalog!$C$3:$C$12,0))*cadangan[[#This Row],[Qty B]],0)</f>
        <v>150000</v>
      </c>
      <c r="R179" s="73">
        <f>IFERROR(cadangan[[#This Row],[Harga Normal B]]-(cadangan[[#This Row],[Harga Normal B]]*cadangan[[#This Row],[Diskon]]),cadangan[[#This Row],[Harga Normal B]])</f>
        <v>135000</v>
      </c>
      <c r="S179" s="73">
        <f>IFERROR(INDEX(Katalog!$F$3:$F$12,MATCH(cadangan[[#This Row],[ItemID B]],Katalog!$C$3:$C$12,0))*cadangan[[#This Row],[Qty B]],0)</f>
        <v>60000</v>
      </c>
      <c r="T179" s="73">
        <f>IFERROR(cadangan[[#This Row],[Harga Diskon B]]-INDEX(Katalog!$E$3:$E$12,MATCH(cadangan[[#This Row],[ItemID B]],Katalog!$C$3:$C$12,0))*cadangan[[#This Row],[Qty B]],0)</f>
        <v>45000</v>
      </c>
      <c r="V179" s="39" t="str">
        <f>IFERROR(INDEX(Katalog!$A$3:$A$12,MATCH(cadangan[[#This Row],[ItemID C]],Katalog!$C$3:$C$12,0)),"-")</f>
        <v>-</v>
      </c>
      <c r="W179" s="39" t="str">
        <f>IFERROR(INDEX(Katalog!$B$3:$B$12,MATCH(cadangan[[#This Row],[ItemID C]],Katalog!$C$3:$C$12,0)),"-")</f>
        <v>-</v>
      </c>
      <c r="Z179" s="73">
        <f>IFERROR(INDEX(Katalog!$D$3:$D$12,MATCH(cadangan[[#This Row],[ItemID C]],Katalog!$C$3:$C$12,0))*cadangan[[#This Row],[Qty C]],0)</f>
        <v>0</v>
      </c>
      <c r="AA179" s="73">
        <f>IFERROR(cadangan[[#This Row],[Harga Normal C]]-(cadangan[[#This Row],[Harga Normal C]]*cadangan[[#This Row],[Diskon]]),cadangan[[#This Row],[Harga Normal C]])</f>
        <v>0</v>
      </c>
      <c r="AB179" s="73">
        <f>IFERROR(INDEX(Katalog!$F$3:$F$12,MATCH(cadangan[[#This Row],[ItemID C]],Katalog!$C$3:$C$12,0))*cadangan[[#This Row],[Qty C]],0)</f>
        <v>0</v>
      </c>
      <c r="AC179" s="73">
        <f>IFERROR(cadangan[[#This Row],[Harga Diskon C]]-INDEX(Katalog!$E$3:$E$12,MATCH(cadangan[[#This Row],[ItemID C]],Katalog!$C$3:$C$12,0))*cadangan[[#This Row],[Qty C]],0)</f>
        <v>0</v>
      </c>
      <c r="AD179" s="53">
        <f>cadangan[[#This Row],[Qty A]]+cadangan[[#This Row],[Qty B]]+cadangan[[#This Row],[Qty C]]</f>
        <v>2</v>
      </c>
      <c r="AE179" s="73">
        <f>cadangan[[#This Row],[Harga Normal A]]+cadangan[[#This Row],[Harga Normal B]]+cadangan[[#This Row],[Harga Normal C]]</f>
        <v>500000</v>
      </c>
      <c r="AF179" s="73">
        <f>cadangan[[#This Row],[Harga Diskon A]]+cadangan[[#This Row],[Harga Diskon B]]+cadangan[[#This Row],[Harga Diskon C]]</f>
        <v>450000</v>
      </c>
      <c r="AG179" s="73">
        <f>(cadangan[[#This Row],[Profit Normal A]]+cadangan[[#This Row],[Profit Normal B]]+cadangan[[#This Row],[Profit Normal C]])</f>
        <v>190000</v>
      </c>
      <c r="AH179" s="73">
        <f>cadangan[[#This Row],[Profit Diskon A]]+cadangan[[#This Row],[Profit Diskon B]]+cadangan[[#This Row],[Profit Diskon C]]</f>
        <v>140000</v>
      </c>
      <c r="AI179" s="23" t="s">
        <v>6</v>
      </c>
      <c r="AJ179" s="37">
        <f>IFERROR(INDEX('Kode Diskon'!$D$3:$D$9,MATCH(cadangan[[#This Row],[Kode diskon]],'Kode Diskon'!$C$3:$C$9,0)),"-")</f>
        <v>0.1</v>
      </c>
      <c r="AK179" s="23" t="s">
        <v>29</v>
      </c>
      <c r="AL179" s="23" t="s">
        <v>7</v>
      </c>
      <c r="AM179" s="23" t="s">
        <v>76</v>
      </c>
      <c r="AN179" s="55">
        <v>45019</v>
      </c>
      <c r="AO179" s="53">
        <f>DAY(cadangan[[#This Row],[Tanggal terjual]])</f>
        <v>3</v>
      </c>
      <c r="AP179" s="21" t="str">
        <f>TEXT(cadangan[[#This Row],[Tanggal terjual]],"dddd")</f>
        <v>Monday</v>
      </c>
      <c r="AQ179" s="23" t="str" cm="1">
        <f t="array" ref="AQ1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79" s="61">
        <f>AVERAGE(cadangan[[#This Row],[Rating A]],cadangan[[#This Row],[Rating B]],cadangan[[#This Row],[Rating C]])</f>
        <v>4</v>
      </c>
    </row>
    <row r="180" spans="1:44" x14ac:dyDescent="0.2">
      <c r="A180" s="20">
        <v>179</v>
      </c>
      <c r="B180" s="21" t="str">
        <f>_xlfn.CONCAT("ORD-",INDEX(Helper!$B$2:$B$5,MATCH(cadangan[[#This Row],[Marketplace]],Helper!$A$2:$A$5,0)),TEXT(cadangan[[#This Row],[No]],"0000"),"-",TEXT(cadangan[[#This Row],[Tanggal terjual]],"dd/mm/yy"))</f>
        <v>ORD-SP0179-16/04/23</v>
      </c>
      <c r="C180" s="39" t="s">
        <v>67</v>
      </c>
      <c r="D180" s="39" t="str">
        <f>IFERROR(INDEX(Katalog!$A$3:$A$12,MATCH(cadangan[[#This Row],[ItemID A]],Katalog!$C$3:$C$12,0)),"-")</f>
        <v>Sepatu Wanita</v>
      </c>
      <c r="E180" s="39" t="str">
        <f>IFERROR(INDEX(Katalog!$B$3:$B$12,MATCH(cadangan[[#This Row],[ItemID A]],Katalog!$C$3:$C$12,0)),"-")</f>
        <v>Flat Shoes</v>
      </c>
      <c r="F180" s="50">
        <v>1</v>
      </c>
      <c r="G180" s="50">
        <v>5</v>
      </c>
      <c r="H180" s="73">
        <f>IFERROR(INDEX(Katalog!$D$3:$D$12,MATCH(cadangan[[#This Row],[ItemID A]],Katalog!$C$3:$C$12,0))*cadangan[[#This Row],[Qty A]],0)</f>
        <v>250000</v>
      </c>
      <c r="I180" s="73">
        <f>IFERROR(cadangan[[#This Row],[Harga Normal A]]-(cadangan[[#This Row],[Harga Normal A]]*cadangan[[#This Row],[Diskon]]),cadangan[[#This Row],[Harga Normal A]])</f>
        <v>200000</v>
      </c>
      <c r="J180" s="73">
        <f>INDEX(Katalog!$F$3:$F$12,MATCH(cadangan[[#This Row],[ItemID A]],Katalog!$C$3:$C$12,0))*cadangan[[#This Row],[Qty A]]</f>
        <v>100000</v>
      </c>
      <c r="K180" s="73">
        <f>IFERROR(cadangan[[#This Row],[Harga Diskon A]]-INDEX(Katalog!$E$3:$E$12,MATCH(cadangan[[#This Row],[ItemID A]],Katalog!$C$3:$C$12,0))*cadangan[[#This Row],[Qty A]],0)</f>
        <v>50000</v>
      </c>
      <c r="M180" s="39" t="str">
        <f>IFERROR(INDEX(Katalog!$A$3:$A$12,MATCH(cadangan[[#This Row],[ItemID B]],Katalog!$C$3:$C$12,0)),"-")</f>
        <v>-</v>
      </c>
      <c r="N180" s="39" t="str">
        <f>IFERROR(INDEX(Katalog!$B$3:$B$12,MATCH(cadangan[[#This Row],[ItemID B]],Katalog!$C$3:$C$12,0)),"-")</f>
        <v>-</v>
      </c>
      <c r="Q180" s="73">
        <f>IFERROR(INDEX(Katalog!$D$3:$D$12,MATCH(cadangan[[#This Row],[ItemID B]],Katalog!$C$3:$C$12,0))*cadangan[[#This Row],[Qty B]],0)</f>
        <v>0</v>
      </c>
      <c r="R180" s="73">
        <f>IFERROR(cadangan[[#This Row],[Harga Normal B]]-(cadangan[[#This Row],[Harga Normal B]]*cadangan[[#This Row],[Diskon]]),cadangan[[#This Row],[Harga Normal B]])</f>
        <v>0</v>
      </c>
      <c r="S180" s="73">
        <f>IFERROR(INDEX(Katalog!$F$3:$F$12,MATCH(cadangan[[#This Row],[ItemID B]],Katalog!$C$3:$C$12,0))*cadangan[[#This Row],[Qty B]],0)</f>
        <v>0</v>
      </c>
      <c r="T180" s="73">
        <f>IFERROR(cadangan[[#This Row],[Harga Diskon B]]-INDEX(Katalog!$E$3:$E$12,MATCH(cadangan[[#This Row],[ItemID B]],Katalog!$C$3:$C$12,0))*cadangan[[#This Row],[Qty B]],0)</f>
        <v>0</v>
      </c>
      <c r="V180" s="39" t="str">
        <f>IFERROR(INDEX(Katalog!$A$3:$A$12,MATCH(cadangan[[#This Row],[ItemID C]],Katalog!$C$3:$C$12,0)),"-")</f>
        <v>-</v>
      </c>
      <c r="W180" s="39" t="str">
        <f>IFERROR(INDEX(Katalog!$B$3:$B$12,MATCH(cadangan[[#This Row],[ItemID C]],Katalog!$C$3:$C$12,0)),"-")</f>
        <v>-</v>
      </c>
      <c r="Z180" s="73">
        <f>IFERROR(INDEX(Katalog!$D$3:$D$12,MATCH(cadangan[[#This Row],[ItemID C]],Katalog!$C$3:$C$12,0))*cadangan[[#This Row],[Qty C]],0)</f>
        <v>0</v>
      </c>
      <c r="AA180" s="73">
        <f>IFERROR(cadangan[[#This Row],[Harga Normal C]]-(cadangan[[#This Row],[Harga Normal C]]*cadangan[[#This Row],[Diskon]]),cadangan[[#This Row],[Harga Normal C]])</f>
        <v>0</v>
      </c>
      <c r="AB180" s="73">
        <f>IFERROR(INDEX(Katalog!$F$3:$F$12,MATCH(cadangan[[#This Row],[ItemID C]],Katalog!$C$3:$C$12,0))*cadangan[[#This Row],[Qty C]],0)</f>
        <v>0</v>
      </c>
      <c r="AC180" s="73">
        <f>IFERROR(cadangan[[#This Row],[Harga Diskon C]]-INDEX(Katalog!$E$3:$E$12,MATCH(cadangan[[#This Row],[ItemID C]],Katalog!$C$3:$C$12,0))*cadangan[[#This Row],[Qty C]],0)</f>
        <v>0</v>
      </c>
      <c r="AD180" s="53">
        <f>cadangan[[#This Row],[Qty A]]+cadangan[[#This Row],[Qty B]]+cadangan[[#This Row],[Qty C]]</f>
        <v>1</v>
      </c>
      <c r="AE180" s="73">
        <f>cadangan[[#This Row],[Harga Normal A]]+cadangan[[#This Row],[Harga Normal B]]+cadangan[[#This Row],[Harga Normal C]]</f>
        <v>250000</v>
      </c>
      <c r="AF180" s="73">
        <f>cadangan[[#This Row],[Harga Diskon A]]+cadangan[[#This Row],[Harga Diskon B]]+cadangan[[#This Row],[Harga Diskon C]]</f>
        <v>200000</v>
      </c>
      <c r="AG180" s="73">
        <f>(cadangan[[#This Row],[Profit Normal A]]+cadangan[[#This Row],[Profit Normal B]]+cadangan[[#This Row],[Profit Normal C]])</f>
        <v>100000</v>
      </c>
      <c r="AH180" s="73">
        <f>cadangan[[#This Row],[Profit Diskon A]]+cadangan[[#This Row],[Profit Diskon B]]+cadangan[[#This Row],[Profit Diskon C]]</f>
        <v>50000</v>
      </c>
      <c r="AI180" s="23" t="s">
        <v>8</v>
      </c>
      <c r="AJ180" s="37">
        <f>IFERROR(INDEX('Kode Diskon'!$D$3:$D$9,MATCH(cadangan[[#This Row],[Kode diskon]],'Kode Diskon'!$C$3:$C$9,0)),"-")</f>
        <v>0.2</v>
      </c>
      <c r="AK180" s="23" t="s">
        <v>9</v>
      </c>
      <c r="AL180" s="23" t="s">
        <v>7</v>
      </c>
      <c r="AM180" s="23" t="s">
        <v>76</v>
      </c>
      <c r="AN180" s="55">
        <v>45032</v>
      </c>
      <c r="AO180" s="53">
        <f>DAY(cadangan[[#This Row],[Tanggal terjual]])</f>
        <v>16</v>
      </c>
      <c r="AP180" s="21" t="str">
        <f>TEXT(cadangan[[#This Row],[Tanggal terjual]],"dddd")</f>
        <v>Sunday</v>
      </c>
      <c r="AQ180" s="23" t="str" cm="1">
        <f t="array" ref="AQ1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80" s="61">
        <f>AVERAGE(cadangan[[#This Row],[Rating A]],cadangan[[#This Row],[Rating B]],cadangan[[#This Row],[Rating C]])</f>
        <v>5</v>
      </c>
    </row>
    <row r="181" spans="1:44" x14ac:dyDescent="0.2">
      <c r="A181" s="20">
        <v>180</v>
      </c>
      <c r="B181" s="21" t="str">
        <f>_xlfn.CONCAT("ORD-",INDEX(Helper!$B$2:$B$5,MATCH(cadangan[[#This Row],[Marketplace]],Helper!$A$2:$A$5,0)),TEXT(cadangan[[#This Row],[No]],"0000"),"-",TEXT(cadangan[[#This Row],[Tanggal terjual]],"dd/mm/yy"))</f>
        <v>ORD-TK0180-03/04/23</v>
      </c>
      <c r="C181" s="39" t="s">
        <v>63</v>
      </c>
      <c r="D181" s="39" t="str">
        <f>IFERROR(INDEX(Katalog!$A$3:$A$12,MATCH(cadangan[[#This Row],[ItemID A]],Katalog!$C$3:$C$12,0)),"-")</f>
        <v>Pakaian Pria</v>
      </c>
      <c r="E181" s="39" t="str">
        <f>IFERROR(INDEX(Katalog!$B$3:$B$12,MATCH(cadangan[[#This Row],[ItemID A]],Katalog!$C$3:$C$12,0)),"-")</f>
        <v>Jaket Jeans</v>
      </c>
      <c r="F181" s="50">
        <v>2</v>
      </c>
      <c r="G181" s="50">
        <v>4</v>
      </c>
      <c r="H181" s="73">
        <f>IFERROR(INDEX(Katalog!$D$3:$D$12,MATCH(cadangan[[#This Row],[ItemID A]],Katalog!$C$3:$C$12,0))*cadangan[[#This Row],[Qty A]],0)</f>
        <v>800000</v>
      </c>
      <c r="I181" s="73">
        <f>IFERROR(cadangan[[#This Row],[Harga Normal A]]-(cadangan[[#This Row],[Harga Normal A]]*cadangan[[#This Row],[Diskon]]),cadangan[[#This Row],[Harga Normal A]])</f>
        <v>720000</v>
      </c>
      <c r="J181" s="73">
        <f>INDEX(Katalog!$F$3:$F$12,MATCH(cadangan[[#This Row],[ItemID A]],Katalog!$C$3:$C$12,0))*cadangan[[#This Row],[Qty A]]</f>
        <v>300000</v>
      </c>
      <c r="K181" s="73">
        <f>IFERROR(cadangan[[#This Row],[Harga Diskon A]]-INDEX(Katalog!$E$3:$E$12,MATCH(cadangan[[#This Row],[ItemID A]],Katalog!$C$3:$C$12,0))*cadangan[[#This Row],[Qty A]],0)</f>
        <v>220000</v>
      </c>
      <c r="L181" s="39" t="s">
        <v>60</v>
      </c>
      <c r="M181" s="39" t="str">
        <f>IFERROR(INDEX(Katalog!$A$3:$A$12,MATCH(cadangan[[#This Row],[ItemID B]],Katalog!$C$3:$C$12,0)),"-")</f>
        <v>Pakaian Wanita</v>
      </c>
      <c r="N181" s="39" t="str">
        <f>IFERROR(INDEX(Katalog!$B$3:$B$12,MATCH(cadangan[[#This Row],[ItemID B]],Katalog!$C$3:$C$12,0)),"-")</f>
        <v>Kaftan</v>
      </c>
      <c r="O181" s="50">
        <v>1</v>
      </c>
      <c r="P181" s="50">
        <v>1</v>
      </c>
      <c r="Q181" s="73">
        <f>IFERROR(INDEX(Katalog!$D$3:$D$12,MATCH(cadangan[[#This Row],[ItemID B]],Katalog!$C$3:$C$12,0))*cadangan[[#This Row],[Qty B]],0)</f>
        <v>250000</v>
      </c>
      <c r="R181" s="73">
        <f>IFERROR(cadangan[[#This Row],[Harga Normal B]]-(cadangan[[#This Row],[Harga Normal B]]*cadangan[[#This Row],[Diskon]]),cadangan[[#This Row],[Harga Normal B]])</f>
        <v>225000</v>
      </c>
      <c r="S181" s="73">
        <f>IFERROR(INDEX(Katalog!$F$3:$F$12,MATCH(cadangan[[#This Row],[ItemID B]],Katalog!$C$3:$C$12,0))*cadangan[[#This Row],[Qty B]],0)</f>
        <v>100000</v>
      </c>
      <c r="T181" s="73">
        <f>IFERROR(cadangan[[#This Row],[Harga Diskon B]]-INDEX(Katalog!$E$3:$E$12,MATCH(cadangan[[#This Row],[ItemID B]],Katalog!$C$3:$C$12,0))*cadangan[[#This Row],[Qty B]],0)</f>
        <v>75000</v>
      </c>
      <c r="U181" s="39" t="s">
        <v>66</v>
      </c>
      <c r="V181" s="39" t="str">
        <f>IFERROR(INDEX(Katalog!$A$3:$A$12,MATCH(cadangan[[#This Row],[ItemID C]],Katalog!$C$3:$C$12,0)),"-")</f>
        <v>Sepatu Pria</v>
      </c>
      <c r="W181" s="39" t="str">
        <f>IFERROR(INDEX(Katalog!$B$3:$B$12,MATCH(cadangan[[#This Row],[ItemID C]],Katalog!$C$3:$C$12,0)),"-")</f>
        <v>Sandal Slip On</v>
      </c>
      <c r="X181" s="50">
        <v>1</v>
      </c>
      <c r="Y181" s="50">
        <v>1</v>
      </c>
      <c r="Z181" s="73">
        <f>IFERROR(INDEX(Katalog!$D$3:$D$12,MATCH(cadangan[[#This Row],[ItemID C]],Katalog!$C$3:$C$12,0))*cadangan[[#This Row],[Qty C]],0)</f>
        <v>150000</v>
      </c>
      <c r="AA181" s="73">
        <f>IFERROR(cadangan[[#This Row],[Harga Normal C]]-(cadangan[[#This Row],[Harga Normal C]]*cadangan[[#This Row],[Diskon]]),cadangan[[#This Row],[Harga Normal C]])</f>
        <v>135000</v>
      </c>
      <c r="AB181" s="73">
        <f>IFERROR(INDEX(Katalog!$F$3:$F$12,MATCH(cadangan[[#This Row],[ItemID C]],Katalog!$C$3:$C$12,0))*cadangan[[#This Row],[Qty C]],0)</f>
        <v>60000</v>
      </c>
      <c r="AC181" s="73">
        <f>IFERROR(cadangan[[#This Row],[Harga Diskon C]]-INDEX(Katalog!$E$3:$E$12,MATCH(cadangan[[#This Row],[ItemID C]],Katalog!$C$3:$C$12,0))*cadangan[[#This Row],[Qty C]],0)</f>
        <v>45000</v>
      </c>
      <c r="AD181" s="53">
        <f>cadangan[[#This Row],[Qty A]]+cadangan[[#This Row],[Qty B]]+cadangan[[#This Row],[Qty C]]</f>
        <v>4</v>
      </c>
      <c r="AE181" s="73">
        <f>cadangan[[#This Row],[Harga Normal A]]+cadangan[[#This Row],[Harga Normal B]]+cadangan[[#This Row],[Harga Normal C]]</f>
        <v>1200000</v>
      </c>
      <c r="AF181" s="73">
        <f>cadangan[[#This Row],[Harga Diskon A]]+cadangan[[#This Row],[Harga Diskon B]]+cadangan[[#This Row],[Harga Diskon C]]</f>
        <v>1080000</v>
      </c>
      <c r="AG181" s="73">
        <f>(cadangan[[#This Row],[Profit Normal A]]+cadangan[[#This Row],[Profit Normal B]]+cadangan[[#This Row],[Profit Normal C]])</f>
        <v>460000</v>
      </c>
      <c r="AH181" s="73">
        <f>cadangan[[#This Row],[Profit Diskon A]]+cadangan[[#This Row],[Profit Diskon B]]+cadangan[[#This Row],[Profit Diskon C]]</f>
        <v>340000</v>
      </c>
      <c r="AI181" s="23" t="s">
        <v>30</v>
      </c>
      <c r="AJ181" s="37">
        <f>IFERROR(INDEX('Kode Diskon'!$D$3:$D$9,MATCH(cadangan[[#This Row],[Kode diskon]],'Kode Diskon'!$C$3:$C$9,0)),"-")</f>
        <v>0.1</v>
      </c>
      <c r="AK181" s="23" t="s">
        <v>29</v>
      </c>
      <c r="AL181" s="23" t="s">
        <v>10</v>
      </c>
      <c r="AM181" s="23" t="s">
        <v>75</v>
      </c>
      <c r="AN181" s="55">
        <v>45019</v>
      </c>
      <c r="AO181" s="53">
        <f>DAY(cadangan[[#This Row],[Tanggal terjual]])</f>
        <v>3</v>
      </c>
      <c r="AP181" s="21" t="str">
        <f>TEXT(cadangan[[#This Row],[Tanggal terjual]],"dddd")</f>
        <v>Monday</v>
      </c>
      <c r="AQ181" s="23" t="str" cm="1">
        <f t="array" ref="AQ1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1" s="61">
        <f>AVERAGE(cadangan[[#This Row],[Rating A]],cadangan[[#This Row],[Rating B]],cadangan[[#This Row],[Rating C]])</f>
        <v>2</v>
      </c>
    </row>
    <row r="182" spans="1:44" x14ac:dyDescent="0.2">
      <c r="A182" s="20">
        <v>181</v>
      </c>
      <c r="B182" s="21" t="str">
        <f>_xlfn.CONCAT("ORD-",INDEX(Helper!$B$2:$B$5,MATCH(cadangan[[#This Row],[Marketplace]],Helper!$A$2:$A$5,0)),TEXT(cadangan[[#This Row],[No]],"0000"),"-",TEXT(cadangan[[#This Row],[Tanggal terjual]],"dd/mm/yy"))</f>
        <v>ORD-SP0181-01/04/23</v>
      </c>
      <c r="C182" s="39" t="s">
        <v>59</v>
      </c>
      <c r="D182" s="39" t="str">
        <f>IFERROR(INDEX(Katalog!$A$3:$A$12,MATCH(cadangan[[#This Row],[ItemID A]],Katalog!$C$3:$C$12,0)),"-")</f>
        <v>Pakaian Wanita</v>
      </c>
      <c r="E182" s="39" t="str">
        <f>IFERROR(INDEX(Katalog!$B$3:$B$12,MATCH(cadangan[[#This Row],[ItemID A]],Katalog!$C$3:$C$12,0)),"-")</f>
        <v>Blouse</v>
      </c>
      <c r="F182" s="50">
        <v>5</v>
      </c>
      <c r="G182" s="50">
        <v>5</v>
      </c>
      <c r="H182" s="73">
        <f>IFERROR(INDEX(Katalog!$D$3:$D$12,MATCH(cadangan[[#This Row],[ItemID A]],Katalog!$C$3:$C$12,0))*cadangan[[#This Row],[Qty A]],0)</f>
        <v>750000</v>
      </c>
      <c r="I182" s="73">
        <f>IFERROR(cadangan[[#This Row],[Harga Normal A]]-(cadangan[[#This Row],[Harga Normal A]]*cadangan[[#This Row],[Diskon]]),cadangan[[#This Row],[Harga Normal A]])</f>
        <v>675000</v>
      </c>
      <c r="J182" s="73">
        <f>INDEX(Katalog!$F$3:$F$12,MATCH(cadangan[[#This Row],[ItemID A]],Katalog!$C$3:$C$12,0))*cadangan[[#This Row],[Qty A]]</f>
        <v>250000</v>
      </c>
      <c r="K182" s="73">
        <f>IFERROR(cadangan[[#This Row],[Harga Diskon A]]-INDEX(Katalog!$E$3:$E$12,MATCH(cadangan[[#This Row],[ItemID A]],Katalog!$C$3:$C$12,0))*cadangan[[#This Row],[Qty A]],0)</f>
        <v>175000</v>
      </c>
      <c r="L182" s="39" t="s">
        <v>63</v>
      </c>
      <c r="M182" s="39" t="str">
        <f>IFERROR(INDEX(Katalog!$A$3:$A$12,MATCH(cadangan[[#This Row],[ItemID B]],Katalog!$C$3:$C$12,0)),"-")</f>
        <v>Pakaian Pria</v>
      </c>
      <c r="N182" s="39" t="str">
        <f>IFERROR(INDEX(Katalog!$B$3:$B$12,MATCH(cadangan[[#This Row],[ItemID B]],Katalog!$C$3:$C$12,0)),"-")</f>
        <v>Jaket Jeans</v>
      </c>
      <c r="O182" s="50">
        <v>2</v>
      </c>
      <c r="P182" s="50">
        <v>2</v>
      </c>
      <c r="Q182" s="73">
        <f>IFERROR(INDEX(Katalog!$D$3:$D$12,MATCH(cadangan[[#This Row],[ItemID B]],Katalog!$C$3:$C$12,0))*cadangan[[#This Row],[Qty B]],0)</f>
        <v>800000</v>
      </c>
      <c r="R182" s="73">
        <f>IFERROR(cadangan[[#This Row],[Harga Normal B]]-(cadangan[[#This Row],[Harga Normal B]]*cadangan[[#This Row],[Diskon]]),cadangan[[#This Row],[Harga Normal B]])</f>
        <v>720000</v>
      </c>
      <c r="S182" s="73">
        <f>IFERROR(INDEX(Katalog!$F$3:$F$12,MATCH(cadangan[[#This Row],[ItemID B]],Katalog!$C$3:$C$12,0))*cadangan[[#This Row],[Qty B]],0)</f>
        <v>300000</v>
      </c>
      <c r="T182" s="73">
        <f>IFERROR(cadangan[[#This Row],[Harga Diskon B]]-INDEX(Katalog!$E$3:$E$12,MATCH(cadangan[[#This Row],[ItemID B]],Katalog!$C$3:$C$12,0))*cadangan[[#This Row],[Qty B]],0)</f>
        <v>220000</v>
      </c>
      <c r="V182" s="39" t="str">
        <f>IFERROR(INDEX(Katalog!$A$3:$A$12,MATCH(cadangan[[#This Row],[ItemID C]],Katalog!$C$3:$C$12,0)),"-")</f>
        <v>-</v>
      </c>
      <c r="W182" s="39" t="str">
        <f>IFERROR(INDEX(Katalog!$B$3:$B$12,MATCH(cadangan[[#This Row],[ItemID C]],Katalog!$C$3:$C$12,0)),"-")</f>
        <v>-</v>
      </c>
      <c r="Z182" s="73">
        <f>IFERROR(INDEX(Katalog!$D$3:$D$12,MATCH(cadangan[[#This Row],[ItemID C]],Katalog!$C$3:$C$12,0))*cadangan[[#This Row],[Qty C]],0)</f>
        <v>0</v>
      </c>
      <c r="AA182" s="73">
        <f>IFERROR(cadangan[[#This Row],[Harga Normal C]]-(cadangan[[#This Row],[Harga Normal C]]*cadangan[[#This Row],[Diskon]]),cadangan[[#This Row],[Harga Normal C]])</f>
        <v>0</v>
      </c>
      <c r="AB182" s="73">
        <f>IFERROR(INDEX(Katalog!$F$3:$F$12,MATCH(cadangan[[#This Row],[ItemID C]],Katalog!$C$3:$C$12,0))*cadangan[[#This Row],[Qty C]],0)</f>
        <v>0</v>
      </c>
      <c r="AC182" s="73">
        <f>IFERROR(cadangan[[#This Row],[Harga Diskon C]]-INDEX(Katalog!$E$3:$E$12,MATCH(cadangan[[#This Row],[ItemID C]],Katalog!$C$3:$C$12,0))*cadangan[[#This Row],[Qty C]],0)</f>
        <v>0</v>
      </c>
      <c r="AD182" s="53">
        <f>cadangan[[#This Row],[Qty A]]+cadangan[[#This Row],[Qty B]]+cadangan[[#This Row],[Qty C]]</f>
        <v>7</v>
      </c>
      <c r="AE182" s="73">
        <f>cadangan[[#This Row],[Harga Normal A]]+cadangan[[#This Row],[Harga Normal B]]+cadangan[[#This Row],[Harga Normal C]]</f>
        <v>1550000</v>
      </c>
      <c r="AF182" s="73">
        <f>cadangan[[#This Row],[Harga Diskon A]]+cadangan[[#This Row],[Harga Diskon B]]+cadangan[[#This Row],[Harga Diskon C]]</f>
        <v>1395000</v>
      </c>
      <c r="AG182" s="73">
        <f>(cadangan[[#This Row],[Profit Normal A]]+cadangan[[#This Row],[Profit Normal B]]+cadangan[[#This Row],[Profit Normal C]])</f>
        <v>550000</v>
      </c>
      <c r="AH182" s="73">
        <f>cadangan[[#This Row],[Profit Diskon A]]+cadangan[[#This Row],[Profit Diskon B]]+cadangan[[#This Row],[Profit Diskon C]]</f>
        <v>395000</v>
      </c>
      <c r="AI182" s="23" t="s">
        <v>6</v>
      </c>
      <c r="AJ182" s="37">
        <f>IFERROR(INDEX('Kode Diskon'!$D$3:$D$9,MATCH(cadangan[[#This Row],[Kode diskon]],'Kode Diskon'!$C$3:$C$9,0)),"-")</f>
        <v>0.1</v>
      </c>
      <c r="AK182" s="23" t="s">
        <v>29</v>
      </c>
      <c r="AL182" s="23" t="s">
        <v>7</v>
      </c>
      <c r="AM182" s="23" t="s">
        <v>80</v>
      </c>
      <c r="AN182" s="55">
        <v>45017</v>
      </c>
      <c r="AO182" s="53">
        <f>DAY(cadangan[[#This Row],[Tanggal terjual]])</f>
        <v>1</v>
      </c>
      <c r="AP182" s="21" t="str">
        <f>TEXT(cadangan[[#This Row],[Tanggal terjual]],"dddd")</f>
        <v>Saturday</v>
      </c>
      <c r="AQ182" s="23" t="str" cm="1">
        <f t="array" ref="AQ1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2" s="61">
        <f>AVERAGE(cadangan[[#This Row],[Rating A]],cadangan[[#This Row],[Rating B]],cadangan[[#This Row],[Rating C]])</f>
        <v>3.5</v>
      </c>
    </row>
    <row r="183" spans="1:44" x14ac:dyDescent="0.2">
      <c r="A183" s="20">
        <v>182</v>
      </c>
      <c r="B183" s="21" t="str">
        <f>_xlfn.CONCAT("ORD-",INDEX(Helper!$B$2:$B$5,MATCH(cadangan[[#This Row],[Marketplace]],Helper!$A$2:$A$5,0)),TEXT(cadangan[[#This Row],[No]],"0000"),"-",TEXT(cadangan[[#This Row],[Tanggal terjual]],"dd/mm/yy"))</f>
        <v>ORD-SP0182-04/04/23</v>
      </c>
      <c r="C183" s="39" t="s">
        <v>61</v>
      </c>
      <c r="D183" s="39" t="str">
        <f>IFERROR(INDEX(Katalog!$A$3:$A$12,MATCH(cadangan[[#This Row],[ItemID A]],Katalog!$C$3:$C$12,0)),"-")</f>
        <v>Pakaian Pria</v>
      </c>
      <c r="E183" s="39" t="str">
        <f>IFERROR(INDEX(Katalog!$B$3:$B$12,MATCH(cadangan[[#This Row],[ItemID A]],Katalog!$C$3:$C$12,0)),"-")</f>
        <v>Kaos Polo</v>
      </c>
      <c r="F183" s="50">
        <v>1</v>
      </c>
      <c r="G183" s="50">
        <v>3</v>
      </c>
      <c r="H183" s="73">
        <f>IFERROR(INDEX(Katalog!$D$3:$D$12,MATCH(cadangan[[#This Row],[ItemID A]],Katalog!$C$3:$C$12,0))*cadangan[[#This Row],[Qty A]],0)</f>
        <v>200000</v>
      </c>
      <c r="I183" s="73">
        <f>IFERROR(cadangan[[#This Row],[Harga Normal A]]-(cadangan[[#This Row],[Harga Normal A]]*cadangan[[#This Row],[Diskon]]),cadangan[[#This Row],[Harga Normal A]])</f>
        <v>170000</v>
      </c>
      <c r="J183" s="73">
        <f>INDEX(Katalog!$F$3:$F$12,MATCH(cadangan[[#This Row],[ItemID A]],Katalog!$C$3:$C$12,0))*cadangan[[#This Row],[Qty A]]</f>
        <v>80000</v>
      </c>
      <c r="K183" s="73">
        <f>IFERROR(cadangan[[#This Row],[Harga Diskon A]]-INDEX(Katalog!$E$3:$E$12,MATCH(cadangan[[#This Row],[ItemID A]],Katalog!$C$3:$C$12,0))*cadangan[[#This Row],[Qty A]],0)</f>
        <v>50000</v>
      </c>
      <c r="L183" s="39" t="s">
        <v>63</v>
      </c>
      <c r="M183" s="39" t="str">
        <f>IFERROR(INDEX(Katalog!$A$3:$A$12,MATCH(cadangan[[#This Row],[ItemID B]],Katalog!$C$3:$C$12,0)),"-")</f>
        <v>Pakaian Pria</v>
      </c>
      <c r="N183" s="39" t="str">
        <f>IFERROR(INDEX(Katalog!$B$3:$B$12,MATCH(cadangan[[#This Row],[ItemID B]],Katalog!$C$3:$C$12,0)),"-")</f>
        <v>Jaket Jeans</v>
      </c>
      <c r="O183" s="50">
        <v>1</v>
      </c>
      <c r="P183" s="50">
        <v>4</v>
      </c>
      <c r="Q183" s="73">
        <f>IFERROR(INDEX(Katalog!$D$3:$D$12,MATCH(cadangan[[#This Row],[ItemID B]],Katalog!$C$3:$C$12,0))*cadangan[[#This Row],[Qty B]],0)</f>
        <v>400000</v>
      </c>
      <c r="R183" s="73">
        <f>IFERROR(cadangan[[#This Row],[Harga Normal B]]-(cadangan[[#This Row],[Harga Normal B]]*cadangan[[#This Row],[Diskon]]),cadangan[[#This Row],[Harga Normal B]])</f>
        <v>340000</v>
      </c>
      <c r="S183" s="73">
        <f>IFERROR(INDEX(Katalog!$F$3:$F$12,MATCH(cadangan[[#This Row],[ItemID B]],Katalog!$C$3:$C$12,0))*cadangan[[#This Row],[Qty B]],0)</f>
        <v>150000</v>
      </c>
      <c r="T183" s="73">
        <f>IFERROR(cadangan[[#This Row],[Harga Diskon B]]-INDEX(Katalog!$E$3:$E$12,MATCH(cadangan[[#This Row],[ItemID B]],Katalog!$C$3:$C$12,0))*cadangan[[#This Row],[Qty B]],0)</f>
        <v>90000</v>
      </c>
      <c r="V183" s="39" t="str">
        <f>IFERROR(INDEX(Katalog!$A$3:$A$12,MATCH(cadangan[[#This Row],[ItemID C]],Katalog!$C$3:$C$12,0)),"-")</f>
        <v>-</v>
      </c>
      <c r="W183" s="39" t="str">
        <f>IFERROR(INDEX(Katalog!$B$3:$B$12,MATCH(cadangan[[#This Row],[ItemID C]],Katalog!$C$3:$C$12,0)),"-")</f>
        <v>-</v>
      </c>
      <c r="Z183" s="73">
        <f>IFERROR(INDEX(Katalog!$D$3:$D$12,MATCH(cadangan[[#This Row],[ItemID C]],Katalog!$C$3:$C$12,0))*cadangan[[#This Row],[Qty C]],0)</f>
        <v>0</v>
      </c>
      <c r="AA183" s="73">
        <f>IFERROR(cadangan[[#This Row],[Harga Normal C]]-(cadangan[[#This Row],[Harga Normal C]]*cadangan[[#This Row],[Diskon]]),cadangan[[#This Row],[Harga Normal C]])</f>
        <v>0</v>
      </c>
      <c r="AB183" s="73">
        <f>IFERROR(INDEX(Katalog!$F$3:$F$12,MATCH(cadangan[[#This Row],[ItemID C]],Katalog!$C$3:$C$12,0))*cadangan[[#This Row],[Qty C]],0)</f>
        <v>0</v>
      </c>
      <c r="AC183" s="73">
        <f>IFERROR(cadangan[[#This Row],[Harga Diskon C]]-INDEX(Katalog!$E$3:$E$12,MATCH(cadangan[[#This Row],[ItemID C]],Katalog!$C$3:$C$12,0))*cadangan[[#This Row],[Qty C]],0)</f>
        <v>0</v>
      </c>
      <c r="AD183" s="53">
        <f>cadangan[[#This Row],[Qty A]]+cadangan[[#This Row],[Qty B]]+cadangan[[#This Row],[Qty C]]</f>
        <v>2</v>
      </c>
      <c r="AE183" s="73">
        <f>cadangan[[#This Row],[Harga Normal A]]+cadangan[[#This Row],[Harga Normal B]]+cadangan[[#This Row],[Harga Normal C]]</f>
        <v>600000</v>
      </c>
      <c r="AF183" s="73">
        <f>cadangan[[#This Row],[Harga Diskon A]]+cadangan[[#This Row],[Harga Diskon B]]+cadangan[[#This Row],[Harga Diskon C]]</f>
        <v>510000</v>
      </c>
      <c r="AG183" s="73">
        <f>(cadangan[[#This Row],[Profit Normal A]]+cadangan[[#This Row],[Profit Normal B]]+cadangan[[#This Row],[Profit Normal C]])</f>
        <v>230000</v>
      </c>
      <c r="AH183" s="73">
        <f>cadangan[[#This Row],[Profit Diskon A]]+cadangan[[#This Row],[Profit Diskon B]]+cadangan[[#This Row],[Profit Diskon C]]</f>
        <v>140000</v>
      </c>
      <c r="AI183" s="23" t="s">
        <v>13</v>
      </c>
      <c r="AJ183" s="37">
        <f>IFERROR(INDEX('Kode Diskon'!$D$3:$D$9,MATCH(cadangan[[#This Row],[Kode diskon]],'Kode Diskon'!$C$3:$C$9,0)),"-")</f>
        <v>0.15</v>
      </c>
      <c r="AK183" s="23" t="s">
        <v>29</v>
      </c>
      <c r="AL183" s="23" t="s">
        <v>7</v>
      </c>
      <c r="AM183" s="23" t="s">
        <v>79</v>
      </c>
      <c r="AN183" s="55">
        <v>45020</v>
      </c>
      <c r="AO183" s="53">
        <f>DAY(cadangan[[#This Row],[Tanggal terjual]])</f>
        <v>4</v>
      </c>
      <c r="AP183" s="21" t="str">
        <f>TEXT(cadangan[[#This Row],[Tanggal terjual]],"dddd")</f>
        <v>Tuesday</v>
      </c>
      <c r="AQ183" s="23" t="str" cm="1">
        <f t="array" ref="AQ1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3" s="61">
        <f>AVERAGE(cadangan[[#This Row],[Rating A]],cadangan[[#This Row],[Rating B]],cadangan[[#This Row],[Rating C]])</f>
        <v>3.5</v>
      </c>
    </row>
    <row r="184" spans="1:44" x14ac:dyDescent="0.2">
      <c r="A184" s="20">
        <v>183</v>
      </c>
      <c r="B184" s="21" t="str">
        <f>_xlfn.CONCAT("ORD-",INDEX(Helper!$B$2:$B$5,MATCH(cadangan[[#This Row],[Marketplace]],Helper!$A$2:$A$5,0)),TEXT(cadangan[[#This Row],[No]],"0000"),"-",TEXT(cadangan[[#This Row],[Tanggal terjual]],"dd/mm/yy"))</f>
        <v>ORD-BL0183-20/04/23</v>
      </c>
      <c r="C184" s="39" t="s">
        <v>59</v>
      </c>
      <c r="D184" s="39" t="str">
        <f>IFERROR(INDEX(Katalog!$A$3:$A$12,MATCH(cadangan[[#This Row],[ItemID A]],Katalog!$C$3:$C$12,0)),"-")</f>
        <v>Pakaian Wanita</v>
      </c>
      <c r="E184" s="39" t="str">
        <f>IFERROR(INDEX(Katalog!$B$3:$B$12,MATCH(cadangan[[#This Row],[ItemID A]],Katalog!$C$3:$C$12,0)),"-")</f>
        <v>Blouse</v>
      </c>
      <c r="F184" s="50">
        <v>7</v>
      </c>
      <c r="G184" s="50">
        <v>4</v>
      </c>
      <c r="H184" s="73">
        <f>IFERROR(INDEX(Katalog!$D$3:$D$12,MATCH(cadangan[[#This Row],[ItemID A]],Katalog!$C$3:$C$12,0))*cadangan[[#This Row],[Qty A]],0)</f>
        <v>1050000</v>
      </c>
      <c r="I184" s="73">
        <f>IFERROR(cadangan[[#This Row],[Harga Normal A]]-(cadangan[[#This Row],[Harga Normal A]]*cadangan[[#This Row],[Diskon]]),cadangan[[#This Row],[Harga Normal A]])</f>
        <v>892500</v>
      </c>
      <c r="J184" s="73">
        <f>INDEX(Katalog!$F$3:$F$12,MATCH(cadangan[[#This Row],[ItemID A]],Katalog!$C$3:$C$12,0))*cadangan[[#This Row],[Qty A]]</f>
        <v>350000</v>
      </c>
      <c r="K184" s="73">
        <f>IFERROR(cadangan[[#This Row],[Harga Diskon A]]-INDEX(Katalog!$E$3:$E$12,MATCH(cadangan[[#This Row],[ItemID A]],Katalog!$C$3:$C$12,0))*cadangan[[#This Row],[Qty A]],0)</f>
        <v>192500</v>
      </c>
      <c r="M184" s="39" t="str">
        <f>IFERROR(INDEX(Katalog!$A$3:$A$12,MATCH(cadangan[[#This Row],[ItemID B]],Katalog!$C$3:$C$12,0)),"-")</f>
        <v>-</v>
      </c>
      <c r="N184" s="39" t="str">
        <f>IFERROR(INDEX(Katalog!$B$3:$B$12,MATCH(cadangan[[#This Row],[ItemID B]],Katalog!$C$3:$C$12,0)),"-")</f>
        <v>-</v>
      </c>
      <c r="Q184" s="73">
        <f>IFERROR(INDEX(Katalog!$D$3:$D$12,MATCH(cadangan[[#This Row],[ItemID B]],Katalog!$C$3:$C$12,0))*cadangan[[#This Row],[Qty B]],0)</f>
        <v>0</v>
      </c>
      <c r="R184" s="73">
        <f>IFERROR(cadangan[[#This Row],[Harga Normal B]]-(cadangan[[#This Row],[Harga Normal B]]*cadangan[[#This Row],[Diskon]]),cadangan[[#This Row],[Harga Normal B]])</f>
        <v>0</v>
      </c>
      <c r="S184" s="73">
        <f>IFERROR(INDEX(Katalog!$F$3:$F$12,MATCH(cadangan[[#This Row],[ItemID B]],Katalog!$C$3:$C$12,0))*cadangan[[#This Row],[Qty B]],0)</f>
        <v>0</v>
      </c>
      <c r="T184" s="73">
        <f>IFERROR(cadangan[[#This Row],[Harga Diskon B]]-INDEX(Katalog!$E$3:$E$12,MATCH(cadangan[[#This Row],[ItemID B]],Katalog!$C$3:$C$12,0))*cadangan[[#This Row],[Qty B]],0)</f>
        <v>0</v>
      </c>
      <c r="V184" s="39" t="str">
        <f>IFERROR(INDEX(Katalog!$A$3:$A$12,MATCH(cadangan[[#This Row],[ItemID C]],Katalog!$C$3:$C$12,0)),"-")</f>
        <v>-</v>
      </c>
      <c r="W184" s="39" t="str">
        <f>IFERROR(INDEX(Katalog!$B$3:$B$12,MATCH(cadangan[[#This Row],[ItemID C]],Katalog!$C$3:$C$12,0)),"-")</f>
        <v>-</v>
      </c>
      <c r="Z184" s="73">
        <f>IFERROR(INDEX(Katalog!$D$3:$D$12,MATCH(cadangan[[#This Row],[ItemID C]],Katalog!$C$3:$C$12,0))*cadangan[[#This Row],[Qty C]],0)</f>
        <v>0</v>
      </c>
      <c r="AA184" s="73">
        <f>IFERROR(cadangan[[#This Row],[Harga Normal C]]-(cadangan[[#This Row],[Harga Normal C]]*cadangan[[#This Row],[Diskon]]),cadangan[[#This Row],[Harga Normal C]])</f>
        <v>0</v>
      </c>
      <c r="AB184" s="73">
        <f>IFERROR(INDEX(Katalog!$F$3:$F$12,MATCH(cadangan[[#This Row],[ItemID C]],Katalog!$C$3:$C$12,0))*cadangan[[#This Row],[Qty C]],0)</f>
        <v>0</v>
      </c>
      <c r="AC184" s="73">
        <f>IFERROR(cadangan[[#This Row],[Harga Diskon C]]-INDEX(Katalog!$E$3:$E$12,MATCH(cadangan[[#This Row],[ItemID C]],Katalog!$C$3:$C$12,0))*cadangan[[#This Row],[Qty C]],0)</f>
        <v>0</v>
      </c>
      <c r="AD184" s="53">
        <f>cadangan[[#This Row],[Qty A]]+cadangan[[#This Row],[Qty B]]+cadangan[[#This Row],[Qty C]]</f>
        <v>7</v>
      </c>
      <c r="AE184" s="73">
        <f>cadangan[[#This Row],[Harga Normal A]]+cadangan[[#This Row],[Harga Normal B]]+cadangan[[#This Row],[Harga Normal C]]</f>
        <v>1050000</v>
      </c>
      <c r="AF184" s="73">
        <f>cadangan[[#This Row],[Harga Diskon A]]+cadangan[[#This Row],[Harga Diskon B]]+cadangan[[#This Row],[Harga Diskon C]]</f>
        <v>892500</v>
      </c>
      <c r="AG184" s="73">
        <f>(cadangan[[#This Row],[Profit Normal A]]+cadangan[[#This Row],[Profit Normal B]]+cadangan[[#This Row],[Profit Normal C]])</f>
        <v>350000</v>
      </c>
      <c r="AH184" s="73">
        <f>cadangan[[#This Row],[Profit Diskon A]]+cadangan[[#This Row],[Profit Diskon B]]+cadangan[[#This Row],[Profit Diskon C]]</f>
        <v>192500</v>
      </c>
      <c r="AI184" s="23" t="s">
        <v>32</v>
      </c>
      <c r="AJ184" s="37">
        <f>IFERROR(INDEX('Kode Diskon'!$D$3:$D$9,MATCH(cadangan[[#This Row],[Kode diskon]],'Kode Diskon'!$C$3:$C$9,0)),"-")</f>
        <v>0.15</v>
      </c>
      <c r="AK184" s="23" t="s">
        <v>9</v>
      </c>
      <c r="AL184" s="23" t="s">
        <v>12</v>
      </c>
      <c r="AM184" s="23" t="s">
        <v>77</v>
      </c>
      <c r="AN184" s="55">
        <v>45036</v>
      </c>
      <c r="AO184" s="53">
        <f>DAY(cadangan[[#This Row],[Tanggal terjual]])</f>
        <v>20</v>
      </c>
      <c r="AP184" s="21" t="str">
        <f>TEXT(cadangan[[#This Row],[Tanggal terjual]],"dddd")</f>
        <v>Thursday</v>
      </c>
      <c r="AQ184" s="23" t="str" cm="1">
        <f t="array" ref="AQ1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84" s="61">
        <f>AVERAGE(cadangan[[#This Row],[Rating A]],cadangan[[#This Row],[Rating B]],cadangan[[#This Row],[Rating C]])</f>
        <v>4</v>
      </c>
    </row>
    <row r="185" spans="1:44" x14ac:dyDescent="0.2">
      <c r="A185" s="20">
        <v>184</v>
      </c>
      <c r="B185" s="21" t="str">
        <f>_xlfn.CONCAT("ORD-",INDEX(Helper!$B$2:$B$5,MATCH(cadangan[[#This Row],[Marketplace]],Helper!$A$2:$A$5,0)),TEXT(cadangan[[#This Row],[No]],"0000"),"-",TEXT(cadangan[[#This Row],[Tanggal terjual]],"dd/mm/yy"))</f>
        <v>ORD-TK0184-24/04/23</v>
      </c>
      <c r="C185" s="39" t="s">
        <v>66</v>
      </c>
      <c r="D185" s="39" t="str">
        <f>IFERROR(INDEX(Katalog!$A$3:$A$12,MATCH(cadangan[[#This Row],[ItemID A]],Katalog!$C$3:$C$12,0)),"-")</f>
        <v>Sepatu Pria</v>
      </c>
      <c r="E185" s="39" t="str">
        <f>IFERROR(INDEX(Katalog!$B$3:$B$12,MATCH(cadangan[[#This Row],[ItemID A]],Katalog!$C$3:$C$12,0)),"-")</f>
        <v>Sandal Slip On</v>
      </c>
      <c r="F185" s="50">
        <v>2</v>
      </c>
      <c r="G185" s="50">
        <v>2</v>
      </c>
      <c r="H185" s="73">
        <f>IFERROR(INDEX(Katalog!$D$3:$D$12,MATCH(cadangan[[#This Row],[ItemID A]],Katalog!$C$3:$C$12,0))*cadangan[[#This Row],[Qty A]],0)</f>
        <v>300000</v>
      </c>
      <c r="I185" s="73">
        <f>IFERROR(cadangan[[#This Row],[Harga Normal A]]-(cadangan[[#This Row],[Harga Normal A]]*cadangan[[#This Row],[Diskon]]),cadangan[[#This Row],[Harga Normal A]])</f>
        <v>270000</v>
      </c>
      <c r="J185" s="73">
        <f>INDEX(Katalog!$F$3:$F$12,MATCH(cadangan[[#This Row],[ItemID A]],Katalog!$C$3:$C$12,0))*cadangan[[#This Row],[Qty A]]</f>
        <v>120000</v>
      </c>
      <c r="K185" s="73">
        <f>IFERROR(cadangan[[#This Row],[Harga Diskon A]]-INDEX(Katalog!$E$3:$E$12,MATCH(cadangan[[#This Row],[ItemID A]],Katalog!$C$3:$C$12,0))*cadangan[[#This Row],[Qty A]],0)</f>
        <v>90000</v>
      </c>
      <c r="L185" s="39" t="s">
        <v>64</v>
      </c>
      <c r="M185" s="39" t="str">
        <f>IFERROR(INDEX(Katalog!$A$3:$A$12,MATCH(cadangan[[#This Row],[ItemID B]],Katalog!$C$3:$C$12,0)),"-")</f>
        <v>Pakaian Unisex</v>
      </c>
      <c r="N185" s="39" t="str">
        <f>IFERROR(INDEX(Katalog!$B$3:$B$12,MATCH(cadangan[[#This Row],[ItemID B]],Katalog!$C$3:$C$12,0)),"-")</f>
        <v>Jaket Hoodie</v>
      </c>
      <c r="O185" s="50">
        <v>2</v>
      </c>
      <c r="P185" s="50">
        <v>2</v>
      </c>
      <c r="Q185" s="73">
        <f>IFERROR(INDEX(Katalog!$D$3:$D$12,MATCH(cadangan[[#This Row],[ItemID B]],Katalog!$C$3:$C$12,0))*cadangan[[#This Row],[Qty B]],0)</f>
        <v>700000</v>
      </c>
      <c r="R185" s="73">
        <f>IFERROR(cadangan[[#This Row],[Harga Normal B]]-(cadangan[[#This Row],[Harga Normal B]]*cadangan[[#This Row],[Diskon]]),cadangan[[#This Row],[Harga Normal B]])</f>
        <v>630000</v>
      </c>
      <c r="S185" s="73">
        <f>IFERROR(INDEX(Katalog!$F$3:$F$12,MATCH(cadangan[[#This Row],[ItemID B]],Katalog!$C$3:$C$12,0))*cadangan[[#This Row],[Qty B]],0)</f>
        <v>260000</v>
      </c>
      <c r="T185" s="73">
        <f>IFERROR(cadangan[[#This Row],[Harga Diskon B]]-INDEX(Katalog!$E$3:$E$12,MATCH(cadangan[[#This Row],[ItemID B]],Katalog!$C$3:$C$12,0))*cadangan[[#This Row],[Qty B]],0)</f>
        <v>190000</v>
      </c>
      <c r="V185" s="39" t="str">
        <f>IFERROR(INDEX(Katalog!$A$3:$A$12,MATCH(cadangan[[#This Row],[ItemID C]],Katalog!$C$3:$C$12,0)),"-")</f>
        <v>-</v>
      </c>
      <c r="W185" s="39" t="str">
        <f>IFERROR(INDEX(Katalog!$B$3:$B$12,MATCH(cadangan[[#This Row],[ItemID C]],Katalog!$C$3:$C$12,0)),"-")</f>
        <v>-</v>
      </c>
      <c r="Z185" s="73">
        <f>IFERROR(INDEX(Katalog!$D$3:$D$12,MATCH(cadangan[[#This Row],[ItemID C]],Katalog!$C$3:$C$12,0))*cadangan[[#This Row],[Qty C]],0)</f>
        <v>0</v>
      </c>
      <c r="AA185" s="73">
        <f>IFERROR(cadangan[[#This Row],[Harga Normal C]]-(cadangan[[#This Row],[Harga Normal C]]*cadangan[[#This Row],[Diskon]]),cadangan[[#This Row],[Harga Normal C]])</f>
        <v>0</v>
      </c>
      <c r="AB185" s="73">
        <f>IFERROR(INDEX(Katalog!$F$3:$F$12,MATCH(cadangan[[#This Row],[ItemID C]],Katalog!$C$3:$C$12,0))*cadangan[[#This Row],[Qty C]],0)</f>
        <v>0</v>
      </c>
      <c r="AC185" s="73">
        <f>IFERROR(cadangan[[#This Row],[Harga Diskon C]]-INDEX(Katalog!$E$3:$E$12,MATCH(cadangan[[#This Row],[ItemID C]],Katalog!$C$3:$C$12,0))*cadangan[[#This Row],[Qty C]],0)</f>
        <v>0</v>
      </c>
      <c r="AD185" s="53">
        <f>cadangan[[#This Row],[Qty A]]+cadangan[[#This Row],[Qty B]]+cadangan[[#This Row],[Qty C]]</f>
        <v>4</v>
      </c>
      <c r="AE185" s="73">
        <f>cadangan[[#This Row],[Harga Normal A]]+cadangan[[#This Row],[Harga Normal B]]+cadangan[[#This Row],[Harga Normal C]]</f>
        <v>1000000</v>
      </c>
      <c r="AF185" s="73">
        <f>cadangan[[#This Row],[Harga Diskon A]]+cadangan[[#This Row],[Harga Diskon B]]+cadangan[[#This Row],[Harga Diskon C]]</f>
        <v>900000</v>
      </c>
      <c r="AG185" s="73">
        <f>(cadangan[[#This Row],[Profit Normal A]]+cadangan[[#This Row],[Profit Normal B]]+cadangan[[#This Row],[Profit Normal C]])</f>
        <v>380000</v>
      </c>
      <c r="AH185" s="73">
        <f>cadangan[[#This Row],[Profit Diskon A]]+cadangan[[#This Row],[Profit Diskon B]]+cadangan[[#This Row],[Profit Diskon C]]</f>
        <v>280000</v>
      </c>
      <c r="AI185" s="23" t="s">
        <v>31</v>
      </c>
      <c r="AJ185" s="37">
        <f>IFERROR(INDEX('Kode Diskon'!$D$3:$D$9,MATCH(cadangan[[#This Row],[Kode diskon]],'Kode Diskon'!$C$3:$C$9,0)),"-")</f>
        <v>0.1</v>
      </c>
      <c r="AK185" s="23" t="s">
        <v>9</v>
      </c>
      <c r="AL185" s="23" t="s">
        <v>10</v>
      </c>
      <c r="AM185" s="23" t="s">
        <v>80</v>
      </c>
      <c r="AN185" s="55">
        <v>45040</v>
      </c>
      <c r="AO185" s="53">
        <f>DAY(cadangan[[#This Row],[Tanggal terjual]])</f>
        <v>24</v>
      </c>
      <c r="AP185" s="21" t="str">
        <f>TEXT(cadangan[[#This Row],[Tanggal terjual]],"dddd")</f>
        <v>Monday</v>
      </c>
      <c r="AQ185" s="23" t="str" cm="1">
        <f t="array" ref="AQ1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85" s="61">
        <f>AVERAGE(cadangan[[#This Row],[Rating A]],cadangan[[#This Row],[Rating B]],cadangan[[#This Row],[Rating C]])</f>
        <v>2</v>
      </c>
    </row>
    <row r="186" spans="1:44" x14ac:dyDescent="0.2">
      <c r="A186" s="20">
        <v>185</v>
      </c>
      <c r="B186" s="21" t="str">
        <f>_xlfn.CONCAT("ORD-",INDEX(Helper!$B$2:$B$5,MATCH(cadangan[[#This Row],[Marketplace]],Helper!$A$2:$A$5,0)),TEXT(cadangan[[#This Row],[No]],"0000"),"-",TEXT(cadangan[[#This Row],[Tanggal terjual]],"dd/mm/yy"))</f>
        <v>ORD-SP0185-06/04/23</v>
      </c>
      <c r="C186" s="39" t="s">
        <v>63</v>
      </c>
      <c r="D186" s="39" t="str">
        <f>IFERROR(INDEX(Katalog!$A$3:$A$12,MATCH(cadangan[[#This Row],[ItemID A]],Katalog!$C$3:$C$12,0)),"-")</f>
        <v>Pakaian Pria</v>
      </c>
      <c r="E186" s="39" t="str">
        <f>IFERROR(INDEX(Katalog!$B$3:$B$12,MATCH(cadangan[[#This Row],[ItemID A]],Katalog!$C$3:$C$12,0)),"-")</f>
        <v>Jaket Jeans</v>
      </c>
      <c r="F186" s="50">
        <v>3</v>
      </c>
      <c r="G186" s="50">
        <v>2</v>
      </c>
      <c r="H186" s="73">
        <f>IFERROR(INDEX(Katalog!$D$3:$D$12,MATCH(cadangan[[#This Row],[ItemID A]],Katalog!$C$3:$C$12,0))*cadangan[[#This Row],[Qty A]],0)</f>
        <v>1200000</v>
      </c>
      <c r="I186" s="73">
        <f>IFERROR(cadangan[[#This Row],[Harga Normal A]]-(cadangan[[#This Row],[Harga Normal A]]*cadangan[[#This Row],[Diskon]]),cadangan[[#This Row],[Harga Normal A]])</f>
        <v>1020000</v>
      </c>
      <c r="J186" s="73">
        <f>INDEX(Katalog!$F$3:$F$12,MATCH(cadangan[[#This Row],[ItemID A]],Katalog!$C$3:$C$12,0))*cadangan[[#This Row],[Qty A]]</f>
        <v>450000</v>
      </c>
      <c r="K186" s="73">
        <f>IFERROR(cadangan[[#This Row],[Harga Diskon A]]-INDEX(Katalog!$E$3:$E$12,MATCH(cadangan[[#This Row],[ItemID A]],Katalog!$C$3:$C$12,0))*cadangan[[#This Row],[Qty A]],0)</f>
        <v>270000</v>
      </c>
      <c r="L186" s="39" t="s">
        <v>65</v>
      </c>
      <c r="M186" s="39" t="str">
        <f>IFERROR(INDEX(Katalog!$A$3:$A$12,MATCH(cadangan[[#This Row],[ItemID B]],Katalog!$C$3:$C$12,0)),"-")</f>
        <v>Sepatu Pria</v>
      </c>
      <c r="N186" s="39" t="str">
        <f>IFERROR(INDEX(Katalog!$B$3:$B$12,MATCH(cadangan[[#This Row],[ItemID B]],Katalog!$C$3:$C$12,0)),"-")</f>
        <v>Sneakers</v>
      </c>
      <c r="O186" s="50">
        <v>1</v>
      </c>
      <c r="P186" s="50">
        <v>5</v>
      </c>
      <c r="Q186" s="73">
        <f>IFERROR(INDEX(Katalog!$D$3:$D$12,MATCH(cadangan[[#This Row],[ItemID B]],Katalog!$C$3:$C$12,0))*cadangan[[#This Row],[Qty B]],0)</f>
        <v>500000</v>
      </c>
      <c r="R186" s="73">
        <f>IFERROR(cadangan[[#This Row],[Harga Normal B]]-(cadangan[[#This Row],[Harga Normal B]]*cadangan[[#This Row],[Diskon]]),cadangan[[#This Row],[Harga Normal B]])</f>
        <v>425000</v>
      </c>
      <c r="S186" s="73">
        <f>IFERROR(INDEX(Katalog!$F$3:$F$12,MATCH(cadangan[[#This Row],[ItemID B]],Katalog!$C$3:$C$12,0))*cadangan[[#This Row],[Qty B]],0)</f>
        <v>200000</v>
      </c>
      <c r="T186" s="73">
        <f>IFERROR(cadangan[[#This Row],[Harga Diskon B]]-INDEX(Katalog!$E$3:$E$12,MATCH(cadangan[[#This Row],[ItemID B]],Katalog!$C$3:$C$12,0))*cadangan[[#This Row],[Qty B]],0)</f>
        <v>125000</v>
      </c>
      <c r="V186" s="39" t="str">
        <f>IFERROR(INDEX(Katalog!$A$3:$A$12,MATCH(cadangan[[#This Row],[ItemID C]],Katalog!$C$3:$C$12,0)),"-")</f>
        <v>-</v>
      </c>
      <c r="W186" s="39" t="str">
        <f>IFERROR(INDEX(Katalog!$B$3:$B$12,MATCH(cadangan[[#This Row],[ItemID C]],Katalog!$C$3:$C$12,0)),"-")</f>
        <v>-</v>
      </c>
      <c r="Z186" s="73">
        <f>IFERROR(INDEX(Katalog!$D$3:$D$12,MATCH(cadangan[[#This Row],[ItemID C]],Katalog!$C$3:$C$12,0))*cadangan[[#This Row],[Qty C]],0)</f>
        <v>0</v>
      </c>
      <c r="AA186" s="73">
        <f>IFERROR(cadangan[[#This Row],[Harga Normal C]]-(cadangan[[#This Row],[Harga Normal C]]*cadangan[[#This Row],[Diskon]]),cadangan[[#This Row],[Harga Normal C]])</f>
        <v>0</v>
      </c>
      <c r="AB186" s="73">
        <f>IFERROR(INDEX(Katalog!$F$3:$F$12,MATCH(cadangan[[#This Row],[ItemID C]],Katalog!$C$3:$C$12,0))*cadangan[[#This Row],[Qty C]],0)</f>
        <v>0</v>
      </c>
      <c r="AC186" s="73">
        <f>IFERROR(cadangan[[#This Row],[Harga Diskon C]]-INDEX(Katalog!$E$3:$E$12,MATCH(cadangan[[#This Row],[ItemID C]],Katalog!$C$3:$C$12,0))*cadangan[[#This Row],[Qty C]],0)</f>
        <v>0</v>
      </c>
      <c r="AD186" s="53">
        <f>cadangan[[#This Row],[Qty A]]+cadangan[[#This Row],[Qty B]]+cadangan[[#This Row],[Qty C]]</f>
        <v>4</v>
      </c>
      <c r="AE186" s="73">
        <f>cadangan[[#This Row],[Harga Normal A]]+cadangan[[#This Row],[Harga Normal B]]+cadangan[[#This Row],[Harga Normal C]]</f>
        <v>1700000</v>
      </c>
      <c r="AF186" s="73">
        <f>cadangan[[#This Row],[Harga Diskon A]]+cadangan[[#This Row],[Harga Diskon B]]+cadangan[[#This Row],[Harga Diskon C]]</f>
        <v>1445000</v>
      </c>
      <c r="AG186" s="73">
        <f>(cadangan[[#This Row],[Profit Normal A]]+cadangan[[#This Row],[Profit Normal B]]+cadangan[[#This Row],[Profit Normal C]])</f>
        <v>650000</v>
      </c>
      <c r="AH186" s="73">
        <f>cadangan[[#This Row],[Profit Diskon A]]+cadangan[[#This Row],[Profit Diskon B]]+cadangan[[#This Row],[Profit Diskon C]]</f>
        <v>395000</v>
      </c>
      <c r="AI186" s="23" t="s">
        <v>13</v>
      </c>
      <c r="AJ186" s="37">
        <f>IFERROR(INDEX('Kode Diskon'!$D$3:$D$9,MATCH(cadangan[[#This Row],[Kode diskon]],'Kode Diskon'!$C$3:$C$9,0)),"-")</f>
        <v>0.15</v>
      </c>
      <c r="AK186" s="23" t="s">
        <v>29</v>
      </c>
      <c r="AL186" s="23" t="s">
        <v>7</v>
      </c>
      <c r="AM186" s="23" t="s">
        <v>75</v>
      </c>
      <c r="AN186" s="55">
        <v>45022</v>
      </c>
      <c r="AO186" s="53">
        <f>DAY(cadangan[[#This Row],[Tanggal terjual]])</f>
        <v>6</v>
      </c>
      <c r="AP186" s="21" t="str">
        <f>TEXT(cadangan[[#This Row],[Tanggal terjual]],"dddd")</f>
        <v>Thursday</v>
      </c>
      <c r="AQ186" s="23" t="str" cm="1">
        <f t="array" ref="AQ1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6" s="61">
        <f>AVERAGE(cadangan[[#This Row],[Rating A]],cadangan[[#This Row],[Rating B]],cadangan[[#This Row],[Rating C]])</f>
        <v>3.5</v>
      </c>
    </row>
    <row r="187" spans="1:44" x14ac:dyDescent="0.2">
      <c r="A187" s="20">
        <v>186</v>
      </c>
      <c r="B187" s="21" t="str">
        <f>_xlfn.CONCAT("ORD-",INDEX(Helper!$B$2:$B$5,MATCH(cadangan[[#This Row],[Marketplace]],Helper!$A$2:$A$5,0)),TEXT(cadangan[[#This Row],[No]],"0000"),"-",TEXT(cadangan[[#This Row],[Tanggal terjual]],"dd/mm/yy"))</f>
        <v>ORD-BB0186-05/04/23</v>
      </c>
      <c r="C187" s="39" t="s">
        <v>61</v>
      </c>
      <c r="D187" s="39" t="str">
        <f>IFERROR(INDEX(Katalog!$A$3:$A$12,MATCH(cadangan[[#This Row],[ItemID A]],Katalog!$C$3:$C$12,0)),"-")</f>
        <v>Pakaian Pria</v>
      </c>
      <c r="E187" s="39" t="str">
        <f>IFERROR(INDEX(Katalog!$B$3:$B$12,MATCH(cadangan[[#This Row],[ItemID A]],Katalog!$C$3:$C$12,0)),"-")</f>
        <v>Kaos Polo</v>
      </c>
      <c r="F187" s="50">
        <v>4</v>
      </c>
      <c r="G187" s="50">
        <v>2</v>
      </c>
      <c r="H187" s="73">
        <f>IFERROR(INDEX(Katalog!$D$3:$D$12,MATCH(cadangan[[#This Row],[ItemID A]],Katalog!$C$3:$C$12,0))*cadangan[[#This Row],[Qty A]],0)</f>
        <v>800000</v>
      </c>
      <c r="I187" s="73">
        <f>IFERROR(cadangan[[#This Row],[Harga Normal A]]-(cadangan[[#This Row],[Harga Normal A]]*cadangan[[#This Row],[Diskon]]),cadangan[[#This Row],[Harga Normal A]])</f>
        <v>680000</v>
      </c>
      <c r="J187" s="73">
        <f>INDEX(Katalog!$F$3:$F$12,MATCH(cadangan[[#This Row],[ItemID A]],Katalog!$C$3:$C$12,0))*cadangan[[#This Row],[Qty A]]</f>
        <v>320000</v>
      </c>
      <c r="K187" s="73">
        <f>IFERROR(cadangan[[#This Row],[Harga Diskon A]]-INDEX(Katalog!$E$3:$E$12,MATCH(cadangan[[#This Row],[ItemID A]],Katalog!$C$3:$C$12,0))*cadangan[[#This Row],[Qty A]],0)</f>
        <v>200000</v>
      </c>
      <c r="L187" s="39" t="s">
        <v>58</v>
      </c>
      <c r="M187" s="39" t="str">
        <f>IFERROR(INDEX(Katalog!$A$3:$A$12,MATCH(cadangan[[#This Row],[ItemID B]],Katalog!$C$3:$C$12,0)),"-")</f>
        <v>Pakaian Wanita</v>
      </c>
      <c r="N187" s="39" t="str">
        <f>IFERROR(INDEX(Katalog!$B$3:$B$12,MATCH(cadangan[[#This Row],[ItemID B]],Katalog!$C$3:$C$12,0)),"-")</f>
        <v>Dress</v>
      </c>
      <c r="O187" s="50">
        <v>1</v>
      </c>
      <c r="P187" s="50">
        <v>4</v>
      </c>
      <c r="Q187" s="73">
        <f>IFERROR(INDEX(Katalog!$D$3:$D$12,MATCH(cadangan[[#This Row],[ItemID B]],Katalog!$C$3:$C$12,0))*cadangan[[#This Row],[Qty B]],0)</f>
        <v>300000</v>
      </c>
      <c r="R187" s="73">
        <f>IFERROR(cadangan[[#This Row],[Harga Normal B]]-(cadangan[[#This Row],[Harga Normal B]]*cadangan[[#This Row],[Diskon]]),cadangan[[#This Row],[Harga Normal B]])</f>
        <v>255000</v>
      </c>
      <c r="S187" s="73">
        <f>IFERROR(INDEX(Katalog!$F$3:$F$12,MATCH(cadangan[[#This Row],[ItemID B]],Katalog!$C$3:$C$12,0))*cadangan[[#This Row],[Qty B]],0)</f>
        <v>100000</v>
      </c>
      <c r="T187" s="73">
        <f>IFERROR(cadangan[[#This Row],[Harga Diskon B]]-INDEX(Katalog!$E$3:$E$12,MATCH(cadangan[[#This Row],[ItemID B]],Katalog!$C$3:$C$12,0))*cadangan[[#This Row],[Qty B]],0)</f>
        <v>55000</v>
      </c>
      <c r="V187" s="39" t="str">
        <f>IFERROR(INDEX(Katalog!$A$3:$A$12,MATCH(cadangan[[#This Row],[ItemID C]],Katalog!$C$3:$C$12,0)),"-")</f>
        <v>-</v>
      </c>
      <c r="W187" s="39" t="str">
        <f>IFERROR(INDEX(Katalog!$B$3:$B$12,MATCH(cadangan[[#This Row],[ItemID C]],Katalog!$C$3:$C$12,0)),"-")</f>
        <v>-</v>
      </c>
      <c r="Z187" s="73">
        <f>IFERROR(INDEX(Katalog!$D$3:$D$12,MATCH(cadangan[[#This Row],[ItemID C]],Katalog!$C$3:$C$12,0))*cadangan[[#This Row],[Qty C]],0)</f>
        <v>0</v>
      </c>
      <c r="AA187" s="73">
        <f>IFERROR(cadangan[[#This Row],[Harga Normal C]]-(cadangan[[#This Row],[Harga Normal C]]*cadangan[[#This Row],[Diskon]]),cadangan[[#This Row],[Harga Normal C]])</f>
        <v>0</v>
      </c>
      <c r="AB187" s="73">
        <f>IFERROR(INDEX(Katalog!$F$3:$F$12,MATCH(cadangan[[#This Row],[ItemID C]],Katalog!$C$3:$C$12,0))*cadangan[[#This Row],[Qty C]],0)</f>
        <v>0</v>
      </c>
      <c r="AC187" s="73">
        <f>IFERROR(cadangan[[#This Row],[Harga Diskon C]]-INDEX(Katalog!$E$3:$E$12,MATCH(cadangan[[#This Row],[ItemID C]],Katalog!$C$3:$C$12,0))*cadangan[[#This Row],[Qty C]],0)</f>
        <v>0</v>
      </c>
      <c r="AD187" s="53">
        <f>cadangan[[#This Row],[Qty A]]+cadangan[[#This Row],[Qty B]]+cadangan[[#This Row],[Qty C]]</f>
        <v>5</v>
      </c>
      <c r="AE187" s="73">
        <f>cadangan[[#This Row],[Harga Normal A]]+cadangan[[#This Row],[Harga Normal B]]+cadangan[[#This Row],[Harga Normal C]]</f>
        <v>1100000</v>
      </c>
      <c r="AF187" s="73">
        <f>cadangan[[#This Row],[Harga Diskon A]]+cadangan[[#This Row],[Harga Diskon B]]+cadangan[[#This Row],[Harga Diskon C]]</f>
        <v>935000</v>
      </c>
      <c r="AG187" s="73">
        <f>(cadangan[[#This Row],[Profit Normal A]]+cadangan[[#This Row],[Profit Normal B]]+cadangan[[#This Row],[Profit Normal C]])</f>
        <v>420000</v>
      </c>
      <c r="AH187" s="73">
        <f>cadangan[[#This Row],[Profit Diskon A]]+cadangan[[#This Row],[Profit Diskon B]]+cadangan[[#This Row],[Profit Diskon C]]</f>
        <v>255000</v>
      </c>
      <c r="AI187" s="23" t="s">
        <v>28</v>
      </c>
      <c r="AJ187" s="37">
        <f>IFERROR(INDEX('Kode Diskon'!$D$3:$D$9,MATCH(cadangan[[#This Row],[Kode diskon]],'Kode Diskon'!$C$3:$C$9,0)),"-")</f>
        <v>0.15</v>
      </c>
      <c r="AK187" s="23" t="s">
        <v>29</v>
      </c>
      <c r="AL187" s="23" t="s">
        <v>14</v>
      </c>
      <c r="AM187" s="23" t="s">
        <v>80</v>
      </c>
      <c r="AN187" s="55">
        <v>45021</v>
      </c>
      <c r="AO187" s="53">
        <f>DAY(cadangan[[#This Row],[Tanggal terjual]])</f>
        <v>5</v>
      </c>
      <c r="AP187" s="21" t="str">
        <f>TEXT(cadangan[[#This Row],[Tanggal terjual]],"dddd")</f>
        <v>Wednesday</v>
      </c>
      <c r="AQ187" s="23" t="str" cm="1">
        <f t="array" ref="AQ1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87" s="61">
        <f>AVERAGE(cadangan[[#This Row],[Rating A]],cadangan[[#This Row],[Rating B]],cadangan[[#This Row],[Rating C]])</f>
        <v>3</v>
      </c>
    </row>
    <row r="188" spans="1:44" x14ac:dyDescent="0.2">
      <c r="A188" s="20">
        <v>187</v>
      </c>
      <c r="B188" s="21" t="str">
        <f>_xlfn.CONCAT("ORD-",INDEX(Helper!$B$2:$B$5,MATCH(cadangan[[#This Row],[Marketplace]],Helper!$A$2:$A$5,0)),TEXT(cadangan[[#This Row],[No]],"0000"),"-",TEXT(cadangan[[#This Row],[Tanggal terjual]],"dd/mm/yy"))</f>
        <v>ORD-TK0187-29/04/23</v>
      </c>
      <c r="C188" s="39" t="s">
        <v>64</v>
      </c>
      <c r="D188" s="39" t="str">
        <f>IFERROR(INDEX(Katalog!$A$3:$A$12,MATCH(cadangan[[#This Row],[ItemID A]],Katalog!$C$3:$C$12,0)),"-")</f>
        <v>Pakaian Unisex</v>
      </c>
      <c r="E188" s="39" t="str">
        <f>IFERROR(INDEX(Katalog!$B$3:$B$12,MATCH(cadangan[[#This Row],[ItemID A]],Katalog!$C$3:$C$12,0)),"-")</f>
        <v>Jaket Hoodie</v>
      </c>
      <c r="F188" s="50">
        <v>1</v>
      </c>
      <c r="G188" s="50">
        <v>2</v>
      </c>
      <c r="H188" s="73">
        <f>IFERROR(INDEX(Katalog!$D$3:$D$12,MATCH(cadangan[[#This Row],[ItemID A]],Katalog!$C$3:$C$12,0))*cadangan[[#This Row],[Qty A]],0)</f>
        <v>350000</v>
      </c>
      <c r="I188" s="73">
        <f>IFERROR(cadangan[[#This Row],[Harga Normal A]]-(cadangan[[#This Row],[Harga Normal A]]*cadangan[[#This Row],[Diskon]]),cadangan[[#This Row],[Harga Normal A]])</f>
        <v>315000</v>
      </c>
      <c r="J188" s="73">
        <f>INDEX(Katalog!$F$3:$F$12,MATCH(cadangan[[#This Row],[ItemID A]],Katalog!$C$3:$C$12,0))*cadangan[[#This Row],[Qty A]]</f>
        <v>130000</v>
      </c>
      <c r="K188" s="73">
        <f>IFERROR(cadangan[[#This Row],[Harga Diskon A]]-INDEX(Katalog!$E$3:$E$12,MATCH(cadangan[[#This Row],[ItemID A]],Katalog!$C$3:$C$12,0))*cadangan[[#This Row],[Qty A]],0)</f>
        <v>95000</v>
      </c>
      <c r="L188" s="39" t="s">
        <v>61</v>
      </c>
      <c r="M188" s="39" t="str">
        <f>IFERROR(INDEX(Katalog!$A$3:$A$12,MATCH(cadangan[[#This Row],[ItemID B]],Katalog!$C$3:$C$12,0)),"-")</f>
        <v>Pakaian Pria</v>
      </c>
      <c r="N188" s="39" t="str">
        <f>IFERROR(INDEX(Katalog!$B$3:$B$12,MATCH(cadangan[[#This Row],[ItemID B]],Katalog!$C$3:$C$12,0)),"-")</f>
        <v>Kaos Polo</v>
      </c>
      <c r="O188" s="50">
        <v>1</v>
      </c>
      <c r="P188" s="50">
        <v>5</v>
      </c>
      <c r="Q188" s="73">
        <f>IFERROR(INDEX(Katalog!$D$3:$D$12,MATCH(cadangan[[#This Row],[ItemID B]],Katalog!$C$3:$C$12,0))*cadangan[[#This Row],[Qty B]],0)</f>
        <v>200000</v>
      </c>
      <c r="R188" s="73">
        <f>IFERROR(cadangan[[#This Row],[Harga Normal B]]-(cadangan[[#This Row],[Harga Normal B]]*cadangan[[#This Row],[Diskon]]),cadangan[[#This Row],[Harga Normal B]])</f>
        <v>180000</v>
      </c>
      <c r="S188" s="73">
        <f>IFERROR(INDEX(Katalog!$F$3:$F$12,MATCH(cadangan[[#This Row],[ItemID B]],Katalog!$C$3:$C$12,0))*cadangan[[#This Row],[Qty B]],0)</f>
        <v>80000</v>
      </c>
      <c r="T188" s="73">
        <f>IFERROR(cadangan[[#This Row],[Harga Diskon B]]-INDEX(Katalog!$E$3:$E$12,MATCH(cadangan[[#This Row],[ItemID B]],Katalog!$C$3:$C$12,0))*cadangan[[#This Row],[Qty B]],0)</f>
        <v>60000</v>
      </c>
      <c r="V188" s="39" t="str">
        <f>IFERROR(INDEX(Katalog!$A$3:$A$12,MATCH(cadangan[[#This Row],[ItemID C]],Katalog!$C$3:$C$12,0)),"-")</f>
        <v>-</v>
      </c>
      <c r="W188" s="39" t="str">
        <f>IFERROR(INDEX(Katalog!$B$3:$B$12,MATCH(cadangan[[#This Row],[ItemID C]],Katalog!$C$3:$C$12,0)),"-")</f>
        <v>-</v>
      </c>
      <c r="Z188" s="73">
        <f>IFERROR(INDEX(Katalog!$D$3:$D$12,MATCH(cadangan[[#This Row],[ItemID C]],Katalog!$C$3:$C$12,0))*cadangan[[#This Row],[Qty C]],0)</f>
        <v>0</v>
      </c>
      <c r="AA188" s="73">
        <f>IFERROR(cadangan[[#This Row],[Harga Normal C]]-(cadangan[[#This Row],[Harga Normal C]]*cadangan[[#This Row],[Diskon]]),cadangan[[#This Row],[Harga Normal C]])</f>
        <v>0</v>
      </c>
      <c r="AB188" s="73">
        <f>IFERROR(INDEX(Katalog!$F$3:$F$12,MATCH(cadangan[[#This Row],[ItemID C]],Katalog!$C$3:$C$12,0))*cadangan[[#This Row],[Qty C]],0)</f>
        <v>0</v>
      </c>
      <c r="AC188" s="73">
        <f>IFERROR(cadangan[[#This Row],[Harga Diskon C]]-INDEX(Katalog!$E$3:$E$12,MATCH(cadangan[[#This Row],[ItemID C]],Katalog!$C$3:$C$12,0))*cadangan[[#This Row],[Qty C]],0)</f>
        <v>0</v>
      </c>
      <c r="AD188" s="53">
        <f>cadangan[[#This Row],[Qty A]]+cadangan[[#This Row],[Qty B]]+cadangan[[#This Row],[Qty C]]</f>
        <v>2</v>
      </c>
      <c r="AE188" s="73">
        <f>cadangan[[#This Row],[Harga Normal A]]+cadangan[[#This Row],[Harga Normal B]]+cadangan[[#This Row],[Harga Normal C]]</f>
        <v>550000</v>
      </c>
      <c r="AF188" s="73">
        <f>cadangan[[#This Row],[Harga Diskon A]]+cadangan[[#This Row],[Harga Diskon B]]+cadangan[[#This Row],[Harga Diskon C]]</f>
        <v>495000</v>
      </c>
      <c r="AG188" s="73">
        <f>(cadangan[[#This Row],[Profit Normal A]]+cadangan[[#This Row],[Profit Normal B]]+cadangan[[#This Row],[Profit Normal C]])</f>
        <v>210000</v>
      </c>
      <c r="AH188" s="73">
        <f>cadangan[[#This Row],[Profit Diskon A]]+cadangan[[#This Row],[Profit Diskon B]]+cadangan[[#This Row],[Profit Diskon C]]</f>
        <v>155000</v>
      </c>
      <c r="AI188" s="23" t="s">
        <v>31</v>
      </c>
      <c r="AJ188" s="37">
        <f>IFERROR(INDEX('Kode Diskon'!$D$3:$D$9,MATCH(cadangan[[#This Row],[Kode diskon]],'Kode Diskon'!$C$3:$C$9,0)),"-")</f>
        <v>0.1</v>
      </c>
      <c r="AK188" s="23" t="s">
        <v>9</v>
      </c>
      <c r="AL188" s="23" t="s">
        <v>10</v>
      </c>
      <c r="AM188" s="23" t="s">
        <v>76</v>
      </c>
      <c r="AN188" s="55">
        <v>45045</v>
      </c>
      <c r="AO188" s="53">
        <f>DAY(cadangan[[#This Row],[Tanggal terjual]])</f>
        <v>29</v>
      </c>
      <c r="AP188" s="21" t="str">
        <f>TEXT(cadangan[[#This Row],[Tanggal terjual]],"dddd")</f>
        <v>Saturday</v>
      </c>
      <c r="AQ188" s="23" t="str" cm="1">
        <f t="array" ref="AQ1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88" s="61">
        <f>AVERAGE(cadangan[[#This Row],[Rating A]],cadangan[[#This Row],[Rating B]],cadangan[[#This Row],[Rating C]])</f>
        <v>3.5</v>
      </c>
    </row>
    <row r="189" spans="1:44" x14ac:dyDescent="0.2">
      <c r="A189" s="20">
        <v>188</v>
      </c>
      <c r="B189" s="21" t="str">
        <f>_xlfn.CONCAT("ORD-",INDEX(Helper!$B$2:$B$5,MATCH(cadangan[[#This Row],[Marketplace]],Helper!$A$2:$A$5,0)),TEXT(cadangan[[#This Row],[No]],"0000"),"-",TEXT(cadangan[[#This Row],[Tanggal terjual]],"dd/mm/yy"))</f>
        <v>ORD-SP0188-28/04/23</v>
      </c>
      <c r="C189" s="39" t="s">
        <v>62</v>
      </c>
      <c r="D189" s="39" t="str">
        <f>IFERROR(INDEX(Katalog!$A$3:$A$12,MATCH(cadangan[[#This Row],[ItemID A]],Katalog!$C$3:$C$12,0)),"-")</f>
        <v>Pakaian Pria</v>
      </c>
      <c r="E189" s="39" t="str">
        <f>IFERROR(INDEX(Katalog!$B$3:$B$12,MATCH(cadangan[[#This Row],[ItemID A]],Katalog!$C$3:$C$12,0)),"-")</f>
        <v>Celana Pendek</v>
      </c>
      <c r="F189" s="50">
        <v>5</v>
      </c>
      <c r="G189" s="50">
        <v>1</v>
      </c>
      <c r="H189" s="73">
        <f>IFERROR(INDEX(Katalog!$D$3:$D$12,MATCH(cadangan[[#This Row],[ItemID A]],Katalog!$C$3:$C$12,0))*cadangan[[#This Row],[Qty A]],0)</f>
        <v>900000</v>
      </c>
      <c r="I189" s="73">
        <f>IFERROR(cadangan[[#This Row],[Harga Normal A]]-(cadangan[[#This Row],[Harga Normal A]]*cadangan[[#This Row],[Diskon]]),cadangan[[#This Row],[Harga Normal A]])</f>
        <v>720000</v>
      </c>
      <c r="J189" s="73">
        <f>INDEX(Katalog!$F$3:$F$12,MATCH(cadangan[[#This Row],[ItemID A]],Katalog!$C$3:$C$12,0))*cadangan[[#This Row],[Qty A]]</f>
        <v>350000</v>
      </c>
      <c r="K189" s="73">
        <f>IFERROR(cadangan[[#This Row],[Harga Diskon A]]-INDEX(Katalog!$E$3:$E$12,MATCH(cadangan[[#This Row],[ItemID A]],Katalog!$C$3:$C$12,0))*cadangan[[#This Row],[Qty A]],0)</f>
        <v>170000</v>
      </c>
      <c r="L189" s="39" t="s">
        <v>58</v>
      </c>
      <c r="M189" s="39" t="str">
        <f>IFERROR(INDEX(Katalog!$A$3:$A$12,MATCH(cadangan[[#This Row],[ItemID B]],Katalog!$C$3:$C$12,0)),"-")</f>
        <v>Pakaian Wanita</v>
      </c>
      <c r="N189" s="39" t="str">
        <f>IFERROR(INDEX(Katalog!$B$3:$B$12,MATCH(cadangan[[#This Row],[ItemID B]],Katalog!$C$3:$C$12,0)),"-")</f>
        <v>Dress</v>
      </c>
      <c r="O189" s="50">
        <v>1</v>
      </c>
      <c r="P189" s="50">
        <v>5</v>
      </c>
      <c r="Q189" s="73">
        <f>IFERROR(INDEX(Katalog!$D$3:$D$12,MATCH(cadangan[[#This Row],[ItemID B]],Katalog!$C$3:$C$12,0))*cadangan[[#This Row],[Qty B]],0)</f>
        <v>300000</v>
      </c>
      <c r="R189" s="73">
        <f>IFERROR(cadangan[[#This Row],[Harga Normal B]]-(cadangan[[#This Row],[Harga Normal B]]*cadangan[[#This Row],[Diskon]]),cadangan[[#This Row],[Harga Normal B]])</f>
        <v>240000</v>
      </c>
      <c r="S189" s="73">
        <f>IFERROR(INDEX(Katalog!$F$3:$F$12,MATCH(cadangan[[#This Row],[ItemID B]],Katalog!$C$3:$C$12,0))*cadangan[[#This Row],[Qty B]],0)</f>
        <v>100000</v>
      </c>
      <c r="T189" s="73">
        <f>IFERROR(cadangan[[#This Row],[Harga Diskon B]]-INDEX(Katalog!$E$3:$E$12,MATCH(cadangan[[#This Row],[ItemID B]],Katalog!$C$3:$C$12,0))*cadangan[[#This Row],[Qty B]],0)</f>
        <v>40000</v>
      </c>
      <c r="V189" s="39" t="str">
        <f>IFERROR(INDEX(Katalog!$A$3:$A$12,MATCH(cadangan[[#This Row],[ItemID C]],Katalog!$C$3:$C$12,0)),"-")</f>
        <v>-</v>
      </c>
      <c r="W189" s="39" t="str">
        <f>IFERROR(INDEX(Katalog!$B$3:$B$12,MATCH(cadangan[[#This Row],[ItemID C]],Katalog!$C$3:$C$12,0)),"-")</f>
        <v>-</v>
      </c>
      <c r="Z189" s="73">
        <f>IFERROR(INDEX(Katalog!$D$3:$D$12,MATCH(cadangan[[#This Row],[ItemID C]],Katalog!$C$3:$C$12,0))*cadangan[[#This Row],[Qty C]],0)</f>
        <v>0</v>
      </c>
      <c r="AA189" s="73">
        <f>IFERROR(cadangan[[#This Row],[Harga Normal C]]-(cadangan[[#This Row],[Harga Normal C]]*cadangan[[#This Row],[Diskon]]),cadangan[[#This Row],[Harga Normal C]])</f>
        <v>0</v>
      </c>
      <c r="AB189" s="73">
        <f>IFERROR(INDEX(Katalog!$F$3:$F$12,MATCH(cadangan[[#This Row],[ItemID C]],Katalog!$C$3:$C$12,0))*cadangan[[#This Row],[Qty C]],0)</f>
        <v>0</v>
      </c>
      <c r="AC189" s="73">
        <f>IFERROR(cadangan[[#This Row],[Harga Diskon C]]-INDEX(Katalog!$E$3:$E$12,MATCH(cadangan[[#This Row],[ItemID C]],Katalog!$C$3:$C$12,0))*cadangan[[#This Row],[Qty C]],0)</f>
        <v>0</v>
      </c>
      <c r="AD189" s="53">
        <f>cadangan[[#This Row],[Qty A]]+cadangan[[#This Row],[Qty B]]+cadangan[[#This Row],[Qty C]]</f>
        <v>6</v>
      </c>
      <c r="AE189" s="73">
        <f>cadangan[[#This Row],[Harga Normal A]]+cadangan[[#This Row],[Harga Normal B]]+cadangan[[#This Row],[Harga Normal C]]</f>
        <v>1200000</v>
      </c>
      <c r="AF189" s="73">
        <f>cadangan[[#This Row],[Harga Diskon A]]+cadangan[[#This Row],[Harga Diskon B]]+cadangan[[#This Row],[Harga Diskon C]]</f>
        <v>960000</v>
      </c>
      <c r="AG189" s="73">
        <f>(cadangan[[#This Row],[Profit Normal A]]+cadangan[[#This Row],[Profit Normal B]]+cadangan[[#This Row],[Profit Normal C]])</f>
        <v>450000</v>
      </c>
      <c r="AH189" s="73">
        <f>cadangan[[#This Row],[Profit Diskon A]]+cadangan[[#This Row],[Profit Diskon B]]+cadangan[[#This Row],[Profit Diskon C]]</f>
        <v>210000</v>
      </c>
      <c r="AI189" s="23" t="s">
        <v>8</v>
      </c>
      <c r="AJ189" s="37">
        <f>IFERROR(INDEX('Kode Diskon'!$D$3:$D$9,MATCH(cadangan[[#This Row],[Kode diskon]],'Kode Diskon'!$C$3:$C$9,0)),"-")</f>
        <v>0.2</v>
      </c>
      <c r="AK189" s="23" t="s">
        <v>9</v>
      </c>
      <c r="AL189" s="23" t="s">
        <v>7</v>
      </c>
      <c r="AM189" s="23" t="s">
        <v>80</v>
      </c>
      <c r="AN189" s="55">
        <v>45044</v>
      </c>
      <c r="AO189" s="53">
        <f>DAY(cadangan[[#This Row],[Tanggal terjual]])</f>
        <v>28</v>
      </c>
      <c r="AP189" s="21" t="str">
        <f>TEXT(cadangan[[#This Row],[Tanggal terjual]],"dddd")</f>
        <v>Friday</v>
      </c>
      <c r="AQ189" s="23" t="str" cm="1">
        <f t="array" ref="AQ1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89" s="61">
        <f>AVERAGE(cadangan[[#This Row],[Rating A]],cadangan[[#This Row],[Rating B]],cadangan[[#This Row],[Rating C]])</f>
        <v>3</v>
      </c>
    </row>
    <row r="190" spans="1:44" x14ac:dyDescent="0.2">
      <c r="A190" s="20">
        <v>189</v>
      </c>
      <c r="B190" s="21" t="str">
        <f>_xlfn.CONCAT("ORD-",INDEX(Helper!$B$2:$B$5,MATCH(cadangan[[#This Row],[Marketplace]],Helper!$A$2:$A$5,0)),TEXT(cadangan[[#This Row],[No]],"0000"),"-",TEXT(cadangan[[#This Row],[Tanggal terjual]],"dd/mm/yy"))</f>
        <v>ORD-TK0189-01/04/23</v>
      </c>
      <c r="C190" s="39" t="s">
        <v>58</v>
      </c>
      <c r="D190" s="39" t="str">
        <f>IFERROR(INDEX(Katalog!$A$3:$A$12,MATCH(cadangan[[#This Row],[ItemID A]],Katalog!$C$3:$C$12,0)),"-")</f>
        <v>Pakaian Wanita</v>
      </c>
      <c r="E190" s="39" t="str">
        <f>IFERROR(INDEX(Katalog!$B$3:$B$12,MATCH(cadangan[[#This Row],[ItemID A]],Katalog!$C$3:$C$12,0)),"-")</f>
        <v>Dress</v>
      </c>
      <c r="F190" s="50">
        <v>1</v>
      </c>
      <c r="G190" s="50">
        <v>4</v>
      </c>
      <c r="H190" s="73">
        <f>IFERROR(INDEX(Katalog!$D$3:$D$12,MATCH(cadangan[[#This Row],[ItemID A]],Katalog!$C$3:$C$12,0))*cadangan[[#This Row],[Qty A]],0)</f>
        <v>300000</v>
      </c>
      <c r="I190" s="73">
        <f>IFERROR(cadangan[[#This Row],[Harga Normal A]]-(cadangan[[#This Row],[Harga Normal A]]*cadangan[[#This Row],[Diskon]]),cadangan[[#This Row],[Harga Normal A]])</f>
        <v>270000</v>
      </c>
      <c r="J190" s="73">
        <f>INDEX(Katalog!$F$3:$F$12,MATCH(cadangan[[#This Row],[ItemID A]],Katalog!$C$3:$C$12,0))*cadangan[[#This Row],[Qty A]]</f>
        <v>100000</v>
      </c>
      <c r="K190" s="73">
        <f>IFERROR(cadangan[[#This Row],[Harga Diskon A]]-INDEX(Katalog!$E$3:$E$12,MATCH(cadangan[[#This Row],[ItemID A]],Katalog!$C$3:$C$12,0))*cadangan[[#This Row],[Qty A]],0)</f>
        <v>70000</v>
      </c>
      <c r="L190" s="39" t="s">
        <v>67</v>
      </c>
      <c r="M190" s="39" t="str">
        <f>IFERROR(INDEX(Katalog!$A$3:$A$12,MATCH(cadangan[[#This Row],[ItemID B]],Katalog!$C$3:$C$12,0)),"-")</f>
        <v>Sepatu Wanita</v>
      </c>
      <c r="N190" s="39" t="str">
        <f>IFERROR(INDEX(Katalog!$B$3:$B$12,MATCH(cadangan[[#This Row],[ItemID B]],Katalog!$C$3:$C$12,0)),"-")</f>
        <v>Flat Shoes</v>
      </c>
      <c r="O190" s="50">
        <v>4</v>
      </c>
      <c r="P190" s="50">
        <v>1</v>
      </c>
      <c r="Q190" s="73">
        <f>IFERROR(INDEX(Katalog!$D$3:$D$12,MATCH(cadangan[[#This Row],[ItemID B]],Katalog!$C$3:$C$12,0))*cadangan[[#This Row],[Qty B]],0)</f>
        <v>1000000</v>
      </c>
      <c r="R190" s="73">
        <f>IFERROR(cadangan[[#This Row],[Harga Normal B]]-(cadangan[[#This Row],[Harga Normal B]]*cadangan[[#This Row],[Diskon]]),cadangan[[#This Row],[Harga Normal B]])</f>
        <v>900000</v>
      </c>
      <c r="S190" s="73">
        <f>IFERROR(INDEX(Katalog!$F$3:$F$12,MATCH(cadangan[[#This Row],[ItemID B]],Katalog!$C$3:$C$12,0))*cadangan[[#This Row],[Qty B]],0)</f>
        <v>400000</v>
      </c>
      <c r="T190" s="73">
        <f>IFERROR(cadangan[[#This Row],[Harga Diskon B]]-INDEX(Katalog!$E$3:$E$12,MATCH(cadangan[[#This Row],[ItemID B]],Katalog!$C$3:$C$12,0))*cadangan[[#This Row],[Qty B]],0)</f>
        <v>300000</v>
      </c>
      <c r="U190" s="39" t="s">
        <v>65</v>
      </c>
      <c r="V190" s="39" t="str">
        <f>IFERROR(INDEX(Katalog!$A$3:$A$12,MATCH(cadangan[[#This Row],[ItemID C]],Katalog!$C$3:$C$12,0)),"-")</f>
        <v>Sepatu Pria</v>
      </c>
      <c r="W190" s="39" t="str">
        <f>IFERROR(INDEX(Katalog!$B$3:$B$12,MATCH(cadangan[[#This Row],[ItemID C]],Katalog!$C$3:$C$12,0)),"-")</f>
        <v>Sneakers</v>
      </c>
      <c r="X190" s="50">
        <v>1</v>
      </c>
      <c r="Y190" s="50">
        <v>5</v>
      </c>
      <c r="Z190" s="73">
        <f>IFERROR(INDEX(Katalog!$D$3:$D$12,MATCH(cadangan[[#This Row],[ItemID C]],Katalog!$C$3:$C$12,0))*cadangan[[#This Row],[Qty C]],0)</f>
        <v>500000</v>
      </c>
      <c r="AA190" s="73">
        <f>IFERROR(cadangan[[#This Row],[Harga Normal C]]-(cadangan[[#This Row],[Harga Normal C]]*cadangan[[#This Row],[Diskon]]),cadangan[[#This Row],[Harga Normal C]])</f>
        <v>450000</v>
      </c>
      <c r="AB190" s="73">
        <f>IFERROR(INDEX(Katalog!$F$3:$F$12,MATCH(cadangan[[#This Row],[ItemID C]],Katalog!$C$3:$C$12,0))*cadangan[[#This Row],[Qty C]],0)</f>
        <v>200000</v>
      </c>
      <c r="AC190" s="73">
        <f>IFERROR(cadangan[[#This Row],[Harga Diskon C]]-INDEX(Katalog!$E$3:$E$12,MATCH(cadangan[[#This Row],[ItemID C]],Katalog!$C$3:$C$12,0))*cadangan[[#This Row],[Qty C]],0)</f>
        <v>150000</v>
      </c>
      <c r="AD190" s="53">
        <f>cadangan[[#This Row],[Qty A]]+cadangan[[#This Row],[Qty B]]+cadangan[[#This Row],[Qty C]]</f>
        <v>6</v>
      </c>
      <c r="AE190" s="73">
        <f>cadangan[[#This Row],[Harga Normal A]]+cadangan[[#This Row],[Harga Normal B]]+cadangan[[#This Row],[Harga Normal C]]</f>
        <v>1800000</v>
      </c>
      <c r="AF190" s="73">
        <f>cadangan[[#This Row],[Harga Diskon A]]+cadangan[[#This Row],[Harga Diskon B]]+cadangan[[#This Row],[Harga Diskon C]]</f>
        <v>1620000</v>
      </c>
      <c r="AG190" s="73">
        <f>(cadangan[[#This Row],[Profit Normal A]]+cadangan[[#This Row],[Profit Normal B]]+cadangan[[#This Row],[Profit Normal C]])</f>
        <v>700000</v>
      </c>
      <c r="AH190" s="73">
        <f>cadangan[[#This Row],[Profit Diskon A]]+cadangan[[#This Row],[Profit Diskon B]]+cadangan[[#This Row],[Profit Diskon C]]</f>
        <v>520000</v>
      </c>
      <c r="AI190" s="23" t="s">
        <v>30</v>
      </c>
      <c r="AJ190" s="37">
        <f>IFERROR(INDEX('Kode Diskon'!$D$3:$D$9,MATCH(cadangan[[#This Row],[Kode diskon]],'Kode Diskon'!$C$3:$C$9,0)),"-")</f>
        <v>0.1</v>
      </c>
      <c r="AK190" s="23" t="s">
        <v>29</v>
      </c>
      <c r="AL190" s="23" t="s">
        <v>10</v>
      </c>
      <c r="AM190" s="23" t="s">
        <v>80</v>
      </c>
      <c r="AN190" s="55">
        <v>45017</v>
      </c>
      <c r="AO190" s="53">
        <f>DAY(cadangan[[#This Row],[Tanggal terjual]])</f>
        <v>1</v>
      </c>
      <c r="AP190" s="21" t="str">
        <f>TEXT(cadangan[[#This Row],[Tanggal terjual]],"dddd")</f>
        <v>Saturday</v>
      </c>
      <c r="AQ190" s="23" t="str" cm="1">
        <f t="array" ref="AQ1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0" s="61">
        <f>AVERAGE(cadangan[[#This Row],[Rating A]],cadangan[[#This Row],[Rating B]],cadangan[[#This Row],[Rating C]])</f>
        <v>3.3333333333333335</v>
      </c>
    </row>
    <row r="191" spans="1:44" x14ac:dyDescent="0.2">
      <c r="A191" s="20">
        <v>190</v>
      </c>
      <c r="B191" s="21" t="str">
        <f>_xlfn.CONCAT("ORD-",INDEX(Helper!$B$2:$B$5,MATCH(cadangan[[#This Row],[Marketplace]],Helper!$A$2:$A$5,0)),TEXT(cadangan[[#This Row],[No]],"0000"),"-",TEXT(cadangan[[#This Row],[Tanggal terjual]],"dd/mm/yy"))</f>
        <v>ORD-TK0190-05/04/23</v>
      </c>
      <c r="C191" s="39" t="s">
        <v>65</v>
      </c>
      <c r="D191" s="39" t="str">
        <f>IFERROR(INDEX(Katalog!$A$3:$A$12,MATCH(cadangan[[#This Row],[ItemID A]],Katalog!$C$3:$C$12,0)),"-")</f>
        <v>Sepatu Pria</v>
      </c>
      <c r="E191" s="39" t="str">
        <f>IFERROR(INDEX(Katalog!$B$3:$B$12,MATCH(cadangan[[#This Row],[ItemID A]],Katalog!$C$3:$C$12,0)),"-")</f>
        <v>Sneakers</v>
      </c>
      <c r="F191" s="50">
        <v>2</v>
      </c>
      <c r="G191" s="50">
        <v>3</v>
      </c>
      <c r="H191" s="73">
        <f>IFERROR(INDEX(Katalog!$D$3:$D$12,MATCH(cadangan[[#This Row],[ItemID A]],Katalog!$C$3:$C$12,0))*cadangan[[#This Row],[Qty A]],0)</f>
        <v>1000000</v>
      </c>
      <c r="I191" s="73">
        <f>IFERROR(cadangan[[#This Row],[Harga Normal A]]-(cadangan[[#This Row],[Harga Normal A]]*cadangan[[#This Row],[Diskon]]),cadangan[[#This Row],[Harga Normal A]])</f>
        <v>900000</v>
      </c>
      <c r="J191" s="73">
        <f>INDEX(Katalog!$F$3:$F$12,MATCH(cadangan[[#This Row],[ItemID A]],Katalog!$C$3:$C$12,0))*cadangan[[#This Row],[Qty A]]</f>
        <v>400000</v>
      </c>
      <c r="K191" s="73">
        <f>IFERROR(cadangan[[#This Row],[Harga Diskon A]]-INDEX(Katalog!$E$3:$E$12,MATCH(cadangan[[#This Row],[ItemID A]],Katalog!$C$3:$C$12,0))*cadangan[[#This Row],[Qty A]],0)</f>
        <v>300000</v>
      </c>
      <c r="L191" s="39" t="s">
        <v>67</v>
      </c>
      <c r="M191" s="39" t="str">
        <f>IFERROR(INDEX(Katalog!$A$3:$A$12,MATCH(cadangan[[#This Row],[ItemID B]],Katalog!$C$3:$C$12,0)),"-")</f>
        <v>Sepatu Wanita</v>
      </c>
      <c r="N191" s="39" t="str">
        <f>IFERROR(INDEX(Katalog!$B$3:$B$12,MATCH(cadangan[[#This Row],[ItemID B]],Katalog!$C$3:$C$12,0)),"-")</f>
        <v>Flat Shoes</v>
      </c>
      <c r="O191" s="50">
        <v>1</v>
      </c>
      <c r="P191" s="50">
        <v>3</v>
      </c>
      <c r="Q191" s="73">
        <f>IFERROR(INDEX(Katalog!$D$3:$D$12,MATCH(cadangan[[#This Row],[ItemID B]],Katalog!$C$3:$C$12,0))*cadangan[[#This Row],[Qty B]],0)</f>
        <v>250000</v>
      </c>
      <c r="R191" s="73">
        <f>IFERROR(cadangan[[#This Row],[Harga Normal B]]-(cadangan[[#This Row],[Harga Normal B]]*cadangan[[#This Row],[Diskon]]),cadangan[[#This Row],[Harga Normal B]])</f>
        <v>225000</v>
      </c>
      <c r="S191" s="73">
        <f>IFERROR(INDEX(Katalog!$F$3:$F$12,MATCH(cadangan[[#This Row],[ItemID B]],Katalog!$C$3:$C$12,0))*cadangan[[#This Row],[Qty B]],0)</f>
        <v>100000</v>
      </c>
      <c r="T191" s="73">
        <f>IFERROR(cadangan[[#This Row],[Harga Diskon B]]-INDEX(Katalog!$E$3:$E$12,MATCH(cadangan[[#This Row],[ItemID B]],Katalog!$C$3:$C$12,0))*cadangan[[#This Row],[Qty B]],0)</f>
        <v>75000</v>
      </c>
      <c r="V191" s="39" t="str">
        <f>IFERROR(INDEX(Katalog!$A$3:$A$12,MATCH(cadangan[[#This Row],[ItemID C]],Katalog!$C$3:$C$12,0)),"-")</f>
        <v>-</v>
      </c>
      <c r="W191" s="39" t="str">
        <f>IFERROR(INDEX(Katalog!$B$3:$B$12,MATCH(cadangan[[#This Row],[ItemID C]],Katalog!$C$3:$C$12,0)),"-")</f>
        <v>-</v>
      </c>
      <c r="Z191" s="73">
        <f>IFERROR(INDEX(Katalog!$D$3:$D$12,MATCH(cadangan[[#This Row],[ItemID C]],Katalog!$C$3:$C$12,0))*cadangan[[#This Row],[Qty C]],0)</f>
        <v>0</v>
      </c>
      <c r="AA191" s="73">
        <f>IFERROR(cadangan[[#This Row],[Harga Normal C]]-(cadangan[[#This Row],[Harga Normal C]]*cadangan[[#This Row],[Diskon]]),cadangan[[#This Row],[Harga Normal C]])</f>
        <v>0</v>
      </c>
      <c r="AB191" s="73">
        <f>IFERROR(INDEX(Katalog!$F$3:$F$12,MATCH(cadangan[[#This Row],[ItemID C]],Katalog!$C$3:$C$12,0))*cadangan[[#This Row],[Qty C]],0)</f>
        <v>0</v>
      </c>
      <c r="AC191" s="73">
        <f>IFERROR(cadangan[[#This Row],[Harga Diskon C]]-INDEX(Katalog!$E$3:$E$12,MATCH(cadangan[[#This Row],[ItemID C]],Katalog!$C$3:$C$12,0))*cadangan[[#This Row],[Qty C]],0)</f>
        <v>0</v>
      </c>
      <c r="AD191" s="53">
        <f>cadangan[[#This Row],[Qty A]]+cadangan[[#This Row],[Qty B]]+cadangan[[#This Row],[Qty C]]</f>
        <v>3</v>
      </c>
      <c r="AE191" s="73">
        <f>cadangan[[#This Row],[Harga Normal A]]+cadangan[[#This Row],[Harga Normal B]]+cadangan[[#This Row],[Harga Normal C]]</f>
        <v>1250000</v>
      </c>
      <c r="AF191" s="73">
        <f>cadangan[[#This Row],[Harga Diskon A]]+cadangan[[#This Row],[Harga Diskon B]]+cadangan[[#This Row],[Harga Diskon C]]</f>
        <v>1125000</v>
      </c>
      <c r="AG191" s="73">
        <f>(cadangan[[#This Row],[Profit Normal A]]+cadangan[[#This Row],[Profit Normal B]]+cadangan[[#This Row],[Profit Normal C]])</f>
        <v>500000</v>
      </c>
      <c r="AH191" s="73">
        <f>cadangan[[#This Row],[Profit Diskon A]]+cadangan[[#This Row],[Profit Diskon B]]+cadangan[[#This Row],[Profit Diskon C]]</f>
        <v>375000</v>
      </c>
      <c r="AI191" s="23" t="s">
        <v>30</v>
      </c>
      <c r="AJ191" s="37">
        <f>IFERROR(INDEX('Kode Diskon'!$D$3:$D$9,MATCH(cadangan[[#This Row],[Kode diskon]],'Kode Diskon'!$C$3:$C$9,0)),"-")</f>
        <v>0.1</v>
      </c>
      <c r="AK191" s="23" t="s">
        <v>29</v>
      </c>
      <c r="AL191" s="23" t="s">
        <v>10</v>
      </c>
      <c r="AM191" s="23" t="s">
        <v>80</v>
      </c>
      <c r="AN191" s="55">
        <v>45021</v>
      </c>
      <c r="AO191" s="53">
        <f>DAY(cadangan[[#This Row],[Tanggal terjual]])</f>
        <v>5</v>
      </c>
      <c r="AP191" s="21" t="str">
        <f>TEXT(cadangan[[#This Row],[Tanggal terjual]],"dddd")</f>
        <v>Wednesday</v>
      </c>
      <c r="AQ191" s="23" t="str" cm="1">
        <f t="array" ref="AQ1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1" s="61">
        <f>AVERAGE(cadangan[[#This Row],[Rating A]],cadangan[[#This Row],[Rating B]],cadangan[[#This Row],[Rating C]])</f>
        <v>3</v>
      </c>
    </row>
    <row r="192" spans="1:44" x14ac:dyDescent="0.2">
      <c r="A192" s="20">
        <v>191</v>
      </c>
      <c r="B192" s="21" t="str">
        <f>_xlfn.CONCAT("ORD-",INDEX(Helper!$B$2:$B$5,MATCH(cadangan[[#This Row],[Marketplace]],Helper!$A$2:$A$5,0)),TEXT(cadangan[[#This Row],[No]],"0000"),"-",TEXT(cadangan[[#This Row],[Tanggal terjual]],"dd/mm/yy"))</f>
        <v>ORD-TK0191-18/04/23</v>
      </c>
      <c r="C192" s="39" t="s">
        <v>61</v>
      </c>
      <c r="D192" s="39" t="str">
        <f>IFERROR(INDEX(Katalog!$A$3:$A$12,MATCH(cadangan[[#This Row],[ItemID A]],Katalog!$C$3:$C$12,0)),"-")</f>
        <v>Pakaian Pria</v>
      </c>
      <c r="E192" s="39" t="str">
        <f>IFERROR(INDEX(Katalog!$B$3:$B$12,MATCH(cadangan[[#This Row],[ItemID A]],Katalog!$C$3:$C$12,0)),"-")</f>
        <v>Kaos Polo</v>
      </c>
      <c r="F192" s="50">
        <v>3</v>
      </c>
      <c r="G192" s="50">
        <v>2</v>
      </c>
      <c r="H192" s="73">
        <f>IFERROR(INDEX(Katalog!$D$3:$D$12,MATCH(cadangan[[#This Row],[ItemID A]],Katalog!$C$3:$C$12,0))*cadangan[[#This Row],[Qty A]],0)</f>
        <v>600000</v>
      </c>
      <c r="I192" s="73">
        <f>IFERROR(cadangan[[#This Row],[Harga Normal A]]-(cadangan[[#This Row],[Harga Normal A]]*cadangan[[#This Row],[Diskon]]),cadangan[[#This Row],[Harga Normal A]])</f>
        <v>540000</v>
      </c>
      <c r="J192" s="73">
        <f>INDEX(Katalog!$F$3:$F$12,MATCH(cadangan[[#This Row],[ItemID A]],Katalog!$C$3:$C$12,0))*cadangan[[#This Row],[Qty A]]</f>
        <v>240000</v>
      </c>
      <c r="K192" s="73">
        <f>IFERROR(cadangan[[#This Row],[Harga Diskon A]]-INDEX(Katalog!$E$3:$E$12,MATCH(cadangan[[#This Row],[ItemID A]],Katalog!$C$3:$C$12,0))*cadangan[[#This Row],[Qty A]],0)</f>
        <v>180000</v>
      </c>
      <c r="L192" s="39" t="s">
        <v>60</v>
      </c>
      <c r="M192" s="39" t="str">
        <f>IFERROR(INDEX(Katalog!$A$3:$A$12,MATCH(cadangan[[#This Row],[ItemID B]],Katalog!$C$3:$C$12,0)),"-")</f>
        <v>Pakaian Wanita</v>
      </c>
      <c r="N192" s="39" t="str">
        <f>IFERROR(INDEX(Katalog!$B$3:$B$12,MATCH(cadangan[[#This Row],[ItemID B]],Katalog!$C$3:$C$12,0)),"-")</f>
        <v>Kaftan</v>
      </c>
      <c r="O192" s="50">
        <v>2</v>
      </c>
      <c r="P192" s="50">
        <v>5</v>
      </c>
      <c r="Q192" s="73">
        <f>IFERROR(INDEX(Katalog!$D$3:$D$12,MATCH(cadangan[[#This Row],[ItemID B]],Katalog!$C$3:$C$12,0))*cadangan[[#This Row],[Qty B]],0)</f>
        <v>500000</v>
      </c>
      <c r="R192" s="73">
        <f>IFERROR(cadangan[[#This Row],[Harga Normal B]]-(cadangan[[#This Row],[Harga Normal B]]*cadangan[[#This Row],[Diskon]]),cadangan[[#This Row],[Harga Normal B]])</f>
        <v>450000</v>
      </c>
      <c r="S192" s="73">
        <f>IFERROR(INDEX(Katalog!$F$3:$F$12,MATCH(cadangan[[#This Row],[ItemID B]],Katalog!$C$3:$C$12,0))*cadangan[[#This Row],[Qty B]],0)</f>
        <v>200000</v>
      </c>
      <c r="T192" s="73">
        <f>IFERROR(cadangan[[#This Row],[Harga Diskon B]]-INDEX(Katalog!$E$3:$E$12,MATCH(cadangan[[#This Row],[ItemID B]],Katalog!$C$3:$C$12,0))*cadangan[[#This Row],[Qty B]],0)</f>
        <v>150000</v>
      </c>
      <c r="U192" s="39" t="s">
        <v>58</v>
      </c>
      <c r="V192" s="39" t="str">
        <f>IFERROR(INDEX(Katalog!$A$3:$A$12,MATCH(cadangan[[#This Row],[ItemID C]],Katalog!$C$3:$C$12,0)),"-")</f>
        <v>Pakaian Wanita</v>
      </c>
      <c r="W192" s="39" t="str">
        <f>IFERROR(INDEX(Katalog!$B$3:$B$12,MATCH(cadangan[[#This Row],[ItemID C]],Katalog!$C$3:$C$12,0)),"-")</f>
        <v>Dress</v>
      </c>
      <c r="X192" s="50">
        <v>1</v>
      </c>
      <c r="Y192" s="50">
        <v>1</v>
      </c>
      <c r="Z192" s="73">
        <f>IFERROR(INDEX(Katalog!$D$3:$D$12,MATCH(cadangan[[#This Row],[ItemID C]],Katalog!$C$3:$C$12,0))*cadangan[[#This Row],[Qty C]],0)</f>
        <v>300000</v>
      </c>
      <c r="AA192" s="73">
        <f>IFERROR(cadangan[[#This Row],[Harga Normal C]]-(cadangan[[#This Row],[Harga Normal C]]*cadangan[[#This Row],[Diskon]]),cadangan[[#This Row],[Harga Normal C]])</f>
        <v>270000</v>
      </c>
      <c r="AB192" s="73">
        <f>IFERROR(INDEX(Katalog!$F$3:$F$12,MATCH(cadangan[[#This Row],[ItemID C]],Katalog!$C$3:$C$12,0))*cadangan[[#This Row],[Qty C]],0)</f>
        <v>100000</v>
      </c>
      <c r="AC192" s="73">
        <f>IFERROR(cadangan[[#This Row],[Harga Diskon C]]-INDEX(Katalog!$E$3:$E$12,MATCH(cadangan[[#This Row],[ItemID C]],Katalog!$C$3:$C$12,0))*cadangan[[#This Row],[Qty C]],0)</f>
        <v>70000</v>
      </c>
      <c r="AD192" s="53">
        <f>cadangan[[#This Row],[Qty A]]+cadangan[[#This Row],[Qty B]]+cadangan[[#This Row],[Qty C]]</f>
        <v>6</v>
      </c>
      <c r="AE192" s="73">
        <f>cadangan[[#This Row],[Harga Normal A]]+cadangan[[#This Row],[Harga Normal B]]+cadangan[[#This Row],[Harga Normal C]]</f>
        <v>1400000</v>
      </c>
      <c r="AF192" s="73">
        <f>cadangan[[#This Row],[Harga Diskon A]]+cadangan[[#This Row],[Harga Diskon B]]+cadangan[[#This Row],[Harga Diskon C]]</f>
        <v>1260000</v>
      </c>
      <c r="AG192" s="73">
        <f>(cadangan[[#This Row],[Profit Normal A]]+cadangan[[#This Row],[Profit Normal B]]+cadangan[[#This Row],[Profit Normal C]])</f>
        <v>540000</v>
      </c>
      <c r="AH192" s="73">
        <f>cadangan[[#This Row],[Profit Diskon A]]+cadangan[[#This Row],[Profit Diskon B]]+cadangan[[#This Row],[Profit Diskon C]]</f>
        <v>400000</v>
      </c>
      <c r="AI192" s="23" t="s">
        <v>31</v>
      </c>
      <c r="AJ192" s="37">
        <f>IFERROR(INDEX('Kode Diskon'!$D$3:$D$9,MATCH(cadangan[[#This Row],[Kode diskon]],'Kode Diskon'!$C$3:$C$9,0)),"-")</f>
        <v>0.1</v>
      </c>
      <c r="AK192" s="23" t="s">
        <v>9</v>
      </c>
      <c r="AL192" s="23" t="s">
        <v>10</v>
      </c>
      <c r="AM192" s="23" t="s">
        <v>80</v>
      </c>
      <c r="AN192" s="55">
        <v>45034</v>
      </c>
      <c r="AO192" s="53">
        <f>DAY(cadangan[[#This Row],[Tanggal terjual]])</f>
        <v>18</v>
      </c>
      <c r="AP192" s="21" t="str">
        <f>TEXT(cadangan[[#This Row],[Tanggal terjual]],"dddd")</f>
        <v>Tuesday</v>
      </c>
      <c r="AQ192" s="23" t="str" cm="1">
        <f t="array" ref="AQ1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92" s="61">
        <f>AVERAGE(cadangan[[#This Row],[Rating A]],cadangan[[#This Row],[Rating B]],cadangan[[#This Row],[Rating C]])</f>
        <v>2.6666666666666665</v>
      </c>
    </row>
    <row r="193" spans="1:44" x14ac:dyDescent="0.2">
      <c r="A193" s="20">
        <v>192</v>
      </c>
      <c r="B193" s="21" t="str">
        <f>_xlfn.CONCAT("ORD-",INDEX(Helper!$B$2:$B$5,MATCH(cadangan[[#This Row],[Marketplace]],Helper!$A$2:$A$5,0)),TEXT(cadangan[[#This Row],[No]],"0000"),"-",TEXT(cadangan[[#This Row],[Tanggal terjual]],"dd/mm/yy"))</f>
        <v>ORD-BB0192-05/04/23</v>
      </c>
      <c r="C193" s="39" t="s">
        <v>58</v>
      </c>
      <c r="D193" s="39" t="str">
        <f>IFERROR(INDEX(Katalog!$A$3:$A$12,MATCH(cadangan[[#This Row],[ItemID A]],Katalog!$C$3:$C$12,0)),"-")</f>
        <v>Pakaian Wanita</v>
      </c>
      <c r="E193" s="39" t="str">
        <f>IFERROR(INDEX(Katalog!$B$3:$B$12,MATCH(cadangan[[#This Row],[ItemID A]],Katalog!$C$3:$C$12,0)),"-")</f>
        <v>Dress</v>
      </c>
      <c r="F193" s="50">
        <v>1</v>
      </c>
      <c r="G193" s="50">
        <v>2</v>
      </c>
      <c r="H193" s="73">
        <f>IFERROR(INDEX(Katalog!$D$3:$D$12,MATCH(cadangan[[#This Row],[ItemID A]],Katalog!$C$3:$C$12,0))*cadangan[[#This Row],[Qty A]],0)</f>
        <v>300000</v>
      </c>
      <c r="I193" s="73">
        <f>IFERROR(cadangan[[#This Row],[Harga Normal A]]-(cadangan[[#This Row],[Harga Normal A]]*cadangan[[#This Row],[Diskon]]),cadangan[[#This Row],[Harga Normal A]])</f>
        <v>255000</v>
      </c>
      <c r="J193" s="73">
        <f>INDEX(Katalog!$F$3:$F$12,MATCH(cadangan[[#This Row],[ItemID A]],Katalog!$C$3:$C$12,0))*cadangan[[#This Row],[Qty A]]</f>
        <v>100000</v>
      </c>
      <c r="K193" s="73">
        <f>IFERROR(cadangan[[#This Row],[Harga Diskon A]]-INDEX(Katalog!$E$3:$E$12,MATCH(cadangan[[#This Row],[ItemID A]],Katalog!$C$3:$C$12,0))*cadangan[[#This Row],[Qty A]],0)</f>
        <v>55000</v>
      </c>
      <c r="L193" s="39" t="s">
        <v>67</v>
      </c>
      <c r="M193" s="39" t="str">
        <f>IFERROR(INDEX(Katalog!$A$3:$A$12,MATCH(cadangan[[#This Row],[ItemID B]],Katalog!$C$3:$C$12,0)),"-")</f>
        <v>Sepatu Wanita</v>
      </c>
      <c r="N193" s="39" t="str">
        <f>IFERROR(INDEX(Katalog!$B$3:$B$12,MATCH(cadangan[[#This Row],[ItemID B]],Katalog!$C$3:$C$12,0)),"-")</f>
        <v>Flat Shoes</v>
      </c>
      <c r="O193" s="50">
        <v>1</v>
      </c>
      <c r="P193" s="50">
        <v>3</v>
      </c>
      <c r="Q193" s="73">
        <f>IFERROR(INDEX(Katalog!$D$3:$D$12,MATCH(cadangan[[#This Row],[ItemID B]],Katalog!$C$3:$C$12,0))*cadangan[[#This Row],[Qty B]],0)</f>
        <v>250000</v>
      </c>
      <c r="R193" s="73">
        <f>IFERROR(cadangan[[#This Row],[Harga Normal B]]-(cadangan[[#This Row],[Harga Normal B]]*cadangan[[#This Row],[Diskon]]),cadangan[[#This Row],[Harga Normal B]])</f>
        <v>212500</v>
      </c>
      <c r="S193" s="73">
        <f>IFERROR(INDEX(Katalog!$F$3:$F$12,MATCH(cadangan[[#This Row],[ItemID B]],Katalog!$C$3:$C$12,0))*cadangan[[#This Row],[Qty B]],0)</f>
        <v>100000</v>
      </c>
      <c r="T193" s="73">
        <f>IFERROR(cadangan[[#This Row],[Harga Diskon B]]-INDEX(Katalog!$E$3:$E$12,MATCH(cadangan[[#This Row],[ItemID B]],Katalog!$C$3:$C$12,0))*cadangan[[#This Row],[Qty B]],0)</f>
        <v>62500</v>
      </c>
      <c r="V193" s="39" t="str">
        <f>IFERROR(INDEX(Katalog!$A$3:$A$12,MATCH(cadangan[[#This Row],[ItemID C]],Katalog!$C$3:$C$12,0)),"-")</f>
        <v>-</v>
      </c>
      <c r="W193" s="39" t="str">
        <f>IFERROR(INDEX(Katalog!$B$3:$B$12,MATCH(cadangan[[#This Row],[ItemID C]],Katalog!$C$3:$C$12,0)),"-")</f>
        <v>-</v>
      </c>
      <c r="Z193" s="73">
        <f>IFERROR(INDEX(Katalog!$D$3:$D$12,MATCH(cadangan[[#This Row],[ItemID C]],Katalog!$C$3:$C$12,0))*cadangan[[#This Row],[Qty C]],0)</f>
        <v>0</v>
      </c>
      <c r="AA193" s="73">
        <f>IFERROR(cadangan[[#This Row],[Harga Normal C]]-(cadangan[[#This Row],[Harga Normal C]]*cadangan[[#This Row],[Diskon]]),cadangan[[#This Row],[Harga Normal C]])</f>
        <v>0</v>
      </c>
      <c r="AB193" s="73">
        <f>IFERROR(INDEX(Katalog!$F$3:$F$12,MATCH(cadangan[[#This Row],[ItemID C]],Katalog!$C$3:$C$12,0))*cadangan[[#This Row],[Qty C]],0)</f>
        <v>0</v>
      </c>
      <c r="AC193" s="73">
        <f>IFERROR(cadangan[[#This Row],[Harga Diskon C]]-INDEX(Katalog!$E$3:$E$12,MATCH(cadangan[[#This Row],[ItemID C]],Katalog!$C$3:$C$12,0))*cadangan[[#This Row],[Qty C]],0)</f>
        <v>0</v>
      </c>
      <c r="AD193" s="53">
        <f>cadangan[[#This Row],[Qty A]]+cadangan[[#This Row],[Qty B]]+cadangan[[#This Row],[Qty C]]</f>
        <v>2</v>
      </c>
      <c r="AE193" s="73">
        <f>cadangan[[#This Row],[Harga Normal A]]+cadangan[[#This Row],[Harga Normal B]]+cadangan[[#This Row],[Harga Normal C]]</f>
        <v>550000</v>
      </c>
      <c r="AF193" s="73">
        <f>cadangan[[#This Row],[Harga Diskon A]]+cadangan[[#This Row],[Harga Diskon B]]+cadangan[[#This Row],[Harga Diskon C]]</f>
        <v>467500</v>
      </c>
      <c r="AG193" s="73">
        <f>(cadangan[[#This Row],[Profit Normal A]]+cadangan[[#This Row],[Profit Normal B]]+cadangan[[#This Row],[Profit Normal C]])</f>
        <v>200000</v>
      </c>
      <c r="AH193" s="73">
        <f>cadangan[[#This Row],[Profit Diskon A]]+cadangan[[#This Row],[Profit Diskon B]]+cadangan[[#This Row],[Profit Diskon C]]</f>
        <v>117500</v>
      </c>
      <c r="AI193" s="23" t="s">
        <v>28</v>
      </c>
      <c r="AJ193" s="37">
        <f>IFERROR(INDEX('Kode Diskon'!$D$3:$D$9,MATCH(cadangan[[#This Row],[Kode diskon]],'Kode Diskon'!$C$3:$C$9,0)),"-")</f>
        <v>0.15</v>
      </c>
      <c r="AK193" s="23" t="s">
        <v>29</v>
      </c>
      <c r="AL193" s="23" t="s">
        <v>14</v>
      </c>
      <c r="AM193" s="23" t="s">
        <v>80</v>
      </c>
      <c r="AN193" s="55">
        <v>45021</v>
      </c>
      <c r="AO193" s="53">
        <f>DAY(cadangan[[#This Row],[Tanggal terjual]])</f>
        <v>5</v>
      </c>
      <c r="AP193" s="21" t="str">
        <f>TEXT(cadangan[[#This Row],[Tanggal terjual]],"dddd")</f>
        <v>Wednesday</v>
      </c>
      <c r="AQ193" s="23" t="str" cm="1">
        <f t="array" ref="AQ1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3" s="61">
        <f>AVERAGE(cadangan[[#This Row],[Rating A]],cadangan[[#This Row],[Rating B]],cadangan[[#This Row],[Rating C]])</f>
        <v>2.5</v>
      </c>
    </row>
    <row r="194" spans="1:44" x14ac:dyDescent="0.2">
      <c r="A194" s="20">
        <v>193</v>
      </c>
      <c r="B194" s="21" t="str">
        <f>_xlfn.CONCAT("ORD-",INDEX(Helper!$B$2:$B$5,MATCH(cadangan[[#This Row],[Marketplace]],Helper!$A$2:$A$5,0)),TEXT(cadangan[[#This Row],[No]],"0000"),"-",TEXT(cadangan[[#This Row],[Tanggal terjual]],"dd/mm/yy"))</f>
        <v>ORD-TK0193-01/04/23</v>
      </c>
      <c r="C194" s="39" t="s">
        <v>62</v>
      </c>
      <c r="D194" s="39" t="str">
        <f>IFERROR(INDEX(Katalog!$A$3:$A$12,MATCH(cadangan[[#This Row],[ItemID A]],Katalog!$C$3:$C$12,0)),"-")</f>
        <v>Pakaian Pria</v>
      </c>
      <c r="E194" s="39" t="str">
        <f>IFERROR(INDEX(Katalog!$B$3:$B$12,MATCH(cadangan[[#This Row],[ItemID A]],Katalog!$C$3:$C$12,0)),"-")</f>
        <v>Celana Pendek</v>
      </c>
      <c r="F194" s="50">
        <v>4</v>
      </c>
      <c r="G194" s="50">
        <v>5</v>
      </c>
      <c r="H194" s="73">
        <f>IFERROR(INDEX(Katalog!$D$3:$D$12,MATCH(cadangan[[#This Row],[ItemID A]],Katalog!$C$3:$C$12,0))*cadangan[[#This Row],[Qty A]],0)</f>
        <v>720000</v>
      </c>
      <c r="I194" s="73">
        <f>IFERROR(cadangan[[#This Row],[Harga Normal A]]-(cadangan[[#This Row],[Harga Normal A]]*cadangan[[#This Row],[Diskon]]),cadangan[[#This Row],[Harga Normal A]])</f>
        <v>648000</v>
      </c>
      <c r="J194" s="73">
        <f>INDEX(Katalog!$F$3:$F$12,MATCH(cadangan[[#This Row],[ItemID A]],Katalog!$C$3:$C$12,0))*cadangan[[#This Row],[Qty A]]</f>
        <v>280000</v>
      </c>
      <c r="K194" s="73">
        <f>IFERROR(cadangan[[#This Row],[Harga Diskon A]]-INDEX(Katalog!$E$3:$E$12,MATCH(cadangan[[#This Row],[ItemID A]],Katalog!$C$3:$C$12,0))*cadangan[[#This Row],[Qty A]],0)</f>
        <v>208000</v>
      </c>
      <c r="L194" s="39" t="s">
        <v>66</v>
      </c>
      <c r="M194" s="39" t="str">
        <f>IFERROR(INDEX(Katalog!$A$3:$A$12,MATCH(cadangan[[#This Row],[ItemID B]],Katalog!$C$3:$C$12,0)),"-")</f>
        <v>Sepatu Pria</v>
      </c>
      <c r="N194" s="39" t="str">
        <f>IFERROR(INDEX(Katalog!$B$3:$B$12,MATCH(cadangan[[#This Row],[ItemID B]],Katalog!$C$3:$C$12,0)),"-")</f>
        <v>Sandal Slip On</v>
      </c>
      <c r="O194" s="50">
        <v>2</v>
      </c>
      <c r="P194" s="50">
        <v>3</v>
      </c>
      <c r="Q194" s="73">
        <f>IFERROR(INDEX(Katalog!$D$3:$D$12,MATCH(cadangan[[#This Row],[ItemID B]],Katalog!$C$3:$C$12,0))*cadangan[[#This Row],[Qty B]],0)</f>
        <v>300000</v>
      </c>
      <c r="R194" s="73">
        <f>IFERROR(cadangan[[#This Row],[Harga Normal B]]-(cadangan[[#This Row],[Harga Normal B]]*cadangan[[#This Row],[Diskon]]),cadangan[[#This Row],[Harga Normal B]])</f>
        <v>270000</v>
      </c>
      <c r="S194" s="73">
        <f>IFERROR(INDEX(Katalog!$F$3:$F$12,MATCH(cadangan[[#This Row],[ItemID B]],Katalog!$C$3:$C$12,0))*cadangan[[#This Row],[Qty B]],0)</f>
        <v>120000</v>
      </c>
      <c r="T194" s="73">
        <f>IFERROR(cadangan[[#This Row],[Harga Diskon B]]-INDEX(Katalog!$E$3:$E$12,MATCH(cadangan[[#This Row],[ItemID B]],Katalog!$C$3:$C$12,0))*cadangan[[#This Row],[Qty B]],0)</f>
        <v>90000</v>
      </c>
      <c r="U194" s="39" t="s">
        <v>58</v>
      </c>
      <c r="V194" s="39" t="str">
        <f>IFERROR(INDEX(Katalog!$A$3:$A$12,MATCH(cadangan[[#This Row],[ItemID C]],Katalog!$C$3:$C$12,0)),"-")</f>
        <v>Pakaian Wanita</v>
      </c>
      <c r="W194" s="39" t="str">
        <f>IFERROR(INDEX(Katalog!$B$3:$B$12,MATCH(cadangan[[#This Row],[ItemID C]],Katalog!$C$3:$C$12,0)),"-")</f>
        <v>Dress</v>
      </c>
      <c r="X194" s="50">
        <v>1</v>
      </c>
      <c r="Y194" s="50">
        <v>1</v>
      </c>
      <c r="Z194" s="73">
        <f>IFERROR(INDEX(Katalog!$D$3:$D$12,MATCH(cadangan[[#This Row],[ItemID C]],Katalog!$C$3:$C$12,0))*cadangan[[#This Row],[Qty C]],0)</f>
        <v>300000</v>
      </c>
      <c r="AA194" s="73">
        <f>IFERROR(cadangan[[#This Row],[Harga Normal C]]-(cadangan[[#This Row],[Harga Normal C]]*cadangan[[#This Row],[Diskon]]),cadangan[[#This Row],[Harga Normal C]])</f>
        <v>270000</v>
      </c>
      <c r="AB194" s="73">
        <f>IFERROR(INDEX(Katalog!$F$3:$F$12,MATCH(cadangan[[#This Row],[ItemID C]],Katalog!$C$3:$C$12,0))*cadangan[[#This Row],[Qty C]],0)</f>
        <v>100000</v>
      </c>
      <c r="AC194" s="73">
        <f>IFERROR(cadangan[[#This Row],[Harga Diskon C]]-INDEX(Katalog!$E$3:$E$12,MATCH(cadangan[[#This Row],[ItemID C]],Katalog!$C$3:$C$12,0))*cadangan[[#This Row],[Qty C]],0)</f>
        <v>70000</v>
      </c>
      <c r="AD194" s="53">
        <f>cadangan[[#This Row],[Qty A]]+cadangan[[#This Row],[Qty B]]+cadangan[[#This Row],[Qty C]]</f>
        <v>7</v>
      </c>
      <c r="AE194" s="73">
        <f>cadangan[[#This Row],[Harga Normal A]]+cadangan[[#This Row],[Harga Normal B]]+cadangan[[#This Row],[Harga Normal C]]</f>
        <v>1320000</v>
      </c>
      <c r="AF194" s="73">
        <f>cadangan[[#This Row],[Harga Diskon A]]+cadangan[[#This Row],[Harga Diskon B]]+cadangan[[#This Row],[Harga Diskon C]]</f>
        <v>1188000</v>
      </c>
      <c r="AG194" s="73">
        <f>(cadangan[[#This Row],[Profit Normal A]]+cadangan[[#This Row],[Profit Normal B]]+cadangan[[#This Row],[Profit Normal C]])</f>
        <v>500000</v>
      </c>
      <c r="AH194" s="73">
        <f>cadangan[[#This Row],[Profit Diskon A]]+cadangan[[#This Row],[Profit Diskon B]]+cadangan[[#This Row],[Profit Diskon C]]</f>
        <v>368000</v>
      </c>
      <c r="AI194" s="23" t="s">
        <v>30</v>
      </c>
      <c r="AJ194" s="37">
        <f>IFERROR(INDEX('Kode Diskon'!$D$3:$D$9,MATCH(cadangan[[#This Row],[Kode diskon]],'Kode Diskon'!$C$3:$C$9,0)),"-")</f>
        <v>0.1</v>
      </c>
      <c r="AK194" s="23" t="s">
        <v>29</v>
      </c>
      <c r="AL194" s="23" t="s">
        <v>10</v>
      </c>
      <c r="AM194" s="23" t="s">
        <v>79</v>
      </c>
      <c r="AN194" s="55">
        <v>45017</v>
      </c>
      <c r="AO194" s="53">
        <f>DAY(cadangan[[#This Row],[Tanggal terjual]])</f>
        <v>1</v>
      </c>
      <c r="AP194" s="21" t="str">
        <f>TEXT(cadangan[[#This Row],[Tanggal terjual]],"dddd")</f>
        <v>Saturday</v>
      </c>
      <c r="AQ194" s="23" t="str" cm="1">
        <f t="array" ref="AQ1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4" s="61">
        <f>AVERAGE(cadangan[[#This Row],[Rating A]],cadangan[[#This Row],[Rating B]],cadangan[[#This Row],[Rating C]])</f>
        <v>3</v>
      </c>
    </row>
    <row r="195" spans="1:44" x14ac:dyDescent="0.2">
      <c r="A195" s="20">
        <v>194</v>
      </c>
      <c r="B195" s="21" t="str">
        <f>_xlfn.CONCAT("ORD-",INDEX(Helper!$B$2:$B$5,MATCH(cadangan[[#This Row],[Marketplace]],Helper!$A$2:$A$5,0)),TEXT(cadangan[[#This Row],[No]],"0000"),"-",TEXT(cadangan[[#This Row],[Tanggal terjual]],"dd/mm/yy"))</f>
        <v>ORD-SP0194-06/04/23</v>
      </c>
      <c r="C195" s="39" t="s">
        <v>59</v>
      </c>
      <c r="D195" s="39" t="str">
        <f>IFERROR(INDEX(Katalog!$A$3:$A$12,MATCH(cadangan[[#This Row],[ItemID A]],Katalog!$C$3:$C$12,0)),"-")</f>
        <v>Pakaian Wanita</v>
      </c>
      <c r="E195" s="39" t="str">
        <f>IFERROR(INDEX(Katalog!$B$3:$B$12,MATCH(cadangan[[#This Row],[ItemID A]],Katalog!$C$3:$C$12,0)),"-")</f>
        <v>Blouse</v>
      </c>
      <c r="F195" s="50">
        <v>1</v>
      </c>
      <c r="G195" s="50">
        <v>3</v>
      </c>
      <c r="H195" s="73">
        <f>IFERROR(INDEX(Katalog!$D$3:$D$12,MATCH(cadangan[[#This Row],[ItemID A]],Katalog!$C$3:$C$12,0))*cadangan[[#This Row],[Qty A]],0)</f>
        <v>150000</v>
      </c>
      <c r="I195" s="73">
        <f>IFERROR(cadangan[[#This Row],[Harga Normal A]]-(cadangan[[#This Row],[Harga Normal A]]*cadangan[[#This Row],[Diskon]]),cadangan[[#This Row],[Harga Normal A]])</f>
        <v>135000</v>
      </c>
      <c r="J195" s="73">
        <f>INDEX(Katalog!$F$3:$F$12,MATCH(cadangan[[#This Row],[ItemID A]],Katalog!$C$3:$C$12,0))*cadangan[[#This Row],[Qty A]]</f>
        <v>50000</v>
      </c>
      <c r="K195" s="73">
        <f>IFERROR(cadangan[[#This Row],[Harga Diskon A]]-INDEX(Katalog!$E$3:$E$12,MATCH(cadangan[[#This Row],[ItemID A]],Katalog!$C$3:$C$12,0))*cadangan[[#This Row],[Qty A]],0)</f>
        <v>35000</v>
      </c>
      <c r="M195" s="39" t="str">
        <f>IFERROR(INDEX(Katalog!$A$3:$A$12,MATCH(cadangan[[#This Row],[ItemID B]],Katalog!$C$3:$C$12,0)),"-")</f>
        <v>-</v>
      </c>
      <c r="N195" s="39" t="str">
        <f>IFERROR(INDEX(Katalog!$B$3:$B$12,MATCH(cadangan[[#This Row],[ItemID B]],Katalog!$C$3:$C$12,0)),"-")</f>
        <v>-</v>
      </c>
      <c r="Q195" s="73">
        <f>IFERROR(INDEX(Katalog!$D$3:$D$12,MATCH(cadangan[[#This Row],[ItemID B]],Katalog!$C$3:$C$12,0))*cadangan[[#This Row],[Qty B]],0)</f>
        <v>0</v>
      </c>
      <c r="R195" s="73">
        <f>IFERROR(cadangan[[#This Row],[Harga Normal B]]-(cadangan[[#This Row],[Harga Normal B]]*cadangan[[#This Row],[Diskon]]),cadangan[[#This Row],[Harga Normal B]])</f>
        <v>0</v>
      </c>
      <c r="S195" s="73">
        <f>IFERROR(INDEX(Katalog!$F$3:$F$12,MATCH(cadangan[[#This Row],[ItemID B]],Katalog!$C$3:$C$12,0))*cadangan[[#This Row],[Qty B]],0)</f>
        <v>0</v>
      </c>
      <c r="T195" s="73">
        <f>IFERROR(cadangan[[#This Row],[Harga Diskon B]]-INDEX(Katalog!$E$3:$E$12,MATCH(cadangan[[#This Row],[ItemID B]],Katalog!$C$3:$C$12,0))*cadangan[[#This Row],[Qty B]],0)</f>
        <v>0</v>
      </c>
      <c r="V195" s="39" t="str">
        <f>IFERROR(INDEX(Katalog!$A$3:$A$12,MATCH(cadangan[[#This Row],[ItemID C]],Katalog!$C$3:$C$12,0)),"-")</f>
        <v>-</v>
      </c>
      <c r="W195" s="39" t="str">
        <f>IFERROR(INDEX(Katalog!$B$3:$B$12,MATCH(cadangan[[#This Row],[ItemID C]],Katalog!$C$3:$C$12,0)),"-")</f>
        <v>-</v>
      </c>
      <c r="Z195" s="73">
        <f>IFERROR(INDEX(Katalog!$D$3:$D$12,MATCH(cadangan[[#This Row],[ItemID C]],Katalog!$C$3:$C$12,0))*cadangan[[#This Row],[Qty C]],0)</f>
        <v>0</v>
      </c>
      <c r="AA195" s="73">
        <f>IFERROR(cadangan[[#This Row],[Harga Normal C]]-(cadangan[[#This Row],[Harga Normal C]]*cadangan[[#This Row],[Diskon]]),cadangan[[#This Row],[Harga Normal C]])</f>
        <v>0</v>
      </c>
      <c r="AB195" s="73">
        <f>IFERROR(INDEX(Katalog!$F$3:$F$12,MATCH(cadangan[[#This Row],[ItemID C]],Katalog!$C$3:$C$12,0))*cadangan[[#This Row],[Qty C]],0)</f>
        <v>0</v>
      </c>
      <c r="AC195" s="73">
        <f>IFERROR(cadangan[[#This Row],[Harga Diskon C]]-INDEX(Katalog!$E$3:$E$12,MATCH(cadangan[[#This Row],[ItemID C]],Katalog!$C$3:$C$12,0))*cadangan[[#This Row],[Qty C]],0)</f>
        <v>0</v>
      </c>
      <c r="AD195" s="53">
        <f>cadangan[[#This Row],[Qty A]]+cadangan[[#This Row],[Qty B]]+cadangan[[#This Row],[Qty C]]</f>
        <v>1</v>
      </c>
      <c r="AE195" s="73">
        <f>cadangan[[#This Row],[Harga Normal A]]+cadangan[[#This Row],[Harga Normal B]]+cadangan[[#This Row],[Harga Normal C]]</f>
        <v>150000</v>
      </c>
      <c r="AF195" s="73">
        <f>cadangan[[#This Row],[Harga Diskon A]]+cadangan[[#This Row],[Harga Diskon B]]+cadangan[[#This Row],[Harga Diskon C]]</f>
        <v>135000</v>
      </c>
      <c r="AG195" s="73">
        <f>(cadangan[[#This Row],[Profit Normal A]]+cadangan[[#This Row],[Profit Normal B]]+cadangan[[#This Row],[Profit Normal C]])</f>
        <v>50000</v>
      </c>
      <c r="AH195" s="73">
        <f>cadangan[[#This Row],[Profit Diskon A]]+cadangan[[#This Row],[Profit Diskon B]]+cadangan[[#This Row],[Profit Diskon C]]</f>
        <v>35000</v>
      </c>
      <c r="AI195" s="23" t="s">
        <v>6</v>
      </c>
      <c r="AJ195" s="37">
        <f>IFERROR(INDEX('Kode Diskon'!$D$3:$D$9,MATCH(cadangan[[#This Row],[Kode diskon]],'Kode Diskon'!$C$3:$C$9,0)),"-")</f>
        <v>0.1</v>
      </c>
      <c r="AK195" s="23" t="s">
        <v>29</v>
      </c>
      <c r="AL195" s="23" t="s">
        <v>7</v>
      </c>
      <c r="AM195" s="23" t="s">
        <v>80</v>
      </c>
      <c r="AN195" s="55">
        <v>45022</v>
      </c>
      <c r="AO195" s="53">
        <f>DAY(cadangan[[#This Row],[Tanggal terjual]])</f>
        <v>6</v>
      </c>
      <c r="AP195" s="21" t="str">
        <f>TEXT(cadangan[[#This Row],[Tanggal terjual]],"dddd")</f>
        <v>Thursday</v>
      </c>
      <c r="AQ195" s="23" t="str" cm="1">
        <f t="array" ref="AQ1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5" s="61">
        <f>AVERAGE(cadangan[[#This Row],[Rating A]],cadangan[[#This Row],[Rating B]],cadangan[[#This Row],[Rating C]])</f>
        <v>3</v>
      </c>
    </row>
    <row r="196" spans="1:44" x14ac:dyDescent="0.2">
      <c r="A196" s="20">
        <v>195</v>
      </c>
      <c r="B196" s="21" t="str">
        <f>_xlfn.CONCAT("ORD-",INDEX(Helper!$B$2:$B$5,MATCH(cadangan[[#This Row],[Marketplace]],Helper!$A$2:$A$5,0)),TEXT(cadangan[[#This Row],[No]],"0000"),"-",TEXT(cadangan[[#This Row],[Tanggal terjual]],"dd/mm/yy"))</f>
        <v>ORD-SP0195-01/04/23</v>
      </c>
      <c r="C196" s="39" t="s">
        <v>67</v>
      </c>
      <c r="D196" s="39" t="str">
        <f>IFERROR(INDEX(Katalog!$A$3:$A$12,MATCH(cadangan[[#This Row],[ItemID A]],Katalog!$C$3:$C$12,0)),"-")</f>
        <v>Sepatu Wanita</v>
      </c>
      <c r="E196" s="39" t="str">
        <f>IFERROR(INDEX(Katalog!$B$3:$B$12,MATCH(cadangan[[#This Row],[ItemID A]],Katalog!$C$3:$C$12,0)),"-")</f>
        <v>Flat Shoes</v>
      </c>
      <c r="F196" s="50">
        <v>2</v>
      </c>
      <c r="G196" s="50">
        <v>5</v>
      </c>
      <c r="H196" s="73">
        <f>IFERROR(INDEX(Katalog!$D$3:$D$12,MATCH(cadangan[[#This Row],[ItemID A]],Katalog!$C$3:$C$12,0))*cadangan[[#This Row],[Qty A]],0)</f>
        <v>500000</v>
      </c>
      <c r="I196" s="73">
        <f>IFERROR(cadangan[[#This Row],[Harga Normal A]]-(cadangan[[#This Row],[Harga Normal A]]*cadangan[[#This Row],[Diskon]]),cadangan[[#This Row],[Harga Normal A]])</f>
        <v>425000</v>
      </c>
      <c r="J196" s="73">
        <f>INDEX(Katalog!$F$3:$F$12,MATCH(cadangan[[#This Row],[ItemID A]],Katalog!$C$3:$C$12,0))*cadangan[[#This Row],[Qty A]]</f>
        <v>200000</v>
      </c>
      <c r="K196" s="73">
        <f>IFERROR(cadangan[[#This Row],[Harga Diskon A]]-INDEX(Katalog!$E$3:$E$12,MATCH(cadangan[[#This Row],[ItemID A]],Katalog!$C$3:$C$12,0))*cadangan[[#This Row],[Qty A]],0)</f>
        <v>125000</v>
      </c>
      <c r="L196" s="39" t="s">
        <v>58</v>
      </c>
      <c r="M196" s="39" t="str">
        <f>IFERROR(INDEX(Katalog!$A$3:$A$12,MATCH(cadangan[[#This Row],[ItemID B]],Katalog!$C$3:$C$12,0)),"-")</f>
        <v>Pakaian Wanita</v>
      </c>
      <c r="N196" s="39" t="str">
        <f>IFERROR(INDEX(Katalog!$B$3:$B$12,MATCH(cadangan[[#This Row],[ItemID B]],Katalog!$C$3:$C$12,0)),"-")</f>
        <v>Dress</v>
      </c>
      <c r="O196" s="50">
        <v>2</v>
      </c>
      <c r="P196" s="50">
        <v>1</v>
      </c>
      <c r="Q196" s="73">
        <f>IFERROR(INDEX(Katalog!$D$3:$D$12,MATCH(cadangan[[#This Row],[ItemID B]],Katalog!$C$3:$C$12,0))*cadangan[[#This Row],[Qty B]],0)</f>
        <v>600000</v>
      </c>
      <c r="R196" s="73">
        <f>IFERROR(cadangan[[#This Row],[Harga Normal B]]-(cadangan[[#This Row],[Harga Normal B]]*cadangan[[#This Row],[Diskon]]),cadangan[[#This Row],[Harga Normal B]])</f>
        <v>510000</v>
      </c>
      <c r="S196" s="73">
        <f>IFERROR(INDEX(Katalog!$F$3:$F$12,MATCH(cadangan[[#This Row],[ItemID B]],Katalog!$C$3:$C$12,0))*cadangan[[#This Row],[Qty B]],0)</f>
        <v>200000</v>
      </c>
      <c r="T196" s="73">
        <f>IFERROR(cadangan[[#This Row],[Harga Diskon B]]-INDEX(Katalog!$E$3:$E$12,MATCH(cadangan[[#This Row],[ItemID B]],Katalog!$C$3:$C$12,0))*cadangan[[#This Row],[Qty B]],0)</f>
        <v>110000</v>
      </c>
      <c r="U196" s="39" t="s">
        <v>63</v>
      </c>
      <c r="V196" s="39" t="str">
        <f>IFERROR(INDEX(Katalog!$A$3:$A$12,MATCH(cadangan[[#This Row],[ItemID C]],Katalog!$C$3:$C$12,0)),"-")</f>
        <v>Pakaian Pria</v>
      </c>
      <c r="W196" s="39" t="str">
        <f>IFERROR(INDEX(Katalog!$B$3:$B$12,MATCH(cadangan[[#This Row],[ItemID C]],Katalog!$C$3:$C$12,0)),"-")</f>
        <v>Jaket Jeans</v>
      </c>
      <c r="X196" s="50">
        <v>2</v>
      </c>
      <c r="Y196" s="50">
        <v>2</v>
      </c>
      <c r="Z196" s="73">
        <f>IFERROR(INDEX(Katalog!$D$3:$D$12,MATCH(cadangan[[#This Row],[ItemID C]],Katalog!$C$3:$C$12,0))*cadangan[[#This Row],[Qty C]],0)</f>
        <v>800000</v>
      </c>
      <c r="AA196" s="73">
        <f>IFERROR(cadangan[[#This Row],[Harga Normal C]]-(cadangan[[#This Row],[Harga Normal C]]*cadangan[[#This Row],[Diskon]]),cadangan[[#This Row],[Harga Normal C]])</f>
        <v>680000</v>
      </c>
      <c r="AB196" s="73">
        <f>IFERROR(INDEX(Katalog!$F$3:$F$12,MATCH(cadangan[[#This Row],[ItemID C]],Katalog!$C$3:$C$12,0))*cadangan[[#This Row],[Qty C]],0)</f>
        <v>300000</v>
      </c>
      <c r="AC196" s="73">
        <f>IFERROR(cadangan[[#This Row],[Harga Diskon C]]-INDEX(Katalog!$E$3:$E$12,MATCH(cadangan[[#This Row],[ItemID C]],Katalog!$C$3:$C$12,0))*cadangan[[#This Row],[Qty C]],0)</f>
        <v>180000</v>
      </c>
      <c r="AD196" s="53">
        <f>cadangan[[#This Row],[Qty A]]+cadangan[[#This Row],[Qty B]]+cadangan[[#This Row],[Qty C]]</f>
        <v>6</v>
      </c>
      <c r="AE196" s="73">
        <f>cadangan[[#This Row],[Harga Normal A]]+cadangan[[#This Row],[Harga Normal B]]+cadangan[[#This Row],[Harga Normal C]]</f>
        <v>1900000</v>
      </c>
      <c r="AF196" s="73">
        <f>cadangan[[#This Row],[Harga Diskon A]]+cadangan[[#This Row],[Harga Diskon B]]+cadangan[[#This Row],[Harga Diskon C]]</f>
        <v>1615000</v>
      </c>
      <c r="AG196" s="73">
        <f>(cadangan[[#This Row],[Profit Normal A]]+cadangan[[#This Row],[Profit Normal B]]+cadangan[[#This Row],[Profit Normal C]])</f>
        <v>700000</v>
      </c>
      <c r="AH196" s="73">
        <f>cadangan[[#This Row],[Profit Diskon A]]+cadangan[[#This Row],[Profit Diskon B]]+cadangan[[#This Row],[Profit Diskon C]]</f>
        <v>415000</v>
      </c>
      <c r="AI196" s="23" t="s">
        <v>13</v>
      </c>
      <c r="AJ196" s="37">
        <f>IFERROR(INDEX('Kode Diskon'!$D$3:$D$9,MATCH(cadangan[[#This Row],[Kode diskon]],'Kode Diskon'!$C$3:$C$9,0)),"-")</f>
        <v>0.15</v>
      </c>
      <c r="AK196" s="23" t="s">
        <v>29</v>
      </c>
      <c r="AL196" s="23" t="s">
        <v>7</v>
      </c>
      <c r="AM196" s="23" t="s">
        <v>75</v>
      </c>
      <c r="AN196" s="55">
        <v>45017</v>
      </c>
      <c r="AO196" s="53">
        <f>DAY(cadangan[[#This Row],[Tanggal terjual]])</f>
        <v>1</v>
      </c>
      <c r="AP196" s="21" t="str">
        <f>TEXT(cadangan[[#This Row],[Tanggal terjual]],"dddd")</f>
        <v>Saturday</v>
      </c>
      <c r="AQ196" s="23" t="str" cm="1">
        <f t="array" ref="AQ1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6" s="61">
        <f>AVERAGE(cadangan[[#This Row],[Rating A]],cadangan[[#This Row],[Rating B]],cadangan[[#This Row],[Rating C]])</f>
        <v>2.6666666666666665</v>
      </c>
    </row>
    <row r="197" spans="1:44" x14ac:dyDescent="0.2">
      <c r="A197" s="20">
        <v>196</v>
      </c>
      <c r="B197" s="21" t="str">
        <f>_xlfn.CONCAT("ORD-",INDEX(Helper!$B$2:$B$5,MATCH(cadangan[[#This Row],[Marketplace]],Helper!$A$2:$A$5,0)),TEXT(cadangan[[#This Row],[No]],"0000"),"-",TEXT(cadangan[[#This Row],[Tanggal terjual]],"dd/mm/yy"))</f>
        <v>ORD-BB0196-02/04/23</v>
      </c>
      <c r="C197" s="39" t="s">
        <v>65</v>
      </c>
      <c r="D197" s="39" t="str">
        <f>IFERROR(INDEX(Katalog!$A$3:$A$12,MATCH(cadangan[[#This Row],[ItemID A]],Katalog!$C$3:$C$12,0)),"-")</f>
        <v>Sepatu Pria</v>
      </c>
      <c r="E197" s="39" t="str">
        <f>IFERROR(INDEX(Katalog!$B$3:$B$12,MATCH(cadangan[[#This Row],[ItemID A]],Katalog!$C$3:$C$12,0)),"-")</f>
        <v>Sneakers</v>
      </c>
      <c r="F197" s="50">
        <v>6</v>
      </c>
      <c r="G197" s="50">
        <v>4</v>
      </c>
      <c r="H197" s="73">
        <f>IFERROR(INDEX(Katalog!$D$3:$D$12,MATCH(cadangan[[#This Row],[ItemID A]],Katalog!$C$3:$C$12,0))*cadangan[[#This Row],[Qty A]],0)</f>
        <v>3000000</v>
      </c>
      <c r="I197" s="73">
        <f>IFERROR(cadangan[[#This Row],[Harga Normal A]]-(cadangan[[#This Row],[Harga Normal A]]*cadangan[[#This Row],[Diskon]]),cadangan[[#This Row],[Harga Normal A]])</f>
        <v>2550000</v>
      </c>
      <c r="J197" s="73">
        <f>INDEX(Katalog!$F$3:$F$12,MATCH(cadangan[[#This Row],[ItemID A]],Katalog!$C$3:$C$12,0))*cadangan[[#This Row],[Qty A]]</f>
        <v>1200000</v>
      </c>
      <c r="K197" s="73">
        <f>IFERROR(cadangan[[#This Row],[Harga Diskon A]]-INDEX(Katalog!$E$3:$E$12,MATCH(cadangan[[#This Row],[ItemID A]],Katalog!$C$3:$C$12,0))*cadangan[[#This Row],[Qty A]],0)</f>
        <v>750000</v>
      </c>
      <c r="L197" s="39" t="s">
        <v>61</v>
      </c>
      <c r="M197" s="39" t="str">
        <f>IFERROR(INDEX(Katalog!$A$3:$A$12,MATCH(cadangan[[#This Row],[ItemID B]],Katalog!$C$3:$C$12,0)),"-")</f>
        <v>Pakaian Pria</v>
      </c>
      <c r="N197" s="39" t="str">
        <f>IFERROR(INDEX(Katalog!$B$3:$B$12,MATCH(cadangan[[#This Row],[ItemID B]],Katalog!$C$3:$C$12,0)),"-")</f>
        <v>Kaos Polo</v>
      </c>
      <c r="O197" s="50">
        <v>1</v>
      </c>
      <c r="P197" s="50">
        <v>4</v>
      </c>
      <c r="Q197" s="73">
        <f>IFERROR(INDEX(Katalog!$D$3:$D$12,MATCH(cadangan[[#This Row],[ItemID B]],Katalog!$C$3:$C$12,0))*cadangan[[#This Row],[Qty B]],0)</f>
        <v>200000</v>
      </c>
      <c r="R197" s="73">
        <f>IFERROR(cadangan[[#This Row],[Harga Normal B]]-(cadangan[[#This Row],[Harga Normal B]]*cadangan[[#This Row],[Diskon]]),cadangan[[#This Row],[Harga Normal B]])</f>
        <v>170000</v>
      </c>
      <c r="S197" s="73">
        <f>IFERROR(INDEX(Katalog!$F$3:$F$12,MATCH(cadangan[[#This Row],[ItemID B]],Katalog!$C$3:$C$12,0))*cadangan[[#This Row],[Qty B]],0)</f>
        <v>80000</v>
      </c>
      <c r="T197" s="73">
        <f>IFERROR(cadangan[[#This Row],[Harga Diskon B]]-INDEX(Katalog!$E$3:$E$12,MATCH(cadangan[[#This Row],[ItemID B]],Katalog!$C$3:$C$12,0))*cadangan[[#This Row],[Qty B]],0)</f>
        <v>50000</v>
      </c>
      <c r="V197" s="39" t="str">
        <f>IFERROR(INDEX(Katalog!$A$3:$A$12,MATCH(cadangan[[#This Row],[ItemID C]],Katalog!$C$3:$C$12,0)),"-")</f>
        <v>-</v>
      </c>
      <c r="W197" s="39" t="str">
        <f>IFERROR(INDEX(Katalog!$B$3:$B$12,MATCH(cadangan[[#This Row],[ItemID C]],Katalog!$C$3:$C$12,0)),"-")</f>
        <v>-</v>
      </c>
      <c r="Z197" s="73">
        <f>IFERROR(INDEX(Katalog!$D$3:$D$12,MATCH(cadangan[[#This Row],[ItemID C]],Katalog!$C$3:$C$12,0))*cadangan[[#This Row],[Qty C]],0)</f>
        <v>0</v>
      </c>
      <c r="AA197" s="73">
        <f>IFERROR(cadangan[[#This Row],[Harga Normal C]]-(cadangan[[#This Row],[Harga Normal C]]*cadangan[[#This Row],[Diskon]]),cadangan[[#This Row],[Harga Normal C]])</f>
        <v>0</v>
      </c>
      <c r="AB197" s="73">
        <f>IFERROR(INDEX(Katalog!$F$3:$F$12,MATCH(cadangan[[#This Row],[ItemID C]],Katalog!$C$3:$C$12,0))*cadangan[[#This Row],[Qty C]],0)</f>
        <v>0</v>
      </c>
      <c r="AC197" s="73">
        <f>IFERROR(cadangan[[#This Row],[Harga Diskon C]]-INDEX(Katalog!$E$3:$E$12,MATCH(cadangan[[#This Row],[ItemID C]],Katalog!$C$3:$C$12,0))*cadangan[[#This Row],[Qty C]],0)</f>
        <v>0</v>
      </c>
      <c r="AD197" s="53">
        <f>cadangan[[#This Row],[Qty A]]+cadangan[[#This Row],[Qty B]]+cadangan[[#This Row],[Qty C]]</f>
        <v>7</v>
      </c>
      <c r="AE197" s="73">
        <f>cadangan[[#This Row],[Harga Normal A]]+cadangan[[#This Row],[Harga Normal B]]+cadangan[[#This Row],[Harga Normal C]]</f>
        <v>3200000</v>
      </c>
      <c r="AF197" s="73">
        <f>cadangan[[#This Row],[Harga Diskon A]]+cadangan[[#This Row],[Harga Diskon B]]+cadangan[[#This Row],[Harga Diskon C]]</f>
        <v>2720000</v>
      </c>
      <c r="AG197" s="73">
        <f>(cadangan[[#This Row],[Profit Normal A]]+cadangan[[#This Row],[Profit Normal B]]+cadangan[[#This Row],[Profit Normal C]])</f>
        <v>1280000</v>
      </c>
      <c r="AH197" s="73">
        <f>cadangan[[#This Row],[Profit Diskon A]]+cadangan[[#This Row],[Profit Diskon B]]+cadangan[[#This Row],[Profit Diskon C]]</f>
        <v>800000</v>
      </c>
      <c r="AI197" s="23" t="s">
        <v>28</v>
      </c>
      <c r="AJ197" s="37">
        <f>IFERROR(INDEX('Kode Diskon'!$D$3:$D$9,MATCH(cadangan[[#This Row],[Kode diskon]],'Kode Diskon'!$C$3:$C$9,0)),"-")</f>
        <v>0.15</v>
      </c>
      <c r="AK197" s="23" t="s">
        <v>29</v>
      </c>
      <c r="AL197" s="23" t="s">
        <v>14</v>
      </c>
      <c r="AM197" s="23" t="s">
        <v>80</v>
      </c>
      <c r="AN197" s="55">
        <v>45018</v>
      </c>
      <c r="AO197" s="53">
        <f>DAY(cadangan[[#This Row],[Tanggal terjual]])</f>
        <v>2</v>
      </c>
      <c r="AP197" s="21" t="str">
        <f>TEXT(cadangan[[#This Row],[Tanggal terjual]],"dddd")</f>
        <v>Sunday</v>
      </c>
      <c r="AQ197" s="23" t="str" cm="1">
        <f t="array" ref="AQ1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7" s="61">
        <f>AVERAGE(cadangan[[#This Row],[Rating A]],cadangan[[#This Row],[Rating B]],cadangan[[#This Row],[Rating C]])</f>
        <v>4</v>
      </c>
    </row>
    <row r="198" spans="1:44" x14ac:dyDescent="0.2">
      <c r="A198" s="20">
        <v>197</v>
      </c>
      <c r="B198" s="21" t="str">
        <f>_xlfn.CONCAT("ORD-",INDEX(Helper!$B$2:$B$5,MATCH(cadangan[[#This Row],[Marketplace]],Helper!$A$2:$A$5,0)),TEXT(cadangan[[#This Row],[No]],"0000"),"-",TEXT(cadangan[[#This Row],[Tanggal terjual]],"dd/mm/yy"))</f>
        <v>ORD-SP0197-02/04/23</v>
      </c>
      <c r="C198" s="39" t="s">
        <v>66</v>
      </c>
      <c r="D198" s="39" t="str">
        <f>IFERROR(INDEX(Katalog!$A$3:$A$12,MATCH(cadangan[[#This Row],[ItemID A]],Katalog!$C$3:$C$12,0)),"-")</f>
        <v>Sepatu Pria</v>
      </c>
      <c r="E198" s="39" t="str">
        <f>IFERROR(INDEX(Katalog!$B$3:$B$12,MATCH(cadangan[[#This Row],[ItemID A]],Katalog!$C$3:$C$12,0)),"-")</f>
        <v>Sandal Slip On</v>
      </c>
      <c r="F198" s="50">
        <v>4</v>
      </c>
      <c r="G198" s="50">
        <v>2</v>
      </c>
      <c r="H198" s="73">
        <f>IFERROR(INDEX(Katalog!$D$3:$D$12,MATCH(cadangan[[#This Row],[ItemID A]],Katalog!$C$3:$C$12,0))*cadangan[[#This Row],[Qty A]],0)</f>
        <v>600000</v>
      </c>
      <c r="I198" s="73">
        <f>IFERROR(cadangan[[#This Row],[Harga Normal A]]-(cadangan[[#This Row],[Harga Normal A]]*cadangan[[#This Row],[Diskon]]),cadangan[[#This Row],[Harga Normal A]])</f>
        <v>510000</v>
      </c>
      <c r="J198" s="73">
        <f>INDEX(Katalog!$F$3:$F$12,MATCH(cadangan[[#This Row],[ItemID A]],Katalog!$C$3:$C$12,0))*cadangan[[#This Row],[Qty A]]</f>
        <v>240000</v>
      </c>
      <c r="K198" s="73">
        <f>IFERROR(cadangan[[#This Row],[Harga Diskon A]]-INDEX(Katalog!$E$3:$E$12,MATCH(cadangan[[#This Row],[ItemID A]],Katalog!$C$3:$C$12,0))*cadangan[[#This Row],[Qty A]],0)</f>
        <v>150000</v>
      </c>
      <c r="L198" s="39" t="s">
        <v>60</v>
      </c>
      <c r="M198" s="39" t="str">
        <f>IFERROR(INDEX(Katalog!$A$3:$A$12,MATCH(cadangan[[#This Row],[ItemID B]],Katalog!$C$3:$C$12,0)),"-")</f>
        <v>Pakaian Wanita</v>
      </c>
      <c r="N198" s="39" t="str">
        <f>IFERROR(INDEX(Katalog!$B$3:$B$12,MATCH(cadangan[[#This Row],[ItemID B]],Katalog!$C$3:$C$12,0)),"-")</f>
        <v>Kaftan</v>
      </c>
      <c r="O198" s="50">
        <v>1</v>
      </c>
      <c r="P198" s="50">
        <v>5</v>
      </c>
      <c r="Q198" s="73">
        <f>IFERROR(INDEX(Katalog!$D$3:$D$12,MATCH(cadangan[[#This Row],[ItemID B]],Katalog!$C$3:$C$12,0))*cadangan[[#This Row],[Qty B]],0)</f>
        <v>250000</v>
      </c>
      <c r="R198" s="73">
        <f>IFERROR(cadangan[[#This Row],[Harga Normal B]]-(cadangan[[#This Row],[Harga Normal B]]*cadangan[[#This Row],[Diskon]]),cadangan[[#This Row],[Harga Normal B]])</f>
        <v>212500</v>
      </c>
      <c r="S198" s="73">
        <f>IFERROR(INDEX(Katalog!$F$3:$F$12,MATCH(cadangan[[#This Row],[ItemID B]],Katalog!$C$3:$C$12,0))*cadangan[[#This Row],[Qty B]],0)</f>
        <v>100000</v>
      </c>
      <c r="T198" s="73">
        <f>IFERROR(cadangan[[#This Row],[Harga Diskon B]]-INDEX(Katalog!$E$3:$E$12,MATCH(cadangan[[#This Row],[ItemID B]],Katalog!$C$3:$C$12,0))*cadangan[[#This Row],[Qty B]],0)</f>
        <v>62500</v>
      </c>
      <c r="U198" s="39" t="s">
        <v>65</v>
      </c>
      <c r="V198" s="39" t="str">
        <f>IFERROR(INDEX(Katalog!$A$3:$A$12,MATCH(cadangan[[#This Row],[ItemID C]],Katalog!$C$3:$C$12,0)),"-")</f>
        <v>Sepatu Pria</v>
      </c>
      <c r="W198" s="39" t="str">
        <f>IFERROR(INDEX(Katalog!$B$3:$B$12,MATCH(cadangan[[#This Row],[ItemID C]],Katalog!$C$3:$C$12,0)),"-")</f>
        <v>Sneakers</v>
      </c>
      <c r="X198" s="50">
        <v>1</v>
      </c>
      <c r="Y198" s="50">
        <v>5</v>
      </c>
      <c r="Z198" s="73">
        <f>IFERROR(INDEX(Katalog!$D$3:$D$12,MATCH(cadangan[[#This Row],[ItemID C]],Katalog!$C$3:$C$12,0))*cadangan[[#This Row],[Qty C]],0)</f>
        <v>500000</v>
      </c>
      <c r="AA198" s="73">
        <f>IFERROR(cadangan[[#This Row],[Harga Normal C]]-(cadangan[[#This Row],[Harga Normal C]]*cadangan[[#This Row],[Diskon]]),cadangan[[#This Row],[Harga Normal C]])</f>
        <v>425000</v>
      </c>
      <c r="AB198" s="73">
        <f>IFERROR(INDEX(Katalog!$F$3:$F$12,MATCH(cadangan[[#This Row],[ItemID C]],Katalog!$C$3:$C$12,0))*cadangan[[#This Row],[Qty C]],0)</f>
        <v>200000</v>
      </c>
      <c r="AC198" s="73">
        <f>IFERROR(cadangan[[#This Row],[Harga Diskon C]]-INDEX(Katalog!$E$3:$E$12,MATCH(cadangan[[#This Row],[ItemID C]],Katalog!$C$3:$C$12,0))*cadangan[[#This Row],[Qty C]],0)</f>
        <v>125000</v>
      </c>
      <c r="AD198" s="53">
        <f>cadangan[[#This Row],[Qty A]]+cadangan[[#This Row],[Qty B]]+cadangan[[#This Row],[Qty C]]</f>
        <v>6</v>
      </c>
      <c r="AE198" s="73">
        <f>cadangan[[#This Row],[Harga Normal A]]+cadangan[[#This Row],[Harga Normal B]]+cadangan[[#This Row],[Harga Normal C]]</f>
        <v>1350000</v>
      </c>
      <c r="AF198" s="73">
        <f>cadangan[[#This Row],[Harga Diskon A]]+cadangan[[#This Row],[Harga Diskon B]]+cadangan[[#This Row],[Harga Diskon C]]</f>
        <v>1147500</v>
      </c>
      <c r="AG198" s="73">
        <f>(cadangan[[#This Row],[Profit Normal A]]+cadangan[[#This Row],[Profit Normal B]]+cadangan[[#This Row],[Profit Normal C]])</f>
        <v>540000</v>
      </c>
      <c r="AH198" s="73">
        <f>cadangan[[#This Row],[Profit Diskon A]]+cadangan[[#This Row],[Profit Diskon B]]+cadangan[[#This Row],[Profit Diskon C]]</f>
        <v>337500</v>
      </c>
      <c r="AI198" s="23" t="s">
        <v>13</v>
      </c>
      <c r="AJ198" s="37">
        <f>IFERROR(INDEX('Kode Diskon'!$D$3:$D$9,MATCH(cadangan[[#This Row],[Kode diskon]],'Kode Diskon'!$C$3:$C$9,0)),"-")</f>
        <v>0.15</v>
      </c>
      <c r="AK198" s="23" t="s">
        <v>29</v>
      </c>
      <c r="AL198" s="23" t="s">
        <v>7</v>
      </c>
      <c r="AM198" s="23" t="s">
        <v>76</v>
      </c>
      <c r="AN198" s="55">
        <v>45018</v>
      </c>
      <c r="AO198" s="53">
        <f>DAY(cadangan[[#This Row],[Tanggal terjual]])</f>
        <v>2</v>
      </c>
      <c r="AP198" s="21" t="str">
        <f>TEXT(cadangan[[#This Row],[Tanggal terjual]],"dddd")</f>
        <v>Sunday</v>
      </c>
      <c r="AQ198" s="23" t="str" cm="1">
        <f t="array" ref="AQ1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98" s="61">
        <f>AVERAGE(cadangan[[#This Row],[Rating A]],cadangan[[#This Row],[Rating B]],cadangan[[#This Row],[Rating C]])</f>
        <v>4</v>
      </c>
    </row>
    <row r="199" spans="1:44" x14ac:dyDescent="0.2">
      <c r="A199" s="20">
        <v>198</v>
      </c>
      <c r="B199" s="21" t="str">
        <f>_xlfn.CONCAT("ORD-",INDEX(Helper!$B$2:$B$5,MATCH(cadangan[[#This Row],[Marketplace]],Helper!$A$2:$A$5,0)),TEXT(cadangan[[#This Row],[No]],"0000"),"-",TEXT(cadangan[[#This Row],[Tanggal terjual]],"dd/mm/yy"))</f>
        <v>ORD-SP0198-26/04/23</v>
      </c>
      <c r="C199" s="39" t="s">
        <v>59</v>
      </c>
      <c r="D199" s="39" t="str">
        <f>IFERROR(INDEX(Katalog!$A$3:$A$12,MATCH(cadangan[[#This Row],[ItemID A]],Katalog!$C$3:$C$12,0)),"-")</f>
        <v>Pakaian Wanita</v>
      </c>
      <c r="E199" s="39" t="str">
        <f>IFERROR(INDEX(Katalog!$B$3:$B$12,MATCH(cadangan[[#This Row],[ItemID A]],Katalog!$C$3:$C$12,0)),"-")</f>
        <v>Blouse</v>
      </c>
      <c r="F199" s="50">
        <v>2</v>
      </c>
      <c r="G199" s="50">
        <v>1</v>
      </c>
      <c r="H199" s="73">
        <f>IFERROR(INDEX(Katalog!$D$3:$D$12,MATCH(cadangan[[#This Row],[ItemID A]],Katalog!$C$3:$C$12,0))*cadangan[[#This Row],[Qty A]],0)</f>
        <v>300000</v>
      </c>
      <c r="I199" s="73">
        <f>IFERROR(cadangan[[#This Row],[Harga Normal A]]-(cadangan[[#This Row],[Harga Normal A]]*cadangan[[#This Row],[Diskon]]),cadangan[[#This Row],[Harga Normal A]])</f>
        <v>240000</v>
      </c>
      <c r="J199" s="73">
        <f>INDEX(Katalog!$F$3:$F$12,MATCH(cadangan[[#This Row],[ItemID A]],Katalog!$C$3:$C$12,0))*cadangan[[#This Row],[Qty A]]</f>
        <v>100000</v>
      </c>
      <c r="K199" s="73">
        <f>IFERROR(cadangan[[#This Row],[Harga Diskon A]]-INDEX(Katalog!$E$3:$E$12,MATCH(cadangan[[#This Row],[ItemID A]],Katalog!$C$3:$C$12,0))*cadangan[[#This Row],[Qty A]],0)</f>
        <v>40000</v>
      </c>
      <c r="M199" s="39" t="str">
        <f>IFERROR(INDEX(Katalog!$A$3:$A$12,MATCH(cadangan[[#This Row],[ItemID B]],Katalog!$C$3:$C$12,0)),"-")</f>
        <v>-</v>
      </c>
      <c r="N199" s="39" t="str">
        <f>IFERROR(INDEX(Katalog!$B$3:$B$12,MATCH(cadangan[[#This Row],[ItemID B]],Katalog!$C$3:$C$12,0)),"-")</f>
        <v>-</v>
      </c>
      <c r="Q199" s="73">
        <f>IFERROR(INDEX(Katalog!$D$3:$D$12,MATCH(cadangan[[#This Row],[ItemID B]],Katalog!$C$3:$C$12,0))*cadangan[[#This Row],[Qty B]],0)</f>
        <v>0</v>
      </c>
      <c r="R199" s="73">
        <f>IFERROR(cadangan[[#This Row],[Harga Normal B]]-(cadangan[[#This Row],[Harga Normal B]]*cadangan[[#This Row],[Diskon]]),cadangan[[#This Row],[Harga Normal B]])</f>
        <v>0</v>
      </c>
      <c r="S199" s="73">
        <f>IFERROR(INDEX(Katalog!$F$3:$F$12,MATCH(cadangan[[#This Row],[ItemID B]],Katalog!$C$3:$C$12,0))*cadangan[[#This Row],[Qty B]],0)</f>
        <v>0</v>
      </c>
      <c r="T199" s="73">
        <f>IFERROR(cadangan[[#This Row],[Harga Diskon B]]-INDEX(Katalog!$E$3:$E$12,MATCH(cadangan[[#This Row],[ItemID B]],Katalog!$C$3:$C$12,0))*cadangan[[#This Row],[Qty B]],0)</f>
        <v>0</v>
      </c>
      <c r="V199" s="39" t="str">
        <f>IFERROR(INDEX(Katalog!$A$3:$A$12,MATCH(cadangan[[#This Row],[ItemID C]],Katalog!$C$3:$C$12,0)),"-")</f>
        <v>-</v>
      </c>
      <c r="W199" s="39" t="str">
        <f>IFERROR(INDEX(Katalog!$B$3:$B$12,MATCH(cadangan[[#This Row],[ItemID C]],Katalog!$C$3:$C$12,0)),"-")</f>
        <v>-</v>
      </c>
      <c r="Z199" s="73">
        <f>IFERROR(INDEX(Katalog!$D$3:$D$12,MATCH(cadangan[[#This Row],[ItemID C]],Katalog!$C$3:$C$12,0))*cadangan[[#This Row],[Qty C]],0)</f>
        <v>0</v>
      </c>
      <c r="AA199" s="73">
        <f>IFERROR(cadangan[[#This Row],[Harga Normal C]]-(cadangan[[#This Row],[Harga Normal C]]*cadangan[[#This Row],[Diskon]]),cadangan[[#This Row],[Harga Normal C]])</f>
        <v>0</v>
      </c>
      <c r="AB199" s="73">
        <f>IFERROR(INDEX(Katalog!$F$3:$F$12,MATCH(cadangan[[#This Row],[ItemID C]],Katalog!$C$3:$C$12,0))*cadangan[[#This Row],[Qty C]],0)</f>
        <v>0</v>
      </c>
      <c r="AC199" s="73">
        <f>IFERROR(cadangan[[#This Row],[Harga Diskon C]]-INDEX(Katalog!$E$3:$E$12,MATCH(cadangan[[#This Row],[ItemID C]],Katalog!$C$3:$C$12,0))*cadangan[[#This Row],[Qty C]],0)</f>
        <v>0</v>
      </c>
      <c r="AD199" s="53">
        <f>cadangan[[#This Row],[Qty A]]+cadangan[[#This Row],[Qty B]]+cadangan[[#This Row],[Qty C]]</f>
        <v>2</v>
      </c>
      <c r="AE199" s="73">
        <f>cadangan[[#This Row],[Harga Normal A]]+cadangan[[#This Row],[Harga Normal B]]+cadangan[[#This Row],[Harga Normal C]]</f>
        <v>300000</v>
      </c>
      <c r="AF199" s="73">
        <f>cadangan[[#This Row],[Harga Diskon A]]+cadangan[[#This Row],[Harga Diskon B]]+cadangan[[#This Row],[Harga Diskon C]]</f>
        <v>240000</v>
      </c>
      <c r="AG199" s="73">
        <f>(cadangan[[#This Row],[Profit Normal A]]+cadangan[[#This Row],[Profit Normal B]]+cadangan[[#This Row],[Profit Normal C]])</f>
        <v>100000</v>
      </c>
      <c r="AH199" s="73">
        <f>cadangan[[#This Row],[Profit Diskon A]]+cadangan[[#This Row],[Profit Diskon B]]+cadangan[[#This Row],[Profit Diskon C]]</f>
        <v>40000</v>
      </c>
      <c r="AI199" s="23" t="s">
        <v>8</v>
      </c>
      <c r="AJ199" s="37">
        <f>IFERROR(INDEX('Kode Diskon'!$D$3:$D$9,MATCH(cadangan[[#This Row],[Kode diskon]],'Kode Diskon'!$C$3:$C$9,0)),"-")</f>
        <v>0.2</v>
      </c>
      <c r="AK199" s="23" t="s">
        <v>9</v>
      </c>
      <c r="AL199" s="23" t="s">
        <v>7</v>
      </c>
      <c r="AM199" s="23" t="s">
        <v>80</v>
      </c>
      <c r="AN199" s="55">
        <v>45042</v>
      </c>
      <c r="AO199" s="53">
        <f>DAY(cadangan[[#This Row],[Tanggal terjual]])</f>
        <v>26</v>
      </c>
      <c r="AP199" s="21" t="str">
        <f>TEXT(cadangan[[#This Row],[Tanggal terjual]],"dddd")</f>
        <v>Wednesday</v>
      </c>
      <c r="AQ199" s="23" t="str" cm="1">
        <f t="array" ref="AQ1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199" s="61">
        <f>AVERAGE(cadangan[[#This Row],[Rating A]],cadangan[[#This Row],[Rating B]],cadangan[[#This Row],[Rating C]])</f>
        <v>1</v>
      </c>
    </row>
    <row r="200" spans="1:44" x14ac:dyDescent="0.2">
      <c r="A200" s="20">
        <v>199</v>
      </c>
      <c r="B200" s="21" t="str">
        <f>_xlfn.CONCAT("ORD-",INDEX(Helper!$B$2:$B$5,MATCH(cadangan[[#This Row],[Marketplace]],Helper!$A$2:$A$5,0)),TEXT(cadangan[[#This Row],[No]],"0000"),"-",TEXT(cadangan[[#This Row],[Tanggal terjual]],"dd/mm/yy"))</f>
        <v>ORD-SP0199-05/04/23</v>
      </c>
      <c r="C200" s="39" t="s">
        <v>59</v>
      </c>
      <c r="D200" s="39" t="str">
        <f>IFERROR(INDEX(Katalog!$A$3:$A$12,MATCH(cadangan[[#This Row],[ItemID A]],Katalog!$C$3:$C$12,0)),"-")</f>
        <v>Pakaian Wanita</v>
      </c>
      <c r="E200" s="39" t="str">
        <f>IFERROR(INDEX(Katalog!$B$3:$B$12,MATCH(cadangan[[#This Row],[ItemID A]],Katalog!$C$3:$C$12,0)),"-")</f>
        <v>Blouse</v>
      </c>
      <c r="F200" s="50">
        <v>1</v>
      </c>
      <c r="G200" s="50">
        <v>4</v>
      </c>
      <c r="H200" s="73">
        <f>IFERROR(INDEX(Katalog!$D$3:$D$12,MATCH(cadangan[[#This Row],[ItemID A]],Katalog!$C$3:$C$12,0))*cadangan[[#This Row],[Qty A]],0)</f>
        <v>150000</v>
      </c>
      <c r="I200" s="73">
        <f>IFERROR(cadangan[[#This Row],[Harga Normal A]]-(cadangan[[#This Row],[Harga Normal A]]*cadangan[[#This Row],[Diskon]]),cadangan[[#This Row],[Harga Normal A]])</f>
        <v>127500</v>
      </c>
      <c r="J200" s="73">
        <f>INDEX(Katalog!$F$3:$F$12,MATCH(cadangan[[#This Row],[ItemID A]],Katalog!$C$3:$C$12,0))*cadangan[[#This Row],[Qty A]]</f>
        <v>50000</v>
      </c>
      <c r="K200" s="73">
        <f>IFERROR(cadangan[[#This Row],[Harga Diskon A]]-INDEX(Katalog!$E$3:$E$12,MATCH(cadangan[[#This Row],[ItemID A]],Katalog!$C$3:$C$12,0))*cadangan[[#This Row],[Qty A]],0)</f>
        <v>27500</v>
      </c>
      <c r="M200" s="39" t="str">
        <f>IFERROR(INDEX(Katalog!$A$3:$A$12,MATCH(cadangan[[#This Row],[ItemID B]],Katalog!$C$3:$C$12,0)),"-")</f>
        <v>-</v>
      </c>
      <c r="N200" s="39" t="str">
        <f>IFERROR(INDEX(Katalog!$B$3:$B$12,MATCH(cadangan[[#This Row],[ItemID B]],Katalog!$C$3:$C$12,0)),"-")</f>
        <v>-</v>
      </c>
      <c r="Q200" s="73">
        <f>IFERROR(INDEX(Katalog!$D$3:$D$12,MATCH(cadangan[[#This Row],[ItemID B]],Katalog!$C$3:$C$12,0))*cadangan[[#This Row],[Qty B]],0)</f>
        <v>0</v>
      </c>
      <c r="R200" s="73">
        <f>IFERROR(cadangan[[#This Row],[Harga Normal B]]-(cadangan[[#This Row],[Harga Normal B]]*cadangan[[#This Row],[Diskon]]),cadangan[[#This Row],[Harga Normal B]])</f>
        <v>0</v>
      </c>
      <c r="S200" s="73">
        <f>IFERROR(INDEX(Katalog!$F$3:$F$12,MATCH(cadangan[[#This Row],[ItemID B]],Katalog!$C$3:$C$12,0))*cadangan[[#This Row],[Qty B]],0)</f>
        <v>0</v>
      </c>
      <c r="T200" s="73">
        <f>IFERROR(cadangan[[#This Row],[Harga Diskon B]]-INDEX(Katalog!$E$3:$E$12,MATCH(cadangan[[#This Row],[ItemID B]],Katalog!$C$3:$C$12,0))*cadangan[[#This Row],[Qty B]],0)</f>
        <v>0</v>
      </c>
      <c r="V200" s="39" t="str">
        <f>IFERROR(INDEX(Katalog!$A$3:$A$12,MATCH(cadangan[[#This Row],[ItemID C]],Katalog!$C$3:$C$12,0)),"-")</f>
        <v>-</v>
      </c>
      <c r="W200" s="39" t="str">
        <f>IFERROR(INDEX(Katalog!$B$3:$B$12,MATCH(cadangan[[#This Row],[ItemID C]],Katalog!$C$3:$C$12,0)),"-")</f>
        <v>-</v>
      </c>
      <c r="Z200" s="73">
        <f>IFERROR(INDEX(Katalog!$D$3:$D$12,MATCH(cadangan[[#This Row],[ItemID C]],Katalog!$C$3:$C$12,0))*cadangan[[#This Row],[Qty C]],0)</f>
        <v>0</v>
      </c>
      <c r="AA200" s="73">
        <f>IFERROR(cadangan[[#This Row],[Harga Normal C]]-(cadangan[[#This Row],[Harga Normal C]]*cadangan[[#This Row],[Diskon]]),cadangan[[#This Row],[Harga Normal C]])</f>
        <v>0</v>
      </c>
      <c r="AB200" s="73">
        <f>IFERROR(INDEX(Katalog!$F$3:$F$12,MATCH(cadangan[[#This Row],[ItemID C]],Katalog!$C$3:$C$12,0))*cadangan[[#This Row],[Qty C]],0)</f>
        <v>0</v>
      </c>
      <c r="AC200" s="73">
        <f>IFERROR(cadangan[[#This Row],[Harga Diskon C]]-INDEX(Katalog!$E$3:$E$12,MATCH(cadangan[[#This Row],[ItemID C]],Katalog!$C$3:$C$12,0))*cadangan[[#This Row],[Qty C]],0)</f>
        <v>0</v>
      </c>
      <c r="AD200" s="53">
        <f>cadangan[[#This Row],[Qty A]]+cadangan[[#This Row],[Qty B]]+cadangan[[#This Row],[Qty C]]</f>
        <v>1</v>
      </c>
      <c r="AE200" s="73">
        <f>cadangan[[#This Row],[Harga Normal A]]+cadangan[[#This Row],[Harga Normal B]]+cadangan[[#This Row],[Harga Normal C]]</f>
        <v>150000</v>
      </c>
      <c r="AF200" s="73">
        <f>cadangan[[#This Row],[Harga Diskon A]]+cadangan[[#This Row],[Harga Diskon B]]+cadangan[[#This Row],[Harga Diskon C]]</f>
        <v>127500</v>
      </c>
      <c r="AG200" s="73">
        <f>(cadangan[[#This Row],[Profit Normal A]]+cadangan[[#This Row],[Profit Normal B]]+cadangan[[#This Row],[Profit Normal C]])</f>
        <v>50000</v>
      </c>
      <c r="AH200" s="73">
        <f>cadangan[[#This Row],[Profit Diskon A]]+cadangan[[#This Row],[Profit Diskon B]]+cadangan[[#This Row],[Profit Diskon C]]</f>
        <v>27500</v>
      </c>
      <c r="AI200" s="23" t="s">
        <v>13</v>
      </c>
      <c r="AJ200" s="37">
        <f>IFERROR(INDEX('Kode Diskon'!$D$3:$D$9,MATCH(cadangan[[#This Row],[Kode diskon]],'Kode Diskon'!$C$3:$C$9,0)),"-")</f>
        <v>0.15</v>
      </c>
      <c r="AK200" s="23" t="s">
        <v>29</v>
      </c>
      <c r="AL200" s="23" t="s">
        <v>7</v>
      </c>
      <c r="AM200" s="23" t="s">
        <v>79</v>
      </c>
      <c r="AN200" s="55">
        <v>45021</v>
      </c>
      <c r="AO200" s="53">
        <f>DAY(cadangan[[#This Row],[Tanggal terjual]])</f>
        <v>5</v>
      </c>
      <c r="AP200" s="21" t="str">
        <f>TEXT(cadangan[[#This Row],[Tanggal terjual]],"dddd")</f>
        <v>Wednesday</v>
      </c>
      <c r="AQ200" s="23" t="str" cm="1">
        <f t="array" ref="AQ2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00" s="61">
        <f>AVERAGE(cadangan[[#This Row],[Rating A]],cadangan[[#This Row],[Rating B]],cadangan[[#This Row],[Rating C]])</f>
        <v>4</v>
      </c>
    </row>
    <row r="201" spans="1:44" x14ac:dyDescent="0.2">
      <c r="A201" s="20">
        <v>200</v>
      </c>
      <c r="B201" s="21" t="str">
        <f>_xlfn.CONCAT("ORD-",INDEX(Helper!$B$2:$B$5,MATCH(cadangan[[#This Row],[Marketplace]],Helper!$A$2:$A$5,0)),TEXT(cadangan[[#This Row],[No]],"0000"),"-",TEXT(cadangan[[#This Row],[Tanggal terjual]],"dd/mm/yy"))</f>
        <v>ORD-SP0200-26/04/23</v>
      </c>
      <c r="C201" s="39" t="s">
        <v>59</v>
      </c>
      <c r="D201" s="39" t="str">
        <f>IFERROR(INDEX(Katalog!$A$3:$A$12,MATCH(cadangan[[#This Row],[ItemID A]],Katalog!$C$3:$C$12,0)),"-")</f>
        <v>Pakaian Wanita</v>
      </c>
      <c r="E201" s="39" t="str">
        <f>IFERROR(INDEX(Katalog!$B$3:$B$12,MATCH(cadangan[[#This Row],[ItemID A]],Katalog!$C$3:$C$12,0)),"-")</f>
        <v>Blouse</v>
      </c>
      <c r="F201" s="50">
        <v>1</v>
      </c>
      <c r="G201" s="50">
        <v>4</v>
      </c>
      <c r="H201" s="73">
        <f>IFERROR(INDEX(Katalog!$D$3:$D$12,MATCH(cadangan[[#This Row],[ItemID A]],Katalog!$C$3:$C$12,0))*cadangan[[#This Row],[Qty A]],0)</f>
        <v>150000</v>
      </c>
      <c r="I201" s="73">
        <f>IFERROR(cadangan[[#This Row],[Harga Normal A]]-(cadangan[[#This Row],[Harga Normal A]]*cadangan[[#This Row],[Diskon]]),cadangan[[#This Row],[Harga Normal A]])</f>
        <v>120000</v>
      </c>
      <c r="J201" s="73">
        <f>INDEX(Katalog!$F$3:$F$12,MATCH(cadangan[[#This Row],[ItemID A]],Katalog!$C$3:$C$12,0))*cadangan[[#This Row],[Qty A]]</f>
        <v>50000</v>
      </c>
      <c r="K201" s="73">
        <f>IFERROR(cadangan[[#This Row],[Harga Diskon A]]-INDEX(Katalog!$E$3:$E$12,MATCH(cadangan[[#This Row],[ItemID A]],Katalog!$C$3:$C$12,0))*cadangan[[#This Row],[Qty A]],0)</f>
        <v>20000</v>
      </c>
      <c r="L201" s="39" t="s">
        <v>64</v>
      </c>
      <c r="M201" s="39" t="str">
        <f>IFERROR(INDEX(Katalog!$A$3:$A$12,MATCH(cadangan[[#This Row],[ItemID B]],Katalog!$C$3:$C$12,0)),"-")</f>
        <v>Pakaian Unisex</v>
      </c>
      <c r="N201" s="39" t="str">
        <f>IFERROR(INDEX(Katalog!$B$3:$B$12,MATCH(cadangan[[#This Row],[ItemID B]],Katalog!$C$3:$C$12,0)),"-")</f>
        <v>Jaket Hoodie</v>
      </c>
      <c r="O201" s="50">
        <v>1</v>
      </c>
      <c r="P201" s="50">
        <v>4</v>
      </c>
      <c r="Q201" s="73">
        <f>IFERROR(INDEX(Katalog!$D$3:$D$12,MATCH(cadangan[[#This Row],[ItemID B]],Katalog!$C$3:$C$12,0))*cadangan[[#This Row],[Qty B]],0)</f>
        <v>350000</v>
      </c>
      <c r="R201" s="73">
        <f>IFERROR(cadangan[[#This Row],[Harga Normal B]]-(cadangan[[#This Row],[Harga Normal B]]*cadangan[[#This Row],[Diskon]]),cadangan[[#This Row],[Harga Normal B]])</f>
        <v>280000</v>
      </c>
      <c r="S201" s="73">
        <f>IFERROR(INDEX(Katalog!$F$3:$F$12,MATCH(cadangan[[#This Row],[ItemID B]],Katalog!$C$3:$C$12,0))*cadangan[[#This Row],[Qty B]],0)</f>
        <v>130000</v>
      </c>
      <c r="T201" s="73">
        <f>IFERROR(cadangan[[#This Row],[Harga Diskon B]]-INDEX(Katalog!$E$3:$E$12,MATCH(cadangan[[#This Row],[ItemID B]],Katalog!$C$3:$C$12,0))*cadangan[[#This Row],[Qty B]],0)</f>
        <v>60000</v>
      </c>
      <c r="U201" s="39" t="s">
        <v>65</v>
      </c>
      <c r="V201" s="39" t="str">
        <f>IFERROR(INDEX(Katalog!$A$3:$A$12,MATCH(cadangan[[#This Row],[ItemID C]],Katalog!$C$3:$C$12,0)),"-")</f>
        <v>Sepatu Pria</v>
      </c>
      <c r="W201" s="39" t="str">
        <f>IFERROR(INDEX(Katalog!$B$3:$B$12,MATCH(cadangan[[#This Row],[ItemID C]],Katalog!$C$3:$C$12,0)),"-")</f>
        <v>Sneakers</v>
      </c>
      <c r="X201" s="50">
        <v>1</v>
      </c>
      <c r="Y201" s="50">
        <v>2</v>
      </c>
      <c r="Z201" s="73">
        <f>IFERROR(INDEX(Katalog!$D$3:$D$12,MATCH(cadangan[[#This Row],[ItemID C]],Katalog!$C$3:$C$12,0))*cadangan[[#This Row],[Qty C]],0)</f>
        <v>500000</v>
      </c>
      <c r="AA201" s="73">
        <f>IFERROR(cadangan[[#This Row],[Harga Normal C]]-(cadangan[[#This Row],[Harga Normal C]]*cadangan[[#This Row],[Diskon]]),cadangan[[#This Row],[Harga Normal C]])</f>
        <v>400000</v>
      </c>
      <c r="AB201" s="73">
        <f>IFERROR(INDEX(Katalog!$F$3:$F$12,MATCH(cadangan[[#This Row],[ItemID C]],Katalog!$C$3:$C$12,0))*cadangan[[#This Row],[Qty C]],0)</f>
        <v>200000</v>
      </c>
      <c r="AC201" s="73">
        <f>IFERROR(cadangan[[#This Row],[Harga Diskon C]]-INDEX(Katalog!$E$3:$E$12,MATCH(cadangan[[#This Row],[ItemID C]],Katalog!$C$3:$C$12,0))*cadangan[[#This Row],[Qty C]],0)</f>
        <v>100000</v>
      </c>
      <c r="AD201" s="53">
        <f>cadangan[[#This Row],[Qty A]]+cadangan[[#This Row],[Qty B]]+cadangan[[#This Row],[Qty C]]</f>
        <v>3</v>
      </c>
      <c r="AE201" s="73">
        <f>cadangan[[#This Row],[Harga Normal A]]+cadangan[[#This Row],[Harga Normal B]]+cadangan[[#This Row],[Harga Normal C]]</f>
        <v>1000000</v>
      </c>
      <c r="AF201" s="73">
        <f>cadangan[[#This Row],[Harga Diskon A]]+cadangan[[#This Row],[Harga Diskon B]]+cadangan[[#This Row],[Harga Diskon C]]</f>
        <v>800000</v>
      </c>
      <c r="AG201" s="73">
        <f>(cadangan[[#This Row],[Profit Normal A]]+cadangan[[#This Row],[Profit Normal B]]+cadangan[[#This Row],[Profit Normal C]])</f>
        <v>380000</v>
      </c>
      <c r="AH201" s="73">
        <f>cadangan[[#This Row],[Profit Diskon A]]+cadangan[[#This Row],[Profit Diskon B]]+cadangan[[#This Row],[Profit Diskon C]]</f>
        <v>180000</v>
      </c>
      <c r="AI201" s="23" t="s">
        <v>8</v>
      </c>
      <c r="AJ201" s="37">
        <f>IFERROR(INDEX('Kode Diskon'!$D$3:$D$9,MATCH(cadangan[[#This Row],[Kode diskon]],'Kode Diskon'!$C$3:$C$9,0)),"-")</f>
        <v>0.2</v>
      </c>
      <c r="AK201" s="23" t="s">
        <v>9</v>
      </c>
      <c r="AL201" s="23" t="s">
        <v>7</v>
      </c>
      <c r="AM201" s="23" t="s">
        <v>75</v>
      </c>
      <c r="AN201" s="55">
        <v>45042</v>
      </c>
      <c r="AO201" s="53">
        <f>DAY(cadangan[[#This Row],[Tanggal terjual]])</f>
        <v>26</v>
      </c>
      <c r="AP201" s="21" t="str">
        <f>TEXT(cadangan[[#This Row],[Tanggal terjual]],"dddd")</f>
        <v>Wednesday</v>
      </c>
      <c r="AQ201" s="23" t="str" cm="1">
        <f t="array" ref="AQ2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01" s="61">
        <f>AVERAGE(cadangan[[#This Row],[Rating A]],cadangan[[#This Row],[Rating B]],cadangan[[#This Row],[Rating C]])</f>
        <v>3.3333333333333335</v>
      </c>
    </row>
    <row r="202" spans="1:44" x14ac:dyDescent="0.2">
      <c r="A202" s="20">
        <v>201</v>
      </c>
      <c r="B202" s="21" t="str">
        <f>_xlfn.CONCAT("ORD-",INDEX(Helper!$B$2:$B$5,MATCH(cadangan[[#This Row],[Marketplace]],Helper!$A$2:$A$5,0)),TEXT(cadangan[[#This Row],[No]],"0000"),"-",TEXT(cadangan[[#This Row],[Tanggal terjual]],"dd/mm/yy"))</f>
        <v>ORD-TK0201-30/04/23</v>
      </c>
      <c r="C202" s="39" t="s">
        <v>63</v>
      </c>
      <c r="D202" s="39" t="str">
        <f>IFERROR(INDEX(Katalog!$A$3:$A$12,MATCH(cadangan[[#This Row],[ItemID A]],Katalog!$C$3:$C$12,0)),"-")</f>
        <v>Pakaian Pria</v>
      </c>
      <c r="E202" s="39" t="str">
        <f>IFERROR(INDEX(Katalog!$B$3:$B$12,MATCH(cadangan[[#This Row],[ItemID A]],Katalog!$C$3:$C$12,0)),"-")</f>
        <v>Jaket Jeans</v>
      </c>
      <c r="F202" s="50">
        <v>1</v>
      </c>
      <c r="G202" s="50">
        <v>1</v>
      </c>
      <c r="H202" s="73">
        <f>IFERROR(INDEX(Katalog!$D$3:$D$12,MATCH(cadangan[[#This Row],[ItemID A]],Katalog!$C$3:$C$12,0))*cadangan[[#This Row],[Qty A]],0)</f>
        <v>400000</v>
      </c>
      <c r="I202" s="73">
        <f>IFERROR(cadangan[[#This Row],[Harga Normal A]]-(cadangan[[#This Row],[Harga Normal A]]*cadangan[[#This Row],[Diskon]]),cadangan[[#This Row],[Harga Normal A]])</f>
        <v>360000</v>
      </c>
      <c r="J202" s="73">
        <f>INDEX(Katalog!$F$3:$F$12,MATCH(cadangan[[#This Row],[ItemID A]],Katalog!$C$3:$C$12,0))*cadangan[[#This Row],[Qty A]]</f>
        <v>150000</v>
      </c>
      <c r="K202" s="73">
        <f>IFERROR(cadangan[[#This Row],[Harga Diskon A]]-INDEX(Katalog!$E$3:$E$12,MATCH(cadangan[[#This Row],[ItemID A]],Katalog!$C$3:$C$12,0))*cadangan[[#This Row],[Qty A]],0)</f>
        <v>110000</v>
      </c>
      <c r="M202" s="39" t="str">
        <f>IFERROR(INDEX(Katalog!$A$3:$A$12,MATCH(cadangan[[#This Row],[ItemID B]],Katalog!$C$3:$C$12,0)),"-")</f>
        <v>-</v>
      </c>
      <c r="N202" s="39" t="str">
        <f>IFERROR(INDEX(Katalog!$B$3:$B$12,MATCH(cadangan[[#This Row],[ItemID B]],Katalog!$C$3:$C$12,0)),"-")</f>
        <v>-</v>
      </c>
      <c r="Q202" s="73">
        <f>IFERROR(INDEX(Katalog!$D$3:$D$12,MATCH(cadangan[[#This Row],[ItemID B]],Katalog!$C$3:$C$12,0))*cadangan[[#This Row],[Qty B]],0)</f>
        <v>0</v>
      </c>
      <c r="R202" s="73">
        <f>IFERROR(cadangan[[#This Row],[Harga Normal B]]-(cadangan[[#This Row],[Harga Normal B]]*cadangan[[#This Row],[Diskon]]),cadangan[[#This Row],[Harga Normal B]])</f>
        <v>0</v>
      </c>
      <c r="S202" s="73">
        <f>IFERROR(INDEX(Katalog!$F$3:$F$12,MATCH(cadangan[[#This Row],[ItemID B]],Katalog!$C$3:$C$12,0))*cadangan[[#This Row],[Qty B]],0)</f>
        <v>0</v>
      </c>
      <c r="T202" s="73">
        <f>IFERROR(cadangan[[#This Row],[Harga Diskon B]]-INDEX(Katalog!$E$3:$E$12,MATCH(cadangan[[#This Row],[ItemID B]],Katalog!$C$3:$C$12,0))*cadangan[[#This Row],[Qty B]],0)</f>
        <v>0</v>
      </c>
      <c r="V202" s="39" t="str">
        <f>IFERROR(INDEX(Katalog!$A$3:$A$12,MATCH(cadangan[[#This Row],[ItemID C]],Katalog!$C$3:$C$12,0)),"-")</f>
        <v>-</v>
      </c>
      <c r="W202" s="39" t="str">
        <f>IFERROR(INDEX(Katalog!$B$3:$B$12,MATCH(cadangan[[#This Row],[ItemID C]],Katalog!$C$3:$C$12,0)),"-")</f>
        <v>-</v>
      </c>
      <c r="Z202" s="73">
        <f>IFERROR(INDEX(Katalog!$D$3:$D$12,MATCH(cadangan[[#This Row],[ItemID C]],Katalog!$C$3:$C$12,0))*cadangan[[#This Row],[Qty C]],0)</f>
        <v>0</v>
      </c>
      <c r="AA202" s="73">
        <f>IFERROR(cadangan[[#This Row],[Harga Normal C]]-(cadangan[[#This Row],[Harga Normal C]]*cadangan[[#This Row],[Diskon]]),cadangan[[#This Row],[Harga Normal C]])</f>
        <v>0</v>
      </c>
      <c r="AB202" s="73">
        <f>IFERROR(INDEX(Katalog!$F$3:$F$12,MATCH(cadangan[[#This Row],[ItemID C]],Katalog!$C$3:$C$12,0))*cadangan[[#This Row],[Qty C]],0)</f>
        <v>0</v>
      </c>
      <c r="AC202" s="73">
        <f>IFERROR(cadangan[[#This Row],[Harga Diskon C]]-INDEX(Katalog!$E$3:$E$12,MATCH(cadangan[[#This Row],[ItemID C]],Katalog!$C$3:$C$12,0))*cadangan[[#This Row],[Qty C]],0)</f>
        <v>0</v>
      </c>
      <c r="AD202" s="53">
        <f>cadangan[[#This Row],[Qty A]]+cadangan[[#This Row],[Qty B]]+cadangan[[#This Row],[Qty C]]</f>
        <v>1</v>
      </c>
      <c r="AE202" s="73">
        <f>cadangan[[#This Row],[Harga Normal A]]+cadangan[[#This Row],[Harga Normal B]]+cadangan[[#This Row],[Harga Normal C]]</f>
        <v>400000</v>
      </c>
      <c r="AF202" s="73">
        <f>cadangan[[#This Row],[Harga Diskon A]]+cadangan[[#This Row],[Harga Diskon B]]+cadangan[[#This Row],[Harga Diskon C]]</f>
        <v>360000</v>
      </c>
      <c r="AG202" s="73">
        <f>(cadangan[[#This Row],[Profit Normal A]]+cadangan[[#This Row],[Profit Normal B]]+cadangan[[#This Row],[Profit Normal C]])</f>
        <v>150000</v>
      </c>
      <c r="AH202" s="73">
        <f>cadangan[[#This Row],[Profit Diskon A]]+cadangan[[#This Row],[Profit Diskon B]]+cadangan[[#This Row],[Profit Diskon C]]</f>
        <v>110000</v>
      </c>
      <c r="AI202" s="23" t="s">
        <v>31</v>
      </c>
      <c r="AJ202" s="37">
        <f>IFERROR(INDEX('Kode Diskon'!$D$3:$D$9,MATCH(cadangan[[#This Row],[Kode diskon]],'Kode Diskon'!$C$3:$C$9,0)),"-")</f>
        <v>0.1</v>
      </c>
      <c r="AK202" s="23" t="s">
        <v>9</v>
      </c>
      <c r="AL202" s="23" t="s">
        <v>10</v>
      </c>
      <c r="AM202" s="23" t="s">
        <v>80</v>
      </c>
      <c r="AN202" s="55">
        <v>45046</v>
      </c>
      <c r="AO202" s="53">
        <f>DAY(cadangan[[#This Row],[Tanggal terjual]])</f>
        <v>30</v>
      </c>
      <c r="AP202" s="21" t="str">
        <f>TEXT(cadangan[[#This Row],[Tanggal terjual]],"dddd")</f>
        <v>Sunday</v>
      </c>
      <c r="AQ202" s="23" t="str" cm="1">
        <f t="array" ref="AQ2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02" s="61">
        <f>AVERAGE(cadangan[[#This Row],[Rating A]],cadangan[[#This Row],[Rating B]],cadangan[[#This Row],[Rating C]])</f>
        <v>1</v>
      </c>
    </row>
    <row r="203" spans="1:44" x14ac:dyDescent="0.2">
      <c r="A203" s="20">
        <v>202</v>
      </c>
      <c r="B203" s="21" t="str">
        <f>_xlfn.CONCAT("ORD-",INDEX(Helper!$B$2:$B$5,MATCH(cadangan[[#This Row],[Marketplace]],Helper!$A$2:$A$5,0)),TEXT(cadangan[[#This Row],[No]],"0000"),"-",TEXT(cadangan[[#This Row],[Tanggal terjual]],"dd/mm/yy"))</f>
        <v>ORD-SP0202-05/04/23</v>
      </c>
      <c r="C203" s="39" t="s">
        <v>61</v>
      </c>
      <c r="D203" s="39" t="str">
        <f>IFERROR(INDEX(Katalog!$A$3:$A$12,MATCH(cadangan[[#This Row],[ItemID A]],Katalog!$C$3:$C$12,0)),"-")</f>
        <v>Pakaian Pria</v>
      </c>
      <c r="E203" s="39" t="str">
        <f>IFERROR(INDEX(Katalog!$B$3:$B$12,MATCH(cadangan[[#This Row],[ItemID A]],Katalog!$C$3:$C$12,0)),"-")</f>
        <v>Kaos Polo</v>
      </c>
      <c r="F203" s="50">
        <v>1</v>
      </c>
      <c r="G203" s="50">
        <v>3</v>
      </c>
      <c r="H203" s="73">
        <f>IFERROR(INDEX(Katalog!$D$3:$D$12,MATCH(cadangan[[#This Row],[ItemID A]],Katalog!$C$3:$C$12,0))*cadangan[[#This Row],[Qty A]],0)</f>
        <v>200000</v>
      </c>
      <c r="I203" s="73">
        <f>IFERROR(cadangan[[#This Row],[Harga Normal A]]-(cadangan[[#This Row],[Harga Normal A]]*cadangan[[#This Row],[Diskon]]),cadangan[[#This Row],[Harga Normal A]])</f>
        <v>170000</v>
      </c>
      <c r="J203" s="73">
        <f>INDEX(Katalog!$F$3:$F$12,MATCH(cadangan[[#This Row],[ItemID A]],Katalog!$C$3:$C$12,0))*cadangan[[#This Row],[Qty A]]</f>
        <v>80000</v>
      </c>
      <c r="K203" s="73">
        <f>IFERROR(cadangan[[#This Row],[Harga Diskon A]]-INDEX(Katalog!$E$3:$E$12,MATCH(cadangan[[#This Row],[ItemID A]],Katalog!$C$3:$C$12,0))*cadangan[[#This Row],[Qty A]],0)</f>
        <v>50000</v>
      </c>
      <c r="L203" s="39" t="s">
        <v>65</v>
      </c>
      <c r="M203" s="39" t="str">
        <f>IFERROR(INDEX(Katalog!$A$3:$A$12,MATCH(cadangan[[#This Row],[ItemID B]],Katalog!$C$3:$C$12,0)),"-")</f>
        <v>Sepatu Pria</v>
      </c>
      <c r="N203" s="39" t="str">
        <f>IFERROR(INDEX(Katalog!$B$3:$B$12,MATCH(cadangan[[#This Row],[ItemID B]],Katalog!$C$3:$C$12,0)),"-")</f>
        <v>Sneakers</v>
      </c>
      <c r="O203" s="50">
        <v>1</v>
      </c>
      <c r="P203" s="50">
        <v>2</v>
      </c>
      <c r="Q203" s="73">
        <f>IFERROR(INDEX(Katalog!$D$3:$D$12,MATCH(cadangan[[#This Row],[ItemID B]],Katalog!$C$3:$C$12,0))*cadangan[[#This Row],[Qty B]],0)</f>
        <v>500000</v>
      </c>
      <c r="R203" s="73">
        <f>IFERROR(cadangan[[#This Row],[Harga Normal B]]-(cadangan[[#This Row],[Harga Normal B]]*cadangan[[#This Row],[Diskon]]),cadangan[[#This Row],[Harga Normal B]])</f>
        <v>425000</v>
      </c>
      <c r="S203" s="73">
        <f>IFERROR(INDEX(Katalog!$F$3:$F$12,MATCH(cadangan[[#This Row],[ItemID B]],Katalog!$C$3:$C$12,0))*cadangan[[#This Row],[Qty B]],0)</f>
        <v>200000</v>
      </c>
      <c r="T203" s="73">
        <f>IFERROR(cadangan[[#This Row],[Harga Diskon B]]-INDEX(Katalog!$E$3:$E$12,MATCH(cadangan[[#This Row],[ItemID B]],Katalog!$C$3:$C$12,0))*cadangan[[#This Row],[Qty B]],0)</f>
        <v>125000</v>
      </c>
      <c r="U203" s="39" t="s">
        <v>60</v>
      </c>
      <c r="V203" s="39" t="str">
        <f>IFERROR(INDEX(Katalog!$A$3:$A$12,MATCH(cadangan[[#This Row],[ItemID C]],Katalog!$C$3:$C$12,0)),"-")</f>
        <v>Pakaian Wanita</v>
      </c>
      <c r="W203" s="39" t="str">
        <f>IFERROR(INDEX(Katalog!$B$3:$B$12,MATCH(cadangan[[#This Row],[ItemID C]],Katalog!$C$3:$C$12,0)),"-")</f>
        <v>Kaftan</v>
      </c>
      <c r="X203" s="50">
        <v>1</v>
      </c>
      <c r="Y203" s="50">
        <v>1</v>
      </c>
      <c r="Z203" s="73">
        <f>IFERROR(INDEX(Katalog!$D$3:$D$12,MATCH(cadangan[[#This Row],[ItemID C]],Katalog!$C$3:$C$12,0))*cadangan[[#This Row],[Qty C]],0)</f>
        <v>250000</v>
      </c>
      <c r="AA203" s="73">
        <f>IFERROR(cadangan[[#This Row],[Harga Normal C]]-(cadangan[[#This Row],[Harga Normal C]]*cadangan[[#This Row],[Diskon]]),cadangan[[#This Row],[Harga Normal C]])</f>
        <v>212500</v>
      </c>
      <c r="AB203" s="73">
        <f>IFERROR(INDEX(Katalog!$F$3:$F$12,MATCH(cadangan[[#This Row],[ItemID C]],Katalog!$C$3:$C$12,0))*cadangan[[#This Row],[Qty C]],0)</f>
        <v>100000</v>
      </c>
      <c r="AC203" s="73">
        <f>IFERROR(cadangan[[#This Row],[Harga Diskon C]]-INDEX(Katalog!$E$3:$E$12,MATCH(cadangan[[#This Row],[ItemID C]],Katalog!$C$3:$C$12,0))*cadangan[[#This Row],[Qty C]],0)</f>
        <v>62500</v>
      </c>
      <c r="AD203" s="53">
        <f>cadangan[[#This Row],[Qty A]]+cadangan[[#This Row],[Qty B]]+cadangan[[#This Row],[Qty C]]</f>
        <v>3</v>
      </c>
      <c r="AE203" s="73">
        <f>cadangan[[#This Row],[Harga Normal A]]+cadangan[[#This Row],[Harga Normal B]]+cadangan[[#This Row],[Harga Normal C]]</f>
        <v>950000</v>
      </c>
      <c r="AF203" s="73">
        <f>cadangan[[#This Row],[Harga Diskon A]]+cadangan[[#This Row],[Harga Diskon B]]+cadangan[[#This Row],[Harga Diskon C]]</f>
        <v>807500</v>
      </c>
      <c r="AG203" s="73">
        <f>(cadangan[[#This Row],[Profit Normal A]]+cadangan[[#This Row],[Profit Normal B]]+cadangan[[#This Row],[Profit Normal C]])</f>
        <v>380000</v>
      </c>
      <c r="AH203" s="73">
        <f>cadangan[[#This Row],[Profit Diskon A]]+cadangan[[#This Row],[Profit Diskon B]]+cadangan[[#This Row],[Profit Diskon C]]</f>
        <v>237500</v>
      </c>
      <c r="AI203" s="23" t="s">
        <v>13</v>
      </c>
      <c r="AJ203" s="37">
        <f>IFERROR(INDEX('Kode Diskon'!$D$3:$D$9,MATCH(cadangan[[#This Row],[Kode diskon]],'Kode Diskon'!$C$3:$C$9,0)),"-")</f>
        <v>0.15</v>
      </c>
      <c r="AK203" s="23" t="s">
        <v>29</v>
      </c>
      <c r="AL203" s="23" t="s">
        <v>7</v>
      </c>
      <c r="AM203" s="23" t="s">
        <v>79</v>
      </c>
      <c r="AN203" s="55">
        <v>45021</v>
      </c>
      <c r="AO203" s="53">
        <f>DAY(cadangan[[#This Row],[Tanggal terjual]])</f>
        <v>5</v>
      </c>
      <c r="AP203" s="21" t="str">
        <f>TEXT(cadangan[[#This Row],[Tanggal terjual]],"dddd")</f>
        <v>Wednesday</v>
      </c>
      <c r="AQ203" s="23" t="str" cm="1">
        <f t="array" ref="AQ2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03" s="61">
        <f>AVERAGE(cadangan[[#This Row],[Rating A]],cadangan[[#This Row],[Rating B]],cadangan[[#This Row],[Rating C]])</f>
        <v>2</v>
      </c>
    </row>
    <row r="204" spans="1:44" x14ac:dyDescent="0.2">
      <c r="A204" s="20">
        <v>203</v>
      </c>
      <c r="B204" s="21" t="str">
        <f>_xlfn.CONCAT("ORD-",INDEX(Helper!$B$2:$B$5,MATCH(cadangan[[#This Row],[Marketplace]],Helper!$A$2:$A$5,0)),TEXT(cadangan[[#This Row],[No]],"0000"),"-",TEXT(cadangan[[#This Row],[Tanggal terjual]],"dd/mm/yy"))</f>
        <v>ORD-SP0203-06/04/23</v>
      </c>
      <c r="C204" s="39" t="s">
        <v>66</v>
      </c>
      <c r="D204" s="39" t="str">
        <f>IFERROR(INDEX(Katalog!$A$3:$A$12,MATCH(cadangan[[#This Row],[ItemID A]],Katalog!$C$3:$C$12,0)),"-")</f>
        <v>Sepatu Pria</v>
      </c>
      <c r="E204" s="39" t="str">
        <f>IFERROR(INDEX(Katalog!$B$3:$B$12,MATCH(cadangan[[#This Row],[ItemID A]],Katalog!$C$3:$C$12,0)),"-")</f>
        <v>Sandal Slip On</v>
      </c>
      <c r="F204" s="50">
        <v>5</v>
      </c>
      <c r="G204" s="50">
        <v>2</v>
      </c>
      <c r="H204" s="73">
        <f>IFERROR(INDEX(Katalog!$D$3:$D$12,MATCH(cadangan[[#This Row],[ItemID A]],Katalog!$C$3:$C$12,0))*cadangan[[#This Row],[Qty A]],0)</f>
        <v>750000</v>
      </c>
      <c r="I204" s="73">
        <f>IFERROR(cadangan[[#This Row],[Harga Normal A]]-(cadangan[[#This Row],[Harga Normal A]]*cadangan[[#This Row],[Diskon]]),cadangan[[#This Row],[Harga Normal A]])</f>
        <v>637500</v>
      </c>
      <c r="J204" s="73">
        <f>INDEX(Katalog!$F$3:$F$12,MATCH(cadangan[[#This Row],[ItemID A]],Katalog!$C$3:$C$12,0))*cadangan[[#This Row],[Qty A]]</f>
        <v>300000</v>
      </c>
      <c r="K204" s="73">
        <f>IFERROR(cadangan[[#This Row],[Harga Diskon A]]-INDEX(Katalog!$E$3:$E$12,MATCH(cadangan[[#This Row],[ItemID A]],Katalog!$C$3:$C$12,0))*cadangan[[#This Row],[Qty A]],0)</f>
        <v>187500</v>
      </c>
      <c r="L204" s="39" t="s">
        <v>59</v>
      </c>
      <c r="M204" s="39" t="str">
        <f>IFERROR(INDEX(Katalog!$A$3:$A$12,MATCH(cadangan[[#This Row],[ItemID B]],Katalog!$C$3:$C$12,0)),"-")</f>
        <v>Pakaian Wanita</v>
      </c>
      <c r="N204" s="39" t="str">
        <f>IFERROR(INDEX(Katalog!$B$3:$B$12,MATCH(cadangan[[#This Row],[ItemID B]],Katalog!$C$3:$C$12,0)),"-")</f>
        <v>Blouse</v>
      </c>
      <c r="O204" s="50">
        <v>2</v>
      </c>
      <c r="P204" s="50">
        <v>1</v>
      </c>
      <c r="Q204" s="73">
        <f>IFERROR(INDEX(Katalog!$D$3:$D$12,MATCH(cadangan[[#This Row],[ItemID B]],Katalog!$C$3:$C$12,0))*cadangan[[#This Row],[Qty B]],0)</f>
        <v>300000</v>
      </c>
      <c r="R204" s="73">
        <f>IFERROR(cadangan[[#This Row],[Harga Normal B]]-(cadangan[[#This Row],[Harga Normal B]]*cadangan[[#This Row],[Diskon]]),cadangan[[#This Row],[Harga Normal B]])</f>
        <v>255000</v>
      </c>
      <c r="S204" s="73">
        <f>IFERROR(INDEX(Katalog!$F$3:$F$12,MATCH(cadangan[[#This Row],[ItemID B]],Katalog!$C$3:$C$12,0))*cadangan[[#This Row],[Qty B]],0)</f>
        <v>100000</v>
      </c>
      <c r="T204" s="73">
        <f>IFERROR(cadangan[[#This Row],[Harga Diskon B]]-INDEX(Katalog!$E$3:$E$12,MATCH(cadangan[[#This Row],[ItemID B]],Katalog!$C$3:$C$12,0))*cadangan[[#This Row],[Qty B]],0)</f>
        <v>55000</v>
      </c>
      <c r="V204" s="39" t="str">
        <f>IFERROR(INDEX(Katalog!$A$3:$A$12,MATCH(cadangan[[#This Row],[ItemID C]],Katalog!$C$3:$C$12,0)),"-")</f>
        <v>-</v>
      </c>
      <c r="W204" s="39" t="str">
        <f>IFERROR(INDEX(Katalog!$B$3:$B$12,MATCH(cadangan[[#This Row],[ItemID C]],Katalog!$C$3:$C$12,0)),"-")</f>
        <v>-</v>
      </c>
      <c r="Z204" s="73">
        <f>IFERROR(INDEX(Katalog!$D$3:$D$12,MATCH(cadangan[[#This Row],[ItemID C]],Katalog!$C$3:$C$12,0))*cadangan[[#This Row],[Qty C]],0)</f>
        <v>0</v>
      </c>
      <c r="AA204" s="73">
        <f>IFERROR(cadangan[[#This Row],[Harga Normal C]]-(cadangan[[#This Row],[Harga Normal C]]*cadangan[[#This Row],[Diskon]]),cadangan[[#This Row],[Harga Normal C]])</f>
        <v>0</v>
      </c>
      <c r="AB204" s="73">
        <f>IFERROR(INDEX(Katalog!$F$3:$F$12,MATCH(cadangan[[#This Row],[ItemID C]],Katalog!$C$3:$C$12,0))*cadangan[[#This Row],[Qty C]],0)</f>
        <v>0</v>
      </c>
      <c r="AC204" s="73">
        <f>IFERROR(cadangan[[#This Row],[Harga Diskon C]]-INDEX(Katalog!$E$3:$E$12,MATCH(cadangan[[#This Row],[ItemID C]],Katalog!$C$3:$C$12,0))*cadangan[[#This Row],[Qty C]],0)</f>
        <v>0</v>
      </c>
      <c r="AD204" s="53">
        <f>cadangan[[#This Row],[Qty A]]+cadangan[[#This Row],[Qty B]]+cadangan[[#This Row],[Qty C]]</f>
        <v>7</v>
      </c>
      <c r="AE204" s="73">
        <f>cadangan[[#This Row],[Harga Normal A]]+cadangan[[#This Row],[Harga Normal B]]+cadangan[[#This Row],[Harga Normal C]]</f>
        <v>1050000</v>
      </c>
      <c r="AF204" s="73">
        <f>cadangan[[#This Row],[Harga Diskon A]]+cadangan[[#This Row],[Harga Diskon B]]+cadangan[[#This Row],[Harga Diskon C]]</f>
        <v>892500</v>
      </c>
      <c r="AG204" s="73">
        <f>(cadangan[[#This Row],[Profit Normal A]]+cadangan[[#This Row],[Profit Normal B]]+cadangan[[#This Row],[Profit Normal C]])</f>
        <v>400000</v>
      </c>
      <c r="AH204" s="73">
        <f>cadangan[[#This Row],[Profit Diskon A]]+cadangan[[#This Row],[Profit Diskon B]]+cadangan[[#This Row],[Profit Diskon C]]</f>
        <v>242500</v>
      </c>
      <c r="AI204" s="23" t="s">
        <v>13</v>
      </c>
      <c r="AJ204" s="37">
        <f>IFERROR(INDEX('Kode Diskon'!$D$3:$D$9,MATCH(cadangan[[#This Row],[Kode diskon]],'Kode Diskon'!$C$3:$C$9,0)),"-")</f>
        <v>0.15</v>
      </c>
      <c r="AK204" s="23" t="s">
        <v>29</v>
      </c>
      <c r="AL204" s="23" t="s">
        <v>7</v>
      </c>
      <c r="AM204" s="23" t="s">
        <v>80</v>
      </c>
      <c r="AN204" s="55">
        <v>45022</v>
      </c>
      <c r="AO204" s="53">
        <f>DAY(cadangan[[#This Row],[Tanggal terjual]])</f>
        <v>6</v>
      </c>
      <c r="AP204" s="21" t="str">
        <f>TEXT(cadangan[[#This Row],[Tanggal terjual]],"dddd")</f>
        <v>Thursday</v>
      </c>
      <c r="AQ204" s="23" t="str" cm="1">
        <f t="array" ref="AQ2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04" s="61">
        <f>AVERAGE(cadangan[[#This Row],[Rating A]],cadangan[[#This Row],[Rating B]],cadangan[[#This Row],[Rating C]])</f>
        <v>1.5</v>
      </c>
    </row>
    <row r="205" spans="1:44" x14ac:dyDescent="0.2">
      <c r="A205" s="20">
        <v>204</v>
      </c>
      <c r="B205" s="21" t="str">
        <f>_xlfn.CONCAT("ORD-",INDEX(Helper!$B$2:$B$5,MATCH(cadangan[[#This Row],[Marketplace]],Helper!$A$2:$A$5,0)),TEXT(cadangan[[#This Row],[No]],"0000"),"-",TEXT(cadangan[[#This Row],[Tanggal terjual]],"dd/mm/yy"))</f>
        <v>ORD-BL0204-29/04/23</v>
      </c>
      <c r="C205" s="39" t="s">
        <v>58</v>
      </c>
      <c r="D205" s="39" t="str">
        <f>IFERROR(INDEX(Katalog!$A$3:$A$12,MATCH(cadangan[[#This Row],[ItemID A]],Katalog!$C$3:$C$12,0)),"-")</f>
        <v>Pakaian Wanita</v>
      </c>
      <c r="E205" s="39" t="str">
        <f>IFERROR(INDEX(Katalog!$B$3:$B$12,MATCH(cadangan[[#This Row],[ItemID A]],Katalog!$C$3:$C$12,0)),"-")</f>
        <v>Dress</v>
      </c>
      <c r="F205" s="50">
        <v>2</v>
      </c>
      <c r="G205" s="50">
        <v>2</v>
      </c>
      <c r="H205" s="73">
        <f>IFERROR(INDEX(Katalog!$D$3:$D$12,MATCH(cadangan[[#This Row],[ItemID A]],Katalog!$C$3:$C$12,0))*cadangan[[#This Row],[Qty A]],0)</f>
        <v>600000</v>
      </c>
      <c r="I205" s="73">
        <f>IFERROR(cadangan[[#This Row],[Harga Normal A]]-(cadangan[[#This Row],[Harga Normal A]]*cadangan[[#This Row],[Diskon]]),cadangan[[#This Row],[Harga Normal A]])</f>
        <v>510000</v>
      </c>
      <c r="J205" s="73">
        <f>INDEX(Katalog!$F$3:$F$12,MATCH(cadangan[[#This Row],[ItemID A]],Katalog!$C$3:$C$12,0))*cadangan[[#This Row],[Qty A]]</f>
        <v>200000</v>
      </c>
      <c r="K205" s="73">
        <f>IFERROR(cadangan[[#This Row],[Harga Diskon A]]-INDEX(Katalog!$E$3:$E$12,MATCH(cadangan[[#This Row],[ItemID A]],Katalog!$C$3:$C$12,0))*cadangan[[#This Row],[Qty A]],0)</f>
        <v>110000</v>
      </c>
      <c r="L205" s="39" t="s">
        <v>60</v>
      </c>
      <c r="M205" s="39" t="str">
        <f>IFERROR(INDEX(Katalog!$A$3:$A$12,MATCH(cadangan[[#This Row],[ItemID B]],Katalog!$C$3:$C$12,0)),"-")</f>
        <v>Pakaian Wanita</v>
      </c>
      <c r="N205" s="39" t="str">
        <f>IFERROR(INDEX(Katalog!$B$3:$B$12,MATCH(cadangan[[#This Row],[ItemID B]],Katalog!$C$3:$C$12,0)),"-")</f>
        <v>Kaftan</v>
      </c>
      <c r="O205" s="50">
        <v>1</v>
      </c>
      <c r="P205" s="50">
        <v>2</v>
      </c>
      <c r="Q205" s="73">
        <f>IFERROR(INDEX(Katalog!$D$3:$D$12,MATCH(cadangan[[#This Row],[ItemID B]],Katalog!$C$3:$C$12,0))*cadangan[[#This Row],[Qty B]],0)</f>
        <v>250000</v>
      </c>
      <c r="R205" s="73">
        <f>IFERROR(cadangan[[#This Row],[Harga Normal B]]-(cadangan[[#This Row],[Harga Normal B]]*cadangan[[#This Row],[Diskon]]),cadangan[[#This Row],[Harga Normal B]])</f>
        <v>212500</v>
      </c>
      <c r="S205" s="73">
        <f>IFERROR(INDEX(Katalog!$F$3:$F$12,MATCH(cadangan[[#This Row],[ItemID B]],Katalog!$C$3:$C$12,0))*cadangan[[#This Row],[Qty B]],0)</f>
        <v>100000</v>
      </c>
      <c r="T205" s="73">
        <f>IFERROR(cadangan[[#This Row],[Harga Diskon B]]-INDEX(Katalog!$E$3:$E$12,MATCH(cadangan[[#This Row],[ItemID B]],Katalog!$C$3:$C$12,0))*cadangan[[#This Row],[Qty B]],0)</f>
        <v>62500</v>
      </c>
      <c r="V205" s="39" t="str">
        <f>IFERROR(INDEX(Katalog!$A$3:$A$12,MATCH(cadangan[[#This Row],[ItemID C]],Katalog!$C$3:$C$12,0)),"-")</f>
        <v>-</v>
      </c>
      <c r="W205" s="39" t="str">
        <f>IFERROR(INDEX(Katalog!$B$3:$B$12,MATCH(cadangan[[#This Row],[ItemID C]],Katalog!$C$3:$C$12,0)),"-")</f>
        <v>-</v>
      </c>
      <c r="Z205" s="73">
        <f>IFERROR(INDEX(Katalog!$D$3:$D$12,MATCH(cadangan[[#This Row],[ItemID C]],Katalog!$C$3:$C$12,0))*cadangan[[#This Row],[Qty C]],0)</f>
        <v>0</v>
      </c>
      <c r="AA205" s="73">
        <f>IFERROR(cadangan[[#This Row],[Harga Normal C]]-(cadangan[[#This Row],[Harga Normal C]]*cadangan[[#This Row],[Diskon]]),cadangan[[#This Row],[Harga Normal C]])</f>
        <v>0</v>
      </c>
      <c r="AB205" s="73">
        <f>IFERROR(INDEX(Katalog!$F$3:$F$12,MATCH(cadangan[[#This Row],[ItemID C]],Katalog!$C$3:$C$12,0))*cadangan[[#This Row],[Qty C]],0)</f>
        <v>0</v>
      </c>
      <c r="AC205" s="73">
        <f>IFERROR(cadangan[[#This Row],[Harga Diskon C]]-INDEX(Katalog!$E$3:$E$12,MATCH(cadangan[[#This Row],[ItemID C]],Katalog!$C$3:$C$12,0))*cadangan[[#This Row],[Qty C]],0)</f>
        <v>0</v>
      </c>
      <c r="AD205" s="53">
        <f>cadangan[[#This Row],[Qty A]]+cadangan[[#This Row],[Qty B]]+cadangan[[#This Row],[Qty C]]</f>
        <v>3</v>
      </c>
      <c r="AE205" s="73">
        <f>cadangan[[#This Row],[Harga Normal A]]+cadangan[[#This Row],[Harga Normal B]]+cadangan[[#This Row],[Harga Normal C]]</f>
        <v>850000</v>
      </c>
      <c r="AF205" s="73">
        <f>cadangan[[#This Row],[Harga Diskon A]]+cadangan[[#This Row],[Harga Diskon B]]+cadangan[[#This Row],[Harga Diskon C]]</f>
        <v>722500</v>
      </c>
      <c r="AG205" s="73">
        <f>(cadangan[[#This Row],[Profit Normal A]]+cadangan[[#This Row],[Profit Normal B]]+cadangan[[#This Row],[Profit Normal C]])</f>
        <v>300000</v>
      </c>
      <c r="AH205" s="73">
        <f>cadangan[[#This Row],[Profit Diskon A]]+cadangan[[#This Row],[Profit Diskon B]]+cadangan[[#This Row],[Profit Diskon C]]</f>
        <v>172500</v>
      </c>
      <c r="AI205" s="23" t="s">
        <v>32</v>
      </c>
      <c r="AJ205" s="37">
        <f>IFERROR(INDEX('Kode Diskon'!$D$3:$D$9,MATCH(cadangan[[#This Row],[Kode diskon]],'Kode Diskon'!$C$3:$C$9,0)),"-")</f>
        <v>0.15</v>
      </c>
      <c r="AK205" s="23" t="s">
        <v>9</v>
      </c>
      <c r="AL205" s="23" t="s">
        <v>12</v>
      </c>
      <c r="AM205" s="23" t="s">
        <v>80</v>
      </c>
      <c r="AN205" s="55">
        <v>45045</v>
      </c>
      <c r="AO205" s="53">
        <f>DAY(cadangan[[#This Row],[Tanggal terjual]])</f>
        <v>29</v>
      </c>
      <c r="AP205" s="21" t="str">
        <f>TEXT(cadangan[[#This Row],[Tanggal terjual]],"dddd")</f>
        <v>Saturday</v>
      </c>
      <c r="AQ205" s="23" t="str" cm="1">
        <f t="array" ref="AQ2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05" s="61">
        <f>AVERAGE(cadangan[[#This Row],[Rating A]],cadangan[[#This Row],[Rating B]],cadangan[[#This Row],[Rating C]])</f>
        <v>2</v>
      </c>
    </row>
    <row r="206" spans="1:44" x14ac:dyDescent="0.2">
      <c r="A206" s="20">
        <v>205</v>
      </c>
      <c r="B206" s="21" t="str">
        <f>_xlfn.CONCAT("ORD-",INDEX(Helper!$B$2:$B$5,MATCH(cadangan[[#This Row],[Marketplace]],Helper!$A$2:$A$5,0)),TEXT(cadangan[[#This Row],[No]],"0000"),"-",TEXT(cadangan[[#This Row],[Tanggal terjual]],"dd/mm/yy"))</f>
        <v>ORD-BL0205-21/04/23</v>
      </c>
      <c r="C206" s="39" t="s">
        <v>66</v>
      </c>
      <c r="D206" s="39" t="str">
        <f>IFERROR(INDEX(Katalog!$A$3:$A$12,MATCH(cadangan[[#This Row],[ItemID A]],Katalog!$C$3:$C$12,0)),"-")</f>
        <v>Sepatu Pria</v>
      </c>
      <c r="E206" s="39" t="str">
        <f>IFERROR(INDEX(Katalog!$B$3:$B$12,MATCH(cadangan[[#This Row],[ItemID A]],Katalog!$C$3:$C$12,0)),"-")</f>
        <v>Sandal Slip On</v>
      </c>
      <c r="F206" s="50">
        <v>1</v>
      </c>
      <c r="G206" s="50">
        <v>5</v>
      </c>
      <c r="H206" s="73">
        <f>IFERROR(INDEX(Katalog!$D$3:$D$12,MATCH(cadangan[[#This Row],[ItemID A]],Katalog!$C$3:$C$12,0))*cadangan[[#This Row],[Qty A]],0)</f>
        <v>150000</v>
      </c>
      <c r="I206" s="73">
        <f>IFERROR(cadangan[[#This Row],[Harga Normal A]]-(cadangan[[#This Row],[Harga Normal A]]*cadangan[[#This Row],[Diskon]]),cadangan[[#This Row],[Harga Normal A]])</f>
        <v>127500</v>
      </c>
      <c r="J206" s="73">
        <f>INDEX(Katalog!$F$3:$F$12,MATCH(cadangan[[#This Row],[ItemID A]],Katalog!$C$3:$C$12,0))*cadangan[[#This Row],[Qty A]]</f>
        <v>60000</v>
      </c>
      <c r="K206" s="73">
        <f>IFERROR(cadangan[[#This Row],[Harga Diskon A]]-INDEX(Katalog!$E$3:$E$12,MATCH(cadangan[[#This Row],[ItemID A]],Katalog!$C$3:$C$12,0))*cadangan[[#This Row],[Qty A]],0)</f>
        <v>37500</v>
      </c>
      <c r="M206" s="39" t="str">
        <f>IFERROR(INDEX(Katalog!$A$3:$A$12,MATCH(cadangan[[#This Row],[ItemID B]],Katalog!$C$3:$C$12,0)),"-")</f>
        <v>-</v>
      </c>
      <c r="N206" s="39" t="str">
        <f>IFERROR(INDEX(Katalog!$B$3:$B$12,MATCH(cadangan[[#This Row],[ItemID B]],Katalog!$C$3:$C$12,0)),"-")</f>
        <v>-</v>
      </c>
      <c r="Q206" s="73">
        <f>IFERROR(INDEX(Katalog!$D$3:$D$12,MATCH(cadangan[[#This Row],[ItemID B]],Katalog!$C$3:$C$12,0))*cadangan[[#This Row],[Qty B]],0)</f>
        <v>0</v>
      </c>
      <c r="R206" s="73">
        <f>IFERROR(cadangan[[#This Row],[Harga Normal B]]-(cadangan[[#This Row],[Harga Normal B]]*cadangan[[#This Row],[Diskon]]),cadangan[[#This Row],[Harga Normal B]])</f>
        <v>0</v>
      </c>
      <c r="S206" s="73">
        <f>IFERROR(INDEX(Katalog!$F$3:$F$12,MATCH(cadangan[[#This Row],[ItemID B]],Katalog!$C$3:$C$12,0))*cadangan[[#This Row],[Qty B]],0)</f>
        <v>0</v>
      </c>
      <c r="T206" s="73">
        <f>IFERROR(cadangan[[#This Row],[Harga Diskon B]]-INDEX(Katalog!$E$3:$E$12,MATCH(cadangan[[#This Row],[ItemID B]],Katalog!$C$3:$C$12,0))*cadangan[[#This Row],[Qty B]],0)</f>
        <v>0</v>
      </c>
      <c r="V206" s="39" t="str">
        <f>IFERROR(INDEX(Katalog!$A$3:$A$12,MATCH(cadangan[[#This Row],[ItemID C]],Katalog!$C$3:$C$12,0)),"-")</f>
        <v>-</v>
      </c>
      <c r="W206" s="39" t="str">
        <f>IFERROR(INDEX(Katalog!$B$3:$B$12,MATCH(cadangan[[#This Row],[ItemID C]],Katalog!$C$3:$C$12,0)),"-")</f>
        <v>-</v>
      </c>
      <c r="Z206" s="73">
        <f>IFERROR(INDEX(Katalog!$D$3:$D$12,MATCH(cadangan[[#This Row],[ItemID C]],Katalog!$C$3:$C$12,0))*cadangan[[#This Row],[Qty C]],0)</f>
        <v>0</v>
      </c>
      <c r="AA206" s="73">
        <f>IFERROR(cadangan[[#This Row],[Harga Normal C]]-(cadangan[[#This Row],[Harga Normal C]]*cadangan[[#This Row],[Diskon]]),cadangan[[#This Row],[Harga Normal C]])</f>
        <v>0</v>
      </c>
      <c r="AB206" s="73">
        <f>IFERROR(INDEX(Katalog!$F$3:$F$12,MATCH(cadangan[[#This Row],[ItemID C]],Katalog!$C$3:$C$12,0))*cadangan[[#This Row],[Qty C]],0)</f>
        <v>0</v>
      </c>
      <c r="AC206" s="73">
        <f>IFERROR(cadangan[[#This Row],[Harga Diskon C]]-INDEX(Katalog!$E$3:$E$12,MATCH(cadangan[[#This Row],[ItemID C]],Katalog!$C$3:$C$12,0))*cadangan[[#This Row],[Qty C]],0)</f>
        <v>0</v>
      </c>
      <c r="AD206" s="53">
        <f>cadangan[[#This Row],[Qty A]]+cadangan[[#This Row],[Qty B]]+cadangan[[#This Row],[Qty C]]</f>
        <v>1</v>
      </c>
      <c r="AE206" s="73">
        <f>cadangan[[#This Row],[Harga Normal A]]+cadangan[[#This Row],[Harga Normal B]]+cadangan[[#This Row],[Harga Normal C]]</f>
        <v>150000</v>
      </c>
      <c r="AF206" s="73">
        <f>cadangan[[#This Row],[Harga Diskon A]]+cadangan[[#This Row],[Harga Diskon B]]+cadangan[[#This Row],[Harga Diskon C]]</f>
        <v>127500</v>
      </c>
      <c r="AG206" s="73">
        <f>(cadangan[[#This Row],[Profit Normal A]]+cadangan[[#This Row],[Profit Normal B]]+cadangan[[#This Row],[Profit Normal C]])</f>
        <v>60000</v>
      </c>
      <c r="AH206" s="73">
        <f>cadangan[[#This Row],[Profit Diskon A]]+cadangan[[#This Row],[Profit Diskon B]]+cadangan[[#This Row],[Profit Diskon C]]</f>
        <v>37500</v>
      </c>
      <c r="AI206" s="23" t="s">
        <v>32</v>
      </c>
      <c r="AJ206" s="37">
        <f>IFERROR(INDEX('Kode Diskon'!$D$3:$D$9,MATCH(cadangan[[#This Row],[Kode diskon]],'Kode Diskon'!$C$3:$C$9,0)),"-")</f>
        <v>0.15</v>
      </c>
      <c r="AK206" s="23" t="s">
        <v>9</v>
      </c>
      <c r="AL206" s="23" t="s">
        <v>12</v>
      </c>
      <c r="AM206" s="23" t="s">
        <v>77</v>
      </c>
      <c r="AN206" s="55">
        <v>45037</v>
      </c>
      <c r="AO206" s="53">
        <f>DAY(cadangan[[#This Row],[Tanggal terjual]])</f>
        <v>21</v>
      </c>
      <c r="AP206" s="21" t="str">
        <f>TEXT(cadangan[[#This Row],[Tanggal terjual]],"dddd")</f>
        <v>Friday</v>
      </c>
      <c r="AQ206" s="23" t="str" cm="1">
        <f t="array" ref="AQ2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06" s="61">
        <f>AVERAGE(cadangan[[#This Row],[Rating A]],cadangan[[#This Row],[Rating B]],cadangan[[#This Row],[Rating C]])</f>
        <v>5</v>
      </c>
    </row>
    <row r="207" spans="1:44" x14ac:dyDescent="0.2">
      <c r="A207" s="20">
        <v>206</v>
      </c>
      <c r="B207" s="21" t="str">
        <f>_xlfn.CONCAT("ORD-",INDEX(Helper!$B$2:$B$5,MATCH(cadangan[[#This Row],[Marketplace]],Helper!$A$2:$A$5,0)),TEXT(cadangan[[#This Row],[No]],"0000"),"-",TEXT(cadangan[[#This Row],[Tanggal terjual]],"dd/mm/yy"))</f>
        <v>ORD-SP0206-04/04/23</v>
      </c>
      <c r="C207" s="39" t="s">
        <v>62</v>
      </c>
      <c r="D207" s="39" t="str">
        <f>IFERROR(INDEX(Katalog!$A$3:$A$12,MATCH(cadangan[[#This Row],[ItemID A]],Katalog!$C$3:$C$12,0)),"-")</f>
        <v>Pakaian Pria</v>
      </c>
      <c r="E207" s="39" t="str">
        <f>IFERROR(INDEX(Katalog!$B$3:$B$12,MATCH(cadangan[[#This Row],[ItemID A]],Katalog!$C$3:$C$12,0)),"-")</f>
        <v>Celana Pendek</v>
      </c>
      <c r="F207" s="50">
        <v>3</v>
      </c>
      <c r="G207" s="50">
        <v>4</v>
      </c>
      <c r="H207" s="73">
        <f>IFERROR(INDEX(Katalog!$D$3:$D$12,MATCH(cadangan[[#This Row],[ItemID A]],Katalog!$C$3:$C$12,0))*cadangan[[#This Row],[Qty A]],0)</f>
        <v>540000</v>
      </c>
      <c r="I207" s="73">
        <f>IFERROR(cadangan[[#This Row],[Harga Normal A]]-(cadangan[[#This Row],[Harga Normal A]]*cadangan[[#This Row],[Diskon]]),cadangan[[#This Row],[Harga Normal A]])</f>
        <v>459000</v>
      </c>
      <c r="J207" s="73">
        <f>INDEX(Katalog!$F$3:$F$12,MATCH(cadangan[[#This Row],[ItemID A]],Katalog!$C$3:$C$12,0))*cadangan[[#This Row],[Qty A]]</f>
        <v>210000</v>
      </c>
      <c r="K207" s="73">
        <f>IFERROR(cadangan[[#This Row],[Harga Diskon A]]-INDEX(Katalog!$E$3:$E$12,MATCH(cadangan[[#This Row],[ItemID A]],Katalog!$C$3:$C$12,0))*cadangan[[#This Row],[Qty A]],0)</f>
        <v>129000</v>
      </c>
      <c r="L207" s="39" t="s">
        <v>61</v>
      </c>
      <c r="M207" s="39" t="str">
        <f>IFERROR(INDEX(Katalog!$A$3:$A$12,MATCH(cadangan[[#This Row],[ItemID B]],Katalog!$C$3:$C$12,0)),"-")</f>
        <v>Pakaian Pria</v>
      </c>
      <c r="N207" s="39" t="str">
        <f>IFERROR(INDEX(Katalog!$B$3:$B$12,MATCH(cadangan[[#This Row],[ItemID B]],Katalog!$C$3:$C$12,0)),"-")</f>
        <v>Kaos Polo</v>
      </c>
      <c r="O207" s="50">
        <v>1</v>
      </c>
      <c r="P207" s="50">
        <v>4</v>
      </c>
      <c r="Q207" s="73">
        <f>IFERROR(INDEX(Katalog!$D$3:$D$12,MATCH(cadangan[[#This Row],[ItemID B]],Katalog!$C$3:$C$12,0))*cadangan[[#This Row],[Qty B]],0)</f>
        <v>200000</v>
      </c>
      <c r="R207" s="73">
        <f>IFERROR(cadangan[[#This Row],[Harga Normal B]]-(cadangan[[#This Row],[Harga Normal B]]*cadangan[[#This Row],[Diskon]]),cadangan[[#This Row],[Harga Normal B]])</f>
        <v>170000</v>
      </c>
      <c r="S207" s="73">
        <f>IFERROR(INDEX(Katalog!$F$3:$F$12,MATCH(cadangan[[#This Row],[ItemID B]],Katalog!$C$3:$C$12,0))*cadangan[[#This Row],[Qty B]],0)</f>
        <v>80000</v>
      </c>
      <c r="T207" s="73">
        <f>IFERROR(cadangan[[#This Row],[Harga Diskon B]]-INDEX(Katalog!$E$3:$E$12,MATCH(cadangan[[#This Row],[ItemID B]],Katalog!$C$3:$C$12,0))*cadangan[[#This Row],[Qty B]],0)</f>
        <v>50000</v>
      </c>
      <c r="V207" s="39" t="str">
        <f>IFERROR(INDEX(Katalog!$A$3:$A$12,MATCH(cadangan[[#This Row],[ItemID C]],Katalog!$C$3:$C$12,0)),"-")</f>
        <v>-</v>
      </c>
      <c r="W207" s="39" t="str">
        <f>IFERROR(INDEX(Katalog!$B$3:$B$12,MATCH(cadangan[[#This Row],[ItemID C]],Katalog!$C$3:$C$12,0)),"-")</f>
        <v>-</v>
      </c>
      <c r="Z207" s="73">
        <f>IFERROR(INDEX(Katalog!$D$3:$D$12,MATCH(cadangan[[#This Row],[ItemID C]],Katalog!$C$3:$C$12,0))*cadangan[[#This Row],[Qty C]],0)</f>
        <v>0</v>
      </c>
      <c r="AA207" s="73">
        <f>IFERROR(cadangan[[#This Row],[Harga Normal C]]-(cadangan[[#This Row],[Harga Normal C]]*cadangan[[#This Row],[Diskon]]),cadangan[[#This Row],[Harga Normal C]])</f>
        <v>0</v>
      </c>
      <c r="AB207" s="73">
        <f>IFERROR(INDEX(Katalog!$F$3:$F$12,MATCH(cadangan[[#This Row],[ItemID C]],Katalog!$C$3:$C$12,0))*cadangan[[#This Row],[Qty C]],0)</f>
        <v>0</v>
      </c>
      <c r="AC207" s="73">
        <f>IFERROR(cadangan[[#This Row],[Harga Diskon C]]-INDEX(Katalog!$E$3:$E$12,MATCH(cadangan[[#This Row],[ItemID C]],Katalog!$C$3:$C$12,0))*cadangan[[#This Row],[Qty C]],0)</f>
        <v>0</v>
      </c>
      <c r="AD207" s="53">
        <f>cadangan[[#This Row],[Qty A]]+cadangan[[#This Row],[Qty B]]+cadangan[[#This Row],[Qty C]]</f>
        <v>4</v>
      </c>
      <c r="AE207" s="73">
        <f>cadangan[[#This Row],[Harga Normal A]]+cadangan[[#This Row],[Harga Normal B]]+cadangan[[#This Row],[Harga Normal C]]</f>
        <v>740000</v>
      </c>
      <c r="AF207" s="73">
        <f>cadangan[[#This Row],[Harga Diskon A]]+cadangan[[#This Row],[Harga Diskon B]]+cadangan[[#This Row],[Harga Diskon C]]</f>
        <v>629000</v>
      </c>
      <c r="AG207" s="73">
        <f>(cadangan[[#This Row],[Profit Normal A]]+cadangan[[#This Row],[Profit Normal B]]+cadangan[[#This Row],[Profit Normal C]])</f>
        <v>290000</v>
      </c>
      <c r="AH207" s="73">
        <f>cadangan[[#This Row],[Profit Diskon A]]+cadangan[[#This Row],[Profit Diskon B]]+cadangan[[#This Row],[Profit Diskon C]]</f>
        <v>179000</v>
      </c>
      <c r="AI207" s="23" t="s">
        <v>13</v>
      </c>
      <c r="AJ207" s="37">
        <f>IFERROR(INDEX('Kode Diskon'!$D$3:$D$9,MATCH(cadangan[[#This Row],[Kode diskon]],'Kode Diskon'!$C$3:$C$9,0)),"-")</f>
        <v>0.15</v>
      </c>
      <c r="AK207" s="23" t="s">
        <v>29</v>
      </c>
      <c r="AL207" s="23" t="s">
        <v>7</v>
      </c>
      <c r="AM207" s="23" t="s">
        <v>77</v>
      </c>
      <c r="AN207" s="55">
        <v>45020</v>
      </c>
      <c r="AO207" s="53">
        <f>DAY(cadangan[[#This Row],[Tanggal terjual]])</f>
        <v>4</v>
      </c>
      <c r="AP207" s="21" t="str">
        <f>TEXT(cadangan[[#This Row],[Tanggal terjual]],"dddd")</f>
        <v>Tuesday</v>
      </c>
      <c r="AQ207" s="23" t="str" cm="1">
        <f t="array" ref="AQ2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07" s="61">
        <f>AVERAGE(cadangan[[#This Row],[Rating A]],cadangan[[#This Row],[Rating B]],cadangan[[#This Row],[Rating C]])</f>
        <v>4</v>
      </c>
    </row>
    <row r="208" spans="1:44" x14ac:dyDescent="0.2">
      <c r="A208" s="20">
        <v>207</v>
      </c>
      <c r="B208" s="21" t="str">
        <f>_xlfn.CONCAT("ORD-",INDEX(Helper!$B$2:$B$5,MATCH(cadangan[[#This Row],[Marketplace]],Helper!$A$2:$A$5,0)),TEXT(cadangan[[#This Row],[No]],"0000"),"-",TEXT(cadangan[[#This Row],[Tanggal terjual]],"dd/mm/yy"))</f>
        <v>ORD-SP0207-22/04/23</v>
      </c>
      <c r="C208" s="39" t="s">
        <v>65</v>
      </c>
      <c r="D208" s="39" t="str">
        <f>IFERROR(INDEX(Katalog!$A$3:$A$12,MATCH(cadangan[[#This Row],[ItemID A]],Katalog!$C$3:$C$12,0)),"-")</f>
        <v>Sepatu Pria</v>
      </c>
      <c r="E208" s="39" t="str">
        <f>IFERROR(INDEX(Katalog!$B$3:$B$12,MATCH(cadangan[[#This Row],[ItemID A]],Katalog!$C$3:$C$12,0)),"-")</f>
        <v>Sneakers</v>
      </c>
      <c r="F208" s="50">
        <v>2</v>
      </c>
      <c r="G208" s="50">
        <v>2</v>
      </c>
      <c r="H208" s="73">
        <f>IFERROR(INDEX(Katalog!$D$3:$D$12,MATCH(cadangan[[#This Row],[ItemID A]],Katalog!$C$3:$C$12,0))*cadangan[[#This Row],[Qty A]],0)</f>
        <v>1000000</v>
      </c>
      <c r="I208" s="73">
        <f>IFERROR(cadangan[[#This Row],[Harga Normal A]]-(cadangan[[#This Row],[Harga Normal A]]*cadangan[[#This Row],[Diskon]]),cadangan[[#This Row],[Harga Normal A]])</f>
        <v>800000</v>
      </c>
      <c r="J208" s="73">
        <f>INDEX(Katalog!$F$3:$F$12,MATCH(cadangan[[#This Row],[ItemID A]],Katalog!$C$3:$C$12,0))*cadangan[[#This Row],[Qty A]]</f>
        <v>400000</v>
      </c>
      <c r="K208" s="73">
        <f>IFERROR(cadangan[[#This Row],[Harga Diskon A]]-INDEX(Katalog!$E$3:$E$12,MATCH(cadangan[[#This Row],[ItemID A]],Katalog!$C$3:$C$12,0))*cadangan[[#This Row],[Qty A]],0)</f>
        <v>200000</v>
      </c>
      <c r="L208" s="39" t="s">
        <v>67</v>
      </c>
      <c r="M208" s="39" t="str">
        <f>IFERROR(INDEX(Katalog!$A$3:$A$12,MATCH(cadangan[[#This Row],[ItemID B]],Katalog!$C$3:$C$12,0)),"-")</f>
        <v>Sepatu Wanita</v>
      </c>
      <c r="N208" s="39" t="str">
        <f>IFERROR(INDEX(Katalog!$B$3:$B$12,MATCH(cadangan[[#This Row],[ItemID B]],Katalog!$C$3:$C$12,0)),"-")</f>
        <v>Flat Shoes</v>
      </c>
      <c r="O208" s="50">
        <v>1</v>
      </c>
      <c r="P208" s="50">
        <v>4</v>
      </c>
      <c r="Q208" s="73">
        <f>IFERROR(INDEX(Katalog!$D$3:$D$12,MATCH(cadangan[[#This Row],[ItemID B]],Katalog!$C$3:$C$12,0))*cadangan[[#This Row],[Qty B]],0)</f>
        <v>250000</v>
      </c>
      <c r="R208" s="73">
        <f>IFERROR(cadangan[[#This Row],[Harga Normal B]]-(cadangan[[#This Row],[Harga Normal B]]*cadangan[[#This Row],[Diskon]]),cadangan[[#This Row],[Harga Normal B]])</f>
        <v>200000</v>
      </c>
      <c r="S208" s="73">
        <f>IFERROR(INDEX(Katalog!$F$3:$F$12,MATCH(cadangan[[#This Row],[ItemID B]],Katalog!$C$3:$C$12,0))*cadangan[[#This Row],[Qty B]],0)</f>
        <v>100000</v>
      </c>
      <c r="T208" s="73">
        <f>IFERROR(cadangan[[#This Row],[Harga Diskon B]]-INDEX(Katalog!$E$3:$E$12,MATCH(cadangan[[#This Row],[ItemID B]],Katalog!$C$3:$C$12,0))*cadangan[[#This Row],[Qty B]],0)</f>
        <v>50000</v>
      </c>
      <c r="U208" s="39" t="s">
        <v>59</v>
      </c>
      <c r="V208" s="39" t="str">
        <f>IFERROR(INDEX(Katalog!$A$3:$A$12,MATCH(cadangan[[#This Row],[ItemID C]],Katalog!$C$3:$C$12,0)),"-")</f>
        <v>Pakaian Wanita</v>
      </c>
      <c r="W208" s="39" t="str">
        <f>IFERROR(INDEX(Katalog!$B$3:$B$12,MATCH(cadangan[[#This Row],[ItemID C]],Katalog!$C$3:$C$12,0)),"-")</f>
        <v>Blouse</v>
      </c>
      <c r="X208" s="50">
        <v>1</v>
      </c>
      <c r="Y208" s="50">
        <v>2</v>
      </c>
      <c r="Z208" s="73">
        <f>IFERROR(INDEX(Katalog!$D$3:$D$12,MATCH(cadangan[[#This Row],[ItemID C]],Katalog!$C$3:$C$12,0))*cadangan[[#This Row],[Qty C]],0)</f>
        <v>150000</v>
      </c>
      <c r="AA208" s="73">
        <f>IFERROR(cadangan[[#This Row],[Harga Normal C]]-(cadangan[[#This Row],[Harga Normal C]]*cadangan[[#This Row],[Diskon]]),cadangan[[#This Row],[Harga Normal C]])</f>
        <v>120000</v>
      </c>
      <c r="AB208" s="73">
        <f>IFERROR(INDEX(Katalog!$F$3:$F$12,MATCH(cadangan[[#This Row],[ItemID C]],Katalog!$C$3:$C$12,0))*cadangan[[#This Row],[Qty C]],0)</f>
        <v>50000</v>
      </c>
      <c r="AC208" s="73">
        <f>IFERROR(cadangan[[#This Row],[Harga Diskon C]]-INDEX(Katalog!$E$3:$E$12,MATCH(cadangan[[#This Row],[ItemID C]],Katalog!$C$3:$C$12,0))*cadangan[[#This Row],[Qty C]],0)</f>
        <v>20000</v>
      </c>
      <c r="AD208" s="53">
        <f>cadangan[[#This Row],[Qty A]]+cadangan[[#This Row],[Qty B]]+cadangan[[#This Row],[Qty C]]</f>
        <v>4</v>
      </c>
      <c r="AE208" s="73">
        <f>cadangan[[#This Row],[Harga Normal A]]+cadangan[[#This Row],[Harga Normal B]]+cadangan[[#This Row],[Harga Normal C]]</f>
        <v>1400000</v>
      </c>
      <c r="AF208" s="73">
        <f>cadangan[[#This Row],[Harga Diskon A]]+cadangan[[#This Row],[Harga Diskon B]]+cadangan[[#This Row],[Harga Diskon C]]</f>
        <v>1120000</v>
      </c>
      <c r="AG208" s="73">
        <f>(cadangan[[#This Row],[Profit Normal A]]+cadangan[[#This Row],[Profit Normal B]]+cadangan[[#This Row],[Profit Normal C]])</f>
        <v>550000</v>
      </c>
      <c r="AH208" s="73">
        <f>cadangan[[#This Row],[Profit Diskon A]]+cadangan[[#This Row],[Profit Diskon B]]+cadangan[[#This Row],[Profit Diskon C]]</f>
        <v>270000</v>
      </c>
      <c r="AI208" s="23" t="s">
        <v>8</v>
      </c>
      <c r="AJ208" s="37">
        <f>IFERROR(INDEX('Kode Diskon'!$D$3:$D$9,MATCH(cadangan[[#This Row],[Kode diskon]],'Kode Diskon'!$C$3:$C$9,0)),"-")</f>
        <v>0.2</v>
      </c>
      <c r="AK208" s="23" t="s">
        <v>9</v>
      </c>
      <c r="AL208" s="23" t="s">
        <v>7</v>
      </c>
      <c r="AM208" s="23" t="s">
        <v>80</v>
      </c>
      <c r="AN208" s="55">
        <v>45038</v>
      </c>
      <c r="AO208" s="53">
        <f>DAY(cadangan[[#This Row],[Tanggal terjual]])</f>
        <v>22</v>
      </c>
      <c r="AP208" s="21" t="str">
        <f>TEXT(cadangan[[#This Row],[Tanggal terjual]],"dddd")</f>
        <v>Saturday</v>
      </c>
      <c r="AQ208" s="23" t="str" cm="1">
        <f t="array" ref="AQ2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08" s="61">
        <f>AVERAGE(cadangan[[#This Row],[Rating A]],cadangan[[#This Row],[Rating B]],cadangan[[#This Row],[Rating C]])</f>
        <v>2.6666666666666665</v>
      </c>
    </row>
    <row r="209" spans="1:44" x14ac:dyDescent="0.2">
      <c r="A209" s="20">
        <v>208</v>
      </c>
      <c r="B209" s="21" t="str">
        <f>_xlfn.CONCAT("ORD-",INDEX(Helper!$B$2:$B$5,MATCH(cadangan[[#This Row],[Marketplace]],Helper!$A$2:$A$5,0)),TEXT(cadangan[[#This Row],[No]],"0000"),"-",TEXT(cadangan[[#This Row],[Tanggal terjual]],"dd/mm/yy"))</f>
        <v>ORD-TK0208-22/04/23</v>
      </c>
      <c r="C209" s="39" t="s">
        <v>59</v>
      </c>
      <c r="D209" s="39" t="str">
        <f>IFERROR(INDEX(Katalog!$A$3:$A$12,MATCH(cadangan[[#This Row],[ItemID A]],Katalog!$C$3:$C$12,0)),"-")</f>
        <v>Pakaian Wanita</v>
      </c>
      <c r="E209" s="39" t="str">
        <f>IFERROR(INDEX(Katalog!$B$3:$B$12,MATCH(cadangan[[#This Row],[ItemID A]],Katalog!$C$3:$C$12,0)),"-")</f>
        <v>Blouse</v>
      </c>
      <c r="F209" s="50">
        <v>1</v>
      </c>
      <c r="G209" s="50">
        <v>3</v>
      </c>
      <c r="H209" s="73">
        <f>IFERROR(INDEX(Katalog!$D$3:$D$12,MATCH(cadangan[[#This Row],[ItemID A]],Katalog!$C$3:$C$12,0))*cadangan[[#This Row],[Qty A]],0)</f>
        <v>150000</v>
      </c>
      <c r="I209" s="73">
        <f>IFERROR(cadangan[[#This Row],[Harga Normal A]]-(cadangan[[#This Row],[Harga Normal A]]*cadangan[[#This Row],[Diskon]]),cadangan[[#This Row],[Harga Normal A]])</f>
        <v>135000</v>
      </c>
      <c r="J209" s="73">
        <f>INDEX(Katalog!$F$3:$F$12,MATCH(cadangan[[#This Row],[ItemID A]],Katalog!$C$3:$C$12,0))*cadangan[[#This Row],[Qty A]]</f>
        <v>50000</v>
      </c>
      <c r="K209" s="73">
        <f>IFERROR(cadangan[[#This Row],[Harga Diskon A]]-INDEX(Katalog!$E$3:$E$12,MATCH(cadangan[[#This Row],[ItemID A]],Katalog!$C$3:$C$12,0))*cadangan[[#This Row],[Qty A]],0)</f>
        <v>35000</v>
      </c>
      <c r="L209" s="39" t="s">
        <v>64</v>
      </c>
      <c r="M209" s="39" t="str">
        <f>IFERROR(INDEX(Katalog!$A$3:$A$12,MATCH(cadangan[[#This Row],[ItemID B]],Katalog!$C$3:$C$12,0)),"-")</f>
        <v>Pakaian Unisex</v>
      </c>
      <c r="N209" s="39" t="str">
        <f>IFERROR(INDEX(Katalog!$B$3:$B$12,MATCH(cadangan[[#This Row],[ItemID B]],Katalog!$C$3:$C$12,0)),"-")</f>
        <v>Jaket Hoodie</v>
      </c>
      <c r="O209" s="50">
        <v>5</v>
      </c>
      <c r="P209" s="50">
        <v>5</v>
      </c>
      <c r="Q209" s="73">
        <f>IFERROR(INDEX(Katalog!$D$3:$D$12,MATCH(cadangan[[#This Row],[ItemID B]],Katalog!$C$3:$C$12,0))*cadangan[[#This Row],[Qty B]],0)</f>
        <v>1750000</v>
      </c>
      <c r="R209" s="73">
        <f>IFERROR(cadangan[[#This Row],[Harga Normal B]]-(cadangan[[#This Row],[Harga Normal B]]*cadangan[[#This Row],[Diskon]]),cadangan[[#This Row],[Harga Normal B]])</f>
        <v>1575000</v>
      </c>
      <c r="S209" s="73">
        <f>IFERROR(INDEX(Katalog!$F$3:$F$12,MATCH(cadangan[[#This Row],[ItemID B]],Katalog!$C$3:$C$12,0))*cadangan[[#This Row],[Qty B]],0)</f>
        <v>650000</v>
      </c>
      <c r="T209" s="73">
        <f>IFERROR(cadangan[[#This Row],[Harga Diskon B]]-INDEX(Katalog!$E$3:$E$12,MATCH(cadangan[[#This Row],[ItemID B]],Katalog!$C$3:$C$12,0))*cadangan[[#This Row],[Qty B]],0)</f>
        <v>475000</v>
      </c>
      <c r="V209" s="39" t="str">
        <f>IFERROR(INDEX(Katalog!$A$3:$A$12,MATCH(cadangan[[#This Row],[ItemID C]],Katalog!$C$3:$C$12,0)),"-")</f>
        <v>-</v>
      </c>
      <c r="W209" s="39" t="str">
        <f>IFERROR(INDEX(Katalog!$B$3:$B$12,MATCH(cadangan[[#This Row],[ItemID C]],Katalog!$C$3:$C$12,0)),"-")</f>
        <v>-</v>
      </c>
      <c r="Z209" s="73">
        <f>IFERROR(INDEX(Katalog!$D$3:$D$12,MATCH(cadangan[[#This Row],[ItemID C]],Katalog!$C$3:$C$12,0))*cadangan[[#This Row],[Qty C]],0)</f>
        <v>0</v>
      </c>
      <c r="AA209" s="73">
        <f>IFERROR(cadangan[[#This Row],[Harga Normal C]]-(cadangan[[#This Row],[Harga Normal C]]*cadangan[[#This Row],[Diskon]]),cadangan[[#This Row],[Harga Normal C]])</f>
        <v>0</v>
      </c>
      <c r="AB209" s="73">
        <f>IFERROR(INDEX(Katalog!$F$3:$F$12,MATCH(cadangan[[#This Row],[ItemID C]],Katalog!$C$3:$C$12,0))*cadangan[[#This Row],[Qty C]],0)</f>
        <v>0</v>
      </c>
      <c r="AC209" s="73">
        <f>IFERROR(cadangan[[#This Row],[Harga Diskon C]]-INDEX(Katalog!$E$3:$E$12,MATCH(cadangan[[#This Row],[ItemID C]],Katalog!$C$3:$C$12,0))*cadangan[[#This Row],[Qty C]],0)</f>
        <v>0</v>
      </c>
      <c r="AD209" s="53">
        <f>cadangan[[#This Row],[Qty A]]+cadangan[[#This Row],[Qty B]]+cadangan[[#This Row],[Qty C]]</f>
        <v>6</v>
      </c>
      <c r="AE209" s="73">
        <f>cadangan[[#This Row],[Harga Normal A]]+cadangan[[#This Row],[Harga Normal B]]+cadangan[[#This Row],[Harga Normal C]]</f>
        <v>1900000</v>
      </c>
      <c r="AF209" s="73">
        <f>cadangan[[#This Row],[Harga Diskon A]]+cadangan[[#This Row],[Harga Diskon B]]+cadangan[[#This Row],[Harga Diskon C]]</f>
        <v>1710000</v>
      </c>
      <c r="AG209" s="73">
        <f>(cadangan[[#This Row],[Profit Normal A]]+cadangan[[#This Row],[Profit Normal B]]+cadangan[[#This Row],[Profit Normal C]])</f>
        <v>700000</v>
      </c>
      <c r="AH209" s="73">
        <f>cadangan[[#This Row],[Profit Diskon A]]+cadangan[[#This Row],[Profit Diskon B]]+cadangan[[#This Row],[Profit Diskon C]]</f>
        <v>510000</v>
      </c>
      <c r="AI209" s="23" t="s">
        <v>31</v>
      </c>
      <c r="AJ209" s="37">
        <f>IFERROR(INDEX('Kode Diskon'!$D$3:$D$9,MATCH(cadangan[[#This Row],[Kode diskon]],'Kode Diskon'!$C$3:$C$9,0)),"-")</f>
        <v>0.1</v>
      </c>
      <c r="AK209" s="23" t="s">
        <v>9</v>
      </c>
      <c r="AL209" s="23" t="s">
        <v>10</v>
      </c>
      <c r="AM209" s="23" t="s">
        <v>77</v>
      </c>
      <c r="AN209" s="55">
        <v>45038</v>
      </c>
      <c r="AO209" s="53">
        <f>DAY(cadangan[[#This Row],[Tanggal terjual]])</f>
        <v>22</v>
      </c>
      <c r="AP209" s="21" t="str">
        <f>TEXT(cadangan[[#This Row],[Tanggal terjual]],"dddd")</f>
        <v>Saturday</v>
      </c>
      <c r="AQ209" s="23" t="str" cm="1">
        <f t="array" ref="AQ2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09" s="61">
        <f>AVERAGE(cadangan[[#This Row],[Rating A]],cadangan[[#This Row],[Rating B]],cadangan[[#This Row],[Rating C]])</f>
        <v>4</v>
      </c>
    </row>
    <row r="210" spans="1:44" x14ac:dyDescent="0.2">
      <c r="A210" s="20">
        <v>209</v>
      </c>
      <c r="B210" s="21" t="str">
        <f>_xlfn.CONCAT("ORD-",INDEX(Helper!$B$2:$B$5,MATCH(cadangan[[#This Row],[Marketplace]],Helper!$A$2:$A$5,0)),TEXT(cadangan[[#This Row],[No]],"0000"),"-",TEXT(cadangan[[#This Row],[Tanggal terjual]],"dd/mm/yy"))</f>
        <v>ORD-SP0209-05/04/23</v>
      </c>
      <c r="C210" s="39" t="s">
        <v>60</v>
      </c>
      <c r="D210" s="39" t="str">
        <f>IFERROR(INDEX(Katalog!$A$3:$A$12,MATCH(cadangan[[#This Row],[ItemID A]],Katalog!$C$3:$C$12,0)),"-")</f>
        <v>Pakaian Wanita</v>
      </c>
      <c r="E210" s="39" t="str">
        <f>IFERROR(INDEX(Katalog!$B$3:$B$12,MATCH(cadangan[[#This Row],[ItemID A]],Katalog!$C$3:$C$12,0)),"-")</f>
        <v>Kaftan</v>
      </c>
      <c r="F210" s="50">
        <v>1</v>
      </c>
      <c r="G210" s="50">
        <v>4</v>
      </c>
      <c r="H210" s="73">
        <f>IFERROR(INDEX(Katalog!$D$3:$D$12,MATCH(cadangan[[#This Row],[ItemID A]],Katalog!$C$3:$C$12,0))*cadangan[[#This Row],[Qty A]],0)</f>
        <v>250000</v>
      </c>
      <c r="I210" s="73">
        <f>IFERROR(cadangan[[#This Row],[Harga Normal A]]-(cadangan[[#This Row],[Harga Normal A]]*cadangan[[#This Row],[Diskon]]),cadangan[[#This Row],[Harga Normal A]])</f>
        <v>212500</v>
      </c>
      <c r="J210" s="73">
        <f>INDEX(Katalog!$F$3:$F$12,MATCH(cadangan[[#This Row],[ItemID A]],Katalog!$C$3:$C$12,0))*cadangan[[#This Row],[Qty A]]</f>
        <v>100000</v>
      </c>
      <c r="K210" s="73">
        <f>IFERROR(cadangan[[#This Row],[Harga Diskon A]]-INDEX(Katalog!$E$3:$E$12,MATCH(cadangan[[#This Row],[ItemID A]],Katalog!$C$3:$C$12,0))*cadangan[[#This Row],[Qty A]],0)</f>
        <v>62500</v>
      </c>
      <c r="L210" s="39" t="s">
        <v>67</v>
      </c>
      <c r="M210" s="39" t="str">
        <f>IFERROR(INDEX(Katalog!$A$3:$A$12,MATCH(cadangan[[#This Row],[ItemID B]],Katalog!$C$3:$C$12,0)),"-")</f>
        <v>Sepatu Wanita</v>
      </c>
      <c r="N210" s="39" t="str">
        <f>IFERROR(INDEX(Katalog!$B$3:$B$12,MATCH(cadangan[[#This Row],[ItemID B]],Katalog!$C$3:$C$12,0)),"-")</f>
        <v>Flat Shoes</v>
      </c>
      <c r="O210" s="50">
        <v>1</v>
      </c>
      <c r="P210" s="50">
        <v>4</v>
      </c>
      <c r="Q210" s="73">
        <f>IFERROR(INDEX(Katalog!$D$3:$D$12,MATCH(cadangan[[#This Row],[ItemID B]],Katalog!$C$3:$C$12,0))*cadangan[[#This Row],[Qty B]],0)</f>
        <v>250000</v>
      </c>
      <c r="R210" s="73">
        <f>IFERROR(cadangan[[#This Row],[Harga Normal B]]-(cadangan[[#This Row],[Harga Normal B]]*cadangan[[#This Row],[Diskon]]),cadangan[[#This Row],[Harga Normal B]])</f>
        <v>212500</v>
      </c>
      <c r="S210" s="73">
        <f>IFERROR(INDEX(Katalog!$F$3:$F$12,MATCH(cadangan[[#This Row],[ItemID B]],Katalog!$C$3:$C$12,0))*cadangan[[#This Row],[Qty B]],0)</f>
        <v>100000</v>
      </c>
      <c r="T210" s="73">
        <f>IFERROR(cadangan[[#This Row],[Harga Diskon B]]-INDEX(Katalog!$E$3:$E$12,MATCH(cadangan[[#This Row],[ItemID B]],Katalog!$C$3:$C$12,0))*cadangan[[#This Row],[Qty B]],0)</f>
        <v>62500</v>
      </c>
      <c r="V210" s="39" t="str">
        <f>IFERROR(INDEX(Katalog!$A$3:$A$12,MATCH(cadangan[[#This Row],[ItemID C]],Katalog!$C$3:$C$12,0)),"-")</f>
        <v>-</v>
      </c>
      <c r="W210" s="39" t="str">
        <f>IFERROR(INDEX(Katalog!$B$3:$B$12,MATCH(cadangan[[#This Row],[ItemID C]],Katalog!$C$3:$C$12,0)),"-")</f>
        <v>-</v>
      </c>
      <c r="Z210" s="73">
        <f>IFERROR(INDEX(Katalog!$D$3:$D$12,MATCH(cadangan[[#This Row],[ItemID C]],Katalog!$C$3:$C$12,0))*cadangan[[#This Row],[Qty C]],0)</f>
        <v>0</v>
      </c>
      <c r="AA210" s="73">
        <f>IFERROR(cadangan[[#This Row],[Harga Normal C]]-(cadangan[[#This Row],[Harga Normal C]]*cadangan[[#This Row],[Diskon]]),cadangan[[#This Row],[Harga Normal C]])</f>
        <v>0</v>
      </c>
      <c r="AB210" s="73">
        <f>IFERROR(INDEX(Katalog!$F$3:$F$12,MATCH(cadangan[[#This Row],[ItemID C]],Katalog!$C$3:$C$12,0))*cadangan[[#This Row],[Qty C]],0)</f>
        <v>0</v>
      </c>
      <c r="AC210" s="73">
        <f>IFERROR(cadangan[[#This Row],[Harga Diskon C]]-INDEX(Katalog!$E$3:$E$12,MATCH(cadangan[[#This Row],[ItemID C]],Katalog!$C$3:$C$12,0))*cadangan[[#This Row],[Qty C]],0)</f>
        <v>0</v>
      </c>
      <c r="AD210" s="53">
        <f>cadangan[[#This Row],[Qty A]]+cadangan[[#This Row],[Qty B]]+cadangan[[#This Row],[Qty C]]</f>
        <v>2</v>
      </c>
      <c r="AE210" s="73">
        <f>cadangan[[#This Row],[Harga Normal A]]+cadangan[[#This Row],[Harga Normal B]]+cadangan[[#This Row],[Harga Normal C]]</f>
        <v>500000</v>
      </c>
      <c r="AF210" s="73">
        <f>cadangan[[#This Row],[Harga Diskon A]]+cadangan[[#This Row],[Harga Diskon B]]+cadangan[[#This Row],[Harga Diskon C]]</f>
        <v>425000</v>
      </c>
      <c r="AG210" s="73">
        <f>(cadangan[[#This Row],[Profit Normal A]]+cadangan[[#This Row],[Profit Normal B]]+cadangan[[#This Row],[Profit Normal C]])</f>
        <v>200000</v>
      </c>
      <c r="AH210" s="73">
        <f>cadangan[[#This Row],[Profit Diskon A]]+cadangan[[#This Row],[Profit Diskon B]]+cadangan[[#This Row],[Profit Diskon C]]</f>
        <v>125000</v>
      </c>
      <c r="AI210" s="23" t="s">
        <v>13</v>
      </c>
      <c r="AJ210" s="37">
        <f>IFERROR(INDEX('Kode Diskon'!$D$3:$D$9,MATCH(cadangan[[#This Row],[Kode diskon]],'Kode Diskon'!$C$3:$C$9,0)),"-")</f>
        <v>0.15</v>
      </c>
      <c r="AK210" s="23" t="s">
        <v>29</v>
      </c>
      <c r="AL210" s="23" t="s">
        <v>7</v>
      </c>
      <c r="AM210" s="23" t="s">
        <v>80</v>
      </c>
      <c r="AN210" s="55">
        <v>45021</v>
      </c>
      <c r="AO210" s="53">
        <f>DAY(cadangan[[#This Row],[Tanggal terjual]])</f>
        <v>5</v>
      </c>
      <c r="AP210" s="21" t="str">
        <f>TEXT(cadangan[[#This Row],[Tanggal terjual]],"dddd")</f>
        <v>Wednesday</v>
      </c>
      <c r="AQ210" s="23" t="str" cm="1">
        <f t="array" ref="AQ2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10" s="61">
        <f>AVERAGE(cadangan[[#This Row],[Rating A]],cadangan[[#This Row],[Rating B]],cadangan[[#This Row],[Rating C]])</f>
        <v>4</v>
      </c>
    </row>
    <row r="211" spans="1:44" x14ac:dyDescent="0.2">
      <c r="A211" s="20">
        <v>210</v>
      </c>
      <c r="B211" s="21" t="str">
        <f>_xlfn.CONCAT("ORD-",INDEX(Helper!$B$2:$B$5,MATCH(cadangan[[#This Row],[Marketplace]],Helper!$A$2:$A$5,0)),TEXT(cadangan[[#This Row],[No]],"0000"),"-",TEXT(cadangan[[#This Row],[Tanggal terjual]],"dd/mm/yy"))</f>
        <v>ORD-TK0210-23/04/23</v>
      </c>
      <c r="C211" s="39" t="s">
        <v>63</v>
      </c>
      <c r="D211" s="39" t="str">
        <f>IFERROR(INDEX(Katalog!$A$3:$A$12,MATCH(cadangan[[#This Row],[ItemID A]],Katalog!$C$3:$C$12,0)),"-")</f>
        <v>Pakaian Pria</v>
      </c>
      <c r="E211" s="39" t="str">
        <f>IFERROR(INDEX(Katalog!$B$3:$B$12,MATCH(cadangan[[#This Row],[ItemID A]],Katalog!$C$3:$C$12,0)),"-")</f>
        <v>Jaket Jeans</v>
      </c>
      <c r="F211" s="50">
        <v>2</v>
      </c>
      <c r="G211" s="50">
        <v>5</v>
      </c>
      <c r="H211" s="73">
        <f>IFERROR(INDEX(Katalog!$D$3:$D$12,MATCH(cadangan[[#This Row],[ItemID A]],Katalog!$C$3:$C$12,0))*cadangan[[#This Row],[Qty A]],0)</f>
        <v>800000</v>
      </c>
      <c r="I211" s="73">
        <f>IFERROR(cadangan[[#This Row],[Harga Normal A]]-(cadangan[[#This Row],[Harga Normal A]]*cadangan[[#This Row],[Diskon]]),cadangan[[#This Row],[Harga Normal A]])</f>
        <v>720000</v>
      </c>
      <c r="J211" s="73">
        <f>INDEX(Katalog!$F$3:$F$12,MATCH(cadangan[[#This Row],[ItemID A]],Katalog!$C$3:$C$12,0))*cadangan[[#This Row],[Qty A]]</f>
        <v>300000</v>
      </c>
      <c r="K211" s="73">
        <f>IFERROR(cadangan[[#This Row],[Harga Diskon A]]-INDEX(Katalog!$E$3:$E$12,MATCH(cadangan[[#This Row],[ItemID A]],Katalog!$C$3:$C$12,0))*cadangan[[#This Row],[Qty A]],0)</f>
        <v>220000</v>
      </c>
      <c r="L211" s="39" t="s">
        <v>58</v>
      </c>
      <c r="M211" s="39" t="str">
        <f>IFERROR(INDEX(Katalog!$A$3:$A$12,MATCH(cadangan[[#This Row],[ItemID B]],Katalog!$C$3:$C$12,0)),"-")</f>
        <v>Pakaian Wanita</v>
      </c>
      <c r="N211" s="39" t="str">
        <f>IFERROR(INDEX(Katalog!$B$3:$B$12,MATCH(cadangan[[#This Row],[ItemID B]],Katalog!$C$3:$C$12,0)),"-")</f>
        <v>Dress</v>
      </c>
      <c r="O211" s="50">
        <v>1</v>
      </c>
      <c r="P211" s="50">
        <v>1</v>
      </c>
      <c r="Q211" s="73">
        <f>IFERROR(INDEX(Katalog!$D$3:$D$12,MATCH(cadangan[[#This Row],[ItemID B]],Katalog!$C$3:$C$12,0))*cadangan[[#This Row],[Qty B]],0)</f>
        <v>300000</v>
      </c>
      <c r="R211" s="73">
        <f>IFERROR(cadangan[[#This Row],[Harga Normal B]]-(cadangan[[#This Row],[Harga Normal B]]*cadangan[[#This Row],[Diskon]]),cadangan[[#This Row],[Harga Normal B]])</f>
        <v>270000</v>
      </c>
      <c r="S211" s="73">
        <f>IFERROR(INDEX(Katalog!$F$3:$F$12,MATCH(cadangan[[#This Row],[ItemID B]],Katalog!$C$3:$C$12,0))*cadangan[[#This Row],[Qty B]],0)</f>
        <v>100000</v>
      </c>
      <c r="T211" s="73">
        <f>IFERROR(cadangan[[#This Row],[Harga Diskon B]]-INDEX(Katalog!$E$3:$E$12,MATCH(cadangan[[#This Row],[ItemID B]],Katalog!$C$3:$C$12,0))*cadangan[[#This Row],[Qty B]],0)</f>
        <v>70000</v>
      </c>
      <c r="U211" s="39" t="s">
        <v>59</v>
      </c>
      <c r="V211" s="39" t="str">
        <f>IFERROR(INDEX(Katalog!$A$3:$A$12,MATCH(cadangan[[#This Row],[ItemID C]],Katalog!$C$3:$C$12,0)),"-")</f>
        <v>Pakaian Wanita</v>
      </c>
      <c r="W211" s="39" t="str">
        <f>IFERROR(INDEX(Katalog!$B$3:$B$12,MATCH(cadangan[[#This Row],[ItemID C]],Katalog!$C$3:$C$12,0)),"-")</f>
        <v>Blouse</v>
      </c>
      <c r="X211" s="50">
        <v>2</v>
      </c>
      <c r="Y211" s="50">
        <v>2</v>
      </c>
      <c r="Z211" s="73">
        <f>IFERROR(INDEX(Katalog!$D$3:$D$12,MATCH(cadangan[[#This Row],[ItemID C]],Katalog!$C$3:$C$12,0))*cadangan[[#This Row],[Qty C]],0)</f>
        <v>300000</v>
      </c>
      <c r="AA211" s="73">
        <f>IFERROR(cadangan[[#This Row],[Harga Normal C]]-(cadangan[[#This Row],[Harga Normal C]]*cadangan[[#This Row],[Diskon]]),cadangan[[#This Row],[Harga Normal C]])</f>
        <v>270000</v>
      </c>
      <c r="AB211" s="73">
        <f>IFERROR(INDEX(Katalog!$F$3:$F$12,MATCH(cadangan[[#This Row],[ItemID C]],Katalog!$C$3:$C$12,0))*cadangan[[#This Row],[Qty C]],0)</f>
        <v>100000</v>
      </c>
      <c r="AC211" s="73">
        <f>IFERROR(cadangan[[#This Row],[Harga Diskon C]]-INDEX(Katalog!$E$3:$E$12,MATCH(cadangan[[#This Row],[ItemID C]],Katalog!$C$3:$C$12,0))*cadangan[[#This Row],[Qty C]],0)</f>
        <v>70000</v>
      </c>
      <c r="AD211" s="53">
        <f>cadangan[[#This Row],[Qty A]]+cadangan[[#This Row],[Qty B]]+cadangan[[#This Row],[Qty C]]</f>
        <v>5</v>
      </c>
      <c r="AE211" s="73">
        <f>cadangan[[#This Row],[Harga Normal A]]+cadangan[[#This Row],[Harga Normal B]]+cadangan[[#This Row],[Harga Normal C]]</f>
        <v>1400000</v>
      </c>
      <c r="AF211" s="73">
        <f>cadangan[[#This Row],[Harga Diskon A]]+cadangan[[#This Row],[Harga Diskon B]]+cadangan[[#This Row],[Harga Diskon C]]</f>
        <v>1260000</v>
      </c>
      <c r="AG211" s="73">
        <f>(cadangan[[#This Row],[Profit Normal A]]+cadangan[[#This Row],[Profit Normal B]]+cadangan[[#This Row],[Profit Normal C]])</f>
        <v>500000</v>
      </c>
      <c r="AH211" s="73">
        <f>cadangan[[#This Row],[Profit Diskon A]]+cadangan[[#This Row],[Profit Diskon B]]+cadangan[[#This Row],[Profit Diskon C]]</f>
        <v>360000</v>
      </c>
      <c r="AI211" s="23" t="s">
        <v>31</v>
      </c>
      <c r="AJ211" s="37">
        <f>IFERROR(INDEX('Kode Diskon'!$D$3:$D$9,MATCH(cadangan[[#This Row],[Kode diskon]],'Kode Diskon'!$C$3:$C$9,0)),"-")</f>
        <v>0.1</v>
      </c>
      <c r="AK211" s="23" t="s">
        <v>9</v>
      </c>
      <c r="AL211" s="23" t="s">
        <v>10</v>
      </c>
      <c r="AM211" s="23" t="s">
        <v>80</v>
      </c>
      <c r="AN211" s="55">
        <v>45039</v>
      </c>
      <c r="AO211" s="53">
        <f>DAY(cadangan[[#This Row],[Tanggal terjual]])</f>
        <v>23</v>
      </c>
      <c r="AP211" s="21" t="str">
        <f>TEXT(cadangan[[#This Row],[Tanggal terjual]],"dddd")</f>
        <v>Sunday</v>
      </c>
      <c r="AQ211" s="23" t="str" cm="1">
        <f t="array" ref="AQ2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11" s="61">
        <f>AVERAGE(cadangan[[#This Row],[Rating A]],cadangan[[#This Row],[Rating B]],cadangan[[#This Row],[Rating C]])</f>
        <v>2.6666666666666665</v>
      </c>
    </row>
    <row r="212" spans="1:44" x14ac:dyDescent="0.2">
      <c r="A212" s="20">
        <v>211</v>
      </c>
      <c r="B212" s="21" t="str">
        <f>_xlfn.CONCAT("ORD-",INDEX(Helper!$B$2:$B$5,MATCH(cadangan[[#This Row],[Marketplace]],Helper!$A$2:$A$5,0)),TEXT(cadangan[[#This Row],[No]],"0000"),"-",TEXT(cadangan[[#This Row],[Tanggal terjual]],"dd/mm/yy"))</f>
        <v>ORD-TK0211-08/04/23</v>
      </c>
      <c r="C212" s="39" t="s">
        <v>65</v>
      </c>
      <c r="D212" s="39" t="str">
        <f>IFERROR(INDEX(Katalog!$A$3:$A$12,MATCH(cadangan[[#This Row],[ItemID A]],Katalog!$C$3:$C$12,0)),"-")</f>
        <v>Sepatu Pria</v>
      </c>
      <c r="E212" s="39" t="str">
        <f>IFERROR(INDEX(Katalog!$B$3:$B$12,MATCH(cadangan[[#This Row],[ItemID A]],Katalog!$C$3:$C$12,0)),"-")</f>
        <v>Sneakers</v>
      </c>
      <c r="F212" s="50">
        <v>4</v>
      </c>
      <c r="G212" s="50">
        <v>1</v>
      </c>
      <c r="H212" s="73">
        <f>IFERROR(INDEX(Katalog!$D$3:$D$12,MATCH(cadangan[[#This Row],[ItemID A]],Katalog!$C$3:$C$12,0))*cadangan[[#This Row],[Qty A]],0)</f>
        <v>2000000</v>
      </c>
      <c r="I212" s="73">
        <f>IFERROR(cadangan[[#This Row],[Harga Normal A]]-(cadangan[[#This Row],[Harga Normal A]]*cadangan[[#This Row],[Diskon]]),cadangan[[#This Row],[Harga Normal A]])</f>
        <v>2000000</v>
      </c>
      <c r="J212" s="73">
        <f>INDEX(Katalog!$F$3:$F$12,MATCH(cadangan[[#This Row],[ItemID A]],Katalog!$C$3:$C$12,0))*cadangan[[#This Row],[Qty A]]</f>
        <v>800000</v>
      </c>
      <c r="K212" s="73">
        <f>IFERROR(cadangan[[#This Row],[Harga Diskon A]]-INDEX(Katalog!$E$3:$E$12,MATCH(cadangan[[#This Row],[ItemID A]],Katalog!$C$3:$C$12,0))*cadangan[[#This Row],[Qty A]],0)</f>
        <v>800000</v>
      </c>
      <c r="L212" s="39" t="s">
        <v>64</v>
      </c>
      <c r="M212" s="39" t="str">
        <f>IFERROR(INDEX(Katalog!$A$3:$A$12,MATCH(cadangan[[#This Row],[ItemID B]],Katalog!$C$3:$C$12,0)),"-")</f>
        <v>Pakaian Unisex</v>
      </c>
      <c r="N212" s="39" t="str">
        <f>IFERROR(INDEX(Katalog!$B$3:$B$12,MATCH(cadangan[[#This Row],[ItemID B]],Katalog!$C$3:$C$12,0)),"-")</f>
        <v>Jaket Hoodie</v>
      </c>
      <c r="O212" s="50">
        <v>3</v>
      </c>
      <c r="P212" s="50">
        <v>4</v>
      </c>
      <c r="Q212" s="73">
        <f>IFERROR(INDEX(Katalog!$D$3:$D$12,MATCH(cadangan[[#This Row],[ItemID B]],Katalog!$C$3:$C$12,0))*cadangan[[#This Row],[Qty B]],0)</f>
        <v>1050000</v>
      </c>
      <c r="R212" s="73">
        <f>IFERROR(cadangan[[#This Row],[Harga Normal B]]-(cadangan[[#This Row],[Harga Normal B]]*cadangan[[#This Row],[Diskon]]),cadangan[[#This Row],[Harga Normal B]])</f>
        <v>1050000</v>
      </c>
      <c r="S212" s="73">
        <f>IFERROR(INDEX(Katalog!$F$3:$F$12,MATCH(cadangan[[#This Row],[ItemID B]],Katalog!$C$3:$C$12,0))*cadangan[[#This Row],[Qty B]],0)</f>
        <v>390000</v>
      </c>
      <c r="T212" s="73">
        <f>IFERROR(cadangan[[#This Row],[Harga Diskon B]]-INDEX(Katalog!$E$3:$E$12,MATCH(cadangan[[#This Row],[ItemID B]],Katalog!$C$3:$C$12,0))*cadangan[[#This Row],[Qty B]],0)</f>
        <v>390000</v>
      </c>
      <c r="V212" s="39" t="str">
        <f>IFERROR(INDEX(Katalog!$A$3:$A$12,MATCH(cadangan[[#This Row],[ItemID C]],Katalog!$C$3:$C$12,0)),"-")</f>
        <v>-</v>
      </c>
      <c r="W212" s="39" t="str">
        <f>IFERROR(INDEX(Katalog!$B$3:$B$12,MATCH(cadangan[[#This Row],[ItemID C]],Katalog!$C$3:$C$12,0)),"-")</f>
        <v>-</v>
      </c>
      <c r="Z212" s="73">
        <f>IFERROR(INDEX(Katalog!$D$3:$D$12,MATCH(cadangan[[#This Row],[ItemID C]],Katalog!$C$3:$C$12,0))*cadangan[[#This Row],[Qty C]],0)</f>
        <v>0</v>
      </c>
      <c r="AA212" s="73">
        <f>IFERROR(cadangan[[#This Row],[Harga Normal C]]-(cadangan[[#This Row],[Harga Normal C]]*cadangan[[#This Row],[Diskon]]),cadangan[[#This Row],[Harga Normal C]])</f>
        <v>0</v>
      </c>
      <c r="AB212" s="73">
        <f>IFERROR(INDEX(Katalog!$F$3:$F$12,MATCH(cadangan[[#This Row],[ItemID C]],Katalog!$C$3:$C$12,0))*cadangan[[#This Row],[Qty C]],0)</f>
        <v>0</v>
      </c>
      <c r="AC212" s="73">
        <f>IFERROR(cadangan[[#This Row],[Harga Diskon C]]-INDEX(Katalog!$E$3:$E$12,MATCH(cadangan[[#This Row],[ItemID C]],Katalog!$C$3:$C$12,0))*cadangan[[#This Row],[Qty C]],0)</f>
        <v>0</v>
      </c>
      <c r="AD212" s="53">
        <f>cadangan[[#This Row],[Qty A]]+cadangan[[#This Row],[Qty B]]+cadangan[[#This Row],[Qty C]]</f>
        <v>7</v>
      </c>
      <c r="AE212" s="73">
        <f>cadangan[[#This Row],[Harga Normal A]]+cadangan[[#This Row],[Harga Normal B]]+cadangan[[#This Row],[Harga Normal C]]</f>
        <v>3050000</v>
      </c>
      <c r="AF212" s="73">
        <f>cadangan[[#This Row],[Harga Diskon A]]+cadangan[[#This Row],[Harga Diskon B]]+cadangan[[#This Row],[Harga Diskon C]]</f>
        <v>3050000</v>
      </c>
      <c r="AG212" s="73">
        <f>(cadangan[[#This Row],[Profit Normal A]]+cadangan[[#This Row],[Profit Normal B]]+cadangan[[#This Row],[Profit Normal C]])</f>
        <v>1190000</v>
      </c>
      <c r="AH212" s="73">
        <f>cadangan[[#This Row],[Profit Diskon A]]+cadangan[[#This Row],[Profit Diskon B]]+cadangan[[#This Row],[Profit Diskon C]]</f>
        <v>1190000</v>
      </c>
      <c r="AI212" s="23" t="s">
        <v>290</v>
      </c>
      <c r="AJ212" s="37" t="str">
        <f>IFERROR(INDEX('Kode Diskon'!$D$3:$D$9,MATCH(cadangan[[#This Row],[Kode diskon]],'Kode Diskon'!$C$3:$C$9,0)),"-")</f>
        <v>-</v>
      </c>
      <c r="AK212" s="23" t="s">
        <v>290</v>
      </c>
      <c r="AL212" s="23" t="s">
        <v>10</v>
      </c>
      <c r="AM212" s="23" t="s">
        <v>80</v>
      </c>
      <c r="AN212" s="55">
        <v>45024</v>
      </c>
      <c r="AO212" s="53">
        <f>DAY(cadangan[[#This Row],[Tanggal terjual]])</f>
        <v>8</v>
      </c>
      <c r="AP212" s="21" t="str">
        <f>TEXT(cadangan[[#This Row],[Tanggal terjual]],"dddd")</f>
        <v>Saturday</v>
      </c>
      <c r="AQ212" s="23" t="str" cm="1">
        <f t="array" ref="AQ2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12" s="61">
        <f>AVERAGE(cadangan[[#This Row],[Rating A]],cadangan[[#This Row],[Rating B]],cadangan[[#This Row],[Rating C]])</f>
        <v>2.5</v>
      </c>
    </row>
    <row r="213" spans="1:44" x14ac:dyDescent="0.2">
      <c r="A213" s="20">
        <v>212</v>
      </c>
      <c r="B213" s="21" t="str">
        <f>_xlfn.CONCAT("ORD-",INDEX(Helper!$B$2:$B$5,MATCH(cadangan[[#This Row],[Marketplace]],Helper!$A$2:$A$5,0)),TEXT(cadangan[[#This Row],[No]],"0000"),"-",TEXT(cadangan[[#This Row],[Tanggal terjual]],"dd/mm/yy"))</f>
        <v>ORD-BB0212-06/04/23</v>
      </c>
      <c r="C213" s="39" t="s">
        <v>60</v>
      </c>
      <c r="D213" s="39" t="str">
        <f>IFERROR(INDEX(Katalog!$A$3:$A$12,MATCH(cadangan[[#This Row],[ItemID A]],Katalog!$C$3:$C$12,0)),"-")</f>
        <v>Pakaian Wanita</v>
      </c>
      <c r="E213" s="39" t="str">
        <f>IFERROR(INDEX(Katalog!$B$3:$B$12,MATCH(cadangan[[#This Row],[ItemID A]],Katalog!$C$3:$C$12,0)),"-")</f>
        <v>Kaftan</v>
      </c>
      <c r="F213" s="50">
        <v>1</v>
      </c>
      <c r="G213" s="50">
        <v>5</v>
      </c>
      <c r="H213" s="73">
        <f>IFERROR(INDEX(Katalog!$D$3:$D$12,MATCH(cadangan[[#This Row],[ItemID A]],Katalog!$C$3:$C$12,0))*cadangan[[#This Row],[Qty A]],0)</f>
        <v>250000</v>
      </c>
      <c r="I213" s="73">
        <f>IFERROR(cadangan[[#This Row],[Harga Normal A]]-(cadangan[[#This Row],[Harga Normal A]]*cadangan[[#This Row],[Diskon]]),cadangan[[#This Row],[Harga Normal A]])</f>
        <v>212500</v>
      </c>
      <c r="J213" s="73">
        <f>INDEX(Katalog!$F$3:$F$12,MATCH(cadangan[[#This Row],[ItemID A]],Katalog!$C$3:$C$12,0))*cadangan[[#This Row],[Qty A]]</f>
        <v>100000</v>
      </c>
      <c r="K213" s="73">
        <f>IFERROR(cadangan[[#This Row],[Harga Diskon A]]-INDEX(Katalog!$E$3:$E$12,MATCH(cadangan[[#This Row],[ItemID A]],Katalog!$C$3:$C$12,0))*cadangan[[#This Row],[Qty A]],0)</f>
        <v>62500</v>
      </c>
      <c r="M213" s="39" t="str">
        <f>IFERROR(INDEX(Katalog!$A$3:$A$12,MATCH(cadangan[[#This Row],[ItemID B]],Katalog!$C$3:$C$12,0)),"-")</f>
        <v>-</v>
      </c>
      <c r="N213" s="39" t="str">
        <f>IFERROR(INDEX(Katalog!$B$3:$B$12,MATCH(cadangan[[#This Row],[ItemID B]],Katalog!$C$3:$C$12,0)),"-")</f>
        <v>-</v>
      </c>
      <c r="Q213" s="73">
        <f>IFERROR(INDEX(Katalog!$D$3:$D$12,MATCH(cadangan[[#This Row],[ItemID B]],Katalog!$C$3:$C$12,0))*cadangan[[#This Row],[Qty B]],0)</f>
        <v>0</v>
      </c>
      <c r="R213" s="73">
        <f>IFERROR(cadangan[[#This Row],[Harga Normal B]]-(cadangan[[#This Row],[Harga Normal B]]*cadangan[[#This Row],[Diskon]]),cadangan[[#This Row],[Harga Normal B]])</f>
        <v>0</v>
      </c>
      <c r="S213" s="73">
        <f>IFERROR(INDEX(Katalog!$F$3:$F$12,MATCH(cadangan[[#This Row],[ItemID B]],Katalog!$C$3:$C$12,0))*cadangan[[#This Row],[Qty B]],0)</f>
        <v>0</v>
      </c>
      <c r="T213" s="73">
        <f>IFERROR(cadangan[[#This Row],[Harga Diskon B]]-INDEX(Katalog!$E$3:$E$12,MATCH(cadangan[[#This Row],[ItemID B]],Katalog!$C$3:$C$12,0))*cadangan[[#This Row],[Qty B]],0)</f>
        <v>0</v>
      </c>
      <c r="V213" s="39" t="str">
        <f>IFERROR(INDEX(Katalog!$A$3:$A$12,MATCH(cadangan[[#This Row],[ItemID C]],Katalog!$C$3:$C$12,0)),"-")</f>
        <v>-</v>
      </c>
      <c r="W213" s="39" t="str">
        <f>IFERROR(INDEX(Katalog!$B$3:$B$12,MATCH(cadangan[[#This Row],[ItemID C]],Katalog!$C$3:$C$12,0)),"-")</f>
        <v>-</v>
      </c>
      <c r="Z213" s="73">
        <f>IFERROR(INDEX(Katalog!$D$3:$D$12,MATCH(cadangan[[#This Row],[ItemID C]],Katalog!$C$3:$C$12,0))*cadangan[[#This Row],[Qty C]],0)</f>
        <v>0</v>
      </c>
      <c r="AA213" s="73">
        <f>IFERROR(cadangan[[#This Row],[Harga Normal C]]-(cadangan[[#This Row],[Harga Normal C]]*cadangan[[#This Row],[Diskon]]),cadangan[[#This Row],[Harga Normal C]])</f>
        <v>0</v>
      </c>
      <c r="AB213" s="73">
        <f>IFERROR(INDEX(Katalog!$F$3:$F$12,MATCH(cadangan[[#This Row],[ItemID C]],Katalog!$C$3:$C$12,0))*cadangan[[#This Row],[Qty C]],0)</f>
        <v>0</v>
      </c>
      <c r="AC213" s="73">
        <f>IFERROR(cadangan[[#This Row],[Harga Diskon C]]-INDEX(Katalog!$E$3:$E$12,MATCH(cadangan[[#This Row],[ItemID C]],Katalog!$C$3:$C$12,0))*cadangan[[#This Row],[Qty C]],0)</f>
        <v>0</v>
      </c>
      <c r="AD213" s="53">
        <f>cadangan[[#This Row],[Qty A]]+cadangan[[#This Row],[Qty B]]+cadangan[[#This Row],[Qty C]]</f>
        <v>1</v>
      </c>
      <c r="AE213" s="73">
        <f>cadangan[[#This Row],[Harga Normal A]]+cadangan[[#This Row],[Harga Normal B]]+cadangan[[#This Row],[Harga Normal C]]</f>
        <v>250000</v>
      </c>
      <c r="AF213" s="73">
        <f>cadangan[[#This Row],[Harga Diskon A]]+cadangan[[#This Row],[Harga Diskon B]]+cadangan[[#This Row],[Harga Diskon C]]</f>
        <v>212500</v>
      </c>
      <c r="AG213" s="73">
        <f>(cadangan[[#This Row],[Profit Normal A]]+cadangan[[#This Row],[Profit Normal B]]+cadangan[[#This Row],[Profit Normal C]])</f>
        <v>100000</v>
      </c>
      <c r="AH213" s="73">
        <f>cadangan[[#This Row],[Profit Diskon A]]+cadangan[[#This Row],[Profit Diskon B]]+cadangan[[#This Row],[Profit Diskon C]]</f>
        <v>62500</v>
      </c>
      <c r="AI213" s="23" t="s">
        <v>28</v>
      </c>
      <c r="AJ213" s="37">
        <f>IFERROR(INDEX('Kode Diskon'!$D$3:$D$9,MATCH(cadangan[[#This Row],[Kode diskon]],'Kode Diskon'!$C$3:$C$9,0)),"-")</f>
        <v>0.15</v>
      </c>
      <c r="AK213" s="23" t="s">
        <v>29</v>
      </c>
      <c r="AL213" s="23" t="s">
        <v>14</v>
      </c>
      <c r="AM213" s="23" t="s">
        <v>76</v>
      </c>
      <c r="AN213" s="55">
        <v>45022</v>
      </c>
      <c r="AO213" s="53">
        <f>DAY(cadangan[[#This Row],[Tanggal terjual]])</f>
        <v>6</v>
      </c>
      <c r="AP213" s="21" t="str">
        <f>TEXT(cadangan[[#This Row],[Tanggal terjual]],"dddd")</f>
        <v>Thursday</v>
      </c>
      <c r="AQ213" s="23" t="str" cm="1">
        <f t="array" ref="AQ2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13" s="61">
        <f>AVERAGE(cadangan[[#This Row],[Rating A]],cadangan[[#This Row],[Rating B]],cadangan[[#This Row],[Rating C]])</f>
        <v>5</v>
      </c>
    </row>
    <row r="214" spans="1:44" x14ac:dyDescent="0.2">
      <c r="A214" s="20">
        <v>213</v>
      </c>
      <c r="B214" s="21" t="str">
        <f>_xlfn.CONCAT("ORD-",INDEX(Helper!$B$2:$B$5,MATCH(cadangan[[#This Row],[Marketplace]],Helper!$A$2:$A$5,0)),TEXT(cadangan[[#This Row],[No]],"0000"),"-",TEXT(cadangan[[#This Row],[Tanggal terjual]],"dd/mm/yy"))</f>
        <v>ORD-BB0213-06/04/23</v>
      </c>
      <c r="C214" s="39" t="s">
        <v>59</v>
      </c>
      <c r="D214" s="39" t="str">
        <f>IFERROR(INDEX(Katalog!$A$3:$A$12,MATCH(cadangan[[#This Row],[ItemID A]],Katalog!$C$3:$C$12,0)),"-")</f>
        <v>Pakaian Wanita</v>
      </c>
      <c r="E214" s="39" t="str">
        <f>IFERROR(INDEX(Katalog!$B$3:$B$12,MATCH(cadangan[[#This Row],[ItemID A]],Katalog!$C$3:$C$12,0)),"-")</f>
        <v>Blouse</v>
      </c>
      <c r="F214" s="50">
        <v>3</v>
      </c>
      <c r="G214" s="50">
        <v>5</v>
      </c>
      <c r="H214" s="73">
        <f>IFERROR(INDEX(Katalog!$D$3:$D$12,MATCH(cadangan[[#This Row],[ItemID A]],Katalog!$C$3:$C$12,0))*cadangan[[#This Row],[Qty A]],0)</f>
        <v>450000</v>
      </c>
      <c r="I214" s="73">
        <f>IFERROR(cadangan[[#This Row],[Harga Normal A]]-(cadangan[[#This Row],[Harga Normal A]]*cadangan[[#This Row],[Diskon]]),cadangan[[#This Row],[Harga Normal A]])</f>
        <v>382500</v>
      </c>
      <c r="J214" s="73">
        <f>INDEX(Katalog!$F$3:$F$12,MATCH(cadangan[[#This Row],[ItemID A]],Katalog!$C$3:$C$12,0))*cadangan[[#This Row],[Qty A]]</f>
        <v>150000</v>
      </c>
      <c r="K214" s="73">
        <f>IFERROR(cadangan[[#This Row],[Harga Diskon A]]-INDEX(Katalog!$E$3:$E$12,MATCH(cadangan[[#This Row],[ItemID A]],Katalog!$C$3:$C$12,0))*cadangan[[#This Row],[Qty A]],0)</f>
        <v>82500</v>
      </c>
      <c r="L214" s="39" t="s">
        <v>60</v>
      </c>
      <c r="M214" s="39" t="str">
        <f>IFERROR(INDEX(Katalog!$A$3:$A$12,MATCH(cadangan[[#This Row],[ItemID B]],Katalog!$C$3:$C$12,0)),"-")</f>
        <v>Pakaian Wanita</v>
      </c>
      <c r="N214" s="39" t="str">
        <f>IFERROR(INDEX(Katalog!$B$3:$B$12,MATCH(cadangan[[#This Row],[ItemID B]],Katalog!$C$3:$C$12,0)),"-")</f>
        <v>Kaftan</v>
      </c>
      <c r="O214" s="50">
        <v>1</v>
      </c>
      <c r="P214" s="50">
        <v>5</v>
      </c>
      <c r="Q214" s="73">
        <f>IFERROR(INDEX(Katalog!$D$3:$D$12,MATCH(cadangan[[#This Row],[ItemID B]],Katalog!$C$3:$C$12,0))*cadangan[[#This Row],[Qty B]],0)</f>
        <v>250000</v>
      </c>
      <c r="R214" s="73">
        <f>IFERROR(cadangan[[#This Row],[Harga Normal B]]-(cadangan[[#This Row],[Harga Normal B]]*cadangan[[#This Row],[Diskon]]),cadangan[[#This Row],[Harga Normal B]])</f>
        <v>212500</v>
      </c>
      <c r="S214" s="73">
        <f>IFERROR(INDEX(Katalog!$F$3:$F$12,MATCH(cadangan[[#This Row],[ItemID B]],Katalog!$C$3:$C$12,0))*cadangan[[#This Row],[Qty B]],0)</f>
        <v>100000</v>
      </c>
      <c r="T214" s="73">
        <f>IFERROR(cadangan[[#This Row],[Harga Diskon B]]-INDEX(Katalog!$E$3:$E$12,MATCH(cadangan[[#This Row],[ItemID B]],Katalog!$C$3:$C$12,0))*cadangan[[#This Row],[Qty B]],0)</f>
        <v>62500</v>
      </c>
      <c r="V214" s="39" t="str">
        <f>IFERROR(INDEX(Katalog!$A$3:$A$12,MATCH(cadangan[[#This Row],[ItemID C]],Katalog!$C$3:$C$12,0)),"-")</f>
        <v>-</v>
      </c>
      <c r="W214" s="39" t="str">
        <f>IFERROR(INDEX(Katalog!$B$3:$B$12,MATCH(cadangan[[#This Row],[ItemID C]],Katalog!$C$3:$C$12,0)),"-")</f>
        <v>-</v>
      </c>
      <c r="Z214" s="73">
        <f>IFERROR(INDEX(Katalog!$D$3:$D$12,MATCH(cadangan[[#This Row],[ItemID C]],Katalog!$C$3:$C$12,0))*cadangan[[#This Row],[Qty C]],0)</f>
        <v>0</v>
      </c>
      <c r="AA214" s="73">
        <f>IFERROR(cadangan[[#This Row],[Harga Normal C]]-(cadangan[[#This Row],[Harga Normal C]]*cadangan[[#This Row],[Diskon]]),cadangan[[#This Row],[Harga Normal C]])</f>
        <v>0</v>
      </c>
      <c r="AB214" s="73">
        <f>IFERROR(INDEX(Katalog!$F$3:$F$12,MATCH(cadangan[[#This Row],[ItemID C]],Katalog!$C$3:$C$12,0))*cadangan[[#This Row],[Qty C]],0)</f>
        <v>0</v>
      </c>
      <c r="AC214" s="73">
        <f>IFERROR(cadangan[[#This Row],[Harga Diskon C]]-INDEX(Katalog!$E$3:$E$12,MATCH(cadangan[[#This Row],[ItemID C]],Katalog!$C$3:$C$12,0))*cadangan[[#This Row],[Qty C]],0)</f>
        <v>0</v>
      </c>
      <c r="AD214" s="53">
        <f>cadangan[[#This Row],[Qty A]]+cadangan[[#This Row],[Qty B]]+cadangan[[#This Row],[Qty C]]</f>
        <v>4</v>
      </c>
      <c r="AE214" s="73">
        <f>cadangan[[#This Row],[Harga Normal A]]+cadangan[[#This Row],[Harga Normal B]]+cadangan[[#This Row],[Harga Normal C]]</f>
        <v>700000</v>
      </c>
      <c r="AF214" s="73">
        <f>cadangan[[#This Row],[Harga Diskon A]]+cadangan[[#This Row],[Harga Diskon B]]+cadangan[[#This Row],[Harga Diskon C]]</f>
        <v>595000</v>
      </c>
      <c r="AG214" s="73">
        <f>(cadangan[[#This Row],[Profit Normal A]]+cadangan[[#This Row],[Profit Normal B]]+cadangan[[#This Row],[Profit Normal C]])</f>
        <v>250000</v>
      </c>
      <c r="AH214" s="73">
        <f>cadangan[[#This Row],[Profit Diskon A]]+cadangan[[#This Row],[Profit Diskon B]]+cadangan[[#This Row],[Profit Diskon C]]</f>
        <v>145000</v>
      </c>
      <c r="AI214" s="23" t="s">
        <v>28</v>
      </c>
      <c r="AJ214" s="37">
        <f>IFERROR(INDEX('Kode Diskon'!$D$3:$D$9,MATCH(cadangan[[#This Row],[Kode diskon]],'Kode Diskon'!$C$3:$C$9,0)),"-")</f>
        <v>0.15</v>
      </c>
      <c r="AK214" s="23" t="s">
        <v>29</v>
      </c>
      <c r="AL214" s="23" t="s">
        <v>14</v>
      </c>
      <c r="AM214" s="23" t="s">
        <v>80</v>
      </c>
      <c r="AN214" s="55">
        <v>45022</v>
      </c>
      <c r="AO214" s="53">
        <f>DAY(cadangan[[#This Row],[Tanggal terjual]])</f>
        <v>6</v>
      </c>
      <c r="AP214" s="21" t="str">
        <f>TEXT(cadangan[[#This Row],[Tanggal terjual]],"dddd")</f>
        <v>Thursday</v>
      </c>
      <c r="AQ214" s="23" t="str" cm="1">
        <f t="array" ref="AQ2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14" s="61">
        <f>AVERAGE(cadangan[[#This Row],[Rating A]],cadangan[[#This Row],[Rating B]],cadangan[[#This Row],[Rating C]])</f>
        <v>5</v>
      </c>
    </row>
    <row r="215" spans="1:44" x14ac:dyDescent="0.2">
      <c r="A215" s="20">
        <v>214</v>
      </c>
      <c r="B215" s="21" t="str">
        <f>_xlfn.CONCAT("ORD-",INDEX(Helper!$B$2:$B$5,MATCH(cadangan[[#This Row],[Marketplace]],Helper!$A$2:$A$5,0)),TEXT(cadangan[[#This Row],[No]],"0000"),"-",TEXT(cadangan[[#This Row],[Tanggal terjual]],"dd/mm/yy"))</f>
        <v>ORD-SP0214-21/04/23</v>
      </c>
      <c r="C215" s="39" t="s">
        <v>62</v>
      </c>
      <c r="D215" s="39" t="str">
        <f>IFERROR(INDEX(Katalog!$A$3:$A$12,MATCH(cadangan[[#This Row],[ItemID A]],Katalog!$C$3:$C$12,0)),"-")</f>
        <v>Pakaian Pria</v>
      </c>
      <c r="E215" s="39" t="str">
        <f>IFERROR(INDEX(Katalog!$B$3:$B$12,MATCH(cadangan[[#This Row],[ItemID A]],Katalog!$C$3:$C$12,0)),"-")</f>
        <v>Celana Pendek</v>
      </c>
      <c r="F215" s="50">
        <v>1</v>
      </c>
      <c r="G215" s="50">
        <v>1</v>
      </c>
      <c r="H215" s="73">
        <f>IFERROR(INDEX(Katalog!$D$3:$D$12,MATCH(cadangan[[#This Row],[ItemID A]],Katalog!$C$3:$C$12,0))*cadangan[[#This Row],[Qty A]],0)</f>
        <v>180000</v>
      </c>
      <c r="I215" s="73">
        <f>IFERROR(cadangan[[#This Row],[Harga Normal A]]-(cadangan[[#This Row],[Harga Normal A]]*cadangan[[#This Row],[Diskon]]),cadangan[[#This Row],[Harga Normal A]])</f>
        <v>144000</v>
      </c>
      <c r="J215" s="73">
        <f>INDEX(Katalog!$F$3:$F$12,MATCH(cadangan[[#This Row],[ItemID A]],Katalog!$C$3:$C$12,0))*cadangan[[#This Row],[Qty A]]</f>
        <v>70000</v>
      </c>
      <c r="K215" s="73">
        <f>IFERROR(cadangan[[#This Row],[Harga Diskon A]]-INDEX(Katalog!$E$3:$E$12,MATCH(cadangan[[#This Row],[ItemID A]],Katalog!$C$3:$C$12,0))*cadangan[[#This Row],[Qty A]],0)</f>
        <v>34000</v>
      </c>
      <c r="M215" s="39" t="str">
        <f>IFERROR(INDEX(Katalog!$A$3:$A$12,MATCH(cadangan[[#This Row],[ItemID B]],Katalog!$C$3:$C$12,0)),"-")</f>
        <v>-</v>
      </c>
      <c r="N215" s="39" t="str">
        <f>IFERROR(INDEX(Katalog!$B$3:$B$12,MATCH(cadangan[[#This Row],[ItemID B]],Katalog!$C$3:$C$12,0)),"-")</f>
        <v>-</v>
      </c>
      <c r="Q215" s="73">
        <f>IFERROR(INDEX(Katalog!$D$3:$D$12,MATCH(cadangan[[#This Row],[ItemID B]],Katalog!$C$3:$C$12,0))*cadangan[[#This Row],[Qty B]],0)</f>
        <v>0</v>
      </c>
      <c r="R215" s="73">
        <f>IFERROR(cadangan[[#This Row],[Harga Normal B]]-(cadangan[[#This Row],[Harga Normal B]]*cadangan[[#This Row],[Diskon]]),cadangan[[#This Row],[Harga Normal B]])</f>
        <v>0</v>
      </c>
      <c r="S215" s="73">
        <f>IFERROR(INDEX(Katalog!$F$3:$F$12,MATCH(cadangan[[#This Row],[ItemID B]],Katalog!$C$3:$C$12,0))*cadangan[[#This Row],[Qty B]],0)</f>
        <v>0</v>
      </c>
      <c r="T215" s="73">
        <f>IFERROR(cadangan[[#This Row],[Harga Diskon B]]-INDEX(Katalog!$E$3:$E$12,MATCH(cadangan[[#This Row],[ItemID B]],Katalog!$C$3:$C$12,0))*cadangan[[#This Row],[Qty B]],0)</f>
        <v>0</v>
      </c>
      <c r="V215" s="39" t="str">
        <f>IFERROR(INDEX(Katalog!$A$3:$A$12,MATCH(cadangan[[#This Row],[ItemID C]],Katalog!$C$3:$C$12,0)),"-")</f>
        <v>-</v>
      </c>
      <c r="W215" s="39" t="str">
        <f>IFERROR(INDEX(Katalog!$B$3:$B$12,MATCH(cadangan[[#This Row],[ItemID C]],Katalog!$C$3:$C$12,0)),"-")</f>
        <v>-</v>
      </c>
      <c r="Z215" s="73">
        <f>IFERROR(INDEX(Katalog!$D$3:$D$12,MATCH(cadangan[[#This Row],[ItemID C]],Katalog!$C$3:$C$12,0))*cadangan[[#This Row],[Qty C]],0)</f>
        <v>0</v>
      </c>
      <c r="AA215" s="73">
        <f>IFERROR(cadangan[[#This Row],[Harga Normal C]]-(cadangan[[#This Row],[Harga Normal C]]*cadangan[[#This Row],[Diskon]]),cadangan[[#This Row],[Harga Normal C]])</f>
        <v>0</v>
      </c>
      <c r="AB215" s="73">
        <f>IFERROR(INDEX(Katalog!$F$3:$F$12,MATCH(cadangan[[#This Row],[ItemID C]],Katalog!$C$3:$C$12,0))*cadangan[[#This Row],[Qty C]],0)</f>
        <v>0</v>
      </c>
      <c r="AC215" s="73">
        <f>IFERROR(cadangan[[#This Row],[Harga Diskon C]]-INDEX(Katalog!$E$3:$E$12,MATCH(cadangan[[#This Row],[ItemID C]],Katalog!$C$3:$C$12,0))*cadangan[[#This Row],[Qty C]],0)</f>
        <v>0</v>
      </c>
      <c r="AD215" s="53">
        <f>cadangan[[#This Row],[Qty A]]+cadangan[[#This Row],[Qty B]]+cadangan[[#This Row],[Qty C]]</f>
        <v>1</v>
      </c>
      <c r="AE215" s="73">
        <f>cadangan[[#This Row],[Harga Normal A]]+cadangan[[#This Row],[Harga Normal B]]+cadangan[[#This Row],[Harga Normal C]]</f>
        <v>180000</v>
      </c>
      <c r="AF215" s="73">
        <f>cadangan[[#This Row],[Harga Diskon A]]+cadangan[[#This Row],[Harga Diskon B]]+cadangan[[#This Row],[Harga Diskon C]]</f>
        <v>144000</v>
      </c>
      <c r="AG215" s="73">
        <f>(cadangan[[#This Row],[Profit Normal A]]+cadangan[[#This Row],[Profit Normal B]]+cadangan[[#This Row],[Profit Normal C]])</f>
        <v>70000</v>
      </c>
      <c r="AH215" s="73">
        <f>cadangan[[#This Row],[Profit Diskon A]]+cadangan[[#This Row],[Profit Diskon B]]+cadangan[[#This Row],[Profit Diskon C]]</f>
        <v>34000</v>
      </c>
      <c r="AI215" s="23" t="s">
        <v>8</v>
      </c>
      <c r="AJ215" s="37">
        <f>IFERROR(INDEX('Kode Diskon'!$D$3:$D$9,MATCH(cadangan[[#This Row],[Kode diskon]],'Kode Diskon'!$C$3:$C$9,0)),"-")</f>
        <v>0.2</v>
      </c>
      <c r="AK215" s="23" t="s">
        <v>9</v>
      </c>
      <c r="AL215" s="23" t="s">
        <v>7</v>
      </c>
      <c r="AM215" s="23" t="s">
        <v>75</v>
      </c>
      <c r="AN215" s="55">
        <v>45037</v>
      </c>
      <c r="AO215" s="53">
        <f>DAY(cadangan[[#This Row],[Tanggal terjual]])</f>
        <v>21</v>
      </c>
      <c r="AP215" s="21" t="str">
        <f>TEXT(cadangan[[#This Row],[Tanggal terjual]],"dddd")</f>
        <v>Friday</v>
      </c>
      <c r="AQ215" s="23" t="str" cm="1">
        <f t="array" ref="AQ2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15" s="61">
        <f>AVERAGE(cadangan[[#This Row],[Rating A]],cadangan[[#This Row],[Rating B]],cadangan[[#This Row],[Rating C]])</f>
        <v>1</v>
      </c>
    </row>
    <row r="216" spans="1:44" x14ac:dyDescent="0.2">
      <c r="A216" s="20">
        <v>215</v>
      </c>
      <c r="B216" s="21" t="str">
        <f>_xlfn.CONCAT("ORD-",INDEX(Helper!$B$2:$B$5,MATCH(cadangan[[#This Row],[Marketplace]],Helper!$A$2:$A$5,0)),TEXT(cadangan[[#This Row],[No]],"0000"),"-",TEXT(cadangan[[#This Row],[Tanggal terjual]],"dd/mm/yy"))</f>
        <v>ORD-BL0215-25/04/23</v>
      </c>
      <c r="C216" s="39" t="s">
        <v>61</v>
      </c>
      <c r="D216" s="39" t="str">
        <f>IFERROR(INDEX(Katalog!$A$3:$A$12,MATCH(cadangan[[#This Row],[ItemID A]],Katalog!$C$3:$C$12,0)),"-")</f>
        <v>Pakaian Pria</v>
      </c>
      <c r="E216" s="39" t="str">
        <f>IFERROR(INDEX(Katalog!$B$3:$B$12,MATCH(cadangan[[#This Row],[ItemID A]],Katalog!$C$3:$C$12,0)),"-")</f>
        <v>Kaos Polo</v>
      </c>
      <c r="F216" s="50">
        <v>4</v>
      </c>
      <c r="G216" s="50">
        <v>4</v>
      </c>
      <c r="H216" s="73">
        <f>IFERROR(INDEX(Katalog!$D$3:$D$12,MATCH(cadangan[[#This Row],[ItemID A]],Katalog!$C$3:$C$12,0))*cadangan[[#This Row],[Qty A]],0)</f>
        <v>800000</v>
      </c>
      <c r="I216" s="73">
        <f>IFERROR(cadangan[[#This Row],[Harga Normal A]]-(cadangan[[#This Row],[Harga Normal A]]*cadangan[[#This Row],[Diskon]]),cadangan[[#This Row],[Harga Normal A]])</f>
        <v>680000</v>
      </c>
      <c r="J216" s="73">
        <f>INDEX(Katalog!$F$3:$F$12,MATCH(cadangan[[#This Row],[ItemID A]],Katalog!$C$3:$C$12,0))*cadangan[[#This Row],[Qty A]]</f>
        <v>320000</v>
      </c>
      <c r="K216" s="73">
        <f>IFERROR(cadangan[[#This Row],[Harga Diskon A]]-INDEX(Katalog!$E$3:$E$12,MATCH(cadangan[[#This Row],[ItemID A]],Katalog!$C$3:$C$12,0))*cadangan[[#This Row],[Qty A]],0)</f>
        <v>200000</v>
      </c>
      <c r="L216" s="39" t="s">
        <v>65</v>
      </c>
      <c r="M216" s="39" t="str">
        <f>IFERROR(INDEX(Katalog!$A$3:$A$12,MATCH(cadangan[[#This Row],[ItemID B]],Katalog!$C$3:$C$12,0)),"-")</f>
        <v>Sepatu Pria</v>
      </c>
      <c r="N216" s="39" t="str">
        <f>IFERROR(INDEX(Katalog!$B$3:$B$12,MATCH(cadangan[[#This Row],[ItemID B]],Katalog!$C$3:$C$12,0)),"-")</f>
        <v>Sneakers</v>
      </c>
      <c r="O216" s="50">
        <v>1</v>
      </c>
      <c r="P216" s="50">
        <v>2</v>
      </c>
      <c r="Q216" s="73">
        <f>IFERROR(INDEX(Katalog!$D$3:$D$12,MATCH(cadangan[[#This Row],[ItemID B]],Katalog!$C$3:$C$12,0))*cadangan[[#This Row],[Qty B]],0)</f>
        <v>500000</v>
      </c>
      <c r="R216" s="73">
        <f>IFERROR(cadangan[[#This Row],[Harga Normal B]]-(cadangan[[#This Row],[Harga Normal B]]*cadangan[[#This Row],[Diskon]]),cadangan[[#This Row],[Harga Normal B]])</f>
        <v>425000</v>
      </c>
      <c r="S216" s="73">
        <f>IFERROR(INDEX(Katalog!$F$3:$F$12,MATCH(cadangan[[#This Row],[ItemID B]],Katalog!$C$3:$C$12,0))*cadangan[[#This Row],[Qty B]],0)</f>
        <v>200000</v>
      </c>
      <c r="T216" s="73">
        <f>IFERROR(cadangan[[#This Row],[Harga Diskon B]]-INDEX(Katalog!$E$3:$E$12,MATCH(cadangan[[#This Row],[ItemID B]],Katalog!$C$3:$C$12,0))*cadangan[[#This Row],[Qty B]],0)</f>
        <v>125000</v>
      </c>
      <c r="V216" s="39" t="str">
        <f>IFERROR(INDEX(Katalog!$A$3:$A$12,MATCH(cadangan[[#This Row],[ItemID C]],Katalog!$C$3:$C$12,0)),"-")</f>
        <v>-</v>
      </c>
      <c r="W216" s="39" t="str">
        <f>IFERROR(INDEX(Katalog!$B$3:$B$12,MATCH(cadangan[[#This Row],[ItemID C]],Katalog!$C$3:$C$12,0)),"-")</f>
        <v>-</v>
      </c>
      <c r="Z216" s="73">
        <f>IFERROR(INDEX(Katalog!$D$3:$D$12,MATCH(cadangan[[#This Row],[ItemID C]],Katalog!$C$3:$C$12,0))*cadangan[[#This Row],[Qty C]],0)</f>
        <v>0</v>
      </c>
      <c r="AA216" s="73">
        <f>IFERROR(cadangan[[#This Row],[Harga Normal C]]-(cadangan[[#This Row],[Harga Normal C]]*cadangan[[#This Row],[Diskon]]),cadangan[[#This Row],[Harga Normal C]])</f>
        <v>0</v>
      </c>
      <c r="AB216" s="73">
        <f>IFERROR(INDEX(Katalog!$F$3:$F$12,MATCH(cadangan[[#This Row],[ItemID C]],Katalog!$C$3:$C$12,0))*cadangan[[#This Row],[Qty C]],0)</f>
        <v>0</v>
      </c>
      <c r="AC216" s="73">
        <f>IFERROR(cadangan[[#This Row],[Harga Diskon C]]-INDEX(Katalog!$E$3:$E$12,MATCH(cadangan[[#This Row],[ItemID C]],Katalog!$C$3:$C$12,0))*cadangan[[#This Row],[Qty C]],0)</f>
        <v>0</v>
      </c>
      <c r="AD216" s="53">
        <f>cadangan[[#This Row],[Qty A]]+cadangan[[#This Row],[Qty B]]+cadangan[[#This Row],[Qty C]]</f>
        <v>5</v>
      </c>
      <c r="AE216" s="73">
        <f>cadangan[[#This Row],[Harga Normal A]]+cadangan[[#This Row],[Harga Normal B]]+cadangan[[#This Row],[Harga Normal C]]</f>
        <v>1300000</v>
      </c>
      <c r="AF216" s="73">
        <f>cadangan[[#This Row],[Harga Diskon A]]+cadangan[[#This Row],[Harga Diskon B]]+cadangan[[#This Row],[Harga Diskon C]]</f>
        <v>1105000</v>
      </c>
      <c r="AG216" s="73">
        <f>(cadangan[[#This Row],[Profit Normal A]]+cadangan[[#This Row],[Profit Normal B]]+cadangan[[#This Row],[Profit Normal C]])</f>
        <v>520000</v>
      </c>
      <c r="AH216" s="73">
        <f>cadangan[[#This Row],[Profit Diskon A]]+cadangan[[#This Row],[Profit Diskon B]]+cadangan[[#This Row],[Profit Diskon C]]</f>
        <v>325000</v>
      </c>
      <c r="AI216" s="23" t="s">
        <v>32</v>
      </c>
      <c r="AJ216" s="37">
        <f>IFERROR(INDEX('Kode Diskon'!$D$3:$D$9,MATCH(cadangan[[#This Row],[Kode diskon]],'Kode Diskon'!$C$3:$C$9,0)),"-")</f>
        <v>0.15</v>
      </c>
      <c r="AK216" s="23" t="s">
        <v>9</v>
      </c>
      <c r="AL216" s="23" t="s">
        <v>12</v>
      </c>
      <c r="AM216" s="23" t="s">
        <v>78</v>
      </c>
      <c r="AN216" s="55">
        <v>45041</v>
      </c>
      <c r="AO216" s="53">
        <f>DAY(cadangan[[#This Row],[Tanggal terjual]])</f>
        <v>25</v>
      </c>
      <c r="AP216" s="21" t="str">
        <f>TEXT(cadangan[[#This Row],[Tanggal terjual]],"dddd")</f>
        <v>Tuesday</v>
      </c>
      <c r="AQ216" s="23" t="str" cm="1">
        <f t="array" ref="AQ2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16" s="61">
        <f>AVERAGE(cadangan[[#This Row],[Rating A]],cadangan[[#This Row],[Rating B]],cadangan[[#This Row],[Rating C]])</f>
        <v>3</v>
      </c>
    </row>
    <row r="217" spans="1:44" x14ac:dyDescent="0.2">
      <c r="A217" s="20">
        <v>216</v>
      </c>
      <c r="B217" s="21" t="str">
        <f>_xlfn.CONCAT("ORD-",INDEX(Helper!$B$2:$B$5,MATCH(cadangan[[#This Row],[Marketplace]],Helper!$A$2:$A$5,0)),TEXT(cadangan[[#This Row],[No]],"0000"),"-",TEXT(cadangan[[#This Row],[Tanggal terjual]],"dd/mm/yy"))</f>
        <v>ORD-BB0216-13/04/23</v>
      </c>
      <c r="C217" s="39" t="s">
        <v>63</v>
      </c>
      <c r="D217" s="39" t="str">
        <f>IFERROR(INDEX(Katalog!$A$3:$A$12,MATCH(cadangan[[#This Row],[ItemID A]],Katalog!$C$3:$C$12,0)),"-")</f>
        <v>Pakaian Pria</v>
      </c>
      <c r="E217" s="39" t="str">
        <f>IFERROR(INDEX(Katalog!$B$3:$B$12,MATCH(cadangan[[#This Row],[ItemID A]],Katalog!$C$3:$C$12,0)),"-")</f>
        <v>Jaket Jeans</v>
      </c>
      <c r="F217" s="50">
        <v>2</v>
      </c>
      <c r="G217" s="50">
        <v>3</v>
      </c>
      <c r="H217" s="73">
        <f>IFERROR(INDEX(Katalog!$D$3:$D$12,MATCH(cadangan[[#This Row],[ItemID A]],Katalog!$C$3:$C$12,0))*cadangan[[#This Row],[Qty A]],0)</f>
        <v>800000</v>
      </c>
      <c r="I217" s="73">
        <f>IFERROR(cadangan[[#This Row],[Harga Normal A]]-(cadangan[[#This Row],[Harga Normal A]]*cadangan[[#This Row],[Diskon]]),cadangan[[#This Row],[Harga Normal A]])</f>
        <v>800000</v>
      </c>
      <c r="J217" s="73">
        <f>INDEX(Katalog!$F$3:$F$12,MATCH(cadangan[[#This Row],[ItemID A]],Katalog!$C$3:$C$12,0))*cadangan[[#This Row],[Qty A]]</f>
        <v>300000</v>
      </c>
      <c r="K217" s="73">
        <f>IFERROR(cadangan[[#This Row],[Harga Diskon A]]-INDEX(Katalog!$E$3:$E$12,MATCH(cadangan[[#This Row],[ItemID A]],Katalog!$C$3:$C$12,0))*cadangan[[#This Row],[Qty A]],0)</f>
        <v>300000</v>
      </c>
      <c r="L217" s="39" t="s">
        <v>58</v>
      </c>
      <c r="M217" s="39" t="str">
        <f>IFERROR(INDEX(Katalog!$A$3:$A$12,MATCH(cadangan[[#This Row],[ItemID B]],Katalog!$C$3:$C$12,0)),"-")</f>
        <v>Pakaian Wanita</v>
      </c>
      <c r="N217" s="39" t="str">
        <f>IFERROR(INDEX(Katalog!$B$3:$B$12,MATCH(cadangan[[#This Row],[ItemID B]],Katalog!$C$3:$C$12,0)),"-")</f>
        <v>Dress</v>
      </c>
      <c r="O217" s="50">
        <v>1</v>
      </c>
      <c r="P217" s="50">
        <v>2</v>
      </c>
      <c r="Q217" s="73">
        <f>IFERROR(INDEX(Katalog!$D$3:$D$12,MATCH(cadangan[[#This Row],[ItemID B]],Katalog!$C$3:$C$12,0))*cadangan[[#This Row],[Qty B]],0)</f>
        <v>300000</v>
      </c>
      <c r="R217" s="73">
        <f>IFERROR(cadangan[[#This Row],[Harga Normal B]]-(cadangan[[#This Row],[Harga Normal B]]*cadangan[[#This Row],[Diskon]]),cadangan[[#This Row],[Harga Normal B]])</f>
        <v>300000</v>
      </c>
      <c r="S217" s="73">
        <f>IFERROR(INDEX(Katalog!$F$3:$F$12,MATCH(cadangan[[#This Row],[ItemID B]],Katalog!$C$3:$C$12,0))*cadangan[[#This Row],[Qty B]],0)</f>
        <v>100000</v>
      </c>
      <c r="T217" s="73">
        <f>IFERROR(cadangan[[#This Row],[Harga Diskon B]]-INDEX(Katalog!$E$3:$E$12,MATCH(cadangan[[#This Row],[ItemID B]],Katalog!$C$3:$C$12,0))*cadangan[[#This Row],[Qty B]],0)</f>
        <v>100000</v>
      </c>
      <c r="U217" s="39" t="s">
        <v>59</v>
      </c>
      <c r="V217" s="39" t="str">
        <f>IFERROR(INDEX(Katalog!$A$3:$A$12,MATCH(cadangan[[#This Row],[ItemID C]],Katalog!$C$3:$C$12,0)),"-")</f>
        <v>Pakaian Wanita</v>
      </c>
      <c r="W217" s="39" t="str">
        <f>IFERROR(INDEX(Katalog!$B$3:$B$12,MATCH(cadangan[[#This Row],[ItemID C]],Katalog!$C$3:$C$12,0)),"-")</f>
        <v>Blouse</v>
      </c>
      <c r="X217" s="50">
        <v>2</v>
      </c>
      <c r="Y217" s="50">
        <v>2</v>
      </c>
      <c r="Z217" s="73">
        <f>IFERROR(INDEX(Katalog!$D$3:$D$12,MATCH(cadangan[[#This Row],[ItemID C]],Katalog!$C$3:$C$12,0))*cadangan[[#This Row],[Qty C]],0)</f>
        <v>300000</v>
      </c>
      <c r="AA217" s="73">
        <f>IFERROR(cadangan[[#This Row],[Harga Normal C]]-(cadangan[[#This Row],[Harga Normal C]]*cadangan[[#This Row],[Diskon]]),cadangan[[#This Row],[Harga Normal C]])</f>
        <v>300000</v>
      </c>
      <c r="AB217" s="73">
        <f>IFERROR(INDEX(Katalog!$F$3:$F$12,MATCH(cadangan[[#This Row],[ItemID C]],Katalog!$C$3:$C$12,0))*cadangan[[#This Row],[Qty C]],0)</f>
        <v>100000</v>
      </c>
      <c r="AC217" s="73">
        <f>IFERROR(cadangan[[#This Row],[Harga Diskon C]]-INDEX(Katalog!$E$3:$E$12,MATCH(cadangan[[#This Row],[ItemID C]],Katalog!$C$3:$C$12,0))*cadangan[[#This Row],[Qty C]],0)</f>
        <v>100000</v>
      </c>
      <c r="AD217" s="53">
        <f>cadangan[[#This Row],[Qty A]]+cadangan[[#This Row],[Qty B]]+cadangan[[#This Row],[Qty C]]</f>
        <v>5</v>
      </c>
      <c r="AE217" s="73">
        <f>cadangan[[#This Row],[Harga Normal A]]+cadangan[[#This Row],[Harga Normal B]]+cadangan[[#This Row],[Harga Normal C]]</f>
        <v>1400000</v>
      </c>
      <c r="AF217" s="73">
        <f>cadangan[[#This Row],[Harga Diskon A]]+cadangan[[#This Row],[Harga Diskon B]]+cadangan[[#This Row],[Harga Diskon C]]</f>
        <v>1400000</v>
      </c>
      <c r="AG217" s="73">
        <f>(cadangan[[#This Row],[Profit Normal A]]+cadangan[[#This Row],[Profit Normal B]]+cadangan[[#This Row],[Profit Normal C]])</f>
        <v>500000</v>
      </c>
      <c r="AH217" s="73">
        <f>cadangan[[#This Row],[Profit Diskon A]]+cadangan[[#This Row],[Profit Diskon B]]+cadangan[[#This Row],[Profit Diskon C]]</f>
        <v>500000</v>
      </c>
      <c r="AI217" s="23" t="s">
        <v>290</v>
      </c>
      <c r="AJ217" s="37" t="str">
        <f>IFERROR(INDEX('Kode Diskon'!$D$3:$D$9,MATCH(cadangan[[#This Row],[Kode diskon]],'Kode Diskon'!$C$3:$C$9,0)),"-")</f>
        <v>-</v>
      </c>
      <c r="AK217" s="23" t="s">
        <v>290</v>
      </c>
      <c r="AL217" s="23" t="s">
        <v>14</v>
      </c>
      <c r="AM217" s="23" t="s">
        <v>80</v>
      </c>
      <c r="AN217" s="55">
        <v>45029</v>
      </c>
      <c r="AO217" s="53">
        <f>DAY(cadangan[[#This Row],[Tanggal terjual]])</f>
        <v>13</v>
      </c>
      <c r="AP217" s="21" t="str">
        <f>TEXT(cadangan[[#This Row],[Tanggal terjual]],"dddd")</f>
        <v>Thursday</v>
      </c>
      <c r="AQ217" s="23" t="str" cm="1">
        <f t="array" ref="AQ2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17" s="61">
        <f>AVERAGE(cadangan[[#This Row],[Rating A]],cadangan[[#This Row],[Rating B]],cadangan[[#This Row],[Rating C]])</f>
        <v>2.3333333333333335</v>
      </c>
    </row>
    <row r="218" spans="1:44" x14ac:dyDescent="0.2">
      <c r="A218" s="20">
        <v>217</v>
      </c>
      <c r="B218" s="21" t="str">
        <f>_xlfn.CONCAT("ORD-",INDEX(Helper!$B$2:$B$5,MATCH(cadangan[[#This Row],[Marketplace]],Helper!$A$2:$A$5,0)),TEXT(cadangan[[#This Row],[No]],"0000"),"-",TEXT(cadangan[[#This Row],[Tanggal terjual]],"dd/mm/yy"))</f>
        <v>ORD-SP0217-16/04/23</v>
      </c>
      <c r="C218" s="39" t="s">
        <v>64</v>
      </c>
      <c r="D218" s="39" t="str">
        <f>IFERROR(INDEX(Katalog!$A$3:$A$12,MATCH(cadangan[[#This Row],[ItemID A]],Katalog!$C$3:$C$12,0)),"-")</f>
        <v>Pakaian Unisex</v>
      </c>
      <c r="E218" s="39" t="str">
        <f>IFERROR(INDEX(Katalog!$B$3:$B$12,MATCH(cadangan[[#This Row],[ItemID A]],Katalog!$C$3:$C$12,0)),"-")</f>
        <v>Jaket Hoodie</v>
      </c>
      <c r="F218" s="50">
        <v>1</v>
      </c>
      <c r="G218" s="50">
        <v>3</v>
      </c>
      <c r="H218" s="73">
        <f>IFERROR(INDEX(Katalog!$D$3:$D$12,MATCH(cadangan[[#This Row],[ItemID A]],Katalog!$C$3:$C$12,0))*cadangan[[#This Row],[Qty A]],0)</f>
        <v>350000</v>
      </c>
      <c r="I218" s="73">
        <f>IFERROR(cadangan[[#This Row],[Harga Normal A]]-(cadangan[[#This Row],[Harga Normal A]]*cadangan[[#This Row],[Diskon]]),cadangan[[#This Row],[Harga Normal A]])</f>
        <v>280000</v>
      </c>
      <c r="J218" s="73">
        <f>INDEX(Katalog!$F$3:$F$12,MATCH(cadangan[[#This Row],[ItemID A]],Katalog!$C$3:$C$12,0))*cadangan[[#This Row],[Qty A]]</f>
        <v>130000</v>
      </c>
      <c r="K218" s="73">
        <f>IFERROR(cadangan[[#This Row],[Harga Diskon A]]-INDEX(Katalog!$E$3:$E$12,MATCH(cadangan[[#This Row],[ItemID A]],Katalog!$C$3:$C$12,0))*cadangan[[#This Row],[Qty A]],0)</f>
        <v>60000</v>
      </c>
      <c r="M218" s="39" t="str">
        <f>IFERROR(INDEX(Katalog!$A$3:$A$12,MATCH(cadangan[[#This Row],[ItemID B]],Katalog!$C$3:$C$12,0)),"-")</f>
        <v>-</v>
      </c>
      <c r="N218" s="39" t="str">
        <f>IFERROR(INDEX(Katalog!$B$3:$B$12,MATCH(cadangan[[#This Row],[ItemID B]],Katalog!$C$3:$C$12,0)),"-")</f>
        <v>-</v>
      </c>
      <c r="Q218" s="73">
        <f>IFERROR(INDEX(Katalog!$D$3:$D$12,MATCH(cadangan[[#This Row],[ItemID B]],Katalog!$C$3:$C$12,0))*cadangan[[#This Row],[Qty B]],0)</f>
        <v>0</v>
      </c>
      <c r="R218" s="73">
        <f>IFERROR(cadangan[[#This Row],[Harga Normal B]]-(cadangan[[#This Row],[Harga Normal B]]*cadangan[[#This Row],[Diskon]]),cadangan[[#This Row],[Harga Normal B]])</f>
        <v>0</v>
      </c>
      <c r="S218" s="73">
        <f>IFERROR(INDEX(Katalog!$F$3:$F$12,MATCH(cadangan[[#This Row],[ItemID B]],Katalog!$C$3:$C$12,0))*cadangan[[#This Row],[Qty B]],0)</f>
        <v>0</v>
      </c>
      <c r="T218" s="73">
        <f>IFERROR(cadangan[[#This Row],[Harga Diskon B]]-INDEX(Katalog!$E$3:$E$12,MATCH(cadangan[[#This Row],[ItemID B]],Katalog!$C$3:$C$12,0))*cadangan[[#This Row],[Qty B]],0)</f>
        <v>0</v>
      </c>
      <c r="V218" s="39" t="str">
        <f>IFERROR(INDEX(Katalog!$A$3:$A$12,MATCH(cadangan[[#This Row],[ItemID C]],Katalog!$C$3:$C$12,0)),"-")</f>
        <v>-</v>
      </c>
      <c r="W218" s="39" t="str">
        <f>IFERROR(INDEX(Katalog!$B$3:$B$12,MATCH(cadangan[[#This Row],[ItemID C]],Katalog!$C$3:$C$12,0)),"-")</f>
        <v>-</v>
      </c>
      <c r="Z218" s="73">
        <f>IFERROR(INDEX(Katalog!$D$3:$D$12,MATCH(cadangan[[#This Row],[ItemID C]],Katalog!$C$3:$C$12,0))*cadangan[[#This Row],[Qty C]],0)</f>
        <v>0</v>
      </c>
      <c r="AA218" s="73">
        <f>IFERROR(cadangan[[#This Row],[Harga Normal C]]-(cadangan[[#This Row],[Harga Normal C]]*cadangan[[#This Row],[Diskon]]),cadangan[[#This Row],[Harga Normal C]])</f>
        <v>0</v>
      </c>
      <c r="AB218" s="73">
        <f>IFERROR(INDEX(Katalog!$F$3:$F$12,MATCH(cadangan[[#This Row],[ItemID C]],Katalog!$C$3:$C$12,0))*cadangan[[#This Row],[Qty C]],0)</f>
        <v>0</v>
      </c>
      <c r="AC218" s="73">
        <f>IFERROR(cadangan[[#This Row],[Harga Diskon C]]-INDEX(Katalog!$E$3:$E$12,MATCH(cadangan[[#This Row],[ItemID C]],Katalog!$C$3:$C$12,0))*cadangan[[#This Row],[Qty C]],0)</f>
        <v>0</v>
      </c>
      <c r="AD218" s="53">
        <f>cadangan[[#This Row],[Qty A]]+cadangan[[#This Row],[Qty B]]+cadangan[[#This Row],[Qty C]]</f>
        <v>1</v>
      </c>
      <c r="AE218" s="73">
        <f>cadangan[[#This Row],[Harga Normal A]]+cadangan[[#This Row],[Harga Normal B]]+cadangan[[#This Row],[Harga Normal C]]</f>
        <v>350000</v>
      </c>
      <c r="AF218" s="73">
        <f>cadangan[[#This Row],[Harga Diskon A]]+cadangan[[#This Row],[Harga Diskon B]]+cadangan[[#This Row],[Harga Diskon C]]</f>
        <v>280000</v>
      </c>
      <c r="AG218" s="73">
        <f>(cadangan[[#This Row],[Profit Normal A]]+cadangan[[#This Row],[Profit Normal B]]+cadangan[[#This Row],[Profit Normal C]])</f>
        <v>130000</v>
      </c>
      <c r="AH218" s="73">
        <f>cadangan[[#This Row],[Profit Diskon A]]+cadangan[[#This Row],[Profit Diskon B]]+cadangan[[#This Row],[Profit Diskon C]]</f>
        <v>60000</v>
      </c>
      <c r="AI218" s="23" t="s">
        <v>8</v>
      </c>
      <c r="AJ218" s="37">
        <f>IFERROR(INDEX('Kode Diskon'!$D$3:$D$9,MATCH(cadangan[[#This Row],[Kode diskon]],'Kode Diskon'!$C$3:$C$9,0)),"-")</f>
        <v>0.2</v>
      </c>
      <c r="AK218" s="23" t="s">
        <v>9</v>
      </c>
      <c r="AL218" s="23" t="s">
        <v>7</v>
      </c>
      <c r="AM218" s="23" t="s">
        <v>75</v>
      </c>
      <c r="AN218" s="55">
        <v>45032</v>
      </c>
      <c r="AO218" s="53">
        <f>DAY(cadangan[[#This Row],[Tanggal terjual]])</f>
        <v>16</v>
      </c>
      <c r="AP218" s="21" t="str">
        <f>TEXT(cadangan[[#This Row],[Tanggal terjual]],"dddd")</f>
        <v>Sunday</v>
      </c>
      <c r="AQ218" s="23" t="str" cm="1">
        <f t="array" ref="AQ2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18" s="61">
        <f>AVERAGE(cadangan[[#This Row],[Rating A]],cadangan[[#This Row],[Rating B]],cadangan[[#This Row],[Rating C]])</f>
        <v>3</v>
      </c>
    </row>
    <row r="219" spans="1:44" x14ac:dyDescent="0.2">
      <c r="A219" s="20">
        <v>218</v>
      </c>
      <c r="B219" s="21" t="str">
        <f>_xlfn.CONCAT("ORD-",INDEX(Helper!$B$2:$B$5,MATCH(cadangan[[#This Row],[Marketplace]],Helper!$A$2:$A$5,0)),TEXT(cadangan[[#This Row],[No]],"0000"),"-",TEXT(cadangan[[#This Row],[Tanggal terjual]],"dd/mm/yy"))</f>
        <v>ORD-SP0218-04/04/23</v>
      </c>
      <c r="C219" s="39" t="s">
        <v>66</v>
      </c>
      <c r="D219" s="39" t="str">
        <f>IFERROR(INDEX(Katalog!$A$3:$A$12,MATCH(cadangan[[#This Row],[ItemID A]],Katalog!$C$3:$C$12,0)),"-")</f>
        <v>Sepatu Pria</v>
      </c>
      <c r="E219" s="39" t="str">
        <f>IFERROR(INDEX(Katalog!$B$3:$B$12,MATCH(cadangan[[#This Row],[ItemID A]],Katalog!$C$3:$C$12,0)),"-")</f>
        <v>Sandal Slip On</v>
      </c>
      <c r="F219" s="50">
        <v>3</v>
      </c>
      <c r="G219" s="50">
        <v>1</v>
      </c>
      <c r="H219" s="73">
        <f>IFERROR(INDEX(Katalog!$D$3:$D$12,MATCH(cadangan[[#This Row],[ItemID A]],Katalog!$C$3:$C$12,0))*cadangan[[#This Row],[Qty A]],0)</f>
        <v>450000</v>
      </c>
      <c r="I219" s="73">
        <f>IFERROR(cadangan[[#This Row],[Harga Normal A]]-(cadangan[[#This Row],[Harga Normal A]]*cadangan[[#This Row],[Diskon]]),cadangan[[#This Row],[Harga Normal A]])</f>
        <v>382500</v>
      </c>
      <c r="J219" s="73">
        <f>INDEX(Katalog!$F$3:$F$12,MATCH(cadangan[[#This Row],[ItemID A]],Katalog!$C$3:$C$12,0))*cadangan[[#This Row],[Qty A]]</f>
        <v>180000</v>
      </c>
      <c r="K219" s="73">
        <f>IFERROR(cadangan[[#This Row],[Harga Diskon A]]-INDEX(Katalog!$E$3:$E$12,MATCH(cadangan[[#This Row],[ItemID A]],Katalog!$C$3:$C$12,0))*cadangan[[#This Row],[Qty A]],0)</f>
        <v>112500</v>
      </c>
      <c r="L219" s="39" t="s">
        <v>62</v>
      </c>
      <c r="M219" s="39" t="str">
        <f>IFERROR(INDEX(Katalog!$A$3:$A$12,MATCH(cadangan[[#This Row],[ItemID B]],Katalog!$C$3:$C$12,0)),"-")</f>
        <v>Pakaian Pria</v>
      </c>
      <c r="N219" s="39" t="str">
        <f>IFERROR(INDEX(Katalog!$B$3:$B$12,MATCH(cadangan[[#This Row],[ItemID B]],Katalog!$C$3:$C$12,0)),"-")</f>
        <v>Celana Pendek</v>
      </c>
      <c r="O219" s="50">
        <v>2</v>
      </c>
      <c r="P219" s="50">
        <v>4</v>
      </c>
      <c r="Q219" s="73">
        <f>IFERROR(INDEX(Katalog!$D$3:$D$12,MATCH(cadangan[[#This Row],[ItemID B]],Katalog!$C$3:$C$12,0))*cadangan[[#This Row],[Qty B]],0)</f>
        <v>360000</v>
      </c>
      <c r="R219" s="73">
        <f>IFERROR(cadangan[[#This Row],[Harga Normal B]]-(cadangan[[#This Row],[Harga Normal B]]*cadangan[[#This Row],[Diskon]]),cadangan[[#This Row],[Harga Normal B]])</f>
        <v>306000</v>
      </c>
      <c r="S219" s="73">
        <f>IFERROR(INDEX(Katalog!$F$3:$F$12,MATCH(cadangan[[#This Row],[ItemID B]],Katalog!$C$3:$C$12,0))*cadangan[[#This Row],[Qty B]],0)</f>
        <v>140000</v>
      </c>
      <c r="T219" s="73">
        <f>IFERROR(cadangan[[#This Row],[Harga Diskon B]]-INDEX(Katalog!$E$3:$E$12,MATCH(cadangan[[#This Row],[ItemID B]],Katalog!$C$3:$C$12,0))*cadangan[[#This Row],[Qty B]],0)</f>
        <v>86000</v>
      </c>
      <c r="V219" s="39" t="str">
        <f>IFERROR(INDEX(Katalog!$A$3:$A$12,MATCH(cadangan[[#This Row],[ItemID C]],Katalog!$C$3:$C$12,0)),"-")</f>
        <v>-</v>
      </c>
      <c r="W219" s="39" t="str">
        <f>IFERROR(INDEX(Katalog!$B$3:$B$12,MATCH(cadangan[[#This Row],[ItemID C]],Katalog!$C$3:$C$12,0)),"-")</f>
        <v>-</v>
      </c>
      <c r="Z219" s="73">
        <f>IFERROR(INDEX(Katalog!$D$3:$D$12,MATCH(cadangan[[#This Row],[ItemID C]],Katalog!$C$3:$C$12,0))*cadangan[[#This Row],[Qty C]],0)</f>
        <v>0</v>
      </c>
      <c r="AA219" s="73">
        <f>IFERROR(cadangan[[#This Row],[Harga Normal C]]-(cadangan[[#This Row],[Harga Normal C]]*cadangan[[#This Row],[Diskon]]),cadangan[[#This Row],[Harga Normal C]])</f>
        <v>0</v>
      </c>
      <c r="AB219" s="73">
        <f>IFERROR(INDEX(Katalog!$F$3:$F$12,MATCH(cadangan[[#This Row],[ItemID C]],Katalog!$C$3:$C$12,0))*cadangan[[#This Row],[Qty C]],0)</f>
        <v>0</v>
      </c>
      <c r="AC219" s="73">
        <f>IFERROR(cadangan[[#This Row],[Harga Diskon C]]-INDEX(Katalog!$E$3:$E$12,MATCH(cadangan[[#This Row],[ItemID C]],Katalog!$C$3:$C$12,0))*cadangan[[#This Row],[Qty C]],0)</f>
        <v>0</v>
      </c>
      <c r="AD219" s="53">
        <f>cadangan[[#This Row],[Qty A]]+cadangan[[#This Row],[Qty B]]+cadangan[[#This Row],[Qty C]]</f>
        <v>5</v>
      </c>
      <c r="AE219" s="73">
        <f>cadangan[[#This Row],[Harga Normal A]]+cadangan[[#This Row],[Harga Normal B]]+cadangan[[#This Row],[Harga Normal C]]</f>
        <v>810000</v>
      </c>
      <c r="AF219" s="73">
        <f>cadangan[[#This Row],[Harga Diskon A]]+cadangan[[#This Row],[Harga Diskon B]]+cadangan[[#This Row],[Harga Diskon C]]</f>
        <v>688500</v>
      </c>
      <c r="AG219" s="73">
        <f>(cadangan[[#This Row],[Profit Normal A]]+cadangan[[#This Row],[Profit Normal B]]+cadangan[[#This Row],[Profit Normal C]])</f>
        <v>320000</v>
      </c>
      <c r="AH219" s="73">
        <f>cadangan[[#This Row],[Profit Diskon A]]+cadangan[[#This Row],[Profit Diskon B]]+cadangan[[#This Row],[Profit Diskon C]]</f>
        <v>198500</v>
      </c>
      <c r="AI219" s="23" t="s">
        <v>13</v>
      </c>
      <c r="AJ219" s="37">
        <f>IFERROR(INDEX('Kode Diskon'!$D$3:$D$9,MATCH(cadangan[[#This Row],[Kode diskon]],'Kode Diskon'!$C$3:$C$9,0)),"-")</f>
        <v>0.15</v>
      </c>
      <c r="AK219" s="23" t="s">
        <v>29</v>
      </c>
      <c r="AL219" s="23" t="s">
        <v>7</v>
      </c>
      <c r="AM219" s="23" t="s">
        <v>79</v>
      </c>
      <c r="AN219" s="55">
        <v>45020</v>
      </c>
      <c r="AO219" s="53">
        <f>DAY(cadangan[[#This Row],[Tanggal terjual]])</f>
        <v>4</v>
      </c>
      <c r="AP219" s="21" t="str">
        <f>TEXT(cadangan[[#This Row],[Tanggal terjual]],"dddd")</f>
        <v>Tuesday</v>
      </c>
      <c r="AQ219" s="23" t="str" cm="1">
        <f t="array" ref="AQ2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19" s="61">
        <f>AVERAGE(cadangan[[#This Row],[Rating A]],cadangan[[#This Row],[Rating B]],cadangan[[#This Row],[Rating C]])</f>
        <v>2.5</v>
      </c>
    </row>
    <row r="220" spans="1:44" x14ac:dyDescent="0.2">
      <c r="A220" s="20">
        <v>219</v>
      </c>
      <c r="B220" s="21" t="str">
        <f>_xlfn.CONCAT("ORD-",INDEX(Helper!$B$2:$B$5,MATCH(cadangan[[#This Row],[Marketplace]],Helper!$A$2:$A$5,0)),TEXT(cadangan[[#This Row],[No]],"0000"),"-",TEXT(cadangan[[#This Row],[Tanggal terjual]],"dd/mm/yy"))</f>
        <v>ORD-TK0219-19/04/23</v>
      </c>
      <c r="C220" s="39" t="s">
        <v>60</v>
      </c>
      <c r="D220" s="39" t="str">
        <f>IFERROR(INDEX(Katalog!$A$3:$A$12,MATCH(cadangan[[#This Row],[ItemID A]],Katalog!$C$3:$C$12,0)),"-")</f>
        <v>Pakaian Wanita</v>
      </c>
      <c r="E220" s="39" t="str">
        <f>IFERROR(INDEX(Katalog!$B$3:$B$12,MATCH(cadangan[[#This Row],[ItemID A]],Katalog!$C$3:$C$12,0)),"-")</f>
        <v>Kaftan</v>
      </c>
      <c r="F220" s="50">
        <v>3</v>
      </c>
      <c r="G220" s="50">
        <v>5</v>
      </c>
      <c r="H220" s="73">
        <f>IFERROR(INDEX(Katalog!$D$3:$D$12,MATCH(cadangan[[#This Row],[ItemID A]],Katalog!$C$3:$C$12,0))*cadangan[[#This Row],[Qty A]],0)</f>
        <v>750000</v>
      </c>
      <c r="I220" s="73">
        <f>IFERROR(cadangan[[#This Row],[Harga Normal A]]-(cadangan[[#This Row],[Harga Normal A]]*cadangan[[#This Row],[Diskon]]),cadangan[[#This Row],[Harga Normal A]])</f>
        <v>675000</v>
      </c>
      <c r="J220" s="73">
        <f>INDEX(Katalog!$F$3:$F$12,MATCH(cadangan[[#This Row],[ItemID A]],Katalog!$C$3:$C$12,0))*cadangan[[#This Row],[Qty A]]</f>
        <v>300000</v>
      </c>
      <c r="K220" s="73">
        <f>IFERROR(cadangan[[#This Row],[Harga Diskon A]]-INDEX(Katalog!$E$3:$E$12,MATCH(cadangan[[#This Row],[ItemID A]],Katalog!$C$3:$C$12,0))*cadangan[[#This Row],[Qty A]],0)</f>
        <v>225000</v>
      </c>
      <c r="L220" s="39" t="s">
        <v>62</v>
      </c>
      <c r="M220" s="39" t="str">
        <f>IFERROR(INDEX(Katalog!$A$3:$A$12,MATCH(cadangan[[#This Row],[ItemID B]],Katalog!$C$3:$C$12,0)),"-")</f>
        <v>Pakaian Pria</v>
      </c>
      <c r="N220" s="39" t="str">
        <f>IFERROR(INDEX(Katalog!$B$3:$B$12,MATCH(cadangan[[#This Row],[ItemID B]],Katalog!$C$3:$C$12,0)),"-")</f>
        <v>Celana Pendek</v>
      </c>
      <c r="O220" s="50">
        <v>2</v>
      </c>
      <c r="P220" s="50">
        <v>4</v>
      </c>
      <c r="Q220" s="73">
        <f>IFERROR(INDEX(Katalog!$D$3:$D$12,MATCH(cadangan[[#This Row],[ItemID B]],Katalog!$C$3:$C$12,0))*cadangan[[#This Row],[Qty B]],0)</f>
        <v>360000</v>
      </c>
      <c r="R220" s="73">
        <f>IFERROR(cadangan[[#This Row],[Harga Normal B]]-(cadangan[[#This Row],[Harga Normal B]]*cadangan[[#This Row],[Diskon]]),cadangan[[#This Row],[Harga Normal B]])</f>
        <v>324000</v>
      </c>
      <c r="S220" s="73">
        <f>IFERROR(INDEX(Katalog!$F$3:$F$12,MATCH(cadangan[[#This Row],[ItemID B]],Katalog!$C$3:$C$12,0))*cadangan[[#This Row],[Qty B]],0)</f>
        <v>140000</v>
      </c>
      <c r="T220" s="73">
        <f>IFERROR(cadangan[[#This Row],[Harga Diskon B]]-INDEX(Katalog!$E$3:$E$12,MATCH(cadangan[[#This Row],[ItemID B]],Katalog!$C$3:$C$12,0))*cadangan[[#This Row],[Qty B]],0)</f>
        <v>104000</v>
      </c>
      <c r="V220" s="39" t="str">
        <f>IFERROR(INDEX(Katalog!$A$3:$A$12,MATCH(cadangan[[#This Row],[ItemID C]],Katalog!$C$3:$C$12,0)),"-")</f>
        <v>-</v>
      </c>
      <c r="W220" s="39" t="str">
        <f>IFERROR(INDEX(Katalog!$B$3:$B$12,MATCH(cadangan[[#This Row],[ItemID C]],Katalog!$C$3:$C$12,0)),"-")</f>
        <v>-</v>
      </c>
      <c r="Z220" s="73">
        <f>IFERROR(INDEX(Katalog!$D$3:$D$12,MATCH(cadangan[[#This Row],[ItemID C]],Katalog!$C$3:$C$12,0))*cadangan[[#This Row],[Qty C]],0)</f>
        <v>0</v>
      </c>
      <c r="AA220" s="73">
        <f>IFERROR(cadangan[[#This Row],[Harga Normal C]]-(cadangan[[#This Row],[Harga Normal C]]*cadangan[[#This Row],[Diskon]]),cadangan[[#This Row],[Harga Normal C]])</f>
        <v>0</v>
      </c>
      <c r="AB220" s="73">
        <f>IFERROR(INDEX(Katalog!$F$3:$F$12,MATCH(cadangan[[#This Row],[ItemID C]],Katalog!$C$3:$C$12,0))*cadangan[[#This Row],[Qty C]],0)</f>
        <v>0</v>
      </c>
      <c r="AC220" s="73">
        <f>IFERROR(cadangan[[#This Row],[Harga Diskon C]]-INDEX(Katalog!$E$3:$E$12,MATCH(cadangan[[#This Row],[ItemID C]],Katalog!$C$3:$C$12,0))*cadangan[[#This Row],[Qty C]],0)</f>
        <v>0</v>
      </c>
      <c r="AD220" s="53">
        <f>cadangan[[#This Row],[Qty A]]+cadangan[[#This Row],[Qty B]]+cadangan[[#This Row],[Qty C]]</f>
        <v>5</v>
      </c>
      <c r="AE220" s="73">
        <f>cadangan[[#This Row],[Harga Normal A]]+cadangan[[#This Row],[Harga Normal B]]+cadangan[[#This Row],[Harga Normal C]]</f>
        <v>1110000</v>
      </c>
      <c r="AF220" s="73">
        <f>cadangan[[#This Row],[Harga Diskon A]]+cadangan[[#This Row],[Harga Diskon B]]+cadangan[[#This Row],[Harga Diskon C]]</f>
        <v>999000</v>
      </c>
      <c r="AG220" s="73">
        <f>(cadangan[[#This Row],[Profit Normal A]]+cadangan[[#This Row],[Profit Normal B]]+cadangan[[#This Row],[Profit Normal C]])</f>
        <v>440000</v>
      </c>
      <c r="AH220" s="73">
        <f>cadangan[[#This Row],[Profit Diskon A]]+cadangan[[#This Row],[Profit Diskon B]]+cadangan[[#This Row],[Profit Diskon C]]</f>
        <v>329000</v>
      </c>
      <c r="AI220" s="23" t="s">
        <v>31</v>
      </c>
      <c r="AJ220" s="37">
        <f>IFERROR(INDEX('Kode Diskon'!$D$3:$D$9,MATCH(cadangan[[#This Row],[Kode diskon]],'Kode Diskon'!$C$3:$C$9,0)),"-")</f>
        <v>0.1</v>
      </c>
      <c r="AK220" s="23" t="s">
        <v>9</v>
      </c>
      <c r="AL220" s="23" t="s">
        <v>10</v>
      </c>
      <c r="AM220" s="23" t="s">
        <v>75</v>
      </c>
      <c r="AN220" s="55">
        <v>45035</v>
      </c>
      <c r="AO220" s="53">
        <f>DAY(cadangan[[#This Row],[Tanggal terjual]])</f>
        <v>19</v>
      </c>
      <c r="AP220" s="21" t="str">
        <f>TEXT(cadangan[[#This Row],[Tanggal terjual]],"dddd")</f>
        <v>Wednesday</v>
      </c>
      <c r="AQ220" s="23" t="str" cm="1">
        <f t="array" ref="AQ2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20" s="61">
        <f>AVERAGE(cadangan[[#This Row],[Rating A]],cadangan[[#This Row],[Rating B]],cadangan[[#This Row],[Rating C]])</f>
        <v>4.5</v>
      </c>
    </row>
    <row r="221" spans="1:44" x14ac:dyDescent="0.2">
      <c r="A221" s="20">
        <v>220</v>
      </c>
      <c r="B221" s="21" t="str">
        <f>_xlfn.CONCAT("ORD-",INDEX(Helper!$B$2:$B$5,MATCH(cadangan[[#This Row],[Marketplace]],Helper!$A$2:$A$5,0)),TEXT(cadangan[[#This Row],[No]],"0000"),"-",TEXT(cadangan[[#This Row],[Tanggal terjual]],"dd/mm/yy"))</f>
        <v>ORD-TK0220-05/04/23</v>
      </c>
      <c r="C221" s="39" t="s">
        <v>66</v>
      </c>
      <c r="D221" s="39" t="str">
        <f>IFERROR(INDEX(Katalog!$A$3:$A$12,MATCH(cadangan[[#This Row],[ItemID A]],Katalog!$C$3:$C$12,0)),"-")</f>
        <v>Sepatu Pria</v>
      </c>
      <c r="E221" s="39" t="str">
        <f>IFERROR(INDEX(Katalog!$B$3:$B$12,MATCH(cadangan[[#This Row],[ItemID A]],Katalog!$C$3:$C$12,0)),"-")</f>
        <v>Sandal Slip On</v>
      </c>
      <c r="F221" s="50">
        <v>1</v>
      </c>
      <c r="G221" s="50">
        <v>2</v>
      </c>
      <c r="H221" s="73">
        <f>IFERROR(INDEX(Katalog!$D$3:$D$12,MATCH(cadangan[[#This Row],[ItemID A]],Katalog!$C$3:$C$12,0))*cadangan[[#This Row],[Qty A]],0)</f>
        <v>150000</v>
      </c>
      <c r="I221" s="73">
        <f>IFERROR(cadangan[[#This Row],[Harga Normal A]]-(cadangan[[#This Row],[Harga Normal A]]*cadangan[[#This Row],[Diskon]]),cadangan[[#This Row],[Harga Normal A]])</f>
        <v>135000</v>
      </c>
      <c r="J221" s="73">
        <f>INDEX(Katalog!$F$3:$F$12,MATCH(cadangan[[#This Row],[ItemID A]],Katalog!$C$3:$C$12,0))*cadangan[[#This Row],[Qty A]]</f>
        <v>60000</v>
      </c>
      <c r="K221" s="73">
        <f>IFERROR(cadangan[[#This Row],[Harga Diskon A]]-INDEX(Katalog!$E$3:$E$12,MATCH(cadangan[[#This Row],[ItemID A]],Katalog!$C$3:$C$12,0))*cadangan[[#This Row],[Qty A]],0)</f>
        <v>45000</v>
      </c>
      <c r="L221" s="39" t="s">
        <v>60</v>
      </c>
      <c r="M221" s="39" t="str">
        <f>IFERROR(INDEX(Katalog!$A$3:$A$12,MATCH(cadangan[[#This Row],[ItemID B]],Katalog!$C$3:$C$12,0)),"-")</f>
        <v>Pakaian Wanita</v>
      </c>
      <c r="N221" s="39" t="str">
        <f>IFERROR(INDEX(Katalog!$B$3:$B$12,MATCH(cadangan[[#This Row],[ItemID B]],Katalog!$C$3:$C$12,0)),"-")</f>
        <v>Kaftan</v>
      </c>
      <c r="O221" s="50">
        <v>3</v>
      </c>
      <c r="P221" s="50">
        <v>5</v>
      </c>
      <c r="Q221" s="73">
        <f>IFERROR(INDEX(Katalog!$D$3:$D$12,MATCH(cadangan[[#This Row],[ItemID B]],Katalog!$C$3:$C$12,0))*cadangan[[#This Row],[Qty B]],0)</f>
        <v>750000</v>
      </c>
      <c r="R221" s="73">
        <f>IFERROR(cadangan[[#This Row],[Harga Normal B]]-(cadangan[[#This Row],[Harga Normal B]]*cadangan[[#This Row],[Diskon]]),cadangan[[#This Row],[Harga Normal B]])</f>
        <v>675000</v>
      </c>
      <c r="S221" s="73">
        <f>IFERROR(INDEX(Katalog!$F$3:$F$12,MATCH(cadangan[[#This Row],[ItemID B]],Katalog!$C$3:$C$12,0))*cadangan[[#This Row],[Qty B]],0)</f>
        <v>300000</v>
      </c>
      <c r="T221" s="73">
        <f>IFERROR(cadangan[[#This Row],[Harga Diskon B]]-INDEX(Katalog!$E$3:$E$12,MATCH(cadangan[[#This Row],[ItemID B]],Katalog!$C$3:$C$12,0))*cadangan[[#This Row],[Qty B]],0)</f>
        <v>225000</v>
      </c>
      <c r="U221" s="39" t="s">
        <v>67</v>
      </c>
      <c r="V221" s="39" t="str">
        <f>IFERROR(INDEX(Katalog!$A$3:$A$12,MATCH(cadangan[[#This Row],[ItemID C]],Katalog!$C$3:$C$12,0)),"-")</f>
        <v>Sepatu Wanita</v>
      </c>
      <c r="W221" s="39" t="str">
        <f>IFERROR(INDEX(Katalog!$B$3:$B$12,MATCH(cadangan[[#This Row],[ItemID C]],Katalog!$C$3:$C$12,0)),"-")</f>
        <v>Flat Shoes</v>
      </c>
      <c r="X221" s="50">
        <v>3</v>
      </c>
      <c r="Y221" s="50">
        <v>5</v>
      </c>
      <c r="Z221" s="73">
        <f>IFERROR(INDEX(Katalog!$D$3:$D$12,MATCH(cadangan[[#This Row],[ItemID C]],Katalog!$C$3:$C$12,0))*cadangan[[#This Row],[Qty C]],0)</f>
        <v>750000</v>
      </c>
      <c r="AA221" s="73">
        <f>IFERROR(cadangan[[#This Row],[Harga Normal C]]-(cadangan[[#This Row],[Harga Normal C]]*cadangan[[#This Row],[Diskon]]),cadangan[[#This Row],[Harga Normal C]])</f>
        <v>675000</v>
      </c>
      <c r="AB221" s="73">
        <f>IFERROR(INDEX(Katalog!$F$3:$F$12,MATCH(cadangan[[#This Row],[ItemID C]],Katalog!$C$3:$C$12,0))*cadangan[[#This Row],[Qty C]],0)</f>
        <v>300000</v>
      </c>
      <c r="AC221" s="73">
        <f>IFERROR(cadangan[[#This Row],[Harga Diskon C]]-INDEX(Katalog!$E$3:$E$12,MATCH(cadangan[[#This Row],[ItemID C]],Katalog!$C$3:$C$12,0))*cadangan[[#This Row],[Qty C]],0)</f>
        <v>225000</v>
      </c>
      <c r="AD221" s="53">
        <f>cadangan[[#This Row],[Qty A]]+cadangan[[#This Row],[Qty B]]+cadangan[[#This Row],[Qty C]]</f>
        <v>7</v>
      </c>
      <c r="AE221" s="73">
        <f>cadangan[[#This Row],[Harga Normal A]]+cadangan[[#This Row],[Harga Normal B]]+cadangan[[#This Row],[Harga Normal C]]</f>
        <v>1650000</v>
      </c>
      <c r="AF221" s="73">
        <f>cadangan[[#This Row],[Harga Diskon A]]+cadangan[[#This Row],[Harga Diskon B]]+cadangan[[#This Row],[Harga Diskon C]]</f>
        <v>1485000</v>
      </c>
      <c r="AG221" s="73">
        <f>(cadangan[[#This Row],[Profit Normal A]]+cadangan[[#This Row],[Profit Normal B]]+cadangan[[#This Row],[Profit Normal C]])</f>
        <v>660000</v>
      </c>
      <c r="AH221" s="73">
        <f>cadangan[[#This Row],[Profit Diskon A]]+cadangan[[#This Row],[Profit Diskon B]]+cadangan[[#This Row],[Profit Diskon C]]</f>
        <v>495000</v>
      </c>
      <c r="AI221" s="23" t="s">
        <v>30</v>
      </c>
      <c r="AJ221" s="37">
        <f>IFERROR(INDEX('Kode Diskon'!$D$3:$D$9,MATCH(cadangan[[#This Row],[Kode diskon]],'Kode Diskon'!$C$3:$C$9,0)),"-")</f>
        <v>0.1</v>
      </c>
      <c r="AK221" s="23" t="s">
        <v>29</v>
      </c>
      <c r="AL221" s="23" t="s">
        <v>10</v>
      </c>
      <c r="AM221" s="23" t="s">
        <v>79</v>
      </c>
      <c r="AN221" s="55">
        <v>45021</v>
      </c>
      <c r="AO221" s="53">
        <f>DAY(cadangan[[#This Row],[Tanggal terjual]])</f>
        <v>5</v>
      </c>
      <c r="AP221" s="21" t="str">
        <f>TEXT(cadangan[[#This Row],[Tanggal terjual]],"dddd")</f>
        <v>Wednesday</v>
      </c>
      <c r="AQ221" s="23" t="str" cm="1">
        <f t="array" ref="AQ2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1" s="61">
        <f>AVERAGE(cadangan[[#This Row],[Rating A]],cadangan[[#This Row],[Rating B]],cadangan[[#This Row],[Rating C]])</f>
        <v>4</v>
      </c>
    </row>
    <row r="222" spans="1:44" x14ac:dyDescent="0.2">
      <c r="A222" s="20">
        <v>221</v>
      </c>
      <c r="B222" s="21" t="str">
        <f>_xlfn.CONCAT("ORD-",INDEX(Helper!$B$2:$B$5,MATCH(cadangan[[#This Row],[Marketplace]],Helper!$A$2:$A$5,0)),TEXT(cadangan[[#This Row],[No]],"0000"),"-",TEXT(cadangan[[#This Row],[Tanggal terjual]],"dd/mm/yy"))</f>
        <v>ORD-SP0221-03/04/23</v>
      </c>
      <c r="C222" s="39" t="s">
        <v>65</v>
      </c>
      <c r="D222" s="39" t="str">
        <f>IFERROR(INDEX(Katalog!$A$3:$A$12,MATCH(cadangan[[#This Row],[ItemID A]],Katalog!$C$3:$C$12,0)),"-")</f>
        <v>Sepatu Pria</v>
      </c>
      <c r="E222" s="39" t="str">
        <f>IFERROR(INDEX(Katalog!$B$3:$B$12,MATCH(cadangan[[#This Row],[ItemID A]],Katalog!$C$3:$C$12,0)),"-")</f>
        <v>Sneakers</v>
      </c>
      <c r="F222" s="50">
        <v>2</v>
      </c>
      <c r="G222" s="50">
        <v>2</v>
      </c>
      <c r="H222" s="73">
        <f>IFERROR(INDEX(Katalog!$D$3:$D$12,MATCH(cadangan[[#This Row],[ItemID A]],Katalog!$C$3:$C$12,0))*cadangan[[#This Row],[Qty A]],0)</f>
        <v>1000000</v>
      </c>
      <c r="I222" s="73">
        <f>IFERROR(cadangan[[#This Row],[Harga Normal A]]-(cadangan[[#This Row],[Harga Normal A]]*cadangan[[#This Row],[Diskon]]),cadangan[[#This Row],[Harga Normal A]])</f>
        <v>900000</v>
      </c>
      <c r="J222" s="73">
        <f>INDEX(Katalog!$F$3:$F$12,MATCH(cadangan[[#This Row],[ItemID A]],Katalog!$C$3:$C$12,0))*cadangan[[#This Row],[Qty A]]</f>
        <v>400000</v>
      </c>
      <c r="K222" s="73">
        <f>IFERROR(cadangan[[#This Row],[Harga Diskon A]]-INDEX(Katalog!$E$3:$E$12,MATCH(cadangan[[#This Row],[ItemID A]],Katalog!$C$3:$C$12,0))*cadangan[[#This Row],[Qty A]],0)</f>
        <v>300000</v>
      </c>
      <c r="L222" s="39" t="s">
        <v>61</v>
      </c>
      <c r="M222" s="39" t="str">
        <f>IFERROR(INDEX(Katalog!$A$3:$A$12,MATCH(cadangan[[#This Row],[ItemID B]],Katalog!$C$3:$C$12,0)),"-")</f>
        <v>Pakaian Pria</v>
      </c>
      <c r="N222" s="39" t="str">
        <f>IFERROR(INDEX(Katalog!$B$3:$B$12,MATCH(cadangan[[#This Row],[ItemID B]],Katalog!$C$3:$C$12,0)),"-")</f>
        <v>Kaos Polo</v>
      </c>
      <c r="O222" s="50">
        <v>1</v>
      </c>
      <c r="P222" s="50">
        <v>4</v>
      </c>
      <c r="Q222" s="73">
        <f>IFERROR(INDEX(Katalog!$D$3:$D$12,MATCH(cadangan[[#This Row],[ItemID B]],Katalog!$C$3:$C$12,0))*cadangan[[#This Row],[Qty B]],0)</f>
        <v>200000</v>
      </c>
      <c r="R222" s="73">
        <f>IFERROR(cadangan[[#This Row],[Harga Normal B]]-(cadangan[[#This Row],[Harga Normal B]]*cadangan[[#This Row],[Diskon]]),cadangan[[#This Row],[Harga Normal B]])</f>
        <v>180000</v>
      </c>
      <c r="S222" s="73">
        <f>IFERROR(INDEX(Katalog!$F$3:$F$12,MATCH(cadangan[[#This Row],[ItemID B]],Katalog!$C$3:$C$12,0))*cadangan[[#This Row],[Qty B]],0)</f>
        <v>80000</v>
      </c>
      <c r="T222" s="73">
        <f>IFERROR(cadangan[[#This Row],[Harga Diskon B]]-INDEX(Katalog!$E$3:$E$12,MATCH(cadangan[[#This Row],[ItemID B]],Katalog!$C$3:$C$12,0))*cadangan[[#This Row],[Qty B]],0)</f>
        <v>60000</v>
      </c>
      <c r="V222" s="39" t="str">
        <f>IFERROR(INDEX(Katalog!$A$3:$A$12,MATCH(cadangan[[#This Row],[ItemID C]],Katalog!$C$3:$C$12,0)),"-")</f>
        <v>-</v>
      </c>
      <c r="W222" s="39" t="str">
        <f>IFERROR(INDEX(Katalog!$B$3:$B$12,MATCH(cadangan[[#This Row],[ItemID C]],Katalog!$C$3:$C$12,0)),"-")</f>
        <v>-</v>
      </c>
      <c r="Z222" s="73">
        <f>IFERROR(INDEX(Katalog!$D$3:$D$12,MATCH(cadangan[[#This Row],[ItemID C]],Katalog!$C$3:$C$12,0))*cadangan[[#This Row],[Qty C]],0)</f>
        <v>0</v>
      </c>
      <c r="AA222" s="73">
        <f>IFERROR(cadangan[[#This Row],[Harga Normal C]]-(cadangan[[#This Row],[Harga Normal C]]*cadangan[[#This Row],[Diskon]]),cadangan[[#This Row],[Harga Normal C]])</f>
        <v>0</v>
      </c>
      <c r="AB222" s="73">
        <f>IFERROR(INDEX(Katalog!$F$3:$F$12,MATCH(cadangan[[#This Row],[ItemID C]],Katalog!$C$3:$C$12,0))*cadangan[[#This Row],[Qty C]],0)</f>
        <v>0</v>
      </c>
      <c r="AC222" s="73">
        <f>IFERROR(cadangan[[#This Row],[Harga Diskon C]]-INDEX(Katalog!$E$3:$E$12,MATCH(cadangan[[#This Row],[ItemID C]],Katalog!$C$3:$C$12,0))*cadangan[[#This Row],[Qty C]],0)</f>
        <v>0</v>
      </c>
      <c r="AD222" s="53">
        <f>cadangan[[#This Row],[Qty A]]+cadangan[[#This Row],[Qty B]]+cadangan[[#This Row],[Qty C]]</f>
        <v>3</v>
      </c>
      <c r="AE222" s="73">
        <f>cadangan[[#This Row],[Harga Normal A]]+cadangan[[#This Row],[Harga Normal B]]+cadangan[[#This Row],[Harga Normal C]]</f>
        <v>1200000</v>
      </c>
      <c r="AF222" s="73">
        <f>cadangan[[#This Row],[Harga Diskon A]]+cadangan[[#This Row],[Harga Diskon B]]+cadangan[[#This Row],[Harga Diskon C]]</f>
        <v>1080000</v>
      </c>
      <c r="AG222" s="73">
        <f>(cadangan[[#This Row],[Profit Normal A]]+cadangan[[#This Row],[Profit Normal B]]+cadangan[[#This Row],[Profit Normal C]])</f>
        <v>480000</v>
      </c>
      <c r="AH222" s="73">
        <f>cadangan[[#This Row],[Profit Diskon A]]+cadangan[[#This Row],[Profit Diskon B]]+cadangan[[#This Row],[Profit Diskon C]]</f>
        <v>360000</v>
      </c>
      <c r="AI222" s="23" t="s">
        <v>6</v>
      </c>
      <c r="AJ222" s="37">
        <f>IFERROR(INDEX('Kode Diskon'!$D$3:$D$9,MATCH(cadangan[[#This Row],[Kode diskon]],'Kode Diskon'!$C$3:$C$9,0)),"-")</f>
        <v>0.1</v>
      </c>
      <c r="AK222" s="23" t="s">
        <v>29</v>
      </c>
      <c r="AL222" s="23" t="s">
        <v>7</v>
      </c>
      <c r="AM222" s="23" t="s">
        <v>77</v>
      </c>
      <c r="AN222" s="55">
        <v>45019</v>
      </c>
      <c r="AO222" s="53">
        <f>DAY(cadangan[[#This Row],[Tanggal terjual]])</f>
        <v>3</v>
      </c>
      <c r="AP222" s="21" t="str">
        <f>TEXT(cadangan[[#This Row],[Tanggal terjual]],"dddd")</f>
        <v>Monday</v>
      </c>
      <c r="AQ222" s="23" t="str" cm="1">
        <f t="array" ref="AQ2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2" s="61">
        <f>AVERAGE(cadangan[[#This Row],[Rating A]],cadangan[[#This Row],[Rating B]],cadangan[[#This Row],[Rating C]])</f>
        <v>3</v>
      </c>
    </row>
    <row r="223" spans="1:44" x14ac:dyDescent="0.2">
      <c r="A223" s="20">
        <v>222</v>
      </c>
      <c r="B223" s="21" t="str">
        <f>_xlfn.CONCAT("ORD-",INDEX(Helper!$B$2:$B$5,MATCH(cadangan[[#This Row],[Marketplace]],Helper!$A$2:$A$5,0)),TEXT(cadangan[[#This Row],[No]],"0000"),"-",TEXT(cadangan[[#This Row],[Tanggal terjual]],"dd/mm/yy"))</f>
        <v>ORD-TK0222-22/04/23</v>
      </c>
      <c r="C223" s="39" t="s">
        <v>61</v>
      </c>
      <c r="D223" s="39" t="str">
        <f>IFERROR(INDEX(Katalog!$A$3:$A$12,MATCH(cadangan[[#This Row],[ItemID A]],Katalog!$C$3:$C$12,0)),"-")</f>
        <v>Pakaian Pria</v>
      </c>
      <c r="E223" s="39" t="str">
        <f>IFERROR(INDEX(Katalog!$B$3:$B$12,MATCH(cadangan[[#This Row],[ItemID A]],Katalog!$C$3:$C$12,0)),"-")</f>
        <v>Kaos Polo</v>
      </c>
      <c r="F223" s="50">
        <v>2</v>
      </c>
      <c r="G223" s="50">
        <v>3</v>
      </c>
      <c r="H223" s="73">
        <f>IFERROR(INDEX(Katalog!$D$3:$D$12,MATCH(cadangan[[#This Row],[ItemID A]],Katalog!$C$3:$C$12,0))*cadangan[[#This Row],[Qty A]],0)</f>
        <v>400000</v>
      </c>
      <c r="I223" s="73">
        <f>IFERROR(cadangan[[#This Row],[Harga Normal A]]-(cadangan[[#This Row],[Harga Normal A]]*cadangan[[#This Row],[Diskon]]),cadangan[[#This Row],[Harga Normal A]])</f>
        <v>360000</v>
      </c>
      <c r="J223" s="73">
        <f>INDEX(Katalog!$F$3:$F$12,MATCH(cadangan[[#This Row],[ItemID A]],Katalog!$C$3:$C$12,0))*cadangan[[#This Row],[Qty A]]</f>
        <v>160000</v>
      </c>
      <c r="K223" s="73">
        <f>IFERROR(cadangan[[#This Row],[Harga Diskon A]]-INDEX(Katalog!$E$3:$E$12,MATCH(cadangan[[#This Row],[ItemID A]],Katalog!$C$3:$C$12,0))*cadangan[[#This Row],[Qty A]],0)</f>
        <v>120000</v>
      </c>
      <c r="M223" s="39" t="str">
        <f>IFERROR(INDEX(Katalog!$A$3:$A$12,MATCH(cadangan[[#This Row],[ItemID B]],Katalog!$C$3:$C$12,0)),"-")</f>
        <v>-</v>
      </c>
      <c r="N223" s="39" t="str">
        <f>IFERROR(INDEX(Katalog!$B$3:$B$12,MATCH(cadangan[[#This Row],[ItemID B]],Katalog!$C$3:$C$12,0)),"-")</f>
        <v>-</v>
      </c>
      <c r="Q223" s="73">
        <f>IFERROR(INDEX(Katalog!$D$3:$D$12,MATCH(cadangan[[#This Row],[ItemID B]],Katalog!$C$3:$C$12,0))*cadangan[[#This Row],[Qty B]],0)</f>
        <v>0</v>
      </c>
      <c r="R223" s="73">
        <f>IFERROR(cadangan[[#This Row],[Harga Normal B]]-(cadangan[[#This Row],[Harga Normal B]]*cadangan[[#This Row],[Diskon]]),cadangan[[#This Row],[Harga Normal B]])</f>
        <v>0</v>
      </c>
      <c r="S223" s="73">
        <f>IFERROR(INDEX(Katalog!$F$3:$F$12,MATCH(cadangan[[#This Row],[ItemID B]],Katalog!$C$3:$C$12,0))*cadangan[[#This Row],[Qty B]],0)</f>
        <v>0</v>
      </c>
      <c r="T223" s="73">
        <f>IFERROR(cadangan[[#This Row],[Harga Diskon B]]-INDEX(Katalog!$E$3:$E$12,MATCH(cadangan[[#This Row],[ItemID B]],Katalog!$C$3:$C$12,0))*cadangan[[#This Row],[Qty B]],0)</f>
        <v>0</v>
      </c>
      <c r="V223" s="39" t="str">
        <f>IFERROR(INDEX(Katalog!$A$3:$A$12,MATCH(cadangan[[#This Row],[ItemID C]],Katalog!$C$3:$C$12,0)),"-")</f>
        <v>-</v>
      </c>
      <c r="W223" s="39" t="str">
        <f>IFERROR(INDEX(Katalog!$B$3:$B$12,MATCH(cadangan[[#This Row],[ItemID C]],Katalog!$C$3:$C$12,0)),"-")</f>
        <v>-</v>
      </c>
      <c r="Z223" s="73">
        <f>IFERROR(INDEX(Katalog!$D$3:$D$12,MATCH(cadangan[[#This Row],[ItemID C]],Katalog!$C$3:$C$12,0))*cadangan[[#This Row],[Qty C]],0)</f>
        <v>0</v>
      </c>
      <c r="AA223" s="73">
        <f>IFERROR(cadangan[[#This Row],[Harga Normal C]]-(cadangan[[#This Row],[Harga Normal C]]*cadangan[[#This Row],[Diskon]]),cadangan[[#This Row],[Harga Normal C]])</f>
        <v>0</v>
      </c>
      <c r="AB223" s="73">
        <f>IFERROR(INDEX(Katalog!$F$3:$F$12,MATCH(cadangan[[#This Row],[ItemID C]],Katalog!$C$3:$C$12,0))*cadangan[[#This Row],[Qty C]],0)</f>
        <v>0</v>
      </c>
      <c r="AC223" s="73">
        <f>IFERROR(cadangan[[#This Row],[Harga Diskon C]]-INDEX(Katalog!$E$3:$E$12,MATCH(cadangan[[#This Row],[ItemID C]],Katalog!$C$3:$C$12,0))*cadangan[[#This Row],[Qty C]],0)</f>
        <v>0</v>
      </c>
      <c r="AD223" s="53">
        <f>cadangan[[#This Row],[Qty A]]+cadangan[[#This Row],[Qty B]]+cadangan[[#This Row],[Qty C]]</f>
        <v>2</v>
      </c>
      <c r="AE223" s="73">
        <f>cadangan[[#This Row],[Harga Normal A]]+cadangan[[#This Row],[Harga Normal B]]+cadangan[[#This Row],[Harga Normal C]]</f>
        <v>400000</v>
      </c>
      <c r="AF223" s="73">
        <f>cadangan[[#This Row],[Harga Diskon A]]+cadangan[[#This Row],[Harga Diskon B]]+cadangan[[#This Row],[Harga Diskon C]]</f>
        <v>360000</v>
      </c>
      <c r="AG223" s="73">
        <f>(cadangan[[#This Row],[Profit Normal A]]+cadangan[[#This Row],[Profit Normal B]]+cadangan[[#This Row],[Profit Normal C]])</f>
        <v>160000</v>
      </c>
      <c r="AH223" s="73">
        <f>cadangan[[#This Row],[Profit Diskon A]]+cadangan[[#This Row],[Profit Diskon B]]+cadangan[[#This Row],[Profit Diskon C]]</f>
        <v>120000</v>
      </c>
      <c r="AI223" s="23" t="s">
        <v>31</v>
      </c>
      <c r="AJ223" s="37">
        <f>IFERROR(INDEX('Kode Diskon'!$D$3:$D$9,MATCH(cadangan[[#This Row],[Kode diskon]],'Kode Diskon'!$C$3:$C$9,0)),"-")</f>
        <v>0.1</v>
      </c>
      <c r="AK223" s="23" t="s">
        <v>9</v>
      </c>
      <c r="AL223" s="23" t="s">
        <v>10</v>
      </c>
      <c r="AM223" s="23" t="s">
        <v>79</v>
      </c>
      <c r="AN223" s="55">
        <v>45038</v>
      </c>
      <c r="AO223" s="53">
        <f>DAY(cadangan[[#This Row],[Tanggal terjual]])</f>
        <v>22</v>
      </c>
      <c r="AP223" s="21" t="str">
        <f>TEXT(cadangan[[#This Row],[Tanggal terjual]],"dddd")</f>
        <v>Saturday</v>
      </c>
      <c r="AQ223" s="23" t="str" cm="1">
        <f t="array" ref="AQ2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23" s="61">
        <f>AVERAGE(cadangan[[#This Row],[Rating A]],cadangan[[#This Row],[Rating B]],cadangan[[#This Row],[Rating C]])</f>
        <v>3</v>
      </c>
    </row>
    <row r="224" spans="1:44" x14ac:dyDescent="0.2">
      <c r="A224" s="20">
        <v>223</v>
      </c>
      <c r="B224" s="21" t="str">
        <f>_xlfn.CONCAT("ORD-",INDEX(Helper!$B$2:$B$5,MATCH(cadangan[[#This Row],[Marketplace]],Helper!$A$2:$A$5,0)),TEXT(cadangan[[#This Row],[No]],"0000"),"-",TEXT(cadangan[[#This Row],[Tanggal terjual]],"dd/mm/yy"))</f>
        <v>ORD-TK0223-05/04/23</v>
      </c>
      <c r="C224" s="39" t="s">
        <v>60</v>
      </c>
      <c r="D224" s="39" t="str">
        <f>IFERROR(INDEX(Katalog!$A$3:$A$12,MATCH(cadangan[[#This Row],[ItemID A]],Katalog!$C$3:$C$12,0)),"-")</f>
        <v>Pakaian Wanita</v>
      </c>
      <c r="E224" s="39" t="str">
        <f>IFERROR(INDEX(Katalog!$B$3:$B$12,MATCH(cadangan[[#This Row],[ItemID A]],Katalog!$C$3:$C$12,0)),"-")</f>
        <v>Kaftan</v>
      </c>
      <c r="F224" s="50">
        <v>5</v>
      </c>
      <c r="G224" s="50">
        <v>3</v>
      </c>
      <c r="H224" s="73">
        <f>IFERROR(INDEX(Katalog!$D$3:$D$12,MATCH(cadangan[[#This Row],[ItemID A]],Katalog!$C$3:$C$12,0))*cadangan[[#This Row],[Qty A]],0)</f>
        <v>1250000</v>
      </c>
      <c r="I224" s="73">
        <f>IFERROR(cadangan[[#This Row],[Harga Normal A]]-(cadangan[[#This Row],[Harga Normal A]]*cadangan[[#This Row],[Diskon]]),cadangan[[#This Row],[Harga Normal A]])</f>
        <v>1125000</v>
      </c>
      <c r="J224" s="73">
        <f>INDEX(Katalog!$F$3:$F$12,MATCH(cadangan[[#This Row],[ItemID A]],Katalog!$C$3:$C$12,0))*cadangan[[#This Row],[Qty A]]</f>
        <v>500000</v>
      </c>
      <c r="K224" s="73">
        <f>IFERROR(cadangan[[#This Row],[Harga Diskon A]]-INDEX(Katalog!$E$3:$E$12,MATCH(cadangan[[#This Row],[ItemID A]],Katalog!$C$3:$C$12,0))*cadangan[[#This Row],[Qty A]],0)</f>
        <v>375000</v>
      </c>
      <c r="M224" s="39" t="str">
        <f>IFERROR(INDEX(Katalog!$A$3:$A$12,MATCH(cadangan[[#This Row],[ItemID B]],Katalog!$C$3:$C$12,0)),"-")</f>
        <v>-</v>
      </c>
      <c r="N224" s="39" t="str">
        <f>IFERROR(INDEX(Katalog!$B$3:$B$12,MATCH(cadangan[[#This Row],[ItemID B]],Katalog!$C$3:$C$12,0)),"-")</f>
        <v>-</v>
      </c>
      <c r="Q224" s="73">
        <f>IFERROR(INDEX(Katalog!$D$3:$D$12,MATCH(cadangan[[#This Row],[ItemID B]],Katalog!$C$3:$C$12,0))*cadangan[[#This Row],[Qty B]],0)</f>
        <v>0</v>
      </c>
      <c r="R224" s="73">
        <f>IFERROR(cadangan[[#This Row],[Harga Normal B]]-(cadangan[[#This Row],[Harga Normal B]]*cadangan[[#This Row],[Diskon]]),cadangan[[#This Row],[Harga Normal B]])</f>
        <v>0</v>
      </c>
      <c r="S224" s="73">
        <f>IFERROR(INDEX(Katalog!$F$3:$F$12,MATCH(cadangan[[#This Row],[ItemID B]],Katalog!$C$3:$C$12,0))*cadangan[[#This Row],[Qty B]],0)</f>
        <v>0</v>
      </c>
      <c r="T224" s="73">
        <f>IFERROR(cadangan[[#This Row],[Harga Diskon B]]-INDEX(Katalog!$E$3:$E$12,MATCH(cadangan[[#This Row],[ItemID B]],Katalog!$C$3:$C$12,0))*cadangan[[#This Row],[Qty B]],0)</f>
        <v>0</v>
      </c>
      <c r="V224" s="39" t="str">
        <f>IFERROR(INDEX(Katalog!$A$3:$A$12,MATCH(cadangan[[#This Row],[ItemID C]],Katalog!$C$3:$C$12,0)),"-")</f>
        <v>-</v>
      </c>
      <c r="W224" s="39" t="str">
        <f>IFERROR(INDEX(Katalog!$B$3:$B$12,MATCH(cadangan[[#This Row],[ItemID C]],Katalog!$C$3:$C$12,0)),"-")</f>
        <v>-</v>
      </c>
      <c r="Z224" s="73">
        <f>IFERROR(INDEX(Katalog!$D$3:$D$12,MATCH(cadangan[[#This Row],[ItemID C]],Katalog!$C$3:$C$12,0))*cadangan[[#This Row],[Qty C]],0)</f>
        <v>0</v>
      </c>
      <c r="AA224" s="73">
        <f>IFERROR(cadangan[[#This Row],[Harga Normal C]]-(cadangan[[#This Row],[Harga Normal C]]*cadangan[[#This Row],[Diskon]]),cadangan[[#This Row],[Harga Normal C]])</f>
        <v>0</v>
      </c>
      <c r="AB224" s="73">
        <f>IFERROR(INDEX(Katalog!$F$3:$F$12,MATCH(cadangan[[#This Row],[ItemID C]],Katalog!$C$3:$C$12,0))*cadangan[[#This Row],[Qty C]],0)</f>
        <v>0</v>
      </c>
      <c r="AC224" s="73">
        <f>IFERROR(cadangan[[#This Row],[Harga Diskon C]]-INDEX(Katalog!$E$3:$E$12,MATCH(cadangan[[#This Row],[ItemID C]],Katalog!$C$3:$C$12,0))*cadangan[[#This Row],[Qty C]],0)</f>
        <v>0</v>
      </c>
      <c r="AD224" s="53">
        <f>cadangan[[#This Row],[Qty A]]+cadangan[[#This Row],[Qty B]]+cadangan[[#This Row],[Qty C]]</f>
        <v>5</v>
      </c>
      <c r="AE224" s="73">
        <f>cadangan[[#This Row],[Harga Normal A]]+cadangan[[#This Row],[Harga Normal B]]+cadangan[[#This Row],[Harga Normal C]]</f>
        <v>1250000</v>
      </c>
      <c r="AF224" s="73">
        <f>cadangan[[#This Row],[Harga Diskon A]]+cadangan[[#This Row],[Harga Diskon B]]+cadangan[[#This Row],[Harga Diskon C]]</f>
        <v>1125000</v>
      </c>
      <c r="AG224" s="73">
        <f>(cadangan[[#This Row],[Profit Normal A]]+cadangan[[#This Row],[Profit Normal B]]+cadangan[[#This Row],[Profit Normal C]])</f>
        <v>500000</v>
      </c>
      <c r="AH224" s="73">
        <f>cadangan[[#This Row],[Profit Diskon A]]+cadangan[[#This Row],[Profit Diskon B]]+cadangan[[#This Row],[Profit Diskon C]]</f>
        <v>375000</v>
      </c>
      <c r="AI224" s="23" t="s">
        <v>30</v>
      </c>
      <c r="AJ224" s="37">
        <f>IFERROR(INDEX('Kode Diskon'!$D$3:$D$9,MATCH(cadangan[[#This Row],[Kode diskon]],'Kode Diskon'!$C$3:$C$9,0)),"-")</f>
        <v>0.1</v>
      </c>
      <c r="AK224" s="23" t="s">
        <v>29</v>
      </c>
      <c r="AL224" s="23" t="s">
        <v>10</v>
      </c>
      <c r="AM224" s="23" t="s">
        <v>80</v>
      </c>
      <c r="AN224" s="55">
        <v>45021</v>
      </c>
      <c r="AO224" s="53">
        <f>DAY(cadangan[[#This Row],[Tanggal terjual]])</f>
        <v>5</v>
      </c>
      <c r="AP224" s="21" t="str">
        <f>TEXT(cadangan[[#This Row],[Tanggal terjual]],"dddd")</f>
        <v>Wednesday</v>
      </c>
      <c r="AQ224" s="23" t="str" cm="1">
        <f t="array" ref="AQ2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4" s="61">
        <f>AVERAGE(cadangan[[#This Row],[Rating A]],cadangan[[#This Row],[Rating B]],cadangan[[#This Row],[Rating C]])</f>
        <v>3</v>
      </c>
    </row>
    <row r="225" spans="1:44" x14ac:dyDescent="0.2">
      <c r="A225" s="20">
        <v>224</v>
      </c>
      <c r="B225" s="21" t="str">
        <f>_xlfn.CONCAT("ORD-",INDEX(Helper!$B$2:$B$5,MATCH(cadangan[[#This Row],[Marketplace]],Helper!$A$2:$A$5,0)),TEXT(cadangan[[#This Row],[No]],"0000"),"-",TEXT(cadangan[[#This Row],[Tanggal terjual]],"dd/mm/yy"))</f>
        <v>ORD-SP0224-30/04/23</v>
      </c>
      <c r="C225" s="39" t="s">
        <v>65</v>
      </c>
      <c r="D225" s="39" t="str">
        <f>IFERROR(INDEX(Katalog!$A$3:$A$12,MATCH(cadangan[[#This Row],[ItemID A]],Katalog!$C$3:$C$12,0)),"-")</f>
        <v>Sepatu Pria</v>
      </c>
      <c r="E225" s="39" t="str">
        <f>IFERROR(INDEX(Katalog!$B$3:$B$12,MATCH(cadangan[[#This Row],[ItemID A]],Katalog!$C$3:$C$12,0)),"-")</f>
        <v>Sneakers</v>
      </c>
      <c r="F225" s="50">
        <v>3</v>
      </c>
      <c r="G225" s="50">
        <v>5</v>
      </c>
      <c r="H225" s="73">
        <f>IFERROR(INDEX(Katalog!$D$3:$D$12,MATCH(cadangan[[#This Row],[ItemID A]],Katalog!$C$3:$C$12,0))*cadangan[[#This Row],[Qty A]],0)</f>
        <v>1500000</v>
      </c>
      <c r="I225" s="73">
        <f>IFERROR(cadangan[[#This Row],[Harga Normal A]]-(cadangan[[#This Row],[Harga Normal A]]*cadangan[[#This Row],[Diskon]]),cadangan[[#This Row],[Harga Normal A]])</f>
        <v>1200000</v>
      </c>
      <c r="J225" s="73">
        <f>INDEX(Katalog!$F$3:$F$12,MATCH(cadangan[[#This Row],[ItemID A]],Katalog!$C$3:$C$12,0))*cadangan[[#This Row],[Qty A]]</f>
        <v>600000</v>
      </c>
      <c r="K225" s="73">
        <f>IFERROR(cadangan[[#This Row],[Harga Diskon A]]-INDEX(Katalog!$E$3:$E$12,MATCH(cadangan[[#This Row],[ItemID A]],Katalog!$C$3:$C$12,0))*cadangan[[#This Row],[Qty A]],0)</f>
        <v>300000</v>
      </c>
      <c r="M225" s="39" t="str">
        <f>IFERROR(INDEX(Katalog!$A$3:$A$12,MATCH(cadangan[[#This Row],[ItemID B]],Katalog!$C$3:$C$12,0)),"-")</f>
        <v>-</v>
      </c>
      <c r="N225" s="39" t="str">
        <f>IFERROR(INDEX(Katalog!$B$3:$B$12,MATCH(cadangan[[#This Row],[ItemID B]],Katalog!$C$3:$C$12,0)),"-")</f>
        <v>-</v>
      </c>
      <c r="Q225" s="73">
        <f>IFERROR(INDEX(Katalog!$D$3:$D$12,MATCH(cadangan[[#This Row],[ItemID B]],Katalog!$C$3:$C$12,0))*cadangan[[#This Row],[Qty B]],0)</f>
        <v>0</v>
      </c>
      <c r="R225" s="73">
        <f>IFERROR(cadangan[[#This Row],[Harga Normal B]]-(cadangan[[#This Row],[Harga Normal B]]*cadangan[[#This Row],[Diskon]]),cadangan[[#This Row],[Harga Normal B]])</f>
        <v>0</v>
      </c>
      <c r="S225" s="73">
        <f>IFERROR(INDEX(Katalog!$F$3:$F$12,MATCH(cadangan[[#This Row],[ItemID B]],Katalog!$C$3:$C$12,0))*cadangan[[#This Row],[Qty B]],0)</f>
        <v>0</v>
      </c>
      <c r="T225" s="73">
        <f>IFERROR(cadangan[[#This Row],[Harga Diskon B]]-INDEX(Katalog!$E$3:$E$12,MATCH(cadangan[[#This Row],[ItemID B]],Katalog!$C$3:$C$12,0))*cadangan[[#This Row],[Qty B]],0)</f>
        <v>0</v>
      </c>
      <c r="V225" s="39" t="str">
        <f>IFERROR(INDEX(Katalog!$A$3:$A$12,MATCH(cadangan[[#This Row],[ItemID C]],Katalog!$C$3:$C$12,0)),"-")</f>
        <v>-</v>
      </c>
      <c r="W225" s="39" t="str">
        <f>IFERROR(INDEX(Katalog!$B$3:$B$12,MATCH(cadangan[[#This Row],[ItemID C]],Katalog!$C$3:$C$12,0)),"-")</f>
        <v>-</v>
      </c>
      <c r="Z225" s="73">
        <f>IFERROR(INDEX(Katalog!$D$3:$D$12,MATCH(cadangan[[#This Row],[ItemID C]],Katalog!$C$3:$C$12,0))*cadangan[[#This Row],[Qty C]],0)</f>
        <v>0</v>
      </c>
      <c r="AA225" s="73">
        <f>IFERROR(cadangan[[#This Row],[Harga Normal C]]-(cadangan[[#This Row],[Harga Normal C]]*cadangan[[#This Row],[Diskon]]),cadangan[[#This Row],[Harga Normal C]])</f>
        <v>0</v>
      </c>
      <c r="AB225" s="73">
        <f>IFERROR(INDEX(Katalog!$F$3:$F$12,MATCH(cadangan[[#This Row],[ItemID C]],Katalog!$C$3:$C$12,0))*cadangan[[#This Row],[Qty C]],0)</f>
        <v>0</v>
      </c>
      <c r="AC225" s="73">
        <f>IFERROR(cadangan[[#This Row],[Harga Diskon C]]-INDEX(Katalog!$E$3:$E$12,MATCH(cadangan[[#This Row],[ItemID C]],Katalog!$C$3:$C$12,0))*cadangan[[#This Row],[Qty C]],0)</f>
        <v>0</v>
      </c>
      <c r="AD225" s="53">
        <f>cadangan[[#This Row],[Qty A]]+cadangan[[#This Row],[Qty B]]+cadangan[[#This Row],[Qty C]]</f>
        <v>3</v>
      </c>
      <c r="AE225" s="73">
        <f>cadangan[[#This Row],[Harga Normal A]]+cadangan[[#This Row],[Harga Normal B]]+cadangan[[#This Row],[Harga Normal C]]</f>
        <v>1500000</v>
      </c>
      <c r="AF225" s="73">
        <f>cadangan[[#This Row],[Harga Diskon A]]+cadangan[[#This Row],[Harga Diskon B]]+cadangan[[#This Row],[Harga Diskon C]]</f>
        <v>1200000</v>
      </c>
      <c r="AG225" s="73">
        <f>(cadangan[[#This Row],[Profit Normal A]]+cadangan[[#This Row],[Profit Normal B]]+cadangan[[#This Row],[Profit Normal C]])</f>
        <v>600000</v>
      </c>
      <c r="AH225" s="73">
        <f>cadangan[[#This Row],[Profit Diskon A]]+cadangan[[#This Row],[Profit Diskon B]]+cadangan[[#This Row],[Profit Diskon C]]</f>
        <v>300000</v>
      </c>
      <c r="AI225" s="23" t="s">
        <v>8</v>
      </c>
      <c r="AJ225" s="37">
        <f>IFERROR(INDEX('Kode Diskon'!$D$3:$D$9,MATCH(cadangan[[#This Row],[Kode diskon]],'Kode Diskon'!$C$3:$C$9,0)),"-")</f>
        <v>0.2</v>
      </c>
      <c r="AK225" s="23" t="s">
        <v>9</v>
      </c>
      <c r="AL225" s="23" t="s">
        <v>7</v>
      </c>
      <c r="AM225" s="23" t="s">
        <v>75</v>
      </c>
      <c r="AN225" s="55">
        <v>45046</v>
      </c>
      <c r="AO225" s="53">
        <f>DAY(cadangan[[#This Row],[Tanggal terjual]])</f>
        <v>30</v>
      </c>
      <c r="AP225" s="21" t="str">
        <f>TEXT(cadangan[[#This Row],[Tanggal terjual]],"dddd")</f>
        <v>Sunday</v>
      </c>
      <c r="AQ225" s="23" t="str" cm="1">
        <f t="array" ref="AQ2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25" s="61">
        <f>AVERAGE(cadangan[[#This Row],[Rating A]],cadangan[[#This Row],[Rating B]],cadangan[[#This Row],[Rating C]])</f>
        <v>5</v>
      </c>
    </row>
    <row r="226" spans="1:44" x14ac:dyDescent="0.2">
      <c r="A226" s="20">
        <v>225</v>
      </c>
      <c r="B226" s="21" t="str">
        <f>_xlfn.CONCAT("ORD-",INDEX(Helper!$B$2:$B$5,MATCH(cadangan[[#This Row],[Marketplace]],Helper!$A$2:$A$5,0)),TEXT(cadangan[[#This Row],[No]],"0000"),"-",TEXT(cadangan[[#This Row],[Tanggal terjual]],"dd/mm/yy"))</f>
        <v>ORD-SP0225-18/04/23</v>
      </c>
      <c r="C226" s="39" t="s">
        <v>59</v>
      </c>
      <c r="D226" s="39" t="str">
        <f>IFERROR(INDEX(Katalog!$A$3:$A$12,MATCH(cadangan[[#This Row],[ItemID A]],Katalog!$C$3:$C$12,0)),"-")</f>
        <v>Pakaian Wanita</v>
      </c>
      <c r="E226" s="39" t="str">
        <f>IFERROR(INDEX(Katalog!$B$3:$B$12,MATCH(cadangan[[#This Row],[ItemID A]],Katalog!$C$3:$C$12,0)),"-")</f>
        <v>Blouse</v>
      </c>
      <c r="F226" s="50">
        <v>2</v>
      </c>
      <c r="G226" s="50">
        <v>1</v>
      </c>
      <c r="H226" s="73">
        <f>IFERROR(INDEX(Katalog!$D$3:$D$12,MATCH(cadangan[[#This Row],[ItemID A]],Katalog!$C$3:$C$12,0))*cadangan[[#This Row],[Qty A]],0)</f>
        <v>300000</v>
      </c>
      <c r="I226" s="73">
        <f>IFERROR(cadangan[[#This Row],[Harga Normal A]]-(cadangan[[#This Row],[Harga Normal A]]*cadangan[[#This Row],[Diskon]]),cadangan[[#This Row],[Harga Normal A]])</f>
        <v>240000</v>
      </c>
      <c r="J226" s="73">
        <f>INDEX(Katalog!$F$3:$F$12,MATCH(cadangan[[#This Row],[ItemID A]],Katalog!$C$3:$C$12,0))*cadangan[[#This Row],[Qty A]]</f>
        <v>100000</v>
      </c>
      <c r="K226" s="73">
        <f>IFERROR(cadangan[[#This Row],[Harga Diskon A]]-INDEX(Katalog!$E$3:$E$12,MATCH(cadangan[[#This Row],[ItemID A]],Katalog!$C$3:$C$12,0))*cadangan[[#This Row],[Qty A]],0)</f>
        <v>40000</v>
      </c>
      <c r="M226" s="39" t="str">
        <f>IFERROR(INDEX(Katalog!$A$3:$A$12,MATCH(cadangan[[#This Row],[ItemID B]],Katalog!$C$3:$C$12,0)),"-")</f>
        <v>-</v>
      </c>
      <c r="N226" s="39" t="str">
        <f>IFERROR(INDEX(Katalog!$B$3:$B$12,MATCH(cadangan[[#This Row],[ItemID B]],Katalog!$C$3:$C$12,0)),"-")</f>
        <v>-</v>
      </c>
      <c r="Q226" s="73">
        <f>IFERROR(INDEX(Katalog!$D$3:$D$12,MATCH(cadangan[[#This Row],[ItemID B]],Katalog!$C$3:$C$12,0))*cadangan[[#This Row],[Qty B]],0)</f>
        <v>0</v>
      </c>
      <c r="R226" s="73">
        <f>IFERROR(cadangan[[#This Row],[Harga Normal B]]-(cadangan[[#This Row],[Harga Normal B]]*cadangan[[#This Row],[Diskon]]),cadangan[[#This Row],[Harga Normal B]])</f>
        <v>0</v>
      </c>
      <c r="S226" s="73">
        <f>IFERROR(INDEX(Katalog!$F$3:$F$12,MATCH(cadangan[[#This Row],[ItemID B]],Katalog!$C$3:$C$12,0))*cadangan[[#This Row],[Qty B]],0)</f>
        <v>0</v>
      </c>
      <c r="T226" s="73">
        <f>IFERROR(cadangan[[#This Row],[Harga Diskon B]]-INDEX(Katalog!$E$3:$E$12,MATCH(cadangan[[#This Row],[ItemID B]],Katalog!$C$3:$C$12,0))*cadangan[[#This Row],[Qty B]],0)</f>
        <v>0</v>
      </c>
      <c r="V226" s="39" t="str">
        <f>IFERROR(INDEX(Katalog!$A$3:$A$12,MATCH(cadangan[[#This Row],[ItemID C]],Katalog!$C$3:$C$12,0)),"-")</f>
        <v>-</v>
      </c>
      <c r="W226" s="39" t="str">
        <f>IFERROR(INDEX(Katalog!$B$3:$B$12,MATCH(cadangan[[#This Row],[ItemID C]],Katalog!$C$3:$C$12,0)),"-")</f>
        <v>-</v>
      </c>
      <c r="Z226" s="73">
        <f>IFERROR(INDEX(Katalog!$D$3:$D$12,MATCH(cadangan[[#This Row],[ItemID C]],Katalog!$C$3:$C$12,0))*cadangan[[#This Row],[Qty C]],0)</f>
        <v>0</v>
      </c>
      <c r="AA226" s="73">
        <f>IFERROR(cadangan[[#This Row],[Harga Normal C]]-(cadangan[[#This Row],[Harga Normal C]]*cadangan[[#This Row],[Diskon]]),cadangan[[#This Row],[Harga Normal C]])</f>
        <v>0</v>
      </c>
      <c r="AB226" s="73">
        <f>IFERROR(INDEX(Katalog!$F$3:$F$12,MATCH(cadangan[[#This Row],[ItemID C]],Katalog!$C$3:$C$12,0))*cadangan[[#This Row],[Qty C]],0)</f>
        <v>0</v>
      </c>
      <c r="AC226" s="73">
        <f>IFERROR(cadangan[[#This Row],[Harga Diskon C]]-INDEX(Katalog!$E$3:$E$12,MATCH(cadangan[[#This Row],[ItemID C]],Katalog!$C$3:$C$12,0))*cadangan[[#This Row],[Qty C]],0)</f>
        <v>0</v>
      </c>
      <c r="AD226" s="53">
        <f>cadangan[[#This Row],[Qty A]]+cadangan[[#This Row],[Qty B]]+cadangan[[#This Row],[Qty C]]</f>
        <v>2</v>
      </c>
      <c r="AE226" s="73">
        <f>cadangan[[#This Row],[Harga Normal A]]+cadangan[[#This Row],[Harga Normal B]]+cadangan[[#This Row],[Harga Normal C]]</f>
        <v>300000</v>
      </c>
      <c r="AF226" s="73">
        <f>cadangan[[#This Row],[Harga Diskon A]]+cadangan[[#This Row],[Harga Diskon B]]+cadangan[[#This Row],[Harga Diskon C]]</f>
        <v>240000</v>
      </c>
      <c r="AG226" s="73">
        <f>(cadangan[[#This Row],[Profit Normal A]]+cadangan[[#This Row],[Profit Normal B]]+cadangan[[#This Row],[Profit Normal C]])</f>
        <v>100000</v>
      </c>
      <c r="AH226" s="73">
        <f>cadangan[[#This Row],[Profit Diskon A]]+cadangan[[#This Row],[Profit Diskon B]]+cadangan[[#This Row],[Profit Diskon C]]</f>
        <v>40000</v>
      </c>
      <c r="AI226" s="23" t="s">
        <v>8</v>
      </c>
      <c r="AJ226" s="37">
        <f>IFERROR(INDEX('Kode Diskon'!$D$3:$D$9,MATCH(cadangan[[#This Row],[Kode diskon]],'Kode Diskon'!$C$3:$C$9,0)),"-")</f>
        <v>0.2</v>
      </c>
      <c r="AK226" s="23" t="s">
        <v>9</v>
      </c>
      <c r="AL226" s="23" t="s">
        <v>7</v>
      </c>
      <c r="AM226" s="23" t="s">
        <v>75</v>
      </c>
      <c r="AN226" s="55">
        <v>45034</v>
      </c>
      <c r="AO226" s="53">
        <f>DAY(cadangan[[#This Row],[Tanggal terjual]])</f>
        <v>18</v>
      </c>
      <c r="AP226" s="21" t="str">
        <f>TEXT(cadangan[[#This Row],[Tanggal terjual]],"dddd")</f>
        <v>Tuesday</v>
      </c>
      <c r="AQ226" s="23" t="str" cm="1">
        <f t="array" ref="AQ2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26" s="61">
        <f>AVERAGE(cadangan[[#This Row],[Rating A]],cadangan[[#This Row],[Rating B]],cadangan[[#This Row],[Rating C]])</f>
        <v>1</v>
      </c>
    </row>
    <row r="227" spans="1:44" x14ac:dyDescent="0.2">
      <c r="A227" s="20">
        <v>226</v>
      </c>
      <c r="B227" s="21" t="str">
        <f>_xlfn.CONCAT("ORD-",INDEX(Helper!$B$2:$B$5,MATCH(cadangan[[#This Row],[Marketplace]],Helper!$A$2:$A$5,0)),TEXT(cadangan[[#This Row],[No]],"0000"),"-",TEXT(cadangan[[#This Row],[Tanggal terjual]],"dd/mm/yy"))</f>
        <v>ORD-SP0226-06/04/23</v>
      </c>
      <c r="C227" s="39" t="s">
        <v>61</v>
      </c>
      <c r="D227" s="39" t="str">
        <f>IFERROR(INDEX(Katalog!$A$3:$A$12,MATCH(cadangan[[#This Row],[ItemID A]],Katalog!$C$3:$C$12,0)),"-")</f>
        <v>Pakaian Pria</v>
      </c>
      <c r="E227" s="39" t="str">
        <f>IFERROR(INDEX(Katalog!$B$3:$B$12,MATCH(cadangan[[#This Row],[ItemID A]],Katalog!$C$3:$C$12,0)),"-")</f>
        <v>Kaos Polo</v>
      </c>
      <c r="F227" s="50">
        <v>4</v>
      </c>
      <c r="G227" s="50">
        <v>2</v>
      </c>
      <c r="H227" s="73">
        <f>IFERROR(INDEX(Katalog!$D$3:$D$12,MATCH(cadangan[[#This Row],[ItemID A]],Katalog!$C$3:$C$12,0))*cadangan[[#This Row],[Qty A]],0)</f>
        <v>800000</v>
      </c>
      <c r="I227" s="73">
        <f>IFERROR(cadangan[[#This Row],[Harga Normal A]]-(cadangan[[#This Row],[Harga Normal A]]*cadangan[[#This Row],[Diskon]]),cadangan[[#This Row],[Harga Normal A]])</f>
        <v>680000</v>
      </c>
      <c r="J227" s="73">
        <f>INDEX(Katalog!$F$3:$F$12,MATCH(cadangan[[#This Row],[ItemID A]],Katalog!$C$3:$C$12,0))*cadangan[[#This Row],[Qty A]]</f>
        <v>320000</v>
      </c>
      <c r="K227" s="73">
        <f>IFERROR(cadangan[[#This Row],[Harga Diskon A]]-INDEX(Katalog!$E$3:$E$12,MATCH(cadangan[[#This Row],[ItemID A]],Katalog!$C$3:$C$12,0))*cadangan[[#This Row],[Qty A]],0)</f>
        <v>200000</v>
      </c>
      <c r="L227" s="39" t="s">
        <v>65</v>
      </c>
      <c r="M227" s="39" t="str">
        <f>IFERROR(INDEX(Katalog!$A$3:$A$12,MATCH(cadangan[[#This Row],[ItemID B]],Katalog!$C$3:$C$12,0)),"-")</f>
        <v>Sepatu Pria</v>
      </c>
      <c r="N227" s="39" t="str">
        <f>IFERROR(INDEX(Katalog!$B$3:$B$12,MATCH(cadangan[[#This Row],[ItemID B]],Katalog!$C$3:$C$12,0)),"-")</f>
        <v>Sneakers</v>
      </c>
      <c r="O227" s="50">
        <v>1</v>
      </c>
      <c r="P227" s="50">
        <v>1</v>
      </c>
      <c r="Q227" s="73">
        <f>IFERROR(INDEX(Katalog!$D$3:$D$12,MATCH(cadangan[[#This Row],[ItemID B]],Katalog!$C$3:$C$12,0))*cadangan[[#This Row],[Qty B]],0)</f>
        <v>500000</v>
      </c>
      <c r="R227" s="73">
        <f>IFERROR(cadangan[[#This Row],[Harga Normal B]]-(cadangan[[#This Row],[Harga Normal B]]*cadangan[[#This Row],[Diskon]]),cadangan[[#This Row],[Harga Normal B]])</f>
        <v>425000</v>
      </c>
      <c r="S227" s="73">
        <f>IFERROR(INDEX(Katalog!$F$3:$F$12,MATCH(cadangan[[#This Row],[ItemID B]],Katalog!$C$3:$C$12,0))*cadangan[[#This Row],[Qty B]],0)</f>
        <v>200000</v>
      </c>
      <c r="T227" s="73">
        <f>IFERROR(cadangan[[#This Row],[Harga Diskon B]]-INDEX(Katalog!$E$3:$E$12,MATCH(cadangan[[#This Row],[ItemID B]],Katalog!$C$3:$C$12,0))*cadangan[[#This Row],[Qty B]],0)</f>
        <v>125000</v>
      </c>
      <c r="V227" s="39" t="str">
        <f>IFERROR(INDEX(Katalog!$A$3:$A$12,MATCH(cadangan[[#This Row],[ItemID C]],Katalog!$C$3:$C$12,0)),"-")</f>
        <v>-</v>
      </c>
      <c r="W227" s="39" t="str">
        <f>IFERROR(INDEX(Katalog!$B$3:$B$12,MATCH(cadangan[[#This Row],[ItemID C]],Katalog!$C$3:$C$12,0)),"-")</f>
        <v>-</v>
      </c>
      <c r="Z227" s="73">
        <f>IFERROR(INDEX(Katalog!$D$3:$D$12,MATCH(cadangan[[#This Row],[ItemID C]],Katalog!$C$3:$C$12,0))*cadangan[[#This Row],[Qty C]],0)</f>
        <v>0</v>
      </c>
      <c r="AA227" s="73">
        <f>IFERROR(cadangan[[#This Row],[Harga Normal C]]-(cadangan[[#This Row],[Harga Normal C]]*cadangan[[#This Row],[Diskon]]),cadangan[[#This Row],[Harga Normal C]])</f>
        <v>0</v>
      </c>
      <c r="AB227" s="73">
        <f>IFERROR(INDEX(Katalog!$F$3:$F$12,MATCH(cadangan[[#This Row],[ItemID C]],Katalog!$C$3:$C$12,0))*cadangan[[#This Row],[Qty C]],0)</f>
        <v>0</v>
      </c>
      <c r="AC227" s="73">
        <f>IFERROR(cadangan[[#This Row],[Harga Diskon C]]-INDEX(Katalog!$E$3:$E$12,MATCH(cadangan[[#This Row],[ItemID C]],Katalog!$C$3:$C$12,0))*cadangan[[#This Row],[Qty C]],0)</f>
        <v>0</v>
      </c>
      <c r="AD227" s="53">
        <f>cadangan[[#This Row],[Qty A]]+cadangan[[#This Row],[Qty B]]+cadangan[[#This Row],[Qty C]]</f>
        <v>5</v>
      </c>
      <c r="AE227" s="73">
        <f>cadangan[[#This Row],[Harga Normal A]]+cadangan[[#This Row],[Harga Normal B]]+cadangan[[#This Row],[Harga Normal C]]</f>
        <v>1300000</v>
      </c>
      <c r="AF227" s="73">
        <f>cadangan[[#This Row],[Harga Diskon A]]+cadangan[[#This Row],[Harga Diskon B]]+cadangan[[#This Row],[Harga Diskon C]]</f>
        <v>1105000</v>
      </c>
      <c r="AG227" s="73">
        <f>(cadangan[[#This Row],[Profit Normal A]]+cadangan[[#This Row],[Profit Normal B]]+cadangan[[#This Row],[Profit Normal C]])</f>
        <v>520000</v>
      </c>
      <c r="AH227" s="73">
        <f>cadangan[[#This Row],[Profit Diskon A]]+cadangan[[#This Row],[Profit Diskon B]]+cadangan[[#This Row],[Profit Diskon C]]</f>
        <v>325000</v>
      </c>
      <c r="AI227" s="23" t="s">
        <v>13</v>
      </c>
      <c r="AJ227" s="37">
        <f>IFERROR(INDEX('Kode Diskon'!$D$3:$D$9,MATCH(cadangan[[#This Row],[Kode diskon]],'Kode Diskon'!$C$3:$C$9,0)),"-")</f>
        <v>0.15</v>
      </c>
      <c r="AK227" s="23" t="s">
        <v>29</v>
      </c>
      <c r="AL227" s="23" t="s">
        <v>7</v>
      </c>
      <c r="AM227" s="23" t="s">
        <v>76</v>
      </c>
      <c r="AN227" s="55">
        <v>45022</v>
      </c>
      <c r="AO227" s="53">
        <f>DAY(cadangan[[#This Row],[Tanggal terjual]])</f>
        <v>6</v>
      </c>
      <c r="AP227" s="21" t="str">
        <f>TEXT(cadangan[[#This Row],[Tanggal terjual]],"dddd")</f>
        <v>Thursday</v>
      </c>
      <c r="AQ227" s="23" t="str" cm="1">
        <f t="array" ref="AQ2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7" s="61">
        <f>AVERAGE(cadangan[[#This Row],[Rating A]],cadangan[[#This Row],[Rating B]],cadangan[[#This Row],[Rating C]])</f>
        <v>1.5</v>
      </c>
    </row>
    <row r="228" spans="1:44" x14ac:dyDescent="0.2">
      <c r="A228" s="20">
        <v>227</v>
      </c>
      <c r="B228" s="21" t="str">
        <f>_xlfn.CONCAT("ORD-",INDEX(Helper!$B$2:$B$5,MATCH(cadangan[[#This Row],[Marketplace]],Helper!$A$2:$A$5,0)),TEXT(cadangan[[#This Row],[No]],"0000"),"-",TEXT(cadangan[[#This Row],[Tanggal terjual]],"dd/mm/yy"))</f>
        <v>ORD-BB0227-05/04/23</v>
      </c>
      <c r="C228" s="39" t="s">
        <v>66</v>
      </c>
      <c r="D228" s="39" t="str">
        <f>IFERROR(INDEX(Katalog!$A$3:$A$12,MATCH(cadangan[[#This Row],[ItemID A]],Katalog!$C$3:$C$12,0)),"-")</f>
        <v>Sepatu Pria</v>
      </c>
      <c r="E228" s="39" t="str">
        <f>IFERROR(INDEX(Katalog!$B$3:$B$12,MATCH(cadangan[[#This Row],[ItemID A]],Katalog!$C$3:$C$12,0)),"-")</f>
        <v>Sandal Slip On</v>
      </c>
      <c r="F228" s="50">
        <v>2</v>
      </c>
      <c r="G228" s="50">
        <v>4</v>
      </c>
      <c r="H228" s="73">
        <f>IFERROR(INDEX(Katalog!$D$3:$D$12,MATCH(cadangan[[#This Row],[ItemID A]],Katalog!$C$3:$C$12,0))*cadangan[[#This Row],[Qty A]],0)</f>
        <v>300000</v>
      </c>
      <c r="I228" s="73">
        <f>IFERROR(cadangan[[#This Row],[Harga Normal A]]-(cadangan[[#This Row],[Harga Normal A]]*cadangan[[#This Row],[Diskon]]),cadangan[[#This Row],[Harga Normal A]])</f>
        <v>255000</v>
      </c>
      <c r="J228" s="73">
        <f>INDEX(Katalog!$F$3:$F$12,MATCH(cadangan[[#This Row],[ItemID A]],Katalog!$C$3:$C$12,0))*cadangan[[#This Row],[Qty A]]</f>
        <v>120000</v>
      </c>
      <c r="K228" s="73">
        <f>IFERROR(cadangan[[#This Row],[Harga Diskon A]]-INDEX(Katalog!$E$3:$E$12,MATCH(cadangan[[#This Row],[ItemID A]],Katalog!$C$3:$C$12,0))*cadangan[[#This Row],[Qty A]],0)</f>
        <v>75000</v>
      </c>
      <c r="M228" s="39" t="str">
        <f>IFERROR(INDEX(Katalog!$A$3:$A$12,MATCH(cadangan[[#This Row],[ItemID B]],Katalog!$C$3:$C$12,0)),"-")</f>
        <v>-</v>
      </c>
      <c r="N228" s="39" t="str">
        <f>IFERROR(INDEX(Katalog!$B$3:$B$12,MATCH(cadangan[[#This Row],[ItemID B]],Katalog!$C$3:$C$12,0)),"-")</f>
        <v>-</v>
      </c>
      <c r="Q228" s="73">
        <f>IFERROR(INDEX(Katalog!$D$3:$D$12,MATCH(cadangan[[#This Row],[ItemID B]],Katalog!$C$3:$C$12,0))*cadangan[[#This Row],[Qty B]],0)</f>
        <v>0</v>
      </c>
      <c r="R228" s="73">
        <f>IFERROR(cadangan[[#This Row],[Harga Normal B]]-(cadangan[[#This Row],[Harga Normal B]]*cadangan[[#This Row],[Diskon]]),cadangan[[#This Row],[Harga Normal B]])</f>
        <v>0</v>
      </c>
      <c r="S228" s="73">
        <f>IFERROR(INDEX(Katalog!$F$3:$F$12,MATCH(cadangan[[#This Row],[ItemID B]],Katalog!$C$3:$C$12,0))*cadangan[[#This Row],[Qty B]],0)</f>
        <v>0</v>
      </c>
      <c r="T228" s="73">
        <f>IFERROR(cadangan[[#This Row],[Harga Diskon B]]-INDEX(Katalog!$E$3:$E$12,MATCH(cadangan[[#This Row],[ItemID B]],Katalog!$C$3:$C$12,0))*cadangan[[#This Row],[Qty B]],0)</f>
        <v>0</v>
      </c>
      <c r="V228" s="39" t="str">
        <f>IFERROR(INDEX(Katalog!$A$3:$A$12,MATCH(cadangan[[#This Row],[ItemID C]],Katalog!$C$3:$C$12,0)),"-")</f>
        <v>-</v>
      </c>
      <c r="W228" s="39" t="str">
        <f>IFERROR(INDEX(Katalog!$B$3:$B$12,MATCH(cadangan[[#This Row],[ItemID C]],Katalog!$C$3:$C$12,0)),"-")</f>
        <v>-</v>
      </c>
      <c r="Z228" s="73">
        <f>IFERROR(INDEX(Katalog!$D$3:$D$12,MATCH(cadangan[[#This Row],[ItemID C]],Katalog!$C$3:$C$12,0))*cadangan[[#This Row],[Qty C]],0)</f>
        <v>0</v>
      </c>
      <c r="AA228" s="73">
        <f>IFERROR(cadangan[[#This Row],[Harga Normal C]]-(cadangan[[#This Row],[Harga Normal C]]*cadangan[[#This Row],[Diskon]]),cadangan[[#This Row],[Harga Normal C]])</f>
        <v>0</v>
      </c>
      <c r="AB228" s="73">
        <f>IFERROR(INDEX(Katalog!$F$3:$F$12,MATCH(cadangan[[#This Row],[ItemID C]],Katalog!$C$3:$C$12,0))*cadangan[[#This Row],[Qty C]],0)</f>
        <v>0</v>
      </c>
      <c r="AC228" s="73">
        <f>IFERROR(cadangan[[#This Row],[Harga Diskon C]]-INDEX(Katalog!$E$3:$E$12,MATCH(cadangan[[#This Row],[ItemID C]],Katalog!$C$3:$C$12,0))*cadangan[[#This Row],[Qty C]],0)</f>
        <v>0</v>
      </c>
      <c r="AD228" s="53">
        <f>cadangan[[#This Row],[Qty A]]+cadangan[[#This Row],[Qty B]]+cadangan[[#This Row],[Qty C]]</f>
        <v>2</v>
      </c>
      <c r="AE228" s="73">
        <f>cadangan[[#This Row],[Harga Normal A]]+cadangan[[#This Row],[Harga Normal B]]+cadangan[[#This Row],[Harga Normal C]]</f>
        <v>300000</v>
      </c>
      <c r="AF228" s="73">
        <f>cadangan[[#This Row],[Harga Diskon A]]+cadangan[[#This Row],[Harga Diskon B]]+cadangan[[#This Row],[Harga Diskon C]]</f>
        <v>255000</v>
      </c>
      <c r="AG228" s="73">
        <f>(cadangan[[#This Row],[Profit Normal A]]+cadangan[[#This Row],[Profit Normal B]]+cadangan[[#This Row],[Profit Normal C]])</f>
        <v>120000</v>
      </c>
      <c r="AH228" s="73">
        <f>cadangan[[#This Row],[Profit Diskon A]]+cadangan[[#This Row],[Profit Diskon B]]+cadangan[[#This Row],[Profit Diskon C]]</f>
        <v>75000</v>
      </c>
      <c r="AI228" s="23" t="s">
        <v>28</v>
      </c>
      <c r="AJ228" s="37">
        <f>IFERROR(INDEX('Kode Diskon'!$D$3:$D$9,MATCH(cadangan[[#This Row],[Kode diskon]],'Kode Diskon'!$C$3:$C$9,0)),"-")</f>
        <v>0.15</v>
      </c>
      <c r="AK228" s="23" t="s">
        <v>29</v>
      </c>
      <c r="AL228" s="23" t="s">
        <v>14</v>
      </c>
      <c r="AM228" s="23" t="s">
        <v>75</v>
      </c>
      <c r="AN228" s="55">
        <v>45021</v>
      </c>
      <c r="AO228" s="53">
        <f>DAY(cadangan[[#This Row],[Tanggal terjual]])</f>
        <v>5</v>
      </c>
      <c r="AP228" s="21" t="str">
        <f>TEXT(cadangan[[#This Row],[Tanggal terjual]],"dddd")</f>
        <v>Wednesday</v>
      </c>
      <c r="AQ228" s="23" t="str" cm="1">
        <f t="array" ref="AQ2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28" s="61">
        <f>AVERAGE(cadangan[[#This Row],[Rating A]],cadangan[[#This Row],[Rating B]],cadangan[[#This Row],[Rating C]])</f>
        <v>4</v>
      </c>
    </row>
    <row r="229" spans="1:44" x14ac:dyDescent="0.2">
      <c r="A229" s="20">
        <v>228</v>
      </c>
      <c r="B229" s="21" t="str">
        <f>_xlfn.CONCAT("ORD-",INDEX(Helper!$B$2:$B$5,MATCH(cadangan[[#This Row],[Marketplace]],Helper!$A$2:$A$5,0)),TEXT(cadangan[[#This Row],[No]],"0000"),"-",TEXT(cadangan[[#This Row],[Tanggal terjual]],"dd/mm/yy"))</f>
        <v>ORD-SP0228-26/04/23</v>
      </c>
      <c r="C229" s="39" t="s">
        <v>58</v>
      </c>
      <c r="D229" s="39" t="str">
        <f>IFERROR(INDEX(Katalog!$A$3:$A$12,MATCH(cadangan[[#This Row],[ItemID A]],Katalog!$C$3:$C$12,0)),"-")</f>
        <v>Pakaian Wanita</v>
      </c>
      <c r="E229" s="39" t="str">
        <f>IFERROR(INDEX(Katalog!$B$3:$B$12,MATCH(cadangan[[#This Row],[ItemID A]],Katalog!$C$3:$C$12,0)),"-")</f>
        <v>Dress</v>
      </c>
      <c r="F229" s="50">
        <v>4</v>
      </c>
      <c r="G229" s="50">
        <v>3</v>
      </c>
      <c r="H229" s="73">
        <f>IFERROR(INDEX(Katalog!$D$3:$D$12,MATCH(cadangan[[#This Row],[ItemID A]],Katalog!$C$3:$C$12,0))*cadangan[[#This Row],[Qty A]],0)</f>
        <v>1200000</v>
      </c>
      <c r="I229" s="73">
        <f>IFERROR(cadangan[[#This Row],[Harga Normal A]]-(cadangan[[#This Row],[Harga Normal A]]*cadangan[[#This Row],[Diskon]]),cadangan[[#This Row],[Harga Normal A]])</f>
        <v>960000</v>
      </c>
      <c r="J229" s="73">
        <f>INDEX(Katalog!$F$3:$F$12,MATCH(cadangan[[#This Row],[ItemID A]],Katalog!$C$3:$C$12,0))*cadangan[[#This Row],[Qty A]]</f>
        <v>400000</v>
      </c>
      <c r="K229" s="73">
        <f>IFERROR(cadangan[[#This Row],[Harga Diskon A]]-INDEX(Katalog!$E$3:$E$12,MATCH(cadangan[[#This Row],[ItemID A]],Katalog!$C$3:$C$12,0))*cadangan[[#This Row],[Qty A]],0)</f>
        <v>160000</v>
      </c>
      <c r="M229" s="39" t="str">
        <f>IFERROR(INDEX(Katalog!$A$3:$A$12,MATCH(cadangan[[#This Row],[ItemID B]],Katalog!$C$3:$C$12,0)),"-")</f>
        <v>-</v>
      </c>
      <c r="N229" s="39" t="str">
        <f>IFERROR(INDEX(Katalog!$B$3:$B$12,MATCH(cadangan[[#This Row],[ItemID B]],Katalog!$C$3:$C$12,0)),"-")</f>
        <v>-</v>
      </c>
      <c r="Q229" s="73">
        <f>IFERROR(INDEX(Katalog!$D$3:$D$12,MATCH(cadangan[[#This Row],[ItemID B]],Katalog!$C$3:$C$12,0))*cadangan[[#This Row],[Qty B]],0)</f>
        <v>0</v>
      </c>
      <c r="R229" s="73">
        <f>IFERROR(cadangan[[#This Row],[Harga Normal B]]-(cadangan[[#This Row],[Harga Normal B]]*cadangan[[#This Row],[Diskon]]),cadangan[[#This Row],[Harga Normal B]])</f>
        <v>0</v>
      </c>
      <c r="S229" s="73">
        <f>IFERROR(INDEX(Katalog!$F$3:$F$12,MATCH(cadangan[[#This Row],[ItemID B]],Katalog!$C$3:$C$12,0))*cadangan[[#This Row],[Qty B]],0)</f>
        <v>0</v>
      </c>
      <c r="T229" s="73">
        <f>IFERROR(cadangan[[#This Row],[Harga Diskon B]]-INDEX(Katalog!$E$3:$E$12,MATCH(cadangan[[#This Row],[ItemID B]],Katalog!$C$3:$C$12,0))*cadangan[[#This Row],[Qty B]],0)</f>
        <v>0</v>
      </c>
      <c r="V229" s="39" t="str">
        <f>IFERROR(INDEX(Katalog!$A$3:$A$12,MATCH(cadangan[[#This Row],[ItemID C]],Katalog!$C$3:$C$12,0)),"-")</f>
        <v>-</v>
      </c>
      <c r="W229" s="39" t="str">
        <f>IFERROR(INDEX(Katalog!$B$3:$B$12,MATCH(cadangan[[#This Row],[ItemID C]],Katalog!$C$3:$C$12,0)),"-")</f>
        <v>-</v>
      </c>
      <c r="Z229" s="73">
        <f>IFERROR(INDEX(Katalog!$D$3:$D$12,MATCH(cadangan[[#This Row],[ItemID C]],Katalog!$C$3:$C$12,0))*cadangan[[#This Row],[Qty C]],0)</f>
        <v>0</v>
      </c>
      <c r="AA229" s="73">
        <f>IFERROR(cadangan[[#This Row],[Harga Normal C]]-(cadangan[[#This Row],[Harga Normal C]]*cadangan[[#This Row],[Diskon]]),cadangan[[#This Row],[Harga Normal C]])</f>
        <v>0</v>
      </c>
      <c r="AB229" s="73">
        <f>IFERROR(INDEX(Katalog!$F$3:$F$12,MATCH(cadangan[[#This Row],[ItemID C]],Katalog!$C$3:$C$12,0))*cadangan[[#This Row],[Qty C]],0)</f>
        <v>0</v>
      </c>
      <c r="AC229" s="73">
        <f>IFERROR(cadangan[[#This Row],[Harga Diskon C]]-INDEX(Katalog!$E$3:$E$12,MATCH(cadangan[[#This Row],[ItemID C]],Katalog!$C$3:$C$12,0))*cadangan[[#This Row],[Qty C]],0)</f>
        <v>0</v>
      </c>
      <c r="AD229" s="53">
        <f>cadangan[[#This Row],[Qty A]]+cadangan[[#This Row],[Qty B]]+cadangan[[#This Row],[Qty C]]</f>
        <v>4</v>
      </c>
      <c r="AE229" s="73">
        <f>cadangan[[#This Row],[Harga Normal A]]+cadangan[[#This Row],[Harga Normal B]]+cadangan[[#This Row],[Harga Normal C]]</f>
        <v>1200000</v>
      </c>
      <c r="AF229" s="73">
        <f>cadangan[[#This Row],[Harga Diskon A]]+cadangan[[#This Row],[Harga Diskon B]]+cadangan[[#This Row],[Harga Diskon C]]</f>
        <v>960000</v>
      </c>
      <c r="AG229" s="73">
        <f>(cadangan[[#This Row],[Profit Normal A]]+cadangan[[#This Row],[Profit Normal B]]+cadangan[[#This Row],[Profit Normal C]])</f>
        <v>400000</v>
      </c>
      <c r="AH229" s="73">
        <f>cadangan[[#This Row],[Profit Diskon A]]+cadangan[[#This Row],[Profit Diskon B]]+cadangan[[#This Row],[Profit Diskon C]]</f>
        <v>160000</v>
      </c>
      <c r="AI229" s="23" t="s">
        <v>8</v>
      </c>
      <c r="AJ229" s="37">
        <f>IFERROR(INDEX('Kode Diskon'!$D$3:$D$9,MATCH(cadangan[[#This Row],[Kode diskon]],'Kode Diskon'!$C$3:$C$9,0)),"-")</f>
        <v>0.2</v>
      </c>
      <c r="AK229" s="23" t="s">
        <v>9</v>
      </c>
      <c r="AL229" s="23" t="s">
        <v>7</v>
      </c>
      <c r="AM229" s="23" t="s">
        <v>75</v>
      </c>
      <c r="AN229" s="55">
        <v>45042</v>
      </c>
      <c r="AO229" s="53">
        <f>DAY(cadangan[[#This Row],[Tanggal terjual]])</f>
        <v>26</v>
      </c>
      <c r="AP229" s="21" t="str">
        <f>TEXT(cadangan[[#This Row],[Tanggal terjual]],"dddd")</f>
        <v>Wednesday</v>
      </c>
      <c r="AQ229" s="23" t="str" cm="1">
        <f t="array" ref="AQ2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29" s="61">
        <f>AVERAGE(cadangan[[#This Row],[Rating A]],cadangan[[#This Row],[Rating B]],cadangan[[#This Row],[Rating C]])</f>
        <v>3</v>
      </c>
    </row>
    <row r="230" spans="1:44" x14ac:dyDescent="0.2">
      <c r="A230" s="20">
        <v>229</v>
      </c>
      <c r="B230" s="21" t="str">
        <f>_xlfn.CONCAT("ORD-",INDEX(Helper!$B$2:$B$5,MATCH(cadangan[[#This Row],[Marketplace]],Helper!$A$2:$A$5,0)),TEXT(cadangan[[#This Row],[No]],"0000"),"-",TEXT(cadangan[[#This Row],[Tanggal terjual]],"dd/mm/yy"))</f>
        <v>ORD-SP0229-28/04/23</v>
      </c>
      <c r="C230" s="39" t="s">
        <v>62</v>
      </c>
      <c r="D230" s="39" t="str">
        <f>IFERROR(INDEX(Katalog!$A$3:$A$12,MATCH(cadangan[[#This Row],[ItemID A]],Katalog!$C$3:$C$12,0)),"-")</f>
        <v>Pakaian Pria</v>
      </c>
      <c r="E230" s="39" t="str">
        <f>IFERROR(INDEX(Katalog!$B$3:$B$12,MATCH(cadangan[[#This Row],[ItemID A]],Katalog!$C$3:$C$12,0)),"-")</f>
        <v>Celana Pendek</v>
      </c>
      <c r="F230" s="50">
        <v>2</v>
      </c>
      <c r="G230" s="50">
        <v>1</v>
      </c>
      <c r="H230" s="73">
        <f>IFERROR(INDEX(Katalog!$D$3:$D$12,MATCH(cadangan[[#This Row],[ItemID A]],Katalog!$C$3:$C$12,0))*cadangan[[#This Row],[Qty A]],0)</f>
        <v>360000</v>
      </c>
      <c r="I230" s="73">
        <f>IFERROR(cadangan[[#This Row],[Harga Normal A]]-(cadangan[[#This Row],[Harga Normal A]]*cadangan[[#This Row],[Diskon]]),cadangan[[#This Row],[Harga Normal A]])</f>
        <v>288000</v>
      </c>
      <c r="J230" s="73">
        <f>INDEX(Katalog!$F$3:$F$12,MATCH(cadangan[[#This Row],[ItemID A]],Katalog!$C$3:$C$12,0))*cadangan[[#This Row],[Qty A]]</f>
        <v>140000</v>
      </c>
      <c r="K230" s="73">
        <f>IFERROR(cadangan[[#This Row],[Harga Diskon A]]-INDEX(Katalog!$E$3:$E$12,MATCH(cadangan[[#This Row],[ItemID A]],Katalog!$C$3:$C$12,0))*cadangan[[#This Row],[Qty A]],0)</f>
        <v>68000</v>
      </c>
      <c r="L230" s="39" t="s">
        <v>65</v>
      </c>
      <c r="M230" s="39" t="str">
        <f>IFERROR(INDEX(Katalog!$A$3:$A$12,MATCH(cadangan[[#This Row],[ItemID B]],Katalog!$C$3:$C$12,0)),"-")</f>
        <v>Sepatu Pria</v>
      </c>
      <c r="N230" s="39" t="str">
        <f>IFERROR(INDEX(Katalog!$B$3:$B$12,MATCH(cadangan[[#This Row],[ItemID B]],Katalog!$C$3:$C$12,0)),"-")</f>
        <v>Sneakers</v>
      </c>
      <c r="O230" s="50">
        <v>2</v>
      </c>
      <c r="P230" s="50">
        <v>1</v>
      </c>
      <c r="Q230" s="73">
        <f>IFERROR(INDEX(Katalog!$D$3:$D$12,MATCH(cadangan[[#This Row],[ItemID B]],Katalog!$C$3:$C$12,0))*cadangan[[#This Row],[Qty B]],0)</f>
        <v>1000000</v>
      </c>
      <c r="R230" s="73">
        <f>IFERROR(cadangan[[#This Row],[Harga Normal B]]-(cadangan[[#This Row],[Harga Normal B]]*cadangan[[#This Row],[Diskon]]),cadangan[[#This Row],[Harga Normal B]])</f>
        <v>800000</v>
      </c>
      <c r="S230" s="73">
        <f>IFERROR(INDEX(Katalog!$F$3:$F$12,MATCH(cadangan[[#This Row],[ItemID B]],Katalog!$C$3:$C$12,0))*cadangan[[#This Row],[Qty B]],0)</f>
        <v>400000</v>
      </c>
      <c r="T230" s="73">
        <f>IFERROR(cadangan[[#This Row],[Harga Diskon B]]-INDEX(Katalog!$E$3:$E$12,MATCH(cadangan[[#This Row],[ItemID B]],Katalog!$C$3:$C$12,0))*cadangan[[#This Row],[Qty B]],0)</f>
        <v>200000</v>
      </c>
      <c r="U230" s="39" t="s">
        <v>66</v>
      </c>
      <c r="V230" s="39" t="str">
        <f>IFERROR(INDEX(Katalog!$A$3:$A$12,MATCH(cadangan[[#This Row],[ItemID C]],Katalog!$C$3:$C$12,0)),"-")</f>
        <v>Sepatu Pria</v>
      </c>
      <c r="W230" s="39" t="str">
        <f>IFERROR(INDEX(Katalog!$B$3:$B$12,MATCH(cadangan[[#This Row],[ItemID C]],Katalog!$C$3:$C$12,0)),"-")</f>
        <v>Sandal Slip On</v>
      </c>
      <c r="X230" s="50">
        <v>1</v>
      </c>
      <c r="Y230" s="50">
        <v>1</v>
      </c>
      <c r="Z230" s="73">
        <f>IFERROR(INDEX(Katalog!$D$3:$D$12,MATCH(cadangan[[#This Row],[ItemID C]],Katalog!$C$3:$C$12,0))*cadangan[[#This Row],[Qty C]],0)</f>
        <v>150000</v>
      </c>
      <c r="AA230" s="73">
        <f>IFERROR(cadangan[[#This Row],[Harga Normal C]]-(cadangan[[#This Row],[Harga Normal C]]*cadangan[[#This Row],[Diskon]]),cadangan[[#This Row],[Harga Normal C]])</f>
        <v>120000</v>
      </c>
      <c r="AB230" s="73">
        <f>IFERROR(INDEX(Katalog!$F$3:$F$12,MATCH(cadangan[[#This Row],[ItemID C]],Katalog!$C$3:$C$12,0))*cadangan[[#This Row],[Qty C]],0)</f>
        <v>60000</v>
      </c>
      <c r="AC230" s="73">
        <f>IFERROR(cadangan[[#This Row],[Harga Diskon C]]-INDEX(Katalog!$E$3:$E$12,MATCH(cadangan[[#This Row],[ItemID C]],Katalog!$C$3:$C$12,0))*cadangan[[#This Row],[Qty C]],0)</f>
        <v>30000</v>
      </c>
      <c r="AD230" s="53">
        <f>cadangan[[#This Row],[Qty A]]+cadangan[[#This Row],[Qty B]]+cadangan[[#This Row],[Qty C]]</f>
        <v>5</v>
      </c>
      <c r="AE230" s="73">
        <f>cadangan[[#This Row],[Harga Normal A]]+cadangan[[#This Row],[Harga Normal B]]+cadangan[[#This Row],[Harga Normal C]]</f>
        <v>1510000</v>
      </c>
      <c r="AF230" s="73">
        <f>cadangan[[#This Row],[Harga Diskon A]]+cadangan[[#This Row],[Harga Diskon B]]+cadangan[[#This Row],[Harga Diskon C]]</f>
        <v>1208000</v>
      </c>
      <c r="AG230" s="73">
        <f>(cadangan[[#This Row],[Profit Normal A]]+cadangan[[#This Row],[Profit Normal B]]+cadangan[[#This Row],[Profit Normal C]])</f>
        <v>600000</v>
      </c>
      <c r="AH230" s="73">
        <f>cadangan[[#This Row],[Profit Diskon A]]+cadangan[[#This Row],[Profit Diskon B]]+cadangan[[#This Row],[Profit Diskon C]]</f>
        <v>298000</v>
      </c>
      <c r="AI230" s="23" t="s">
        <v>8</v>
      </c>
      <c r="AJ230" s="37">
        <f>IFERROR(INDEX('Kode Diskon'!$D$3:$D$9,MATCH(cadangan[[#This Row],[Kode diskon]],'Kode Diskon'!$C$3:$C$9,0)),"-")</f>
        <v>0.2</v>
      </c>
      <c r="AK230" s="23" t="s">
        <v>9</v>
      </c>
      <c r="AL230" s="23" t="s">
        <v>7</v>
      </c>
      <c r="AM230" s="23" t="s">
        <v>76</v>
      </c>
      <c r="AN230" s="55">
        <v>45044</v>
      </c>
      <c r="AO230" s="53">
        <f>DAY(cadangan[[#This Row],[Tanggal terjual]])</f>
        <v>28</v>
      </c>
      <c r="AP230" s="21" t="str">
        <f>TEXT(cadangan[[#This Row],[Tanggal terjual]],"dddd")</f>
        <v>Friday</v>
      </c>
      <c r="AQ230" s="23" t="str" cm="1">
        <f t="array" ref="AQ2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30" s="61">
        <f>AVERAGE(cadangan[[#This Row],[Rating A]],cadangan[[#This Row],[Rating B]],cadangan[[#This Row],[Rating C]])</f>
        <v>1</v>
      </c>
    </row>
    <row r="231" spans="1:44" x14ac:dyDescent="0.2">
      <c r="A231" s="20">
        <v>230</v>
      </c>
      <c r="B231" s="21" t="str">
        <f>_xlfn.CONCAT("ORD-",INDEX(Helper!$B$2:$B$5,MATCH(cadangan[[#This Row],[Marketplace]],Helper!$A$2:$A$5,0)),TEXT(cadangan[[#This Row],[No]],"0000"),"-",TEXT(cadangan[[#This Row],[Tanggal terjual]],"dd/mm/yy"))</f>
        <v>ORD-BB0230-06/04/23</v>
      </c>
      <c r="C231" s="39" t="s">
        <v>58</v>
      </c>
      <c r="D231" s="39" t="str">
        <f>IFERROR(INDEX(Katalog!$A$3:$A$12,MATCH(cadangan[[#This Row],[ItemID A]],Katalog!$C$3:$C$12,0)),"-")</f>
        <v>Pakaian Wanita</v>
      </c>
      <c r="E231" s="39" t="str">
        <f>IFERROR(INDEX(Katalog!$B$3:$B$12,MATCH(cadangan[[#This Row],[ItemID A]],Katalog!$C$3:$C$12,0)),"-")</f>
        <v>Dress</v>
      </c>
      <c r="F231" s="50">
        <v>1</v>
      </c>
      <c r="G231" s="50">
        <v>5</v>
      </c>
      <c r="H231" s="73">
        <f>IFERROR(INDEX(Katalog!$D$3:$D$12,MATCH(cadangan[[#This Row],[ItemID A]],Katalog!$C$3:$C$12,0))*cadangan[[#This Row],[Qty A]],0)</f>
        <v>300000</v>
      </c>
      <c r="I231" s="73">
        <f>IFERROR(cadangan[[#This Row],[Harga Normal A]]-(cadangan[[#This Row],[Harga Normal A]]*cadangan[[#This Row],[Diskon]]),cadangan[[#This Row],[Harga Normal A]])</f>
        <v>255000</v>
      </c>
      <c r="J231" s="73">
        <f>INDEX(Katalog!$F$3:$F$12,MATCH(cadangan[[#This Row],[ItemID A]],Katalog!$C$3:$C$12,0))*cadangan[[#This Row],[Qty A]]</f>
        <v>100000</v>
      </c>
      <c r="K231" s="73">
        <f>IFERROR(cadangan[[#This Row],[Harga Diskon A]]-INDEX(Katalog!$E$3:$E$12,MATCH(cadangan[[#This Row],[ItemID A]],Katalog!$C$3:$C$12,0))*cadangan[[#This Row],[Qty A]],0)</f>
        <v>55000</v>
      </c>
      <c r="L231" s="39" t="s">
        <v>63</v>
      </c>
      <c r="M231" s="39" t="str">
        <f>IFERROR(INDEX(Katalog!$A$3:$A$12,MATCH(cadangan[[#This Row],[ItemID B]],Katalog!$C$3:$C$12,0)),"-")</f>
        <v>Pakaian Pria</v>
      </c>
      <c r="N231" s="39" t="str">
        <f>IFERROR(INDEX(Katalog!$B$3:$B$12,MATCH(cadangan[[#This Row],[ItemID B]],Katalog!$C$3:$C$12,0)),"-")</f>
        <v>Jaket Jeans</v>
      </c>
      <c r="O231" s="50">
        <v>1</v>
      </c>
      <c r="P231" s="50">
        <v>1</v>
      </c>
      <c r="Q231" s="73">
        <f>IFERROR(INDEX(Katalog!$D$3:$D$12,MATCH(cadangan[[#This Row],[ItemID B]],Katalog!$C$3:$C$12,0))*cadangan[[#This Row],[Qty B]],0)</f>
        <v>400000</v>
      </c>
      <c r="R231" s="73">
        <f>IFERROR(cadangan[[#This Row],[Harga Normal B]]-(cadangan[[#This Row],[Harga Normal B]]*cadangan[[#This Row],[Diskon]]),cadangan[[#This Row],[Harga Normal B]])</f>
        <v>340000</v>
      </c>
      <c r="S231" s="73">
        <f>IFERROR(INDEX(Katalog!$F$3:$F$12,MATCH(cadangan[[#This Row],[ItemID B]],Katalog!$C$3:$C$12,0))*cadangan[[#This Row],[Qty B]],0)</f>
        <v>150000</v>
      </c>
      <c r="T231" s="73">
        <f>IFERROR(cadangan[[#This Row],[Harga Diskon B]]-INDEX(Katalog!$E$3:$E$12,MATCH(cadangan[[#This Row],[ItemID B]],Katalog!$C$3:$C$12,0))*cadangan[[#This Row],[Qty B]],0)</f>
        <v>90000</v>
      </c>
      <c r="V231" s="39" t="str">
        <f>IFERROR(INDEX(Katalog!$A$3:$A$12,MATCH(cadangan[[#This Row],[ItemID C]],Katalog!$C$3:$C$12,0)),"-")</f>
        <v>-</v>
      </c>
      <c r="W231" s="39" t="str">
        <f>IFERROR(INDEX(Katalog!$B$3:$B$12,MATCH(cadangan[[#This Row],[ItemID C]],Katalog!$C$3:$C$12,0)),"-")</f>
        <v>-</v>
      </c>
      <c r="Z231" s="73">
        <f>IFERROR(INDEX(Katalog!$D$3:$D$12,MATCH(cadangan[[#This Row],[ItemID C]],Katalog!$C$3:$C$12,0))*cadangan[[#This Row],[Qty C]],0)</f>
        <v>0</v>
      </c>
      <c r="AA231" s="73">
        <f>IFERROR(cadangan[[#This Row],[Harga Normal C]]-(cadangan[[#This Row],[Harga Normal C]]*cadangan[[#This Row],[Diskon]]),cadangan[[#This Row],[Harga Normal C]])</f>
        <v>0</v>
      </c>
      <c r="AB231" s="73">
        <f>IFERROR(INDEX(Katalog!$F$3:$F$12,MATCH(cadangan[[#This Row],[ItemID C]],Katalog!$C$3:$C$12,0))*cadangan[[#This Row],[Qty C]],0)</f>
        <v>0</v>
      </c>
      <c r="AC231" s="73">
        <f>IFERROR(cadangan[[#This Row],[Harga Diskon C]]-INDEX(Katalog!$E$3:$E$12,MATCH(cadangan[[#This Row],[ItemID C]],Katalog!$C$3:$C$12,0))*cadangan[[#This Row],[Qty C]],0)</f>
        <v>0</v>
      </c>
      <c r="AD231" s="53">
        <f>cadangan[[#This Row],[Qty A]]+cadangan[[#This Row],[Qty B]]+cadangan[[#This Row],[Qty C]]</f>
        <v>2</v>
      </c>
      <c r="AE231" s="73">
        <f>cadangan[[#This Row],[Harga Normal A]]+cadangan[[#This Row],[Harga Normal B]]+cadangan[[#This Row],[Harga Normal C]]</f>
        <v>700000</v>
      </c>
      <c r="AF231" s="73">
        <f>cadangan[[#This Row],[Harga Diskon A]]+cadangan[[#This Row],[Harga Diskon B]]+cadangan[[#This Row],[Harga Diskon C]]</f>
        <v>595000</v>
      </c>
      <c r="AG231" s="73">
        <f>(cadangan[[#This Row],[Profit Normal A]]+cadangan[[#This Row],[Profit Normal B]]+cadangan[[#This Row],[Profit Normal C]])</f>
        <v>250000</v>
      </c>
      <c r="AH231" s="73">
        <f>cadangan[[#This Row],[Profit Diskon A]]+cadangan[[#This Row],[Profit Diskon B]]+cadangan[[#This Row],[Profit Diskon C]]</f>
        <v>145000</v>
      </c>
      <c r="AI231" s="23" t="s">
        <v>28</v>
      </c>
      <c r="AJ231" s="37">
        <f>IFERROR(INDEX('Kode Diskon'!$D$3:$D$9,MATCH(cadangan[[#This Row],[Kode diskon]],'Kode Diskon'!$C$3:$C$9,0)),"-")</f>
        <v>0.15</v>
      </c>
      <c r="AK231" s="23" t="s">
        <v>29</v>
      </c>
      <c r="AL231" s="23" t="s">
        <v>14</v>
      </c>
      <c r="AM231" s="23" t="s">
        <v>75</v>
      </c>
      <c r="AN231" s="55">
        <v>45022</v>
      </c>
      <c r="AO231" s="53">
        <f>DAY(cadangan[[#This Row],[Tanggal terjual]])</f>
        <v>6</v>
      </c>
      <c r="AP231" s="21" t="str">
        <f>TEXT(cadangan[[#This Row],[Tanggal terjual]],"dddd")</f>
        <v>Thursday</v>
      </c>
      <c r="AQ231" s="23" t="str" cm="1">
        <f t="array" ref="AQ2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31" s="61">
        <f>AVERAGE(cadangan[[#This Row],[Rating A]],cadangan[[#This Row],[Rating B]],cadangan[[#This Row],[Rating C]])</f>
        <v>3</v>
      </c>
    </row>
    <row r="232" spans="1:44" x14ac:dyDescent="0.2">
      <c r="A232" s="20">
        <v>231</v>
      </c>
      <c r="B232" s="21" t="str">
        <f>_xlfn.CONCAT("ORD-",INDEX(Helper!$B$2:$B$5,MATCH(cadangan[[#This Row],[Marketplace]],Helper!$A$2:$A$5,0)),TEXT(cadangan[[#This Row],[No]],"0000"),"-",TEXT(cadangan[[#This Row],[Tanggal terjual]],"dd/mm/yy"))</f>
        <v>ORD-SP0231-02/04/23</v>
      </c>
      <c r="C232" s="39" t="s">
        <v>62</v>
      </c>
      <c r="D232" s="39" t="str">
        <f>IFERROR(INDEX(Katalog!$A$3:$A$12,MATCH(cadangan[[#This Row],[ItemID A]],Katalog!$C$3:$C$12,0)),"-")</f>
        <v>Pakaian Pria</v>
      </c>
      <c r="E232" s="39" t="str">
        <f>IFERROR(INDEX(Katalog!$B$3:$B$12,MATCH(cadangan[[#This Row],[ItemID A]],Katalog!$C$3:$C$12,0)),"-")</f>
        <v>Celana Pendek</v>
      </c>
      <c r="F232" s="50">
        <v>2</v>
      </c>
      <c r="G232" s="50">
        <v>3</v>
      </c>
      <c r="H232" s="73">
        <f>IFERROR(INDEX(Katalog!$D$3:$D$12,MATCH(cadangan[[#This Row],[ItemID A]],Katalog!$C$3:$C$12,0))*cadangan[[#This Row],[Qty A]],0)</f>
        <v>360000</v>
      </c>
      <c r="I232" s="73">
        <f>IFERROR(cadangan[[#This Row],[Harga Normal A]]-(cadangan[[#This Row],[Harga Normal A]]*cadangan[[#This Row],[Diskon]]),cadangan[[#This Row],[Harga Normal A]])</f>
        <v>306000</v>
      </c>
      <c r="J232" s="73">
        <f>INDEX(Katalog!$F$3:$F$12,MATCH(cadangan[[#This Row],[ItemID A]],Katalog!$C$3:$C$12,0))*cadangan[[#This Row],[Qty A]]</f>
        <v>140000</v>
      </c>
      <c r="K232" s="73">
        <f>IFERROR(cadangan[[#This Row],[Harga Diskon A]]-INDEX(Katalog!$E$3:$E$12,MATCH(cadangan[[#This Row],[ItemID A]],Katalog!$C$3:$C$12,0))*cadangan[[#This Row],[Qty A]],0)</f>
        <v>86000</v>
      </c>
      <c r="L232" s="39" t="s">
        <v>67</v>
      </c>
      <c r="M232" s="39" t="str">
        <f>IFERROR(INDEX(Katalog!$A$3:$A$12,MATCH(cadangan[[#This Row],[ItemID B]],Katalog!$C$3:$C$12,0)),"-")</f>
        <v>Sepatu Wanita</v>
      </c>
      <c r="N232" s="39" t="str">
        <f>IFERROR(INDEX(Katalog!$B$3:$B$12,MATCH(cadangan[[#This Row],[ItemID B]],Katalog!$C$3:$C$12,0)),"-")</f>
        <v>Flat Shoes</v>
      </c>
      <c r="O232" s="50">
        <v>2</v>
      </c>
      <c r="P232" s="50">
        <v>4</v>
      </c>
      <c r="Q232" s="73">
        <f>IFERROR(INDEX(Katalog!$D$3:$D$12,MATCH(cadangan[[#This Row],[ItemID B]],Katalog!$C$3:$C$12,0))*cadangan[[#This Row],[Qty B]],0)</f>
        <v>500000</v>
      </c>
      <c r="R232" s="73">
        <f>IFERROR(cadangan[[#This Row],[Harga Normal B]]-(cadangan[[#This Row],[Harga Normal B]]*cadangan[[#This Row],[Diskon]]),cadangan[[#This Row],[Harga Normal B]])</f>
        <v>425000</v>
      </c>
      <c r="S232" s="73">
        <f>IFERROR(INDEX(Katalog!$F$3:$F$12,MATCH(cadangan[[#This Row],[ItemID B]],Katalog!$C$3:$C$12,0))*cadangan[[#This Row],[Qty B]],0)</f>
        <v>200000</v>
      </c>
      <c r="T232" s="73">
        <f>IFERROR(cadangan[[#This Row],[Harga Diskon B]]-INDEX(Katalog!$E$3:$E$12,MATCH(cadangan[[#This Row],[ItemID B]],Katalog!$C$3:$C$12,0))*cadangan[[#This Row],[Qty B]],0)</f>
        <v>125000</v>
      </c>
      <c r="U232" s="39" t="s">
        <v>62</v>
      </c>
      <c r="V232" s="39" t="str">
        <f>IFERROR(INDEX(Katalog!$A$3:$A$12,MATCH(cadangan[[#This Row],[ItemID C]],Katalog!$C$3:$C$12,0)),"-")</f>
        <v>Pakaian Pria</v>
      </c>
      <c r="W232" s="39" t="str">
        <f>IFERROR(INDEX(Katalog!$B$3:$B$12,MATCH(cadangan[[#This Row],[ItemID C]],Katalog!$C$3:$C$12,0)),"-")</f>
        <v>Celana Pendek</v>
      </c>
      <c r="X232" s="50">
        <v>1</v>
      </c>
      <c r="Y232" s="50">
        <v>1</v>
      </c>
      <c r="Z232" s="73">
        <f>IFERROR(INDEX(Katalog!$D$3:$D$12,MATCH(cadangan[[#This Row],[ItemID C]],Katalog!$C$3:$C$12,0))*cadangan[[#This Row],[Qty C]],0)</f>
        <v>180000</v>
      </c>
      <c r="AA232" s="73">
        <f>IFERROR(cadangan[[#This Row],[Harga Normal C]]-(cadangan[[#This Row],[Harga Normal C]]*cadangan[[#This Row],[Diskon]]),cadangan[[#This Row],[Harga Normal C]])</f>
        <v>153000</v>
      </c>
      <c r="AB232" s="73">
        <f>IFERROR(INDEX(Katalog!$F$3:$F$12,MATCH(cadangan[[#This Row],[ItemID C]],Katalog!$C$3:$C$12,0))*cadangan[[#This Row],[Qty C]],0)</f>
        <v>70000</v>
      </c>
      <c r="AC232" s="73">
        <f>IFERROR(cadangan[[#This Row],[Harga Diskon C]]-INDEX(Katalog!$E$3:$E$12,MATCH(cadangan[[#This Row],[ItemID C]],Katalog!$C$3:$C$12,0))*cadangan[[#This Row],[Qty C]],0)</f>
        <v>43000</v>
      </c>
      <c r="AD232" s="53">
        <f>cadangan[[#This Row],[Qty A]]+cadangan[[#This Row],[Qty B]]+cadangan[[#This Row],[Qty C]]</f>
        <v>5</v>
      </c>
      <c r="AE232" s="73">
        <f>cadangan[[#This Row],[Harga Normal A]]+cadangan[[#This Row],[Harga Normal B]]+cadangan[[#This Row],[Harga Normal C]]</f>
        <v>1040000</v>
      </c>
      <c r="AF232" s="73">
        <f>cadangan[[#This Row],[Harga Diskon A]]+cadangan[[#This Row],[Harga Diskon B]]+cadangan[[#This Row],[Harga Diskon C]]</f>
        <v>884000</v>
      </c>
      <c r="AG232" s="73">
        <f>(cadangan[[#This Row],[Profit Normal A]]+cadangan[[#This Row],[Profit Normal B]]+cadangan[[#This Row],[Profit Normal C]])</f>
        <v>410000</v>
      </c>
      <c r="AH232" s="73">
        <f>cadangan[[#This Row],[Profit Diskon A]]+cadangan[[#This Row],[Profit Diskon B]]+cadangan[[#This Row],[Profit Diskon C]]</f>
        <v>254000</v>
      </c>
      <c r="AI232" s="23" t="s">
        <v>13</v>
      </c>
      <c r="AJ232" s="37">
        <f>IFERROR(INDEX('Kode Diskon'!$D$3:$D$9,MATCH(cadangan[[#This Row],[Kode diskon]],'Kode Diskon'!$C$3:$C$9,0)),"-")</f>
        <v>0.15</v>
      </c>
      <c r="AK232" s="23" t="s">
        <v>29</v>
      </c>
      <c r="AL232" s="23" t="s">
        <v>7</v>
      </c>
      <c r="AM232" s="23" t="s">
        <v>80</v>
      </c>
      <c r="AN232" s="55">
        <v>45018</v>
      </c>
      <c r="AO232" s="53">
        <f>DAY(cadangan[[#This Row],[Tanggal terjual]])</f>
        <v>2</v>
      </c>
      <c r="AP232" s="21" t="str">
        <f>TEXT(cadangan[[#This Row],[Tanggal terjual]],"dddd")</f>
        <v>Sunday</v>
      </c>
      <c r="AQ232" s="23" t="str" cm="1">
        <f t="array" ref="AQ2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32" s="61">
        <f>AVERAGE(cadangan[[#This Row],[Rating A]],cadangan[[#This Row],[Rating B]],cadangan[[#This Row],[Rating C]])</f>
        <v>2.6666666666666665</v>
      </c>
    </row>
    <row r="233" spans="1:44" x14ac:dyDescent="0.2">
      <c r="A233" s="20">
        <v>232</v>
      </c>
      <c r="B233" s="21" t="str">
        <f>_xlfn.CONCAT("ORD-",INDEX(Helper!$B$2:$B$5,MATCH(cadangan[[#This Row],[Marketplace]],Helper!$A$2:$A$5,0)),TEXT(cadangan[[#This Row],[No]],"0000"),"-",TEXT(cadangan[[#This Row],[Tanggal terjual]],"dd/mm/yy"))</f>
        <v>ORD-TK0232-20/04/23</v>
      </c>
      <c r="C233" s="39" t="s">
        <v>58</v>
      </c>
      <c r="D233" s="39" t="str">
        <f>IFERROR(INDEX(Katalog!$A$3:$A$12,MATCH(cadangan[[#This Row],[ItemID A]],Katalog!$C$3:$C$12,0)),"-")</f>
        <v>Pakaian Wanita</v>
      </c>
      <c r="E233" s="39" t="str">
        <f>IFERROR(INDEX(Katalog!$B$3:$B$12,MATCH(cadangan[[#This Row],[ItemID A]],Katalog!$C$3:$C$12,0)),"-")</f>
        <v>Dress</v>
      </c>
      <c r="F233" s="50">
        <v>4</v>
      </c>
      <c r="G233" s="50">
        <v>1</v>
      </c>
      <c r="H233" s="73">
        <f>IFERROR(INDEX(Katalog!$D$3:$D$12,MATCH(cadangan[[#This Row],[ItemID A]],Katalog!$C$3:$C$12,0))*cadangan[[#This Row],[Qty A]],0)</f>
        <v>1200000</v>
      </c>
      <c r="I233" s="73">
        <f>IFERROR(cadangan[[#This Row],[Harga Normal A]]-(cadangan[[#This Row],[Harga Normal A]]*cadangan[[#This Row],[Diskon]]),cadangan[[#This Row],[Harga Normal A]])</f>
        <v>1080000</v>
      </c>
      <c r="J233" s="73">
        <f>INDEX(Katalog!$F$3:$F$12,MATCH(cadangan[[#This Row],[ItemID A]],Katalog!$C$3:$C$12,0))*cadangan[[#This Row],[Qty A]]</f>
        <v>400000</v>
      </c>
      <c r="K233" s="73">
        <f>IFERROR(cadangan[[#This Row],[Harga Diskon A]]-INDEX(Katalog!$E$3:$E$12,MATCH(cadangan[[#This Row],[ItemID A]],Katalog!$C$3:$C$12,0))*cadangan[[#This Row],[Qty A]],0)</f>
        <v>280000</v>
      </c>
      <c r="L233" s="39" t="s">
        <v>62</v>
      </c>
      <c r="M233" s="39" t="str">
        <f>IFERROR(INDEX(Katalog!$A$3:$A$12,MATCH(cadangan[[#This Row],[ItemID B]],Katalog!$C$3:$C$12,0)),"-")</f>
        <v>Pakaian Pria</v>
      </c>
      <c r="N233" s="39" t="str">
        <f>IFERROR(INDEX(Katalog!$B$3:$B$12,MATCH(cadangan[[#This Row],[ItemID B]],Katalog!$C$3:$C$12,0)),"-")</f>
        <v>Celana Pendek</v>
      </c>
      <c r="O233" s="50">
        <v>1</v>
      </c>
      <c r="P233" s="50">
        <v>2</v>
      </c>
      <c r="Q233" s="73">
        <f>IFERROR(INDEX(Katalog!$D$3:$D$12,MATCH(cadangan[[#This Row],[ItemID B]],Katalog!$C$3:$C$12,0))*cadangan[[#This Row],[Qty B]],0)</f>
        <v>180000</v>
      </c>
      <c r="R233" s="73">
        <f>IFERROR(cadangan[[#This Row],[Harga Normal B]]-(cadangan[[#This Row],[Harga Normal B]]*cadangan[[#This Row],[Diskon]]),cadangan[[#This Row],[Harga Normal B]])</f>
        <v>162000</v>
      </c>
      <c r="S233" s="73">
        <f>IFERROR(INDEX(Katalog!$F$3:$F$12,MATCH(cadangan[[#This Row],[ItemID B]],Katalog!$C$3:$C$12,0))*cadangan[[#This Row],[Qty B]],0)</f>
        <v>70000</v>
      </c>
      <c r="T233" s="73">
        <f>IFERROR(cadangan[[#This Row],[Harga Diskon B]]-INDEX(Katalog!$E$3:$E$12,MATCH(cadangan[[#This Row],[ItemID B]],Katalog!$C$3:$C$12,0))*cadangan[[#This Row],[Qty B]],0)</f>
        <v>52000</v>
      </c>
      <c r="U233" s="39" t="s">
        <v>58</v>
      </c>
      <c r="V233" s="39" t="str">
        <f>IFERROR(INDEX(Katalog!$A$3:$A$12,MATCH(cadangan[[#This Row],[ItemID C]],Katalog!$C$3:$C$12,0)),"-")</f>
        <v>Pakaian Wanita</v>
      </c>
      <c r="W233" s="39" t="str">
        <f>IFERROR(INDEX(Katalog!$B$3:$B$12,MATCH(cadangan[[#This Row],[ItemID C]],Katalog!$C$3:$C$12,0)),"-")</f>
        <v>Dress</v>
      </c>
      <c r="X233" s="50">
        <v>1</v>
      </c>
      <c r="Y233" s="50">
        <v>3</v>
      </c>
      <c r="Z233" s="73">
        <f>IFERROR(INDEX(Katalog!$D$3:$D$12,MATCH(cadangan[[#This Row],[ItemID C]],Katalog!$C$3:$C$12,0))*cadangan[[#This Row],[Qty C]],0)</f>
        <v>300000</v>
      </c>
      <c r="AA233" s="73">
        <f>IFERROR(cadangan[[#This Row],[Harga Normal C]]-(cadangan[[#This Row],[Harga Normal C]]*cadangan[[#This Row],[Diskon]]),cadangan[[#This Row],[Harga Normal C]])</f>
        <v>270000</v>
      </c>
      <c r="AB233" s="73">
        <f>IFERROR(INDEX(Katalog!$F$3:$F$12,MATCH(cadangan[[#This Row],[ItemID C]],Katalog!$C$3:$C$12,0))*cadangan[[#This Row],[Qty C]],0)</f>
        <v>100000</v>
      </c>
      <c r="AC233" s="73">
        <f>IFERROR(cadangan[[#This Row],[Harga Diskon C]]-INDEX(Katalog!$E$3:$E$12,MATCH(cadangan[[#This Row],[ItemID C]],Katalog!$C$3:$C$12,0))*cadangan[[#This Row],[Qty C]],0)</f>
        <v>70000</v>
      </c>
      <c r="AD233" s="53">
        <f>cadangan[[#This Row],[Qty A]]+cadangan[[#This Row],[Qty B]]+cadangan[[#This Row],[Qty C]]</f>
        <v>6</v>
      </c>
      <c r="AE233" s="73">
        <f>cadangan[[#This Row],[Harga Normal A]]+cadangan[[#This Row],[Harga Normal B]]+cadangan[[#This Row],[Harga Normal C]]</f>
        <v>1680000</v>
      </c>
      <c r="AF233" s="73">
        <f>cadangan[[#This Row],[Harga Diskon A]]+cadangan[[#This Row],[Harga Diskon B]]+cadangan[[#This Row],[Harga Diskon C]]</f>
        <v>1512000</v>
      </c>
      <c r="AG233" s="73">
        <f>(cadangan[[#This Row],[Profit Normal A]]+cadangan[[#This Row],[Profit Normal B]]+cadangan[[#This Row],[Profit Normal C]])</f>
        <v>570000</v>
      </c>
      <c r="AH233" s="73">
        <f>cadangan[[#This Row],[Profit Diskon A]]+cadangan[[#This Row],[Profit Diskon B]]+cadangan[[#This Row],[Profit Diskon C]]</f>
        <v>402000</v>
      </c>
      <c r="AI233" s="23" t="s">
        <v>31</v>
      </c>
      <c r="AJ233" s="37">
        <f>IFERROR(INDEX('Kode Diskon'!$D$3:$D$9,MATCH(cadangan[[#This Row],[Kode diskon]],'Kode Diskon'!$C$3:$C$9,0)),"-")</f>
        <v>0.1</v>
      </c>
      <c r="AK233" s="23" t="s">
        <v>9</v>
      </c>
      <c r="AL233" s="23" t="s">
        <v>10</v>
      </c>
      <c r="AM233" s="23" t="s">
        <v>76</v>
      </c>
      <c r="AN233" s="55">
        <v>45036</v>
      </c>
      <c r="AO233" s="53">
        <f>DAY(cadangan[[#This Row],[Tanggal terjual]])</f>
        <v>20</v>
      </c>
      <c r="AP233" s="21" t="str">
        <f>TEXT(cadangan[[#This Row],[Tanggal terjual]],"dddd")</f>
        <v>Thursday</v>
      </c>
      <c r="AQ233" s="23" t="str" cm="1">
        <f t="array" ref="AQ2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33" s="61">
        <f>AVERAGE(cadangan[[#This Row],[Rating A]],cadangan[[#This Row],[Rating B]],cadangan[[#This Row],[Rating C]])</f>
        <v>2</v>
      </c>
    </row>
    <row r="234" spans="1:44" x14ac:dyDescent="0.2">
      <c r="A234" s="20">
        <v>233</v>
      </c>
      <c r="B234" s="21" t="str">
        <f>_xlfn.CONCAT("ORD-",INDEX(Helper!$B$2:$B$5,MATCH(cadangan[[#This Row],[Marketplace]],Helper!$A$2:$A$5,0)),TEXT(cadangan[[#This Row],[No]],"0000"),"-",TEXT(cadangan[[#This Row],[Tanggal terjual]],"dd/mm/yy"))</f>
        <v>ORD-SP0233-29/04/23</v>
      </c>
      <c r="C234" s="39" t="s">
        <v>62</v>
      </c>
      <c r="D234" s="39" t="str">
        <f>IFERROR(INDEX(Katalog!$A$3:$A$12,MATCH(cadangan[[#This Row],[ItemID A]],Katalog!$C$3:$C$12,0)),"-")</f>
        <v>Pakaian Pria</v>
      </c>
      <c r="E234" s="39" t="str">
        <f>IFERROR(INDEX(Katalog!$B$3:$B$12,MATCH(cadangan[[#This Row],[ItemID A]],Katalog!$C$3:$C$12,0)),"-")</f>
        <v>Celana Pendek</v>
      </c>
      <c r="F234" s="50">
        <v>2</v>
      </c>
      <c r="G234" s="50">
        <v>5</v>
      </c>
      <c r="H234" s="73">
        <f>IFERROR(INDEX(Katalog!$D$3:$D$12,MATCH(cadangan[[#This Row],[ItemID A]],Katalog!$C$3:$C$12,0))*cadangan[[#This Row],[Qty A]],0)</f>
        <v>360000</v>
      </c>
      <c r="I234" s="73">
        <f>IFERROR(cadangan[[#This Row],[Harga Normal A]]-(cadangan[[#This Row],[Harga Normal A]]*cadangan[[#This Row],[Diskon]]),cadangan[[#This Row],[Harga Normal A]])</f>
        <v>288000</v>
      </c>
      <c r="J234" s="73">
        <f>INDEX(Katalog!$F$3:$F$12,MATCH(cadangan[[#This Row],[ItemID A]],Katalog!$C$3:$C$12,0))*cadangan[[#This Row],[Qty A]]</f>
        <v>140000</v>
      </c>
      <c r="K234" s="73">
        <f>IFERROR(cadangan[[#This Row],[Harga Diskon A]]-INDEX(Katalog!$E$3:$E$12,MATCH(cadangan[[#This Row],[ItemID A]],Katalog!$C$3:$C$12,0))*cadangan[[#This Row],[Qty A]],0)</f>
        <v>68000</v>
      </c>
      <c r="L234" s="39" t="s">
        <v>65</v>
      </c>
      <c r="M234" s="39" t="str">
        <f>IFERROR(INDEX(Katalog!$A$3:$A$12,MATCH(cadangan[[#This Row],[ItemID B]],Katalog!$C$3:$C$12,0)),"-")</f>
        <v>Sepatu Pria</v>
      </c>
      <c r="N234" s="39" t="str">
        <f>IFERROR(INDEX(Katalog!$B$3:$B$12,MATCH(cadangan[[#This Row],[ItemID B]],Katalog!$C$3:$C$12,0)),"-")</f>
        <v>Sneakers</v>
      </c>
      <c r="O234" s="50">
        <v>2</v>
      </c>
      <c r="P234" s="50">
        <v>3</v>
      </c>
      <c r="Q234" s="73">
        <f>IFERROR(INDEX(Katalog!$D$3:$D$12,MATCH(cadangan[[#This Row],[ItemID B]],Katalog!$C$3:$C$12,0))*cadangan[[#This Row],[Qty B]],0)</f>
        <v>1000000</v>
      </c>
      <c r="R234" s="73">
        <f>IFERROR(cadangan[[#This Row],[Harga Normal B]]-(cadangan[[#This Row],[Harga Normal B]]*cadangan[[#This Row],[Diskon]]),cadangan[[#This Row],[Harga Normal B]])</f>
        <v>800000</v>
      </c>
      <c r="S234" s="73">
        <f>IFERROR(INDEX(Katalog!$F$3:$F$12,MATCH(cadangan[[#This Row],[ItemID B]],Katalog!$C$3:$C$12,0))*cadangan[[#This Row],[Qty B]],0)</f>
        <v>400000</v>
      </c>
      <c r="T234" s="73">
        <f>IFERROR(cadangan[[#This Row],[Harga Diskon B]]-INDEX(Katalog!$E$3:$E$12,MATCH(cadangan[[#This Row],[ItemID B]],Katalog!$C$3:$C$12,0))*cadangan[[#This Row],[Qty B]],0)</f>
        <v>200000</v>
      </c>
      <c r="V234" s="39" t="str">
        <f>IFERROR(INDEX(Katalog!$A$3:$A$12,MATCH(cadangan[[#This Row],[ItemID C]],Katalog!$C$3:$C$12,0)),"-")</f>
        <v>-</v>
      </c>
      <c r="W234" s="39" t="str">
        <f>IFERROR(INDEX(Katalog!$B$3:$B$12,MATCH(cadangan[[#This Row],[ItemID C]],Katalog!$C$3:$C$12,0)),"-")</f>
        <v>-</v>
      </c>
      <c r="Z234" s="73">
        <f>IFERROR(INDEX(Katalog!$D$3:$D$12,MATCH(cadangan[[#This Row],[ItemID C]],Katalog!$C$3:$C$12,0))*cadangan[[#This Row],[Qty C]],0)</f>
        <v>0</v>
      </c>
      <c r="AA234" s="73">
        <f>IFERROR(cadangan[[#This Row],[Harga Normal C]]-(cadangan[[#This Row],[Harga Normal C]]*cadangan[[#This Row],[Diskon]]),cadangan[[#This Row],[Harga Normal C]])</f>
        <v>0</v>
      </c>
      <c r="AB234" s="73">
        <f>IFERROR(INDEX(Katalog!$F$3:$F$12,MATCH(cadangan[[#This Row],[ItemID C]],Katalog!$C$3:$C$12,0))*cadangan[[#This Row],[Qty C]],0)</f>
        <v>0</v>
      </c>
      <c r="AC234" s="73">
        <f>IFERROR(cadangan[[#This Row],[Harga Diskon C]]-INDEX(Katalog!$E$3:$E$12,MATCH(cadangan[[#This Row],[ItemID C]],Katalog!$C$3:$C$12,0))*cadangan[[#This Row],[Qty C]],0)</f>
        <v>0</v>
      </c>
      <c r="AD234" s="53">
        <f>cadangan[[#This Row],[Qty A]]+cadangan[[#This Row],[Qty B]]+cadangan[[#This Row],[Qty C]]</f>
        <v>4</v>
      </c>
      <c r="AE234" s="73">
        <f>cadangan[[#This Row],[Harga Normal A]]+cadangan[[#This Row],[Harga Normal B]]+cadangan[[#This Row],[Harga Normal C]]</f>
        <v>1360000</v>
      </c>
      <c r="AF234" s="73">
        <f>cadangan[[#This Row],[Harga Diskon A]]+cadangan[[#This Row],[Harga Diskon B]]+cadangan[[#This Row],[Harga Diskon C]]</f>
        <v>1088000</v>
      </c>
      <c r="AG234" s="73">
        <f>(cadangan[[#This Row],[Profit Normal A]]+cadangan[[#This Row],[Profit Normal B]]+cadangan[[#This Row],[Profit Normal C]])</f>
        <v>540000</v>
      </c>
      <c r="AH234" s="73">
        <f>cadangan[[#This Row],[Profit Diskon A]]+cadangan[[#This Row],[Profit Diskon B]]+cadangan[[#This Row],[Profit Diskon C]]</f>
        <v>268000</v>
      </c>
      <c r="AI234" s="23" t="s">
        <v>8</v>
      </c>
      <c r="AJ234" s="37">
        <f>IFERROR(INDEX('Kode Diskon'!$D$3:$D$9,MATCH(cadangan[[#This Row],[Kode diskon]],'Kode Diskon'!$C$3:$C$9,0)),"-")</f>
        <v>0.2</v>
      </c>
      <c r="AK234" s="23" t="s">
        <v>9</v>
      </c>
      <c r="AL234" s="23" t="s">
        <v>7</v>
      </c>
      <c r="AM234" s="23" t="s">
        <v>79</v>
      </c>
      <c r="AN234" s="55">
        <v>45045</v>
      </c>
      <c r="AO234" s="53">
        <f>DAY(cadangan[[#This Row],[Tanggal terjual]])</f>
        <v>29</v>
      </c>
      <c r="AP234" s="21" t="str">
        <f>TEXT(cadangan[[#This Row],[Tanggal terjual]],"dddd")</f>
        <v>Saturday</v>
      </c>
      <c r="AQ234" s="23" t="str" cm="1">
        <f t="array" ref="AQ2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34" s="61">
        <f>AVERAGE(cadangan[[#This Row],[Rating A]],cadangan[[#This Row],[Rating B]],cadangan[[#This Row],[Rating C]])</f>
        <v>4</v>
      </c>
    </row>
    <row r="235" spans="1:44" x14ac:dyDescent="0.2">
      <c r="A235" s="20">
        <v>234</v>
      </c>
      <c r="B235" s="21" t="str">
        <f>_xlfn.CONCAT("ORD-",INDEX(Helper!$B$2:$B$5,MATCH(cadangan[[#This Row],[Marketplace]],Helper!$A$2:$A$5,0)),TEXT(cadangan[[#This Row],[No]],"0000"),"-",TEXT(cadangan[[#This Row],[Tanggal terjual]],"dd/mm/yy"))</f>
        <v>ORD-BB0234-01/04/23</v>
      </c>
      <c r="C235" s="39" t="s">
        <v>66</v>
      </c>
      <c r="D235" s="39" t="str">
        <f>IFERROR(INDEX(Katalog!$A$3:$A$12,MATCH(cadangan[[#This Row],[ItemID A]],Katalog!$C$3:$C$12,0)),"-")</f>
        <v>Sepatu Pria</v>
      </c>
      <c r="E235" s="39" t="str">
        <f>IFERROR(INDEX(Katalog!$B$3:$B$12,MATCH(cadangan[[#This Row],[ItemID A]],Katalog!$C$3:$C$12,0)),"-")</f>
        <v>Sandal Slip On</v>
      </c>
      <c r="F235" s="50">
        <v>4</v>
      </c>
      <c r="G235" s="50">
        <v>2</v>
      </c>
      <c r="H235" s="73">
        <f>IFERROR(INDEX(Katalog!$D$3:$D$12,MATCH(cadangan[[#This Row],[ItemID A]],Katalog!$C$3:$C$12,0))*cadangan[[#This Row],[Qty A]],0)</f>
        <v>600000</v>
      </c>
      <c r="I235" s="73">
        <f>IFERROR(cadangan[[#This Row],[Harga Normal A]]-(cadangan[[#This Row],[Harga Normal A]]*cadangan[[#This Row],[Diskon]]),cadangan[[#This Row],[Harga Normal A]])</f>
        <v>510000</v>
      </c>
      <c r="J235" s="73">
        <f>INDEX(Katalog!$F$3:$F$12,MATCH(cadangan[[#This Row],[ItemID A]],Katalog!$C$3:$C$12,0))*cadangan[[#This Row],[Qty A]]</f>
        <v>240000</v>
      </c>
      <c r="K235" s="73">
        <f>IFERROR(cadangan[[#This Row],[Harga Diskon A]]-INDEX(Katalog!$E$3:$E$12,MATCH(cadangan[[#This Row],[ItemID A]],Katalog!$C$3:$C$12,0))*cadangan[[#This Row],[Qty A]],0)</f>
        <v>150000</v>
      </c>
      <c r="L235" s="39" t="s">
        <v>63</v>
      </c>
      <c r="M235" s="39" t="str">
        <f>IFERROR(INDEX(Katalog!$A$3:$A$12,MATCH(cadangan[[#This Row],[ItemID B]],Katalog!$C$3:$C$12,0)),"-")</f>
        <v>Pakaian Pria</v>
      </c>
      <c r="N235" s="39" t="str">
        <f>IFERROR(INDEX(Katalog!$B$3:$B$12,MATCH(cadangan[[#This Row],[ItemID B]],Katalog!$C$3:$C$12,0)),"-")</f>
        <v>Jaket Jeans</v>
      </c>
      <c r="O235" s="50">
        <v>1</v>
      </c>
      <c r="P235" s="50">
        <v>4</v>
      </c>
      <c r="Q235" s="73">
        <f>IFERROR(INDEX(Katalog!$D$3:$D$12,MATCH(cadangan[[#This Row],[ItemID B]],Katalog!$C$3:$C$12,0))*cadangan[[#This Row],[Qty B]],0)</f>
        <v>400000</v>
      </c>
      <c r="R235" s="73">
        <f>IFERROR(cadangan[[#This Row],[Harga Normal B]]-(cadangan[[#This Row],[Harga Normal B]]*cadangan[[#This Row],[Diskon]]),cadangan[[#This Row],[Harga Normal B]])</f>
        <v>340000</v>
      </c>
      <c r="S235" s="73">
        <f>IFERROR(INDEX(Katalog!$F$3:$F$12,MATCH(cadangan[[#This Row],[ItemID B]],Katalog!$C$3:$C$12,0))*cadangan[[#This Row],[Qty B]],0)</f>
        <v>150000</v>
      </c>
      <c r="T235" s="73">
        <f>IFERROR(cadangan[[#This Row],[Harga Diskon B]]-INDEX(Katalog!$E$3:$E$12,MATCH(cadangan[[#This Row],[ItemID B]],Katalog!$C$3:$C$12,0))*cadangan[[#This Row],[Qty B]],0)</f>
        <v>90000</v>
      </c>
      <c r="V235" s="39" t="str">
        <f>IFERROR(INDEX(Katalog!$A$3:$A$12,MATCH(cadangan[[#This Row],[ItemID C]],Katalog!$C$3:$C$12,0)),"-")</f>
        <v>-</v>
      </c>
      <c r="W235" s="39" t="str">
        <f>IFERROR(INDEX(Katalog!$B$3:$B$12,MATCH(cadangan[[#This Row],[ItemID C]],Katalog!$C$3:$C$12,0)),"-")</f>
        <v>-</v>
      </c>
      <c r="Z235" s="73">
        <f>IFERROR(INDEX(Katalog!$D$3:$D$12,MATCH(cadangan[[#This Row],[ItemID C]],Katalog!$C$3:$C$12,0))*cadangan[[#This Row],[Qty C]],0)</f>
        <v>0</v>
      </c>
      <c r="AA235" s="73">
        <f>IFERROR(cadangan[[#This Row],[Harga Normal C]]-(cadangan[[#This Row],[Harga Normal C]]*cadangan[[#This Row],[Diskon]]),cadangan[[#This Row],[Harga Normal C]])</f>
        <v>0</v>
      </c>
      <c r="AB235" s="73">
        <f>IFERROR(INDEX(Katalog!$F$3:$F$12,MATCH(cadangan[[#This Row],[ItemID C]],Katalog!$C$3:$C$12,0))*cadangan[[#This Row],[Qty C]],0)</f>
        <v>0</v>
      </c>
      <c r="AC235" s="73">
        <f>IFERROR(cadangan[[#This Row],[Harga Diskon C]]-INDEX(Katalog!$E$3:$E$12,MATCH(cadangan[[#This Row],[ItemID C]],Katalog!$C$3:$C$12,0))*cadangan[[#This Row],[Qty C]],0)</f>
        <v>0</v>
      </c>
      <c r="AD235" s="53">
        <f>cadangan[[#This Row],[Qty A]]+cadangan[[#This Row],[Qty B]]+cadangan[[#This Row],[Qty C]]</f>
        <v>5</v>
      </c>
      <c r="AE235" s="73">
        <f>cadangan[[#This Row],[Harga Normal A]]+cadangan[[#This Row],[Harga Normal B]]+cadangan[[#This Row],[Harga Normal C]]</f>
        <v>1000000</v>
      </c>
      <c r="AF235" s="73">
        <f>cadangan[[#This Row],[Harga Diskon A]]+cadangan[[#This Row],[Harga Diskon B]]+cadangan[[#This Row],[Harga Diskon C]]</f>
        <v>850000</v>
      </c>
      <c r="AG235" s="73">
        <f>(cadangan[[#This Row],[Profit Normal A]]+cadangan[[#This Row],[Profit Normal B]]+cadangan[[#This Row],[Profit Normal C]])</f>
        <v>390000</v>
      </c>
      <c r="AH235" s="73">
        <f>cadangan[[#This Row],[Profit Diskon A]]+cadangan[[#This Row],[Profit Diskon B]]+cadangan[[#This Row],[Profit Diskon C]]</f>
        <v>240000</v>
      </c>
      <c r="AI235" s="23" t="s">
        <v>28</v>
      </c>
      <c r="AJ235" s="37">
        <f>IFERROR(INDEX('Kode Diskon'!$D$3:$D$9,MATCH(cadangan[[#This Row],[Kode diskon]],'Kode Diskon'!$C$3:$C$9,0)),"-")</f>
        <v>0.15</v>
      </c>
      <c r="AK235" s="23" t="s">
        <v>29</v>
      </c>
      <c r="AL235" s="23" t="s">
        <v>14</v>
      </c>
      <c r="AM235" s="23" t="s">
        <v>80</v>
      </c>
      <c r="AN235" s="55">
        <v>45017</v>
      </c>
      <c r="AO235" s="53">
        <f>DAY(cadangan[[#This Row],[Tanggal terjual]])</f>
        <v>1</v>
      </c>
      <c r="AP235" s="21" t="str">
        <f>TEXT(cadangan[[#This Row],[Tanggal terjual]],"dddd")</f>
        <v>Saturday</v>
      </c>
      <c r="AQ235" s="23" t="str" cm="1">
        <f t="array" ref="AQ2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35" s="61">
        <f>AVERAGE(cadangan[[#This Row],[Rating A]],cadangan[[#This Row],[Rating B]],cadangan[[#This Row],[Rating C]])</f>
        <v>3</v>
      </c>
    </row>
    <row r="236" spans="1:44" x14ac:dyDescent="0.2">
      <c r="A236" s="20">
        <v>235</v>
      </c>
      <c r="B236" s="21" t="str">
        <f>_xlfn.CONCAT("ORD-",INDEX(Helper!$B$2:$B$5,MATCH(cadangan[[#This Row],[Marketplace]],Helper!$A$2:$A$5,0)),TEXT(cadangan[[#This Row],[No]],"0000"),"-",TEXT(cadangan[[#This Row],[Tanggal terjual]],"dd/mm/yy"))</f>
        <v>ORD-TK0235-22/04/23</v>
      </c>
      <c r="C236" s="39" t="s">
        <v>65</v>
      </c>
      <c r="D236" s="39" t="str">
        <f>IFERROR(INDEX(Katalog!$A$3:$A$12,MATCH(cadangan[[#This Row],[ItemID A]],Katalog!$C$3:$C$12,0)),"-")</f>
        <v>Sepatu Pria</v>
      </c>
      <c r="E236" s="39" t="str">
        <f>IFERROR(INDEX(Katalog!$B$3:$B$12,MATCH(cadangan[[#This Row],[ItemID A]],Katalog!$C$3:$C$12,0)),"-")</f>
        <v>Sneakers</v>
      </c>
      <c r="F236" s="50">
        <v>3</v>
      </c>
      <c r="G236" s="50">
        <v>4</v>
      </c>
      <c r="H236" s="73">
        <f>IFERROR(INDEX(Katalog!$D$3:$D$12,MATCH(cadangan[[#This Row],[ItemID A]],Katalog!$C$3:$C$12,0))*cadangan[[#This Row],[Qty A]],0)</f>
        <v>1500000</v>
      </c>
      <c r="I236" s="73">
        <f>IFERROR(cadangan[[#This Row],[Harga Normal A]]-(cadangan[[#This Row],[Harga Normal A]]*cadangan[[#This Row],[Diskon]]),cadangan[[#This Row],[Harga Normal A]])</f>
        <v>1350000</v>
      </c>
      <c r="J236" s="73">
        <f>INDEX(Katalog!$F$3:$F$12,MATCH(cadangan[[#This Row],[ItemID A]],Katalog!$C$3:$C$12,0))*cadangan[[#This Row],[Qty A]]</f>
        <v>600000</v>
      </c>
      <c r="K236" s="73">
        <f>IFERROR(cadangan[[#This Row],[Harga Diskon A]]-INDEX(Katalog!$E$3:$E$12,MATCH(cadangan[[#This Row],[ItemID A]],Katalog!$C$3:$C$12,0))*cadangan[[#This Row],[Qty A]],0)</f>
        <v>450000</v>
      </c>
      <c r="L236" s="39" t="s">
        <v>58</v>
      </c>
      <c r="M236" s="39" t="str">
        <f>IFERROR(INDEX(Katalog!$A$3:$A$12,MATCH(cadangan[[#This Row],[ItemID B]],Katalog!$C$3:$C$12,0)),"-")</f>
        <v>Pakaian Wanita</v>
      </c>
      <c r="N236" s="39" t="str">
        <f>IFERROR(INDEX(Katalog!$B$3:$B$12,MATCH(cadangan[[#This Row],[ItemID B]],Katalog!$C$3:$C$12,0)),"-")</f>
        <v>Dress</v>
      </c>
      <c r="O236" s="50">
        <v>1</v>
      </c>
      <c r="P236" s="50">
        <v>1</v>
      </c>
      <c r="Q236" s="73">
        <f>IFERROR(INDEX(Katalog!$D$3:$D$12,MATCH(cadangan[[#This Row],[ItemID B]],Katalog!$C$3:$C$12,0))*cadangan[[#This Row],[Qty B]],0)</f>
        <v>300000</v>
      </c>
      <c r="R236" s="73">
        <f>IFERROR(cadangan[[#This Row],[Harga Normal B]]-(cadangan[[#This Row],[Harga Normal B]]*cadangan[[#This Row],[Diskon]]),cadangan[[#This Row],[Harga Normal B]])</f>
        <v>270000</v>
      </c>
      <c r="S236" s="73">
        <f>IFERROR(INDEX(Katalog!$F$3:$F$12,MATCH(cadangan[[#This Row],[ItemID B]],Katalog!$C$3:$C$12,0))*cadangan[[#This Row],[Qty B]],0)</f>
        <v>100000</v>
      </c>
      <c r="T236" s="73">
        <f>IFERROR(cadangan[[#This Row],[Harga Diskon B]]-INDEX(Katalog!$E$3:$E$12,MATCH(cadangan[[#This Row],[ItemID B]],Katalog!$C$3:$C$12,0))*cadangan[[#This Row],[Qty B]],0)</f>
        <v>70000</v>
      </c>
      <c r="U236" s="39" t="s">
        <v>61</v>
      </c>
      <c r="V236" s="39" t="str">
        <f>IFERROR(INDEX(Katalog!$A$3:$A$12,MATCH(cadangan[[#This Row],[ItemID C]],Katalog!$C$3:$C$12,0)),"-")</f>
        <v>Pakaian Pria</v>
      </c>
      <c r="W236" s="39" t="str">
        <f>IFERROR(INDEX(Katalog!$B$3:$B$12,MATCH(cadangan[[#This Row],[ItemID C]],Katalog!$C$3:$C$12,0)),"-")</f>
        <v>Kaos Polo</v>
      </c>
      <c r="X236" s="50">
        <v>1</v>
      </c>
      <c r="Y236" s="50">
        <v>5</v>
      </c>
      <c r="Z236" s="73">
        <f>IFERROR(INDEX(Katalog!$D$3:$D$12,MATCH(cadangan[[#This Row],[ItemID C]],Katalog!$C$3:$C$12,0))*cadangan[[#This Row],[Qty C]],0)</f>
        <v>200000</v>
      </c>
      <c r="AA236" s="73">
        <f>IFERROR(cadangan[[#This Row],[Harga Normal C]]-(cadangan[[#This Row],[Harga Normal C]]*cadangan[[#This Row],[Diskon]]),cadangan[[#This Row],[Harga Normal C]])</f>
        <v>180000</v>
      </c>
      <c r="AB236" s="73">
        <f>IFERROR(INDEX(Katalog!$F$3:$F$12,MATCH(cadangan[[#This Row],[ItemID C]],Katalog!$C$3:$C$12,0))*cadangan[[#This Row],[Qty C]],0)</f>
        <v>80000</v>
      </c>
      <c r="AC236" s="73">
        <f>IFERROR(cadangan[[#This Row],[Harga Diskon C]]-INDEX(Katalog!$E$3:$E$12,MATCH(cadangan[[#This Row],[ItemID C]],Katalog!$C$3:$C$12,0))*cadangan[[#This Row],[Qty C]],0)</f>
        <v>60000</v>
      </c>
      <c r="AD236" s="53">
        <f>cadangan[[#This Row],[Qty A]]+cadangan[[#This Row],[Qty B]]+cadangan[[#This Row],[Qty C]]</f>
        <v>5</v>
      </c>
      <c r="AE236" s="73">
        <f>cadangan[[#This Row],[Harga Normal A]]+cadangan[[#This Row],[Harga Normal B]]+cadangan[[#This Row],[Harga Normal C]]</f>
        <v>2000000</v>
      </c>
      <c r="AF236" s="73">
        <f>cadangan[[#This Row],[Harga Diskon A]]+cadangan[[#This Row],[Harga Diskon B]]+cadangan[[#This Row],[Harga Diskon C]]</f>
        <v>1800000</v>
      </c>
      <c r="AG236" s="73">
        <f>(cadangan[[#This Row],[Profit Normal A]]+cadangan[[#This Row],[Profit Normal B]]+cadangan[[#This Row],[Profit Normal C]])</f>
        <v>780000</v>
      </c>
      <c r="AH236" s="73">
        <f>cadangan[[#This Row],[Profit Diskon A]]+cadangan[[#This Row],[Profit Diskon B]]+cadangan[[#This Row],[Profit Diskon C]]</f>
        <v>580000</v>
      </c>
      <c r="AI236" s="23" t="s">
        <v>31</v>
      </c>
      <c r="AJ236" s="37">
        <f>IFERROR(INDEX('Kode Diskon'!$D$3:$D$9,MATCH(cadangan[[#This Row],[Kode diskon]],'Kode Diskon'!$C$3:$C$9,0)),"-")</f>
        <v>0.1</v>
      </c>
      <c r="AK236" s="23" t="s">
        <v>9</v>
      </c>
      <c r="AL236" s="23" t="s">
        <v>10</v>
      </c>
      <c r="AM236" s="23" t="s">
        <v>75</v>
      </c>
      <c r="AN236" s="55">
        <v>45038</v>
      </c>
      <c r="AO236" s="53">
        <f>DAY(cadangan[[#This Row],[Tanggal terjual]])</f>
        <v>22</v>
      </c>
      <c r="AP236" s="21" t="str">
        <f>TEXT(cadangan[[#This Row],[Tanggal terjual]],"dddd")</f>
        <v>Saturday</v>
      </c>
      <c r="AQ236" s="23" t="str" cm="1">
        <f t="array" ref="AQ2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36" s="61">
        <f>AVERAGE(cadangan[[#This Row],[Rating A]],cadangan[[#This Row],[Rating B]],cadangan[[#This Row],[Rating C]])</f>
        <v>3.3333333333333335</v>
      </c>
    </row>
    <row r="237" spans="1:44" x14ac:dyDescent="0.2">
      <c r="A237" s="20">
        <v>236</v>
      </c>
      <c r="B237" s="21" t="str">
        <f>_xlfn.CONCAT("ORD-",INDEX(Helper!$B$2:$B$5,MATCH(cadangan[[#This Row],[Marketplace]],Helper!$A$2:$A$5,0)),TEXT(cadangan[[#This Row],[No]],"0000"),"-",TEXT(cadangan[[#This Row],[Tanggal terjual]],"dd/mm/yy"))</f>
        <v>ORD-TK0236-29/04/23</v>
      </c>
      <c r="C237" s="39" t="s">
        <v>61</v>
      </c>
      <c r="D237" s="39" t="str">
        <f>IFERROR(INDEX(Katalog!$A$3:$A$12,MATCH(cadangan[[#This Row],[ItemID A]],Katalog!$C$3:$C$12,0)),"-")</f>
        <v>Pakaian Pria</v>
      </c>
      <c r="E237" s="39" t="str">
        <f>IFERROR(INDEX(Katalog!$B$3:$B$12,MATCH(cadangan[[#This Row],[ItemID A]],Katalog!$C$3:$C$12,0)),"-")</f>
        <v>Kaos Polo</v>
      </c>
      <c r="F237" s="50">
        <v>1</v>
      </c>
      <c r="G237" s="50">
        <v>2</v>
      </c>
      <c r="H237" s="73">
        <f>IFERROR(INDEX(Katalog!$D$3:$D$12,MATCH(cadangan[[#This Row],[ItemID A]],Katalog!$C$3:$C$12,0))*cadangan[[#This Row],[Qty A]],0)</f>
        <v>200000</v>
      </c>
      <c r="I237" s="73">
        <f>IFERROR(cadangan[[#This Row],[Harga Normal A]]-(cadangan[[#This Row],[Harga Normal A]]*cadangan[[#This Row],[Diskon]]),cadangan[[#This Row],[Harga Normal A]])</f>
        <v>180000</v>
      </c>
      <c r="J237" s="73">
        <f>INDEX(Katalog!$F$3:$F$12,MATCH(cadangan[[#This Row],[ItemID A]],Katalog!$C$3:$C$12,0))*cadangan[[#This Row],[Qty A]]</f>
        <v>80000</v>
      </c>
      <c r="K237" s="73">
        <f>IFERROR(cadangan[[#This Row],[Harga Diskon A]]-INDEX(Katalog!$E$3:$E$12,MATCH(cadangan[[#This Row],[ItemID A]],Katalog!$C$3:$C$12,0))*cadangan[[#This Row],[Qty A]],0)</f>
        <v>60000</v>
      </c>
      <c r="M237" s="39" t="str">
        <f>IFERROR(INDEX(Katalog!$A$3:$A$12,MATCH(cadangan[[#This Row],[ItemID B]],Katalog!$C$3:$C$12,0)),"-")</f>
        <v>-</v>
      </c>
      <c r="N237" s="39" t="str">
        <f>IFERROR(INDEX(Katalog!$B$3:$B$12,MATCH(cadangan[[#This Row],[ItemID B]],Katalog!$C$3:$C$12,0)),"-")</f>
        <v>-</v>
      </c>
      <c r="Q237" s="73">
        <f>IFERROR(INDEX(Katalog!$D$3:$D$12,MATCH(cadangan[[#This Row],[ItemID B]],Katalog!$C$3:$C$12,0))*cadangan[[#This Row],[Qty B]],0)</f>
        <v>0</v>
      </c>
      <c r="R237" s="73">
        <f>IFERROR(cadangan[[#This Row],[Harga Normal B]]-(cadangan[[#This Row],[Harga Normal B]]*cadangan[[#This Row],[Diskon]]),cadangan[[#This Row],[Harga Normal B]])</f>
        <v>0</v>
      </c>
      <c r="S237" s="73">
        <f>IFERROR(INDEX(Katalog!$F$3:$F$12,MATCH(cadangan[[#This Row],[ItemID B]],Katalog!$C$3:$C$12,0))*cadangan[[#This Row],[Qty B]],0)</f>
        <v>0</v>
      </c>
      <c r="T237" s="73">
        <f>IFERROR(cadangan[[#This Row],[Harga Diskon B]]-INDEX(Katalog!$E$3:$E$12,MATCH(cadangan[[#This Row],[ItemID B]],Katalog!$C$3:$C$12,0))*cadangan[[#This Row],[Qty B]],0)</f>
        <v>0</v>
      </c>
      <c r="V237" s="39" t="str">
        <f>IFERROR(INDEX(Katalog!$A$3:$A$12,MATCH(cadangan[[#This Row],[ItemID C]],Katalog!$C$3:$C$12,0)),"-")</f>
        <v>-</v>
      </c>
      <c r="W237" s="39" t="str">
        <f>IFERROR(INDEX(Katalog!$B$3:$B$12,MATCH(cadangan[[#This Row],[ItemID C]],Katalog!$C$3:$C$12,0)),"-")</f>
        <v>-</v>
      </c>
      <c r="Z237" s="73">
        <f>IFERROR(INDEX(Katalog!$D$3:$D$12,MATCH(cadangan[[#This Row],[ItemID C]],Katalog!$C$3:$C$12,0))*cadangan[[#This Row],[Qty C]],0)</f>
        <v>0</v>
      </c>
      <c r="AA237" s="73">
        <f>IFERROR(cadangan[[#This Row],[Harga Normal C]]-(cadangan[[#This Row],[Harga Normal C]]*cadangan[[#This Row],[Diskon]]),cadangan[[#This Row],[Harga Normal C]])</f>
        <v>0</v>
      </c>
      <c r="AB237" s="73">
        <f>IFERROR(INDEX(Katalog!$F$3:$F$12,MATCH(cadangan[[#This Row],[ItemID C]],Katalog!$C$3:$C$12,0))*cadangan[[#This Row],[Qty C]],0)</f>
        <v>0</v>
      </c>
      <c r="AC237" s="73">
        <f>IFERROR(cadangan[[#This Row],[Harga Diskon C]]-INDEX(Katalog!$E$3:$E$12,MATCH(cadangan[[#This Row],[ItemID C]],Katalog!$C$3:$C$12,0))*cadangan[[#This Row],[Qty C]],0)</f>
        <v>0</v>
      </c>
      <c r="AD237" s="53">
        <f>cadangan[[#This Row],[Qty A]]+cadangan[[#This Row],[Qty B]]+cadangan[[#This Row],[Qty C]]</f>
        <v>1</v>
      </c>
      <c r="AE237" s="73">
        <f>cadangan[[#This Row],[Harga Normal A]]+cadangan[[#This Row],[Harga Normal B]]+cadangan[[#This Row],[Harga Normal C]]</f>
        <v>200000</v>
      </c>
      <c r="AF237" s="73">
        <f>cadangan[[#This Row],[Harga Diskon A]]+cadangan[[#This Row],[Harga Diskon B]]+cadangan[[#This Row],[Harga Diskon C]]</f>
        <v>180000</v>
      </c>
      <c r="AG237" s="73">
        <f>(cadangan[[#This Row],[Profit Normal A]]+cadangan[[#This Row],[Profit Normal B]]+cadangan[[#This Row],[Profit Normal C]])</f>
        <v>80000</v>
      </c>
      <c r="AH237" s="73">
        <f>cadangan[[#This Row],[Profit Diskon A]]+cadangan[[#This Row],[Profit Diskon B]]+cadangan[[#This Row],[Profit Diskon C]]</f>
        <v>60000</v>
      </c>
      <c r="AI237" s="23" t="s">
        <v>31</v>
      </c>
      <c r="AJ237" s="37">
        <f>IFERROR(INDEX('Kode Diskon'!$D$3:$D$9,MATCH(cadangan[[#This Row],[Kode diskon]],'Kode Diskon'!$C$3:$C$9,0)),"-")</f>
        <v>0.1</v>
      </c>
      <c r="AK237" s="23" t="s">
        <v>9</v>
      </c>
      <c r="AL237" s="23" t="s">
        <v>10</v>
      </c>
      <c r="AM237" s="23" t="s">
        <v>78</v>
      </c>
      <c r="AN237" s="55">
        <v>45045</v>
      </c>
      <c r="AO237" s="53">
        <f>DAY(cadangan[[#This Row],[Tanggal terjual]])</f>
        <v>29</v>
      </c>
      <c r="AP237" s="21" t="str">
        <f>TEXT(cadangan[[#This Row],[Tanggal terjual]],"dddd")</f>
        <v>Saturday</v>
      </c>
      <c r="AQ237" s="23" t="str" cm="1">
        <f t="array" ref="AQ2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37" s="61">
        <f>AVERAGE(cadangan[[#This Row],[Rating A]],cadangan[[#This Row],[Rating B]],cadangan[[#This Row],[Rating C]])</f>
        <v>2</v>
      </c>
    </row>
    <row r="238" spans="1:44" x14ac:dyDescent="0.2">
      <c r="A238" s="20">
        <v>237</v>
      </c>
      <c r="B238" s="21" t="str">
        <f>_xlfn.CONCAT("ORD-",INDEX(Helper!$B$2:$B$5,MATCH(cadangan[[#This Row],[Marketplace]],Helper!$A$2:$A$5,0)),TEXT(cadangan[[#This Row],[No]],"0000"),"-",TEXT(cadangan[[#This Row],[Tanggal terjual]],"dd/mm/yy"))</f>
        <v>ORD-BB0237-02/04/23</v>
      </c>
      <c r="C238" s="39" t="s">
        <v>60</v>
      </c>
      <c r="D238" s="39" t="str">
        <f>IFERROR(INDEX(Katalog!$A$3:$A$12,MATCH(cadangan[[#This Row],[ItemID A]],Katalog!$C$3:$C$12,0)),"-")</f>
        <v>Pakaian Wanita</v>
      </c>
      <c r="E238" s="39" t="str">
        <f>IFERROR(INDEX(Katalog!$B$3:$B$12,MATCH(cadangan[[#This Row],[ItemID A]],Katalog!$C$3:$C$12,0)),"-")</f>
        <v>Kaftan</v>
      </c>
      <c r="F238" s="50">
        <v>3</v>
      </c>
      <c r="G238" s="50">
        <v>3</v>
      </c>
      <c r="H238" s="73">
        <f>IFERROR(INDEX(Katalog!$D$3:$D$12,MATCH(cadangan[[#This Row],[ItemID A]],Katalog!$C$3:$C$12,0))*cadangan[[#This Row],[Qty A]],0)</f>
        <v>750000</v>
      </c>
      <c r="I238" s="73">
        <f>IFERROR(cadangan[[#This Row],[Harga Normal A]]-(cadangan[[#This Row],[Harga Normal A]]*cadangan[[#This Row],[Diskon]]),cadangan[[#This Row],[Harga Normal A]])</f>
        <v>637500</v>
      </c>
      <c r="J238" s="73">
        <f>INDEX(Katalog!$F$3:$F$12,MATCH(cadangan[[#This Row],[ItemID A]],Katalog!$C$3:$C$12,0))*cadangan[[#This Row],[Qty A]]</f>
        <v>300000</v>
      </c>
      <c r="K238" s="73">
        <f>IFERROR(cadangan[[#This Row],[Harga Diskon A]]-INDEX(Katalog!$E$3:$E$12,MATCH(cadangan[[#This Row],[ItemID A]],Katalog!$C$3:$C$12,0))*cadangan[[#This Row],[Qty A]],0)</f>
        <v>187500</v>
      </c>
      <c r="M238" s="39" t="str">
        <f>IFERROR(INDEX(Katalog!$A$3:$A$12,MATCH(cadangan[[#This Row],[ItemID B]],Katalog!$C$3:$C$12,0)),"-")</f>
        <v>-</v>
      </c>
      <c r="N238" s="39" t="str">
        <f>IFERROR(INDEX(Katalog!$B$3:$B$12,MATCH(cadangan[[#This Row],[ItemID B]],Katalog!$C$3:$C$12,0)),"-")</f>
        <v>-</v>
      </c>
      <c r="Q238" s="73">
        <f>IFERROR(INDEX(Katalog!$D$3:$D$12,MATCH(cadangan[[#This Row],[ItemID B]],Katalog!$C$3:$C$12,0))*cadangan[[#This Row],[Qty B]],0)</f>
        <v>0</v>
      </c>
      <c r="R238" s="73">
        <f>IFERROR(cadangan[[#This Row],[Harga Normal B]]-(cadangan[[#This Row],[Harga Normal B]]*cadangan[[#This Row],[Diskon]]),cadangan[[#This Row],[Harga Normal B]])</f>
        <v>0</v>
      </c>
      <c r="S238" s="73">
        <f>IFERROR(INDEX(Katalog!$F$3:$F$12,MATCH(cadangan[[#This Row],[ItemID B]],Katalog!$C$3:$C$12,0))*cadangan[[#This Row],[Qty B]],0)</f>
        <v>0</v>
      </c>
      <c r="T238" s="73">
        <f>IFERROR(cadangan[[#This Row],[Harga Diskon B]]-INDEX(Katalog!$E$3:$E$12,MATCH(cadangan[[#This Row],[ItemID B]],Katalog!$C$3:$C$12,0))*cadangan[[#This Row],[Qty B]],0)</f>
        <v>0</v>
      </c>
      <c r="V238" s="39" t="str">
        <f>IFERROR(INDEX(Katalog!$A$3:$A$12,MATCH(cadangan[[#This Row],[ItemID C]],Katalog!$C$3:$C$12,0)),"-")</f>
        <v>-</v>
      </c>
      <c r="W238" s="39" t="str">
        <f>IFERROR(INDEX(Katalog!$B$3:$B$12,MATCH(cadangan[[#This Row],[ItemID C]],Katalog!$C$3:$C$12,0)),"-")</f>
        <v>-</v>
      </c>
      <c r="Z238" s="73">
        <f>IFERROR(INDEX(Katalog!$D$3:$D$12,MATCH(cadangan[[#This Row],[ItemID C]],Katalog!$C$3:$C$12,0))*cadangan[[#This Row],[Qty C]],0)</f>
        <v>0</v>
      </c>
      <c r="AA238" s="73">
        <f>IFERROR(cadangan[[#This Row],[Harga Normal C]]-(cadangan[[#This Row],[Harga Normal C]]*cadangan[[#This Row],[Diskon]]),cadangan[[#This Row],[Harga Normal C]])</f>
        <v>0</v>
      </c>
      <c r="AB238" s="73">
        <f>IFERROR(INDEX(Katalog!$F$3:$F$12,MATCH(cadangan[[#This Row],[ItemID C]],Katalog!$C$3:$C$12,0))*cadangan[[#This Row],[Qty C]],0)</f>
        <v>0</v>
      </c>
      <c r="AC238" s="73">
        <f>IFERROR(cadangan[[#This Row],[Harga Diskon C]]-INDEX(Katalog!$E$3:$E$12,MATCH(cadangan[[#This Row],[ItemID C]],Katalog!$C$3:$C$12,0))*cadangan[[#This Row],[Qty C]],0)</f>
        <v>0</v>
      </c>
      <c r="AD238" s="53">
        <f>cadangan[[#This Row],[Qty A]]+cadangan[[#This Row],[Qty B]]+cadangan[[#This Row],[Qty C]]</f>
        <v>3</v>
      </c>
      <c r="AE238" s="73">
        <f>cadangan[[#This Row],[Harga Normal A]]+cadangan[[#This Row],[Harga Normal B]]+cadangan[[#This Row],[Harga Normal C]]</f>
        <v>750000</v>
      </c>
      <c r="AF238" s="73">
        <f>cadangan[[#This Row],[Harga Diskon A]]+cadangan[[#This Row],[Harga Diskon B]]+cadangan[[#This Row],[Harga Diskon C]]</f>
        <v>637500</v>
      </c>
      <c r="AG238" s="73">
        <f>(cadangan[[#This Row],[Profit Normal A]]+cadangan[[#This Row],[Profit Normal B]]+cadangan[[#This Row],[Profit Normal C]])</f>
        <v>300000</v>
      </c>
      <c r="AH238" s="73">
        <f>cadangan[[#This Row],[Profit Diskon A]]+cadangan[[#This Row],[Profit Diskon B]]+cadangan[[#This Row],[Profit Diskon C]]</f>
        <v>187500</v>
      </c>
      <c r="AI238" s="23" t="s">
        <v>28</v>
      </c>
      <c r="AJ238" s="37">
        <f>IFERROR(INDEX('Kode Diskon'!$D$3:$D$9,MATCH(cadangan[[#This Row],[Kode diskon]],'Kode Diskon'!$C$3:$C$9,0)),"-")</f>
        <v>0.15</v>
      </c>
      <c r="AK238" s="23" t="s">
        <v>29</v>
      </c>
      <c r="AL238" s="23" t="s">
        <v>14</v>
      </c>
      <c r="AM238" s="23" t="s">
        <v>80</v>
      </c>
      <c r="AN238" s="55">
        <v>45018</v>
      </c>
      <c r="AO238" s="53">
        <f>DAY(cadangan[[#This Row],[Tanggal terjual]])</f>
        <v>2</v>
      </c>
      <c r="AP238" s="21" t="str">
        <f>TEXT(cadangan[[#This Row],[Tanggal terjual]],"dddd")</f>
        <v>Sunday</v>
      </c>
      <c r="AQ238" s="23" t="str" cm="1">
        <f t="array" ref="AQ2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38" s="61">
        <f>AVERAGE(cadangan[[#This Row],[Rating A]],cadangan[[#This Row],[Rating B]],cadangan[[#This Row],[Rating C]])</f>
        <v>3</v>
      </c>
    </row>
    <row r="239" spans="1:44" x14ac:dyDescent="0.2">
      <c r="A239" s="20">
        <v>238</v>
      </c>
      <c r="B239" s="21" t="str">
        <f>_xlfn.CONCAT("ORD-",INDEX(Helper!$B$2:$B$5,MATCH(cadangan[[#This Row],[Marketplace]],Helper!$A$2:$A$5,0)),TEXT(cadangan[[#This Row],[No]],"0000"),"-",TEXT(cadangan[[#This Row],[Tanggal terjual]],"dd/mm/yy"))</f>
        <v>ORD-SP0238-04/04/23</v>
      </c>
      <c r="C239" s="39" t="s">
        <v>66</v>
      </c>
      <c r="D239" s="39" t="str">
        <f>IFERROR(INDEX(Katalog!$A$3:$A$12,MATCH(cadangan[[#This Row],[ItemID A]],Katalog!$C$3:$C$12,0)),"-")</f>
        <v>Sepatu Pria</v>
      </c>
      <c r="E239" s="39" t="str">
        <f>IFERROR(INDEX(Katalog!$B$3:$B$12,MATCH(cadangan[[#This Row],[ItemID A]],Katalog!$C$3:$C$12,0)),"-")</f>
        <v>Sandal Slip On</v>
      </c>
      <c r="F239" s="50">
        <v>2</v>
      </c>
      <c r="G239" s="50">
        <v>4</v>
      </c>
      <c r="H239" s="73">
        <f>IFERROR(INDEX(Katalog!$D$3:$D$12,MATCH(cadangan[[#This Row],[ItemID A]],Katalog!$C$3:$C$12,0))*cadangan[[#This Row],[Qty A]],0)</f>
        <v>300000</v>
      </c>
      <c r="I239" s="73">
        <f>IFERROR(cadangan[[#This Row],[Harga Normal A]]-(cadangan[[#This Row],[Harga Normal A]]*cadangan[[#This Row],[Diskon]]),cadangan[[#This Row],[Harga Normal A]])</f>
        <v>255000</v>
      </c>
      <c r="J239" s="73">
        <f>INDEX(Katalog!$F$3:$F$12,MATCH(cadangan[[#This Row],[ItemID A]],Katalog!$C$3:$C$12,0))*cadangan[[#This Row],[Qty A]]</f>
        <v>120000</v>
      </c>
      <c r="K239" s="73">
        <f>IFERROR(cadangan[[#This Row],[Harga Diskon A]]-INDEX(Katalog!$E$3:$E$12,MATCH(cadangan[[#This Row],[ItemID A]],Katalog!$C$3:$C$12,0))*cadangan[[#This Row],[Qty A]],0)</f>
        <v>75000</v>
      </c>
      <c r="L239" s="39" t="s">
        <v>63</v>
      </c>
      <c r="M239" s="39" t="str">
        <f>IFERROR(INDEX(Katalog!$A$3:$A$12,MATCH(cadangan[[#This Row],[ItemID B]],Katalog!$C$3:$C$12,0)),"-")</f>
        <v>Pakaian Pria</v>
      </c>
      <c r="N239" s="39" t="str">
        <f>IFERROR(INDEX(Katalog!$B$3:$B$12,MATCH(cadangan[[#This Row],[ItemID B]],Katalog!$C$3:$C$12,0)),"-")</f>
        <v>Jaket Jeans</v>
      </c>
      <c r="O239" s="50">
        <v>1</v>
      </c>
      <c r="P239" s="50">
        <v>3</v>
      </c>
      <c r="Q239" s="73">
        <f>IFERROR(INDEX(Katalog!$D$3:$D$12,MATCH(cadangan[[#This Row],[ItemID B]],Katalog!$C$3:$C$12,0))*cadangan[[#This Row],[Qty B]],0)</f>
        <v>400000</v>
      </c>
      <c r="R239" s="73">
        <f>IFERROR(cadangan[[#This Row],[Harga Normal B]]-(cadangan[[#This Row],[Harga Normal B]]*cadangan[[#This Row],[Diskon]]),cadangan[[#This Row],[Harga Normal B]])</f>
        <v>340000</v>
      </c>
      <c r="S239" s="73">
        <f>IFERROR(INDEX(Katalog!$F$3:$F$12,MATCH(cadangan[[#This Row],[ItemID B]],Katalog!$C$3:$C$12,0))*cadangan[[#This Row],[Qty B]],0)</f>
        <v>150000</v>
      </c>
      <c r="T239" s="73">
        <f>IFERROR(cadangan[[#This Row],[Harga Diskon B]]-INDEX(Katalog!$E$3:$E$12,MATCH(cadangan[[#This Row],[ItemID B]],Katalog!$C$3:$C$12,0))*cadangan[[#This Row],[Qty B]],0)</f>
        <v>90000</v>
      </c>
      <c r="U239" s="39" t="s">
        <v>59</v>
      </c>
      <c r="V239" s="39" t="str">
        <f>IFERROR(INDEX(Katalog!$A$3:$A$12,MATCH(cadangan[[#This Row],[ItemID C]],Katalog!$C$3:$C$12,0)),"-")</f>
        <v>Pakaian Wanita</v>
      </c>
      <c r="W239" s="39" t="str">
        <f>IFERROR(INDEX(Katalog!$B$3:$B$12,MATCH(cadangan[[#This Row],[ItemID C]],Katalog!$C$3:$C$12,0)),"-")</f>
        <v>Blouse</v>
      </c>
      <c r="X239" s="50">
        <v>4</v>
      </c>
      <c r="Y239" s="50">
        <v>5</v>
      </c>
      <c r="Z239" s="73">
        <f>IFERROR(INDEX(Katalog!$D$3:$D$12,MATCH(cadangan[[#This Row],[ItemID C]],Katalog!$C$3:$C$12,0))*cadangan[[#This Row],[Qty C]],0)</f>
        <v>600000</v>
      </c>
      <c r="AA239" s="73">
        <f>IFERROR(cadangan[[#This Row],[Harga Normal C]]-(cadangan[[#This Row],[Harga Normal C]]*cadangan[[#This Row],[Diskon]]),cadangan[[#This Row],[Harga Normal C]])</f>
        <v>510000</v>
      </c>
      <c r="AB239" s="73">
        <f>IFERROR(INDEX(Katalog!$F$3:$F$12,MATCH(cadangan[[#This Row],[ItemID C]],Katalog!$C$3:$C$12,0))*cadangan[[#This Row],[Qty C]],0)</f>
        <v>200000</v>
      </c>
      <c r="AC239" s="73">
        <f>IFERROR(cadangan[[#This Row],[Harga Diskon C]]-INDEX(Katalog!$E$3:$E$12,MATCH(cadangan[[#This Row],[ItemID C]],Katalog!$C$3:$C$12,0))*cadangan[[#This Row],[Qty C]],0)</f>
        <v>110000</v>
      </c>
      <c r="AD239" s="53">
        <f>cadangan[[#This Row],[Qty A]]+cadangan[[#This Row],[Qty B]]+cadangan[[#This Row],[Qty C]]</f>
        <v>7</v>
      </c>
      <c r="AE239" s="73">
        <f>cadangan[[#This Row],[Harga Normal A]]+cadangan[[#This Row],[Harga Normal B]]+cadangan[[#This Row],[Harga Normal C]]</f>
        <v>1300000</v>
      </c>
      <c r="AF239" s="73">
        <f>cadangan[[#This Row],[Harga Diskon A]]+cadangan[[#This Row],[Harga Diskon B]]+cadangan[[#This Row],[Harga Diskon C]]</f>
        <v>1105000</v>
      </c>
      <c r="AG239" s="73">
        <f>(cadangan[[#This Row],[Profit Normal A]]+cadangan[[#This Row],[Profit Normal B]]+cadangan[[#This Row],[Profit Normal C]])</f>
        <v>470000</v>
      </c>
      <c r="AH239" s="73">
        <f>cadangan[[#This Row],[Profit Diskon A]]+cadangan[[#This Row],[Profit Diskon B]]+cadangan[[#This Row],[Profit Diskon C]]</f>
        <v>275000</v>
      </c>
      <c r="AI239" s="23" t="s">
        <v>13</v>
      </c>
      <c r="AJ239" s="37">
        <f>IFERROR(INDEX('Kode Diskon'!$D$3:$D$9,MATCH(cadangan[[#This Row],[Kode diskon]],'Kode Diskon'!$C$3:$C$9,0)),"-")</f>
        <v>0.15</v>
      </c>
      <c r="AK239" s="23" t="s">
        <v>29</v>
      </c>
      <c r="AL239" s="23" t="s">
        <v>7</v>
      </c>
      <c r="AM239" s="23" t="s">
        <v>75</v>
      </c>
      <c r="AN239" s="55">
        <v>45020</v>
      </c>
      <c r="AO239" s="53">
        <f>DAY(cadangan[[#This Row],[Tanggal terjual]])</f>
        <v>4</v>
      </c>
      <c r="AP239" s="21" t="str">
        <f>TEXT(cadangan[[#This Row],[Tanggal terjual]],"dddd")</f>
        <v>Tuesday</v>
      </c>
      <c r="AQ239" s="23" t="str" cm="1">
        <f t="array" ref="AQ2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39" s="61">
        <f>AVERAGE(cadangan[[#This Row],[Rating A]],cadangan[[#This Row],[Rating B]],cadangan[[#This Row],[Rating C]])</f>
        <v>4</v>
      </c>
    </row>
    <row r="240" spans="1:44" x14ac:dyDescent="0.2">
      <c r="A240" s="20">
        <v>239</v>
      </c>
      <c r="B240" s="21" t="str">
        <f>_xlfn.CONCAT("ORD-",INDEX(Helper!$B$2:$B$5,MATCH(cadangan[[#This Row],[Marketplace]],Helper!$A$2:$A$5,0)),TEXT(cadangan[[#This Row],[No]],"0000"),"-",TEXT(cadangan[[#This Row],[Tanggal terjual]],"dd/mm/yy"))</f>
        <v>ORD-SP0239-08/04/23</v>
      </c>
      <c r="C240" s="39" t="s">
        <v>60</v>
      </c>
      <c r="D240" s="39" t="str">
        <f>IFERROR(INDEX(Katalog!$A$3:$A$12,MATCH(cadangan[[#This Row],[ItemID A]],Katalog!$C$3:$C$12,0)),"-")</f>
        <v>Pakaian Wanita</v>
      </c>
      <c r="E240" s="39" t="str">
        <f>IFERROR(INDEX(Katalog!$B$3:$B$12,MATCH(cadangan[[#This Row],[ItemID A]],Katalog!$C$3:$C$12,0)),"-")</f>
        <v>Kaftan</v>
      </c>
      <c r="F240" s="50">
        <v>4</v>
      </c>
      <c r="G240" s="50">
        <v>4</v>
      </c>
      <c r="H240" s="73">
        <f>IFERROR(INDEX(Katalog!$D$3:$D$12,MATCH(cadangan[[#This Row],[ItemID A]],Katalog!$C$3:$C$12,0))*cadangan[[#This Row],[Qty A]],0)</f>
        <v>1000000</v>
      </c>
      <c r="I240" s="73">
        <f>IFERROR(cadangan[[#This Row],[Harga Normal A]]-(cadangan[[#This Row],[Harga Normal A]]*cadangan[[#This Row],[Diskon]]),cadangan[[#This Row],[Harga Normal A]])</f>
        <v>1000000</v>
      </c>
      <c r="J240" s="73">
        <f>INDEX(Katalog!$F$3:$F$12,MATCH(cadangan[[#This Row],[ItemID A]],Katalog!$C$3:$C$12,0))*cadangan[[#This Row],[Qty A]]</f>
        <v>400000</v>
      </c>
      <c r="K240" s="73">
        <f>IFERROR(cadangan[[#This Row],[Harga Diskon A]]-INDEX(Katalog!$E$3:$E$12,MATCH(cadangan[[#This Row],[ItemID A]],Katalog!$C$3:$C$12,0))*cadangan[[#This Row],[Qty A]],0)</f>
        <v>400000</v>
      </c>
      <c r="M240" s="39" t="str">
        <f>IFERROR(INDEX(Katalog!$A$3:$A$12,MATCH(cadangan[[#This Row],[ItemID B]],Katalog!$C$3:$C$12,0)),"-")</f>
        <v>-</v>
      </c>
      <c r="N240" s="39" t="str">
        <f>IFERROR(INDEX(Katalog!$B$3:$B$12,MATCH(cadangan[[#This Row],[ItemID B]],Katalog!$C$3:$C$12,0)),"-")</f>
        <v>-</v>
      </c>
      <c r="Q240" s="73">
        <f>IFERROR(INDEX(Katalog!$D$3:$D$12,MATCH(cadangan[[#This Row],[ItemID B]],Katalog!$C$3:$C$12,0))*cadangan[[#This Row],[Qty B]],0)</f>
        <v>0</v>
      </c>
      <c r="R240" s="73">
        <f>IFERROR(cadangan[[#This Row],[Harga Normal B]]-(cadangan[[#This Row],[Harga Normal B]]*cadangan[[#This Row],[Diskon]]),cadangan[[#This Row],[Harga Normal B]])</f>
        <v>0</v>
      </c>
      <c r="S240" s="73">
        <f>IFERROR(INDEX(Katalog!$F$3:$F$12,MATCH(cadangan[[#This Row],[ItemID B]],Katalog!$C$3:$C$12,0))*cadangan[[#This Row],[Qty B]],0)</f>
        <v>0</v>
      </c>
      <c r="T240" s="73">
        <f>IFERROR(cadangan[[#This Row],[Harga Diskon B]]-INDEX(Katalog!$E$3:$E$12,MATCH(cadangan[[#This Row],[ItemID B]],Katalog!$C$3:$C$12,0))*cadangan[[#This Row],[Qty B]],0)</f>
        <v>0</v>
      </c>
      <c r="V240" s="39" t="str">
        <f>IFERROR(INDEX(Katalog!$A$3:$A$12,MATCH(cadangan[[#This Row],[ItemID C]],Katalog!$C$3:$C$12,0)),"-")</f>
        <v>-</v>
      </c>
      <c r="W240" s="39" t="str">
        <f>IFERROR(INDEX(Katalog!$B$3:$B$12,MATCH(cadangan[[#This Row],[ItemID C]],Katalog!$C$3:$C$12,0)),"-")</f>
        <v>-</v>
      </c>
      <c r="Z240" s="73">
        <f>IFERROR(INDEX(Katalog!$D$3:$D$12,MATCH(cadangan[[#This Row],[ItemID C]],Katalog!$C$3:$C$12,0))*cadangan[[#This Row],[Qty C]],0)</f>
        <v>0</v>
      </c>
      <c r="AA240" s="73">
        <f>IFERROR(cadangan[[#This Row],[Harga Normal C]]-(cadangan[[#This Row],[Harga Normal C]]*cadangan[[#This Row],[Diskon]]),cadangan[[#This Row],[Harga Normal C]])</f>
        <v>0</v>
      </c>
      <c r="AB240" s="73">
        <f>IFERROR(INDEX(Katalog!$F$3:$F$12,MATCH(cadangan[[#This Row],[ItemID C]],Katalog!$C$3:$C$12,0))*cadangan[[#This Row],[Qty C]],0)</f>
        <v>0</v>
      </c>
      <c r="AC240" s="73">
        <f>IFERROR(cadangan[[#This Row],[Harga Diskon C]]-INDEX(Katalog!$E$3:$E$12,MATCH(cadangan[[#This Row],[ItemID C]],Katalog!$C$3:$C$12,0))*cadangan[[#This Row],[Qty C]],0)</f>
        <v>0</v>
      </c>
      <c r="AD240" s="53">
        <f>cadangan[[#This Row],[Qty A]]+cadangan[[#This Row],[Qty B]]+cadangan[[#This Row],[Qty C]]</f>
        <v>4</v>
      </c>
      <c r="AE240" s="73">
        <f>cadangan[[#This Row],[Harga Normal A]]+cadangan[[#This Row],[Harga Normal B]]+cadangan[[#This Row],[Harga Normal C]]</f>
        <v>1000000</v>
      </c>
      <c r="AF240" s="73">
        <f>cadangan[[#This Row],[Harga Diskon A]]+cadangan[[#This Row],[Harga Diskon B]]+cadangan[[#This Row],[Harga Diskon C]]</f>
        <v>1000000</v>
      </c>
      <c r="AG240" s="73">
        <f>(cadangan[[#This Row],[Profit Normal A]]+cadangan[[#This Row],[Profit Normal B]]+cadangan[[#This Row],[Profit Normal C]])</f>
        <v>400000</v>
      </c>
      <c r="AH240" s="73">
        <f>cadangan[[#This Row],[Profit Diskon A]]+cadangan[[#This Row],[Profit Diskon B]]+cadangan[[#This Row],[Profit Diskon C]]</f>
        <v>400000</v>
      </c>
      <c r="AI240" s="23" t="s">
        <v>290</v>
      </c>
      <c r="AJ240" s="37" t="str">
        <f>IFERROR(INDEX('Kode Diskon'!$D$3:$D$9,MATCH(cadangan[[#This Row],[Kode diskon]],'Kode Diskon'!$C$3:$C$9,0)),"-")</f>
        <v>-</v>
      </c>
      <c r="AK240" s="23" t="s">
        <v>290</v>
      </c>
      <c r="AL240" s="23" t="s">
        <v>7</v>
      </c>
      <c r="AM240" s="23" t="s">
        <v>75</v>
      </c>
      <c r="AN240" s="55">
        <v>45024</v>
      </c>
      <c r="AO240" s="53">
        <f>DAY(cadangan[[#This Row],[Tanggal terjual]])</f>
        <v>8</v>
      </c>
      <c r="AP240" s="21" t="str">
        <f>TEXT(cadangan[[#This Row],[Tanggal terjual]],"dddd")</f>
        <v>Saturday</v>
      </c>
      <c r="AQ240" s="23" t="str" cm="1">
        <f t="array" ref="AQ2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40" s="61">
        <f>AVERAGE(cadangan[[#This Row],[Rating A]],cadangan[[#This Row],[Rating B]],cadangan[[#This Row],[Rating C]])</f>
        <v>4</v>
      </c>
    </row>
    <row r="241" spans="1:44" x14ac:dyDescent="0.2">
      <c r="A241" s="20">
        <v>240</v>
      </c>
      <c r="B241" s="21" t="str">
        <f>_xlfn.CONCAT("ORD-",INDEX(Helper!$B$2:$B$5,MATCH(cadangan[[#This Row],[Marketplace]],Helper!$A$2:$A$5,0)),TEXT(cadangan[[#This Row],[No]],"0000"),"-",TEXT(cadangan[[#This Row],[Tanggal terjual]],"dd/mm/yy"))</f>
        <v>ORD-BB0240-04/04/23</v>
      </c>
      <c r="C241" s="39" t="s">
        <v>61</v>
      </c>
      <c r="D241" s="39" t="str">
        <f>IFERROR(INDEX(Katalog!$A$3:$A$12,MATCH(cadangan[[#This Row],[ItemID A]],Katalog!$C$3:$C$12,0)),"-")</f>
        <v>Pakaian Pria</v>
      </c>
      <c r="E241" s="39" t="str">
        <f>IFERROR(INDEX(Katalog!$B$3:$B$12,MATCH(cadangan[[#This Row],[ItemID A]],Katalog!$C$3:$C$12,0)),"-")</f>
        <v>Kaos Polo</v>
      </c>
      <c r="F241" s="50">
        <v>6</v>
      </c>
      <c r="G241" s="50">
        <v>4</v>
      </c>
      <c r="H241" s="73">
        <f>IFERROR(INDEX(Katalog!$D$3:$D$12,MATCH(cadangan[[#This Row],[ItemID A]],Katalog!$C$3:$C$12,0))*cadangan[[#This Row],[Qty A]],0)</f>
        <v>1200000</v>
      </c>
      <c r="I241" s="73">
        <f>IFERROR(cadangan[[#This Row],[Harga Normal A]]-(cadangan[[#This Row],[Harga Normal A]]*cadangan[[#This Row],[Diskon]]),cadangan[[#This Row],[Harga Normal A]])</f>
        <v>1020000</v>
      </c>
      <c r="J241" s="73">
        <f>INDEX(Katalog!$F$3:$F$12,MATCH(cadangan[[#This Row],[ItemID A]],Katalog!$C$3:$C$12,0))*cadangan[[#This Row],[Qty A]]</f>
        <v>480000</v>
      </c>
      <c r="K241" s="73">
        <f>IFERROR(cadangan[[#This Row],[Harga Diskon A]]-INDEX(Katalog!$E$3:$E$12,MATCH(cadangan[[#This Row],[ItemID A]],Katalog!$C$3:$C$12,0))*cadangan[[#This Row],[Qty A]],0)</f>
        <v>300000</v>
      </c>
      <c r="M241" s="39" t="str">
        <f>IFERROR(INDEX(Katalog!$A$3:$A$12,MATCH(cadangan[[#This Row],[ItemID B]],Katalog!$C$3:$C$12,0)),"-")</f>
        <v>-</v>
      </c>
      <c r="N241" s="39" t="str">
        <f>IFERROR(INDEX(Katalog!$B$3:$B$12,MATCH(cadangan[[#This Row],[ItemID B]],Katalog!$C$3:$C$12,0)),"-")</f>
        <v>-</v>
      </c>
      <c r="Q241" s="73">
        <f>IFERROR(INDEX(Katalog!$D$3:$D$12,MATCH(cadangan[[#This Row],[ItemID B]],Katalog!$C$3:$C$12,0))*cadangan[[#This Row],[Qty B]],0)</f>
        <v>0</v>
      </c>
      <c r="R241" s="73">
        <f>IFERROR(cadangan[[#This Row],[Harga Normal B]]-(cadangan[[#This Row],[Harga Normal B]]*cadangan[[#This Row],[Diskon]]),cadangan[[#This Row],[Harga Normal B]])</f>
        <v>0</v>
      </c>
      <c r="S241" s="73">
        <f>IFERROR(INDEX(Katalog!$F$3:$F$12,MATCH(cadangan[[#This Row],[ItemID B]],Katalog!$C$3:$C$12,0))*cadangan[[#This Row],[Qty B]],0)</f>
        <v>0</v>
      </c>
      <c r="T241" s="73">
        <f>IFERROR(cadangan[[#This Row],[Harga Diskon B]]-INDEX(Katalog!$E$3:$E$12,MATCH(cadangan[[#This Row],[ItemID B]],Katalog!$C$3:$C$12,0))*cadangan[[#This Row],[Qty B]],0)</f>
        <v>0</v>
      </c>
      <c r="V241" s="39" t="str">
        <f>IFERROR(INDEX(Katalog!$A$3:$A$12,MATCH(cadangan[[#This Row],[ItemID C]],Katalog!$C$3:$C$12,0)),"-")</f>
        <v>-</v>
      </c>
      <c r="W241" s="39" t="str">
        <f>IFERROR(INDEX(Katalog!$B$3:$B$12,MATCH(cadangan[[#This Row],[ItemID C]],Katalog!$C$3:$C$12,0)),"-")</f>
        <v>-</v>
      </c>
      <c r="Z241" s="73">
        <f>IFERROR(INDEX(Katalog!$D$3:$D$12,MATCH(cadangan[[#This Row],[ItemID C]],Katalog!$C$3:$C$12,0))*cadangan[[#This Row],[Qty C]],0)</f>
        <v>0</v>
      </c>
      <c r="AA241" s="73">
        <f>IFERROR(cadangan[[#This Row],[Harga Normal C]]-(cadangan[[#This Row],[Harga Normal C]]*cadangan[[#This Row],[Diskon]]),cadangan[[#This Row],[Harga Normal C]])</f>
        <v>0</v>
      </c>
      <c r="AB241" s="73">
        <f>IFERROR(INDEX(Katalog!$F$3:$F$12,MATCH(cadangan[[#This Row],[ItemID C]],Katalog!$C$3:$C$12,0))*cadangan[[#This Row],[Qty C]],0)</f>
        <v>0</v>
      </c>
      <c r="AC241" s="73">
        <f>IFERROR(cadangan[[#This Row],[Harga Diskon C]]-INDEX(Katalog!$E$3:$E$12,MATCH(cadangan[[#This Row],[ItemID C]],Katalog!$C$3:$C$12,0))*cadangan[[#This Row],[Qty C]],0)</f>
        <v>0</v>
      </c>
      <c r="AD241" s="53">
        <f>cadangan[[#This Row],[Qty A]]+cadangan[[#This Row],[Qty B]]+cadangan[[#This Row],[Qty C]]</f>
        <v>6</v>
      </c>
      <c r="AE241" s="73">
        <f>cadangan[[#This Row],[Harga Normal A]]+cadangan[[#This Row],[Harga Normal B]]+cadangan[[#This Row],[Harga Normal C]]</f>
        <v>1200000</v>
      </c>
      <c r="AF241" s="73">
        <f>cadangan[[#This Row],[Harga Diskon A]]+cadangan[[#This Row],[Harga Diskon B]]+cadangan[[#This Row],[Harga Diskon C]]</f>
        <v>1020000</v>
      </c>
      <c r="AG241" s="73">
        <f>(cadangan[[#This Row],[Profit Normal A]]+cadangan[[#This Row],[Profit Normal B]]+cadangan[[#This Row],[Profit Normal C]])</f>
        <v>480000</v>
      </c>
      <c r="AH241" s="73">
        <f>cadangan[[#This Row],[Profit Diskon A]]+cadangan[[#This Row],[Profit Diskon B]]+cadangan[[#This Row],[Profit Diskon C]]</f>
        <v>300000</v>
      </c>
      <c r="AI241" s="23" t="s">
        <v>28</v>
      </c>
      <c r="AJ241" s="37">
        <f>IFERROR(INDEX('Kode Diskon'!$D$3:$D$9,MATCH(cadangan[[#This Row],[Kode diskon]],'Kode Diskon'!$C$3:$C$9,0)),"-")</f>
        <v>0.15</v>
      </c>
      <c r="AK241" s="23" t="s">
        <v>29</v>
      </c>
      <c r="AL241" s="23" t="s">
        <v>14</v>
      </c>
      <c r="AM241" s="23" t="s">
        <v>76</v>
      </c>
      <c r="AN241" s="55">
        <v>45020</v>
      </c>
      <c r="AO241" s="53">
        <f>DAY(cadangan[[#This Row],[Tanggal terjual]])</f>
        <v>4</v>
      </c>
      <c r="AP241" s="21" t="str">
        <f>TEXT(cadangan[[#This Row],[Tanggal terjual]],"dddd")</f>
        <v>Tuesday</v>
      </c>
      <c r="AQ241" s="23" t="str" cm="1">
        <f t="array" ref="AQ2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41" s="61">
        <f>AVERAGE(cadangan[[#This Row],[Rating A]],cadangan[[#This Row],[Rating B]],cadangan[[#This Row],[Rating C]])</f>
        <v>4</v>
      </c>
    </row>
    <row r="242" spans="1:44" x14ac:dyDescent="0.2">
      <c r="A242" s="20">
        <v>241</v>
      </c>
      <c r="B242" s="21" t="str">
        <f>_xlfn.CONCAT("ORD-",INDEX(Helper!$B$2:$B$5,MATCH(cadangan[[#This Row],[Marketplace]],Helper!$A$2:$A$5,0)),TEXT(cadangan[[#This Row],[No]],"0000"),"-",TEXT(cadangan[[#This Row],[Tanggal terjual]],"dd/mm/yy"))</f>
        <v>ORD-BL0241-28/04/23</v>
      </c>
      <c r="C242" s="39" t="s">
        <v>61</v>
      </c>
      <c r="D242" s="39" t="str">
        <f>IFERROR(INDEX(Katalog!$A$3:$A$12,MATCH(cadangan[[#This Row],[ItemID A]],Katalog!$C$3:$C$12,0)),"-")</f>
        <v>Pakaian Pria</v>
      </c>
      <c r="E242" s="39" t="str">
        <f>IFERROR(INDEX(Katalog!$B$3:$B$12,MATCH(cadangan[[#This Row],[ItemID A]],Katalog!$C$3:$C$12,0)),"-")</f>
        <v>Kaos Polo</v>
      </c>
      <c r="F242" s="50">
        <v>3</v>
      </c>
      <c r="G242" s="50">
        <v>2</v>
      </c>
      <c r="H242" s="73">
        <f>IFERROR(INDEX(Katalog!$D$3:$D$12,MATCH(cadangan[[#This Row],[ItemID A]],Katalog!$C$3:$C$12,0))*cadangan[[#This Row],[Qty A]],0)</f>
        <v>600000</v>
      </c>
      <c r="I242" s="73">
        <f>IFERROR(cadangan[[#This Row],[Harga Normal A]]-(cadangan[[#This Row],[Harga Normal A]]*cadangan[[#This Row],[Diskon]]),cadangan[[#This Row],[Harga Normal A]])</f>
        <v>510000</v>
      </c>
      <c r="J242" s="73">
        <f>INDEX(Katalog!$F$3:$F$12,MATCH(cadangan[[#This Row],[ItemID A]],Katalog!$C$3:$C$12,0))*cadangan[[#This Row],[Qty A]]</f>
        <v>240000</v>
      </c>
      <c r="K242" s="73">
        <f>IFERROR(cadangan[[#This Row],[Harga Diskon A]]-INDEX(Katalog!$E$3:$E$12,MATCH(cadangan[[#This Row],[ItemID A]],Katalog!$C$3:$C$12,0))*cadangan[[#This Row],[Qty A]],0)</f>
        <v>150000</v>
      </c>
      <c r="L242" s="39" t="s">
        <v>65</v>
      </c>
      <c r="M242" s="39" t="str">
        <f>IFERROR(INDEX(Katalog!$A$3:$A$12,MATCH(cadangan[[#This Row],[ItemID B]],Katalog!$C$3:$C$12,0)),"-")</f>
        <v>Sepatu Pria</v>
      </c>
      <c r="N242" s="39" t="str">
        <f>IFERROR(INDEX(Katalog!$B$3:$B$12,MATCH(cadangan[[#This Row],[ItemID B]],Katalog!$C$3:$C$12,0)),"-")</f>
        <v>Sneakers</v>
      </c>
      <c r="O242" s="50">
        <v>2</v>
      </c>
      <c r="P242" s="50">
        <v>1</v>
      </c>
      <c r="Q242" s="73">
        <f>IFERROR(INDEX(Katalog!$D$3:$D$12,MATCH(cadangan[[#This Row],[ItemID B]],Katalog!$C$3:$C$12,0))*cadangan[[#This Row],[Qty B]],0)</f>
        <v>1000000</v>
      </c>
      <c r="R242" s="73">
        <f>IFERROR(cadangan[[#This Row],[Harga Normal B]]-(cadangan[[#This Row],[Harga Normal B]]*cadangan[[#This Row],[Diskon]]),cadangan[[#This Row],[Harga Normal B]])</f>
        <v>850000</v>
      </c>
      <c r="S242" s="73">
        <f>IFERROR(INDEX(Katalog!$F$3:$F$12,MATCH(cadangan[[#This Row],[ItemID B]],Katalog!$C$3:$C$12,0))*cadangan[[#This Row],[Qty B]],0)</f>
        <v>400000</v>
      </c>
      <c r="T242" s="73">
        <f>IFERROR(cadangan[[#This Row],[Harga Diskon B]]-INDEX(Katalog!$E$3:$E$12,MATCH(cadangan[[#This Row],[ItemID B]],Katalog!$C$3:$C$12,0))*cadangan[[#This Row],[Qty B]],0)</f>
        <v>250000</v>
      </c>
      <c r="V242" s="39" t="str">
        <f>IFERROR(INDEX(Katalog!$A$3:$A$12,MATCH(cadangan[[#This Row],[ItemID C]],Katalog!$C$3:$C$12,0)),"-")</f>
        <v>-</v>
      </c>
      <c r="W242" s="39" t="str">
        <f>IFERROR(INDEX(Katalog!$B$3:$B$12,MATCH(cadangan[[#This Row],[ItemID C]],Katalog!$C$3:$C$12,0)),"-")</f>
        <v>-</v>
      </c>
      <c r="Z242" s="73">
        <f>IFERROR(INDEX(Katalog!$D$3:$D$12,MATCH(cadangan[[#This Row],[ItemID C]],Katalog!$C$3:$C$12,0))*cadangan[[#This Row],[Qty C]],0)</f>
        <v>0</v>
      </c>
      <c r="AA242" s="73">
        <f>IFERROR(cadangan[[#This Row],[Harga Normal C]]-(cadangan[[#This Row],[Harga Normal C]]*cadangan[[#This Row],[Diskon]]),cadangan[[#This Row],[Harga Normal C]])</f>
        <v>0</v>
      </c>
      <c r="AB242" s="73">
        <f>IFERROR(INDEX(Katalog!$F$3:$F$12,MATCH(cadangan[[#This Row],[ItemID C]],Katalog!$C$3:$C$12,0))*cadangan[[#This Row],[Qty C]],0)</f>
        <v>0</v>
      </c>
      <c r="AC242" s="73">
        <f>IFERROR(cadangan[[#This Row],[Harga Diskon C]]-INDEX(Katalog!$E$3:$E$12,MATCH(cadangan[[#This Row],[ItemID C]],Katalog!$C$3:$C$12,0))*cadangan[[#This Row],[Qty C]],0)</f>
        <v>0</v>
      </c>
      <c r="AD242" s="53">
        <f>cadangan[[#This Row],[Qty A]]+cadangan[[#This Row],[Qty B]]+cadangan[[#This Row],[Qty C]]</f>
        <v>5</v>
      </c>
      <c r="AE242" s="73">
        <f>cadangan[[#This Row],[Harga Normal A]]+cadangan[[#This Row],[Harga Normal B]]+cadangan[[#This Row],[Harga Normal C]]</f>
        <v>1600000</v>
      </c>
      <c r="AF242" s="73">
        <f>cadangan[[#This Row],[Harga Diskon A]]+cadangan[[#This Row],[Harga Diskon B]]+cadangan[[#This Row],[Harga Diskon C]]</f>
        <v>1360000</v>
      </c>
      <c r="AG242" s="73">
        <f>(cadangan[[#This Row],[Profit Normal A]]+cadangan[[#This Row],[Profit Normal B]]+cadangan[[#This Row],[Profit Normal C]])</f>
        <v>640000</v>
      </c>
      <c r="AH242" s="73">
        <f>cadangan[[#This Row],[Profit Diskon A]]+cadangan[[#This Row],[Profit Diskon B]]+cadangan[[#This Row],[Profit Diskon C]]</f>
        <v>400000</v>
      </c>
      <c r="AI242" s="23" t="s">
        <v>32</v>
      </c>
      <c r="AJ242" s="37">
        <f>IFERROR(INDEX('Kode Diskon'!$D$3:$D$9,MATCH(cadangan[[#This Row],[Kode diskon]],'Kode Diskon'!$C$3:$C$9,0)),"-")</f>
        <v>0.15</v>
      </c>
      <c r="AK242" s="23" t="s">
        <v>9</v>
      </c>
      <c r="AL242" s="23" t="s">
        <v>12</v>
      </c>
      <c r="AM242" s="23" t="s">
        <v>79</v>
      </c>
      <c r="AN242" s="55">
        <v>45044</v>
      </c>
      <c r="AO242" s="53">
        <f>DAY(cadangan[[#This Row],[Tanggal terjual]])</f>
        <v>28</v>
      </c>
      <c r="AP242" s="21" t="str">
        <f>TEXT(cadangan[[#This Row],[Tanggal terjual]],"dddd")</f>
        <v>Friday</v>
      </c>
      <c r="AQ242" s="23" t="str" cm="1">
        <f t="array" ref="AQ2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42" s="61">
        <f>AVERAGE(cadangan[[#This Row],[Rating A]],cadangan[[#This Row],[Rating B]],cadangan[[#This Row],[Rating C]])</f>
        <v>1.5</v>
      </c>
    </row>
    <row r="243" spans="1:44" x14ac:dyDescent="0.2">
      <c r="A243" s="20">
        <v>242</v>
      </c>
      <c r="B243" s="21" t="str">
        <f>_xlfn.CONCAT("ORD-",INDEX(Helper!$B$2:$B$5,MATCH(cadangan[[#This Row],[Marketplace]],Helper!$A$2:$A$5,0)),TEXT(cadangan[[#This Row],[No]],"0000"),"-",TEXT(cadangan[[#This Row],[Tanggal terjual]],"dd/mm/yy"))</f>
        <v>ORD-SP0242-14/04/23</v>
      </c>
      <c r="C243" s="39" t="s">
        <v>61</v>
      </c>
      <c r="D243" s="39" t="str">
        <f>IFERROR(INDEX(Katalog!$A$3:$A$12,MATCH(cadangan[[#This Row],[ItemID A]],Katalog!$C$3:$C$12,0)),"-")</f>
        <v>Pakaian Pria</v>
      </c>
      <c r="E243" s="39" t="str">
        <f>IFERROR(INDEX(Katalog!$B$3:$B$12,MATCH(cadangan[[#This Row],[ItemID A]],Katalog!$C$3:$C$12,0)),"-")</f>
        <v>Kaos Polo</v>
      </c>
      <c r="F243" s="50">
        <v>3</v>
      </c>
      <c r="G243" s="50">
        <v>5</v>
      </c>
      <c r="H243" s="73">
        <f>IFERROR(INDEX(Katalog!$D$3:$D$12,MATCH(cadangan[[#This Row],[ItemID A]],Katalog!$C$3:$C$12,0))*cadangan[[#This Row],[Qty A]],0)</f>
        <v>600000</v>
      </c>
      <c r="I243" s="73">
        <f>IFERROR(cadangan[[#This Row],[Harga Normal A]]-(cadangan[[#This Row],[Harga Normal A]]*cadangan[[#This Row],[Diskon]]),cadangan[[#This Row],[Harga Normal A]])</f>
        <v>600000</v>
      </c>
      <c r="J243" s="73">
        <f>INDEX(Katalog!$F$3:$F$12,MATCH(cadangan[[#This Row],[ItemID A]],Katalog!$C$3:$C$12,0))*cadangan[[#This Row],[Qty A]]</f>
        <v>240000</v>
      </c>
      <c r="K243" s="73">
        <f>IFERROR(cadangan[[#This Row],[Harga Diskon A]]-INDEX(Katalog!$E$3:$E$12,MATCH(cadangan[[#This Row],[ItemID A]],Katalog!$C$3:$C$12,0))*cadangan[[#This Row],[Qty A]],0)</f>
        <v>240000</v>
      </c>
      <c r="M243" s="39" t="str">
        <f>IFERROR(INDEX(Katalog!$A$3:$A$12,MATCH(cadangan[[#This Row],[ItemID B]],Katalog!$C$3:$C$12,0)),"-")</f>
        <v>-</v>
      </c>
      <c r="N243" s="39" t="str">
        <f>IFERROR(INDEX(Katalog!$B$3:$B$12,MATCH(cadangan[[#This Row],[ItemID B]],Katalog!$C$3:$C$12,0)),"-")</f>
        <v>-</v>
      </c>
      <c r="Q243" s="73">
        <f>IFERROR(INDEX(Katalog!$D$3:$D$12,MATCH(cadangan[[#This Row],[ItemID B]],Katalog!$C$3:$C$12,0))*cadangan[[#This Row],[Qty B]],0)</f>
        <v>0</v>
      </c>
      <c r="R243" s="73">
        <f>IFERROR(cadangan[[#This Row],[Harga Normal B]]-(cadangan[[#This Row],[Harga Normal B]]*cadangan[[#This Row],[Diskon]]),cadangan[[#This Row],[Harga Normal B]])</f>
        <v>0</v>
      </c>
      <c r="S243" s="73">
        <f>IFERROR(INDEX(Katalog!$F$3:$F$12,MATCH(cadangan[[#This Row],[ItemID B]],Katalog!$C$3:$C$12,0))*cadangan[[#This Row],[Qty B]],0)</f>
        <v>0</v>
      </c>
      <c r="T243" s="73">
        <f>IFERROR(cadangan[[#This Row],[Harga Diskon B]]-INDEX(Katalog!$E$3:$E$12,MATCH(cadangan[[#This Row],[ItemID B]],Katalog!$C$3:$C$12,0))*cadangan[[#This Row],[Qty B]],0)</f>
        <v>0</v>
      </c>
      <c r="V243" s="39" t="str">
        <f>IFERROR(INDEX(Katalog!$A$3:$A$12,MATCH(cadangan[[#This Row],[ItemID C]],Katalog!$C$3:$C$12,0)),"-")</f>
        <v>-</v>
      </c>
      <c r="W243" s="39" t="str">
        <f>IFERROR(INDEX(Katalog!$B$3:$B$12,MATCH(cadangan[[#This Row],[ItemID C]],Katalog!$C$3:$C$12,0)),"-")</f>
        <v>-</v>
      </c>
      <c r="Z243" s="73">
        <f>IFERROR(INDEX(Katalog!$D$3:$D$12,MATCH(cadangan[[#This Row],[ItemID C]],Katalog!$C$3:$C$12,0))*cadangan[[#This Row],[Qty C]],0)</f>
        <v>0</v>
      </c>
      <c r="AA243" s="73">
        <f>IFERROR(cadangan[[#This Row],[Harga Normal C]]-(cadangan[[#This Row],[Harga Normal C]]*cadangan[[#This Row],[Diskon]]),cadangan[[#This Row],[Harga Normal C]])</f>
        <v>0</v>
      </c>
      <c r="AB243" s="73">
        <f>IFERROR(INDEX(Katalog!$F$3:$F$12,MATCH(cadangan[[#This Row],[ItemID C]],Katalog!$C$3:$C$12,0))*cadangan[[#This Row],[Qty C]],0)</f>
        <v>0</v>
      </c>
      <c r="AC243" s="73">
        <f>IFERROR(cadangan[[#This Row],[Harga Diskon C]]-INDEX(Katalog!$E$3:$E$12,MATCH(cadangan[[#This Row],[ItemID C]],Katalog!$C$3:$C$12,0))*cadangan[[#This Row],[Qty C]],0)</f>
        <v>0</v>
      </c>
      <c r="AD243" s="53">
        <f>cadangan[[#This Row],[Qty A]]+cadangan[[#This Row],[Qty B]]+cadangan[[#This Row],[Qty C]]</f>
        <v>3</v>
      </c>
      <c r="AE243" s="73">
        <f>cadangan[[#This Row],[Harga Normal A]]+cadangan[[#This Row],[Harga Normal B]]+cadangan[[#This Row],[Harga Normal C]]</f>
        <v>600000</v>
      </c>
      <c r="AF243" s="73">
        <f>cadangan[[#This Row],[Harga Diskon A]]+cadangan[[#This Row],[Harga Diskon B]]+cadangan[[#This Row],[Harga Diskon C]]</f>
        <v>600000</v>
      </c>
      <c r="AG243" s="73">
        <f>(cadangan[[#This Row],[Profit Normal A]]+cadangan[[#This Row],[Profit Normal B]]+cadangan[[#This Row],[Profit Normal C]])</f>
        <v>240000</v>
      </c>
      <c r="AH243" s="73">
        <f>cadangan[[#This Row],[Profit Diskon A]]+cadangan[[#This Row],[Profit Diskon B]]+cadangan[[#This Row],[Profit Diskon C]]</f>
        <v>240000</v>
      </c>
      <c r="AI243" s="23" t="s">
        <v>290</v>
      </c>
      <c r="AJ243" s="37" t="str">
        <f>IFERROR(INDEX('Kode Diskon'!$D$3:$D$9,MATCH(cadangan[[#This Row],[Kode diskon]],'Kode Diskon'!$C$3:$C$9,0)),"-")</f>
        <v>-</v>
      </c>
      <c r="AK243" s="23" t="s">
        <v>290</v>
      </c>
      <c r="AL243" s="23" t="s">
        <v>7</v>
      </c>
      <c r="AM243" s="23" t="s">
        <v>80</v>
      </c>
      <c r="AN243" s="55">
        <v>45030</v>
      </c>
      <c r="AO243" s="53">
        <f>DAY(cadangan[[#This Row],[Tanggal terjual]])</f>
        <v>14</v>
      </c>
      <c r="AP243" s="21" t="str">
        <f>TEXT(cadangan[[#This Row],[Tanggal terjual]],"dddd")</f>
        <v>Friday</v>
      </c>
      <c r="AQ243" s="23" t="str" cm="1">
        <f t="array" ref="AQ2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43" s="61">
        <f>AVERAGE(cadangan[[#This Row],[Rating A]],cadangan[[#This Row],[Rating B]],cadangan[[#This Row],[Rating C]])</f>
        <v>5</v>
      </c>
    </row>
    <row r="244" spans="1:44" x14ac:dyDescent="0.2">
      <c r="A244" s="20">
        <v>243</v>
      </c>
      <c r="B244" s="21" t="str">
        <f>_xlfn.CONCAT("ORD-",INDEX(Helper!$B$2:$B$5,MATCH(cadangan[[#This Row],[Marketplace]],Helper!$A$2:$A$5,0)),TEXT(cadangan[[#This Row],[No]],"0000"),"-",TEXT(cadangan[[#This Row],[Tanggal terjual]],"dd/mm/yy"))</f>
        <v>ORD-SP0243-04/04/23</v>
      </c>
      <c r="C244" s="39" t="s">
        <v>62</v>
      </c>
      <c r="D244" s="39" t="str">
        <f>IFERROR(INDEX(Katalog!$A$3:$A$12,MATCH(cadangan[[#This Row],[ItemID A]],Katalog!$C$3:$C$12,0)),"-")</f>
        <v>Pakaian Pria</v>
      </c>
      <c r="E244" s="39" t="str">
        <f>IFERROR(INDEX(Katalog!$B$3:$B$12,MATCH(cadangan[[#This Row],[ItemID A]],Katalog!$C$3:$C$12,0)),"-")</f>
        <v>Celana Pendek</v>
      </c>
      <c r="F244" s="50">
        <v>2</v>
      </c>
      <c r="G244" s="50">
        <v>4</v>
      </c>
      <c r="H244" s="73">
        <f>IFERROR(INDEX(Katalog!$D$3:$D$12,MATCH(cadangan[[#This Row],[ItemID A]],Katalog!$C$3:$C$12,0))*cadangan[[#This Row],[Qty A]],0)</f>
        <v>360000</v>
      </c>
      <c r="I244" s="73">
        <f>IFERROR(cadangan[[#This Row],[Harga Normal A]]-(cadangan[[#This Row],[Harga Normal A]]*cadangan[[#This Row],[Diskon]]),cadangan[[#This Row],[Harga Normal A]])</f>
        <v>306000</v>
      </c>
      <c r="J244" s="73">
        <f>INDEX(Katalog!$F$3:$F$12,MATCH(cadangan[[#This Row],[ItemID A]],Katalog!$C$3:$C$12,0))*cadangan[[#This Row],[Qty A]]</f>
        <v>140000</v>
      </c>
      <c r="K244" s="73">
        <f>IFERROR(cadangan[[#This Row],[Harga Diskon A]]-INDEX(Katalog!$E$3:$E$12,MATCH(cadangan[[#This Row],[ItemID A]],Katalog!$C$3:$C$12,0))*cadangan[[#This Row],[Qty A]],0)</f>
        <v>86000</v>
      </c>
      <c r="M244" s="39" t="str">
        <f>IFERROR(INDEX(Katalog!$A$3:$A$12,MATCH(cadangan[[#This Row],[ItemID B]],Katalog!$C$3:$C$12,0)),"-")</f>
        <v>-</v>
      </c>
      <c r="N244" s="39" t="str">
        <f>IFERROR(INDEX(Katalog!$B$3:$B$12,MATCH(cadangan[[#This Row],[ItemID B]],Katalog!$C$3:$C$12,0)),"-")</f>
        <v>-</v>
      </c>
      <c r="Q244" s="73">
        <f>IFERROR(INDEX(Katalog!$D$3:$D$12,MATCH(cadangan[[#This Row],[ItemID B]],Katalog!$C$3:$C$12,0))*cadangan[[#This Row],[Qty B]],0)</f>
        <v>0</v>
      </c>
      <c r="R244" s="73">
        <f>IFERROR(cadangan[[#This Row],[Harga Normal B]]-(cadangan[[#This Row],[Harga Normal B]]*cadangan[[#This Row],[Diskon]]),cadangan[[#This Row],[Harga Normal B]])</f>
        <v>0</v>
      </c>
      <c r="S244" s="73">
        <f>IFERROR(INDEX(Katalog!$F$3:$F$12,MATCH(cadangan[[#This Row],[ItemID B]],Katalog!$C$3:$C$12,0))*cadangan[[#This Row],[Qty B]],0)</f>
        <v>0</v>
      </c>
      <c r="T244" s="73">
        <f>IFERROR(cadangan[[#This Row],[Harga Diskon B]]-INDEX(Katalog!$E$3:$E$12,MATCH(cadangan[[#This Row],[ItemID B]],Katalog!$C$3:$C$12,0))*cadangan[[#This Row],[Qty B]],0)</f>
        <v>0</v>
      </c>
      <c r="V244" s="39" t="str">
        <f>IFERROR(INDEX(Katalog!$A$3:$A$12,MATCH(cadangan[[#This Row],[ItemID C]],Katalog!$C$3:$C$12,0)),"-")</f>
        <v>-</v>
      </c>
      <c r="W244" s="39" t="str">
        <f>IFERROR(INDEX(Katalog!$B$3:$B$12,MATCH(cadangan[[#This Row],[ItemID C]],Katalog!$C$3:$C$12,0)),"-")</f>
        <v>-</v>
      </c>
      <c r="Z244" s="73">
        <f>IFERROR(INDEX(Katalog!$D$3:$D$12,MATCH(cadangan[[#This Row],[ItemID C]],Katalog!$C$3:$C$12,0))*cadangan[[#This Row],[Qty C]],0)</f>
        <v>0</v>
      </c>
      <c r="AA244" s="73">
        <f>IFERROR(cadangan[[#This Row],[Harga Normal C]]-(cadangan[[#This Row],[Harga Normal C]]*cadangan[[#This Row],[Diskon]]),cadangan[[#This Row],[Harga Normal C]])</f>
        <v>0</v>
      </c>
      <c r="AB244" s="73">
        <f>IFERROR(INDEX(Katalog!$F$3:$F$12,MATCH(cadangan[[#This Row],[ItemID C]],Katalog!$C$3:$C$12,0))*cadangan[[#This Row],[Qty C]],0)</f>
        <v>0</v>
      </c>
      <c r="AC244" s="73">
        <f>IFERROR(cadangan[[#This Row],[Harga Diskon C]]-INDEX(Katalog!$E$3:$E$12,MATCH(cadangan[[#This Row],[ItemID C]],Katalog!$C$3:$C$12,0))*cadangan[[#This Row],[Qty C]],0)</f>
        <v>0</v>
      </c>
      <c r="AD244" s="53">
        <f>cadangan[[#This Row],[Qty A]]+cadangan[[#This Row],[Qty B]]+cadangan[[#This Row],[Qty C]]</f>
        <v>2</v>
      </c>
      <c r="AE244" s="73">
        <f>cadangan[[#This Row],[Harga Normal A]]+cadangan[[#This Row],[Harga Normal B]]+cadangan[[#This Row],[Harga Normal C]]</f>
        <v>360000</v>
      </c>
      <c r="AF244" s="73">
        <f>cadangan[[#This Row],[Harga Diskon A]]+cadangan[[#This Row],[Harga Diskon B]]+cadangan[[#This Row],[Harga Diskon C]]</f>
        <v>306000</v>
      </c>
      <c r="AG244" s="73">
        <f>(cadangan[[#This Row],[Profit Normal A]]+cadangan[[#This Row],[Profit Normal B]]+cadangan[[#This Row],[Profit Normal C]])</f>
        <v>140000</v>
      </c>
      <c r="AH244" s="73">
        <f>cadangan[[#This Row],[Profit Diskon A]]+cadangan[[#This Row],[Profit Diskon B]]+cadangan[[#This Row],[Profit Diskon C]]</f>
        <v>86000</v>
      </c>
      <c r="AI244" s="23" t="s">
        <v>13</v>
      </c>
      <c r="AJ244" s="37">
        <f>IFERROR(INDEX('Kode Diskon'!$D$3:$D$9,MATCH(cadangan[[#This Row],[Kode diskon]],'Kode Diskon'!$C$3:$C$9,0)),"-")</f>
        <v>0.15</v>
      </c>
      <c r="AK244" s="23" t="s">
        <v>29</v>
      </c>
      <c r="AL244" s="23" t="s">
        <v>7</v>
      </c>
      <c r="AM244" s="23" t="s">
        <v>80</v>
      </c>
      <c r="AN244" s="55">
        <v>45020</v>
      </c>
      <c r="AO244" s="53">
        <f>DAY(cadangan[[#This Row],[Tanggal terjual]])</f>
        <v>4</v>
      </c>
      <c r="AP244" s="21" t="str">
        <f>TEXT(cadangan[[#This Row],[Tanggal terjual]],"dddd")</f>
        <v>Tuesday</v>
      </c>
      <c r="AQ244" s="23" t="str" cm="1">
        <f t="array" ref="AQ2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44" s="61">
        <f>AVERAGE(cadangan[[#This Row],[Rating A]],cadangan[[#This Row],[Rating B]],cadangan[[#This Row],[Rating C]])</f>
        <v>4</v>
      </c>
    </row>
    <row r="245" spans="1:44" x14ac:dyDescent="0.2">
      <c r="A245" s="20">
        <v>244</v>
      </c>
      <c r="B245" s="21" t="str">
        <f>_xlfn.CONCAT("ORD-",INDEX(Helper!$B$2:$B$5,MATCH(cadangan[[#This Row],[Marketplace]],Helper!$A$2:$A$5,0)),TEXT(cadangan[[#This Row],[No]],"0000"),"-",TEXT(cadangan[[#This Row],[Tanggal terjual]],"dd/mm/yy"))</f>
        <v>ORD-TK0244-30/04/23</v>
      </c>
      <c r="C245" s="39" t="s">
        <v>58</v>
      </c>
      <c r="D245" s="39" t="str">
        <f>IFERROR(INDEX(Katalog!$A$3:$A$12,MATCH(cadangan[[#This Row],[ItemID A]],Katalog!$C$3:$C$12,0)),"-")</f>
        <v>Pakaian Wanita</v>
      </c>
      <c r="E245" s="39" t="str">
        <f>IFERROR(INDEX(Katalog!$B$3:$B$12,MATCH(cadangan[[#This Row],[ItemID A]],Katalog!$C$3:$C$12,0)),"-")</f>
        <v>Dress</v>
      </c>
      <c r="F245" s="50">
        <v>2</v>
      </c>
      <c r="G245" s="50">
        <v>4</v>
      </c>
      <c r="H245" s="73">
        <f>IFERROR(INDEX(Katalog!$D$3:$D$12,MATCH(cadangan[[#This Row],[ItemID A]],Katalog!$C$3:$C$12,0))*cadangan[[#This Row],[Qty A]],0)</f>
        <v>600000</v>
      </c>
      <c r="I245" s="73">
        <f>IFERROR(cadangan[[#This Row],[Harga Normal A]]-(cadangan[[#This Row],[Harga Normal A]]*cadangan[[#This Row],[Diskon]]),cadangan[[#This Row],[Harga Normal A]])</f>
        <v>540000</v>
      </c>
      <c r="J245" s="73">
        <f>INDEX(Katalog!$F$3:$F$12,MATCH(cadangan[[#This Row],[ItemID A]],Katalog!$C$3:$C$12,0))*cadangan[[#This Row],[Qty A]]</f>
        <v>200000</v>
      </c>
      <c r="K245" s="73">
        <f>IFERROR(cadangan[[#This Row],[Harga Diskon A]]-INDEX(Katalog!$E$3:$E$12,MATCH(cadangan[[#This Row],[ItemID A]],Katalog!$C$3:$C$12,0))*cadangan[[#This Row],[Qty A]],0)</f>
        <v>140000</v>
      </c>
      <c r="L245" s="39" t="s">
        <v>66</v>
      </c>
      <c r="M245" s="39" t="str">
        <f>IFERROR(INDEX(Katalog!$A$3:$A$12,MATCH(cadangan[[#This Row],[ItemID B]],Katalog!$C$3:$C$12,0)),"-")</f>
        <v>Sepatu Pria</v>
      </c>
      <c r="N245" s="39" t="str">
        <f>IFERROR(INDEX(Katalog!$B$3:$B$12,MATCH(cadangan[[#This Row],[ItemID B]],Katalog!$C$3:$C$12,0)),"-")</f>
        <v>Sandal Slip On</v>
      </c>
      <c r="O245" s="50">
        <v>1</v>
      </c>
      <c r="P245" s="50">
        <v>3</v>
      </c>
      <c r="Q245" s="73">
        <f>IFERROR(INDEX(Katalog!$D$3:$D$12,MATCH(cadangan[[#This Row],[ItemID B]],Katalog!$C$3:$C$12,0))*cadangan[[#This Row],[Qty B]],0)</f>
        <v>150000</v>
      </c>
      <c r="R245" s="73">
        <f>IFERROR(cadangan[[#This Row],[Harga Normal B]]-(cadangan[[#This Row],[Harga Normal B]]*cadangan[[#This Row],[Diskon]]),cadangan[[#This Row],[Harga Normal B]])</f>
        <v>135000</v>
      </c>
      <c r="S245" s="73">
        <f>IFERROR(INDEX(Katalog!$F$3:$F$12,MATCH(cadangan[[#This Row],[ItemID B]],Katalog!$C$3:$C$12,0))*cadangan[[#This Row],[Qty B]],0)</f>
        <v>60000</v>
      </c>
      <c r="T245" s="73">
        <f>IFERROR(cadangan[[#This Row],[Harga Diskon B]]-INDEX(Katalog!$E$3:$E$12,MATCH(cadangan[[#This Row],[ItemID B]],Katalog!$C$3:$C$12,0))*cadangan[[#This Row],[Qty B]],0)</f>
        <v>45000</v>
      </c>
      <c r="V245" s="39" t="str">
        <f>IFERROR(INDEX(Katalog!$A$3:$A$12,MATCH(cadangan[[#This Row],[ItemID C]],Katalog!$C$3:$C$12,0)),"-")</f>
        <v>-</v>
      </c>
      <c r="W245" s="39" t="str">
        <f>IFERROR(INDEX(Katalog!$B$3:$B$12,MATCH(cadangan[[#This Row],[ItemID C]],Katalog!$C$3:$C$12,0)),"-")</f>
        <v>-</v>
      </c>
      <c r="Z245" s="73">
        <f>IFERROR(INDEX(Katalog!$D$3:$D$12,MATCH(cadangan[[#This Row],[ItemID C]],Katalog!$C$3:$C$12,0))*cadangan[[#This Row],[Qty C]],0)</f>
        <v>0</v>
      </c>
      <c r="AA245" s="73">
        <f>IFERROR(cadangan[[#This Row],[Harga Normal C]]-(cadangan[[#This Row],[Harga Normal C]]*cadangan[[#This Row],[Diskon]]),cadangan[[#This Row],[Harga Normal C]])</f>
        <v>0</v>
      </c>
      <c r="AB245" s="73">
        <f>IFERROR(INDEX(Katalog!$F$3:$F$12,MATCH(cadangan[[#This Row],[ItemID C]],Katalog!$C$3:$C$12,0))*cadangan[[#This Row],[Qty C]],0)</f>
        <v>0</v>
      </c>
      <c r="AC245" s="73">
        <f>IFERROR(cadangan[[#This Row],[Harga Diskon C]]-INDEX(Katalog!$E$3:$E$12,MATCH(cadangan[[#This Row],[ItemID C]],Katalog!$C$3:$C$12,0))*cadangan[[#This Row],[Qty C]],0)</f>
        <v>0</v>
      </c>
      <c r="AD245" s="53">
        <f>cadangan[[#This Row],[Qty A]]+cadangan[[#This Row],[Qty B]]+cadangan[[#This Row],[Qty C]]</f>
        <v>3</v>
      </c>
      <c r="AE245" s="73">
        <f>cadangan[[#This Row],[Harga Normal A]]+cadangan[[#This Row],[Harga Normal B]]+cadangan[[#This Row],[Harga Normal C]]</f>
        <v>750000</v>
      </c>
      <c r="AF245" s="73">
        <f>cadangan[[#This Row],[Harga Diskon A]]+cadangan[[#This Row],[Harga Diskon B]]+cadangan[[#This Row],[Harga Diskon C]]</f>
        <v>675000</v>
      </c>
      <c r="AG245" s="73">
        <f>(cadangan[[#This Row],[Profit Normal A]]+cadangan[[#This Row],[Profit Normal B]]+cadangan[[#This Row],[Profit Normal C]])</f>
        <v>260000</v>
      </c>
      <c r="AH245" s="73">
        <f>cadangan[[#This Row],[Profit Diskon A]]+cadangan[[#This Row],[Profit Diskon B]]+cadangan[[#This Row],[Profit Diskon C]]</f>
        <v>185000</v>
      </c>
      <c r="AI245" s="23" t="s">
        <v>31</v>
      </c>
      <c r="AJ245" s="37">
        <f>IFERROR(INDEX('Kode Diskon'!$D$3:$D$9,MATCH(cadangan[[#This Row],[Kode diskon]],'Kode Diskon'!$C$3:$C$9,0)),"-")</f>
        <v>0.1</v>
      </c>
      <c r="AK245" s="23" t="s">
        <v>9</v>
      </c>
      <c r="AL245" s="23" t="s">
        <v>10</v>
      </c>
      <c r="AM245" s="23" t="s">
        <v>79</v>
      </c>
      <c r="AN245" s="55">
        <v>45046</v>
      </c>
      <c r="AO245" s="53">
        <f>DAY(cadangan[[#This Row],[Tanggal terjual]])</f>
        <v>30</v>
      </c>
      <c r="AP245" s="21" t="str">
        <f>TEXT(cadangan[[#This Row],[Tanggal terjual]],"dddd")</f>
        <v>Sunday</v>
      </c>
      <c r="AQ245" s="23" t="str" cm="1">
        <f t="array" ref="AQ2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45" s="61">
        <f>AVERAGE(cadangan[[#This Row],[Rating A]],cadangan[[#This Row],[Rating B]],cadangan[[#This Row],[Rating C]])</f>
        <v>3.5</v>
      </c>
    </row>
    <row r="246" spans="1:44" x14ac:dyDescent="0.2">
      <c r="A246" s="20">
        <v>245</v>
      </c>
      <c r="B246" s="21" t="str">
        <f>_xlfn.CONCAT("ORD-",INDEX(Helper!$B$2:$B$5,MATCH(cadangan[[#This Row],[Marketplace]],Helper!$A$2:$A$5,0)),TEXT(cadangan[[#This Row],[No]],"0000"),"-",TEXT(cadangan[[#This Row],[Tanggal terjual]],"dd/mm/yy"))</f>
        <v>ORD-SP0245-17/04/23</v>
      </c>
      <c r="C246" s="39" t="s">
        <v>62</v>
      </c>
      <c r="D246" s="39" t="str">
        <f>IFERROR(INDEX(Katalog!$A$3:$A$12,MATCH(cadangan[[#This Row],[ItemID A]],Katalog!$C$3:$C$12,0)),"-")</f>
        <v>Pakaian Pria</v>
      </c>
      <c r="E246" s="39" t="str">
        <f>IFERROR(INDEX(Katalog!$B$3:$B$12,MATCH(cadangan[[#This Row],[ItemID A]],Katalog!$C$3:$C$12,0)),"-")</f>
        <v>Celana Pendek</v>
      </c>
      <c r="F246" s="50">
        <v>1</v>
      </c>
      <c r="G246" s="50">
        <v>5</v>
      </c>
      <c r="H246" s="73">
        <f>IFERROR(INDEX(Katalog!$D$3:$D$12,MATCH(cadangan[[#This Row],[ItemID A]],Katalog!$C$3:$C$12,0))*cadangan[[#This Row],[Qty A]],0)</f>
        <v>180000</v>
      </c>
      <c r="I246" s="73">
        <f>IFERROR(cadangan[[#This Row],[Harga Normal A]]-(cadangan[[#This Row],[Harga Normal A]]*cadangan[[#This Row],[Diskon]]),cadangan[[#This Row],[Harga Normal A]])</f>
        <v>144000</v>
      </c>
      <c r="J246" s="73">
        <f>INDEX(Katalog!$F$3:$F$12,MATCH(cadangan[[#This Row],[ItemID A]],Katalog!$C$3:$C$12,0))*cadangan[[#This Row],[Qty A]]</f>
        <v>70000</v>
      </c>
      <c r="K246" s="73">
        <f>IFERROR(cadangan[[#This Row],[Harga Diskon A]]-INDEX(Katalog!$E$3:$E$12,MATCH(cadangan[[#This Row],[ItemID A]],Katalog!$C$3:$C$12,0))*cadangan[[#This Row],[Qty A]],0)</f>
        <v>34000</v>
      </c>
      <c r="M246" s="39" t="str">
        <f>IFERROR(INDEX(Katalog!$A$3:$A$12,MATCH(cadangan[[#This Row],[ItemID B]],Katalog!$C$3:$C$12,0)),"-")</f>
        <v>-</v>
      </c>
      <c r="N246" s="39" t="str">
        <f>IFERROR(INDEX(Katalog!$B$3:$B$12,MATCH(cadangan[[#This Row],[ItemID B]],Katalog!$C$3:$C$12,0)),"-")</f>
        <v>-</v>
      </c>
      <c r="Q246" s="73">
        <f>IFERROR(INDEX(Katalog!$D$3:$D$12,MATCH(cadangan[[#This Row],[ItemID B]],Katalog!$C$3:$C$12,0))*cadangan[[#This Row],[Qty B]],0)</f>
        <v>0</v>
      </c>
      <c r="R246" s="73">
        <f>IFERROR(cadangan[[#This Row],[Harga Normal B]]-(cadangan[[#This Row],[Harga Normal B]]*cadangan[[#This Row],[Diskon]]),cadangan[[#This Row],[Harga Normal B]])</f>
        <v>0</v>
      </c>
      <c r="S246" s="73">
        <f>IFERROR(INDEX(Katalog!$F$3:$F$12,MATCH(cadangan[[#This Row],[ItemID B]],Katalog!$C$3:$C$12,0))*cadangan[[#This Row],[Qty B]],0)</f>
        <v>0</v>
      </c>
      <c r="T246" s="73">
        <f>IFERROR(cadangan[[#This Row],[Harga Diskon B]]-INDEX(Katalog!$E$3:$E$12,MATCH(cadangan[[#This Row],[ItemID B]],Katalog!$C$3:$C$12,0))*cadangan[[#This Row],[Qty B]],0)</f>
        <v>0</v>
      </c>
      <c r="V246" s="39" t="str">
        <f>IFERROR(INDEX(Katalog!$A$3:$A$12,MATCH(cadangan[[#This Row],[ItemID C]],Katalog!$C$3:$C$12,0)),"-")</f>
        <v>-</v>
      </c>
      <c r="W246" s="39" t="str">
        <f>IFERROR(INDEX(Katalog!$B$3:$B$12,MATCH(cadangan[[#This Row],[ItemID C]],Katalog!$C$3:$C$12,0)),"-")</f>
        <v>-</v>
      </c>
      <c r="Z246" s="73">
        <f>IFERROR(INDEX(Katalog!$D$3:$D$12,MATCH(cadangan[[#This Row],[ItemID C]],Katalog!$C$3:$C$12,0))*cadangan[[#This Row],[Qty C]],0)</f>
        <v>0</v>
      </c>
      <c r="AA246" s="73">
        <f>IFERROR(cadangan[[#This Row],[Harga Normal C]]-(cadangan[[#This Row],[Harga Normal C]]*cadangan[[#This Row],[Diskon]]),cadangan[[#This Row],[Harga Normal C]])</f>
        <v>0</v>
      </c>
      <c r="AB246" s="73">
        <f>IFERROR(INDEX(Katalog!$F$3:$F$12,MATCH(cadangan[[#This Row],[ItemID C]],Katalog!$C$3:$C$12,0))*cadangan[[#This Row],[Qty C]],0)</f>
        <v>0</v>
      </c>
      <c r="AC246" s="73">
        <f>IFERROR(cadangan[[#This Row],[Harga Diskon C]]-INDEX(Katalog!$E$3:$E$12,MATCH(cadangan[[#This Row],[ItemID C]],Katalog!$C$3:$C$12,0))*cadangan[[#This Row],[Qty C]],0)</f>
        <v>0</v>
      </c>
      <c r="AD246" s="53">
        <f>cadangan[[#This Row],[Qty A]]+cadangan[[#This Row],[Qty B]]+cadangan[[#This Row],[Qty C]]</f>
        <v>1</v>
      </c>
      <c r="AE246" s="73">
        <f>cadangan[[#This Row],[Harga Normal A]]+cadangan[[#This Row],[Harga Normal B]]+cadangan[[#This Row],[Harga Normal C]]</f>
        <v>180000</v>
      </c>
      <c r="AF246" s="73">
        <f>cadangan[[#This Row],[Harga Diskon A]]+cadangan[[#This Row],[Harga Diskon B]]+cadangan[[#This Row],[Harga Diskon C]]</f>
        <v>144000</v>
      </c>
      <c r="AG246" s="73">
        <f>(cadangan[[#This Row],[Profit Normal A]]+cadangan[[#This Row],[Profit Normal B]]+cadangan[[#This Row],[Profit Normal C]])</f>
        <v>70000</v>
      </c>
      <c r="AH246" s="73">
        <f>cadangan[[#This Row],[Profit Diskon A]]+cadangan[[#This Row],[Profit Diskon B]]+cadangan[[#This Row],[Profit Diskon C]]</f>
        <v>34000</v>
      </c>
      <c r="AI246" s="23" t="s">
        <v>8</v>
      </c>
      <c r="AJ246" s="37">
        <f>IFERROR(INDEX('Kode Diskon'!$D$3:$D$9,MATCH(cadangan[[#This Row],[Kode diskon]],'Kode Diskon'!$C$3:$C$9,0)),"-")</f>
        <v>0.2</v>
      </c>
      <c r="AK246" s="23" t="s">
        <v>9</v>
      </c>
      <c r="AL246" s="23" t="s">
        <v>7</v>
      </c>
      <c r="AM246" s="23" t="s">
        <v>75</v>
      </c>
      <c r="AN246" s="55">
        <v>45033</v>
      </c>
      <c r="AO246" s="53">
        <f>DAY(cadangan[[#This Row],[Tanggal terjual]])</f>
        <v>17</v>
      </c>
      <c r="AP246" s="21" t="str">
        <f>TEXT(cadangan[[#This Row],[Tanggal terjual]],"dddd")</f>
        <v>Monday</v>
      </c>
      <c r="AQ246" s="23" t="str" cm="1">
        <f t="array" ref="AQ2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46" s="61">
        <f>AVERAGE(cadangan[[#This Row],[Rating A]],cadangan[[#This Row],[Rating B]],cadangan[[#This Row],[Rating C]])</f>
        <v>5</v>
      </c>
    </row>
    <row r="247" spans="1:44" x14ac:dyDescent="0.2">
      <c r="A247" s="20">
        <v>246</v>
      </c>
      <c r="B247" s="21" t="str">
        <f>_xlfn.CONCAT("ORD-",INDEX(Helper!$B$2:$B$5,MATCH(cadangan[[#This Row],[Marketplace]],Helper!$A$2:$A$5,0)),TEXT(cadangan[[#This Row],[No]],"0000"),"-",TEXT(cadangan[[#This Row],[Tanggal terjual]],"dd/mm/yy"))</f>
        <v>ORD-SP0246-05/04/23</v>
      </c>
      <c r="C247" s="39" t="s">
        <v>61</v>
      </c>
      <c r="D247" s="39" t="str">
        <f>IFERROR(INDEX(Katalog!$A$3:$A$12,MATCH(cadangan[[#This Row],[ItemID A]],Katalog!$C$3:$C$12,0)),"-")</f>
        <v>Pakaian Pria</v>
      </c>
      <c r="E247" s="39" t="str">
        <f>IFERROR(INDEX(Katalog!$B$3:$B$12,MATCH(cadangan[[#This Row],[ItemID A]],Katalog!$C$3:$C$12,0)),"-")</f>
        <v>Kaos Polo</v>
      </c>
      <c r="F247" s="50">
        <v>2</v>
      </c>
      <c r="G247" s="50">
        <v>3</v>
      </c>
      <c r="H247" s="73">
        <f>IFERROR(INDEX(Katalog!$D$3:$D$12,MATCH(cadangan[[#This Row],[ItemID A]],Katalog!$C$3:$C$12,0))*cadangan[[#This Row],[Qty A]],0)</f>
        <v>400000</v>
      </c>
      <c r="I247" s="73">
        <f>IFERROR(cadangan[[#This Row],[Harga Normal A]]-(cadangan[[#This Row],[Harga Normal A]]*cadangan[[#This Row],[Diskon]]),cadangan[[#This Row],[Harga Normal A]])</f>
        <v>340000</v>
      </c>
      <c r="J247" s="73">
        <f>INDEX(Katalog!$F$3:$F$12,MATCH(cadangan[[#This Row],[ItemID A]],Katalog!$C$3:$C$12,0))*cadangan[[#This Row],[Qty A]]</f>
        <v>160000</v>
      </c>
      <c r="K247" s="73">
        <f>IFERROR(cadangan[[#This Row],[Harga Diskon A]]-INDEX(Katalog!$E$3:$E$12,MATCH(cadangan[[#This Row],[ItemID A]],Katalog!$C$3:$C$12,0))*cadangan[[#This Row],[Qty A]],0)</f>
        <v>100000</v>
      </c>
      <c r="L247" s="39" t="s">
        <v>59</v>
      </c>
      <c r="M247" s="39" t="str">
        <f>IFERROR(INDEX(Katalog!$A$3:$A$12,MATCH(cadangan[[#This Row],[ItemID B]],Katalog!$C$3:$C$12,0)),"-")</f>
        <v>Pakaian Wanita</v>
      </c>
      <c r="N247" s="39" t="str">
        <f>IFERROR(INDEX(Katalog!$B$3:$B$12,MATCH(cadangan[[#This Row],[ItemID B]],Katalog!$C$3:$C$12,0)),"-")</f>
        <v>Blouse</v>
      </c>
      <c r="O247" s="50">
        <v>1</v>
      </c>
      <c r="P247" s="50">
        <v>4</v>
      </c>
      <c r="Q247" s="73">
        <f>IFERROR(INDEX(Katalog!$D$3:$D$12,MATCH(cadangan[[#This Row],[ItemID B]],Katalog!$C$3:$C$12,0))*cadangan[[#This Row],[Qty B]],0)</f>
        <v>150000</v>
      </c>
      <c r="R247" s="73">
        <f>IFERROR(cadangan[[#This Row],[Harga Normal B]]-(cadangan[[#This Row],[Harga Normal B]]*cadangan[[#This Row],[Diskon]]),cadangan[[#This Row],[Harga Normal B]])</f>
        <v>127500</v>
      </c>
      <c r="S247" s="73">
        <f>IFERROR(INDEX(Katalog!$F$3:$F$12,MATCH(cadangan[[#This Row],[ItemID B]],Katalog!$C$3:$C$12,0))*cadangan[[#This Row],[Qty B]],0)</f>
        <v>50000</v>
      </c>
      <c r="T247" s="73">
        <f>IFERROR(cadangan[[#This Row],[Harga Diskon B]]-INDEX(Katalog!$E$3:$E$12,MATCH(cadangan[[#This Row],[ItemID B]],Katalog!$C$3:$C$12,0))*cadangan[[#This Row],[Qty B]],0)</f>
        <v>27500</v>
      </c>
      <c r="V247" s="39" t="str">
        <f>IFERROR(INDEX(Katalog!$A$3:$A$12,MATCH(cadangan[[#This Row],[ItemID C]],Katalog!$C$3:$C$12,0)),"-")</f>
        <v>-</v>
      </c>
      <c r="W247" s="39" t="str">
        <f>IFERROR(INDEX(Katalog!$B$3:$B$12,MATCH(cadangan[[#This Row],[ItemID C]],Katalog!$C$3:$C$12,0)),"-")</f>
        <v>-</v>
      </c>
      <c r="Z247" s="73">
        <f>IFERROR(INDEX(Katalog!$D$3:$D$12,MATCH(cadangan[[#This Row],[ItemID C]],Katalog!$C$3:$C$12,0))*cadangan[[#This Row],[Qty C]],0)</f>
        <v>0</v>
      </c>
      <c r="AA247" s="73">
        <f>IFERROR(cadangan[[#This Row],[Harga Normal C]]-(cadangan[[#This Row],[Harga Normal C]]*cadangan[[#This Row],[Diskon]]),cadangan[[#This Row],[Harga Normal C]])</f>
        <v>0</v>
      </c>
      <c r="AB247" s="73">
        <f>IFERROR(INDEX(Katalog!$F$3:$F$12,MATCH(cadangan[[#This Row],[ItemID C]],Katalog!$C$3:$C$12,0))*cadangan[[#This Row],[Qty C]],0)</f>
        <v>0</v>
      </c>
      <c r="AC247" s="73">
        <f>IFERROR(cadangan[[#This Row],[Harga Diskon C]]-INDEX(Katalog!$E$3:$E$12,MATCH(cadangan[[#This Row],[ItemID C]],Katalog!$C$3:$C$12,0))*cadangan[[#This Row],[Qty C]],0)</f>
        <v>0</v>
      </c>
      <c r="AD247" s="53">
        <f>cadangan[[#This Row],[Qty A]]+cadangan[[#This Row],[Qty B]]+cadangan[[#This Row],[Qty C]]</f>
        <v>3</v>
      </c>
      <c r="AE247" s="73">
        <f>cadangan[[#This Row],[Harga Normal A]]+cadangan[[#This Row],[Harga Normal B]]+cadangan[[#This Row],[Harga Normal C]]</f>
        <v>550000</v>
      </c>
      <c r="AF247" s="73">
        <f>cadangan[[#This Row],[Harga Diskon A]]+cadangan[[#This Row],[Harga Diskon B]]+cadangan[[#This Row],[Harga Diskon C]]</f>
        <v>467500</v>
      </c>
      <c r="AG247" s="73">
        <f>(cadangan[[#This Row],[Profit Normal A]]+cadangan[[#This Row],[Profit Normal B]]+cadangan[[#This Row],[Profit Normal C]])</f>
        <v>210000</v>
      </c>
      <c r="AH247" s="73">
        <f>cadangan[[#This Row],[Profit Diskon A]]+cadangan[[#This Row],[Profit Diskon B]]+cadangan[[#This Row],[Profit Diskon C]]</f>
        <v>127500</v>
      </c>
      <c r="AI247" s="23" t="s">
        <v>13</v>
      </c>
      <c r="AJ247" s="37">
        <f>IFERROR(INDEX('Kode Diskon'!$D$3:$D$9,MATCH(cadangan[[#This Row],[Kode diskon]],'Kode Diskon'!$C$3:$C$9,0)),"-")</f>
        <v>0.15</v>
      </c>
      <c r="AK247" s="23" t="s">
        <v>29</v>
      </c>
      <c r="AL247" s="23" t="s">
        <v>7</v>
      </c>
      <c r="AM247" s="23" t="s">
        <v>77</v>
      </c>
      <c r="AN247" s="55">
        <v>45021</v>
      </c>
      <c r="AO247" s="53">
        <f>DAY(cadangan[[#This Row],[Tanggal terjual]])</f>
        <v>5</v>
      </c>
      <c r="AP247" s="21" t="str">
        <f>TEXT(cadangan[[#This Row],[Tanggal terjual]],"dddd")</f>
        <v>Wednesday</v>
      </c>
      <c r="AQ247" s="23" t="str" cm="1">
        <f t="array" ref="AQ2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47" s="61">
        <f>AVERAGE(cadangan[[#This Row],[Rating A]],cadangan[[#This Row],[Rating B]],cadangan[[#This Row],[Rating C]])</f>
        <v>3.5</v>
      </c>
    </row>
    <row r="248" spans="1:44" x14ac:dyDescent="0.2">
      <c r="A248" s="20">
        <v>247</v>
      </c>
      <c r="B248" s="21" t="str">
        <f>_xlfn.CONCAT("ORD-",INDEX(Helper!$B$2:$B$5,MATCH(cadangan[[#This Row],[Marketplace]],Helper!$A$2:$A$5,0)),TEXT(cadangan[[#This Row],[No]],"0000"),"-",TEXT(cadangan[[#This Row],[Tanggal terjual]],"dd/mm/yy"))</f>
        <v>ORD-TK0247-30/04/23</v>
      </c>
      <c r="C248" s="39" t="s">
        <v>63</v>
      </c>
      <c r="D248" s="39" t="str">
        <f>IFERROR(INDEX(Katalog!$A$3:$A$12,MATCH(cadangan[[#This Row],[ItemID A]],Katalog!$C$3:$C$12,0)),"-")</f>
        <v>Pakaian Pria</v>
      </c>
      <c r="E248" s="39" t="str">
        <f>IFERROR(INDEX(Katalog!$B$3:$B$12,MATCH(cadangan[[#This Row],[ItemID A]],Katalog!$C$3:$C$12,0)),"-")</f>
        <v>Jaket Jeans</v>
      </c>
      <c r="F248" s="50">
        <v>1</v>
      </c>
      <c r="G248" s="50">
        <v>5</v>
      </c>
      <c r="H248" s="73">
        <f>IFERROR(INDEX(Katalog!$D$3:$D$12,MATCH(cadangan[[#This Row],[ItemID A]],Katalog!$C$3:$C$12,0))*cadangan[[#This Row],[Qty A]],0)</f>
        <v>400000</v>
      </c>
      <c r="I248" s="73">
        <f>IFERROR(cadangan[[#This Row],[Harga Normal A]]-(cadangan[[#This Row],[Harga Normal A]]*cadangan[[#This Row],[Diskon]]),cadangan[[#This Row],[Harga Normal A]])</f>
        <v>360000</v>
      </c>
      <c r="J248" s="73">
        <f>INDEX(Katalog!$F$3:$F$12,MATCH(cadangan[[#This Row],[ItemID A]],Katalog!$C$3:$C$12,0))*cadangan[[#This Row],[Qty A]]</f>
        <v>150000</v>
      </c>
      <c r="K248" s="73">
        <f>IFERROR(cadangan[[#This Row],[Harga Diskon A]]-INDEX(Katalog!$E$3:$E$12,MATCH(cadangan[[#This Row],[ItemID A]],Katalog!$C$3:$C$12,0))*cadangan[[#This Row],[Qty A]],0)</f>
        <v>110000</v>
      </c>
      <c r="L248" s="39" t="s">
        <v>64</v>
      </c>
      <c r="M248" s="39" t="str">
        <f>IFERROR(INDEX(Katalog!$A$3:$A$12,MATCH(cadangan[[#This Row],[ItemID B]],Katalog!$C$3:$C$12,0)),"-")</f>
        <v>Pakaian Unisex</v>
      </c>
      <c r="N248" s="39" t="str">
        <f>IFERROR(INDEX(Katalog!$B$3:$B$12,MATCH(cadangan[[#This Row],[ItemID B]],Katalog!$C$3:$C$12,0)),"-")</f>
        <v>Jaket Hoodie</v>
      </c>
      <c r="O248" s="50">
        <v>3</v>
      </c>
      <c r="P248" s="50">
        <v>4</v>
      </c>
      <c r="Q248" s="73">
        <f>IFERROR(INDEX(Katalog!$D$3:$D$12,MATCH(cadangan[[#This Row],[ItemID B]],Katalog!$C$3:$C$12,0))*cadangan[[#This Row],[Qty B]],0)</f>
        <v>1050000</v>
      </c>
      <c r="R248" s="73">
        <f>IFERROR(cadangan[[#This Row],[Harga Normal B]]-(cadangan[[#This Row],[Harga Normal B]]*cadangan[[#This Row],[Diskon]]),cadangan[[#This Row],[Harga Normal B]])</f>
        <v>945000</v>
      </c>
      <c r="S248" s="73">
        <f>IFERROR(INDEX(Katalog!$F$3:$F$12,MATCH(cadangan[[#This Row],[ItemID B]],Katalog!$C$3:$C$12,0))*cadangan[[#This Row],[Qty B]],0)</f>
        <v>390000</v>
      </c>
      <c r="T248" s="73">
        <f>IFERROR(cadangan[[#This Row],[Harga Diskon B]]-INDEX(Katalog!$E$3:$E$12,MATCH(cadangan[[#This Row],[ItemID B]],Katalog!$C$3:$C$12,0))*cadangan[[#This Row],[Qty B]],0)</f>
        <v>285000</v>
      </c>
      <c r="V248" s="39" t="str">
        <f>IFERROR(INDEX(Katalog!$A$3:$A$12,MATCH(cadangan[[#This Row],[ItemID C]],Katalog!$C$3:$C$12,0)),"-")</f>
        <v>-</v>
      </c>
      <c r="W248" s="39" t="str">
        <f>IFERROR(INDEX(Katalog!$B$3:$B$12,MATCH(cadangan[[#This Row],[ItemID C]],Katalog!$C$3:$C$12,0)),"-")</f>
        <v>-</v>
      </c>
      <c r="Z248" s="73">
        <f>IFERROR(INDEX(Katalog!$D$3:$D$12,MATCH(cadangan[[#This Row],[ItemID C]],Katalog!$C$3:$C$12,0))*cadangan[[#This Row],[Qty C]],0)</f>
        <v>0</v>
      </c>
      <c r="AA248" s="73">
        <f>IFERROR(cadangan[[#This Row],[Harga Normal C]]-(cadangan[[#This Row],[Harga Normal C]]*cadangan[[#This Row],[Diskon]]),cadangan[[#This Row],[Harga Normal C]])</f>
        <v>0</v>
      </c>
      <c r="AB248" s="73">
        <f>IFERROR(INDEX(Katalog!$F$3:$F$12,MATCH(cadangan[[#This Row],[ItemID C]],Katalog!$C$3:$C$12,0))*cadangan[[#This Row],[Qty C]],0)</f>
        <v>0</v>
      </c>
      <c r="AC248" s="73">
        <f>IFERROR(cadangan[[#This Row],[Harga Diskon C]]-INDEX(Katalog!$E$3:$E$12,MATCH(cadangan[[#This Row],[ItemID C]],Katalog!$C$3:$C$12,0))*cadangan[[#This Row],[Qty C]],0)</f>
        <v>0</v>
      </c>
      <c r="AD248" s="53">
        <f>cadangan[[#This Row],[Qty A]]+cadangan[[#This Row],[Qty B]]+cadangan[[#This Row],[Qty C]]</f>
        <v>4</v>
      </c>
      <c r="AE248" s="73">
        <f>cadangan[[#This Row],[Harga Normal A]]+cadangan[[#This Row],[Harga Normal B]]+cadangan[[#This Row],[Harga Normal C]]</f>
        <v>1450000</v>
      </c>
      <c r="AF248" s="73">
        <f>cadangan[[#This Row],[Harga Diskon A]]+cadangan[[#This Row],[Harga Diskon B]]+cadangan[[#This Row],[Harga Diskon C]]</f>
        <v>1305000</v>
      </c>
      <c r="AG248" s="73">
        <f>(cadangan[[#This Row],[Profit Normal A]]+cadangan[[#This Row],[Profit Normal B]]+cadangan[[#This Row],[Profit Normal C]])</f>
        <v>540000</v>
      </c>
      <c r="AH248" s="73">
        <f>cadangan[[#This Row],[Profit Diskon A]]+cadangan[[#This Row],[Profit Diskon B]]+cadangan[[#This Row],[Profit Diskon C]]</f>
        <v>395000</v>
      </c>
      <c r="AI248" s="23" t="s">
        <v>31</v>
      </c>
      <c r="AJ248" s="37">
        <f>IFERROR(INDEX('Kode Diskon'!$D$3:$D$9,MATCH(cadangan[[#This Row],[Kode diskon]],'Kode Diskon'!$C$3:$C$9,0)),"-")</f>
        <v>0.1</v>
      </c>
      <c r="AK248" s="23" t="s">
        <v>9</v>
      </c>
      <c r="AL248" s="23" t="s">
        <v>10</v>
      </c>
      <c r="AM248" s="23" t="s">
        <v>75</v>
      </c>
      <c r="AN248" s="55">
        <v>45046</v>
      </c>
      <c r="AO248" s="53">
        <f>DAY(cadangan[[#This Row],[Tanggal terjual]])</f>
        <v>30</v>
      </c>
      <c r="AP248" s="21" t="str">
        <f>TEXT(cadangan[[#This Row],[Tanggal terjual]],"dddd")</f>
        <v>Sunday</v>
      </c>
      <c r="AQ248" s="23" t="str" cm="1">
        <f t="array" ref="AQ2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48" s="61">
        <f>AVERAGE(cadangan[[#This Row],[Rating A]],cadangan[[#This Row],[Rating B]],cadangan[[#This Row],[Rating C]])</f>
        <v>4.5</v>
      </c>
    </row>
    <row r="249" spans="1:44" x14ac:dyDescent="0.2">
      <c r="A249" s="20">
        <v>248</v>
      </c>
      <c r="B249" s="21" t="str">
        <f>_xlfn.CONCAT("ORD-",INDEX(Helper!$B$2:$B$5,MATCH(cadangan[[#This Row],[Marketplace]],Helper!$A$2:$A$5,0)),TEXT(cadangan[[#This Row],[No]],"0000"),"-",TEXT(cadangan[[#This Row],[Tanggal terjual]],"dd/mm/yy"))</f>
        <v>ORD-BL0248-22/04/23</v>
      </c>
      <c r="C249" s="39" t="s">
        <v>60</v>
      </c>
      <c r="D249" s="39" t="str">
        <f>IFERROR(INDEX(Katalog!$A$3:$A$12,MATCH(cadangan[[#This Row],[ItemID A]],Katalog!$C$3:$C$12,0)),"-")</f>
        <v>Pakaian Wanita</v>
      </c>
      <c r="E249" s="39" t="str">
        <f>IFERROR(INDEX(Katalog!$B$3:$B$12,MATCH(cadangan[[#This Row],[ItemID A]],Katalog!$C$3:$C$12,0)),"-")</f>
        <v>Kaftan</v>
      </c>
      <c r="F249" s="50">
        <v>1</v>
      </c>
      <c r="G249" s="50">
        <v>2</v>
      </c>
      <c r="H249" s="73">
        <f>IFERROR(INDEX(Katalog!$D$3:$D$12,MATCH(cadangan[[#This Row],[ItemID A]],Katalog!$C$3:$C$12,0))*cadangan[[#This Row],[Qty A]],0)</f>
        <v>250000</v>
      </c>
      <c r="I249" s="73">
        <f>IFERROR(cadangan[[#This Row],[Harga Normal A]]-(cadangan[[#This Row],[Harga Normal A]]*cadangan[[#This Row],[Diskon]]),cadangan[[#This Row],[Harga Normal A]])</f>
        <v>212500</v>
      </c>
      <c r="J249" s="73">
        <f>INDEX(Katalog!$F$3:$F$12,MATCH(cadangan[[#This Row],[ItemID A]],Katalog!$C$3:$C$12,0))*cadangan[[#This Row],[Qty A]]</f>
        <v>100000</v>
      </c>
      <c r="K249" s="73">
        <f>IFERROR(cadangan[[#This Row],[Harga Diskon A]]-INDEX(Katalog!$E$3:$E$12,MATCH(cadangan[[#This Row],[ItemID A]],Katalog!$C$3:$C$12,0))*cadangan[[#This Row],[Qty A]],0)</f>
        <v>62500</v>
      </c>
      <c r="L249" s="39" t="s">
        <v>62</v>
      </c>
      <c r="M249" s="39" t="str">
        <f>IFERROR(INDEX(Katalog!$A$3:$A$12,MATCH(cadangan[[#This Row],[ItemID B]],Katalog!$C$3:$C$12,0)),"-")</f>
        <v>Pakaian Pria</v>
      </c>
      <c r="N249" s="39" t="str">
        <f>IFERROR(INDEX(Katalog!$B$3:$B$12,MATCH(cadangan[[#This Row],[ItemID B]],Katalog!$C$3:$C$12,0)),"-")</f>
        <v>Celana Pendek</v>
      </c>
      <c r="O249" s="50">
        <v>1</v>
      </c>
      <c r="P249" s="50">
        <v>3</v>
      </c>
      <c r="Q249" s="73">
        <f>IFERROR(INDEX(Katalog!$D$3:$D$12,MATCH(cadangan[[#This Row],[ItemID B]],Katalog!$C$3:$C$12,0))*cadangan[[#This Row],[Qty B]],0)</f>
        <v>180000</v>
      </c>
      <c r="R249" s="73">
        <f>IFERROR(cadangan[[#This Row],[Harga Normal B]]-(cadangan[[#This Row],[Harga Normal B]]*cadangan[[#This Row],[Diskon]]),cadangan[[#This Row],[Harga Normal B]])</f>
        <v>153000</v>
      </c>
      <c r="S249" s="73">
        <f>IFERROR(INDEX(Katalog!$F$3:$F$12,MATCH(cadangan[[#This Row],[ItemID B]],Katalog!$C$3:$C$12,0))*cadangan[[#This Row],[Qty B]],0)</f>
        <v>70000</v>
      </c>
      <c r="T249" s="73">
        <f>IFERROR(cadangan[[#This Row],[Harga Diskon B]]-INDEX(Katalog!$E$3:$E$12,MATCH(cadangan[[#This Row],[ItemID B]],Katalog!$C$3:$C$12,0))*cadangan[[#This Row],[Qty B]],0)</f>
        <v>43000</v>
      </c>
      <c r="U249" s="39" t="s">
        <v>61</v>
      </c>
      <c r="V249" s="39" t="str">
        <f>IFERROR(INDEX(Katalog!$A$3:$A$12,MATCH(cadangan[[#This Row],[ItemID C]],Katalog!$C$3:$C$12,0)),"-")</f>
        <v>Pakaian Pria</v>
      </c>
      <c r="W249" s="39" t="str">
        <f>IFERROR(INDEX(Katalog!$B$3:$B$12,MATCH(cadangan[[#This Row],[ItemID C]],Katalog!$C$3:$C$12,0)),"-")</f>
        <v>Kaos Polo</v>
      </c>
      <c r="X249" s="50">
        <v>5</v>
      </c>
      <c r="Y249" s="50">
        <v>4</v>
      </c>
      <c r="Z249" s="73">
        <f>IFERROR(INDEX(Katalog!$D$3:$D$12,MATCH(cadangan[[#This Row],[ItemID C]],Katalog!$C$3:$C$12,0))*cadangan[[#This Row],[Qty C]],0)</f>
        <v>1000000</v>
      </c>
      <c r="AA249" s="73">
        <f>IFERROR(cadangan[[#This Row],[Harga Normal C]]-(cadangan[[#This Row],[Harga Normal C]]*cadangan[[#This Row],[Diskon]]),cadangan[[#This Row],[Harga Normal C]])</f>
        <v>850000</v>
      </c>
      <c r="AB249" s="73">
        <f>IFERROR(INDEX(Katalog!$F$3:$F$12,MATCH(cadangan[[#This Row],[ItemID C]],Katalog!$C$3:$C$12,0))*cadangan[[#This Row],[Qty C]],0)</f>
        <v>400000</v>
      </c>
      <c r="AC249" s="73">
        <f>IFERROR(cadangan[[#This Row],[Harga Diskon C]]-INDEX(Katalog!$E$3:$E$12,MATCH(cadangan[[#This Row],[ItemID C]],Katalog!$C$3:$C$12,0))*cadangan[[#This Row],[Qty C]],0)</f>
        <v>250000</v>
      </c>
      <c r="AD249" s="53">
        <f>cadangan[[#This Row],[Qty A]]+cadangan[[#This Row],[Qty B]]+cadangan[[#This Row],[Qty C]]</f>
        <v>7</v>
      </c>
      <c r="AE249" s="73">
        <f>cadangan[[#This Row],[Harga Normal A]]+cadangan[[#This Row],[Harga Normal B]]+cadangan[[#This Row],[Harga Normal C]]</f>
        <v>1430000</v>
      </c>
      <c r="AF249" s="73">
        <f>cadangan[[#This Row],[Harga Diskon A]]+cadangan[[#This Row],[Harga Diskon B]]+cadangan[[#This Row],[Harga Diskon C]]</f>
        <v>1215500</v>
      </c>
      <c r="AG249" s="73">
        <f>(cadangan[[#This Row],[Profit Normal A]]+cadangan[[#This Row],[Profit Normal B]]+cadangan[[#This Row],[Profit Normal C]])</f>
        <v>570000</v>
      </c>
      <c r="AH249" s="73">
        <f>cadangan[[#This Row],[Profit Diskon A]]+cadangan[[#This Row],[Profit Diskon B]]+cadangan[[#This Row],[Profit Diskon C]]</f>
        <v>355500</v>
      </c>
      <c r="AI249" s="23" t="s">
        <v>32</v>
      </c>
      <c r="AJ249" s="37">
        <f>IFERROR(INDEX('Kode Diskon'!$D$3:$D$9,MATCH(cadangan[[#This Row],[Kode diskon]],'Kode Diskon'!$C$3:$C$9,0)),"-")</f>
        <v>0.15</v>
      </c>
      <c r="AK249" s="23" t="s">
        <v>9</v>
      </c>
      <c r="AL249" s="23" t="s">
        <v>12</v>
      </c>
      <c r="AM249" s="23" t="s">
        <v>75</v>
      </c>
      <c r="AN249" s="55">
        <v>45038</v>
      </c>
      <c r="AO249" s="53">
        <f>DAY(cadangan[[#This Row],[Tanggal terjual]])</f>
        <v>22</v>
      </c>
      <c r="AP249" s="21" t="str">
        <f>TEXT(cadangan[[#This Row],[Tanggal terjual]],"dddd")</f>
        <v>Saturday</v>
      </c>
      <c r="AQ249" s="23" t="str" cm="1">
        <f t="array" ref="AQ2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49" s="61">
        <f>AVERAGE(cadangan[[#This Row],[Rating A]],cadangan[[#This Row],[Rating B]],cadangan[[#This Row],[Rating C]])</f>
        <v>3</v>
      </c>
    </row>
    <row r="250" spans="1:44" x14ac:dyDescent="0.2">
      <c r="A250" s="20">
        <v>249</v>
      </c>
      <c r="B250" s="21" t="str">
        <f>_xlfn.CONCAT("ORD-",INDEX(Helper!$B$2:$B$5,MATCH(cadangan[[#This Row],[Marketplace]],Helper!$A$2:$A$5,0)),TEXT(cadangan[[#This Row],[No]],"0000"),"-",TEXT(cadangan[[#This Row],[Tanggal terjual]],"dd/mm/yy"))</f>
        <v>ORD-TK0249-05/04/23</v>
      </c>
      <c r="C250" s="39" t="s">
        <v>66</v>
      </c>
      <c r="D250" s="39" t="str">
        <f>IFERROR(INDEX(Katalog!$A$3:$A$12,MATCH(cadangan[[#This Row],[ItemID A]],Katalog!$C$3:$C$12,0)),"-")</f>
        <v>Sepatu Pria</v>
      </c>
      <c r="E250" s="39" t="str">
        <f>IFERROR(INDEX(Katalog!$B$3:$B$12,MATCH(cadangan[[#This Row],[ItemID A]],Katalog!$C$3:$C$12,0)),"-")</f>
        <v>Sandal Slip On</v>
      </c>
      <c r="F250" s="50">
        <v>3</v>
      </c>
      <c r="G250" s="50">
        <v>4</v>
      </c>
      <c r="H250" s="73">
        <f>IFERROR(INDEX(Katalog!$D$3:$D$12,MATCH(cadangan[[#This Row],[ItemID A]],Katalog!$C$3:$C$12,0))*cadangan[[#This Row],[Qty A]],0)</f>
        <v>450000</v>
      </c>
      <c r="I250" s="73">
        <f>IFERROR(cadangan[[#This Row],[Harga Normal A]]-(cadangan[[#This Row],[Harga Normal A]]*cadangan[[#This Row],[Diskon]]),cadangan[[#This Row],[Harga Normal A]])</f>
        <v>405000</v>
      </c>
      <c r="J250" s="73">
        <f>INDEX(Katalog!$F$3:$F$12,MATCH(cadangan[[#This Row],[ItemID A]],Katalog!$C$3:$C$12,0))*cadangan[[#This Row],[Qty A]]</f>
        <v>180000</v>
      </c>
      <c r="K250" s="73">
        <f>IFERROR(cadangan[[#This Row],[Harga Diskon A]]-INDEX(Katalog!$E$3:$E$12,MATCH(cadangan[[#This Row],[ItemID A]],Katalog!$C$3:$C$12,0))*cadangan[[#This Row],[Qty A]],0)</f>
        <v>135000</v>
      </c>
      <c r="L250" s="39" t="s">
        <v>64</v>
      </c>
      <c r="M250" s="39" t="str">
        <f>IFERROR(INDEX(Katalog!$A$3:$A$12,MATCH(cadangan[[#This Row],[ItemID B]],Katalog!$C$3:$C$12,0)),"-")</f>
        <v>Pakaian Unisex</v>
      </c>
      <c r="N250" s="39" t="str">
        <f>IFERROR(INDEX(Katalog!$B$3:$B$12,MATCH(cadangan[[#This Row],[ItemID B]],Katalog!$C$3:$C$12,0)),"-")</f>
        <v>Jaket Hoodie</v>
      </c>
      <c r="O250" s="50">
        <v>1</v>
      </c>
      <c r="P250" s="50">
        <v>4</v>
      </c>
      <c r="Q250" s="73">
        <f>IFERROR(INDEX(Katalog!$D$3:$D$12,MATCH(cadangan[[#This Row],[ItemID B]],Katalog!$C$3:$C$12,0))*cadangan[[#This Row],[Qty B]],0)</f>
        <v>350000</v>
      </c>
      <c r="R250" s="73">
        <f>IFERROR(cadangan[[#This Row],[Harga Normal B]]-(cadangan[[#This Row],[Harga Normal B]]*cadangan[[#This Row],[Diskon]]),cadangan[[#This Row],[Harga Normal B]])</f>
        <v>315000</v>
      </c>
      <c r="S250" s="73">
        <f>IFERROR(INDEX(Katalog!$F$3:$F$12,MATCH(cadangan[[#This Row],[ItemID B]],Katalog!$C$3:$C$12,0))*cadangan[[#This Row],[Qty B]],0)</f>
        <v>130000</v>
      </c>
      <c r="T250" s="73">
        <f>IFERROR(cadangan[[#This Row],[Harga Diskon B]]-INDEX(Katalog!$E$3:$E$12,MATCH(cadangan[[#This Row],[ItemID B]],Katalog!$C$3:$C$12,0))*cadangan[[#This Row],[Qty B]],0)</f>
        <v>95000</v>
      </c>
      <c r="U250" s="39" t="s">
        <v>61</v>
      </c>
      <c r="V250" s="39" t="str">
        <f>IFERROR(INDEX(Katalog!$A$3:$A$12,MATCH(cadangan[[#This Row],[ItemID C]],Katalog!$C$3:$C$12,0)),"-")</f>
        <v>Pakaian Pria</v>
      </c>
      <c r="W250" s="39" t="str">
        <f>IFERROR(INDEX(Katalog!$B$3:$B$12,MATCH(cadangan[[#This Row],[ItemID C]],Katalog!$C$3:$C$12,0)),"-")</f>
        <v>Kaos Polo</v>
      </c>
      <c r="X250" s="50">
        <v>1</v>
      </c>
      <c r="Y250" s="50">
        <v>5</v>
      </c>
      <c r="Z250" s="73">
        <f>IFERROR(INDEX(Katalog!$D$3:$D$12,MATCH(cadangan[[#This Row],[ItemID C]],Katalog!$C$3:$C$12,0))*cadangan[[#This Row],[Qty C]],0)</f>
        <v>200000</v>
      </c>
      <c r="AA250" s="73">
        <f>IFERROR(cadangan[[#This Row],[Harga Normal C]]-(cadangan[[#This Row],[Harga Normal C]]*cadangan[[#This Row],[Diskon]]),cadangan[[#This Row],[Harga Normal C]])</f>
        <v>180000</v>
      </c>
      <c r="AB250" s="73">
        <f>IFERROR(INDEX(Katalog!$F$3:$F$12,MATCH(cadangan[[#This Row],[ItemID C]],Katalog!$C$3:$C$12,0))*cadangan[[#This Row],[Qty C]],0)</f>
        <v>80000</v>
      </c>
      <c r="AC250" s="73">
        <f>IFERROR(cadangan[[#This Row],[Harga Diskon C]]-INDEX(Katalog!$E$3:$E$12,MATCH(cadangan[[#This Row],[ItemID C]],Katalog!$C$3:$C$12,0))*cadangan[[#This Row],[Qty C]],0)</f>
        <v>60000</v>
      </c>
      <c r="AD250" s="53">
        <f>cadangan[[#This Row],[Qty A]]+cadangan[[#This Row],[Qty B]]+cadangan[[#This Row],[Qty C]]</f>
        <v>5</v>
      </c>
      <c r="AE250" s="73">
        <f>cadangan[[#This Row],[Harga Normal A]]+cadangan[[#This Row],[Harga Normal B]]+cadangan[[#This Row],[Harga Normal C]]</f>
        <v>1000000</v>
      </c>
      <c r="AF250" s="73">
        <f>cadangan[[#This Row],[Harga Diskon A]]+cadangan[[#This Row],[Harga Diskon B]]+cadangan[[#This Row],[Harga Diskon C]]</f>
        <v>900000</v>
      </c>
      <c r="AG250" s="73">
        <f>(cadangan[[#This Row],[Profit Normal A]]+cadangan[[#This Row],[Profit Normal B]]+cadangan[[#This Row],[Profit Normal C]])</f>
        <v>390000</v>
      </c>
      <c r="AH250" s="73">
        <f>cadangan[[#This Row],[Profit Diskon A]]+cadangan[[#This Row],[Profit Diskon B]]+cadangan[[#This Row],[Profit Diskon C]]</f>
        <v>290000</v>
      </c>
      <c r="AI250" s="23" t="s">
        <v>30</v>
      </c>
      <c r="AJ250" s="37">
        <f>IFERROR(INDEX('Kode Diskon'!$D$3:$D$9,MATCH(cadangan[[#This Row],[Kode diskon]],'Kode Diskon'!$C$3:$C$9,0)),"-")</f>
        <v>0.1</v>
      </c>
      <c r="AK250" s="23" t="s">
        <v>29</v>
      </c>
      <c r="AL250" s="23" t="s">
        <v>10</v>
      </c>
      <c r="AM250" s="23" t="s">
        <v>80</v>
      </c>
      <c r="AN250" s="55">
        <v>45021</v>
      </c>
      <c r="AO250" s="53">
        <f>DAY(cadangan[[#This Row],[Tanggal terjual]])</f>
        <v>5</v>
      </c>
      <c r="AP250" s="21" t="str">
        <f>TEXT(cadangan[[#This Row],[Tanggal terjual]],"dddd")</f>
        <v>Wednesday</v>
      </c>
      <c r="AQ250" s="23" t="str" cm="1">
        <f t="array" ref="AQ2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50" s="61">
        <f>AVERAGE(cadangan[[#This Row],[Rating A]],cadangan[[#This Row],[Rating B]],cadangan[[#This Row],[Rating C]])</f>
        <v>4.333333333333333</v>
      </c>
    </row>
    <row r="251" spans="1:44" x14ac:dyDescent="0.2">
      <c r="A251" s="20">
        <v>250</v>
      </c>
      <c r="B251" s="21" t="str">
        <f>_xlfn.CONCAT("ORD-",INDEX(Helper!$B$2:$B$5,MATCH(cadangan[[#This Row],[Marketplace]],Helper!$A$2:$A$5,0)),TEXT(cadangan[[#This Row],[No]],"0000"),"-",TEXT(cadangan[[#This Row],[Tanggal terjual]],"dd/mm/yy"))</f>
        <v>ORD-SP0250-20/04/23</v>
      </c>
      <c r="C251" s="39" t="s">
        <v>60</v>
      </c>
      <c r="D251" s="39" t="str">
        <f>IFERROR(INDEX(Katalog!$A$3:$A$12,MATCH(cadangan[[#This Row],[ItemID A]],Katalog!$C$3:$C$12,0)),"-")</f>
        <v>Pakaian Wanita</v>
      </c>
      <c r="E251" s="39" t="str">
        <f>IFERROR(INDEX(Katalog!$B$3:$B$12,MATCH(cadangan[[#This Row],[ItemID A]],Katalog!$C$3:$C$12,0)),"-")</f>
        <v>Kaftan</v>
      </c>
      <c r="F251" s="50">
        <v>1</v>
      </c>
      <c r="G251" s="50">
        <v>2</v>
      </c>
      <c r="H251" s="73">
        <f>IFERROR(INDEX(Katalog!$D$3:$D$12,MATCH(cadangan[[#This Row],[ItemID A]],Katalog!$C$3:$C$12,0))*cadangan[[#This Row],[Qty A]],0)</f>
        <v>250000</v>
      </c>
      <c r="I251" s="73">
        <f>IFERROR(cadangan[[#This Row],[Harga Normal A]]-(cadangan[[#This Row],[Harga Normal A]]*cadangan[[#This Row],[Diskon]]),cadangan[[#This Row],[Harga Normal A]])</f>
        <v>200000</v>
      </c>
      <c r="J251" s="73">
        <f>INDEX(Katalog!$F$3:$F$12,MATCH(cadangan[[#This Row],[ItemID A]],Katalog!$C$3:$C$12,0))*cadangan[[#This Row],[Qty A]]</f>
        <v>100000</v>
      </c>
      <c r="K251" s="73">
        <f>IFERROR(cadangan[[#This Row],[Harga Diskon A]]-INDEX(Katalog!$E$3:$E$12,MATCH(cadangan[[#This Row],[ItemID A]],Katalog!$C$3:$C$12,0))*cadangan[[#This Row],[Qty A]],0)</f>
        <v>50000</v>
      </c>
      <c r="L251" s="39" t="s">
        <v>64</v>
      </c>
      <c r="M251" s="39" t="str">
        <f>IFERROR(INDEX(Katalog!$A$3:$A$12,MATCH(cadangan[[#This Row],[ItemID B]],Katalog!$C$3:$C$12,0)),"-")</f>
        <v>Pakaian Unisex</v>
      </c>
      <c r="N251" s="39" t="str">
        <f>IFERROR(INDEX(Katalog!$B$3:$B$12,MATCH(cadangan[[#This Row],[ItemID B]],Katalog!$C$3:$C$12,0)),"-")</f>
        <v>Jaket Hoodie</v>
      </c>
      <c r="O251" s="50">
        <v>1</v>
      </c>
      <c r="P251" s="50">
        <v>3</v>
      </c>
      <c r="Q251" s="73">
        <f>IFERROR(INDEX(Katalog!$D$3:$D$12,MATCH(cadangan[[#This Row],[ItemID B]],Katalog!$C$3:$C$12,0))*cadangan[[#This Row],[Qty B]],0)</f>
        <v>350000</v>
      </c>
      <c r="R251" s="73">
        <f>IFERROR(cadangan[[#This Row],[Harga Normal B]]-(cadangan[[#This Row],[Harga Normal B]]*cadangan[[#This Row],[Diskon]]),cadangan[[#This Row],[Harga Normal B]])</f>
        <v>280000</v>
      </c>
      <c r="S251" s="73">
        <f>IFERROR(INDEX(Katalog!$F$3:$F$12,MATCH(cadangan[[#This Row],[ItemID B]],Katalog!$C$3:$C$12,0))*cadangan[[#This Row],[Qty B]],0)</f>
        <v>130000</v>
      </c>
      <c r="T251" s="73">
        <f>IFERROR(cadangan[[#This Row],[Harga Diskon B]]-INDEX(Katalog!$E$3:$E$12,MATCH(cadangan[[#This Row],[ItemID B]],Katalog!$C$3:$C$12,0))*cadangan[[#This Row],[Qty B]],0)</f>
        <v>60000</v>
      </c>
      <c r="V251" s="39" t="str">
        <f>IFERROR(INDEX(Katalog!$A$3:$A$12,MATCH(cadangan[[#This Row],[ItemID C]],Katalog!$C$3:$C$12,0)),"-")</f>
        <v>-</v>
      </c>
      <c r="W251" s="39" t="str">
        <f>IFERROR(INDEX(Katalog!$B$3:$B$12,MATCH(cadangan[[#This Row],[ItemID C]],Katalog!$C$3:$C$12,0)),"-")</f>
        <v>-</v>
      </c>
      <c r="Z251" s="73">
        <f>IFERROR(INDEX(Katalog!$D$3:$D$12,MATCH(cadangan[[#This Row],[ItemID C]],Katalog!$C$3:$C$12,0))*cadangan[[#This Row],[Qty C]],0)</f>
        <v>0</v>
      </c>
      <c r="AA251" s="73">
        <f>IFERROR(cadangan[[#This Row],[Harga Normal C]]-(cadangan[[#This Row],[Harga Normal C]]*cadangan[[#This Row],[Diskon]]),cadangan[[#This Row],[Harga Normal C]])</f>
        <v>0</v>
      </c>
      <c r="AB251" s="73">
        <f>IFERROR(INDEX(Katalog!$F$3:$F$12,MATCH(cadangan[[#This Row],[ItemID C]],Katalog!$C$3:$C$12,0))*cadangan[[#This Row],[Qty C]],0)</f>
        <v>0</v>
      </c>
      <c r="AC251" s="73">
        <f>IFERROR(cadangan[[#This Row],[Harga Diskon C]]-INDEX(Katalog!$E$3:$E$12,MATCH(cadangan[[#This Row],[ItemID C]],Katalog!$C$3:$C$12,0))*cadangan[[#This Row],[Qty C]],0)</f>
        <v>0</v>
      </c>
      <c r="AD251" s="53">
        <f>cadangan[[#This Row],[Qty A]]+cadangan[[#This Row],[Qty B]]+cadangan[[#This Row],[Qty C]]</f>
        <v>2</v>
      </c>
      <c r="AE251" s="73">
        <f>cadangan[[#This Row],[Harga Normal A]]+cadangan[[#This Row],[Harga Normal B]]+cadangan[[#This Row],[Harga Normal C]]</f>
        <v>600000</v>
      </c>
      <c r="AF251" s="73">
        <f>cadangan[[#This Row],[Harga Diskon A]]+cadangan[[#This Row],[Harga Diskon B]]+cadangan[[#This Row],[Harga Diskon C]]</f>
        <v>480000</v>
      </c>
      <c r="AG251" s="73">
        <f>(cadangan[[#This Row],[Profit Normal A]]+cadangan[[#This Row],[Profit Normal B]]+cadangan[[#This Row],[Profit Normal C]])</f>
        <v>230000</v>
      </c>
      <c r="AH251" s="73">
        <f>cadangan[[#This Row],[Profit Diskon A]]+cadangan[[#This Row],[Profit Diskon B]]+cadangan[[#This Row],[Profit Diskon C]]</f>
        <v>110000</v>
      </c>
      <c r="AI251" s="23" t="s">
        <v>8</v>
      </c>
      <c r="AJ251" s="37">
        <f>IFERROR(INDEX('Kode Diskon'!$D$3:$D$9,MATCH(cadangan[[#This Row],[Kode diskon]],'Kode Diskon'!$C$3:$C$9,0)),"-")</f>
        <v>0.2</v>
      </c>
      <c r="AK251" s="23" t="s">
        <v>9</v>
      </c>
      <c r="AL251" s="23" t="s">
        <v>7</v>
      </c>
      <c r="AM251" s="23" t="s">
        <v>76</v>
      </c>
      <c r="AN251" s="55">
        <v>45036</v>
      </c>
      <c r="AO251" s="53">
        <f>DAY(cadangan[[#This Row],[Tanggal terjual]])</f>
        <v>20</v>
      </c>
      <c r="AP251" s="21" t="str">
        <f>TEXT(cadangan[[#This Row],[Tanggal terjual]],"dddd")</f>
        <v>Thursday</v>
      </c>
      <c r="AQ251" s="23" t="str" cm="1">
        <f t="array" ref="AQ2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51" s="61">
        <f>AVERAGE(cadangan[[#This Row],[Rating A]],cadangan[[#This Row],[Rating B]],cadangan[[#This Row],[Rating C]])</f>
        <v>2.5</v>
      </c>
    </row>
    <row r="252" spans="1:44" x14ac:dyDescent="0.2">
      <c r="A252" s="20">
        <v>251</v>
      </c>
      <c r="B252" s="21" t="str">
        <f>_xlfn.CONCAT("ORD-",INDEX(Helper!$B$2:$B$5,MATCH(cadangan[[#This Row],[Marketplace]],Helper!$A$2:$A$5,0)),TEXT(cadangan[[#This Row],[No]],"0000"),"-",TEXT(cadangan[[#This Row],[Tanggal terjual]],"dd/mm/yy"))</f>
        <v>ORD-TK0251-25/04/23</v>
      </c>
      <c r="C252" s="39" t="s">
        <v>66</v>
      </c>
      <c r="D252" s="39" t="str">
        <f>IFERROR(INDEX(Katalog!$A$3:$A$12,MATCH(cadangan[[#This Row],[ItemID A]],Katalog!$C$3:$C$12,0)),"-")</f>
        <v>Sepatu Pria</v>
      </c>
      <c r="E252" s="39" t="str">
        <f>IFERROR(INDEX(Katalog!$B$3:$B$12,MATCH(cadangan[[#This Row],[ItemID A]],Katalog!$C$3:$C$12,0)),"-")</f>
        <v>Sandal Slip On</v>
      </c>
      <c r="F252" s="50">
        <v>2</v>
      </c>
      <c r="G252" s="50">
        <v>5</v>
      </c>
      <c r="H252" s="73">
        <f>IFERROR(INDEX(Katalog!$D$3:$D$12,MATCH(cadangan[[#This Row],[ItemID A]],Katalog!$C$3:$C$12,0))*cadangan[[#This Row],[Qty A]],0)</f>
        <v>300000</v>
      </c>
      <c r="I252" s="73">
        <f>IFERROR(cadangan[[#This Row],[Harga Normal A]]-(cadangan[[#This Row],[Harga Normal A]]*cadangan[[#This Row],[Diskon]]),cadangan[[#This Row],[Harga Normal A]])</f>
        <v>270000</v>
      </c>
      <c r="J252" s="73">
        <f>INDEX(Katalog!$F$3:$F$12,MATCH(cadangan[[#This Row],[ItemID A]],Katalog!$C$3:$C$12,0))*cadangan[[#This Row],[Qty A]]</f>
        <v>120000</v>
      </c>
      <c r="K252" s="73">
        <f>IFERROR(cadangan[[#This Row],[Harga Diskon A]]-INDEX(Katalog!$E$3:$E$12,MATCH(cadangan[[#This Row],[ItemID A]],Katalog!$C$3:$C$12,0))*cadangan[[#This Row],[Qty A]],0)</f>
        <v>90000</v>
      </c>
      <c r="M252" s="39" t="str">
        <f>IFERROR(INDEX(Katalog!$A$3:$A$12,MATCH(cadangan[[#This Row],[ItemID B]],Katalog!$C$3:$C$12,0)),"-")</f>
        <v>-</v>
      </c>
      <c r="N252" s="39" t="str">
        <f>IFERROR(INDEX(Katalog!$B$3:$B$12,MATCH(cadangan[[#This Row],[ItemID B]],Katalog!$C$3:$C$12,0)),"-")</f>
        <v>-</v>
      </c>
      <c r="Q252" s="73">
        <f>IFERROR(INDEX(Katalog!$D$3:$D$12,MATCH(cadangan[[#This Row],[ItemID B]],Katalog!$C$3:$C$12,0))*cadangan[[#This Row],[Qty B]],0)</f>
        <v>0</v>
      </c>
      <c r="R252" s="73">
        <f>IFERROR(cadangan[[#This Row],[Harga Normal B]]-(cadangan[[#This Row],[Harga Normal B]]*cadangan[[#This Row],[Diskon]]),cadangan[[#This Row],[Harga Normal B]])</f>
        <v>0</v>
      </c>
      <c r="S252" s="73">
        <f>IFERROR(INDEX(Katalog!$F$3:$F$12,MATCH(cadangan[[#This Row],[ItemID B]],Katalog!$C$3:$C$12,0))*cadangan[[#This Row],[Qty B]],0)</f>
        <v>0</v>
      </c>
      <c r="T252" s="73">
        <f>IFERROR(cadangan[[#This Row],[Harga Diskon B]]-INDEX(Katalog!$E$3:$E$12,MATCH(cadangan[[#This Row],[ItemID B]],Katalog!$C$3:$C$12,0))*cadangan[[#This Row],[Qty B]],0)</f>
        <v>0</v>
      </c>
      <c r="V252" s="39" t="str">
        <f>IFERROR(INDEX(Katalog!$A$3:$A$12,MATCH(cadangan[[#This Row],[ItemID C]],Katalog!$C$3:$C$12,0)),"-")</f>
        <v>-</v>
      </c>
      <c r="W252" s="39" t="str">
        <f>IFERROR(INDEX(Katalog!$B$3:$B$12,MATCH(cadangan[[#This Row],[ItemID C]],Katalog!$C$3:$C$12,0)),"-")</f>
        <v>-</v>
      </c>
      <c r="Z252" s="73">
        <f>IFERROR(INDEX(Katalog!$D$3:$D$12,MATCH(cadangan[[#This Row],[ItemID C]],Katalog!$C$3:$C$12,0))*cadangan[[#This Row],[Qty C]],0)</f>
        <v>0</v>
      </c>
      <c r="AA252" s="73">
        <f>IFERROR(cadangan[[#This Row],[Harga Normal C]]-(cadangan[[#This Row],[Harga Normal C]]*cadangan[[#This Row],[Diskon]]),cadangan[[#This Row],[Harga Normal C]])</f>
        <v>0</v>
      </c>
      <c r="AB252" s="73">
        <f>IFERROR(INDEX(Katalog!$F$3:$F$12,MATCH(cadangan[[#This Row],[ItemID C]],Katalog!$C$3:$C$12,0))*cadangan[[#This Row],[Qty C]],0)</f>
        <v>0</v>
      </c>
      <c r="AC252" s="73">
        <f>IFERROR(cadangan[[#This Row],[Harga Diskon C]]-INDEX(Katalog!$E$3:$E$12,MATCH(cadangan[[#This Row],[ItemID C]],Katalog!$C$3:$C$12,0))*cadangan[[#This Row],[Qty C]],0)</f>
        <v>0</v>
      </c>
      <c r="AD252" s="53">
        <f>cadangan[[#This Row],[Qty A]]+cadangan[[#This Row],[Qty B]]+cadangan[[#This Row],[Qty C]]</f>
        <v>2</v>
      </c>
      <c r="AE252" s="73">
        <f>cadangan[[#This Row],[Harga Normal A]]+cadangan[[#This Row],[Harga Normal B]]+cadangan[[#This Row],[Harga Normal C]]</f>
        <v>300000</v>
      </c>
      <c r="AF252" s="73">
        <f>cadangan[[#This Row],[Harga Diskon A]]+cadangan[[#This Row],[Harga Diskon B]]+cadangan[[#This Row],[Harga Diskon C]]</f>
        <v>270000</v>
      </c>
      <c r="AG252" s="73">
        <f>(cadangan[[#This Row],[Profit Normal A]]+cadangan[[#This Row],[Profit Normal B]]+cadangan[[#This Row],[Profit Normal C]])</f>
        <v>120000</v>
      </c>
      <c r="AH252" s="73">
        <f>cadangan[[#This Row],[Profit Diskon A]]+cadangan[[#This Row],[Profit Diskon B]]+cadangan[[#This Row],[Profit Diskon C]]</f>
        <v>90000</v>
      </c>
      <c r="AI252" s="23" t="s">
        <v>31</v>
      </c>
      <c r="AJ252" s="37">
        <f>IFERROR(INDEX('Kode Diskon'!$D$3:$D$9,MATCH(cadangan[[#This Row],[Kode diskon]],'Kode Diskon'!$C$3:$C$9,0)),"-")</f>
        <v>0.1</v>
      </c>
      <c r="AK252" s="23" t="s">
        <v>9</v>
      </c>
      <c r="AL252" s="23" t="s">
        <v>10</v>
      </c>
      <c r="AM252" s="23" t="s">
        <v>76</v>
      </c>
      <c r="AN252" s="55">
        <v>45041</v>
      </c>
      <c r="AO252" s="53">
        <f>DAY(cadangan[[#This Row],[Tanggal terjual]])</f>
        <v>25</v>
      </c>
      <c r="AP252" s="21" t="str">
        <f>TEXT(cadangan[[#This Row],[Tanggal terjual]],"dddd")</f>
        <v>Tuesday</v>
      </c>
      <c r="AQ252" s="23" t="str" cm="1">
        <f t="array" ref="AQ2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52" s="61">
        <f>AVERAGE(cadangan[[#This Row],[Rating A]],cadangan[[#This Row],[Rating B]],cadangan[[#This Row],[Rating C]])</f>
        <v>5</v>
      </c>
    </row>
    <row r="253" spans="1:44" x14ac:dyDescent="0.2">
      <c r="A253" s="20">
        <v>252</v>
      </c>
      <c r="B253" s="21" t="str">
        <f>_xlfn.CONCAT("ORD-",INDEX(Helper!$B$2:$B$5,MATCH(cadangan[[#This Row],[Marketplace]],Helper!$A$2:$A$5,0)),TEXT(cadangan[[#This Row],[No]],"0000"),"-",TEXT(cadangan[[#This Row],[Tanggal terjual]],"dd/mm/yy"))</f>
        <v>ORD-TK0252-17/04/23</v>
      </c>
      <c r="C253" s="39" t="s">
        <v>66</v>
      </c>
      <c r="D253" s="39" t="str">
        <f>IFERROR(INDEX(Katalog!$A$3:$A$12,MATCH(cadangan[[#This Row],[ItemID A]],Katalog!$C$3:$C$12,0)),"-")</f>
        <v>Sepatu Pria</v>
      </c>
      <c r="E253" s="39" t="str">
        <f>IFERROR(INDEX(Katalog!$B$3:$B$12,MATCH(cadangan[[#This Row],[ItemID A]],Katalog!$C$3:$C$12,0)),"-")</f>
        <v>Sandal Slip On</v>
      </c>
      <c r="F253" s="50">
        <v>2</v>
      </c>
      <c r="G253" s="50">
        <v>4</v>
      </c>
      <c r="H253" s="73">
        <f>IFERROR(INDEX(Katalog!$D$3:$D$12,MATCH(cadangan[[#This Row],[ItemID A]],Katalog!$C$3:$C$12,0))*cadangan[[#This Row],[Qty A]],0)</f>
        <v>300000</v>
      </c>
      <c r="I253" s="73">
        <f>IFERROR(cadangan[[#This Row],[Harga Normal A]]-(cadangan[[#This Row],[Harga Normal A]]*cadangan[[#This Row],[Diskon]]),cadangan[[#This Row],[Harga Normal A]])</f>
        <v>270000</v>
      </c>
      <c r="J253" s="73">
        <f>INDEX(Katalog!$F$3:$F$12,MATCH(cadangan[[#This Row],[ItemID A]],Katalog!$C$3:$C$12,0))*cadangan[[#This Row],[Qty A]]</f>
        <v>120000</v>
      </c>
      <c r="K253" s="73">
        <f>IFERROR(cadangan[[#This Row],[Harga Diskon A]]-INDEX(Katalog!$E$3:$E$12,MATCH(cadangan[[#This Row],[ItemID A]],Katalog!$C$3:$C$12,0))*cadangan[[#This Row],[Qty A]],0)</f>
        <v>90000</v>
      </c>
      <c r="L253" s="39" t="s">
        <v>64</v>
      </c>
      <c r="M253" s="39" t="str">
        <f>IFERROR(INDEX(Katalog!$A$3:$A$12,MATCH(cadangan[[#This Row],[ItemID B]],Katalog!$C$3:$C$12,0)),"-")</f>
        <v>Pakaian Unisex</v>
      </c>
      <c r="N253" s="39" t="str">
        <f>IFERROR(INDEX(Katalog!$B$3:$B$12,MATCH(cadangan[[#This Row],[ItemID B]],Katalog!$C$3:$C$12,0)),"-")</f>
        <v>Jaket Hoodie</v>
      </c>
      <c r="O253" s="50">
        <v>3</v>
      </c>
      <c r="P253" s="50">
        <v>2</v>
      </c>
      <c r="Q253" s="73">
        <f>IFERROR(INDEX(Katalog!$D$3:$D$12,MATCH(cadangan[[#This Row],[ItemID B]],Katalog!$C$3:$C$12,0))*cadangan[[#This Row],[Qty B]],0)</f>
        <v>1050000</v>
      </c>
      <c r="R253" s="73">
        <f>IFERROR(cadangan[[#This Row],[Harga Normal B]]-(cadangan[[#This Row],[Harga Normal B]]*cadangan[[#This Row],[Diskon]]),cadangan[[#This Row],[Harga Normal B]])</f>
        <v>945000</v>
      </c>
      <c r="S253" s="73">
        <f>IFERROR(INDEX(Katalog!$F$3:$F$12,MATCH(cadangan[[#This Row],[ItemID B]],Katalog!$C$3:$C$12,0))*cadangan[[#This Row],[Qty B]],0)</f>
        <v>390000</v>
      </c>
      <c r="T253" s="73">
        <f>IFERROR(cadangan[[#This Row],[Harga Diskon B]]-INDEX(Katalog!$E$3:$E$12,MATCH(cadangan[[#This Row],[ItemID B]],Katalog!$C$3:$C$12,0))*cadangan[[#This Row],[Qty B]],0)</f>
        <v>285000</v>
      </c>
      <c r="U253" s="39" t="s">
        <v>66</v>
      </c>
      <c r="V253" s="39" t="str">
        <f>IFERROR(INDEX(Katalog!$A$3:$A$12,MATCH(cadangan[[#This Row],[ItemID C]],Katalog!$C$3:$C$12,0)),"-")</f>
        <v>Sepatu Pria</v>
      </c>
      <c r="W253" s="39" t="str">
        <f>IFERROR(INDEX(Katalog!$B$3:$B$12,MATCH(cadangan[[#This Row],[ItemID C]],Katalog!$C$3:$C$12,0)),"-")</f>
        <v>Sandal Slip On</v>
      </c>
      <c r="X253" s="50">
        <v>2</v>
      </c>
      <c r="Y253" s="50">
        <v>1</v>
      </c>
      <c r="Z253" s="73">
        <f>IFERROR(INDEX(Katalog!$D$3:$D$12,MATCH(cadangan[[#This Row],[ItemID C]],Katalog!$C$3:$C$12,0))*cadangan[[#This Row],[Qty C]],0)</f>
        <v>300000</v>
      </c>
      <c r="AA253" s="73">
        <f>IFERROR(cadangan[[#This Row],[Harga Normal C]]-(cadangan[[#This Row],[Harga Normal C]]*cadangan[[#This Row],[Diskon]]),cadangan[[#This Row],[Harga Normal C]])</f>
        <v>270000</v>
      </c>
      <c r="AB253" s="73">
        <f>IFERROR(INDEX(Katalog!$F$3:$F$12,MATCH(cadangan[[#This Row],[ItemID C]],Katalog!$C$3:$C$12,0))*cadangan[[#This Row],[Qty C]],0)</f>
        <v>120000</v>
      </c>
      <c r="AC253" s="73">
        <f>IFERROR(cadangan[[#This Row],[Harga Diskon C]]-INDEX(Katalog!$E$3:$E$12,MATCH(cadangan[[#This Row],[ItemID C]],Katalog!$C$3:$C$12,0))*cadangan[[#This Row],[Qty C]],0)</f>
        <v>90000</v>
      </c>
      <c r="AD253" s="53">
        <f>cadangan[[#This Row],[Qty A]]+cadangan[[#This Row],[Qty B]]+cadangan[[#This Row],[Qty C]]</f>
        <v>7</v>
      </c>
      <c r="AE253" s="73">
        <f>cadangan[[#This Row],[Harga Normal A]]+cadangan[[#This Row],[Harga Normal B]]+cadangan[[#This Row],[Harga Normal C]]</f>
        <v>1650000</v>
      </c>
      <c r="AF253" s="73">
        <f>cadangan[[#This Row],[Harga Diskon A]]+cadangan[[#This Row],[Harga Diskon B]]+cadangan[[#This Row],[Harga Diskon C]]</f>
        <v>1485000</v>
      </c>
      <c r="AG253" s="73">
        <f>(cadangan[[#This Row],[Profit Normal A]]+cadangan[[#This Row],[Profit Normal B]]+cadangan[[#This Row],[Profit Normal C]])</f>
        <v>630000</v>
      </c>
      <c r="AH253" s="73">
        <f>cadangan[[#This Row],[Profit Diskon A]]+cadangan[[#This Row],[Profit Diskon B]]+cadangan[[#This Row],[Profit Diskon C]]</f>
        <v>465000</v>
      </c>
      <c r="AI253" s="23" t="s">
        <v>31</v>
      </c>
      <c r="AJ253" s="37">
        <f>IFERROR(INDEX('Kode Diskon'!$D$3:$D$9,MATCH(cadangan[[#This Row],[Kode diskon]],'Kode Diskon'!$C$3:$C$9,0)),"-")</f>
        <v>0.1</v>
      </c>
      <c r="AK253" s="23" t="s">
        <v>9</v>
      </c>
      <c r="AL253" s="23" t="s">
        <v>10</v>
      </c>
      <c r="AM253" s="23" t="s">
        <v>80</v>
      </c>
      <c r="AN253" s="55">
        <v>45033</v>
      </c>
      <c r="AO253" s="53">
        <f>DAY(cadangan[[#This Row],[Tanggal terjual]])</f>
        <v>17</v>
      </c>
      <c r="AP253" s="21" t="str">
        <f>TEXT(cadangan[[#This Row],[Tanggal terjual]],"dddd")</f>
        <v>Monday</v>
      </c>
      <c r="AQ253" s="23" t="str" cm="1">
        <f t="array" ref="AQ2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53" s="61">
        <f>AVERAGE(cadangan[[#This Row],[Rating A]],cadangan[[#This Row],[Rating B]],cadangan[[#This Row],[Rating C]])</f>
        <v>2.3333333333333335</v>
      </c>
    </row>
    <row r="254" spans="1:44" x14ac:dyDescent="0.2">
      <c r="A254" s="20">
        <v>253</v>
      </c>
      <c r="B254" s="21" t="str">
        <f>_xlfn.CONCAT("ORD-",INDEX(Helper!$B$2:$B$5,MATCH(cadangan[[#This Row],[Marketplace]],Helper!$A$2:$A$5,0)),TEXT(cadangan[[#This Row],[No]],"0000"),"-",TEXT(cadangan[[#This Row],[Tanggal terjual]],"dd/mm/yy"))</f>
        <v>ORD-TK0253-24/04/23</v>
      </c>
      <c r="C254" s="39" t="s">
        <v>65</v>
      </c>
      <c r="D254" s="39" t="str">
        <f>IFERROR(INDEX(Katalog!$A$3:$A$12,MATCH(cadangan[[#This Row],[ItemID A]],Katalog!$C$3:$C$12,0)),"-")</f>
        <v>Sepatu Pria</v>
      </c>
      <c r="E254" s="39" t="str">
        <f>IFERROR(INDEX(Katalog!$B$3:$B$12,MATCH(cadangan[[#This Row],[ItemID A]],Katalog!$C$3:$C$12,0)),"-")</f>
        <v>Sneakers</v>
      </c>
      <c r="F254" s="50">
        <v>4</v>
      </c>
      <c r="G254" s="50">
        <v>1</v>
      </c>
      <c r="H254" s="73">
        <f>IFERROR(INDEX(Katalog!$D$3:$D$12,MATCH(cadangan[[#This Row],[ItemID A]],Katalog!$C$3:$C$12,0))*cadangan[[#This Row],[Qty A]],0)</f>
        <v>2000000</v>
      </c>
      <c r="I254" s="73">
        <f>IFERROR(cadangan[[#This Row],[Harga Normal A]]-(cadangan[[#This Row],[Harga Normal A]]*cadangan[[#This Row],[Diskon]]),cadangan[[#This Row],[Harga Normal A]])</f>
        <v>1800000</v>
      </c>
      <c r="J254" s="73">
        <f>INDEX(Katalog!$F$3:$F$12,MATCH(cadangan[[#This Row],[ItemID A]],Katalog!$C$3:$C$12,0))*cadangan[[#This Row],[Qty A]]</f>
        <v>800000</v>
      </c>
      <c r="K254" s="73">
        <f>IFERROR(cadangan[[#This Row],[Harga Diskon A]]-INDEX(Katalog!$E$3:$E$12,MATCH(cadangan[[#This Row],[ItemID A]],Katalog!$C$3:$C$12,0))*cadangan[[#This Row],[Qty A]],0)</f>
        <v>600000</v>
      </c>
      <c r="L254" s="39" t="s">
        <v>66</v>
      </c>
      <c r="M254" s="39" t="str">
        <f>IFERROR(INDEX(Katalog!$A$3:$A$12,MATCH(cadangan[[#This Row],[ItemID B]],Katalog!$C$3:$C$12,0)),"-")</f>
        <v>Sepatu Pria</v>
      </c>
      <c r="N254" s="39" t="str">
        <f>IFERROR(INDEX(Katalog!$B$3:$B$12,MATCH(cadangan[[#This Row],[ItemID B]],Katalog!$C$3:$C$12,0)),"-")</f>
        <v>Sandal Slip On</v>
      </c>
      <c r="O254" s="50">
        <v>2</v>
      </c>
      <c r="P254" s="50">
        <v>5</v>
      </c>
      <c r="Q254" s="73">
        <f>IFERROR(INDEX(Katalog!$D$3:$D$12,MATCH(cadangan[[#This Row],[ItemID B]],Katalog!$C$3:$C$12,0))*cadangan[[#This Row],[Qty B]],0)</f>
        <v>300000</v>
      </c>
      <c r="R254" s="73">
        <f>IFERROR(cadangan[[#This Row],[Harga Normal B]]-(cadangan[[#This Row],[Harga Normal B]]*cadangan[[#This Row],[Diskon]]),cadangan[[#This Row],[Harga Normal B]])</f>
        <v>270000</v>
      </c>
      <c r="S254" s="73">
        <f>IFERROR(INDEX(Katalog!$F$3:$F$12,MATCH(cadangan[[#This Row],[ItemID B]],Katalog!$C$3:$C$12,0))*cadangan[[#This Row],[Qty B]],0)</f>
        <v>120000</v>
      </c>
      <c r="T254" s="73">
        <f>IFERROR(cadangan[[#This Row],[Harga Diskon B]]-INDEX(Katalog!$E$3:$E$12,MATCH(cadangan[[#This Row],[ItemID B]],Katalog!$C$3:$C$12,0))*cadangan[[#This Row],[Qty B]],0)</f>
        <v>90000</v>
      </c>
      <c r="V254" s="39" t="str">
        <f>IFERROR(INDEX(Katalog!$A$3:$A$12,MATCH(cadangan[[#This Row],[ItemID C]],Katalog!$C$3:$C$12,0)),"-")</f>
        <v>-</v>
      </c>
      <c r="W254" s="39" t="str">
        <f>IFERROR(INDEX(Katalog!$B$3:$B$12,MATCH(cadangan[[#This Row],[ItemID C]],Katalog!$C$3:$C$12,0)),"-")</f>
        <v>-</v>
      </c>
      <c r="Z254" s="73">
        <f>IFERROR(INDEX(Katalog!$D$3:$D$12,MATCH(cadangan[[#This Row],[ItemID C]],Katalog!$C$3:$C$12,0))*cadangan[[#This Row],[Qty C]],0)</f>
        <v>0</v>
      </c>
      <c r="AA254" s="73">
        <f>IFERROR(cadangan[[#This Row],[Harga Normal C]]-(cadangan[[#This Row],[Harga Normal C]]*cadangan[[#This Row],[Diskon]]),cadangan[[#This Row],[Harga Normal C]])</f>
        <v>0</v>
      </c>
      <c r="AB254" s="73">
        <f>IFERROR(INDEX(Katalog!$F$3:$F$12,MATCH(cadangan[[#This Row],[ItemID C]],Katalog!$C$3:$C$12,0))*cadangan[[#This Row],[Qty C]],0)</f>
        <v>0</v>
      </c>
      <c r="AC254" s="73">
        <f>IFERROR(cadangan[[#This Row],[Harga Diskon C]]-INDEX(Katalog!$E$3:$E$12,MATCH(cadangan[[#This Row],[ItemID C]],Katalog!$C$3:$C$12,0))*cadangan[[#This Row],[Qty C]],0)</f>
        <v>0</v>
      </c>
      <c r="AD254" s="53">
        <f>cadangan[[#This Row],[Qty A]]+cadangan[[#This Row],[Qty B]]+cadangan[[#This Row],[Qty C]]</f>
        <v>6</v>
      </c>
      <c r="AE254" s="73">
        <f>cadangan[[#This Row],[Harga Normal A]]+cadangan[[#This Row],[Harga Normal B]]+cadangan[[#This Row],[Harga Normal C]]</f>
        <v>2300000</v>
      </c>
      <c r="AF254" s="73">
        <f>cadangan[[#This Row],[Harga Diskon A]]+cadangan[[#This Row],[Harga Diskon B]]+cadangan[[#This Row],[Harga Diskon C]]</f>
        <v>2070000</v>
      </c>
      <c r="AG254" s="73">
        <f>(cadangan[[#This Row],[Profit Normal A]]+cadangan[[#This Row],[Profit Normal B]]+cadangan[[#This Row],[Profit Normal C]])</f>
        <v>920000</v>
      </c>
      <c r="AH254" s="73">
        <f>cadangan[[#This Row],[Profit Diskon A]]+cadangan[[#This Row],[Profit Diskon B]]+cadangan[[#This Row],[Profit Diskon C]]</f>
        <v>690000</v>
      </c>
      <c r="AI254" s="23" t="s">
        <v>31</v>
      </c>
      <c r="AJ254" s="37">
        <f>IFERROR(INDEX('Kode Diskon'!$D$3:$D$9,MATCH(cadangan[[#This Row],[Kode diskon]],'Kode Diskon'!$C$3:$C$9,0)),"-")</f>
        <v>0.1</v>
      </c>
      <c r="AK254" s="23" t="s">
        <v>9</v>
      </c>
      <c r="AL254" s="23" t="s">
        <v>10</v>
      </c>
      <c r="AM254" s="23" t="s">
        <v>76</v>
      </c>
      <c r="AN254" s="55">
        <v>45040</v>
      </c>
      <c r="AO254" s="53">
        <f>DAY(cadangan[[#This Row],[Tanggal terjual]])</f>
        <v>24</v>
      </c>
      <c r="AP254" s="21" t="str">
        <f>TEXT(cadangan[[#This Row],[Tanggal terjual]],"dddd")</f>
        <v>Monday</v>
      </c>
      <c r="AQ254" s="23" t="str" cm="1">
        <f t="array" ref="AQ2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54" s="61">
        <f>AVERAGE(cadangan[[#This Row],[Rating A]],cadangan[[#This Row],[Rating B]],cadangan[[#This Row],[Rating C]])</f>
        <v>3</v>
      </c>
    </row>
    <row r="255" spans="1:44" x14ac:dyDescent="0.2">
      <c r="A255" s="20">
        <v>254</v>
      </c>
      <c r="B255" s="21" t="str">
        <f>_xlfn.CONCAT("ORD-",INDEX(Helper!$B$2:$B$5,MATCH(cadangan[[#This Row],[Marketplace]],Helper!$A$2:$A$5,0)),TEXT(cadangan[[#This Row],[No]],"0000"),"-",TEXT(cadangan[[#This Row],[Tanggal terjual]],"dd/mm/yy"))</f>
        <v>ORD-SP0254-02/04/23</v>
      </c>
      <c r="C255" s="39" t="s">
        <v>61</v>
      </c>
      <c r="D255" s="39" t="str">
        <f>IFERROR(INDEX(Katalog!$A$3:$A$12,MATCH(cadangan[[#This Row],[ItemID A]],Katalog!$C$3:$C$12,0)),"-")</f>
        <v>Pakaian Pria</v>
      </c>
      <c r="E255" s="39" t="str">
        <f>IFERROR(INDEX(Katalog!$B$3:$B$12,MATCH(cadangan[[#This Row],[ItemID A]],Katalog!$C$3:$C$12,0)),"-")</f>
        <v>Kaos Polo</v>
      </c>
      <c r="F255" s="50">
        <v>6</v>
      </c>
      <c r="G255" s="50">
        <v>4</v>
      </c>
      <c r="H255" s="73">
        <f>IFERROR(INDEX(Katalog!$D$3:$D$12,MATCH(cadangan[[#This Row],[ItemID A]],Katalog!$C$3:$C$12,0))*cadangan[[#This Row],[Qty A]],0)</f>
        <v>1200000</v>
      </c>
      <c r="I255" s="73">
        <f>IFERROR(cadangan[[#This Row],[Harga Normal A]]-(cadangan[[#This Row],[Harga Normal A]]*cadangan[[#This Row],[Diskon]]),cadangan[[#This Row],[Harga Normal A]])</f>
        <v>1080000</v>
      </c>
      <c r="J255" s="73">
        <f>INDEX(Katalog!$F$3:$F$12,MATCH(cadangan[[#This Row],[ItemID A]],Katalog!$C$3:$C$12,0))*cadangan[[#This Row],[Qty A]]</f>
        <v>480000</v>
      </c>
      <c r="K255" s="73">
        <f>IFERROR(cadangan[[#This Row],[Harga Diskon A]]-INDEX(Katalog!$E$3:$E$12,MATCH(cadangan[[#This Row],[ItemID A]],Katalog!$C$3:$C$12,0))*cadangan[[#This Row],[Qty A]],0)</f>
        <v>360000</v>
      </c>
      <c r="M255" s="39" t="str">
        <f>IFERROR(INDEX(Katalog!$A$3:$A$12,MATCH(cadangan[[#This Row],[ItemID B]],Katalog!$C$3:$C$12,0)),"-")</f>
        <v>-</v>
      </c>
      <c r="N255" s="39" t="str">
        <f>IFERROR(INDEX(Katalog!$B$3:$B$12,MATCH(cadangan[[#This Row],[ItemID B]],Katalog!$C$3:$C$12,0)),"-")</f>
        <v>-</v>
      </c>
      <c r="Q255" s="73">
        <f>IFERROR(INDEX(Katalog!$D$3:$D$12,MATCH(cadangan[[#This Row],[ItemID B]],Katalog!$C$3:$C$12,0))*cadangan[[#This Row],[Qty B]],0)</f>
        <v>0</v>
      </c>
      <c r="R255" s="73">
        <f>IFERROR(cadangan[[#This Row],[Harga Normal B]]-(cadangan[[#This Row],[Harga Normal B]]*cadangan[[#This Row],[Diskon]]),cadangan[[#This Row],[Harga Normal B]])</f>
        <v>0</v>
      </c>
      <c r="S255" s="73">
        <f>IFERROR(INDEX(Katalog!$F$3:$F$12,MATCH(cadangan[[#This Row],[ItemID B]],Katalog!$C$3:$C$12,0))*cadangan[[#This Row],[Qty B]],0)</f>
        <v>0</v>
      </c>
      <c r="T255" s="73">
        <f>IFERROR(cadangan[[#This Row],[Harga Diskon B]]-INDEX(Katalog!$E$3:$E$12,MATCH(cadangan[[#This Row],[ItemID B]],Katalog!$C$3:$C$12,0))*cadangan[[#This Row],[Qty B]],0)</f>
        <v>0</v>
      </c>
      <c r="V255" s="39" t="str">
        <f>IFERROR(INDEX(Katalog!$A$3:$A$12,MATCH(cadangan[[#This Row],[ItemID C]],Katalog!$C$3:$C$12,0)),"-")</f>
        <v>-</v>
      </c>
      <c r="W255" s="39" t="str">
        <f>IFERROR(INDEX(Katalog!$B$3:$B$12,MATCH(cadangan[[#This Row],[ItemID C]],Katalog!$C$3:$C$12,0)),"-")</f>
        <v>-</v>
      </c>
      <c r="Z255" s="73">
        <f>IFERROR(INDEX(Katalog!$D$3:$D$12,MATCH(cadangan[[#This Row],[ItemID C]],Katalog!$C$3:$C$12,0))*cadangan[[#This Row],[Qty C]],0)</f>
        <v>0</v>
      </c>
      <c r="AA255" s="73">
        <f>IFERROR(cadangan[[#This Row],[Harga Normal C]]-(cadangan[[#This Row],[Harga Normal C]]*cadangan[[#This Row],[Diskon]]),cadangan[[#This Row],[Harga Normal C]])</f>
        <v>0</v>
      </c>
      <c r="AB255" s="73">
        <f>IFERROR(INDEX(Katalog!$F$3:$F$12,MATCH(cadangan[[#This Row],[ItemID C]],Katalog!$C$3:$C$12,0))*cadangan[[#This Row],[Qty C]],0)</f>
        <v>0</v>
      </c>
      <c r="AC255" s="73">
        <f>IFERROR(cadangan[[#This Row],[Harga Diskon C]]-INDEX(Katalog!$E$3:$E$12,MATCH(cadangan[[#This Row],[ItemID C]],Katalog!$C$3:$C$12,0))*cadangan[[#This Row],[Qty C]],0)</f>
        <v>0</v>
      </c>
      <c r="AD255" s="53">
        <f>cadangan[[#This Row],[Qty A]]+cadangan[[#This Row],[Qty B]]+cadangan[[#This Row],[Qty C]]</f>
        <v>6</v>
      </c>
      <c r="AE255" s="73">
        <f>cadangan[[#This Row],[Harga Normal A]]+cadangan[[#This Row],[Harga Normal B]]+cadangan[[#This Row],[Harga Normal C]]</f>
        <v>1200000</v>
      </c>
      <c r="AF255" s="73">
        <f>cadangan[[#This Row],[Harga Diskon A]]+cadangan[[#This Row],[Harga Diskon B]]+cadangan[[#This Row],[Harga Diskon C]]</f>
        <v>1080000</v>
      </c>
      <c r="AG255" s="73">
        <f>(cadangan[[#This Row],[Profit Normal A]]+cadangan[[#This Row],[Profit Normal B]]+cadangan[[#This Row],[Profit Normal C]])</f>
        <v>480000</v>
      </c>
      <c r="AH255" s="73">
        <f>cadangan[[#This Row],[Profit Diskon A]]+cadangan[[#This Row],[Profit Diskon B]]+cadangan[[#This Row],[Profit Diskon C]]</f>
        <v>360000</v>
      </c>
      <c r="AI255" s="23" t="s">
        <v>6</v>
      </c>
      <c r="AJ255" s="37">
        <f>IFERROR(INDEX('Kode Diskon'!$D$3:$D$9,MATCH(cadangan[[#This Row],[Kode diskon]],'Kode Diskon'!$C$3:$C$9,0)),"-")</f>
        <v>0.1</v>
      </c>
      <c r="AK255" s="23" t="s">
        <v>29</v>
      </c>
      <c r="AL255" s="23" t="s">
        <v>7</v>
      </c>
      <c r="AM255" s="23" t="s">
        <v>78</v>
      </c>
      <c r="AN255" s="55">
        <v>45018</v>
      </c>
      <c r="AO255" s="53">
        <f>DAY(cadangan[[#This Row],[Tanggal terjual]])</f>
        <v>2</v>
      </c>
      <c r="AP255" s="21" t="str">
        <f>TEXT(cadangan[[#This Row],[Tanggal terjual]],"dddd")</f>
        <v>Sunday</v>
      </c>
      <c r="AQ255" s="23" t="str" cm="1">
        <f t="array" ref="AQ2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55" s="61">
        <f>AVERAGE(cadangan[[#This Row],[Rating A]],cadangan[[#This Row],[Rating B]],cadangan[[#This Row],[Rating C]])</f>
        <v>4</v>
      </c>
    </row>
    <row r="256" spans="1:44" x14ac:dyDescent="0.2">
      <c r="A256" s="20">
        <v>255</v>
      </c>
      <c r="B256" s="21" t="str">
        <f>_xlfn.CONCAT("ORD-",INDEX(Helper!$B$2:$B$5,MATCH(cadangan[[#This Row],[Marketplace]],Helper!$A$2:$A$5,0)),TEXT(cadangan[[#This Row],[No]],"0000"),"-",TEXT(cadangan[[#This Row],[Tanggal terjual]],"dd/mm/yy"))</f>
        <v>ORD-TK0255-21/04/23</v>
      </c>
      <c r="C256" s="39" t="s">
        <v>67</v>
      </c>
      <c r="D256" s="39" t="str">
        <f>IFERROR(INDEX(Katalog!$A$3:$A$12,MATCH(cadangan[[#This Row],[ItemID A]],Katalog!$C$3:$C$12,0)),"-")</f>
        <v>Sepatu Wanita</v>
      </c>
      <c r="E256" s="39" t="str">
        <f>IFERROR(INDEX(Katalog!$B$3:$B$12,MATCH(cadangan[[#This Row],[ItemID A]],Katalog!$C$3:$C$12,0)),"-")</f>
        <v>Flat Shoes</v>
      </c>
      <c r="F256" s="50">
        <v>3</v>
      </c>
      <c r="G256" s="50">
        <v>3</v>
      </c>
      <c r="H256" s="73">
        <f>IFERROR(INDEX(Katalog!$D$3:$D$12,MATCH(cadangan[[#This Row],[ItemID A]],Katalog!$C$3:$C$12,0))*cadangan[[#This Row],[Qty A]],0)</f>
        <v>750000</v>
      </c>
      <c r="I256" s="73">
        <f>IFERROR(cadangan[[#This Row],[Harga Normal A]]-(cadangan[[#This Row],[Harga Normal A]]*cadangan[[#This Row],[Diskon]]),cadangan[[#This Row],[Harga Normal A]])</f>
        <v>675000</v>
      </c>
      <c r="J256" s="73">
        <f>INDEX(Katalog!$F$3:$F$12,MATCH(cadangan[[#This Row],[ItemID A]],Katalog!$C$3:$C$12,0))*cadangan[[#This Row],[Qty A]]</f>
        <v>300000</v>
      </c>
      <c r="K256" s="73">
        <f>IFERROR(cadangan[[#This Row],[Harga Diskon A]]-INDEX(Katalog!$E$3:$E$12,MATCH(cadangan[[#This Row],[ItemID A]],Katalog!$C$3:$C$12,0))*cadangan[[#This Row],[Qty A]],0)</f>
        <v>225000</v>
      </c>
      <c r="L256" s="39" t="s">
        <v>66</v>
      </c>
      <c r="M256" s="39" t="str">
        <f>IFERROR(INDEX(Katalog!$A$3:$A$12,MATCH(cadangan[[#This Row],[ItemID B]],Katalog!$C$3:$C$12,0)),"-")</f>
        <v>Sepatu Pria</v>
      </c>
      <c r="N256" s="39" t="str">
        <f>IFERROR(INDEX(Katalog!$B$3:$B$12,MATCH(cadangan[[#This Row],[ItemID B]],Katalog!$C$3:$C$12,0)),"-")</f>
        <v>Sandal Slip On</v>
      </c>
      <c r="O256" s="50">
        <v>1</v>
      </c>
      <c r="P256" s="50">
        <v>3</v>
      </c>
      <c r="Q256" s="73">
        <f>IFERROR(INDEX(Katalog!$D$3:$D$12,MATCH(cadangan[[#This Row],[ItemID B]],Katalog!$C$3:$C$12,0))*cadangan[[#This Row],[Qty B]],0)</f>
        <v>150000</v>
      </c>
      <c r="R256" s="73">
        <f>IFERROR(cadangan[[#This Row],[Harga Normal B]]-(cadangan[[#This Row],[Harga Normal B]]*cadangan[[#This Row],[Diskon]]),cadangan[[#This Row],[Harga Normal B]])</f>
        <v>135000</v>
      </c>
      <c r="S256" s="73">
        <f>IFERROR(INDEX(Katalog!$F$3:$F$12,MATCH(cadangan[[#This Row],[ItemID B]],Katalog!$C$3:$C$12,0))*cadangan[[#This Row],[Qty B]],0)</f>
        <v>60000</v>
      </c>
      <c r="T256" s="73">
        <f>IFERROR(cadangan[[#This Row],[Harga Diskon B]]-INDEX(Katalog!$E$3:$E$12,MATCH(cadangan[[#This Row],[ItemID B]],Katalog!$C$3:$C$12,0))*cadangan[[#This Row],[Qty B]],0)</f>
        <v>45000</v>
      </c>
      <c r="U256" s="39" t="s">
        <v>64</v>
      </c>
      <c r="V256" s="39" t="str">
        <f>IFERROR(INDEX(Katalog!$A$3:$A$12,MATCH(cadangan[[#This Row],[ItemID C]],Katalog!$C$3:$C$12,0)),"-")</f>
        <v>Pakaian Unisex</v>
      </c>
      <c r="W256" s="39" t="str">
        <f>IFERROR(INDEX(Katalog!$B$3:$B$12,MATCH(cadangan[[#This Row],[ItemID C]],Katalog!$C$3:$C$12,0)),"-")</f>
        <v>Jaket Hoodie</v>
      </c>
      <c r="X256" s="50">
        <v>1</v>
      </c>
      <c r="Y256" s="50">
        <v>2</v>
      </c>
      <c r="Z256" s="73">
        <f>IFERROR(INDEX(Katalog!$D$3:$D$12,MATCH(cadangan[[#This Row],[ItemID C]],Katalog!$C$3:$C$12,0))*cadangan[[#This Row],[Qty C]],0)</f>
        <v>350000</v>
      </c>
      <c r="AA256" s="73">
        <f>IFERROR(cadangan[[#This Row],[Harga Normal C]]-(cadangan[[#This Row],[Harga Normal C]]*cadangan[[#This Row],[Diskon]]),cadangan[[#This Row],[Harga Normal C]])</f>
        <v>315000</v>
      </c>
      <c r="AB256" s="73">
        <f>IFERROR(INDEX(Katalog!$F$3:$F$12,MATCH(cadangan[[#This Row],[ItemID C]],Katalog!$C$3:$C$12,0))*cadangan[[#This Row],[Qty C]],0)</f>
        <v>130000</v>
      </c>
      <c r="AC256" s="73">
        <f>IFERROR(cadangan[[#This Row],[Harga Diskon C]]-INDEX(Katalog!$E$3:$E$12,MATCH(cadangan[[#This Row],[ItemID C]],Katalog!$C$3:$C$12,0))*cadangan[[#This Row],[Qty C]],0)</f>
        <v>95000</v>
      </c>
      <c r="AD256" s="53">
        <f>cadangan[[#This Row],[Qty A]]+cadangan[[#This Row],[Qty B]]+cadangan[[#This Row],[Qty C]]</f>
        <v>5</v>
      </c>
      <c r="AE256" s="73">
        <f>cadangan[[#This Row],[Harga Normal A]]+cadangan[[#This Row],[Harga Normal B]]+cadangan[[#This Row],[Harga Normal C]]</f>
        <v>1250000</v>
      </c>
      <c r="AF256" s="73">
        <f>cadangan[[#This Row],[Harga Diskon A]]+cadangan[[#This Row],[Harga Diskon B]]+cadangan[[#This Row],[Harga Diskon C]]</f>
        <v>1125000</v>
      </c>
      <c r="AG256" s="73">
        <f>(cadangan[[#This Row],[Profit Normal A]]+cadangan[[#This Row],[Profit Normal B]]+cadangan[[#This Row],[Profit Normal C]])</f>
        <v>490000</v>
      </c>
      <c r="AH256" s="73">
        <f>cadangan[[#This Row],[Profit Diskon A]]+cadangan[[#This Row],[Profit Diskon B]]+cadangan[[#This Row],[Profit Diskon C]]</f>
        <v>365000</v>
      </c>
      <c r="AI256" s="23" t="s">
        <v>31</v>
      </c>
      <c r="AJ256" s="37">
        <f>IFERROR(INDEX('Kode Diskon'!$D$3:$D$9,MATCH(cadangan[[#This Row],[Kode diskon]],'Kode Diskon'!$C$3:$C$9,0)),"-")</f>
        <v>0.1</v>
      </c>
      <c r="AK256" s="23" t="s">
        <v>9</v>
      </c>
      <c r="AL256" s="23" t="s">
        <v>10</v>
      </c>
      <c r="AM256" s="23" t="s">
        <v>75</v>
      </c>
      <c r="AN256" s="55">
        <v>45037</v>
      </c>
      <c r="AO256" s="53">
        <f>DAY(cadangan[[#This Row],[Tanggal terjual]])</f>
        <v>21</v>
      </c>
      <c r="AP256" s="21" t="str">
        <f>TEXT(cadangan[[#This Row],[Tanggal terjual]],"dddd")</f>
        <v>Friday</v>
      </c>
      <c r="AQ256" s="23" t="str" cm="1">
        <f t="array" ref="AQ2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56" s="61">
        <f>AVERAGE(cadangan[[#This Row],[Rating A]],cadangan[[#This Row],[Rating B]],cadangan[[#This Row],[Rating C]])</f>
        <v>2.6666666666666665</v>
      </c>
    </row>
    <row r="257" spans="1:44" x14ac:dyDescent="0.2">
      <c r="A257" s="20">
        <v>256</v>
      </c>
      <c r="B257" s="21" t="str">
        <f>_xlfn.CONCAT("ORD-",INDEX(Helper!$B$2:$B$5,MATCH(cadangan[[#This Row],[Marketplace]],Helper!$A$2:$A$5,0)),TEXT(cadangan[[#This Row],[No]],"0000"),"-",TEXT(cadangan[[#This Row],[Tanggal terjual]],"dd/mm/yy"))</f>
        <v>ORD-SP0256-01/04/23</v>
      </c>
      <c r="C257" s="39" t="s">
        <v>64</v>
      </c>
      <c r="D257" s="39" t="str">
        <f>IFERROR(INDEX(Katalog!$A$3:$A$12,MATCH(cadangan[[#This Row],[ItemID A]],Katalog!$C$3:$C$12,0)),"-")</f>
        <v>Pakaian Unisex</v>
      </c>
      <c r="E257" s="39" t="str">
        <f>IFERROR(INDEX(Katalog!$B$3:$B$12,MATCH(cadangan[[#This Row],[ItemID A]],Katalog!$C$3:$C$12,0)),"-")</f>
        <v>Jaket Hoodie</v>
      </c>
      <c r="F257" s="50">
        <v>3</v>
      </c>
      <c r="G257" s="50">
        <v>4</v>
      </c>
      <c r="H257" s="73">
        <f>IFERROR(INDEX(Katalog!$D$3:$D$12,MATCH(cadangan[[#This Row],[ItemID A]],Katalog!$C$3:$C$12,0))*cadangan[[#This Row],[Qty A]],0)</f>
        <v>1050000</v>
      </c>
      <c r="I257" s="73">
        <f>IFERROR(cadangan[[#This Row],[Harga Normal A]]-(cadangan[[#This Row],[Harga Normal A]]*cadangan[[#This Row],[Diskon]]),cadangan[[#This Row],[Harga Normal A]])</f>
        <v>945000</v>
      </c>
      <c r="J257" s="73">
        <f>INDEX(Katalog!$F$3:$F$12,MATCH(cadangan[[#This Row],[ItemID A]],Katalog!$C$3:$C$12,0))*cadangan[[#This Row],[Qty A]]</f>
        <v>390000</v>
      </c>
      <c r="K257" s="73">
        <f>IFERROR(cadangan[[#This Row],[Harga Diskon A]]-INDEX(Katalog!$E$3:$E$12,MATCH(cadangan[[#This Row],[ItemID A]],Katalog!$C$3:$C$12,0))*cadangan[[#This Row],[Qty A]],0)</f>
        <v>285000</v>
      </c>
      <c r="L257" s="39" t="s">
        <v>66</v>
      </c>
      <c r="M257" s="39" t="str">
        <f>IFERROR(INDEX(Katalog!$A$3:$A$12,MATCH(cadangan[[#This Row],[ItemID B]],Katalog!$C$3:$C$12,0)),"-")</f>
        <v>Sepatu Pria</v>
      </c>
      <c r="N257" s="39" t="str">
        <f>IFERROR(INDEX(Katalog!$B$3:$B$12,MATCH(cadangan[[#This Row],[ItemID B]],Katalog!$C$3:$C$12,0)),"-")</f>
        <v>Sandal Slip On</v>
      </c>
      <c r="O257" s="50">
        <v>1</v>
      </c>
      <c r="P257" s="50">
        <v>5</v>
      </c>
      <c r="Q257" s="73">
        <f>IFERROR(INDEX(Katalog!$D$3:$D$12,MATCH(cadangan[[#This Row],[ItemID B]],Katalog!$C$3:$C$12,0))*cadangan[[#This Row],[Qty B]],0)</f>
        <v>150000</v>
      </c>
      <c r="R257" s="73">
        <f>IFERROR(cadangan[[#This Row],[Harga Normal B]]-(cadangan[[#This Row],[Harga Normal B]]*cadangan[[#This Row],[Diskon]]),cadangan[[#This Row],[Harga Normal B]])</f>
        <v>135000</v>
      </c>
      <c r="S257" s="73">
        <f>IFERROR(INDEX(Katalog!$F$3:$F$12,MATCH(cadangan[[#This Row],[ItemID B]],Katalog!$C$3:$C$12,0))*cadangan[[#This Row],[Qty B]],0)</f>
        <v>60000</v>
      </c>
      <c r="T257" s="73">
        <f>IFERROR(cadangan[[#This Row],[Harga Diskon B]]-INDEX(Katalog!$E$3:$E$12,MATCH(cadangan[[#This Row],[ItemID B]],Katalog!$C$3:$C$12,0))*cadangan[[#This Row],[Qty B]],0)</f>
        <v>45000</v>
      </c>
      <c r="U257" s="39" t="s">
        <v>66</v>
      </c>
      <c r="V257" s="39" t="str">
        <f>IFERROR(INDEX(Katalog!$A$3:$A$12,MATCH(cadangan[[#This Row],[ItemID C]],Katalog!$C$3:$C$12,0)),"-")</f>
        <v>Sepatu Pria</v>
      </c>
      <c r="W257" s="39" t="str">
        <f>IFERROR(INDEX(Katalog!$B$3:$B$12,MATCH(cadangan[[#This Row],[ItemID C]],Katalog!$C$3:$C$12,0)),"-")</f>
        <v>Sandal Slip On</v>
      </c>
      <c r="X257" s="50">
        <v>1</v>
      </c>
      <c r="Y257" s="50">
        <v>2</v>
      </c>
      <c r="Z257" s="73">
        <f>IFERROR(INDEX(Katalog!$D$3:$D$12,MATCH(cadangan[[#This Row],[ItemID C]],Katalog!$C$3:$C$12,0))*cadangan[[#This Row],[Qty C]],0)</f>
        <v>150000</v>
      </c>
      <c r="AA257" s="73">
        <f>IFERROR(cadangan[[#This Row],[Harga Normal C]]-(cadangan[[#This Row],[Harga Normal C]]*cadangan[[#This Row],[Diskon]]),cadangan[[#This Row],[Harga Normal C]])</f>
        <v>135000</v>
      </c>
      <c r="AB257" s="73">
        <f>IFERROR(INDEX(Katalog!$F$3:$F$12,MATCH(cadangan[[#This Row],[ItemID C]],Katalog!$C$3:$C$12,0))*cadangan[[#This Row],[Qty C]],0)</f>
        <v>60000</v>
      </c>
      <c r="AC257" s="73">
        <f>IFERROR(cadangan[[#This Row],[Harga Diskon C]]-INDEX(Katalog!$E$3:$E$12,MATCH(cadangan[[#This Row],[ItemID C]],Katalog!$C$3:$C$12,0))*cadangan[[#This Row],[Qty C]],0)</f>
        <v>45000</v>
      </c>
      <c r="AD257" s="53">
        <f>cadangan[[#This Row],[Qty A]]+cadangan[[#This Row],[Qty B]]+cadangan[[#This Row],[Qty C]]</f>
        <v>5</v>
      </c>
      <c r="AE257" s="73">
        <f>cadangan[[#This Row],[Harga Normal A]]+cadangan[[#This Row],[Harga Normal B]]+cadangan[[#This Row],[Harga Normal C]]</f>
        <v>1350000</v>
      </c>
      <c r="AF257" s="73">
        <f>cadangan[[#This Row],[Harga Diskon A]]+cadangan[[#This Row],[Harga Diskon B]]+cadangan[[#This Row],[Harga Diskon C]]</f>
        <v>1215000</v>
      </c>
      <c r="AG257" s="73">
        <f>(cadangan[[#This Row],[Profit Normal A]]+cadangan[[#This Row],[Profit Normal B]]+cadangan[[#This Row],[Profit Normal C]])</f>
        <v>510000</v>
      </c>
      <c r="AH257" s="73">
        <f>cadangan[[#This Row],[Profit Diskon A]]+cadangan[[#This Row],[Profit Diskon B]]+cadangan[[#This Row],[Profit Diskon C]]</f>
        <v>375000</v>
      </c>
      <c r="AI257" s="23" t="s">
        <v>6</v>
      </c>
      <c r="AJ257" s="37">
        <f>IFERROR(INDEX('Kode Diskon'!$D$3:$D$9,MATCH(cadangan[[#This Row],[Kode diskon]],'Kode Diskon'!$C$3:$C$9,0)),"-")</f>
        <v>0.1</v>
      </c>
      <c r="AK257" s="23" t="s">
        <v>29</v>
      </c>
      <c r="AL257" s="23" t="s">
        <v>7</v>
      </c>
      <c r="AM257" s="23" t="s">
        <v>77</v>
      </c>
      <c r="AN257" s="55">
        <v>45017</v>
      </c>
      <c r="AO257" s="53">
        <f>DAY(cadangan[[#This Row],[Tanggal terjual]])</f>
        <v>1</v>
      </c>
      <c r="AP257" s="21" t="str">
        <f>TEXT(cadangan[[#This Row],[Tanggal terjual]],"dddd")</f>
        <v>Saturday</v>
      </c>
      <c r="AQ257" s="23" t="str" cm="1">
        <f t="array" ref="AQ2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57" s="61">
        <f>AVERAGE(cadangan[[#This Row],[Rating A]],cadangan[[#This Row],[Rating B]],cadangan[[#This Row],[Rating C]])</f>
        <v>3.6666666666666665</v>
      </c>
    </row>
    <row r="258" spans="1:44" x14ac:dyDescent="0.2">
      <c r="A258" s="20">
        <v>257</v>
      </c>
      <c r="B258" s="21" t="str">
        <f>_xlfn.CONCAT("ORD-",INDEX(Helper!$B$2:$B$5,MATCH(cadangan[[#This Row],[Marketplace]],Helper!$A$2:$A$5,0)),TEXT(cadangan[[#This Row],[No]],"0000"),"-",TEXT(cadangan[[#This Row],[Tanggal terjual]],"dd/mm/yy"))</f>
        <v>ORD-BB0257-01/04/23</v>
      </c>
      <c r="C258" s="39" t="s">
        <v>65</v>
      </c>
      <c r="D258" s="39" t="str">
        <f>IFERROR(INDEX(Katalog!$A$3:$A$12,MATCH(cadangan[[#This Row],[ItemID A]],Katalog!$C$3:$C$12,0)),"-")</f>
        <v>Sepatu Pria</v>
      </c>
      <c r="E258" s="39" t="str">
        <f>IFERROR(INDEX(Katalog!$B$3:$B$12,MATCH(cadangan[[#This Row],[ItemID A]],Katalog!$C$3:$C$12,0)),"-")</f>
        <v>Sneakers</v>
      </c>
      <c r="F258" s="50">
        <v>3</v>
      </c>
      <c r="G258" s="50">
        <v>3</v>
      </c>
      <c r="H258" s="73">
        <f>IFERROR(INDEX(Katalog!$D$3:$D$12,MATCH(cadangan[[#This Row],[ItemID A]],Katalog!$C$3:$C$12,0))*cadangan[[#This Row],[Qty A]],0)</f>
        <v>1500000</v>
      </c>
      <c r="I258" s="73">
        <f>IFERROR(cadangan[[#This Row],[Harga Normal A]]-(cadangan[[#This Row],[Harga Normal A]]*cadangan[[#This Row],[Diskon]]),cadangan[[#This Row],[Harga Normal A]])</f>
        <v>1275000</v>
      </c>
      <c r="J258" s="73">
        <f>INDEX(Katalog!$F$3:$F$12,MATCH(cadangan[[#This Row],[ItemID A]],Katalog!$C$3:$C$12,0))*cadangan[[#This Row],[Qty A]]</f>
        <v>600000</v>
      </c>
      <c r="K258" s="73">
        <f>IFERROR(cadangan[[#This Row],[Harga Diskon A]]-INDEX(Katalog!$E$3:$E$12,MATCH(cadangan[[#This Row],[ItemID A]],Katalog!$C$3:$C$12,0))*cadangan[[#This Row],[Qty A]],0)</f>
        <v>375000</v>
      </c>
      <c r="M258" s="39" t="str">
        <f>IFERROR(INDEX(Katalog!$A$3:$A$12,MATCH(cadangan[[#This Row],[ItemID B]],Katalog!$C$3:$C$12,0)),"-")</f>
        <v>-</v>
      </c>
      <c r="N258" s="39" t="str">
        <f>IFERROR(INDEX(Katalog!$B$3:$B$12,MATCH(cadangan[[#This Row],[ItemID B]],Katalog!$C$3:$C$12,0)),"-")</f>
        <v>-</v>
      </c>
      <c r="Q258" s="73">
        <f>IFERROR(INDEX(Katalog!$D$3:$D$12,MATCH(cadangan[[#This Row],[ItemID B]],Katalog!$C$3:$C$12,0))*cadangan[[#This Row],[Qty B]],0)</f>
        <v>0</v>
      </c>
      <c r="R258" s="73">
        <f>IFERROR(cadangan[[#This Row],[Harga Normal B]]-(cadangan[[#This Row],[Harga Normal B]]*cadangan[[#This Row],[Diskon]]),cadangan[[#This Row],[Harga Normal B]])</f>
        <v>0</v>
      </c>
      <c r="S258" s="73">
        <f>IFERROR(INDEX(Katalog!$F$3:$F$12,MATCH(cadangan[[#This Row],[ItemID B]],Katalog!$C$3:$C$12,0))*cadangan[[#This Row],[Qty B]],0)</f>
        <v>0</v>
      </c>
      <c r="T258" s="73">
        <f>IFERROR(cadangan[[#This Row],[Harga Diskon B]]-INDEX(Katalog!$E$3:$E$12,MATCH(cadangan[[#This Row],[ItemID B]],Katalog!$C$3:$C$12,0))*cadangan[[#This Row],[Qty B]],0)</f>
        <v>0</v>
      </c>
      <c r="V258" s="39" t="str">
        <f>IFERROR(INDEX(Katalog!$A$3:$A$12,MATCH(cadangan[[#This Row],[ItemID C]],Katalog!$C$3:$C$12,0)),"-")</f>
        <v>-</v>
      </c>
      <c r="W258" s="39" t="str">
        <f>IFERROR(INDEX(Katalog!$B$3:$B$12,MATCH(cadangan[[#This Row],[ItemID C]],Katalog!$C$3:$C$12,0)),"-")</f>
        <v>-</v>
      </c>
      <c r="Z258" s="73">
        <f>IFERROR(INDEX(Katalog!$D$3:$D$12,MATCH(cadangan[[#This Row],[ItemID C]],Katalog!$C$3:$C$12,0))*cadangan[[#This Row],[Qty C]],0)</f>
        <v>0</v>
      </c>
      <c r="AA258" s="73">
        <f>IFERROR(cadangan[[#This Row],[Harga Normal C]]-(cadangan[[#This Row],[Harga Normal C]]*cadangan[[#This Row],[Diskon]]),cadangan[[#This Row],[Harga Normal C]])</f>
        <v>0</v>
      </c>
      <c r="AB258" s="73">
        <f>IFERROR(INDEX(Katalog!$F$3:$F$12,MATCH(cadangan[[#This Row],[ItemID C]],Katalog!$C$3:$C$12,0))*cadangan[[#This Row],[Qty C]],0)</f>
        <v>0</v>
      </c>
      <c r="AC258" s="73">
        <f>IFERROR(cadangan[[#This Row],[Harga Diskon C]]-INDEX(Katalog!$E$3:$E$12,MATCH(cadangan[[#This Row],[ItemID C]],Katalog!$C$3:$C$12,0))*cadangan[[#This Row],[Qty C]],0)</f>
        <v>0</v>
      </c>
      <c r="AD258" s="53">
        <f>cadangan[[#This Row],[Qty A]]+cadangan[[#This Row],[Qty B]]+cadangan[[#This Row],[Qty C]]</f>
        <v>3</v>
      </c>
      <c r="AE258" s="73">
        <f>cadangan[[#This Row],[Harga Normal A]]+cadangan[[#This Row],[Harga Normal B]]+cadangan[[#This Row],[Harga Normal C]]</f>
        <v>1500000</v>
      </c>
      <c r="AF258" s="73">
        <f>cadangan[[#This Row],[Harga Diskon A]]+cadangan[[#This Row],[Harga Diskon B]]+cadangan[[#This Row],[Harga Diskon C]]</f>
        <v>1275000</v>
      </c>
      <c r="AG258" s="73">
        <f>(cadangan[[#This Row],[Profit Normal A]]+cadangan[[#This Row],[Profit Normal B]]+cadangan[[#This Row],[Profit Normal C]])</f>
        <v>600000</v>
      </c>
      <c r="AH258" s="73">
        <f>cadangan[[#This Row],[Profit Diskon A]]+cadangan[[#This Row],[Profit Diskon B]]+cadangan[[#This Row],[Profit Diskon C]]</f>
        <v>375000</v>
      </c>
      <c r="AI258" s="23" t="s">
        <v>28</v>
      </c>
      <c r="AJ258" s="37">
        <f>IFERROR(INDEX('Kode Diskon'!$D$3:$D$9,MATCH(cadangan[[#This Row],[Kode diskon]],'Kode Diskon'!$C$3:$C$9,0)),"-")</f>
        <v>0.15</v>
      </c>
      <c r="AK258" s="23" t="s">
        <v>29</v>
      </c>
      <c r="AL258" s="23" t="s">
        <v>14</v>
      </c>
      <c r="AM258" s="23" t="s">
        <v>80</v>
      </c>
      <c r="AN258" s="55">
        <v>45017</v>
      </c>
      <c r="AO258" s="53">
        <f>DAY(cadangan[[#This Row],[Tanggal terjual]])</f>
        <v>1</v>
      </c>
      <c r="AP258" s="21" t="str">
        <f>TEXT(cadangan[[#This Row],[Tanggal terjual]],"dddd")</f>
        <v>Saturday</v>
      </c>
      <c r="AQ258" s="23" t="str" cm="1">
        <f t="array" ref="AQ2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58" s="61">
        <f>AVERAGE(cadangan[[#This Row],[Rating A]],cadangan[[#This Row],[Rating B]],cadangan[[#This Row],[Rating C]])</f>
        <v>3</v>
      </c>
    </row>
    <row r="259" spans="1:44" x14ac:dyDescent="0.2">
      <c r="A259" s="20">
        <v>258</v>
      </c>
      <c r="B259" s="21" t="str">
        <f>_xlfn.CONCAT("ORD-",INDEX(Helper!$B$2:$B$5,MATCH(cadangan[[#This Row],[Marketplace]],Helper!$A$2:$A$5,0)),TEXT(cadangan[[#This Row],[No]],"0000"),"-",TEXT(cadangan[[#This Row],[Tanggal terjual]],"dd/mm/yy"))</f>
        <v>ORD-SP0258-25/04/23</v>
      </c>
      <c r="C259" s="39" t="s">
        <v>67</v>
      </c>
      <c r="D259" s="39" t="str">
        <f>IFERROR(INDEX(Katalog!$A$3:$A$12,MATCH(cadangan[[#This Row],[ItemID A]],Katalog!$C$3:$C$12,0)),"-")</f>
        <v>Sepatu Wanita</v>
      </c>
      <c r="E259" s="39" t="str">
        <f>IFERROR(INDEX(Katalog!$B$3:$B$12,MATCH(cadangan[[#This Row],[ItemID A]],Katalog!$C$3:$C$12,0)),"-")</f>
        <v>Flat Shoes</v>
      </c>
      <c r="F259" s="50">
        <v>1</v>
      </c>
      <c r="G259" s="50">
        <v>1</v>
      </c>
      <c r="H259" s="73">
        <f>IFERROR(INDEX(Katalog!$D$3:$D$12,MATCH(cadangan[[#This Row],[ItemID A]],Katalog!$C$3:$C$12,0))*cadangan[[#This Row],[Qty A]],0)</f>
        <v>250000</v>
      </c>
      <c r="I259" s="73">
        <f>IFERROR(cadangan[[#This Row],[Harga Normal A]]-(cadangan[[#This Row],[Harga Normal A]]*cadangan[[#This Row],[Diskon]]),cadangan[[#This Row],[Harga Normal A]])</f>
        <v>200000</v>
      </c>
      <c r="J259" s="73">
        <f>INDEX(Katalog!$F$3:$F$12,MATCH(cadangan[[#This Row],[ItemID A]],Katalog!$C$3:$C$12,0))*cadangan[[#This Row],[Qty A]]</f>
        <v>100000</v>
      </c>
      <c r="K259" s="73">
        <f>IFERROR(cadangan[[#This Row],[Harga Diskon A]]-INDEX(Katalog!$E$3:$E$12,MATCH(cadangan[[#This Row],[ItemID A]],Katalog!$C$3:$C$12,0))*cadangan[[#This Row],[Qty A]],0)</f>
        <v>50000</v>
      </c>
      <c r="M259" s="39" t="str">
        <f>IFERROR(INDEX(Katalog!$A$3:$A$12,MATCH(cadangan[[#This Row],[ItemID B]],Katalog!$C$3:$C$12,0)),"-")</f>
        <v>-</v>
      </c>
      <c r="N259" s="39" t="str">
        <f>IFERROR(INDEX(Katalog!$B$3:$B$12,MATCH(cadangan[[#This Row],[ItemID B]],Katalog!$C$3:$C$12,0)),"-")</f>
        <v>-</v>
      </c>
      <c r="Q259" s="73">
        <f>IFERROR(INDEX(Katalog!$D$3:$D$12,MATCH(cadangan[[#This Row],[ItemID B]],Katalog!$C$3:$C$12,0))*cadangan[[#This Row],[Qty B]],0)</f>
        <v>0</v>
      </c>
      <c r="R259" s="73">
        <f>IFERROR(cadangan[[#This Row],[Harga Normal B]]-(cadangan[[#This Row],[Harga Normal B]]*cadangan[[#This Row],[Diskon]]),cadangan[[#This Row],[Harga Normal B]])</f>
        <v>0</v>
      </c>
      <c r="S259" s="73">
        <f>IFERROR(INDEX(Katalog!$F$3:$F$12,MATCH(cadangan[[#This Row],[ItemID B]],Katalog!$C$3:$C$12,0))*cadangan[[#This Row],[Qty B]],0)</f>
        <v>0</v>
      </c>
      <c r="T259" s="73">
        <f>IFERROR(cadangan[[#This Row],[Harga Diskon B]]-INDEX(Katalog!$E$3:$E$12,MATCH(cadangan[[#This Row],[ItemID B]],Katalog!$C$3:$C$12,0))*cadangan[[#This Row],[Qty B]],0)</f>
        <v>0</v>
      </c>
      <c r="V259" s="39" t="str">
        <f>IFERROR(INDEX(Katalog!$A$3:$A$12,MATCH(cadangan[[#This Row],[ItemID C]],Katalog!$C$3:$C$12,0)),"-")</f>
        <v>-</v>
      </c>
      <c r="W259" s="39" t="str">
        <f>IFERROR(INDEX(Katalog!$B$3:$B$12,MATCH(cadangan[[#This Row],[ItemID C]],Katalog!$C$3:$C$12,0)),"-")</f>
        <v>-</v>
      </c>
      <c r="Z259" s="73">
        <f>IFERROR(INDEX(Katalog!$D$3:$D$12,MATCH(cadangan[[#This Row],[ItemID C]],Katalog!$C$3:$C$12,0))*cadangan[[#This Row],[Qty C]],0)</f>
        <v>0</v>
      </c>
      <c r="AA259" s="73">
        <f>IFERROR(cadangan[[#This Row],[Harga Normal C]]-(cadangan[[#This Row],[Harga Normal C]]*cadangan[[#This Row],[Diskon]]),cadangan[[#This Row],[Harga Normal C]])</f>
        <v>0</v>
      </c>
      <c r="AB259" s="73">
        <f>IFERROR(INDEX(Katalog!$F$3:$F$12,MATCH(cadangan[[#This Row],[ItemID C]],Katalog!$C$3:$C$12,0))*cadangan[[#This Row],[Qty C]],0)</f>
        <v>0</v>
      </c>
      <c r="AC259" s="73">
        <f>IFERROR(cadangan[[#This Row],[Harga Diskon C]]-INDEX(Katalog!$E$3:$E$12,MATCH(cadangan[[#This Row],[ItemID C]],Katalog!$C$3:$C$12,0))*cadangan[[#This Row],[Qty C]],0)</f>
        <v>0</v>
      </c>
      <c r="AD259" s="53">
        <f>cadangan[[#This Row],[Qty A]]+cadangan[[#This Row],[Qty B]]+cadangan[[#This Row],[Qty C]]</f>
        <v>1</v>
      </c>
      <c r="AE259" s="73">
        <f>cadangan[[#This Row],[Harga Normal A]]+cadangan[[#This Row],[Harga Normal B]]+cadangan[[#This Row],[Harga Normal C]]</f>
        <v>250000</v>
      </c>
      <c r="AF259" s="73">
        <f>cadangan[[#This Row],[Harga Diskon A]]+cadangan[[#This Row],[Harga Diskon B]]+cadangan[[#This Row],[Harga Diskon C]]</f>
        <v>200000</v>
      </c>
      <c r="AG259" s="73">
        <f>(cadangan[[#This Row],[Profit Normal A]]+cadangan[[#This Row],[Profit Normal B]]+cadangan[[#This Row],[Profit Normal C]])</f>
        <v>100000</v>
      </c>
      <c r="AH259" s="73">
        <f>cadangan[[#This Row],[Profit Diskon A]]+cadangan[[#This Row],[Profit Diskon B]]+cadangan[[#This Row],[Profit Diskon C]]</f>
        <v>50000</v>
      </c>
      <c r="AI259" s="23" t="s">
        <v>8</v>
      </c>
      <c r="AJ259" s="37">
        <f>IFERROR(INDEX('Kode Diskon'!$D$3:$D$9,MATCH(cadangan[[#This Row],[Kode diskon]],'Kode Diskon'!$C$3:$C$9,0)),"-")</f>
        <v>0.2</v>
      </c>
      <c r="AK259" s="23" t="s">
        <v>9</v>
      </c>
      <c r="AL259" s="23" t="s">
        <v>7</v>
      </c>
      <c r="AM259" s="23" t="s">
        <v>76</v>
      </c>
      <c r="AN259" s="55">
        <v>45041</v>
      </c>
      <c r="AO259" s="53">
        <f>DAY(cadangan[[#This Row],[Tanggal terjual]])</f>
        <v>25</v>
      </c>
      <c r="AP259" s="21" t="str">
        <f>TEXT(cadangan[[#This Row],[Tanggal terjual]],"dddd")</f>
        <v>Tuesday</v>
      </c>
      <c r="AQ259" s="23" t="str" cm="1">
        <f t="array" ref="AQ2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59" s="61">
        <f>AVERAGE(cadangan[[#This Row],[Rating A]],cadangan[[#This Row],[Rating B]],cadangan[[#This Row],[Rating C]])</f>
        <v>1</v>
      </c>
    </row>
    <row r="260" spans="1:44" x14ac:dyDescent="0.2">
      <c r="A260" s="20">
        <v>259</v>
      </c>
      <c r="B260" s="21" t="str">
        <f>_xlfn.CONCAT("ORD-",INDEX(Helper!$B$2:$B$5,MATCH(cadangan[[#This Row],[Marketplace]],Helper!$A$2:$A$5,0)),TEXT(cadangan[[#This Row],[No]],"0000"),"-",TEXT(cadangan[[#This Row],[Tanggal terjual]],"dd/mm/yy"))</f>
        <v>ORD-SP0259-07/04/23</v>
      </c>
      <c r="C260" s="39" t="s">
        <v>64</v>
      </c>
      <c r="D260" s="39" t="str">
        <f>IFERROR(INDEX(Katalog!$A$3:$A$12,MATCH(cadangan[[#This Row],[ItemID A]],Katalog!$C$3:$C$12,0)),"-")</f>
        <v>Pakaian Unisex</v>
      </c>
      <c r="E260" s="39" t="str">
        <f>IFERROR(INDEX(Katalog!$B$3:$B$12,MATCH(cadangan[[#This Row],[ItemID A]],Katalog!$C$3:$C$12,0)),"-")</f>
        <v>Jaket Hoodie</v>
      </c>
      <c r="F260" s="50">
        <v>2</v>
      </c>
      <c r="G260" s="50">
        <v>2</v>
      </c>
      <c r="H260" s="73">
        <f>IFERROR(INDEX(Katalog!$D$3:$D$12,MATCH(cadangan[[#This Row],[ItemID A]],Katalog!$C$3:$C$12,0))*cadangan[[#This Row],[Qty A]],0)</f>
        <v>700000</v>
      </c>
      <c r="I260" s="73">
        <f>IFERROR(cadangan[[#This Row],[Harga Normal A]]-(cadangan[[#This Row],[Harga Normal A]]*cadangan[[#This Row],[Diskon]]),cadangan[[#This Row],[Harga Normal A]])</f>
        <v>700000</v>
      </c>
      <c r="J260" s="73">
        <f>INDEX(Katalog!$F$3:$F$12,MATCH(cadangan[[#This Row],[ItemID A]],Katalog!$C$3:$C$12,0))*cadangan[[#This Row],[Qty A]]</f>
        <v>260000</v>
      </c>
      <c r="K260" s="73">
        <f>IFERROR(cadangan[[#This Row],[Harga Diskon A]]-INDEX(Katalog!$E$3:$E$12,MATCH(cadangan[[#This Row],[ItemID A]],Katalog!$C$3:$C$12,0))*cadangan[[#This Row],[Qty A]],0)</f>
        <v>260000</v>
      </c>
      <c r="M260" s="39" t="str">
        <f>IFERROR(INDEX(Katalog!$A$3:$A$12,MATCH(cadangan[[#This Row],[ItemID B]],Katalog!$C$3:$C$12,0)),"-")</f>
        <v>-</v>
      </c>
      <c r="N260" s="39" t="str">
        <f>IFERROR(INDEX(Katalog!$B$3:$B$12,MATCH(cadangan[[#This Row],[ItemID B]],Katalog!$C$3:$C$12,0)),"-")</f>
        <v>-</v>
      </c>
      <c r="Q260" s="73">
        <f>IFERROR(INDEX(Katalog!$D$3:$D$12,MATCH(cadangan[[#This Row],[ItemID B]],Katalog!$C$3:$C$12,0))*cadangan[[#This Row],[Qty B]],0)</f>
        <v>0</v>
      </c>
      <c r="R260" s="73">
        <f>IFERROR(cadangan[[#This Row],[Harga Normal B]]-(cadangan[[#This Row],[Harga Normal B]]*cadangan[[#This Row],[Diskon]]),cadangan[[#This Row],[Harga Normal B]])</f>
        <v>0</v>
      </c>
      <c r="S260" s="73">
        <f>IFERROR(INDEX(Katalog!$F$3:$F$12,MATCH(cadangan[[#This Row],[ItemID B]],Katalog!$C$3:$C$12,0))*cadangan[[#This Row],[Qty B]],0)</f>
        <v>0</v>
      </c>
      <c r="T260" s="73">
        <f>IFERROR(cadangan[[#This Row],[Harga Diskon B]]-INDEX(Katalog!$E$3:$E$12,MATCH(cadangan[[#This Row],[ItemID B]],Katalog!$C$3:$C$12,0))*cadangan[[#This Row],[Qty B]],0)</f>
        <v>0</v>
      </c>
      <c r="V260" s="39" t="str">
        <f>IFERROR(INDEX(Katalog!$A$3:$A$12,MATCH(cadangan[[#This Row],[ItemID C]],Katalog!$C$3:$C$12,0)),"-")</f>
        <v>-</v>
      </c>
      <c r="W260" s="39" t="str">
        <f>IFERROR(INDEX(Katalog!$B$3:$B$12,MATCH(cadangan[[#This Row],[ItemID C]],Katalog!$C$3:$C$12,0)),"-")</f>
        <v>-</v>
      </c>
      <c r="Z260" s="73">
        <f>IFERROR(INDEX(Katalog!$D$3:$D$12,MATCH(cadangan[[#This Row],[ItemID C]],Katalog!$C$3:$C$12,0))*cadangan[[#This Row],[Qty C]],0)</f>
        <v>0</v>
      </c>
      <c r="AA260" s="73">
        <f>IFERROR(cadangan[[#This Row],[Harga Normal C]]-(cadangan[[#This Row],[Harga Normal C]]*cadangan[[#This Row],[Diskon]]),cadangan[[#This Row],[Harga Normal C]])</f>
        <v>0</v>
      </c>
      <c r="AB260" s="73">
        <f>IFERROR(INDEX(Katalog!$F$3:$F$12,MATCH(cadangan[[#This Row],[ItemID C]],Katalog!$C$3:$C$12,0))*cadangan[[#This Row],[Qty C]],0)</f>
        <v>0</v>
      </c>
      <c r="AC260" s="73">
        <f>IFERROR(cadangan[[#This Row],[Harga Diskon C]]-INDEX(Katalog!$E$3:$E$12,MATCH(cadangan[[#This Row],[ItemID C]],Katalog!$C$3:$C$12,0))*cadangan[[#This Row],[Qty C]],0)</f>
        <v>0</v>
      </c>
      <c r="AD260" s="53">
        <f>cadangan[[#This Row],[Qty A]]+cadangan[[#This Row],[Qty B]]+cadangan[[#This Row],[Qty C]]</f>
        <v>2</v>
      </c>
      <c r="AE260" s="73">
        <f>cadangan[[#This Row],[Harga Normal A]]+cadangan[[#This Row],[Harga Normal B]]+cadangan[[#This Row],[Harga Normal C]]</f>
        <v>700000</v>
      </c>
      <c r="AF260" s="73">
        <f>cadangan[[#This Row],[Harga Diskon A]]+cadangan[[#This Row],[Harga Diskon B]]+cadangan[[#This Row],[Harga Diskon C]]</f>
        <v>700000</v>
      </c>
      <c r="AG260" s="73">
        <f>(cadangan[[#This Row],[Profit Normal A]]+cadangan[[#This Row],[Profit Normal B]]+cadangan[[#This Row],[Profit Normal C]])</f>
        <v>260000</v>
      </c>
      <c r="AH260" s="73">
        <f>cadangan[[#This Row],[Profit Diskon A]]+cadangan[[#This Row],[Profit Diskon B]]+cadangan[[#This Row],[Profit Diskon C]]</f>
        <v>260000</v>
      </c>
      <c r="AI260" s="23" t="s">
        <v>290</v>
      </c>
      <c r="AJ260" s="37" t="str">
        <f>IFERROR(INDEX('Kode Diskon'!$D$3:$D$9,MATCH(cadangan[[#This Row],[Kode diskon]],'Kode Diskon'!$C$3:$C$9,0)),"-")</f>
        <v>-</v>
      </c>
      <c r="AK260" s="23" t="s">
        <v>290</v>
      </c>
      <c r="AL260" s="23" t="s">
        <v>7</v>
      </c>
      <c r="AM260" s="23" t="s">
        <v>78</v>
      </c>
      <c r="AN260" s="55">
        <v>45023</v>
      </c>
      <c r="AO260" s="53">
        <f>DAY(cadangan[[#This Row],[Tanggal terjual]])</f>
        <v>7</v>
      </c>
      <c r="AP260" s="21" t="str">
        <f>TEXT(cadangan[[#This Row],[Tanggal terjual]],"dddd")</f>
        <v>Friday</v>
      </c>
      <c r="AQ260" s="23" t="str" cm="1">
        <f t="array" ref="AQ2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60" s="61">
        <f>AVERAGE(cadangan[[#This Row],[Rating A]],cadangan[[#This Row],[Rating B]],cadangan[[#This Row],[Rating C]])</f>
        <v>2</v>
      </c>
    </row>
    <row r="261" spans="1:44" x14ac:dyDescent="0.2">
      <c r="A261" s="20">
        <v>260</v>
      </c>
      <c r="B261" s="21" t="str">
        <f>_xlfn.CONCAT("ORD-",INDEX(Helper!$B$2:$B$5,MATCH(cadangan[[#This Row],[Marketplace]],Helper!$A$2:$A$5,0)),TEXT(cadangan[[#This Row],[No]],"0000"),"-",TEXT(cadangan[[#This Row],[Tanggal terjual]],"dd/mm/yy"))</f>
        <v>ORD-TK0260-19/04/23</v>
      </c>
      <c r="C261" s="39" t="s">
        <v>59</v>
      </c>
      <c r="D261" s="39" t="str">
        <f>IFERROR(INDEX(Katalog!$A$3:$A$12,MATCH(cadangan[[#This Row],[ItemID A]],Katalog!$C$3:$C$12,0)),"-")</f>
        <v>Pakaian Wanita</v>
      </c>
      <c r="E261" s="39" t="str">
        <f>IFERROR(INDEX(Katalog!$B$3:$B$12,MATCH(cadangan[[#This Row],[ItemID A]],Katalog!$C$3:$C$12,0)),"-")</f>
        <v>Blouse</v>
      </c>
      <c r="F261" s="50">
        <v>2</v>
      </c>
      <c r="G261" s="50">
        <v>4</v>
      </c>
      <c r="H261" s="73">
        <f>IFERROR(INDEX(Katalog!$D$3:$D$12,MATCH(cadangan[[#This Row],[ItemID A]],Katalog!$C$3:$C$12,0))*cadangan[[#This Row],[Qty A]],0)</f>
        <v>300000</v>
      </c>
      <c r="I261" s="73">
        <f>IFERROR(cadangan[[#This Row],[Harga Normal A]]-(cadangan[[#This Row],[Harga Normal A]]*cadangan[[#This Row],[Diskon]]),cadangan[[#This Row],[Harga Normal A]])</f>
        <v>270000</v>
      </c>
      <c r="J261" s="73">
        <f>INDEX(Katalog!$F$3:$F$12,MATCH(cadangan[[#This Row],[ItemID A]],Katalog!$C$3:$C$12,0))*cadangan[[#This Row],[Qty A]]</f>
        <v>100000</v>
      </c>
      <c r="K261" s="73">
        <f>IFERROR(cadangan[[#This Row],[Harga Diskon A]]-INDEX(Katalog!$E$3:$E$12,MATCH(cadangan[[#This Row],[ItemID A]],Katalog!$C$3:$C$12,0))*cadangan[[#This Row],[Qty A]],0)</f>
        <v>70000</v>
      </c>
      <c r="M261" s="39" t="str">
        <f>IFERROR(INDEX(Katalog!$A$3:$A$12,MATCH(cadangan[[#This Row],[ItemID B]],Katalog!$C$3:$C$12,0)),"-")</f>
        <v>-</v>
      </c>
      <c r="N261" s="39" t="str">
        <f>IFERROR(INDEX(Katalog!$B$3:$B$12,MATCH(cadangan[[#This Row],[ItemID B]],Katalog!$C$3:$C$12,0)),"-")</f>
        <v>-</v>
      </c>
      <c r="Q261" s="73">
        <f>IFERROR(INDEX(Katalog!$D$3:$D$12,MATCH(cadangan[[#This Row],[ItemID B]],Katalog!$C$3:$C$12,0))*cadangan[[#This Row],[Qty B]],0)</f>
        <v>0</v>
      </c>
      <c r="R261" s="73">
        <f>IFERROR(cadangan[[#This Row],[Harga Normal B]]-(cadangan[[#This Row],[Harga Normal B]]*cadangan[[#This Row],[Diskon]]),cadangan[[#This Row],[Harga Normal B]])</f>
        <v>0</v>
      </c>
      <c r="S261" s="73">
        <f>IFERROR(INDEX(Katalog!$F$3:$F$12,MATCH(cadangan[[#This Row],[ItemID B]],Katalog!$C$3:$C$12,0))*cadangan[[#This Row],[Qty B]],0)</f>
        <v>0</v>
      </c>
      <c r="T261" s="73">
        <f>IFERROR(cadangan[[#This Row],[Harga Diskon B]]-INDEX(Katalog!$E$3:$E$12,MATCH(cadangan[[#This Row],[ItemID B]],Katalog!$C$3:$C$12,0))*cadangan[[#This Row],[Qty B]],0)</f>
        <v>0</v>
      </c>
      <c r="V261" s="39" t="str">
        <f>IFERROR(INDEX(Katalog!$A$3:$A$12,MATCH(cadangan[[#This Row],[ItemID C]],Katalog!$C$3:$C$12,0)),"-")</f>
        <v>-</v>
      </c>
      <c r="W261" s="39" t="str">
        <f>IFERROR(INDEX(Katalog!$B$3:$B$12,MATCH(cadangan[[#This Row],[ItemID C]],Katalog!$C$3:$C$12,0)),"-")</f>
        <v>-</v>
      </c>
      <c r="Z261" s="73">
        <f>IFERROR(INDEX(Katalog!$D$3:$D$12,MATCH(cadangan[[#This Row],[ItemID C]],Katalog!$C$3:$C$12,0))*cadangan[[#This Row],[Qty C]],0)</f>
        <v>0</v>
      </c>
      <c r="AA261" s="73">
        <f>IFERROR(cadangan[[#This Row],[Harga Normal C]]-(cadangan[[#This Row],[Harga Normal C]]*cadangan[[#This Row],[Diskon]]),cadangan[[#This Row],[Harga Normal C]])</f>
        <v>0</v>
      </c>
      <c r="AB261" s="73">
        <f>IFERROR(INDEX(Katalog!$F$3:$F$12,MATCH(cadangan[[#This Row],[ItemID C]],Katalog!$C$3:$C$12,0))*cadangan[[#This Row],[Qty C]],0)</f>
        <v>0</v>
      </c>
      <c r="AC261" s="73">
        <f>IFERROR(cadangan[[#This Row],[Harga Diskon C]]-INDEX(Katalog!$E$3:$E$12,MATCH(cadangan[[#This Row],[ItemID C]],Katalog!$C$3:$C$12,0))*cadangan[[#This Row],[Qty C]],0)</f>
        <v>0</v>
      </c>
      <c r="AD261" s="53">
        <f>cadangan[[#This Row],[Qty A]]+cadangan[[#This Row],[Qty B]]+cadangan[[#This Row],[Qty C]]</f>
        <v>2</v>
      </c>
      <c r="AE261" s="73">
        <f>cadangan[[#This Row],[Harga Normal A]]+cadangan[[#This Row],[Harga Normal B]]+cadangan[[#This Row],[Harga Normal C]]</f>
        <v>300000</v>
      </c>
      <c r="AF261" s="73">
        <f>cadangan[[#This Row],[Harga Diskon A]]+cadangan[[#This Row],[Harga Diskon B]]+cadangan[[#This Row],[Harga Diskon C]]</f>
        <v>270000</v>
      </c>
      <c r="AG261" s="73">
        <f>(cadangan[[#This Row],[Profit Normal A]]+cadangan[[#This Row],[Profit Normal B]]+cadangan[[#This Row],[Profit Normal C]])</f>
        <v>100000</v>
      </c>
      <c r="AH261" s="73">
        <f>cadangan[[#This Row],[Profit Diskon A]]+cadangan[[#This Row],[Profit Diskon B]]+cadangan[[#This Row],[Profit Diskon C]]</f>
        <v>70000</v>
      </c>
      <c r="AI261" s="23" t="s">
        <v>31</v>
      </c>
      <c r="AJ261" s="37">
        <f>IFERROR(INDEX('Kode Diskon'!$D$3:$D$9,MATCH(cadangan[[#This Row],[Kode diskon]],'Kode Diskon'!$C$3:$C$9,0)),"-")</f>
        <v>0.1</v>
      </c>
      <c r="AK261" s="23" t="s">
        <v>9</v>
      </c>
      <c r="AL261" s="23" t="s">
        <v>10</v>
      </c>
      <c r="AM261" s="23" t="s">
        <v>80</v>
      </c>
      <c r="AN261" s="55">
        <v>45035</v>
      </c>
      <c r="AO261" s="53">
        <f>DAY(cadangan[[#This Row],[Tanggal terjual]])</f>
        <v>19</v>
      </c>
      <c r="AP261" s="21" t="str">
        <f>TEXT(cadangan[[#This Row],[Tanggal terjual]],"dddd")</f>
        <v>Wednesday</v>
      </c>
      <c r="AQ261" s="23" t="str" cm="1">
        <f t="array" ref="AQ2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61" s="61">
        <f>AVERAGE(cadangan[[#This Row],[Rating A]],cadangan[[#This Row],[Rating B]],cadangan[[#This Row],[Rating C]])</f>
        <v>4</v>
      </c>
    </row>
    <row r="262" spans="1:44" x14ac:dyDescent="0.2">
      <c r="A262" s="20">
        <v>261</v>
      </c>
      <c r="B262" s="21" t="str">
        <f>_xlfn.CONCAT("ORD-",INDEX(Helper!$B$2:$B$5,MATCH(cadangan[[#This Row],[Marketplace]],Helper!$A$2:$A$5,0)),TEXT(cadangan[[#This Row],[No]],"0000"),"-",TEXT(cadangan[[#This Row],[Tanggal terjual]],"dd/mm/yy"))</f>
        <v>ORD-SP0261-06/04/23</v>
      </c>
      <c r="C262" s="39" t="s">
        <v>59</v>
      </c>
      <c r="D262" s="39" t="str">
        <f>IFERROR(INDEX(Katalog!$A$3:$A$12,MATCH(cadangan[[#This Row],[ItemID A]],Katalog!$C$3:$C$12,0)),"-")</f>
        <v>Pakaian Wanita</v>
      </c>
      <c r="E262" s="39" t="str">
        <f>IFERROR(INDEX(Katalog!$B$3:$B$12,MATCH(cadangan[[#This Row],[ItemID A]],Katalog!$C$3:$C$12,0)),"-")</f>
        <v>Blouse</v>
      </c>
      <c r="F262" s="50">
        <v>6</v>
      </c>
      <c r="G262" s="50">
        <v>3</v>
      </c>
      <c r="H262" s="73">
        <f>IFERROR(INDEX(Katalog!$D$3:$D$12,MATCH(cadangan[[#This Row],[ItemID A]],Katalog!$C$3:$C$12,0))*cadangan[[#This Row],[Qty A]],0)</f>
        <v>900000</v>
      </c>
      <c r="I262" s="73">
        <f>IFERROR(cadangan[[#This Row],[Harga Normal A]]-(cadangan[[#This Row],[Harga Normal A]]*cadangan[[#This Row],[Diskon]]),cadangan[[#This Row],[Harga Normal A]])</f>
        <v>765000</v>
      </c>
      <c r="J262" s="73">
        <f>INDEX(Katalog!$F$3:$F$12,MATCH(cadangan[[#This Row],[ItemID A]],Katalog!$C$3:$C$12,0))*cadangan[[#This Row],[Qty A]]</f>
        <v>300000</v>
      </c>
      <c r="K262" s="73">
        <f>IFERROR(cadangan[[#This Row],[Harga Diskon A]]-INDEX(Katalog!$E$3:$E$12,MATCH(cadangan[[#This Row],[ItemID A]],Katalog!$C$3:$C$12,0))*cadangan[[#This Row],[Qty A]],0)</f>
        <v>165000</v>
      </c>
      <c r="L262" s="39" t="s">
        <v>63</v>
      </c>
      <c r="M262" s="39" t="str">
        <f>IFERROR(INDEX(Katalog!$A$3:$A$12,MATCH(cadangan[[#This Row],[ItemID B]],Katalog!$C$3:$C$12,0)),"-")</f>
        <v>Pakaian Pria</v>
      </c>
      <c r="N262" s="39" t="str">
        <f>IFERROR(INDEX(Katalog!$B$3:$B$12,MATCH(cadangan[[#This Row],[ItemID B]],Katalog!$C$3:$C$12,0)),"-")</f>
        <v>Jaket Jeans</v>
      </c>
      <c r="O262" s="50">
        <v>1</v>
      </c>
      <c r="P262" s="50">
        <v>5</v>
      </c>
      <c r="Q262" s="73">
        <f>IFERROR(INDEX(Katalog!$D$3:$D$12,MATCH(cadangan[[#This Row],[ItemID B]],Katalog!$C$3:$C$12,0))*cadangan[[#This Row],[Qty B]],0)</f>
        <v>400000</v>
      </c>
      <c r="R262" s="73">
        <f>IFERROR(cadangan[[#This Row],[Harga Normal B]]-(cadangan[[#This Row],[Harga Normal B]]*cadangan[[#This Row],[Diskon]]),cadangan[[#This Row],[Harga Normal B]])</f>
        <v>340000</v>
      </c>
      <c r="S262" s="73">
        <f>IFERROR(INDEX(Katalog!$F$3:$F$12,MATCH(cadangan[[#This Row],[ItemID B]],Katalog!$C$3:$C$12,0))*cadangan[[#This Row],[Qty B]],0)</f>
        <v>150000</v>
      </c>
      <c r="T262" s="73">
        <f>IFERROR(cadangan[[#This Row],[Harga Diskon B]]-INDEX(Katalog!$E$3:$E$12,MATCH(cadangan[[#This Row],[ItemID B]],Katalog!$C$3:$C$12,0))*cadangan[[#This Row],[Qty B]],0)</f>
        <v>90000</v>
      </c>
      <c r="V262" s="39" t="str">
        <f>IFERROR(INDEX(Katalog!$A$3:$A$12,MATCH(cadangan[[#This Row],[ItemID C]],Katalog!$C$3:$C$12,0)),"-")</f>
        <v>-</v>
      </c>
      <c r="W262" s="39" t="str">
        <f>IFERROR(INDEX(Katalog!$B$3:$B$12,MATCH(cadangan[[#This Row],[ItemID C]],Katalog!$C$3:$C$12,0)),"-")</f>
        <v>-</v>
      </c>
      <c r="Z262" s="73">
        <f>IFERROR(INDEX(Katalog!$D$3:$D$12,MATCH(cadangan[[#This Row],[ItemID C]],Katalog!$C$3:$C$12,0))*cadangan[[#This Row],[Qty C]],0)</f>
        <v>0</v>
      </c>
      <c r="AA262" s="73">
        <f>IFERROR(cadangan[[#This Row],[Harga Normal C]]-(cadangan[[#This Row],[Harga Normal C]]*cadangan[[#This Row],[Diskon]]),cadangan[[#This Row],[Harga Normal C]])</f>
        <v>0</v>
      </c>
      <c r="AB262" s="73">
        <f>IFERROR(INDEX(Katalog!$F$3:$F$12,MATCH(cadangan[[#This Row],[ItemID C]],Katalog!$C$3:$C$12,0))*cadangan[[#This Row],[Qty C]],0)</f>
        <v>0</v>
      </c>
      <c r="AC262" s="73">
        <f>IFERROR(cadangan[[#This Row],[Harga Diskon C]]-INDEX(Katalog!$E$3:$E$12,MATCH(cadangan[[#This Row],[ItemID C]],Katalog!$C$3:$C$12,0))*cadangan[[#This Row],[Qty C]],0)</f>
        <v>0</v>
      </c>
      <c r="AD262" s="53">
        <f>cadangan[[#This Row],[Qty A]]+cadangan[[#This Row],[Qty B]]+cadangan[[#This Row],[Qty C]]</f>
        <v>7</v>
      </c>
      <c r="AE262" s="73">
        <f>cadangan[[#This Row],[Harga Normal A]]+cadangan[[#This Row],[Harga Normal B]]+cadangan[[#This Row],[Harga Normal C]]</f>
        <v>1300000</v>
      </c>
      <c r="AF262" s="73">
        <f>cadangan[[#This Row],[Harga Diskon A]]+cadangan[[#This Row],[Harga Diskon B]]+cadangan[[#This Row],[Harga Diskon C]]</f>
        <v>1105000</v>
      </c>
      <c r="AG262" s="73">
        <f>(cadangan[[#This Row],[Profit Normal A]]+cadangan[[#This Row],[Profit Normal B]]+cadangan[[#This Row],[Profit Normal C]])</f>
        <v>450000</v>
      </c>
      <c r="AH262" s="73">
        <f>cadangan[[#This Row],[Profit Diskon A]]+cadangan[[#This Row],[Profit Diskon B]]+cadangan[[#This Row],[Profit Diskon C]]</f>
        <v>255000</v>
      </c>
      <c r="AI262" s="23" t="s">
        <v>13</v>
      </c>
      <c r="AJ262" s="37">
        <f>IFERROR(INDEX('Kode Diskon'!$D$3:$D$9,MATCH(cadangan[[#This Row],[Kode diskon]],'Kode Diskon'!$C$3:$C$9,0)),"-")</f>
        <v>0.15</v>
      </c>
      <c r="AK262" s="23" t="s">
        <v>29</v>
      </c>
      <c r="AL262" s="23" t="s">
        <v>7</v>
      </c>
      <c r="AM262" s="23" t="s">
        <v>77</v>
      </c>
      <c r="AN262" s="55">
        <v>45022</v>
      </c>
      <c r="AO262" s="53">
        <f>DAY(cadangan[[#This Row],[Tanggal terjual]])</f>
        <v>6</v>
      </c>
      <c r="AP262" s="21" t="str">
        <f>TEXT(cadangan[[#This Row],[Tanggal terjual]],"dddd")</f>
        <v>Thursday</v>
      </c>
      <c r="AQ262" s="23" t="str" cm="1">
        <f t="array" ref="AQ2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62" s="61">
        <f>AVERAGE(cadangan[[#This Row],[Rating A]],cadangan[[#This Row],[Rating B]],cadangan[[#This Row],[Rating C]])</f>
        <v>4</v>
      </c>
    </row>
    <row r="263" spans="1:44" x14ac:dyDescent="0.2">
      <c r="A263" s="20">
        <v>262</v>
      </c>
      <c r="B263" s="21" t="str">
        <f>_xlfn.CONCAT("ORD-",INDEX(Helper!$B$2:$B$5,MATCH(cadangan[[#This Row],[Marketplace]],Helper!$A$2:$A$5,0)),TEXT(cadangan[[#This Row],[No]],"0000"),"-",TEXT(cadangan[[#This Row],[Tanggal terjual]],"dd/mm/yy"))</f>
        <v>ORD-SP0262-04/04/23</v>
      </c>
      <c r="C263" s="39" t="s">
        <v>63</v>
      </c>
      <c r="D263" s="39" t="str">
        <f>IFERROR(INDEX(Katalog!$A$3:$A$12,MATCH(cadangan[[#This Row],[ItemID A]],Katalog!$C$3:$C$12,0)),"-")</f>
        <v>Pakaian Pria</v>
      </c>
      <c r="E263" s="39" t="str">
        <f>IFERROR(INDEX(Katalog!$B$3:$B$12,MATCH(cadangan[[#This Row],[ItemID A]],Katalog!$C$3:$C$12,0)),"-")</f>
        <v>Jaket Jeans</v>
      </c>
      <c r="F263" s="50">
        <v>3</v>
      </c>
      <c r="G263" s="50">
        <v>5</v>
      </c>
      <c r="H263" s="73">
        <f>IFERROR(INDEX(Katalog!$D$3:$D$12,MATCH(cadangan[[#This Row],[ItemID A]],Katalog!$C$3:$C$12,0))*cadangan[[#This Row],[Qty A]],0)</f>
        <v>1200000</v>
      </c>
      <c r="I263" s="73">
        <f>IFERROR(cadangan[[#This Row],[Harga Normal A]]-(cadangan[[#This Row],[Harga Normal A]]*cadangan[[#This Row],[Diskon]]),cadangan[[#This Row],[Harga Normal A]])</f>
        <v>1080000</v>
      </c>
      <c r="J263" s="73">
        <f>INDEX(Katalog!$F$3:$F$12,MATCH(cadangan[[#This Row],[ItemID A]],Katalog!$C$3:$C$12,0))*cadangan[[#This Row],[Qty A]]</f>
        <v>450000</v>
      </c>
      <c r="K263" s="73">
        <f>IFERROR(cadangan[[#This Row],[Harga Diskon A]]-INDEX(Katalog!$E$3:$E$12,MATCH(cadangan[[#This Row],[ItemID A]],Katalog!$C$3:$C$12,0))*cadangan[[#This Row],[Qty A]],0)</f>
        <v>330000</v>
      </c>
      <c r="L263" s="39" t="s">
        <v>58</v>
      </c>
      <c r="M263" s="39" t="str">
        <f>IFERROR(INDEX(Katalog!$A$3:$A$12,MATCH(cadangan[[#This Row],[ItemID B]],Katalog!$C$3:$C$12,0)),"-")</f>
        <v>Pakaian Wanita</v>
      </c>
      <c r="N263" s="39" t="str">
        <f>IFERROR(INDEX(Katalog!$B$3:$B$12,MATCH(cadangan[[#This Row],[ItemID B]],Katalog!$C$3:$C$12,0)),"-")</f>
        <v>Dress</v>
      </c>
      <c r="O263" s="50">
        <v>1</v>
      </c>
      <c r="P263" s="50">
        <v>1</v>
      </c>
      <c r="Q263" s="73">
        <f>IFERROR(INDEX(Katalog!$D$3:$D$12,MATCH(cadangan[[#This Row],[ItemID B]],Katalog!$C$3:$C$12,0))*cadangan[[#This Row],[Qty B]],0)</f>
        <v>300000</v>
      </c>
      <c r="R263" s="73">
        <f>IFERROR(cadangan[[#This Row],[Harga Normal B]]-(cadangan[[#This Row],[Harga Normal B]]*cadangan[[#This Row],[Diskon]]),cadangan[[#This Row],[Harga Normal B]])</f>
        <v>270000</v>
      </c>
      <c r="S263" s="73">
        <f>IFERROR(INDEX(Katalog!$F$3:$F$12,MATCH(cadangan[[#This Row],[ItemID B]],Katalog!$C$3:$C$12,0))*cadangan[[#This Row],[Qty B]],0)</f>
        <v>100000</v>
      </c>
      <c r="T263" s="73">
        <f>IFERROR(cadangan[[#This Row],[Harga Diskon B]]-INDEX(Katalog!$E$3:$E$12,MATCH(cadangan[[#This Row],[ItemID B]],Katalog!$C$3:$C$12,0))*cadangan[[#This Row],[Qty B]],0)</f>
        <v>70000</v>
      </c>
      <c r="V263" s="39" t="str">
        <f>IFERROR(INDEX(Katalog!$A$3:$A$12,MATCH(cadangan[[#This Row],[ItemID C]],Katalog!$C$3:$C$12,0)),"-")</f>
        <v>-</v>
      </c>
      <c r="W263" s="39" t="str">
        <f>IFERROR(INDEX(Katalog!$B$3:$B$12,MATCH(cadangan[[#This Row],[ItemID C]],Katalog!$C$3:$C$12,0)),"-")</f>
        <v>-</v>
      </c>
      <c r="Z263" s="73">
        <f>IFERROR(INDEX(Katalog!$D$3:$D$12,MATCH(cadangan[[#This Row],[ItemID C]],Katalog!$C$3:$C$12,0))*cadangan[[#This Row],[Qty C]],0)</f>
        <v>0</v>
      </c>
      <c r="AA263" s="73">
        <f>IFERROR(cadangan[[#This Row],[Harga Normal C]]-(cadangan[[#This Row],[Harga Normal C]]*cadangan[[#This Row],[Diskon]]),cadangan[[#This Row],[Harga Normal C]])</f>
        <v>0</v>
      </c>
      <c r="AB263" s="73">
        <f>IFERROR(INDEX(Katalog!$F$3:$F$12,MATCH(cadangan[[#This Row],[ItemID C]],Katalog!$C$3:$C$12,0))*cadangan[[#This Row],[Qty C]],0)</f>
        <v>0</v>
      </c>
      <c r="AC263" s="73">
        <f>IFERROR(cadangan[[#This Row],[Harga Diskon C]]-INDEX(Katalog!$E$3:$E$12,MATCH(cadangan[[#This Row],[ItemID C]],Katalog!$C$3:$C$12,0))*cadangan[[#This Row],[Qty C]],0)</f>
        <v>0</v>
      </c>
      <c r="AD263" s="53">
        <f>cadangan[[#This Row],[Qty A]]+cadangan[[#This Row],[Qty B]]+cadangan[[#This Row],[Qty C]]</f>
        <v>4</v>
      </c>
      <c r="AE263" s="73">
        <f>cadangan[[#This Row],[Harga Normal A]]+cadangan[[#This Row],[Harga Normal B]]+cadangan[[#This Row],[Harga Normal C]]</f>
        <v>1500000</v>
      </c>
      <c r="AF263" s="73">
        <f>cadangan[[#This Row],[Harga Diskon A]]+cadangan[[#This Row],[Harga Diskon B]]+cadangan[[#This Row],[Harga Diskon C]]</f>
        <v>1350000</v>
      </c>
      <c r="AG263" s="73">
        <f>(cadangan[[#This Row],[Profit Normal A]]+cadangan[[#This Row],[Profit Normal B]]+cadangan[[#This Row],[Profit Normal C]])</f>
        <v>550000</v>
      </c>
      <c r="AH263" s="73">
        <f>cadangan[[#This Row],[Profit Diskon A]]+cadangan[[#This Row],[Profit Diskon B]]+cadangan[[#This Row],[Profit Diskon C]]</f>
        <v>400000</v>
      </c>
      <c r="AI263" s="23" t="s">
        <v>6</v>
      </c>
      <c r="AJ263" s="37">
        <f>IFERROR(INDEX('Kode Diskon'!$D$3:$D$9,MATCH(cadangan[[#This Row],[Kode diskon]],'Kode Diskon'!$C$3:$C$9,0)),"-")</f>
        <v>0.1</v>
      </c>
      <c r="AK263" s="23" t="s">
        <v>29</v>
      </c>
      <c r="AL263" s="23" t="s">
        <v>7</v>
      </c>
      <c r="AM263" s="23" t="s">
        <v>76</v>
      </c>
      <c r="AN263" s="55">
        <v>45020</v>
      </c>
      <c r="AO263" s="53">
        <f>DAY(cadangan[[#This Row],[Tanggal terjual]])</f>
        <v>4</v>
      </c>
      <c r="AP263" s="21" t="str">
        <f>TEXT(cadangan[[#This Row],[Tanggal terjual]],"dddd")</f>
        <v>Tuesday</v>
      </c>
      <c r="AQ263" s="23" t="str" cm="1">
        <f t="array" ref="AQ2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63" s="61">
        <f>AVERAGE(cadangan[[#This Row],[Rating A]],cadangan[[#This Row],[Rating B]],cadangan[[#This Row],[Rating C]])</f>
        <v>3</v>
      </c>
    </row>
    <row r="264" spans="1:44" x14ac:dyDescent="0.2">
      <c r="A264" s="20">
        <v>263</v>
      </c>
      <c r="B264" s="21" t="str">
        <f>_xlfn.CONCAT("ORD-",INDEX(Helper!$B$2:$B$5,MATCH(cadangan[[#This Row],[Marketplace]],Helper!$A$2:$A$5,0)),TEXT(cadangan[[#This Row],[No]],"0000"),"-",TEXT(cadangan[[#This Row],[Tanggal terjual]],"dd/mm/yy"))</f>
        <v>ORD-TK0263-08/04/23</v>
      </c>
      <c r="C264" s="39" t="s">
        <v>63</v>
      </c>
      <c r="D264" s="39" t="str">
        <f>IFERROR(INDEX(Katalog!$A$3:$A$12,MATCH(cadangan[[#This Row],[ItemID A]],Katalog!$C$3:$C$12,0)),"-")</f>
        <v>Pakaian Pria</v>
      </c>
      <c r="E264" s="39" t="str">
        <f>IFERROR(INDEX(Katalog!$B$3:$B$12,MATCH(cadangan[[#This Row],[ItemID A]],Katalog!$C$3:$C$12,0)),"-")</f>
        <v>Jaket Jeans</v>
      </c>
      <c r="F264" s="50">
        <v>1</v>
      </c>
      <c r="G264" s="50">
        <v>3</v>
      </c>
      <c r="H264" s="73">
        <f>IFERROR(INDEX(Katalog!$D$3:$D$12,MATCH(cadangan[[#This Row],[ItemID A]],Katalog!$C$3:$C$12,0))*cadangan[[#This Row],[Qty A]],0)</f>
        <v>400000</v>
      </c>
      <c r="I264" s="73">
        <f>IFERROR(cadangan[[#This Row],[Harga Normal A]]-(cadangan[[#This Row],[Harga Normal A]]*cadangan[[#This Row],[Diskon]]),cadangan[[#This Row],[Harga Normal A]])</f>
        <v>400000</v>
      </c>
      <c r="J264" s="73">
        <f>INDEX(Katalog!$F$3:$F$12,MATCH(cadangan[[#This Row],[ItemID A]],Katalog!$C$3:$C$12,0))*cadangan[[#This Row],[Qty A]]</f>
        <v>150000</v>
      </c>
      <c r="K264" s="73">
        <f>IFERROR(cadangan[[#This Row],[Harga Diskon A]]-INDEX(Katalog!$E$3:$E$12,MATCH(cadangan[[#This Row],[ItemID A]],Katalog!$C$3:$C$12,0))*cadangan[[#This Row],[Qty A]],0)</f>
        <v>150000</v>
      </c>
      <c r="L264" s="39" t="s">
        <v>67</v>
      </c>
      <c r="M264" s="39" t="str">
        <f>IFERROR(INDEX(Katalog!$A$3:$A$12,MATCH(cadangan[[#This Row],[ItemID B]],Katalog!$C$3:$C$12,0)),"-")</f>
        <v>Sepatu Wanita</v>
      </c>
      <c r="N264" s="39" t="str">
        <f>IFERROR(INDEX(Katalog!$B$3:$B$12,MATCH(cadangan[[#This Row],[ItemID B]],Katalog!$C$3:$C$12,0)),"-")</f>
        <v>Flat Shoes</v>
      </c>
      <c r="O264" s="50">
        <v>3</v>
      </c>
      <c r="P264" s="50">
        <v>3</v>
      </c>
      <c r="Q264" s="73">
        <f>IFERROR(INDEX(Katalog!$D$3:$D$12,MATCH(cadangan[[#This Row],[ItemID B]],Katalog!$C$3:$C$12,0))*cadangan[[#This Row],[Qty B]],0)</f>
        <v>750000</v>
      </c>
      <c r="R264" s="73">
        <f>IFERROR(cadangan[[#This Row],[Harga Normal B]]-(cadangan[[#This Row],[Harga Normal B]]*cadangan[[#This Row],[Diskon]]),cadangan[[#This Row],[Harga Normal B]])</f>
        <v>750000</v>
      </c>
      <c r="S264" s="73">
        <f>IFERROR(INDEX(Katalog!$F$3:$F$12,MATCH(cadangan[[#This Row],[ItemID B]],Katalog!$C$3:$C$12,0))*cadangan[[#This Row],[Qty B]],0)</f>
        <v>300000</v>
      </c>
      <c r="T264" s="73">
        <f>IFERROR(cadangan[[#This Row],[Harga Diskon B]]-INDEX(Katalog!$E$3:$E$12,MATCH(cadangan[[#This Row],[ItemID B]],Katalog!$C$3:$C$12,0))*cadangan[[#This Row],[Qty B]],0)</f>
        <v>300000</v>
      </c>
      <c r="V264" s="39" t="str">
        <f>IFERROR(INDEX(Katalog!$A$3:$A$12,MATCH(cadangan[[#This Row],[ItemID C]],Katalog!$C$3:$C$12,0)),"-")</f>
        <v>-</v>
      </c>
      <c r="W264" s="39" t="str">
        <f>IFERROR(INDEX(Katalog!$B$3:$B$12,MATCH(cadangan[[#This Row],[ItemID C]],Katalog!$C$3:$C$12,0)),"-")</f>
        <v>-</v>
      </c>
      <c r="Z264" s="73">
        <f>IFERROR(INDEX(Katalog!$D$3:$D$12,MATCH(cadangan[[#This Row],[ItemID C]],Katalog!$C$3:$C$12,0))*cadangan[[#This Row],[Qty C]],0)</f>
        <v>0</v>
      </c>
      <c r="AA264" s="73">
        <f>IFERROR(cadangan[[#This Row],[Harga Normal C]]-(cadangan[[#This Row],[Harga Normal C]]*cadangan[[#This Row],[Diskon]]),cadangan[[#This Row],[Harga Normal C]])</f>
        <v>0</v>
      </c>
      <c r="AB264" s="73">
        <f>IFERROR(INDEX(Katalog!$F$3:$F$12,MATCH(cadangan[[#This Row],[ItemID C]],Katalog!$C$3:$C$12,0))*cadangan[[#This Row],[Qty C]],0)</f>
        <v>0</v>
      </c>
      <c r="AC264" s="73">
        <f>IFERROR(cadangan[[#This Row],[Harga Diskon C]]-INDEX(Katalog!$E$3:$E$12,MATCH(cadangan[[#This Row],[ItemID C]],Katalog!$C$3:$C$12,0))*cadangan[[#This Row],[Qty C]],0)</f>
        <v>0</v>
      </c>
      <c r="AD264" s="53">
        <f>cadangan[[#This Row],[Qty A]]+cadangan[[#This Row],[Qty B]]+cadangan[[#This Row],[Qty C]]</f>
        <v>4</v>
      </c>
      <c r="AE264" s="73">
        <f>cadangan[[#This Row],[Harga Normal A]]+cadangan[[#This Row],[Harga Normal B]]+cadangan[[#This Row],[Harga Normal C]]</f>
        <v>1150000</v>
      </c>
      <c r="AF264" s="73">
        <f>cadangan[[#This Row],[Harga Diskon A]]+cadangan[[#This Row],[Harga Diskon B]]+cadangan[[#This Row],[Harga Diskon C]]</f>
        <v>1150000</v>
      </c>
      <c r="AG264" s="73">
        <f>(cadangan[[#This Row],[Profit Normal A]]+cadangan[[#This Row],[Profit Normal B]]+cadangan[[#This Row],[Profit Normal C]])</f>
        <v>450000</v>
      </c>
      <c r="AH264" s="73">
        <f>cadangan[[#This Row],[Profit Diskon A]]+cadangan[[#This Row],[Profit Diskon B]]+cadangan[[#This Row],[Profit Diskon C]]</f>
        <v>450000</v>
      </c>
      <c r="AI264" s="23" t="s">
        <v>290</v>
      </c>
      <c r="AJ264" s="37" t="str">
        <f>IFERROR(INDEX('Kode Diskon'!$D$3:$D$9,MATCH(cadangan[[#This Row],[Kode diskon]],'Kode Diskon'!$C$3:$C$9,0)),"-")</f>
        <v>-</v>
      </c>
      <c r="AK264" s="23" t="s">
        <v>290</v>
      </c>
      <c r="AL264" s="23" t="s">
        <v>10</v>
      </c>
      <c r="AM264" s="23" t="s">
        <v>75</v>
      </c>
      <c r="AN264" s="55">
        <v>45024</v>
      </c>
      <c r="AO264" s="53">
        <f>DAY(cadangan[[#This Row],[Tanggal terjual]])</f>
        <v>8</v>
      </c>
      <c r="AP264" s="21" t="str">
        <f>TEXT(cadangan[[#This Row],[Tanggal terjual]],"dddd")</f>
        <v>Saturday</v>
      </c>
      <c r="AQ264" s="23" t="str" cm="1">
        <f t="array" ref="AQ2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64" s="61">
        <f>AVERAGE(cadangan[[#This Row],[Rating A]],cadangan[[#This Row],[Rating B]],cadangan[[#This Row],[Rating C]])</f>
        <v>3</v>
      </c>
    </row>
    <row r="265" spans="1:44" x14ac:dyDescent="0.2">
      <c r="A265" s="20">
        <v>264</v>
      </c>
      <c r="B265" s="21" t="str">
        <f>_xlfn.CONCAT("ORD-",INDEX(Helper!$B$2:$B$5,MATCH(cadangan[[#This Row],[Marketplace]],Helper!$A$2:$A$5,0)),TEXT(cadangan[[#This Row],[No]],"0000"),"-",TEXT(cadangan[[#This Row],[Tanggal terjual]],"dd/mm/yy"))</f>
        <v>ORD-SP0264-19/04/23</v>
      </c>
      <c r="C265" s="39" t="s">
        <v>62</v>
      </c>
      <c r="D265" s="39" t="str">
        <f>IFERROR(INDEX(Katalog!$A$3:$A$12,MATCH(cadangan[[#This Row],[ItemID A]],Katalog!$C$3:$C$12,0)),"-")</f>
        <v>Pakaian Pria</v>
      </c>
      <c r="E265" s="39" t="str">
        <f>IFERROR(INDEX(Katalog!$B$3:$B$12,MATCH(cadangan[[#This Row],[ItemID A]],Katalog!$C$3:$C$12,0)),"-")</f>
        <v>Celana Pendek</v>
      </c>
      <c r="F265" s="50">
        <v>1</v>
      </c>
      <c r="G265" s="50">
        <v>2</v>
      </c>
      <c r="H265" s="73">
        <f>IFERROR(INDEX(Katalog!$D$3:$D$12,MATCH(cadangan[[#This Row],[ItemID A]],Katalog!$C$3:$C$12,0))*cadangan[[#This Row],[Qty A]],0)</f>
        <v>180000</v>
      </c>
      <c r="I265" s="73">
        <f>IFERROR(cadangan[[#This Row],[Harga Normal A]]-(cadangan[[#This Row],[Harga Normal A]]*cadangan[[#This Row],[Diskon]]),cadangan[[#This Row],[Harga Normal A]])</f>
        <v>144000</v>
      </c>
      <c r="J265" s="73">
        <f>INDEX(Katalog!$F$3:$F$12,MATCH(cadangan[[#This Row],[ItemID A]],Katalog!$C$3:$C$12,0))*cadangan[[#This Row],[Qty A]]</f>
        <v>70000</v>
      </c>
      <c r="K265" s="73">
        <f>IFERROR(cadangan[[#This Row],[Harga Diskon A]]-INDEX(Katalog!$E$3:$E$12,MATCH(cadangan[[#This Row],[ItemID A]],Katalog!$C$3:$C$12,0))*cadangan[[#This Row],[Qty A]],0)</f>
        <v>34000</v>
      </c>
      <c r="M265" s="39" t="str">
        <f>IFERROR(INDEX(Katalog!$A$3:$A$12,MATCH(cadangan[[#This Row],[ItemID B]],Katalog!$C$3:$C$12,0)),"-")</f>
        <v>-</v>
      </c>
      <c r="N265" s="39" t="str">
        <f>IFERROR(INDEX(Katalog!$B$3:$B$12,MATCH(cadangan[[#This Row],[ItemID B]],Katalog!$C$3:$C$12,0)),"-")</f>
        <v>-</v>
      </c>
      <c r="Q265" s="73">
        <f>IFERROR(INDEX(Katalog!$D$3:$D$12,MATCH(cadangan[[#This Row],[ItemID B]],Katalog!$C$3:$C$12,0))*cadangan[[#This Row],[Qty B]],0)</f>
        <v>0</v>
      </c>
      <c r="R265" s="73">
        <f>IFERROR(cadangan[[#This Row],[Harga Normal B]]-(cadangan[[#This Row],[Harga Normal B]]*cadangan[[#This Row],[Diskon]]),cadangan[[#This Row],[Harga Normal B]])</f>
        <v>0</v>
      </c>
      <c r="S265" s="73">
        <f>IFERROR(INDEX(Katalog!$F$3:$F$12,MATCH(cadangan[[#This Row],[ItemID B]],Katalog!$C$3:$C$12,0))*cadangan[[#This Row],[Qty B]],0)</f>
        <v>0</v>
      </c>
      <c r="T265" s="73">
        <f>IFERROR(cadangan[[#This Row],[Harga Diskon B]]-INDEX(Katalog!$E$3:$E$12,MATCH(cadangan[[#This Row],[ItemID B]],Katalog!$C$3:$C$12,0))*cadangan[[#This Row],[Qty B]],0)</f>
        <v>0</v>
      </c>
      <c r="V265" s="39" t="str">
        <f>IFERROR(INDEX(Katalog!$A$3:$A$12,MATCH(cadangan[[#This Row],[ItemID C]],Katalog!$C$3:$C$12,0)),"-")</f>
        <v>-</v>
      </c>
      <c r="W265" s="39" t="str">
        <f>IFERROR(INDEX(Katalog!$B$3:$B$12,MATCH(cadangan[[#This Row],[ItemID C]],Katalog!$C$3:$C$12,0)),"-")</f>
        <v>-</v>
      </c>
      <c r="Z265" s="73">
        <f>IFERROR(INDEX(Katalog!$D$3:$D$12,MATCH(cadangan[[#This Row],[ItemID C]],Katalog!$C$3:$C$12,0))*cadangan[[#This Row],[Qty C]],0)</f>
        <v>0</v>
      </c>
      <c r="AA265" s="73">
        <f>IFERROR(cadangan[[#This Row],[Harga Normal C]]-(cadangan[[#This Row],[Harga Normal C]]*cadangan[[#This Row],[Diskon]]),cadangan[[#This Row],[Harga Normal C]])</f>
        <v>0</v>
      </c>
      <c r="AB265" s="73">
        <f>IFERROR(INDEX(Katalog!$F$3:$F$12,MATCH(cadangan[[#This Row],[ItemID C]],Katalog!$C$3:$C$12,0))*cadangan[[#This Row],[Qty C]],0)</f>
        <v>0</v>
      </c>
      <c r="AC265" s="73">
        <f>IFERROR(cadangan[[#This Row],[Harga Diskon C]]-INDEX(Katalog!$E$3:$E$12,MATCH(cadangan[[#This Row],[ItemID C]],Katalog!$C$3:$C$12,0))*cadangan[[#This Row],[Qty C]],0)</f>
        <v>0</v>
      </c>
      <c r="AD265" s="53">
        <f>cadangan[[#This Row],[Qty A]]+cadangan[[#This Row],[Qty B]]+cadangan[[#This Row],[Qty C]]</f>
        <v>1</v>
      </c>
      <c r="AE265" s="73">
        <f>cadangan[[#This Row],[Harga Normal A]]+cadangan[[#This Row],[Harga Normal B]]+cadangan[[#This Row],[Harga Normal C]]</f>
        <v>180000</v>
      </c>
      <c r="AF265" s="73">
        <f>cadangan[[#This Row],[Harga Diskon A]]+cadangan[[#This Row],[Harga Diskon B]]+cadangan[[#This Row],[Harga Diskon C]]</f>
        <v>144000</v>
      </c>
      <c r="AG265" s="73">
        <f>(cadangan[[#This Row],[Profit Normal A]]+cadangan[[#This Row],[Profit Normal B]]+cadangan[[#This Row],[Profit Normal C]])</f>
        <v>70000</v>
      </c>
      <c r="AH265" s="73">
        <f>cadangan[[#This Row],[Profit Diskon A]]+cadangan[[#This Row],[Profit Diskon B]]+cadangan[[#This Row],[Profit Diskon C]]</f>
        <v>34000</v>
      </c>
      <c r="AI265" s="23" t="s">
        <v>8</v>
      </c>
      <c r="AJ265" s="37">
        <f>IFERROR(INDEX('Kode Diskon'!$D$3:$D$9,MATCH(cadangan[[#This Row],[Kode diskon]],'Kode Diskon'!$C$3:$C$9,0)),"-")</f>
        <v>0.2</v>
      </c>
      <c r="AK265" s="23" t="s">
        <v>9</v>
      </c>
      <c r="AL265" s="23" t="s">
        <v>7</v>
      </c>
      <c r="AM265" s="23" t="s">
        <v>80</v>
      </c>
      <c r="AN265" s="55">
        <v>45035</v>
      </c>
      <c r="AO265" s="53">
        <f>DAY(cadangan[[#This Row],[Tanggal terjual]])</f>
        <v>19</v>
      </c>
      <c r="AP265" s="21" t="str">
        <f>TEXT(cadangan[[#This Row],[Tanggal terjual]],"dddd")</f>
        <v>Wednesday</v>
      </c>
      <c r="AQ265" s="23" t="str" cm="1">
        <f t="array" ref="AQ2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65" s="61">
        <f>AVERAGE(cadangan[[#This Row],[Rating A]],cadangan[[#This Row],[Rating B]],cadangan[[#This Row],[Rating C]])</f>
        <v>2</v>
      </c>
    </row>
    <row r="266" spans="1:44" x14ac:dyDescent="0.2">
      <c r="A266" s="20">
        <v>265</v>
      </c>
      <c r="B266" s="21" t="str">
        <f>_xlfn.CONCAT("ORD-",INDEX(Helper!$B$2:$B$5,MATCH(cadangan[[#This Row],[Marketplace]],Helper!$A$2:$A$5,0)),TEXT(cadangan[[#This Row],[No]],"0000"),"-",TEXT(cadangan[[#This Row],[Tanggal terjual]],"dd/mm/yy"))</f>
        <v>ORD-BL0265-20/04/23</v>
      </c>
      <c r="C266" s="39" t="s">
        <v>61</v>
      </c>
      <c r="D266" s="39" t="str">
        <f>IFERROR(INDEX(Katalog!$A$3:$A$12,MATCH(cadangan[[#This Row],[ItemID A]],Katalog!$C$3:$C$12,0)),"-")</f>
        <v>Pakaian Pria</v>
      </c>
      <c r="E266" s="39" t="str">
        <f>IFERROR(INDEX(Katalog!$B$3:$B$12,MATCH(cadangan[[#This Row],[ItemID A]],Katalog!$C$3:$C$12,0)),"-")</f>
        <v>Kaos Polo</v>
      </c>
      <c r="F266" s="50">
        <v>3</v>
      </c>
      <c r="G266" s="50">
        <v>5</v>
      </c>
      <c r="H266" s="73">
        <f>IFERROR(INDEX(Katalog!$D$3:$D$12,MATCH(cadangan[[#This Row],[ItemID A]],Katalog!$C$3:$C$12,0))*cadangan[[#This Row],[Qty A]],0)</f>
        <v>600000</v>
      </c>
      <c r="I266" s="73">
        <f>IFERROR(cadangan[[#This Row],[Harga Normal A]]-(cadangan[[#This Row],[Harga Normal A]]*cadangan[[#This Row],[Diskon]]),cadangan[[#This Row],[Harga Normal A]])</f>
        <v>510000</v>
      </c>
      <c r="J266" s="73">
        <f>INDEX(Katalog!$F$3:$F$12,MATCH(cadangan[[#This Row],[ItemID A]],Katalog!$C$3:$C$12,0))*cadangan[[#This Row],[Qty A]]</f>
        <v>240000</v>
      </c>
      <c r="K266" s="73">
        <f>IFERROR(cadangan[[#This Row],[Harga Diskon A]]-INDEX(Katalog!$E$3:$E$12,MATCH(cadangan[[#This Row],[ItemID A]],Katalog!$C$3:$C$12,0))*cadangan[[#This Row],[Qty A]],0)</f>
        <v>150000</v>
      </c>
      <c r="M266" s="39" t="str">
        <f>IFERROR(INDEX(Katalog!$A$3:$A$12,MATCH(cadangan[[#This Row],[ItemID B]],Katalog!$C$3:$C$12,0)),"-")</f>
        <v>-</v>
      </c>
      <c r="N266" s="39" t="str">
        <f>IFERROR(INDEX(Katalog!$B$3:$B$12,MATCH(cadangan[[#This Row],[ItemID B]],Katalog!$C$3:$C$12,0)),"-")</f>
        <v>-</v>
      </c>
      <c r="Q266" s="73">
        <f>IFERROR(INDEX(Katalog!$D$3:$D$12,MATCH(cadangan[[#This Row],[ItemID B]],Katalog!$C$3:$C$12,0))*cadangan[[#This Row],[Qty B]],0)</f>
        <v>0</v>
      </c>
      <c r="R266" s="73">
        <f>IFERROR(cadangan[[#This Row],[Harga Normal B]]-(cadangan[[#This Row],[Harga Normal B]]*cadangan[[#This Row],[Diskon]]),cadangan[[#This Row],[Harga Normal B]])</f>
        <v>0</v>
      </c>
      <c r="S266" s="73">
        <f>IFERROR(INDEX(Katalog!$F$3:$F$12,MATCH(cadangan[[#This Row],[ItemID B]],Katalog!$C$3:$C$12,0))*cadangan[[#This Row],[Qty B]],0)</f>
        <v>0</v>
      </c>
      <c r="T266" s="73">
        <f>IFERROR(cadangan[[#This Row],[Harga Diskon B]]-INDEX(Katalog!$E$3:$E$12,MATCH(cadangan[[#This Row],[ItemID B]],Katalog!$C$3:$C$12,0))*cadangan[[#This Row],[Qty B]],0)</f>
        <v>0</v>
      </c>
      <c r="V266" s="39" t="str">
        <f>IFERROR(INDEX(Katalog!$A$3:$A$12,MATCH(cadangan[[#This Row],[ItemID C]],Katalog!$C$3:$C$12,0)),"-")</f>
        <v>-</v>
      </c>
      <c r="W266" s="39" t="str">
        <f>IFERROR(INDEX(Katalog!$B$3:$B$12,MATCH(cadangan[[#This Row],[ItemID C]],Katalog!$C$3:$C$12,0)),"-")</f>
        <v>-</v>
      </c>
      <c r="Z266" s="73">
        <f>IFERROR(INDEX(Katalog!$D$3:$D$12,MATCH(cadangan[[#This Row],[ItemID C]],Katalog!$C$3:$C$12,0))*cadangan[[#This Row],[Qty C]],0)</f>
        <v>0</v>
      </c>
      <c r="AA266" s="73">
        <f>IFERROR(cadangan[[#This Row],[Harga Normal C]]-(cadangan[[#This Row],[Harga Normal C]]*cadangan[[#This Row],[Diskon]]),cadangan[[#This Row],[Harga Normal C]])</f>
        <v>0</v>
      </c>
      <c r="AB266" s="73">
        <f>IFERROR(INDEX(Katalog!$F$3:$F$12,MATCH(cadangan[[#This Row],[ItemID C]],Katalog!$C$3:$C$12,0))*cadangan[[#This Row],[Qty C]],0)</f>
        <v>0</v>
      </c>
      <c r="AC266" s="73">
        <f>IFERROR(cadangan[[#This Row],[Harga Diskon C]]-INDEX(Katalog!$E$3:$E$12,MATCH(cadangan[[#This Row],[ItemID C]],Katalog!$C$3:$C$12,0))*cadangan[[#This Row],[Qty C]],0)</f>
        <v>0</v>
      </c>
      <c r="AD266" s="53">
        <f>cadangan[[#This Row],[Qty A]]+cadangan[[#This Row],[Qty B]]+cadangan[[#This Row],[Qty C]]</f>
        <v>3</v>
      </c>
      <c r="AE266" s="73">
        <f>cadangan[[#This Row],[Harga Normal A]]+cadangan[[#This Row],[Harga Normal B]]+cadangan[[#This Row],[Harga Normal C]]</f>
        <v>600000</v>
      </c>
      <c r="AF266" s="73">
        <f>cadangan[[#This Row],[Harga Diskon A]]+cadangan[[#This Row],[Harga Diskon B]]+cadangan[[#This Row],[Harga Diskon C]]</f>
        <v>510000</v>
      </c>
      <c r="AG266" s="73">
        <f>(cadangan[[#This Row],[Profit Normal A]]+cadangan[[#This Row],[Profit Normal B]]+cadangan[[#This Row],[Profit Normal C]])</f>
        <v>240000</v>
      </c>
      <c r="AH266" s="73">
        <f>cadangan[[#This Row],[Profit Diskon A]]+cadangan[[#This Row],[Profit Diskon B]]+cadangan[[#This Row],[Profit Diskon C]]</f>
        <v>150000</v>
      </c>
      <c r="AI266" s="23" t="s">
        <v>32</v>
      </c>
      <c r="AJ266" s="37">
        <f>IFERROR(INDEX('Kode Diskon'!$D$3:$D$9,MATCH(cadangan[[#This Row],[Kode diskon]],'Kode Diskon'!$C$3:$C$9,0)),"-")</f>
        <v>0.15</v>
      </c>
      <c r="AK266" s="23" t="s">
        <v>9</v>
      </c>
      <c r="AL266" s="23" t="s">
        <v>12</v>
      </c>
      <c r="AM266" s="23" t="s">
        <v>80</v>
      </c>
      <c r="AN266" s="55">
        <v>45036</v>
      </c>
      <c r="AO266" s="53">
        <f>DAY(cadangan[[#This Row],[Tanggal terjual]])</f>
        <v>20</v>
      </c>
      <c r="AP266" s="21" t="str">
        <f>TEXT(cadangan[[#This Row],[Tanggal terjual]],"dddd")</f>
        <v>Thursday</v>
      </c>
      <c r="AQ266" s="23" t="str" cm="1">
        <f t="array" ref="AQ2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66" s="61">
        <f>AVERAGE(cadangan[[#This Row],[Rating A]],cadangan[[#This Row],[Rating B]],cadangan[[#This Row],[Rating C]])</f>
        <v>5</v>
      </c>
    </row>
    <row r="267" spans="1:44" x14ac:dyDescent="0.2">
      <c r="A267" s="20">
        <v>266</v>
      </c>
      <c r="B267" s="21" t="str">
        <f>_xlfn.CONCAT("ORD-",INDEX(Helper!$B$2:$B$5,MATCH(cadangan[[#This Row],[Marketplace]],Helper!$A$2:$A$5,0)),TEXT(cadangan[[#This Row],[No]],"0000"),"-",TEXT(cadangan[[#This Row],[Tanggal terjual]],"dd/mm/yy"))</f>
        <v>ORD-SP0266-21/04/23</v>
      </c>
      <c r="C267" s="39" t="s">
        <v>65</v>
      </c>
      <c r="D267" s="39" t="str">
        <f>IFERROR(INDEX(Katalog!$A$3:$A$12,MATCH(cadangan[[#This Row],[ItemID A]],Katalog!$C$3:$C$12,0)),"-")</f>
        <v>Sepatu Pria</v>
      </c>
      <c r="E267" s="39" t="str">
        <f>IFERROR(INDEX(Katalog!$B$3:$B$12,MATCH(cadangan[[#This Row],[ItemID A]],Katalog!$C$3:$C$12,0)),"-")</f>
        <v>Sneakers</v>
      </c>
      <c r="F267" s="50">
        <v>2</v>
      </c>
      <c r="G267" s="50">
        <v>1</v>
      </c>
      <c r="H267" s="73">
        <f>IFERROR(INDEX(Katalog!$D$3:$D$12,MATCH(cadangan[[#This Row],[ItemID A]],Katalog!$C$3:$C$12,0))*cadangan[[#This Row],[Qty A]],0)</f>
        <v>1000000</v>
      </c>
      <c r="I267" s="73">
        <f>IFERROR(cadangan[[#This Row],[Harga Normal A]]-(cadangan[[#This Row],[Harga Normal A]]*cadangan[[#This Row],[Diskon]]),cadangan[[#This Row],[Harga Normal A]])</f>
        <v>800000</v>
      </c>
      <c r="J267" s="73">
        <f>INDEX(Katalog!$F$3:$F$12,MATCH(cadangan[[#This Row],[ItemID A]],Katalog!$C$3:$C$12,0))*cadangan[[#This Row],[Qty A]]</f>
        <v>400000</v>
      </c>
      <c r="K267" s="73">
        <f>IFERROR(cadangan[[#This Row],[Harga Diskon A]]-INDEX(Katalog!$E$3:$E$12,MATCH(cadangan[[#This Row],[ItemID A]],Katalog!$C$3:$C$12,0))*cadangan[[#This Row],[Qty A]],0)</f>
        <v>200000</v>
      </c>
      <c r="M267" s="39" t="str">
        <f>IFERROR(INDEX(Katalog!$A$3:$A$12,MATCH(cadangan[[#This Row],[ItemID B]],Katalog!$C$3:$C$12,0)),"-")</f>
        <v>-</v>
      </c>
      <c r="N267" s="39" t="str">
        <f>IFERROR(INDEX(Katalog!$B$3:$B$12,MATCH(cadangan[[#This Row],[ItemID B]],Katalog!$C$3:$C$12,0)),"-")</f>
        <v>-</v>
      </c>
      <c r="Q267" s="73">
        <f>IFERROR(INDEX(Katalog!$D$3:$D$12,MATCH(cadangan[[#This Row],[ItemID B]],Katalog!$C$3:$C$12,0))*cadangan[[#This Row],[Qty B]],0)</f>
        <v>0</v>
      </c>
      <c r="R267" s="73">
        <f>IFERROR(cadangan[[#This Row],[Harga Normal B]]-(cadangan[[#This Row],[Harga Normal B]]*cadangan[[#This Row],[Diskon]]),cadangan[[#This Row],[Harga Normal B]])</f>
        <v>0</v>
      </c>
      <c r="S267" s="73">
        <f>IFERROR(INDEX(Katalog!$F$3:$F$12,MATCH(cadangan[[#This Row],[ItemID B]],Katalog!$C$3:$C$12,0))*cadangan[[#This Row],[Qty B]],0)</f>
        <v>0</v>
      </c>
      <c r="T267" s="73">
        <f>IFERROR(cadangan[[#This Row],[Harga Diskon B]]-INDEX(Katalog!$E$3:$E$12,MATCH(cadangan[[#This Row],[ItemID B]],Katalog!$C$3:$C$12,0))*cadangan[[#This Row],[Qty B]],0)</f>
        <v>0</v>
      </c>
      <c r="V267" s="39" t="str">
        <f>IFERROR(INDEX(Katalog!$A$3:$A$12,MATCH(cadangan[[#This Row],[ItemID C]],Katalog!$C$3:$C$12,0)),"-")</f>
        <v>-</v>
      </c>
      <c r="W267" s="39" t="str">
        <f>IFERROR(INDEX(Katalog!$B$3:$B$12,MATCH(cadangan[[#This Row],[ItemID C]],Katalog!$C$3:$C$12,0)),"-")</f>
        <v>-</v>
      </c>
      <c r="Z267" s="73">
        <f>IFERROR(INDEX(Katalog!$D$3:$D$12,MATCH(cadangan[[#This Row],[ItemID C]],Katalog!$C$3:$C$12,0))*cadangan[[#This Row],[Qty C]],0)</f>
        <v>0</v>
      </c>
      <c r="AA267" s="73">
        <f>IFERROR(cadangan[[#This Row],[Harga Normal C]]-(cadangan[[#This Row],[Harga Normal C]]*cadangan[[#This Row],[Diskon]]),cadangan[[#This Row],[Harga Normal C]])</f>
        <v>0</v>
      </c>
      <c r="AB267" s="73">
        <f>IFERROR(INDEX(Katalog!$F$3:$F$12,MATCH(cadangan[[#This Row],[ItemID C]],Katalog!$C$3:$C$12,0))*cadangan[[#This Row],[Qty C]],0)</f>
        <v>0</v>
      </c>
      <c r="AC267" s="73">
        <f>IFERROR(cadangan[[#This Row],[Harga Diskon C]]-INDEX(Katalog!$E$3:$E$12,MATCH(cadangan[[#This Row],[ItemID C]],Katalog!$C$3:$C$12,0))*cadangan[[#This Row],[Qty C]],0)</f>
        <v>0</v>
      </c>
      <c r="AD267" s="53">
        <f>cadangan[[#This Row],[Qty A]]+cadangan[[#This Row],[Qty B]]+cadangan[[#This Row],[Qty C]]</f>
        <v>2</v>
      </c>
      <c r="AE267" s="73">
        <f>cadangan[[#This Row],[Harga Normal A]]+cadangan[[#This Row],[Harga Normal B]]+cadangan[[#This Row],[Harga Normal C]]</f>
        <v>1000000</v>
      </c>
      <c r="AF267" s="73">
        <f>cadangan[[#This Row],[Harga Diskon A]]+cadangan[[#This Row],[Harga Diskon B]]+cadangan[[#This Row],[Harga Diskon C]]</f>
        <v>800000</v>
      </c>
      <c r="AG267" s="73">
        <f>(cadangan[[#This Row],[Profit Normal A]]+cadangan[[#This Row],[Profit Normal B]]+cadangan[[#This Row],[Profit Normal C]])</f>
        <v>400000</v>
      </c>
      <c r="AH267" s="73">
        <f>cadangan[[#This Row],[Profit Diskon A]]+cadangan[[#This Row],[Profit Diskon B]]+cadangan[[#This Row],[Profit Diskon C]]</f>
        <v>200000</v>
      </c>
      <c r="AI267" s="23" t="s">
        <v>8</v>
      </c>
      <c r="AJ267" s="37">
        <f>IFERROR(INDEX('Kode Diskon'!$D$3:$D$9,MATCH(cadangan[[#This Row],[Kode diskon]],'Kode Diskon'!$C$3:$C$9,0)),"-")</f>
        <v>0.2</v>
      </c>
      <c r="AK267" s="23" t="s">
        <v>9</v>
      </c>
      <c r="AL267" s="23" t="s">
        <v>7</v>
      </c>
      <c r="AM267" s="23" t="s">
        <v>75</v>
      </c>
      <c r="AN267" s="55">
        <v>45037</v>
      </c>
      <c r="AO267" s="53">
        <f>DAY(cadangan[[#This Row],[Tanggal terjual]])</f>
        <v>21</v>
      </c>
      <c r="AP267" s="21" t="str">
        <f>TEXT(cadangan[[#This Row],[Tanggal terjual]],"dddd")</f>
        <v>Friday</v>
      </c>
      <c r="AQ267" s="23" t="str" cm="1">
        <f t="array" ref="AQ2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67" s="61">
        <f>AVERAGE(cadangan[[#This Row],[Rating A]],cadangan[[#This Row],[Rating B]],cadangan[[#This Row],[Rating C]])</f>
        <v>1</v>
      </c>
    </row>
    <row r="268" spans="1:44" x14ac:dyDescent="0.2">
      <c r="A268" s="20">
        <v>267</v>
      </c>
      <c r="B268" s="21" t="str">
        <f>_xlfn.CONCAT("ORD-",INDEX(Helper!$B$2:$B$5,MATCH(cadangan[[#This Row],[Marketplace]],Helper!$A$2:$A$5,0)),TEXT(cadangan[[#This Row],[No]],"0000"),"-",TEXT(cadangan[[#This Row],[Tanggal terjual]],"dd/mm/yy"))</f>
        <v>ORD-TK0267-04/04/23</v>
      </c>
      <c r="C268" s="39" t="s">
        <v>66</v>
      </c>
      <c r="D268" s="39" t="str">
        <f>IFERROR(INDEX(Katalog!$A$3:$A$12,MATCH(cadangan[[#This Row],[ItemID A]],Katalog!$C$3:$C$12,0)),"-")</f>
        <v>Sepatu Pria</v>
      </c>
      <c r="E268" s="39" t="str">
        <f>IFERROR(INDEX(Katalog!$B$3:$B$12,MATCH(cadangan[[#This Row],[ItemID A]],Katalog!$C$3:$C$12,0)),"-")</f>
        <v>Sandal Slip On</v>
      </c>
      <c r="F268" s="50">
        <v>6</v>
      </c>
      <c r="G268" s="50">
        <v>1</v>
      </c>
      <c r="H268" s="73">
        <f>IFERROR(INDEX(Katalog!$D$3:$D$12,MATCH(cadangan[[#This Row],[ItemID A]],Katalog!$C$3:$C$12,0))*cadangan[[#This Row],[Qty A]],0)</f>
        <v>900000</v>
      </c>
      <c r="I268" s="73">
        <f>IFERROR(cadangan[[#This Row],[Harga Normal A]]-(cadangan[[#This Row],[Harga Normal A]]*cadangan[[#This Row],[Diskon]]),cadangan[[#This Row],[Harga Normal A]])</f>
        <v>810000</v>
      </c>
      <c r="J268" s="73">
        <f>INDEX(Katalog!$F$3:$F$12,MATCH(cadangan[[#This Row],[ItemID A]],Katalog!$C$3:$C$12,0))*cadangan[[#This Row],[Qty A]]</f>
        <v>360000</v>
      </c>
      <c r="K268" s="73">
        <f>IFERROR(cadangan[[#This Row],[Harga Diskon A]]-INDEX(Katalog!$E$3:$E$12,MATCH(cadangan[[#This Row],[ItemID A]],Katalog!$C$3:$C$12,0))*cadangan[[#This Row],[Qty A]],0)</f>
        <v>270000</v>
      </c>
      <c r="M268" s="39" t="str">
        <f>IFERROR(INDEX(Katalog!$A$3:$A$12,MATCH(cadangan[[#This Row],[ItemID B]],Katalog!$C$3:$C$12,0)),"-")</f>
        <v>-</v>
      </c>
      <c r="N268" s="39" t="str">
        <f>IFERROR(INDEX(Katalog!$B$3:$B$12,MATCH(cadangan[[#This Row],[ItemID B]],Katalog!$C$3:$C$12,0)),"-")</f>
        <v>-</v>
      </c>
      <c r="Q268" s="73">
        <f>IFERROR(INDEX(Katalog!$D$3:$D$12,MATCH(cadangan[[#This Row],[ItemID B]],Katalog!$C$3:$C$12,0))*cadangan[[#This Row],[Qty B]],0)</f>
        <v>0</v>
      </c>
      <c r="R268" s="73">
        <f>IFERROR(cadangan[[#This Row],[Harga Normal B]]-(cadangan[[#This Row],[Harga Normal B]]*cadangan[[#This Row],[Diskon]]),cadangan[[#This Row],[Harga Normal B]])</f>
        <v>0</v>
      </c>
      <c r="S268" s="73">
        <f>IFERROR(INDEX(Katalog!$F$3:$F$12,MATCH(cadangan[[#This Row],[ItemID B]],Katalog!$C$3:$C$12,0))*cadangan[[#This Row],[Qty B]],0)</f>
        <v>0</v>
      </c>
      <c r="T268" s="73">
        <f>IFERROR(cadangan[[#This Row],[Harga Diskon B]]-INDEX(Katalog!$E$3:$E$12,MATCH(cadangan[[#This Row],[ItemID B]],Katalog!$C$3:$C$12,0))*cadangan[[#This Row],[Qty B]],0)</f>
        <v>0</v>
      </c>
      <c r="V268" s="39" t="str">
        <f>IFERROR(INDEX(Katalog!$A$3:$A$12,MATCH(cadangan[[#This Row],[ItemID C]],Katalog!$C$3:$C$12,0)),"-")</f>
        <v>-</v>
      </c>
      <c r="W268" s="39" t="str">
        <f>IFERROR(INDEX(Katalog!$B$3:$B$12,MATCH(cadangan[[#This Row],[ItemID C]],Katalog!$C$3:$C$12,0)),"-")</f>
        <v>-</v>
      </c>
      <c r="Z268" s="73">
        <f>IFERROR(INDEX(Katalog!$D$3:$D$12,MATCH(cadangan[[#This Row],[ItemID C]],Katalog!$C$3:$C$12,0))*cadangan[[#This Row],[Qty C]],0)</f>
        <v>0</v>
      </c>
      <c r="AA268" s="73">
        <f>IFERROR(cadangan[[#This Row],[Harga Normal C]]-(cadangan[[#This Row],[Harga Normal C]]*cadangan[[#This Row],[Diskon]]),cadangan[[#This Row],[Harga Normal C]])</f>
        <v>0</v>
      </c>
      <c r="AB268" s="73">
        <f>IFERROR(INDEX(Katalog!$F$3:$F$12,MATCH(cadangan[[#This Row],[ItemID C]],Katalog!$C$3:$C$12,0))*cadangan[[#This Row],[Qty C]],0)</f>
        <v>0</v>
      </c>
      <c r="AC268" s="73">
        <f>IFERROR(cadangan[[#This Row],[Harga Diskon C]]-INDEX(Katalog!$E$3:$E$12,MATCH(cadangan[[#This Row],[ItemID C]],Katalog!$C$3:$C$12,0))*cadangan[[#This Row],[Qty C]],0)</f>
        <v>0</v>
      </c>
      <c r="AD268" s="53">
        <f>cadangan[[#This Row],[Qty A]]+cadangan[[#This Row],[Qty B]]+cadangan[[#This Row],[Qty C]]</f>
        <v>6</v>
      </c>
      <c r="AE268" s="73">
        <f>cadangan[[#This Row],[Harga Normal A]]+cadangan[[#This Row],[Harga Normal B]]+cadangan[[#This Row],[Harga Normal C]]</f>
        <v>900000</v>
      </c>
      <c r="AF268" s="73">
        <f>cadangan[[#This Row],[Harga Diskon A]]+cadangan[[#This Row],[Harga Diskon B]]+cadangan[[#This Row],[Harga Diskon C]]</f>
        <v>810000</v>
      </c>
      <c r="AG268" s="73">
        <f>(cadangan[[#This Row],[Profit Normal A]]+cadangan[[#This Row],[Profit Normal B]]+cadangan[[#This Row],[Profit Normal C]])</f>
        <v>360000</v>
      </c>
      <c r="AH268" s="73">
        <f>cadangan[[#This Row],[Profit Diskon A]]+cadangan[[#This Row],[Profit Diskon B]]+cadangan[[#This Row],[Profit Diskon C]]</f>
        <v>270000</v>
      </c>
      <c r="AI268" s="23" t="s">
        <v>30</v>
      </c>
      <c r="AJ268" s="37">
        <f>IFERROR(INDEX('Kode Diskon'!$D$3:$D$9,MATCH(cadangan[[#This Row],[Kode diskon]],'Kode Diskon'!$C$3:$C$9,0)),"-")</f>
        <v>0.1</v>
      </c>
      <c r="AK268" s="23" t="s">
        <v>29</v>
      </c>
      <c r="AL268" s="23" t="s">
        <v>10</v>
      </c>
      <c r="AM268" s="23" t="s">
        <v>75</v>
      </c>
      <c r="AN268" s="55">
        <v>45020</v>
      </c>
      <c r="AO268" s="53">
        <f>DAY(cadangan[[#This Row],[Tanggal terjual]])</f>
        <v>4</v>
      </c>
      <c r="AP268" s="21" t="str">
        <f>TEXT(cadangan[[#This Row],[Tanggal terjual]],"dddd")</f>
        <v>Tuesday</v>
      </c>
      <c r="AQ268" s="23" t="str" cm="1">
        <f t="array" ref="AQ2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68" s="61">
        <f>AVERAGE(cadangan[[#This Row],[Rating A]],cadangan[[#This Row],[Rating B]],cadangan[[#This Row],[Rating C]])</f>
        <v>1</v>
      </c>
    </row>
    <row r="269" spans="1:44" x14ac:dyDescent="0.2">
      <c r="A269" s="20">
        <v>268</v>
      </c>
      <c r="B269" s="21" t="str">
        <f>_xlfn.CONCAT("ORD-",INDEX(Helper!$B$2:$B$5,MATCH(cadangan[[#This Row],[Marketplace]],Helper!$A$2:$A$5,0)),TEXT(cadangan[[#This Row],[No]],"0000"),"-",TEXT(cadangan[[#This Row],[Tanggal terjual]],"dd/mm/yy"))</f>
        <v>ORD-BL0268-25/04/23</v>
      </c>
      <c r="C269" s="39" t="s">
        <v>66</v>
      </c>
      <c r="D269" s="39" t="str">
        <f>IFERROR(INDEX(Katalog!$A$3:$A$12,MATCH(cadangan[[#This Row],[ItemID A]],Katalog!$C$3:$C$12,0)),"-")</f>
        <v>Sepatu Pria</v>
      </c>
      <c r="E269" s="39" t="str">
        <f>IFERROR(INDEX(Katalog!$B$3:$B$12,MATCH(cadangan[[#This Row],[ItemID A]],Katalog!$C$3:$C$12,0)),"-")</f>
        <v>Sandal Slip On</v>
      </c>
      <c r="F269" s="50">
        <v>2</v>
      </c>
      <c r="G269" s="50">
        <v>2</v>
      </c>
      <c r="H269" s="73">
        <f>IFERROR(INDEX(Katalog!$D$3:$D$12,MATCH(cadangan[[#This Row],[ItemID A]],Katalog!$C$3:$C$12,0))*cadangan[[#This Row],[Qty A]],0)</f>
        <v>300000</v>
      </c>
      <c r="I269" s="73">
        <f>IFERROR(cadangan[[#This Row],[Harga Normal A]]-(cadangan[[#This Row],[Harga Normal A]]*cadangan[[#This Row],[Diskon]]),cadangan[[#This Row],[Harga Normal A]])</f>
        <v>255000</v>
      </c>
      <c r="J269" s="73">
        <f>INDEX(Katalog!$F$3:$F$12,MATCH(cadangan[[#This Row],[ItemID A]],Katalog!$C$3:$C$12,0))*cadangan[[#This Row],[Qty A]]</f>
        <v>120000</v>
      </c>
      <c r="K269" s="73">
        <f>IFERROR(cadangan[[#This Row],[Harga Diskon A]]-INDEX(Katalog!$E$3:$E$12,MATCH(cadangan[[#This Row],[ItemID A]],Katalog!$C$3:$C$12,0))*cadangan[[#This Row],[Qty A]],0)</f>
        <v>75000</v>
      </c>
      <c r="L269" s="39" t="s">
        <v>64</v>
      </c>
      <c r="M269" s="39" t="str">
        <f>IFERROR(INDEX(Katalog!$A$3:$A$12,MATCH(cadangan[[#This Row],[ItemID B]],Katalog!$C$3:$C$12,0)),"-")</f>
        <v>Pakaian Unisex</v>
      </c>
      <c r="N269" s="39" t="str">
        <f>IFERROR(INDEX(Katalog!$B$3:$B$12,MATCH(cadangan[[#This Row],[ItemID B]],Katalog!$C$3:$C$12,0)),"-")</f>
        <v>Jaket Hoodie</v>
      </c>
      <c r="O269" s="50">
        <v>1</v>
      </c>
      <c r="P269" s="50">
        <v>5</v>
      </c>
      <c r="Q269" s="73">
        <f>IFERROR(INDEX(Katalog!$D$3:$D$12,MATCH(cadangan[[#This Row],[ItemID B]],Katalog!$C$3:$C$12,0))*cadangan[[#This Row],[Qty B]],0)</f>
        <v>350000</v>
      </c>
      <c r="R269" s="73">
        <f>IFERROR(cadangan[[#This Row],[Harga Normal B]]-(cadangan[[#This Row],[Harga Normal B]]*cadangan[[#This Row],[Diskon]]),cadangan[[#This Row],[Harga Normal B]])</f>
        <v>297500</v>
      </c>
      <c r="S269" s="73">
        <f>IFERROR(INDEX(Katalog!$F$3:$F$12,MATCH(cadangan[[#This Row],[ItemID B]],Katalog!$C$3:$C$12,0))*cadangan[[#This Row],[Qty B]],0)</f>
        <v>130000</v>
      </c>
      <c r="T269" s="73">
        <f>IFERROR(cadangan[[#This Row],[Harga Diskon B]]-INDEX(Katalog!$E$3:$E$12,MATCH(cadangan[[#This Row],[ItemID B]],Katalog!$C$3:$C$12,0))*cadangan[[#This Row],[Qty B]],0)</f>
        <v>77500</v>
      </c>
      <c r="U269" s="39" t="s">
        <v>65</v>
      </c>
      <c r="V269" s="39" t="str">
        <f>IFERROR(INDEX(Katalog!$A$3:$A$12,MATCH(cadangan[[#This Row],[ItemID C]],Katalog!$C$3:$C$12,0)),"-")</f>
        <v>Sepatu Pria</v>
      </c>
      <c r="W269" s="39" t="str">
        <f>IFERROR(INDEX(Katalog!$B$3:$B$12,MATCH(cadangan[[#This Row],[ItemID C]],Katalog!$C$3:$C$12,0)),"-")</f>
        <v>Sneakers</v>
      </c>
      <c r="X269" s="50">
        <v>4</v>
      </c>
      <c r="Y269" s="50">
        <v>1</v>
      </c>
      <c r="Z269" s="73">
        <f>IFERROR(INDEX(Katalog!$D$3:$D$12,MATCH(cadangan[[#This Row],[ItemID C]],Katalog!$C$3:$C$12,0))*cadangan[[#This Row],[Qty C]],0)</f>
        <v>2000000</v>
      </c>
      <c r="AA269" s="73">
        <f>IFERROR(cadangan[[#This Row],[Harga Normal C]]-(cadangan[[#This Row],[Harga Normal C]]*cadangan[[#This Row],[Diskon]]),cadangan[[#This Row],[Harga Normal C]])</f>
        <v>1700000</v>
      </c>
      <c r="AB269" s="73">
        <f>IFERROR(INDEX(Katalog!$F$3:$F$12,MATCH(cadangan[[#This Row],[ItemID C]],Katalog!$C$3:$C$12,0))*cadangan[[#This Row],[Qty C]],0)</f>
        <v>800000</v>
      </c>
      <c r="AC269" s="73">
        <f>IFERROR(cadangan[[#This Row],[Harga Diskon C]]-INDEX(Katalog!$E$3:$E$12,MATCH(cadangan[[#This Row],[ItemID C]],Katalog!$C$3:$C$12,0))*cadangan[[#This Row],[Qty C]],0)</f>
        <v>500000</v>
      </c>
      <c r="AD269" s="53">
        <f>cadangan[[#This Row],[Qty A]]+cadangan[[#This Row],[Qty B]]+cadangan[[#This Row],[Qty C]]</f>
        <v>7</v>
      </c>
      <c r="AE269" s="73">
        <f>cadangan[[#This Row],[Harga Normal A]]+cadangan[[#This Row],[Harga Normal B]]+cadangan[[#This Row],[Harga Normal C]]</f>
        <v>2650000</v>
      </c>
      <c r="AF269" s="73">
        <f>cadangan[[#This Row],[Harga Diskon A]]+cadangan[[#This Row],[Harga Diskon B]]+cadangan[[#This Row],[Harga Diskon C]]</f>
        <v>2252500</v>
      </c>
      <c r="AG269" s="73">
        <f>(cadangan[[#This Row],[Profit Normal A]]+cadangan[[#This Row],[Profit Normal B]]+cadangan[[#This Row],[Profit Normal C]])</f>
        <v>1050000</v>
      </c>
      <c r="AH269" s="73">
        <f>cadangan[[#This Row],[Profit Diskon A]]+cadangan[[#This Row],[Profit Diskon B]]+cadangan[[#This Row],[Profit Diskon C]]</f>
        <v>652500</v>
      </c>
      <c r="AI269" s="23" t="s">
        <v>32</v>
      </c>
      <c r="AJ269" s="37">
        <f>IFERROR(INDEX('Kode Diskon'!$D$3:$D$9,MATCH(cadangan[[#This Row],[Kode diskon]],'Kode Diskon'!$C$3:$C$9,0)),"-")</f>
        <v>0.15</v>
      </c>
      <c r="AK269" s="23" t="s">
        <v>9</v>
      </c>
      <c r="AL269" s="23" t="s">
        <v>12</v>
      </c>
      <c r="AM269" s="23" t="s">
        <v>80</v>
      </c>
      <c r="AN269" s="55">
        <v>45041</v>
      </c>
      <c r="AO269" s="53">
        <f>DAY(cadangan[[#This Row],[Tanggal terjual]])</f>
        <v>25</v>
      </c>
      <c r="AP269" s="21" t="str">
        <f>TEXT(cadangan[[#This Row],[Tanggal terjual]],"dddd")</f>
        <v>Tuesday</v>
      </c>
      <c r="AQ269" s="23" t="str" cm="1">
        <f t="array" ref="AQ2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69" s="61">
        <f>AVERAGE(cadangan[[#This Row],[Rating A]],cadangan[[#This Row],[Rating B]],cadangan[[#This Row],[Rating C]])</f>
        <v>2.6666666666666665</v>
      </c>
    </row>
    <row r="270" spans="1:44" x14ac:dyDescent="0.2">
      <c r="A270" s="20">
        <v>269</v>
      </c>
      <c r="B270" s="21" t="str">
        <f>_xlfn.CONCAT("ORD-",INDEX(Helper!$B$2:$B$5,MATCH(cadangan[[#This Row],[Marketplace]],Helper!$A$2:$A$5,0)),TEXT(cadangan[[#This Row],[No]],"0000"),"-",TEXT(cadangan[[#This Row],[Tanggal terjual]],"dd/mm/yy"))</f>
        <v>ORD-TK0269-03/04/23</v>
      </c>
      <c r="C270" s="39" t="s">
        <v>66</v>
      </c>
      <c r="D270" s="39" t="str">
        <f>IFERROR(INDEX(Katalog!$A$3:$A$12,MATCH(cadangan[[#This Row],[ItemID A]],Katalog!$C$3:$C$12,0)),"-")</f>
        <v>Sepatu Pria</v>
      </c>
      <c r="E270" s="39" t="str">
        <f>IFERROR(INDEX(Katalog!$B$3:$B$12,MATCH(cadangan[[#This Row],[ItemID A]],Katalog!$C$3:$C$12,0)),"-")</f>
        <v>Sandal Slip On</v>
      </c>
      <c r="F270" s="50">
        <v>4</v>
      </c>
      <c r="G270" s="50">
        <v>2</v>
      </c>
      <c r="H270" s="73">
        <f>IFERROR(INDEX(Katalog!$D$3:$D$12,MATCH(cadangan[[#This Row],[ItemID A]],Katalog!$C$3:$C$12,0))*cadangan[[#This Row],[Qty A]],0)</f>
        <v>600000</v>
      </c>
      <c r="I270" s="73">
        <f>IFERROR(cadangan[[#This Row],[Harga Normal A]]-(cadangan[[#This Row],[Harga Normal A]]*cadangan[[#This Row],[Diskon]]),cadangan[[#This Row],[Harga Normal A]])</f>
        <v>540000</v>
      </c>
      <c r="J270" s="73">
        <f>INDEX(Katalog!$F$3:$F$12,MATCH(cadangan[[#This Row],[ItemID A]],Katalog!$C$3:$C$12,0))*cadangan[[#This Row],[Qty A]]</f>
        <v>240000</v>
      </c>
      <c r="K270" s="73">
        <f>IFERROR(cadangan[[#This Row],[Harga Diskon A]]-INDEX(Katalog!$E$3:$E$12,MATCH(cadangan[[#This Row],[ItemID A]],Katalog!$C$3:$C$12,0))*cadangan[[#This Row],[Qty A]],0)</f>
        <v>180000</v>
      </c>
      <c r="L270" s="39" t="s">
        <v>59</v>
      </c>
      <c r="M270" s="39" t="str">
        <f>IFERROR(INDEX(Katalog!$A$3:$A$12,MATCH(cadangan[[#This Row],[ItemID B]],Katalog!$C$3:$C$12,0)),"-")</f>
        <v>Pakaian Wanita</v>
      </c>
      <c r="N270" s="39" t="str">
        <f>IFERROR(INDEX(Katalog!$B$3:$B$12,MATCH(cadangan[[#This Row],[ItemID B]],Katalog!$C$3:$C$12,0)),"-")</f>
        <v>Blouse</v>
      </c>
      <c r="O270" s="50">
        <v>3</v>
      </c>
      <c r="P270" s="50">
        <v>4</v>
      </c>
      <c r="Q270" s="73">
        <f>IFERROR(INDEX(Katalog!$D$3:$D$12,MATCH(cadangan[[#This Row],[ItemID B]],Katalog!$C$3:$C$12,0))*cadangan[[#This Row],[Qty B]],0)</f>
        <v>450000</v>
      </c>
      <c r="R270" s="73">
        <f>IFERROR(cadangan[[#This Row],[Harga Normal B]]-(cadangan[[#This Row],[Harga Normal B]]*cadangan[[#This Row],[Diskon]]),cadangan[[#This Row],[Harga Normal B]])</f>
        <v>405000</v>
      </c>
      <c r="S270" s="73">
        <f>IFERROR(INDEX(Katalog!$F$3:$F$12,MATCH(cadangan[[#This Row],[ItemID B]],Katalog!$C$3:$C$12,0))*cadangan[[#This Row],[Qty B]],0)</f>
        <v>150000</v>
      </c>
      <c r="T270" s="73">
        <f>IFERROR(cadangan[[#This Row],[Harga Diskon B]]-INDEX(Katalog!$E$3:$E$12,MATCH(cadangan[[#This Row],[ItemID B]],Katalog!$C$3:$C$12,0))*cadangan[[#This Row],[Qty B]],0)</f>
        <v>105000</v>
      </c>
      <c r="V270" s="39" t="str">
        <f>IFERROR(INDEX(Katalog!$A$3:$A$12,MATCH(cadangan[[#This Row],[ItemID C]],Katalog!$C$3:$C$12,0)),"-")</f>
        <v>-</v>
      </c>
      <c r="W270" s="39" t="str">
        <f>IFERROR(INDEX(Katalog!$B$3:$B$12,MATCH(cadangan[[#This Row],[ItemID C]],Katalog!$C$3:$C$12,0)),"-")</f>
        <v>-</v>
      </c>
      <c r="Z270" s="73">
        <f>IFERROR(INDEX(Katalog!$D$3:$D$12,MATCH(cadangan[[#This Row],[ItemID C]],Katalog!$C$3:$C$12,0))*cadangan[[#This Row],[Qty C]],0)</f>
        <v>0</v>
      </c>
      <c r="AA270" s="73">
        <f>IFERROR(cadangan[[#This Row],[Harga Normal C]]-(cadangan[[#This Row],[Harga Normal C]]*cadangan[[#This Row],[Diskon]]),cadangan[[#This Row],[Harga Normal C]])</f>
        <v>0</v>
      </c>
      <c r="AB270" s="73">
        <f>IFERROR(INDEX(Katalog!$F$3:$F$12,MATCH(cadangan[[#This Row],[ItemID C]],Katalog!$C$3:$C$12,0))*cadangan[[#This Row],[Qty C]],0)</f>
        <v>0</v>
      </c>
      <c r="AC270" s="73">
        <f>IFERROR(cadangan[[#This Row],[Harga Diskon C]]-INDEX(Katalog!$E$3:$E$12,MATCH(cadangan[[#This Row],[ItemID C]],Katalog!$C$3:$C$12,0))*cadangan[[#This Row],[Qty C]],0)</f>
        <v>0</v>
      </c>
      <c r="AD270" s="53">
        <f>cadangan[[#This Row],[Qty A]]+cadangan[[#This Row],[Qty B]]+cadangan[[#This Row],[Qty C]]</f>
        <v>7</v>
      </c>
      <c r="AE270" s="73">
        <f>cadangan[[#This Row],[Harga Normal A]]+cadangan[[#This Row],[Harga Normal B]]+cadangan[[#This Row],[Harga Normal C]]</f>
        <v>1050000</v>
      </c>
      <c r="AF270" s="73">
        <f>cadangan[[#This Row],[Harga Diskon A]]+cadangan[[#This Row],[Harga Diskon B]]+cadangan[[#This Row],[Harga Diskon C]]</f>
        <v>945000</v>
      </c>
      <c r="AG270" s="73">
        <f>(cadangan[[#This Row],[Profit Normal A]]+cadangan[[#This Row],[Profit Normal B]]+cadangan[[#This Row],[Profit Normal C]])</f>
        <v>390000</v>
      </c>
      <c r="AH270" s="73">
        <f>cadangan[[#This Row],[Profit Diskon A]]+cadangan[[#This Row],[Profit Diskon B]]+cadangan[[#This Row],[Profit Diskon C]]</f>
        <v>285000</v>
      </c>
      <c r="AI270" s="23" t="s">
        <v>30</v>
      </c>
      <c r="AJ270" s="37">
        <f>IFERROR(INDEX('Kode Diskon'!$D$3:$D$9,MATCH(cadangan[[#This Row],[Kode diskon]],'Kode Diskon'!$C$3:$C$9,0)),"-")</f>
        <v>0.1</v>
      </c>
      <c r="AK270" s="23" t="s">
        <v>29</v>
      </c>
      <c r="AL270" s="23" t="s">
        <v>10</v>
      </c>
      <c r="AM270" s="23" t="s">
        <v>80</v>
      </c>
      <c r="AN270" s="55">
        <v>45019</v>
      </c>
      <c r="AO270" s="53">
        <f>DAY(cadangan[[#This Row],[Tanggal terjual]])</f>
        <v>3</v>
      </c>
      <c r="AP270" s="21" t="str">
        <f>TEXT(cadangan[[#This Row],[Tanggal terjual]],"dddd")</f>
        <v>Monday</v>
      </c>
      <c r="AQ270" s="23" t="str" cm="1">
        <f t="array" ref="AQ2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70" s="61">
        <f>AVERAGE(cadangan[[#This Row],[Rating A]],cadangan[[#This Row],[Rating B]],cadangan[[#This Row],[Rating C]])</f>
        <v>3</v>
      </c>
    </row>
    <row r="271" spans="1:44" x14ac:dyDescent="0.2">
      <c r="A271" s="20">
        <v>270</v>
      </c>
      <c r="B271" s="21" t="str">
        <f>_xlfn.CONCAT("ORD-",INDEX(Helper!$B$2:$B$5,MATCH(cadangan[[#This Row],[Marketplace]],Helper!$A$2:$A$5,0)),TEXT(cadangan[[#This Row],[No]],"0000"),"-",TEXT(cadangan[[#This Row],[Tanggal terjual]],"dd/mm/yy"))</f>
        <v>ORD-BL0270-20/04/23</v>
      </c>
      <c r="C271" s="39" t="s">
        <v>64</v>
      </c>
      <c r="D271" s="39" t="str">
        <f>IFERROR(INDEX(Katalog!$A$3:$A$12,MATCH(cadangan[[#This Row],[ItemID A]],Katalog!$C$3:$C$12,0)),"-")</f>
        <v>Pakaian Unisex</v>
      </c>
      <c r="E271" s="39" t="str">
        <f>IFERROR(INDEX(Katalog!$B$3:$B$12,MATCH(cadangan[[#This Row],[ItemID A]],Katalog!$C$3:$C$12,0)),"-")</f>
        <v>Jaket Hoodie</v>
      </c>
      <c r="F271" s="50">
        <v>1</v>
      </c>
      <c r="G271" s="50">
        <v>5</v>
      </c>
      <c r="H271" s="73">
        <f>IFERROR(INDEX(Katalog!$D$3:$D$12,MATCH(cadangan[[#This Row],[ItemID A]],Katalog!$C$3:$C$12,0))*cadangan[[#This Row],[Qty A]],0)</f>
        <v>350000</v>
      </c>
      <c r="I271" s="73">
        <f>IFERROR(cadangan[[#This Row],[Harga Normal A]]-(cadangan[[#This Row],[Harga Normal A]]*cadangan[[#This Row],[Diskon]]),cadangan[[#This Row],[Harga Normal A]])</f>
        <v>297500</v>
      </c>
      <c r="J271" s="73">
        <f>INDEX(Katalog!$F$3:$F$12,MATCH(cadangan[[#This Row],[ItemID A]],Katalog!$C$3:$C$12,0))*cadangan[[#This Row],[Qty A]]</f>
        <v>130000</v>
      </c>
      <c r="K271" s="73">
        <f>IFERROR(cadangan[[#This Row],[Harga Diskon A]]-INDEX(Katalog!$E$3:$E$12,MATCH(cadangan[[#This Row],[ItemID A]],Katalog!$C$3:$C$12,0))*cadangan[[#This Row],[Qty A]],0)</f>
        <v>77500</v>
      </c>
      <c r="L271" s="39" t="s">
        <v>61</v>
      </c>
      <c r="M271" s="39" t="str">
        <f>IFERROR(INDEX(Katalog!$A$3:$A$12,MATCH(cadangan[[#This Row],[ItemID B]],Katalog!$C$3:$C$12,0)),"-")</f>
        <v>Pakaian Pria</v>
      </c>
      <c r="N271" s="39" t="str">
        <f>IFERROR(INDEX(Katalog!$B$3:$B$12,MATCH(cadangan[[#This Row],[ItemID B]],Katalog!$C$3:$C$12,0)),"-")</f>
        <v>Kaos Polo</v>
      </c>
      <c r="O271" s="50">
        <v>1</v>
      </c>
      <c r="P271" s="50">
        <v>1</v>
      </c>
      <c r="Q271" s="73">
        <f>IFERROR(INDEX(Katalog!$D$3:$D$12,MATCH(cadangan[[#This Row],[ItemID B]],Katalog!$C$3:$C$12,0))*cadangan[[#This Row],[Qty B]],0)</f>
        <v>200000</v>
      </c>
      <c r="R271" s="73">
        <f>IFERROR(cadangan[[#This Row],[Harga Normal B]]-(cadangan[[#This Row],[Harga Normal B]]*cadangan[[#This Row],[Diskon]]),cadangan[[#This Row],[Harga Normal B]])</f>
        <v>170000</v>
      </c>
      <c r="S271" s="73">
        <f>IFERROR(INDEX(Katalog!$F$3:$F$12,MATCH(cadangan[[#This Row],[ItemID B]],Katalog!$C$3:$C$12,0))*cadangan[[#This Row],[Qty B]],0)</f>
        <v>80000</v>
      </c>
      <c r="T271" s="73">
        <f>IFERROR(cadangan[[#This Row],[Harga Diskon B]]-INDEX(Katalog!$E$3:$E$12,MATCH(cadangan[[#This Row],[ItemID B]],Katalog!$C$3:$C$12,0))*cadangan[[#This Row],[Qty B]],0)</f>
        <v>50000</v>
      </c>
      <c r="V271" s="39" t="str">
        <f>IFERROR(INDEX(Katalog!$A$3:$A$12,MATCH(cadangan[[#This Row],[ItemID C]],Katalog!$C$3:$C$12,0)),"-")</f>
        <v>-</v>
      </c>
      <c r="W271" s="39" t="str">
        <f>IFERROR(INDEX(Katalog!$B$3:$B$12,MATCH(cadangan[[#This Row],[ItemID C]],Katalog!$C$3:$C$12,0)),"-")</f>
        <v>-</v>
      </c>
      <c r="Z271" s="73">
        <f>IFERROR(INDEX(Katalog!$D$3:$D$12,MATCH(cadangan[[#This Row],[ItemID C]],Katalog!$C$3:$C$12,0))*cadangan[[#This Row],[Qty C]],0)</f>
        <v>0</v>
      </c>
      <c r="AA271" s="73">
        <f>IFERROR(cadangan[[#This Row],[Harga Normal C]]-(cadangan[[#This Row],[Harga Normal C]]*cadangan[[#This Row],[Diskon]]),cadangan[[#This Row],[Harga Normal C]])</f>
        <v>0</v>
      </c>
      <c r="AB271" s="73">
        <f>IFERROR(INDEX(Katalog!$F$3:$F$12,MATCH(cadangan[[#This Row],[ItemID C]],Katalog!$C$3:$C$12,0))*cadangan[[#This Row],[Qty C]],0)</f>
        <v>0</v>
      </c>
      <c r="AC271" s="73">
        <f>IFERROR(cadangan[[#This Row],[Harga Diskon C]]-INDEX(Katalog!$E$3:$E$12,MATCH(cadangan[[#This Row],[ItemID C]],Katalog!$C$3:$C$12,0))*cadangan[[#This Row],[Qty C]],0)</f>
        <v>0</v>
      </c>
      <c r="AD271" s="53">
        <f>cadangan[[#This Row],[Qty A]]+cadangan[[#This Row],[Qty B]]+cadangan[[#This Row],[Qty C]]</f>
        <v>2</v>
      </c>
      <c r="AE271" s="73">
        <f>cadangan[[#This Row],[Harga Normal A]]+cadangan[[#This Row],[Harga Normal B]]+cadangan[[#This Row],[Harga Normal C]]</f>
        <v>550000</v>
      </c>
      <c r="AF271" s="73">
        <f>cadangan[[#This Row],[Harga Diskon A]]+cadangan[[#This Row],[Harga Diskon B]]+cadangan[[#This Row],[Harga Diskon C]]</f>
        <v>467500</v>
      </c>
      <c r="AG271" s="73">
        <f>(cadangan[[#This Row],[Profit Normal A]]+cadangan[[#This Row],[Profit Normal B]]+cadangan[[#This Row],[Profit Normal C]])</f>
        <v>210000</v>
      </c>
      <c r="AH271" s="73">
        <f>cadangan[[#This Row],[Profit Diskon A]]+cadangan[[#This Row],[Profit Diskon B]]+cadangan[[#This Row],[Profit Diskon C]]</f>
        <v>127500</v>
      </c>
      <c r="AI271" s="23" t="s">
        <v>32</v>
      </c>
      <c r="AJ271" s="37">
        <f>IFERROR(INDEX('Kode Diskon'!$D$3:$D$9,MATCH(cadangan[[#This Row],[Kode diskon]],'Kode Diskon'!$C$3:$C$9,0)),"-")</f>
        <v>0.15</v>
      </c>
      <c r="AK271" s="23" t="s">
        <v>9</v>
      </c>
      <c r="AL271" s="23" t="s">
        <v>12</v>
      </c>
      <c r="AM271" s="23" t="s">
        <v>80</v>
      </c>
      <c r="AN271" s="55">
        <v>45036</v>
      </c>
      <c r="AO271" s="53">
        <f>DAY(cadangan[[#This Row],[Tanggal terjual]])</f>
        <v>20</v>
      </c>
      <c r="AP271" s="21" t="str">
        <f>TEXT(cadangan[[#This Row],[Tanggal terjual]],"dddd")</f>
        <v>Thursday</v>
      </c>
      <c r="AQ271" s="23" t="str" cm="1">
        <f t="array" ref="AQ2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71" s="61">
        <f>AVERAGE(cadangan[[#This Row],[Rating A]],cadangan[[#This Row],[Rating B]],cadangan[[#This Row],[Rating C]])</f>
        <v>3</v>
      </c>
    </row>
    <row r="272" spans="1:44" x14ac:dyDescent="0.2">
      <c r="A272" s="20">
        <v>271</v>
      </c>
      <c r="B272" s="21" t="str">
        <f>_xlfn.CONCAT("ORD-",INDEX(Helper!$B$2:$B$5,MATCH(cadangan[[#This Row],[Marketplace]],Helper!$A$2:$A$5,0)),TEXT(cadangan[[#This Row],[No]],"0000"),"-",TEXT(cadangan[[#This Row],[Tanggal terjual]],"dd/mm/yy"))</f>
        <v>ORD-SP0271-14/04/23</v>
      </c>
      <c r="C272" s="39" t="s">
        <v>60</v>
      </c>
      <c r="D272" s="39" t="str">
        <f>IFERROR(INDEX(Katalog!$A$3:$A$12,MATCH(cadangan[[#This Row],[ItemID A]],Katalog!$C$3:$C$12,0)),"-")</f>
        <v>Pakaian Wanita</v>
      </c>
      <c r="E272" s="39" t="str">
        <f>IFERROR(INDEX(Katalog!$B$3:$B$12,MATCH(cadangan[[#This Row],[ItemID A]],Katalog!$C$3:$C$12,0)),"-")</f>
        <v>Kaftan</v>
      </c>
      <c r="F272" s="50">
        <v>5</v>
      </c>
      <c r="G272" s="50">
        <v>5</v>
      </c>
      <c r="H272" s="73">
        <f>IFERROR(INDEX(Katalog!$D$3:$D$12,MATCH(cadangan[[#This Row],[ItemID A]],Katalog!$C$3:$C$12,0))*cadangan[[#This Row],[Qty A]],0)</f>
        <v>1250000</v>
      </c>
      <c r="I272" s="73">
        <f>IFERROR(cadangan[[#This Row],[Harga Normal A]]-(cadangan[[#This Row],[Harga Normal A]]*cadangan[[#This Row],[Diskon]]),cadangan[[#This Row],[Harga Normal A]])</f>
        <v>1250000</v>
      </c>
      <c r="J272" s="73">
        <f>INDEX(Katalog!$F$3:$F$12,MATCH(cadangan[[#This Row],[ItemID A]],Katalog!$C$3:$C$12,0))*cadangan[[#This Row],[Qty A]]</f>
        <v>500000</v>
      </c>
      <c r="K272" s="73">
        <f>IFERROR(cadangan[[#This Row],[Harga Diskon A]]-INDEX(Katalog!$E$3:$E$12,MATCH(cadangan[[#This Row],[ItemID A]],Katalog!$C$3:$C$12,0))*cadangan[[#This Row],[Qty A]],0)</f>
        <v>500000</v>
      </c>
      <c r="M272" s="39" t="str">
        <f>IFERROR(INDEX(Katalog!$A$3:$A$12,MATCH(cadangan[[#This Row],[ItemID B]],Katalog!$C$3:$C$12,0)),"-")</f>
        <v>-</v>
      </c>
      <c r="N272" s="39" t="str">
        <f>IFERROR(INDEX(Katalog!$B$3:$B$12,MATCH(cadangan[[#This Row],[ItemID B]],Katalog!$C$3:$C$12,0)),"-")</f>
        <v>-</v>
      </c>
      <c r="Q272" s="73">
        <f>IFERROR(INDEX(Katalog!$D$3:$D$12,MATCH(cadangan[[#This Row],[ItemID B]],Katalog!$C$3:$C$12,0))*cadangan[[#This Row],[Qty B]],0)</f>
        <v>0</v>
      </c>
      <c r="R272" s="73">
        <f>IFERROR(cadangan[[#This Row],[Harga Normal B]]-(cadangan[[#This Row],[Harga Normal B]]*cadangan[[#This Row],[Diskon]]),cadangan[[#This Row],[Harga Normal B]])</f>
        <v>0</v>
      </c>
      <c r="S272" s="73">
        <f>IFERROR(INDEX(Katalog!$F$3:$F$12,MATCH(cadangan[[#This Row],[ItemID B]],Katalog!$C$3:$C$12,0))*cadangan[[#This Row],[Qty B]],0)</f>
        <v>0</v>
      </c>
      <c r="T272" s="73">
        <f>IFERROR(cadangan[[#This Row],[Harga Diskon B]]-INDEX(Katalog!$E$3:$E$12,MATCH(cadangan[[#This Row],[ItemID B]],Katalog!$C$3:$C$12,0))*cadangan[[#This Row],[Qty B]],0)</f>
        <v>0</v>
      </c>
      <c r="V272" s="39" t="str">
        <f>IFERROR(INDEX(Katalog!$A$3:$A$12,MATCH(cadangan[[#This Row],[ItemID C]],Katalog!$C$3:$C$12,0)),"-")</f>
        <v>-</v>
      </c>
      <c r="W272" s="39" t="str">
        <f>IFERROR(INDEX(Katalog!$B$3:$B$12,MATCH(cadangan[[#This Row],[ItemID C]],Katalog!$C$3:$C$12,0)),"-")</f>
        <v>-</v>
      </c>
      <c r="Z272" s="73">
        <f>IFERROR(INDEX(Katalog!$D$3:$D$12,MATCH(cadangan[[#This Row],[ItemID C]],Katalog!$C$3:$C$12,0))*cadangan[[#This Row],[Qty C]],0)</f>
        <v>0</v>
      </c>
      <c r="AA272" s="73">
        <f>IFERROR(cadangan[[#This Row],[Harga Normal C]]-(cadangan[[#This Row],[Harga Normal C]]*cadangan[[#This Row],[Diskon]]),cadangan[[#This Row],[Harga Normal C]])</f>
        <v>0</v>
      </c>
      <c r="AB272" s="73">
        <f>IFERROR(INDEX(Katalog!$F$3:$F$12,MATCH(cadangan[[#This Row],[ItemID C]],Katalog!$C$3:$C$12,0))*cadangan[[#This Row],[Qty C]],0)</f>
        <v>0</v>
      </c>
      <c r="AC272" s="73">
        <f>IFERROR(cadangan[[#This Row],[Harga Diskon C]]-INDEX(Katalog!$E$3:$E$12,MATCH(cadangan[[#This Row],[ItemID C]],Katalog!$C$3:$C$12,0))*cadangan[[#This Row],[Qty C]],0)</f>
        <v>0</v>
      </c>
      <c r="AD272" s="53">
        <f>cadangan[[#This Row],[Qty A]]+cadangan[[#This Row],[Qty B]]+cadangan[[#This Row],[Qty C]]</f>
        <v>5</v>
      </c>
      <c r="AE272" s="73">
        <f>cadangan[[#This Row],[Harga Normal A]]+cadangan[[#This Row],[Harga Normal B]]+cadangan[[#This Row],[Harga Normal C]]</f>
        <v>1250000</v>
      </c>
      <c r="AF272" s="73">
        <f>cadangan[[#This Row],[Harga Diskon A]]+cadangan[[#This Row],[Harga Diskon B]]+cadangan[[#This Row],[Harga Diskon C]]</f>
        <v>1250000</v>
      </c>
      <c r="AG272" s="73">
        <f>(cadangan[[#This Row],[Profit Normal A]]+cadangan[[#This Row],[Profit Normal B]]+cadangan[[#This Row],[Profit Normal C]])</f>
        <v>500000</v>
      </c>
      <c r="AH272" s="73">
        <f>cadangan[[#This Row],[Profit Diskon A]]+cadangan[[#This Row],[Profit Diskon B]]+cadangan[[#This Row],[Profit Diskon C]]</f>
        <v>500000</v>
      </c>
      <c r="AI272" s="23" t="s">
        <v>290</v>
      </c>
      <c r="AJ272" s="37" t="str">
        <f>IFERROR(INDEX('Kode Diskon'!$D$3:$D$9,MATCH(cadangan[[#This Row],[Kode diskon]],'Kode Diskon'!$C$3:$C$9,0)),"-")</f>
        <v>-</v>
      </c>
      <c r="AK272" s="23" t="s">
        <v>290</v>
      </c>
      <c r="AL272" s="23" t="s">
        <v>7</v>
      </c>
      <c r="AM272" s="23" t="s">
        <v>79</v>
      </c>
      <c r="AN272" s="55">
        <v>45030</v>
      </c>
      <c r="AO272" s="53">
        <f>DAY(cadangan[[#This Row],[Tanggal terjual]])</f>
        <v>14</v>
      </c>
      <c r="AP272" s="21" t="str">
        <f>TEXT(cadangan[[#This Row],[Tanggal terjual]],"dddd")</f>
        <v>Friday</v>
      </c>
      <c r="AQ272" s="23" t="str" cm="1">
        <f t="array" ref="AQ2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72" s="61">
        <f>AVERAGE(cadangan[[#This Row],[Rating A]],cadangan[[#This Row],[Rating B]],cadangan[[#This Row],[Rating C]])</f>
        <v>5</v>
      </c>
    </row>
    <row r="273" spans="1:44" x14ac:dyDescent="0.2">
      <c r="A273" s="20">
        <v>272</v>
      </c>
      <c r="B273" s="21" t="str">
        <f>_xlfn.CONCAT("ORD-",INDEX(Helper!$B$2:$B$5,MATCH(cadangan[[#This Row],[Marketplace]],Helper!$A$2:$A$5,0)),TEXT(cadangan[[#This Row],[No]],"0000"),"-",TEXT(cadangan[[#This Row],[Tanggal terjual]],"dd/mm/yy"))</f>
        <v>ORD-TK0272-21/04/23</v>
      </c>
      <c r="C273" s="39" t="s">
        <v>66</v>
      </c>
      <c r="D273" s="39" t="str">
        <f>IFERROR(INDEX(Katalog!$A$3:$A$12,MATCH(cadangan[[#This Row],[ItemID A]],Katalog!$C$3:$C$12,0)),"-")</f>
        <v>Sepatu Pria</v>
      </c>
      <c r="E273" s="39" t="str">
        <f>IFERROR(INDEX(Katalog!$B$3:$B$12,MATCH(cadangan[[#This Row],[ItemID A]],Katalog!$C$3:$C$12,0)),"-")</f>
        <v>Sandal Slip On</v>
      </c>
      <c r="F273" s="50">
        <v>5</v>
      </c>
      <c r="G273" s="50">
        <v>2</v>
      </c>
      <c r="H273" s="73">
        <f>IFERROR(INDEX(Katalog!$D$3:$D$12,MATCH(cadangan[[#This Row],[ItemID A]],Katalog!$C$3:$C$12,0))*cadangan[[#This Row],[Qty A]],0)</f>
        <v>750000</v>
      </c>
      <c r="I273" s="73">
        <f>IFERROR(cadangan[[#This Row],[Harga Normal A]]-(cadangan[[#This Row],[Harga Normal A]]*cadangan[[#This Row],[Diskon]]),cadangan[[#This Row],[Harga Normal A]])</f>
        <v>675000</v>
      </c>
      <c r="J273" s="73">
        <f>INDEX(Katalog!$F$3:$F$12,MATCH(cadangan[[#This Row],[ItemID A]],Katalog!$C$3:$C$12,0))*cadangan[[#This Row],[Qty A]]</f>
        <v>300000</v>
      </c>
      <c r="K273" s="73">
        <f>IFERROR(cadangan[[#This Row],[Harga Diskon A]]-INDEX(Katalog!$E$3:$E$12,MATCH(cadangan[[#This Row],[ItemID A]],Katalog!$C$3:$C$12,0))*cadangan[[#This Row],[Qty A]],0)</f>
        <v>225000</v>
      </c>
      <c r="M273" s="39" t="str">
        <f>IFERROR(INDEX(Katalog!$A$3:$A$12,MATCH(cadangan[[#This Row],[ItemID B]],Katalog!$C$3:$C$12,0)),"-")</f>
        <v>-</v>
      </c>
      <c r="N273" s="39" t="str">
        <f>IFERROR(INDEX(Katalog!$B$3:$B$12,MATCH(cadangan[[#This Row],[ItemID B]],Katalog!$C$3:$C$12,0)),"-")</f>
        <v>-</v>
      </c>
      <c r="Q273" s="73">
        <f>IFERROR(INDEX(Katalog!$D$3:$D$12,MATCH(cadangan[[#This Row],[ItemID B]],Katalog!$C$3:$C$12,0))*cadangan[[#This Row],[Qty B]],0)</f>
        <v>0</v>
      </c>
      <c r="R273" s="73">
        <f>IFERROR(cadangan[[#This Row],[Harga Normal B]]-(cadangan[[#This Row],[Harga Normal B]]*cadangan[[#This Row],[Diskon]]),cadangan[[#This Row],[Harga Normal B]])</f>
        <v>0</v>
      </c>
      <c r="S273" s="73">
        <f>IFERROR(INDEX(Katalog!$F$3:$F$12,MATCH(cadangan[[#This Row],[ItemID B]],Katalog!$C$3:$C$12,0))*cadangan[[#This Row],[Qty B]],0)</f>
        <v>0</v>
      </c>
      <c r="T273" s="73">
        <f>IFERROR(cadangan[[#This Row],[Harga Diskon B]]-INDEX(Katalog!$E$3:$E$12,MATCH(cadangan[[#This Row],[ItemID B]],Katalog!$C$3:$C$12,0))*cadangan[[#This Row],[Qty B]],0)</f>
        <v>0</v>
      </c>
      <c r="V273" s="39" t="str">
        <f>IFERROR(INDEX(Katalog!$A$3:$A$12,MATCH(cadangan[[#This Row],[ItemID C]],Katalog!$C$3:$C$12,0)),"-")</f>
        <v>-</v>
      </c>
      <c r="W273" s="39" t="str">
        <f>IFERROR(INDEX(Katalog!$B$3:$B$12,MATCH(cadangan[[#This Row],[ItemID C]],Katalog!$C$3:$C$12,0)),"-")</f>
        <v>-</v>
      </c>
      <c r="Z273" s="73">
        <f>IFERROR(INDEX(Katalog!$D$3:$D$12,MATCH(cadangan[[#This Row],[ItemID C]],Katalog!$C$3:$C$12,0))*cadangan[[#This Row],[Qty C]],0)</f>
        <v>0</v>
      </c>
      <c r="AA273" s="73">
        <f>IFERROR(cadangan[[#This Row],[Harga Normal C]]-(cadangan[[#This Row],[Harga Normal C]]*cadangan[[#This Row],[Diskon]]),cadangan[[#This Row],[Harga Normal C]])</f>
        <v>0</v>
      </c>
      <c r="AB273" s="73">
        <f>IFERROR(INDEX(Katalog!$F$3:$F$12,MATCH(cadangan[[#This Row],[ItemID C]],Katalog!$C$3:$C$12,0))*cadangan[[#This Row],[Qty C]],0)</f>
        <v>0</v>
      </c>
      <c r="AC273" s="73">
        <f>IFERROR(cadangan[[#This Row],[Harga Diskon C]]-INDEX(Katalog!$E$3:$E$12,MATCH(cadangan[[#This Row],[ItemID C]],Katalog!$C$3:$C$12,0))*cadangan[[#This Row],[Qty C]],0)</f>
        <v>0</v>
      </c>
      <c r="AD273" s="53">
        <f>cadangan[[#This Row],[Qty A]]+cadangan[[#This Row],[Qty B]]+cadangan[[#This Row],[Qty C]]</f>
        <v>5</v>
      </c>
      <c r="AE273" s="73">
        <f>cadangan[[#This Row],[Harga Normal A]]+cadangan[[#This Row],[Harga Normal B]]+cadangan[[#This Row],[Harga Normal C]]</f>
        <v>750000</v>
      </c>
      <c r="AF273" s="73">
        <f>cadangan[[#This Row],[Harga Diskon A]]+cadangan[[#This Row],[Harga Diskon B]]+cadangan[[#This Row],[Harga Diskon C]]</f>
        <v>675000</v>
      </c>
      <c r="AG273" s="73">
        <f>(cadangan[[#This Row],[Profit Normal A]]+cadangan[[#This Row],[Profit Normal B]]+cadangan[[#This Row],[Profit Normal C]])</f>
        <v>300000</v>
      </c>
      <c r="AH273" s="73">
        <f>cadangan[[#This Row],[Profit Diskon A]]+cadangan[[#This Row],[Profit Diskon B]]+cadangan[[#This Row],[Profit Diskon C]]</f>
        <v>225000</v>
      </c>
      <c r="AI273" s="23" t="s">
        <v>31</v>
      </c>
      <c r="AJ273" s="37">
        <f>IFERROR(INDEX('Kode Diskon'!$D$3:$D$9,MATCH(cadangan[[#This Row],[Kode diskon]],'Kode Diskon'!$C$3:$C$9,0)),"-")</f>
        <v>0.1</v>
      </c>
      <c r="AK273" s="23" t="s">
        <v>9</v>
      </c>
      <c r="AL273" s="23" t="s">
        <v>10</v>
      </c>
      <c r="AM273" s="23" t="s">
        <v>80</v>
      </c>
      <c r="AN273" s="55">
        <v>45037</v>
      </c>
      <c r="AO273" s="53">
        <f>DAY(cadangan[[#This Row],[Tanggal terjual]])</f>
        <v>21</v>
      </c>
      <c r="AP273" s="21" t="str">
        <f>TEXT(cadangan[[#This Row],[Tanggal terjual]],"dddd")</f>
        <v>Friday</v>
      </c>
      <c r="AQ273" s="23" t="str" cm="1">
        <f t="array" ref="AQ2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73" s="61">
        <f>AVERAGE(cadangan[[#This Row],[Rating A]],cadangan[[#This Row],[Rating B]],cadangan[[#This Row],[Rating C]])</f>
        <v>2</v>
      </c>
    </row>
    <row r="274" spans="1:44" x14ac:dyDescent="0.2">
      <c r="A274" s="20">
        <v>273</v>
      </c>
      <c r="B274" s="21" t="str">
        <f>_xlfn.CONCAT("ORD-",INDEX(Helper!$B$2:$B$5,MATCH(cadangan[[#This Row],[Marketplace]],Helper!$A$2:$A$5,0)),TEXT(cadangan[[#This Row],[No]],"0000"),"-",TEXT(cadangan[[#This Row],[Tanggal terjual]],"dd/mm/yy"))</f>
        <v>ORD-SP0273-04/04/23</v>
      </c>
      <c r="C274" s="39" t="s">
        <v>67</v>
      </c>
      <c r="D274" s="39" t="str">
        <f>IFERROR(INDEX(Katalog!$A$3:$A$12,MATCH(cadangan[[#This Row],[ItemID A]],Katalog!$C$3:$C$12,0)),"-")</f>
        <v>Sepatu Wanita</v>
      </c>
      <c r="E274" s="39" t="str">
        <f>IFERROR(INDEX(Katalog!$B$3:$B$12,MATCH(cadangan[[#This Row],[ItemID A]],Katalog!$C$3:$C$12,0)),"-")</f>
        <v>Flat Shoes</v>
      </c>
      <c r="F274" s="50">
        <v>2</v>
      </c>
      <c r="G274" s="50">
        <v>4</v>
      </c>
      <c r="H274" s="73">
        <f>IFERROR(INDEX(Katalog!$D$3:$D$12,MATCH(cadangan[[#This Row],[ItemID A]],Katalog!$C$3:$C$12,0))*cadangan[[#This Row],[Qty A]],0)</f>
        <v>500000</v>
      </c>
      <c r="I274" s="73">
        <f>IFERROR(cadangan[[#This Row],[Harga Normal A]]-(cadangan[[#This Row],[Harga Normal A]]*cadangan[[#This Row],[Diskon]]),cadangan[[#This Row],[Harga Normal A]])</f>
        <v>450000</v>
      </c>
      <c r="J274" s="73">
        <f>INDEX(Katalog!$F$3:$F$12,MATCH(cadangan[[#This Row],[ItemID A]],Katalog!$C$3:$C$12,0))*cadangan[[#This Row],[Qty A]]</f>
        <v>200000</v>
      </c>
      <c r="K274" s="73">
        <f>IFERROR(cadangan[[#This Row],[Harga Diskon A]]-INDEX(Katalog!$E$3:$E$12,MATCH(cadangan[[#This Row],[ItemID A]],Katalog!$C$3:$C$12,0))*cadangan[[#This Row],[Qty A]],0)</f>
        <v>150000</v>
      </c>
      <c r="L274" s="39" t="s">
        <v>66</v>
      </c>
      <c r="M274" s="39" t="str">
        <f>IFERROR(INDEX(Katalog!$A$3:$A$12,MATCH(cadangan[[#This Row],[ItemID B]],Katalog!$C$3:$C$12,0)),"-")</f>
        <v>Sepatu Pria</v>
      </c>
      <c r="N274" s="39" t="str">
        <f>IFERROR(INDEX(Katalog!$B$3:$B$12,MATCH(cadangan[[#This Row],[ItemID B]],Katalog!$C$3:$C$12,0)),"-")</f>
        <v>Sandal Slip On</v>
      </c>
      <c r="O274" s="50">
        <v>4</v>
      </c>
      <c r="P274" s="50">
        <v>4</v>
      </c>
      <c r="Q274" s="73">
        <f>IFERROR(INDEX(Katalog!$D$3:$D$12,MATCH(cadangan[[#This Row],[ItemID B]],Katalog!$C$3:$C$12,0))*cadangan[[#This Row],[Qty B]],0)</f>
        <v>600000</v>
      </c>
      <c r="R274" s="73">
        <f>IFERROR(cadangan[[#This Row],[Harga Normal B]]-(cadangan[[#This Row],[Harga Normal B]]*cadangan[[#This Row],[Diskon]]),cadangan[[#This Row],[Harga Normal B]])</f>
        <v>540000</v>
      </c>
      <c r="S274" s="73">
        <f>IFERROR(INDEX(Katalog!$F$3:$F$12,MATCH(cadangan[[#This Row],[ItemID B]],Katalog!$C$3:$C$12,0))*cadangan[[#This Row],[Qty B]],0)</f>
        <v>240000</v>
      </c>
      <c r="T274" s="73">
        <f>IFERROR(cadangan[[#This Row],[Harga Diskon B]]-INDEX(Katalog!$E$3:$E$12,MATCH(cadangan[[#This Row],[ItemID B]],Katalog!$C$3:$C$12,0))*cadangan[[#This Row],[Qty B]],0)</f>
        <v>180000</v>
      </c>
      <c r="U274" s="39" t="s">
        <v>67</v>
      </c>
      <c r="V274" s="39" t="str">
        <f>IFERROR(INDEX(Katalog!$A$3:$A$12,MATCH(cadangan[[#This Row],[ItemID C]],Katalog!$C$3:$C$12,0)),"-")</f>
        <v>Sepatu Wanita</v>
      </c>
      <c r="W274" s="39" t="str">
        <f>IFERROR(INDEX(Katalog!$B$3:$B$12,MATCH(cadangan[[#This Row],[ItemID C]],Katalog!$C$3:$C$12,0)),"-")</f>
        <v>Flat Shoes</v>
      </c>
      <c r="X274" s="50">
        <v>1</v>
      </c>
      <c r="Y274" s="50">
        <v>3</v>
      </c>
      <c r="Z274" s="73">
        <f>IFERROR(INDEX(Katalog!$D$3:$D$12,MATCH(cadangan[[#This Row],[ItemID C]],Katalog!$C$3:$C$12,0))*cadangan[[#This Row],[Qty C]],0)</f>
        <v>250000</v>
      </c>
      <c r="AA274" s="73">
        <f>IFERROR(cadangan[[#This Row],[Harga Normal C]]-(cadangan[[#This Row],[Harga Normal C]]*cadangan[[#This Row],[Diskon]]),cadangan[[#This Row],[Harga Normal C]])</f>
        <v>225000</v>
      </c>
      <c r="AB274" s="73">
        <f>IFERROR(INDEX(Katalog!$F$3:$F$12,MATCH(cadangan[[#This Row],[ItemID C]],Katalog!$C$3:$C$12,0))*cadangan[[#This Row],[Qty C]],0)</f>
        <v>100000</v>
      </c>
      <c r="AC274" s="73">
        <f>IFERROR(cadangan[[#This Row],[Harga Diskon C]]-INDEX(Katalog!$E$3:$E$12,MATCH(cadangan[[#This Row],[ItemID C]],Katalog!$C$3:$C$12,0))*cadangan[[#This Row],[Qty C]],0)</f>
        <v>75000</v>
      </c>
      <c r="AD274" s="53">
        <f>cadangan[[#This Row],[Qty A]]+cadangan[[#This Row],[Qty B]]+cadangan[[#This Row],[Qty C]]</f>
        <v>7</v>
      </c>
      <c r="AE274" s="73">
        <f>cadangan[[#This Row],[Harga Normal A]]+cadangan[[#This Row],[Harga Normal B]]+cadangan[[#This Row],[Harga Normal C]]</f>
        <v>1350000</v>
      </c>
      <c r="AF274" s="73">
        <f>cadangan[[#This Row],[Harga Diskon A]]+cadangan[[#This Row],[Harga Diskon B]]+cadangan[[#This Row],[Harga Diskon C]]</f>
        <v>1215000</v>
      </c>
      <c r="AG274" s="73">
        <f>(cadangan[[#This Row],[Profit Normal A]]+cadangan[[#This Row],[Profit Normal B]]+cadangan[[#This Row],[Profit Normal C]])</f>
        <v>540000</v>
      </c>
      <c r="AH274" s="73">
        <f>cadangan[[#This Row],[Profit Diskon A]]+cadangan[[#This Row],[Profit Diskon B]]+cadangan[[#This Row],[Profit Diskon C]]</f>
        <v>405000</v>
      </c>
      <c r="AI274" s="23" t="s">
        <v>6</v>
      </c>
      <c r="AJ274" s="37">
        <f>IFERROR(INDEX('Kode Diskon'!$D$3:$D$9,MATCH(cadangan[[#This Row],[Kode diskon]],'Kode Diskon'!$C$3:$C$9,0)),"-")</f>
        <v>0.1</v>
      </c>
      <c r="AK274" s="23" t="s">
        <v>29</v>
      </c>
      <c r="AL274" s="23" t="s">
        <v>7</v>
      </c>
      <c r="AM274" s="23" t="s">
        <v>75</v>
      </c>
      <c r="AN274" s="55">
        <v>45020</v>
      </c>
      <c r="AO274" s="53">
        <f>DAY(cadangan[[#This Row],[Tanggal terjual]])</f>
        <v>4</v>
      </c>
      <c r="AP274" s="21" t="str">
        <f>TEXT(cadangan[[#This Row],[Tanggal terjual]],"dddd")</f>
        <v>Tuesday</v>
      </c>
      <c r="AQ274" s="23" t="str" cm="1">
        <f t="array" ref="AQ2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74" s="61">
        <f>AVERAGE(cadangan[[#This Row],[Rating A]],cadangan[[#This Row],[Rating B]],cadangan[[#This Row],[Rating C]])</f>
        <v>3.6666666666666665</v>
      </c>
    </row>
    <row r="275" spans="1:44" x14ac:dyDescent="0.2">
      <c r="A275" s="20">
        <v>274</v>
      </c>
      <c r="B275" s="21" t="str">
        <f>_xlfn.CONCAT("ORD-",INDEX(Helper!$B$2:$B$5,MATCH(cadangan[[#This Row],[Marketplace]],Helper!$A$2:$A$5,0)),TEXT(cadangan[[#This Row],[No]],"0000"),"-",TEXT(cadangan[[#This Row],[Tanggal terjual]],"dd/mm/yy"))</f>
        <v>ORD-SP0274-20/04/23</v>
      </c>
      <c r="C275" s="39" t="s">
        <v>60</v>
      </c>
      <c r="D275" s="39" t="str">
        <f>IFERROR(INDEX(Katalog!$A$3:$A$12,MATCH(cadangan[[#This Row],[ItemID A]],Katalog!$C$3:$C$12,0)),"-")</f>
        <v>Pakaian Wanita</v>
      </c>
      <c r="E275" s="39" t="str">
        <f>IFERROR(INDEX(Katalog!$B$3:$B$12,MATCH(cadangan[[#This Row],[ItemID A]],Katalog!$C$3:$C$12,0)),"-")</f>
        <v>Kaftan</v>
      </c>
      <c r="F275" s="50">
        <v>4</v>
      </c>
      <c r="G275" s="50">
        <v>4</v>
      </c>
      <c r="H275" s="73">
        <f>IFERROR(INDEX(Katalog!$D$3:$D$12,MATCH(cadangan[[#This Row],[ItemID A]],Katalog!$C$3:$C$12,0))*cadangan[[#This Row],[Qty A]],0)</f>
        <v>1000000</v>
      </c>
      <c r="I275" s="73">
        <f>IFERROR(cadangan[[#This Row],[Harga Normal A]]-(cadangan[[#This Row],[Harga Normal A]]*cadangan[[#This Row],[Diskon]]),cadangan[[#This Row],[Harga Normal A]])</f>
        <v>800000</v>
      </c>
      <c r="J275" s="73">
        <f>INDEX(Katalog!$F$3:$F$12,MATCH(cadangan[[#This Row],[ItemID A]],Katalog!$C$3:$C$12,0))*cadangan[[#This Row],[Qty A]]</f>
        <v>400000</v>
      </c>
      <c r="K275" s="73">
        <f>IFERROR(cadangan[[#This Row],[Harga Diskon A]]-INDEX(Katalog!$E$3:$E$12,MATCH(cadangan[[#This Row],[ItemID A]],Katalog!$C$3:$C$12,0))*cadangan[[#This Row],[Qty A]],0)</f>
        <v>200000</v>
      </c>
      <c r="M275" s="39" t="str">
        <f>IFERROR(INDEX(Katalog!$A$3:$A$12,MATCH(cadangan[[#This Row],[ItemID B]],Katalog!$C$3:$C$12,0)),"-")</f>
        <v>-</v>
      </c>
      <c r="N275" s="39" t="str">
        <f>IFERROR(INDEX(Katalog!$B$3:$B$12,MATCH(cadangan[[#This Row],[ItemID B]],Katalog!$C$3:$C$12,0)),"-")</f>
        <v>-</v>
      </c>
      <c r="Q275" s="73">
        <f>IFERROR(INDEX(Katalog!$D$3:$D$12,MATCH(cadangan[[#This Row],[ItemID B]],Katalog!$C$3:$C$12,0))*cadangan[[#This Row],[Qty B]],0)</f>
        <v>0</v>
      </c>
      <c r="R275" s="73">
        <f>IFERROR(cadangan[[#This Row],[Harga Normal B]]-(cadangan[[#This Row],[Harga Normal B]]*cadangan[[#This Row],[Diskon]]),cadangan[[#This Row],[Harga Normal B]])</f>
        <v>0</v>
      </c>
      <c r="S275" s="73">
        <f>IFERROR(INDEX(Katalog!$F$3:$F$12,MATCH(cadangan[[#This Row],[ItemID B]],Katalog!$C$3:$C$12,0))*cadangan[[#This Row],[Qty B]],0)</f>
        <v>0</v>
      </c>
      <c r="T275" s="73">
        <f>IFERROR(cadangan[[#This Row],[Harga Diskon B]]-INDEX(Katalog!$E$3:$E$12,MATCH(cadangan[[#This Row],[ItemID B]],Katalog!$C$3:$C$12,0))*cadangan[[#This Row],[Qty B]],0)</f>
        <v>0</v>
      </c>
      <c r="V275" s="39" t="str">
        <f>IFERROR(INDEX(Katalog!$A$3:$A$12,MATCH(cadangan[[#This Row],[ItemID C]],Katalog!$C$3:$C$12,0)),"-")</f>
        <v>-</v>
      </c>
      <c r="W275" s="39" t="str">
        <f>IFERROR(INDEX(Katalog!$B$3:$B$12,MATCH(cadangan[[#This Row],[ItemID C]],Katalog!$C$3:$C$12,0)),"-")</f>
        <v>-</v>
      </c>
      <c r="Z275" s="73">
        <f>IFERROR(INDEX(Katalog!$D$3:$D$12,MATCH(cadangan[[#This Row],[ItemID C]],Katalog!$C$3:$C$12,0))*cadangan[[#This Row],[Qty C]],0)</f>
        <v>0</v>
      </c>
      <c r="AA275" s="73">
        <f>IFERROR(cadangan[[#This Row],[Harga Normal C]]-(cadangan[[#This Row],[Harga Normal C]]*cadangan[[#This Row],[Diskon]]),cadangan[[#This Row],[Harga Normal C]])</f>
        <v>0</v>
      </c>
      <c r="AB275" s="73">
        <f>IFERROR(INDEX(Katalog!$F$3:$F$12,MATCH(cadangan[[#This Row],[ItemID C]],Katalog!$C$3:$C$12,0))*cadangan[[#This Row],[Qty C]],0)</f>
        <v>0</v>
      </c>
      <c r="AC275" s="73">
        <f>IFERROR(cadangan[[#This Row],[Harga Diskon C]]-INDEX(Katalog!$E$3:$E$12,MATCH(cadangan[[#This Row],[ItemID C]],Katalog!$C$3:$C$12,0))*cadangan[[#This Row],[Qty C]],0)</f>
        <v>0</v>
      </c>
      <c r="AD275" s="53">
        <f>cadangan[[#This Row],[Qty A]]+cadangan[[#This Row],[Qty B]]+cadangan[[#This Row],[Qty C]]</f>
        <v>4</v>
      </c>
      <c r="AE275" s="73">
        <f>cadangan[[#This Row],[Harga Normal A]]+cadangan[[#This Row],[Harga Normal B]]+cadangan[[#This Row],[Harga Normal C]]</f>
        <v>1000000</v>
      </c>
      <c r="AF275" s="73">
        <f>cadangan[[#This Row],[Harga Diskon A]]+cadangan[[#This Row],[Harga Diskon B]]+cadangan[[#This Row],[Harga Diskon C]]</f>
        <v>800000</v>
      </c>
      <c r="AG275" s="73">
        <f>(cadangan[[#This Row],[Profit Normal A]]+cadangan[[#This Row],[Profit Normal B]]+cadangan[[#This Row],[Profit Normal C]])</f>
        <v>400000</v>
      </c>
      <c r="AH275" s="73">
        <f>cadangan[[#This Row],[Profit Diskon A]]+cadangan[[#This Row],[Profit Diskon B]]+cadangan[[#This Row],[Profit Diskon C]]</f>
        <v>200000</v>
      </c>
      <c r="AI275" s="23" t="s">
        <v>8</v>
      </c>
      <c r="AJ275" s="37">
        <f>IFERROR(INDEX('Kode Diskon'!$D$3:$D$9,MATCH(cadangan[[#This Row],[Kode diskon]],'Kode Diskon'!$C$3:$C$9,0)),"-")</f>
        <v>0.2</v>
      </c>
      <c r="AK275" s="23" t="s">
        <v>9</v>
      </c>
      <c r="AL275" s="23" t="s">
        <v>7</v>
      </c>
      <c r="AM275" s="23" t="s">
        <v>80</v>
      </c>
      <c r="AN275" s="55">
        <v>45036</v>
      </c>
      <c r="AO275" s="53">
        <f>DAY(cadangan[[#This Row],[Tanggal terjual]])</f>
        <v>20</v>
      </c>
      <c r="AP275" s="21" t="str">
        <f>TEXT(cadangan[[#This Row],[Tanggal terjual]],"dddd")</f>
        <v>Thursday</v>
      </c>
      <c r="AQ275" s="23" t="str" cm="1">
        <f t="array" ref="AQ2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75" s="61">
        <f>AVERAGE(cadangan[[#This Row],[Rating A]],cadangan[[#This Row],[Rating B]],cadangan[[#This Row],[Rating C]])</f>
        <v>4</v>
      </c>
    </row>
    <row r="276" spans="1:44" x14ac:dyDescent="0.2">
      <c r="A276" s="20">
        <v>275</v>
      </c>
      <c r="B276" s="21" t="str">
        <f>_xlfn.CONCAT("ORD-",INDEX(Helper!$B$2:$B$5,MATCH(cadangan[[#This Row],[Marketplace]],Helper!$A$2:$A$5,0)),TEXT(cadangan[[#This Row],[No]],"0000"),"-",TEXT(cadangan[[#This Row],[Tanggal terjual]],"dd/mm/yy"))</f>
        <v>ORD-SP0275-01/04/23</v>
      </c>
      <c r="C276" s="39" t="s">
        <v>67</v>
      </c>
      <c r="D276" s="39" t="str">
        <f>IFERROR(INDEX(Katalog!$A$3:$A$12,MATCH(cadangan[[#This Row],[ItemID A]],Katalog!$C$3:$C$12,0)),"-")</f>
        <v>Sepatu Wanita</v>
      </c>
      <c r="E276" s="39" t="str">
        <f>IFERROR(INDEX(Katalog!$B$3:$B$12,MATCH(cadangan[[#This Row],[ItemID A]],Katalog!$C$3:$C$12,0)),"-")</f>
        <v>Flat Shoes</v>
      </c>
      <c r="F276" s="50">
        <v>1</v>
      </c>
      <c r="G276" s="50">
        <v>1</v>
      </c>
      <c r="H276" s="73">
        <f>IFERROR(INDEX(Katalog!$D$3:$D$12,MATCH(cadangan[[#This Row],[ItemID A]],Katalog!$C$3:$C$12,0))*cadangan[[#This Row],[Qty A]],0)</f>
        <v>250000</v>
      </c>
      <c r="I276" s="73">
        <f>IFERROR(cadangan[[#This Row],[Harga Normal A]]-(cadangan[[#This Row],[Harga Normal A]]*cadangan[[#This Row],[Diskon]]),cadangan[[#This Row],[Harga Normal A]])</f>
        <v>212500</v>
      </c>
      <c r="J276" s="73">
        <f>INDEX(Katalog!$F$3:$F$12,MATCH(cadangan[[#This Row],[ItemID A]],Katalog!$C$3:$C$12,0))*cadangan[[#This Row],[Qty A]]</f>
        <v>100000</v>
      </c>
      <c r="K276" s="73">
        <f>IFERROR(cadangan[[#This Row],[Harga Diskon A]]-INDEX(Katalog!$E$3:$E$12,MATCH(cadangan[[#This Row],[ItemID A]],Katalog!$C$3:$C$12,0))*cadangan[[#This Row],[Qty A]],0)</f>
        <v>62500</v>
      </c>
      <c r="M276" s="39" t="str">
        <f>IFERROR(INDEX(Katalog!$A$3:$A$12,MATCH(cadangan[[#This Row],[ItemID B]],Katalog!$C$3:$C$12,0)),"-")</f>
        <v>-</v>
      </c>
      <c r="N276" s="39" t="str">
        <f>IFERROR(INDEX(Katalog!$B$3:$B$12,MATCH(cadangan[[#This Row],[ItemID B]],Katalog!$C$3:$C$12,0)),"-")</f>
        <v>-</v>
      </c>
      <c r="Q276" s="73">
        <f>IFERROR(INDEX(Katalog!$D$3:$D$12,MATCH(cadangan[[#This Row],[ItemID B]],Katalog!$C$3:$C$12,0))*cadangan[[#This Row],[Qty B]],0)</f>
        <v>0</v>
      </c>
      <c r="R276" s="73">
        <f>IFERROR(cadangan[[#This Row],[Harga Normal B]]-(cadangan[[#This Row],[Harga Normal B]]*cadangan[[#This Row],[Diskon]]),cadangan[[#This Row],[Harga Normal B]])</f>
        <v>0</v>
      </c>
      <c r="S276" s="73">
        <f>IFERROR(INDEX(Katalog!$F$3:$F$12,MATCH(cadangan[[#This Row],[ItemID B]],Katalog!$C$3:$C$12,0))*cadangan[[#This Row],[Qty B]],0)</f>
        <v>0</v>
      </c>
      <c r="T276" s="73">
        <f>IFERROR(cadangan[[#This Row],[Harga Diskon B]]-INDEX(Katalog!$E$3:$E$12,MATCH(cadangan[[#This Row],[ItemID B]],Katalog!$C$3:$C$12,0))*cadangan[[#This Row],[Qty B]],0)</f>
        <v>0</v>
      </c>
      <c r="V276" s="39" t="str">
        <f>IFERROR(INDEX(Katalog!$A$3:$A$12,MATCH(cadangan[[#This Row],[ItemID C]],Katalog!$C$3:$C$12,0)),"-")</f>
        <v>-</v>
      </c>
      <c r="W276" s="39" t="str">
        <f>IFERROR(INDEX(Katalog!$B$3:$B$12,MATCH(cadangan[[#This Row],[ItemID C]],Katalog!$C$3:$C$12,0)),"-")</f>
        <v>-</v>
      </c>
      <c r="Z276" s="73">
        <f>IFERROR(INDEX(Katalog!$D$3:$D$12,MATCH(cadangan[[#This Row],[ItemID C]],Katalog!$C$3:$C$12,0))*cadangan[[#This Row],[Qty C]],0)</f>
        <v>0</v>
      </c>
      <c r="AA276" s="73">
        <f>IFERROR(cadangan[[#This Row],[Harga Normal C]]-(cadangan[[#This Row],[Harga Normal C]]*cadangan[[#This Row],[Diskon]]),cadangan[[#This Row],[Harga Normal C]])</f>
        <v>0</v>
      </c>
      <c r="AB276" s="73">
        <f>IFERROR(INDEX(Katalog!$F$3:$F$12,MATCH(cadangan[[#This Row],[ItemID C]],Katalog!$C$3:$C$12,0))*cadangan[[#This Row],[Qty C]],0)</f>
        <v>0</v>
      </c>
      <c r="AC276" s="73">
        <f>IFERROR(cadangan[[#This Row],[Harga Diskon C]]-INDEX(Katalog!$E$3:$E$12,MATCH(cadangan[[#This Row],[ItemID C]],Katalog!$C$3:$C$12,0))*cadangan[[#This Row],[Qty C]],0)</f>
        <v>0</v>
      </c>
      <c r="AD276" s="53">
        <f>cadangan[[#This Row],[Qty A]]+cadangan[[#This Row],[Qty B]]+cadangan[[#This Row],[Qty C]]</f>
        <v>1</v>
      </c>
      <c r="AE276" s="73">
        <f>cadangan[[#This Row],[Harga Normal A]]+cadangan[[#This Row],[Harga Normal B]]+cadangan[[#This Row],[Harga Normal C]]</f>
        <v>250000</v>
      </c>
      <c r="AF276" s="73">
        <f>cadangan[[#This Row],[Harga Diskon A]]+cadangan[[#This Row],[Harga Diskon B]]+cadangan[[#This Row],[Harga Diskon C]]</f>
        <v>212500</v>
      </c>
      <c r="AG276" s="73">
        <f>(cadangan[[#This Row],[Profit Normal A]]+cadangan[[#This Row],[Profit Normal B]]+cadangan[[#This Row],[Profit Normal C]])</f>
        <v>100000</v>
      </c>
      <c r="AH276" s="73">
        <f>cadangan[[#This Row],[Profit Diskon A]]+cadangan[[#This Row],[Profit Diskon B]]+cadangan[[#This Row],[Profit Diskon C]]</f>
        <v>62500</v>
      </c>
      <c r="AI276" s="23" t="s">
        <v>13</v>
      </c>
      <c r="AJ276" s="37">
        <f>IFERROR(INDEX('Kode Diskon'!$D$3:$D$9,MATCH(cadangan[[#This Row],[Kode diskon]],'Kode Diskon'!$C$3:$C$9,0)),"-")</f>
        <v>0.15</v>
      </c>
      <c r="AK276" s="23" t="s">
        <v>29</v>
      </c>
      <c r="AL276" s="23" t="s">
        <v>7</v>
      </c>
      <c r="AM276" s="23" t="s">
        <v>79</v>
      </c>
      <c r="AN276" s="55">
        <v>45017</v>
      </c>
      <c r="AO276" s="53">
        <f>DAY(cadangan[[#This Row],[Tanggal terjual]])</f>
        <v>1</v>
      </c>
      <c r="AP276" s="21" t="str">
        <f>TEXT(cadangan[[#This Row],[Tanggal terjual]],"dddd")</f>
        <v>Saturday</v>
      </c>
      <c r="AQ276" s="23" t="str" cm="1">
        <f t="array" ref="AQ2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76" s="61">
        <f>AVERAGE(cadangan[[#This Row],[Rating A]],cadangan[[#This Row],[Rating B]],cadangan[[#This Row],[Rating C]])</f>
        <v>1</v>
      </c>
    </row>
    <row r="277" spans="1:44" x14ac:dyDescent="0.2">
      <c r="A277" s="20">
        <v>276</v>
      </c>
      <c r="B277" s="21" t="str">
        <f>_xlfn.CONCAT("ORD-",INDEX(Helper!$B$2:$B$5,MATCH(cadangan[[#This Row],[Marketplace]],Helper!$A$2:$A$5,0)),TEXT(cadangan[[#This Row],[No]],"0000"),"-",TEXT(cadangan[[#This Row],[Tanggal terjual]],"dd/mm/yy"))</f>
        <v>ORD-TK0276-06/04/23</v>
      </c>
      <c r="C277" s="39" t="s">
        <v>66</v>
      </c>
      <c r="D277" s="39" t="str">
        <f>IFERROR(INDEX(Katalog!$A$3:$A$12,MATCH(cadangan[[#This Row],[ItemID A]],Katalog!$C$3:$C$12,0)),"-")</f>
        <v>Sepatu Pria</v>
      </c>
      <c r="E277" s="39" t="str">
        <f>IFERROR(INDEX(Katalog!$B$3:$B$12,MATCH(cadangan[[#This Row],[ItemID A]],Katalog!$C$3:$C$12,0)),"-")</f>
        <v>Sandal Slip On</v>
      </c>
      <c r="F277" s="50">
        <v>1</v>
      </c>
      <c r="G277" s="50">
        <v>5</v>
      </c>
      <c r="H277" s="73">
        <f>IFERROR(INDEX(Katalog!$D$3:$D$12,MATCH(cadangan[[#This Row],[ItemID A]],Katalog!$C$3:$C$12,0))*cadangan[[#This Row],[Qty A]],0)</f>
        <v>150000</v>
      </c>
      <c r="I277" s="73">
        <f>IFERROR(cadangan[[#This Row],[Harga Normal A]]-(cadangan[[#This Row],[Harga Normal A]]*cadangan[[#This Row],[Diskon]]),cadangan[[#This Row],[Harga Normal A]])</f>
        <v>135000</v>
      </c>
      <c r="J277" s="73">
        <f>INDEX(Katalog!$F$3:$F$12,MATCH(cadangan[[#This Row],[ItemID A]],Katalog!$C$3:$C$12,0))*cadangan[[#This Row],[Qty A]]</f>
        <v>60000</v>
      </c>
      <c r="K277" s="73">
        <f>IFERROR(cadangan[[#This Row],[Harga Diskon A]]-INDEX(Katalog!$E$3:$E$12,MATCH(cadangan[[#This Row],[ItemID A]],Katalog!$C$3:$C$12,0))*cadangan[[#This Row],[Qty A]],0)</f>
        <v>45000</v>
      </c>
      <c r="L277" s="39" t="s">
        <v>58</v>
      </c>
      <c r="M277" s="39" t="str">
        <f>IFERROR(INDEX(Katalog!$A$3:$A$12,MATCH(cadangan[[#This Row],[ItemID B]],Katalog!$C$3:$C$12,0)),"-")</f>
        <v>Pakaian Wanita</v>
      </c>
      <c r="N277" s="39" t="str">
        <f>IFERROR(INDEX(Katalog!$B$3:$B$12,MATCH(cadangan[[#This Row],[ItemID B]],Katalog!$C$3:$C$12,0)),"-")</f>
        <v>Dress</v>
      </c>
      <c r="O277" s="50">
        <v>1</v>
      </c>
      <c r="P277" s="50">
        <v>2</v>
      </c>
      <c r="Q277" s="73">
        <f>IFERROR(INDEX(Katalog!$D$3:$D$12,MATCH(cadangan[[#This Row],[ItemID B]],Katalog!$C$3:$C$12,0))*cadangan[[#This Row],[Qty B]],0)</f>
        <v>300000</v>
      </c>
      <c r="R277" s="73">
        <f>IFERROR(cadangan[[#This Row],[Harga Normal B]]-(cadangan[[#This Row],[Harga Normal B]]*cadangan[[#This Row],[Diskon]]),cadangan[[#This Row],[Harga Normal B]])</f>
        <v>270000</v>
      </c>
      <c r="S277" s="73">
        <f>IFERROR(INDEX(Katalog!$F$3:$F$12,MATCH(cadangan[[#This Row],[ItemID B]],Katalog!$C$3:$C$12,0))*cadangan[[#This Row],[Qty B]],0)</f>
        <v>100000</v>
      </c>
      <c r="T277" s="73">
        <f>IFERROR(cadangan[[#This Row],[Harga Diskon B]]-INDEX(Katalog!$E$3:$E$12,MATCH(cadangan[[#This Row],[ItemID B]],Katalog!$C$3:$C$12,0))*cadangan[[#This Row],[Qty B]],0)</f>
        <v>70000</v>
      </c>
      <c r="V277" s="39" t="str">
        <f>IFERROR(INDEX(Katalog!$A$3:$A$12,MATCH(cadangan[[#This Row],[ItemID C]],Katalog!$C$3:$C$12,0)),"-")</f>
        <v>-</v>
      </c>
      <c r="W277" s="39" t="str">
        <f>IFERROR(INDEX(Katalog!$B$3:$B$12,MATCH(cadangan[[#This Row],[ItemID C]],Katalog!$C$3:$C$12,0)),"-")</f>
        <v>-</v>
      </c>
      <c r="Z277" s="73">
        <f>IFERROR(INDEX(Katalog!$D$3:$D$12,MATCH(cadangan[[#This Row],[ItemID C]],Katalog!$C$3:$C$12,0))*cadangan[[#This Row],[Qty C]],0)</f>
        <v>0</v>
      </c>
      <c r="AA277" s="73">
        <f>IFERROR(cadangan[[#This Row],[Harga Normal C]]-(cadangan[[#This Row],[Harga Normal C]]*cadangan[[#This Row],[Diskon]]),cadangan[[#This Row],[Harga Normal C]])</f>
        <v>0</v>
      </c>
      <c r="AB277" s="73">
        <f>IFERROR(INDEX(Katalog!$F$3:$F$12,MATCH(cadangan[[#This Row],[ItemID C]],Katalog!$C$3:$C$12,0))*cadangan[[#This Row],[Qty C]],0)</f>
        <v>0</v>
      </c>
      <c r="AC277" s="73">
        <f>IFERROR(cadangan[[#This Row],[Harga Diskon C]]-INDEX(Katalog!$E$3:$E$12,MATCH(cadangan[[#This Row],[ItemID C]],Katalog!$C$3:$C$12,0))*cadangan[[#This Row],[Qty C]],0)</f>
        <v>0</v>
      </c>
      <c r="AD277" s="53">
        <f>cadangan[[#This Row],[Qty A]]+cadangan[[#This Row],[Qty B]]+cadangan[[#This Row],[Qty C]]</f>
        <v>2</v>
      </c>
      <c r="AE277" s="73">
        <f>cadangan[[#This Row],[Harga Normal A]]+cadangan[[#This Row],[Harga Normal B]]+cadangan[[#This Row],[Harga Normal C]]</f>
        <v>450000</v>
      </c>
      <c r="AF277" s="73">
        <f>cadangan[[#This Row],[Harga Diskon A]]+cadangan[[#This Row],[Harga Diskon B]]+cadangan[[#This Row],[Harga Diskon C]]</f>
        <v>405000</v>
      </c>
      <c r="AG277" s="73">
        <f>(cadangan[[#This Row],[Profit Normal A]]+cadangan[[#This Row],[Profit Normal B]]+cadangan[[#This Row],[Profit Normal C]])</f>
        <v>160000</v>
      </c>
      <c r="AH277" s="73">
        <f>cadangan[[#This Row],[Profit Diskon A]]+cadangan[[#This Row],[Profit Diskon B]]+cadangan[[#This Row],[Profit Diskon C]]</f>
        <v>115000</v>
      </c>
      <c r="AI277" s="23" t="s">
        <v>30</v>
      </c>
      <c r="AJ277" s="37">
        <f>IFERROR(INDEX('Kode Diskon'!$D$3:$D$9,MATCH(cadangan[[#This Row],[Kode diskon]],'Kode Diskon'!$C$3:$C$9,0)),"-")</f>
        <v>0.1</v>
      </c>
      <c r="AK277" s="23" t="s">
        <v>29</v>
      </c>
      <c r="AL277" s="23" t="s">
        <v>10</v>
      </c>
      <c r="AM277" s="23" t="s">
        <v>75</v>
      </c>
      <c r="AN277" s="55">
        <v>45022</v>
      </c>
      <c r="AO277" s="53">
        <f>DAY(cadangan[[#This Row],[Tanggal terjual]])</f>
        <v>6</v>
      </c>
      <c r="AP277" s="21" t="str">
        <f>TEXT(cadangan[[#This Row],[Tanggal terjual]],"dddd")</f>
        <v>Thursday</v>
      </c>
      <c r="AQ277" s="23" t="str" cm="1">
        <f t="array" ref="AQ2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77" s="61">
        <f>AVERAGE(cadangan[[#This Row],[Rating A]],cadangan[[#This Row],[Rating B]],cadangan[[#This Row],[Rating C]])</f>
        <v>3.5</v>
      </c>
    </row>
    <row r="278" spans="1:44" x14ac:dyDescent="0.2">
      <c r="A278" s="20">
        <v>277</v>
      </c>
      <c r="B278" s="21" t="str">
        <f>_xlfn.CONCAT("ORD-",INDEX(Helper!$B$2:$B$5,MATCH(cadangan[[#This Row],[Marketplace]],Helper!$A$2:$A$5,0)),TEXT(cadangan[[#This Row],[No]],"0000"),"-",TEXT(cadangan[[#This Row],[Tanggal terjual]],"dd/mm/yy"))</f>
        <v>ORD-BL0277-21/04/23</v>
      </c>
      <c r="C278" s="39" t="s">
        <v>59</v>
      </c>
      <c r="D278" s="39" t="str">
        <f>IFERROR(INDEX(Katalog!$A$3:$A$12,MATCH(cadangan[[#This Row],[ItemID A]],Katalog!$C$3:$C$12,0)),"-")</f>
        <v>Pakaian Wanita</v>
      </c>
      <c r="E278" s="39" t="str">
        <f>IFERROR(INDEX(Katalog!$B$3:$B$12,MATCH(cadangan[[#This Row],[ItemID A]],Katalog!$C$3:$C$12,0)),"-")</f>
        <v>Blouse</v>
      </c>
      <c r="F278" s="50">
        <v>2</v>
      </c>
      <c r="G278" s="50">
        <v>5</v>
      </c>
      <c r="H278" s="73">
        <f>IFERROR(INDEX(Katalog!$D$3:$D$12,MATCH(cadangan[[#This Row],[ItemID A]],Katalog!$C$3:$C$12,0))*cadangan[[#This Row],[Qty A]],0)</f>
        <v>300000</v>
      </c>
      <c r="I278" s="73">
        <f>IFERROR(cadangan[[#This Row],[Harga Normal A]]-(cadangan[[#This Row],[Harga Normal A]]*cadangan[[#This Row],[Diskon]]),cadangan[[#This Row],[Harga Normal A]])</f>
        <v>255000</v>
      </c>
      <c r="J278" s="73">
        <f>INDEX(Katalog!$F$3:$F$12,MATCH(cadangan[[#This Row],[ItemID A]],Katalog!$C$3:$C$12,0))*cadangan[[#This Row],[Qty A]]</f>
        <v>100000</v>
      </c>
      <c r="K278" s="73">
        <f>IFERROR(cadangan[[#This Row],[Harga Diskon A]]-INDEX(Katalog!$E$3:$E$12,MATCH(cadangan[[#This Row],[ItemID A]],Katalog!$C$3:$C$12,0))*cadangan[[#This Row],[Qty A]],0)</f>
        <v>55000</v>
      </c>
      <c r="M278" s="39" t="str">
        <f>IFERROR(INDEX(Katalog!$A$3:$A$12,MATCH(cadangan[[#This Row],[ItemID B]],Katalog!$C$3:$C$12,0)),"-")</f>
        <v>-</v>
      </c>
      <c r="N278" s="39" t="str">
        <f>IFERROR(INDEX(Katalog!$B$3:$B$12,MATCH(cadangan[[#This Row],[ItemID B]],Katalog!$C$3:$C$12,0)),"-")</f>
        <v>-</v>
      </c>
      <c r="Q278" s="73">
        <f>IFERROR(INDEX(Katalog!$D$3:$D$12,MATCH(cadangan[[#This Row],[ItemID B]],Katalog!$C$3:$C$12,0))*cadangan[[#This Row],[Qty B]],0)</f>
        <v>0</v>
      </c>
      <c r="R278" s="73">
        <f>IFERROR(cadangan[[#This Row],[Harga Normal B]]-(cadangan[[#This Row],[Harga Normal B]]*cadangan[[#This Row],[Diskon]]),cadangan[[#This Row],[Harga Normal B]])</f>
        <v>0</v>
      </c>
      <c r="S278" s="73">
        <f>IFERROR(INDEX(Katalog!$F$3:$F$12,MATCH(cadangan[[#This Row],[ItemID B]],Katalog!$C$3:$C$12,0))*cadangan[[#This Row],[Qty B]],0)</f>
        <v>0</v>
      </c>
      <c r="T278" s="73">
        <f>IFERROR(cadangan[[#This Row],[Harga Diskon B]]-INDEX(Katalog!$E$3:$E$12,MATCH(cadangan[[#This Row],[ItemID B]],Katalog!$C$3:$C$12,0))*cadangan[[#This Row],[Qty B]],0)</f>
        <v>0</v>
      </c>
      <c r="V278" s="39" t="str">
        <f>IFERROR(INDEX(Katalog!$A$3:$A$12,MATCH(cadangan[[#This Row],[ItemID C]],Katalog!$C$3:$C$12,0)),"-")</f>
        <v>-</v>
      </c>
      <c r="W278" s="39" t="str">
        <f>IFERROR(INDEX(Katalog!$B$3:$B$12,MATCH(cadangan[[#This Row],[ItemID C]],Katalog!$C$3:$C$12,0)),"-")</f>
        <v>-</v>
      </c>
      <c r="Z278" s="73">
        <f>IFERROR(INDEX(Katalog!$D$3:$D$12,MATCH(cadangan[[#This Row],[ItemID C]],Katalog!$C$3:$C$12,0))*cadangan[[#This Row],[Qty C]],0)</f>
        <v>0</v>
      </c>
      <c r="AA278" s="73">
        <f>IFERROR(cadangan[[#This Row],[Harga Normal C]]-(cadangan[[#This Row],[Harga Normal C]]*cadangan[[#This Row],[Diskon]]),cadangan[[#This Row],[Harga Normal C]])</f>
        <v>0</v>
      </c>
      <c r="AB278" s="73">
        <f>IFERROR(INDEX(Katalog!$F$3:$F$12,MATCH(cadangan[[#This Row],[ItemID C]],Katalog!$C$3:$C$12,0))*cadangan[[#This Row],[Qty C]],0)</f>
        <v>0</v>
      </c>
      <c r="AC278" s="73">
        <f>IFERROR(cadangan[[#This Row],[Harga Diskon C]]-INDEX(Katalog!$E$3:$E$12,MATCH(cadangan[[#This Row],[ItemID C]],Katalog!$C$3:$C$12,0))*cadangan[[#This Row],[Qty C]],0)</f>
        <v>0</v>
      </c>
      <c r="AD278" s="53">
        <f>cadangan[[#This Row],[Qty A]]+cadangan[[#This Row],[Qty B]]+cadangan[[#This Row],[Qty C]]</f>
        <v>2</v>
      </c>
      <c r="AE278" s="73">
        <f>cadangan[[#This Row],[Harga Normal A]]+cadangan[[#This Row],[Harga Normal B]]+cadangan[[#This Row],[Harga Normal C]]</f>
        <v>300000</v>
      </c>
      <c r="AF278" s="73">
        <f>cadangan[[#This Row],[Harga Diskon A]]+cadangan[[#This Row],[Harga Diskon B]]+cadangan[[#This Row],[Harga Diskon C]]</f>
        <v>255000</v>
      </c>
      <c r="AG278" s="73">
        <f>(cadangan[[#This Row],[Profit Normal A]]+cadangan[[#This Row],[Profit Normal B]]+cadangan[[#This Row],[Profit Normal C]])</f>
        <v>100000</v>
      </c>
      <c r="AH278" s="73">
        <f>cadangan[[#This Row],[Profit Diskon A]]+cadangan[[#This Row],[Profit Diskon B]]+cadangan[[#This Row],[Profit Diskon C]]</f>
        <v>55000</v>
      </c>
      <c r="AI278" s="23" t="s">
        <v>32</v>
      </c>
      <c r="AJ278" s="37">
        <f>IFERROR(INDEX('Kode Diskon'!$D$3:$D$9,MATCH(cadangan[[#This Row],[Kode diskon]],'Kode Diskon'!$C$3:$C$9,0)),"-")</f>
        <v>0.15</v>
      </c>
      <c r="AK278" s="23" t="s">
        <v>9</v>
      </c>
      <c r="AL278" s="23" t="s">
        <v>12</v>
      </c>
      <c r="AM278" s="23" t="s">
        <v>80</v>
      </c>
      <c r="AN278" s="55">
        <v>45037</v>
      </c>
      <c r="AO278" s="53">
        <f>DAY(cadangan[[#This Row],[Tanggal terjual]])</f>
        <v>21</v>
      </c>
      <c r="AP278" s="21" t="str">
        <f>TEXT(cadangan[[#This Row],[Tanggal terjual]],"dddd")</f>
        <v>Friday</v>
      </c>
      <c r="AQ278" s="23" t="str" cm="1">
        <f t="array" ref="AQ2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78" s="61">
        <f>AVERAGE(cadangan[[#This Row],[Rating A]],cadangan[[#This Row],[Rating B]],cadangan[[#This Row],[Rating C]])</f>
        <v>5</v>
      </c>
    </row>
    <row r="279" spans="1:44" x14ac:dyDescent="0.2">
      <c r="A279" s="20">
        <v>278</v>
      </c>
      <c r="B279" s="21" t="str">
        <f>_xlfn.CONCAT("ORD-",INDEX(Helper!$B$2:$B$5,MATCH(cadangan[[#This Row],[Marketplace]],Helper!$A$2:$A$5,0)),TEXT(cadangan[[#This Row],[No]],"0000"),"-",TEXT(cadangan[[#This Row],[Tanggal terjual]],"dd/mm/yy"))</f>
        <v>ORD-BL0278-24/04/23</v>
      </c>
      <c r="C279" s="39" t="s">
        <v>62</v>
      </c>
      <c r="D279" s="39" t="str">
        <f>IFERROR(INDEX(Katalog!$A$3:$A$12,MATCH(cadangan[[#This Row],[ItemID A]],Katalog!$C$3:$C$12,0)),"-")</f>
        <v>Pakaian Pria</v>
      </c>
      <c r="E279" s="39" t="str">
        <f>IFERROR(INDEX(Katalog!$B$3:$B$12,MATCH(cadangan[[#This Row],[ItemID A]],Katalog!$C$3:$C$12,0)),"-")</f>
        <v>Celana Pendek</v>
      </c>
      <c r="F279" s="50">
        <v>5</v>
      </c>
      <c r="G279" s="50">
        <v>3</v>
      </c>
      <c r="H279" s="73">
        <f>IFERROR(INDEX(Katalog!$D$3:$D$12,MATCH(cadangan[[#This Row],[ItemID A]],Katalog!$C$3:$C$12,0))*cadangan[[#This Row],[Qty A]],0)</f>
        <v>900000</v>
      </c>
      <c r="I279" s="73">
        <f>IFERROR(cadangan[[#This Row],[Harga Normal A]]-(cadangan[[#This Row],[Harga Normal A]]*cadangan[[#This Row],[Diskon]]),cadangan[[#This Row],[Harga Normal A]])</f>
        <v>765000</v>
      </c>
      <c r="J279" s="73">
        <f>INDEX(Katalog!$F$3:$F$12,MATCH(cadangan[[#This Row],[ItemID A]],Katalog!$C$3:$C$12,0))*cadangan[[#This Row],[Qty A]]</f>
        <v>350000</v>
      </c>
      <c r="K279" s="73">
        <f>IFERROR(cadangan[[#This Row],[Harga Diskon A]]-INDEX(Katalog!$E$3:$E$12,MATCH(cadangan[[#This Row],[ItemID A]],Katalog!$C$3:$C$12,0))*cadangan[[#This Row],[Qty A]],0)</f>
        <v>215000</v>
      </c>
      <c r="L279" s="39" t="s">
        <v>61</v>
      </c>
      <c r="M279" s="39" t="str">
        <f>IFERROR(INDEX(Katalog!$A$3:$A$12,MATCH(cadangan[[#This Row],[ItemID B]],Katalog!$C$3:$C$12,0)),"-")</f>
        <v>Pakaian Pria</v>
      </c>
      <c r="N279" s="39" t="str">
        <f>IFERROR(INDEX(Katalog!$B$3:$B$12,MATCH(cadangan[[#This Row],[ItemID B]],Katalog!$C$3:$C$12,0)),"-")</f>
        <v>Kaos Polo</v>
      </c>
      <c r="O279" s="50">
        <v>1</v>
      </c>
      <c r="P279" s="50">
        <v>1</v>
      </c>
      <c r="Q279" s="73">
        <f>IFERROR(INDEX(Katalog!$D$3:$D$12,MATCH(cadangan[[#This Row],[ItemID B]],Katalog!$C$3:$C$12,0))*cadangan[[#This Row],[Qty B]],0)</f>
        <v>200000</v>
      </c>
      <c r="R279" s="73">
        <f>IFERROR(cadangan[[#This Row],[Harga Normal B]]-(cadangan[[#This Row],[Harga Normal B]]*cadangan[[#This Row],[Diskon]]),cadangan[[#This Row],[Harga Normal B]])</f>
        <v>170000</v>
      </c>
      <c r="S279" s="73">
        <f>IFERROR(INDEX(Katalog!$F$3:$F$12,MATCH(cadangan[[#This Row],[ItemID B]],Katalog!$C$3:$C$12,0))*cadangan[[#This Row],[Qty B]],0)</f>
        <v>80000</v>
      </c>
      <c r="T279" s="73">
        <f>IFERROR(cadangan[[#This Row],[Harga Diskon B]]-INDEX(Katalog!$E$3:$E$12,MATCH(cadangan[[#This Row],[ItemID B]],Katalog!$C$3:$C$12,0))*cadangan[[#This Row],[Qty B]],0)</f>
        <v>50000</v>
      </c>
      <c r="V279" s="39" t="str">
        <f>IFERROR(INDEX(Katalog!$A$3:$A$12,MATCH(cadangan[[#This Row],[ItemID C]],Katalog!$C$3:$C$12,0)),"-")</f>
        <v>-</v>
      </c>
      <c r="W279" s="39" t="str">
        <f>IFERROR(INDEX(Katalog!$B$3:$B$12,MATCH(cadangan[[#This Row],[ItemID C]],Katalog!$C$3:$C$12,0)),"-")</f>
        <v>-</v>
      </c>
      <c r="Z279" s="73">
        <f>IFERROR(INDEX(Katalog!$D$3:$D$12,MATCH(cadangan[[#This Row],[ItemID C]],Katalog!$C$3:$C$12,0))*cadangan[[#This Row],[Qty C]],0)</f>
        <v>0</v>
      </c>
      <c r="AA279" s="73">
        <f>IFERROR(cadangan[[#This Row],[Harga Normal C]]-(cadangan[[#This Row],[Harga Normal C]]*cadangan[[#This Row],[Diskon]]),cadangan[[#This Row],[Harga Normal C]])</f>
        <v>0</v>
      </c>
      <c r="AB279" s="73">
        <f>IFERROR(INDEX(Katalog!$F$3:$F$12,MATCH(cadangan[[#This Row],[ItemID C]],Katalog!$C$3:$C$12,0))*cadangan[[#This Row],[Qty C]],0)</f>
        <v>0</v>
      </c>
      <c r="AC279" s="73">
        <f>IFERROR(cadangan[[#This Row],[Harga Diskon C]]-INDEX(Katalog!$E$3:$E$12,MATCH(cadangan[[#This Row],[ItemID C]],Katalog!$C$3:$C$12,0))*cadangan[[#This Row],[Qty C]],0)</f>
        <v>0</v>
      </c>
      <c r="AD279" s="53">
        <f>cadangan[[#This Row],[Qty A]]+cadangan[[#This Row],[Qty B]]+cadangan[[#This Row],[Qty C]]</f>
        <v>6</v>
      </c>
      <c r="AE279" s="73">
        <f>cadangan[[#This Row],[Harga Normal A]]+cadangan[[#This Row],[Harga Normal B]]+cadangan[[#This Row],[Harga Normal C]]</f>
        <v>1100000</v>
      </c>
      <c r="AF279" s="73">
        <f>cadangan[[#This Row],[Harga Diskon A]]+cadangan[[#This Row],[Harga Diskon B]]+cadangan[[#This Row],[Harga Diskon C]]</f>
        <v>935000</v>
      </c>
      <c r="AG279" s="73">
        <f>(cadangan[[#This Row],[Profit Normal A]]+cadangan[[#This Row],[Profit Normal B]]+cadangan[[#This Row],[Profit Normal C]])</f>
        <v>430000</v>
      </c>
      <c r="AH279" s="73">
        <f>cadangan[[#This Row],[Profit Diskon A]]+cadangan[[#This Row],[Profit Diskon B]]+cadangan[[#This Row],[Profit Diskon C]]</f>
        <v>265000</v>
      </c>
      <c r="AI279" s="23" t="s">
        <v>32</v>
      </c>
      <c r="AJ279" s="37">
        <f>IFERROR(INDEX('Kode Diskon'!$D$3:$D$9,MATCH(cadangan[[#This Row],[Kode diskon]],'Kode Diskon'!$C$3:$C$9,0)),"-")</f>
        <v>0.15</v>
      </c>
      <c r="AK279" s="23" t="s">
        <v>9</v>
      </c>
      <c r="AL279" s="23" t="s">
        <v>12</v>
      </c>
      <c r="AM279" s="23" t="s">
        <v>80</v>
      </c>
      <c r="AN279" s="55">
        <v>45040</v>
      </c>
      <c r="AO279" s="53">
        <f>DAY(cadangan[[#This Row],[Tanggal terjual]])</f>
        <v>24</v>
      </c>
      <c r="AP279" s="21" t="str">
        <f>TEXT(cadangan[[#This Row],[Tanggal terjual]],"dddd")</f>
        <v>Monday</v>
      </c>
      <c r="AQ279" s="23" t="str" cm="1">
        <f t="array" ref="AQ2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79" s="61">
        <f>AVERAGE(cadangan[[#This Row],[Rating A]],cadangan[[#This Row],[Rating B]],cadangan[[#This Row],[Rating C]])</f>
        <v>2</v>
      </c>
    </row>
    <row r="280" spans="1:44" x14ac:dyDescent="0.2">
      <c r="A280" s="20">
        <v>279</v>
      </c>
      <c r="B280" s="21" t="str">
        <f>_xlfn.CONCAT("ORD-",INDEX(Helper!$B$2:$B$5,MATCH(cadangan[[#This Row],[Marketplace]],Helper!$A$2:$A$5,0)),TEXT(cadangan[[#This Row],[No]],"0000"),"-",TEXT(cadangan[[#This Row],[Tanggal terjual]],"dd/mm/yy"))</f>
        <v>ORD-SP0279-01/04/23</v>
      </c>
      <c r="C280" s="39" t="s">
        <v>63</v>
      </c>
      <c r="D280" s="39" t="str">
        <f>IFERROR(INDEX(Katalog!$A$3:$A$12,MATCH(cadangan[[#This Row],[ItemID A]],Katalog!$C$3:$C$12,0)),"-")</f>
        <v>Pakaian Pria</v>
      </c>
      <c r="E280" s="39" t="str">
        <f>IFERROR(INDEX(Katalog!$B$3:$B$12,MATCH(cadangan[[#This Row],[ItemID A]],Katalog!$C$3:$C$12,0)),"-")</f>
        <v>Jaket Jeans</v>
      </c>
      <c r="F280" s="50">
        <v>1</v>
      </c>
      <c r="G280" s="50">
        <v>5</v>
      </c>
      <c r="H280" s="73">
        <f>IFERROR(INDEX(Katalog!$D$3:$D$12,MATCH(cadangan[[#This Row],[ItemID A]],Katalog!$C$3:$C$12,0))*cadangan[[#This Row],[Qty A]],0)</f>
        <v>400000</v>
      </c>
      <c r="I280" s="73">
        <f>IFERROR(cadangan[[#This Row],[Harga Normal A]]-(cadangan[[#This Row],[Harga Normal A]]*cadangan[[#This Row],[Diskon]]),cadangan[[#This Row],[Harga Normal A]])</f>
        <v>340000</v>
      </c>
      <c r="J280" s="73">
        <f>INDEX(Katalog!$F$3:$F$12,MATCH(cadangan[[#This Row],[ItemID A]],Katalog!$C$3:$C$12,0))*cadangan[[#This Row],[Qty A]]</f>
        <v>150000</v>
      </c>
      <c r="K280" s="73">
        <f>IFERROR(cadangan[[#This Row],[Harga Diskon A]]-INDEX(Katalog!$E$3:$E$12,MATCH(cadangan[[#This Row],[ItemID A]],Katalog!$C$3:$C$12,0))*cadangan[[#This Row],[Qty A]],0)</f>
        <v>90000</v>
      </c>
      <c r="M280" s="39" t="str">
        <f>IFERROR(INDEX(Katalog!$A$3:$A$12,MATCH(cadangan[[#This Row],[ItemID B]],Katalog!$C$3:$C$12,0)),"-")</f>
        <v>-</v>
      </c>
      <c r="N280" s="39" t="str">
        <f>IFERROR(INDEX(Katalog!$B$3:$B$12,MATCH(cadangan[[#This Row],[ItemID B]],Katalog!$C$3:$C$12,0)),"-")</f>
        <v>-</v>
      </c>
      <c r="Q280" s="73">
        <f>IFERROR(INDEX(Katalog!$D$3:$D$12,MATCH(cadangan[[#This Row],[ItemID B]],Katalog!$C$3:$C$12,0))*cadangan[[#This Row],[Qty B]],0)</f>
        <v>0</v>
      </c>
      <c r="R280" s="73">
        <f>IFERROR(cadangan[[#This Row],[Harga Normal B]]-(cadangan[[#This Row],[Harga Normal B]]*cadangan[[#This Row],[Diskon]]),cadangan[[#This Row],[Harga Normal B]])</f>
        <v>0</v>
      </c>
      <c r="S280" s="73">
        <f>IFERROR(INDEX(Katalog!$F$3:$F$12,MATCH(cadangan[[#This Row],[ItemID B]],Katalog!$C$3:$C$12,0))*cadangan[[#This Row],[Qty B]],0)</f>
        <v>0</v>
      </c>
      <c r="T280" s="73">
        <f>IFERROR(cadangan[[#This Row],[Harga Diskon B]]-INDEX(Katalog!$E$3:$E$12,MATCH(cadangan[[#This Row],[ItemID B]],Katalog!$C$3:$C$12,0))*cadangan[[#This Row],[Qty B]],0)</f>
        <v>0</v>
      </c>
      <c r="V280" s="39" t="str">
        <f>IFERROR(INDEX(Katalog!$A$3:$A$12,MATCH(cadangan[[#This Row],[ItemID C]],Katalog!$C$3:$C$12,0)),"-")</f>
        <v>-</v>
      </c>
      <c r="W280" s="39" t="str">
        <f>IFERROR(INDEX(Katalog!$B$3:$B$12,MATCH(cadangan[[#This Row],[ItemID C]],Katalog!$C$3:$C$12,0)),"-")</f>
        <v>-</v>
      </c>
      <c r="Z280" s="73">
        <f>IFERROR(INDEX(Katalog!$D$3:$D$12,MATCH(cadangan[[#This Row],[ItemID C]],Katalog!$C$3:$C$12,0))*cadangan[[#This Row],[Qty C]],0)</f>
        <v>0</v>
      </c>
      <c r="AA280" s="73">
        <f>IFERROR(cadangan[[#This Row],[Harga Normal C]]-(cadangan[[#This Row],[Harga Normal C]]*cadangan[[#This Row],[Diskon]]),cadangan[[#This Row],[Harga Normal C]])</f>
        <v>0</v>
      </c>
      <c r="AB280" s="73">
        <f>IFERROR(INDEX(Katalog!$F$3:$F$12,MATCH(cadangan[[#This Row],[ItemID C]],Katalog!$C$3:$C$12,0))*cadangan[[#This Row],[Qty C]],0)</f>
        <v>0</v>
      </c>
      <c r="AC280" s="73">
        <f>IFERROR(cadangan[[#This Row],[Harga Diskon C]]-INDEX(Katalog!$E$3:$E$12,MATCH(cadangan[[#This Row],[ItemID C]],Katalog!$C$3:$C$12,0))*cadangan[[#This Row],[Qty C]],0)</f>
        <v>0</v>
      </c>
      <c r="AD280" s="53">
        <f>cadangan[[#This Row],[Qty A]]+cadangan[[#This Row],[Qty B]]+cadangan[[#This Row],[Qty C]]</f>
        <v>1</v>
      </c>
      <c r="AE280" s="73">
        <f>cadangan[[#This Row],[Harga Normal A]]+cadangan[[#This Row],[Harga Normal B]]+cadangan[[#This Row],[Harga Normal C]]</f>
        <v>400000</v>
      </c>
      <c r="AF280" s="73">
        <f>cadangan[[#This Row],[Harga Diskon A]]+cadangan[[#This Row],[Harga Diskon B]]+cadangan[[#This Row],[Harga Diskon C]]</f>
        <v>340000</v>
      </c>
      <c r="AG280" s="73">
        <f>(cadangan[[#This Row],[Profit Normal A]]+cadangan[[#This Row],[Profit Normal B]]+cadangan[[#This Row],[Profit Normal C]])</f>
        <v>150000</v>
      </c>
      <c r="AH280" s="73">
        <f>cadangan[[#This Row],[Profit Diskon A]]+cadangan[[#This Row],[Profit Diskon B]]+cadangan[[#This Row],[Profit Diskon C]]</f>
        <v>90000</v>
      </c>
      <c r="AI280" s="23" t="s">
        <v>13</v>
      </c>
      <c r="AJ280" s="37">
        <f>IFERROR(INDEX('Kode Diskon'!$D$3:$D$9,MATCH(cadangan[[#This Row],[Kode diskon]],'Kode Diskon'!$C$3:$C$9,0)),"-")</f>
        <v>0.15</v>
      </c>
      <c r="AK280" s="23" t="s">
        <v>29</v>
      </c>
      <c r="AL280" s="23" t="s">
        <v>7</v>
      </c>
      <c r="AM280" s="23" t="s">
        <v>79</v>
      </c>
      <c r="AN280" s="55">
        <v>45017</v>
      </c>
      <c r="AO280" s="53">
        <f>DAY(cadangan[[#This Row],[Tanggal terjual]])</f>
        <v>1</v>
      </c>
      <c r="AP280" s="21" t="str">
        <f>TEXT(cadangan[[#This Row],[Tanggal terjual]],"dddd")</f>
        <v>Saturday</v>
      </c>
      <c r="AQ280" s="23" t="str" cm="1">
        <f t="array" ref="AQ2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0" s="61">
        <f>AVERAGE(cadangan[[#This Row],[Rating A]],cadangan[[#This Row],[Rating B]],cadangan[[#This Row],[Rating C]])</f>
        <v>5</v>
      </c>
    </row>
    <row r="281" spans="1:44" x14ac:dyDescent="0.2">
      <c r="A281" s="20">
        <v>280</v>
      </c>
      <c r="B281" s="21" t="str">
        <f>_xlfn.CONCAT("ORD-",INDEX(Helper!$B$2:$B$5,MATCH(cadangan[[#This Row],[Marketplace]],Helper!$A$2:$A$5,0)),TEXT(cadangan[[#This Row],[No]],"0000"),"-",TEXT(cadangan[[#This Row],[Tanggal terjual]],"dd/mm/yy"))</f>
        <v>ORD-SP0280-03/04/23</v>
      </c>
      <c r="C281" s="39" t="s">
        <v>63</v>
      </c>
      <c r="D281" s="39" t="str">
        <f>IFERROR(INDEX(Katalog!$A$3:$A$12,MATCH(cadangan[[#This Row],[ItemID A]],Katalog!$C$3:$C$12,0)),"-")</f>
        <v>Pakaian Pria</v>
      </c>
      <c r="E281" s="39" t="str">
        <f>IFERROR(INDEX(Katalog!$B$3:$B$12,MATCH(cadangan[[#This Row],[ItemID A]],Katalog!$C$3:$C$12,0)),"-")</f>
        <v>Jaket Jeans</v>
      </c>
      <c r="F281" s="50">
        <v>1</v>
      </c>
      <c r="G281" s="50">
        <v>5</v>
      </c>
      <c r="H281" s="73">
        <f>IFERROR(INDEX(Katalog!$D$3:$D$12,MATCH(cadangan[[#This Row],[ItemID A]],Katalog!$C$3:$C$12,0))*cadangan[[#This Row],[Qty A]],0)</f>
        <v>400000</v>
      </c>
      <c r="I281" s="73">
        <f>IFERROR(cadangan[[#This Row],[Harga Normal A]]-(cadangan[[#This Row],[Harga Normal A]]*cadangan[[#This Row],[Diskon]]),cadangan[[#This Row],[Harga Normal A]])</f>
        <v>340000</v>
      </c>
      <c r="J281" s="73">
        <f>INDEX(Katalog!$F$3:$F$12,MATCH(cadangan[[#This Row],[ItemID A]],Katalog!$C$3:$C$12,0))*cadangan[[#This Row],[Qty A]]</f>
        <v>150000</v>
      </c>
      <c r="K281" s="73">
        <f>IFERROR(cadangan[[#This Row],[Harga Diskon A]]-INDEX(Katalog!$E$3:$E$12,MATCH(cadangan[[#This Row],[ItemID A]],Katalog!$C$3:$C$12,0))*cadangan[[#This Row],[Qty A]],0)</f>
        <v>90000</v>
      </c>
      <c r="M281" s="39" t="str">
        <f>IFERROR(INDEX(Katalog!$A$3:$A$12,MATCH(cadangan[[#This Row],[ItemID B]],Katalog!$C$3:$C$12,0)),"-")</f>
        <v>-</v>
      </c>
      <c r="N281" s="39" t="str">
        <f>IFERROR(INDEX(Katalog!$B$3:$B$12,MATCH(cadangan[[#This Row],[ItemID B]],Katalog!$C$3:$C$12,0)),"-")</f>
        <v>-</v>
      </c>
      <c r="Q281" s="73">
        <f>IFERROR(INDEX(Katalog!$D$3:$D$12,MATCH(cadangan[[#This Row],[ItemID B]],Katalog!$C$3:$C$12,0))*cadangan[[#This Row],[Qty B]],0)</f>
        <v>0</v>
      </c>
      <c r="R281" s="73">
        <f>IFERROR(cadangan[[#This Row],[Harga Normal B]]-(cadangan[[#This Row],[Harga Normal B]]*cadangan[[#This Row],[Diskon]]),cadangan[[#This Row],[Harga Normal B]])</f>
        <v>0</v>
      </c>
      <c r="S281" s="73">
        <f>IFERROR(INDEX(Katalog!$F$3:$F$12,MATCH(cadangan[[#This Row],[ItemID B]],Katalog!$C$3:$C$12,0))*cadangan[[#This Row],[Qty B]],0)</f>
        <v>0</v>
      </c>
      <c r="T281" s="73">
        <f>IFERROR(cadangan[[#This Row],[Harga Diskon B]]-INDEX(Katalog!$E$3:$E$12,MATCH(cadangan[[#This Row],[ItemID B]],Katalog!$C$3:$C$12,0))*cadangan[[#This Row],[Qty B]],0)</f>
        <v>0</v>
      </c>
      <c r="V281" s="39" t="str">
        <f>IFERROR(INDEX(Katalog!$A$3:$A$12,MATCH(cadangan[[#This Row],[ItemID C]],Katalog!$C$3:$C$12,0)),"-")</f>
        <v>-</v>
      </c>
      <c r="W281" s="39" t="str">
        <f>IFERROR(INDEX(Katalog!$B$3:$B$12,MATCH(cadangan[[#This Row],[ItemID C]],Katalog!$C$3:$C$12,0)),"-")</f>
        <v>-</v>
      </c>
      <c r="Z281" s="73">
        <f>IFERROR(INDEX(Katalog!$D$3:$D$12,MATCH(cadangan[[#This Row],[ItemID C]],Katalog!$C$3:$C$12,0))*cadangan[[#This Row],[Qty C]],0)</f>
        <v>0</v>
      </c>
      <c r="AA281" s="73">
        <f>IFERROR(cadangan[[#This Row],[Harga Normal C]]-(cadangan[[#This Row],[Harga Normal C]]*cadangan[[#This Row],[Diskon]]),cadangan[[#This Row],[Harga Normal C]])</f>
        <v>0</v>
      </c>
      <c r="AB281" s="73">
        <f>IFERROR(INDEX(Katalog!$F$3:$F$12,MATCH(cadangan[[#This Row],[ItemID C]],Katalog!$C$3:$C$12,0))*cadangan[[#This Row],[Qty C]],0)</f>
        <v>0</v>
      </c>
      <c r="AC281" s="73">
        <f>IFERROR(cadangan[[#This Row],[Harga Diskon C]]-INDEX(Katalog!$E$3:$E$12,MATCH(cadangan[[#This Row],[ItemID C]],Katalog!$C$3:$C$12,0))*cadangan[[#This Row],[Qty C]],0)</f>
        <v>0</v>
      </c>
      <c r="AD281" s="53">
        <f>cadangan[[#This Row],[Qty A]]+cadangan[[#This Row],[Qty B]]+cadangan[[#This Row],[Qty C]]</f>
        <v>1</v>
      </c>
      <c r="AE281" s="73">
        <f>cadangan[[#This Row],[Harga Normal A]]+cadangan[[#This Row],[Harga Normal B]]+cadangan[[#This Row],[Harga Normal C]]</f>
        <v>400000</v>
      </c>
      <c r="AF281" s="73">
        <f>cadangan[[#This Row],[Harga Diskon A]]+cadangan[[#This Row],[Harga Diskon B]]+cadangan[[#This Row],[Harga Diskon C]]</f>
        <v>340000</v>
      </c>
      <c r="AG281" s="73">
        <f>(cadangan[[#This Row],[Profit Normal A]]+cadangan[[#This Row],[Profit Normal B]]+cadangan[[#This Row],[Profit Normal C]])</f>
        <v>150000</v>
      </c>
      <c r="AH281" s="73">
        <f>cadangan[[#This Row],[Profit Diskon A]]+cadangan[[#This Row],[Profit Diskon B]]+cadangan[[#This Row],[Profit Diskon C]]</f>
        <v>90000</v>
      </c>
      <c r="AI281" s="23" t="s">
        <v>13</v>
      </c>
      <c r="AJ281" s="37">
        <f>IFERROR(INDEX('Kode Diskon'!$D$3:$D$9,MATCH(cadangan[[#This Row],[Kode diskon]],'Kode Diskon'!$C$3:$C$9,0)),"-")</f>
        <v>0.15</v>
      </c>
      <c r="AK281" s="23" t="s">
        <v>29</v>
      </c>
      <c r="AL281" s="23" t="s">
        <v>7</v>
      </c>
      <c r="AM281" s="23" t="s">
        <v>79</v>
      </c>
      <c r="AN281" s="55">
        <v>45019</v>
      </c>
      <c r="AO281" s="53">
        <f>DAY(cadangan[[#This Row],[Tanggal terjual]])</f>
        <v>3</v>
      </c>
      <c r="AP281" s="21" t="str">
        <f>TEXT(cadangan[[#This Row],[Tanggal terjual]],"dddd")</f>
        <v>Monday</v>
      </c>
      <c r="AQ281" s="23" t="str" cm="1">
        <f t="array" ref="AQ2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1" s="61">
        <f>AVERAGE(cadangan[[#This Row],[Rating A]],cadangan[[#This Row],[Rating B]],cadangan[[#This Row],[Rating C]])</f>
        <v>5</v>
      </c>
    </row>
    <row r="282" spans="1:44" x14ac:dyDescent="0.2">
      <c r="A282" s="20">
        <v>281</v>
      </c>
      <c r="B282" s="21" t="str">
        <f>_xlfn.CONCAT("ORD-",INDEX(Helper!$B$2:$B$5,MATCH(cadangan[[#This Row],[Marketplace]],Helper!$A$2:$A$5,0)),TEXT(cadangan[[#This Row],[No]],"0000"),"-",TEXT(cadangan[[#This Row],[Tanggal terjual]],"dd/mm/yy"))</f>
        <v>ORD-SP0281-23/04/23</v>
      </c>
      <c r="C282" s="39" t="s">
        <v>63</v>
      </c>
      <c r="D282" s="39" t="str">
        <f>IFERROR(INDEX(Katalog!$A$3:$A$12,MATCH(cadangan[[#This Row],[ItemID A]],Katalog!$C$3:$C$12,0)),"-")</f>
        <v>Pakaian Pria</v>
      </c>
      <c r="E282" s="39" t="str">
        <f>IFERROR(INDEX(Katalog!$B$3:$B$12,MATCH(cadangan[[#This Row],[ItemID A]],Katalog!$C$3:$C$12,0)),"-")</f>
        <v>Jaket Jeans</v>
      </c>
      <c r="F282" s="50">
        <v>1</v>
      </c>
      <c r="G282" s="50">
        <v>5</v>
      </c>
      <c r="H282" s="73">
        <f>IFERROR(INDEX(Katalog!$D$3:$D$12,MATCH(cadangan[[#This Row],[ItemID A]],Katalog!$C$3:$C$12,0))*cadangan[[#This Row],[Qty A]],0)</f>
        <v>400000</v>
      </c>
      <c r="I282" s="73">
        <f>IFERROR(cadangan[[#This Row],[Harga Normal A]]-(cadangan[[#This Row],[Harga Normal A]]*cadangan[[#This Row],[Diskon]]),cadangan[[#This Row],[Harga Normal A]])</f>
        <v>320000</v>
      </c>
      <c r="J282" s="73">
        <f>INDEX(Katalog!$F$3:$F$12,MATCH(cadangan[[#This Row],[ItemID A]],Katalog!$C$3:$C$12,0))*cadangan[[#This Row],[Qty A]]</f>
        <v>150000</v>
      </c>
      <c r="K282" s="73">
        <f>IFERROR(cadangan[[#This Row],[Harga Diskon A]]-INDEX(Katalog!$E$3:$E$12,MATCH(cadangan[[#This Row],[ItemID A]],Katalog!$C$3:$C$12,0))*cadangan[[#This Row],[Qty A]],0)</f>
        <v>70000</v>
      </c>
      <c r="M282" s="39" t="str">
        <f>IFERROR(INDEX(Katalog!$A$3:$A$12,MATCH(cadangan[[#This Row],[ItemID B]],Katalog!$C$3:$C$12,0)),"-")</f>
        <v>-</v>
      </c>
      <c r="N282" s="39" t="str">
        <f>IFERROR(INDEX(Katalog!$B$3:$B$12,MATCH(cadangan[[#This Row],[ItemID B]],Katalog!$C$3:$C$12,0)),"-")</f>
        <v>-</v>
      </c>
      <c r="Q282" s="73">
        <f>IFERROR(INDEX(Katalog!$D$3:$D$12,MATCH(cadangan[[#This Row],[ItemID B]],Katalog!$C$3:$C$12,0))*cadangan[[#This Row],[Qty B]],0)</f>
        <v>0</v>
      </c>
      <c r="R282" s="73">
        <f>IFERROR(cadangan[[#This Row],[Harga Normal B]]-(cadangan[[#This Row],[Harga Normal B]]*cadangan[[#This Row],[Diskon]]),cadangan[[#This Row],[Harga Normal B]])</f>
        <v>0</v>
      </c>
      <c r="S282" s="73">
        <f>IFERROR(INDEX(Katalog!$F$3:$F$12,MATCH(cadangan[[#This Row],[ItemID B]],Katalog!$C$3:$C$12,0))*cadangan[[#This Row],[Qty B]],0)</f>
        <v>0</v>
      </c>
      <c r="T282" s="73">
        <f>IFERROR(cadangan[[#This Row],[Harga Diskon B]]-INDEX(Katalog!$E$3:$E$12,MATCH(cadangan[[#This Row],[ItemID B]],Katalog!$C$3:$C$12,0))*cadangan[[#This Row],[Qty B]],0)</f>
        <v>0</v>
      </c>
      <c r="V282" s="39" t="str">
        <f>IFERROR(INDEX(Katalog!$A$3:$A$12,MATCH(cadangan[[#This Row],[ItemID C]],Katalog!$C$3:$C$12,0)),"-")</f>
        <v>-</v>
      </c>
      <c r="W282" s="39" t="str">
        <f>IFERROR(INDEX(Katalog!$B$3:$B$12,MATCH(cadangan[[#This Row],[ItemID C]],Katalog!$C$3:$C$12,0)),"-")</f>
        <v>-</v>
      </c>
      <c r="Z282" s="73">
        <f>IFERROR(INDEX(Katalog!$D$3:$D$12,MATCH(cadangan[[#This Row],[ItemID C]],Katalog!$C$3:$C$12,0))*cadangan[[#This Row],[Qty C]],0)</f>
        <v>0</v>
      </c>
      <c r="AA282" s="73">
        <f>IFERROR(cadangan[[#This Row],[Harga Normal C]]-(cadangan[[#This Row],[Harga Normal C]]*cadangan[[#This Row],[Diskon]]),cadangan[[#This Row],[Harga Normal C]])</f>
        <v>0</v>
      </c>
      <c r="AB282" s="73">
        <f>IFERROR(INDEX(Katalog!$F$3:$F$12,MATCH(cadangan[[#This Row],[ItemID C]],Katalog!$C$3:$C$12,0))*cadangan[[#This Row],[Qty C]],0)</f>
        <v>0</v>
      </c>
      <c r="AC282" s="73">
        <f>IFERROR(cadangan[[#This Row],[Harga Diskon C]]-INDEX(Katalog!$E$3:$E$12,MATCH(cadangan[[#This Row],[ItemID C]],Katalog!$C$3:$C$12,0))*cadangan[[#This Row],[Qty C]],0)</f>
        <v>0</v>
      </c>
      <c r="AD282" s="53">
        <f>cadangan[[#This Row],[Qty A]]+cadangan[[#This Row],[Qty B]]+cadangan[[#This Row],[Qty C]]</f>
        <v>1</v>
      </c>
      <c r="AE282" s="73">
        <f>cadangan[[#This Row],[Harga Normal A]]+cadangan[[#This Row],[Harga Normal B]]+cadangan[[#This Row],[Harga Normal C]]</f>
        <v>400000</v>
      </c>
      <c r="AF282" s="73">
        <f>cadangan[[#This Row],[Harga Diskon A]]+cadangan[[#This Row],[Harga Diskon B]]+cadangan[[#This Row],[Harga Diskon C]]</f>
        <v>320000</v>
      </c>
      <c r="AG282" s="73">
        <f>(cadangan[[#This Row],[Profit Normal A]]+cadangan[[#This Row],[Profit Normal B]]+cadangan[[#This Row],[Profit Normal C]])</f>
        <v>150000</v>
      </c>
      <c r="AH282" s="73">
        <f>cadangan[[#This Row],[Profit Diskon A]]+cadangan[[#This Row],[Profit Diskon B]]+cadangan[[#This Row],[Profit Diskon C]]</f>
        <v>70000</v>
      </c>
      <c r="AI282" s="23" t="s">
        <v>8</v>
      </c>
      <c r="AJ282" s="37">
        <f>IFERROR(INDEX('Kode Diskon'!$D$3:$D$9,MATCH(cadangan[[#This Row],[Kode diskon]],'Kode Diskon'!$C$3:$C$9,0)),"-")</f>
        <v>0.2</v>
      </c>
      <c r="AK282" s="23" t="s">
        <v>9</v>
      </c>
      <c r="AL282" s="23" t="s">
        <v>7</v>
      </c>
      <c r="AM282" s="23" t="s">
        <v>80</v>
      </c>
      <c r="AN282" s="55">
        <v>45039</v>
      </c>
      <c r="AO282" s="53">
        <f>DAY(cadangan[[#This Row],[Tanggal terjual]])</f>
        <v>23</v>
      </c>
      <c r="AP282" s="21" t="str">
        <f>TEXT(cadangan[[#This Row],[Tanggal terjual]],"dddd")</f>
        <v>Sunday</v>
      </c>
      <c r="AQ282" s="23" t="str" cm="1">
        <f t="array" ref="AQ2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282" s="61">
        <f>AVERAGE(cadangan[[#This Row],[Rating A]],cadangan[[#This Row],[Rating B]],cadangan[[#This Row],[Rating C]])</f>
        <v>5</v>
      </c>
    </row>
    <row r="283" spans="1:44" x14ac:dyDescent="0.2">
      <c r="A283" s="20">
        <v>282</v>
      </c>
      <c r="B283" s="21" t="str">
        <f>_xlfn.CONCAT("ORD-",INDEX(Helper!$B$2:$B$5,MATCH(cadangan[[#This Row],[Marketplace]],Helper!$A$2:$A$5,0)),TEXT(cadangan[[#This Row],[No]],"0000"),"-",TEXT(cadangan[[#This Row],[Tanggal terjual]],"dd/mm/yy"))</f>
        <v>ORD-TK0282-03/04/23</v>
      </c>
      <c r="C283" s="39" t="s">
        <v>63</v>
      </c>
      <c r="D283" s="39" t="str">
        <f>IFERROR(INDEX(Katalog!$A$3:$A$12,MATCH(cadangan[[#This Row],[ItemID A]],Katalog!$C$3:$C$12,0)),"-")</f>
        <v>Pakaian Pria</v>
      </c>
      <c r="E283" s="39" t="str">
        <f>IFERROR(INDEX(Katalog!$B$3:$B$12,MATCH(cadangan[[#This Row],[ItemID A]],Katalog!$C$3:$C$12,0)),"-")</f>
        <v>Jaket Jeans</v>
      </c>
      <c r="F283" s="50">
        <v>2</v>
      </c>
      <c r="G283" s="50">
        <v>3</v>
      </c>
      <c r="H283" s="73">
        <f>IFERROR(INDEX(Katalog!$D$3:$D$12,MATCH(cadangan[[#This Row],[ItemID A]],Katalog!$C$3:$C$12,0))*cadangan[[#This Row],[Qty A]],0)</f>
        <v>800000</v>
      </c>
      <c r="I283" s="73">
        <f>IFERROR(cadangan[[#This Row],[Harga Normal A]]-(cadangan[[#This Row],[Harga Normal A]]*cadangan[[#This Row],[Diskon]]),cadangan[[#This Row],[Harga Normal A]])</f>
        <v>720000</v>
      </c>
      <c r="J283" s="73">
        <f>INDEX(Katalog!$F$3:$F$12,MATCH(cadangan[[#This Row],[ItemID A]],Katalog!$C$3:$C$12,0))*cadangan[[#This Row],[Qty A]]</f>
        <v>300000</v>
      </c>
      <c r="K283" s="73">
        <f>IFERROR(cadangan[[#This Row],[Harga Diskon A]]-INDEX(Katalog!$E$3:$E$12,MATCH(cadangan[[#This Row],[ItemID A]],Katalog!$C$3:$C$12,0))*cadangan[[#This Row],[Qty A]],0)</f>
        <v>220000</v>
      </c>
      <c r="L283" s="39" t="s">
        <v>58</v>
      </c>
      <c r="M283" s="39" t="str">
        <f>IFERROR(INDEX(Katalog!$A$3:$A$12,MATCH(cadangan[[#This Row],[ItemID B]],Katalog!$C$3:$C$12,0)),"-")</f>
        <v>Pakaian Wanita</v>
      </c>
      <c r="N283" s="39" t="str">
        <f>IFERROR(INDEX(Katalog!$B$3:$B$12,MATCH(cadangan[[#This Row],[ItemID B]],Katalog!$C$3:$C$12,0)),"-")</f>
        <v>Dress</v>
      </c>
      <c r="O283" s="50">
        <v>1</v>
      </c>
      <c r="P283" s="50">
        <v>2</v>
      </c>
      <c r="Q283" s="73">
        <f>IFERROR(INDEX(Katalog!$D$3:$D$12,MATCH(cadangan[[#This Row],[ItemID B]],Katalog!$C$3:$C$12,0))*cadangan[[#This Row],[Qty B]],0)</f>
        <v>300000</v>
      </c>
      <c r="R283" s="73">
        <f>IFERROR(cadangan[[#This Row],[Harga Normal B]]-(cadangan[[#This Row],[Harga Normal B]]*cadangan[[#This Row],[Diskon]]),cadangan[[#This Row],[Harga Normal B]])</f>
        <v>270000</v>
      </c>
      <c r="S283" s="73">
        <f>IFERROR(INDEX(Katalog!$F$3:$F$12,MATCH(cadangan[[#This Row],[ItemID B]],Katalog!$C$3:$C$12,0))*cadangan[[#This Row],[Qty B]],0)</f>
        <v>100000</v>
      </c>
      <c r="T283" s="73">
        <f>IFERROR(cadangan[[#This Row],[Harga Diskon B]]-INDEX(Katalog!$E$3:$E$12,MATCH(cadangan[[#This Row],[ItemID B]],Katalog!$C$3:$C$12,0))*cadangan[[#This Row],[Qty B]],0)</f>
        <v>70000</v>
      </c>
      <c r="U283" s="39" t="s">
        <v>63</v>
      </c>
      <c r="V283" s="39" t="str">
        <f>IFERROR(INDEX(Katalog!$A$3:$A$12,MATCH(cadangan[[#This Row],[ItemID C]],Katalog!$C$3:$C$12,0)),"-")</f>
        <v>Pakaian Pria</v>
      </c>
      <c r="W283" s="39" t="str">
        <f>IFERROR(INDEX(Katalog!$B$3:$B$12,MATCH(cadangan[[#This Row],[ItemID C]],Katalog!$C$3:$C$12,0)),"-")</f>
        <v>Jaket Jeans</v>
      </c>
      <c r="X283" s="50">
        <v>1</v>
      </c>
      <c r="Y283" s="50">
        <v>4</v>
      </c>
      <c r="Z283" s="73">
        <f>IFERROR(INDEX(Katalog!$D$3:$D$12,MATCH(cadangan[[#This Row],[ItemID C]],Katalog!$C$3:$C$12,0))*cadangan[[#This Row],[Qty C]],0)</f>
        <v>400000</v>
      </c>
      <c r="AA283" s="73">
        <f>IFERROR(cadangan[[#This Row],[Harga Normal C]]-(cadangan[[#This Row],[Harga Normal C]]*cadangan[[#This Row],[Diskon]]),cadangan[[#This Row],[Harga Normal C]])</f>
        <v>360000</v>
      </c>
      <c r="AB283" s="73">
        <f>IFERROR(INDEX(Katalog!$F$3:$F$12,MATCH(cadangan[[#This Row],[ItemID C]],Katalog!$C$3:$C$12,0))*cadangan[[#This Row],[Qty C]],0)</f>
        <v>150000</v>
      </c>
      <c r="AC283" s="73">
        <f>IFERROR(cadangan[[#This Row],[Harga Diskon C]]-INDEX(Katalog!$E$3:$E$12,MATCH(cadangan[[#This Row],[ItemID C]],Katalog!$C$3:$C$12,0))*cadangan[[#This Row],[Qty C]],0)</f>
        <v>110000</v>
      </c>
      <c r="AD283" s="53">
        <f>cadangan[[#This Row],[Qty A]]+cadangan[[#This Row],[Qty B]]+cadangan[[#This Row],[Qty C]]</f>
        <v>4</v>
      </c>
      <c r="AE283" s="73">
        <f>cadangan[[#This Row],[Harga Normal A]]+cadangan[[#This Row],[Harga Normal B]]+cadangan[[#This Row],[Harga Normal C]]</f>
        <v>1500000</v>
      </c>
      <c r="AF283" s="73">
        <f>cadangan[[#This Row],[Harga Diskon A]]+cadangan[[#This Row],[Harga Diskon B]]+cadangan[[#This Row],[Harga Diskon C]]</f>
        <v>1350000</v>
      </c>
      <c r="AG283" s="73">
        <f>(cadangan[[#This Row],[Profit Normal A]]+cadangan[[#This Row],[Profit Normal B]]+cadangan[[#This Row],[Profit Normal C]])</f>
        <v>550000</v>
      </c>
      <c r="AH283" s="73">
        <f>cadangan[[#This Row],[Profit Diskon A]]+cadangan[[#This Row],[Profit Diskon B]]+cadangan[[#This Row],[Profit Diskon C]]</f>
        <v>400000</v>
      </c>
      <c r="AI283" s="23" t="s">
        <v>30</v>
      </c>
      <c r="AJ283" s="37">
        <f>IFERROR(INDEX('Kode Diskon'!$D$3:$D$9,MATCH(cadangan[[#This Row],[Kode diskon]],'Kode Diskon'!$C$3:$C$9,0)),"-")</f>
        <v>0.1</v>
      </c>
      <c r="AK283" s="23" t="s">
        <v>29</v>
      </c>
      <c r="AL283" s="23" t="s">
        <v>10</v>
      </c>
      <c r="AM283" s="23" t="s">
        <v>76</v>
      </c>
      <c r="AN283" s="55">
        <v>45019</v>
      </c>
      <c r="AO283" s="53">
        <f>DAY(cadangan[[#This Row],[Tanggal terjual]])</f>
        <v>3</v>
      </c>
      <c r="AP283" s="21" t="str">
        <f>TEXT(cadangan[[#This Row],[Tanggal terjual]],"dddd")</f>
        <v>Monday</v>
      </c>
      <c r="AQ283" s="23" t="str" cm="1">
        <f t="array" ref="AQ2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3" s="61">
        <f>AVERAGE(cadangan[[#This Row],[Rating A]],cadangan[[#This Row],[Rating B]],cadangan[[#This Row],[Rating C]])</f>
        <v>3</v>
      </c>
    </row>
    <row r="284" spans="1:44" x14ac:dyDescent="0.2">
      <c r="A284" s="20">
        <v>283</v>
      </c>
      <c r="B284" s="21" t="str">
        <f>_xlfn.CONCAT("ORD-",INDEX(Helper!$B$2:$B$5,MATCH(cadangan[[#This Row],[Marketplace]],Helper!$A$2:$A$5,0)),TEXT(cadangan[[#This Row],[No]],"0000"),"-",TEXT(cadangan[[#This Row],[Tanggal terjual]],"dd/mm/yy"))</f>
        <v>ORD-BL0283-16/04/23</v>
      </c>
      <c r="C284" s="39" t="s">
        <v>66</v>
      </c>
      <c r="D284" s="39" t="str">
        <f>IFERROR(INDEX(Katalog!$A$3:$A$12,MATCH(cadangan[[#This Row],[ItemID A]],Katalog!$C$3:$C$12,0)),"-")</f>
        <v>Sepatu Pria</v>
      </c>
      <c r="E284" s="39" t="str">
        <f>IFERROR(INDEX(Katalog!$B$3:$B$12,MATCH(cadangan[[#This Row],[ItemID A]],Katalog!$C$3:$C$12,0)),"-")</f>
        <v>Sandal Slip On</v>
      </c>
      <c r="F284" s="50">
        <v>1</v>
      </c>
      <c r="G284" s="50">
        <v>2</v>
      </c>
      <c r="H284" s="73">
        <f>IFERROR(INDEX(Katalog!$D$3:$D$12,MATCH(cadangan[[#This Row],[ItemID A]],Katalog!$C$3:$C$12,0))*cadangan[[#This Row],[Qty A]],0)</f>
        <v>150000</v>
      </c>
      <c r="I284" s="73">
        <f>IFERROR(cadangan[[#This Row],[Harga Normal A]]-(cadangan[[#This Row],[Harga Normal A]]*cadangan[[#This Row],[Diskon]]),cadangan[[#This Row],[Harga Normal A]])</f>
        <v>127500</v>
      </c>
      <c r="J284" s="73">
        <f>INDEX(Katalog!$F$3:$F$12,MATCH(cadangan[[#This Row],[ItemID A]],Katalog!$C$3:$C$12,0))*cadangan[[#This Row],[Qty A]]</f>
        <v>60000</v>
      </c>
      <c r="K284" s="73">
        <f>IFERROR(cadangan[[#This Row],[Harga Diskon A]]-INDEX(Katalog!$E$3:$E$12,MATCH(cadangan[[#This Row],[ItemID A]],Katalog!$C$3:$C$12,0))*cadangan[[#This Row],[Qty A]],0)</f>
        <v>37500</v>
      </c>
      <c r="M284" s="39" t="str">
        <f>IFERROR(INDEX(Katalog!$A$3:$A$12,MATCH(cadangan[[#This Row],[ItemID B]],Katalog!$C$3:$C$12,0)),"-")</f>
        <v>-</v>
      </c>
      <c r="N284" s="39" t="str">
        <f>IFERROR(INDEX(Katalog!$B$3:$B$12,MATCH(cadangan[[#This Row],[ItemID B]],Katalog!$C$3:$C$12,0)),"-")</f>
        <v>-</v>
      </c>
      <c r="Q284" s="73">
        <f>IFERROR(INDEX(Katalog!$D$3:$D$12,MATCH(cadangan[[#This Row],[ItemID B]],Katalog!$C$3:$C$12,0))*cadangan[[#This Row],[Qty B]],0)</f>
        <v>0</v>
      </c>
      <c r="R284" s="73">
        <f>IFERROR(cadangan[[#This Row],[Harga Normal B]]-(cadangan[[#This Row],[Harga Normal B]]*cadangan[[#This Row],[Diskon]]),cadangan[[#This Row],[Harga Normal B]])</f>
        <v>0</v>
      </c>
      <c r="S284" s="73">
        <f>IFERROR(INDEX(Katalog!$F$3:$F$12,MATCH(cadangan[[#This Row],[ItemID B]],Katalog!$C$3:$C$12,0))*cadangan[[#This Row],[Qty B]],0)</f>
        <v>0</v>
      </c>
      <c r="T284" s="73">
        <f>IFERROR(cadangan[[#This Row],[Harga Diskon B]]-INDEX(Katalog!$E$3:$E$12,MATCH(cadangan[[#This Row],[ItemID B]],Katalog!$C$3:$C$12,0))*cadangan[[#This Row],[Qty B]],0)</f>
        <v>0</v>
      </c>
      <c r="V284" s="39" t="str">
        <f>IFERROR(INDEX(Katalog!$A$3:$A$12,MATCH(cadangan[[#This Row],[ItemID C]],Katalog!$C$3:$C$12,0)),"-")</f>
        <v>-</v>
      </c>
      <c r="W284" s="39" t="str">
        <f>IFERROR(INDEX(Katalog!$B$3:$B$12,MATCH(cadangan[[#This Row],[ItemID C]],Katalog!$C$3:$C$12,0)),"-")</f>
        <v>-</v>
      </c>
      <c r="Z284" s="73">
        <f>IFERROR(INDEX(Katalog!$D$3:$D$12,MATCH(cadangan[[#This Row],[ItemID C]],Katalog!$C$3:$C$12,0))*cadangan[[#This Row],[Qty C]],0)</f>
        <v>0</v>
      </c>
      <c r="AA284" s="73">
        <f>IFERROR(cadangan[[#This Row],[Harga Normal C]]-(cadangan[[#This Row],[Harga Normal C]]*cadangan[[#This Row],[Diskon]]),cadangan[[#This Row],[Harga Normal C]])</f>
        <v>0</v>
      </c>
      <c r="AB284" s="73">
        <f>IFERROR(INDEX(Katalog!$F$3:$F$12,MATCH(cadangan[[#This Row],[ItemID C]],Katalog!$C$3:$C$12,0))*cadangan[[#This Row],[Qty C]],0)</f>
        <v>0</v>
      </c>
      <c r="AC284" s="73">
        <f>IFERROR(cadangan[[#This Row],[Harga Diskon C]]-INDEX(Katalog!$E$3:$E$12,MATCH(cadangan[[#This Row],[ItemID C]],Katalog!$C$3:$C$12,0))*cadangan[[#This Row],[Qty C]],0)</f>
        <v>0</v>
      </c>
      <c r="AD284" s="53">
        <f>cadangan[[#This Row],[Qty A]]+cadangan[[#This Row],[Qty B]]+cadangan[[#This Row],[Qty C]]</f>
        <v>1</v>
      </c>
      <c r="AE284" s="73">
        <f>cadangan[[#This Row],[Harga Normal A]]+cadangan[[#This Row],[Harga Normal B]]+cadangan[[#This Row],[Harga Normal C]]</f>
        <v>150000</v>
      </c>
      <c r="AF284" s="73">
        <f>cadangan[[#This Row],[Harga Diskon A]]+cadangan[[#This Row],[Harga Diskon B]]+cadangan[[#This Row],[Harga Diskon C]]</f>
        <v>127500</v>
      </c>
      <c r="AG284" s="73">
        <f>(cadangan[[#This Row],[Profit Normal A]]+cadangan[[#This Row],[Profit Normal B]]+cadangan[[#This Row],[Profit Normal C]])</f>
        <v>60000</v>
      </c>
      <c r="AH284" s="73">
        <f>cadangan[[#This Row],[Profit Diskon A]]+cadangan[[#This Row],[Profit Diskon B]]+cadangan[[#This Row],[Profit Diskon C]]</f>
        <v>37500</v>
      </c>
      <c r="AI284" s="23" t="s">
        <v>32</v>
      </c>
      <c r="AJ284" s="37">
        <f>IFERROR(INDEX('Kode Diskon'!$D$3:$D$9,MATCH(cadangan[[#This Row],[Kode diskon]],'Kode Diskon'!$C$3:$C$9,0)),"-")</f>
        <v>0.15</v>
      </c>
      <c r="AK284" s="23" t="s">
        <v>9</v>
      </c>
      <c r="AL284" s="23" t="s">
        <v>12</v>
      </c>
      <c r="AM284" s="23" t="s">
        <v>80</v>
      </c>
      <c r="AN284" s="55">
        <v>45032</v>
      </c>
      <c r="AO284" s="53">
        <f>DAY(cadangan[[#This Row],[Tanggal terjual]])</f>
        <v>16</v>
      </c>
      <c r="AP284" s="21" t="str">
        <f>TEXT(cadangan[[#This Row],[Tanggal terjual]],"dddd")</f>
        <v>Sunday</v>
      </c>
      <c r="AQ284" s="23" t="str" cm="1">
        <f t="array" ref="AQ2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84" s="61">
        <f>AVERAGE(cadangan[[#This Row],[Rating A]],cadangan[[#This Row],[Rating B]],cadangan[[#This Row],[Rating C]])</f>
        <v>2</v>
      </c>
    </row>
    <row r="285" spans="1:44" x14ac:dyDescent="0.2">
      <c r="A285" s="20">
        <v>284</v>
      </c>
      <c r="B285" s="21" t="str">
        <f>_xlfn.CONCAT("ORD-",INDEX(Helper!$B$2:$B$5,MATCH(cadangan[[#This Row],[Marketplace]],Helper!$A$2:$A$5,0)),TEXT(cadangan[[#This Row],[No]],"0000"),"-",TEXT(cadangan[[#This Row],[Tanggal terjual]],"dd/mm/yy"))</f>
        <v>ORD-SP0284-02/04/23</v>
      </c>
      <c r="C285" s="39" t="s">
        <v>61</v>
      </c>
      <c r="D285" s="39" t="str">
        <f>IFERROR(INDEX(Katalog!$A$3:$A$12,MATCH(cadangan[[#This Row],[ItemID A]],Katalog!$C$3:$C$12,0)),"-")</f>
        <v>Pakaian Pria</v>
      </c>
      <c r="E285" s="39" t="str">
        <f>IFERROR(INDEX(Katalog!$B$3:$B$12,MATCH(cadangan[[#This Row],[ItemID A]],Katalog!$C$3:$C$12,0)),"-")</f>
        <v>Kaos Polo</v>
      </c>
      <c r="F285" s="50">
        <v>7</v>
      </c>
      <c r="G285" s="50">
        <v>3</v>
      </c>
      <c r="H285" s="73">
        <f>IFERROR(INDEX(Katalog!$D$3:$D$12,MATCH(cadangan[[#This Row],[ItemID A]],Katalog!$C$3:$C$12,0))*cadangan[[#This Row],[Qty A]],0)</f>
        <v>1400000</v>
      </c>
      <c r="I285" s="73">
        <f>IFERROR(cadangan[[#This Row],[Harga Normal A]]-(cadangan[[#This Row],[Harga Normal A]]*cadangan[[#This Row],[Diskon]]),cadangan[[#This Row],[Harga Normal A]])</f>
        <v>1260000</v>
      </c>
      <c r="J285" s="73">
        <f>INDEX(Katalog!$F$3:$F$12,MATCH(cadangan[[#This Row],[ItemID A]],Katalog!$C$3:$C$12,0))*cadangan[[#This Row],[Qty A]]</f>
        <v>560000</v>
      </c>
      <c r="K285" s="73">
        <f>IFERROR(cadangan[[#This Row],[Harga Diskon A]]-INDEX(Katalog!$E$3:$E$12,MATCH(cadangan[[#This Row],[ItemID A]],Katalog!$C$3:$C$12,0))*cadangan[[#This Row],[Qty A]],0)</f>
        <v>420000</v>
      </c>
      <c r="M285" s="39" t="str">
        <f>IFERROR(INDEX(Katalog!$A$3:$A$12,MATCH(cadangan[[#This Row],[ItemID B]],Katalog!$C$3:$C$12,0)),"-")</f>
        <v>-</v>
      </c>
      <c r="N285" s="39" t="str">
        <f>IFERROR(INDEX(Katalog!$B$3:$B$12,MATCH(cadangan[[#This Row],[ItemID B]],Katalog!$C$3:$C$12,0)),"-")</f>
        <v>-</v>
      </c>
      <c r="Q285" s="73">
        <f>IFERROR(INDEX(Katalog!$D$3:$D$12,MATCH(cadangan[[#This Row],[ItemID B]],Katalog!$C$3:$C$12,0))*cadangan[[#This Row],[Qty B]],0)</f>
        <v>0</v>
      </c>
      <c r="R285" s="73">
        <f>IFERROR(cadangan[[#This Row],[Harga Normal B]]-(cadangan[[#This Row],[Harga Normal B]]*cadangan[[#This Row],[Diskon]]),cadangan[[#This Row],[Harga Normal B]])</f>
        <v>0</v>
      </c>
      <c r="S285" s="73">
        <f>IFERROR(INDEX(Katalog!$F$3:$F$12,MATCH(cadangan[[#This Row],[ItemID B]],Katalog!$C$3:$C$12,0))*cadangan[[#This Row],[Qty B]],0)</f>
        <v>0</v>
      </c>
      <c r="T285" s="73">
        <f>IFERROR(cadangan[[#This Row],[Harga Diskon B]]-INDEX(Katalog!$E$3:$E$12,MATCH(cadangan[[#This Row],[ItemID B]],Katalog!$C$3:$C$12,0))*cadangan[[#This Row],[Qty B]],0)</f>
        <v>0</v>
      </c>
      <c r="V285" s="39" t="str">
        <f>IFERROR(INDEX(Katalog!$A$3:$A$12,MATCH(cadangan[[#This Row],[ItemID C]],Katalog!$C$3:$C$12,0)),"-")</f>
        <v>-</v>
      </c>
      <c r="W285" s="39" t="str">
        <f>IFERROR(INDEX(Katalog!$B$3:$B$12,MATCH(cadangan[[#This Row],[ItemID C]],Katalog!$C$3:$C$12,0)),"-")</f>
        <v>-</v>
      </c>
      <c r="Z285" s="73">
        <f>IFERROR(INDEX(Katalog!$D$3:$D$12,MATCH(cadangan[[#This Row],[ItemID C]],Katalog!$C$3:$C$12,0))*cadangan[[#This Row],[Qty C]],0)</f>
        <v>0</v>
      </c>
      <c r="AA285" s="73">
        <f>IFERROR(cadangan[[#This Row],[Harga Normal C]]-(cadangan[[#This Row],[Harga Normal C]]*cadangan[[#This Row],[Diskon]]),cadangan[[#This Row],[Harga Normal C]])</f>
        <v>0</v>
      </c>
      <c r="AB285" s="73">
        <f>IFERROR(INDEX(Katalog!$F$3:$F$12,MATCH(cadangan[[#This Row],[ItemID C]],Katalog!$C$3:$C$12,0))*cadangan[[#This Row],[Qty C]],0)</f>
        <v>0</v>
      </c>
      <c r="AC285" s="73">
        <f>IFERROR(cadangan[[#This Row],[Harga Diskon C]]-INDEX(Katalog!$E$3:$E$12,MATCH(cadangan[[#This Row],[ItemID C]],Katalog!$C$3:$C$12,0))*cadangan[[#This Row],[Qty C]],0)</f>
        <v>0</v>
      </c>
      <c r="AD285" s="53">
        <f>cadangan[[#This Row],[Qty A]]+cadangan[[#This Row],[Qty B]]+cadangan[[#This Row],[Qty C]]</f>
        <v>7</v>
      </c>
      <c r="AE285" s="73">
        <f>cadangan[[#This Row],[Harga Normal A]]+cadangan[[#This Row],[Harga Normal B]]+cadangan[[#This Row],[Harga Normal C]]</f>
        <v>1400000</v>
      </c>
      <c r="AF285" s="73">
        <f>cadangan[[#This Row],[Harga Diskon A]]+cadangan[[#This Row],[Harga Diskon B]]+cadangan[[#This Row],[Harga Diskon C]]</f>
        <v>1260000</v>
      </c>
      <c r="AG285" s="73">
        <f>(cadangan[[#This Row],[Profit Normal A]]+cadangan[[#This Row],[Profit Normal B]]+cadangan[[#This Row],[Profit Normal C]])</f>
        <v>560000</v>
      </c>
      <c r="AH285" s="73">
        <f>cadangan[[#This Row],[Profit Diskon A]]+cadangan[[#This Row],[Profit Diskon B]]+cadangan[[#This Row],[Profit Diskon C]]</f>
        <v>420000</v>
      </c>
      <c r="AI285" s="23" t="s">
        <v>6</v>
      </c>
      <c r="AJ285" s="37">
        <f>IFERROR(INDEX('Kode Diskon'!$D$3:$D$9,MATCH(cadangan[[#This Row],[Kode diskon]],'Kode Diskon'!$C$3:$C$9,0)),"-")</f>
        <v>0.1</v>
      </c>
      <c r="AK285" s="23" t="s">
        <v>29</v>
      </c>
      <c r="AL285" s="23" t="s">
        <v>7</v>
      </c>
      <c r="AM285" s="23" t="s">
        <v>80</v>
      </c>
      <c r="AN285" s="55">
        <v>45018</v>
      </c>
      <c r="AO285" s="53">
        <f>DAY(cadangan[[#This Row],[Tanggal terjual]])</f>
        <v>2</v>
      </c>
      <c r="AP285" s="21" t="str">
        <f>TEXT(cadangan[[#This Row],[Tanggal terjual]],"dddd")</f>
        <v>Sunday</v>
      </c>
      <c r="AQ285" s="23" t="str" cm="1">
        <f t="array" ref="AQ2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5" s="61">
        <f>AVERAGE(cadangan[[#This Row],[Rating A]],cadangan[[#This Row],[Rating B]],cadangan[[#This Row],[Rating C]])</f>
        <v>3</v>
      </c>
    </row>
    <row r="286" spans="1:44" x14ac:dyDescent="0.2">
      <c r="A286" s="20">
        <v>285</v>
      </c>
      <c r="B286" s="21" t="str">
        <f>_xlfn.CONCAT("ORD-",INDEX(Helper!$B$2:$B$5,MATCH(cadangan[[#This Row],[Marketplace]],Helper!$A$2:$A$5,0)),TEXT(cadangan[[#This Row],[No]],"0000"),"-",TEXT(cadangan[[#This Row],[Tanggal terjual]],"dd/mm/yy"))</f>
        <v>ORD-SP0285-16/04/23</v>
      </c>
      <c r="C286" s="39" t="s">
        <v>60</v>
      </c>
      <c r="D286" s="39" t="str">
        <f>IFERROR(INDEX(Katalog!$A$3:$A$12,MATCH(cadangan[[#This Row],[ItemID A]],Katalog!$C$3:$C$12,0)),"-")</f>
        <v>Pakaian Wanita</v>
      </c>
      <c r="E286" s="39" t="str">
        <f>IFERROR(INDEX(Katalog!$B$3:$B$12,MATCH(cadangan[[#This Row],[ItemID A]],Katalog!$C$3:$C$12,0)),"-")</f>
        <v>Kaftan</v>
      </c>
      <c r="F286" s="50">
        <v>2</v>
      </c>
      <c r="G286" s="50">
        <v>3</v>
      </c>
      <c r="H286" s="73">
        <f>IFERROR(INDEX(Katalog!$D$3:$D$12,MATCH(cadangan[[#This Row],[ItemID A]],Katalog!$C$3:$C$12,0))*cadangan[[#This Row],[Qty A]],0)</f>
        <v>500000</v>
      </c>
      <c r="I286" s="73">
        <f>IFERROR(cadangan[[#This Row],[Harga Normal A]]-(cadangan[[#This Row],[Harga Normal A]]*cadangan[[#This Row],[Diskon]]),cadangan[[#This Row],[Harga Normal A]])</f>
        <v>400000</v>
      </c>
      <c r="J286" s="73">
        <f>INDEX(Katalog!$F$3:$F$12,MATCH(cadangan[[#This Row],[ItemID A]],Katalog!$C$3:$C$12,0))*cadangan[[#This Row],[Qty A]]</f>
        <v>200000</v>
      </c>
      <c r="K286" s="73">
        <f>IFERROR(cadangan[[#This Row],[Harga Diskon A]]-INDEX(Katalog!$E$3:$E$12,MATCH(cadangan[[#This Row],[ItemID A]],Katalog!$C$3:$C$12,0))*cadangan[[#This Row],[Qty A]],0)</f>
        <v>100000</v>
      </c>
      <c r="L286" s="39" t="s">
        <v>67</v>
      </c>
      <c r="M286" s="39" t="str">
        <f>IFERROR(INDEX(Katalog!$A$3:$A$12,MATCH(cadangan[[#This Row],[ItemID B]],Katalog!$C$3:$C$12,0)),"-")</f>
        <v>Sepatu Wanita</v>
      </c>
      <c r="N286" s="39" t="str">
        <f>IFERROR(INDEX(Katalog!$B$3:$B$12,MATCH(cadangan[[#This Row],[ItemID B]],Katalog!$C$3:$C$12,0)),"-")</f>
        <v>Flat Shoes</v>
      </c>
      <c r="O286" s="50">
        <v>3</v>
      </c>
      <c r="P286" s="50">
        <v>5</v>
      </c>
      <c r="Q286" s="73">
        <f>IFERROR(INDEX(Katalog!$D$3:$D$12,MATCH(cadangan[[#This Row],[ItemID B]],Katalog!$C$3:$C$12,0))*cadangan[[#This Row],[Qty B]],0)</f>
        <v>750000</v>
      </c>
      <c r="R286" s="73">
        <f>IFERROR(cadangan[[#This Row],[Harga Normal B]]-(cadangan[[#This Row],[Harga Normal B]]*cadangan[[#This Row],[Diskon]]),cadangan[[#This Row],[Harga Normal B]])</f>
        <v>600000</v>
      </c>
      <c r="S286" s="73">
        <f>IFERROR(INDEX(Katalog!$F$3:$F$12,MATCH(cadangan[[#This Row],[ItemID B]],Katalog!$C$3:$C$12,0))*cadangan[[#This Row],[Qty B]],0)</f>
        <v>300000</v>
      </c>
      <c r="T286" s="73">
        <f>IFERROR(cadangan[[#This Row],[Harga Diskon B]]-INDEX(Katalog!$E$3:$E$12,MATCH(cadangan[[#This Row],[ItemID B]],Katalog!$C$3:$C$12,0))*cadangan[[#This Row],[Qty B]],0)</f>
        <v>150000</v>
      </c>
      <c r="V286" s="39" t="str">
        <f>IFERROR(INDEX(Katalog!$A$3:$A$12,MATCH(cadangan[[#This Row],[ItemID C]],Katalog!$C$3:$C$12,0)),"-")</f>
        <v>-</v>
      </c>
      <c r="W286" s="39" t="str">
        <f>IFERROR(INDEX(Katalog!$B$3:$B$12,MATCH(cadangan[[#This Row],[ItemID C]],Katalog!$C$3:$C$12,0)),"-")</f>
        <v>-</v>
      </c>
      <c r="Z286" s="73">
        <f>IFERROR(INDEX(Katalog!$D$3:$D$12,MATCH(cadangan[[#This Row],[ItemID C]],Katalog!$C$3:$C$12,0))*cadangan[[#This Row],[Qty C]],0)</f>
        <v>0</v>
      </c>
      <c r="AA286" s="73">
        <f>IFERROR(cadangan[[#This Row],[Harga Normal C]]-(cadangan[[#This Row],[Harga Normal C]]*cadangan[[#This Row],[Diskon]]),cadangan[[#This Row],[Harga Normal C]])</f>
        <v>0</v>
      </c>
      <c r="AB286" s="73">
        <f>IFERROR(INDEX(Katalog!$F$3:$F$12,MATCH(cadangan[[#This Row],[ItemID C]],Katalog!$C$3:$C$12,0))*cadangan[[#This Row],[Qty C]],0)</f>
        <v>0</v>
      </c>
      <c r="AC286" s="73">
        <f>IFERROR(cadangan[[#This Row],[Harga Diskon C]]-INDEX(Katalog!$E$3:$E$12,MATCH(cadangan[[#This Row],[ItemID C]],Katalog!$C$3:$C$12,0))*cadangan[[#This Row],[Qty C]],0)</f>
        <v>0</v>
      </c>
      <c r="AD286" s="53">
        <f>cadangan[[#This Row],[Qty A]]+cadangan[[#This Row],[Qty B]]+cadangan[[#This Row],[Qty C]]</f>
        <v>5</v>
      </c>
      <c r="AE286" s="73">
        <f>cadangan[[#This Row],[Harga Normal A]]+cadangan[[#This Row],[Harga Normal B]]+cadangan[[#This Row],[Harga Normal C]]</f>
        <v>1250000</v>
      </c>
      <c r="AF286" s="73">
        <f>cadangan[[#This Row],[Harga Diskon A]]+cadangan[[#This Row],[Harga Diskon B]]+cadangan[[#This Row],[Harga Diskon C]]</f>
        <v>1000000</v>
      </c>
      <c r="AG286" s="73">
        <f>(cadangan[[#This Row],[Profit Normal A]]+cadangan[[#This Row],[Profit Normal B]]+cadangan[[#This Row],[Profit Normal C]])</f>
        <v>500000</v>
      </c>
      <c r="AH286" s="73">
        <f>cadangan[[#This Row],[Profit Diskon A]]+cadangan[[#This Row],[Profit Diskon B]]+cadangan[[#This Row],[Profit Diskon C]]</f>
        <v>250000</v>
      </c>
      <c r="AI286" s="23" t="s">
        <v>8</v>
      </c>
      <c r="AJ286" s="37">
        <f>IFERROR(INDEX('Kode Diskon'!$D$3:$D$9,MATCH(cadangan[[#This Row],[Kode diskon]],'Kode Diskon'!$C$3:$C$9,0)),"-")</f>
        <v>0.2</v>
      </c>
      <c r="AK286" s="23" t="s">
        <v>9</v>
      </c>
      <c r="AL286" s="23" t="s">
        <v>7</v>
      </c>
      <c r="AM286" s="23" t="s">
        <v>75</v>
      </c>
      <c r="AN286" s="55">
        <v>45032</v>
      </c>
      <c r="AO286" s="53">
        <f>DAY(cadangan[[#This Row],[Tanggal terjual]])</f>
        <v>16</v>
      </c>
      <c r="AP286" s="21" t="str">
        <f>TEXT(cadangan[[#This Row],[Tanggal terjual]],"dddd")</f>
        <v>Sunday</v>
      </c>
      <c r="AQ286" s="23" t="str" cm="1">
        <f t="array" ref="AQ2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86" s="61">
        <f>AVERAGE(cadangan[[#This Row],[Rating A]],cadangan[[#This Row],[Rating B]],cadangan[[#This Row],[Rating C]])</f>
        <v>4</v>
      </c>
    </row>
    <row r="287" spans="1:44" x14ac:dyDescent="0.2">
      <c r="A287" s="20">
        <v>286</v>
      </c>
      <c r="B287" s="21" t="str">
        <f>_xlfn.CONCAT("ORD-",INDEX(Helper!$B$2:$B$5,MATCH(cadangan[[#This Row],[Marketplace]],Helper!$A$2:$A$5,0)),TEXT(cadangan[[#This Row],[No]],"0000"),"-",TEXT(cadangan[[#This Row],[Tanggal terjual]],"dd/mm/yy"))</f>
        <v>ORD-SP0286-03/04/23</v>
      </c>
      <c r="C287" s="39" t="s">
        <v>58</v>
      </c>
      <c r="D287" s="39" t="str">
        <f>IFERROR(INDEX(Katalog!$A$3:$A$12,MATCH(cadangan[[#This Row],[ItemID A]],Katalog!$C$3:$C$12,0)),"-")</f>
        <v>Pakaian Wanita</v>
      </c>
      <c r="E287" s="39" t="str">
        <f>IFERROR(INDEX(Katalog!$B$3:$B$12,MATCH(cadangan[[#This Row],[ItemID A]],Katalog!$C$3:$C$12,0)),"-")</f>
        <v>Dress</v>
      </c>
      <c r="F287" s="50">
        <v>2</v>
      </c>
      <c r="G287" s="50">
        <v>4</v>
      </c>
      <c r="H287" s="73">
        <f>IFERROR(INDEX(Katalog!$D$3:$D$12,MATCH(cadangan[[#This Row],[ItemID A]],Katalog!$C$3:$C$12,0))*cadangan[[#This Row],[Qty A]],0)</f>
        <v>600000</v>
      </c>
      <c r="I287" s="73">
        <f>IFERROR(cadangan[[#This Row],[Harga Normal A]]-(cadangan[[#This Row],[Harga Normal A]]*cadangan[[#This Row],[Diskon]]),cadangan[[#This Row],[Harga Normal A]])</f>
        <v>510000</v>
      </c>
      <c r="J287" s="73">
        <f>INDEX(Katalog!$F$3:$F$12,MATCH(cadangan[[#This Row],[ItemID A]],Katalog!$C$3:$C$12,0))*cadangan[[#This Row],[Qty A]]</f>
        <v>200000</v>
      </c>
      <c r="K287" s="73">
        <f>IFERROR(cadangan[[#This Row],[Harga Diskon A]]-INDEX(Katalog!$E$3:$E$12,MATCH(cadangan[[#This Row],[ItemID A]],Katalog!$C$3:$C$12,0))*cadangan[[#This Row],[Qty A]],0)</f>
        <v>110000</v>
      </c>
      <c r="M287" s="39" t="str">
        <f>IFERROR(INDEX(Katalog!$A$3:$A$12,MATCH(cadangan[[#This Row],[ItemID B]],Katalog!$C$3:$C$12,0)),"-")</f>
        <v>-</v>
      </c>
      <c r="N287" s="39" t="str">
        <f>IFERROR(INDEX(Katalog!$B$3:$B$12,MATCH(cadangan[[#This Row],[ItemID B]],Katalog!$C$3:$C$12,0)),"-")</f>
        <v>-</v>
      </c>
      <c r="Q287" s="73">
        <f>IFERROR(INDEX(Katalog!$D$3:$D$12,MATCH(cadangan[[#This Row],[ItemID B]],Katalog!$C$3:$C$12,0))*cadangan[[#This Row],[Qty B]],0)</f>
        <v>0</v>
      </c>
      <c r="R287" s="73">
        <f>IFERROR(cadangan[[#This Row],[Harga Normal B]]-(cadangan[[#This Row],[Harga Normal B]]*cadangan[[#This Row],[Diskon]]),cadangan[[#This Row],[Harga Normal B]])</f>
        <v>0</v>
      </c>
      <c r="S287" s="73">
        <f>IFERROR(INDEX(Katalog!$F$3:$F$12,MATCH(cadangan[[#This Row],[ItemID B]],Katalog!$C$3:$C$12,0))*cadangan[[#This Row],[Qty B]],0)</f>
        <v>0</v>
      </c>
      <c r="T287" s="73">
        <f>IFERROR(cadangan[[#This Row],[Harga Diskon B]]-INDEX(Katalog!$E$3:$E$12,MATCH(cadangan[[#This Row],[ItemID B]],Katalog!$C$3:$C$12,0))*cadangan[[#This Row],[Qty B]],0)</f>
        <v>0</v>
      </c>
      <c r="V287" s="39" t="str">
        <f>IFERROR(INDEX(Katalog!$A$3:$A$12,MATCH(cadangan[[#This Row],[ItemID C]],Katalog!$C$3:$C$12,0)),"-")</f>
        <v>-</v>
      </c>
      <c r="W287" s="39" t="str">
        <f>IFERROR(INDEX(Katalog!$B$3:$B$12,MATCH(cadangan[[#This Row],[ItemID C]],Katalog!$C$3:$C$12,0)),"-")</f>
        <v>-</v>
      </c>
      <c r="Z287" s="73">
        <f>IFERROR(INDEX(Katalog!$D$3:$D$12,MATCH(cadangan[[#This Row],[ItemID C]],Katalog!$C$3:$C$12,0))*cadangan[[#This Row],[Qty C]],0)</f>
        <v>0</v>
      </c>
      <c r="AA287" s="73">
        <f>IFERROR(cadangan[[#This Row],[Harga Normal C]]-(cadangan[[#This Row],[Harga Normal C]]*cadangan[[#This Row],[Diskon]]),cadangan[[#This Row],[Harga Normal C]])</f>
        <v>0</v>
      </c>
      <c r="AB287" s="73">
        <f>IFERROR(INDEX(Katalog!$F$3:$F$12,MATCH(cadangan[[#This Row],[ItemID C]],Katalog!$C$3:$C$12,0))*cadangan[[#This Row],[Qty C]],0)</f>
        <v>0</v>
      </c>
      <c r="AC287" s="73">
        <f>IFERROR(cadangan[[#This Row],[Harga Diskon C]]-INDEX(Katalog!$E$3:$E$12,MATCH(cadangan[[#This Row],[ItemID C]],Katalog!$C$3:$C$12,0))*cadangan[[#This Row],[Qty C]],0)</f>
        <v>0</v>
      </c>
      <c r="AD287" s="53">
        <f>cadangan[[#This Row],[Qty A]]+cadangan[[#This Row],[Qty B]]+cadangan[[#This Row],[Qty C]]</f>
        <v>2</v>
      </c>
      <c r="AE287" s="73">
        <f>cadangan[[#This Row],[Harga Normal A]]+cadangan[[#This Row],[Harga Normal B]]+cadangan[[#This Row],[Harga Normal C]]</f>
        <v>600000</v>
      </c>
      <c r="AF287" s="73">
        <f>cadangan[[#This Row],[Harga Diskon A]]+cadangan[[#This Row],[Harga Diskon B]]+cadangan[[#This Row],[Harga Diskon C]]</f>
        <v>510000</v>
      </c>
      <c r="AG287" s="73">
        <f>(cadangan[[#This Row],[Profit Normal A]]+cadangan[[#This Row],[Profit Normal B]]+cadangan[[#This Row],[Profit Normal C]])</f>
        <v>200000</v>
      </c>
      <c r="AH287" s="73">
        <f>cadangan[[#This Row],[Profit Diskon A]]+cadangan[[#This Row],[Profit Diskon B]]+cadangan[[#This Row],[Profit Diskon C]]</f>
        <v>110000</v>
      </c>
      <c r="AI287" s="23" t="s">
        <v>13</v>
      </c>
      <c r="AJ287" s="37">
        <f>IFERROR(INDEX('Kode Diskon'!$D$3:$D$9,MATCH(cadangan[[#This Row],[Kode diskon]],'Kode Diskon'!$C$3:$C$9,0)),"-")</f>
        <v>0.15</v>
      </c>
      <c r="AK287" s="23" t="s">
        <v>29</v>
      </c>
      <c r="AL287" s="23" t="s">
        <v>7</v>
      </c>
      <c r="AM287" s="23" t="s">
        <v>79</v>
      </c>
      <c r="AN287" s="55">
        <v>45019</v>
      </c>
      <c r="AO287" s="53">
        <f>DAY(cadangan[[#This Row],[Tanggal terjual]])</f>
        <v>3</v>
      </c>
      <c r="AP287" s="21" t="str">
        <f>TEXT(cadangan[[#This Row],[Tanggal terjual]],"dddd")</f>
        <v>Monday</v>
      </c>
      <c r="AQ287" s="23" t="str" cm="1">
        <f t="array" ref="AQ2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7" s="61">
        <f>AVERAGE(cadangan[[#This Row],[Rating A]],cadangan[[#This Row],[Rating B]],cadangan[[#This Row],[Rating C]])</f>
        <v>4</v>
      </c>
    </row>
    <row r="288" spans="1:44" x14ac:dyDescent="0.2">
      <c r="A288" s="20">
        <v>287</v>
      </c>
      <c r="B288" s="21" t="str">
        <f>_xlfn.CONCAT("ORD-",INDEX(Helper!$B$2:$B$5,MATCH(cadangan[[#This Row],[Marketplace]],Helper!$A$2:$A$5,0)),TEXT(cadangan[[#This Row],[No]],"0000"),"-",TEXT(cadangan[[#This Row],[Tanggal terjual]],"dd/mm/yy"))</f>
        <v>ORD-BB0287-03/04/23</v>
      </c>
      <c r="C288" s="39" t="s">
        <v>63</v>
      </c>
      <c r="D288" s="39" t="str">
        <f>IFERROR(INDEX(Katalog!$A$3:$A$12,MATCH(cadangan[[#This Row],[ItemID A]],Katalog!$C$3:$C$12,0)),"-")</f>
        <v>Pakaian Pria</v>
      </c>
      <c r="E288" s="39" t="str">
        <f>IFERROR(INDEX(Katalog!$B$3:$B$12,MATCH(cadangan[[#This Row],[ItemID A]],Katalog!$C$3:$C$12,0)),"-")</f>
        <v>Jaket Jeans</v>
      </c>
      <c r="F288" s="50">
        <v>1</v>
      </c>
      <c r="G288" s="50">
        <v>2</v>
      </c>
      <c r="H288" s="73">
        <f>IFERROR(INDEX(Katalog!$D$3:$D$12,MATCH(cadangan[[#This Row],[ItemID A]],Katalog!$C$3:$C$12,0))*cadangan[[#This Row],[Qty A]],0)</f>
        <v>400000</v>
      </c>
      <c r="I288" s="73">
        <f>IFERROR(cadangan[[#This Row],[Harga Normal A]]-(cadangan[[#This Row],[Harga Normal A]]*cadangan[[#This Row],[Diskon]]),cadangan[[#This Row],[Harga Normal A]])</f>
        <v>340000</v>
      </c>
      <c r="J288" s="73">
        <f>INDEX(Katalog!$F$3:$F$12,MATCH(cadangan[[#This Row],[ItemID A]],Katalog!$C$3:$C$12,0))*cadangan[[#This Row],[Qty A]]</f>
        <v>150000</v>
      </c>
      <c r="K288" s="73">
        <f>IFERROR(cadangan[[#This Row],[Harga Diskon A]]-INDEX(Katalog!$E$3:$E$12,MATCH(cadangan[[#This Row],[ItemID A]],Katalog!$C$3:$C$12,0))*cadangan[[#This Row],[Qty A]],0)</f>
        <v>90000</v>
      </c>
      <c r="L288" s="39" t="s">
        <v>66</v>
      </c>
      <c r="M288" s="39" t="str">
        <f>IFERROR(INDEX(Katalog!$A$3:$A$12,MATCH(cadangan[[#This Row],[ItemID B]],Katalog!$C$3:$C$12,0)),"-")</f>
        <v>Sepatu Pria</v>
      </c>
      <c r="N288" s="39" t="str">
        <f>IFERROR(INDEX(Katalog!$B$3:$B$12,MATCH(cadangan[[#This Row],[ItemID B]],Katalog!$C$3:$C$12,0)),"-")</f>
        <v>Sandal Slip On</v>
      </c>
      <c r="O288" s="50">
        <v>2</v>
      </c>
      <c r="P288" s="50">
        <v>1</v>
      </c>
      <c r="Q288" s="73">
        <f>IFERROR(INDEX(Katalog!$D$3:$D$12,MATCH(cadangan[[#This Row],[ItemID B]],Katalog!$C$3:$C$12,0))*cadangan[[#This Row],[Qty B]],0)</f>
        <v>300000</v>
      </c>
      <c r="R288" s="73">
        <f>IFERROR(cadangan[[#This Row],[Harga Normal B]]-(cadangan[[#This Row],[Harga Normal B]]*cadangan[[#This Row],[Diskon]]),cadangan[[#This Row],[Harga Normal B]])</f>
        <v>255000</v>
      </c>
      <c r="S288" s="73">
        <f>IFERROR(INDEX(Katalog!$F$3:$F$12,MATCH(cadangan[[#This Row],[ItemID B]],Katalog!$C$3:$C$12,0))*cadangan[[#This Row],[Qty B]],0)</f>
        <v>120000</v>
      </c>
      <c r="T288" s="73">
        <f>IFERROR(cadangan[[#This Row],[Harga Diskon B]]-INDEX(Katalog!$E$3:$E$12,MATCH(cadangan[[#This Row],[ItemID B]],Katalog!$C$3:$C$12,0))*cadangan[[#This Row],[Qty B]],0)</f>
        <v>75000</v>
      </c>
      <c r="U288" s="39" t="s">
        <v>62</v>
      </c>
      <c r="V288" s="39" t="str">
        <f>IFERROR(INDEX(Katalog!$A$3:$A$12,MATCH(cadangan[[#This Row],[ItemID C]],Katalog!$C$3:$C$12,0)),"-")</f>
        <v>Pakaian Pria</v>
      </c>
      <c r="W288" s="39" t="str">
        <f>IFERROR(INDEX(Katalog!$B$3:$B$12,MATCH(cadangan[[#This Row],[ItemID C]],Katalog!$C$3:$C$12,0)),"-")</f>
        <v>Celana Pendek</v>
      </c>
      <c r="X288" s="50">
        <v>4</v>
      </c>
      <c r="Y288" s="50">
        <v>2</v>
      </c>
      <c r="Z288" s="73">
        <f>IFERROR(INDEX(Katalog!$D$3:$D$12,MATCH(cadangan[[#This Row],[ItemID C]],Katalog!$C$3:$C$12,0))*cadangan[[#This Row],[Qty C]],0)</f>
        <v>720000</v>
      </c>
      <c r="AA288" s="73">
        <f>IFERROR(cadangan[[#This Row],[Harga Normal C]]-(cadangan[[#This Row],[Harga Normal C]]*cadangan[[#This Row],[Diskon]]),cadangan[[#This Row],[Harga Normal C]])</f>
        <v>612000</v>
      </c>
      <c r="AB288" s="73">
        <f>IFERROR(INDEX(Katalog!$F$3:$F$12,MATCH(cadangan[[#This Row],[ItemID C]],Katalog!$C$3:$C$12,0))*cadangan[[#This Row],[Qty C]],0)</f>
        <v>280000</v>
      </c>
      <c r="AC288" s="73">
        <f>IFERROR(cadangan[[#This Row],[Harga Diskon C]]-INDEX(Katalog!$E$3:$E$12,MATCH(cadangan[[#This Row],[ItemID C]],Katalog!$C$3:$C$12,0))*cadangan[[#This Row],[Qty C]],0)</f>
        <v>172000</v>
      </c>
      <c r="AD288" s="53">
        <f>cadangan[[#This Row],[Qty A]]+cadangan[[#This Row],[Qty B]]+cadangan[[#This Row],[Qty C]]</f>
        <v>7</v>
      </c>
      <c r="AE288" s="73">
        <f>cadangan[[#This Row],[Harga Normal A]]+cadangan[[#This Row],[Harga Normal B]]+cadangan[[#This Row],[Harga Normal C]]</f>
        <v>1420000</v>
      </c>
      <c r="AF288" s="73">
        <f>cadangan[[#This Row],[Harga Diskon A]]+cadangan[[#This Row],[Harga Diskon B]]+cadangan[[#This Row],[Harga Diskon C]]</f>
        <v>1207000</v>
      </c>
      <c r="AG288" s="73">
        <f>(cadangan[[#This Row],[Profit Normal A]]+cadangan[[#This Row],[Profit Normal B]]+cadangan[[#This Row],[Profit Normal C]])</f>
        <v>550000</v>
      </c>
      <c r="AH288" s="73">
        <f>cadangan[[#This Row],[Profit Diskon A]]+cadangan[[#This Row],[Profit Diskon B]]+cadangan[[#This Row],[Profit Diskon C]]</f>
        <v>337000</v>
      </c>
      <c r="AI288" s="23" t="s">
        <v>28</v>
      </c>
      <c r="AJ288" s="37">
        <f>IFERROR(INDEX('Kode Diskon'!$D$3:$D$9,MATCH(cadangan[[#This Row],[Kode diskon]],'Kode Diskon'!$C$3:$C$9,0)),"-")</f>
        <v>0.15</v>
      </c>
      <c r="AK288" s="23" t="s">
        <v>29</v>
      </c>
      <c r="AL288" s="23" t="s">
        <v>14</v>
      </c>
      <c r="AM288" s="23" t="s">
        <v>80</v>
      </c>
      <c r="AN288" s="55">
        <v>45019</v>
      </c>
      <c r="AO288" s="53">
        <f>DAY(cadangan[[#This Row],[Tanggal terjual]])</f>
        <v>3</v>
      </c>
      <c r="AP288" s="21" t="str">
        <f>TEXT(cadangan[[#This Row],[Tanggal terjual]],"dddd")</f>
        <v>Monday</v>
      </c>
      <c r="AQ288" s="23" t="str" cm="1">
        <f t="array" ref="AQ2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8" s="61">
        <f>AVERAGE(cadangan[[#This Row],[Rating A]],cadangan[[#This Row],[Rating B]],cadangan[[#This Row],[Rating C]])</f>
        <v>1.6666666666666667</v>
      </c>
    </row>
    <row r="289" spans="1:44" x14ac:dyDescent="0.2">
      <c r="A289" s="20">
        <v>288</v>
      </c>
      <c r="B289" s="21" t="str">
        <f>_xlfn.CONCAT("ORD-",INDEX(Helper!$B$2:$B$5,MATCH(cadangan[[#This Row],[Marketplace]],Helper!$A$2:$A$5,0)),TEXT(cadangan[[#This Row],[No]],"0000"),"-",TEXT(cadangan[[#This Row],[Tanggal terjual]],"dd/mm/yy"))</f>
        <v>ORD-SP0288-05/04/23</v>
      </c>
      <c r="C289" s="39" t="s">
        <v>60</v>
      </c>
      <c r="D289" s="39" t="str">
        <f>IFERROR(INDEX(Katalog!$A$3:$A$12,MATCH(cadangan[[#This Row],[ItemID A]],Katalog!$C$3:$C$12,0)),"-")</f>
        <v>Pakaian Wanita</v>
      </c>
      <c r="E289" s="39" t="str">
        <f>IFERROR(INDEX(Katalog!$B$3:$B$12,MATCH(cadangan[[#This Row],[ItemID A]],Katalog!$C$3:$C$12,0)),"-")</f>
        <v>Kaftan</v>
      </c>
      <c r="F289" s="50">
        <v>2</v>
      </c>
      <c r="G289" s="50">
        <v>2</v>
      </c>
      <c r="H289" s="73">
        <f>IFERROR(INDEX(Katalog!$D$3:$D$12,MATCH(cadangan[[#This Row],[ItemID A]],Katalog!$C$3:$C$12,0))*cadangan[[#This Row],[Qty A]],0)</f>
        <v>500000</v>
      </c>
      <c r="I289" s="73">
        <f>IFERROR(cadangan[[#This Row],[Harga Normal A]]-(cadangan[[#This Row],[Harga Normal A]]*cadangan[[#This Row],[Diskon]]),cadangan[[#This Row],[Harga Normal A]])</f>
        <v>450000</v>
      </c>
      <c r="J289" s="73">
        <f>INDEX(Katalog!$F$3:$F$12,MATCH(cadangan[[#This Row],[ItemID A]],Katalog!$C$3:$C$12,0))*cadangan[[#This Row],[Qty A]]</f>
        <v>200000</v>
      </c>
      <c r="K289" s="73">
        <f>IFERROR(cadangan[[#This Row],[Harga Diskon A]]-INDEX(Katalog!$E$3:$E$12,MATCH(cadangan[[#This Row],[ItemID A]],Katalog!$C$3:$C$12,0))*cadangan[[#This Row],[Qty A]],0)</f>
        <v>150000</v>
      </c>
      <c r="L289" s="39" t="s">
        <v>63</v>
      </c>
      <c r="M289" s="39" t="str">
        <f>IFERROR(INDEX(Katalog!$A$3:$A$12,MATCH(cadangan[[#This Row],[ItemID B]],Katalog!$C$3:$C$12,0)),"-")</f>
        <v>Pakaian Pria</v>
      </c>
      <c r="N289" s="39" t="str">
        <f>IFERROR(INDEX(Katalog!$B$3:$B$12,MATCH(cadangan[[#This Row],[ItemID B]],Katalog!$C$3:$C$12,0)),"-")</f>
        <v>Jaket Jeans</v>
      </c>
      <c r="O289" s="50">
        <v>1</v>
      </c>
      <c r="P289" s="50">
        <v>4</v>
      </c>
      <c r="Q289" s="73">
        <f>IFERROR(INDEX(Katalog!$D$3:$D$12,MATCH(cadangan[[#This Row],[ItemID B]],Katalog!$C$3:$C$12,0))*cadangan[[#This Row],[Qty B]],0)</f>
        <v>400000</v>
      </c>
      <c r="R289" s="73">
        <f>IFERROR(cadangan[[#This Row],[Harga Normal B]]-(cadangan[[#This Row],[Harga Normal B]]*cadangan[[#This Row],[Diskon]]),cadangan[[#This Row],[Harga Normal B]])</f>
        <v>360000</v>
      </c>
      <c r="S289" s="73">
        <f>IFERROR(INDEX(Katalog!$F$3:$F$12,MATCH(cadangan[[#This Row],[ItemID B]],Katalog!$C$3:$C$12,0))*cadangan[[#This Row],[Qty B]],0)</f>
        <v>150000</v>
      </c>
      <c r="T289" s="73">
        <f>IFERROR(cadangan[[#This Row],[Harga Diskon B]]-INDEX(Katalog!$E$3:$E$12,MATCH(cadangan[[#This Row],[ItemID B]],Katalog!$C$3:$C$12,0))*cadangan[[#This Row],[Qty B]],0)</f>
        <v>110000</v>
      </c>
      <c r="V289" s="39" t="str">
        <f>IFERROR(INDEX(Katalog!$A$3:$A$12,MATCH(cadangan[[#This Row],[ItemID C]],Katalog!$C$3:$C$12,0)),"-")</f>
        <v>-</v>
      </c>
      <c r="W289" s="39" t="str">
        <f>IFERROR(INDEX(Katalog!$B$3:$B$12,MATCH(cadangan[[#This Row],[ItemID C]],Katalog!$C$3:$C$12,0)),"-")</f>
        <v>-</v>
      </c>
      <c r="Z289" s="73">
        <f>IFERROR(INDEX(Katalog!$D$3:$D$12,MATCH(cadangan[[#This Row],[ItemID C]],Katalog!$C$3:$C$12,0))*cadangan[[#This Row],[Qty C]],0)</f>
        <v>0</v>
      </c>
      <c r="AA289" s="73">
        <f>IFERROR(cadangan[[#This Row],[Harga Normal C]]-(cadangan[[#This Row],[Harga Normal C]]*cadangan[[#This Row],[Diskon]]),cadangan[[#This Row],[Harga Normal C]])</f>
        <v>0</v>
      </c>
      <c r="AB289" s="73">
        <f>IFERROR(INDEX(Katalog!$F$3:$F$12,MATCH(cadangan[[#This Row],[ItemID C]],Katalog!$C$3:$C$12,0))*cadangan[[#This Row],[Qty C]],0)</f>
        <v>0</v>
      </c>
      <c r="AC289" s="73">
        <f>IFERROR(cadangan[[#This Row],[Harga Diskon C]]-INDEX(Katalog!$E$3:$E$12,MATCH(cadangan[[#This Row],[ItemID C]],Katalog!$C$3:$C$12,0))*cadangan[[#This Row],[Qty C]],0)</f>
        <v>0</v>
      </c>
      <c r="AD289" s="53">
        <f>cadangan[[#This Row],[Qty A]]+cadangan[[#This Row],[Qty B]]+cadangan[[#This Row],[Qty C]]</f>
        <v>3</v>
      </c>
      <c r="AE289" s="73">
        <f>cadangan[[#This Row],[Harga Normal A]]+cadangan[[#This Row],[Harga Normal B]]+cadangan[[#This Row],[Harga Normal C]]</f>
        <v>900000</v>
      </c>
      <c r="AF289" s="73">
        <f>cadangan[[#This Row],[Harga Diskon A]]+cadangan[[#This Row],[Harga Diskon B]]+cadangan[[#This Row],[Harga Diskon C]]</f>
        <v>810000</v>
      </c>
      <c r="AG289" s="73">
        <f>(cadangan[[#This Row],[Profit Normal A]]+cadangan[[#This Row],[Profit Normal B]]+cadangan[[#This Row],[Profit Normal C]])</f>
        <v>350000</v>
      </c>
      <c r="AH289" s="73">
        <f>cadangan[[#This Row],[Profit Diskon A]]+cadangan[[#This Row],[Profit Diskon B]]+cadangan[[#This Row],[Profit Diskon C]]</f>
        <v>260000</v>
      </c>
      <c r="AI289" s="23" t="s">
        <v>6</v>
      </c>
      <c r="AJ289" s="37">
        <f>IFERROR(INDEX('Kode Diskon'!$D$3:$D$9,MATCH(cadangan[[#This Row],[Kode diskon]],'Kode Diskon'!$C$3:$C$9,0)),"-")</f>
        <v>0.1</v>
      </c>
      <c r="AK289" s="23" t="s">
        <v>29</v>
      </c>
      <c r="AL289" s="23" t="s">
        <v>7</v>
      </c>
      <c r="AM289" s="23" t="s">
        <v>79</v>
      </c>
      <c r="AN289" s="55">
        <v>45021</v>
      </c>
      <c r="AO289" s="53">
        <f>DAY(cadangan[[#This Row],[Tanggal terjual]])</f>
        <v>5</v>
      </c>
      <c r="AP289" s="21" t="str">
        <f>TEXT(cadangan[[#This Row],[Tanggal terjual]],"dddd")</f>
        <v>Wednesday</v>
      </c>
      <c r="AQ289" s="23" t="str" cm="1">
        <f t="array" ref="AQ2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89" s="61">
        <f>AVERAGE(cadangan[[#This Row],[Rating A]],cadangan[[#This Row],[Rating B]],cadangan[[#This Row],[Rating C]])</f>
        <v>3</v>
      </c>
    </row>
    <row r="290" spans="1:44" x14ac:dyDescent="0.2">
      <c r="A290" s="20">
        <v>289</v>
      </c>
      <c r="B290" s="21" t="str">
        <f>_xlfn.CONCAT("ORD-",INDEX(Helper!$B$2:$B$5,MATCH(cadangan[[#This Row],[Marketplace]],Helper!$A$2:$A$5,0)),TEXT(cadangan[[#This Row],[No]],"0000"),"-",TEXT(cadangan[[#This Row],[Tanggal terjual]],"dd/mm/yy"))</f>
        <v>ORD-BB0289-03/04/23</v>
      </c>
      <c r="C290" s="39" t="s">
        <v>58</v>
      </c>
      <c r="D290" s="39" t="str">
        <f>IFERROR(INDEX(Katalog!$A$3:$A$12,MATCH(cadangan[[#This Row],[ItemID A]],Katalog!$C$3:$C$12,0)),"-")</f>
        <v>Pakaian Wanita</v>
      </c>
      <c r="E290" s="39" t="str">
        <f>IFERROR(INDEX(Katalog!$B$3:$B$12,MATCH(cadangan[[#This Row],[ItemID A]],Katalog!$C$3:$C$12,0)),"-")</f>
        <v>Dress</v>
      </c>
      <c r="F290" s="50">
        <v>4</v>
      </c>
      <c r="G290" s="50">
        <v>1</v>
      </c>
      <c r="H290" s="73">
        <f>IFERROR(INDEX(Katalog!$D$3:$D$12,MATCH(cadangan[[#This Row],[ItemID A]],Katalog!$C$3:$C$12,0))*cadangan[[#This Row],[Qty A]],0)</f>
        <v>1200000</v>
      </c>
      <c r="I290" s="73">
        <f>IFERROR(cadangan[[#This Row],[Harga Normal A]]-(cadangan[[#This Row],[Harga Normal A]]*cadangan[[#This Row],[Diskon]]),cadangan[[#This Row],[Harga Normal A]])</f>
        <v>1020000</v>
      </c>
      <c r="J290" s="73">
        <f>INDEX(Katalog!$F$3:$F$12,MATCH(cadangan[[#This Row],[ItemID A]],Katalog!$C$3:$C$12,0))*cadangan[[#This Row],[Qty A]]</f>
        <v>400000</v>
      </c>
      <c r="K290" s="73">
        <f>IFERROR(cadangan[[#This Row],[Harga Diskon A]]-INDEX(Katalog!$E$3:$E$12,MATCH(cadangan[[#This Row],[ItemID A]],Katalog!$C$3:$C$12,0))*cadangan[[#This Row],[Qty A]],0)</f>
        <v>220000</v>
      </c>
      <c r="L290" s="39" t="s">
        <v>60</v>
      </c>
      <c r="M290" s="39" t="str">
        <f>IFERROR(INDEX(Katalog!$A$3:$A$12,MATCH(cadangan[[#This Row],[ItemID B]],Katalog!$C$3:$C$12,0)),"-")</f>
        <v>Pakaian Wanita</v>
      </c>
      <c r="N290" s="39" t="str">
        <f>IFERROR(INDEX(Katalog!$B$3:$B$12,MATCH(cadangan[[#This Row],[ItemID B]],Katalog!$C$3:$C$12,0)),"-")</f>
        <v>Kaftan</v>
      </c>
      <c r="O290" s="50">
        <v>1</v>
      </c>
      <c r="P290" s="50">
        <v>2</v>
      </c>
      <c r="Q290" s="73">
        <f>IFERROR(INDEX(Katalog!$D$3:$D$12,MATCH(cadangan[[#This Row],[ItemID B]],Katalog!$C$3:$C$12,0))*cadangan[[#This Row],[Qty B]],0)</f>
        <v>250000</v>
      </c>
      <c r="R290" s="73">
        <f>IFERROR(cadangan[[#This Row],[Harga Normal B]]-(cadangan[[#This Row],[Harga Normal B]]*cadangan[[#This Row],[Diskon]]),cadangan[[#This Row],[Harga Normal B]])</f>
        <v>212500</v>
      </c>
      <c r="S290" s="73">
        <f>IFERROR(INDEX(Katalog!$F$3:$F$12,MATCH(cadangan[[#This Row],[ItemID B]],Katalog!$C$3:$C$12,0))*cadangan[[#This Row],[Qty B]],0)</f>
        <v>100000</v>
      </c>
      <c r="T290" s="73">
        <f>IFERROR(cadangan[[#This Row],[Harga Diskon B]]-INDEX(Katalog!$E$3:$E$12,MATCH(cadangan[[#This Row],[ItemID B]],Katalog!$C$3:$C$12,0))*cadangan[[#This Row],[Qty B]],0)</f>
        <v>62500</v>
      </c>
      <c r="U290" s="39" t="s">
        <v>66</v>
      </c>
      <c r="V290" s="39" t="str">
        <f>IFERROR(INDEX(Katalog!$A$3:$A$12,MATCH(cadangan[[#This Row],[ItemID C]],Katalog!$C$3:$C$12,0)),"-")</f>
        <v>Sepatu Pria</v>
      </c>
      <c r="W290" s="39" t="str">
        <f>IFERROR(INDEX(Katalog!$B$3:$B$12,MATCH(cadangan[[#This Row],[ItemID C]],Katalog!$C$3:$C$12,0)),"-")</f>
        <v>Sandal Slip On</v>
      </c>
      <c r="X290" s="50">
        <v>1</v>
      </c>
      <c r="Y290" s="50">
        <v>2</v>
      </c>
      <c r="Z290" s="73">
        <f>IFERROR(INDEX(Katalog!$D$3:$D$12,MATCH(cadangan[[#This Row],[ItemID C]],Katalog!$C$3:$C$12,0))*cadangan[[#This Row],[Qty C]],0)</f>
        <v>150000</v>
      </c>
      <c r="AA290" s="73">
        <f>IFERROR(cadangan[[#This Row],[Harga Normal C]]-(cadangan[[#This Row],[Harga Normal C]]*cadangan[[#This Row],[Diskon]]),cadangan[[#This Row],[Harga Normal C]])</f>
        <v>127500</v>
      </c>
      <c r="AB290" s="73">
        <f>IFERROR(INDEX(Katalog!$F$3:$F$12,MATCH(cadangan[[#This Row],[ItemID C]],Katalog!$C$3:$C$12,0))*cadangan[[#This Row],[Qty C]],0)</f>
        <v>60000</v>
      </c>
      <c r="AC290" s="73">
        <f>IFERROR(cadangan[[#This Row],[Harga Diskon C]]-INDEX(Katalog!$E$3:$E$12,MATCH(cadangan[[#This Row],[ItemID C]],Katalog!$C$3:$C$12,0))*cadangan[[#This Row],[Qty C]],0)</f>
        <v>37500</v>
      </c>
      <c r="AD290" s="53">
        <f>cadangan[[#This Row],[Qty A]]+cadangan[[#This Row],[Qty B]]+cadangan[[#This Row],[Qty C]]</f>
        <v>6</v>
      </c>
      <c r="AE290" s="73">
        <f>cadangan[[#This Row],[Harga Normal A]]+cadangan[[#This Row],[Harga Normal B]]+cadangan[[#This Row],[Harga Normal C]]</f>
        <v>1600000</v>
      </c>
      <c r="AF290" s="73">
        <f>cadangan[[#This Row],[Harga Diskon A]]+cadangan[[#This Row],[Harga Diskon B]]+cadangan[[#This Row],[Harga Diskon C]]</f>
        <v>1360000</v>
      </c>
      <c r="AG290" s="73">
        <f>(cadangan[[#This Row],[Profit Normal A]]+cadangan[[#This Row],[Profit Normal B]]+cadangan[[#This Row],[Profit Normal C]])</f>
        <v>560000</v>
      </c>
      <c r="AH290" s="73">
        <f>cadangan[[#This Row],[Profit Diskon A]]+cadangan[[#This Row],[Profit Diskon B]]+cadangan[[#This Row],[Profit Diskon C]]</f>
        <v>320000</v>
      </c>
      <c r="AI290" s="23" t="s">
        <v>28</v>
      </c>
      <c r="AJ290" s="37">
        <f>IFERROR(INDEX('Kode Diskon'!$D$3:$D$9,MATCH(cadangan[[#This Row],[Kode diskon]],'Kode Diskon'!$C$3:$C$9,0)),"-")</f>
        <v>0.15</v>
      </c>
      <c r="AK290" s="23" t="s">
        <v>29</v>
      </c>
      <c r="AL290" s="23" t="s">
        <v>14</v>
      </c>
      <c r="AM290" s="23" t="s">
        <v>77</v>
      </c>
      <c r="AN290" s="55">
        <v>45019</v>
      </c>
      <c r="AO290" s="53">
        <f>DAY(cadangan[[#This Row],[Tanggal terjual]])</f>
        <v>3</v>
      </c>
      <c r="AP290" s="21" t="str">
        <f>TEXT(cadangan[[#This Row],[Tanggal terjual]],"dddd")</f>
        <v>Monday</v>
      </c>
      <c r="AQ290" s="23" t="str" cm="1">
        <f t="array" ref="AQ2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0" s="61">
        <f>AVERAGE(cadangan[[#This Row],[Rating A]],cadangan[[#This Row],[Rating B]],cadangan[[#This Row],[Rating C]])</f>
        <v>1.6666666666666667</v>
      </c>
    </row>
    <row r="291" spans="1:44" x14ac:dyDescent="0.2">
      <c r="A291" s="20">
        <v>290</v>
      </c>
      <c r="B291" s="21" t="str">
        <f>_xlfn.CONCAT("ORD-",INDEX(Helper!$B$2:$B$5,MATCH(cadangan[[#This Row],[Marketplace]],Helper!$A$2:$A$5,0)),TEXT(cadangan[[#This Row],[No]],"0000"),"-",TEXT(cadangan[[#This Row],[Tanggal terjual]],"dd/mm/yy"))</f>
        <v>ORD-TK0290-07/04/23</v>
      </c>
      <c r="C291" s="39" t="s">
        <v>63</v>
      </c>
      <c r="D291" s="39" t="str">
        <f>IFERROR(INDEX(Katalog!$A$3:$A$12,MATCH(cadangan[[#This Row],[ItemID A]],Katalog!$C$3:$C$12,0)),"-")</f>
        <v>Pakaian Pria</v>
      </c>
      <c r="E291" s="39" t="str">
        <f>IFERROR(INDEX(Katalog!$B$3:$B$12,MATCH(cadangan[[#This Row],[ItemID A]],Katalog!$C$3:$C$12,0)),"-")</f>
        <v>Jaket Jeans</v>
      </c>
      <c r="F291" s="50">
        <v>6</v>
      </c>
      <c r="G291" s="50">
        <v>2</v>
      </c>
      <c r="H291" s="73">
        <f>IFERROR(INDEX(Katalog!$D$3:$D$12,MATCH(cadangan[[#This Row],[ItemID A]],Katalog!$C$3:$C$12,0))*cadangan[[#This Row],[Qty A]],0)</f>
        <v>2400000</v>
      </c>
      <c r="I291" s="73">
        <f>IFERROR(cadangan[[#This Row],[Harga Normal A]]-(cadangan[[#This Row],[Harga Normal A]]*cadangan[[#This Row],[Diskon]]),cadangan[[#This Row],[Harga Normal A]])</f>
        <v>2400000</v>
      </c>
      <c r="J291" s="73">
        <f>INDEX(Katalog!$F$3:$F$12,MATCH(cadangan[[#This Row],[ItemID A]],Katalog!$C$3:$C$12,0))*cadangan[[#This Row],[Qty A]]</f>
        <v>900000</v>
      </c>
      <c r="K291" s="73">
        <f>IFERROR(cadangan[[#This Row],[Harga Diskon A]]-INDEX(Katalog!$E$3:$E$12,MATCH(cadangan[[#This Row],[ItemID A]],Katalog!$C$3:$C$12,0))*cadangan[[#This Row],[Qty A]],0)</f>
        <v>900000</v>
      </c>
      <c r="L291" s="39" t="s">
        <v>62</v>
      </c>
      <c r="M291" s="39" t="str">
        <f>IFERROR(INDEX(Katalog!$A$3:$A$12,MATCH(cadangan[[#This Row],[ItemID B]],Katalog!$C$3:$C$12,0)),"-")</f>
        <v>Pakaian Pria</v>
      </c>
      <c r="N291" s="39" t="str">
        <f>IFERROR(INDEX(Katalog!$B$3:$B$12,MATCH(cadangan[[#This Row],[ItemID B]],Katalog!$C$3:$C$12,0)),"-")</f>
        <v>Celana Pendek</v>
      </c>
      <c r="O291" s="50">
        <v>1</v>
      </c>
      <c r="P291" s="50">
        <v>1</v>
      </c>
      <c r="Q291" s="73">
        <f>IFERROR(INDEX(Katalog!$D$3:$D$12,MATCH(cadangan[[#This Row],[ItemID B]],Katalog!$C$3:$C$12,0))*cadangan[[#This Row],[Qty B]],0)</f>
        <v>180000</v>
      </c>
      <c r="R291" s="73">
        <f>IFERROR(cadangan[[#This Row],[Harga Normal B]]-(cadangan[[#This Row],[Harga Normal B]]*cadangan[[#This Row],[Diskon]]),cadangan[[#This Row],[Harga Normal B]])</f>
        <v>180000</v>
      </c>
      <c r="S291" s="73">
        <f>IFERROR(INDEX(Katalog!$F$3:$F$12,MATCH(cadangan[[#This Row],[ItemID B]],Katalog!$C$3:$C$12,0))*cadangan[[#This Row],[Qty B]],0)</f>
        <v>70000</v>
      </c>
      <c r="T291" s="73">
        <f>IFERROR(cadangan[[#This Row],[Harga Diskon B]]-INDEX(Katalog!$E$3:$E$12,MATCH(cadangan[[#This Row],[ItemID B]],Katalog!$C$3:$C$12,0))*cadangan[[#This Row],[Qty B]],0)</f>
        <v>70000</v>
      </c>
      <c r="V291" s="39" t="str">
        <f>IFERROR(INDEX(Katalog!$A$3:$A$12,MATCH(cadangan[[#This Row],[ItemID C]],Katalog!$C$3:$C$12,0)),"-")</f>
        <v>-</v>
      </c>
      <c r="W291" s="39" t="str">
        <f>IFERROR(INDEX(Katalog!$B$3:$B$12,MATCH(cadangan[[#This Row],[ItemID C]],Katalog!$C$3:$C$12,0)),"-")</f>
        <v>-</v>
      </c>
      <c r="Z291" s="73">
        <f>IFERROR(INDEX(Katalog!$D$3:$D$12,MATCH(cadangan[[#This Row],[ItemID C]],Katalog!$C$3:$C$12,0))*cadangan[[#This Row],[Qty C]],0)</f>
        <v>0</v>
      </c>
      <c r="AA291" s="73">
        <f>IFERROR(cadangan[[#This Row],[Harga Normal C]]-(cadangan[[#This Row],[Harga Normal C]]*cadangan[[#This Row],[Diskon]]),cadangan[[#This Row],[Harga Normal C]])</f>
        <v>0</v>
      </c>
      <c r="AB291" s="73">
        <f>IFERROR(INDEX(Katalog!$F$3:$F$12,MATCH(cadangan[[#This Row],[ItemID C]],Katalog!$C$3:$C$12,0))*cadangan[[#This Row],[Qty C]],0)</f>
        <v>0</v>
      </c>
      <c r="AC291" s="73">
        <f>IFERROR(cadangan[[#This Row],[Harga Diskon C]]-INDEX(Katalog!$E$3:$E$12,MATCH(cadangan[[#This Row],[ItemID C]],Katalog!$C$3:$C$12,0))*cadangan[[#This Row],[Qty C]],0)</f>
        <v>0</v>
      </c>
      <c r="AD291" s="53">
        <f>cadangan[[#This Row],[Qty A]]+cadangan[[#This Row],[Qty B]]+cadangan[[#This Row],[Qty C]]</f>
        <v>7</v>
      </c>
      <c r="AE291" s="73">
        <f>cadangan[[#This Row],[Harga Normal A]]+cadangan[[#This Row],[Harga Normal B]]+cadangan[[#This Row],[Harga Normal C]]</f>
        <v>2580000</v>
      </c>
      <c r="AF291" s="73">
        <f>cadangan[[#This Row],[Harga Diskon A]]+cadangan[[#This Row],[Harga Diskon B]]+cadangan[[#This Row],[Harga Diskon C]]</f>
        <v>2580000</v>
      </c>
      <c r="AG291" s="73">
        <f>(cadangan[[#This Row],[Profit Normal A]]+cadangan[[#This Row],[Profit Normal B]]+cadangan[[#This Row],[Profit Normal C]])</f>
        <v>970000</v>
      </c>
      <c r="AH291" s="73">
        <f>cadangan[[#This Row],[Profit Diskon A]]+cadangan[[#This Row],[Profit Diskon B]]+cadangan[[#This Row],[Profit Diskon C]]</f>
        <v>970000</v>
      </c>
      <c r="AI291" s="23" t="s">
        <v>290</v>
      </c>
      <c r="AJ291" s="37" t="str">
        <f>IFERROR(INDEX('Kode Diskon'!$D$3:$D$9,MATCH(cadangan[[#This Row],[Kode diskon]],'Kode Diskon'!$C$3:$C$9,0)),"-")</f>
        <v>-</v>
      </c>
      <c r="AK291" s="23" t="s">
        <v>290</v>
      </c>
      <c r="AL291" s="23" t="s">
        <v>10</v>
      </c>
      <c r="AM291" s="23" t="s">
        <v>75</v>
      </c>
      <c r="AN291" s="55">
        <v>45023</v>
      </c>
      <c r="AO291" s="53">
        <f>DAY(cadangan[[#This Row],[Tanggal terjual]])</f>
        <v>7</v>
      </c>
      <c r="AP291" s="21" t="str">
        <f>TEXT(cadangan[[#This Row],[Tanggal terjual]],"dddd")</f>
        <v>Friday</v>
      </c>
      <c r="AQ291" s="23" t="str" cm="1">
        <f t="array" ref="AQ2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1" s="61">
        <f>AVERAGE(cadangan[[#This Row],[Rating A]],cadangan[[#This Row],[Rating B]],cadangan[[#This Row],[Rating C]])</f>
        <v>1.5</v>
      </c>
    </row>
    <row r="292" spans="1:44" x14ac:dyDescent="0.2">
      <c r="A292" s="20">
        <v>291</v>
      </c>
      <c r="B292" s="21" t="str">
        <f>_xlfn.CONCAT("ORD-",INDEX(Helper!$B$2:$B$5,MATCH(cadangan[[#This Row],[Marketplace]],Helper!$A$2:$A$5,0)),TEXT(cadangan[[#This Row],[No]],"0000"),"-",TEXT(cadangan[[#This Row],[Tanggal terjual]],"dd/mm/yy"))</f>
        <v>ORD-SP0291-04/04/23</v>
      </c>
      <c r="C292" s="39" t="s">
        <v>66</v>
      </c>
      <c r="D292" s="39" t="str">
        <f>IFERROR(INDEX(Katalog!$A$3:$A$12,MATCH(cadangan[[#This Row],[ItemID A]],Katalog!$C$3:$C$12,0)),"-")</f>
        <v>Sepatu Pria</v>
      </c>
      <c r="E292" s="39" t="str">
        <f>IFERROR(INDEX(Katalog!$B$3:$B$12,MATCH(cadangan[[#This Row],[ItemID A]],Katalog!$C$3:$C$12,0)),"-")</f>
        <v>Sandal Slip On</v>
      </c>
      <c r="F292" s="50">
        <v>1</v>
      </c>
      <c r="G292" s="50">
        <v>4</v>
      </c>
      <c r="H292" s="73">
        <f>IFERROR(INDEX(Katalog!$D$3:$D$12,MATCH(cadangan[[#This Row],[ItemID A]],Katalog!$C$3:$C$12,0))*cadangan[[#This Row],[Qty A]],0)</f>
        <v>150000</v>
      </c>
      <c r="I292" s="73">
        <f>IFERROR(cadangan[[#This Row],[Harga Normal A]]-(cadangan[[#This Row],[Harga Normal A]]*cadangan[[#This Row],[Diskon]]),cadangan[[#This Row],[Harga Normal A]])</f>
        <v>127500</v>
      </c>
      <c r="J292" s="73">
        <f>INDEX(Katalog!$F$3:$F$12,MATCH(cadangan[[#This Row],[ItemID A]],Katalog!$C$3:$C$12,0))*cadangan[[#This Row],[Qty A]]</f>
        <v>60000</v>
      </c>
      <c r="K292" s="73">
        <f>IFERROR(cadangan[[#This Row],[Harga Diskon A]]-INDEX(Katalog!$E$3:$E$12,MATCH(cadangan[[#This Row],[ItemID A]],Katalog!$C$3:$C$12,0))*cadangan[[#This Row],[Qty A]],0)</f>
        <v>37500</v>
      </c>
      <c r="L292" s="39" t="s">
        <v>65</v>
      </c>
      <c r="M292" s="39" t="str">
        <f>IFERROR(INDEX(Katalog!$A$3:$A$12,MATCH(cadangan[[#This Row],[ItemID B]],Katalog!$C$3:$C$12,0)),"-")</f>
        <v>Sepatu Pria</v>
      </c>
      <c r="N292" s="39" t="str">
        <f>IFERROR(INDEX(Katalog!$B$3:$B$12,MATCH(cadangan[[#This Row],[ItemID B]],Katalog!$C$3:$C$12,0)),"-")</f>
        <v>Sneakers</v>
      </c>
      <c r="O292" s="50">
        <v>1</v>
      </c>
      <c r="P292" s="50">
        <v>4</v>
      </c>
      <c r="Q292" s="73">
        <f>IFERROR(INDEX(Katalog!$D$3:$D$12,MATCH(cadangan[[#This Row],[ItemID B]],Katalog!$C$3:$C$12,0))*cadangan[[#This Row],[Qty B]],0)</f>
        <v>500000</v>
      </c>
      <c r="R292" s="73">
        <f>IFERROR(cadangan[[#This Row],[Harga Normal B]]-(cadangan[[#This Row],[Harga Normal B]]*cadangan[[#This Row],[Diskon]]),cadangan[[#This Row],[Harga Normal B]])</f>
        <v>425000</v>
      </c>
      <c r="S292" s="73">
        <f>IFERROR(INDEX(Katalog!$F$3:$F$12,MATCH(cadangan[[#This Row],[ItemID B]],Katalog!$C$3:$C$12,0))*cadangan[[#This Row],[Qty B]],0)</f>
        <v>200000</v>
      </c>
      <c r="T292" s="73">
        <f>IFERROR(cadangan[[#This Row],[Harga Diskon B]]-INDEX(Katalog!$E$3:$E$12,MATCH(cadangan[[#This Row],[ItemID B]],Katalog!$C$3:$C$12,0))*cadangan[[#This Row],[Qty B]],0)</f>
        <v>125000</v>
      </c>
      <c r="V292" s="39" t="str">
        <f>IFERROR(INDEX(Katalog!$A$3:$A$12,MATCH(cadangan[[#This Row],[ItemID C]],Katalog!$C$3:$C$12,0)),"-")</f>
        <v>-</v>
      </c>
      <c r="W292" s="39" t="str">
        <f>IFERROR(INDEX(Katalog!$B$3:$B$12,MATCH(cadangan[[#This Row],[ItemID C]],Katalog!$C$3:$C$12,0)),"-")</f>
        <v>-</v>
      </c>
      <c r="Z292" s="73">
        <f>IFERROR(INDEX(Katalog!$D$3:$D$12,MATCH(cadangan[[#This Row],[ItemID C]],Katalog!$C$3:$C$12,0))*cadangan[[#This Row],[Qty C]],0)</f>
        <v>0</v>
      </c>
      <c r="AA292" s="73">
        <f>IFERROR(cadangan[[#This Row],[Harga Normal C]]-(cadangan[[#This Row],[Harga Normal C]]*cadangan[[#This Row],[Diskon]]),cadangan[[#This Row],[Harga Normal C]])</f>
        <v>0</v>
      </c>
      <c r="AB292" s="73">
        <f>IFERROR(INDEX(Katalog!$F$3:$F$12,MATCH(cadangan[[#This Row],[ItemID C]],Katalog!$C$3:$C$12,0))*cadangan[[#This Row],[Qty C]],0)</f>
        <v>0</v>
      </c>
      <c r="AC292" s="73">
        <f>IFERROR(cadangan[[#This Row],[Harga Diskon C]]-INDEX(Katalog!$E$3:$E$12,MATCH(cadangan[[#This Row],[ItemID C]],Katalog!$C$3:$C$12,0))*cadangan[[#This Row],[Qty C]],0)</f>
        <v>0</v>
      </c>
      <c r="AD292" s="53">
        <f>cadangan[[#This Row],[Qty A]]+cadangan[[#This Row],[Qty B]]+cadangan[[#This Row],[Qty C]]</f>
        <v>2</v>
      </c>
      <c r="AE292" s="73">
        <f>cadangan[[#This Row],[Harga Normal A]]+cadangan[[#This Row],[Harga Normal B]]+cadangan[[#This Row],[Harga Normal C]]</f>
        <v>650000</v>
      </c>
      <c r="AF292" s="73">
        <f>cadangan[[#This Row],[Harga Diskon A]]+cadangan[[#This Row],[Harga Diskon B]]+cadangan[[#This Row],[Harga Diskon C]]</f>
        <v>552500</v>
      </c>
      <c r="AG292" s="73">
        <f>(cadangan[[#This Row],[Profit Normal A]]+cadangan[[#This Row],[Profit Normal B]]+cadangan[[#This Row],[Profit Normal C]])</f>
        <v>260000</v>
      </c>
      <c r="AH292" s="73">
        <f>cadangan[[#This Row],[Profit Diskon A]]+cadangan[[#This Row],[Profit Diskon B]]+cadangan[[#This Row],[Profit Diskon C]]</f>
        <v>162500</v>
      </c>
      <c r="AI292" s="23" t="s">
        <v>13</v>
      </c>
      <c r="AJ292" s="37">
        <f>IFERROR(INDEX('Kode Diskon'!$D$3:$D$9,MATCH(cadangan[[#This Row],[Kode diskon]],'Kode Diskon'!$C$3:$C$9,0)),"-")</f>
        <v>0.15</v>
      </c>
      <c r="AK292" s="23" t="s">
        <v>29</v>
      </c>
      <c r="AL292" s="23" t="s">
        <v>7</v>
      </c>
      <c r="AM292" s="23" t="s">
        <v>80</v>
      </c>
      <c r="AN292" s="55">
        <v>45020</v>
      </c>
      <c r="AO292" s="53">
        <f>DAY(cadangan[[#This Row],[Tanggal terjual]])</f>
        <v>4</v>
      </c>
      <c r="AP292" s="21" t="str">
        <f>TEXT(cadangan[[#This Row],[Tanggal terjual]],"dddd")</f>
        <v>Tuesday</v>
      </c>
      <c r="AQ292" s="23" t="str" cm="1">
        <f t="array" ref="AQ2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2" s="61">
        <f>AVERAGE(cadangan[[#This Row],[Rating A]],cadangan[[#This Row],[Rating B]],cadangan[[#This Row],[Rating C]])</f>
        <v>4</v>
      </c>
    </row>
    <row r="293" spans="1:44" x14ac:dyDescent="0.2">
      <c r="A293" s="20">
        <v>292</v>
      </c>
      <c r="B293" s="21" t="str">
        <f>_xlfn.CONCAT("ORD-",INDEX(Helper!$B$2:$B$5,MATCH(cadangan[[#This Row],[Marketplace]],Helper!$A$2:$A$5,0)),TEXT(cadangan[[#This Row],[No]],"0000"),"-",TEXT(cadangan[[#This Row],[Tanggal terjual]],"dd/mm/yy"))</f>
        <v>ORD-BB0292-05/04/23</v>
      </c>
      <c r="C293" s="39" t="s">
        <v>67</v>
      </c>
      <c r="D293" s="39" t="str">
        <f>IFERROR(INDEX(Katalog!$A$3:$A$12,MATCH(cadangan[[#This Row],[ItemID A]],Katalog!$C$3:$C$12,0)),"-")</f>
        <v>Sepatu Wanita</v>
      </c>
      <c r="E293" s="39" t="str">
        <f>IFERROR(INDEX(Katalog!$B$3:$B$12,MATCH(cadangan[[#This Row],[ItemID A]],Katalog!$C$3:$C$12,0)),"-")</f>
        <v>Flat Shoes</v>
      </c>
      <c r="F293" s="50">
        <v>3</v>
      </c>
      <c r="G293" s="50">
        <v>2</v>
      </c>
      <c r="H293" s="73">
        <f>IFERROR(INDEX(Katalog!$D$3:$D$12,MATCH(cadangan[[#This Row],[ItemID A]],Katalog!$C$3:$C$12,0))*cadangan[[#This Row],[Qty A]],0)</f>
        <v>750000</v>
      </c>
      <c r="I293" s="73">
        <f>IFERROR(cadangan[[#This Row],[Harga Normal A]]-(cadangan[[#This Row],[Harga Normal A]]*cadangan[[#This Row],[Diskon]]),cadangan[[#This Row],[Harga Normal A]])</f>
        <v>637500</v>
      </c>
      <c r="J293" s="73">
        <f>INDEX(Katalog!$F$3:$F$12,MATCH(cadangan[[#This Row],[ItemID A]],Katalog!$C$3:$C$12,0))*cadangan[[#This Row],[Qty A]]</f>
        <v>300000</v>
      </c>
      <c r="K293" s="73">
        <f>IFERROR(cadangan[[#This Row],[Harga Diskon A]]-INDEX(Katalog!$E$3:$E$12,MATCH(cadangan[[#This Row],[ItemID A]],Katalog!$C$3:$C$12,0))*cadangan[[#This Row],[Qty A]],0)</f>
        <v>187500</v>
      </c>
      <c r="M293" s="39" t="str">
        <f>IFERROR(INDEX(Katalog!$A$3:$A$12,MATCH(cadangan[[#This Row],[ItemID B]],Katalog!$C$3:$C$12,0)),"-")</f>
        <v>-</v>
      </c>
      <c r="N293" s="39" t="str">
        <f>IFERROR(INDEX(Katalog!$B$3:$B$12,MATCH(cadangan[[#This Row],[ItemID B]],Katalog!$C$3:$C$12,0)),"-")</f>
        <v>-</v>
      </c>
      <c r="Q293" s="73">
        <f>IFERROR(INDEX(Katalog!$D$3:$D$12,MATCH(cadangan[[#This Row],[ItemID B]],Katalog!$C$3:$C$12,0))*cadangan[[#This Row],[Qty B]],0)</f>
        <v>0</v>
      </c>
      <c r="R293" s="73">
        <f>IFERROR(cadangan[[#This Row],[Harga Normal B]]-(cadangan[[#This Row],[Harga Normal B]]*cadangan[[#This Row],[Diskon]]),cadangan[[#This Row],[Harga Normal B]])</f>
        <v>0</v>
      </c>
      <c r="S293" s="73">
        <f>IFERROR(INDEX(Katalog!$F$3:$F$12,MATCH(cadangan[[#This Row],[ItemID B]],Katalog!$C$3:$C$12,0))*cadangan[[#This Row],[Qty B]],0)</f>
        <v>0</v>
      </c>
      <c r="T293" s="73">
        <f>IFERROR(cadangan[[#This Row],[Harga Diskon B]]-INDEX(Katalog!$E$3:$E$12,MATCH(cadangan[[#This Row],[ItemID B]],Katalog!$C$3:$C$12,0))*cadangan[[#This Row],[Qty B]],0)</f>
        <v>0</v>
      </c>
      <c r="V293" s="39" t="str">
        <f>IFERROR(INDEX(Katalog!$A$3:$A$12,MATCH(cadangan[[#This Row],[ItemID C]],Katalog!$C$3:$C$12,0)),"-")</f>
        <v>-</v>
      </c>
      <c r="W293" s="39" t="str">
        <f>IFERROR(INDEX(Katalog!$B$3:$B$12,MATCH(cadangan[[#This Row],[ItemID C]],Katalog!$C$3:$C$12,0)),"-")</f>
        <v>-</v>
      </c>
      <c r="Z293" s="73">
        <f>IFERROR(INDEX(Katalog!$D$3:$D$12,MATCH(cadangan[[#This Row],[ItemID C]],Katalog!$C$3:$C$12,0))*cadangan[[#This Row],[Qty C]],0)</f>
        <v>0</v>
      </c>
      <c r="AA293" s="73">
        <f>IFERROR(cadangan[[#This Row],[Harga Normal C]]-(cadangan[[#This Row],[Harga Normal C]]*cadangan[[#This Row],[Diskon]]),cadangan[[#This Row],[Harga Normal C]])</f>
        <v>0</v>
      </c>
      <c r="AB293" s="73">
        <f>IFERROR(INDEX(Katalog!$F$3:$F$12,MATCH(cadangan[[#This Row],[ItemID C]],Katalog!$C$3:$C$12,0))*cadangan[[#This Row],[Qty C]],0)</f>
        <v>0</v>
      </c>
      <c r="AC293" s="73">
        <f>IFERROR(cadangan[[#This Row],[Harga Diskon C]]-INDEX(Katalog!$E$3:$E$12,MATCH(cadangan[[#This Row],[ItemID C]],Katalog!$C$3:$C$12,0))*cadangan[[#This Row],[Qty C]],0)</f>
        <v>0</v>
      </c>
      <c r="AD293" s="53">
        <f>cadangan[[#This Row],[Qty A]]+cadangan[[#This Row],[Qty B]]+cadangan[[#This Row],[Qty C]]</f>
        <v>3</v>
      </c>
      <c r="AE293" s="73">
        <f>cadangan[[#This Row],[Harga Normal A]]+cadangan[[#This Row],[Harga Normal B]]+cadangan[[#This Row],[Harga Normal C]]</f>
        <v>750000</v>
      </c>
      <c r="AF293" s="73">
        <f>cadangan[[#This Row],[Harga Diskon A]]+cadangan[[#This Row],[Harga Diskon B]]+cadangan[[#This Row],[Harga Diskon C]]</f>
        <v>637500</v>
      </c>
      <c r="AG293" s="73">
        <f>(cadangan[[#This Row],[Profit Normal A]]+cadangan[[#This Row],[Profit Normal B]]+cadangan[[#This Row],[Profit Normal C]])</f>
        <v>300000</v>
      </c>
      <c r="AH293" s="73">
        <f>cadangan[[#This Row],[Profit Diskon A]]+cadangan[[#This Row],[Profit Diskon B]]+cadangan[[#This Row],[Profit Diskon C]]</f>
        <v>187500</v>
      </c>
      <c r="AI293" s="23" t="s">
        <v>28</v>
      </c>
      <c r="AJ293" s="37">
        <f>IFERROR(INDEX('Kode Diskon'!$D$3:$D$9,MATCH(cadangan[[#This Row],[Kode diskon]],'Kode Diskon'!$C$3:$C$9,0)),"-")</f>
        <v>0.15</v>
      </c>
      <c r="AK293" s="23" t="s">
        <v>29</v>
      </c>
      <c r="AL293" s="23" t="s">
        <v>14</v>
      </c>
      <c r="AM293" s="23" t="s">
        <v>80</v>
      </c>
      <c r="AN293" s="55">
        <v>45021</v>
      </c>
      <c r="AO293" s="53">
        <f>DAY(cadangan[[#This Row],[Tanggal terjual]])</f>
        <v>5</v>
      </c>
      <c r="AP293" s="21" t="str">
        <f>TEXT(cadangan[[#This Row],[Tanggal terjual]],"dddd")</f>
        <v>Wednesday</v>
      </c>
      <c r="AQ293" s="23" t="str" cm="1">
        <f t="array" ref="AQ2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3" s="61">
        <f>AVERAGE(cadangan[[#This Row],[Rating A]],cadangan[[#This Row],[Rating B]],cadangan[[#This Row],[Rating C]])</f>
        <v>2</v>
      </c>
    </row>
    <row r="294" spans="1:44" x14ac:dyDescent="0.2">
      <c r="A294" s="20">
        <v>293</v>
      </c>
      <c r="B294" s="21" t="str">
        <f>_xlfn.CONCAT("ORD-",INDEX(Helper!$B$2:$B$5,MATCH(cadangan[[#This Row],[Marketplace]],Helper!$A$2:$A$5,0)),TEXT(cadangan[[#This Row],[No]],"0000"),"-",TEXT(cadangan[[#This Row],[Tanggal terjual]],"dd/mm/yy"))</f>
        <v>ORD-SP0293-06/04/23</v>
      </c>
      <c r="C294" s="39" t="s">
        <v>63</v>
      </c>
      <c r="D294" s="39" t="str">
        <f>IFERROR(INDEX(Katalog!$A$3:$A$12,MATCH(cadangan[[#This Row],[ItemID A]],Katalog!$C$3:$C$12,0)),"-")</f>
        <v>Pakaian Pria</v>
      </c>
      <c r="E294" s="39" t="str">
        <f>IFERROR(INDEX(Katalog!$B$3:$B$12,MATCH(cadangan[[#This Row],[ItemID A]],Katalog!$C$3:$C$12,0)),"-")</f>
        <v>Jaket Jeans</v>
      </c>
      <c r="F294" s="50">
        <v>2</v>
      </c>
      <c r="G294" s="50">
        <v>2</v>
      </c>
      <c r="H294" s="73">
        <f>IFERROR(INDEX(Katalog!$D$3:$D$12,MATCH(cadangan[[#This Row],[ItemID A]],Katalog!$C$3:$C$12,0))*cadangan[[#This Row],[Qty A]],0)</f>
        <v>800000</v>
      </c>
      <c r="I294" s="73">
        <f>IFERROR(cadangan[[#This Row],[Harga Normal A]]-(cadangan[[#This Row],[Harga Normal A]]*cadangan[[#This Row],[Diskon]]),cadangan[[#This Row],[Harga Normal A]])</f>
        <v>680000</v>
      </c>
      <c r="J294" s="73">
        <f>INDEX(Katalog!$F$3:$F$12,MATCH(cadangan[[#This Row],[ItemID A]],Katalog!$C$3:$C$12,0))*cadangan[[#This Row],[Qty A]]</f>
        <v>300000</v>
      </c>
      <c r="K294" s="73">
        <f>IFERROR(cadangan[[#This Row],[Harga Diskon A]]-INDEX(Katalog!$E$3:$E$12,MATCH(cadangan[[#This Row],[ItemID A]],Katalog!$C$3:$C$12,0))*cadangan[[#This Row],[Qty A]],0)</f>
        <v>180000</v>
      </c>
      <c r="L294" s="39" t="s">
        <v>60</v>
      </c>
      <c r="M294" s="39" t="str">
        <f>IFERROR(INDEX(Katalog!$A$3:$A$12,MATCH(cadangan[[#This Row],[ItemID B]],Katalog!$C$3:$C$12,0)),"-")</f>
        <v>Pakaian Wanita</v>
      </c>
      <c r="N294" s="39" t="str">
        <f>IFERROR(INDEX(Katalog!$B$3:$B$12,MATCH(cadangan[[#This Row],[ItemID B]],Katalog!$C$3:$C$12,0)),"-")</f>
        <v>Kaftan</v>
      </c>
      <c r="O294" s="50">
        <v>2</v>
      </c>
      <c r="P294" s="50">
        <v>1</v>
      </c>
      <c r="Q294" s="73">
        <f>IFERROR(INDEX(Katalog!$D$3:$D$12,MATCH(cadangan[[#This Row],[ItemID B]],Katalog!$C$3:$C$12,0))*cadangan[[#This Row],[Qty B]],0)</f>
        <v>500000</v>
      </c>
      <c r="R294" s="73">
        <f>IFERROR(cadangan[[#This Row],[Harga Normal B]]-(cadangan[[#This Row],[Harga Normal B]]*cadangan[[#This Row],[Diskon]]),cadangan[[#This Row],[Harga Normal B]])</f>
        <v>425000</v>
      </c>
      <c r="S294" s="73">
        <f>IFERROR(INDEX(Katalog!$F$3:$F$12,MATCH(cadangan[[#This Row],[ItemID B]],Katalog!$C$3:$C$12,0))*cadangan[[#This Row],[Qty B]],0)</f>
        <v>200000</v>
      </c>
      <c r="T294" s="73">
        <f>IFERROR(cadangan[[#This Row],[Harga Diskon B]]-INDEX(Katalog!$E$3:$E$12,MATCH(cadangan[[#This Row],[ItemID B]],Katalog!$C$3:$C$12,0))*cadangan[[#This Row],[Qty B]],0)</f>
        <v>125000</v>
      </c>
      <c r="U294" s="39" t="s">
        <v>59</v>
      </c>
      <c r="V294" s="39" t="str">
        <f>IFERROR(INDEX(Katalog!$A$3:$A$12,MATCH(cadangan[[#This Row],[ItemID C]],Katalog!$C$3:$C$12,0)),"-")</f>
        <v>Pakaian Wanita</v>
      </c>
      <c r="W294" s="39" t="str">
        <f>IFERROR(INDEX(Katalog!$B$3:$B$12,MATCH(cadangan[[#This Row],[ItemID C]],Katalog!$C$3:$C$12,0)),"-")</f>
        <v>Blouse</v>
      </c>
      <c r="X294" s="50">
        <v>3</v>
      </c>
      <c r="Y294" s="50">
        <v>2</v>
      </c>
      <c r="Z294" s="73">
        <f>IFERROR(INDEX(Katalog!$D$3:$D$12,MATCH(cadangan[[#This Row],[ItemID C]],Katalog!$C$3:$C$12,0))*cadangan[[#This Row],[Qty C]],0)</f>
        <v>450000</v>
      </c>
      <c r="AA294" s="73">
        <f>IFERROR(cadangan[[#This Row],[Harga Normal C]]-(cadangan[[#This Row],[Harga Normal C]]*cadangan[[#This Row],[Diskon]]),cadangan[[#This Row],[Harga Normal C]])</f>
        <v>382500</v>
      </c>
      <c r="AB294" s="73">
        <f>IFERROR(INDEX(Katalog!$F$3:$F$12,MATCH(cadangan[[#This Row],[ItemID C]],Katalog!$C$3:$C$12,0))*cadangan[[#This Row],[Qty C]],0)</f>
        <v>150000</v>
      </c>
      <c r="AC294" s="73">
        <f>IFERROR(cadangan[[#This Row],[Harga Diskon C]]-INDEX(Katalog!$E$3:$E$12,MATCH(cadangan[[#This Row],[ItemID C]],Katalog!$C$3:$C$12,0))*cadangan[[#This Row],[Qty C]],0)</f>
        <v>82500</v>
      </c>
      <c r="AD294" s="53">
        <f>cadangan[[#This Row],[Qty A]]+cadangan[[#This Row],[Qty B]]+cadangan[[#This Row],[Qty C]]</f>
        <v>7</v>
      </c>
      <c r="AE294" s="73">
        <f>cadangan[[#This Row],[Harga Normal A]]+cadangan[[#This Row],[Harga Normal B]]+cadangan[[#This Row],[Harga Normal C]]</f>
        <v>1750000</v>
      </c>
      <c r="AF294" s="73">
        <f>cadangan[[#This Row],[Harga Diskon A]]+cadangan[[#This Row],[Harga Diskon B]]+cadangan[[#This Row],[Harga Diskon C]]</f>
        <v>1487500</v>
      </c>
      <c r="AG294" s="73">
        <f>(cadangan[[#This Row],[Profit Normal A]]+cadangan[[#This Row],[Profit Normal B]]+cadangan[[#This Row],[Profit Normal C]])</f>
        <v>650000</v>
      </c>
      <c r="AH294" s="73">
        <f>cadangan[[#This Row],[Profit Diskon A]]+cadangan[[#This Row],[Profit Diskon B]]+cadangan[[#This Row],[Profit Diskon C]]</f>
        <v>387500</v>
      </c>
      <c r="AI294" s="23" t="s">
        <v>13</v>
      </c>
      <c r="AJ294" s="37">
        <f>IFERROR(INDEX('Kode Diskon'!$D$3:$D$9,MATCH(cadangan[[#This Row],[Kode diskon]],'Kode Diskon'!$C$3:$C$9,0)),"-")</f>
        <v>0.15</v>
      </c>
      <c r="AK294" s="23" t="s">
        <v>29</v>
      </c>
      <c r="AL294" s="23" t="s">
        <v>7</v>
      </c>
      <c r="AM294" s="23" t="s">
        <v>79</v>
      </c>
      <c r="AN294" s="55">
        <v>45022</v>
      </c>
      <c r="AO294" s="53">
        <f>DAY(cadangan[[#This Row],[Tanggal terjual]])</f>
        <v>6</v>
      </c>
      <c r="AP294" s="21" t="str">
        <f>TEXT(cadangan[[#This Row],[Tanggal terjual]],"dddd")</f>
        <v>Thursday</v>
      </c>
      <c r="AQ294" s="23" t="str" cm="1">
        <f t="array" ref="AQ2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4" s="61">
        <f>AVERAGE(cadangan[[#This Row],[Rating A]],cadangan[[#This Row],[Rating B]],cadangan[[#This Row],[Rating C]])</f>
        <v>1.6666666666666667</v>
      </c>
    </row>
    <row r="295" spans="1:44" x14ac:dyDescent="0.2">
      <c r="A295" s="20">
        <v>294</v>
      </c>
      <c r="B295" s="21" t="str">
        <f>_xlfn.CONCAT("ORD-",INDEX(Helper!$B$2:$B$5,MATCH(cadangan[[#This Row],[Marketplace]],Helper!$A$2:$A$5,0)),TEXT(cadangan[[#This Row],[No]],"0000"),"-",TEXT(cadangan[[#This Row],[Tanggal terjual]],"dd/mm/yy"))</f>
        <v>ORD-SP0294-17/04/23</v>
      </c>
      <c r="C295" s="39" t="s">
        <v>59</v>
      </c>
      <c r="D295" s="39" t="str">
        <f>IFERROR(INDEX(Katalog!$A$3:$A$12,MATCH(cadangan[[#This Row],[ItemID A]],Katalog!$C$3:$C$12,0)),"-")</f>
        <v>Pakaian Wanita</v>
      </c>
      <c r="E295" s="39" t="str">
        <f>IFERROR(INDEX(Katalog!$B$3:$B$12,MATCH(cadangan[[#This Row],[ItemID A]],Katalog!$C$3:$C$12,0)),"-")</f>
        <v>Blouse</v>
      </c>
      <c r="F295" s="50">
        <v>1</v>
      </c>
      <c r="G295" s="50">
        <v>2</v>
      </c>
      <c r="H295" s="73">
        <f>IFERROR(INDEX(Katalog!$D$3:$D$12,MATCH(cadangan[[#This Row],[ItemID A]],Katalog!$C$3:$C$12,0))*cadangan[[#This Row],[Qty A]],0)</f>
        <v>150000</v>
      </c>
      <c r="I295" s="73">
        <f>IFERROR(cadangan[[#This Row],[Harga Normal A]]-(cadangan[[#This Row],[Harga Normal A]]*cadangan[[#This Row],[Diskon]]),cadangan[[#This Row],[Harga Normal A]])</f>
        <v>120000</v>
      </c>
      <c r="J295" s="73">
        <f>INDEX(Katalog!$F$3:$F$12,MATCH(cadangan[[#This Row],[ItemID A]],Katalog!$C$3:$C$12,0))*cadangan[[#This Row],[Qty A]]</f>
        <v>50000</v>
      </c>
      <c r="K295" s="73">
        <f>IFERROR(cadangan[[#This Row],[Harga Diskon A]]-INDEX(Katalog!$E$3:$E$12,MATCH(cadangan[[#This Row],[ItemID A]],Katalog!$C$3:$C$12,0))*cadangan[[#This Row],[Qty A]],0)</f>
        <v>20000</v>
      </c>
      <c r="L295" s="39" t="s">
        <v>60</v>
      </c>
      <c r="M295" s="39" t="str">
        <f>IFERROR(INDEX(Katalog!$A$3:$A$12,MATCH(cadangan[[#This Row],[ItemID B]],Katalog!$C$3:$C$12,0)),"-")</f>
        <v>Pakaian Wanita</v>
      </c>
      <c r="N295" s="39" t="str">
        <f>IFERROR(INDEX(Katalog!$B$3:$B$12,MATCH(cadangan[[#This Row],[ItemID B]],Katalog!$C$3:$C$12,0)),"-")</f>
        <v>Kaftan</v>
      </c>
      <c r="O295" s="50">
        <v>1</v>
      </c>
      <c r="P295" s="50">
        <v>3</v>
      </c>
      <c r="Q295" s="73">
        <f>IFERROR(INDEX(Katalog!$D$3:$D$12,MATCH(cadangan[[#This Row],[ItemID B]],Katalog!$C$3:$C$12,0))*cadangan[[#This Row],[Qty B]],0)</f>
        <v>250000</v>
      </c>
      <c r="R295" s="73">
        <f>IFERROR(cadangan[[#This Row],[Harga Normal B]]-(cadangan[[#This Row],[Harga Normal B]]*cadangan[[#This Row],[Diskon]]),cadangan[[#This Row],[Harga Normal B]])</f>
        <v>200000</v>
      </c>
      <c r="S295" s="73">
        <f>IFERROR(INDEX(Katalog!$F$3:$F$12,MATCH(cadangan[[#This Row],[ItemID B]],Katalog!$C$3:$C$12,0))*cadangan[[#This Row],[Qty B]],0)</f>
        <v>100000</v>
      </c>
      <c r="T295" s="73">
        <f>IFERROR(cadangan[[#This Row],[Harga Diskon B]]-INDEX(Katalog!$E$3:$E$12,MATCH(cadangan[[#This Row],[ItemID B]],Katalog!$C$3:$C$12,0))*cadangan[[#This Row],[Qty B]],0)</f>
        <v>50000</v>
      </c>
      <c r="V295" s="39" t="str">
        <f>IFERROR(INDEX(Katalog!$A$3:$A$12,MATCH(cadangan[[#This Row],[ItemID C]],Katalog!$C$3:$C$12,0)),"-")</f>
        <v>-</v>
      </c>
      <c r="W295" s="39" t="str">
        <f>IFERROR(INDEX(Katalog!$B$3:$B$12,MATCH(cadangan[[#This Row],[ItemID C]],Katalog!$C$3:$C$12,0)),"-")</f>
        <v>-</v>
      </c>
      <c r="Z295" s="73">
        <f>IFERROR(INDEX(Katalog!$D$3:$D$12,MATCH(cadangan[[#This Row],[ItemID C]],Katalog!$C$3:$C$12,0))*cadangan[[#This Row],[Qty C]],0)</f>
        <v>0</v>
      </c>
      <c r="AA295" s="73">
        <f>IFERROR(cadangan[[#This Row],[Harga Normal C]]-(cadangan[[#This Row],[Harga Normal C]]*cadangan[[#This Row],[Diskon]]),cadangan[[#This Row],[Harga Normal C]])</f>
        <v>0</v>
      </c>
      <c r="AB295" s="73">
        <f>IFERROR(INDEX(Katalog!$F$3:$F$12,MATCH(cadangan[[#This Row],[ItemID C]],Katalog!$C$3:$C$12,0))*cadangan[[#This Row],[Qty C]],0)</f>
        <v>0</v>
      </c>
      <c r="AC295" s="73">
        <f>IFERROR(cadangan[[#This Row],[Harga Diskon C]]-INDEX(Katalog!$E$3:$E$12,MATCH(cadangan[[#This Row],[ItemID C]],Katalog!$C$3:$C$12,0))*cadangan[[#This Row],[Qty C]],0)</f>
        <v>0</v>
      </c>
      <c r="AD295" s="53">
        <f>cadangan[[#This Row],[Qty A]]+cadangan[[#This Row],[Qty B]]+cadangan[[#This Row],[Qty C]]</f>
        <v>2</v>
      </c>
      <c r="AE295" s="73">
        <f>cadangan[[#This Row],[Harga Normal A]]+cadangan[[#This Row],[Harga Normal B]]+cadangan[[#This Row],[Harga Normal C]]</f>
        <v>400000</v>
      </c>
      <c r="AF295" s="73">
        <f>cadangan[[#This Row],[Harga Diskon A]]+cadangan[[#This Row],[Harga Diskon B]]+cadangan[[#This Row],[Harga Diskon C]]</f>
        <v>320000</v>
      </c>
      <c r="AG295" s="73">
        <f>(cadangan[[#This Row],[Profit Normal A]]+cadangan[[#This Row],[Profit Normal B]]+cadangan[[#This Row],[Profit Normal C]])</f>
        <v>150000</v>
      </c>
      <c r="AH295" s="73">
        <f>cadangan[[#This Row],[Profit Diskon A]]+cadangan[[#This Row],[Profit Diskon B]]+cadangan[[#This Row],[Profit Diskon C]]</f>
        <v>70000</v>
      </c>
      <c r="AI295" s="23" t="s">
        <v>8</v>
      </c>
      <c r="AJ295" s="37">
        <f>IFERROR(INDEX('Kode Diskon'!$D$3:$D$9,MATCH(cadangan[[#This Row],[Kode diskon]],'Kode Diskon'!$C$3:$C$9,0)),"-")</f>
        <v>0.2</v>
      </c>
      <c r="AK295" s="23" t="s">
        <v>9</v>
      </c>
      <c r="AL295" s="23" t="s">
        <v>7</v>
      </c>
      <c r="AM295" s="23" t="s">
        <v>77</v>
      </c>
      <c r="AN295" s="55">
        <v>45033</v>
      </c>
      <c r="AO295" s="53">
        <f>DAY(cadangan[[#This Row],[Tanggal terjual]])</f>
        <v>17</v>
      </c>
      <c r="AP295" s="21" t="str">
        <f>TEXT(cadangan[[#This Row],[Tanggal terjual]],"dddd")</f>
        <v>Monday</v>
      </c>
      <c r="AQ295" s="23" t="str" cm="1">
        <f t="array" ref="AQ2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295" s="61">
        <f>AVERAGE(cadangan[[#This Row],[Rating A]],cadangan[[#This Row],[Rating B]],cadangan[[#This Row],[Rating C]])</f>
        <v>2.5</v>
      </c>
    </row>
    <row r="296" spans="1:44" x14ac:dyDescent="0.2">
      <c r="A296" s="20">
        <v>295</v>
      </c>
      <c r="B296" s="21" t="str">
        <f>_xlfn.CONCAT("ORD-",INDEX(Helper!$B$2:$B$5,MATCH(cadangan[[#This Row],[Marketplace]],Helper!$A$2:$A$5,0)),TEXT(cadangan[[#This Row],[No]],"0000"),"-",TEXT(cadangan[[#This Row],[Tanggal terjual]],"dd/mm/yy"))</f>
        <v>ORD-SP0295-05/04/23</v>
      </c>
      <c r="C296" s="39" t="s">
        <v>59</v>
      </c>
      <c r="D296" s="39" t="str">
        <f>IFERROR(INDEX(Katalog!$A$3:$A$12,MATCH(cadangan[[#This Row],[ItemID A]],Katalog!$C$3:$C$12,0)),"-")</f>
        <v>Pakaian Wanita</v>
      </c>
      <c r="E296" s="39" t="str">
        <f>IFERROR(INDEX(Katalog!$B$3:$B$12,MATCH(cadangan[[#This Row],[ItemID A]],Katalog!$C$3:$C$12,0)),"-")</f>
        <v>Blouse</v>
      </c>
      <c r="F296" s="50">
        <v>6</v>
      </c>
      <c r="G296" s="50">
        <v>4</v>
      </c>
      <c r="H296" s="73">
        <f>IFERROR(INDEX(Katalog!$D$3:$D$12,MATCH(cadangan[[#This Row],[ItemID A]],Katalog!$C$3:$C$12,0))*cadangan[[#This Row],[Qty A]],0)</f>
        <v>900000</v>
      </c>
      <c r="I296" s="73">
        <f>IFERROR(cadangan[[#This Row],[Harga Normal A]]-(cadangan[[#This Row],[Harga Normal A]]*cadangan[[#This Row],[Diskon]]),cadangan[[#This Row],[Harga Normal A]])</f>
        <v>810000</v>
      </c>
      <c r="J296" s="73">
        <f>INDEX(Katalog!$F$3:$F$12,MATCH(cadangan[[#This Row],[ItemID A]],Katalog!$C$3:$C$12,0))*cadangan[[#This Row],[Qty A]]</f>
        <v>300000</v>
      </c>
      <c r="K296" s="73">
        <f>IFERROR(cadangan[[#This Row],[Harga Diskon A]]-INDEX(Katalog!$E$3:$E$12,MATCH(cadangan[[#This Row],[ItemID A]],Katalog!$C$3:$C$12,0))*cadangan[[#This Row],[Qty A]],0)</f>
        <v>210000</v>
      </c>
      <c r="M296" s="39" t="str">
        <f>IFERROR(INDEX(Katalog!$A$3:$A$12,MATCH(cadangan[[#This Row],[ItemID B]],Katalog!$C$3:$C$12,0)),"-")</f>
        <v>-</v>
      </c>
      <c r="N296" s="39" t="str">
        <f>IFERROR(INDEX(Katalog!$B$3:$B$12,MATCH(cadangan[[#This Row],[ItemID B]],Katalog!$C$3:$C$12,0)),"-")</f>
        <v>-</v>
      </c>
      <c r="Q296" s="73">
        <f>IFERROR(INDEX(Katalog!$D$3:$D$12,MATCH(cadangan[[#This Row],[ItemID B]],Katalog!$C$3:$C$12,0))*cadangan[[#This Row],[Qty B]],0)</f>
        <v>0</v>
      </c>
      <c r="R296" s="73">
        <f>IFERROR(cadangan[[#This Row],[Harga Normal B]]-(cadangan[[#This Row],[Harga Normal B]]*cadangan[[#This Row],[Diskon]]),cadangan[[#This Row],[Harga Normal B]])</f>
        <v>0</v>
      </c>
      <c r="S296" s="73">
        <f>IFERROR(INDEX(Katalog!$F$3:$F$12,MATCH(cadangan[[#This Row],[ItemID B]],Katalog!$C$3:$C$12,0))*cadangan[[#This Row],[Qty B]],0)</f>
        <v>0</v>
      </c>
      <c r="T296" s="73">
        <f>IFERROR(cadangan[[#This Row],[Harga Diskon B]]-INDEX(Katalog!$E$3:$E$12,MATCH(cadangan[[#This Row],[ItemID B]],Katalog!$C$3:$C$12,0))*cadangan[[#This Row],[Qty B]],0)</f>
        <v>0</v>
      </c>
      <c r="V296" s="39" t="str">
        <f>IFERROR(INDEX(Katalog!$A$3:$A$12,MATCH(cadangan[[#This Row],[ItemID C]],Katalog!$C$3:$C$12,0)),"-")</f>
        <v>-</v>
      </c>
      <c r="W296" s="39" t="str">
        <f>IFERROR(INDEX(Katalog!$B$3:$B$12,MATCH(cadangan[[#This Row],[ItemID C]],Katalog!$C$3:$C$12,0)),"-")</f>
        <v>-</v>
      </c>
      <c r="Z296" s="73">
        <f>IFERROR(INDEX(Katalog!$D$3:$D$12,MATCH(cadangan[[#This Row],[ItemID C]],Katalog!$C$3:$C$12,0))*cadangan[[#This Row],[Qty C]],0)</f>
        <v>0</v>
      </c>
      <c r="AA296" s="73">
        <f>IFERROR(cadangan[[#This Row],[Harga Normal C]]-(cadangan[[#This Row],[Harga Normal C]]*cadangan[[#This Row],[Diskon]]),cadangan[[#This Row],[Harga Normal C]])</f>
        <v>0</v>
      </c>
      <c r="AB296" s="73">
        <f>IFERROR(INDEX(Katalog!$F$3:$F$12,MATCH(cadangan[[#This Row],[ItemID C]],Katalog!$C$3:$C$12,0))*cadangan[[#This Row],[Qty C]],0)</f>
        <v>0</v>
      </c>
      <c r="AC296" s="73">
        <f>IFERROR(cadangan[[#This Row],[Harga Diskon C]]-INDEX(Katalog!$E$3:$E$12,MATCH(cadangan[[#This Row],[ItemID C]],Katalog!$C$3:$C$12,0))*cadangan[[#This Row],[Qty C]],0)</f>
        <v>0</v>
      </c>
      <c r="AD296" s="53">
        <f>cadangan[[#This Row],[Qty A]]+cadangan[[#This Row],[Qty B]]+cadangan[[#This Row],[Qty C]]</f>
        <v>6</v>
      </c>
      <c r="AE296" s="73">
        <f>cadangan[[#This Row],[Harga Normal A]]+cadangan[[#This Row],[Harga Normal B]]+cadangan[[#This Row],[Harga Normal C]]</f>
        <v>900000</v>
      </c>
      <c r="AF296" s="73">
        <f>cadangan[[#This Row],[Harga Diskon A]]+cadangan[[#This Row],[Harga Diskon B]]+cadangan[[#This Row],[Harga Diskon C]]</f>
        <v>810000</v>
      </c>
      <c r="AG296" s="73">
        <f>(cadangan[[#This Row],[Profit Normal A]]+cadangan[[#This Row],[Profit Normal B]]+cadangan[[#This Row],[Profit Normal C]])</f>
        <v>300000</v>
      </c>
      <c r="AH296" s="73">
        <f>cadangan[[#This Row],[Profit Diskon A]]+cadangan[[#This Row],[Profit Diskon B]]+cadangan[[#This Row],[Profit Diskon C]]</f>
        <v>210000</v>
      </c>
      <c r="AI296" s="23" t="s">
        <v>6</v>
      </c>
      <c r="AJ296" s="37">
        <f>IFERROR(INDEX('Kode Diskon'!$D$3:$D$9,MATCH(cadangan[[#This Row],[Kode diskon]],'Kode Diskon'!$C$3:$C$9,0)),"-")</f>
        <v>0.1</v>
      </c>
      <c r="AK296" s="23" t="s">
        <v>29</v>
      </c>
      <c r="AL296" s="23" t="s">
        <v>7</v>
      </c>
      <c r="AM296" s="23" t="s">
        <v>75</v>
      </c>
      <c r="AN296" s="55">
        <v>45021</v>
      </c>
      <c r="AO296" s="53">
        <f>DAY(cadangan[[#This Row],[Tanggal terjual]])</f>
        <v>5</v>
      </c>
      <c r="AP296" s="21" t="str">
        <f>TEXT(cadangan[[#This Row],[Tanggal terjual]],"dddd")</f>
        <v>Wednesday</v>
      </c>
      <c r="AQ296" s="23" t="str" cm="1">
        <f t="array" ref="AQ2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6" s="61">
        <f>AVERAGE(cadangan[[#This Row],[Rating A]],cadangan[[#This Row],[Rating B]],cadangan[[#This Row],[Rating C]])</f>
        <v>4</v>
      </c>
    </row>
    <row r="297" spans="1:44" x14ac:dyDescent="0.2">
      <c r="A297" s="20">
        <v>296</v>
      </c>
      <c r="B297" s="21" t="str">
        <f>_xlfn.CONCAT("ORD-",INDEX(Helper!$B$2:$B$5,MATCH(cadangan[[#This Row],[Marketplace]],Helper!$A$2:$A$5,0)),TEXT(cadangan[[#This Row],[No]],"0000"),"-",TEXT(cadangan[[#This Row],[Tanggal terjual]],"dd/mm/yy"))</f>
        <v>ORD-BB0296-02/04/23</v>
      </c>
      <c r="C297" s="39" t="s">
        <v>62</v>
      </c>
      <c r="D297" s="39" t="str">
        <f>IFERROR(INDEX(Katalog!$A$3:$A$12,MATCH(cadangan[[#This Row],[ItemID A]],Katalog!$C$3:$C$12,0)),"-")</f>
        <v>Pakaian Pria</v>
      </c>
      <c r="E297" s="39" t="str">
        <f>IFERROR(INDEX(Katalog!$B$3:$B$12,MATCH(cadangan[[#This Row],[ItemID A]],Katalog!$C$3:$C$12,0)),"-")</f>
        <v>Celana Pendek</v>
      </c>
      <c r="F297" s="50">
        <v>3</v>
      </c>
      <c r="G297" s="50">
        <v>5</v>
      </c>
      <c r="H297" s="73">
        <f>IFERROR(INDEX(Katalog!$D$3:$D$12,MATCH(cadangan[[#This Row],[ItemID A]],Katalog!$C$3:$C$12,0))*cadangan[[#This Row],[Qty A]],0)</f>
        <v>540000</v>
      </c>
      <c r="I297" s="73">
        <f>IFERROR(cadangan[[#This Row],[Harga Normal A]]-(cadangan[[#This Row],[Harga Normal A]]*cadangan[[#This Row],[Diskon]]),cadangan[[#This Row],[Harga Normal A]])</f>
        <v>459000</v>
      </c>
      <c r="J297" s="73">
        <f>INDEX(Katalog!$F$3:$F$12,MATCH(cadangan[[#This Row],[ItemID A]],Katalog!$C$3:$C$12,0))*cadangan[[#This Row],[Qty A]]</f>
        <v>210000</v>
      </c>
      <c r="K297" s="73">
        <f>IFERROR(cadangan[[#This Row],[Harga Diskon A]]-INDEX(Katalog!$E$3:$E$12,MATCH(cadangan[[#This Row],[ItemID A]],Katalog!$C$3:$C$12,0))*cadangan[[#This Row],[Qty A]],0)</f>
        <v>129000</v>
      </c>
      <c r="L297" s="39" t="s">
        <v>61</v>
      </c>
      <c r="M297" s="39" t="str">
        <f>IFERROR(INDEX(Katalog!$A$3:$A$12,MATCH(cadangan[[#This Row],[ItemID B]],Katalog!$C$3:$C$12,0)),"-")</f>
        <v>Pakaian Pria</v>
      </c>
      <c r="N297" s="39" t="str">
        <f>IFERROR(INDEX(Katalog!$B$3:$B$12,MATCH(cadangan[[#This Row],[ItemID B]],Katalog!$C$3:$C$12,0)),"-")</f>
        <v>Kaos Polo</v>
      </c>
      <c r="O297" s="50">
        <v>1</v>
      </c>
      <c r="P297" s="50">
        <v>3</v>
      </c>
      <c r="Q297" s="73">
        <f>IFERROR(INDEX(Katalog!$D$3:$D$12,MATCH(cadangan[[#This Row],[ItemID B]],Katalog!$C$3:$C$12,0))*cadangan[[#This Row],[Qty B]],0)</f>
        <v>200000</v>
      </c>
      <c r="R297" s="73">
        <f>IFERROR(cadangan[[#This Row],[Harga Normal B]]-(cadangan[[#This Row],[Harga Normal B]]*cadangan[[#This Row],[Diskon]]),cadangan[[#This Row],[Harga Normal B]])</f>
        <v>170000</v>
      </c>
      <c r="S297" s="73">
        <f>IFERROR(INDEX(Katalog!$F$3:$F$12,MATCH(cadangan[[#This Row],[ItemID B]],Katalog!$C$3:$C$12,0))*cadangan[[#This Row],[Qty B]],0)</f>
        <v>80000</v>
      </c>
      <c r="T297" s="73">
        <f>IFERROR(cadangan[[#This Row],[Harga Diskon B]]-INDEX(Katalog!$E$3:$E$12,MATCH(cadangan[[#This Row],[ItemID B]],Katalog!$C$3:$C$12,0))*cadangan[[#This Row],[Qty B]],0)</f>
        <v>50000</v>
      </c>
      <c r="V297" s="39" t="str">
        <f>IFERROR(INDEX(Katalog!$A$3:$A$12,MATCH(cadangan[[#This Row],[ItemID C]],Katalog!$C$3:$C$12,0)),"-")</f>
        <v>-</v>
      </c>
      <c r="W297" s="39" t="str">
        <f>IFERROR(INDEX(Katalog!$B$3:$B$12,MATCH(cadangan[[#This Row],[ItemID C]],Katalog!$C$3:$C$12,0)),"-")</f>
        <v>-</v>
      </c>
      <c r="Z297" s="73">
        <f>IFERROR(INDEX(Katalog!$D$3:$D$12,MATCH(cadangan[[#This Row],[ItemID C]],Katalog!$C$3:$C$12,0))*cadangan[[#This Row],[Qty C]],0)</f>
        <v>0</v>
      </c>
      <c r="AA297" s="73">
        <f>IFERROR(cadangan[[#This Row],[Harga Normal C]]-(cadangan[[#This Row],[Harga Normal C]]*cadangan[[#This Row],[Diskon]]),cadangan[[#This Row],[Harga Normal C]])</f>
        <v>0</v>
      </c>
      <c r="AB297" s="73">
        <f>IFERROR(INDEX(Katalog!$F$3:$F$12,MATCH(cadangan[[#This Row],[ItemID C]],Katalog!$C$3:$C$12,0))*cadangan[[#This Row],[Qty C]],0)</f>
        <v>0</v>
      </c>
      <c r="AC297" s="73">
        <f>IFERROR(cadangan[[#This Row],[Harga Diskon C]]-INDEX(Katalog!$E$3:$E$12,MATCH(cadangan[[#This Row],[ItemID C]],Katalog!$C$3:$C$12,0))*cadangan[[#This Row],[Qty C]],0)</f>
        <v>0</v>
      </c>
      <c r="AD297" s="53">
        <f>cadangan[[#This Row],[Qty A]]+cadangan[[#This Row],[Qty B]]+cadangan[[#This Row],[Qty C]]</f>
        <v>4</v>
      </c>
      <c r="AE297" s="73">
        <f>cadangan[[#This Row],[Harga Normal A]]+cadangan[[#This Row],[Harga Normal B]]+cadangan[[#This Row],[Harga Normal C]]</f>
        <v>740000</v>
      </c>
      <c r="AF297" s="73">
        <f>cadangan[[#This Row],[Harga Diskon A]]+cadangan[[#This Row],[Harga Diskon B]]+cadangan[[#This Row],[Harga Diskon C]]</f>
        <v>629000</v>
      </c>
      <c r="AG297" s="73">
        <f>(cadangan[[#This Row],[Profit Normal A]]+cadangan[[#This Row],[Profit Normal B]]+cadangan[[#This Row],[Profit Normal C]])</f>
        <v>290000</v>
      </c>
      <c r="AH297" s="73">
        <f>cadangan[[#This Row],[Profit Diskon A]]+cadangan[[#This Row],[Profit Diskon B]]+cadangan[[#This Row],[Profit Diskon C]]</f>
        <v>179000</v>
      </c>
      <c r="AI297" s="23" t="s">
        <v>28</v>
      </c>
      <c r="AJ297" s="37">
        <f>IFERROR(INDEX('Kode Diskon'!$D$3:$D$9,MATCH(cadangan[[#This Row],[Kode diskon]],'Kode Diskon'!$C$3:$C$9,0)),"-")</f>
        <v>0.15</v>
      </c>
      <c r="AK297" s="23" t="s">
        <v>29</v>
      </c>
      <c r="AL297" s="23" t="s">
        <v>14</v>
      </c>
      <c r="AM297" s="23" t="s">
        <v>80</v>
      </c>
      <c r="AN297" s="55">
        <v>45018</v>
      </c>
      <c r="AO297" s="53">
        <f>DAY(cadangan[[#This Row],[Tanggal terjual]])</f>
        <v>2</v>
      </c>
      <c r="AP297" s="21" t="str">
        <f>TEXT(cadangan[[#This Row],[Tanggal terjual]],"dddd")</f>
        <v>Sunday</v>
      </c>
      <c r="AQ297" s="23" t="str" cm="1">
        <f t="array" ref="AQ2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7" s="61">
        <f>AVERAGE(cadangan[[#This Row],[Rating A]],cadangan[[#This Row],[Rating B]],cadangan[[#This Row],[Rating C]])</f>
        <v>4</v>
      </c>
    </row>
    <row r="298" spans="1:44" x14ac:dyDescent="0.2">
      <c r="A298" s="20">
        <v>297</v>
      </c>
      <c r="B298" s="21" t="str">
        <f>_xlfn.CONCAT("ORD-",INDEX(Helper!$B$2:$B$5,MATCH(cadangan[[#This Row],[Marketplace]],Helper!$A$2:$A$5,0)),TEXT(cadangan[[#This Row],[No]],"0000"),"-",TEXT(cadangan[[#This Row],[Tanggal terjual]],"dd/mm/yy"))</f>
        <v>ORD-BB0297-13/04/23</v>
      </c>
      <c r="C298" s="39" t="s">
        <v>63</v>
      </c>
      <c r="D298" s="39" t="str">
        <f>IFERROR(INDEX(Katalog!$A$3:$A$12,MATCH(cadangan[[#This Row],[ItemID A]],Katalog!$C$3:$C$12,0)),"-")</f>
        <v>Pakaian Pria</v>
      </c>
      <c r="E298" s="39" t="str">
        <f>IFERROR(INDEX(Katalog!$B$3:$B$12,MATCH(cadangan[[#This Row],[ItemID A]],Katalog!$C$3:$C$12,0)),"-")</f>
        <v>Jaket Jeans</v>
      </c>
      <c r="F298" s="50">
        <v>6</v>
      </c>
      <c r="G298" s="50">
        <v>5</v>
      </c>
      <c r="H298" s="73">
        <f>IFERROR(INDEX(Katalog!$D$3:$D$12,MATCH(cadangan[[#This Row],[ItemID A]],Katalog!$C$3:$C$12,0))*cadangan[[#This Row],[Qty A]],0)</f>
        <v>2400000</v>
      </c>
      <c r="I298" s="73">
        <f>IFERROR(cadangan[[#This Row],[Harga Normal A]]-(cadangan[[#This Row],[Harga Normal A]]*cadangan[[#This Row],[Diskon]]),cadangan[[#This Row],[Harga Normal A]])</f>
        <v>2400000</v>
      </c>
      <c r="J298" s="73">
        <f>INDEX(Katalog!$F$3:$F$12,MATCH(cadangan[[#This Row],[ItemID A]],Katalog!$C$3:$C$12,0))*cadangan[[#This Row],[Qty A]]</f>
        <v>900000</v>
      </c>
      <c r="K298" s="73">
        <f>IFERROR(cadangan[[#This Row],[Harga Diskon A]]-INDEX(Katalog!$E$3:$E$12,MATCH(cadangan[[#This Row],[ItemID A]],Katalog!$C$3:$C$12,0))*cadangan[[#This Row],[Qty A]],0)</f>
        <v>900000</v>
      </c>
      <c r="M298" s="39" t="str">
        <f>IFERROR(INDEX(Katalog!$A$3:$A$12,MATCH(cadangan[[#This Row],[ItemID B]],Katalog!$C$3:$C$12,0)),"-")</f>
        <v>-</v>
      </c>
      <c r="N298" s="39" t="str">
        <f>IFERROR(INDEX(Katalog!$B$3:$B$12,MATCH(cadangan[[#This Row],[ItemID B]],Katalog!$C$3:$C$12,0)),"-")</f>
        <v>-</v>
      </c>
      <c r="Q298" s="73">
        <f>IFERROR(INDEX(Katalog!$D$3:$D$12,MATCH(cadangan[[#This Row],[ItemID B]],Katalog!$C$3:$C$12,0))*cadangan[[#This Row],[Qty B]],0)</f>
        <v>0</v>
      </c>
      <c r="R298" s="73">
        <f>IFERROR(cadangan[[#This Row],[Harga Normal B]]-(cadangan[[#This Row],[Harga Normal B]]*cadangan[[#This Row],[Diskon]]),cadangan[[#This Row],[Harga Normal B]])</f>
        <v>0</v>
      </c>
      <c r="S298" s="73">
        <f>IFERROR(INDEX(Katalog!$F$3:$F$12,MATCH(cadangan[[#This Row],[ItemID B]],Katalog!$C$3:$C$12,0))*cadangan[[#This Row],[Qty B]],0)</f>
        <v>0</v>
      </c>
      <c r="T298" s="73">
        <f>IFERROR(cadangan[[#This Row],[Harga Diskon B]]-INDEX(Katalog!$E$3:$E$12,MATCH(cadangan[[#This Row],[ItemID B]],Katalog!$C$3:$C$12,0))*cadangan[[#This Row],[Qty B]],0)</f>
        <v>0</v>
      </c>
      <c r="V298" s="39" t="str">
        <f>IFERROR(INDEX(Katalog!$A$3:$A$12,MATCH(cadangan[[#This Row],[ItemID C]],Katalog!$C$3:$C$12,0)),"-")</f>
        <v>-</v>
      </c>
      <c r="W298" s="39" t="str">
        <f>IFERROR(INDEX(Katalog!$B$3:$B$12,MATCH(cadangan[[#This Row],[ItemID C]],Katalog!$C$3:$C$12,0)),"-")</f>
        <v>-</v>
      </c>
      <c r="Z298" s="73">
        <f>IFERROR(INDEX(Katalog!$D$3:$D$12,MATCH(cadangan[[#This Row],[ItemID C]],Katalog!$C$3:$C$12,0))*cadangan[[#This Row],[Qty C]],0)</f>
        <v>0</v>
      </c>
      <c r="AA298" s="73">
        <f>IFERROR(cadangan[[#This Row],[Harga Normal C]]-(cadangan[[#This Row],[Harga Normal C]]*cadangan[[#This Row],[Diskon]]),cadangan[[#This Row],[Harga Normal C]])</f>
        <v>0</v>
      </c>
      <c r="AB298" s="73">
        <f>IFERROR(INDEX(Katalog!$F$3:$F$12,MATCH(cadangan[[#This Row],[ItemID C]],Katalog!$C$3:$C$12,0))*cadangan[[#This Row],[Qty C]],0)</f>
        <v>0</v>
      </c>
      <c r="AC298" s="73">
        <f>IFERROR(cadangan[[#This Row],[Harga Diskon C]]-INDEX(Katalog!$E$3:$E$12,MATCH(cadangan[[#This Row],[ItemID C]],Katalog!$C$3:$C$12,0))*cadangan[[#This Row],[Qty C]],0)</f>
        <v>0</v>
      </c>
      <c r="AD298" s="53">
        <f>cadangan[[#This Row],[Qty A]]+cadangan[[#This Row],[Qty B]]+cadangan[[#This Row],[Qty C]]</f>
        <v>6</v>
      </c>
      <c r="AE298" s="73">
        <f>cadangan[[#This Row],[Harga Normal A]]+cadangan[[#This Row],[Harga Normal B]]+cadangan[[#This Row],[Harga Normal C]]</f>
        <v>2400000</v>
      </c>
      <c r="AF298" s="73">
        <f>cadangan[[#This Row],[Harga Diskon A]]+cadangan[[#This Row],[Harga Diskon B]]+cadangan[[#This Row],[Harga Diskon C]]</f>
        <v>2400000</v>
      </c>
      <c r="AG298" s="73">
        <f>(cadangan[[#This Row],[Profit Normal A]]+cadangan[[#This Row],[Profit Normal B]]+cadangan[[#This Row],[Profit Normal C]])</f>
        <v>900000</v>
      </c>
      <c r="AH298" s="73">
        <f>cadangan[[#This Row],[Profit Diskon A]]+cadangan[[#This Row],[Profit Diskon B]]+cadangan[[#This Row],[Profit Diskon C]]</f>
        <v>900000</v>
      </c>
      <c r="AI298" s="23" t="s">
        <v>290</v>
      </c>
      <c r="AJ298" s="37" t="str">
        <f>IFERROR(INDEX('Kode Diskon'!$D$3:$D$9,MATCH(cadangan[[#This Row],[Kode diskon]],'Kode Diskon'!$C$3:$C$9,0)),"-")</f>
        <v>-</v>
      </c>
      <c r="AK298" s="23" t="s">
        <v>290</v>
      </c>
      <c r="AL298" s="23" t="s">
        <v>14</v>
      </c>
      <c r="AM298" s="23" t="s">
        <v>80</v>
      </c>
      <c r="AN298" s="55">
        <v>45029</v>
      </c>
      <c r="AO298" s="53">
        <f>DAY(cadangan[[#This Row],[Tanggal terjual]])</f>
        <v>13</v>
      </c>
      <c r="AP298" s="21" t="str">
        <f>TEXT(cadangan[[#This Row],[Tanggal terjual]],"dddd")</f>
        <v>Thursday</v>
      </c>
      <c r="AQ298" s="23" t="str" cm="1">
        <f t="array" ref="AQ2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298" s="61">
        <f>AVERAGE(cadangan[[#This Row],[Rating A]],cadangan[[#This Row],[Rating B]],cadangan[[#This Row],[Rating C]])</f>
        <v>5</v>
      </c>
    </row>
    <row r="299" spans="1:44" x14ac:dyDescent="0.2">
      <c r="A299" s="20">
        <v>298</v>
      </c>
      <c r="B299" s="21" t="str">
        <f>_xlfn.CONCAT("ORD-",INDEX(Helper!$B$2:$B$5,MATCH(cadangan[[#This Row],[Marketplace]],Helper!$A$2:$A$5,0)),TEXT(cadangan[[#This Row],[No]],"0000"),"-",TEXT(cadangan[[#This Row],[Tanggal terjual]],"dd/mm/yy"))</f>
        <v>ORD-SP0298-02/04/23</v>
      </c>
      <c r="C299" s="39" t="s">
        <v>58</v>
      </c>
      <c r="D299" s="39" t="str">
        <f>IFERROR(INDEX(Katalog!$A$3:$A$12,MATCH(cadangan[[#This Row],[ItemID A]],Katalog!$C$3:$C$12,0)),"-")</f>
        <v>Pakaian Wanita</v>
      </c>
      <c r="E299" s="39" t="str">
        <f>IFERROR(INDEX(Katalog!$B$3:$B$12,MATCH(cadangan[[#This Row],[ItemID A]],Katalog!$C$3:$C$12,0)),"-")</f>
        <v>Dress</v>
      </c>
      <c r="F299" s="50">
        <v>4</v>
      </c>
      <c r="G299" s="50">
        <v>1</v>
      </c>
      <c r="H299" s="73">
        <f>IFERROR(INDEX(Katalog!$D$3:$D$12,MATCH(cadangan[[#This Row],[ItemID A]],Katalog!$C$3:$C$12,0))*cadangan[[#This Row],[Qty A]],0)</f>
        <v>1200000</v>
      </c>
      <c r="I299" s="73">
        <f>IFERROR(cadangan[[#This Row],[Harga Normal A]]-(cadangan[[#This Row],[Harga Normal A]]*cadangan[[#This Row],[Diskon]]),cadangan[[#This Row],[Harga Normal A]])</f>
        <v>1080000</v>
      </c>
      <c r="J299" s="73">
        <f>INDEX(Katalog!$F$3:$F$12,MATCH(cadangan[[#This Row],[ItemID A]],Katalog!$C$3:$C$12,0))*cadangan[[#This Row],[Qty A]]</f>
        <v>400000</v>
      </c>
      <c r="K299" s="73">
        <f>IFERROR(cadangan[[#This Row],[Harga Diskon A]]-INDEX(Katalog!$E$3:$E$12,MATCH(cadangan[[#This Row],[ItemID A]],Katalog!$C$3:$C$12,0))*cadangan[[#This Row],[Qty A]],0)</f>
        <v>280000</v>
      </c>
      <c r="L299" s="39" t="s">
        <v>61</v>
      </c>
      <c r="M299" s="39" t="str">
        <f>IFERROR(INDEX(Katalog!$A$3:$A$12,MATCH(cadangan[[#This Row],[ItemID B]],Katalog!$C$3:$C$12,0)),"-")</f>
        <v>Pakaian Pria</v>
      </c>
      <c r="N299" s="39" t="str">
        <f>IFERROR(INDEX(Katalog!$B$3:$B$12,MATCH(cadangan[[#This Row],[ItemID B]],Katalog!$C$3:$C$12,0)),"-")</f>
        <v>Kaos Polo</v>
      </c>
      <c r="O299" s="50">
        <v>3</v>
      </c>
      <c r="P299" s="50">
        <v>4</v>
      </c>
      <c r="Q299" s="73">
        <f>IFERROR(INDEX(Katalog!$D$3:$D$12,MATCH(cadangan[[#This Row],[ItemID B]],Katalog!$C$3:$C$12,0))*cadangan[[#This Row],[Qty B]],0)</f>
        <v>600000</v>
      </c>
      <c r="R299" s="73">
        <f>IFERROR(cadangan[[#This Row],[Harga Normal B]]-(cadangan[[#This Row],[Harga Normal B]]*cadangan[[#This Row],[Diskon]]),cadangan[[#This Row],[Harga Normal B]])</f>
        <v>540000</v>
      </c>
      <c r="S299" s="73">
        <f>IFERROR(INDEX(Katalog!$F$3:$F$12,MATCH(cadangan[[#This Row],[ItemID B]],Katalog!$C$3:$C$12,0))*cadangan[[#This Row],[Qty B]],0)</f>
        <v>240000</v>
      </c>
      <c r="T299" s="73">
        <f>IFERROR(cadangan[[#This Row],[Harga Diskon B]]-INDEX(Katalog!$E$3:$E$12,MATCH(cadangan[[#This Row],[ItemID B]],Katalog!$C$3:$C$12,0))*cadangan[[#This Row],[Qty B]],0)</f>
        <v>180000</v>
      </c>
      <c r="V299" s="39" t="str">
        <f>IFERROR(INDEX(Katalog!$A$3:$A$12,MATCH(cadangan[[#This Row],[ItemID C]],Katalog!$C$3:$C$12,0)),"-")</f>
        <v>-</v>
      </c>
      <c r="W299" s="39" t="str">
        <f>IFERROR(INDEX(Katalog!$B$3:$B$12,MATCH(cadangan[[#This Row],[ItemID C]],Katalog!$C$3:$C$12,0)),"-")</f>
        <v>-</v>
      </c>
      <c r="Z299" s="73">
        <f>IFERROR(INDEX(Katalog!$D$3:$D$12,MATCH(cadangan[[#This Row],[ItemID C]],Katalog!$C$3:$C$12,0))*cadangan[[#This Row],[Qty C]],0)</f>
        <v>0</v>
      </c>
      <c r="AA299" s="73">
        <f>IFERROR(cadangan[[#This Row],[Harga Normal C]]-(cadangan[[#This Row],[Harga Normal C]]*cadangan[[#This Row],[Diskon]]),cadangan[[#This Row],[Harga Normal C]])</f>
        <v>0</v>
      </c>
      <c r="AB299" s="73">
        <f>IFERROR(INDEX(Katalog!$F$3:$F$12,MATCH(cadangan[[#This Row],[ItemID C]],Katalog!$C$3:$C$12,0))*cadangan[[#This Row],[Qty C]],0)</f>
        <v>0</v>
      </c>
      <c r="AC299" s="73">
        <f>IFERROR(cadangan[[#This Row],[Harga Diskon C]]-INDEX(Katalog!$E$3:$E$12,MATCH(cadangan[[#This Row],[ItemID C]],Katalog!$C$3:$C$12,0))*cadangan[[#This Row],[Qty C]],0)</f>
        <v>0</v>
      </c>
      <c r="AD299" s="53">
        <f>cadangan[[#This Row],[Qty A]]+cadangan[[#This Row],[Qty B]]+cadangan[[#This Row],[Qty C]]</f>
        <v>7</v>
      </c>
      <c r="AE299" s="73">
        <f>cadangan[[#This Row],[Harga Normal A]]+cadangan[[#This Row],[Harga Normal B]]+cadangan[[#This Row],[Harga Normal C]]</f>
        <v>1800000</v>
      </c>
      <c r="AF299" s="73">
        <f>cadangan[[#This Row],[Harga Diskon A]]+cadangan[[#This Row],[Harga Diskon B]]+cadangan[[#This Row],[Harga Diskon C]]</f>
        <v>1620000</v>
      </c>
      <c r="AG299" s="73">
        <f>(cadangan[[#This Row],[Profit Normal A]]+cadangan[[#This Row],[Profit Normal B]]+cadangan[[#This Row],[Profit Normal C]])</f>
        <v>640000</v>
      </c>
      <c r="AH299" s="73">
        <f>cadangan[[#This Row],[Profit Diskon A]]+cadangan[[#This Row],[Profit Diskon B]]+cadangan[[#This Row],[Profit Diskon C]]</f>
        <v>460000</v>
      </c>
      <c r="AI299" s="23" t="s">
        <v>6</v>
      </c>
      <c r="AJ299" s="37">
        <f>IFERROR(INDEX('Kode Diskon'!$D$3:$D$9,MATCH(cadangan[[#This Row],[Kode diskon]],'Kode Diskon'!$C$3:$C$9,0)),"-")</f>
        <v>0.1</v>
      </c>
      <c r="AK299" s="23" t="s">
        <v>29</v>
      </c>
      <c r="AL299" s="23" t="s">
        <v>7</v>
      </c>
      <c r="AM299" s="23" t="s">
        <v>75</v>
      </c>
      <c r="AN299" s="55">
        <v>45018</v>
      </c>
      <c r="AO299" s="53">
        <f>DAY(cadangan[[#This Row],[Tanggal terjual]])</f>
        <v>2</v>
      </c>
      <c r="AP299" s="21" t="str">
        <f>TEXT(cadangan[[#This Row],[Tanggal terjual]],"dddd")</f>
        <v>Sunday</v>
      </c>
      <c r="AQ299" s="23" t="str" cm="1">
        <f t="array" ref="AQ2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299" s="61">
        <f>AVERAGE(cadangan[[#This Row],[Rating A]],cadangan[[#This Row],[Rating B]],cadangan[[#This Row],[Rating C]])</f>
        <v>2.5</v>
      </c>
    </row>
    <row r="300" spans="1:44" x14ac:dyDescent="0.2">
      <c r="A300" s="20">
        <v>299</v>
      </c>
      <c r="B300" s="21" t="str">
        <f>_xlfn.CONCAT("ORD-",INDEX(Helper!$B$2:$B$5,MATCH(cadangan[[#This Row],[Marketplace]],Helper!$A$2:$A$5,0)),TEXT(cadangan[[#This Row],[No]],"0000"),"-",TEXT(cadangan[[#This Row],[Tanggal terjual]],"dd/mm/yy"))</f>
        <v>ORD-TK0299-21/04/23</v>
      </c>
      <c r="C300" s="39" t="s">
        <v>59</v>
      </c>
      <c r="D300" s="39" t="str">
        <f>IFERROR(INDEX(Katalog!$A$3:$A$12,MATCH(cadangan[[#This Row],[ItemID A]],Katalog!$C$3:$C$12,0)),"-")</f>
        <v>Pakaian Wanita</v>
      </c>
      <c r="E300" s="39" t="str">
        <f>IFERROR(INDEX(Katalog!$B$3:$B$12,MATCH(cadangan[[#This Row],[ItemID A]],Katalog!$C$3:$C$12,0)),"-")</f>
        <v>Blouse</v>
      </c>
      <c r="F300" s="50">
        <v>2</v>
      </c>
      <c r="G300" s="50">
        <v>4</v>
      </c>
      <c r="H300" s="73">
        <f>IFERROR(INDEX(Katalog!$D$3:$D$12,MATCH(cadangan[[#This Row],[ItemID A]],Katalog!$C$3:$C$12,0))*cadangan[[#This Row],[Qty A]],0)</f>
        <v>300000</v>
      </c>
      <c r="I300" s="73">
        <f>IFERROR(cadangan[[#This Row],[Harga Normal A]]-(cadangan[[#This Row],[Harga Normal A]]*cadangan[[#This Row],[Diskon]]),cadangan[[#This Row],[Harga Normal A]])</f>
        <v>270000</v>
      </c>
      <c r="J300" s="73">
        <f>INDEX(Katalog!$F$3:$F$12,MATCH(cadangan[[#This Row],[ItemID A]],Katalog!$C$3:$C$12,0))*cadangan[[#This Row],[Qty A]]</f>
        <v>100000</v>
      </c>
      <c r="K300" s="73">
        <f>IFERROR(cadangan[[#This Row],[Harga Diskon A]]-INDEX(Katalog!$E$3:$E$12,MATCH(cadangan[[#This Row],[ItemID A]],Katalog!$C$3:$C$12,0))*cadangan[[#This Row],[Qty A]],0)</f>
        <v>70000</v>
      </c>
      <c r="L300" s="39" t="s">
        <v>61</v>
      </c>
      <c r="M300" s="39" t="str">
        <f>IFERROR(INDEX(Katalog!$A$3:$A$12,MATCH(cadangan[[#This Row],[ItemID B]],Katalog!$C$3:$C$12,0)),"-")</f>
        <v>Pakaian Pria</v>
      </c>
      <c r="N300" s="39" t="str">
        <f>IFERROR(INDEX(Katalog!$B$3:$B$12,MATCH(cadangan[[#This Row],[ItemID B]],Katalog!$C$3:$C$12,0)),"-")</f>
        <v>Kaos Polo</v>
      </c>
      <c r="O300" s="50">
        <v>4</v>
      </c>
      <c r="P300" s="50">
        <v>3</v>
      </c>
      <c r="Q300" s="73">
        <f>IFERROR(INDEX(Katalog!$D$3:$D$12,MATCH(cadangan[[#This Row],[ItemID B]],Katalog!$C$3:$C$12,0))*cadangan[[#This Row],[Qty B]],0)</f>
        <v>800000</v>
      </c>
      <c r="R300" s="73">
        <f>IFERROR(cadangan[[#This Row],[Harga Normal B]]-(cadangan[[#This Row],[Harga Normal B]]*cadangan[[#This Row],[Diskon]]),cadangan[[#This Row],[Harga Normal B]])</f>
        <v>720000</v>
      </c>
      <c r="S300" s="73">
        <f>IFERROR(INDEX(Katalog!$F$3:$F$12,MATCH(cadangan[[#This Row],[ItemID B]],Katalog!$C$3:$C$12,0))*cadangan[[#This Row],[Qty B]],0)</f>
        <v>320000</v>
      </c>
      <c r="T300" s="73">
        <f>IFERROR(cadangan[[#This Row],[Harga Diskon B]]-INDEX(Katalog!$E$3:$E$12,MATCH(cadangan[[#This Row],[ItemID B]],Katalog!$C$3:$C$12,0))*cadangan[[#This Row],[Qty B]],0)</f>
        <v>240000</v>
      </c>
      <c r="V300" s="39" t="str">
        <f>IFERROR(INDEX(Katalog!$A$3:$A$12,MATCH(cadangan[[#This Row],[ItemID C]],Katalog!$C$3:$C$12,0)),"-")</f>
        <v>-</v>
      </c>
      <c r="W300" s="39" t="str">
        <f>IFERROR(INDEX(Katalog!$B$3:$B$12,MATCH(cadangan[[#This Row],[ItemID C]],Katalog!$C$3:$C$12,0)),"-")</f>
        <v>-</v>
      </c>
      <c r="Z300" s="73">
        <f>IFERROR(INDEX(Katalog!$D$3:$D$12,MATCH(cadangan[[#This Row],[ItemID C]],Katalog!$C$3:$C$12,0))*cadangan[[#This Row],[Qty C]],0)</f>
        <v>0</v>
      </c>
      <c r="AA300" s="73">
        <f>IFERROR(cadangan[[#This Row],[Harga Normal C]]-(cadangan[[#This Row],[Harga Normal C]]*cadangan[[#This Row],[Diskon]]),cadangan[[#This Row],[Harga Normal C]])</f>
        <v>0</v>
      </c>
      <c r="AB300" s="73">
        <f>IFERROR(INDEX(Katalog!$F$3:$F$12,MATCH(cadangan[[#This Row],[ItemID C]],Katalog!$C$3:$C$12,0))*cadangan[[#This Row],[Qty C]],0)</f>
        <v>0</v>
      </c>
      <c r="AC300" s="73">
        <f>IFERROR(cadangan[[#This Row],[Harga Diskon C]]-INDEX(Katalog!$E$3:$E$12,MATCH(cadangan[[#This Row],[ItemID C]],Katalog!$C$3:$C$12,0))*cadangan[[#This Row],[Qty C]],0)</f>
        <v>0</v>
      </c>
      <c r="AD300" s="53">
        <f>cadangan[[#This Row],[Qty A]]+cadangan[[#This Row],[Qty B]]+cadangan[[#This Row],[Qty C]]</f>
        <v>6</v>
      </c>
      <c r="AE300" s="73">
        <f>cadangan[[#This Row],[Harga Normal A]]+cadangan[[#This Row],[Harga Normal B]]+cadangan[[#This Row],[Harga Normal C]]</f>
        <v>1100000</v>
      </c>
      <c r="AF300" s="73">
        <f>cadangan[[#This Row],[Harga Diskon A]]+cadangan[[#This Row],[Harga Diskon B]]+cadangan[[#This Row],[Harga Diskon C]]</f>
        <v>990000</v>
      </c>
      <c r="AG300" s="73">
        <f>(cadangan[[#This Row],[Profit Normal A]]+cadangan[[#This Row],[Profit Normal B]]+cadangan[[#This Row],[Profit Normal C]])</f>
        <v>420000</v>
      </c>
      <c r="AH300" s="73">
        <f>cadangan[[#This Row],[Profit Diskon A]]+cadangan[[#This Row],[Profit Diskon B]]+cadangan[[#This Row],[Profit Diskon C]]</f>
        <v>310000</v>
      </c>
      <c r="AI300" s="23" t="s">
        <v>31</v>
      </c>
      <c r="AJ300" s="37">
        <f>IFERROR(INDEX('Kode Diskon'!$D$3:$D$9,MATCH(cadangan[[#This Row],[Kode diskon]],'Kode Diskon'!$C$3:$C$9,0)),"-")</f>
        <v>0.1</v>
      </c>
      <c r="AK300" s="23" t="s">
        <v>9</v>
      </c>
      <c r="AL300" s="23" t="s">
        <v>10</v>
      </c>
      <c r="AM300" s="23" t="s">
        <v>79</v>
      </c>
      <c r="AN300" s="55">
        <v>45037</v>
      </c>
      <c r="AO300" s="53">
        <f>DAY(cadangan[[#This Row],[Tanggal terjual]])</f>
        <v>21</v>
      </c>
      <c r="AP300" s="21" t="str">
        <f>TEXT(cadangan[[#This Row],[Tanggal terjual]],"dddd")</f>
        <v>Friday</v>
      </c>
      <c r="AQ300" s="23" t="str" cm="1">
        <f t="array" ref="AQ3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00" s="61">
        <f>AVERAGE(cadangan[[#This Row],[Rating A]],cadangan[[#This Row],[Rating B]],cadangan[[#This Row],[Rating C]])</f>
        <v>3.5</v>
      </c>
    </row>
    <row r="301" spans="1:44" x14ac:dyDescent="0.2">
      <c r="A301" s="20">
        <v>300</v>
      </c>
      <c r="B301" s="21" t="str">
        <f>_xlfn.CONCAT("ORD-",INDEX(Helper!$B$2:$B$5,MATCH(cadangan[[#This Row],[Marketplace]],Helper!$A$2:$A$5,0)),TEXT(cadangan[[#This Row],[No]],"0000"),"-",TEXT(cadangan[[#This Row],[Tanggal terjual]],"dd/mm/yy"))</f>
        <v>ORD-SP0300-04/04/23</v>
      </c>
      <c r="C301" s="39" t="s">
        <v>58</v>
      </c>
      <c r="D301" s="39" t="str">
        <f>IFERROR(INDEX(Katalog!$A$3:$A$12,MATCH(cadangan[[#This Row],[ItemID A]],Katalog!$C$3:$C$12,0)),"-")</f>
        <v>Pakaian Wanita</v>
      </c>
      <c r="E301" s="39" t="str">
        <f>IFERROR(INDEX(Katalog!$B$3:$B$12,MATCH(cadangan[[#This Row],[ItemID A]],Katalog!$C$3:$C$12,0)),"-")</f>
        <v>Dress</v>
      </c>
      <c r="F301" s="50">
        <v>1</v>
      </c>
      <c r="G301" s="50">
        <v>3</v>
      </c>
      <c r="H301" s="73">
        <f>IFERROR(INDEX(Katalog!$D$3:$D$12,MATCH(cadangan[[#This Row],[ItemID A]],Katalog!$C$3:$C$12,0))*cadangan[[#This Row],[Qty A]],0)</f>
        <v>300000</v>
      </c>
      <c r="I301" s="73">
        <f>IFERROR(cadangan[[#This Row],[Harga Normal A]]-(cadangan[[#This Row],[Harga Normal A]]*cadangan[[#This Row],[Diskon]]),cadangan[[#This Row],[Harga Normal A]])</f>
        <v>255000</v>
      </c>
      <c r="J301" s="73">
        <f>INDEX(Katalog!$F$3:$F$12,MATCH(cadangan[[#This Row],[ItemID A]],Katalog!$C$3:$C$12,0))*cadangan[[#This Row],[Qty A]]</f>
        <v>100000</v>
      </c>
      <c r="K301" s="73">
        <f>IFERROR(cadangan[[#This Row],[Harga Diskon A]]-INDEX(Katalog!$E$3:$E$12,MATCH(cadangan[[#This Row],[ItemID A]],Katalog!$C$3:$C$12,0))*cadangan[[#This Row],[Qty A]],0)</f>
        <v>55000</v>
      </c>
      <c r="L301" s="39" t="s">
        <v>66</v>
      </c>
      <c r="M301" s="39" t="str">
        <f>IFERROR(INDEX(Katalog!$A$3:$A$12,MATCH(cadangan[[#This Row],[ItemID B]],Katalog!$C$3:$C$12,0)),"-")</f>
        <v>Sepatu Pria</v>
      </c>
      <c r="N301" s="39" t="str">
        <f>IFERROR(INDEX(Katalog!$B$3:$B$12,MATCH(cadangan[[#This Row],[ItemID B]],Katalog!$C$3:$C$12,0)),"-")</f>
        <v>Sandal Slip On</v>
      </c>
      <c r="O301" s="50">
        <v>2</v>
      </c>
      <c r="P301" s="50">
        <v>4</v>
      </c>
      <c r="Q301" s="73">
        <f>IFERROR(INDEX(Katalog!$D$3:$D$12,MATCH(cadangan[[#This Row],[ItemID B]],Katalog!$C$3:$C$12,0))*cadangan[[#This Row],[Qty B]],0)</f>
        <v>300000</v>
      </c>
      <c r="R301" s="73">
        <f>IFERROR(cadangan[[#This Row],[Harga Normal B]]-(cadangan[[#This Row],[Harga Normal B]]*cadangan[[#This Row],[Diskon]]),cadangan[[#This Row],[Harga Normal B]])</f>
        <v>255000</v>
      </c>
      <c r="S301" s="73">
        <f>IFERROR(INDEX(Katalog!$F$3:$F$12,MATCH(cadangan[[#This Row],[ItemID B]],Katalog!$C$3:$C$12,0))*cadangan[[#This Row],[Qty B]],0)</f>
        <v>120000</v>
      </c>
      <c r="T301" s="73">
        <f>IFERROR(cadangan[[#This Row],[Harga Diskon B]]-INDEX(Katalog!$E$3:$E$12,MATCH(cadangan[[#This Row],[ItemID B]],Katalog!$C$3:$C$12,0))*cadangan[[#This Row],[Qty B]],0)</f>
        <v>75000</v>
      </c>
      <c r="U301" s="39" t="s">
        <v>62</v>
      </c>
      <c r="V301" s="39" t="str">
        <f>IFERROR(INDEX(Katalog!$A$3:$A$12,MATCH(cadangan[[#This Row],[ItemID C]],Katalog!$C$3:$C$12,0)),"-")</f>
        <v>Pakaian Pria</v>
      </c>
      <c r="W301" s="39" t="str">
        <f>IFERROR(INDEX(Katalog!$B$3:$B$12,MATCH(cadangan[[#This Row],[ItemID C]],Katalog!$C$3:$C$12,0)),"-")</f>
        <v>Celana Pendek</v>
      </c>
      <c r="X301" s="50">
        <v>1</v>
      </c>
      <c r="Y301" s="50">
        <v>4</v>
      </c>
      <c r="Z301" s="73">
        <f>IFERROR(INDEX(Katalog!$D$3:$D$12,MATCH(cadangan[[#This Row],[ItemID C]],Katalog!$C$3:$C$12,0))*cadangan[[#This Row],[Qty C]],0)</f>
        <v>180000</v>
      </c>
      <c r="AA301" s="73">
        <f>IFERROR(cadangan[[#This Row],[Harga Normal C]]-(cadangan[[#This Row],[Harga Normal C]]*cadangan[[#This Row],[Diskon]]),cadangan[[#This Row],[Harga Normal C]])</f>
        <v>153000</v>
      </c>
      <c r="AB301" s="73">
        <f>IFERROR(INDEX(Katalog!$F$3:$F$12,MATCH(cadangan[[#This Row],[ItemID C]],Katalog!$C$3:$C$12,0))*cadangan[[#This Row],[Qty C]],0)</f>
        <v>70000</v>
      </c>
      <c r="AC301" s="73">
        <f>IFERROR(cadangan[[#This Row],[Harga Diskon C]]-INDEX(Katalog!$E$3:$E$12,MATCH(cadangan[[#This Row],[ItemID C]],Katalog!$C$3:$C$12,0))*cadangan[[#This Row],[Qty C]],0)</f>
        <v>43000</v>
      </c>
      <c r="AD301" s="53">
        <f>cadangan[[#This Row],[Qty A]]+cadangan[[#This Row],[Qty B]]+cadangan[[#This Row],[Qty C]]</f>
        <v>4</v>
      </c>
      <c r="AE301" s="73">
        <f>cadangan[[#This Row],[Harga Normal A]]+cadangan[[#This Row],[Harga Normal B]]+cadangan[[#This Row],[Harga Normal C]]</f>
        <v>780000</v>
      </c>
      <c r="AF301" s="73">
        <f>cadangan[[#This Row],[Harga Diskon A]]+cadangan[[#This Row],[Harga Diskon B]]+cadangan[[#This Row],[Harga Diskon C]]</f>
        <v>663000</v>
      </c>
      <c r="AG301" s="73">
        <f>(cadangan[[#This Row],[Profit Normal A]]+cadangan[[#This Row],[Profit Normal B]]+cadangan[[#This Row],[Profit Normal C]])</f>
        <v>290000</v>
      </c>
      <c r="AH301" s="73">
        <f>cadangan[[#This Row],[Profit Diskon A]]+cadangan[[#This Row],[Profit Diskon B]]+cadangan[[#This Row],[Profit Diskon C]]</f>
        <v>173000</v>
      </c>
      <c r="AI301" s="23" t="s">
        <v>13</v>
      </c>
      <c r="AJ301" s="37">
        <f>IFERROR(INDEX('Kode Diskon'!$D$3:$D$9,MATCH(cadangan[[#This Row],[Kode diskon]],'Kode Diskon'!$C$3:$C$9,0)),"-")</f>
        <v>0.15</v>
      </c>
      <c r="AK301" s="23" t="s">
        <v>29</v>
      </c>
      <c r="AL301" s="23" t="s">
        <v>7</v>
      </c>
      <c r="AM301" s="23" t="s">
        <v>80</v>
      </c>
      <c r="AN301" s="55">
        <v>45020</v>
      </c>
      <c r="AO301" s="53">
        <f>DAY(cadangan[[#This Row],[Tanggal terjual]])</f>
        <v>4</v>
      </c>
      <c r="AP301" s="21" t="str">
        <f>TEXT(cadangan[[#This Row],[Tanggal terjual]],"dddd")</f>
        <v>Tuesday</v>
      </c>
      <c r="AQ301" s="23" t="str" cm="1">
        <f t="array" ref="AQ3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1" s="61">
        <f>AVERAGE(cadangan[[#This Row],[Rating A]],cadangan[[#This Row],[Rating B]],cadangan[[#This Row],[Rating C]])</f>
        <v>3.6666666666666665</v>
      </c>
    </row>
    <row r="302" spans="1:44" x14ac:dyDescent="0.2">
      <c r="A302" s="20">
        <v>301</v>
      </c>
      <c r="B302" s="21" t="str">
        <f>_xlfn.CONCAT("ORD-",INDEX(Helper!$B$2:$B$5,MATCH(cadangan[[#This Row],[Marketplace]],Helper!$A$2:$A$5,0)),TEXT(cadangan[[#This Row],[No]],"0000"),"-",TEXT(cadangan[[#This Row],[Tanggal terjual]],"dd/mm/yy"))</f>
        <v>ORD-SP0301-04/04/23</v>
      </c>
      <c r="C302" s="39" t="s">
        <v>63</v>
      </c>
      <c r="D302" s="39" t="str">
        <f>IFERROR(INDEX(Katalog!$A$3:$A$12,MATCH(cadangan[[#This Row],[ItemID A]],Katalog!$C$3:$C$12,0)),"-")</f>
        <v>Pakaian Pria</v>
      </c>
      <c r="E302" s="39" t="str">
        <f>IFERROR(INDEX(Katalog!$B$3:$B$12,MATCH(cadangan[[#This Row],[ItemID A]],Katalog!$C$3:$C$12,0)),"-")</f>
        <v>Jaket Jeans</v>
      </c>
      <c r="F302" s="50">
        <v>3</v>
      </c>
      <c r="G302" s="50">
        <v>4</v>
      </c>
      <c r="H302" s="73">
        <f>IFERROR(INDEX(Katalog!$D$3:$D$12,MATCH(cadangan[[#This Row],[ItemID A]],Katalog!$C$3:$C$12,0))*cadangan[[#This Row],[Qty A]],0)</f>
        <v>1200000</v>
      </c>
      <c r="I302" s="73">
        <f>IFERROR(cadangan[[#This Row],[Harga Normal A]]-(cadangan[[#This Row],[Harga Normal A]]*cadangan[[#This Row],[Diskon]]),cadangan[[#This Row],[Harga Normal A]])</f>
        <v>1080000</v>
      </c>
      <c r="J302" s="73">
        <f>INDEX(Katalog!$F$3:$F$12,MATCH(cadangan[[#This Row],[ItemID A]],Katalog!$C$3:$C$12,0))*cadangan[[#This Row],[Qty A]]</f>
        <v>450000</v>
      </c>
      <c r="K302" s="73">
        <f>IFERROR(cadangan[[#This Row],[Harga Diskon A]]-INDEX(Katalog!$E$3:$E$12,MATCH(cadangan[[#This Row],[ItemID A]],Katalog!$C$3:$C$12,0))*cadangan[[#This Row],[Qty A]],0)</f>
        <v>330000</v>
      </c>
      <c r="L302" s="39" t="s">
        <v>62</v>
      </c>
      <c r="M302" s="39" t="str">
        <f>IFERROR(INDEX(Katalog!$A$3:$A$12,MATCH(cadangan[[#This Row],[ItemID B]],Katalog!$C$3:$C$12,0)),"-")</f>
        <v>Pakaian Pria</v>
      </c>
      <c r="N302" s="39" t="str">
        <f>IFERROR(INDEX(Katalog!$B$3:$B$12,MATCH(cadangan[[#This Row],[ItemID B]],Katalog!$C$3:$C$12,0)),"-")</f>
        <v>Celana Pendek</v>
      </c>
      <c r="O302" s="50">
        <v>4</v>
      </c>
      <c r="P302" s="50">
        <v>4</v>
      </c>
      <c r="Q302" s="73">
        <f>IFERROR(INDEX(Katalog!$D$3:$D$12,MATCH(cadangan[[#This Row],[ItemID B]],Katalog!$C$3:$C$12,0))*cadangan[[#This Row],[Qty B]],0)</f>
        <v>720000</v>
      </c>
      <c r="R302" s="73">
        <f>IFERROR(cadangan[[#This Row],[Harga Normal B]]-(cadangan[[#This Row],[Harga Normal B]]*cadangan[[#This Row],[Diskon]]),cadangan[[#This Row],[Harga Normal B]])</f>
        <v>648000</v>
      </c>
      <c r="S302" s="73">
        <f>IFERROR(INDEX(Katalog!$F$3:$F$12,MATCH(cadangan[[#This Row],[ItemID B]],Katalog!$C$3:$C$12,0))*cadangan[[#This Row],[Qty B]],0)</f>
        <v>280000</v>
      </c>
      <c r="T302" s="73">
        <f>IFERROR(cadangan[[#This Row],[Harga Diskon B]]-INDEX(Katalog!$E$3:$E$12,MATCH(cadangan[[#This Row],[ItemID B]],Katalog!$C$3:$C$12,0))*cadangan[[#This Row],[Qty B]],0)</f>
        <v>208000</v>
      </c>
      <c r="V302" s="39" t="str">
        <f>IFERROR(INDEX(Katalog!$A$3:$A$12,MATCH(cadangan[[#This Row],[ItemID C]],Katalog!$C$3:$C$12,0)),"-")</f>
        <v>-</v>
      </c>
      <c r="W302" s="39" t="str">
        <f>IFERROR(INDEX(Katalog!$B$3:$B$12,MATCH(cadangan[[#This Row],[ItemID C]],Katalog!$C$3:$C$12,0)),"-")</f>
        <v>-</v>
      </c>
      <c r="Z302" s="73">
        <f>IFERROR(INDEX(Katalog!$D$3:$D$12,MATCH(cadangan[[#This Row],[ItemID C]],Katalog!$C$3:$C$12,0))*cadangan[[#This Row],[Qty C]],0)</f>
        <v>0</v>
      </c>
      <c r="AA302" s="73">
        <f>IFERROR(cadangan[[#This Row],[Harga Normal C]]-(cadangan[[#This Row],[Harga Normal C]]*cadangan[[#This Row],[Diskon]]),cadangan[[#This Row],[Harga Normal C]])</f>
        <v>0</v>
      </c>
      <c r="AB302" s="73">
        <f>IFERROR(INDEX(Katalog!$F$3:$F$12,MATCH(cadangan[[#This Row],[ItemID C]],Katalog!$C$3:$C$12,0))*cadangan[[#This Row],[Qty C]],0)</f>
        <v>0</v>
      </c>
      <c r="AC302" s="73">
        <f>IFERROR(cadangan[[#This Row],[Harga Diskon C]]-INDEX(Katalog!$E$3:$E$12,MATCH(cadangan[[#This Row],[ItemID C]],Katalog!$C$3:$C$12,0))*cadangan[[#This Row],[Qty C]],0)</f>
        <v>0</v>
      </c>
      <c r="AD302" s="53">
        <f>cadangan[[#This Row],[Qty A]]+cadangan[[#This Row],[Qty B]]+cadangan[[#This Row],[Qty C]]</f>
        <v>7</v>
      </c>
      <c r="AE302" s="73">
        <f>cadangan[[#This Row],[Harga Normal A]]+cadangan[[#This Row],[Harga Normal B]]+cadangan[[#This Row],[Harga Normal C]]</f>
        <v>1920000</v>
      </c>
      <c r="AF302" s="73">
        <f>cadangan[[#This Row],[Harga Diskon A]]+cadangan[[#This Row],[Harga Diskon B]]+cadangan[[#This Row],[Harga Diskon C]]</f>
        <v>1728000</v>
      </c>
      <c r="AG302" s="73">
        <f>(cadangan[[#This Row],[Profit Normal A]]+cadangan[[#This Row],[Profit Normal B]]+cadangan[[#This Row],[Profit Normal C]])</f>
        <v>730000</v>
      </c>
      <c r="AH302" s="73">
        <f>cadangan[[#This Row],[Profit Diskon A]]+cadangan[[#This Row],[Profit Diskon B]]+cadangan[[#This Row],[Profit Diskon C]]</f>
        <v>538000</v>
      </c>
      <c r="AI302" s="23" t="s">
        <v>6</v>
      </c>
      <c r="AJ302" s="37">
        <f>IFERROR(INDEX('Kode Diskon'!$D$3:$D$9,MATCH(cadangan[[#This Row],[Kode diskon]],'Kode Diskon'!$C$3:$C$9,0)),"-")</f>
        <v>0.1</v>
      </c>
      <c r="AK302" s="23" t="s">
        <v>29</v>
      </c>
      <c r="AL302" s="23" t="s">
        <v>7</v>
      </c>
      <c r="AM302" s="23" t="s">
        <v>78</v>
      </c>
      <c r="AN302" s="55">
        <v>45020</v>
      </c>
      <c r="AO302" s="53">
        <f>DAY(cadangan[[#This Row],[Tanggal terjual]])</f>
        <v>4</v>
      </c>
      <c r="AP302" s="21" t="str">
        <f>TEXT(cadangan[[#This Row],[Tanggal terjual]],"dddd")</f>
        <v>Tuesday</v>
      </c>
      <c r="AQ302" s="23" t="str" cm="1">
        <f t="array" ref="AQ3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2" s="61">
        <f>AVERAGE(cadangan[[#This Row],[Rating A]],cadangan[[#This Row],[Rating B]],cadangan[[#This Row],[Rating C]])</f>
        <v>4</v>
      </c>
    </row>
    <row r="303" spans="1:44" x14ac:dyDescent="0.2">
      <c r="A303" s="20">
        <v>302</v>
      </c>
      <c r="B303" s="21" t="str">
        <f>_xlfn.CONCAT("ORD-",INDEX(Helper!$B$2:$B$5,MATCH(cadangan[[#This Row],[Marketplace]],Helper!$A$2:$A$5,0)),TEXT(cadangan[[#This Row],[No]],"0000"),"-",TEXT(cadangan[[#This Row],[Tanggal terjual]],"dd/mm/yy"))</f>
        <v>ORD-BL0302-21/04/23</v>
      </c>
      <c r="C303" s="39" t="s">
        <v>62</v>
      </c>
      <c r="D303" s="39" t="str">
        <f>IFERROR(INDEX(Katalog!$A$3:$A$12,MATCH(cadangan[[#This Row],[ItemID A]],Katalog!$C$3:$C$12,0)),"-")</f>
        <v>Pakaian Pria</v>
      </c>
      <c r="E303" s="39" t="str">
        <f>IFERROR(INDEX(Katalog!$B$3:$B$12,MATCH(cadangan[[#This Row],[ItemID A]],Katalog!$C$3:$C$12,0)),"-")</f>
        <v>Celana Pendek</v>
      </c>
      <c r="F303" s="50">
        <v>1</v>
      </c>
      <c r="G303" s="50">
        <v>2</v>
      </c>
      <c r="H303" s="73">
        <f>IFERROR(INDEX(Katalog!$D$3:$D$12,MATCH(cadangan[[#This Row],[ItemID A]],Katalog!$C$3:$C$12,0))*cadangan[[#This Row],[Qty A]],0)</f>
        <v>180000</v>
      </c>
      <c r="I303" s="73">
        <f>IFERROR(cadangan[[#This Row],[Harga Normal A]]-(cadangan[[#This Row],[Harga Normal A]]*cadangan[[#This Row],[Diskon]]),cadangan[[#This Row],[Harga Normal A]])</f>
        <v>153000</v>
      </c>
      <c r="J303" s="73">
        <f>INDEX(Katalog!$F$3:$F$12,MATCH(cadangan[[#This Row],[ItemID A]],Katalog!$C$3:$C$12,0))*cadangan[[#This Row],[Qty A]]</f>
        <v>70000</v>
      </c>
      <c r="K303" s="73">
        <f>IFERROR(cadangan[[#This Row],[Harga Diskon A]]-INDEX(Katalog!$E$3:$E$12,MATCH(cadangan[[#This Row],[ItemID A]],Katalog!$C$3:$C$12,0))*cadangan[[#This Row],[Qty A]],0)</f>
        <v>43000</v>
      </c>
      <c r="M303" s="39" t="str">
        <f>IFERROR(INDEX(Katalog!$A$3:$A$12,MATCH(cadangan[[#This Row],[ItemID B]],Katalog!$C$3:$C$12,0)),"-")</f>
        <v>-</v>
      </c>
      <c r="N303" s="39" t="str">
        <f>IFERROR(INDEX(Katalog!$B$3:$B$12,MATCH(cadangan[[#This Row],[ItemID B]],Katalog!$C$3:$C$12,0)),"-")</f>
        <v>-</v>
      </c>
      <c r="Q303" s="73">
        <f>IFERROR(INDEX(Katalog!$D$3:$D$12,MATCH(cadangan[[#This Row],[ItemID B]],Katalog!$C$3:$C$12,0))*cadangan[[#This Row],[Qty B]],0)</f>
        <v>0</v>
      </c>
      <c r="R303" s="73">
        <f>IFERROR(cadangan[[#This Row],[Harga Normal B]]-(cadangan[[#This Row],[Harga Normal B]]*cadangan[[#This Row],[Diskon]]),cadangan[[#This Row],[Harga Normal B]])</f>
        <v>0</v>
      </c>
      <c r="S303" s="73">
        <f>IFERROR(INDEX(Katalog!$F$3:$F$12,MATCH(cadangan[[#This Row],[ItemID B]],Katalog!$C$3:$C$12,0))*cadangan[[#This Row],[Qty B]],0)</f>
        <v>0</v>
      </c>
      <c r="T303" s="73">
        <f>IFERROR(cadangan[[#This Row],[Harga Diskon B]]-INDEX(Katalog!$E$3:$E$12,MATCH(cadangan[[#This Row],[ItemID B]],Katalog!$C$3:$C$12,0))*cadangan[[#This Row],[Qty B]],0)</f>
        <v>0</v>
      </c>
      <c r="V303" s="39" t="str">
        <f>IFERROR(INDEX(Katalog!$A$3:$A$12,MATCH(cadangan[[#This Row],[ItemID C]],Katalog!$C$3:$C$12,0)),"-")</f>
        <v>-</v>
      </c>
      <c r="W303" s="39" t="str">
        <f>IFERROR(INDEX(Katalog!$B$3:$B$12,MATCH(cadangan[[#This Row],[ItemID C]],Katalog!$C$3:$C$12,0)),"-")</f>
        <v>-</v>
      </c>
      <c r="Z303" s="73">
        <f>IFERROR(INDEX(Katalog!$D$3:$D$12,MATCH(cadangan[[#This Row],[ItemID C]],Katalog!$C$3:$C$12,0))*cadangan[[#This Row],[Qty C]],0)</f>
        <v>0</v>
      </c>
      <c r="AA303" s="73">
        <f>IFERROR(cadangan[[#This Row],[Harga Normal C]]-(cadangan[[#This Row],[Harga Normal C]]*cadangan[[#This Row],[Diskon]]),cadangan[[#This Row],[Harga Normal C]])</f>
        <v>0</v>
      </c>
      <c r="AB303" s="73">
        <f>IFERROR(INDEX(Katalog!$F$3:$F$12,MATCH(cadangan[[#This Row],[ItemID C]],Katalog!$C$3:$C$12,0))*cadangan[[#This Row],[Qty C]],0)</f>
        <v>0</v>
      </c>
      <c r="AC303" s="73">
        <f>IFERROR(cadangan[[#This Row],[Harga Diskon C]]-INDEX(Katalog!$E$3:$E$12,MATCH(cadangan[[#This Row],[ItemID C]],Katalog!$C$3:$C$12,0))*cadangan[[#This Row],[Qty C]],0)</f>
        <v>0</v>
      </c>
      <c r="AD303" s="53">
        <f>cadangan[[#This Row],[Qty A]]+cadangan[[#This Row],[Qty B]]+cadangan[[#This Row],[Qty C]]</f>
        <v>1</v>
      </c>
      <c r="AE303" s="73">
        <f>cadangan[[#This Row],[Harga Normal A]]+cadangan[[#This Row],[Harga Normal B]]+cadangan[[#This Row],[Harga Normal C]]</f>
        <v>180000</v>
      </c>
      <c r="AF303" s="73">
        <f>cadangan[[#This Row],[Harga Diskon A]]+cadangan[[#This Row],[Harga Diskon B]]+cadangan[[#This Row],[Harga Diskon C]]</f>
        <v>153000</v>
      </c>
      <c r="AG303" s="73">
        <f>(cadangan[[#This Row],[Profit Normal A]]+cadangan[[#This Row],[Profit Normal B]]+cadangan[[#This Row],[Profit Normal C]])</f>
        <v>70000</v>
      </c>
      <c r="AH303" s="73">
        <f>cadangan[[#This Row],[Profit Diskon A]]+cadangan[[#This Row],[Profit Diskon B]]+cadangan[[#This Row],[Profit Diskon C]]</f>
        <v>43000</v>
      </c>
      <c r="AI303" s="23" t="s">
        <v>32</v>
      </c>
      <c r="AJ303" s="37">
        <f>IFERROR(INDEX('Kode Diskon'!$D$3:$D$9,MATCH(cadangan[[#This Row],[Kode diskon]],'Kode Diskon'!$C$3:$C$9,0)),"-")</f>
        <v>0.15</v>
      </c>
      <c r="AK303" s="23" t="s">
        <v>9</v>
      </c>
      <c r="AL303" s="23" t="s">
        <v>12</v>
      </c>
      <c r="AM303" s="23" t="s">
        <v>75</v>
      </c>
      <c r="AN303" s="55">
        <v>45037</v>
      </c>
      <c r="AO303" s="53">
        <f>DAY(cadangan[[#This Row],[Tanggal terjual]])</f>
        <v>21</v>
      </c>
      <c r="AP303" s="21" t="str">
        <f>TEXT(cadangan[[#This Row],[Tanggal terjual]],"dddd")</f>
        <v>Friday</v>
      </c>
      <c r="AQ303" s="23" t="str" cm="1">
        <f t="array" ref="AQ3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03" s="61">
        <f>AVERAGE(cadangan[[#This Row],[Rating A]],cadangan[[#This Row],[Rating B]],cadangan[[#This Row],[Rating C]])</f>
        <v>2</v>
      </c>
    </row>
    <row r="304" spans="1:44" x14ac:dyDescent="0.2">
      <c r="A304" s="20">
        <v>303</v>
      </c>
      <c r="B304" s="21" t="str">
        <f>_xlfn.CONCAT("ORD-",INDEX(Helper!$B$2:$B$5,MATCH(cadangan[[#This Row],[Marketplace]],Helper!$A$2:$A$5,0)),TEXT(cadangan[[#This Row],[No]],"0000"),"-",TEXT(cadangan[[#This Row],[Tanggal terjual]],"dd/mm/yy"))</f>
        <v>ORD-SP0303-01/04/23</v>
      </c>
      <c r="C304" s="39" t="s">
        <v>67</v>
      </c>
      <c r="D304" s="39" t="str">
        <f>IFERROR(INDEX(Katalog!$A$3:$A$12,MATCH(cadangan[[#This Row],[ItemID A]],Katalog!$C$3:$C$12,0)),"-")</f>
        <v>Sepatu Wanita</v>
      </c>
      <c r="E304" s="39" t="str">
        <f>IFERROR(INDEX(Katalog!$B$3:$B$12,MATCH(cadangan[[#This Row],[ItemID A]],Katalog!$C$3:$C$12,0)),"-")</f>
        <v>Flat Shoes</v>
      </c>
      <c r="F304" s="50">
        <v>6</v>
      </c>
      <c r="G304" s="50">
        <v>2</v>
      </c>
      <c r="H304" s="73">
        <f>IFERROR(INDEX(Katalog!$D$3:$D$12,MATCH(cadangan[[#This Row],[ItemID A]],Katalog!$C$3:$C$12,0))*cadangan[[#This Row],[Qty A]],0)</f>
        <v>1500000</v>
      </c>
      <c r="I304" s="73">
        <f>IFERROR(cadangan[[#This Row],[Harga Normal A]]-(cadangan[[#This Row],[Harga Normal A]]*cadangan[[#This Row],[Diskon]]),cadangan[[#This Row],[Harga Normal A]])</f>
        <v>1350000</v>
      </c>
      <c r="J304" s="73">
        <f>INDEX(Katalog!$F$3:$F$12,MATCH(cadangan[[#This Row],[ItemID A]],Katalog!$C$3:$C$12,0))*cadangan[[#This Row],[Qty A]]</f>
        <v>600000</v>
      </c>
      <c r="K304" s="73">
        <f>IFERROR(cadangan[[#This Row],[Harga Diskon A]]-INDEX(Katalog!$E$3:$E$12,MATCH(cadangan[[#This Row],[ItemID A]],Katalog!$C$3:$C$12,0))*cadangan[[#This Row],[Qty A]],0)</f>
        <v>450000</v>
      </c>
      <c r="L304" s="39" t="s">
        <v>64</v>
      </c>
      <c r="M304" s="39" t="str">
        <f>IFERROR(INDEX(Katalog!$A$3:$A$12,MATCH(cadangan[[#This Row],[ItemID B]],Katalog!$C$3:$C$12,0)),"-")</f>
        <v>Pakaian Unisex</v>
      </c>
      <c r="N304" s="39" t="str">
        <f>IFERROR(INDEX(Katalog!$B$3:$B$12,MATCH(cadangan[[#This Row],[ItemID B]],Katalog!$C$3:$C$12,0)),"-")</f>
        <v>Jaket Hoodie</v>
      </c>
      <c r="O304" s="50">
        <v>1</v>
      </c>
      <c r="P304" s="50">
        <v>3</v>
      </c>
      <c r="Q304" s="73">
        <f>IFERROR(INDEX(Katalog!$D$3:$D$12,MATCH(cadangan[[#This Row],[ItemID B]],Katalog!$C$3:$C$12,0))*cadangan[[#This Row],[Qty B]],0)</f>
        <v>350000</v>
      </c>
      <c r="R304" s="73">
        <f>IFERROR(cadangan[[#This Row],[Harga Normal B]]-(cadangan[[#This Row],[Harga Normal B]]*cadangan[[#This Row],[Diskon]]),cadangan[[#This Row],[Harga Normal B]])</f>
        <v>315000</v>
      </c>
      <c r="S304" s="73">
        <f>IFERROR(INDEX(Katalog!$F$3:$F$12,MATCH(cadangan[[#This Row],[ItemID B]],Katalog!$C$3:$C$12,0))*cadangan[[#This Row],[Qty B]],0)</f>
        <v>130000</v>
      </c>
      <c r="T304" s="73">
        <f>IFERROR(cadangan[[#This Row],[Harga Diskon B]]-INDEX(Katalog!$E$3:$E$12,MATCH(cadangan[[#This Row],[ItemID B]],Katalog!$C$3:$C$12,0))*cadangan[[#This Row],[Qty B]],0)</f>
        <v>95000</v>
      </c>
      <c r="V304" s="39" t="str">
        <f>IFERROR(INDEX(Katalog!$A$3:$A$12,MATCH(cadangan[[#This Row],[ItemID C]],Katalog!$C$3:$C$12,0)),"-")</f>
        <v>-</v>
      </c>
      <c r="W304" s="39" t="str">
        <f>IFERROR(INDEX(Katalog!$B$3:$B$12,MATCH(cadangan[[#This Row],[ItemID C]],Katalog!$C$3:$C$12,0)),"-")</f>
        <v>-</v>
      </c>
      <c r="Z304" s="73">
        <f>IFERROR(INDEX(Katalog!$D$3:$D$12,MATCH(cadangan[[#This Row],[ItemID C]],Katalog!$C$3:$C$12,0))*cadangan[[#This Row],[Qty C]],0)</f>
        <v>0</v>
      </c>
      <c r="AA304" s="73">
        <f>IFERROR(cadangan[[#This Row],[Harga Normal C]]-(cadangan[[#This Row],[Harga Normal C]]*cadangan[[#This Row],[Diskon]]),cadangan[[#This Row],[Harga Normal C]])</f>
        <v>0</v>
      </c>
      <c r="AB304" s="73">
        <f>IFERROR(INDEX(Katalog!$F$3:$F$12,MATCH(cadangan[[#This Row],[ItemID C]],Katalog!$C$3:$C$12,0))*cadangan[[#This Row],[Qty C]],0)</f>
        <v>0</v>
      </c>
      <c r="AC304" s="73">
        <f>IFERROR(cadangan[[#This Row],[Harga Diskon C]]-INDEX(Katalog!$E$3:$E$12,MATCH(cadangan[[#This Row],[ItemID C]],Katalog!$C$3:$C$12,0))*cadangan[[#This Row],[Qty C]],0)</f>
        <v>0</v>
      </c>
      <c r="AD304" s="53">
        <f>cadangan[[#This Row],[Qty A]]+cadangan[[#This Row],[Qty B]]+cadangan[[#This Row],[Qty C]]</f>
        <v>7</v>
      </c>
      <c r="AE304" s="73">
        <f>cadangan[[#This Row],[Harga Normal A]]+cadangan[[#This Row],[Harga Normal B]]+cadangan[[#This Row],[Harga Normal C]]</f>
        <v>1850000</v>
      </c>
      <c r="AF304" s="73">
        <f>cadangan[[#This Row],[Harga Diskon A]]+cadangan[[#This Row],[Harga Diskon B]]+cadangan[[#This Row],[Harga Diskon C]]</f>
        <v>1665000</v>
      </c>
      <c r="AG304" s="73">
        <f>(cadangan[[#This Row],[Profit Normal A]]+cadangan[[#This Row],[Profit Normal B]]+cadangan[[#This Row],[Profit Normal C]])</f>
        <v>730000</v>
      </c>
      <c r="AH304" s="73">
        <f>cadangan[[#This Row],[Profit Diskon A]]+cadangan[[#This Row],[Profit Diskon B]]+cadangan[[#This Row],[Profit Diskon C]]</f>
        <v>545000</v>
      </c>
      <c r="AI304" s="23" t="s">
        <v>6</v>
      </c>
      <c r="AJ304" s="37">
        <f>IFERROR(INDEX('Kode Diskon'!$D$3:$D$9,MATCH(cadangan[[#This Row],[Kode diskon]],'Kode Diskon'!$C$3:$C$9,0)),"-")</f>
        <v>0.1</v>
      </c>
      <c r="AK304" s="23" t="s">
        <v>29</v>
      </c>
      <c r="AL304" s="23" t="s">
        <v>7</v>
      </c>
      <c r="AM304" s="23" t="s">
        <v>75</v>
      </c>
      <c r="AN304" s="55">
        <v>45017</v>
      </c>
      <c r="AO304" s="53">
        <f>DAY(cadangan[[#This Row],[Tanggal terjual]])</f>
        <v>1</v>
      </c>
      <c r="AP304" s="21" t="str">
        <f>TEXT(cadangan[[#This Row],[Tanggal terjual]],"dddd")</f>
        <v>Saturday</v>
      </c>
      <c r="AQ304" s="23" t="str" cm="1">
        <f t="array" ref="AQ3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4" s="61">
        <f>AVERAGE(cadangan[[#This Row],[Rating A]],cadangan[[#This Row],[Rating B]],cadangan[[#This Row],[Rating C]])</f>
        <v>2.5</v>
      </c>
    </row>
    <row r="305" spans="1:44" x14ac:dyDescent="0.2">
      <c r="A305" s="20">
        <v>304</v>
      </c>
      <c r="B305" s="21" t="str">
        <f>_xlfn.CONCAT("ORD-",INDEX(Helper!$B$2:$B$5,MATCH(cadangan[[#This Row],[Marketplace]],Helper!$A$2:$A$5,0)),TEXT(cadangan[[#This Row],[No]],"0000"),"-",TEXT(cadangan[[#This Row],[Tanggal terjual]],"dd/mm/yy"))</f>
        <v>ORD-TK0304-27/04/23</v>
      </c>
      <c r="C305" s="39" t="s">
        <v>63</v>
      </c>
      <c r="D305" s="39" t="str">
        <f>IFERROR(INDEX(Katalog!$A$3:$A$12,MATCH(cadangan[[#This Row],[ItemID A]],Katalog!$C$3:$C$12,0)),"-")</f>
        <v>Pakaian Pria</v>
      </c>
      <c r="E305" s="39" t="str">
        <f>IFERROR(INDEX(Katalog!$B$3:$B$12,MATCH(cadangan[[#This Row],[ItemID A]],Katalog!$C$3:$C$12,0)),"-")</f>
        <v>Jaket Jeans</v>
      </c>
      <c r="F305" s="50">
        <v>2</v>
      </c>
      <c r="G305" s="50">
        <v>4</v>
      </c>
      <c r="H305" s="73">
        <f>IFERROR(INDEX(Katalog!$D$3:$D$12,MATCH(cadangan[[#This Row],[ItemID A]],Katalog!$C$3:$C$12,0))*cadangan[[#This Row],[Qty A]],0)</f>
        <v>800000</v>
      </c>
      <c r="I305" s="73">
        <f>IFERROR(cadangan[[#This Row],[Harga Normal A]]-(cadangan[[#This Row],[Harga Normal A]]*cadangan[[#This Row],[Diskon]]),cadangan[[#This Row],[Harga Normal A]])</f>
        <v>720000</v>
      </c>
      <c r="J305" s="73">
        <f>INDEX(Katalog!$F$3:$F$12,MATCH(cadangan[[#This Row],[ItemID A]],Katalog!$C$3:$C$12,0))*cadangan[[#This Row],[Qty A]]</f>
        <v>300000</v>
      </c>
      <c r="K305" s="73">
        <f>IFERROR(cadangan[[#This Row],[Harga Diskon A]]-INDEX(Katalog!$E$3:$E$12,MATCH(cadangan[[#This Row],[ItemID A]],Katalog!$C$3:$C$12,0))*cadangan[[#This Row],[Qty A]],0)</f>
        <v>220000</v>
      </c>
      <c r="M305" s="39" t="str">
        <f>IFERROR(INDEX(Katalog!$A$3:$A$12,MATCH(cadangan[[#This Row],[ItemID B]],Katalog!$C$3:$C$12,0)),"-")</f>
        <v>-</v>
      </c>
      <c r="N305" s="39" t="str">
        <f>IFERROR(INDEX(Katalog!$B$3:$B$12,MATCH(cadangan[[#This Row],[ItemID B]],Katalog!$C$3:$C$12,0)),"-")</f>
        <v>-</v>
      </c>
      <c r="Q305" s="73">
        <f>IFERROR(INDEX(Katalog!$D$3:$D$12,MATCH(cadangan[[#This Row],[ItemID B]],Katalog!$C$3:$C$12,0))*cadangan[[#This Row],[Qty B]],0)</f>
        <v>0</v>
      </c>
      <c r="R305" s="73">
        <f>IFERROR(cadangan[[#This Row],[Harga Normal B]]-(cadangan[[#This Row],[Harga Normal B]]*cadangan[[#This Row],[Diskon]]),cadangan[[#This Row],[Harga Normal B]])</f>
        <v>0</v>
      </c>
      <c r="S305" s="73">
        <f>IFERROR(INDEX(Katalog!$F$3:$F$12,MATCH(cadangan[[#This Row],[ItemID B]],Katalog!$C$3:$C$12,0))*cadangan[[#This Row],[Qty B]],0)</f>
        <v>0</v>
      </c>
      <c r="T305" s="73">
        <f>IFERROR(cadangan[[#This Row],[Harga Diskon B]]-INDEX(Katalog!$E$3:$E$12,MATCH(cadangan[[#This Row],[ItemID B]],Katalog!$C$3:$C$12,0))*cadangan[[#This Row],[Qty B]],0)</f>
        <v>0</v>
      </c>
      <c r="V305" s="39" t="str">
        <f>IFERROR(INDEX(Katalog!$A$3:$A$12,MATCH(cadangan[[#This Row],[ItemID C]],Katalog!$C$3:$C$12,0)),"-")</f>
        <v>-</v>
      </c>
      <c r="W305" s="39" t="str">
        <f>IFERROR(INDEX(Katalog!$B$3:$B$12,MATCH(cadangan[[#This Row],[ItemID C]],Katalog!$C$3:$C$12,0)),"-")</f>
        <v>-</v>
      </c>
      <c r="Z305" s="73">
        <f>IFERROR(INDEX(Katalog!$D$3:$D$12,MATCH(cadangan[[#This Row],[ItemID C]],Katalog!$C$3:$C$12,0))*cadangan[[#This Row],[Qty C]],0)</f>
        <v>0</v>
      </c>
      <c r="AA305" s="73">
        <f>IFERROR(cadangan[[#This Row],[Harga Normal C]]-(cadangan[[#This Row],[Harga Normal C]]*cadangan[[#This Row],[Diskon]]),cadangan[[#This Row],[Harga Normal C]])</f>
        <v>0</v>
      </c>
      <c r="AB305" s="73">
        <f>IFERROR(INDEX(Katalog!$F$3:$F$12,MATCH(cadangan[[#This Row],[ItemID C]],Katalog!$C$3:$C$12,0))*cadangan[[#This Row],[Qty C]],0)</f>
        <v>0</v>
      </c>
      <c r="AC305" s="73">
        <f>IFERROR(cadangan[[#This Row],[Harga Diskon C]]-INDEX(Katalog!$E$3:$E$12,MATCH(cadangan[[#This Row],[ItemID C]],Katalog!$C$3:$C$12,0))*cadangan[[#This Row],[Qty C]],0)</f>
        <v>0</v>
      </c>
      <c r="AD305" s="53">
        <f>cadangan[[#This Row],[Qty A]]+cadangan[[#This Row],[Qty B]]+cadangan[[#This Row],[Qty C]]</f>
        <v>2</v>
      </c>
      <c r="AE305" s="73">
        <f>cadangan[[#This Row],[Harga Normal A]]+cadangan[[#This Row],[Harga Normal B]]+cadangan[[#This Row],[Harga Normal C]]</f>
        <v>800000</v>
      </c>
      <c r="AF305" s="73">
        <f>cadangan[[#This Row],[Harga Diskon A]]+cadangan[[#This Row],[Harga Diskon B]]+cadangan[[#This Row],[Harga Diskon C]]</f>
        <v>720000</v>
      </c>
      <c r="AG305" s="73">
        <f>(cadangan[[#This Row],[Profit Normal A]]+cadangan[[#This Row],[Profit Normal B]]+cadangan[[#This Row],[Profit Normal C]])</f>
        <v>300000</v>
      </c>
      <c r="AH305" s="73">
        <f>cadangan[[#This Row],[Profit Diskon A]]+cadangan[[#This Row],[Profit Diskon B]]+cadangan[[#This Row],[Profit Diskon C]]</f>
        <v>220000</v>
      </c>
      <c r="AI305" s="23" t="s">
        <v>31</v>
      </c>
      <c r="AJ305" s="37">
        <f>IFERROR(INDEX('Kode Diskon'!$D$3:$D$9,MATCH(cadangan[[#This Row],[Kode diskon]],'Kode Diskon'!$C$3:$C$9,0)),"-")</f>
        <v>0.1</v>
      </c>
      <c r="AK305" s="23" t="s">
        <v>9</v>
      </c>
      <c r="AL305" s="23" t="s">
        <v>10</v>
      </c>
      <c r="AM305" s="23" t="s">
        <v>76</v>
      </c>
      <c r="AN305" s="55">
        <v>45043</v>
      </c>
      <c r="AO305" s="53">
        <f>DAY(cadangan[[#This Row],[Tanggal terjual]])</f>
        <v>27</v>
      </c>
      <c r="AP305" s="21" t="str">
        <f>TEXT(cadangan[[#This Row],[Tanggal terjual]],"dddd")</f>
        <v>Thursday</v>
      </c>
      <c r="AQ305" s="23" t="str" cm="1">
        <f t="array" ref="AQ3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05" s="61">
        <f>AVERAGE(cadangan[[#This Row],[Rating A]],cadangan[[#This Row],[Rating B]],cadangan[[#This Row],[Rating C]])</f>
        <v>4</v>
      </c>
    </row>
    <row r="306" spans="1:44" x14ac:dyDescent="0.2">
      <c r="A306" s="20">
        <v>305</v>
      </c>
      <c r="B306" s="21" t="str">
        <f>_xlfn.CONCAT("ORD-",INDEX(Helper!$B$2:$B$5,MATCH(cadangan[[#This Row],[Marketplace]],Helper!$A$2:$A$5,0)),TEXT(cadangan[[#This Row],[No]],"0000"),"-",TEXT(cadangan[[#This Row],[Tanggal terjual]],"dd/mm/yy"))</f>
        <v>ORD-SP0305-06/04/23</v>
      </c>
      <c r="C306" s="39" t="s">
        <v>62</v>
      </c>
      <c r="D306" s="39" t="str">
        <f>IFERROR(INDEX(Katalog!$A$3:$A$12,MATCH(cadangan[[#This Row],[ItemID A]],Katalog!$C$3:$C$12,0)),"-")</f>
        <v>Pakaian Pria</v>
      </c>
      <c r="E306" s="39" t="str">
        <f>IFERROR(INDEX(Katalog!$B$3:$B$12,MATCH(cadangan[[#This Row],[ItemID A]],Katalog!$C$3:$C$12,0)),"-")</f>
        <v>Celana Pendek</v>
      </c>
      <c r="F306" s="50">
        <v>1</v>
      </c>
      <c r="G306" s="50">
        <v>2</v>
      </c>
      <c r="H306" s="73">
        <f>IFERROR(INDEX(Katalog!$D$3:$D$12,MATCH(cadangan[[#This Row],[ItemID A]],Katalog!$C$3:$C$12,0))*cadangan[[#This Row],[Qty A]],0)</f>
        <v>180000</v>
      </c>
      <c r="I306" s="73">
        <f>IFERROR(cadangan[[#This Row],[Harga Normal A]]-(cadangan[[#This Row],[Harga Normal A]]*cadangan[[#This Row],[Diskon]]),cadangan[[#This Row],[Harga Normal A]])</f>
        <v>162000</v>
      </c>
      <c r="J306" s="73">
        <f>INDEX(Katalog!$F$3:$F$12,MATCH(cadangan[[#This Row],[ItemID A]],Katalog!$C$3:$C$12,0))*cadangan[[#This Row],[Qty A]]</f>
        <v>70000</v>
      </c>
      <c r="K306" s="73">
        <f>IFERROR(cadangan[[#This Row],[Harga Diskon A]]-INDEX(Katalog!$E$3:$E$12,MATCH(cadangan[[#This Row],[ItemID A]],Katalog!$C$3:$C$12,0))*cadangan[[#This Row],[Qty A]],0)</f>
        <v>52000</v>
      </c>
      <c r="L306" s="39" t="s">
        <v>60</v>
      </c>
      <c r="M306" s="39" t="str">
        <f>IFERROR(INDEX(Katalog!$A$3:$A$12,MATCH(cadangan[[#This Row],[ItemID B]],Katalog!$C$3:$C$12,0)),"-")</f>
        <v>Pakaian Wanita</v>
      </c>
      <c r="N306" s="39" t="str">
        <f>IFERROR(INDEX(Katalog!$B$3:$B$12,MATCH(cadangan[[#This Row],[ItemID B]],Katalog!$C$3:$C$12,0)),"-")</f>
        <v>Kaftan</v>
      </c>
      <c r="O306" s="50">
        <v>4</v>
      </c>
      <c r="P306" s="50">
        <v>3</v>
      </c>
      <c r="Q306" s="73">
        <f>IFERROR(INDEX(Katalog!$D$3:$D$12,MATCH(cadangan[[#This Row],[ItemID B]],Katalog!$C$3:$C$12,0))*cadangan[[#This Row],[Qty B]],0)</f>
        <v>1000000</v>
      </c>
      <c r="R306" s="73">
        <f>IFERROR(cadangan[[#This Row],[Harga Normal B]]-(cadangan[[#This Row],[Harga Normal B]]*cadangan[[#This Row],[Diskon]]),cadangan[[#This Row],[Harga Normal B]])</f>
        <v>900000</v>
      </c>
      <c r="S306" s="73">
        <f>IFERROR(INDEX(Katalog!$F$3:$F$12,MATCH(cadangan[[#This Row],[ItemID B]],Katalog!$C$3:$C$12,0))*cadangan[[#This Row],[Qty B]],0)</f>
        <v>400000</v>
      </c>
      <c r="T306" s="73">
        <f>IFERROR(cadangan[[#This Row],[Harga Diskon B]]-INDEX(Katalog!$E$3:$E$12,MATCH(cadangan[[#This Row],[ItemID B]],Katalog!$C$3:$C$12,0))*cadangan[[#This Row],[Qty B]],0)</f>
        <v>300000</v>
      </c>
      <c r="V306" s="39" t="str">
        <f>IFERROR(INDEX(Katalog!$A$3:$A$12,MATCH(cadangan[[#This Row],[ItemID C]],Katalog!$C$3:$C$12,0)),"-")</f>
        <v>-</v>
      </c>
      <c r="W306" s="39" t="str">
        <f>IFERROR(INDEX(Katalog!$B$3:$B$12,MATCH(cadangan[[#This Row],[ItemID C]],Katalog!$C$3:$C$12,0)),"-")</f>
        <v>-</v>
      </c>
      <c r="Z306" s="73">
        <f>IFERROR(INDEX(Katalog!$D$3:$D$12,MATCH(cadangan[[#This Row],[ItemID C]],Katalog!$C$3:$C$12,0))*cadangan[[#This Row],[Qty C]],0)</f>
        <v>0</v>
      </c>
      <c r="AA306" s="73">
        <f>IFERROR(cadangan[[#This Row],[Harga Normal C]]-(cadangan[[#This Row],[Harga Normal C]]*cadangan[[#This Row],[Diskon]]),cadangan[[#This Row],[Harga Normal C]])</f>
        <v>0</v>
      </c>
      <c r="AB306" s="73">
        <f>IFERROR(INDEX(Katalog!$F$3:$F$12,MATCH(cadangan[[#This Row],[ItemID C]],Katalog!$C$3:$C$12,0))*cadangan[[#This Row],[Qty C]],0)</f>
        <v>0</v>
      </c>
      <c r="AC306" s="73">
        <f>IFERROR(cadangan[[#This Row],[Harga Diskon C]]-INDEX(Katalog!$E$3:$E$12,MATCH(cadangan[[#This Row],[ItemID C]],Katalog!$C$3:$C$12,0))*cadangan[[#This Row],[Qty C]],0)</f>
        <v>0</v>
      </c>
      <c r="AD306" s="53">
        <f>cadangan[[#This Row],[Qty A]]+cadangan[[#This Row],[Qty B]]+cadangan[[#This Row],[Qty C]]</f>
        <v>5</v>
      </c>
      <c r="AE306" s="73">
        <f>cadangan[[#This Row],[Harga Normal A]]+cadangan[[#This Row],[Harga Normal B]]+cadangan[[#This Row],[Harga Normal C]]</f>
        <v>1180000</v>
      </c>
      <c r="AF306" s="73">
        <f>cadangan[[#This Row],[Harga Diskon A]]+cadangan[[#This Row],[Harga Diskon B]]+cadangan[[#This Row],[Harga Diskon C]]</f>
        <v>1062000</v>
      </c>
      <c r="AG306" s="73">
        <f>(cadangan[[#This Row],[Profit Normal A]]+cadangan[[#This Row],[Profit Normal B]]+cadangan[[#This Row],[Profit Normal C]])</f>
        <v>470000</v>
      </c>
      <c r="AH306" s="73">
        <f>cadangan[[#This Row],[Profit Diskon A]]+cadangan[[#This Row],[Profit Diskon B]]+cadangan[[#This Row],[Profit Diskon C]]</f>
        <v>352000</v>
      </c>
      <c r="AI306" s="23" t="s">
        <v>6</v>
      </c>
      <c r="AJ306" s="37">
        <f>IFERROR(INDEX('Kode Diskon'!$D$3:$D$9,MATCH(cadangan[[#This Row],[Kode diskon]],'Kode Diskon'!$C$3:$C$9,0)),"-")</f>
        <v>0.1</v>
      </c>
      <c r="AK306" s="23" t="s">
        <v>29</v>
      </c>
      <c r="AL306" s="23" t="s">
        <v>7</v>
      </c>
      <c r="AM306" s="23" t="s">
        <v>79</v>
      </c>
      <c r="AN306" s="55">
        <v>45022</v>
      </c>
      <c r="AO306" s="53">
        <f>DAY(cadangan[[#This Row],[Tanggal terjual]])</f>
        <v>6</v>
      </c>
      <c r="AP306" s="21" t="str">
        <f>TEXT(cadangan[[#This Row],[Tanggal terjual]],"dddd")</f>
        <v>Thursday</v>
      </c>
      <c r="AQ306" s="23" t="str" cm="1">
        <f t="array" ref="AQ3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6" s="61">
        <f>AVERAGE(cadangan[[#This Row],[Rating A]],cadangan[[#This Row],[Rating B]],cadangan[[#This Row],[Rating C]])</f>
        <v>2.5</v>
      </c>
    </row>
    <row r="307" spans="1:44" x14ac:dyDescent="0.2">
      <c r="A307" s="20">
        <v>306</v>
      </c>
      <c r="B307" s="21" t="str">
        <f>_xlfn.CONCAT("ORD-",INDEX(Helper!$B$2:$B$5,MATCH(cadangan[[#This Row],[Marketplace]],Helper!$A$2:$A$5,0)),TEXT(cadangan[[#This Row],[No]],"0000"),"-",TEXT(cadangan[[#This Row],[Tanggal terjual]],"dd/mm/yy"))</f>
        <v>ORD-BB0306-06/04/23</v>
      </c>
      <c r="C307" s="39" t="s">
        <v>63</v>
      </c>
      <c r="D307" s="39" t="str">
        <f>IFERROR(INDEX(Katalog!$A$3:$A$12,MATCH(cadangan[[#This Row],[ItemID A]],Katalog!$C$3:$C$12,0)),"-")</f>
        <v>Pakaian Pria</v>
      </c>
      <c r="E307" s="39" t="str">
        <f>IFERROR(INDEX(Katalog!$B$3:$B$12,MATCH(cadangan[[#This Row],[ItemID A]],Katalog!$C$3:$C$12,0)),"-")</f>
        <v>Jaket Jeans</v>
      </c>
      <c r="F307" s="50">
        <v>2</v>
      </c>
      <c r="G307" s="50">
        <v>4</v>
      </c>
      <c r="H307" s="73">
        <f>IFERROR(INDEX(Katalog!$D$3:$D$12,MATCH(cadangan[[#This Row],[ItemID A]],Katalog!$C$3:$C$12,0))*cadangan[[#This Row],[Qty A]],0)</f>
        <v>800000</v>
      </c>
      <c r="I307" s="73">
        <f>IFERROR(cadangan[[#This Row],[Harga Normal A]]-(cadangan[[#This Row],[Harga Normal A]]*cadangan[[#This Row],[Diskon]]),cadangan[[#This Row],[Harga Normal A]])</f>
        <v>680000</v>
      </c>
      <c r="J307" s="73">
        <f>INDEX(Katalog!$F$3:$F$12,MATCH(cadangan[[#This Row],[ItemID A]],Katalog!$C$3:$C$12,0))*cadangan[[#This Row],[Qty A]]</f>
        <v>300000</v>
      </c>
      <c r="K307" s="73">
        <f>IFERROR(cadangan[[#This Row],[Harga Diskon A]]-INDEX(Katalog!$E$3:$E$12,MATCH(cadangan[[#This Row],[ItemID A]],Katalog!$C$3:$C$12,0))*cadangan[[#This Row],[Qty A]],0)</f>
        <v>180000</v>
      </c>
      <c r="L307" s="39" t="s">
        <v>59</v>
      </c>
      <c r="M307" s="39" t="str">
        <f>IFERROR(INDEX(Katalog!$A$3:$A$12,MATCH(cadangan[[#This Row],[ItemID B]],Katalog!$C$3:$C$12,0)),"-")</f>
        <v>Pakaian Wanita</v>
      </c>
      <c r="N307" s="39" t="str">
        <f>IFERROR(INDEX(Katalog!$B$3:$B$12,MATCH(cadangan[[#This Row],[ItemID B]],Katalog!$C$3:$C$12,0)),"-")</f>
        <v>Blouse</v>
      </c>
      <c r="O307" s="50">
        <v>2</v>
      </c>
      <c r="P307" s="50">
        <v>4</v>
      </c>
      <c r="Q307" s="73">
        <f>IFERROR(INDEX(Katalog!$D$3:$D$12,MATCH(cadangan[[#This Row],[ItemID B]],Katalog!$C$3:$C$12,0))*cadangan[[#This Row],[Qty B]],0)</f>
        <v>300000</v>
      </c>
      <c r="R307" s="73">
        <f>IFERROR(cadangan[[#This Row],[Harga Normal B]]-(cadangan[[#This Row],[Harga Normal B]]*cadangan[[#This Row],[Diskon]]),cadangan[[#This Row],[Harga Normal B]])</f>
        <v>255000</v>
      </c>
      <c r="S307" s="73">
        <f>IFERROR(INDEX(Katalog!$F$3:$F$12,MATCH(cadangan[[#This Row],[ItemID B]],Katalog!$C$3:$C$12,0))*cadangan[[#This Row],[Qty B]],0)</f>
        <v>100000</v>
      </c>
      <c r="T307" s="73">
        <f>IFERROR(cadangan[[#This Row],[Harga Diskon B]]-INDEX(Katalog!$E$3:$E$12,MATCH(cadangan[[#This Row],[ItemID B]],Katalog!$C$3:$C$12,0))*cadangan[[#This Row],[Qty B]],0)</f>
        <v>55000</v>
      </c>
      <c r="V307" s="39" t="str">
        <f>IFERROR(INDEX(Katalog!$A$3:$A$12,MATCH(cadangan[[#This Row],[ItemID C]],Katalog!$C$3:$C$12,0)),"-")</f>
        <v>-</v>
      </c>
      <c r="W307" s="39" t="str">
        <f>IFERROR(INDEX(Katalog!$B$3:$B$12,MATCH(cadangan[[#This Row],[ItemID C]],Katalog!$C$3:$C$12,0)),"-")</f>
        <v>-</v>
      </c>
      <c r="Z307" s="73">
        <f>IFERROR(INDEX(Katalog!$D$3:$D$12,MATCH(cadangan[[#This Row],[ItemID C]],Katalog!$C$3:$C$12,0))*cadangan[[#This Row],[Qty C]],0)</f>
        <v>0</v>
      </c>
      <c r="AA307" s="73">
        <f>IFERROR(cadangan[[#This Row],[Harga Normal C]]-(cadangan[[#This Row],[Harga Normal C]]*cadangan[[#This Row],[Diskon]]),cadangan[[#This Row],[Harga Normal C]])</f>
        <v>0</v>
      </c>
      <c r="AB307" s="73">
        <f>IFERROR(INDEX(Katalog!$F$3:$F$12,MATCH(cadangan[[#This Row],[ItemID C]],Katalog!$C$3:$C$12,0))*cadangan[[#This Row],[Qty C]],0)</f>
        <v>0</v>
      </c>
      <c r="AC307" s="73">
        <f>IFERROR(cadangan[[#This Row],[Harga Diskon C]]-INDEX(Katalog!$E$3:$E$12,MATCH(cadangan[[#This Row],[ItemID C]],Katalog!$C$3:$C$12,0))*cadangan[[#This Row],[Qty C]],0)</f>
        <v>0</v>
      </c>
      <c r="AD307" s="53">
        <f>cadangan[[#This Row],[Qty A]]+cadangan[[#This Row],[Qty B]]+cadangan[[#This Row],[Qty C]]</f>
        <v>4</v>
      </c>
      <c r="AE307" s="73">
        <f>cadangan[[#This Row],[Harga Normal A]]+cadangan[[#This Row],[Harga Normal B]]+cadangan[[#This Row],[Harga Normal C]]</f>
        <v>1100000</v>
      </c>
      <c r="AF307" s="73">
        <f>cadangan[[#This Row],[Harga Diskon A]]+cadangan[[#This Row],[Harga Diskon B]]+cadangan[[#This Row],[Harga Diskon C]]</f>
        <v>935000</v>
      </c>
      <c r="AG307" s="73">
        <f>(cadangan[[#This Row],[Profit Normal A]]+cadangan[[#This Row],[Profit Normal B]]+cadangan[[#This Row],[Profit Normal C]])</f>
        <v>400000</v>
      </c>
      <c r="AH307" s="73">
        <f>cadangan[[#This Row],[Profit Diskon A]]+cadangan[[#This Row],[Profit Diskon B]]+cadangan[[#This Row],[Profit Diskon C]]</f>
        <v>235000</v>
      </c>
      <c r="AI307" s="23" t="s">
        <v>28</v>
      </c>
      <c r="AJ307" s="37">
        <f>IFERROR(INDEX('Kode Diskon'!$D$3:$D$9,MATCH(cadangan[[#This Row],[Kode diskon]],'Kode Diskon'!$C$3:$C$9,0)),"-")</f>
        <v>0.15</v>
      </c>
      <c r="AK307" s="23" t="s">
        <v>29</v>
      </c>
      <c r="AL307" s="23" t="s">
        <v>14</v>
      </c>
      <c r="AM307" s="23" t="s">
        <v>75</v>
      </c>
      <c r="AN307" s="55">
        <v>45022</v>
      </c>
      <c r="AO307" s="53">
        <f>DAY(cadangan[[#This Row],[Tanggal terjual]])</f>
        <v>6</v>
      </c>
      <c r="AP307" s="21" t="str">
        <f>TEXT(cadangan[[#This Row],[Tanggal terjual]],"dddd")</f>
        <v>Thursday</v>
      </c>
      <c r="AQ307" s="23" t="str" cm="1">
        <f t="array" ref="AQ3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7" s="61">
        <f>AVERAGE(cadangan[[#This Row],[Rating A]],cadangan[[#This Row],[Rating B]],cadangan[[#This Row],[Rating C]])</f>
        <v>4</v>
      </c>
    </row>
    <row r="308" spans="1:44" x14ac:dyDescent="0.2">
      <c r="A308" s="20">
        <v>307</v>
      </c>
      <c r="B308" s="21" t="str">
        <f>_xlfn.CONCAT("ORD-",INDEX(Helper!$B$2:$B$5,MATCH(cadangan[[#This Row],[Marketplace]],Helper!$A$2:$A$5,0)),TEXT(cadangan[[#This Row],[No]],"0000"),"-",TEXT(cadangan[[#This Row],[Tanggal terjual]],"dd/mm/yy"))</f>
        <v>ORD-BB0307-06/04/23</v>
      </c>
      <c r="C308" s="39" t="s">
        <v>61</v>
      </c>
      <c r="D308" s="39" t="str">
        <f>IFERROR(INDEX(Katalog!$A$3:$A$12,MATCH(cadangan[[#This Row],[ItemID A]],Katalog!$C$3:$C$12,0)),"-")</f>
        <v>Pakaian Pria</v>
      </c>
      <c r="E308" s="39" t="str">
        <f>IFERROR(INDEX(Katalog!$B$3:$B$12,MATCH(cadangan[[#This Row],[ItemID A]],Katalog!$C$3:$C$12,0)),"-")</f>
        <v>Kaos Polo</v>
      </c>
      <c r="F308" s="50">
        <v>2</v>
      </c>
      <c r="G308" s="50">
        <v>5</v>
      </c>
      <c r="H308" s="73">
        <f>IFERROR(INDEX(Katalog!$D$3:$D$12,MATCH(cadangan[[#This Row],[ItemID A]],Katalog!$C$3:$C$12,0))*cadangan[[#This Row],[Qty A]],0)</f>
        <v>400000</v>
      </c>
      <c r="I308" s="73">
        <f>IFERROR(cadangan[[#This Row],[Harga Normal A]]-(cadangan[[#This Row],[Harga Normal A]]*cadangan[[#This Row],[Diskon]]),cadangan[[#This Row],[Harga Normal A]])</f>
        <v>340000</v>
      </c>
      <c r="J308" s="73">
        <f>INDEX(Katalog!$F$3:$F$12,MATCH(cadangan[[#This Row],[ItemID A]],Katalog!$C$3:$C$12,0))*cadangan[[#This Row],[Qty A]]</f>
        <v>160000</v>
      </c>
      <c r="K308" s="73">
        <f>IFERROR(cadangan[[#This Row],[Harga Diskon A]]-INDEX(Katalog!$E$3:$E$12,MATCH(cadangan[[#This Row],[ItemID A]],Katalog!$C$3:$C$12,0))*cadangan[[#This Row],[Qty A]],0)</f>
        <v>100000</v>
      </c>
      <c r="L308" s="39" t="s">
        <v>64</v>
      </c>
      <c r="M308" s="39" t="str">
        <f>IFERROR(INDEX(Katalog!$A$3:$A$12,MATCH(cadangan[[#This Row],[ItemID B]],Katalog!$C$3:$C$12,0)),"-")</f>
        <v>Pakaian Unisex</v>
      </c>
      <c r="N308" s="39" t="str">
        <f>IFERROR(INDEX(Katalog!$B$3:$B$12,MATCH(cadangan[[#This Row],[ItemID B]],Katalog!$C$3:$C$12,0)),"-")</f>
        <v>Jaket Hoodie</v>
      </c>
      <c r="O308" s="50">
        <v>2</v>
      </c>
      <c r="P308" s="50">
        <v>2</v>
      </c>
      <c r="Q308" s="73">
        <f>IFERROR(INDEX(Katalog!$D$3:$D$12,MATCH(cadangan[[#This Row],[ItemID B]],Katalog!$C$3:$C$12,0))*cadangan[[#This Row],[Qty B]],0)</f>
        <v>700000</v>
      </c>
      <c r="R308" s="73">
        <f>IFERROR(cadangan[[#This Row],[Harga Normal B]]-(cadangan[[#This Row],[Harga Normal B]]*cadangan[[#This Row],[Diskon]]),cadangan[[#This Row],[Harga Normal B]])</f>
        <v>595000</v>
      </c>
      <c r="S308" s="73">
        <f>IFERROR(INDEX(Katalog!$F$3:$F$12,MATCH(cadangan[[#This Row],[ItemID B]],Katalog!$C$3:$C$12,0))*cadangan[[#This Row],[Qty B]],0)</f>
        <v>260000</v>
      </c>
      <c r="T308" s="73">
        <f>IFERROR(cadangan[[#This Row],[Harga Diskon B]]-INDEX(Katalog!$E$3:$E$12,MATCH(cadangan[[#This Row],[ItemID B]],Katalog!$C$3:$C$12,0))*cadangan[[#This Row],[Qty B]],0)</f>
        <v>155000</v>
      </c>
      <c r="V308" s="39" t="str">
        <f>IFERROR(INDEX(Katalog!$A$3:$A$12,MATCH(cadangan[[#This Row],[ItemID C]],Katalog!$C$3:$C$12,0)),"-")</f>
        <v>-</v>
      </c>
      <c r="W308" s="39" t="str">
        <f>IFERROR(INDEX(Katalog!$B$3:$B$12,MATCH(cadangan[[#This Row],[ItemID C]],Katalog!$C$3:$C$12,0)),"-")</f>
        <v>-</v>
      </c>
      <c r="Z308" s="73">
        <f>IFERROR(INDEX(Katalog!$D$3:$D$12,MATCH(cadangan[[#This Row],[ItemID C]],Katalog!$C$3:$C$12,0))*cadangan[[#This Row],[Qty C]],0)</f>
        <v>0</v>
      </c>
      <c r="AA308" s="73">
        <f>IFERROR(cadangan[[#This Row],[Harga Normal C]]-(cadangan[[#This Row],[Harga Normal C]]*cadangan[[#This Row],[Diskon]]),cadangan[[#This Row],[Harga Normal C]])</f>
        <v>0</v>
      </c>
      <c r="AB308" s="73">
        <f>IFERROR(INDEX(Katalog!$F$3:$F$12,MATCH(cadangan[[#This Row],[ItemID C]],Katalog!$C$3:$C$12,0))*cadangan[[#This Row],[Qty C]],0)</f>
        <v>0</v>
      </c>
      <c r="AC308" s="73">
        <f>IFERROR(cadangan[[#This Row],[Harga Diskon C]]-INDEX(Katalog!$E$3:$E$12,MATCH(cadangan[[#This Row],[ItemID C]],Katalog!$C$3:$C$12,0))*cadangan[[#This Row],[Qty C]],0)</f>
        <v>0</v>
      </c>
      <c r="AD308" s="53">
        <f>cadangan[[#This Row],[Qty A]]+cadangan[[#This Row],[Qty B]]+cadangan[[#This Row],[Qty C]]</f>
        <v>4</v>
      </c>
      <c r="AE308" s="73">
        <f>cadangan[[#This Row],[Harga Normal A]]+cadangan[[#This Row],[Harga Normal B]]+cadangan[[#This Row],[Harga Normal C]]</f>
        <v>1100000</v>
      </c>
      <c r="AF308" s="73">
        <f>cadangan[[#This Row],[Harga Diskon A]]+cadangan[[#This Row],[Harga Diskon B]]+cadangan[[#This Row],[Harga Diskon C]]</f>
        <v>935000</v>
      </c>
      <c r="AG308" s="73">
        <f>(cadangan[[#This Row],[Profit Normal A]]+cadangan[[#This Row],[Profit Normal B]]+cadangan[[#This Row],[Profit Normal C]])</f>
        <v>420000</v>
      </c>
      <c r="AH308" s="73">
        <f>cadangan[[#This Row],[Profit Diskon A]]+cadangan[[#This Row],[Profit Diskon B]]+cadangan[[#This Row],[Profit Diskon C]]</f>
        <v>255000</v>
      </c>
      <c r="AI308" s="23" t="s">
        <v>28</v>
      </c>
      <c r="AJ308" s="37">
        <f>IFERROR(INDEX('Kode Diskon'!$D$3:$D$9,MATCH(cadangan[[#This Row],[Kode diskon]],'Kode Diskon'!$C$3:$C$9,0)),"-")</f>
        <v>0.15</v>
      </c>
      <c r="AK308" s="23" t="s">
        <v>29</v>
      </c>
      <c r="AL308" s="23" t="s">
        <v>14</v>
      </c>
      <c r="AM308" s="23" t="s">
        <v>80</v>
      </c>
      <c r="AN308" s="55">
        <v>45022</v>
      </c>
      <c r="AO308" s="53">
        <f>DAY(cadangan[[#This Row],[Tanggal terjual]])</f>
        <v>6</v>
      </c>
      <c r="AP308" s="21" t="str">
        <f>TEXT(cadangan[[#This Row],[Tanggal terjual]],"dddd")</f>
        <v>Thursday</v>
      </c>
      <c r="AQ308" s="23" t="str" cm="1">
        <f t="array" ref="AQ3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08" s="61">
        <f>AVERAGE(cadangan[[#This Row],[Rating A]],cadangan[[#This Row],[Rating B]],cadangan[[#This Row],[Rating C]])</f>
        <v>3.5</v>
      </c>
    </row>
    <row r="309" spans="1:44" x14ac:dyDescent="0.2">
      <c r="A309" s="20">
        <v>308</v>
      </c>
      <c r="B309" s="21" t="str">
        <f>_xlfn.CONCAT("ORD-",INDEX(Helper!$B$2:$B$5,MATCH(cadangan[[#This Row],[Marketplace]],Helper!$A$2:$A$5,0)),TEXT(cadangan[[#This Row],[No]],"0000"),"-",TEXT(cadangan[[#This Row],[Tanggal terjual]],"dd/mm/yy"))</f>
        <v>ORD-TK0308-18/04/23</v>
      </c>
      <c r="C309" s="39" t="s">
        <v>61</v>
      </c>
      <c r="D309" s="39" t="str">
        <f>IFERROR(INDEX(Katalog!$A$3:$A$12,MATCH(cadangan[[#This Row],[ItemID A]],Katalog!$C$3:$C$12,0)),"-")</f>
        <v>Pakaian Pria</v>
      </c>
      <c r="E309" s="39" t="str">
        <f>IFERROR(INDEX(Katalog!$B$3:$B$12,MATCH(cadangan[[#This Row],[ItemID A]],Katalog!$C$3:$C$12,0)),"-")</f>
        <v>Kaos Polo</v>
      </c>
      <c r="F309" s="50">
        <v>5</v>
      </c>
      <c r="G309" s="50">
        <v>4</v>
      </c>
      <c r="H309" s="73">
        <f>IFERROR(INDEX(Katalog!$D$3:$D$12,MATCH(cadangan[[#This Row],[ItemID A]],Katalog!$C$3:$C$12,0))*cadangan[[#This Row],[Qty A]],0)</f>
        <v>1000000</v>
      </c>
      <c r="I309" s="73">
        <f>IFERROR(cadangan[[#This Row],[Harga Normal A]]-(cadangan[[#This Row],[Harga Normal A]]*cadangan[[#This Row],[Diskon]]),cadangan[[#This Row],[Harga Normal A]])</f>
        <v>900000</v>
      </c>
      <c r="J309" s="73">
        <f>INDEX(Katalog!$F$3:$F$12,MATCH(cadangan[[#This Row],[ItemID A]],Katalog!$C$3:$C$12,0))*cadangan[[#This Row],[Qty A]]</f>
        <v>400000</v>
      </c>
      <c r="K309" s="73">
        <f>IFERROR(cadangan[[#This Row],[Harga Diskon A]]-INDEX(Katalog!$E$3:$E$12,MATCH(cadangan[[#This Row],[ItemID A]],Katalog!$C$3:$C$12,0))*cadangan[[#This Row],[Qty A]],0)</f>
        <v>300000</v>
      </c>
      <c r="L309" s="39" t="s">
        <v>65</v>
      </c>
      <c r="M309" s="39" t="str">
        <f>IFERROR(INDEX(Katalog!$A$3:$A$12,MATCH(cadangan[[#This Row],[ItemID B]],Katalog!$C$3:$C$12,0)),"-")</f>
        <v>Sepatu Pria</v>
      </c>
      <c r="N309" s="39" t="str">
        <f>IFERROR(INDEX(Katalog!$B$3:$B$12,MATCH(cadangan[[#This Row],[ItemID B]],Katalog!$C$3:$C$12,0)),"-")</f>
        <v>Sneakers</v>
      </c>
      <c r="O309" s="50">
        <v>2</v>
      </c>
      <c r="P309" s="50">
        <v>3</v>
      </c>
      <c r="Q309" s="73">
        <f>IFERROR(INDEX(Katalog!$D$3:$D$12,MATCH(cadangan[[#This Row],[ItemID B]],Katalog!$C$3:$C$12,0))*cadangan[[#This Row],[Qty B]],0)</f>
        <v>1000000</v>
      </c>
      <c r="R309" s="73">
        <f>IFERROR(cadangan[[#This Row],[Harga Normal B]]-(cadangan[[#This Row],[Harga Normal B]]*cadangan[[#This Row],[Diskon]]),cadangan[[#This Row],[Harga Normal B]])</f>
        <v>900000</v>
      </c>
      <c r="S309" s="73">
        <f>IFERROR(INDEX(Katalog!$F$3:$F$12,MATCH(cadangan[[#This Row],[ItemID B]],Katalog!$C$3:$C$12,0))*cadangan[[#This Row],[Qty B]],0)</f>
        <v>400000</v>
      </c>
      <c r="T309" s="73">
        <f>IFERROR(cadangan[[#This Row],[Harga Diskon B]]-INDEX(Katalog!$E$3:$E$12,MATCH(cadangan[[#This Row],[ItemID B]],Katalog!$C$3:$C$12,0))*cadangan[[#This Row],[Qty B]],0)</f>
        <v>300000</v>
      </c>
      <c r="V309" s="39" t="str">
        <f>IFERROR(INDEX(Katalog!$A$3:$A$12,MATCH(cadangan[[#This Row],[ItemID C]],Katalog!$C$3:$C$12,0)),"-")</f>
        <v>-</v>
      </c>
      <c r="W309" s="39" t="str">
        <f>IFERROR(INDEX(Katalog!$B$3:$B$12,MATCH(cadangan[[#This Row],[ItemID C]],Katalog!$C$3:$C$12,0)),"-")</f>
        <v>-</v>
      </c>
      <c r="Z309" s="73">
        <f>IFERROR(INDEX(Katalog!$D$3:$D$12,MATCH(cadangan[[#This Row],[ItemID C]],Katalog!$C$3:$C$12,0))*cadangan[[#This Row],[Qty C]],0)</f>
        <v>0</v>
      </c>
      <c r="AA309" s="73">
        <f>IFERROR(cadangan[[#This Row],[Harga Normal C]]-(cadangan[[#This Row],[Harga Normal C]]*cadangan[[#This Row],[Diskon]]),cadangan[[#This Row],[Harga Normal C]])</f>
        <v>0</v>
      </c>
      <c r="AB309" s="73">
        <f>IFERROR(INDEX(Katalog!$F$3:$F$12,MATCH(cadangan[[#This Row],[ItemID C]],Katalog!$C$3:$C$12,0))*cadangan[[#This Row],[Qty C]],0)</f>
        <v>0</v>
      </c>
      <c r="AC309" s="73">
        <f>IFERROR(cadangan[[#This Row],[Harga Diskon C]]-INDEX(Katalog!$E$3:$E$12,MATCH(cadangan[[#This Row],[ItemID C]],Katalog!$C$3:$C$12,0))*cadangan[[#This Row],[Qty C]],0)</f>
        <v>0</v>
      </c>
      <c r="AD309" s="53">
        <f>cadangan[[#This Row],[Qty A]]+cadangan[[#This Row],[Qty B]]+cadangan[[#This Row],[Qty C]]</f>
        <v>7</v>
      </c>
      <c r="AE309" s="73">
        <f>cadangan[[#This Row],[Harga Normal A]]+cadangan[[#This Row],[Harga Normal B]]+cadangan[[#This Row],[Harga Normal C]]</f>
        <v>2000000</v>
      </c>
      <c r="AF309" s="73">
        <f>cadangan[[#This Row],[Harga Diskon A]]+cadangan[[#This Row],[Harga Diskon B]]+cadangan[[#This Row],[Harga Diskon C]]</f>
        <v>1800000</v>
      </c>
      <c r="AG309" s="73">
        <f>(cadangan[[#This Row],[Profit Normal A]]+cadangan[[#This Row],[Profit Normal B]]+cadangan[[#This Row],[Profit Normal C]])</f>
        <v>800000</v>
      </c>
      <c r="AH309" s="73">
        <f>cadangan[[#This Row],[Profit Diskon A]]+cadangan[[#This Row],[Profit Diskon B]]+cadangan[[#This Row],[Profit Diskon C]]</f>
        <v>600000</v>
      </c>
      <c r="AI309" s="23" t="s">
        <v>31</v>
      </c>
      <c r="AJ309" s="37">
        <f>IFERROR(INDEX('Kode Diskon'!$D$3:$D$9,MATCH(cadangan[[#This Row],[Kode diskon]],'Kode Diskon'!$C$3:$C$9,0)),"-")</f>
        <v>0.1</v>
      </c>
      <c r="AK309" s="23" t="s">
        <v>9</v>
      </c>
      <c r="AL309" s="23" t="s">
        <v>10</v>
      </c>
      <c r="AM309" s="23" t="s">
        <v>78</v>
      </c>
      <c r="AN309" s="55">
        <v>45034</v>
      </c>
      <c r="AO309" s="53">
        <f>DAY(cadangan[[#This Row],[Tanggal terjual]])</f>
        <v>18</v>
      </c>
      <c r="AP309" s="21" t="str">
        <f>TEXT(cadangan[[#This Row],[Tanggal terjual]],"dddd")</f>
        <v>Tuesday</v>
      </c>
      <c r="AQ309" s="23" t="str" cm="1">
        <f t="array" ref="AQ3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09" s="61">
        <f>AVERAGE(cadangan[[#This Row],[Rating A]],cadangan[[#This Row],[Rating B]],cadangan[[#This Row],[Rating C]])</f>
        <v>3.5</v>
      </c>
    </row>
    <row r="310" spans="1:44" x14ac:dyDescent="0.2">
      <c r="A310" s="20">
        <v>309</v>
      </c>
      <c r="B310" s="21" t="str">
        <f>_xlfn.CONCAT("ORD-",INDEX(Helper!$B$2:$B$5,MATCH(cadangan[[#This Row],[Marketplace]],Helper!$A$2:$A$5,0)),TEXT(cadangan[[#This Row],[No]],"0000"),"-",TEXT(cadangan[[#This Row],[Tanggal terjual]],"dd/mm/yy"))</f>
        <v>ORD-BB0309-02/04/23</v>
      </c>
      <c r="C310" s="39" t="s">
        <v>59</v>
      </c>
      <c r="D310" s="39" t="str">
        <f>IFERROR(INDEX(Katalog!$A$3:$A$12,MATCH(cadangan[[#This Row],[ItemID A]],Katalog!$C$3:$C$12,0)),"-")</f>
        <v>Pakaian Wanita</v>
      </c>
      <c r="E310" s="39" t="str">
        <f>IFERROR(INDEX(Katalog!$B$3:$B$12,MATCH(cadangan[[#This Row],[ItemID A]],Katalog!$C$3:$C$12,0)),"-")</f>
        <v>Blouse</v>
      </c>
      <c r="F310" s="50">
        <v>2</v>
      </c>
      <c r="G310" s="50">
        <v>5</v>
      </c>
      <c r="H310" s="73">
        <f>IFERROR(INDEX(Katalog!$D$3:$D$12,MATCH(cadangan[[#This Row],[ItemID A]],Katalog!$C$3:$C$12,0))*cadangan[[#This Row],[Qty A]],0)</f>
        <v>300000</v>
      </c>
      <c r="I310" s="73">
        <f>IFERROR(cadangan[[#This Row],[Harga Normal A]]-(cadangan[[#This Row],[Harga Normal A]]*cadangan[[#This Row],[Diskon]]),cadangan[[#This Row],[Harga Normal A]])</f>
        <v>255000</v>
      </c>
      <c r="J310" s="73">
        <f>INDEX(Katalog!$F$3:$F$12,MATCH(cadangan[[#This Row],[ItemID A]],Katalog!$C$3:$C$12,0))*cadangan[[#This Row],[Qty A]]</f>
        <v>100000</v>
      </c>
      <c r="K310" s="73">
        <f>IFERROR(cadangan[[#This Row],[Harga Diskon A]]-INDEX(Katalog!$E$3:$E$12,MATCH(cadangan[[#This Row],[ItemID A]],Katalog!$C$3:$C$12,0))*cadangan[[#This Row],[Qty A]],0)</f>
        <v>55000</v>
      </c>
      <c r="L310" s="39" t="s">
        <v>61</v>
      </c>
      <c r="M310" s="39" t="str">
        <f>IFERROR(INDEX(Katalog!$A$3:$A$12,MATCH(cadangan[[#This Row],[ItemID B]],Katalog!$C$3:$C$12,0)),"-")</f>
        <v>Pakaian Pria</v>
      </c>
      <c r="N310" s="39" t="str">
        <f>IFERROR(INDEX(Katalog!$B$3:$B$12,MATCH(cadangan[[#This Row],[ItemID B]],Katalog!$C$3:$C$12,0)),"-")</f>
        <v>Kaos Polo</v>
      </c>
      <c r="O310" s="50">
        <v>4</v>
      </c>
      <c r="P310" s="50">
        <v>5</v>
      </c>
      <c r="Q310" s="73">
        <f>IFERROR(INDEX(Katalog!$D$3:$D$12,MATCH(cadangan[[#This Row],[ItemID B]],Katalog!$C$3:$C$12,0))*cadangan[[#This Row],[Qty B]],0)</f>
        <v>800000</v>
      </c>
      <c r="R310" s="73">
        <f>IFERROR(cadangan[[#This Row],[Harga Normal B]]-(cadangan[[#This Row],[Harga Normal B]]*cadangan[[#This Row],[Diskon]]),cadangan[[#This Row],[Harga Normal B]])</f>
        <v>680000</v>
      </c>
      <c r="S310" s="73">
        <f>IFERROR(INDEX(Katalog!$F$3:$F$12,MATCH(cadangan[[#This Row],[ItemID B]],Katalog!$C$3:$C$12,0))*cadangan[[#This Row],[Qty B]],0)</f>
        <v>320000</v>
      </c>
      <c r="T310" s="73">
        <f>IFERROR(cadangan[[#This Row],[Harga Diskon B]]-INDEX(Katalog!$E$3:$E$12,MATCH(cadangan[[#This Row],[ItemID B]],Katalog!$C$3:$C$12,0))*cadangan[[#This Row],[Qty B]],0)</f>
        <v>200000</v>
      </c>
      <c r="V310" s="39" t="str">
        <f>IFERROR(INDEX(Katalog!$A$3:$A$12,MATCH(cadangan[[#This Row],[ItemID C]],Katalog!$C$3:$C$12,0)),"-")</f>
        <v>-</v>
      </c>
      <c r="W310" s="39" t="str">
        <f>IFERROR(INDEX(Katalog!$B$3:$B$12,MATCH(cadangan[[#This Row],[ItemID C]],Katalog!$C$3:$C$12,0)),"-")</f>
        <v>-</v>
      </c>
      <c r="Z310" s="73">
        <f>IFERROR(INDEX(Katalog!$D$3:$D$12,MATCH(cadangan[[#This Row],[ItemID C]],Katalog!$C$3:$C$12,0))*cadangan[[#This Row],[Qty C]],0)</f>
        <v>0</v>
      </c>
      <c r="AA310" s="73">
        <f>IFERROR(cadangan[[#This Row],[Harga Normal C]]-(cadangan[[#This Row],[Harga Normal C]]*cadangan[[#This Row],[Diskon]]),cadangan[[#This Row],[Harga Normal C]])</f>
        <v>0</v>
      </c>
      <c r="AB310" s="73">
        <f>IFERROR(INDEX(Katalog!$F$3:$F$12,MATCH(cadangan[[#This Row],[ItemID C]],Katalog!$C$3:$C$12,0))*cadangan[[#This Row],[Qty C]],0)</f>
        <v>0</v>
      </c>
      <c r="AC310" s="73">
        <f>IFERROR(cadangan[[#This Row],[Harga Diskon C]]-INDEX(Katalog!$E$3:$E$12,MATCH(cadangan[[#This Row],[ItemID C]],Katalog!$C$3:$C$12,0))*cadangan[[#This Row],[Qty C]],0)</f>
        <v>0</v>
      </c>
      <c r="AD310" s="53">
        <f>cadangan[[#This Row],[Qty A]]+cadangan[[#This Row],[Qty B]]+cadangan[[#This Row],[Qty C]]</f>
        <v>6</v>
      </c>
      <c r="AE310" s="73">
        <f>cadangan[[#This Row],[Harga Normal A]]+cadangan[[#This Row],[Harga Normal B]]+cadangan[[#This Row],[Harga Normal C]]</f>
        <v>1100000</v>
      </c>
      <c r="AF310" s="73">
        <f>cadangan[[#This Row],[Harga Diskon A]]+cadangan[[#This Row],[Harga Diskon B]]+cadangan[[#This Row],[Harga Diskon C]]</f>
        <v>935000</v>
      </c>
      <c r="AG310" s="73">
        <f>(cadangan[[#This Row],[Profit Normal A]]+cadangan[[#This Row],[Profit Normal B]]+cadangan[[#This Row],[Profit Normal C]])</f>
        <v>420000</v>
      </c>
      <c r="AH310" s="73">
        <f>cadangan[[#This Row],[Profit Diskon A]]+cadangan[[#This Row],[Profit Diskon B]]+cadangan[[#This Row],[Profit Diskon C]]</f>
        <v>255000</v>
      </c>
      <c r="AI310" s="23" t="s">
        <v>28</v>
      </c>
      <c r="AJ310" s="37">
        <f>IFERROR(INDEX('Kode Diskon'!$D$3:$D$9,MATCH(cadangan[[#This Row],[Kode diskon]],'Kode Diskon'!$C$3:$C$9,0)),"-")</f>
        <v>0.15</v>
      </c>
      <c r="AK310" s="23" t="s">
        <v>29</v>
      </c>
      <c r="AL310" s="23" t="s">
        <v>14</v>
      </c>
      <c r="AM310" s="23" t="s">
        <v>80</v>
      </c>
      <c r="AN310" s="55">
        <v>45018</v>
      </c>
      <c r="AO310" s="53">
        <f>DAY(cadangan[[#This Row],[Tanggal terjual]])</f>
        <v>2</v>
      </c>
      <c r="AP310" s="21" t="str">
        <f>TEXT(cadangan[[#This Row],[Tanggal terjual]],"dddd")</f>
        <v>Sunday</v>
      </c>
      <c r="AQ310" s="23" t="str" cm="1">
        <f t="array" ref="AQ3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0" s="61">
        <f>AVERAGE(cadangan[[#This Row],[Rating A]],cadangan[[#This Row],[Rating B]],cadangan[[#This Row],[Rating C]])</f>
        <v>5</v>
      </c>
    </row>
    <row r="311" spans="1:44" x14ac:dyDescent="0.2">
      <c r="A311" s="20">
        <v>310</v>
      </c>
      <c r="B311" s="21" t="str">
        <f>_xlfn.CONCAT("ORD-",INDEX(Helper!$B$2:$B$5,MATCH(cadangan[[#This Row],[Marketplace]],Helper!$A$2:$A$5,0)),TEXT(cadangan[[#This Row],[No]],"0000"),"-",TEXT(cadangan[[#This Row],[Tanggal terjual]],"dd/mm/yy"))</f>
        <v>ORD-BL0310-20/04/23</v>
      </c>
      <c r="C311" s="39" t="s">
        <v>59</v>
      </c>
      <c r="D311" s="39" t="str">
        <f>IFERROR(INDEX(Katalog!$A$3:$A$12,MATCH(cadangan[[#This Row],[ItemID A]],Katalog!$C$3:$C$12,0)),"-")</f>
        <v>Pakaian Wanita</v>
      </c>
      <c r="E311" s="39" t="str">
        <f>IFERROR(INDEX(Katalog!$B$3:$B$12,MATCH(cadangan[[#This Row],[ItemID A]],Katalog!$C$3:$C$12,0)),"-")</f>
        <v>Blouse</v>
      </c>
      <c r="F311" s="50">
        <v>3</v>
      </c>
      <c r="G311" s="50">
        <v>1</v>
      </c>
      <c r="H311" s="73">
        <f>IFERROR(INDEX(Katalog!$D$3:$D$12,MATCH(cadangan[[#This Row],[ItemID A]],Katalog!$C$3:$C$12,0))*cadangan[[#This Row],[Qty A]],0)</f>
        <v>450000</v>
      </c>
      <c r="I311" s="73">
        <f>IFERROR(cadangan[[#This Row],[Harga Normal A]]-(cadangan[[#This Row],[Harga Normal A]]*cadangan[[#This Row],[Diskon]]),cadangan[[#This Row],[Harga Normal A]])</f>
        <v>382500</v>
      </c>
      <c r="J311" s="73">
        <f>INDEX(Katalog!$F$3:$F$12,MATCH(cadangan[[#This Row],[ItemID A]],Katalog!$C$3:$C$12,0))*cadangan[[#This Row],[Qty A]]</f>
        <v>150000</v>
      </c>
      <c r="K311" s="73">
        <f>IFERROR(cadangan[[#This Row],[Harga Diskon A]]-INDEX(Katalog!$E$3:$E$12,MATCH(cadangan[[#This Row],[ItemID A]],Katalog!$C$3:$C$12,0))*cadangan[[#This Row],[Qty A]],0)</f>
        <v>82500</v>
      </c>
      <c r="L311" s="39" t="s">
        <v>62</v>
      </c>
      <c r="M311" s="39" t="str">
        <f>IFERROR(INDEX(Katalog!$A$3:$A$12,MATCH(cadangan[[#This Row],[ItemID B]],Katalog!$C$3:$C$12,0)),"-")</f>
        <v>Pakaian Pria</v>
      </c>
      <c r="N311" s="39" t="str">
        <f>IFERROR(INDEX(Katalog!$B$3:$B$12,MATCH(cadangan[[#This Row],[ItemID B]],Katalog!$C$3:$C$12,0)),"-")</f>
        <v>Celana Pendek</v>
      </c>
      <c r="O311" s="50">
        <v>2</v>
      </c>
      <c r="P311" s="50">
        <v>4</v>
      </c>
      <c r="Q311" s="73">
        <f>IFERROR(INDEX(Katalog!$D$3:$D$12,MATCH(cadangan[[#This Row],[ItemID B]],Katalog!$C$3:$C$12,0))*cadangan[[#This Row],[Qty B]],0)</f>
        <v>360000</v>
      </c>
      <c r="R311" s="73">
        <f>IFERROR(cadangan[[#This Row],[Harga Normal B]]-(cadangan[[#This Row],[Harga Normal B]]*cadangan[[#This Row],[Diskon]]),cadangan[[#This Row],[Harga Normal B]])</f>
        <v>306000</v>
      </c>
      <c r="S311" s="73">
        <f>IFERROR(INDEX(Katalog!$F$3:$F$12,MATCH(cadangan[[#This Row],[ItemID B]],Katalog!$C$3:$C$12,0))*cadangan[[#This Row],[Qty B]],0)</f>
        <v>140000</v>
      </c>
      <c r="T311" s="73">
        <f>IFERROR(cadangan[[#This Row],[Harga Diskon B]]-INDEX(Katalog!$E$3:$E$12,MATCH(cadangan[[#This Row],[ItemID B]],Katalog!$C$3:$C$12,0))*cadangan[[#This Row],[Qty B]],0)</f>
        <v>86000</v>
      </c>
      <c r="V311" s="39" t="str">
        <f>IFERROR(INDEX(Katalog!$A$3:$A$12,MATCH(cadangan[[#This Row],[ItemID C]],Katalog!$C$3:$C$12,0)),"-")</f>
        <v>-</v>
      </c>
      <c r="W311" s="39" t="str">
        <f>IFERROR(INDEX(Katalog!$B$3:$B$12,MATCH(cadangan[[#This Row],[ItemID C]],Katalog!$C$3:$C$12,0)),"-")</f>
        <v>-</v>
      </c>
      <c r="Z311" s="73">
        <f>IFERROR(INDEX(Katalog!$D$3:$D$12,MATCH(cadangan[[#This Row],[ItemID C]],Katalog!$C$3:$C$12,0))*cadangan[[#This Row],[Qty C]],0)</f>
        <v>0</v>
      </c>
      <c r="AA311" s="73">
        <f>IFERROR(cadangan[[#This Row],[Harga Normal C]]-(cadangan[[#This Row],[Harga Normal C]]*cadangan[[#This Row],[Diskon]]),cadangan[[#This Row],[Harga Normal C]])</f>
        <v>0</v>
      </c>
      <c r="AB311" s="73">
        <f>IFERROR(INDEX(Katalog!$F$3:$F$12,MATCH(cadangan[[#This Row],[ItemID C]],Katalog!$C$3:$C$12,0))*cadangan[[#This Row],[Qty C]],0)</f>
        <v>0</v>
      </c>
      <c r="AC311" s="73">
        <f>IFERROR(cadangan[[#This Row],[Harga Diskon C]]-INDEX(Katalog!$E$3:$E$12,MATCH(cadangan[[#This Row],[ItemID C]],Katalog!$C$3:$C$12,0))*cadangan[[#This Row],[Qty C]],0)</f>
        <v>0</v>
      </c>
      <c r="AD311" s="53">
        <f>cadangan[[#This Row],[Qty A]]+cadangan[[#This Row],[Qty B]]+cadangan[[#This Row],[Qty C]]</f>
        <v>5</v>
      </c>
      <c r="AE311" s="73">
        <f>cadangan[[#This Row],[Harga Normal A]]+cadangan[[#This Row],[Harga Normal B]]+cadangan[[#This Row],[Harga Normal C]]</f>
        <v>810000</v>
      </c>
      <c r="AF311" s="73">
        <f>cadangan[[#This Row],[Harga Diskon A]]+cadangan[[#This Row],[Harga Diskon B]]+cadangan[[#This Row],[Harga Diskon C]]</f>
        <v>688500</v>
      </c>
      <c r="AG311" s="73">
        <f>(cadangan[[#This Row],[Profit Normal A]]+cadangan[[#This Row],[Profit Normal B]]+cadangan[[#This Row],[Profit Normal C]])</f>
        <v>290000</v>
      </c>
      <c r="AH311" s="73">
        <f>cadangan[[#This Row],[Profit Diskon A]]+cadangan[[#This Row],[Profit Diskon B]]+cadangan[[#This Row],[Profit Diskon C]]</f>
        <v>168500</v>
      </c>
      <c r="AI311" s="23" t="s">
        <v>32</v>
      </c>
      <c r="AJ311" s="37">
        <f>IFERROR(INDEX('Kode Diskon'!$D$3:$D$9,MATCH(cadangan[[#This Row],[Kode diskon]],'Kode Diskon'!$C$3:$C$9,0)),"-")</f>
        <v>0.15</v>
      </c>
      <c r="AK311" s="23" t="s">
        <v>9</v>
      </c>
      <c r="AL311" s="23" t="s">
        <v>12</v>
      </c>
      <c r="AM311" s="23" t="s">
        <v>80</v>
      </c>
      <c r="AN311" s="55">
        <v>45036</v>
      </c>
      <c r="AO311" s="53">
        <f>DAY(cadangan[[#This Row],[Tanggal terjual]])</f>
        <v>20</v>
      </c>
      <c r="AP311" s="21" t="str">
        <f>TEXT(cadangan[[#This Row],[Tanggal terjual]],"dddd")</f>
        <v>Thursday</v>
      </c>
      <c r="AQ311" s="23" t="str" cm="1">
        <f t="array" ref="AQ3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11" s="61">
        <f>AVERAGE(cadangan[[#This Row],[Rating A]],cadangan[[#This Row],[Rating B]],cadangan[[#This Row],[Rating C]])</f>
        <v>2.5</v>
      </c>
    </row>
    <row r="312" spans="1:44" x14ac:dyDescent="0.2">
      <c r="A312" s="20">
        <v>311</v>
      </c>
      <c r="B312" s="21" t="str">
        <f>_xlfn.CONCAT("ORD-",INDEX(Helper!$B$2:$B$5,MATCH(cadangan[[#This Row],[Marketplace]],Helper!$A$2:$A$5,0)),TEXT(cadangan[[#This Row],[No]],"0000"),"-",TEXT(cadangan[[#This Row],[Tanggal terjual]],"dd/mm/yy"))</f>
        <v>ORD-SP0311-01/04/23</v>
      </c>
      <c r="C312" s="39" t="s">
        <v>62</v>
      </c>
      <c r="D312" s="39" t="str">
        <f>IFERROR(INDEX(Katalog!$A$3:$A$12,MATCH(cadangan[[#This Row],[ItemID A]],Katalog!$C$3:$C$12,0)),"-")</f>
        <v>Pakaian Pria</v>
      </c>
      <c r="E312" s="39" t="str">
        <f>IFERROR(INDEX(Katalog!$B$3:$B$12,MATCH(cadangan[[#This Row],[ItemID A]],Katalog!$C$3:$C$12,0)),"-")</f>
        <v>Celana Pendek</v>
      </c>
      <c r="F312" s="50">
        <v>3</v>
      </c>
      <c r="G312" s="50">
        <v>2</v>
      </c>
      <c r="H312" s="73">
        <f>IFERROR(INDEX(Katalog!$D$3:$D$12,MATCH(cadangan[[#This Row],[ItemID A]],Katalog!$C$3:$C$12,0))*cadangan[[#This Row],[Qty A]],0)</f>
        <v>540000</v>
      </c>
      <c r="I312" s="73">
        <f>IFERROR(cadangan[[#This Row],[Harga Normal A]]-(cadangan[[#This Row],[Harga Normal A]]*cadangan[[#This Row],[Diskon]]),cadangan[[#This Row],[Harga Normal A]])</f>
        <v>486000</v>
      </c>
      <c r="J312" s="73">
        <f>INDEX(Katalog!$F$3:$F$12,MATCH(cadangan[[#This Row],[ItemID A]],Katalog!$C$3:$C$12,0))*cadangan[[#This Row],[Qty A]]</f>
        <v>210000</v>
      </c>
      <c r="K312" s="73">
        <f>IFERROR(cadangan[[#This Row],[Harga Diskon A]]-INDEX(Katalog!$E$3:$E$12,MATCH(cadangan[[#This Row],[ItemID A]],Katalog!$C$3:$C$12,0))*cadangan[[#This Row],[Qty A]],0)</f>
        <v>156000</v>
      </c>
      <c r="L312" s="39" t="s">
        <v>66</v>
      </c>
      <c r="M312" s="39" t="str">
        <f>IFERROR(INDEX(Katalog!$A$3:$A$12,MATCH(cadangan[[#This Row],[ItemID B]],Katalog!$C$3:$C$12,0)),"-")</f>
        <v>Sepatu Pria</v>
      </c>
      <c r="N312" s="39" t="str">
        <f>IFERROR(INDEX(Katalog!$B$3:$B$12,MATCH(cadangan[[#This Row],[ItemID B]],Katalog!$C$3:$C$12,0)),"-")</f>
        <v>Sandal Slip On</v>
      </c>
      <c r="O312" s="50">
        <v>2</v>
      </c>
      <c r="P312" s="50">
        <v>1</v>
      </c>
      <c r="Q312" s="73">
        <f>IFERROR(INDEX(Katalog!$D$3:$D$12,MATCH(cadangan[[#This Row],[ItemID B]],Katalog!$C$3:$C$12,0))*cadangan[[#This Row],[Qty B]],0)</f>
        <v>300000</v>
      </c>
      <c r="R312" s="73">
        <f>IFERROR(cadangan[[#This Row],[Harga Normal B]]-(cadangan[[#This Row],[Harga Normal B]]*cadangan[[#This Row],[Diskon]]),cadangan[[#This Row],[Harga Normal B]])</f>
        <v>270000</v>
      </c>
      <c r="S312" s="73">
        <f>IFERROR(INDEX(Katalog!$F$3:$F$12,MATCH(cadangan[[#This Row],[ItemID B]],Katalog!$C$3:$C$12,0))*cadangan[[#This Row],[Qty B]],0)</f>
        <v>120000</v>
      </c>
      <c r="T312" s="73">
        <f>IFERROR(cadangan[[#This Row],[Harga Diskon B]]-INDEX(Katalog!$E$3:$E$12,MATCH(cadangan[[#This Row],[ItemID B]],Katalog!$C$3:$C$12,0))*cadangan[[#This Row],[Qty B]],0)</f>
        <v>90000</v>
      </c>
      <c r="U312" s="39" t="s">
        <v>58</v>
      </c>
      <c r="V312" s="39" t="str">
        <f>IFERROR(INDEX(Katalog!$A$3:$A$12,MATCH(cadangan[[#This Row],[ItemID C]],Katalog!$C$3:$C$12,0)),"-")</f>
        <v>Pakaian Wanita</v>
      </c>
      <c r="W312" s="39" t="str">
        <f>IFERROR(INDEX(Katalog!$B$3:$B$12,MATCH(cadangan[[#This Row],[ItemID C]],Katalog!$C$3:$C$12,0)),"-")</f>
        <v>Dress</v>
      </c>
      <c r="X312" s="50">
        <v>2</v>
      </c>
      <c r="Y312" s="50">
        <v>4</v>
      </c>
      <c r="Z312" s="73">
        <f>IFERROR(INDEX(Katalog!$D$3:$D$12,MATCH(cadangan[[#This Row],[ItemID C]],Katalog!$C$3:$C$12,0))*cadangan[[#This Row],[Qty C]],0)</f>
        <v>600000</v>
      </c>
      <c r="AA312" s="73">
        <f>IFERROR(cadangan[[#This Row],[Harga Normal C]]-(cadangan[[#This Row],[Harga Normal C]]*cadangan[[#This Row],[Diskon]]),cadangan[[#This Row],[Harga Normal C]])</f>
        <v>540000</v>
      </c>
      <c r="AB312" s="73">
        <f>IFERROR(INDEX(Katalog!$F$3:$F$12,MATCH(cadangan[[#This Row],[ItemID C]],Katalog!$C$3:$C$12,0))*cadangan[[#This Row],[Qty C]],0)</f>
        <v>200000</v>
      </c>
      <c r="AC312" s="73">
        <f>IFERROR(cadangan[[#This Row],[Harga Diskon C]]-INDEX(Katalog!$E$3:$E$12,MATCH(cadangan[[#This Row],[ItemID C]],Katalog!$C$3:$C$12,0))*cadangan[[#This Row],[Qty C]],0)</f>
        <v>140000</v>
      </c>
      <c r="AD312" s="53">
        <f>cadangan[[#This Row],[Qty A]]+cadangan[[#This Row],[Qty B]]+cadangan[[#This Row],[Qty C]]</f>
        <v>7</v>
      </c>
      <c r="AE312" s="73">
        <f>cadangan[[#This Row],[Harga Normal A]]+cadangan[[#This Row],[Harga Normal B]]+cadangan[[#This Row],[Harga Normal C]]</f>
        <v>1440000</v>
      </c>
      <c r="AF312" s="73">
        <f>cadangan[[#This Row],[Harga Diskon A]]+cadangan[[#This Row],[Harga Diskon B]]+cadangan[[#This Row],[Harga Diskon C]]</f>
        <v>1296000</v>
      </c>
      <c r="AG312" s="73">
        <f>(cadangan[[#This Row],[Profit Normal A]]+cadangan[[#This Row],[Profit Normal B]]+cadangan[[#This Row],[Profit Normal C]])</f>
        <v>530000</v>
      </c>
      <c r="AH312" s="73">
        <f>cadangan[[#This Row],[Profit Diskon A]]+cadangan[[#This Row],[Profit Diskon B]]+cadangan[[#This Row],[Profit Diskon C]]</f>
        <v>386000</v>
      </c>
      <c r="AI312" s="23" t="s">
        <v>6</v>
      </c>
      <c r="AJ312" s="37">
        <f>IFERROR(INDEX('Kode Diskon'!$D$3:$D$9,MATCH(cadangan[[#This Row],[Kode diskon]],'Kode Diskon'!$C$3:$C$9,0)),"-")</f>
        <v>0.1</v>
      </c>
      <c r="AK312" s="23" t="s">
        <v>29</v>
      </c>
      <c r="AL312" s="23" t="s">
        <v>7</v>
      </c>
      <c r="AM312" s="23" t="s">
        <v>75</v>
      </c>
      <c r="AN312" s="55">
        <v>45017</v>
      </c>
      <c r="AO312" s="53">
        <f>DAY(cadangan[[#This Row],[Tanggal terjual]])</f>
        <v>1</v>
      </c>
      <c r="AP312" s="21" t="str">
        <f>TEXT(cadangan[[#This Row],[Tanggal terjual]],"dddd")</f>
        <v>Saturday</v>
      </c>
      <c r="AQ312" s="23" t="str" cm="1">
        <f t="array" ref="AQ3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2" s="61">
        <f>AVERAGE(cadangan[[#This Row],[Rating A]],cadangan[[#This Row],[Rating B]],cadangan[[#This Row],[Rating C]])</f>
        <v>2.3333333333333335</v>
      </c>
    </row>
    <row r="313" spans="1:44" x14ac:dyDescent="0.2">
      <c r="A313" s="20">
        <v>312</v>
      </c>
      <c r="B313" s="21" t="str">
        <f>_xlfn.CONCAT("ORD-",INDEX(Helper!$B$2:$B$5,MATCH(cadangan[[#This Row],[Marketplace]],Helper!$A$2:$A$5,0)),TEXT(cadangan[[#This Row],[No]],"0000"),"-",TEXT(cadangan[[#This Row],[Tanggal terjual]],"dd/mm/yy"))</f>
        <v>ORD-TK0312-26/04/23</v>
      </c>
      <c r="C313" s="39" t="s">
        <v>65</v>
      </c>
      <c r="D313" s="39" t="str">
        <f>IFERROR(INDEX(Katalog!$A$3:$A$12,MATCH(cadangan[[#This Row],[ItemID A]],Katalog!$C$3:$C$12,0)),"-")</f>
        <v>Sepatu Pria</v>
      </c>
      <c r="E313" s="39" t="str">
        <f>IFERROR(INDEX(Katalog!$B$3:$B$12,MATCH(cadangan[[#This Row],[ItemID A]],Katalog!$C$3:$C$12,0)),"-")</f>
        <v>Sneakers</v>
      </c>
      <c r="F313" s="50">
        <v>2</v>
      </c>
      <c r="G313" s="50">
        <v>5</v>
      </c>
      <c r="H313" s="73">
        <f>IFERROR(INDEX(Katalog!$D$3:$D$12,MATCH(cadangan[[#This Row],[ItemID A]],Katalog!$C$3:$C$12,0))*cadangan[[#This Row],[Qty A]],0)</f>
        <v>1000000</v>
      </c>
      <c r="I313" s="73">
        <f>IFERROR(cadangan[[#This Row],[Harga Normal A]]-(cadangan[[#This Row],[Harga Normal A]]*cadangan[[#This Row],[Diskon]]),cadangan[[#This Row],[Harga Normal A]])</f>
        <v>900000</v>
      </c>
      <c r="J313" s="73">
        <f>INDEX(Katalog!$F$3:$F$12,MATCH(cadangan[[#This Row],[ItemID A]],Katalog!$C$3:$C$12,0))*cadangan[[#This Row],[Qty A]]</f>
        <v>400000</v>
      </c>
      <c r="K313" s="73">
        <f>IFERROR(cadangan[[#This Row],[Harga Diskon A]]-INDEX(Katalog!$E$3:$E$12,MATCH(cadangan[[#This Row],[ItemID A]],Katalog!$C$3:$C$12,0))*cadangan[[#This Row],[Qty A]],0)</f>
        <v>300000</v>
      </c>
      <c r="L313" s="39" t="s">
        <v>60</v>
      </c>
      <c r="M313" s="39" t="str">
        <f>IFERROR(INDEX(Katalog!$A$3:$A$12,MATCH(cadangan[[#This Row],[ItemID B]],Katalog!$C$3:$C$12,0)),"-")</f>
        <v>Pakaian Wanita</v>
      </c>
      <c r="N313" s="39" t="str">
        <f>IFERROR(INDEX(Katalog!$B$3:$B$12,MATCH(cadangan[[#This Row],[ItemID B]],Katalog!$C$3:$C$12,0)),"-")</f>
        <v>Kaftan</v>
      </c>
      <c r="O313" s="50">
        <v>1</v>
      </c>
      <c r="P313" s="50">
        <v>3</v>
      </c>
      <c r="Q313" s="73">
        <f>IFERROR(INDEX(Katalog!$D$3:$D$12,MATCH(cadangan[[#This Row],[ItemID B]],Katalog!$C$3:$C$12,0))*cadangan[[#This Row],[Qty B]],0)</f>
        <v>250000</v>
      </c>
      <c r="R313" s="73">
        <f>IFERROR(cadangan[[#This Row],[Harga Normal B]]-(cadangan[[#This Row],[Harga Normal B]]*cadangan[[#This Row],[Diskon]]),cadangan[[#This Row],[Harga Normal B]])</f>
        <v>225000</v>
      </c>
      <c r="S313" s="73">
        <f>IFERROR(INDEX(Katalog!$F$3:$F$12,MATCH(cadangan[[#This Row],[ItemID B]],Katalog!$C$3:$C$12,0))*cadangan[[#This Row],[Qty B]],0)</f>
        <v>100000</v>
      </c>
      <c r="T313" s="73">
        <f>IFERROR(cadangan[[#This Row],[Harga Diskon B]]-INDEX(Katalog!$E$3:$E$12,MATCH(cadangan[[#This Row],[ItemID B]],Katalog!$C$3:$C$12,0))*cadangan[[#This Row],[Qty B]],0)</f>
        <v>75000</v>
      </c>
      <c r="U313" s="39" t="s">
        <v>66</v>
      </c>
      <c r="V313" s="39" t="str">
        <f>IFERROR(INDEX(Katalog!$A$3:$A$12,MATCH(cadangan[[#This Row],[ItemID C]],Katalog!$C$3:$C$12,0)),"-")</f>
        <v>Sepatu Pria</v>
      </c>
      <c r="W313" s="39" t="str">
        <f>IFERROR(INDEX(Katalog!$B$3:$B$12,MATCH(cadangan[[#This Row],[ItemID C]],Katalog!$C$3:$C$12,0)),"-")</f>
        <v>Sandal Slip On</v>
      </c>
      <c r="X313" s="50">
        <v>1</v>
      </c>
      <c r="Y313" s="50">
        <v>2</v>
      </c>
      <c r="Z313" s="73">
        <f>IFERROR(INDEX(Katalog!$D$3:$D$12,MATCH(cadangan[[#This Row],[ItemID C]],Katalog!$C$3:$C$12,0))*cadangan[[#This Row],[Qty C]],0)</f>
        <v>150000</v>
      </c>
      <c r="AA313" s="73">
        <f>IFERROR(cadangan[[#This Row],[Harga Normal C]]-(cadangan[[#This Row],[Harga Normal C]]*cadangan[[#This Row],[Diskon]]),cadangan[[#This Row],[Harga Normal C]])</f>
        <v>135000</v>
      </c>
      <c r="AB313" s="73">
        <f>IFERROR(INDEX(Katalog!$F$3:$F$12,MATCH(cadangan[[#This Row],[ItemID C]],Katalog!$C$3:$C$12,0))*cadangan[[#This Row],[Qty C]],0)</f>
        <v>60000</v>
      </c>
      <c r="AC313" s="73">
        <f>IFERROR(cadangan[[#This Row],[Harga Diskon C]]-INDEX(Katalog!$E$3:$E$12,MATCH(cadangan[[#This Row],[ItemID C]],Katalog!$C$3:$C$12,0))*cadangan[[#This Row],[Qty C]],0)</f>
        <v>45000</v>
      </c>
      <c r="AD313" s="53">
        <f>cadangan[[#This Row],[Qty A]]+cadangan[[#This Row],[Qty B]]+cadangan[[#This Row],[Qty C]]</f>
        <v>4</v>
      </c>
      <c r="AE313" s="73">
        <f>cadangan[[#This Row],[Harga Normal A]]+cadangan[[#This Row],[Harga Normal B]]+cadangan[[#This Row],[Harga Normal C]]</f>
        <v>1400000</v>
      </c>
      <c r="AF313" s="73">
        <f>cadangan[[#This Row],[Harga Diskon A]]+cadangan[[#This Row],[Harga Diskon B]]+cadangan[[#This Row],[Harga Diskon C]]</f>
        <v>1260000</v>
      </c>
      <c r="AG313" s="73">
        <f>(cadangan[[#This Row],[Profit Normal A]]+cadangan[[#This Row],[Profit Normal B]]+cadangan[[#This Row],[Profit Normal C]])</f>
        <v>560000</v>
      </c>
      <c r="AH313" s="73">
        <f>cadangan[[#This Row],[Profit Diskon A]]+cadangan[[#This Row],[Profit Diskon B]]+cadangan[[#This Row],[Profit Diskon C]]</f>
        <v>420000</v>
      </c>
      <c r="AI313" s="23" t="s">
        <v>31</v>
      </c>
      <c r="AJ313" s="37">
        <f>IFERROR(INDEX('Kode Diskon'!$D$3:$D$9,MATCH(cadangan[[#This Row],[Kode diskon]],'Kode Diskon'!$C$3:$C$9,0)),"-")</f>
        <v>0.1</v>
      </c>
      <c r="AK313" s="23" t="s">
        <v>9</v>
      </c>
      <c r="AL313" s="23" t="s">
        <v>10</v>
      </c>
      <c r="AM313" s="23" t="s">
        <v>75</v>
      </c>
      <c r="AN313" s="55">
        <v>45042</v>
      </c>
      <c r="AO313" s="53">
        <f>DAY(cadangan[[#This Row],[Tanggal terjual]])</f>
        <v>26</v>
      </c>
      <c r="AP313" s="21" t="str">
        <f>TEXT(cadangan[[#This Row],[Tanggal terjual]],"dddd")</f>
        <v>Wednesday</v>
      </c>
      <c r="AQ313" s="23" t="str" cm="1">
        <f t="array" ref="AQ3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13" s="61">
        <f>AVERAGE(cadangan[[#This Row],[Rating A]],cadangan[[#This Row],[Rating B]],cadangan[[#This Row],[Rating C]])</f>
        <v>3.3333333333333335</v>
      </c>
    </row>
    <row r="314" spans="1:44" x14ac:dyDescent="0.2">
      <c r="A314" s="20">
        <v>313</v>
      </c>
      <c r="B314" s="21" t="str">
        <f>_xlfn.CONCAT("ORD-",INDEX(Helper!$B$2:$B$5,MATCH(cadangan[[#This Row],[Marketplace]],Helper!$A$2:$A$5,0)),TEXT(cadangan[[#This Row],[No]],"0000"),"-",TEXT(cadangan[[#This Row],[Tanggal terjual]],"dd/mm/yy"))</f>
        <v>ORD-TK0313-19/04/23</v>
      </c>
      <c r="C314" s="39" t="s">
        <v>66</v>
      </c>
      <c r="D314" s="39" t="str">
        <f>IFERROR(INDEX(Katalog!$A$3:$A$12,MATCH(cadangan[[#This Row],[ItemID A]],Katalog!$C$3:$C$12,0)),"-")</f>
        <v>Sepatu Pria</v>
      </c>
      <c r="E314" s="39" t="str">
        <f>IFERROR(INDEX(Katalog!$B$3:$B$12,MATCH(cadangan[[#This Row],[ItemID A]],Katalog!$C$3:$C$12,0)),"-")</f>
        <v>Sandal Slip On</v>
      </c>
      <c r="F314" s="50">
        <v>4</v>
      </c>
      <c r="G314" s="50">
        <v>5</v>
      </c>
      <c r="H314" s="73">
        <f>IFERROR(INDEX(Katalog!$D$3:$D$12,MATCH(cadangan[[#This Row],[ItemID A]],Katalog!$C$3:$C$12,0))*cadangan[[#This Row],[Qty A]],0)</f>
        <v>600000</v>
      </c>
      <c r="I314" s="73">
        <f>IFERROR(cadangan[[#This Row],[Harga Normal A]]-(cadangan[[#This Row],[Harga Normal A]]*cadangan[[#This Row],[Diskon]]),cadangan[[#This Row],[Harga Normal A]])</f>
        <v>540000</v>
      </c>
      <c r="J314" s="73">
        <f>INDEX(Katalog!$F$3:$F$12,MATCH(cadangan[[#This Row],[ItemID A]],Katalog!$C$3:$C$12,0))*cadangan[[#This Row],[Qty A]]</f>
        <v>240000</v>
      </c>
      <c r="K314" s="73">
        <f>IFERROR(cadangan[[#This Row],[Harga Diskon A]]-INDEX(Katalog!$E$3:$E$12,MATCH(cadangan[[#This Row],[ItemID A]],Katalog!$C$3:$C$12,0))*cadangan[[#This Row],[Qty A]],0)</f>
        <v>180000</v>
      </c>
      <c r="M314" s="39" t="str">
        <f>IFERROR(INDEX(Katalog!$A$3:$A$12,MATCH(cadangan[[#This Row],[ItemID B]],Katalog!$C$3:$C$12,0)),"-")</f>
        <v>-</v>
      </c>
      <c r="N314" s="39" t="str">
        <f>IFERROR(INDEX(Katalog!$B$3:$B$12,MATCH(cadangan[[#This Row],[ItemID B]],Katalog!$C$3:$C$12,0)),"-")</f>
        <v>-</v>
      </c>
      <c r="Q314" s="73">
        <f>IFERROR(INDEX(Katalog!$D$3:$D$12,MATCH(cadangan[[#This Row],[ItemID B]],Katalog!$C$3:$C$12,0))*cadangan[[#This Row],[Qty B]],0)</f>
        <v>0</v>
      </c>
      <c r="R314" s="73">
        <f>IFERROR(cadangan[[#This Row],[Harga Normal B]]-(cadangan[[#This Row],[Harga Normal B]]*cadangan[[#This Row],[Diskon]]),cadangan[[#This Row],[Harga Normal B]])</f>
        <v>0</v>
      </c>
      <c r="S314" s="73">
        <f>IFERROR(INDEX(Katalog!$F$3:$F$12,MATCH(cadangan[[#This Row],[ItemID B]],Katalog!$C$3:$C$12,0))*cadangan[[#This Row],[Qty B]],0)</f>
        <v>0</v>
      </c>
      <c r="T314" s="73">
        <f>IFERROR(cadangan[[#This Row],[Harga Diskon B]]-INDEX(Katalog!$E$3:$E$12,MATCH(cadangan[[#This Row],[ItemID B]],Katalog!$C$3:$C$12,0))*cadangan[[#This Row],[Qty B]],0)</f>
        <v>0</v>
      </c>
      <c r="V314" s="39" t="str">
        <f>IFERROR(INDEX(Katalog!$A$3:$A$12,MATCH(cadangan[[#This Row],[ItemID C]],Katalog!$C$3:$C$12,0)),"-")</f>
        <v>-</v>
      </c>
      <c r="W314" s="39" t="str">
        <f>IFERROR(INDEX(Katalog!$B$3:$B$12,MATCH(cadangan[[#This Row],[ItemID C]],Katalog!$C$3:$C$12,0)),"-")</f>
        <v>-</v>
      </c>
      <c r="Z314" s="73">
        <f>IFERROR(INDEX(Katalog!$D$3:$D$12,MATCH(cadangan[[#This Row],[ItemID C]],Katalog!$C$3:$C$12,0))*cadangan[[#This Row],[Qty C]],0)</f>
        <v>0</v>
      </c>
      <c r="AA314" s="73">
        <f>IFERROR(cadangan[[#This Row],[Harga Normal C]]-(cadangan[[#This Row],[Harga Normal C]]*cadangan[[#This Row],[Diskon]]),cadangan[[#This Row],[Harga Normal C]])</f>
        <v>0</v>
      </c>
      <c r="AB314" s="73">
        <f>IFERROR(INDEX(Katalog!$F$3:$F$12,MATCH(cadangan[[#This Row],[ItemID C]],Katalog!$C$3:$C$12,0))*cadangan[[#This Row],[Qty C]],0)</f>
        <v>0</v>
      </c>
      <c r="AC314" s="73">
        <f>IFERROR(cadangan[[#This Row],[Harga Diskon C]]-INDEX(Katalog!$E$3:$E$12,MATCH(cadangan[[#This Row],[ItemID C]],Katalog!$C$3:$C$12,0))*cadangan[[#This Row],[Qty C]],0)</f>
        <v>0</v>
      </c>
      <c r="AD314" s="53">
        <f>cadangan[[#This Row],[Qty A]]+cadangan[[#This Row],[Qty B]]+cadangan[[#This Row],[Qty C]]</f>
        <v>4</v>
      </c>
      <c r="AE314" s="73">
        <f>cadangan[[#This Row],[Harga Normal A]]+cadangan[[#This Row],[Harga Normal B]]+cadangan[[#This Row],[Harga Normal C]]</f>
        <v>600000</v>
      </c>
      <c r="AF314" s="73">
        <f>cadangan[[#This Row],[Harga Diskon A]]+cadangan[[#This Row],[Harga Diskon B]]+cadangan[[#This Row],[Harga Diskon C]]</f>
        <v>540000</v>
      </c>
      <c r="AG314" s="73">
        <f>(cadangan[[#This Row],[Profit Normal A]]+cadangan[[#This Row],[Profit Normal B]]+cadangan[[#This Row],[Profit Normal C]])</f>
        <v>240000</v>
      </c>
      <c r="AH314" s="73">
        <f>cadangan[[#This Row],[Profit Diskon A]]+cadangan[[#This Row],[Profit Diskon B]]+cadangan[[#This Row],[Profit Diskon C]]</f>
        <v>180000</v>
      </c>
      <c r="AI314" s="23" t="s">
        <v>31</v>
      </c>
      <c r="AJ314" s="37">
        <f>IFERROR(INDEX('Kode Diskon'!$D$3:$D$9,MATCH(cadangan[[#This Row],[Kode diskon]],'Kode Diskon'!$C$3:$C$9,0)),"-")</f>
        <v>0.1</v>
      </c>
      <c r="AK314" s="23" t="s">
        <v>9</v>
      </c>
      <c r="AL314" s="23" t="s">
        <v>10</v>
      </c>
      <c r="AM314" s="23" t="s">
        <v>79</v>
      </c>
      <c r="AN314" s="55">
        <v>45035</v>
      </c>
      <c r="AO314" s="53">
        <f>DAY(cadangan[[#This Row],[Tanggal terjual]])</f>
        <v>19</v>
      </c>
      <c r="AP314" s="21" t="str">
        <f>TEXT(cadangan[[#This Row],[Tanggal terjual]],"dddd")</f>
        <v>Wednesday</v>
      </c>
      <c r="AQ314" s="23" t="str" cm="1">
        <f t="array" ref="AQ3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14" s="61">
        <f>AVERAGE(cadangan[[#This Row],[Rating A]],cadangan[[#This Row],[Rating B]],cadangan[[#This Row],[Rating C]])</f>
        <v>5</v>
      </c>
    </row>
    <row r="315" spans="1:44" x14ac:dyDescent="0.2">
      <c r="A315" s="20">
        <v>314</v>
      </c>
      <c r="B315" s="21" t="str">
        <f>_xlfn.CONCAT("ORD-",INDEX(Helper!$B$2:$B$5,MATCH(cadangan[[#This Row],[Marketplace]],Helper!$A$2:$A$5,0)),TEXT(cadangan[[#This Row],[No]],"0000"),"-",TEXT(cadangan[[#This Row],[Tanggal terjual]],"dd/mm/yy"))</f>
        <v>ORD-SP0314-06/04/23</v>
      </c>
      <c r="C315" s="39" t="s">
        <v>59</v>
      </c>
      <c r="D315" s="39" t="str">
        <f>IFERROR(INDEX(Katalog!$A$3:$A$12,MATCH(cadangan[[#This Row],[ItemID A]],Katalog!$C$3:$C$12,0)),"-")</f>
        <v>Pakaian Wanita</v>
      </c>
      <c r="E315" s="39" t="str">
        <f>IFERROR(INDEX(Katalog!$B$3:$B$12,MATCH(cadangan[[#This Row],[ItemID A]],Katalog!$C$3:$C$12,0)),"-")</f>
        <v>Blouse</v>
      </c>
      <c r="F315" s="50">
        <v>3</v>
      </c>
      <c r="G315" s="50">
        <v>2</v>
      </c>
      <c r="H315" s="73">
        <f>IFERROR(INDEX(Katalog!$D$3:$D$12,MATCH(cadangan[[#This Row],[ItemID A]],Katalog!$C$3:$C$12,0))*cadangan[[#This Row],[Qty A]],0)</f>
        <v>450000</v>
      </c>
      <c r="I315" s="73">
        <f>IFERROR(cadangan[[#This Row],[Harga Normal A]]-(cadangan[[#This Row],[Harga Normal A]]*cadangan[[#This Row],[Diskon]]),cadangan[[#This Row],[Harga Normal A]])</f>
        <v>405000</v>
      </c>
      <c r="J315" s="73">
        <f>INDEX(Katalog!$F$3:$F$12,MATCH(cadangan[[#This Row],[ItemID A]],Katalog!$C$3:$C$12,0))*cadangan[[#This Row],[Qty A]]</f>
        <v>150000</v>
      </c>
      <c r="K315" s="73">
        <f>IFERROR(cadangan[[#This Row],[Harga Diskon A]]-INDEX(Katalog!$E$3:$E$12,MATCH(cadangan[[#This Row],[ItemID A]],Katalog!$C$3:$C$12,0))*cadangan[[#This Row],[Qty A]],0)</f>
        <v>105000</v>
      </c>
      <c r="M315" s="39" t="str">
        <f>IFERROR(INDEX(Katalog!$A$3:$A$12,MATCH(cadangan[[#This Row],[ItemID B]],Katalog!$C$3:$C$12,0)),"-")</f>
        <v>-</v>
      </c>
      <c r="N315" s="39" t="str">
        <f>IFERROR(INDEX(Katalog!$B$3:$B$12,MATCH(cadangan[[#This Row],[ItemID B]],Katalog!$C$3:$C$12,0)),"-")</f>
        <v>-</v>
      </c>
      <c r="Q315" s="73">
        <f>IFERROR(INDEX(Katalog!$D$3:$D$12,MATCH(cadangan[[#This Row],[ItemID B]],Katalog!$C$3:$C$12,0))*cadangan[[#This Row],[Qty B]],0)</f>
        <v>0</v>
      </c>
      <c r="R315" s="73">
        <f>IFERROR(cadangan[[#This Row],[Harga Normal B]]-(cadangan[[#This Row],[Harga Normal B]]*cadangan[[#This Row],[Diskon]]),cadangan[[#This Row],[Harga Normal B]])</f>
        <v>0</v>
      </c>
      <c r="S315" s="73">
        <f>IFERROR(INDEX(Katalog!$F$3:$F$12,MATCH(cadangan[[#This Row],[ItemID B]],Katalog!$C$3:$C$12,0))*cadangan[[#This Row],[Qty B]],0)</f>
        <v>0</v>
      </c>
      <c r="T315" s="73">
        <f>IFERROR(cadangan[[#This Row],[Harga Diskon B]]-INDEX(Katalog!$E$3:$E$12,MATCH(cadangan[[#This Row],[ItemID B]],Katalog!$C$3:$C$12,0))*cadangan[[#This Row],[Qty B]],0)</f>
        <v>0</v>
      </c>
      <c r="V315" s="39" t="str">
        <f>IFERROR(INDEX(Katalog!$A$3:$A$12,MATCH(cadangan[[#This Row],[ItemID C]],Katalog!$C$3:$C$12,0)),"-")</f>
        <v>-</v>
      </c>
      <c r="W315" s="39" t="str">
        <f>IFERROR(INDEX(Katalog!$B$3:$B$12,MATCH(cadangan[[#This Row],[ItemID C]],Katalog!$C$3:$C$12,0)),"-")</f>
        <v>-</v>
      </c>
      <c r="Z315" s="73">
        <f>IFERROR(INDEX(Katalog!$D$3:$D$12,MATCH(cadangan[[#This Row],[ItemID C]],Katalog!$C$3:$C$12,0))*cadangan[[#This Row],[Qty C]],0)</f>
        <v>0</v>
      </c>
      <c r="AA315" s="73">
        <f>IFERROR(cadangan[[#This Row],[Harga Normal C]]-(cadangan[[#This Row],[Harga Normal C]]*cadangan[[#This Row],[Diskon]]),cadangan[[#This Row],[Harga Normal C]])</f>
        <v>0</v>
      </c>
      <c r="AB315" s="73">
        <f>IFERROR(INDEX(Katalog!$F$3:$F$12,MATCH(cadangan[[#This Row],[ItemID C]],Katalog!$C$3:$C$12,0))*cadangan[[#This Row],[Qty C]],0)</f>
        <v>0</v>
      </c>
      <c r="AC315" s="73">
        <f>IFERROR(cadangan[[#This Row],[Harga Diskon C]]-INDEX(Katalog!$E$3:$E$12,MATCH(cadangan[[#This Row],[ItemID C]],Katalog!$C$3:$C$12,0))*cadangan[[#This Row],[Qty C]],0)</f>
        <v>0</v>
      </c>
      <c r="AD315" s="53">
        <f>cadangan[[#This Row],[Qty A]]+cadangan[[#This Row],[Qty B]]+cadangan[[#This Row],[Qty C]]</f>
        <v>3</v>
      </c>
      <c r="AE315" s="73">
        <f>cadangan[[#This Row],[Harga Normal A]]+cadangan[[#This Row],[Harga Normal B]]+cadangan[[#This Row],[Harga Normal C]]</f>
        <v>450000</v>
      </c>
      <c r="AF315" s="73">
        <f>cadangan[[#This Row],[Harga Diskon A]]+cadangan[[#This Row],[Harga Diskon B]]+cadangan[[#This Row],[Harga Diskon C]]</f>
        <v>405000</v>
      </c>
      <c r="AG315" s="73">
        <f>(cadangan[[#This Row],[Profit Normal A]]+cadangan[[#This Row],[Profit Normal B]]+cadangan[[#This Row],[Profit Normal C]])</f>
        <v>150000</v>
      </c>
      <c r="AH315" s="73">
        <f>cadangan[[#This Row],[Profit Diskon A]]+cadangan[[#This Row],[Profit Diskon B]]+cadangan[[#This Row],[Profit Diskon C]]</f>
        <v>105000</v>
      </c>
      <c r="AI315" s="23" t="s">
        <v>6</v>
      </c>
      <c r="AJ315" s="37">
        <f>IFERROR(INDEX('Kode Diskon'!$D$3:$D$9,MATCH(cadangan[[#This Row],[Kode diskon]],'Kode Diskon'!$C$3:$C$9,0)),"-")</f>
        <v>0.1</v>
      </c>
      <c r="AK315" s="23" t="s">
        <v>29</v>
      </c>
      <c r="AL315" s="23" t="s">
        <v>7</v>
      </c>
      <c r="AM315" s="23" t="s">
        <v>80</v>
      </c>
      <c r="AN315" s="55">
        <v>45022</v>
      </c>
      <c r="AO315" s="53">
        <f>DAY(cadangan[[#This Row],[Tanggal terjual]])</f>
        <v>6</v>
      </c>
      <c r="AP315" s="21" t="str">
        <f>TEXT(cadangan[[#This Row],[Tanggal terjual]],"dddd")</f>
        <v>Thursday</v>
      </c>
      <c r="AQ315" s="23" t="str" cm="1">
        <f t="array" ref="AQ3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5" s="61">
        <f>AVERAGE(cadangan[[#This Row],[Rating A]],cadangan[[#This Row],[Rating B]],cadangan[[#This Row],[Rating C]])</f>
        <v>2</v>
      </c>
    </row>
    <row r="316" spans="1:44" x14ac:dyDescent="0.2">
      <c r="A316" s="20">
        <v>315</v>
      </c>
      <c r="B316" s="21" t="str">
        <f>_xlfn.CONCAT("ORD-",INDEX(Helper!$B$2:$B$5,MATCH(cadangan[[#This Row],[Marketplace]],Helper!$A$2:$A$5,0)),TEXT(cadangan[[#This Row],[No]],"0000"),"-",TEXT(cadangan[[#This Row],[Tanggal terjual]],"dd/mm/yy"))</f>
        <v>ORD-BB0315-01/04/23</v>
      </c>
      <c r="C316" s="39" t="s">
        <v>66</v>
      </c>
      <c r="D316" s="39" t="str">
        <f>IFERROR(INDEX(Katalog!$A$3:$A$12,MATCH(cadangan[[#This Row],[ItemID A]],Katalog!$C$3:$C$12,0)),"-")</f>
        <v>Sepatu Pria</v>
      </c>
      <c r="E316" s="39" t="str">
        <f>IFERROR(INDEX(Katalog!$B$3:$B$12,MATCH(cadangan[[#This Row],[ItemID A]],Katalog!$C$3:$C$12,0)),"-")</f>
        <v>Sandal Slip On</v>
      </c>
      <c r="F316" s="50">
        <v>1</v>
      </c>
      <c r="G316" s="50">
        <v>5</v>
      </c>
      <c r="H316" s="73">
        <f>IFERROR(INDEX(Katalog!$D$3:$D$12,MATCH(cadangan[[#This Row],[ItemID A]],Katalog!$C$3:$C$12,0))*cadangan[[#This Row],[Qty A]],0)</f>
        <v>150000</v>
      </c>
      <c r="I316" s="73">
        <f>IFERROR(cadangan[[#This Row],[Harga Normal A]]-(cadangan[[#This Row],[Harga Normal A]]*cadangan[[#This Row],[Diskon]]),cadangan[[#This Row],[Harga Normal A]])</f>
        <v>127500</v>
      </c>
      <c r="J316" s="73">
        <f>INDEX(Katalog!$F$3:$F$12,MATCH(cadangan[[#This Row],[ItemID A]],Katalog!$C$3:$C$12,0))*cadangan[[#This Row],[Qty A]]</f>
        <v>60000</v>
      </c>
      <c r="K316" s="73">
        <f>IFERROR(cadangan[[#This Row],[Harga Diskon A]]-INDEX(Katalog!$E$3:$E$12,MATCH(cadangan[[#This Row],[ItemID A]],Katalog!$C$3:$C$12,0))*cadangan[[#This Row],[Qty A]],0)</f>
        <v>37500</v>
      </c>
      <c r="L316" s="39" t="s">
        <v>61</v>
      </c>
      <c r="M316" s="39" t="str">
        <f>IFERROR(INDEX(Katalog!$A$3:$A$12,MATCH(cadangan[[#This Row],[ItemID B]],Katalog!$C$3:$C$12,0)),"-")</f>
        <v>Pakaian Pria</v>
      </c>
      <c r="N316" s="39" t="str">
        <f>IFERROR(INDEX(Katalog!$B$3:$B$12,MATCH(cadangan[[#This Row],[ItemID B]],Katalog!$C$3:$C$12,0)),"-")</f>
        <v>Kaos Polo</v>
      </c>
      <c r="O316" s="50">
        <v>1</v>
      </c>
      <c r="P316" s="50">
        <v>1</v>
      </c>
      <c r="Q316" s="73">
        <f>IFERROR(INDEX(Katalog!$D$3:$D$12,MATCH(cadangan[[#This Row],[ItemID B]],Katalog!$C$3:$C$12,0))*cadangan[[#This Row],[Qty B]],0)</f>
        <v>200000</v>
      </c>
      <c r="R316" s="73">
        <f>IFERROR(cadangan[[#This Row],[Harga Normal B]]-(cadangan[[#This Row],[Harga Normal B]]*cadangan[[#This Row],[Diskon]]),cadangan[[#This Row],[Harga Normal B]])</f>
        <v>170000</v>
      </c>
      <c r="S316" s="73">
        <f>IFERROR(INDEX(Katalog!$F$3:$F$12,MATCH(cadangan[[#This Row],[ItemID B]],Katalog!$C$3:$C$12,0))*cadangan[[#This Row],[Qty B]],0)</f>
        <v>80000</v>
      </c>
      <c r="T316" s="73">
        <f>IFERROR(cadangan[[#This Row],[Harga Diskon B]]-INDEX(Katalog!$E$3:$E$12,MATCH(cadangan[[#This Row],[ItemID B]],Katalog!$C$3:$C$12,0))*cadangan[[#This Row],[Qty B]],0)</f>
        <v>50000</v>
      </c>
      <c r="U316" s="39" t="s">
        <v>58</v>
      </c>
      <c r="V316" s="39" t="str">
        <f>IFERROR(INDEX(Katalog!$A$3:$A$12,MATCH(cadangan[[#This Row],[ItemID C]],Katalog!$C$3:$C$12,0)),"-")</f>
        <v>Pakaian Wanita</v>
      </c>
      <c r="W316" s="39" t="str">
        <f>IFERROR(INDEX(Katalog!$B$3:$B$12,MATCH(cadangan[[#This Row],[ItemID C]],Katalog!$C$3:$C$12,0)),"-")</f>
        <v>Dress</v>
      </c>
      <c r="X316" s="50">
        <v>1</v>
      </c>
      <c r="Y316" s="50">
        <v>1</v>
      </c>
      <c r="Z316" s="73">
        <f>IFERROR(INDEX(Katalog!$D$3:$D$12,MATCH(cadangan[[#This Row],[ItemID C]],Katalog!$C$3:$C$12,0))*cadangan[[#This Row],[Qty C]],0)</f>
        <v>300000</v>
      </c>
      <c r="AA316" s="73">
        <f>IFERROR(cadangan[[#This Row],[Harga Normal C]]-(cadangan[[#This Row],[Harga Normal C]]*cadangan[[#This Row],[Diskon]]),cadangan[[#This Row],[Harga Normal C]])</f>
        <v>255000</v>
      </c>
      <c r="AB316" s="73">
        <f>IFERROR(INDEX(Katalog!$F$3:$F$12,MATCH(cadangan[[#This Row],[ItemID C]],Katalog!$C$3:$C$12,0))*cadangan[[#This Row],[Qty C]],0)</f>
        <v>100000</v>
      </c>
      <c r="AC316" s="73">
        <f>IFERROR(cadangan[[#This Row],[Harga Diskon C]]-INDEX(Katalog!$E$3:$E$12,MATCH(cadangan[[#This Row],[ItemID C]],Katalog!$C$3:$C$12,0))*cadangan[[#This Row],[Qty C]],0)</f>
        <v>55000</v>
      </c>
      <c r="AD316" s="53">
        <f>cadangan[[#This Row],[Qty A]]+cadangan[[#This Row],[Qty B]]+cadangan[[#This Row],[Qty C]]</f>
        <v>3</v>
      </c>
      <c r="AE316" s="73">
        <f>cadangan[[#This Row],[Harga Normal A]]+cadangan[[#This Row],[Harga Normal B]]+cadangan[[#This Row],[Harga Normal C]]</f>
        <v>650000</v>
      </c>
      <c r="AF316" s="73">
        <f>cadangan[[#This Row],[Harga Diskon A]]+cadangan[[#This Row],[Harga Diskon B]]+cadangan[[#This Row],[Harga Diskon C]]</f>
        <v>552500</v>
      </c>
      <c r="AG316" s="73">
        <f>(cadangan[[#This Row],[Profit Normal A]]+cadangan[[#This Row],[Profit Normal B]]+cadangan[[#This Row],[Profit Normal C]])</f>
        <v>240000</v>
      </c>
      <c r="AH316" s="73">
        <f>cadangan[[#This Row],[Profit Diskon A]]+cadangan[[#This Row],[Profit Diskon B]]+cadangan[[#This Row],[Profit Diskon C]]</f>
        <v>142500</v>
      </c>
      <c r="AI316" s="23" t="s">
        <v>28</v>
      </c>
      <c r="AJ316" s="37">
        <f>IFERROR(INDEX('Kode Diskon'!$D$3:$D$9,MATCH(cadangan[[#This Row],[Kode diskon]],'Kode Diskon'!$C$3:$C$9,0)),"-")</f>
        <v>0.15</v>
      </c>
      <c r="AK316" s="23" t="s">
        <v>29</v>
      </c>
      <c r="AL316" s="23" t="s">
        <v>14</v>
      </c>
      <c r="AM316" s="23" t="s">
        <v>77</v>
      </c>
      <c r="AN316" s="55">
        <v>45017</v>
      </c>
      <c r="AO316" s="53">
        <f>DAY(cadangan[[#This Row],[Tanggal terjual]])</f>
        <v>1</v>
      </c>
      <c r="AP316" s="21" t="str">
        <f>TEXT(cadangan[[#This Row],[Tanggal terjual]],"dddd")</f>
        <v>Saturday</v>
      </c>
      <c r="AQ316" s="23" t="str" cm="1">
        <f t="array" ref="AQ3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6" s="61">
        <f>AVERAGE(cadangan[[#This Row],[Rating A]],cadangan[[#This Row],[Rating B]],cadangan[[#This Row],[Rating C]])</f>
        <v>2.3333333333333335</v>
      </c>
    </row>
    <row r="317" spans="1:44" x14ac:dyDescent="0.2">
      <c r="A317" s="20">
        <v>316</v>
      </c>
      <c r="B317" s="21" t="str">
        <f>_xlfn.CONCAT("ORD-",INDEX(Helper!$B$2:$B$5,MATCH(cadangan[[#This Row],[Marketplace]],Helper!$A$2:$A$5,0)),TEXT(cadangan[[#This Row],[No]],"0000"),"-",TEXT(cadangan[[#This Row],[Tanggal terjual]],"dd/mm/yy"))</f>
        <v>ORD-BB0316-06/04/23</v>
      </c>
      <c r="C317" s="39" t="s">
        <v>59</v>
      </c>
      <c r="D317" s="39" t="str">
        <f>IFERROR(INDEX(Katalog!$A$3:$A$12,MATCH(cadangan[[#This Row],[ItemID A]],Katalog!$C$3:$C$12,0)),"-")</f>
        <v>Pakaian Wanita</v>
      </c>
      <c r="E317" s="39" t="str">
        <f>IFERROR(INDEX(Katalog!$B$3:$B$12,MATCH(cadangan[[#This Row],[ItemID A]],Katalog!$C$3:$C$12,0)),"-")</f>
        <v>Blouse</v>
      </c>
      <c r="F317" s="50">
        <v>1</v>
      </c>
      <c r="G317" s="50">
        <v>1</v>
      </c>
      <c r="H317" s="73">
        <f>IFERROR(INDEX(Katalog!$D$3:$D$12,MATCH(cadangan[[#This Row],[ItemID A]],Katalog!$C$3:$C$12,0))*cadangan[[#This Row],[Qty A]],0)</f>
        <v>150000</v>
      </c>
      <c r="I317" s="73">
        <f>IFERROR(cadangan[[#This Row],[Harga Normal A]]-(cadangan[[#This Row],[Harga Normal A]]*cadangan[[#This Row],[Diskon]]),cadangan[[#This Row],[Harga Normal A]])</f>
        <v>127500</v>
      </c>
      <c r="J317" s="73">
        <f>INDEX(Katalog!$F$3:$F$12,MATCH(cadangan[[#This Row],[ItemID A]],Katalog!$C$3:$C$12,0))*cadangan[[#This Row],[Qty A]]</f>
        <v>50000</v>
      </c>
      <c r="K317" s="73">
        <f>IFERROR(cadangan[[#This Row],[Harga Diskon A]]-INDEX(Katalog!$E$3:$E$12,MATCH(cadangan[[#This Row],[ItemID A]],Katalog!$C$3:$C$12,0))*cadangan[[#This Row],[Qty A]],0)</f>
        <v>27500</v>
      </c>
      <c r="L317" s="39" t="s">
        <v>66</v>
      </c>
      <c r="M317" s="39" t="str">
        <f>IFERROR(INDEX(Katalog!$A$3:$A$12,MATCH(cadangan[[#This Row],[ItemID B]],Katalog!$C$3:$C$12,0)),"-")</f>
        <v>Sepatu Pria</v>
      </c>
      <c r="N317" s="39" t="str">
        <f>IFERROR(INDEX(Katalog!$B$3:$B$12,MATCH(cadangan[[#This Row],[ItemID B]],Katalog!$C$3:$C$12,0)),"-")</f>
        <v>Sandal Slip On</v>
      </c>
      <c r="O317" s="50">
        <v>1</v>
      </c>
      <c r="P317" s="50">
        <v>5</v>
      </c>
      <c r="Q317" s="73">
        <f>IFERROR(INDEX(Katalog!$D$3:$D$12,MATCH(cadangan[[#This Row],[ItemID B]],Katalog!$C$3:$C$12,0))*cadangan[[#This Row],[Qty B]],0)</f>
        <v>150000</v>
      </c>
      <c r="R317" s="73">
        <f>IFERROR(cadangan[[#This Row],[Harga Normal B]]-(cadangan[[#This Row],[Harga Normal B]]*cadangan[[#This Row],[Diskon]]),cadangan[[#This Row],[Harga Normal B]])</f>
        <v>127500</v>
      </c>
      <c r="S317" s="73">
        <f>IFERROR(INDEX(Katalog!$F$3:$F$12,MATCH(cadangan[[#This Row],[ItemID B]],Katalog!$C$3:$C$12,0))*cadangan[[#This Row],[Qty B]],0)</f>
        <v>60000</v>
      </c>
      <c r="T317" s="73">
        <f>IFERROR(cadangan[[#This Row],[Harga Diskon B]]-INDEX(Katalog!$E$3:$E$12,MATCH(cadangan[[#This Row],[ItemID B]],Katalog!$C$3:$C$12,0))*cadangan[[#This Row],[Qty B]],0)</f>
        <v>37500</v>
      </c>
      <c r="U317" s="39" t="s">
        <v>61</v>
      </c>
      <c r="V317" s="39" t="str">
        <f>IFERROR(INDEX(Katalog!$A$3:$A$12,MATCH(cadangan[[#This Row],[ItemID C]],Katalog!$C$3:$C$12,0)),"-")</f>
        <v>Pakaian Pria</v>
      </c>
      <c r="W317" s="39" t="str">
        <f>IFERROR(INDEX(Katalog!$B$3:$B$12,MATCH(cadangan[[#This Row],[ItemID C]],Katalog!$C$3:$C$12,0)),"-")</f>
        <v>Kaos Polo</v>
      </c>
      <c r="X317" s="50">
        <v>1</v>
      </c>
      <c r="Y317" s="50">
        <v>3</v>
      </c>
      <c r="Z317" s="73">
        <f>IFERROR(INDEX(Katalog!$D$3:$D$12,MATCH(cadangan[[#This Row],[ItemID C]],Katalog!$C$3:$C$12,0))*cadangan[[#This Row],[Qty C]],0)</f>
        <v>200000</v>
      </c>
      <c r="AA317" s="73">
        <f>IFERROR(cadangan[[#This Row],[Harga Normal C]]-(cadangan[[#This Row],[Harga Normal C]]*cadangan[[#This Row],[Diskon]]),cadangan[[#This Row],[Harga Normal C]])</f>
        <v>170000</v>
      </c>
      <c r="AB317" s="73">
        <f>IFERROR(INDEX(Katalog!$F$3:$F$12,MATCH(cadangan[[#This Row],[ItemID C]],Katalog!$C$3:$C$12,0))*cadangan[[#This Row],[Qty C]],0)</f>
        <v>80000</v>
      </c>
      <c r="AC317" s="73">
        <f>IFERROR(cadangan[[#This Row],[Harga Diskon C]]-INDEX(Katalog!$E$3:$E$12,MATCH(cadangan[[#This Row],[ItemID C]],Katalog!$C$3:$C$12,0))*cadangan[[#This Row],[Qty C]],0)</f>
        <v>50000</v>
      </c>
      <c r="AD317" s="53">
        <f>cadangan[[#This Row],[Qty A]]+cadangan[[#This Row],[Qty B]]+cadangan[[#This Row],[Qty C]]</f>
        <v>3</v>
      </c>
      <c r="AE317" s="73">
        <f>cadangan[[#This Row],[Harga Normal A]]+cadangan[[#This Row],[Harga Normal B]]+cadangan[[#This Row],[Harga Normal C]]</f>
        <v>500000</v>
      </c>
      <c r="AF317" s="73">
        <f>cadangan[[#This Row],[Harga Diskon A]]+cadangan[[#This Row],[Harga Diskon B]]+cadangan[[#This Row],[Harga Diskon C]]</f>
        <v>425000</v>
      </c>
      <c r="AG317" s="73">
        <f>(cadangan[[#This Row],[Profit Normal A]]+cadangan[[#This Row],[Profit Normal B]]+cadangan[[#This Row],[Profit Normal C]])</f>
        <v>190000</v>
      </c>
      <c r="AH317" s="73">
        <f>cadangan[[#This Row],[Profit Diskon A]]+cadangan[[#This Row],[Profit Diskon B]]+cadangan[[#This Row],[Profit Diskon C]]</f>
        <v>115000</v>
      </c>
      <c r="AI317" s="23" t="s">
        <v>28</v>
      </c>
      <c r="AJ317" s="37">
        <f>IFERROR(INDEX('Kode Diskon'!$D$3:$D$9,MATCH(cadangan[[#This Row],[Kode diskon]],'Kode Diskon'!$C$3:$C$9,0)),"-")</f>
        <v>0.15</v>
      </c>
      <c r="AK317" s="23" t="s">
        <v>29</v>
      </c>
      <c r="AL317" s="23" t="s">
        <v>14</v>
      </c>
      <c r="AM317" s="23" t="s">
        <v>80</v>
      </c>
      <c r="AN317" s="55">
        <v>45022</v>
      </c>
      <c r="AO317" s="53">
        <f>DAY(cadangan[[#This Row],[Tanggal terjual]])</f>
        <v>6</v>
      </c>
      <c r="AP317" s="21" t="str">
        <f>TEXT(cadangan[[#This Row],[Tanggal terjual]],"dddd")</f>
        <v>Thursday</v>
      </c>
      <c r="AQ317" s="23" t="str" cm="1">
        <f t="array" ref="AQ3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7" s="61">
        <f>AVERAGE(cadangan[[#This Row],[Rating A]],cadangan[[#This Row],[Rating B]],cadangan[[#This Row],[Rating C]])</f>
        <v>3</v>
      </c>
    </row>
    <row r="318" spans="1:44" x14ac:dyDescent="0.2">
      <c r="A318" s="20">
        <v>317</v>
      </c>
      <c r="B318" s="21" t="str">
        <f>_xlfn.CONCAT("ORD-",INDEX(Helper!$B$2:$B$5,MATCH(cadangan[[#This Row],[Marketplace]],Helper!$A$2:$A$5,0)),TEXT(cadangan[[#This Row],[No]],"0000"),"-",TEXT(cadangan[[#This Row],[Tanggal terjual]],"dd/mm/yy"))</f>
        <v>ORD-SP0317-16/04/23</v>
      </c>
      <c r="C318" s="39" t="s">
        <v>61</v>
      </c>
      <c r="D318" s="39" t="str">
        <f>IFERROR(INDEX(Katalog!$A$3:$A$12,MATCH(cadangan[[#This Row],[ItemID A]],Katalog!$C$3:$C$12,0)),"-")</f>
        <v>Pakaian Pria</v>
      </c>
      <c r="E318" s="39" t="str">
        <f>IFERROR(INDEX(Katalog!$B$3:$B$12,MATCH(cadangan[[#This Row],[ItemID A]],Katalog!$C$3:$C$12,0)),"-")</f>
        <v>Kaos Polo</v>
      </c>
      <c r="F318" s="50">
        <v>6</v>
      </c>
      <c r="G318" s="50">
        <v>1</v>
      </c>
      <c r="H318" s="73">
        <f>IFERROR(INDEX(Katalog!$D$3:$D$12,MATCH(cadangan[[#This Row],[ItemID A]],Katalog!$C$3:$C$12,0))*cadangan[[#This Row],[Qty A]],0)</f>
        <v>1200000</v>
      </c>
      <c r="I318" s="73">
        <f>IFERROR(cadangan[[#This Row],[Harga Normal A]]-(cadangan[[#This Row],[Harga Normal A]]*cadangan[[#This Row],[Diskon]]),cadangan[[#This Row],[Harga Normal A]])</f>
        <v>960000</v>
      </c>
      <c r="J318" s="73">
        <f>INDEX(Katalog!$F$3:$F$12,MATCH(cadangan[[#This Row],[ItemID A]],Katalog!$C$3:$C$12,0))*cadangan[[#This Row],[Qty A]]</f>
        <v>480000</v>
      </c>
      <c r="K318" s="73">
        <f>IFERROR(cadangan[[#This Row],[Harga Diskon A]]-INDEX(Katalog!$E$3:$E$12,MATCH(cadangan[[#This Row],[ItemID A]],Katalog!$C$3:$C$12,0))*cadangan[[#This Row],[Qty A]],0)</f>
        <v>240000</v>
      </c>
      <c r="M318" s="39" t="str">
        <f>IFERROR(INDEX(Katalog!$A$3:$A$12,MATCH(cadangan[[#This Row],[ItemID B]],Katalog!$C$3:$C$12,0)),"-")</f>
        <v>-</v>
      </c>
      <c r="N318" s="39" t="str">
        <f>IFERROR(INDEX(Katalog!$B$3:$B$12,MATCH(cadangan[[#This Row],[ItemID B]],Katalog!$C$3:$C$12,0)),"-")</f>
        <v>-</v>
      </c>
      <c r="Q318" s="73">
        <f>IFERROR(INDEX(Katalog!$D$3:$D$12,MATCH(cadangan[[#This Row],[ItemID B]],Katalog!$C$3:$C$12,0))*cadangan[[#This Row],[Qty B]],0)</f>
        <v>0</v>
      </c>
      <c r="R318" s="73">
        <f>IFERROR(cadangan[[#This Row],[Harga Normal B]]-(cadangan[[#This Row],[Harga Normal B]]*cadangan[[#This Row],[Diskon]]),cadangan[[#This Row],[Harga Normal B]])</f>
        <v>0</v>
      </c>
      <c r="S318" s="73">
        <f>IFERROR(INDEX(Katalog!$F$3:$F$12,MATCH(cadangan[[#This Row],[ItemID B]],Katalog!$C$3:$C$12,0))*cadangan[[#This Row],[Qty B]],0)</f>
        <v>0</v>
      </c>
      <c r="T318" s="73">
        <f>IFERROR(cadangan[[#This Row],[Harga Diskon B]]-INDEX(Katalog!$E$3:$E$12,MATCH(cadangan[[#This Row],[ItemID B]],Katalog!$C$3:$C$12,0))*cadangan[[#This Row],[Qty B]],0)</f>
        <v>0</v>
      </c>
      <c r="V318" s="39" t="str">
        <f>IFERROR(INDEX(Katalog!$A$3:$A$12,MATCH(cadangan[[#This Row],[ItemID C]],Katalog!$C$3:$C$12,0)),"-")</f>
        <v>-</v>
      </c>
      <c r="W318" s="39" t="str">
        <f>IFERROR(INDEX(Katalog!$B$3:$B$12,MATCH(cadangan[[#This Row],[ItemID C]],Katalog!$C$3:$C$12,0)),"-")</f>
        <v>-</v>
      </c>
      <c r="Z318" s="73">
        <f>IFERROR(INDEX(Katalog!$D$3:$D$12,MATCH(cadangan[[#This Row],[ItemID C]],Katalog!$C$3:$C$12,0))*cadangan[[#This Row],[Qty C]],0)</f>
        <v>0</v>
      </c>
      <c r="AA318" s="73">
        <f>IFERROR(cadangan[[#This Row],[Harga Normal C]]-(cadangan[[#This Row],[Harga Normal C]]*cadangan[[#This Row],[Diskon]]),cadangan[[#This Row],[Harga Normal C]])</f>
        <v>0</v>
      </c>
      <c r="AB318" s="73">
        <f>IFERROR(INDEX(Katalog!$F$3:$F$12,MATCH(cadangan[[#This Row],[ItemID C]],Katalog!$C$3:$C$12,0))*cadangan[[#This Row],[Qty C]],0)</f>
        <v>0</v>
      </c>
      <c r="AC318" s="73">
        <f>IFERROR(cadangan[[#This Row],[Harga Diskon C]]-INDEX(Katalog!$E$3:$E$12,MATCH(cadangan[[#This Row],[ItemID C]],Katalog!$C$3:$C$12,0))*cadangan[[#This Row],[Qty C]],0)</f>
        <v>0</v>
      </c>
      <c r="AD318" s="53">
        <f>cadangan[[#This Row],[Qty A]]+cadangan[[#This Row],[Qty B]]+cadangan[[#This Row],[Qty C]]</f>
        <v>6</v>
      </c>
      <c r="AE318" s="73">
        <f>cadangan[[#This Row],[Harga Normal A]]+cadangan[[#This Row],[Harga Normal B]]+cadangan[[#This Row],[Harga Normal C]]</f>
        <v>1200000</v>
      </c>
      <c r="AF318" s="73">
        <f>cadangan[[#This Row],[Harga Diskon A]]+cadangan[[#This Row],[Harga Diskon B]]+cadangan[[#This Row],[Harga Diskon C]]</f>
        <v>960000</v>
      </c>
      <c r="AG318" s="73">
        <f>(cadangan[[#This Row],[Profit Normal A]]+cadangan[[#This Row],[Profit Normal B]]+cadangan[[#This Row],[Profit Normal C]])</f>
        <v>480000</v>
      </c>
      <c r="AH318" s="73">
        <f>cadangan[[#This Row],[Profit Diskon A]]+cadangan[[#This Row],[Profit Diskon B]]+cadangan[[#This Row],[Profit Diskon C]]</f>
        <v>240000</v>
      </c>
      <c r="AI318" s="23" t="s">
        <v>8</v>
      </c>
      <c r="AJ318" s="37">
        <f>IFERROR(INDEX('Kode Diskon'!$D$3:$D$9,MATCH(cadangan[[#This Row],[Kode diskon]],'Kode Diskon'!$C$3:$C$9,0)),"-")</f>
        <v>0.2</v>
      </c>
      <c r="AK318" s="23" t="s">
        <v>9</v>
      </c>
      <c r="AL318" s="23" t="s">
        <v>7</v>
      </c>
      <c r="AM318" s="23" t="s">
        <v>79</v>
      </c>
      <c r="AN318" s="55">
        <v>45032</v>
      </c>
      <c r="AO318" s="53">
        <f>DAY(cadangan[[#This Row],[Tanggal terjual]])</f>
        <v>16</v>
      </c>
      <c r="AP318" s="21" t="str">
        <f>TEXT(cadangan[[#This Row],[Tanggal terjual]],"dddd")</f>
        <v>Sunday</v>
      </c>
      <c r="AQ318" s="23" t="str" cm="1">
        <f t="array" ref="AQ3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18" s="61">
        <f>AVERAGE(cadangan[[#This Row],[Rating A]],cadangan[[#This Row],[Rating B]],cadangan[[#This Row],[Rating C]])</f>
        <v>1</v>
      </c>
    </row>
    <row r="319" spans="1:44" x14ac:dyDescent="0.2">
      <c r="A319" s="20">
        <v>318</v>
      </c>
      <c r="B319" s="21" t="str">
        <f>_xlfn.CONCAT("ORD-",INDEX(Helper!$B$2:$B$5,MATCH(cadangan[[#This Row],[Marketplace]],Helper!$A$2:$A$5,0)),TEXT(cadangan[[#This Row],[No]],"0000"),"-",TEXT(cadangan[[#This Row],[Tanggal terjual]],"dd/mm/yy"))</f>
        <v>ORD-BB0318-06/04/23</v>
      </c>
      <c r="C319" s="39" t="s">
        <v>63</v>
      </c>
      <c r="D319" s="39" t="str">
        <f>IFERROR(INDEX(Katalog!$A$3:$A$12,MATCH(cadangan[[#This Row],[ItemID A]],Katalog!$C$3:$C$12,0)),"-")</f>
        <v>Pakaian Pria</v>
      </c>
      <c r="E319" s="39" t="str">
        <f>IFERROR(INDEX(Katalog!$B$3:$B$12,MATCH(cadangan[[#This Row],[ItemID A]],Katalog!$C$3:$C$12,0)),"-")</f>
        <v>Jaket Jeans</v>
      </c>
      <c r="F319" s="50">
        <v>3</v>
      </c>
      <c r="G319" s="50">
        <v>3</v>
      </c>
      <c r="H319" s="73">
        <f>IFERROR(INDEX(Katalog!$D$3:$D$12,MATCH(cadangan[[#This Row],[ItemID A]],Katalog!$C$3:$C$12,0))*cadangan[[#This Row],[Qty A]],0)</f>
        <v>1200000</v>
      </c>
      <c r="I319" s="73">
        <f>IFERROR(cadangan[[#This Row],[Harga Normal A]]-(cadangan[[#This Row],[Harga Normal A]]*cadangan[[#This Row],[Diskon]]),cadangan[[#This Row],[Harga Normal A]])</f>
        <v>1020000</v>
      </c>
      <c r="J319" s="73">
        <f>INDEX(Katalog!$F$3:$F$12,MATCH(cadangan[[#This Row],[ItemID A]],Katalog!$C$3:$C$12,0))*cadangan[[#This Row],[Qty A]]</f>
        <v>450000</v>
      </c>
      <c r="K319" s="73">
        <f>IFERROR(cadangan[[#This Row],[Harga Diskon A]]-INDEX(Katalog!$E$3:$E$12,MATCH(cadangan[[#This Row],[ItemID A]],Katalog!$C$3:$C$12,0))*cadangan[[#This Row],[Qty A]],0)</f>
        <v>270000</v>
      </c>
      <c r="L319" s="39" t="s">
        <v>67</v>
      </c>
      <c r="M319" s="39" t="str">
        <f>IFERROR(INDEX(Katalog!$A$3:$A$12,MATCH(cadangan[[#This Row],[ItemID B]],Katalog!$C$3:$C$12,0)),"-")</f>
        <v>Sepatu Wanita</v>
      </c>
      <c r="N319" s="39" t="str">
        <f>IFERROR(INDEX(Katalog!$B$3:$B$12,MATCH(cadangan[[#This Row],[ItemID B]],Katalog!$C$3:$C$12,0)),"-")</f>
        <v>Flat Shoes</v>
      </c>
      <c r="O319" s="50">
        <v>2</v>
      </c>
      <c r="P319" s="50">
        <v>3</v>
      </c>
      <c r="Q319" s="73">
        <f>IFERROR(INDEX(Katalog!$D$3:$D$12,MATCH(cadangan[[#This Row],[ItemID B]],Katalog!$C$3:$C$12,0))*cadangan[[#This Row],[Qty B]],0)</f>
        <v>500000</v>
      </c>
      <c r="R319" s="73">
        <f>IFERROR(cadangan[[#This Row],[Harga Normal B]]-(cadangan[[#This Row],[Harga Normal B]]*cadangan[[#This Row],[Diskon]]),cadangan[[#This Row],[Harga Normal B]])</f>
        <v>425000</v>
      </c>
      <c r="S319" s="73">
        <f>IFERROR(INDEX(Katalog!$F$3:$F$12,MATCH(cadangan[[#This Row],[ItemID B]],Katalog!$C$3:$C$12,0))*cadangan[[#This Row],[Qty B]],0)</f>
        <v>200000</v>
      </c>
      <c r="T319" s="73">
        <f>IFERROR(cadangan[[#This Row],[Harga Diskon B]]-INDEX(Katalog!$E$3:$E$12,MATCH(cadangan[[#This Row],[ItemID B]],Katalog!$C$3:$C$12,0))*cadangan[[#This Row],[Qty B]],0)</f>
        <v>125000</v>
      </c>
      <c r="U319" s="39" t="s">
        <v>61</v>
      </c>
      <c r="V319" s="39" t="str">
        <f>IFERROR(INDEX(Katalog!$A$3:$A$12,MATCH(cadangan[[#This Row],[ItemID C]],Katalog!$C$3:$C$12,0)),"-")</f>
        <v>Pakaian Pria</v>
      </c>
      <c r="W319" s="39" t="str">
        <f>IFERROR(INDEX(Katalog!$B$3:$B$12,MATCH(cadangan[[#This Row],[ItemID C]],Katalog!$C$3:$C$12,0)),"-")</f>
        <v>Kaos Polo</v>
      </c>
      <c r="X319" s="50">
        <v>1</v>
      </c>
      <c r="Y319" s="50">
        <v>5</v>
      </c>
      <c r="Z319" s="73">
        <f>IFERROR(INDEX(Katalog!$D$3:$D$12,MATCH(cadangan[[#This Row],[ItemID C]],Katalog!$C$3:$C$12,0))*cadangan[[#This Row],[Qty C]],0)</f>
        <v>200000</v>
      </c>
      <c r="AA319" s="73">
        <f>IFERROR(cadangan[[#This Row],[Harga Normal C]]-(cadangan[[#This Row],[Harga Normal C]]*cadangan[[#This Row],[Diskon]]),cadangan[[#This Row],[Harga Normal C]])</f>
        <v>170000</v>
      </c>
      <c r="AB319" s="73">
        <f>IFERROR(INDEX(Katalog!$F$3:$F$12,MATCH(cadangan[[#This Row],[ItemID C]],Katalog!$C$3:$C$12,0))*cadangan[[#This Row],[Qty C]],0)</f>
        <v>80000</v>
      </c>
      <c r="AC319" s="73">
        <f>IFERROR(cadangan[[#This Row],[Harga Diskon C]]-INDEX(Katalog!$E$3:$E$12,MATCH(cadangan[[#This Row],[ItemID C]],Katalog!$C$3:$C$12,0))*cadangan[[#This Row],[Qty C]],0)</f>
        <v>50000</v>
      </c>
      <c r="AD319" s="53">
        <f>cadangan[[#This Row],[Qty A]]+cadangan[[#This Row],[Qty B]]+cadangan[[#This Row],[Qty C]]</f>
        <v>6</v>
      </c>
      <c r="AE319" s="73">
        <f>cadangan[[#This Row],[Harga Normal A]]+cadangan[[#This Row],[Harga Normal B]]+cadangan[[#This Row],[Harga Normal C]]</f>
        <v>1900000</v>
      </c>
      <c r="AF319" s="73">
        <f>cadangan[[#This Row],[Harga Diskon A]]+cadangan[[#This Row],[Harga Diskon B]]+cadangan[[#This Row],[Harga Diskon C]]</f>
        <v>1615000</v>
      </c>
      <c r="AG319" s="73">
        <f>(cadangan[[#This Row],[Profit Normal A]]+cadangan[[#This Row],[Profit Normal B]]+cadangan[[#This Row],[Profit Normal C]])</f>
        <v>730000</v>
      </c>
      <c r="AH319" s="73">
        <f>cadangan[[#This Row],[Profit Diskon A]]+cadangan[[#This Row],[Profit Diskon B]]+cadangan[[#This Row],[Profit Diskon C]]</f>
        <v>445000</v>
      </c>
      <c r="AI319" s="23" t="s">
        <v>28</v>
      </c>
      <c r="AJ319" s="37">
        <f>IFERROR(INDEX('Kode Diskon'!$D$3:$D$9,MATCH(cadangan[[#This Row],[Kode diskon]],'Kode Diskon'!$C$3:$C$9,0)),"-")</f>
        <v>0.15</v>
      </c>
      <c r="AK319" s="23" t="s">
        <v>29</v>
      </c>
      <c r="AL319" s="23" t="s">
        <v>14</v>
      </c>
      <c r="AM319" s="23" t="s">
        <v>79</v>
      </c>
      <c r="AN319" s="55">
        <v>45022</v>
      </c>
      <c r="AO319" s="53">
        <f>DAY(cadangan[[#This Row],[Tanggal terjual]])</f>
        <v>6</v>
      </c>
      <c r="AP319" s="21" t="str">
        <f>TEXT(cadangan[[#This Row],[Tanggal terjual]],"dddd")</f>
        <v>Thursday</v>
      </c>
      <c r="AQ319" s="23" t="str" cm="1">
        <f t="array" ref="AQ3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19" s="61">
        <f>AVERAGE(cadangan[[#This Row],[Rating A]],cadangan[[#This Row],[Rating B]],cadangan[[#This Row],[Rating C]])</f>
        <v>3.6666666666666665</v>
      </c>
    </row>
    <row r="320" spans="1:44" x14ac:dyDescent="0.2">
      <c r="A320" s="20">
        <v>319</v>
      </c>
      <c r="B320" s="21" t="str">
        <f>_xlfn.CONCAT("ORD-",INDEX(Helper!$B$2:$B$5,MATCH(cadangan[[#This Row],[Marketplace]],Helper!$A$2:$A$5,0)),TEXT(cadangan[[#This Row],[No]],"0000"),"-",TEXT(cadangan[[#This Row],[Tanggal terjual]],"dd/mm/yy"))</f>
        <v>ORD-TK0319-06/04/23</v>
      </c>
      <c r="C320" s="39" t="s">
        <v>59</v>
      </c>
      <c r="D320" s="39" t="str">
        <f>IFERROR(INDEX(Katalog!$A$3:$A$12,MATCH(cadangan[[#This Row],[ItemID A]],Katalog!$C$3:$C$12,0)),"-")</f>
        <v>Pakaian Wanita</v>
      </c>
      <c r="E320" s="39" t="str">
        <f>IFERROR(INDEX(Katalog!$B$3:$B$12,MATCH(cadangan[[#This Row],[ItemID A]],Katalog!$C$3:$C$12,0)),"-")</f>
        <v>Blouse</v>
      </c>
      <c r="F320" s="50">
        <v>3</v>
      </c>
      <c r="G320" s="50">
        <v>4</v>
      </c>
      <c r="H320" s="73">
        <f>IFERROR(INDEX(Katalog!$D$3:$D$12,MATCH(cadangan[[#This Row],[ItemID A]],Katalog!$C$3:$C$12,0))*cadangan[[#This Row],[Qty A]],0)</f>
        <v>450000</v>
      </c>
      <c r="I320" s="73">
        <f>IFERROR(cadangan[[#This Row],[Harga Normal A]]-(cadangan[[#This Row],[Harga Normal A]]*cadangan[[#This Row],[Diskon]]),cadangan[[#This Row],[Harga Normal A]])</f>
        <v>405000</v>
      </c>
      <c r="J320" s="73">
        <f>INDEX(Katalog!$F$3:$F$12,MATCH(cadangan[[#This Row],[ItemID A]],Katalog!$C$3:$C$12,0))*cadangan[[#This Row],[Qty A]]</f>
        <v>150000</v>
      </c>
      <c r="K320" s="73">
        <f>IFERROR(cadangan[[#This Row],[Harga Diskon A]]-INDEX(Katalog!$E$3:$E$12,MATCH(cadangan[[#This Row],[ItemID A]],Katalog!$C$3:$C$12,0))*cadangan[[#This Row],[Qty A]],0)</f>
        <v>105000</v>
      </c>
      <c r="L320" s="39" t="s">
        <v>64</v>
      </c>
      <c r="M320" s="39" t="str">
        <f>IFERROR(INDEX(Katalog!$A$3:$A$12,MATCH(cadangan[[#This Row],[ItemID B]],Katalog!$C$3:$C$12,0)),"-")</f>
        <v>Pakaian Unisex</v>
      </c>
      <c r="N320" s="39" t="str">
        <f>IFERROR(INDEX(Katalog!$B$3:$B$12,MATCH(cadangan[[#This Row],[ItemID B]],Katalog!$C$3:$C$12,0)),"-")</f>
        <v>Jaket Hoodie</v>
      </c>
      <c r="O320" s="50">
        <v>2</v>
      </c>
      <c r="P320" s="50">
        <v>3</v>
      </c>
      <c r="Q320" s="73">
        <f>IFERROR(INDEX(Katalog!$D$3:$D$12,MATCH(cadangan[[#This Row],[ItemID B]],Katalog!$C$3:$C$12,0))*cadangan[[#This Row],[Qty B]],0)</f>
        <v>700000</v>
      </c>
      <c r="R320" s="73">
        <f>IFERROR(cadangan[[#This Row],[Harga Normal B]]-(cadangan[[#This Row],[Harga Normal B]]*cadangan[[#This Row],[Diskon]]),cadangan[[#This Row],[Harga Normal B]])</f>
        <v>630000</v>
      </c>
      <c r="S320" s="73">
        <f>IFERROR(INDEX(Katalog!$F$3:$F$12,MATCH(cadangan[[#This Row],[ItemID B]],Katalog!$C$3:$C$12,0))*cadangan[[#This Row],[Qty B]],0)</f>
        <v>260000</v>
      </c>
      <c r="T320" s="73">
        <f>IFERROR(cadangan[[#This Row],[Harga Diskon B]]-INDEX(Katalog!$E$3:$E$12,MATCH(cadangan[[#This Row],[ItemID B]],Katalog!$C$3:$C$12,0))*cadangan[[#This Row],[Qty B]],0)</f>
        <v>190000</v>
      </c>
      <c r="V320" s="39" t="str">
        <f>IFERROR(INDEX(Katalog!$A$3:$A$12,MATCH(cadangan[[#This Row],[ItemID C]],Katalog!$C$3:$C$12,0)),"-")</f>
        <v>-</v>
      </c>
      <c r="W320" s="39" t="str">
        <f>IFERROR(INDEX(Katalog!$B$3:$B$12,MATCH(cadangan[[#This Row],[ItemID C]],Katalog!$C$3:$C$12,0)),"-")</f>
        <v>-</v>
      </c>
      <c r="Z320" s="73">
        <f>IFERROR(INDEX(Katalog!$D$3:$D$12,MATCH(cadangan[[#This Row],[ItemID C]],Katalog!$C$3:$C$12,0))*cadangan[[#This Row],[Qty C]],0)</f>
        <v>0</v>
      </c>
      <c r="AA320" s="73">
        <f>IFERROR(cadangan[[#This Row],[Harga Normal C]]-(cadangan[[#This Row],[Harga Normal C]]*cadangan[[#This Row],[Diskon]]),cadangan[[#This Row],[Harga Normal C]])</f>
        <v>0</v>
      </c>
      <c r="AB320" s="73">
        <f>IFERROR(INDEX(Katalog!$F$3:$F$12,MATCH(cadangan[[#This Row],[ItemID C]],Katalog!$C$3:$C$12,0))*cadangan[[#This Row],[Qty C]],0)</f>
        <v>0</v>
      </c>
      <c r="AC320" s="73">
        <f>IFERROR(cadangan[[#This Row],[Harga Diskon C]]-INDEX(Katalog!$E$3:$E$12,MATCH(cadangan[[#This Row],[ItemID C]],Katalog!$C$3:$C$12,0))*cadangan[[#This Row],[Qty C]],0)</f>
        <v>0</v>
      </c>
      <c r="AD320" s="53">
        <f>cadangan[[#This Row],[Qty A]]+cadangan[[#This Row],[Qty B]]+cadangan[[#This Row],[Qty C]]</f>
        <v>5</v>
      </c>
      <c r="AE320" s="73">
        <f>cadangan[[#This Row],[Harga Normal A]]+cadangan[[#This Row],[Harga Normal B]]+cadangan[[#This Row],[Harga Normal C]]</f>
        <v>1150000</v>
      </c>
      <c r="AF320" s="73">
        <f>cadangan[[#This Row],[Harga Diskon A]]+cadangan[[#This Row],[Harga Diskon B]]+cadangan[[#This Row],[Harga Diskon C]]</f>
        <v>1035000</v>
      </c>
      <c r="AG320" s="73">
        <f>(cadangan[[#This Row],[Profit Normal A]]+cadangan[[#This Row],[Profit Normal B]]+cadangan[[#This Row],[Profit Normal C]])</f>
        <v>410000</v>
      </c>
      <c r="AH320" s="73">
        <f>cadangan[[#This Row],[Profit Diskon A]]+cadangan[[#This Row],[Profit Diskon B]]+cadangan[[#This Row],[Profit Diskon C]]</f>
        <v>295000</v>
      </c>
      <c r="AI320" s="23" t="s">
        <v>30</v>
      </c>
      <c r="AJ320" s="37">
        <f>IFERROR(INDEX('Kode Diskon'!$D$3:$D$9,MATCH(cadangan[[#This Row],[Kode diskon]],'Kode Diskon'!$C$3:$C$9,0)),"-")</f>
        <v>0.1</v>
      </c>
      <c r="AK320" s="23" t="s">
        <v>29</v>
      </c>
      <c r="AL320" s="23" t="s">
        <v>10</v>
      </c>
      <c r="AM320" s="23" t="s">
        <v>76</v>
      </c>
      <c r="AN320" s="55">
        <v>45022</v>
      </c>
      <c r="AO320" s="53">
        <f>DAY(cadangan[[#This Row],[Tanggal terjual]])</f>
        <v>6</v>
      </c>
      <c r="AP320" s="21" t="str">
        <f>TEXT(cadangan[[#This Row],[Tanggal terjual]],"dddd")</f>
        <v>Thursday</v>
      </c>
      <c r="AQ320" s="23" t="str" cm="1">
        <f t="array" ref="AQ3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0" s="61">
        <f>AVERAGE(cadangan[[#This Row],[Rating A]],cadangan[[#This Row],[Rating B]],cadangan[[#This Row],[Rating C]])</f>
        <v>3.5</v>
      </c>
    </row>
    <row r="321" spans="1:44" x14ac:dyDescent="0.2">
      <c r="A321" s="20">
        <v>320</v>
      </c>
      <c r="B321" s="21" t="str">
        <f>_xlfn.CONCAT("ORD-",INDEX(Helper!$B$2:$B$5,MATCH(cadangan[[#This Row],[Marketplace]],Helper!$A$2:$A$5,0)),TEXT(cadangan[[#This Row],[No]],"0000"),"-",TEXT(cadangan[[#This Row],[Tanggal terjual]],"dd/mm/yy"))</f>
        <v>ORD-BL0320-30/04/23</v>
      </c>
      <c r="C321" s="39" t="s">
        <v>66</v>
      </c>
      <c r="D321" s="39" t="str">
        <f>IFERROR(INDEX(Katalog!$A$3:$A$12,MATCH(cadangan[[#This Row],[ItemID A]],Katalog!$C$3:$C$12,0)),"-")</f>
        <v>Sepatu Pria</v>
      </c>
      <c r="E321" s="39" t="str">
        <f>IFERROR(INDEX(Katalog!$B$3:$B$12,MATCH(cadangan[[#This Row],[ItemID A]],Katalog!$C$3:$C$12,0)),"-")</f>
        <v>Sandal Slip On</v>
      </c>
      <c r="F321" s="50">
        <v>1</v>
      </c>
      <c r="G321" s="50">
        <v>4</v>
      </c>
      <c r="H321" s="73">
        <f>IFERROR(INDEX(Katalog!$D$3:$D$12,MATCH(cadangan[[#This Row],[ItemID A]],Katalog!$C$3:$C$12,0))*cadangan[[#This Row],[Qty A]],0)</f>
        <v>150000</v>
      </c>
      <c r="I321" s="73">
        <f>IFERROR(cadangan[[#This Row],[Harga Normal A]]-(cadangan[[#This Row],[Harga Normal A]]*cadangan[[#This Row],[Diskon]]),cadangan[[#This Row],[Harga Normal A]])</f>
        <v>127500</v>
      </c>
      <c r="J321" s="73">
        <f>INDEX(Katalog!$F$3:$F$12,MATCH(cadangan[[#This Row],[ItemID A]],Katalog!$C$3:$C$12,0))*cadangan[[#This Row],[Qty A]]</f>
        <v>60000</v>
      </c>
      <c r="K321" s="73">
        <f>IFERROR(cadangan[[#This Row],[Harga Diskon A]]-INDEX(Katalog!$E$3:$E$12,MATCH(cadangan[[#This Row],[ItemID A]],Katalog!$C$3:$C$12,0))*cadangan[[#This Row],[Qty A]],0)</f>
        <v>37500</v>
      </c>
      <c r="L321" s="39" t="s">
        <v>58</v>
      </c>
      <c r="M321" s="39" t="str">
        <f>IFERROR(INDEX(Katalog!$A$3:$A$12,MATCH(cadangan[[#This Row],[ItemID B]],Katalog!$C$3:$C$12,0)),"-")</f>
        <v>Pakaian Wanita</v>
      </c>
      <c r="N321" s="39" t="str">
        <f>IFERROR(INDEX(Katalog!$B$3:$B$12,MATCH(cadangan[[#This Row],[ItemID B]],Katalog!$C$3:$C$12,0)),"-")</f>
        <v>Dress</v>
      </c>
      <c r="O321" s="50">
        <v>1</v>
      </c>
      <c r="P321" s="50">
        <v>1</v>
      </c>
      <c r="Q321" s="73">
        <f>IFERROR(INDEX(Katalog!$D$3:$D$12,MATCH(cadangan[[#This Row],[ItemID B]],Katalog!$C$3:$C$12,0))*cadangan[[#This Row],[Qty B]],0)</f>
        <v>300000</v>
      </c>
      <c r="R321" s="73">
        <f>IFERROR(cadangan[[#This Row],[Harga Normal B]]-(cadangan[[#This Row],[Harga Normal B]]*cadangan[[#This Row],[Diskon]]),cadangan[[#This Row],[Harga Normal B]])</f>
        <v>255000</v>
      </c>
      <c r="S321" s="73">
        <f>IFERROR(INDEX(Katalog!$F$3:$F$12,MATCH(cadangan[[#This Row],[ItemID B]],Katalog!$C$3:$C$12,0))*cadangan[[#This Row],[Qty B]],0)</f>
        <v>100000</v>
      </c>
      <c r="T321" s="73">
        <f>IFERROR(cadangan[[#This Row],[Harga Diskon B]]-INDEX(Katalog!$E$3:$E$12,MATCH(cadangan[[#This Row],[ItemID B]],Katalog!$C$3:$C$12,0))*cadangan[[#This Row],[Qty B]],0)</f>
        <v>55000</v>
      </c>
      <c r="V321" s="39" t="str">
        <f>IFERROR(INDEX(Katalog!$A$3:$A$12,MATCH(cadangan[[#This Row],[ItemID C]],Katalog!$C$3:$C$12,0)),"-")</f>
        <v>-</v>
      </c>
      <c r="W321" s="39" t="str">
        <f>IFERROR(INDEX(Katalog!$B$3:$B$12,MATCH(cadangan[[#This Row],[ItemID C]],Katalog!$C$3:$C$12,0)),"-")</f>
        <v>-</v>
      </c>
      <c r="Z321" s="73">
        <f>IFERROR(INDEX(Katalog!$D$3:$D$12,MATCH(cadangan[[#This Row],[ItemID C]],Katalog!$C$3:$C$12,0))*cadangan[[#This Row],[Qty C]],0)</f>
        <v>0</v>
      </c>
      <c r="AA321" s="73">
        <f>IFERROR(cadangan[[#This Row],[Harga Normal C]]-(cadangan[[#This Row],[Harga Normal C]]*cadangan[[#This Row],[Diskon]]),cadangan[[#This Row],[Harga Normal C]])</f>
        <v>0</v>
      </c>
      <c r="AB321" s="73">
        <f>IFERROR(INDEX(Katalog!$F$3:$F$12,MATCH(cadangan[[#This Row],[ItemID C]],Katalog!$C$3:$C$12,0))*cadangan[[#This Row],[Qty C]],0)</f>
        <v>0</v>
      </c>
      <c r="AC321" s="73">
        <f>IFERROR(cadangan[[#This Row],[Harga Diskon C]]-INDEX(Katalog!$E$3:$E$12,MATCH(cadangan[[#This Row],[ItemID C]],Katalog!$C$3:$C$12,0))*cadangan[[#This Row],[Qty C]],0)</f>
        <v>0</v>
      </c>
      <c r="AD321" s="53">
        <f>cadangan[[#This Row],[Qty A]]+cadangan[[#This Row],[Qty B]]+cadangan[[#This Row],[Qty C]]</f>
        <v>2</v>
      </c>
      <c r="AE321" s="73">
        <f>cadangan[[#This Row],[Harga Normal A]]+cadangan[[#This Row],[Harga Normal B]]+cadangan[[#This Row],[Harga Normal C]]</f>
        <v>450000</v>
      </c>
      <c r="AF321" s="73">
        <f>cadangan[[#This Row],[Harga Diskon A]]+cadangan[[#This Row],[Harga Diskon B]]+cadangan[[#This Row],[Harga Diskon C]]</f>
        <v>382500</v>
      </c>
      <c r="AG321" s="73">
        <f>(cadangan[[#This Row],[Profit Normal A]]+cadangan[[#This Row],[Profit Normal B]]+cadangan[[#This Row],[Profit Normal C]])</f>
        <v>160000</v>
      </c>
      <c r="AH321" s="73">
        <f>cadangan[[#This Row],[Profit Diskon A]]+cadangan[[#This Row],[Profit Diskon B]]+cadangan[[#This Row],[Profit Diskon C]]</f>
        <v>92500</v>
      </c>
      <c r="AI321" s="23" t="s">
        <v>32</v>
      </c>
      <c r="AJ321" s="37">
        <f>IFERROR(INDEX('Kode Diskon'!$D$3:$D$9,MATCH(cadangan[[#This Row],[Kode diskon]],'Kode Diskon'!$C$3:$C$9,0)),"-")</f>
        <v>0.15</v>
      </c>
      <c r="AK321" s="23" t="s">
        <v>9</v>
      </c>
      <c r="AL321" s="23" t="s">
        <v>12</v>
      </c>
      <c r="AM321" s="23" t="s">
        <v>75</v>
      </c>
      <c r="AN321" s="55">
        <v>45046</v>
      </c>
      <c r="AO321" s="53">
        <f>DAY(cadangan[[#This Row],[Tanggal terjual]])</f>
        <v>30</v>
      </c>
      <c r="AP321" s="21" t="str">
        <f>TEXT(cadangan[[#This Row],[Tanggal terjual]],"dddd")</f>
        <v>Sunday</v>
      </c>
      <c r="AQ321" s="23" t="str" cm="1">
        <f t="array" ref="AQ3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21" s="61">
        <f>AVERAGE(cadangan[[#This Row],[Rating A]],cadangan[[#This Row],[Rating B]],cadangan[[#This Row],[Rating C]])</f>
        <v>2.5</v>
      </c>
    </row>
    <row r="322" spans="1:44" x14ac:dyDescent="0.2">
      <c r="A322" s="20">
        <v>321</v>
      </c>
      <c r="B322" s="21" t="str">
        <f>_xlfn.CONCAT("ORD-",INDEX(Helper!$B$2:$B$5,MATCH(cadangan[[#This Row],[Marketplace]],Helper!$A$2:$A$5,0)),TEXT(cadangan[[#This Row],[No]],"0000"),"-",TEXT(cadangan[[#This Row],[Tanggal terjual]],"dd/mm/yy"))</f>
        <v>ORD-BB0321-04/04/23</v>
      </c>
      <c r="C322" s="39" t="s">
        <v>61</v>
      </c>
      <c r="D322" s="39" t="str">
        <f>IFERROR(INDEX(Katalog!$A$3:$A$12,MATCH(cadangan[[#This Row],[ItemID A]],Katalog!$C$3:$C$12,0)),"-")</f>
        <v>Pakaian Pria</v>
      </c>
      <c r="E322" s="39" t="str">
        <f>IFERROR(INDEX(Katalog!$B$3:$B$12,MATCH(cadangan[[#This Row],[ItemID A]],Katalog!$C$3:$C$12,0)),"-")</f>
        <v>Kaos Polo</v>
      </c>
      <c r="F322" s="50">
        <v>2</v>
      </c>
      <c r="G322" s="50">
        <v>5</v>
      </c>
      <c r="H322" s="73">
        <f>IFERROR(INDEX(Katalog!$D$3:$D$12,MATCH(cadangan[[#This Row],[ItemID A]],Katalog!$C$3:$C$12,0))*cadangan[[#This Row],[Qty A]],0)</f>
        <v>400000</v>
      </c>
      <c r="I322" s="73">
        <f>IFERROR(cadangan[[#This Row],[Harga Normal A]]-(cadangan[[#This Row],[Harga Normal A]]*cadangan[[#This Row],[Diskon]]),cadangan[[#This Row],[Harga Normal A]])</f>
        <v>340000</v>
      </c>
      <c r="J322" s="73">
        <f>INDEX(Katalog!$F$3:$F$12,MATCH(cadangan[[#This Row],[ItemID A]],Katalog!$C$3:$C$12,0))*cadangan[[#This Row],[Qty A]]</f>
        <v>160000</v>
      </c>
      <c r="K322" s="73">
        <f>IFERROR(cadangan[[#This Row],[Harga Diskon A]]-INDEX(Katalog!$E$3:$E$12,MATCH(cadangan[[#This Row],[ItemID A]],Katalog!$C$3:$C$12,0))*cadangan[[#This Row],[Qty A]],0)</f>
        <v>100000</v>
      </c>
      <c r="L322" s="39" t="s">
        <v>62</v>
      </c>
      <c r="M322" s="39" t="str">
        <f>IFERROR(INDEX(Katalog!$A$3:$A$12,MATCH(cadangan[[#This Row],[ItemID B]],Katalog!$C$3:$C$12,0)),"-")</f>
        <v>Pakaian Pria</v>
      </c>
      <c r="N322" s="39" t="str">
        <f>IFERROR(INDEX(Katalog!$B$3:$B$12,MATCH(cadangan[[#This Row],[ItemID B]],Katalog!$C$3:$C$12,0)),"-")</f>
        <v>Celana Pendek</v>
      </c>
      <c r="O322" s="50">
        <v>2</v>
      </c>
      <c r="P322" s="50">
        <v>1</v>
      </c>
      <c r="Q322" s="73">
        <f>IFERROR(INDEX(Katalog!$D$3:$D$12,MATCH(cadangan[[#This Row],[ItemID B]],Katalog!$C$3:$C$12,0))*cadangan[[#This Row],[Qty B]],0)</f>
        <v>360000</v>
      </c>
      <c r="R322" s="73">
        <f>IFERROR(cadangan[[#This Row],[Harga Normal B]]-(cadangan[[#This Row],[Harga Normal B]]*cadangan[[#This Row],[Diskon]]),cadangan[[#This Row],[Harga Normal B]])</f>
        <v>306000</v>
      </c>
      <c r="S322" s="73">
        <f>IFERROR(INDEX(Katalog!$F$3:$F$12,MATCH(cadangan[[#This Row],[ItemID B]],Katalog!$C$3:$C$12,0))*cadangan[[#This Row],[Qty B]],0)</f>
        <v>140000</v>
      </c>
      <c r="T322" s="73">
        <f>IFERROR(cadangan[[#This Row],[Harga Diskon B]]-INDEX(Katalog!$E$3:$E$12,MATCH(cadangan[[#This Row],[ItemID B]],Katalog!$C$3:$C$12,0))*cadangan[[#This Row],[Qty B]],0)</f>
        <v>86000</v>
      </c>
      <c r="U322" s="39" t="s">
        <v>66</v>
      </c>
      <c r="V322" s="39" t="str">
        <f>IFERROR(INDEX(Katalog!$A$3:$A$12,MATCH(cadangan[[#This Row],[ItemID C]],Katalog!$C$3:$C$12,0)),"-")</f>
        <v>Sepatu Pria</v>
      </c>
      <c r="W322" s="39" t="str">
        <f>IFERROR(INDEX(Katalog!$B$3:$B$12,MATCH(cadangan[[#This Row],[ItemID C]],Katalog!$C$3:$C$12,0)),"-")</f>
        <v>Sandal Slip On</v>
      </c>
      <c r="X322" s="50">
        <v>2</v>
      </c>
      <c r="Y322" s="50">
        <v>3</v>
      </c>
      <c r="Z322" s="73">
        <f>IFERROR(INDEX(Katalog!$D$3:$D$12,MATCH(cadangan[[#This Row],[ItemID C]],Katalog!$C$3:$C$12,0))*cadangan[[#This Row],[Qty C]],0)</f>
        <v>300000</v>
      </c>
      <c r="AA322" s="73">
        <f>IFERROR(cadangan[[#This Row],[Harga Normal C]]-(cadangan[[#This Row],[Harga Normal C]]*cadangan[[#This Row],[Diskon]]),cadangan[[#This Row],[Harga Normal C]])</f>
        <v>255000</v>
      </c>
      <c r="AB322" s="73">
        <f>IFERROR(INDEX(Katalog!$F$3:$F$12,MATCH(cadangan[[#This Row],[ItemID C]],Katalog!$C$3:$C$12,0))*cadangan[[#This Row],[Qty C]],0)</f>
        <v>120000</v>
      </c>
      <c r="AC322" s="73">
        <f>IFERROR(cadangan[[#This Row],[Harga Diskon C]]-INDEX(Katalog!$E$3:$E$12,MATCH(cadangan[[#This Row],[ItemID C]],Katalog!$C$3:$C$12,0))*cadangan[[#This Row],[Qty C]],0)</f>
        <v>75000</v>
      </c>
      <c r="AD322" s="53">
        <f>cadangan[[#This Row],[Qty A]]+cadangan[[#This Row],[Qty B]]+cadangan[[#This Row],[Qty C]]</f>
        <v>6</v>
      </c>
      <c r="AE322" s="73">
        <f>cadangan[[#This Row],[Harga Normal A]]+cadangan[[#This Row],[Harga Normal B]]+cadangan[[#This Row],[Harga Normal C]]</f>
        <v>1060000</v>
      </c>
      <c r="AF322" s="73">
        <f>cadangan[[#This Row],[Harga Diskon A]]+cadangan[[#This Row],[Harga Diskon B]]+cadangan[[#This Row],[Harga Diskon C]]</f>
        <v>901000</v>
      </c>
      <c r="AG322" s="73">
        <f>(cadangan[[#This Row],[Profit Normal A]]+cadangan[[#This Row],[Profit Normal B]]+cadangan[[#This Row],[Profit Normal C]])</f>
        <v>420000</v>
      </c>
      <c r="AH322" s="73">
        <f>cadangan[[#This Row],[Profit Diskon A]]+cadangan[[#This Row],[Profit Diskon B]]+cadangan[[#This Row],[Profit Diskon C]]</f>
        <v>261000</v>
      </c>
      <c r="AI322" s="23" t="s">
        <v>28</v>
      </c>
      <c r="AJ322" s="37">
        <f>IFERROR(INDEX('Kode Diskon'!$D$3:$D$9,MATCH(cadangan[[#This Row],[Kode diskon]],'Kode Diskon'!$C$3:$C$9,0)),"-")</f>
        <v>0.15</v>
      </c>
      <c r="AK322" s="23" t="s">
        <v>29</v>
      </c>
      <c r="AL322" s="23" t="s">
        <v>14</v>
      </c>
      <c r="AM322" s="23" t="s">
        <v>76</v>
      </c>
      <c r="AN322" s="55">
        <v>45020</v>
      </c>
      <c r="AO322" s="53">
        <f>DAY(cadangan[[#This Row],[Tanggal terjual]])</f>
        <v>4</v>
      </c>
      <c r="AP322" s="21" t="str">
        <f>TEXT(cadangan[[#This Row],[Tanggal terjual]],"dddd")</f>
        <v>Tuesday</v>
      </c>
      <c r="AQ322" s="23" t="str" cm="1">
        <f t="array" ref="AQ3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2" s="61">
        <f>AVERAGE(cadangan[[#This Row],[Rating A]],cadangan[[#This Row],[Rating B]],cadangan[[#This Row],[Rating C]])</f>
        <v>3</v>
      </c>
    </row>
    <row r="323" spans="1:44" x14ac:dyDescent="0.2">
      <c r="A323" s="20">
        <v>322</v>
      </c>
      <c r="B323" s="21" t="str">
        <f>_xlfn.CONCAT("ORD-",INDEX(Helper!$B$2:$B$5,MATCH(cadangan[[#This Row],[Marketplace]],Helper!$A$2:$A$5,0)),TEXT(cadangan[[#This Row],[No]],"0000"),"-",TEXT(cadangan[[#This Row],[Tanggal terjual]],"dd/mm/yy"))</f>
        <v>ORD-SP0322-02/04/23</v>
      </c>
      <c r="C323" s="39" t="s">
        <v>65</v>
      </c>
      <c r="D323" s="39" t="str">
        <f>IFERROR(INDEX(Katalog!$A$3:$A$12,MATCH(cadangan[[#This Row],[ItemID A]],Katalog!$C$3:$C$12,0)),"-")</f>
        <v>Sepatu Pria</v>
      </c>
      <c r="E323" s="39" t="str">
        <f>IFERROR(INDEX(Katalog!$B$3:$B$12,MATCH(cadangan[[#This Row],[ItemID A]],Katalog!$C$3:$C$12,0)),"-")</f>
        <v>Sneakers</v>
      </c>
      <c r="F323" s="50">
        <v>2</v>
      </c>
      <c r="G323" s="50">
        <v>1</v>
      </c>
      <c r="H323" s="73">
        <f>IFERROR(INDEX(Katalog!$D$3:$D$12,MATCH(cadangan[[#This Row],[ItemID A]],Katalog!$C$3:$C$12,0))*cadangan[[#This Row],[Qty A]],0)</f>
        <v>1000000</v>
      </c>
      <c r="I323" s="73">
        <f>IFERROR(cadangan[[#This Row],[Harga Normal A]]-(cadangan[[#This Row],[Harga Normal A]]*cadangan[[#This Row],[Diskon]]),cadangan[[#This Row],[Harga Normal A]])</f>
        <v>850000</v>
      </c>
      <c r="J323" s="73">
        <f>INDEX(Katalog!$F$3:$F$12,MATCH(cadangan[[#This Row],[ItemID A]],Katalog!$C$3:$C$12,0))*cadangan[[#This Row],[Qty A]]</f>
        <v>400000</v>
      </c>
      <c r="K323" s="73">
        <f>IFERROR(cadangan[[#This Row],[Harga Diskon A]]-INDEX(Katalog!$E$3:$E$12,MATCH(cadangan[[#This Row],[ItemID A]],Katalog!$C$3:$C$12,0))*cadangan[[#This Row],[Qty A]],0)</f>
        <v>250000</v>
      </c>
      <c r="M323" s="39" t="str">
        <f>IFERROR(INDEX(Katalog!$A$3:$A$12,MATCH(cadangan[[#This Row],[ItemID B]],Katalog!$C$3:$C$12,0)),"-")</f>
        <v>-</v>
      </c>
      <c r="N323" s="39" t="str">
        <f>IFERROR(INDEX(Katalog!$B$3:$B$12,MATCH(cadangan[[#This Row],[ItemID B]],Katalog!$C$3:$C$12,0)),"-")</f>
        <v>-</v>
      </c>
      <c r="Q323" s="73">
        <f>IFERROR(INDEX(Katalog!$D$3:$D$12,MATCH(cadangan[[#This Row],[ItemID B]],Katalog!$C$3:$C$12,0))*cadangan[[#This Row],[Qty B]],0)</f>
        <v>0</v>
      </c>
      <c r="R323" s="73">
        <f>IFERROR(cadangan[[#This Row],[Harga Normal B]]-(cadangan[[#This Row],[Harga Normal B]]*cadangan[[#This Row],[Diskon]]),cadangan[[#This Row],[Harga Normal B]])</f>
        <v>0</v>
      </c>
      <c r="S323" s="73">
        <f>IFERROR(INDEX(Katalog!$F$3:$F$12,MATCH(cadangan[[#This Row],[ItemID B]],Katalog!$C$3:$C$12,0))*cadangan[[#This Row],[Qty B]],0)</f>
        <v>0</v>
      </c>
      <c r="T323" s="73">
        <f>IFERROR(cadangan[[#This Row],[Harga Diskon B]]-INDEX(Katalog!$E$3:$E$12,MATCH(cadangan[[#This Row],[ItemID B]],Katalog!$C$3:$C$12,0))*cadangan[[#This Row],[Qty B]],0)</f>
        <v>0</v>
      </c>
      <c r="V323" s="39" t="str">
        <f>IFERROR(INDEX(Katalog!$A$3:$A$12,MATCH(cadangan[[#This Row],[ItemID C]],Katalog!$C$3:$C$12,0)),"-")</f>
        <v>-</v>
      </c>
      <c r="W323" s="39" t="str">
        <f>IFERROR(INDEX(Katalog!$B$3:$B$12,MATCH(cadangan[[#This Row],[ItemID C]],Katalog!$C$3:$C$12,0)),"-")</f>
        <v>-</v>
      </c>
      <c r="Z323" s="73">
        <f>IFERROR(INDEX(Katalog!$D$3:$D$12,MATCH(cadangan[[#This Row],[ItemID C]],Katalog!$C$3:$C$12,0))*cadangan[[#This Row],[Qty C]],0)</f>
        <v>0</v>
      </c>
      <c r="AA323" s="73">
        <f>IFERROR(cadangan[[#This Row],[Harga Normal C]]-(cadangan[[#This Row],[Harga Normal C]]*cadangan[[#This Row],[Diskon]]),cadangan[[#This Row],[Harga Normal C]])</f>
        <v>0</v>
      </c>
      <c r="AB323" s="73">
        <f>IFERROR(INDEX(Katalog!$F$3:$F$12,MATCH(cadangan[[#This Row],[ItemID C]],Katalog!$C$3:$C$12,0))*cadangan[[#This Row],[Qty C]],0)</f>
        <v>0</v>
      </c>
      <c r="AC323" s="73">
        <f>IFERROR(cadangan[[#This Row],[Harga Diskon C]]-INDEX(Katalog!$E$3:$E$12,MATCH(cadangan[[#This Row],[ItemID C]],Katalog!$C$3:$C$12,0))*cadangan[[#This Row],[Qty C]],0)</f>
        <v>0</v>
      </c>
      <c r="AD323" s="53">
        <f>cadangan[[#This Row],[Qty A]]+cadangan[[#This Row],[Qty B]]+cadangan[[#This Row],[Qty C]]</f>
        <v>2</v>
      </c>
      <c r="AE323" s="73">
        <f>cadangan[[#This Row],[Harga Normal A]]+cadangan[[#This Row],[Harga Normal B]]+cadangan[[#This Row],[Harga Normal C]]</f>
        <v>1000000</v>
      </c>
      <c r="AF323" s="73">
        <f>cadangan[[#This Row],[Harga Diskon A]]+cadangan[[#This Row],[Harga Diskon B]]+cadangan[[#This Row],[Harga Diskon C]]</f>
        <v>850000</v>
      </c>
      <c r="AG323" s="73">
        <f>(cadangan[[#This Row],[Profit Normal A]]+cadangan[[#This Row],[Profit Normal B]]+cadangan[[#This Row],[Profit Normal C]])</f>
        <v>400000</v>
      </c>
      <c r="AH323" s="73">
        <f>cadangan[[#This Row],[Profit Diskon A]]+cadangan[[#This Row],[Profit Diskon B]]+cadangan[[#This Row],[Profit Diskon C]]</f>
        <v>250000</v>
      </c>
      <c r="AI323" s="23" t="s">
        <v>13</v>
      </c>
      <c r="AJ323" s="37">
        <f>IFERROR(INDEX('Kode Diskon'!$D$3:$D$9,MATCH(cadangan[[#This Row],[Kode diskon]],'Kode Diskon'!$C$3:$C$9,0)),"-")</f>
        <v>0.15</v>
      </c>
      <c r="AK323" s="23" t="s">
        <v>29</v>
      </c>
      <c r="AL323" s="23" t="s">
        <v>7</v>
      </c>
      <c r="AM323" s="23" t="s">
        <v>80</v>
      </c>
      <c r="AN323" s="55">
        <v>45018</v>
      </c>
      <c r="AO323" s="53">
        <f>DAY(cadangan[[#This Row],[Tanggal terjual]])</f>
        <v>2</v>
      </c>
      <c r="AP323" s="21" t="str">
        <f>TEXT(cadangan[[#This Row],[Tanggal terjual]],"dddd")</f>
        <v>Sunday</v>
      </c>
      <c r="AQ323" s="23" t="str" cm="1">
        <f t="array" ref="AQ3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3" s="61">
        <f>AVERAGE(cadangan[[#This Row],[Rating A]],cadangan[[#This Row],[Rating B]],cadangan[[#This Row],[Rating C]])</f>
        <v>1</v>
      </c>
    </row>
    <row r="324" spans="1:44" x14ac:dyDescent="0.2">
      <c r="A324" s="20">
        <v>323</v>
      </c>
      <c r="B324" s="21" t="str">
        <f>_xlfn.CONCAT("ORD-",INDEX(Helper!$B$2:$B$5,MATCH(cadangan[[#This Row],[Marketplace]],Helper!$A$2:$A$5,0)),TEXT(cadangan[[#This Row],[No]],"0000"),"-",TEXT(cadangan[[#This Row],[Tanggal terjual]],"dd/mm/yy"))</f>
        <v>ORD-TK0323-26/04/23</v>
      </c>
      <c r="C324" s="39" t="s">
        <v>64</v>
      </c>
      <c r="D324" s="39" t="str">
        <f>IFERROR(INDEX(Katalog!$A$3:$A$12,MATCH(cadangan[[#This Row],[ItemID A]],Katalog!$C$3:$C$12,0)),"-")</f>
        <v>Pakaian Unisex</v>
      </c>
      <c r="E324" s="39" t="str">
        <f>IFERROR(INDEX(Katalog!$B$3:$B$12,MATCH(cadangan[[#This Row],[ItemID A]],Katalog!$C$3:$C$12,0)),"-")</f>
        <v>Jaket Hoodie</v>
      </c>
      <c r="F324" s="50">
        <v>3</v>
      </c>
      <c r="G324" s="50">
        <v>1</v>
      </c>
      <c r="H324" s="73">
        <f>IFERROR(INDEX(Katalog!$D$3:$D$12,MATCH(cadangan[[#This Row],[ItemID A]],Katalog!$C$3:$C$12,0))*cadangan[[#This Row],[Qty A]],0)</f>
        <v>1050000</v>
      </c>
      <c r="I324" s="73">
        <f>IFERROR(cadangan[[#This Row],[Harga Normal A]]-(cadangan[[#This Row],[Harga Normal A]]*cadangan[[#This Row],[Diskon]]),cadangan[[#This Row],[Harga Normal A]])</f>
        <v>945000</v>
      </c>
      <c r="J324" s="73">
        <f>INDEX(Katalog!$F$3:$F$12,MATCH(cadangan[[#This Row],[ItemID A]],Katalog!$C$3:$C$12,0))*cadangan[[#This Row],[Qty A]]</f>
        <v>390000</v>
      </c>
      <c r="K324" s="73">
        <f>IFERROR(cadangan[[#This Row],[Harga Diskon A]]-INDEX(Katalog!$E$3:$E$12,MATCH(cadangan[[#This Row],[ItemID A]],Katalog!$C$3:$C$12,0))*cadangan[[#This Row],[Qty A]],0)</f>
        <v>285000</v>
      </c>
      <c r="M324" s="39" t="str">
        <f>IFERROR(INDEX(Katalog!$A$3:$A$12,MATCH(cadangan[[#This Row],[ItemID B]],Katalog!$C$3:$C$12,0)),"-")</f>
        <v>-</v>
      </c>
      <c r="N324" s="39" t="str">
        <f>IFERROR(INDEX(Katalog!$B$3:$B$12,MATCH(cadangan[[#This Row],[ItemID B]],Katalog!$C$3:$C$12,0)),"-")</f>
        <v>-</v>
      </c>
      <c r="Q324" s="73">
        <f>IFERROR(INDEX(Katalog!$D$3:$D$12,MATCH(cadangan[[#This Row],[ItemID B]],Katalog!$C$3:$C$12,0))*cadangan[[#This Row],[Qty B]],0)</f>
        <v>0</v>
      </c>
      <c r="R324" s="73">
        <f>IFERROR(cadangan[[#This Row],[Harga Normal B]]-(cadangan[[#This Row],[Harga Normal B]]*cadangan[[#This Row],[Diskon]]),cadangan[[#This Row],[Harga Normal B]])</f>
        <v>0</v>
      </c>
      <c r="S324" s="73">
        <f>IFERROR(INDEX(Katalog!$F$3:$F$12,MATCH(cadangan[[#This Row],[ItemID B]],Katalog!$C$3:$C$12,0))*cadangan[[#This Row],[Qty B]],0)</f>
        <v>0</v>
      </c>
      <c r="T324" s="73">
        <f>IFERROR(cadangan[[#This Row],[Harga Diskon B]]-INDEX(Katalog!$E$3:$E$12,MATCH(cadangan[[#This Row],[ItemID B]],Katalog!$C$3:$C$12,0))*cadangan[[#This Row],[Qty B]],0)</f>
        <v>0</v>
      </c>
      <c r="V324" s="39" t="str">
        <f>IFERROR(INDEX(Katalog!$A$3:$A$12,MATCH(cadangan[[#This Row],[ItemID C]],Katalog!$C$3:$C$12,0)),"-")</f>
        <v>-</v>
      </c>
      <c r="W324" s="39" t="str">
        <f>IFERROR(INDEX(Katalog!$B$3:$B$12,MATCH(cadangan[[#This Row],[ItemID C]],Katalog!$C$3:$C$12,0)),"-")</f>
        <v>-</v>
      </c>
      <c r="Z324" s="73">
        <f>IFERROR(INDEX(Katalog!$D$3:$D$12,MATCH(cadangan[[#This Row],[ItemID C]],Katalog!$C$3:$C$12,0))*cadangan[[#This Row],[Qty C]],0)</f>
        <v>0</v>
      </c>
      <c r="AA324" s="73">
        <f>IFERROR(cadangan[[#This Row],[Harga Normal C]]-(cadangan[[#This Row],[Harga Normal C]]*cadangan[[#This Row],[Diskon]]),cadangan[[#This Row],[Harga Normal C]])</f>
        <v>0</v>
      </c>
      <c r="AB324" s="73">
        <f>IFERROR(INDEX(Katalog!$F$3:$F$12,MATCH(cadangan[[#This Row],[ItemID C]],Katalog!$C$3:$C$12,0))*cadangan[[#This Row],[Qty C]],0)</f>
        <v>0</v>
      </c>
      <c r="AC324" s="73">
        <f>IFERROR(cadangan[[#This Row],[Harga Diskon C]]-INDEX(Katalog!$E$3:$E$12,MATCH(cadangan[[#This Row],[ItemID C]],Katalog!$C$3:$C$12,0))*cadangan[[#This Row],[Qty C]],0)</f>
        <v>0</v>
      </c>
      <c r="AD324" s="53">
        <f>cadangan[[#This Row],[Qty A]]+cadangan[[#This Row],[Qty B]]+cadangan[[#This Row],[Qty C]]</f>
        <v>3</v>
      </c>
      <c r="AE324" s="73">
        <f>cadangan[[#This Row],[Harga Normal A]]+cadangan[[#This Row],[Harga Normal B]]+cadangan[[#This Row],[Harga Normal C]]</f>
        <v>1050000</v>
      </c>
      <c r="AF324" s="73">
        <f>cadangan[[#This Row],[Harga Diskon A]]+cadangan[[#This Row],[Harga Diskon B]]+cadangan[[#This Row],[Harga Diskon C]]</f>
        <v>945000</v>
      </c>
      <c r="AG324" s="73">
        <f>(cadangan[[#This Row],[Profit Normal A]]+cadangan[[#This Row],[Profit Normal B]]+cadangan[[#This Row],[Profit Normal C]])</f>
        <v>390000</v>
      </c>
      <c r="AH324" s="73">
        <f>cadangan[[#This Row],[Profit Diskon A]]+cadangan[[#This Row],[Profit Diskon B]]+cadangan[[#This Row],[Profit Diskon C]]</f>
        <v>285000</v>
      </c>
      <c r="AI324" s="23" t="s">
        <v>31</v>
      </c>
      <c r="AJ324" s="37">
        <f>IFERROR(INDEX('Kode Diskon'!$D$3:$D$9,MATCH(cadangan[[#This Row],[Kode diskon]],'Kode Diskon'!$C$3:$C$9,0)),"-")</f>
        <v>0.1</v>
      </c>
      <c r="AK324" s="23" t="s">
        <v>9</v>
      </c>
      <c r="AL324" s="23" t="s">
        <v>10</v>
      </c>
      <c r="AM324" s="23" t="s">
        <v>80</v>
      </c>
      <c r="AN324" s="55">
        <v>45042</v>
      </c>
      <c r="AO324" s="53">
        <f>DAY(cadangan[[#This Row],[Tanggal terjual]])</f>
        <v>26</v>
      </c>
      <c r="AP324" s="21" t="str">
        <f>TEXT(cadangan[[#This Row],[Tanggal terjual]],"dddd")</f>
        <v>Wednesday</v>
      </c>
      <c r="AQ324" s="23" t="str" cm="1">
        <f t="array" ref="AQ3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24" s="61">
        <f>AVERAGE(cadangan[[#This Row],[Rating A]],cadangan[[#This Row],[Rating B]],cadangan[[#This Row],[Rating C]])</f>
        <v>1</v>
      </c>
    </row>
    <row r="325" spans="1:44" x14ac:dyDescent="0.2">
      <c r="A325" s="20">
        <v>324</v>
      </c>
      <c r="B325" s="21" t="str">
        <f>_xlfn.CONCAT("ORD-",INDEX(Helper!$B$2:$B$5,MATCH(cadangan[[#This Row],[Marketplace]],Helper!$A$2:$A$5,0)),TEXT(cadangan[[#This Row],[No]],"0000"),"-",TEXT(cadangan[[#This Row],[Tanggal terjual]],"dd/mm/yy"))</f>
        <v>ORD-SP0324-01/04/23</v>
      </c>
      <c r="C325" s="39" t="s">
        <v>63</v>
      </c>
      <c r="D325" s="39" t="str">
        <f>IFERROR(INDEX(Katalog!$A$3:$A$12,MATCH(cadangan[[#This Row],[ItemID A]],Katalog!$C$3:$C$12,0)),"-")</f>
        <v>Pakaian Pria</v>
      </c>
      <c r="E325" s="39" t="str">
        <f>IFERROR(INDEX(Katalog!$B$3:$B$12,MATCH(cadangan[[#This Row],[ItemID A]],Katalog!$C$3:$C$12,0)),"-")</f>
        <v>Jaket Jeans</v>
      </c>
      <c r="F325" s="50">
        <v>4</v>
      </c>
      <c r="G325" s="50">
        <v>4</v>
      </c>
      <c r="H325" s="73">
        <f>IFERROR(INDEX(Katalog!$D$3:$D$12,MATCH(cadangan[[#This Row],[ItemID A]],Katalog!$C$3:$C$12,0))*cadangan[[#This Row],[Qty A]],0)</f>
        <v>1600000</v>
      </c>
      <c r="I325" s="73">
        <f>IFERROR(cadangan[[#This Row],[Harga Normal A]]-(cadangan[[#This Row],[Harga Normal A]]*cadangan[[#This Row],[Diskon]]),cadangan[[#This Row],[Harga Normal A]])</f>
        <v>1440000</v>
      </c>
      <c r="J325" s="73">
        <f>INDEX(Katalog!$F$3:$F$12,MATCH(cadangan[[#This Row],[ItemID A]],Katalog!$C$3:$C$12,0))*cadangan[[#This Row],[Qty A]]</f>
        <v>600000</v>
      </c>
      <c r="K325" s="73">
        <f>IFERROR(cadangan[[#This Row],[Harga Diskon A]]-INDEX(Katalog!$E$3:$E$12,MATCH(cadangan[[#This Row],[ItemID A]],Katalog!$C$3:$C$12,0))*cadangan[[#This Row],[Qty A]],0)</f>
        <v>440000</v>
      </c>
      <c r="L325" s="39" t="s">
        <v>58</v>
      </c>
      <c r="M325" s="39" t="str">
        <f>IFERROR(INDEX(Katalog!$A$3:$A$12,MATCH(cadangan[[#This Row],[ItemID B]],Katalog!$C$3:$C$12,0)),"-")</f>
        <v>Pakaian Wanita</v>
      </c>
      <c r="N325" s="39" t="str">
        <f>IFERROR(INDEX(Katalog!$B$3:$B$12,MATCH(cadangan[[#This Row],[ItemID B]],Katalog!$C$3:$C$12,0)),"-")</f>
        <v>Dress</v>
      </c>
      <c r="O325" s="50">
        <v>1</v>
      </c>
      <c r="P325" s="50">
        <v>3</v>
      </c>
      <c r="Q325" s="73">
        <f>IFERROR(INDEX(Katalog!$D$3:$D$12,MATCH(cadangan[[#This Row],[ItemID B]],Katalog!$C$3:$C$12,0))*cadangan[[#This Row],[Qty B]],0)</f>
        <v>300000</v>
      </c>
      <c r="R325" s="73">
        <f>IFERROR(cadangan[[#This Row],[Harga Normal B]]-(cadangan[[#This Row],[Harga Normal B]]*cadangan[[#This Row],[Diskon]]),cadangan[[#This Row],[Harga Normal B]])</f>
        <v>270000</v>
      </c>
      <c r="S325" s="73">
        <f>IFERROR(INDEX(Katalog!$F$3:$F$12,MATCH(cadangan[[#This Row],[ItemID B]],Katalog!$C$3:$C$12,0))*cadangan[[#This Row],[Qty B]],0)</f>
        <v>100000</v>
      </c>
      <c r="T325" s="73">
        <f>IFERROR(cadangan[[#This Row],[Harga Diskon B]]-INDEX(Katalog!$E$3:$E$12,MATCH(cadangan[[#This Row],[ItemID B]],Katalog!$C$3:$C$12,0))*cadangan[[#This Row],[Qty B]],0)</f>
        <v>70000</v>
      </c>
      <c r="U325" s="39" t="s">
        <v>66</v>
      </c>
      <c r="V325" s="39" t="str">
        <f>IFERROR(INDEX(Katalog!$A$3:$A$12,MATCH(cadangan[[#This Row],[ItemID C]],Katalog!$C$3:$C$12,0)),"-")</f>
        <v>Sepatu Pria</v>
      </c>
      <c r="W325" s="39" t="str">
        <f>IFERROR(INDEX(Katalog!$B$3:$B$12,MATCH(cadangan[[#This Row],[ItemID C]],Katalog!$C$3:$C$12,0)),"-")</f>
        <v>Sandal Slip On</v>
      </c>
      <c r="X325" s="50">
        <v>2</v>
      </c>
      <c r="Y325" s="50">
        <v>4</v>
      </c>
      <c r="Z325" s="73">
        <f>IFERROR(INDEX(Katalog!$D$3:$D$12,MATCH(cadangan[[#This Row],[ItemID C]],Katalog!$C$3:$C$12,0))*cadangan[[#This Row],[Qty C]],0)</f>
        <v>300000</v>
      </c>
      <c r="AA325" s="73">
        <f>IFERROR(cadangan[[#This Row],[Harga Normal C]]-(cadangan[[#This Row],[Harga Normal C]]*cadangan[[#This Row],[Diskon]]),cadangan[[#This Row],[Harga Normal C]])</f>
        <v>270000</v>
      </c>
      <c r="AB325" s="73">
        <f>IFERROR(INDEX(Katalog!$F$3:$F$12,MATCH(cadangan[[#This Row],[ItemID C]],Katalog!$C$3:$C$12,0))*cadangan[[#This Row],[Qty C]],0)</f>
        <v>120000</v>
      </c>
      <c r="AC325" s="73">
        <f>IFERROR(cadangan[[#This Row],[Harga Diskon C]]-INDEX(Katalog!$E$3:$E$12,MATCH(cadangan[[#This Row],[ItemID C]],Katalog!$C$3:$C$12,0))*cadangan[[#This Row],[Qty C]],0)</f>
        <v>90000</v>
      </c>
      <c r="AD325" s="53">
        <f>cadangan[[#This Row],[Qty A]]+cadangan[[#This Row],[Qty B]]+cadangan[[#This Row],[Qty C]]</f>
        <v>7</v>
      </c>
      <c r="AE325" s="73">
        <f>cadangan[[#This Row],[Harga Normal A]]+cadangan[[#This Row],[Harga Normal B]]+cadangan[[#This Row],[Harga Normal C]]</f>
        <v>2200000</v>
      </c>
      <c r="AF325" s="73">
        <f>cadangan[[#This Row],[Harga Diskon A]]+cadangan[[#This Row],[Harga Diskon B]]+cadangan[[#This Row],[Harga Diskon C]]</f>
        <v>1980000</v>
      </c>
      <c r="AG325" s="73">
        <f>(cadangan[[#This Row],[Profit Normal A]]+cadangan[[#This Row],[Profit Normal B]]+cadangan[[#This Row],[Profit Normal C]])</f>
        <v>820000</v>
      </c>
      <c r="AH325" s="73">
        <f>cadangan[[#This Row],[Profit Diskon A]]+cadangan[[#This Row],[Profit Diskon B]]+cadangan[[#This Row],[Profit Diskon C]]</f>
        <v>600000</v>
      </c>
      <c r="AI325" s="23" t="s">
        <v>6</v>
      </c>
      <c r="AJ325" s="37">
        <f>IFERROR(INDEX('Kode Diskon'!$D$3:$D$9,MATCH(cadangan[[#This Row],[Kode diskon]],'Kode Diskon'!$C$3:$C$9,0)),"-")</f>
        <v>0.1</v>
      </c>
      <c r="AK325" s="23" t="s">
        <v>29</v>
      </c>
      <c r="AL325" s="23" t="s">
        <v>7</v>
      </c>
      <c r="AM325" s="23" t="s">
        <v>80</v>
      </c>
      <c r="AN325" s="55">
        <v>45017</v>
      </c>
      <c r="AO325" s="53">
        <f>DAY(cadangan[[#This Row],[Tanggal terjual]])</f>
        <v>1</v>
      </c>
      <c r="AP325" s="21" t="str">
        <f>TEXT(cadangan[[#This Row],[Tanggal terjual]],"dddd")</f>
        <v>Saturday</v>
      </c>
      <c r="AQ325" s="23" t="str" cm="1">
        <f t="array" ref="AQ3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5" s="61">
        <f>AVERAGE(cadangan[[#This Row],[Rating A]],cadangan[[#This Row],[Rating B]],cadangan[[#This Row],[Rating C]])</f>
        <v>3.6666666666666665</v>
      </c>
    </row>
    <row r="326" spans="1:44" x14ac:dyDescent="0.2">
      <c r="A326" s="20">
        <v>325</v>
      </c>
      <c r="B326" s="21" t="str">
        <f>_xlfn.CONCAT("ORD-",INDEX(Helper!$B$2:$B$5,MATCH(cadangan[[#This Row],[Marketplace]],Helper!$A$2:$A$5,0)),TEXT(cadangan[[#This Row],[No]],"0000"),"-",TEXT(cadangan[[#This Row],[Tanggal terjual]],"dd/mm/yy"))</f>
        <v>ORD-SP0325-05/04/23</v>
      </c>
      <c r="C326" s="39" t="s">
        <v>66</v>
      </c>
      <c r="D326" s="39" t="str">
        <f>IFERROR(INDEX(Katalog!$A$3:$A$12,MATCH(cadangan[[#This Row],[ItemID A]],Katalog!$C$3:$C$12,0)),"-")</f>
        <v>Sepatu Pria</v>
      </c>
      <c r="E326" s="39" t="str">
        <f>IFERROR(INDEX(Katalog!$B$3:$B$12,MATCH(cadangan[[#This Row],[ItemID A]],Katalog!$C$3:$C$12,0)),"-")</f>
        <v>Sandal Slip On</v>
      </c>
      <c r="F326" s="50">
        <v>3</v>
      </c>
      <c r="G326" s="50">
        <v>4</v>
      </c>
      <c r="H326" s="73">
        <f>IFERROR(INDEX(Katalog!$D$3:$D$12,MATCH(cadangan[[#This Row],[ItemID A]],Katalog!$C$3:$C$12,0))*cadangan[[#This Row],[Qty A]],0)</f>
        <v>450000</v>
      </c>
      <c r="I326" s="73">
        <f>IFERROR(cadangan[[#This Row],[Harga Normal A]]-(cadangan[[#This Row],[Harga Normal A]]*cadangan[[#This Row],[Diskon]]),cadangan[[#This Row],[Harga Normal A]])</f>
        <v>405000</v>
      </c>
      <c r="J326" s="73">
        <f>INDEX(Katalog!$F$3:$F$12,MATCH(cadangan[[#This Row],[ItemID A]],Katalog!$C$3:$C$12,0))*cadangan[[#This Row],[Qty A]]</f>
        <v>180000</v>
      </c>
      <c r="K326" s="73">
        <f>IFERROR(cadangan[[#This Row],[Harga Diskon A]]-INDEX(Katalog!$E$3:$E$12,MATCH(cadangan[[#This Row],[ItemID A]],Katalog!$C$3:$C$12,0))*cadangan[[#This Row],[Qty A]],0)</f>
        <v>135000</v>
      </c>
      <c r="L326" s="39" t="s">
        <v>59</v>
      </c>
      <c r="M326" s="39" t="str">
        <f>IFERROR(INDEX(Katalog!$A$3:$A$12,MATCH(cadangan[[#This Row],[ItemID B]],Katalog!$C$3:$C$12,0)),"-")</f>
        <v>Pakaian Wanita</v>
      </c>
      <c r="N326" s="39" t="str">
        <f>IFERROR(INDEX(Katalog!$B$3:$B$12,MATCH(cadangan[[#This Row],[ItemID B]],Katalog!$C$3:$C$12,0)),"-")</f>
        <v>Blouse</v>
      </c>
      <c r="O326" s="50">
        <v>2</v>
      </c>
      <c r="P326" s="50">
        <v>5</v>
      </c>
      <c r="Q326" s="73">
        <f>IFERROR(INDEX(Katalog!$D$3:$D$12,MATCH(cadangan[[#This Row],[ItemID B]],Katalog!$C$3:$C$12,0))*cadangan[[#This Row],[Qty B]],0)</f>
        <v>300000</v>
      </c>
      <c r="R326" s="73">
        <f>IFERROR(cadangan[[#This Row],[Harga Normal B]]-(cadangan[[#This Row],[Harga Normal B]]*cadangan[[#This Row],[Diskon]]),cadangan[[#This Row],[Harga Normal B]])</f>
        <v>270000</v>
      </c>
      <c r="S326" s="73">
        <f>IFERROR(INDEX(Katalog!$F$3:$F$12,MATCH(cadangan[[#This Row],[ItemID B]],Katalog!$C$3:$C$12,0))*cadangan[[#This Row],[Qty B]],0)</f>
        <v>100000</v>
      </c>
      <c r="T326" s="73">
        <f>IFERROR(cadangan[[#This Row],[Harga Diskon B]]-INDEX(Katalog!$E$3:$E$12,MATCH(cadangan[[#This Row],[ItemID B]],Katalog!$C$3:$C$12,0))*cadangan[[#This Row],[Qty B]],0)</f>
        <v>70000</v>
      </c>
      <c r="U326" s="39" t="s">
        <v>61</v>
      </c>
      <c r="V326" s="39" t="str">
        <f>IFERROR(INDEX(Katalog!$A$3:$A$12,MATCH(cadangan[[#This Row],[ItemID C]],Katalog!$C$3:$C$12,0)),"-")</f>
        <v>Pakaian Pria</v>
      </c>
      <c r="W326" s="39" t="str">
        <f>IFERROR(INDEX(Katalog!$B$3:$B$12,MATCH(cadangan[[#This Row],[ItemID C]],Katalog!$C$3:$C$12,0)),"-")</f>
        <v>Kaos Polo</v>
      </c>
      <c r="X326" s="50">
        <v>1</v>
      </c>
      <c r="Y326" s="50">
        <v>3</v>
      </c>
      <c r="Z326" s="73">
        <f>IFERROR(INDEX(Katalog!$D$3:$D$12,MATCH(cadangan[[#This Row],[ItemID C]],Katalog!$C$3:$C$12,0))*cadangan[[#This Row],[Qty C]],0)</f>
        <v>200000</v>
      </c>
      <c r="AA326" s="73">
        <f>IFERROR(cadangan[[#This Row],[Harga Normal C]]-(cadangan[[#This Row],[Harga Normal C]]*cadangan[[#This Row],[Diskon]]),cadangan[[#This Row],[Harga Normal C]])</f>
        <v>180000</v>
      </c>
      <c r="AB326" s="73">
        <f>IFERROR(INDEX(Katalog!$F$3:$F$12,MATCH(cadangan[[#This Row],[ItemID C]],Katalog!$C$3:$C$12,0))*cadangan[[#This Row],[Qty C]],0)</f>
        <v>80000</v>
      </c>
      <c r="AC326" s="73">
        <f>IFERROR(cadangan[[#This Row],[Harga Diskon C]]-INDEX(Katalog!$E$3:$E$12,MATCH(cadangan[[#This Row],[ItemID C]],Katalog!$C$3:$C$12,0))*cadangan[[#This Row],[Qty C]],0)</f>
        <v>60000</v>
      </c>
      <c r="AD326" s="53">
        <f>cadangan[[#This Row],[Qty A]]+cadangan[[#This Row],[Qty B]]+cadangan[[#This Row],[Qty C]]</f>
        <v>6</v>
      </c>
      <c r="AE326" s="73">
        <f>cadangan[[#This Row],[Harga Normal A]]+cadangan[[#This Row],[Harga Normal B]]+cadangan[[#This Row],[Harga Normal C]]</f>
        <v>950000</v>
      </c>
      <c r="AF326" s="73">
        <f>cadangan[[#This Row],[Harga Diskon A]]+cadangan[[#This Row],[Harga Diskon B]]+cadangan[[#This Row],[Harga Diskon C]]</f>
        <v>855000</v>
      </c>
      <c r="AG326" s="73">
        <f>(cadangan[[#This Row],[Profit Normal A]]+cadangan[[#This Row],[Profit Normal B]]+cadangan[[#This Row],[Profit Normal C]])</f>
        <v>360000</v>
      </c>
      <c r="AH326" s="73">
        <f>cadangan[[#This Row],[Profit Diskon A]]+cadangan[[#This Row],[Profit Diskon B]]+cadangan[[#This Row],[Profit Diskon C]]</f>
        <v>265000</v>
      </c>
      <c r="AI326" s="23" t="s">
        <v>6</v>
      </c>
      <c r="AJ326" s="37">
        <f>IFERROR(INDEX('Kode Diskon'!$D$3:$D$9,MATCH(cadangan[[#This Row],[Kode diskon]],'Kode Diskon'!$C$3:$C$9,0)),"-")</f>
        <v>0.1</v>
      </c>
      <c r="AK326" s="23" t="s">
        <v>29</v>
      </c>
      <c r="AL326" s="23" t="s">
        <v>7</v>
      </c>
      <c r="AM326" s="23" t="s">
        <v>79</v>
      </c>
      <c r="AN326" s="55">
        <v>45021</v>
      </c>
      <c r="AO326" s="53">
        <f>DAY(cadangan[[#This Row],[Tanggal terjual]])</f>
        <v>5</v>
      </c>
      <c r="AP326" s="21" t="str">
        <f>TEXT(cadangan[[#This Row],[Tanggal terjual]],"dddd")</f>
        <v>Wednesday</v>
      </c>
      <c r="AQ326" s="23" t="str" cm="1">
        <f t="array" ref="AQ3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6" s="61">
        <f>AVERAGE(cadangan[[#This Row],[Rating A]],cadangan[[#This Row],[Rating B]],cadangan[[#This Row],[Rating C]])</f>
        <v>4</v>
      </c>
    </row>
    <row r="327" spans="1:44" x14ac:dyDescent="0.2">
      <c r="A327" s="20">
        <v>326</v>
      </c>
      <c r="B327" s="21" t="str">
        <f>_xlfn.CONCAT("ORD-",INDEX(Helper!$B$2:$B$5,MATCH(cadangan[[#This Row],[Marketplace]],Helper!$A$2:$A$5,0)),TEXT(cadangan[[#This Row],[No]],"0000"),"-",TEXT(cadangan[[#This Row],[Tanggal terjual]],"dd/mm/yy"))</f>
        <v>ORD-TK0326-10/04/23</v>
      </c>
      <c r="C327" s="39" t="s">
        <v>65</v>
      </c>
      <c r="D327" s="39" t="str">
        <f>IFERROR(INDEX(Katalog!$A$3:$A$12,MATCH(cadangan[[#This Row],[ItemID A]],Katalog!$C$3:$C$12,0)),"-")</f>
        <v>Sepatu Pria</v>
      </c>
      <c r="E327" s="39" t="str">
        <f>IFERROR(INDEX(Katalog!$B$3:$B$12,MATCH(cadangan[[#This Row],[ItemID A]],Katalog!$C$3:$C$12,0)),"-")</f>
        <v>Sneakers</v>
      </c>
      <c r="F327" s="50">
        <v>1</v>
      </c>
      <c r="G327" s="50">
        <v>5</v>
      </c>
      <c r="H327" s="73">
        <f>IFERROR(INDEX(Katalog!$D$3:$D$12,MATCH(cadangan[[#This Row],[ItemID A]],Katalog!$C$3:$C$12,0))*cadangan[[#This Row],[Qty A]],0)</f>
        <v>500000</v>
      </c>
      <c r="I327" s="73">
        <f>IFERROR(cadangan[[#This Row],[Harga Normal A]]-(cadangan[[#This Row],[Harga Normal A]]*cadangan[[#This Row],[Diskon]]),cadangan[[#This Row],[Harga Normal A]])</f>
        <v>500000</v>
      </c>
      <c r="J327" s="73">
        <f>INDEX(Katalog!$F$3:$F$12,MATCH(cadangan[[#This Row],[ItemID A]],Katalog!$C$3:$C$12,0))*cadangan[[#This Row],[Qty A]]</f>
        <v>200000</v>
      </c>
      <c r="K327" s="73">
        <f>IFERROR(cadangan[[#This Row],[Harga Diskon A]]-INDEX(Katalog!$E$3:$E$12,MATCH(cadangan[[#This Row],[ItemID A]],Katalog!$C$3:$C$12,0))*cadangan[[#This Row],[Qty A]],0)</f>
        <v>200000</v>
      </c>
      <c r="M327" s="39" t="str">
        <f>IFERROR(INDEX(Katalog!$A$3:$A$12,MATCH(cadangan[[#This Row],[ItemID B]],Katalog!$C$3:$C$12,0)),"-")</f>
        <v>-</v>
      </c>
      <c r="N327" s="39" t="str">
        <f>IFERROR(INDEX(Katalog!$B$3:$B$12,MATCH(cadangan[[#This Row],[ItemID B]],Katalog!$C$3:$C$12,0)),"-")</f>
        <v>-</v>
      </c>
      <c r="Q327" s="73">
        <f>IFERROR(INDEX(Katalog!$D$3:$D$12,MATCH(cadangan[[#This Row],[ItemID B]],Katalog!$C$3:$C$12,0))*cadangan[[#This Row],[Qty B]],0)</f>
        <v>0</v>
      </c>
      <c r="R327" s="73">
        <f>IFERROR(cadangan[[#This Row],[Harga Normal B]]-(cadangan[[#This Row],[Harga Normal B]]*cadangan[[#This Row],[Diskon]]),cadangan[[#This Row],[Harga Normal B]])</f>
        <v>0</v>
      </c>
      <c r="S327" s="73">
        <f>IFERROR(INDEX(Katalog!$F$3:$F$12,MATCH(cadangan[[#This Row],[ItemID B]],Katalog!$C$3:$C$12,0))*cadangan[[#This Row],[Qty B]],0)</f>
        <v>0</v>
      </c>
      <c r="T327" s="73">
        <f>IFERROR(cadangan[[#This Row],[Harga Diskon B]]-INDEX(Katalog!$E$3:$E$12,MATCH(cadangan[[#This Row],[ItemID B]],Katalog!$C$3:$C$12,0))*cadangan[[#This Row],[Qty B]],0)</f>
        <v>0</v>
      </c>
      <c r="V327" s="39" t="str">
        <f>IFERROR(INDEX(Katalog!$A$3:$A$12,MATCH(cadangan[[#This Row],[ItemID C]],Katalog!$C$3:$C$12,0)),"-")</f>
        <v>-</v>
      </c>
      <c r="W327" s="39" t="str">
        <f>IFERROR(INDEX(Katalog!$B$3:$B$12,MATCH(cadangan[[#This Row],[ItemID C]],Katalog!$C$3:$C$12,0)),"-")</f>
        <v>-</v>
      </c>
      <c r="Z327" s="73">
        <f>IFERROR(INDEX(Katalog!$D$3:$D$12,MATCH(cadangan[[#This Row],[ItemID C]],Katalog!$C$3:$C$12,0))*cadangan[[#This Row],[Qty C]],0)</f>
        <v>0</v>
      </c>
      <c r="AA327" s="73">
        <f>IFERROR(cadangan[[#This Row],[Harga Normal C]]-(cadangan[[#This Row],[Harga Normal C]]*cadangan[[#This Row],[Diskon]]),cadangan[[#This Row],[Harga Normal C]])</f>
        <v>0</v>
      </c>
      <c r="AB327" s="73">
        <f>IFERROR(INDEX(Katalog!$F$3:$F$12,MATCH(cadangan[[#This Row],[ItemID C]],Katalog!$C$3:$C$12,0))*cadangan[[#This Row],[Qty C]],0)</f>
        <v>0</v>
      </c>
      <c r="AC327" s="73">
        <f>IFERROR(cadangan[[#This Row],[Harga Diskon C]]-INDEX(Katalog!$E$3:$E$12,MATCH(cadangan[[#This Row],[ItemID C]],Katalog!$C$3:$C$12,0))*cadangan[[#This Row],[Qty C]],0)</f>
        <v>0</v>
      </c>
      <c r="AD327" s="53">
        <f>cadangan[[#This Row],[Qty A]]+cadangan[[#This Row],[Qty B]]+cadangan[[#This Row],[Qty C]]</f>
        <v>1</v>
      </c>
      <c r="AE327" s="73">
        <f>cadangan[[#This Row],[Harga Normal A]]+cadangan[[#This Row],[Harga Normal B]]+cadangan[[#This Row],[Harga Normal C]]</f>
        <v>500000</v>
      </c>
      <c r="AF327" s="73">
        <f>cadangan[[#This Row],[Harga Diskon A]]+cadangan[[#This Row],[Harga Diskon B]]+cadangan[[#This Row],[Harga Diskon C]]</f>
        <v>500000</v>
      </c>
      <c r="AG327" s="73">
        <f>(cadangan[[#This Row],[Profit Normal A]]+cadangan[[#This Row],[Profit Normal B]]+cadangan[[#This Row],[Profit Normal C]])</f>
        <v>200000</v>
      </c>
      <c r="AH327" s="73">
        <f>cadangan[[#This Row],[Profit Diskon A]]+cadangan[[#This Row],[Profit Diskon B]]+cadangan[[#This Row],[Profit Diskon C]]</f>
        <v>200000</v>
      </c>
      <c r="AI327" s="23" t="s">
        <v>290</v>
      </c>
      <c r="AJ327" s="37" t="str">
        <f>IFERROR(INDEX('Kode Diskon'!$D$3:$D$9,MATCH(cadangan[[#This Row],[Kode diskon]],'Kode Diskon'!$C$3:$C$9,0)),"-")</f>
        <v>-</v>
      </c>
      <c r="AK327" s="23" t="s">
        <v>290</v>
      </c>
      <c r="AL327" s="23" t="s">
        <v>10</v>
      </c>
      <c r="AM327" s="23" t="s">
        <v>75</v>
      </c>
      <c r="AN327" s="55">
        <v>45026</v>
      </c>
      <c r="AO327" s="53">
        <f>DAY(cadangan[[#This Row],[Tanggal terjual]])</f>
        <v>10</v>
      </c>
      <c r="AP327" s="21" t="str">
        <f>TEXT(cadangan[[#This Row],[Tanggal terjual]],"dddd")</f>
        <v>Monday</v>
      </c>
      <c r="AQ327" s="23" t="str" cm="1">
        <f t="array" ref="AQ3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27" s="61">
        <f>AVERAGE(cadangan[[#This Row],[Rating A]],cadangan[[#This Row],[Rating B]],cadangan[[#This Row],[Rating C]])</f>
        <v>5</v>
      </c>
    </row>
    <row r="328" spans="1:44" x14ac:dyDescent="0.2">
      <c r="A328" s="20">
        <v>327</v>
      </c>
      <c r="B328" s="21" t="str">
        <f>_xlfn.CONCAT("ORD-",INDEX(Helper!$B$2:$B$5,MATCH(cadangan[[#This Row],[Marketplace]],Helper!$A$2:$A$5,0)),TEXT(cadangan[[#This Row],[No]],"0000"),"-",TEXT(cadangan[[#This Row],[Tanggal terjual]],"dd/mm/yy"))</f>
        <v>ORD-TK0327-03/04/23</v>
      </c>
      <c r="C328" s="39" t="s">
        <v>62</v>
      </c>
      <c r="D328" s="39" t="str">
        <f>IFERROR(INDEX(Katalog!$A$3:$A$12,MATCH(cadangan[[#This Row],[ItemID A]],Katalog!$C$3:$C$12,0)),"-")</f>
        <v>Pakaian Pria</v>
      </c>
      <c r="E328" s="39" t="str">
        <f>IFERROR(INDEX(Katalog!$B$3:$B$12,MATCH(cadangan[[#This Row],[ItemID A]],Katalog!$C$3:$C$12,0)),"-")</f>
        <v>Celana Pendek</v>
      </c>
      <c r="F328" s="50">
        <v>2</v>
      </c>
      <c r="G328" s="50">
        <v>5</v>
      </c>
      <c r="H328" s="73">
        <f>IFERROR(INDEX(Katalog!$D$3:$D$12,MATCH(cadangan[[#This Row],[ItemID A]],Katalog!$C$3:$C$12,0))*cadangan[[#This Row],[Qty A]],0)</f>
        <v>360000</v>
      </c>
      <c r="I328" s="73">
        <f>IFERROR(cadangan[[#This Row],[Harga Normal A]]-(cadangan[[#This Row],[Harga Normal A]]*cadangan[[#This Row],[Diskon]]),cadangan[[#This Row],[Harga Normal A]])</f>
        <v>324000</v>
      </c>
      <c r="J328" s="73">
        <f>INDEX(Katalog!$F$3:$F$12,MATCH(cadangan[[#This Row],[ItemID A]],Katalog!$C$3:$C$12,0))*cadangan[[#This Row],[Qty A]]</f>
        <v>140000</v>
      </c>
      <c r="K328" s="73">
        <f>IFERROR(cadangan[[#This Row],[Harga Diskon A]]-INDEX(Katalog!$E$3:$E$12,MATCH(cadangan[[#This Row],[ItemID A]],Katalog!$C$3:$C$12,0))*cadangan[[#This Row],[Qty A]],0)</f>
        <v>104000</v>
      </c>
      <c r="L328" s="39" t="s">
        <v>58</v>
      </c>
      <c r="M328" s="39" t="str">
        <f>IFERROR(INDEX(Katalog!$A$3:$A$12,MATCH(cadangan[[#This Row],[ItemID B]],Katalog!$C$3:$C$12,0)),"-")</f>
        <v>Pakaian Wanita</v>
      </c>
      <c r="N328" s="39" t="str">
        <f>IFERROR(INDEX(Katalog!$B$3:$B$12,MATCH(cadangan[[#This Row],[ItemID B]],Katalog!$C$3:$C$12,0)),"-")</f>
        <v>Dress</v>
      </c>
      <c r="O328" s="50">
        <v>2</v>
      </c>
      <c r="P328" s="50">
        <v>3</v>
      </c>
      <c r="Q328" s="73">
        <f>IFERROR(INDEX(Katalog!$D$3:$D$12,MATCH(cadangan[[#This Row],[ItemID B]],Katalog!$C$3:$C$12,0))*cadangan[[#This Row],[Qty B]],0)</f>
        <v>600000</v>
      </c>
      <c r="R328" s="73">
        <f>IFERROR(cadangan[[#This Row],[Harga Normal B]]-(cadangan[[#This Row],[Harga Normal B]]*cadangan[[#This Row],[Diskon]]),cadangan[[#This Row],[Harga Normal B]])</f>
        <v>540000</v>
      </c>
      <c r="S328" s="73">
        <f>IFERROR(INDEX(Katalog!$F$3:$F$12,MATCH(cadangan[[#This Row],[ItemID B]],Katalog!$C$3:$C$12,0))*cadangan[[#This Row],[Qty B]],0)</f>
        <v>200000</v>
      </c>
      <c r="T328" s="73">
        <f>IFERROR(cadangan[[#This Row],[Harga Diskon B]]-INDEX(Katalog!$E$3:$E$12,MATCH(cadangan[[#This Row],[ItemID B]],Katalog!$C$3:$C$12,0))*cadangan[[#This Row],[Qty B]],0)</f>
        <v>140000</v>
      </c>
      <c r="U328" s="39" t="s">
        <v>60</v>
      </c>
      <c r="V328" s="39" t="str">
        <f>IFERROR(INDEX(Katalog!$A$3:$A$12,MATCH(cadangan[[#This Row],[ItemID C]],Katalog!$C$3:$C$12,0)),"-")</f>
        <v>Pakaian Wanita</v>
      </c>
      <c r="W328" s="39" t="str">
        <f>IFERROR(INDEX(Katalog!$B$3:$B$12,MATCH(cadangan[[#This Row],[ItemID C]],Katalog!$C$3:$C$12,0)),"-")</f>
        <v>Kaftan</v>
      </c>
      <c r="X328" s="50">
        <v>1</v>
      </c>
      <c r="Y328" s="50">
        <v>5</v>
      </c>
      <c r="Z328" s="73">
        <f>IFERROR(INDEX(Katalog!$D$3:$D$12,MATCH(cadangan[[#This Row],[ItemID C]],Katalog!$C$3:$C$12,0))*cadangan[[#This Row],[Qty C]],0)</f>
        <v>250000</v>
      </c>
      <c r="AA328" s="73">
        <f>IFERROR(cadangan[[#This Row],[Harga Normal C]]-(cadangan[[#This Row],[Harga Normal C]]*cadangan[[#This Row],[Diskon]]),cadangan[[#This Row],[Harga Normal C]])</f>
        <v>225000</v>
      </c>
      <c r="AB328" s="73">
        <f>IFERROR(INDEX(Katalog!$F$3:$F$12,MATCH(cadangan[[#This Row],[ItemID C]],Katalog!$C$3:$C$12,0))*cadangan[[#This Row],[Qty C]],0)</f>
        <v>100000</v>
      </c>
      <c r="AC328" s="73">
        <f>IFERROR(cadangan[[#This Row],[Harga Diskon C]]-INDEX(Katalog!$E$3:$E$12,MATCH(cadangan[[#This Row],[ItemID C]],Katalog!$C$3:$C$12,0))*cadangan[[#This Row],[Qty C]],0)</f>
        <v>75000</v>
      </c>
      <c r="AD328" s="53">
        <f>cadangan[[#This Row],[Qty A]]+cadangan[[#This Row],[Qty B]]+cadangan[[#This Row],[Qty C]]</f>
        <v>5</v>
      </c>
      <c r="AE328" s="73">
        <f>cadangan[[#This Row],[Harga Normal A]]+cadangan[[#This Row],[Harga Normal B]]+cadangan[[#This Row],[Harga Normal C]]</f>
        <v>1210000</v>
      </c>
      <c r="AF328" s="73">
        <f>cadangan[[#This Row],[Harga Diskon A]]+cadangan[[#This Row],[Harga Diskon B]]+cadangan[[#This Row],[Harga Diskon C]]</f>
        <v>1089000</v>
      </c>
      <c r="AG328" s="73">
        <f>(cadangan[[#This Row],[Profit Normal A]]+cadangan[[#This Row],[Profit Normal B]]+cadangan[[#This Row],[Profit Normal C]])</f>
        <v>440000</v>
      </c>
      <c r="AH328" s="73">
        <f>cadangan[[#This Row],[Profit Diskon A]]+cadangan[[#This Row],[Profit Diskon B]]+cadangan[[#This Row],[Profit Diskon C]]</f>
        <v>319000</v>
      </c>
      <c r="AI328" s="23" t="s">
        <v>30</v>
      </c>
      <c r="AJ328" s="37">
        <f>IFERROR(INDEX('Kode Diskon'!$D$3:$D$9,MATCH(cadangan[[#This Row],[Kode diskon]],'Kode Diskon'!$C$3:$C$9,0)),"-")</f>
        <v>0.1</v>
      </c>
      <c r="AK328" s="23" t="s">
        <v>29</v>
      </c>
      <c r="AL328" s="23" t="s">
        <v>10</v>
      </c>
      <c r="AM328" s="23" t="s">
        <v>75</v>
      </c>
      <c r="AN328" s="55">
        <v>45019</v>
      </c>
      <c r="AO328" s="53">
        <f>DAY(cadangan[[#This Row],[Tanggal terjual]])</f>
        <v>3</v>
      </c>
      <c r="AP328" s="21" t="str">
        <f>TEXT(cadangan[[#This Row],[Tanggal terjual]],"dddd")</f>
        <v>Monday</v>
      </c>
      <c r="AQ328" s="23" t="str" cm="1">
        <f t="array" ref="AQ3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8" s="61">
        <f>AVERAGE(cadangan[[#This Row],[Rating A]],cadangan[[#This Row],[Rating B]],cadangan[[#This Row],[Rating C]])</f>
        <v>4.333333333333333</v>
      </c>
    </row>
    <row r="329" spans="1:44" x14ac:dyDescent="0.2">
      <c r="A329" s="20">
        <v>328</v>
      </c>
      <c r="B329" s="21" t="str">
        <f>_xlfn.CONCAT("ORD-",INDEX(Helper!$B$2:$B$5,MATCH(cadangan[[#This Row],[Marketplace]],Helper!$A$2:$A$5,0)),TEXT(cadangan[[#This Row],[No]],"0000"),"-",TEXT(cadangan[[#This Row],[Tanggal terjual]],"dd/mm/yy"))</f>
        <v>ORD-BB0328-05/04/23</v>
      </c>
      <c r="C329" s="39" t="s">
        <v>64</v>
      </c>
      <c r="D329" s="39" t="str">
        <f>IFERROR(INDEX(Katalog!$A$3:$A$12,MATCH(cadangan[[#This Row],[ItemID A]],Katalog!$C$3:$C$12,0)),"-")</f>
        <v>Pakaian Unisex</v>
      </c>
      <c r="E329" s="39" t="str">
        <f>IFERROR(INDEX(Katalog!$B$3:$B$12,MATCH(cadangan[[#This Row],[ItemID A]],Katalog!$C$3:$C$12,0)),"-")</f>
        <v>Jaket Hoodie</v>
      </c>
      <c r="F329" s="50">
        <v>1</v>
      </c>
      <c r="G329" s="50">
        <v>1</v>
      </c>
      <c r="H329" s="73">
        <f>IFERROR(INDEX(Katalog!$D$3:$D$12,MATCH(cadangan[[#This Row],[ItemID A]],Katalog!$C$3:$C$12,0))*cadangan[[#This Row],[Qty A]],0)</f>
        <v>350000</v>
      </c>
      <c r="I329" s="73">
        <f>IFERROR(cadangan[[#This Row],[Harga Normal A]]-(cadangan[[#This Row],[Harga Normal A]]*cadangan[[#This Row],[Diskon]]),cadangan[[#This Row],[Harga Normal A]])</f>
        <v>297500</v>
      </c>
      <c r="J329" s="73">
        <f>INDEX(Katalog!$F$3:$F$12,MATCH(cadangan[[#This Row],[ItemID A]],Katalog!$C$3:$C$12,0))*cadangan[[#This Row],[Qty A]]</f>
        <v>130000</v>
      </c>
      <c r="K329" s="73">
        <f>IFERROR(cadangan[[#This Row],[Harga Diskon A]]-INDEX(Katalog!$E$3:$E$12,MATCH(cadangan[[#This Row],[ItemID A]],Katalog!$C$3:$C$12,0))*cadangan[[#This Row],[Qty A]],0)</f>
        <v>77500</v>
      </c>
      <c r="M329" s="39" t="str">
        <f>IFERROR(INDEX(Katalog!$A$3:$A$12,MATCH(cadangan[[#This Row],[ItemID B]],Katalog!$C$3:$C$12,0)),"-")</f>
        <v>-</v>
      </c>
      <c r="N329" s="39" t="str">
        <f>IFERROR(INDEX(Katalog!$B$3:$B$12,MATCH(cadangan[[#This Row],[ItemID B]],Katalog!$C$3:$C$12,0)),"-")</f>
        <v>-</v>
      </c>
      <c r="Q329" s="73">
        <f>IFERROR(INDEX(Katalog!$D$3:$D$12,MATCH(cadangan[[#This Row],[ItemID B]],Katalog!$C$3:$C$12,0))*cadangan[[#This Row],[Qty B]],0)</f>
        <v>0</v>
      </c>
      <c r="R329" s="73">
        <f>IFERROR(cadangan[[#This Row],[Harga Normal B]]-(cadangan[[#This Row],[Harga Normal B]]*cadangan[[#This Row],[Diskon]]),cadangan[[#This Row],[Harga Normal B]])</f>
        <v>0</v>
      </c>
      <c r="S329" s="73">
        <f>IFERROR(INDEX(Katalog!$F$3:$F$12,MATCH(cadangan[[#This Row],[ItemID B]],Katalog!$C$3:$C$12,0))*cadangan[[#This Row],[Qty B]],0)</f>
        <v>0</v>
      </c>
      <c r="T329" s="73">
        <f>IFERROR(cadangan[[#This Row],[Harga Diskon B]]-INDEX(Katalog!$E$3:$E$12,MATCH(cadangan[[#This Row],[ItemID B]],Katalog!$C$3:$C$12,0))*cadangan[[#This Row],[Qty B]],0)</f>
        <v>0</v>
      </c>
      <c r="V329" s="39" t="str">
        <f>IFERROR(INDEX(Katalog!$A$3:$A$12,MATCH(cadangan[[#This Row],[ItemID C]],Katalog!$C$3:$C$12,0)),"-")</f>
        <v>-</v>
      </c>
      <c r="W329" s="39" t="str">
        <f>IFERROR(INDEX(Katalog!$B$3:$B$12,MATCH(cadangan[[#This Row],[ItemID C]],Katalog!$C$3:$C$12,0)),"-")</f>
        <v>-</v>
      </c>
      <c r="Z329" s="73">
        <f>IFERROR(INDEX(Katalog!$D$3:$D$12,MATCH(cadangan[[#This Row],[ItemID C]],Katalog!$C$3:$C$12,0))*cadangan[[#This Row],[Qty C]],0)</f>
        <v>0</v>
      </c>
      <c r="AA329" s="73">
        <f>IFERROR(cadangan[[#This Row],[Harga Normal C]]-(cadangan[[#This Row],[Harga Normal C]]*cadangan[[#This Row],[Diskon]]),cadangan[[#This Row],[Harga Normal C]])</f>
        <v>0</v>
      </c>
      <c r="AB329" s="73">
        <f>IFERROR(INDEX(Katalog!$F$3:$F$12,MATCH(cadangan[[#This Row],[ItemID C]],Katalog!$C$3:$C$12,0))*cadangan[[#This Row],[Qty C]],0)</f>
        <v>0</v>
      </c>
      <c r="AC329" s="73">
        <f>IFERROR(cadangan[[#This Row],[Harga Diskon C]]-INDEX(Katalog!$E$3:$E$12,MATCH(cadangan[[#This Row],[ItemID C]],Katalog!$C$3:$C$12,0))*cadangan[[#This Row],[Qty C]],0)</f>
        <v>0</v>
      </c>
      <c r="AD329" s="53">
        <f>cadangan[[#This Row],[Qty A]]+cadangan[[#This Row],[Qty B]]+cadangan[[#This Row],[Qty C]]</f>
        <v>1</v>
      </c>
      <c r="AE329" s="73">
        <f>cadangan[[#This Row],[Harga Normal A]]+cadangan[[#This Row],[Harga Normal B]]+cadangan[[#This Row],[Harga Normal C]]</f>
        <v>350000</v>
      </c>
      <c r="AF329" s="73">
        <f>cadangan[[#This Row],[Harga Diskon A]]+cadangan[[#This Row],[Harga Diskon B]]+cadangan[[#This Row],[Harga Diskon C]]</f>
        <v>297500</v>
      </c>
      <c r="AG329" s="73">
        <f>(cadangan[[#This Row],[Profit Normal A]]+cadangan[[#This Row],[Profit Normal B]]+cadangan[[#This Row],[Profit Normal C]])</f>
        <v>130000</v>
      </c>
      <c r="AH329" s="73">
        <f>cadangan[[#This Row],[Profit Diskon A]]+cadangan[[#This Row],[Profit Diskon B]]+cadangan[[#This Row],[Profit Diskon C]]</f>
        <v>77500</v>
      </c>
      <c r="AI329" s="23" t="s">
        <v>28</v>
      </c>
      <c r="AJ329" s="37">
        <f>IFERROR(INDEX('Kode Diskon'!$D$3:$D$9,MATCH(cadangan[[#This Row],[Kode diskon]],'Kode Diskon'!$C$3:$C$9,0)),"-")</f>
        <v>0.15</v>
      </c>
      <c r="AK329" s="23" t="s">
        <v>29</v>
      </c>
      <c r="AL329" s="23" t="s">
        <v>14</v>
      </c>
      <c r="AM329" s="23" t="s">
        <v>80</v>
      </c>
      <c r="AN329" s="55">
        <v>45021</v>
      </c>
      <c r="AO329" s="53">
        <f>DAY(cadangan[[#This Row],[Tanggal terjual]])</f>
        <v>5</v>
      </c>
      <c r="AP329" s="21" t="str">
        <f>TEXT(cadangan[[#This Row],[Tanggal terjual]],"dddd")</f>
        <v>Wednesday</v>
      </c>
      <c r="AQ329" s="23" t="str" cm="1">
        <f t="array" ref="AQ3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29" s="61">
        <f>AVERAGE(cadangan[[#This Row],[Rating A]],cadangan[[#This Row],[Rating B]],cadangan[[#This Row],[Rating C]])</f>
        <v>1</v>
      </c>
    </row>
    <row r="330" spans="1:44" x14ac:dyDescent="0.2">
      <c r="A330" s="20">
        <v>329</v>
      </c>
      <c r="B330" s="21" t="str">
        <f>_xlfn.CONCAT("ORD-",INDEX(Helper!$B$2:$B$5,MATCH(cadangan[[#This Row],[Marketplace]],Helper!$A$2:$A$5,0)),TEXT(cadangan[[#This Row],[No]],"0000"),"-",TEXT(cadangan[[#This Row],[Tanggal terjual]],"dd/mm/yy"))</f>
        <v>ORD-SP0329-02/04/23</v>
      </c>
      <c r="C330" s="39" t="s">
        <v>59</v>
      </c>
      <c r="D330" s="39" t="str">
        <f>IFERROR(INDEX(Katalog!$A$3:$A$12,MATCH(cadangan[[#This Row],[ItemID A]],Katalog!$C$3:$C$12,0)),"-")</f>
        <v>Pakaian Wanita</v>
      </c>
      <c r="E330" s="39" t="str">
        <f>IFERROR(INDEX(Katalog!$B$3:$B$12,MATCH(cadangan[[#This Row],[ItemID A]],Katalog!$C$3:$C$12,0)),"-")</f>
        <v>Blouse</v>
      </c>
      <c r="F330" s="50">
        <v>2</v>
      </c>
      <c r="G330" s="50">
        <v>2</v>
      </c>
      <c r="H330" s="73">
        <f>IFERROR(INDEX(Katalog!$D$3:$D$12,MATCH(cadangan[[#This Row],[ItemID A]],Katalog!$C$3:$C$12,0))*cadangan[[#This Row],[Qty A]],0)</f>
        <v>300000</v>
      </c>
      <c r="I330" s="73">
        <f>IFERROR(cadangan[[#This Row],[Harga Normal A]]-(cadangan[[#This Row],[Harga Normal A]]*cadangan[[#This Row],[Diskon]]),cadangan[[#This Row],[Harga Normal A]])</f>
        <v>270000</v>
      </c>
      <c r="J330" s="73">
        <f>INDEX(Katalog!$F$3:$F$12,MATCH(cadangan[[#This Row],[ItemID A]],Katalog!$C$3:$C$12,0))*cadangan[[#This Row],[Qty A]]</f>
        <v>100000</v>
      </c>
      <c r="K330" s="73">
        <f>IFERROR(cadangan[[#This Row],[Harga Diskon A]]-INDEX(Katalog!$E$3:$E$12,MATCH(cadangan[[#This Row],[ItemID A]],Katalog!$C$3:$C$12,0))*cadangan[[#This Row],[Qty A]],0)</f>
        <v>70000</v>
      </c>
      <c r="L330" s="39" t="s">
        <v>64</v>
      </c>
      <c r="M330" s="39" t="str">
        <f>IFERROR(INDEX(Katalog!$A$3:$A$12,MATCH(cadangan[[#This Row],[ItemID B]],Katalog!$C$3:$C$12,0)),"-")</f>
        <v>Pakaian Unisex</v>
      </c>
      <c r="N330" s="39" t="str">
        <f>IFERROR(INDEX(Katalog!$B$3:$B$12,MATCH(cadangan[[#This Row],[ItemID B]],Katalog!$C$3:$C$12,0)),"-")</f>
        <v>Jaket Hoodie</v>
      </c>
      <c r="O330" s="50">
        <v>1</v>
      </c>
      <c r="P330" s="50">
        <v>3</v>
      </c>
      <c r="Q330" s="73">
        <f>IFERROR(INDEX(Katalog!$D$3:$D$12,MATCH(cadangan[[#This Row],[ItemID B]],Katalog!$C$3:$C$12,0))*cadangan[[#This Row],[Qty B]],0)</f>
        <v>350000</v>
      </c>
      <c r="R330" s="73">
        <f>IFERROR(cadangan[[#This Row],[Harga Normal B]]-(cadangan[[#This Row],[Harga Normal B]]*cadangan[[#This Row],[Diskon]]),cadangan[[#This Row],[Harga Normal B]])</f>
        <v>315000</v>
      </c>
      <c r="S330" s="73">
        <f>IFERROR(INDEX(Katalog!$F$3:$F$12,MATCH(cadangan[[#This Row],[ItemID B]],Katalog!$C$3:$C$12,0))*cadangan[[#This Row],[Qty B]],0)</f>
        <v>130000</v>
      </c>
      <c r="T330" s="73">
        <f>IFERROR(cadangan[[#This Row],[Harga Diskon B]]-INDEX(Katalog!$E$3:$E$12,MATCH(cadangan[[#This Row],[ItemID B]],Katalog!$C$3:$C$12,0))*cadangan[[#This Row],[Qty B]],0)</f>
        <v>95000</v>
      </c>
      <c r="U330" s="39" t="s">
        <v>61</v>
      </c>
      <c r="V330" s="39" t="str">
        <f>IFERROR(INDEX(Katalog!$A$3:$A$12,MATCH(cadangan[[#This Row],[ItemID C]],Katalog!$C$3:$C$12,0)),"-")</f>
        <v>Pakaian Pria</v>
      </c>
      <c r="W330" s="39" t="str">
        <f>IFERROR(INDEX(Katalog!$B$3:$B$12,MATCH(cadangan[[#This Row],[ItemID C]],Katalog!$C$3:$C$12,0)),"-")</f>
        <v>Kaos Polo</v>
      </c>
      <c r="X330" s="50">
        <v>1</v>
      </c>
      <c r="Y330" s="50">
        <v>5</v>
      </c>
      <c r="Z330" s="73">
        <f>IFERROR(INDEX(Katalog!$D$3:$D$12,MATCH(cadangan[[#This Row],[ItemID C]],Katalog!$C$3:$C$12,0))*cadangan[[#This Row],[Qty C]],0)</f>
        <v>200000</v>
      </c>
      <c r="AA330" s="73">
        <f>IFERROR(cadangan[[#This Row],[Harga Normal C]]-(cadangan[[#This Row],[Harga Normal C]]*cadangan[[#This Row],[Diskon]]),cadangan[[#This Row],[Harga Normal C]])</f>
        <v>180000</v>
      </c>
      <c r="AB330" s="73">
        <f>IFERROR(INDEX(Katalog!$F$3:$F$12,MATCH(cadangan[[#This Row],[ItemID C]],Katalog!$C$3:$C$12,0))*cadangan[[#This Row],[Qty C]],0)</f>
        <v>80000</v>
      </c>
      <c r="AC330" s="73">
        <f>IFERROR(cadangan[[#This Row],[Harga Diskon C]]-INDEX(Katalog!$E$3:$E$12,MATCH(cadangan[[#This Row],[ItemID C]],Katalog!$C$3:$C$12,0))*cadangan[[#This Row],[Qty C]],0)</f>
        <v>60000</v>
      </c>
      <c r="AD330" s="53">
        <f>cadangan[[#This Row],[Qty A]]+cadangan[[#This Row],[Qty B]]+cadangan[[#This Row],[Qty C]]</f>
        <v>4</v>
      </c>
      <c r="AE330" s="73">
        <f>cadangan[[#This Row],[Harga Normal A]]+cadangan[[#This Row],[Harga Normal B]]+cadangan[[#This Row],[Harga Normal C]]</f>
        <v>850000</v>
      </c>
      <c r="AF330" s="73">
        <f>cadangan[[#This Row],[Harga Diskon A]]+cadangan[[#This Row],[Harga Diskon B]]+cadangan[[#This Row],[Harga Diskon C]]</f>
        <v>765000</v>
      </c>
      <c r="AG330" s="73">
        <f>(cadangan[[#This Row],[Profit Normal A]]+cadangan[[#This Row],[Profit Normal B]]+cadangan[[#This Row],[Profit Normal C]])</f>
        <v>310000</v>
      </c>
      <c r="AH330" s="73">
        <f>cadangan[[#This Row],[Profit Diskon A]]+cadangan[[#This Row],[Profit Diskon B]]+cadangan[[#This Row],[Profit Diskon C]]</f>
        <v>225000</v>
      </c>
      <c r="AI330" s="23" t="s">
        <v>6</v>
      </c>
      <c r="AJ330" s="37">
        <f>IFERROR(INDEX('Kode Diskon'!$D$3:$D$9,MATCH(cadangan[[#This Row],[Kode diskon]],'Kode Diskon'!$C$3:$C$9,0)),"-")</f>
        <v>0.1</v>
      </c>
      <c r="AK330" s="23" t="s">
        <v>29</v>
      </c>
      <c r="AL330" s="23" t="s">
        <v>7</v>
      </c>
      <c r="AM330" s="23" t="s">
        <v>79</v>
      </c>
      <c r="AN330" s="55">
        <v>45018</v>
      </c>
      <c r="AO330" s="53">
        <f>DAY(cadangan[[#This Row],[Tanggal terjual]])</f>
        <v>2</v>
      </c>
      <c r="AP330" s="21" t="str">
        <f>TEXT(cadangan[[#This Row],[Tanggal terjual]],"dddd")</f>
        <v>Sunday</v>
      </c>
      <c r="AQ330" s="23" t="str" cm="1">
        <f t="array" ref="AQ3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30" s="61">
        <f>AVERAGE(cadangan[[#This Row],[Rating A]],cadangan[[#This Row],[Rating B]],cadangan[[#This Row],[Rating C]])</f>
        <v>3.3333333333333335</v>
      </c>
    </row>
    <row r="331" spans="1:44" x14ac:dyDescent="0.2">
      <c r="A331" s="20">
        <v>330</v>
      </c>
      <c r="B331" s="21" t="str">
        <f>_xlfn.CONCAT("ORD-",INDEX(Helper!$B$2:$B$5,MATCH(cadangan[[#This Row],[Marketplace]],Helper!$A$2:$A$5,0)),TEXT(cadangan[[#This Row],[No]],"0000"),"-",TEXT(cadangan[[#This Row],[Tanggal terjual]],"dd/mm/yy"))</f>
        <v>ORD-SP0330-02/04/23</v>
      </c>
      <c r="C331" s="39" t="s">
        <v>59</v>
      </c>
      <c r="D331" s="39" t="str">
        <f>IFERROR(INDEX(Katalog!$A$3:$A$12,MATCH(cadangan[[#This Row],[ItemID A]],Katalog!$C$3:$C$12,0)),"-")</f>
        <v>Pakaian Wanita</v>
      </c>
      <c r="E331" s="39" t="str">
        <f>IFERROR(INDEX(Katalog!$B$3:$B$12,MATCH(cadangan[[#This Row],[ItemID A]],Katalog!$C$3:$C$12,0)),"-")</f>
        <v>Blouse</v>
      </c>
      <c r="F331" s="50">
        <v>1</v>
      </c>
      <c r="G331" s="50">
        <v>1</v>
      </c>
      <c r="H331" s="73">
        <f>IFERROR(INDEX(Katalog!$D$3:$D$12,MATCH(cadangan[[#This Row],[ItemID A]],Katalog!$C$3:$C$12,0))*cadangan[[#This Row],[Qty A]],0)</f>
        <v>150000</v>
      </c>
      <c r="I331" s="73">
        <f>IFERROR(cadangan[[#This Row],[Harga Normal A]]-(cadangan[[#This Row],[Harga Normal A]]*cadangan[[#This Row],[Diskon]]),cadangan[[#This Row],[Harga Normal A]])</f>
        <v>135000</v>
      </c>
      <c r="J331" s="73">
        <f>INDEX(Katalog!$F$3:$F$12,MATCH(cadangan[[#This Row],[ItemID A]],Katalog!$C$3:$C$12,0))*cadangan[[#This Row],[Qty A]]</f>
        <v>50000</v>
      </c>
      <c r="K331" s="73">
        <f>IFERROR(cadangan[[#This Row],[Harga Diskon A]]-INDEX(Katalog!$E$3:$E$12,MATCH(cadangan[[#This Row],[ItemID A]],Katalog!$C$3:$C$12,0))*cadangan[[#This Row],[Qty A]],0)</f>
        <v>35000</v>
      </c>
      <c r="M331" s="39" t="str">
        <f>IFERROR(INDEX(Katalog!$A$3:$A$12,MATCH(cadangan[[#This Row],[ItemID B]],Katalog!$C$3:$C$12,0)),"-")</f>
        <v>-</v>
      </c>
      <c r="N331" s="39" t="str">
        <f>IFERROR(INDEX(Katalog!$B$3:$B$12,MATCH(cadangan[[#This Row],[ItemID B]],Katalog!$C$3:$C$12,0)),"-")</f>
        <v>-</v>
      </c>
      <c r="Q331" s="73">
        <f>IFERROR(INDEX(Katalog!$D$3:$D$12,MATCH(cadangan[[#This Row],[ItemID B]],Katalog!$C$3:$C$12,0))*cadangan[[#This Row],[Qty B]],0)</f>
        <v>0</v>
      </c>
      <c r="R331" s="73">
        <f>IFERROR(cadangan[[#This Row],[Harga Normal B]]-(cadangan[[#This Row],[Harga Normal B]]*cadangan[[#This Row],[Diskon]]),cadangan[[#This Row],[Harga Normal B]])</f>
        <v>0</v>
      </c>
      <c r="S331" s="73">
        <f>IFERROR(INDEX(Katalog!$F$3:$F$12,MATCH(cadangan[[#This Row],[ItemID B]],Katalog!$C$3:$C$12,0))*cadangan[[#This Row],[Qty B]],0)</f>
        <v>0</v>
      </c>
      <c r="T331" s="73">
        <f>IFERROR(cadangan[[#This Row],[Harga Diskon B]]-INDEX(Katalog!$E$3:$E$12,MATCH(cadangan[[#This Row],[ItemID B]],Katalog!$C$3:$C$12,0))*cadangan[[#This Row],[Qty B]],0)</f>
        <v>0</v>
      </c>
      <c r="V331" s="39" t="str">
        <f>IFERROR(INDEX(Katalog!$A$3:$A$12,MATCH(cadangan[[#This Row],[ItemID C]],Katalog!$C$3:$C$12,0)),"-")</f>
        <v>-</v>
      </c>
      <c r="W331" s="39" t="str">
        <f>IFERROR(INDEX(Katalog!$B$3:$B$12,MATCH(cadangan[[#This Row],[ItemID C]],Katalog!$C$3:$C$12,0)),"-")</f>
        <v>-</v>
      </c>
      <c r="Z331" s="73">
        <f>IFERROR(INDEX(Katalog!$D$3:$D$12,MATCH(cadangan[[#This Row],[ItemID C]],Katalog!$C$3:$C$12,0))*cadangan[[#This Row],[Qty C]],0)</f>
        <v>0</v>
      </c>
      <c r="AA331" s="73">
        <f>IFERROR(cadangan[[#This Row],[Harga Normal C]]-(cadangan[[#This Row],[Harga Normal C]]*cadangan[[#This Row],[Diskon]]),cadangan[[#This Row],[Harga Normal C]])</f>
        <v>0</v>
      </c>
      <c r="AB331" s="73">
        <f>IFERROR(INDEX(Katalog!$F$3:$F$12,MATCH(cadangan[[#This Row],[ItemID C]],Katalog!$C$3:$C$12,0))*cadangan[[#This Row],[Qty C]],0)</f>
        <v>0</v>
      </c>
      <c r="AC331" s="73">
        <f>IFERROR(cadangan[[#This Row],[Harga Diskon C]]-INDEX(Katalog!$E$3:$E$12,MATCH(cadangan[[#This Row],[ItemID C]],Katalog!$C$3:$C$12,0))*cadangan[[#This Row],[Qty C]],0)</f>
        <v>0</v>
      </c>
      <c r="AD331" s="53">
        <f>cadangan[[#This Row],[Qty A]]+cadangan[[#This Row],[Qty B]]+cadangan[[#This Row],[Qty C]]</f>
        <v>1</v>
      </c>
      <c r="AE331" s="73">
        <f>cadangan[[#This Row],[Harga Normal A]]+cadangan[[#This Row],[Harga Normal B]]+cadangan[[#This Row],[Harga Normal C]]</f>
        <v>150000</v>
      </c>
      <c r="AF331" s="73">
        <f>cadangan[[#This Row],[Harga Diskon A]]+cadangan[[#This Row],[Harga Diskon B]]+cadangan[[#This Row],[Harga Diskon C]]</f>
        <v>135000</v>
      </c>
      <c r="AG331" s="73">
        <f>(cadangan[[#This Row],[Profit Normal A]]+cadangan[[#This Row],[Profit Normal B]]+cadangan[[#This Row],[Profit Normal C]])</f>
        <v>50000</v>
      </c>
      <c r="AH331" s="73">
        <f>cadangan[[#This Row],[Profit Diskon A]]+cadangan[[#This Row],[Profit Diskon B]]+cadangan[[#This Row],[Profit Diskon C]]</f>
        <v>35000</v>
      </c>
      <c r="AI331" s="23" t="s">
        <v>6</v>
      </c>
      <c r="AJ331" s="37">
        <f>IFERROR(INDEX('Kode Diskon'!$D$3:$D$9,MATCH(cadangan[[#This Row],[Kode diskon]],'Kode Diskon'!$C$3:$C$9,0)),"-")</f>
        <v>0.1</v>
      </c>
      <c r="AK331" s="23" t="s">
        <v>29</v>
      </c>
      <c r="AL331" s="23" t="s">
        <v>7</v>
      </c>
      <c r="AM331" s="23" t="s">
        <v>78</v>
      </c>
      <c r="AN331" s="55">
        <v>45018</v>
      </c>
      <c r="AO331" s="53">
        <f>DAY(cadangan[[#This Row],[Tanggal terjual]])</f>
        <v>2</v>
      </c>
      <c r="AP331" s="21" t="str">
        <f>TEXT(cadangan[[#This Row],[Tanggal terjual]],"dddd")</f>
        <v>Sunday</v>
      </c>
      <c r="AQ331" s="23" t="str" cm="1">
        <f t="array" ref="AQ3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31" s="61">
        <f>AVERAGE(cadangan[[#This Row],[Rating A]],cadangan[[#This Row],[Rating B]],cadangan[[#This Row],[Rating C]])</f>
        <v>1</v>
      </c>
    </row>
    <row r="332" spans="1:44" x14ac:dyDescent="0.2">
      <c r="A332" s="20">
        <v>331</v>
      </c>
      <c r="B332" s="21" t="str">
        <f>_xlfn.CONCAT("ORD-",INDEX(Helper!$B$2:$B$5,MATCH(cadangan[[#This Row],[Marketplace]],Helper!$A$2:$A$5,0)),TEXT(cadangan[[#This Row],[No]],"0000"),"-",TEXT(cadangan[[#This Row],[Tanggal terjual]],"dd/mm/yy"))</f>
        <v>ORD-SP0331-12/04/23</v>
      </c>
      <c r="C332" s="39" t="s">
        <v>59</v>
      </c>
      <c r="D332" s="39" t="str">
        <f>IFERROR(INDEX(Katalog!$A$3:$A$12,MATCH(cadangan[[#This Row],[ItemID A]],Katalog!$C$3:$C$12,0)),"-")</f>
        <v>Pakaian Wanita</v>
      </c>
      <c r="E332" s="39" t="str">
        <f>IFERROR(INDEX(Katalog!$B$3:$B$12,MATCH(cadangan[[#This Row],[ItemID A]],Katalog!$C$3:$C$12,0)),"-")</f>
        <v>Blouse</v>
      </c>
      <c r="F332" s="50">
        <v>1</v>
      </c>
      <c r="G332" s="50">
        <v>4</v>
      </c>
      <c r="H332" s="73">
        <f>IFERROR(INDEX(Katalog!$D$3:$D$12,MATCH(cadangan[[#This Row],[ItemID A]],Katalog!$C$3:$C$12,0))*cadangan[[#This Row],[Qty A]],0)</f>
        <v>150000</v>
      </c>
      <c r="I332" s="73">
        <f>IFERROR(cadangan[[#This Row],[Harga Normal A]]-(cadangan[[#This Row],[Harga Normal A]]*cadangan[[#This Row],[Diskon]]),cadangan[[#This Row],[Harga Normal A]])</f>
        <v>150000</v>
      </c>
      <c r="J332" s="73">
        <f>INDEX(Katalog!$F$3:$F$12,MATCH(cadangan[[#This Row],[ItemID A]],Katalog!$C$3:$C$12,0))*cadangan[[#This Row],[Qty A]]</f>
        <v>50000</v>
      </c>
      <c r="K332" s="73">
        <f>IFERROR(cadangan[[#This Row],[Harga Diskon A]]-INDEX(Katalog!$E$3:$E$12,MATCH(cadangan[[#This Row],[ItemID A]],Katalog!$C$3:$C$12,0))*cadangan[[#This Row],[Qty A]],0)</f>
        <v>50000</v>
      </c>
      <c r="L332" s="39" t="s">
        <v>66</v>
      </c>
      <c r="M332" s="39" t="str">
        <f>IFERROR(INDEX(Katalog!$A$3:$A$12,MATCH(cadangan[[#This Row],[ItemID B]],Katalog!$C$3:$C$12,0)),"-")</f>
        <v>Sepatu Pria</v>
      </c>
      <c r="N332" s="39" t="str">
        <f>IFERROR(INDEX(Katalog!$B$3:$B$12,MATCH(cadangan[[#This Row],[ItemID B]],Katalog!$C$3:$C$12,0)),"-")</f>
        <v>Sandal Slip On</v>
      </c>
      <c r="O332" s="50">
        <v>1</v>
      </c>
      <c r="P332" s="50">
        <v>1</v>
      </c>
      <c r="Q332" s="73">
        <f>IFERROR(INDEX(Katalog!$D$3:$D$12,MATCH(cadangan[[#This Row],[ItemID B]],Katalog!$C$3:$C$12,0))*cadangan[[#This Row],[Qty B]],0)</f>
        <v>150000</v>
      </c>
      <c r="R332" s="73">
        <f>IFERROR(cadangan[[#This Row],[Harga Normal B]]-(cadangan[[#This Row],[Harga Normal B]]*cadangan[[#This Row],[Diskon]]),cadangan[[#This Row],[Harga Normal B]])</f>
        <v>150000</v>
      </c>
      <c r="S332" s="73">
        <f>IFERROR(INDEX(Katalog!$F$3:$F$12,MATCH(cadangan[[#This Row],[ItemID B]],Katalog!$C$3:$C$12,0))*cadangan[[#This Row],[Qty B]],0)</f>
        <v>60000</v>
      </c>
      <c r="T332" s="73">
        <f>IFERROR(cadangan[[#This Row],[Harga Diskon B]]-INDEX(Katalog!$E$3:$E$12,MATCH(cadangan[[#This Row],[ItemID B]],Katalog!$C$3:$C$12,0))*cadangan[[#This Row],[Qty B]],0)</f>
        <v>60000</v>
      </c>
      <c r="U332" s="39" t="s">
        <v>67</v>
      </c>
      <c r="V332" s="39" t="str">
        <f>IFERROR(INDEX(Katalog!$A$3:$A$12,MATCH(cadangan[[#This Row],[ItemID C]],Katalog!$C$3:$C$12,0)),"-")</f>
        <v>Sepatu Wanita</v>
      </c>
      <c r="W332" s="39" t="str">
        <f>IFERROR(INDEX(Katalog!$B$3:$B$12,MATCH(cadangan[[#This Row],[ItemID C]],Katalog!$C$3:$C$12,0)),"-")</f>
        <v>Flat Shoes</v>
      </c>
      <c r="X332" s="50">
        <v>2</v>
      </c>
      <c r="Y332" s="50">
        <v>2</v>
      </c>
      <c r="Z332" s="73">
        <f>IFERROR(INDEX(Katalog!$D$3:$D$12,MATCH(cadangan[[#This Row],[ItemID C]],Katalog!$C$3:$C$12,0))*cadangan[[#This Row],[Qty C]],0)</f>
        <v>500000</v>
      </c>
      <c r="AA332" s="73">
        <f>IFERROR(cadangan[[#This Row],[Harga Normal C]]-(cadangan[[#This Row],[Harga Normal C]]*cadangan[[#This Row],[Diskon]]),cadangan[[#This Row],[Harga Normal C]])</f>
        <v>500000</v>
      </c>
      <c r="AB332" s="73">
        <f>IFERROR(INDEX(Katalog!$F$3:$F$12,MATCH(cadangan[[#This Row],[ItemID C]],Katalog!$C$3:$C$12,0))*cadangan[[#This Row],[Qty C]],0)</f>
        <v>200000</v>
      </c>
      <c r="AC332" s="73">
        <f>IFERROR(cadangan[[#This Row],[Harga Diskon C]]-INDEX(Katalog!$E$3:$E$12,MATCH(cadangan[[#This Row],[ItemID C]],Katalog!$C$3:$C$12,0))*cadangan[[#This Row],[Qty C]],0)</f>
        <v>200000</v>
      </c>
      <c r="AD332" s="53">
        <f>cadangan[[#This Row],[Qty A]]+cadangan[[#This Row],[Qty B]]+cadangan[[#This Row],[Qty C]]</f>
        <v>4</v>
      </c>
      <c r="AE332" s="73">
        <f>cadangan[[#This Row],[Harga Normal A]]+cadangan[[#This Row],[Harga Normal B]]+cadangan[[#This Row],[Harga Normal C]]</f>
        <v>800000</v>
      </c>
      <c r="AF332" s="73">
        <f>cadangan[[#This Row],[Harga Diskon A]]+cadangan[[#This Row],[Harga Diskon B]]+cadangan[[#This Row],[Harga Diskon C]]</f>
        <v>800000</v>
      </c>
      <c r="AG332" s="73">
        <f>(cadangan[[#This Row],[Profit Normal A]]+cadangan[[#This Row],[Profit Normal B]]+cadangan[[#This Row],[Profit Normal C]])</f>
        <v>310000</v>
      </c>
      <c r="AH332" s="73">
        <f>cadangan[[#This Row],[Profit Diskon A]]+cadangan[[#This Row],[Profit Diskon B]]+cadangan[[#This Row],[Profit Diskon C]]</f>
        <v>310000</v>
      </c>
      <c r="AI332" s="23" t="s">
        <v>290</v>
      </c>
      <c r="AJ332" s="37" t="str">
        <f>IFERROR(INDEX('Kode Diskon'!$D$3:$D$9,MATCH(cadangan[[#This Row],[Kode diskon]],'Kode Diskon'!$C$3:$C$9,0)),"-")</f>
        <v>-</v>
      </c>
      <c r="AK332" s="23" t="s">
        <v>290</v>
      </c>
      <c r="AL332" s="23" t="s">
        <v>7</v>
      </c>
      <c r="AM332" s="23" t="s">
        <v>75</v>
      </c>
      <c r="AN332" s="55">
        <v>45028</v>
      </c>
      <c r="AO332" s="53">
        <f>DAY(cadangan[[#This Row],[Tanggal terjual]])</f>
        <v>12</v>
      </c>
      <c r="AP332" s="21" t="str">
        <f>TEXT(cadangan[[#This Row],[Tanggal terjual]],"dddd")</f>
        <v>Wednesday</v>
      </c>
      <c r="AQ332" s="23" t="str" cm="1">
        <f t="array" ref="AQ3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32" s="61">
        <f>AVERAGE(cadangan[[#This Row],[Rating A]],cadangan[[#This Row],[Rating B]],cadangan[[#This Row],[Rating C]])</f>
        <v>2.3333333333333335</v>
      </c>
    </row>
    <row r="333" spans="1:44" x14ac:dyDescent="0.2">
      <c r="A333" s="20">
        <v>332</v>
      </c>
      <c r="B333" s="21" t="str">
        <f>_xlfn.CONCAT("ORD-",INDEX(Helper!$B$2:$B$5,MATCH(cadangan[[#This Row],[Marketplace]],Helper!$A$2:$A$5,0)),TEXT(cadangan[[#This Row],[No]],"0000"),"-",TEXT(cadangan[[#This Row],[Tanggal terjual]],"dd/mm/yy"))</f>
        <v>ORD-SP0332-01/04/23</v>
      </c>
      <c r="C333" s="39" t="s">
        <v>63</v>
      </c>
      <c r="D333" s="39" t="str">
        <f>IFERROR(INDEX(Katalog!$A$3:$A$12,MATCH(cadangan[[#This Row],[ItemID A]],Katalog!$C$3:$C$12,0)),"-")</f>
        <v>Pakaian Pria</v>
      </c>
      <c r="E333" s="39" t="str">
        <f>IFERROR(INDEX(Katalog!$B$3:$B$12,MATCH(cadangan[[#This Row],[ItemID A]],Katalog!$C$3:$C$12,0)),"-")</f>
        <v>Jaket Jeans</v>
      </c>
      <c r="F333" s="50">
        <v>2</v>
      </c>
      <c r="G333" s="50">
        <v>4</v>
      </c>
      <c r="H333" s="73">
        <f>IFERROR(INDEX(Katalog!$D$3:$D$12,MATCH(cadangan[[#This Row],[ItemID A]],Katalog!$C$3:$C$12,0))*cadangan[[#This Row],[Qty A]],0)</f>
        <v>800000</v>
      </c>
      <c r="I333" s="73">
        <f>IFERROR(cadangan[[#This Row],[Harga Normal A]]-(cadangan[[#This Row],[Harga Normal A]]*cadangan[[#This Row],[Diskon]]),cadangan[[#This Row],[Harga Normal A]])</f>
        <v>680000</v>
      </c>
      <c r="J333" s="73">
        <f>INDEX(Katalog!$F$3:$F$12,MATCH(cadangan[[#This Row],[ItemID A]],Katalog!$C$3:$C$12,0))*cadangan[[#This Row],[Qty A]]</f>
        <v>300000</v>
      </c>
      <c r="K333" s="73">
        <f>IFERROR(cadangan[[#This Row],[Harga Diskon A]]-INDEX(Katalog!$E$3:$E$12,MATCH(cadangan[[#This Row],[ItemID A]],Katalog!$C$3:$C$12,0))*cadangan[[#This Row],[Qty A]],0)</f>
        <v>180000</v>
      </c>
      <c r="L333" s="39" t="s">
        <v>62</v>
      </c>
      <c r="M333" s="39" t="str">
        <f>IFERROR(INDEX(Katalog!$A$3:$A$12,MATCH(cadangan[[#This Row],[ItemID B]],Katalog!$C$3:$C$12,0)),"-")</f>
        <v>Pakaian Pria</v>
      </c>
      <c r="N333" s="39" t="str">
        <f>IFERROR(INDEX(Katalog!$B$3:$B$12,MATCH(cadangan[[#This Row],[ItemID B]],Katalog!$C$3:$C$12,0)),"-")</f>
        <v>Celana Pendek</v>
      </c>
      <c r="O333" s="50">
        <v>1</v>
      </c>
      <c r="P333" s="50">
        <v>5</v>
      </c>
      <c r="Q333" s="73">
        <f>IFERROR(INDEX(Katalog!$D$3:$D$12,MATCH(cadangan[[#This Row],[ItemID B]],Katalog!$C$3:$C$12,0))*cadangan[[#This Row],[Qty B]],0)</f>
        <v>180000</v>
      </c>
      <c r="R333" s="73">
        <f>IFERROR(cadangan[[#This Row],[Harga Normal B]]-(cadangan[[#This Row],[Harga Normal B]]*cadangan[[#This Row],[Diskon]]),cadangan[[#This Row],[Harga Normal B]])</f>
        <v>153000</v>
      </c>
      <c r="S333" s="73">
        <f>IFERROR(INDEX(Katalog!$F$3:$F$12,MATCH(cadangan[[#This Row],[ItemID B]],Katalog!$C$3:$C$12,0))*cadangan[[#This Row],[Qty B]],0)</f>
        <v>70000</v>
      </c>
      <c r="T333" s="73">
        <f>IFERROR(cadangan[[#This Row],[Harga Diskon B]]-INDEX(Katalog!$E$3:$E$12,MATCH(cadangan[[#This Row],[ItemID B]],Katalog!$C$3:$C$12,0))*cadangan[[#This Row],[Qty B]],0)</f>
        <v>43000</v>
      </c>
      <c r="U333" s="39" t="s">
        <v>62</v>
      </c>
      <c r="V333" s="39" t="str">
        <f>IFERROR(INDEX(Katalog!$A$3:$A$12,MATCH(cadangan[[#This Row],[ItemID C]],Katalog!$C$3:$C$12,0)),"-")</f>
        <v>Pakaian Pria</v>
      </c>
      <c r="W333" s="39" t="str">
        <f>IFERROR(INDEX(Katalog!$B$3:$B$12,MATCH(cadangan[[#This Row],[ItemID C]],Katalog!$C$3:$C$12,0)),"-")</f>
        <v>Celana Pendek</v>
      </c>
      <c r="X333" s="50">
        <v>2</v>
      </c>
      <c r="Y333" s="50">
        <v>1</v>
      </c>
      <c r="Z333" s="73">
        <f>IFERROR(INDEX(Katalog!$D$3:$D$12,MATCH(cadangan[[#This Row],[ItemID C]],Katalog!$C$3:$C$12,0))*cadangan[[#This Row],[Qty C]],0)</f>
        <v>360000</v>
      </c>
      <c r="AA333" s="73">
        <f>IFERROR(cadangan[[#This Row],[Harga Normal C]]-(cadangan[[#This Row],[Harga Normal C]]*cadangan[[#This Row],[Diskon]]),cadangan[[#This Row],[Harga Normal C]])</f>
        <v>306000</v>
      </c>
      <c r="AB333" s="73">
        <f>IFERROR(INDEX(Katalog!$F$3:$F$12,MATCH(cadangan[[#This Row],[ItemID C]],Katalog!$C$3:$C$12,0))*cadangan[[#This Row],[Qty C]],0)</f>
        <v>140000</v>
      </c>
      <c r="AC333" s="73">
        <f>IFERROR(cadangan[[#This Row],[Harga Diskon C]]-INDEX(Katalog!$E$3:$E$12,MATCH(cadangan[[#This Row],[ItemID C]],Katalog!$C$3:$C$12,0))*cadangan[[#This Row],[Qty C]],0)</f>
        <v>86000</v>
      </c>
      <c r="AD333" s="53">
        <f>cadangan[[#This Row],[Qty A]]+cadangan[[#This Row],[Qty B]]+cadangan[[#This Row],[Qty C]]</f>
        <v>5</v>
      </c>
      <c r="AE333" s="73">
        <f>cadangan[[#This Row],[Harga Normal A]]+cadangan[[#This Row],[Harga Normal B]]+cadangan[[#This Row],[Harga Normal C]]</f>
        <v>1340000</v>
      </c>
      <c r="AF333" s="73">
        <f>cadangan[[#This Row],[Harga Diskon A]]+cadangan[[#This Row],[Harga Diskon B]]+cadangan[[#This Row],[Harga Diskon C]]</f>
        <v>1139000</v>
      </c>
      <c r="AG333" s="73">
        <f>(cadangan[[#This Row],[Profit Normal A]]+cadangan[[#This Row],[Profit Normal B]]+cadangan[[#This Row],[Profit Normal C]])</f>
        <v>510000</v>
      </c>
      <c r="AH333" s="73">
        <f>cadangan[[#This Row],[Profit Diskon A]]+cadangan[[#This Row],[Profit Diskon B]]+cadangan[[#This Row],[Profit Diskon C]]</f>
        <v>309000</v>
      </c>
      <c r="AI333" s="23" t="s">
        <v>13</v>
      </c>
      <c r="AJ333" s="37">
        <f>IFERROR(INDEX('Kode Diskon'!$D$3:$D$9,MATCH(cadangan[[#This Row],[Kode diskon]],'Kode Diskon'!$C$3:$C$9,0)),"-")</f>
        <v>0.15</v>
      </c>
      <c r="AK333" s="23" t="s">
        <v>29</v>
      </c>
      <c r="AL333" s="23" t="s">
        <v>7</v>
      </c>
      <c r="AM333" s="23" t="s">
        <v>80</v>
      </c>
      <c r="AN333" s="55">
        <v>45017</v>
      </c>
      <c r="AO333" s="53">
        <f>DAY(cadangan[[#This Row],[Tanggal terjual]])</f>
        <v>1</v>
      </c>
      <c r="AP333" s="21" t="str">
        <f>TEXT(cadangan[[#This Row],[Tanggal terjual]],"dddd")</f>
        <v>Saturday</v>
      </c>
      <c r="AQ333" s="23" t="str" cm="1">
        <f t="array" ref="AQ3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33" s="61">
        <f>AVERAGE(cadangan[[#This Row],[Rating A]],cadangan[[#This Row],[Rating B]],cadangan[[#This Row],[Rating C]])</f>
        <v>3.3333333333333335</v>
      </c>
    </row>
    <row r="334" spans="1:44" x14ac:dyDescent="0.2">
      <c r="A334" s="20">
        <v>333</v>
      </c>
      <c r="B334" s="21" t="str">
        <f>_xlfn.CONCAT("ORD-",INDEX(Helper!$B$2:$B$5,MATCH(cadangan[[#This Row],[Marketplace]],Helper!$A$2:$A$5,0)),TEXT(cadangan[[#This Row],[No]],"0000"),"-",TEXT(cadangan[[#This Row],[Tanggal terjual]],"dd/mm/yy"))</f>
        <v>ORD-BL0333-25/04/23</v>
      </c>
      <c r="C334" s="39" t="s">
        <v>66</v>
      </c>
      <c r="D334" s="39" t="str">
        <f>IFERROR(INDEX(Katalog!$A$3:$A$12,MATCH(cadangan[[#This Row],[ItemID A]],Katalog!$C$3:$C$12,0)),"-")</f>
        <v>Sepatu Pria</v>
      </c>
      <c r="E334" s="39" t="str">
        <f>IFERROR(INDEX(Katalog!$B$3:$B$12,MATCH(cadangan[[#This Row],[ItemID A]],Katalog!$C$3:$C$12,0)),"-")</f>
        <v>Sandal Slip On</v>
      </c>
      <c r="F334" s="50">
        <v>1</v>
      </c>
      <c r="G334" s="50">
        <v>2</v>
      </c>
      <c r="H334" s="73">
        <f>IFERROR(INDEX(Katalog!$D$3:$D$12,MATCH(cadangan[[#This Row],[ItemID A]],Katalog!$C$3:$C$12,0))*cadangan[[#This Row],[Qty A]],0)</f>
        <v>150000</v>
      </c>
      <c r="I334" s="73">
        <f>IFERROR(cadangan[[#This Row],[Harga Normal A]]-(cadangan[[#This Row],[Harga Normal A]]*cadangan[[#This Row],[Diskon]]),cadangan[[#This Row],[Harga Normal A]])</f>
        <v>127500</v>
      </c>
      <c r="J334" s="73">
        <f>INDEX(Katalog!$F$3:$F$12,MATCH(cadangan[[#This Row],[ItemID A]],Katalog!$C$3:$C$12,0))*cadangan[[#This Row],[Qty A]]</f>
        <v>60000</v>
      </c>
      <c r="K334" s="73">
        <f>IFERROR(cadangan[[#This Row],[Harga Diskon A]]-INDEX(Katalog!$E$3:$E$12,MATCH(cadangan[[#This Row],[ItemID A]],Katalog!$C$3:$C$12,0))*cadangan[[#This Row],[Qty A]],0)</f>
        <v>37500</v>
      </c>
      <c r="L334" s="39" t="s">
        <v>67</v>
      </c>
      <c r="M334" s="39" t="str">
        <f>IFERROR(INDEX(Katalog!$A$3:$A$12,MATCH(cadangan[[#This Row],[ItemID B]],Katalog!$C$3:$C$12,0)),"-")</f>
        <v>Sepatu Wanita</v>
      </c>
      <c r="N334" s="39" t="str">
        <f>IFERROR(INDEX(Katalog!$B$3:$B$12,MATCH(cadangan[[#This Row],[ItemID B]],Katalog!$C$3:$C$12,0)),"-")</f>
        <v>Flat Shoes</v>
      </c>
      <c r="O334" s="50">
        <v>3</v>
      </c>
      <c r="P334" s="50">
        <v>1</v>
      </c>
      <c r="Q334" s="73">
        <f>IFERROR(INDEX(Katalog!$D$3:$D$12,MATCH(cadangan[[#This Row],[ItemID B]],Katalog!$C$3:$C$12,0))*cadangan[[#This Row],[Qty B]],0)</f>
        <v>750000</v>
      </c>
      <c r="R334" s="73">
        <f>IFERROR(cadangan[[#This Row],[Harga Normal B]]-(cadangan[[#This Row],[Harga Normal B]]*cadangan[[#This Row],[Diskon]]),cadangan[[#This Row],[Harga Normal B]])</f>
        <v>637500</v>
      </c>
      <c r="S334" s="73">
        <f>IFERROR(INDEX(Katalog!$F$3:$F$12,MATCH(cadangan[[#This Row],[ItemID B]],Katalog!$C$3:$C$12,0))*cadangan[[#This Row],[Qty B]],0)</f>
        <v>300000</v>
      </c>
      <c r="T334" s="73">
        <f>IFERROR(cadangan[[#This Row],[Harga Diskon B]]-INDEX(Katalog!$E$3:$E$12,MATCH(cadangan[[#This Row],[ItemID B]],Katalog!$C$3:$C$12,0))*cadangan[[#This Row],[Qty B]],0)</f>
        <v>187500</v>
      </c>
      <c r="V334" s="39" t="str">
        <f>IFERROR(INDEX(Katalog!$A$3:$A$12,MATCH(cadangan[[#This Row],[ItemID C]],Katalog!$C$3:$C$12,0)),"-")</f>
        <v>-</v>
      </c>
      <c r="W334" s="39" t="str">
        <f>IFERROR(INDEX(Katalog!$B$3:$B$12,MATCH(cadangan[[#This Row],[ItemID C]],Katalog!$C$3:$C$12,0)),"-")</f>
        <v>-</v>
      </c>
      <c r="Z334" s="73">
        <f>IFERROR(INDEX(Katalog!$D$3:$D$12,MATCH(cadangan[[#This Row],[ItemID C]],Katalog!$C$3:$C$12,0))*cadangan[[#This Row],[Qty C]],0)</f>
        <v>0</v>
      </c>
      <c r="AA334" s="73">
        <f>IFERROR(cadangan[[#This Row],[Harga Normal C]]-(cadangan[[#This Row],[Harga Normal C]]*cadangan[[#This Row],[Diskon]]),cadangan[[#This Row],[Harga Normal C]])</f>
        <v>0</v>
      </c>
      <c r="AB334" s="73">
        <f>IFERROR(INDEX(Katalog!$F$3:$F$12,MATCH(cadangan[[#This Row],[ItemID C]],Katalog!$C$3:$C$12,0))*cadangan[[#This Row],[Qty C]],0)</f>
        <v>0</v>
      </c>
      <c r="AC334" s="73">
        <f>IFERROR(cadangan[[#This Row],[Harga Diskon C]]-INDEX(Katalog!$E$3:$E$12,MATCH(cadangan[[#This Row],[ItemID C]],Katalog!$C$3:$C$12,0))*cadangan[[#This Row],[Qty C]],0)</f>
        <v>0</v>
      </c>
      <c r="AD334" s="53">
        <f>cadangan[[#This Row],[Qty A]]+cadangan[[#This Row],[Qty B]]+cadangan[[#This Row],[Qty C]]</f>
        <v>4</v>
      </c>
      <c r="AE334" s="73">
        <f>cadangan[[#This Row],[Harga Normal A]]+cadangan[[#This Row],[Harga Normal B]]+cadangan[[#This Row],[Harga Normal C]]</f>
        <v>900000</v>
      </c>
      <c r="AF334" s="73">
        <f>cadangan[[#This Row],[Harga Diskon A]]+cadangan[[#This Row],[Harga Diskon B]]+cadangan[[#This Row],[Harga Diskon C]]</f>
        <v>765000</v>
      </c>
      <c r="AG334" s="73">
        <f>(cadangan[[#This Row],[Profit Normal A]]+cadangan[[#This Row],[Profit Normal B]]+cadangan[[#This Row],[Profit Normal C]])</f>
        <v>360000</v>
      </c>
      <c r="AH334" s="73">
        <f>cadangan[[#This Row],[Profit Diskon A]]+cadangan[[#This Row],[Profit Diskon B]]+cadangan[[#This Row],[Profit Diskon C]]</f>
        <v>225000</v>
      </c>
      <c r="AI334" s="23" t="s">
        <v>32</v>
      </c>
      <c r="AJ334" s="37">
        <f>IFERROR(INDEX('Kode Diskon'!$D$3:$D$9,MATCH(cadangan[[#This Row],[Kode diskon]],'Kode Diskon'!$C$3:$C$9,0)),"-")</f>
        <v>0.15</v>
      </c>
      <c r="AK334" s="23" t="s">
        <v>9</v>
      </c>
      <c r="AL334" s="23" t="s">
        <v>12</v>
      </c>
      <c r="AM334" s="23" t="s">
        <v>80</v>
      </c>
      <c r="AN334" s="55">
        <v>45041</v>
      </c>
      <c r="AO334" s="53">
        <f>DAY(cadangan[[#This Row],[Tanggal terjual]])</f>
        <v>25</v>
      </c>
      <c r="AP334" s="21" t="str">
        <f>TEXT(cadangan[[#This Row],[Tanggal terjual]],"dddd")</f>
        <v>Tuesday</v>
      </c>
      <c r="AQ334" s="23" t="str" cm="1">
        <f t="array" ref="AQ3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34" s="61">
        <f>AVERAGE(cadangan[[#This Row],[Rating A]],cadangan[[#This Row],[Rating B]],cadangan[[#This Row],[Rating C]])</f>
        <v>1.5</v>
      </c>
    </row>
    <row r="335" spans="1:44" x14ac:dyDescent="0.2">
      <c r="A335" s="20">
        <v>334</v>
      </c>
      <c r="B335" s="21" t="str">
        <f>_xlfn.CONCAT("ORD-",INDEX(Helper!$B$2:$B$5,MATCH(cadangan[[#This Row],[Marketplace]],Helper!$A$2:$A$5,0)),TEXT(cadangan[[#This Row],[No]],"0000"),"-",TEXT(cadangan[[#This Row],[Tanggal terjual]],"dd/mm/yy"))</f>
        <v>ORD-TK0334-01/04/23</v>
      </c>
      <c r="C335" s="39" t="s">
        <v>65</v>
      </c>
      <c r="D335" s="39" t="str">
        <f>IFERROR(INDEX(Katalog!$A$3:$A$12,MATCH(cadangan[[#This Row],[ItemID A]],Katalog!$C$3:$C$12,0)),"-")</f>
        <v>Sepatu Pria</v>
      </c>
      <c r="E335" s="39" t="str">
        <f>IFERROR(INDEX(Katalog!$B$3:$B$12,MATCH(cadangan[[#This Row],[ItemID A]],Katalog!$C$3:$C$12,0)),"-")</f>
        <v>Sneakers</v>
      </c>
      <c r="F335" s="50">
        <v>6</v>
      </c>
      <c r="G335" s="50">
        <v>4</v>
      </c>
      <c r="H335" s="73">
        <f>IFERROR(INDEX(Katalog!$D$3:$D$12,MATCH(cadangan[[#This Row],[ItemID A]],Katalog!$C$3:$C$12,0))*cadangan[[#This Row],[Qty A]],0)</f>
        <v>3000000</v>
      </c>
      <c r="I335" s="73">
        <f>IFERROR(cadangan[[#This Row],[Harga Normal A]]-(cadangan[[#This Row],[Harga Normal A]]*cadangan[[#This Row],[Diskon]]),cadangan[[#This Row],[Harga Normal A]])</f>
        <v>2700000</v>
      </c>
      <c r="J335" s="73">
        <f>INDEX(Katalog!$F$3:$F$12,MATCH(cadangan[[#This Row],[ItemID A]],Katalog!$C$3:$C$12,0))*cadangan[[#This Row],[Qty A]]</f>
        <v>1200000</v>
      </c>
      <c r="K335" s="73">
        <f>IFERROR(cadangan[[#This Row],[Harga Diskon A]]-INDEX(Katalog!$E$3:$E$12,MATCH(cadangan[[#This Row],[ItemID A]],Katalog!$C$3:$C$12,0))*cadangan[[#This Row],[Qty A]],0)</f>
        <v>900000</v>
      </c>
      <c r="L335" s="39" t="s">
        <v>64</v>
      </c>
      <c r="M335" s="39" t="str">
        <f>IFERROR(INDEX(Katalog!$A$3:$A$12,MATCH(cadangan[[#This Row],[ItemID B]],Katalog!$C$3:$C$12,0)),"-")</f>
        <v>Pakaian Unisex</v>
      </c>
      <c r="N335" s="39" t="str">
        <f>IFERROR(INDEX(Katalog!$B$3:$B$12,MATCH(cadangan[[#This Row],[ItemID B]],Katalog!$C$3:$C$12,0)),"-")</f>
        <v>Jaket Hoodie</v>
      </c>
      <c r="O335" s="50">
        <v>1</v>
      </c>
      <c r="P335" s="50">
        <v>4</v>
      </c>
      <c r="Q335" s="73">
        <f>IFERROR(INDEX(Katalog!$D$3:$D$12,MATCH(cadangan[[#This Row],[ItemID B]],Katalog!$C$3:$C$12,0))*cadangan[[#This Row],[Qty B]],0)</f>
        <v>350000</v>
      </c>
      <c r="R335" s="73">
        <f>IFERROR(cadangan[[#This Row],[Harga Normal B]]-(cadangan[[#This Row],[Harga Normal B]]*cadangan[[#This Row],[Diskon]]),cadangan[[#This Row],[Harga Normal B]])</f>
        <v>315000</v>
      </c>
      <c r="S335" s="73">
        <f>IFERROR(INDEX(Katalog!$F$3:$F$12,MATCH(cadangan[[#This Row],[ItemID B]],Katalog!$C$3:$C$12,0))*cadangan[[#This Row],[Qty B]],0)</f>
        <v>130000</v>
      </c>
      <c r="T335" s="73">
        <f>IFERROR(cadangan[[#This Row],[Harga Diskon B]]-INDEX(Katalog!$E$3:$E$12,MATCH(cadangan[[#This Row],[ItemID B]],Katalog!$C$3:$C$12,0))*cadangan[[#This Row],[Qty B]],0)</f>
        <v>95000</v>
      </c>
      <c r="V335" s="39" t="str">
        <f>IFERROR(INDEX(Katalog!$A$3:$A$12,MATCH(cadangan[[#This Row],[ItemID C]],Katalog!$C$3:$C$12,0)),"-")</f>
        <v>-</v>
      </c>
      <c r="W335" s="39" t="str">
        <f>IFERROR(INDEX(Katalog!$B$3:$B$12,MATCH(cadangan[[#This Row],[ItemID C]],Katalog!$C$3:$C$12,0)),"-")</f>
        <v>-</v>
      </c>
      <c r="Z335" s="73">
        <f>IFERROR(INDEX(Katalog!$D$3:$D$12,MATCH(cadangan[[#This Row],[ItemID C]],Katalog!$C$3:$C$12,0))*cadangan[[#This Row],[Qty C]],0)</f>
        <v>0</v>
      </c>
      <c r="AA335" s="73">
        <f>IFERROR(cadangan[[#This Row],[Harga Normal C]]-(cadangan[[#This Row],[Harga Normal C]]*cadangan[[#This Row],[Diskon]]),cadangan[[#This Row],[Harga Normal C]])</f>
        <v>0</v>
      </c>
      <c r="AB335" s="73">
        <f>IFERROR(INDEX(Katalog!$F$3:$F$12,MATCH(cadangan[[#This Row],[ItemID C]],Katalog!$C$3:$C$12,0))*cadangan[[#This Row],[Qty C]],0)</f>
        <v>0</v>
      </c>
      <c r="AC335" s="73">
        <f>IFERROR(cadangan[[#This Row],[Harga Diskon C]]-INDEX(Katalog!$E$3:$E$12,MATCH(cadangan[[#This Row],[ItemID C]],Katalog!$C$3:$C$12,0))*cadangan[[#This Row],[Qty C]],0)</f>
        <v>0</v>
      </c>
      <c r="AD335" s="53">
        <f>cadangan[[#This Row],[Qty A]]+cadangan[[#This Row],[Qty B]]+cadangan[[#This Row],[Qty C]]</f>
        <v>7</v>
      </c>
      <c r="AE335" s="73">
        <f>cadangan[[#This Row],[Harga Normal A]]+cadangan[[#This Row],[Harga Normal B]]+cadangan[[#This Row],[Harga Normal C]]</f>
        <v>3350000</v>
      </c>
      <c r="AF335" s="73">
        <f>cadangan[[#This Row],[Harga Diskon A]]+cadangan[[#This Row],[Harga Diskon B]]+cadangan[[#This Row],[Harga Diskon C]]</f>
        <v>3015000</v>
      </c>
      <c r="AG335" s="73">
        <f>(cadangan[[#This Row],[Profit Normal A]]+cadangan[[#This Row],[Profit Normal B]]+cadangan[[#This Row],[Profit Normal C]])</f>
        <v>1330000</v>
      </c>
      <c r="AH335" s="73">
        <f>cadangan[[#This Row],[Profit Diskon A]]+cadangan[[#This Row],[Profit Diskon B]]+cadangan[[#This Row],[Profit Diskon C]]</f>
        <v>995000</v>
      </c>
      <c r="AI335" s="23" t="s">
        <v>30</v>
      </c>
      <c r="AJ335" s="37">
        <f>IFERROR(INDEX('Kode Diskon'!$D$3:$D$9,MATCH(cadangan[[#This Row],[Kode diskon]],'Kode Diskon'!$C$3:$C$9,0)),"-")</f>
        <v>0.1</v>
      </c>
      <c r="AK335" s="23" t="s">
        <v>29</v>
      </c>
      <c r="AL335" s="23" t="s">
        <v>10</v>
      </c>
      <c r="AM335" s="23" t="s">
        <v>80</v>
      </c>
      <c r="AN335" s="55">
        <v>45017</v>
      </c>
      <c r="AO335" s="53">
        <f>DAY(cadangan[[#This Row],[Tanggal terjual]])</f>
        <v>1</v>
      </c>
      <c r="AP335" s="21" t="str">
        <f>TEXT(cadangan[[#This Row],[Tanggal terjual]],"dddd")</f>
        <v>Saturday</v>
      </c>
      <c r="AQ335" s="23" t="str" cm="1">
        <f t="array" ref="AQ3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35" s="61">
        <f>AVERAGE(cadangan[[#This Row],[Rating A]],cadangan[[#This Row],[Rating B]],cadangan[[#This Row],[Rating C]])</f>
        <v>4</v>
      </c>
    </row>
    <row r="336" spans="1:44" x14ac:dyDescent="0.2">
      <c r="A336" s="20">
        <v>335</v>
      </c>
      <c r="B336" s="21" t="str">
        <f>_xlfn.CONCAT("ORD-",INDEX(Helper!$B$2:$B$5,MATCH(cadangan[[#This Row],[Marketplace]],Helper!$A$2:$A$5,0)),TEXT(cadangan[[#This Row],[No]],"0000"),"-",TEXT(cadangan[[#This Row],[Tanggal terjual]],"dd/mm/yy"))</f>
        <v>ORD-SP0335-27/04/23</v>
      </c>
      <c r="C336" s="39" t="s">
        <v>63</v>
      </c>
      <c r="D336" s="39" t="str">
        <f>IFERROR(INDEX(Katalog!$A$3:$A$12,MATCH(cadangan[[#This Row],[ItemID A]],Katalog!$C$3:$C$12,0)),"-")</f>
        <v>Pakaian Pria</v>
      </c>
      <c r="E336" s="39" t="str">
        <f>IFERROR(INDEX(Katalog!$B$3:$B$12,MATCH(cadangan[[#This Row],[ItemID A]],Katalog!$C$3:$C$12,0)),"-")</f>
        <v>Jaket Jeans</v>
      </c>
      <c r="F336" s="50">
        <v>2</v>
      </c>
      <c r="G336" s="50">
        <v>2</v>
      </c>
      <c r="H336" s="73">
        <f>IFERROR(INDEX(Katalog!$D$3:$D$12,MATCH(cadangan[[#This Row],[ItemID A]],Katalog!$C$3:$C$12,0))*cadangan[[#This Row],[Qty A]],0)</f>
        <v>800000</v>
      </c>
      <c r="I336" s="73">
        <f>IFERROR(cadangan[[#This Row],[Harga Normal A]]-(cadangan[[#This Row],[Harga Normal A]]*cadangan[[#This Row],[Diskon]]),cadangan[[#This Row],[Harga Normal A]])</f>
        <v>640000</v>
      </c>
      <c r="J336" s="73">
        <f>INDEX(Katalog!$F$3:$F$12,MATCH(cadangan[[#This Row],[ItemID A]],Katalog!$C$3:$C$12,0))*cadangan[[#This Row],[Qty A]]</f>
        <v>300000</v>
      </c>
      <c r="K336" s="73">
        <f>IFERROR(cadangan[[#This Row],[Harga Diskon A]]-INDEX(Katalog!$E$3:$E$12,MATCH(cadangan[[#This Row],[ItemID A]],Katalog!$C$3:$C$12,0))*cadangan[[#This Row],[Qty A]],0)</f>
        <v>140000</v>
      </c>
      <c r="L336" s="39" t="s">
        <v>59</v>
      </c>
      <c r="M336" s="39" t="str">
        <f>IFERROR(INDEX(Katalog!$A$3:$A$12,MATCH(cadangan[[#This Row],[ItemID B]],Katalog!$C$3:$C$12,0)),"-")</f>
        <v>Pakaian Wanita</v>
      </c>
      <c r="N336" s="39" t="str">
        <f>IFERROR(INDEX(Katalog!$B$3:$B$12,MATCH(cadangan[[#This Row],[ItemID B]],Katalog!$C$3:$C$12,0)),"-")</f>
        <v>Blouse</v>
      </c>
      <c r="O336" s="50">
        <v>1</v>
      </c>
      <c r="P336" s="50">
        <v>2</v>
      </c>
      <c r="Q336" s="73">
        <f>IFERROR(INDEX(Katalog!$D$3:$D$12,MATCH(cadangan[[#This Row],[ItemID B]],Katalog!$C$3:$C$12,0))*cadangan[[#This Row],[Qty B]],0)</f>
        <v>150000</v>
      </c>
      <c r="R336" s="73">
        <f>IFERROR(cadangan[[#This Row],[Harga Normal B]]-(cadangan[[#This Row],[Harga Normal B]]*cadangan[[#This Row],[Diskon]]),cadangan[[#This Row],[Harga Normal B]])</f>
        <v>120000</v>
      </c>
      <c r="S336" s="73">
        <f>IFERROR(INDEX(Katalog!$F$3:$F$12,MATCH(cadangan[[#This Row],[ItemID B]],Katalog!$C$3:$C$12,0))*cadangan[[#This Row],[Qty B]],0)</f>
        <v>50000</v>
      </c>
      <c r="T336" s="73">
        <f>IFERROR(cadangan[[#This Row],[Harga Diskon B]]-INDEX(Katalog!$E$3:$E$12,MATCH(cadangan[[#This Row],[ItemID B]],Katalog!$C$3:$C$12,0))*cadangan[[#This Row],[Qty B]],0)</f>
        <v>20000</v>
      </c>
      <c r="V336" s="39" t="str">
        <f>IFERROR(INDEX(Katalog!$A$3:$A$12,MATCH(cadangan[[#This Row],[ItemID C]],Katalog!$C$3:$C$12,0)),"-")</f>
        <v>-</v>
      </c>
      <c r="W336" s="39" t="str">
        <f>IFERROR(INDEX(Katalog!$B$3:$B$12,MATCH(cadangan[[#This Row],[ItemID C]],Katalog!$C$3:$C$12,0)),"-")</f>
        <v>-</v>
      </c>
      <c r="Z336" s="73">
        <f>IFERROR(INDEX(Katalog!$D$3:$D$12,MATCH(cadangan[[#This Row],[ItemID C]],Katalog!$C$3:$C$12,0))*cadangan[[#This Row],[Qty C]],0)</f>
        <v>0</v>
      </c>
      <c r="AA336" s="73">
        <f>IFERROR(cadangan[[#This Row],[Harga Normal C]]-(cadangan[[#This Row],[Harga Normal C]]*cadangan[[#This Row],[Diskon]]),cadangan[[#This Row],[Harga Normal C]])</f>
        <v>0</v>
      </c>
      <c r="AB336" s="73">
        <f>IFERROR(INDEX(Katalog!$F$3:$F$12,MATCH(cadangan[[#This Row],[ItemID C]],Katalog!$C$3:$C$12,0))*cadangan[[#This Row],[Qty C]],0)</f>
        <v>0</v>
      </c>
      <c r="AC336" s="73">
        <f>IFERROR(cadangan[[#This Row],[Harga Diskon C]]-INDEX(Katalog!$E$3:$E$12,MATCH(cadangan[[#This Row],[ItemID C]],Katalog!$C$3:$C$12,0))*cadangan[[#This Row],[Qty C]],0)</f>
        <v>0</v>
      </c>
      <c r="AD336" s="53">
        <f>cadangan[[#This Row],[Qty A]]+cadangan[[#This Row],[Qty B]]+cadangan[[#This Row],[Qty C]]</f>
        <v>3</v>
      </c>
      <c r="AE336" s="73">
        <f>cadangan[[#This Row],[Harga Normal A]]+cadangan[[#This Row],[Harga Normal B]]+cadangan[[#This Row],[Harga Normal C]]</f>
        <v>950000</v>
      </c>
      <c r="AF336" s="73">
        <f>cadangan[[#This Row],[Harga Diskon A]]+cadangan[[#This Row],[Harga Diskon B]]+cadangan[[#This Row],[Harga Diskon C]]</f>
        <v>760000</v>
      </c>
      <c r="AG336" s="73">
        <f>(cadangan[[#This Row],[Profit Normal A]]+cadangan[[#This Row],[Profit Normal B]]+cadangan[[#This Row],[Profit Normal C]])</f>
        <v>350000</v>
      </c>
      <c r="AH336" s="73">
        <f>cadangan[[#This Row],[Profit Diskon A]]+cadangan[[#This Row],[Profit Diskon B]]+cadangan[[#This Row],[Profit Diskon C]]</f>
        <v>160000</v>
      </c>
      <c r="AI336" s="23" t="s">
        <v>8</v>
      </c>
      <c r="AJ336" s="37">
        <f>IFERROR(INDEX('Kode Diskon'!$D$3:$D$9,MATCH(cadangan[[#This Row],[Kode diskon]],'Kode Diskon'!$C$3:$C$9,0)),"-")</f>
        <v>0.2</v>
      </c>
      <c r="AK336" s="23" t="s">
        <v>9</v>
      </c>
      <c r="AL336" s="23" t="s">
        <v>7</v>
      </c>
      <c r="AM336" s="23" t="s">
        <v>79</v>
      </c>
      <c r="AN336" s="55">
        <v>45043</v>
      </c>
      <c r="AO336" s="53">
        <f>DAY(cadangan[[#This Row],[Tanggal terjual]])</f>
        <v>27</v>
      </c>
      <c r="AP336" s="21" t="str">
        <f>TEXT(cadangan[[#This Row],[Tanggal terjual]],"dddd")</f>
        <v>Thursday</v>
      </c>
      <c r="AQ336" s="23" t="str" cm="1">
        <f t="array" ref="AQ3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36" s="61">
        <f>AVERAGE(cadangan[[#This Row],[Rating A]],cadangan[[#This Row],[Rating B]],cadangan[[#This Row],[Rating C]])</f>
        <v>2</v>
      </c>
    </row>
    <row r="337" spans="1:44" x14ac:dyDescent="0.2">
      <c r="A337" s="20">
        <v>336</v>
      </c>
      <c r="B337" s="21" t="str">
        <f>_xlfn.CONCAT("ORD-",INDEX(Helper!$B$2:$B$5,MATCH(cadangan[[#This Row],[Marketplace]],Helper!$A$2:$A$5,0)),TEXT(cadangan[[#This Row],[No]],"0000"),"-",TEXT(cadangan[[#This Row],[Tanggal terjual]],"dd/mm/yy"))</f>
        <v>ORD-BB0336-10/04/23</v>
      </c>
      <c r="C337" s="39" t="s">
        <v>66</v>
      </c>
      <c r="D337" s="39" t="str">
        <f>IFERROR(INDEX(Katalog!$A$3:$A$12,MATCH(cadangan[[#This Row],[ItemID A]],Katalog!$C$3:$C$12,0)),"-")</f>
        <v>Sepatu Pria</v>
      </c>
      <c r="E337" s="39" t="str">
        <f>IFERROR(INDEX(Katalog!$B$3:$B$12,MATCH(cadangan[[#This Row],[ItemID A]],Katalog!$C$3:$C$12,0)),"-")</f>
        <v>Sandal Slip On</v>
      </c>
      <c r="F337" s="50">
        <v>1</v>
      </c>
      <c r="G337" s="50">
        <v>4</v>
      </c>
      <c r="H337" s="73">
        <f>IFERROR(INDEX(Katalog!$D$3:$D$12,MATCH(cadangan[[#This Row],[ItemID A]],Katalog!$C$3:$C$12,0))*cadangan[[#This Row],[Qty A]],0)</f>
        <v>150000</v>
      </c>
      <c r="I337" s="73">
        <f>IFERROR(cadangan[[#This Row],[Harga Normal A]]-(cadangan[[#This Row],[Harga Normal A]]*cadangan[[#This Row],[Diskon]]),cadangan[[#This Row],[Harga Normal A]])</f>
        <v>150000</v>
      </c>
      <c r="J337" s="73">
        <f>INDEX(Katalog!$F$3:$F$12,MATCH(cadangan[[#This Row],[ItemID A]],Katalog!$C$3:$C$12,0))*cadangan[[#This Row],[Qty A]]</f>
        <v>60000</v>
      </c>
      <c r="K337" s="73">
        <f>IFERROR(cadangan[[#This Row],[Harga Diskon A]]-INDEX(Katalog!$E$3:$E$12,MATCH(cadangan[[#This Row],[ItemID A]],Katalog!$C$3:$C$12,0))*cadangan[[#This Row],[Qty A]],0)</f>
        <v>60000</v>
      </c>
      <c r="L337" s="39" t="s">
        <v>63</v>
      </c>
      <c r="M337" s="39" t="str">
        <f>IFERROR(INDEX(Katalog!$A$3:$A$12,MATCH(cadangan[[#This Row],[ItemID B]],Katalog!$C$3:$C$12,0)),"-")</f>
        <v>Pakaian Pria</v>
      </c>
      <c r="N337" s="39" t="str">
        <f>IFERROR(INDEX(Katalog!$B$3:$B$12,MATCH(cadangan[[#This Row],[ItemID B]],Katalog!$C$3:$C$12,0)),"-")</f>
        <v>Jaket Jeans</v>
      </c>
      <c r="O337" s="50">
        <v>1</v>
      </c>
      <c r="P337" s="50">
        <v>1</v>
      </c>
      <c r="Q337" s="73">
        <f>IFERROR(INDEX(Katalog!$D$3:$D$12,MATCH(cadangan[[#This Row],[ItemID B]],Katalog!$C$3:$C$12,0))*cadangan[[#This Row],[Qty B]],0)</f>
        <v>400000</v>
      </c>
      <c r="R337" s="73">
        <f>IFERROR(cadangan[[#This Row],[Harga Normal B]]-(cadangan[[#This Row],[Harga Normal B]]*cadangan[[#This Row],[Diskon]]),cadangan[[#This Row],[Harga Normal B]])</f>
        <v>400000</v>
      </c>
      <c r="S337" s="73">
        <f>IFERROR(INDEX(Katalog!$F$3:$F$12,MATCH(cadangan[[#This Row],[ItemID B]],Katalog!$C$3:$C$12,0))*cadangan[[#This Row],[Qty B]],0)</f>
        <v>150000</v>
      </c>
      <c r="T337" s="73">
        <f>IFERROR(cadangan[[#This Row],[Harga Diskon B]]-INDEX(Katalog!$E$3:$E$12,MATCH(cadangan[[#This Row],[ItemID B]],Katalog!$C$3:$C$12,0))*cadangan[[#This Row],[Qty B]],0)</f>
        <v>150000</v>
      </c>
      <c r="U337" s="39" t="s">
        <v>59</v>
      </c>
      <c r="V337" s="39" t="str">
        <f>IFERROR(INDEX(Katalog!$A$3:$A$12,MATCH(cadangan[[#This Row],[ItemID C]],Katalog!$C$3:$C$12,0)),"-")</f>
        <v>Pakaian Wanita</v>
      </c>
      <c r="W337" s="39" t="str">
        <f>IFERROR(INDEX(Katalog!$B$3:$B$12,MATCH(cadangan[[#This Row],[ItemID C]],Katalog!$C$3:$C$12,0)),"-")</f>
        <v>Blouse</v>
      </c>
      <c r="X337" s="50">
        <v>1</v>
      </c>
      <c r="Y337" s="50">
        <v>4</v>
      </c>
      <c r="Z337" s="73">
        <f>IFERROR(INDEX(Katalog!$D$3:$D$12,MATCH(cadangan[[#This Row],[ItemID C]],Katalog!$C$3:$C$12,0))*cadangan[[#This Row],[Qty C]],0)</f>
        <v>150000</v>
      </c>
      <c r="AA337" s="73">
        <f>IFERROR(cadangan[[#This Row],[Harga Normal C]]-(cadangan[[#This Row],[Harga Normal C]]*cadangan[[#This Row],[Diskon]]),cadangan[[#This Row],[Harga Normal C]])</f>
        <v>150000</v>
      </c>
      <c r="AB337" s="73">
        <f>IFERROR(INDEX(Katalog!$F$3:$F$12,MATCH(cadangan[[#This Row],[ItemID C]],Katalog!$C$3:$C$12,0))*cadangan[[#This Row],[Qty C]],0)</f>
        <v>50000</v>
      </c>
      <c r="AC337" s="73">
        <f>IFERROR(cadangan[[#This Row],[Harga Diskon C]]-INDEX(Katalog!$E$3:$E$12,MATCH(cadangan[[#This Row],[ItemID C]],Katalog!$C$3:$C$12,0))*cadangan[[#This Row],[Qty C]],0)</f>
        <v>50000</v>
      </c>
      <c r="AD337" s="53">
        <f>cadangan[[#This Row],[Qty A]]+cadangan[[#This Row],[Qty B]]+cadangan[[#This Row],[Qty C]]</f>
        <v>3</v>
      </c>
      <c r="AE337" s="73">
        <f>cadangan[[#This Row],[Harga Normal A]]+cadangan[[#This Row],[Harga Normal B]]+cadangan[[#This Row],[Harga Normal C]]</f>
        <v>700000</v>
      </c>
      <c r="AF337" s="73">
        <f>cadangan[[#This Row],[Harga Diskon A]]+cadangan[[#This Row],[Harga Diskon B]]+cadangan[[#This Row],[Harga Diskon C]]</f>
        <v>700000</v>
      </c>
      <c r="AG337" s="73">
        <f>(cadangan[[#This Row],[Profit Normal A]]+cadangan[[#This Row],[Profit Normal B]]+cadangan[[#This Row],[Profit Normal C]])</f>
        <v>260000</v>
      </c>
      <c r="AH337" s="73">
        <f>cadangan[[#This Row],[Profit Diskon A]]+cadangan[[#This Row],[Profit Diskon B]]+cadangan[[#This Row],[Profit Diskon C]]</f>
        <v>260000</v>
      </c>
      <c r="AI337" s="23" t="s">
        <v>290</v>
      </c>
      <c r="AJ337" s="37" t="str">
        <f>IFERROR(INDEX('Kode Diskon'!$D$3:$D$9,MATCH(cadangan[[#This Row],[Kode diskon]],'Kode Diskon'!$C$3:$C$9,0)),"-")</f>
        <v>-</v>
      </c>
      <c r="AK337" s="23" t="s">
        <v>290</v>
      </c>
      <c r="AL337" s="23" t="s">
        <v>14</v>
      </c>
      <c r="AM337" s="23" t="s">
        <v>76</v>
      </c>
      <c r="AN337" s="55">
        <v>45026</v>
      </c>
      <c r="AO337" s="53">
        <f>DAY(cadangan[[#This Row],[Tanggal terjual]])</f>
        <v>10</v>
      </c>
      <c r="AP337" s="21" t="str">
        <f>TEXT(cadangan[[#This Row],[Tanggal terjual]],"dddd")</f>
        <v>Monday</v>
      </c>
      <c r="AQ337" s="23" t="str" cm="1">
        <f t="array" ref="AQ3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37" s="61">
        <f>AVERAGE(cadangan[[#This Row],[Rating A]],cadangan[[#This Row],[Rating B]],cadangan[[#This Row],[Rating C]])</f>
        <v>3</v>
      </c>
    </row>
    <row r="338" spans="1:44" x14ac:dyDescent="0.2">
      <c r="A338" s="20">
        <v>337</v>
      </c>
      <c r="B338" s="21" t="str">
        <f>_xlfn.CONCAT("ORD-",INDEX(Helper!$B$2:$B$5,MATCH(cadangan[[#This Row],[Marketplace]],Helper!$A$2:$A$5,0)),TEXT(cadangan[[#This Row],[No]],"0000"),"-",TEXT(cadangan[[#This Row],[Tanggal terjual]],"dd/mm/yy"))</f>
        <v>ORD-SP0337-01/04/23</v>
      </c>
      <c r="C338" s="39" t="s">
        <v>59</v>
      </c>
      <c r="D338" s="39" t="str">
        <f>IFERROR(INDEX(Katalog!$A$3:$A$12,MATCH(cadangan[[#This Row],[ItemID A]],Katalog!$C$3:$C$12,0)),"-")</f>
        <v>Pakaian Wanita</v>
      </c>
      <c r="E338" s="39" t="str">
        <f>IFERROR(INDEX(Katalog!$B$3:$B$12,MATCH(cadangan[[#This Row],[ItemID A]],Katalog!$C$3:$C$12,0)),"-")</f>
        <v>Blouse</v>
      </c>
      <c r="F338" s="50">
        <v>1</v>
      </c>
      <c r="G338" s="50">
        <v>3</v>
      </c>
      <c r="H338" s="73">
        <f>IFERROR(INDEX(Katalog!$D$3:$D$12,MATCH(cadangan[[#This Row],[ItemID A]],Katalog!$C$3:$C$12,0))*cadangan[[#This Row],[Qty A]],0)</f>
        <v>150000</v>
      </c>
      <c r="I338" s="73">
        <f>IFERROR(cadangan[[#This Row],[Harga Normal A]]-(cadangan[[#This Row],[Harga Normal A]]*cadangan[[#This Row],[Diskon]]),cadangan[[#This Row],[Harga Normal A]])</f>
        <v>135000</v>
      </c>
      <c r="J338" s="73">
        <f>INDEX(Katalog!$F$3:$F$12,MATCH(cadangan[[#This Row],[ItemID A]],Katalog!$C$3:$C$12,0))*cadangan[[#This Row],[Qty A]]</f>
        <v>50000</v>
      </c>
      <c r="K338" s="73">
        <f>IFERROR(cadangan[[#This Row],[Harga Diskon A]]-INDEX(Katalog!$E$3:$E$12,MATCH(cadangan[[#This Row],[ItemID A]],Katalog!$C$3:$C$12,0))*cadangan[[#This Row],[Qty A]],0)</f>
        <v>35000</v>
      </c>
      <c r="M338" s="39" t="str">
        <f>IFERROR(INDEX(Katalog!$A$3:$A$12,MATCH(cadangan[[#This Row],[ItemID B]],Katalog!$C$3:$C$12,0)),"-")</f>
        <v>-</v>
      </c>
      <c r="N338" s="39" t="str">
        <f>IFERROR(INDEX(Katalog!$B$3:$B$12,MATCH(cadangan[[#This Row],[ItemID B]],Katalog!$C$3:$C$12,0)),"-")</f>
        <v>-</v>
      </c>
      <c r="Q338" s="73">
        <f>IFERROR(INDEX(Katalog!$D$3:$D$12,MATCH(cadangan[[#This Row],[ItemID B]],Katalog!$C$3:$C$12,0))*cadangan[[#This Row],[Qty B]],0)</f>
        <v>0</v>
      </c>
      <c r="R338" s="73">
        <f>IFERROR(cadangan[[#This Row],[Harga Normal B]]-(cadangan[[#This Row],[Harga Normal B]]*cadangan[[#This Row],[Diskon]]),cadangan[[#This Row],[Harga Normal B]])</f>
        <v>0</v>
      </c>
      <c r="S338" s="73">
        <f>IFERROR(INDEX(Katalog!$F$3:$F$12,MATCH(cadangan[[#This Row],[ItemID B]],Katalog!$C$3:$C$12,0))*cadangan[[#This Row],[Qty B]],0)</f>
        <v>0</v>
      </c>
      <c r="T338" s="73">
        <f>IFERROR(cadangan[[#This Row],[Harga Diskon B]]-INDEX(Katalog!$E$3:$E$12,MATCH(cadangan[[#This Row],[ItemID B]],Katalog!$C$3:$C$12,0))*cadangan[[#This Row],[Qty B]],0)</f>
        <v>0</v>
      </c>
      <c r="V338" s="39" t="str">
        <f>IFERROR(INDEX(Katalog!$A$3:$A$12,MATCH(cadangan[[#This Row],[ItemID C]],Katalog!$C$3:$C$12,0)),"-")</f>
        <v>-</v>
      </c>
      <c r="W338" s="39" t="str">
        <f>IFERROR(INDEX(Katalog!$B$3:$B$12,MATCH(cadangan[[#This Row],[ItemID C]],Katalog!$C$3:$C$12,0)),"-")</f>
        <v>-</v>
      </c>
      <c r="Z338" s="73">
        <f>IFERROR(INDEX(Katalog!$D$3:$D$12,MATCH(cadangan[[#This Row],[ItemID C]],Katalog!$C$3:$C$12,0))*cadangan[[#This Row],[Qty C]],0)</f>
        <v>0</v>
      </c>
      <c r="AA338" s="73">
        <f>IFERROR(cadangan[[#This Row],[Harga Normal C]]-(cadangan[[#This Row],[Harga Normal C]]*cadangan[[#This Row],[Diskon]]),cadangan[[#This Row],[Harga Normal C]])</f>
        <v>0</v>
      </c>
      <c r="AB338" s="73">
        <f>IFERROR(INDEX(Katalog!$F$3:$F$12,MATCH(cadangan[[#This Row],[ItemID C]],Katalog!$C$3:$C$12,0))*cadangan[[#This Row],[Qty C]],0)</f>
        <v>0</v>
      </c>
      <c r="AC338" s="73">
        <f>IFERROR(cadangan[[#This Row],[Harga Diskon C]]-INDEX(Katalog!$E$3:$E$12,MATCH(cadangan[[#This Row],[ItemID C]],Katalog!$C$3:$C$12,0))*cadangan[[#This Row],[Qty C]],0)</f>
        <v>0</v>
      </c>
      <c r="AD338" s="53">
        <f>cadangan[[#This Row],[Qty A]]+cadangan[[#This Row],[Qty B]]+cadangan[[#This Row],[Qty C]]</f>
        <v>1</v>
      </c>
      <c r="AE338" s="73">
        <f>cadangan[[#This Row],[Harga Normal A]]+cadangan[[#This Row],[Harga Normal B]]+cadangan[[#This Row],[Harga Normal C]]</f>
        <v>150000</v>
      </c>
      <c r="AF338" s="73">
        <f>cadangan[[#This Row],[Harga Diskon A]]+cadangan[[#This Row],[Harga Diskon B]]+cadangan[[#This Row],[Harga Diskon C]]</f>
        <v>135000</v>
      </c>
      <c r="AG338" s="73">
        <f>(cadangan[[#This Row],[Profit Normal A]]+cadangan[[#This Row],[Profit Normal B]]+cadangan[[#This Row],[Profit Normal C]])</f>
        <v>50000</v>
      </c>
      <c r="AH338" s="73">
        <f>cadangan[[#This Row],[Profit Diskon A]]+cadangan[[#This Row],[Profit Diskon B]]+cadangan[[#This Row],[Profit Diskon C]]</f>
        <v>35000</v>
      </c>
      <c r="AI338" s="23" t="s">
        <v>6</v>
      </c>
      <c r="AJ338" s="37">
        <f>IFERROR(INDEX('Kode Diskon'!$D$3:$D$9,MATCH(cadangan[[#This Row],[Kode diskon]],'Kode Diskon'!$C$3:$C$9,0)),"-")</f>
        <v>0.1</v>
      </c>
      <c r="AK338" s="23" t="s">
        <v>29</v>
      </c>
      <c r="AL338" s="23" t="s">
        <v>7</v>
      </c>
      <c r="AM338" s="23" t="s">
        <v>77</v>
      </c>
      <c r="AN338" s="55">
        <v>45017</v>
      </c>
      <c r="AO338" s="53">
        <f>DAY(cadangan[[#This Row],[Tanggal terjual]])</f>
        <v>1</v>
      </c>
      <c r="AP338" s="21" t="str">
        <f>TEXT(cadangan[[#This Row],[Tanggal terjual]],"dddd")</f>
        <v>Saturday</v>
      </c>
      <c r="AQ338" s="23" t="str" cm="1">
        <f t="array" ref="AQ3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38" s="61">
        <f>AVERAGE(cadangan[[#This Row],[Rating A]],cadangan[[#This Row],[Rating B]],cadangan[[#This Row],[Rating C]])</f>
        <v>3</v>
      </c>
    </row>
    <row r="339" spans="1:44" x14ac:dyDescent="0.2">
      <c r="A339" s="20">
        <v>338</v>
      </c>
      <c r="B339" s="21" t="str">
        <f>_xlfn.CONCAT("ORD-",INDEX(Helper!$B$2:$B$5,MATCH(cadangan[[#This Row],[Marketplace]],Helper!$A$2:$A$5,0)),TEXT(cadangan[[#This Row],[No]],"0000"),"-",TEXT(cadangan[[#This Row],[Tanggal terjual]],"dd/mm/yy"))</f>
        <v>ORD-TK0338-29/04/23</v>
      </c>
      <c r="C339" s="39" t="s">
        <v>67</v>
      </c>
      <c r="D339" s="39" t="str">
        <f>IFERROR(INDEX(Katalog!$A$3:$A$12,MATCH(cadangan[[#This Row],[ItemID A]],Katalog!$C$3:$C$12,0)),"-")</f>
        <v>Sepatu Wanita</v>
      </c>
      <c r="E339" s="39" t="str">
        <f>IFERROR(INDEX(Katalog!$B$3:$B$12,MATCH(cadangan[[#This Row],[ItemID A]],Katalog!$C$3:$C$12,0)),"-")</f>
        <v>Flat Shoes</v>
      </c>
      <c r="F339" s="50">
        <v>1</v>
      </c>
      <c r="G339" s="50">
        <v>3</v>
      </c>
      <c r="H339" s="73">
        <f>IFERROR(INDEX(Katalog!$D$3:$D$12,MATCH(cadangan[[#This Row],[ItemID A]],Katalog!$C$3:$C$12,0))*cadangan[[#This Row],[Qty A]],0)</f>
        <v>250000</v>
      </c>
      <c r="I339" s="73">
        <f>IFERROR(cadangan[[#This Row],[Harga Normal A]]-(cadangan[[#This Row],[Harga Normal A]]*cadangan[[#This Row],[Diskon]]),cadangan[[#This Row],[Harga Normal A]])</f>
        <v>225000</v>
      </c>
      <c r="J339" s="73">
        <f>INDEX(Katalog!$F$3:$F$12,MATCH(cadangan[[#This Row],[ItemID A]],Katalog!$C$3:$C$12,0))*cadangan[[#This Row],[Qty A]]</f>
        <v>100000</v>
      </c>
      <c r="K339" s="73">
        <f>IFERROR(cadangan[[#This Row],[Harga Diskon A]]-INDEX(Katalog!$E$3:$E$12,MATCH(cadangan[[#This Row],[ItemID A]],Katalog!$C$3:$C$12,0))*cadangan[[#This Row],[Qty A]],0)</f>
        <v>75000</v>
      </c>
      <c r="M339" s="39" t="str">
        <f>IFERROR(INDEX(Katalog!$A$3:$A$12,MATCH(cadangan[[#This Row],[ItemID B]],Katalog!$C$3:$C$12,0)),"-")</f>
        <v>-</v>
      </c>
      <c r="N339" s="39" t="str">
        <f>IFERROR(INDEX(Katalog!$B$3:$B$12,MATCH(cadangan[[#This Row],[ItemID B]],Katalog!$C$3:$C$12,0)),"-")</f>
        <v>-</v>
      </c>
      <c r="Q339" s="73">
        <f>IFERROR(INDEX(Katalog!$D$3:$D$12,MATCH(cadangan[[#This Row],[ItemID B]],Katalog!$C$3:$C$12,0))*cadangan[[#This Row],[Qty B]],0)</f>
        <v>0</v>
      </c>
      <c r="R339" s="73">
        <f>IFERROR(cadangan[[#This Row],[Harga Normal B]]-(cadangan[[#This Row],[Harga Normal B]]*cadangan[[#This Row],[Diskon]]),cadangan[[#This Row],[Harga Normal B]])</f>
        <v>0</v>
      </c>
      <c r="S339" s="73">
        <f>IFERROR(INDEX(Katalog!$F$3:$F$12,MATCH(cadangan[[#This Row],[ItemID B]],Katalog!$C$3:$C$12,0))*cadangan[[#This Row],[Qty B]],0)</f>
        <v>0</v>
      </c>
      <c r="T339" s="73">
        <f>IFERROR(cadangan[[#This Row],[Harga Diskon B]]-INDEX(Katalog!$E$3:$E$12,MATCH(cadangan[[#This Row],[ItemID B]],Katalog!$C$3:$C$12,0))*cadangan[[#This Row],[Qty B]],0)</f>
        <v>0</v>
      </c>
      <c r="V339" s="39" t="str">
        <f>IFERROR(INDEX(Katalog!$A$3:$A$12,MATCH(cadangan[[#This Row],[ItemID C]],Katalog!$C$3:$C$12,0)),"-")</f>
        <v>-</v>
      </c>
      <c r="W339" s="39" t="str">
        <f>IFERROR(INDEX(Katalog!$B$3:$B$12,MATCH(cadangan[[#This Row],[ItemID C]],Katalog!$C$3:$C$12,0)),"-")</f>
        <v>-</v>
      </c>
      <c r="Z339" s="73">
        <f>IFERROR(INDEX(Katalog!$D$3:$D$12,MATCH(cadangan[[#This Row],[ItemID C]],Katalog!$C$3:$C$12,0))*cadangan[[#This Row],[Qty C]],0)</f>
        <v>0</v>
      </c>
      <c r="AA339" s="73">
        <f>IFERROR(cadangan[[#This Row],[Harga Normal C]]-(cadangan[[#This Row],[Harga Normal C]]*cadangan[[#This Row],[Diskon]]),cadangan[[#This Row],[Harga Normal C]])</f>
        <v>0</v>
      </c>
      <c r="AB339" s="73">
        <f>IFERROR(INDEX(Katalog!$F$3:$F$12,MATCH(cadangan[[#This Row],[ItemID C]],Katalog!$C$3:$C$12,0))*cadangan[[#This Row],[Qty C]],0)</f>
        <v>0</v>
      </c>
      <c r="AC339" s="73">
        <f>IFERROR(cadangan[[#This Row],[Harga Diskon C]]-INDEX(Katalog!$E$3:$E$12,MATCH(cadangan[[#This Row],[ItemID C]],Katalog!$C$3:$C$12,0))*cadangan[[#This Row],[Qty C]],0)</f>
        <v>0</v>
      </c>
      <c r="AD339" s="53">
        <f>cadangan[[#This Row],[Qty A]]+cadangan[[#This Row],[Qty B]]+cadangan[[#This Row],[Qty C]]</f>
        <v>1</v>
      </c>
      <c r="AE339" s="73">
        <f>cadangan[[#This Row],[Harga Normal A]]+cadangan[[#This Row],[Harga Normal B]]+cadangan[[#This Row],[Harga Normal C]]</f>
        <v>250000</v>
      </c>
      <c r="AF339" s="73">
        <f>cadangan[[#This Row],[Harga Diskon A]]+cadangan[[#This Row],[Harga Diskon B]]+cadangan[[#This Row],[Harga Diskon C]]</f>
        <v>225000</v>
      </c>
      <c r="AG339" s="73">
        <f>(cadangan[[#This Row],[Profit Normal A]]+cadangan[[#This Row],[Profit Normal B]]+cadangan[[#This Row],[Profit Normal C]])</f>
        <v>100000</v>
      </c>
      <c r="AH339" s="73">
        <f>cadangan[[#This Row],[Profit Diskon A]]+cadangan[[#This Row],[Profit Diskon B]]+cadangan[[#This Row],[Profit Diskon C]]</f>
        <v>75000</v>
      </c>
      <c r="AI339" s="23" t="s">
        <v>31</v>
      </c>
      <c r="AJ339" s="37">
        <f>IFERROR(INDEX('Kode Diskon'!$D$3:$D$9,MATCH(cadangan[[#This Row],[Kode diskon]],'Kode Diskon'!$C$3:$C$9,0)),"-")</f>
        <v>0.1</v>
      </c>
      <c r="AK339" s="23" t="s">
        <v>9</v>
      </c>
      <c r="AL339" s="23" t="s">
        <v>10</v>
      </c>
      <c r="AM339" s="23" t="s">
        <v>79</v>
      </c>
      <c r="AN339" s="55">
        <v>45045</v>
      </c>
      <c r="AO339" s="53">
        <f>DAY(cadangan[[#This Row],[Tanggal terjual]])</f>
        <v>29</v>
      </c>
      <c r="AP339" s="21" t="str">
        <f>TEXT(cadangan[[#This Row],[Tanggal terjual]],"dddd")</f>
        <v>Saturday</v>
      </c>
      <c r="AQ339" s="23" t="str" cm="1">
        <f t="array" ref="AQ3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39" s="61">
        <f>AVERAGE(cadangan[[#This Row],[Rating A]],cadangan[[#This Row],[Rating B]],cadangan[[#This Row],[Rating C]])</f>
        <v>3</v>
      </c>
    </row>
    <row r="340" spans="1:44" x14ac:dyDescent="0.2">
      <c r="A340" s="20">
        <v>339</v>
      </c>
      <c r="B340" s="21" t="str">
        <f>_xlfn.CONCAT("ORD-",INDEX(Helper!$B$2:$B$5,MATCH(cadangan[[#This Row],[Marketplace]],Helper!$A$2:$A$5,0)),TEXT(cadangan[[#This Row],[No]],"0000"),"-",TEXT(cadangan[[#This Row],[Tanggal terjual]],"dd/mm/yy"))</f>
        <v>ORD-SP0339-06/04/23</v>
      </c>
      <c r="C340" s="39" t="s">
        <v>62</v>
      </c>
      <c r="D340" s="39" t="str">
        <f>IFERROR(INDEX(Katalog!$A$3:$A$12,MATCH(cadangan[[#This Row],[ItemID A]],Katalog!$C$3:$C$12,0)),"-")</f>
        <v>Pakaian Pria</v>
      </c>
      <c r="E340" s="39" t="str">
        <f>IFERROR(INDEX(Katalog!$B$3:$B$12,MATCH(cadangan[[#This Row],[ItemID A]],Katalog!$C$3:$C$12,0)),"-")</f>
        <v>Celana Pendek</v>
      </c>
      <c r="F340" s="50">
        <v>2</v>
      </c>
      <c r="G340" s="50">
        <v>5</v>
      </c>
      <c r="H340" s="73">
        <f>IFERROR(INDEX(Katalog!$D$3:$D$12,MATCH(cadangan[[#This Row],[ItemID A]],Katalog!$C$3:$C$12,0))*cadangan[[#This Row],[Qty A]],0)</f>
        <v>360000</v>
      </c>
      <c r="I340" s="73">
        <f>IFERROR(cadangan[[#This Row],[Harga Normal A]]-(cadangan[[#This Row],[Harga Normal A]]*cadangan[[#This Row],[Diskon]]),cadangan[[#This Row],[Harga Normal A]])</f>
        <v>324000</v>
      </c>
      <c r="J340" s="73">
        <f>INDEX(Katalog!$F$3:$F$12,MATCH(cadangan[[#This Row],[ItemID A]],Katalog!$C$3:$C$12,0))*cadangan[[#This Row],[Qty A]]</f>
        <v>140000</v>
      </c>
      <c r="K340" s="73">
        <f>IFERROR(cadangan[[#This Row],[Harga Diskon A]]-INDEX(Katalog!$E$3:$E$12,MATCH(cadangan[[#This Row],[ItemID A]],Katalog!$C$3:$C$12,0))*cadangan[[#This Row],[Qty A]],0)</f>
        <v>104000</v>
      </c>
      <c r="M340" s="39" t="str">
        <f>IFERROR(INDEX(Katalog!$A$3:$A$12,MATCH(cadangan[[#This Row],[ItemID B]],Katalog!$C$3:$C$12,0)),"-")</f>
        <v>-</v>
      </c>
      <c r="N340" s="39" t="str">
        <f>IFERROR(INDEX(Katalog!$B$3:$B$12,MATCH(cadangan[[#This Row],[ItemID B]],Katalog!$C$3:$C$12,0)),"-")</f>
        <v>-</v>
      </c>
      <c r="Q340" s="73">
        <f>IFERROR(INDEX(Katalog!$D$3:$D$12,MATCH(cadangan[[#This Row],[ItemID B]],Katalog!$C$3:$C$12,0))*cadangan[[#This Row],[Qty B]],0)</f>
        <v>0</v>
      </c>
      <c r="R340" s="73">
        <f>IFERROR(cadangan[[#This Row],[Harga Normal B]]-(cadangan[[#This Row],[Harga Normal B]]*cadangan[[#This Row],[Diskon]]),cadangan[[#This Row],[Harga Normal B]])</f>
        <v>0</v>
      </c>
      <c r="S340" s="73">
        <f>IFERROR(INDEX(Katalog!$F$3:$F$12,MATCH(cadangan[[#This Row],[ItemID B]],Katalog!$C$3:$C$12,0))*cadangan[[#This Row],[Qty B]],0)</f>
        <v>0</v>
      </c>
      <c r="T340" s="73">
        <f>IFERROR(cadangan[[#This Row],[Harga Diskon B]]-INDEX(Katalog!$E$3:$E$12,MATCH(cadangan[[#This Row],[ItemID B]],Katalog!$C$3:$C$12,0))*cadangan[[#This Row],[Qty B]],0)</f>
        <v>0</v>
      </c>
      <c r="V340" s="39" t="str">
        <f>IFERROR(INDEX(Katalog!$A$3:$A$12,MATCH(cadangan[[#This Row],[ItemID C]],Katalog!$C$3:$C$12,0)),"-")</f>
        <v>-</v>
      </c>
      <c r="W340" s="39" t="str">
        <f>IFERROR(INDEX(Katalog!$B$3:$B$12,MATCH(cadangan[[#This Row],[ItemID C]],Katalog!$C$3:$C$12,0)),"-")</f>
        <v>-</v>
      </c>
      <c r="Z340" s="73">
        <f>IFERROR(INDEX(Katalog!$D$3:$D$12,MATCH(cadangan[[#This Row],[ItemID C]],Katalog!$C$3:$C$12,0))*cadangan[[#This Row],[Qty C]],0)</f>
        <v>0</v>
      </c>
      <c r="AA340" s="73">
        <f>IFERROR(cadangan[[#This Row],[Harga Normal C]]-(cadangan[[#This Row],[Harga Normal C]]*cadangan[[#This Row],[Diskon]]),cadangan[[#This Row],[Harga Normal C]])</f>
        <v>0</v>
      </c>
      <c r="AB340" s="73">
        <f>IFERROR(INDEX(Katalog!$F$3:$F$12,MATCH(cadangan[[#This Row],[ItemID C]],Katalog!$C$3:$C$12,0))*cadangan[[#This Row],[Qty C]],0)</f>
        <v>0</v>
      </c>
      <c r="AC340" s="73">
        <f>IFERROR(cadangan[[#This Row],[Harga Diskon C]]-INDEX(Katalog!$E$3:$E$12,MATCH(cadangan[[#This Row],[ItemID C]],Katalog!$C$3:$C$12,0))*cadangan[[#This Row],[Qty C]],0)</f>
        <v>0</v>
      </c>
      <c r="AD340" s="53">
        <f>cadangan[[#This Row],[Qty A]]+cadangan[[#This Row],[Qty B]]+cadangan[[#This Row],[Qty C]]</f>
        <v>2</v>
      </c>
      <c r="AE340" s="73">
        <f>cadangan[[#This Row],[Harga Normal A]]+cadangan[[#This Row],[Harga Normal B]]+cadangan[[#This Row],[Harga Normal C]]</f>
        <v>360000</v>
      </c>
      <c r="AF340" s="73">
        <f>cadangan[[#This Row],[Harga Diskon A]]+cadangan[[#This Row],[Harga Diskon B]]+cadangan[[#This Row],[Harga Diskon C]]</f>
        <v>324000</v>
      </c>
      <c r="AG340" s="73">
        <f>(cadangan[[#This Row],[Profit Normal A]]+cadangan[[#This Row],[Profit Normal B]]+cadangan[[#This Row],[Profit Normal C]])</f>
        <v>140000</v>
      </c>
      <c r="AH340" s="73">
        <f>cadangan[[#This Row],[Profit Diskon A]]+cadangan[[#This Row],[Profit Diskon B]]+cadangan[[#This Row],[Profit Diskon C]]</f>
        <v>104000</v>
      </c>
      <c r="AI340" s="23" t="s">
        <v>6</v>
      </c>
      <c r="AJ340" s="37">
        <f>IFERROR(INDEX('Kode Diskon'!$D$3:$D$9,MATCH(cadangan[[#This Row],[Kode diskon]],'Kode Diskon'!$C$3:$C$9,0)),"-")</f>
        <v>0.1</v>
      </c>
      <c r="AK340" s="23" t="s">
        <v>29</v>
      </c>
      <c r="AL340" s="23" t="s">
        <v>7</v>
      </c>
      <c r="AM340" s="23" t="s">
        <v>76</v>
      </c>
      <c r="AN340" s="55">
        <v>45022</v>
      </c>
      <c r="AO340" s="53">
        <f>DAY(cadangan[[#This Row],[Tanggal terjual]])</f>
        <v>6</v>
      </c>
      <c r="AP340" s="21" t="str">
        <f>TEXT(cadangan[[#This Row],[Tanggal terjual]],"dddd")</f>
        <v>Thursday</v>
      </c>
      <c r="AQ340" s="23" t="str" cm="1">
        <f t="array" ref="AQ3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0" s="61">
        <f>AVERAGE(cadangan[[#This Row],[Rating A]],cadangan[[#This Row],[Rating B]],cadangan[[#This Row],[Rating C]])</f>
        <v>5</v>
      </c>
    </row>
    <row r="341" spans="1:44" x14ac:dyDescent="0.2">
      <c r="A341" s="20">
        <v>340</v>
      </c>
      <c r="B341" s="21" t="str">
        <f>_xlfn.CONCAT("ORD-",INDEX(Helper!$B$2:$B$5,MATCH(cadangan[[#This Row],[Marketplace]],Helper!$A$2:$A$5,0)),TEXT(cadangan[[#This Row],[No]],"0000"),"-",TEXT(cadangan[[#This Row],[Tanggal terjual]],"dd/mm/yy"))</f>
        <v>ORD-SP0340-01/04/23</v>
      </c>
      <c r="C341" s="39" t="s">
        <v>67</v>
      </c>
      <c r="D341" s="39" t="str">
        <f>IFERROR(INDEX(Katalog!$A$3:$A$12,MATCH(cadangan[[#This Row],[ItemID A]],Katalog!$C$3:$C$12,0)),"-")</f>
        <v>Sepatu Wanita</v>
      </c>
      <c r="E341" s="39" t="str">
        <f>IFERROR(INDEX(Katalog!$B$3:$B$12,MATCH(cadangan[[#This Row],[ItemID A]],Katalog!$C$3:$C$12,0)),"-")</f>
        <v>Flat Shoes</v>
      </c>
      <c r="F341" s="50">
        <v>1</v>
      </c>
      <c r="G341" s="50">
        <v>5</v>
      </c>
      <c r="H341" s="73">
        <f>IFERROR(INDEX(Katalog!$D$3:$D$12,MATCH(cadangan[[#This Row],[ItemID A]],Katalog!$C$3:$C$12,0))*cadangan[[#This Row],[Qty A]],0)</f>
        <v>250000</v>
      </c>
      <c r="I341" s="73">
        <f>IFERROR(cadangan[[#This Row],[Harga Normal A]]-(cadangan[[#This Row],[Harga Normal A]]*cadangan[[#This Row],[Diskon]]),cadangan[[#This Row],[Harga Normal A]])</f>
        <v>225000</v>
      </c>
      <c r="J341" s="73">
        <f>INDEX(Katalog!$F$3:$F$12,MATCH(cadangan[[#This Row],[ItemID A]],Katalog!$C$3:$C$12,0))*cadangan[[#This Row],[Qty A]]</f>
        <v>100000</v>
      </c>
      <c r="K341" s="73">
        <f>IFERROR(cadangan[[#This Row],[Harga Diskon A]]-INDEX(Katalog!$E$3:$E$12,MATCH(cadangan[[#This Row],[ItemID A]],Katalog!$C$3:$C$12,0))*cadangan[[#This Row],[Qty A]],0)</f>
        <v>75000</v>
      </c>
      <c r="L341" s="39" t="s">
        <v>61</v>
      </c>
      <c r="M341" s="39" t="str">
        <f>IFERROR(INDEX(Katalog!$A$3:$A$12,MATCH(cadangan[[#This Row],[ItemID B]],Katalog!$C$3:$C$12,0)),"-")</f>
        <v>Pakaian Pria</v>
      </c>
      <c r="N341" s="39" t="str">
        <f>IFERROR(INDEX(Katalog!$B$3:$B$12,MATCH(cadangan[[#This Row],[ItemID B]],Katalog!$C$3:$C$12,0)),"-")</f>
        <v>Kaos Polo</v>
      </c>
      <c r="O341" s="50">
        <v>1</v>
      </c>
      <c r="P341" s="50">
        <v>1</v>
      </c>
      <c r="Q341" s="73">
        <f>IFERROR(INDEX(Katalog!$D$3:$D$12,MATCH(cadangan[[#This Row],[ItemID B]],Katalog!$C$3:$C$12,0))*cadangan[[#This Row],[Qty B]],0)</f>
        <v>200000</v>
      </c>
      <c r="R341" s="73">
        <f>IFERROR(cadangan[[#This Row],[Harga Normal B]]-(cadangan[[#This Row],[Harga Normal B]]*cadangan[[#This Row],[Diskon]]),cadangan[[#This Row],[Harga Normal B]])</f>
        <v>180000</v>
      </c>
      <c r="S341" s="73">
        <f>IFERROR(INDEX(Katalog!$F$3:$F$12,MATCH(cadangan[[#This Row],[ItemID B]],Katalog!$C$3:$C$12,0))*cadangan[[#This Row],[Qty B]],0)</f>
        <v>80000</v>
      </c>
      <c r="T341" s="73">
        <f>IFERROR(cadangan[[#This Row],[Harga Diskon B]]-INDEX(Katalog!$E$3:$E$12,MATCH(cadangan[[#This Row],[ItemID B]],Katalog!$C$3:$C$12,0))*cadangan[[#This Row],[Qty B]],0)</f>
        <v>60000</v>
      </c>
      <c r="V341" s="39" t="str">
        <f>IFERROR(INDEX(Katalog!$A$3:$A$12,MATCH(cadangan[[#This Row],[ItemID C]],Katalog!$C$3:$C$12,0)),"-")</f>
        <v>-</v>
      </c>
      <c r="W341" s="39" t="str">
        <f>IFERROR(INDEX(Katalog!$B$3:$B$12,MATCH(cadangan[[#This Row],[ItemID C]],Katalog!$C$3:$C$12,0)),"-")</f>
        <v>-</v>
      </c>
      <c r="Z341" s="73">
        <f>IFERROR(INDEX(Katalog!$D$3:$D$12,MATCH(cadangan[[#This Row],[ItemID C]],Katalog!$C$3:$C$12,0))*cadangan[[#This Row],[Qty C]],0)</f>
        <v>0</v>
      </c>
      <c r="AA341" s="73">
        <f>IFERROR(cadangan[[#This Row],[Harga Normal C]]-(cadangan[[#This Row],[Harga Normal C]]*cadangan[[#This Row],[Diskon]]),cadangan[[#This Row],[Harga Normal C]])</f>
        <v>0</v>
      </c>
      <c r="AB341" s="73">
        <f>IFERROR(INDEX(Katalog!$F$3:$F$12,MATCH(cadangan[[#This Row],[ItemID C]],Katalog!$C$3:$C$12,0))*cadangan[[#This Row],[Qty C]],0)</f>
        <v>0</v>
      </c>
      <c r="AC341" s="73">
        <f>IFERROR(cadangan[[#This Row],[Harga Diskon C]]-INDEX(Katalog!$E$3:$E$12,MATCH(cadangan[[#This Row],[ItemID C]],Katalog!$C$3:$C$12,0))*cadangan[[#This Row],[Qty C]],0)</f>
        <v>0</v>
      </c>
      <c r="AD341" s="53">
        <f>cadangan[[#This Row],[Qty A]]+cadangan[[#This Row],[Qty B]]+cadangan[[#This Row],[Qty C]]</f>
        <v>2</v>
      </c>
      <c r="AE341" s="73">
        <f>cadangan[[#This Row],[Harga Normal A]]+cadangan[[#This Row],[Harga Normal B]]+cadangan[[#This Row],[Harga Normal C]]</f>
        <v>450000</v>
      </c>
      <c r="AF341" s="73">
        <f>cadangan[[#This Row],[Harga Diskon A]]+cadangan[[#This Row],[Harga Diskon B]]+cadangan[[#This Row],[Harga Diskon C]]</f>
        <v>405000</v>
      </c>
      <c r="AG341" s="73">
        <f>(cadangan[[#This Row],[Profit Normal A]]+cadangan[[#This Row],[Profit Normal B]]+cadangan[[#This Row],[Profit Normal C]])</f>
        <v>180000</v>
      </c>
      <c r="AH341" s="73">
        <f>cadangan[[#This Row],[Profit Diskon A]]+cadangan[[#This Row],[Profit Diskon B]]+cadangan[[#This Row],[Profit Diskon C]]</f>
        <v>135000</v>
      </c>
      <c r="AI341" s="23" t="s">
        <v>6</v>
      </c>
      <c r="AJ341" s="37">
        <f>IFERROR(INDEX('Kode Diskon'!$D$3:$D$9,MATCH(cadangan[[#This Row],[Kode diskon]],'Kode Diskon'!$C$3:$C$9,0)),"-")</f>
        <v>0.1</v>
      </c>
      <c r="AK341" s="23" t="s">
        <v>29</v>
      </c>
      <c r="AL341" s="23" t="s">
        <v>7</v>
      </c>
      <c r="AM341" s="23" t="s">
        <v>80</v>
      </c>
      <c r="AN341" s="55">
        <v>45017</v>
      </c>
      <c r="AO341" s="53">
        <f>DAY(cadangan[[#This Row],[Tanggal terjual]])</f>
        <v>1</v>
      </c>
      <c r="AP341" s="21" t="str">
        <f>TEXT(cadangan[[#This Row],[Tanggal terjual]],"dddd")</f>
        <v>Saturday</v>
      </c>
      <c r="AQ341" s="23" t="str" cm="1">
        <f t="array" ref="AQ3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1" s="61">
        <f>AVERAGE(cadangan[[#This Row],[Rating A]],cadangan[[#This Row],[Rating B]],cadangan[[#This Row],[Rating C]])</f>
        <v>3</v>
      </c>
    </row>
    <row r="342" spans="1:44" x14ac:dyDescent="0.2">
      <c r="A342" s="20">
        <v>341</v>
      </c>
      <c r="B342" s="21" t="str">
        <f>_xlfn.CONCAT("ORD-",INDEX(Helper!$B$2:$B$5,MATCH(cadangan[[#This Row],[Marketplace]],Helper!$A$2:$A$5,0)),TEXT(cadangan[[#This Row],[No]],"0000"),"-",TEXT(cadangan[[#This Row],[Tanggal terjual]],"dd/mm/yy"))</f>
        <v>ORD-SP0341-18/04/23</v>
      </c>
      <c r="C342" s="39" t="s">
        <v>59</v>
      </c>
      <c r="D342" s="39" t="str">
        <f>IFERROR(INDEX(Katalog!$A$3:$A$12,MATCH(cadangan[[#This Row],[ItemID A]],Katalog!$C$3:$C$12,0)),"-")</f>
        <v>Pakaian Wanita</v>
      </c>
      <c r="E342" s="39" t="str">
        <f>IFERROR(INDEX(Katalog!$B$3:$B$12,MATCH(cadangan[[#This Row],[ItemID A]],Katalog!$C$3:$C$12,0)),"-")</f>
        <v>Blouse</v>
      </c>
      <c r="F342" s="50">
        <v>3</v>
      </c>
      <c r="G342" s="50">
        <v>3</v>
      </c>
      <c r="H342" s="73">
        <f>IFERROR(INDEX(Katalog!$D$3:$D$12,MATCH(cadangan[[#This Row],[ItemID A]],Katalog!$C$3:$C$12,0))*cadangan[[#This Row],[Qty A]],0)</f>
        <v>450000</v>
      </c>
      <c r="I342" s="73">
        <f>IFERROR(cadangan[[#This Row],[Harga Normal A]]-(cadangan[[#This Row],[Harga Normal A]]*cadangan[[#This Row],[Diskon]]),cadangan[[#This Row],[Harga Normal A]])</f>
        <v>360000</v>
      </c>
      <c r="J342" s="73">
        <f>INDEX(Katalog!$F$3:$F$12,MATCH(cadangan[[#This Row],[ItemID A]],Katalog!$C$3:$C$12,0))*cadangan[[#This Row],[Qty A]]</f>
        <v>150000</v>
      </c>
      <c r="K342" s="73">
        <f>IFERROR(cadangan[[#This Row],[Harga Diskon A]]-INDEX(Katalog!$E$3:$E$12,MATCH(cadangan[[#This Row],[ItemID A]],Katalog!$C$3:$C$12,0))*cadangan[[#This Row],[Qty A]],0)</f>
        <v>60000</v>
      </c>
      <c r="M342" s="39" t="str">
        <f>IFERROR(INDEX(Katalog!$A$3:$A$12,MATCH(cadangan[[#This Row],[ItemID B]],Katalog!$C$3:$C$12,0)),"-")</f>
        <v>-</v>
      </c>
      <c r="N342" s="39" t="str">
        <f>IFERROR(INDEX(Katalog!$B$3:$B$12,MATCH(cadangan[[#This Row],[ItemID B]],Katalog!$C$3:$C$12,0)),"-")</f>
        <v>-</v>
      </c>
      <c r="Q342" s="73">
        <f>IFERROR(INDEX(Katalog!$D$3:$D$12,MATCH(cadangan[[#This Row],[ItemID B]],Katalog!$C$3:$C$12,0))*cadangan[[#This Row],[Qty B]],0)</f>
        <v>0</v>
      </c>
      <c r="R342" s="73">
        <f>IFERROR(cadangan[[#This Row],[Harga Normal B]]-(cadangan[[#This Row],[Harga Normal B]]*cadangan[[#This Row],[Diskon]]),cadangan[[#This Row],[Harga Normal B]])</f>
        <v>0</v>
      </c>
      <c r="S342" s="73">
        <f>IFERROR(INDEX(Katalog!$F$3:$F$12,MATCH(cadangan[[#This Row],[ItemID B]],Katalog!$C$3:$C$12,0))*cadangan[[#This Row],[Qty B]],0)</f>
        <v>0</v>
      </c>
      <c r="T342" s="73">
        <f>IFERROR(cadangan[[#This Row],[Harga Diskon B]]-INDEX(Katalog!$E$3:$E$12,MATCH(cadangan[[#This Row],[ItemID B]],Katalog!$C$3:$C$12,0))*cadangan[[#This Row],[Qty B]],0)</f>
        <v>0</v>
      </c>
      <c r="V342" s="39" t="str">
        <f>IFERROR(INDEX(Katalog!$A$3:$A$12,MATCH(cadangan[[#This Row],[ItemID C]],Katalog!$C$3:$C$12,0)),"-")</f>
        <v>-</v>
      </c>
      <c r="W342" s="39" t="str">
        <f>IFERROR(INDEX(Katalog!$B$3:$B$12,MATCH(cadangan[[#This Row],[ItemID C]],Katalog!$C$3:$C$12,0)),"-")</f>
        <v>-</v>
      </c>
      <c r="Z342" s="73">
        <f>IFERROR(INDEX(Katalog!$D$3:$D$12,MATCH(cadangan[[#This Row],[ItemID C]],Katalog!$C$3:$C$12,0))*cadangan[[#This Row],[Qty C]],0)</f>
        <v>0</v>
      </c>
      <c r="AA342" s="73">
        <f>IFERROR(cadangan[[#This Row],[Harga Normal C]]-(cadangan[[#This Row],[Harga Normal C]]*cadangan[[#This Row],[Diskon]]),cadangan[[#This Row],[Harga Normal C]])</f>
        <v>0</v>
      </c>
      <c r="AB342" s="73">
        <f>IFERROR(INDEX(Katalog!$F$3:$F$12,MATCH(cadangan[[#This Row],[ItemID C]],Katalog!$C$3:$C$12,0))*cadangan[[#This Row],[Qty C]],0)</f>
        <v>0</v>
      </c>
      <c r="AC342" s="73">
        <f>IFERROR(cadangan[[#This Row],[Harga Diskon C]]-INDEX(Katalog!$E$3:$E$12,MATCH(cadangan[[#This Row],[ItemID C]],Katalog!$C$3:$C$12,0))*cadangan[[#This Row],[Qty C]],0)</f>
        <v>0</v>
      </c>
      <c r="AD342" s="53">
        <f>cadangan[[#This Row],[Qty A]]+cadangan[[#This Row],[Qty B]]+cadangan[[#This Row],[Qty C]]</f>
        <v>3</v>
      </c>
      <c r="AE342" s="73">
        <f>cadangan[[#This Row],[Harga Normal A]]+cadangan[[#This Row],[Harga Normal B]]+cadangan[[#This Row],[Harga Normal C]]</f>
        <v>450000</v>
      </c>
      <c r="AF342" s="73">
        <f>cadangan[[#This Row],[Harga Diskon A]]+cadangan[[#This Row],[Harga Diskon B]]+cadangan[[#This Row],[Harga Diskon C]]</f>
        <v>360000</v>
      </c>
      <c r="AG342" s="73">
        <f>(cadangan[[#This Row],[Profit Normal A]]+cadangan[[#This Row],[Profit Normal B]]+cadangan[[#This Row],[Profit Normal C]])</f>
        <v>150000</v>
      </c>
      <c r="AH342" s="73">
        <f>cadangan[[#This Row],[Profit Diskon A]]+cadangan[[#This Row],[Profit Diskon B]]+cadangan[[#This Row],[Profit Diskon C]]</f>
        <v>60000</v>
      </c>
      <c r="AI342" s="23" t="s">
        <v>8</v>
      </c>
      <c r="AJ342" s="37">
        <f>IFERROR(INDEX('Kode Diskon'!$D$3:$D$9,MATCH(cadangan[[#This Row],[Kode diskon]],'Kode Diskon'!$C$3:$C$9,0)),"-")</f>
        <v>0.2</v>
      </c>
      <c r="AK342" s="23" t="s">
        <v>9</v>
      </c>
      <c r="AL342" s="23" t="s">
        <v>7</v>
      </c>
      <c r="AM342" s="23" t="s">
        <v>79</v>
      </c>
      <c r="AN342" s="55">
        <v>45034</v>
      </c>
      <c r="AO342" s="53">
        <f>DAY(cadangan[[#This Row],[Tanggal terjual]])</f>
        <v>18</v>
      </c>
      <c r="AP342" s="21" t="str">
        <f>TEXT(cadangan[[#This Row],[Tanggal terjual]],"dddd")</f>
        <v>Tuesday</v>
      </c>
      <c r="AQ342" s="23" t="str" cm="1">
        <f t="array" ref="AQ3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42" s="61">
        <f>AVERAGE(cadangan[[#This Row],[Rating A]],cadangan[[#This Row],[Rating B]],cadangan[[#This Row],[Rating C]])</f>
        <v>3</v>
      </c>
    </row>
    <row r="343" spans="1:44" x14ac:dyDescent="0.2">
      <c r="A343" s="20">
        <v>342</v>
      </c>
      <c r="B343" s="21" t="str">
        <f>_xlfn.CONCAT("ORD-",INDEX(Helper!$B$2:$B$5,MATCH(cadangan[[#This Row],[Marketplace]],Helper!$A$2:$A$5,0)),TEXT(cadangan[[#This Row],[No]],"0000"),"-",TEXT(cadangan[[#This Row],[Tanggal terjual]],"dd/mm/yy"))</f>
        <v>ORD-TK0342-02/04/23</v>
      </c>
      <c r="C343" s="39" t="s">
        <v>59</v>
      </c>
      <c r="D343" s="39" t="str">
        <f>IFERROR(INDEX(Katalog!$A$3:$A$12,MATCH(cadangan[[#This Row],[ItemID A]],Katalog!$C$3:$C$12,0)),"-")</f>
        <v>Pakaian Wanita</v>
      </c>
      <c r="E343" s="39" t="str">
        <f>IFERROR(INDEX(Katalog!$B$3:$B$12,MATCH(cadangan[[#This Row],[ItemID A]],Katalog!$C$3:$C$12,0)),"-")</f>
        <v>Blouse</v>
      </c>
      <c r="F343" s="50">
        <v>3</v>
      </c>
      <c r="G343" s="50">
        <v>4</v>
      </c>
      <c r="H343" s="73">
        <f>IFERROR(INDEX(Katalog!$D$3:$D$12,MATCH(cadangan[[#This Row],[ItemID A]],Katalog!$C$3:$C$12,0))*cadangan[[#This Row],[Qty A]],0)</f>
        <v>450000</v>
      </c>
      <c r="I343" s="73">
        <f>IFERROR(cadangan[[#This Row],[Harga Normal A]]-(cadangan[[#This Row],[Harga Normal A]]*cadangan[[#This Row],[Diskon]]),cadangan[[#This Row],[Harga Normal A]])</f>
        <v>405000</v>
      </c>
      <c r="J343" s="73">
        <f>INDEX(Katalog!$F$3:$F$12,MATCH(cadangan[[#This Row],[ItemID A]],Katalog!$C$3:$C$12,0))*cadangan[[#This Row],[Qty A]]</f>
        <v>150000</v>
      </c>
      <c r="K343" s="73">
        <f>IFERROR(cadangan[[#This Row],[Harga Diskon A]]-INDEX(Katalog!$E$3:$E$12,MATCH(cadangan[[#This Row],[ItemID A]],Katalog!$C$3:$C$12,0))*cadangan[[#This Row],[Qty A]],0)</f>
        <v>105000</v>
      </c>
      <c r="L343" s="39" t="s">
        <v>58</v>
      </c>
      <c r="M343" s="39" t="str">
        <f>IFERROR(INDEX(Katalog!$A$3:$A$12,MATCH(cadangan[[#This Row],[ItemID B]],Katalog!$C$3:$C$12,0)),"-")</f>
        <v>Pakaian Wanita</v>
      </c>
      <c r="N343" s="39" t="str">
        <f>IFERROR(INDEX(Katalog!$B$3:$B$12,MATCH(cadangan[[#This Row],[ItemID B]],Katalog!$C$3:$C$12,0)),"-")</f>
        <v>Dress</v>
      </c>
      <c r="O343" s="50">
        <v>1</v>
      </c>
      <c r="P343" s="50">
        <v>4</v>
      </c>
      <c r="Q343" s="73">
        <f>IFERROR(INDEX(Katalog!$D$3:$D$12,MATCH(cadangan[[#This Row],[ItemID B]],Katalog!$C$3:$C$12,0))*cadangan[[#This Row],[Qty B]],0)</f>
        <v>300000</v>
      </c>
      <c r="R343" s="73">
        <f>IFERROR(cadangan[[#This Row],[Harga Normal B]]-(cadangan[[#This Row],[Harga Normal B]]*cadangan[[#This Row],[Diskon]]),cadangan[[#This Row],[Harga Normal B]])</f>
        <v>270000</v>
      </c>
      <c r="S343" s="73">
        <f>IFERROR(INDEX(Katalog!$F$3:$F$12,MATCH(cadangan[[#This Row],[ItemID B]],Katalog!$C$3:$C$12,0))*cadangan[[#This Row],[Qty B]],0)</f>
        <v>100000</v>
      </c>
      <c r="T343" s="73">
        <f>IFERROR(cadangan[[#This Row],[Harga Diskon B]]-INDEX(Katalog!$E$3:$E$12,MATCH(cadangan[[#This Row],[ItemID B]],Katalog!$C$3:$C$12,0))*cadangan[[#This Row],[Qty B]],0)</f>
        <v>70000</v>
      </c>
      <c r="V343" s="39" t="str">
        <f>IFERROR(INDEX(Katalog!$A$3:$A$12,MATCH(cadangan[[#This Row],[ItemID C]],Katalog!$C$3:$C$12,0)),"-")</f>
        <v>-</v>
      </c>
      <c r="W343" s="39" t="str">
        <f>IFERROR(INDEX(Katalog!$B$3:$B$12,MATCH(cadangan[[#This Row],[ItemID C]],Katalog!$C$3:$C$12,0)),"-")</f>
        <v>-</v>
      </c>
      <c r="Z343" s="73">
        <f>IFERROR(INDEX(Katalog!$D$3:$D$12,MATCH(cadangan[[#This Row],[ItemID C]],Katalog!$C$3:$C$12,0))*cadangan[[#This Row],[Qty C]],0)</f>
        <v>0</v>
      </c>
      <c r="AA343" s="73">
        <f>IFERROR(cadangan[[#This Row],[Harga Normal C]]-(cadangan[[#This Row],[Harga Normal C]]*cadangan[[#This Row],[Diskon]]),cadangan[[#This Row],[Harga Normal C]])</f>
        <v>0</v>
      </c>
      <c r="AB343" s="73">
        <f>IFERROR(INDEX(Katalog!$F$3:$F$12,MATCH(cadangan[[#This Row],[ItemID C]],Katalog!$C$3:$C$12,0))*cadangan[[#This Row],[Qty C]],0)</f>
        <v>0</v>
      </c>
      <c r="AC343" s="73">
        <f>IFERROR(cadangan[[#This Row],[Harga Diskon C]]-INDEX(Katalog!$E$3:$E$12,MATCH(cadangan[[#This Row],[ItemID C]],Katalog!$C$3:$C$12,0))*cadangan[[#This Row],[Qty C]],0)</f>
        <v>0</v>
      </c>
      <c r="AD343" s="53">
        <f>cadangan[[#This Row],[Qty A]]+cadangan[[#This Row],[Qty B]]+cadangan[[#This Row],[Qty C]]</f>
        <v>4</v>
      </c>
      <c r="AE343" s="73">
        <f>cadangan[[#This Row],[Harga Normal A]]+cadangan[[#This Row],[Harga Normal B]]+cadangan[[#This Row],[Harga Normal C]]</f>
        <v>750000</v>
      </c>
      <c r="AF343" s="73">
        <f>cadangan[[#This Row],[Harga Diskon A]]+cadangan[[#This Row],[Harga Diskon B]]+cadangan[[#This Row],[Harga Diskon C]]</f>
        <v>675000</v>
      </c>
      <c r="AG343" s="73">
        <f>(cadangan[[#This Row],[Profit Normal A]]+cadangan[[#This Row],[Profit Normal B]]+cadangan[[#This Row],[Profit Normal C]])</f>
        <v>250000</v>
      </c>
      <c r="AH343" s="73">
        <f>cadangan[[#This Row],[Profit Diskon A]]+cadangan[[#This Row],[Profit Diskon B]]+cadangan[[#This Row],[Profit Diskon C]]</f>
        <v>175000</v>
      </c>
      <c r="AI343" s="23" t="s">
        <v>30</v>
      </c>
      <c r="AJ343" s="37">
        <f>IFERROR(INDEX('Kode Diskon'!$D$3:$D$9,MATCH(cadangan[[#This Row],[Kode diskon]],'Kode Diskon'!$C$3:$C$9,0)),"-")</f>
        <v>0.1</v>
      </c>
      <c r="AK343" s="23" t="s">
        <v>29</v>
      </c>
      <c r="AL343" s="23" t="s">
        <v>10</v>
      </c>
      <c r="AM343" s="23" t="s">
        <v>80</v>
      </c>
      <c r="AN343" s="55">
        <v>45018</v>
      </c>
      <c r="AO343" s="53">
        <f>DAY(cadangan[[#This Row],[Tanggal terjual]])</f>
        <v>2</v>
      </c>
      <c r="AP343" s="21" t="str">
        <f>TEXT(cadangan[[#This Row],[Tanggal terjual]],"dddd")</f>
        <v>Sunday</v>
      </c>
      <c r="AQ343" s="23" t="str" cm="1">
        <f t="array" ref="AQ3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3" s="61">
        <f>AVERAGE(cadangan[[#This Row],[Rating A]],cadangan[[#This Row],[Rating B]],cadangan[[#This Row],[Rating C]])</f>
        <v>4</v>
      </c>
    </row>
    <row r="344" spans="1:44" x14ac:dyDescent="0.2">
      <c r="A344" s="20">
        <v>343</v>
      </c>
      <c r="B344" s="21" t="str">
        <f>_xlfn.CONCAT("ORD-",INDEX(Helper!$B$2:$B$5,MATCH(cadangan[[#This Row],[Marketplace]],Helper!$A$2:$A$5,0)),TEXT(cadangan[[#This Row],[No]],"0000"),"-",TEXT(cadangan[[#This Row],[Tanggal terjual]],"dd/mm/yy"))</f>
        <v>ORD-TK0343-08/04/23</v>
      </c>
      <c r="C344" s="39" t="s">
        <v>58</v>
      </c>
      <c r="D344" s="39" t="str">
        <f>IFERROR(INDEX(Katalog!$A$3:$A$12,MATCH(cadangan[[#This Row],[ItemID A]],Katalog!$C$3:$C$12,0)),"-")</f>
        <v>Pakaian Wanita</v>
      </c>
      <c r="E344" s="39" t="str">
        <f>IFERROR(INDEX(Katalog!$B$3:$B$12,MATCH(cadangan[[#This Row],[ItemID A]],Katalog!$C$3:$C$12,0)),"-")</f>
        <v>Dress</v>
      </c>
      <c r="F344" s="50">
        <v>4</v>
      </c>
      <c r="G344" s="50">
        <v>5</v>
      </c>
      <c r="H344" s="73">
        <f>IFERROR(INDEX(Katalog!$D$3:$D$12,MATCH(cadangan[[#This Row],[ItemID A]],Katalog!$C$3:$C$12,0))*cadangan[[#This Row],[Qty A]],0)</f>
        <v>1200000</v>
      </c>
      <c r="I344" s="73">
        <f>IFERROR(cadangan[[#This Row],[Harga Normal A]]-(cadangan[[#This Row],[Harga Normal A]]*cadangan[[#This Row],[Diskon]]),cadangan[[#This Row],[Harga Normal A]])</f>
        <v>1200000</v>
      </c>
      <c r="J344" s="73">
        <f>INDEX(Katalog!$F$3:$F$12,MATCH(cadangan[[#This Row],[ItemID A]],Katalog!$C$3:$C$12,0))*cadangan[[#This Row],[Qty A]]</f>
        <v>400000</v>
      </c>
      <c r="K344" s="73">
        <f>IFERROR(cadangan[[#This Row],[Harga Diskon A]]-INDEX(Katalog!$E$3:$E$12,MATCH(cadangan[[#This Row],[ItemID A]],Katalog!$C$3:$C$12,0))*cadangan[[#This Row],[Qty A]],0)</f>
        <v>400000</v>
      </c>
      <c r="L344" s="39" t="s">
        <v>60</v>
      </c>
      <c r="M344" s="39" t="str">
        <f>IFERROR(INDEX(Katalog!$A$3:$A$12,MATCH(cadangan[[#This Row],[ItemID B]],Katalog!$C$3:$C$12,0)),"-")</f>
        <v>Pakaian Wanita</v>
      </c>
      <c r="N344" s="39" t="str">
        <f>IFERROR(INDEX(Katalog!$B$3:$B$12,MATCH(cadangan[[#This Row],[ItemID B]],Katalog!$C$3:$C$12,0)),"-")</f>
        <v>Kaftan</v>
      </c>
      <c r="O344" s="50">
        <v>3</v>
      </c>
      <c r="P344" s="50">
        <v>2</v>
      </c>
      <c r="Q344" s="73">
        <f>IFERROR(INDEX(Katalog!$D$3:$D$12,MATCH(cadangan[[#This Row],[ItemID B]],Katalog!$C$3:$C$12,0))*cadangan[[#This Row],[Qty B]],0)</f>
        <v>750000</v>
      </c>
      <c r="R344" s="73">
        <f>IFERROR(cadangan[[#This Row],[Harga Normal B]]-(cadangan[[#This Row],[Harga Normal B]]*cadangan[[#This Row],[Diskon]]),cadangan[[#This Row],[Harga Normal B]])</f>
        <v>750000</v>
      </c>
      <c r="S344" s="73">
        <f>IFERROR(INDEX(Katalog!$F$3:$F$12,MATCH(cadangan[[#This Row],[ItemID B]],Katalog!$C$3:$C$12,0))*cadangan[[#This Row],[Qty B]],0)</f>
        <v>300000</v>
      </c>
      <c r="T344" s="73">
        <f>IFERROR(cadangan[[#This Row],[Harga Diskon B]]-INDEX(Katalog!$E$3:$E$12,MATCH(cadangan[[#This Row],[ItemID B]],Katalog!$C$3:$C$12,0))*cadangan[[#This Row],[Qty B]],0)</f>
        <v>300000</v>
      </c>
      <c r="V344" s="39" t="str">
        <f>IFERROR(INDEX(Katalog!$A$3:$A$12,MATCH(cadangan[[#This Row],[ItemID C]],Katalog!$C$3:$C$12,0)),"-")</f>
        <v>-</v>
      </c>
      <c r="W344" s="39" t="str">
        <f>IFERROR(INDEX(Katalog!$B$3:$B$12,MATCH(cadangan[[#This Row],[ItemID C]],Katalog!$C$3:$C$12,0)),"-")</f>
        <v>-</v>
      </c>
      <c r="Z344" s="73">
        <f>IFERROR(INDEX(Katalog!$D$3:$D$12,MATCH(cadangan[[#This Row],[ItemID C]],Katalog!$C$3:$C$12,0))*cadangan[[#This Row],[Qty C]],0)</f>
        <v>0</v>
      </c>
      <c r="AA344" s="73">
        <f>IFERROR(cadangan[[#This Row],[Harga Normal C]]-(cadangan[[#This Row],[Harga Normal C]]*cadangan[[#This Row],[Diskon]]),cadangan[[#This Row],[Harga Normal C]])</f>
        <v>0</v>
      </c>
      <c r="AB344" s="73">
        <f>IFERROR(INDEX(Katalog!$F$3:$F$12,MATCH(cadangan[[#This Row],[ItemID C]],Katalog!$C$3:$C$12,0))*cadangan[[#This Row],[Qty C]],0)</f>
        <v>0</v>
      </c>
      <c r="AC344" s="73">
        <f>IFERROR(cadangan[[#This Row],[Harga Diskon C]]-INDEX(Katalog!$E$3:$E$12,MATCH(cadangan[[#This Row],[ItemID C]],Katalog!$C$3:$C$12,0))*cadangan[[#This Row],[Qty C]],0)</f>
        <v>0</v>
      </c>
      <c r="AD344" s="53">
        <f>cadangan[[#This Row],[Qty A]]+cadangan[[#This Row],[Qty B]]+cadangan[[#This Row],[Qty C]]</f>
        <v>7</v>
      </c>
      <c r="AE344" s="73">
        <f>cadangan[[#This Row],[Harga Normal A]]+cadangan[[#This Row],[Harga Normal B]]+cadangan[[#This Row],[Harga Normal C]]</f>
        <v>1950000</v>
      </c>
      <c r="AF344" s="73">
        <f>cadangan[[#This Row],[Harga Diskon A]]+cadangan[[#This Row],[Harga Diskon B]]+cadangan[[#This Row],[Harga Diskon C]]</f>
        <v>1950000</v>
      </c>
      <c r="AG344" s="73">
        <f>(cadangan[[#This Row],[Profit Normal A]]+cadangan[[#This Row],[Profit Normal B]]+cadangan[[#This Row],[Profit Normal C]])</f>
        <v>700000</v>
      </c>
      <c r="AH344" s="73">
        <f>cadangan[[#This Row],[Profit Diskon A]]+cadangan[[#This Row],[Profit Diskon B]]+cadangan[[#This Row],[Profit Diskon C]]</f>
        <v>700000</v>
      </c>
      <c r="AI344" s="23" t="s">
        <v>290</v>
      </c>
      <c r="AJ344" s="37" t="str">
        <f>IFERROR(INDEX('Kode Diskon'!$D$3:$D$9,MATCH(cadangan[[#This Row],[Kode diskon]],'Kode Diskon'!$C$3:$C$9,0)),"-")</f>
        <v>-</v>
      </c>
      <c r="AK344" s="23" t="s">
        <v>290</v>
      </c>
      <c r="AL344" s="23" t="s">
        <v>10</v>
      </c>
      <c r="AM344" s="23" t="s">
        <v>78</v>
      </c>
      <c r="AN344" s="55">
        <v>45024</v>
      </c>
      <c r="AO344" s="53">
        <f>DAY(cadangan[[#This Row],[Tanggal terjual]])</f>
        <v>8</v>
      </c>
      <c r="AP344" s="21" t="str">
        <f>TEXT(cadangan[[#This Row],[Tanggal terjual]],"dddd")</f>
        <v>Saturday</v>
      </c>
      <c r="AQ344" s="23" t="str" cm="1">
        <f t="array" ref="AQ3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44" s="61">
        <f>AVERAGE(cadangan[[#This Row],[Rating A]],cadangan[[#This Row],[Rating B]],cadangan[[#This Row],[Rating C]])</f>
        <v>3.5</v>
      </c>
    </row>
    <row r="345" spans="1:44" x14ac:dyDescent="0.2">
      <c r="A345" s="20">
        <v>344</v>
      </c>
      <c r="B345" s="21" t="str">
        <f>_xlfn.CONCAT("ORD-",INDEX(Helper!$B$2:$B$5,MATCH(cadangan[[#This Row],[Marketplace]],Helper!$A$2:$A$5,0)),TEXT(cadangan[[#This Row],[No]],"0000"),"-",TEXT(cadangan[[#This Row],[Tanggal terjual]],"dd/mm/yy"))</f>
        <v>ORD-SP0344-07/04/23</v>
      </c>
      <c r="C345" s="39" t="s">
        <v>61</v>
      </c>
      <c r="D345" s="39" t="str">
        <f>IFERROR(INDEX(Katalog!$A$3:$A$12,MATCH(cadangan[[#This Row],[ItemID A]],Katalog!$C$3:$C$12,0)),"-")</f>
        <v>Pakaian Pria</v>
      </c>
      <c r="E345" s="39" t="str">
        <f>IFERROR(INDEX(Katalog!$B$3:$B$12,MATCH(cadangan[[#This Row],[ItemID A]],Katalog!$C$3:$C$12,0)),"-")</f>
        <v>Kaos Polo</v>
      </c>
      <c r="F345" s="50">
        <v>1</v>
      </c>
      <c r="G345" s="50">
        <v>2</v>
      </c>
      <c r="H345" s="73">
        <f>IFERROR(INDEX(Katalog!$D$3:$D$12,MATCH(cadangan[[#This Row],[ItemID A]],Katalog!$C$3:$C$12,0))*cadangan[[#This Row],[Qty A]],0)</f>
        <v>200000</v>
      </c>
      <c r="I345" s="73">
        <f>IFERROR(cadangan[[#This Row],[Harga Normal A]]-(cadangan[[#This Row],[Harga Normal A]]*cadangan[[#This Row],[Diskon]]),cadangan[[#This Row],[Harga Normal A]])</f>
        <v>200000</v>
      </c>
      <c r="J345" s="73">
        <f>INDEX(Katalog!$F$3:$F$12,MATCH(cadangan[[#This Row],[ItemID A]],Katalog!$C$3:$C$12,0))*cadangan[[#This Row],[Qty A]]</f>
        <v>80000</v>
      </c>
      <c r="K345" s="73">
        <f>IFERROR(cadangan[[#This Row],[Harga Diskon A]]-INDEX(Katalog!$E$3:$E$12,MATCH(cadangan[[#This Row],[ItemID A]],Katalog!$C$3:$C$12,0))*cadangan[[#This Row],[Qty A]],0)</f>
        <v>80000</v>
      </c>
      <c r="L345" s="39" t="s">
        <v>66</v>
      </c>
      <c r="M345" s="39" t="str">
        <f>IFERROR(INDEX(Katalog!$A$3:$A$12,MATCH(cadangan[[#This Row],[ItemID B]],Katalog!$C$3:$C$12,0)),"-")</f>
        <v>Sepatu Pria</v>
      </c>
      <c r="N345" s="39" t="str">
        <f>IFERROR(INDEX(Katalog!$B$3:$B$12,MATCH(cadangan[[#This Row],[ItemID B]],Katalog!$C$3:$C$12,0)),"-")</f>
        <v>Sandal Slip On</v>
      </c>
      <c r="O345" s="50">
        <v>1</v>
      </c>
      <c r="P345" s="50">
        <v>3</v>
      </c>
      <c r="Q345" s="73">
        <f>IFERROR(INDEX(Katalog!$D$3:$D$12,MATCH(cadangan[[#This Row],[ItemID B]],Katalog!$C$3:$C$12,0))*cadangan[[#This Row],[Qty B]],0)</f>
        <v>150000</v>
      </c>
      <c r="R345" s="73">
        <f>IFERROR(cadangan[[#This Row],[Harga Normal B]]-(cadangan[[#This Row],[Harga Normal B]]*cadangan[[#This Row],[Diskon]]),cadangan[[#This Row],[Harga Normal B]])</f>
        <v>150000</v>
      </c>
      <c r="S345" s="73">
        <f>IFERROR(INDEX(Katalog!$F$3:$F$12,MATCH(cadangan[[#This Row],[ItemID B]],Katalog!$C$3:$C$12,0))*cadangan[[#This Row],[Qty B]],0)</f>
        <v>60000</v>
      </c>
      <c r="T345" s="73">
        <f>IFERROR(cadangan[[#This Row],[Harga Diskon B]]-INDEX(Katalog!$E$3:$E$12,MATCH(cadangan[[#This Row],[ItemID B]],Katalog!$C$3:$C$12,0))*cadangan[[#This Row],[Qty B]],0)</f>
        <v>60000</v>
      </c>
      <c r="U345" s="39" t="s">
        <v>60</v>
      </c>
      <c r="V345" s="39" t="str">
        <f>IFERROR(INDEX(Katalog!$A$3:$A$12,MATCH(cadangan[[#This Row],[ItemID C]],Katalog!$C$3:$C$12,0)),"-")</f>
        <v>Pakaian Wanita</v>
      </c>
      <c r="W345" s="39" t="str">
        <f>IFERROR(INDEX(Katalog!$B$3:$B$12,MATCH(cadangan[[#This Row],[ItemID C]],Katalog!$C$3:$C$12,0)),"-")</f>
        <v>Kaftan</v>
      </c>
      <c r="X345" s="50">
        <v>2</v>
      </c>
      <c r="Y345" s="50">
        <v>1</v>
      </c>
      <c r="Z345" s="73">
        <f>IFERROR(INDEX(Katalog!$D$3:$D$12,MATCH(cadangan[[#This Row],[ItemID C]],Katalog!$C$3:$C$12,0))*cadangan[[#This Row],[Qty C]],0)</f>
        <v>500000</v>
      </c>
      <c r="AA345" s="73">
        <f>IFERROR(cadangan[[#This Row],[Harga Normal C]]-(cadangan[[#This Row],[Harga Normal C]]*cadangan[[#This Row],[Diskon]]),cadangan[[#This Row],[Harga Normal C]])</f>
        <v>500000</v>
      </c>
      <c r="AB345" s="73">
        <f>IFERROR(INDEX(Katalog!$F$3:$F$12,MATCH(cadangan[[#This Row],[ItemID C]],Katalog!$C$3:$C$12,0))*cadangan[[#This Row],[Qty C]],0)</f>
        <v>200000</v>
      </c>
      <c r="AC345" s="73">
        <f>IFERROR(cadangan[[#This Row],[Harga Diskon C]]-INDEX(Katalog!$E$3:$E$12,MATCH(cadangan[[#This Row],[ItemID C]],Katalog!$C$3:$C$12,0))*cadangan[[#This Row],[Qty C]],0)</f>
        <v>200000</v>
      </c>
      <c r="AD345" s="53">
        <f>cadangan[[#This Row],[Qty A]]+cadangan[[#This Row],[Qty B]]+cadangan[[#This Row],[Qty C]]</f>
        <v>4</v>
      </c>
      <c r="AE345" s="73">
        <f>cadangan[[#This Row],[Harga Normal A]]+cadangan[[#This Row],[Harga Normal B]]+cadangan[[#This Row],[Harga Normal C]]</f>
        <v>850000</v>
      </c>
      <c r="AF345" s="73">
        <f>cadangan[[#This Row],[Harga Diskon A]]+cadangan[[#This Row],[Harga Diskon B]]+cadangan[[#This Row],[Harga Diskon C]]</f>
        <v>850000</v>
      </c>
      <c r="AG345" s="73">
        <f>(cadangan[[#This Row],[Profit Normal A]]+cadangan[[#This Row],[Profit Normal B]]+cadangan[[#This Row],[Profit Normal C]])</f>
        <v>340000</v>
      </c>
      <c r="AH345" s="73">
        <f>cadangan[[#This Row],[Profit Diskon A]]+cadangan[[#This Row],[Profit Diskon B]]+cadangan[[#This Row],[Profit Diskon C]]</f>
        <v>340000</v>
      </c>
      <c r="AI345" s="23" t="s">
        <v>290</v>
      </c>
      <c r="AJ345" s="37" t="str">
        <f>IFERROR(INDEX('Kode Diskon'!$D$3:$D$9,MATCH(cadangan[[#This Row],[Kode diskon]],'Kode Diskon'!$C$3:$C$9,0)),"-")</f>
        <v>-</v>
      </c>
      <c r="AK345" s="23" t="s">
        <v>290</v>
      </c>
      <c r="AL345" s="23" t="s">
        <v>7</v>
      </c>
      <c r="AM345" s="23" t="s">
        <v>79</v>
      </c>
      <c r="AN345" s="55">
        <v>45023</v>
      </c>
      <c r="AO345" s="53">
        <f>DAY(cadangan[[#This Row],[Tanggal terjual]])</f>
        <v>7</v>
      </c>
      <c r="AP345" s="21" t="str">
        <f>TEXT(cadangan[[#This Row],[Tanggal terjual]],"dddd")</f>
        <v>Friday</v>
      </c>
      <c r="AQ345" s="23" t="str" cm="1">
        <f t="array" ref="AQ3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5" s="61">
        <f>AVERAGE(cadangan[[#This Row],[Rating A]],cadangan[[#This Row],[Rating B]],cadangan[[#This Row],[Rating C]])</f>
        <v>2</v>
      </c>
    </row>
    <row r="346" spans="1:44" x14ac:dyDescent="0.2">
      <c r="A346" s="20">
        <v>345</v>
      </c>
      <c r="B346" s="21" t="str">
        <f>_xlfn.CONCAT("ORD-",INDEX(Helper!$B$2:$B$5,MATCH(cadangan[[#This Row],[Marketplace]],Helper!$A$2:$A$5,0)),TEXT(cadangan[[#This Row],[No]],"0000"),"-",TEXT(cadangan[[#This Row],[Tanggal terjual]],"dd/mm/yy"))</f>
        <v>ORD-TK0345-17/04/23</v>
      </c>
      <c r="C346" s="39" t="s">
        <v>58</v>
      </c>
      <c r="D346" s="39" t="str">
        <f>IFERROR(INDEX(Katalog!$A$3:$A$12,MATCH(cadangan[[#This Row],[ItemID A]],Katalog!$C$3:$C$12,0)),"-")</f>
        <v>Pakaian Wanita</v>
      </c>
      <c r="E346" s="39" t="str">
        <f>IFERROR(INDEX(Katalog!$B$3:$B$12,MATCH(cadangan[[#This Row],[ItemID A]],Katalog!$C$3:$C$12,0)),"-")</f>
        <v>Dress</v>
      </c>
      <c r="F346" s="50">
        <v>4</v>
      </c>
      <c r="G346" s="50">
        <v>5</v>
      </c>
      <c r="H346" s="73">
        <f>IFERROR(INDEX(Katalog!$D$3:$D$12,MATCH(cadangan[[#This Row],[ItemID A]],Katalog!$C$3:$C$12,0))*cadangan[[#This Row],[Qty A]],0)</f>
        <v>1200000</v>
      </c>
      <c r="I346" s="73">
        <f>IFERROR(cadangan[[#This Row],[Harga Normal A]]-(cadangan[[#This Row],[Harga Normal A]]*cadangan[[#This Row],[Diskon]]),cadangan[[#This Row],[Harga Normal A]])</f>
        <v>1080000</v>
      </c>
      <c r="J346" s="73">
        <f>INDEX(Katalog!$F$3:$F$12,MATCH(cadangan[[#This Row],[ItemID A]],Katalog!$C$3:$C$12,0))*cadangan[[#This Row],[Qty A]]</f>
        <v>400000</v>
      </c>
      <c r="K346" s="73">
        <f>IFERROR(cadangan[[#This Row],[Harga Diskon A]]-INDEX(Katalog!$E$3:$E$12,MATCH(cadangan[[#This Row],[ItemID A]],Katalog!$C$3:$C$12,0))*cadangan[[#This Row],[Qty A]],0)</f>
        <v>280000</v>
      </c>
      <c r="L346" s="39" t="s">
        <v>65</v>
      </c>
      <c r="M346" s="39" t="str">
        <f>IFERROR(INDEX(Katalog!$A$3:$A$12,MATCH(cadangan[[#This Row],[ItemID B]],Katalog!$C$3:$C$12,0)),"-")</f>
        <v>Sepatu Pria</v>
      </c>
      <c r="N346" s="39" t="str">
        <f>IFERROR(INDEX(Katalog!$B$3:$B$12,MATCH(cadangan[[#This Row],[ItemID B]],Katalog!$C$3:$C$12,0)),"-")</f>
        <v>Sneakers</v>
      </c>
      <c r="O346" s="50">
        <v>1</v>
      </c>
      <c r="P346" s="50">
        <v>5</v>
      </c>
      <c r="Q346" s="73">
        <f>IFERROR(INDEX(Katalog!$D$3:$D$12,MATCH(cadangan[[#This Row],[ItemID B]],Katalog!$C$3:$C$12,0))*cadangan[[#This Row],[Qty B]],0)</f>
        <v>500000</v>
      </c>
      <c r="R346" s="73">
        <f>IFERROR(cadangan[[#This Row],[Harga Normal B]]-(cadangan[[#This Row],[Harga Normal B]]*cadangan[[#This Row],[Diskon]]),cadangan[[#This Row],[Harga Normal B]])</f>
        <v>450000</v>
      </c>
      <c r="S346" s="73">
        <f>IFERROR(INDEX(Katalog!$F$3:$F$12,MATCH(cadangan[[#This Row],[ItemID B]],Katalog!$C$3:$C$12,0))*cadangan[[#This Row],[Qty B]],0)</f>
        <v>200000</v>
      </c>
      <c r="T346" s="73">
        <f>IFERROR(cadangan[[#This Row],[Harga Diskon B]]-INDEX(Katalog!$E$3:$E$12,MATCH(cadangan[[#This Row],[ItemID B]],Katalog!$C$3:$C$12,0))*cadangan[[#This Row],[Qty B]],0)</f>
        <v>150000</v>
      </c>
      <c r="U346" s="39" t="s">
        <v>58</v>
      </c>
      <c r="V346" s="39" t="str">
        <f>IFERROR(INDEX(Katalog!$A$3:$A$12,MATCH(cadangan[[#This Row],[ItemID C]],Katalog!$C$3:$C$12,0)),"-")</f>
        <v>Pakaian Wanita</v>
      </c>
      <c r="W346" s="39" t="str">
        <f>IFERROR(INDEX(Katalog!$B$3:$B$12,MATCH(cadangan[[#This Row],[ItemID C]],Katalog!$C$3:$C$12,0)),"-")</f>
        <v>Dress</v>
      </c>
      <c r="X346" s="50">
        <v>1</v>
      </c>
      <c r="Y346" s="50">
        <v>2</v>
      </c>
      <c r="Z346" s="73">
        <f>IFERROR(INDEX(Katalog!$D$3:$D$12,MATCH(cadangan[[#This Row],[ItemID C]],Katalog!$C$3:$C$12,0))*cadangan[[#This Row],[Qty C]],0)</f>
        <v>300000</v>
      </c>
      <c r="AA346" s="73">
        <f>IFERROR(cadangan[[#This Row],[Harga Normal C]]-(cadangan[[#This Row],[Harga Normal C]]*cadangan[[#This Row],[Diskon]]),cadangan[[#This Row],[Harga Normal C]])</f>
        <v>270000</v>
      </c>
      <c r="AB346" s="73">
        <f>IFERROR(INDEX(Katalog!$F$3:$F$12,MATCH(cadangan[[#This Row],[ItemID C]],Katalog!$C$3:$C$12,0))*cadangan[[#This Row],[Qty C]],0)</f>
        <v>100000</v>
      </c>
      <c r="AC346" s="73">
        <f>IFERROR(cadangan[[#This Row],[Harga Diskon C]]-INDEX(Katalog!$E$3:$E$12,MATCH(cadangan[[#This Row],[ItemID C]],Katalog!$C$3:$C$12,0))*cadangan[[#This Row],[Qty C]],0)</f>
        <v>70000</v>
      </c>
      <c r="AD346" s="53">
        <f>cadangan[[#This Row],[Qty A]]+cadangan[[#This Row],[Qty B]]+cadangan[[#This Row],[Qty C]]</f>
        <v>6</v>
      </c>
      <c r="AE346" s="73">
        <f>cadangan[[#This Row],[Harga Normal A]]+cadangan[[#This Row],[Harga Normal B]]+cadangan[[#This Row],[Harga Normal C]]</f>
        <v>2000000</v>
      </c>
      <c r="AF346" s="73">
        <f>cadangan[[#This Row],[Harga Diskon A]]+cadangan[[#This Row],[Harga Diskon B]]+cadangan[[#This Row],[Harga Diskon C]]</f>
        <v>1800000</v>
      </c>
      <c r="AG346" s="73">
        <f>(cadangan[[#This Row],[Profit Normal A]]+cadangan[[#This Row],[Profit Normal B]]+cadangan[[#This Row],[Profit Normal C]])</f>
        <v>700000</v>
      </c>
      <c r="AH346" s="73">
        <f>cadangan[[#This Row],[Profit Diskon A]]+cadangan[[#This Row],[Profit Diskon B]]+cadangan[[#This Row],[Profit Diskon C]]</f>
        <v>500000</v>
      </c>
      <c r="AI346" s="23" t="s">
        <v>31</v>
      </c>
      <c r="AJ346" s="37">
        <f>IFERROR(INDEX('Kode Diskon'!$D$3:$D$9,MATCH(cadangan[[#This Row],[Kode diskon]],'Kode Diskon'!$C$3:$C$9,0)),"-")</f>
        <v>0.1</v>
      </c>
      <c r="AK346" s="23" t="s">
        <v>9</v>
      </c>
      <c r="AL346" s="23" t="s">
        <v>10</v>
      </c>
      <c r="AM346" s="23" t="s">
        <v>79</v>
      </c>
      <c r="AN346" s="55">
        <v>45033</v>
      </c>
      <c r="AO346" s="53">
        <f>DAY(cadangan[[#This Row],[Tanggal terjual]])</f>
        <v>17</v>
      </c>
      <c r="AP346" s="21" t="str">
        <f>TEXT(cadangan[[#This Row],[Tanggal terjual]],"dddd")</f>
        <v>Monday</v>
      </c>
      <c r="AQ346" s="23" t="str" cm="1">
        <f t="array" ref="AQ3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46" s="61">
        <f>AVERAGE(cadangan[[#This Row],[Rating A]],cadangan[[#This Row],[Rating B]],cadangan[[#This Row],[Rating C]])</f>
        <v>4</v>
      </c>
    </row>
    <row r="347" spans="1:44" x14ac:dyDescent="0.2">
      <c r="A347" s="20">
        <v>346</v>
      </c>
      <c r="B347" s="21" t="str">
        <f>_xlfn.CONCAT("ORD-",INDEX(Helper!$B$2:$B$5,MATCH(cadangan[[#This Row],[Marketplace]],Helper!$A$2:$A$5,0)),TEXT(cadangan[[#This Row],[No]],"0000"),"-",TEXT(cadangan[[#This Row],[Tanggal terjual]],"dd/mm/yy"))</f>
        <v>ORD-SP0346-02/04/23</v>
      </c>
      <c r="C347" s="39" t="s">
        <v>65</v>
      </c>
      <c r="D347" s="39" t="str">
        <f>IFERROR(INDEX(Katalog!$A$3:$A$12,MATCH(cadangan[[#This Row],[ItemID A]],Katalog!$C$3:$C$12,0)),"-")</f>
        <v>Sepatu Pria</v>
      </c>
      <c r="E347" s="39" t="str">
        <f>IFERROR(INDEX(Katalog!$B$3:$B$12,MATCH(cadangan[[#This Row],[ItemID A]],Katalog!$C$3:$C$12,0)),"-")</f>
        <v>Sneakers</v>
      </c>
      <c r="F347" s="50">
        <v>3</v>
      </c>
      <c r="G347" s="50">
        <v>2</v>
      </c>
      <c r="H347" s="73">
        <f>IFERROR(INDEX(Katalog!$D$3:$D$12,MATCH(cadangan[[#This Row],[ItemID A]],Katalog!$C$3:$C$12,0))*cadangan[[#This Row],[Qty A]],0)</f>
        <v>1500000</v>
      </c>
      <c r="I347" s="73">
        <f>IFERROR(cadangan[[#This Row],[Harga Normal A]]-(cadangan[[#This Row],[Harga Normal A]]*cadangan[[#This Row],[Diskon]]),cadangan[[#This Row],[Harga Normal A]])</f>
        <v>1275000</v>
      </c>
      <c r="J347" s="73">
        <f>INDEX(Katalog!$F$3:$F$12,MATCH(cadangan[[#This Row],[ItemID A]],Katalog!$C$3:$C$12,0))*cadangan[[#This Row],[Qty A]]</f>
        <v>600000</v>
      </c>
      <c r="K347" s="73">
        <f>IFERROR(cadangan[[#This Row],[Harga Diskon A]]-INDEX(Katalog!$E$3:$E$12,MATCH(cadangan[[#This Row],[ItemID A]],Katalog!$C$3:$C$12,0))*cadangan[[#This Row],[Qty A]],0)</f>
        <v>375000</v>
      </c>
      <c r="L347" s="39" t="s">
        <v>64</v>
      </c>
      <c r="M347" s="39" t="str">
        <f>IFERROR(INDEX(Katalog!$A$3:$A$12,MATCH(cadangan[[#This Row],[ItemID B]],Katalog!$C$3:$C$12,0)),"-")</f>
        <v>Pakaian Unisex</v>
      </c>
      <c r="N347" s="39" t="str">
        <f>IFERROR(INDEX(Katalog!$B$3:$B$12,MATCH(cadangan[[#This Row],[ItemID B]],Katalog!$C$3:$C$12,0)),"-")</f>
        <v>Jaket Hoodie</v>
      </c>
      <c r="O347" s="50">
        <v>1</v>
      </c>
      <c r="P347" s="50">
        <v>2</v>
      </c>
      <c r="Q347" s="73">
        <f>IFERROR(INDEX(Katalog!$D$3:$D$12,MATCH(cadangan[[#This Row],[ItemID B]],Katalog!$C$3:$C$12,0))*cadangan[[#This Row],[Qty B]],0)</f>
        <v>350000</v>
      </c>
      <c r="R347" s="73">
        <f>IFERROR(cadangan[[#This Row],[Harga Normal B]]-(cadangan[[#This Row],[Harga Normal B]]*cadangan[[#This Row],[Diskon]]),cadangan[[#This Row],[Harga Normal B]])</f>
        <v>297500</v>
      </c>
      <c r="S347" s="73">
        <f>IFERROR(INDEX(Katalog!$F$3:$F$12,MATCH(cadangan[[#This Row],[ItemID B]],Katalog!$C$3:$C$12,0))*cadangan[[#This Row],[Qty B]],0)</f>
        <v>130000</v>
      </c>
      <c r="T347" s="73">
        <f>IFERROR(cadangan[[#This Row],[Harga Diskon B]]-INDEX(Katalog!$E$3:$E$12,MATCH(cadangan[[#This Row],[ItemID B]],Katalog!$C$3:$C$12,0))*cadangan[[#This Row],[Qty B]],0)</f>
        <v>77500</v>
      </c>
      <c r="V347" s="39" t="str">
        <f>IFERROR(INDEX(Katalog!$A$3:$A$12,MATCH(cadangan[[#This Row],[ItemID C]],Katalog!$C$3:$C$12,0)),"-")</f>
        <v>-</v>
      </c>
      <c r="W347" s="39" t="str">
        <f>IFERROR(INDEX(Katalog!$B$3:$B$12,MATCH(cadangan[[#This Row],[ItemID C]],Katalog!$C$3:$C$12,0)),"-")</f>
        <v>-</v>
      </c>
      <c r="Z347" s="73">
        <f>IFERROR(INDEX(Katalog!$D$3:$D$12,MATCH(cadangan[[#This Row],[ItemID C]],Katalog!$C$3:$C$12,0))*cadangan[[#This Row],[Qty C]],0)</f>
        <v>0</v>
      </c>
      <c r="AA347" s="73">
        <f>IFERROR(cadangan[[#This Row],[Harga Normal C]]-(cadangan[[#This Row],[Harga Normal C]]*cadangan[[#This Row],[Diskon]]),cadangan[[#This Row],[Harga Normal C]])</f>
        <v>0</v>
      </c>
      <c r="AB347" s="73">
        <f>IFERROR(INDEX(Katalog!$F$3:$F$12,MATCH(cadangan[[#This Row],[ItemID C]],Katalog!$C$3:$C$12,0))*cadangan[[#This Row],[Qty C]],0)</f>
        <v>0</v>
      </c>
      <c r="AC347" s="73">
        <f>IFERROR(cadangan[[#This Row],[Harga Diskon C]]-INDEX(Katalog!$E$3:$E$12,MATCH(cadangan[[#This Row],[ItemID C]],Katalog!$C$3:$C$12,0))*cadangan[[#This Row],[Qty C]],0)</f>
        <v>0</v>
      </c>
      <c r="AD347" s="53">
        <f>cadangan[[#This Row],[Qty A]]+cadangan[[#This Row],[Qty B]]+cadangan[[#This Row],[Qty C]]</f>
        <v>4</v>
      </c>
      <c r="AE347" s="73">
        <f>cadangan[[#This Row],[Harga Normal A]]+cadangan[[#This Row],[Harga Normal B]]+cadangan[[#This Row],[Harga Normal C]]</f>
        <v>1850000</v>
      </c>
      <c r="AF347" s="73">
        <f>cadangan[[#This Row],[Harga Diskon A]]+cadangan[[#This Row],[Harga Diskon B]]+cadangan[[#This Row],[Harga Diskon C]]</f>
        <v>1572500</v>
      </c>
      <c r="AG347" s="73">
        <f>(cadangan[[#This Row],[Profit Normal A]]+cadangan[[#This Row],[Profit Normal B]]+cadangan[[#This Row],[Profit Normal C]])</f>
        <v>730000</v>
      </c>
      <c r="AH347" s="73">
        <f>cadangan[[#This Row],[Profit Diskon A]]+cadangan[[#This Row],[Profit Diskon B]]+cadangan[[#This Row],[Profit Diskon C]]</f>
        <v>452500</v>
      </c>
      <c r="AI347" s="23" t="s">
        <v>13</v>
      </c>
      <c r="AJ347" s="37">
        <f>IFERROR(INDEX('Kode Diskon'!$D$3:$D$9,MATCH(cadangan[[#This Row],[Kode diskon]],'Kode Diskon'!$C$3:$C$9,0)),"-")</f>
        <v>0.15</v>
      </c>
      <c r="AK347" s="23" t="s">
        <v>29</v>
      </c>
      <c r="AL347" s="23" t="s">
        <v>7</v>
      </c>
      <c r="AM347" s="23" t="s">
        <v>80</v>
      </c>
      <c r="AN347" s="55">
        <v>45018</v>
      </c>
      <c r="AO347" s="53">
        <f>DAY(cadangan[[#This Row],[Tanggal terjual]])</f>
        <v>2</v>
      </c>
      <c r="AP347" s="21" t="str">
        <f>TEXT(cadangan[[#This Row],[Tanggal terjual]],"dddd")</f>
        <v>Sunday</v>
      </c>
      <c r="AQ347" s="23" t="str" cm="1">
        <f t="array" ref="AQ3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7" s="61">
        <f>AVERAGE(cadangan[[#This Row],[Rating A]],cadangan[[#This Row],[Rating B]],cadangan[[#This Row],[Rating C]])</f>
        <v>2</v>
      </c>
    </row>
    <row r="348" spans="1:44" x14ac:dyDescent="0.2">
      <c r="A348" s="20">
        <v>347</v>
      </c>
      <c r="B348" s="21" t="str">
        <f>_xlfn.CONCAT("ORD-",INDEX(Helper!$B$2:$B$5,MATCH(cadangan[[#This Row],[Marketplace]],Helper!$A$2:$A$5,0)),TEXT(cadangan[[#This Row],[No]],"0000"),"-",TEXT(cadangan[[#This Row],[Tanggal terjual]],"dd/mm/yy"))</f>
        <v>ORD-TK0347-05/04/23</v>
      </c>
      <c r="C348" s="39" t="s">
        <v>59</v>
      </c>
      <c r="D348" s="39" t="str">
        <f>IFERROR(INDEX(Katalog!$A$3:$A$12,MATCH(cadangan[[#This Row],[ItemID A]],Katalog!$C$3:$C$12,0)),"-")</f>
        <v>Pakaian Wanita</v>
      </c>
      <c r="E348" s="39" t="str">
        <f>IFERROR(INDEX(Katalog!$B$3:$B$12,MATCH(cadangan[[#This Row],[ItemID A]],Katalog!$C$3:$C$12,0)),"-")</f>
        <v>Blouse</v>
      </c>
      <c r="F348" s="50">
        <v>1</v>
      </c>
      <c r="G348" s="50">
        <v>2</v>
      </c>
      <c r="H348" s="73">
        <f>IFERROR(INDEX(Katalog!$D$3:$D$12,MATCH(cadangan[[#This Row],[ItemID A]],Katalog!$C$3:$C$12,0))*cadangan[[#This Row],[Qty A]],0)</f>
        <v>150000</v>
      </c>
      <c r="I348" s="73">
        <f>IFERROR(cadangan[[#This Row],[Harga Normal A]]-(cadangan[[#This Row],[Harga Normal A]]*cadangan[[#This Row],[Diskon]]),cadangan[[#This Row],[Harga Normal A]])</f>
        <v>135000</v>
      </c>
      <c r="J348" s="73">
        <f>INDEX(Katalog!$F$3:$F$12,MATCH(cadangan[[#This Row],[ItemID A]],Katalog!$C$3:$C$12,0))*cadangan[[#This Row],[Qty A]]</f>
        <v>50000</v>
      </c>
      <c r="K348" s="73">
        <f>IFERROR(cadangan[[#This Row],[Harga Diskon A]]-INDEX(Katalog!$E$3:$E$12,MATCH(cadangan[[#This Row],[ItemID A]],Katalog!$C$3:$C$12,0))*cadangan[[#This Row],[Qty A]],0)</f>
        <v>35000</v>
      </c>
      <c r="M348" s="39" t="str">
        <f>IFERROR(INDEX(Katalog!$A$3:$A$12,MATCH(cadangan[[#This Row],[ItemID B]],Katalog!$C$3:$C$12,0)),"-")</f>
        <v>-</v>
      </c>
      <c r="N348" s="39" t="str">
        <f>IFERROR(INDEX(Katalog!$B$3:$B$12,MATCH(cadangan[[#This Row],[ItemID B]],Katalog!$C$3:$C$12,0)),"-")</f>
        <v>-</v>
      </c>
      <c r="Q348" s="73">
        <f>IFERROR(INDEX(Katalog!$D$3:$D$12,MATCH(cadangan[[#This Row],[ItemID B]],Katalog!$C$3:$C$12,0))*cadangan[[#This Row],[Qty B]],0)</f>
        <v>0</v>
      </c>
      <c r="R348" s="73">
        <f>IFERROR(cadangan[[#This Row],[Harga Normal B]]-(cadangan[[#This Row],[Harga Normal B]]*cadangan[[#This Row],[Diskon]]),cadangan[[#This Row],[Harga Normal B]])</f>
        <v>0</v>
      </c>
      <c r="S348" s="73">
        <f>IFERROR(INDEX(Katalog!$F$3:$F$12,MATCH(cadangan[[#This Row],[ItemID B]],Katalog!$C$3:$C$12,0))*cadangan[[#This Row],[Qty B]],0)</f>
        <v>0</v>
      </c>
      <c r="T348" s="73">
        <f>IFERROR(cadangan[[#This Row],[Harga Diskon B]]-INDEX(Katalog!$E$3:$E$12,MATCH(cadangan[[#This Row],[ItemID B]],Katalog!$C$3:$C$12,0))*cadangan[[#This Row],[Qty B]],0)</f>
        <v>0</v>
      </c>
      <c r="V348" s="39" t="str">
        <f>IFERROR(INDEX(Katalog!$A$3:$A$12,MATCH(cadangan[[#This Row],[ItemID C]],Katalog!$C$3:$C$12,0)),"-")</f>
        <v>-</v>
      </c>
      <c r="W348" s="39" t="str">
        <f>IFERROR(INDEX(Katalog!$B$3:$B$12,MATCH(cadangan[[#This Row],[ItemID C]],Katalog!$C$3:$C$12,0)),"-")</f>
        <v>-</v>
      </c>
      <c r="Z348" s="73">
        <f>IFERROR(INDEX(Katalog!$D$3:$D$12,MATCH(cadangan[[#This Row],[ItemID C]],Katalog!$C$3:$C$12,0))*cadangan[[#This Row],[Qty C]],0)</f>
        <v>0</v>
      </c>
      <c r="AA348" s="73">
        <f>IFERROR(cadangan[[#This Row],[Harga Normal C]]-(cadangan[[#This Row],[Harga Normal C]]*cadangan[[#This Row],[Diskon]]),cadangan[[#This Row],[Harga Normal C]])</f>
        <v>0</v>
      </c>
      <c r="AB348" s="73">
        <f>IFERROR(INDEX(Katalog!$F$3:$F$12,MATCH(cadangan[[#This Row],[ItemID C]],Katalog!$C$3:$C$12,0))*cadangan[[#This Row],[Qty C]],0)</f>
        <v>0</v>
      </c>
      <c r="AC348" s="73">
        <f>IFERROR(cadangan[[#This Row],[Harga Diskon C]]-INDEX(Katalog!$E$3:$E$12,MATCH(cadangan[[#This Row],[ItemID C]],Katalog!$C$3:$C$12,0))*cadangan[[#This Row],[Qty C]],0)</f>
        <v>0</v>
      </c>
      <c r="AD348" s="53">
        <f>cadangan[[#This Row],[Qty A]]+cadangan[[#This Row],[Qty B]]+cadangan[[#This Row],[Qty C]]</f>
        <v>1</v>
      </c>
      <c r="AE348" s="73">
        <f>cadangan[[#This Row],[Harga Normal A]]+cadangan[[#This Row],[Harga Normal B]]+cadangan[[#This Row],[Harga Normal C]]</f>
        <v>150000</v>
      </c>
      <c r="AF348" s="73">
        <f>cadangan[[#This Row],[Harga Diskon A]]+cadangan[[#This Row],[Harga Diskon B]]+cadangan[[#This Row],[Harga Diskon C]]</f>
        <v>135000</v>
      </c>
      <c r="AG348" s="73">
        <f>(cadangan[[#This Row],[Profit Normal A]]+cadangan[[#This Row],[Profit Normal B]]+cadangan[[#This Row],[Profit Normal C]])</f>
        <v>50000</v>
      </c>
      <c r="AH348" s="73">
        <f>cadangan[[#This Row],[Profit Diskon A]]+cadangan[[#This Row],[Profit Diskon B]]+cadangan[[#This Row],[Profit Diskon C]]</f>
        <v>35000</v>
      </c>
      <c r="AI348" s="23" t="s">
        <v>30</v>
      </c>
      <c r="AJ348" s="37">
        <f>IFERROR(INDEX('Kode Diskon'!$D$3:$D$9,MATCH(cadangan[[#This Row],[Kode diskon]],'Kode Diskon'!$C$3:$C$9,0)),"-")</f>
        <v>0.1</v>
      </c>
      <c r="AK348" s="23" t="s">
        <v>29</v>
      </c>
      <c r="AL348" s="23" t="s">
        <v>10</v>
      </c>
      <c r="AM348" s="23" t="s">
        <v>80</v>
      </c>
      <c r="AN348" s="55">
        <v>45021</v>
      </c>
      <c r="AO348" s="53">
        <f>DAY(cadangan[[#This Row],[Tanggal terjual]])</f>
        <v>5</v>
      </c>
      <c r="AP348" s="21" t="str">
        <f>TEXT(cadangan[[#This Row],[Tanggal terjual]],"dddd")</f>
        <v>Wednesday</v>
      </c>
      <c r="AQ348" s="23" t="str" cm="1">
        <f t="array" ref="AQ3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8" s="61">
        <f>AVERAGE(cadangan[[#This Row],[Rating A]],cadangan[[#This Row],[Rating B]],cadangan[[#This Row],[Rating C]])</f>
        <v>2</v>
      </c>
    </row>
    <row r="349" spans="1:44" x14ac:dyDescent="0.2">
      <c r="A349" s="20">
        <v>348</v>
      </c>
      <c r="B349" s="21" t="str">
        <f>_xlfn.CONCAT("ORD-",INDEX(Helper!$B$2:$B$5,MATCH(cadangan[[#This Row],[Marketplace]],Helper!$A$2:$A$5,0)),TEXT(cadangan[[#This Row],[No]],"0000"),"-",TEXT(cadangan[[#This Row],[Tanggal terjual]],"dd/mm/yy"))</f>
        <v>ORD-SP0348-02/04/23</v>
      </c>
      <c r="C349" s="39" t="s">
        <v>65</v>
      </c>
      <c r="D349" s="39" t="str">
        <f>IFERROR(INDEX(Katalog!$A$3:$A$12,MATCH(cadangan[[#This Row],[ItemID A]],Katalog!$C$3:$C$12,0)),"-")</f>
        <v>Sepatu Pria</v>
      </c>
      <c r="E349" s="39" t="str">
        <f>IFERROR(INDEX(Katalog!$B$3:$B$12,MATCH(cadangan[[#This Row],[ItemID A]],Katalog!$C$3:$C$12,0)),"-")</f>
        <v>Sneakers</v>
      </c>
      <c r="F349" s="50">
        <v>2</v>
      </c>
      <c r="G349" s="50">
        <v>5</v>
      </c>
      <c r="H349" s="73">
        <f>IFERROR(INDEX(Katalog!$D$3:$D$12,MATCH(cadangan[[#This Row],[ItemID A]],Katalog!$C$3:$C$12,0))*cadangan[[#This Row],[Qty A]],0)</f>
        <v>1000000</v>
      </c>
      <c r="I349" s="73">
        <f>IFERROR(cadangan[[#This Row],[Harga Normal A]]-(cadangan[[#This Row],[Harga Normal A]]*cadangan[[#This Row],[Diskon]]),cadangan[[#This Row],[Harga Normal A]])</f>
        <v>900000</v>
      </c>
      <c r="J349" s="73">
        <f>INDEX(Katalog!$F$3:$F$12,MATCH(cadangan[[#This Row],[ItemID A]],Katalog!$C$3:$C$12,0))*cadangan[[#This Row],[Qty A]]</f>
        <v>400000</v>
      </c>
      <c r="K349" s="73">
        <f>IFERROR(cadangan[[#This Row],[Harga Diskon A]]-INDEX(Katalog!$E$3:$E$12,MATCH(cadangan[[#This Row],[ItemID A]],Katalog!$C$3:$C$12,0))*cadangan[[#This Row],[Qty A]],0)</f>
        <v>300000</v>
      </c>
      <c r="L349" s="39" t="s">
        <v>66</v>
      </c>
      <c r="M349" s="39" t="str">
        <f>IFERROR(INDEX(Katalog!$A$3:$A$12,MATCH(cadangan[[#This Row],[ItemID B]],Katalog!$C$3:$C$12,0)),"-")</f>
        <v>Sepatu Pria</v>
      </c>
      <c r="N349" s="39" t="str">
        <f>IFERROR(INDEX(Katalog!$B$3:$B$12,MATCH(cadangan[[#This Row],[ItemID B]],Katalog!$C$3:$C$12,0)),"-")</f>
        <v>Sandal Slip On</v>
      </c>
      <c r="O349" s="50">
        <v>1</v>
      </c>
      <c r="P349" s="50">
        <v>4</v>
      </c>
      <c r="Q349" s="73">
        <f>IFERROR(INDEX(Katalog!$D$3:$D$12,MATCH(cadangan[[#This Row],[ItemID B]],Katalog!$C$3:$C$12,0))*cadangan[[#This Row],[Qty B]],0)</f>
        <v>150000</v>
      </c>
      <c r="R349" s="73">
        <f>IFERROR(cadangan[[#This Row],[Harga Normal B]]-(cadangan[[#This Row],[Harga Normal B]]*cadangan[[#This Row],[Diskon]]),cadangan[[#This Row],[Harga Normal B]])</f>
        <v>135000</v>
      </c>
      <c r="S349" s="73">
        <f>IFERROR(INDEX(Katalog!$F$3:$F$12,MATCH(cadangan[[#This Row],[ItemID B]],Katalog!$C$3:$C$12,0))*cadangan[[#This Row],[Qty B]],0)</f>
        <v>60000</v>
      </c>
      <c r="T349" s="73">
        <f>IFERROR(cadangan[[#This Row],[Harga Diskon B]]-INDEX(Katalog!$E$3:$E$12,MATCH(cadangan[[#This Row],[ItemID B]],Katalog!$C$3:$C$12,0))*cadangan[[#This Row],[Qty B]],0)</f>
        <v>45000</v>
      </c>
      <c r="V349" s="39" t="str">
        <f>IFERROR(INDEX(Katalog!$A$3:$A$12,MATCH(cadangan[[#This Row],[ItemID C]],Katalog!$C$3:$C$12,0)),"-")</f>
        <v>-</v>
      </c>
      <c r="W349" s="39" t="str">
        <f>IFERROR(INDEX(Katalog!$B$3:$B$12,MATCH(cadangan[[#This Row],[ItemID C]],Katalog!$C$3:$C$12,0)),"-")</f>
        <v>-</v>
      </c>
      <c r="Z349" s="73">
        <f>IFERROR(INDEX(Katalog!$D$3:$D$12,MATCH(cadangan[[#This Row],[ItemID C]],Katalog!$C$3:$C$12,0))*cadangan[[#This Row],[Qty C]],0)</f>
        <v>0</v>
      </c>
      <c r="AA349" s="73">
        <f>IFERROR(cadangan[[#This Row],[Harga Normal C]]-(cadangan[[#This Row],[Harga Normal C]]*cadangan[[#This Row],[Diskon]]),cadangan[[#This Row],[Harga Normal C]])</f>
        <v>0</v>
      </c>
      <c r="AB349" s="73">
        <f>IFERROR(INDEX(Katalog!$F$3:$F$12,MATCH(cadangan[[#This Row],[ItemID C]],Katalog!$C$3:$C$12,0))*cadangan[[#This Row],[Qty C]],0)</f>
        <v>0</v>
      </c>
      <c r="AC349" s="73">
        <f>IFERROR(cadangan[[#This Row],[Harga Diskon C]]-INDEX(Katalog!$E$3:$E$12,MATCH(cadangan[[#This Row],[ItemID C]],Katalog!$C$3:$C$12,0))*cadangan[[#This Row],[Qty C]],0)</f>
        <v>0</v>
      </c>
      <c r="AD349" s="53">
        <f>cadangan[[#This Row],[Qty A]]+cadangan[[#This Row],[Qty B]]+cadangan[[#This Row],[Qty C]]</f>
        <v>3</v>
      </c>
      <c r="AE349" s="73">
        <f>cadangan[[#This Row],[Harga Normal A]]+cadangan[[#This Row],[Harga Normal B]]+cadangan[[#This Row],[Harga Normal C]]</f>
        <v>1150000</v>
      </c>
      <c r="AF349" s="73">
        <f>cadangan[[#This Row],[Harga Diskon A]]+cadangan[[#This Row],[Harga Diskon B]]+cadangan[[#This Row],[Harga Diskon C]]</f>
        <v>1035000</v>
      </c>
      <c r="AG349" s="73">
        <f>(cadangan[[#This Row],[Profit Normal A]]+cadangan[[#This Row],[Profit Normal B]]+cadangan[[#This Row],[Profit Normal C]])</f>
        <v>460000</v>
      </c>
      <c r="AH349" s="73">
        <f>cadangan[[#This Row],[Profit Diskon A]]+cadangan[[#This Row],[Profit Diskon B]]+cadangan[[#This Row],[Profit Diskon C]]</f>
        <v>345000</v>
      </c>
      <c r="AI349" s="23" t="s">
        <v>6</v>
      </c>
      <c r="AJ349" s="37">
        <f>IFERROR(INDEX('Kode Diskon'!$D$3:$D$9,MATCH(cadangan[[#This Row],[Kode diskon]],'Kode Diskon'!$C$3:$C$9,0)),"-")</f>
        <v>0.1</v>
      </c>
      <c r="AK349" s="23" t="s">
        <v>29</v>
      </c>
      <c r="AL349" s="23" t="s">
        <v>7</v>
      </c>
      <c r="AM349" s="23" t="s">
        <v>80</v>
      </c>
      <c r="AN349" s="55">
        <v>45018</v>
      </c>
      <c r="AO349" s="53">
        <f>DAY(cadangan[[#This Row],[Tanggal terjual]])</f>
        <v>2</v>
      </c>
      <c r="AP349" s="21" t="str">
        <f>TEXT(cadangan[[#This Row],[Tanggal terjual]],"dddd")</f>
        <v>Sunday</v>
      </c>
      <c r="AQ349" s="23" t="str" cm="1">
        <f t="array" ref="AQ3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49" s="61">
        <f>AVERAGE(cadangan[[#This Row],[Rating A]],cadangan[[#This Row],[Rating B]],cadangan[[#This Row],[Rating C]])</f>
        <v>4.5</v>
      </c>
    </row>
    <row r="350" spans="1:44" x14ac:dyDescent="0.2">
      <c r="A350" s="20">
        <v>349</v>
      </c>
      <c r="B350" s="21" t="str">
        <f>_xlfn.CONCAT("ORD-",INDEX(Helper!$B$2:$B$5,MATCH(cadangan[[#This Row],[Marketplace]],Helper!$A$2:$A$5,0)),TEXT(cadangan[[#This Row],[No]],"0000"),"-",TEXT(cadangan[[#This Row],[Tanggal terjual]],"dd/mm/yy"))</f>
        <v>ORD-SP0349-13/04/23</v>
      </c>
      <c r="C350" s="39" t="s">
        <v>63</v>
      </c>
      <c r="D350" s="39" t="str">
        <f>IFERROR(INDEX(Katalog!$A$3:$A$12,MATCH(cadangan[[#This Row],[ItemID A]],Katalog!$C$3:$C$12,0)),"-")</f>
        <v>Pakaian Pria</v>
      </c>
      <c r="E350" s="39" t="str">
        <f>IFERROR(INDEX(Katalog!$B$3:$B$12,MATCH(cadangan[[#This Row],[ItemID A]],Katalog!$C$3:$C$12,0)),"-")</f>
        <v>Jaket Jeans</v>
      </c>
      <c r="F350" s="50">
        <v>2</v>
      </c>
      <c r="G350" s="50">
        <v>2</v>
      </c>
      <c r="H350" s="73">
        <f>IFERROR(INDEX(Katalog!$D$3:$D$12,MATCH(cadangan[[#This Row],[ItemID A]],Katalog!$C$3:$C$12,0))*cadangan[[#This Row],[Qty A]],0)</f>
        <v>800000</v>
      </c>
      <c r="I350" s="73">
        <f>IFERROR(cadangan[[#This Row],[Harga Normal A]]-(cadangan[[#This Row],[Harga Normal A]]*cadangan[[#This Row],[Diskon]]),cadangan[[#This Row],[Harga Normal A]])</f>
        <v>800000</v>
      </c>
      <c r="J350" s="73">
        <f>INDEX(Katalog!$F$3:$F$12,MATCH(cadangan[[#This Row],[ItemID A]],Katalog!$C$3:$C$12,0))*cadangan[[#This Row],[Qty A]]</f>
        <v>300000</v>
      </c>
      <c r="K350" s="73">
        <f>IFERROR(cadangan[[#This Row],[Harga Diskon A]]-INDEX(Katalog!$E$3:$E$12,MATCH(cadangan[[#This Row],[ItemID A]],Katalog!$C$3:$C$12,0))*cadangan[[#This Row],[Qty A]],0)</f>
        <v>300000</v>
      </c>
      <c r="L350" s="39" t="s">
        <v>60</v>
      </c>
      <c r="M350" s="39" t="str">
        <f>IFERROR(INDEX(Katalog!$A$3:$A$12,MATCH(cadangan[[#This Row],[ItemID B]],Katalog!$C$3:$C$12,0)),"-")</f>
        <v>Pakaian Wanita</v>
      </c>
      <c r="N350" s="39" t="str">
        <f>IFERROR(INDEX(Katalog!$B$3:$B$12,MATCH(cadangan[[#This Row],[ItemID B]],Katalog!$C$3:$C$12,0)),"-")</f>
        <v>Kaftan</v>
      </c>
      <c r="O350" s="50">
        <v>3</v>
      </c>
      <c r="P350" s="50">
        <v>4</v>
      </c>
      <c r="Q350" s="73">
        <f>IFERROR(INDEX(Katalog!$D$3:$D$12,MATCH(cadangan[[#This Row],[ItemID B]],Katalog!$C$3:$C$12,0))*cadangan[[#This Row],[Qty B]],0)</f>
        <v>750000</v>
      </c>
      <c r="R350" s="73">
        <f>IFERROR(cadangan[[#This Row],[Harga Normal B]]-(cadangan[[#This Row],[Harga Normal B]]*cadangan[[#This Row],[Diskon]]),cadangan[[#This Row],[Harga Normal B]])</f>
        <v>750000</v>
      </c>
      <c r="S350" s="73">
        <f>IFERROR(INDEX(Katalog!$F$3:$F$12,MATCH(cadangan[[#This Row],[ItemID B]],Katalog!$C$3:$C$12,0))*cadangan[[#This Row],[Qty B]],0)</f>
        <v>300000</v>
      </c>
      <c r="T350" s="73">
        <f>IFERROR(cadangan[[#This Row],[Harga Diskon B]]-INDEX(Katalog!$E$3:$E$12,MATCH(cadangan[[#This Row],[ItemID B]],Katalog!$C$3:$C$12,0))*cadangan[[#This Row],[Qty B]],0)</f>
        <v>300000</v>
      </c>
      <c r="V350" s="39" t="str">
        <f>IFERROR(INDEX(Katalog!$A$3:$A$12,MATCH(cadangan[[#This Row],[ItemID C]],Katalog!$C$3:$C$12,0)),"-")</f>
        <v>-</v>
      </c>
      <c r="W350" s="39" t="str">
        <f>IFERROR(INDEX(Katalog!$B$3:$B$12,MATCH(cadangan[[#This Row],[ItemID C]],Katalog!$C$3:$C$12,0)),"-")</f>
        <v>-</v>
      </c>
      <c r="Z350" s="73">
        <f>IFERROR(INDEX(Katalog!$D$3:$D$12,MATCH(cadangan[[#This Row],[ItemID C]],Katalog!$C$3:$C$12,0))*cadangan[[#This Row],[Qty C]],0)</f>
        <v>0</v>
      </c>
      <c r="AA350" s="73">
        <f>IFERROR(cadangan[[#This Row],[Harga Normal C]]-(cadangan[[#This Row],[Harga Normal C]]*cadangan[[#This Row],[Diskon]]),cadangan[[#This Row],[Harga Normal C]])</f>
        <v>0</v>
      </c>
      <c r="AB350" s="73">
        <f>IFERROR(INDEX(Katalog!$F$3:$F$12,MATCH(cadangan[[#This Row],[ItemID C]],Katalog!$C$3:$C$12,0))*cadangan[[#This Row],[Qty C]],0)</f>
        <v>0</v>
      </c>
      <c r="AC350" s="73">
        <f>IFERROR(cadangan[[#This Row],[Harga Diskon C]]-INDEX(Katalog!$E$3:$E$12,MATCH(cadangan[[#This Row],[ItemID C]],Katalog!$C$3:$C$12,0))*cadangan[[#This Row],[Qty C]],0)</f>
        <v>0</v>
      </c>
      <c r="AD350" s="53">
        <f>cadangan[[#This Row],[Qty A]]+cadangan[[#This Row],[Qty B]]+cadangan[[#This Row],[Qty C]]</f>
        <v>5</v>
      </c>
      <c r="AE350" s="73">
        <f>cadangan[[#This Row],[Harga Normal A]]+cadangan[[#This Row],[Harga Normal B]]+cadangan[[#This Row],[Harga Normal C]]</f>
        <v>1550000</v>
      </c>
      <c r="AF350" s="73">
        <f>cadangan[[#This Row],[Harga Diskon A]]+cadangan[[#This Row],[Harga Diskon B]]+cadangan[[#This Row],[Harga Diskon C]]</f>
        <v>1550000</v>
      </c>
      <c r="AG350" s="73">
        <f>(cadangan[[#This Row],[Profit Normal A]]+cadangan[[#This Row],[Profit Normal B]]+cadangan[[#This Row],[Profit Normal C]])</f>
        <v>600000</v>
      </c>
      <c r="AH350" s="73">
        <f>cadangan[[#This Row],[Profit Diskon A]]+cadangan[[#This Row],[Profit Diskon B]]+cadangan[[#This Row],[Profit Diskon C]]</f>
        <v>600000</v>
      </c>
      <c r="AI350" s="23" t="s">
        <v>290</v>
      </c>
      <c r="AJ350" s="37" t="str">
        <f>IFERROR(INDEX('Kode Diskon'!$D$3:$D$9,MATCH(cadangan[[#This Row],[Kode diskon]],'Kode Diskon'!$C$3:$C$9,0)),"-")</f>
        <v>-</v>
      </c>
      <c r="AK350" s="23" t="s">
        <v>290</v>
      </c>
      <c r="AL350" s="23" t="s">
        <v>7</v>
      </c>
      <c r="AM350" s="23" t="s">
        <v>78</v>
      </c>
      <c r="AN350" s="55">
        <v>45029</v>
      </c>
      <c r="AO350" s="53">
        <f>DAY(cadangan[[#This Row],[Tanggal terjual]])</f>
        <v>13</v>
      </c>
      <c r="AP350" s="21" t="str">
        <f>TEXT(cadangan[[#This Row],[Tanggal terjual]],"dddd")</f>
        <v>Thursday</v>
      </c>
      <c r="AQ350" s="23" t="str" cm="1">
        <f t="array" ref="AQ3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50" s="61">
        <f>AVERAGE(cadangan[[#This Row],[Rating A]],cadangan[[#This Row],[Rating B]],cadangan[[#This Row],[Rating C]])</f>
        <v>3</v>
      </c>
    </row>
    <row r="351" spans="1:44" x14ac:dyDescent="0.2">
      <c r="A351" s="20">
        <v>350</v>
      </c>
      <c r="B351" s="21" t="str">
        <f>_xlfn.CONCAT("ORD-",INDEX(Helper!$B$2:$B$5,MATCH(cadangan[[#This Row],[Marketplace]],Helper!$A$2:$A$5,0)),TEXT(cadangan[[#This Row],[No]],"0000"),"-",TEXT(cadangan[[#This Row],[Tanggal terjual]],"dd/mm/yy"))</f>
        <v>ORD-BL0350-29/04/23</v>
      </c>
      <c r="C351" s="39" t="s">
        <v>67</v>
      </c>
      <c r="D351" s="39" t="str">
        <f>IFERROR(INDEX(Katalog!$A$3:$A$12,MATCH(cadangan[[#This Row],[ItemID A]],Katalog!$C$3:$C$12,0)),"-")</f>
        <v>Sepatu Wanita</v>
      </c>
      <c r="E351" s="39" t="str">
        <f>IFERROR(INDEX(Katalog!$B$3:$B$12,MATCH(cadangan[[#This Row],[ItemID A]],Katalog!$C$3:$C$12,0)),"-")</f>
        <v>Flat Shoes</v>
      </c>
      <c r="F351" s="50">
        <v>1</v>
      </c>
      <c r="G351" s="50">
        <v>3</v>
      </c>
      <c r="H351" s="73">
        <f>IFERROR(INDEX(Katalog!$D$3:$D$12,MATCH(cadangan[[#This Row],[ItemID A]],Katalog!$C$3:$C$12,0))*cadangan[[#This Row],[Qty A]],0)</f>
        <v>250000</v>
      </c>
      <c r="I351" s="73">
        <f>IFERROR(cadangan[[#This Row],[Harga Normal A]]-(cadangan[[#This Row],[Harga Normal A]]*cadangan[[#This Row],[Diskon]]),cadangan[[#This Row],[Harga Normal A]])</f>
        <v>212500</v>
      </c>
      <c r="J351" s="73">
        <f>INDEX(Katalog!$F$3:$F$12,MATCH(cadangan[[#This Row],[ItemID A]],Katalog!$C$3:$C$12,0))*cadangan[[#This Row],[Qty A]]</f>
        <v>100000</v>
      </c>
      <c r="K351" s="73">
        <f>IFERROR(cadangan[[#This Row],[Harga Diskon A]]-INDEX(Katalog!$E$3:$E$12,MATCH(cadangan[[#This Row],[ItemID A]],Katalog!$C$3:$C$12,0))*cadangan[[#This Row],[Qty A]],0)</f>
        <v>62500</v>
      </c>
      <c r="M351" s="39" t="str">
        <f>IFERROR(INDEX(Katalog!$A$3:$A$12,MATCH(cadangan[[#This Row],[ItemID B]],Katalog!$C$3:$C$12,0)),"-")</f>
        <v>-</v>
      </c>
      <c r="N351" s="39" t="str">
        <f>IFERROR(INDEX(Katalog!$B$3:$B$12,MATCH(cadangan[[#This Row],[ItemID B]],Katalog!$C$3:$C$12,0)),"-")</f>
        <v>-</v>
      </c>
      <c r="Q351" s="73">
        <f>IFERROR(INDEX(Katalog!$D$3:$D$12,MATCH(cadangan[[#This Row],[ItemID B]],Katalog!$C$3:$C$12,0))*cadangan[[#This Row],[Qty B]],0)</f>
        <v>0</v>
      </c>
      <c r="R351" s="73">
        <f>IFERROR(cadangan[[#This Row],[Harga Normal B]]-(cadangan[[#This Row],[Harga Normal B]]*cadangan[[#This Row],[Diskon]]),cadangan[[#This Row],[Harga Normal B]])</f>
        <v>0</v>
      </c>
      <c r="S351" s="73">
        <f>IFERROR(INDEX(Katalog!$F$3:$F$12,MATCH(cadangan[[#This Row],[ItemID B]],Katalog!$C$3:$C$12,0))*cadangan[[#This Row],[Qty B]],0)</f>
        <v>0</v>
      </c>
      <c r="T351" s="73">
        <f>IFERROR(cadangan[[#This Row],[Harga Diskon B]]-INDEX(Katalog!$E$3:$E$12,MATCH(cadangan[[#This Row],[ItemID B]],Katalog!$C$3:$C$12,0))*cadangan[[#This Row],[Qty B]],0)</f>
        <v>0</v>
      </c>
      <c r="V351" s="39" t="str">
        <f>IFERROR(INDEX(Katalog!$A$3:$A$12,MATCH(cadangan[[#This Row],[ItemID C]],Katalog!$C$3:$C$12,0)),"-")</f>
        <v>-</v>
      </c>
      <c r="W351" s="39" t="str">
        <f>IFERROR(INDEX(Katalog!$B$3:$B$12,MATCH(cadangan[[#This Row],[ItemID C]],Katalog!$C$3:$C$12,0)),"-")</f>
        <v>-</v>
      </c>
      <c r="Z351" s="73">
        <f>IFERROR(INDEX(Katalog!$D$3:$D$12,MATCH(cadangan[[#This Row],[ItemID C]],Katalog!$C$3:$C$12,0))*cadangan[[#This Row],[Qty C]],0)</f>
        <v>0</v>
      </c>
      <c r="AA351" s="73">
        <f>IFERROR(cadangan[[#This Row],[Harga Normal C]]-(cadangan[[#This Row],[Harga Normal C]]*cadangan[[#This Row],[Diskon]]),cadangan[[#This Row],[Harga Normal C]])</f>
        <v>0</v>
      </c>
      <c r="AB351" s="73">
        <f>IFERROR(INDEX(Katalog!$F$3:$F$12,MATCH(cadangan[[#This Row],[ItemID C]],Katalog!$C$3:$C$12,0))*cadangan[[#This Row],[Qty C]],0)</f>
        <v>0</v>
      </c>
      <c r="AC351" s="73">
        <f>IFERROR(cadangan[[#This Row],[Harga Diskon C]]-INDEX(Katalog!$E$3:$E$12,MATCH(cadangan[[#This Row],[ItemID C]],Katalog!$C$3:$C$12,0))*cadangan[[#This Row],[Qty C]],0)</f>
        <v>0</v>
      </c>
      <c r="AD351" s="53">
        <f>cadangan[[#This Row],[Qty A]]+cadangan[[#This Row],[Qty B]]+cadangan[[#This Row],[Qty C]]</f>
        <v>1</v>
      </c>
      <c r="AE351" s="73">
        <f>cadangan[[#This Row],[Harga Normal A]]+cadangan[[#This Row],[Harga Normal B]]+cadangan[[#This Row],[Harga Normal C]]</f>
        <v>250000</v>
      </c>
      <c r="AF351" s="73">
        <f>cadangan[[#This Row],[Harga Diskon A]]+cadangan[[#This Row],[Harga Diskon B]]+cadangan[[#This Row],[Harga Diskon C]]</f>
        <v>212500</v>
      </c>
      <c r="AG351" s="73">
        <f>(cadangan[[#This Row],[Profit Normal A]]+cadangan[[#This Row],[Profit Normal B]]+cadangan[[#This Row],[Profit Normal C]])</f>
        <v>100000</v>
      </c>
      <c r="AH351" s="73">
        <f>cadangan[[#This Row],[Profit Diskon A]]+cadangan[[#This Row],[Profit Diskon B]]+cadangan[[#This Row],[Profit Diskon C]]</f>
        <v>62500</v>
      </c>
      <c r="AI351" s="23" t="s">
        <v>32</v>
      </c>
      <c r="AJ351" s="37">
        <f>IFERROR(INDEX('Kode Diskon'!$D$3:$D$9,MATCH(cadangan[[#This Row],[Kode diskon]],'Kode Diskon'!$C$3:$C$9,0)),"-")</f>
        <v>0.15</v>
      </c>
      <c r="AK351" s="23" t="s">
        <v>9</v>
      </c>
      <c r="AL351" s="23" t="s">
        <v>12</v>
      </c>
      <c r="AM351" s="23" t="s">
        <v>75</v>
      </c>
      <c r="AN351" s="55">
        <v>45045</v>
      </c>
      <c r="AO351" s="53">
        <f>DAY(cadangan[[#This Row],[Tanggal terjual]])</f>
        <v>29</v>
      </c>
      <c r="AP351" s="21" t="str">
        <f>TEXT(cadangan[[#This Row],[Tanggal terjual]],"dddd")</f>
        <v>Saturday</v>
      </c>
      <c r="AQ351" s="23" t="str" cm="1">
        <f t="array" ref="AQ3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51" s="61">
        <f>AVERAGE(cadangan[[#This Row],[Rating A]],cadangan[[#This Row],[Rating B]],cadangan[[#This Row],[Rating C]])</f>
        <v>3</v>
      </c>
    </row>
    <row r="352" spans="1:44" x14ac:dyDescent="0.2">
      <c r="A352" s="20">
        <v>351</v>
      </c>
      <c r="B352" s="21" t="str">
        <f>_xlfn.CONCAT("ORD-",INDEX(Helper!$B$2:$B$5,MATCH(cadangan[[#This Row],[Marketplace]],Helper!$A$2:$A$5,0)),TEXT(cadangan[[#This Row],[No]],"0000"),"-",TEXT(cadangan[[#This Row],[Tanggal terjual]],"dd/mm/yy"))</f>
        <v>ORD-SP0351-11/04/23</v>
      </c>
      <c r="C352" s="39" t="s">
        <v>58</v>
      </c>
      <c r="D352" s="39" t="str">
        <f>IFERROR(INDEX(Katalog!$A$3:$A$12,MATCH(cadangan[[#This Row],[ItemID A]],Katalog!$C$3:$C$12,0)),"-")</f>
        <v>Pakaian Wanita</v>
      </c>
      <c r="E352" s="39" t="str">
        <f>IFERROR(INDEX(Katalog!$B$3:$B$12,MATCH(cadangan[[#This Row],[ItemID A]],Katalog!$C$3:$C$12,0)),"-")</f>
        <v>Dress</v>
      </c>
      <c r="F352" s="50">
        <v>6</v>
      </c>
      <c r="G352" s="50">
        <v>5</v>
      </c>
      <c r="H352" s="73">
        <f>IFERROR(INDEX(Katalog!$D$3:$D$12,MATCH(cadangan[[#This Row],[ItemID A]],Katalog!$C$3:$C$12,0))*cadangan[[#This Row],[Qty A]],0)</f>
        <v>1800000</v>
      </c>
      <c r="I352" s="73">
        <f>IFERROR(cadangan[[#This Row],[Harga Normal A]]-(cadangan[[#This Row],[Harga Normal A]]*cadangan[[#This Row],[Diskon]]),cadangan[[#This Row],[Harga Normal A]])</f>
        <v>1800000</v>
      </c>
      <c r="J352" s="73">
        <f>INDEX(Katalog!$F$3:$F$12,MATCH(cadangan[[#This Row],[ItemID A]],Katalog!$C$3:$C$12,0))*cadangan[[#This Row],[Qty A]]</f>
        <v>600000</v>
      </c>
      <c r="K352" s="73">
        <f>IFERROR(cadangan[[#This Row],[Harga Diskon A]]-INDEX(Katalog!$E$3:$E$12,MATCH(cadangan[[#This Row],[ItemID A]],Katalog!$C$3:$C$12,0))*cadangan[[#This Row],[Qty A]],0)</f>
        <v>600000</v>
      </c>
      <c r="L352" s="39" t="s">
        <v>66</v>
      </c>
      <c r="M352" s="39" t="str">
        <f>IFERROR(INDEX(Katalog!$A$3:$A$12,MATCH(cadangan[[#This Row],[ItemID B]],Katalog!$C$3:$C$12,0)),"-")</f>
        <v>Sepatu Pria</v>
      </c>
      <c r="N352" s="39" t="str">
        <f>IFERROR(INDEX(Katalog!$B$3:$B$12,MATCH(cadangan[[#This Row],[ItemID B]],Katalog!$C$3:$C$12,0)),"-")</f>
        <v>Sandal Slip On</v>
      </c>
      <c r="O352" s="50">
        <v>1</v>
      </c>
      <c r="P352" s="50">
        <v>1</v>
      </c>
      <c r="Q352" s="73">
        <f>IFERROR(INDEX(Katalog!$D$3:$D$12,MATCH(cadangan[[#This Row],[ItemID B]],Katalog!$C$3:$C$12,0))*cadangan[[#This Row],[Qty B]],0)</f>
        <v>150000</v>
      </c>
      <c r="R352" s="73">
        <f>IFERROR(cadangan[[#This Row],[Harga Normal B]]-(cadangan[[#This Row],[Harga Normal B]]*cadangan[[#This Row],[Diskon]]),cadangan[[#This Row],[Harga Normal B]])</f>
        <v>150000</v>
      </c>
      <c r="S352" s="73">
        <f>IFERROR(INDEX(Katalog!$F$3:$F$12,MATCH(cadangan[[#This Row],[ItemID B]],Katalog!$C$3:$C$12,0))*cadangan[[#This Row],[Qty B]],0)</f>
        <v>60000</v>
      </c>
      <c r="T352" s="73">
        <f>IFERROR(cadangan[[#This Row],[Harga Diskon B]]-INDEX(Katalog!$E$3:$E$12,MATCH(cadangan[[#This Row],[ItemID B]],Katalog!$C$3:$C$12,0))*cadangan[[#This Row],[Qty B]],0)</f>
        <v>60000</v>
      </c>
      <c r="V352" s="39" t="str">
        <f>IFERROR(INDEX(Katalog!$A$3:$A$12,MATCH(cadangan[[#This Row],[ItemID C]],Katalog!$C$3:$C$12,0)),"-")</f>
        <v>-</v>
      </c>
      <c r="W352" s="39" t="str">
        <f>IFERROR(INDEX(Katalog!$B$3:$B$12,MATCH(cadangan[[#This Row],[ItemID C]],Katalog!$C$3:$C$12,0)),"-")</f>
        <v>-</v>
      </c>
      <c r="Z352" s="73">
        <f>IFERROR(INDEX(Katalog!$D$3:$D$12,MATCH(cadangan[[#This Row],[ItemID C]],Katalog!$C$3:$C$12,0))*cadangan[[#This Row],[Qty C]],0)</f>
        <v>0</v>
      </c>
      <c r="AA352" s="73">
        <f>IFERROR(cadangan[[#This Row],[Harga Normal C]]-(cadangan[[#This Row],[Harga Normal C]]*cadangan[[#This Row],[Diskon]]),cadangan[[#This Row],[Harga Normal C]])</f>
        <v>0</v>
      </c>
      <c r="AB352" s="73">
        <f>IFERROR(INDEX(Katalog!$F$3:$F$12,MATCH(cadangan[[#This Row],[ItemID C]],Katalog!$C$3:$C$12,0))*cadangan[[#This Row],[Qty C]],0)</f>
        <v>0</v>
      </c>
      <c r="AC352" s="73">
        <f>IFERROR(cadangan[[#This Row],[Harga Diskon C]]-INDEX(Katalog!$E$3:$E$12,MATCH(cadangan[[#This Row],[ItemID C]],Katalog!$C$3:$C$12,0))*cadangan[[#This Row],[Qty C]],0)</f>
        <v>0</v>
      </c>
      <c r="AD352" s="53">
        <f>cadangan[[#This Row],[Qty A]]+cadangan[[#This Row],[Qty B]]+cadangan[[#This Row],[Qty C]]</f>
        <v>7</v>
      </c>
      <c r="AE352" s="73">
        <f>cadangan[[#This Row],[Harga Normal A]]+cadangan[[#This Row],[Harga Normal B]]+cadangan[[#This Row],[Harga Normal C]]</f>
        <v>1950000</v>
      </c>
      <c r="AF352" s="73">
        <f>cadangan[[#This Row],[Harga Diskon A]]+cadangan[[#This Row],[Harga Diskon B]]+cadangan[[#This Row],[Harga Diskon C]]</f>
        <v>1950000</v>
      </c>
      <c r="AG352" s="73">
        <f>(cadangan[[#This Row],[Profit Normal A]]+cadangan[[#This Row],[Profit Normal B]]+cadangan[[#This Row],[Profit Normal C]])</f>
        <v>660000</v>
      </c>
      <c r="AH352" s="73">
        <f>cadangan[[#This Row],[Profit Diskon A]]+cadangan[[#This Row],[Profit Diskon B]]+cadangan[[#This Row],[Profit Diskon C]]</f>
        <v>660000</v>
      </c>
      <c r="AI352" s="23" t="s">
        <v>290</v>
      </c>
      <c r="AJ352" s="37" t="str">
        <f>IFERROR(INDEX('Kode Diskon'!$D$3:$D$9,MATCH(cadangan[[#This Row],[Kode diskon]],'Kode Diskon'!$C$3:$C$9,0)),"-")</f>
        <v>-</v>
      </c>
      <c r="AK352" s="23" t="s">
        <v>290</v>
      </c>
      <c r="AL352" s="23" t="s">
        <v>7</v>
      </c>
      <c r="AM352" s="23" t="s">
        <v>80</v>
      </c>
      <c r="AN352" s="55">
        <v>45027</v>
      </c>
      <c r="AO352" s="53">
        <f>DAY(cadangan[[#This Row],[Tanggal terjual]])</f>
        <v>11</v>
      </c>
      <c r="AP352" s="21" t="str">
        <f>TEXT(cadangan[[#This Row],[Tanggal terjual]],"dddd")</f>
        <v>Tuesday</v>
      </c>
      <c r="AQ352" s="23" t="str" cm="1">
        <f t="array" ref="AQ3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52" s="61">
        <f>AVERAGE(cadangan[[#This Row],[Rating A]],cadangan[[#This Row],[Rating B]],cadangan[[#This Row],[Rating C]])</f>
        <v>3</v>
      </c>
    </row>
    <row r="353" spans="1:44" x14ac:dyDescent="0.2">
      <c r="A353" s="20">
        <v>352</v>
      </c>
      <c r="B353" s="21" t="str">
        <f>_xlfn.CONCAT("ORD-",INDEX(Helper!$B$2:$B$5,MATCH(cadangan[[#This Row],[Marketplace]],Helper!$A$2:$A$5,0)),TEXT(cadangan[[#This Row],[No]],"0000"),"-",TEXT(cadangan[[#This Row],[Tanggal terjual]],"dd/mm/yy"))</f>
        <v>ORD-TK0352-06/04/23</v>
      </c>
      <c r="C353" s="39" t="s">
        <v>61</v>
      </c>
      <c r="D353" s="39" t="str">
        <f>IFERROR(INDEX(Katalog!$A$3:$A$12,MATCH(cadangan[[#This Row],[ItemID A]],Katalog!$C$3:$C$12,0)),"-")</f>
        <v>Pakaian Pria</v>
      </c>
      <c r="E353" s="39" t="str">
        <f>IFERROR(INDEX(Katalog!$B$3:$B$12,MATCH(cadangan[[#This Row],[ItemID A]],Katalog!$C$3:$C$12,0)),"-")</f>
        <v>Kaos Polo</v>
      </c>
      <c r="F353" s="50">
        <v>3</v>
      </c>
      <c r="G353" s="50">
        <v>3</v>
      </c>
      <c r="H353" s="73">
        <f>IFERROR(INDEX(Katalog!$D$3:$D$12,MATCH(cadangan[[#This Row],[ItemID A]],Katalog!$C$3:$C$12,0))*cadangan[[#This Row],[Qty A]],0)</f>
        <v>600000</v>
      </c>
      <c r="I353" s="73">
        <f>IFERROR(cadangan[[#This Row],[Harga Normal A]]-(cadangan[[#This Row],[Harga Normal A]]*cadangan[[#This Row],[Diskon]]),cadangan[[#This Row],[Harga Normal A]])</f>
        <v>540000</v>
      </c>
      <c r="J353" s="73">
        <f>INDEX(Katalog!$F$3:$F$12,MATCH(cadangan[[#This Row],[ItemID A]],Katalog!$C$3:$C$12,0))*cadangan[[#This Row],[Qty A]]</f>
        <v>240000</v>
      </c>
      <c r="K353" s="73">
        <f>IFERROR(cadangan[[#This Row],[Harga Diskon A]]-INDEX(Katalog!$E$3:$E$12,MATCH(cadangan[[#This Row],[ItemID A]],Katalog!$C$3:$C$12,0))*cadangan[[#This Row],[Qty A]],0)</f>
        <v>180000</v>
      </c>
      <c r="M353" s="39" t="str">
        <f>IFERROR(INDEX(Katalog!$A$3:$A$12,MATCH(cadangan[[#This Row],[ItemID B]],Katalog!$C$3:$C$12,0)),"-")</f>
        <v>-</v>
      </c>
      <c r="N353" s="39" t="str">
        <f>IFERROR(INDEX(Katalog!$B$3:$B$12,MATCH(cadangan[[#This Row],[ItemID B]],Katalog!$C$3:$C$12,0)),"-")</f>
        <v>-</v>
      </c>
      <c r="Q353" s="73">
        <f>IFERROR(INDEX(Katalog!$D$3:$D$12,MATCH(cadangan[[#This Row],[ItemID B]],Katalog!$C$3:$C$12,0))*cadangan[[#This Row],[Qty B]],0)</f>
        <v>0</v>
      </c>
      <c r="R353" s="73">
        <f>IFERROR(cadangan[[#This Row],[Harga Normal B]]-(cadangan[[#This Row],[Harga Normal B]]*cadangan[[#This Row],[Diskon]]),cadangan[[#This Row],[Harga Normal B]])</f>
        <v>0</v>
      </c>
      <c r="S353" s="73">
        <f>IFERROR(INDEX(Katalog!$F$3:$F$12,MATCH(cadangan[[#This Row],[ItemID B]],Katalog!$C$3:$C$12,0))*cadangan[[#This Row],[Qty B]],0)</f>
        <v>0</v>
      </c>
      <c r="T353" s="73">
        <f>IFERROR(cadangan[[#This Row],[Harga Diskon B]]-INDEX(Katalog!$E$3:$E$12,MATCH(cadangan[[#This Row],[ItemID B]],Katalog!$C$3:$C$12,0))*cadangan[[#This Row],[Qty B]],0)</f>
        <v>0</v>
      </c>
      <c r="V353" s="39" t="str">
        <f>IFERROR(INDEX(Katalog!$A$3:$A$12,MATCH(cadangan[[#This Row],[ItemID C]],Katalog!$C$3:$C$12,0)),"-")</f>
        <v>-</v>
      </c>
      <c r="W353" s="39" t="str">
        <f>IFERROR(INDEX(Katalog!$B$3:$B$12,MATCH(cadangan[[#This Row],[ItemID C]],Katalog!$C$3:$C$12,0)),"-")</f>
        <v>-</v>
      </c>
      <c r="Z353" s="73">
        <f>IFERROR(INDEX(Katalog!$D$3:$D$12,MATCH(cadangan[[#This Row],[ItemID C]],Katalog!$C$3:$C$12,0))*cadangan[[#This Row],[Qty C]],0)</f>
        <v>0</v>
      </c>
      <c r="AA353" s="73">
        <f>IFERROR(cadangan[[#This Row],[Harga Normal C]]-(cadangan[[#This Row],[Harga Normal C]]*cadangan[[#This Row],[Diskon]]),cadangan[[#This Row],[Harga Normal C]])</f>
        <v>0</v>
      </c>
      <c r="AB353" s="73">
        <f>IFERROR(INDEX(Katalog!$F$3:$F$12,MATCH(cadangan[[#This Row],[ItemID C]],Katalog!$C$3:$C$12,0))*cadangan[[#This Row],[Qty C]],0)</f>
        <v>0</v>
      </c>
      <c r="AC353" s="73">
        <f>IFERROR(cadangan[[#This Row],[Harga Diskon C]]-INDEX(Katalog!$E$3:$E$12,MATCH(cadangan[[#This Row],[ItemID C]],Katalog!$C$3:$C$12,0))*cadangan[[#This Row],[Qty C]],0)</f>
        <v>0</v>
      </c>
      <c r="AD353" s="53">
        <f>cadangan[[#This Row],[Qty A]]+cadangan[[#This Row],[Qty B]]+cadangan[[#This Row],[Qty C]]</f>
        <v>3</v>
      </c>
      <c r="AE353" s="73">
        <f>cadangan[[#This Row],[Harga Normal A]]+cadangan[[#This Row],[Harga Normal B]]+cadangan[[#This Row],[Harga Normal C]]</f>
        <v>600000</v>
      </c>
      <c r="AF353" s="73">
        <f>cadangan[[#This Row],[Harga Diskon A]]+cadangan[[#This Row],[Harga Diskon B]]+cadangan[[#This Row],[Harga Diskon C]]</f>
        <v>540000</v>
      </c>
      <c r="AG353" s="73">
        <f>(cadangan[[#This Row],[Profit Normal A]]+cadangan[[#This Row],[Profit Normal B]]+cadangan[[#This Row],[Profit Normal C]])</f>
        <v>240000</v>
      </c>
      <c r="AH353" s="73">
        <f>cadangan[[#This Row],[Profit Diskon A]]+cadangan[[#This Row],[Profit Diskon B]]+cadangan[[#This Row],[Profit Diskon C]]</f>
        <v>180000</v>
      </c>
      <c r="AI353" s="23" t="s">
        <v>30</v>
      </c>
      <c r="AJ353" s="37">
        <f>IFERROR(INDEX('Kode Diskon'!$D$3:$D$9,MATCH(cadangan[[#This Row],[Kode diskon]],'Kode Diskon'!$C$3:$C$9,0)),"-")</f>
        <v>0.1</v>
      </c>
      <c r="AK353" s="23" t="s">
        <v>29</v>
      </c>
      <c r="AL353" s="23" t="s">
        <v>10</v>
      </c>
      <c r="AM353" s="23" t="s">
        <v>75</v>
      </c>
      <c r="AN353" s="55">
        <v>45022</v>
      </c>
      <c r="AO353" s="53">
        <f>DAY(cadangan[[#This Row],[Tanggal terjual]])</f>
        <v>6</v>
      </c>
      <c r="AP353" s="21" t="str">
        <f>TEXT(cadangan[[#This Row],[Tanggal terjual]],"dddd")</f>
        <v>Thursday</v>
      </c>
      <c r="AQ353" s="23" t="str" cm="1">
        <f t="array" ref="AQ3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53" s="61">
        <f>AVERAGE(cadangan[[#This Row],[Rating A]],cadangan[[#This Row],[Rating B]],cadangan[[#This Row],[Rating C]])</f>
        <v>3</v>
      </c>
    </row>
    <row r="354" spans="1:44" x14ac:dyDescent="0.2">
      <c r="A354" s="20">
        <v>353</v>
      </c>
      <c r="B354" s="21" t="str">
        <f>_xlfn.CONCAT("ORD-",INDEX(Helper!$B$2:$B$5,MATCH(cadangan[[#This Row],[Marketplace]],Helper!$A$2:$A$5,0)),TEXT(cadangan[[#This Row],[No]],"0000"),"-",TEXT(cadangan[[#This Row],[Tanggal terjual]],"dd/mm/yy"))</f>
        <v>ORD-BL0353-17/04/23</v>
      </c>
      <c r="C354" s="39" t="s">
        <v>64</v>
      </c>
      <c r="D354" s="39" t="str">
        <f>IFERROR(INDEX(Katalog!$A$3:$A$12,MATCH(cadangan[[#This Row],[ItemID A]],Katalog!$C$3:$C$12,0)),"-")</f>
        <v>Pakaian Unisex</v>
      </c>
      <c r="E354" s="39" t="str">
        <f>IFERROR(INDEX(Katalog!$B$3:$B$12,MATCH(cadangan[[#This Row],[ItemID A]],Katalog!$C$3:$C$12,0)),"-")</f>
        <v>Jaket Hoodie</v>
      </c>
      <c r="F354" s="50">
        <v>1</v>
      </c>
      <c r="G354" s="50">
        <v>3</v>
      </c>
      <c r="H354" s="73">
        <f>IFERROR(INDEX(Katalog!$D$3:$D$12,MATCH(cadangan[[#This Row],[ItemID A]],Katalog!$C$3:$C$12,0))*cadangan[[#This Row],[Qty A]],0)</f>
        <v>350000</v>
      </c>
      <c r="I354" s="73">
        <f>IFERROR(cadangan[[#This Row],[Harga Normal A]]-(cadangan[[#This Row],[Harga Normal A]]*cadangan[[#This Row],[Diskon]]),cadangan[[#This Row],[Harga Normal A]])</f>
        <v>297500</v>
      </c>
      <c r="J354" s="73">
        <f>INDEX(Katalog!$F$3:$F$12,MATCH(cadangan[[#This Row],[ItemID A]],Katalog!$C$3:$C$12,0))*cadangan[[#This Row],[Qty A]]</f>
        <v>130000</v>
      </c>
      <c r="K354" s="73">
        <f>IFERROR(cadangan[[#This Row],[Harga Diskon A]]-INDEX(Katalog!$E$3:$E$12,MATCH(cadangan[[#This Row],[ItemID A]],Katalog!$C$3:$C$12,0))*cadangan[[#This Row],[Qty A]],0)</f>
        <v>77500</v>
      </c>
      <c r="L354" s="39" t="s">
        <v>66</v>
      </c>
      <c r="M354" s="39" t="str">
        <f>IFERROR(INDEX(Katalog!$A$3:$A$12,MATCH(cadangan[[#This Row],[ItemID B]],Katalog!$C$3:$C$12,0)),"-")</f>
        <v>Sepatu Pria</v>
      </c>
      <c r="N354" s="39" t="str">
        <f>IFERROR(INDEX(Katalog!$B$3:$B$12,MATCH(cadangan[[#This Row],[ItemID B]],Katalog!$C$3:$C$12,0)),"-")</f>
        <v>Sandal Slip On</v>
      </c>
      <c r="O354" s="50">
        <v>1</v>
      </c>
      <c r="P354" s="50">
        <v>1</v>
      </c>
      <c r="Q354" s="73">
        <f>IFERROR(INDEX(Katalog!$D$3:$D$12,MATCH(cadangan[[#This Row],[ItemID B]],Katalog!$C$3:$C$12,0))*cadangan[[#This Row],[Qty B]],0)</f>
        <v>150000</v>
      </c>
      <c r="R354" s="73">
        <f>IFERROR(cadangan[[#This Row],[Harga Normal B]]-(cadangan[[#This Row],[Harga Normal B]]*cadangan[[#This Row],[Diskon]]),cadangan[[#This Row],[Harga Normal B]])</f>
        <v>127500</v>
      </c>
      <c r="S354" s="73">
        <f>IFERROR(INDEX(Katalog!$F$3:$F$12,MATCH(cadangan[[#This Row],[ItemID B]],Katalog!$C$3:$C$12,0))*cadangan[[#This Row],[Qty B]],0)</f>
        <v>60000</v>
      </c>
      <c r="T354" s="73">
        <f>IFERROR(cadangan[[#This Row],[Harga Diskon B]]-INDEX(Katalog!$E$3:$E$12,MATCH(cadangan[[#This Row],[ItemID B]],Katalog!$C$3:$C$12,0))*cadangan[[#This Row],[Qty B]],0)</f>
        <v>37500</v>
      </c>
      <c r="V354" s="39" t="str">
        <f>IFERROR(INDEX(Katalog!$A$3:$A$12,MATCH(cadangan[[#This Row],[ItemID C]],Katalog!$C$3:$C$12,0)),"-")</f>
        <v>-</v>
      </c>
      <c r="W354" s="39" t="str">
        <f>IFERROR(INDEX(Katalog!$B$3:$B$12,MATCH(cadangan[[#This Row],[ItemID C]],Katalog!$C$3:$C$12,0)),"-")</f>
        <v>-</v>
      </c>
      <c r="Z354" s="73">
        <f>IFERROR(INDEX(Katalog!$D$3:$D$12,MATCH(cadangan[[#This Row],[ItemID C]],Katalog!$C$3:$C$12,0))*cadangan[[#This Row],[Qty C]],0)</f>
        <v>0</v>
      </c>
      <c r="AA354" s="73">
        <f>IFERROR(cadangan[[#This Row],[Harga Normal C]]-(cadangan[[#This Row],[Harga Normal C]]*cadangan[[#This Row],[Diskon]]),cadangan[[#This Row],[Harga Normal C]])</f>
        <v>0</v>
      </c>
      <c r="AB354" s="73">
        <f>IFERROR(INDEX(Katalog!$F$3:$F$12,MATCH(cadangan[[#This Row],[ItemID C]],Katalog!$C$3:$C$12,0))*cadangan[[#This Row],[Qty C]],0)</f>
        <v>0</v>
      </c>
      <c r="AC354" s="73">
        <f>IFERROR(cadangan[[#This Row],[Harga Diskon C]]-INDEX(Katalog!$E$3:$E$12,MATCH(cadangan[[#This Row],[ItemID C]],Katalog!$C$3:$C$12,0))*cadangan[[#This Row],[Qty C]],0)</f>
        <v>0</v>
      </c>
      <c r="AD354" s="53">
        <f>cadangan[[#This Row],[Qty A]]+cadangan[[#This Row],[Qty B]]+cadangan[[#This Row],[Qty C]]</f>
        <v>2</v>
      </c>
      <c r="AE354" s="73">
        <f>cadangan[[#This Row],[Harga Normal A]]+cadangan[[#This Row],[Harga Normal B]]+cadangan[[#This Row],[Harga Normal C]]</f>
        <v>500000</v>
      </c>
      <c r="AF354" s="73">
        <f>cadangan[[#This Row],[Harga Diskon A]]+cadangan[[#This Row],[Harga Diskon B]]+cadangan[[#This Row],[Harga Diskon C]]</f>
        <v>425000</v>
      </c>
      <c r="AG354" s="73">
        <f>(cadangan[[#This Row],[Profit Normal A]]+cadangan[[#This Row],[Profit Normal B]]+cadangan[[#This Row],[Profit Normal C]])</f>
        <v>190000</v>
      </c>
      <c r="AH354" s="73">
        <f>cadangan[[#This Row],[Profit Diskon A]]+cadangan[[#This Row],[Profit Diskon B]]+cadangan[[#This Row],[Profit Diskon C]]</f>
        <v>115000</v>
      </c>
      <c r="AI354" s="23" t="s">
        <v>32</v>
      </c>
      <c r="AJ354" s="37">
        <f>IFERROR(INDEX('Kode Diskon'!$D$3:$D$9,MATCH(cadangan[[#This Row],[Kode diskon]],'Kode Diskon'!$C$3:$C$9,0)),"-")</f>
        <v>0.15</v>
      </c>
      <c r="AK354" s="23" t="s">
        <v>9</v>
      </c>
      <c r="AL354" s="23" t="s">
        <v>12</v>
      </c>
      <c r="AM354" s="23" t="s">
        <v>80</v>
      </c>
      <c r="AN354" s="55">
        <v>45033</v>
      </c>
      <c r="AO354" s="53">
        <f>DAY(cadangan[[#This Row],[Tanggal terjual]])</f>
        <v>17</v>
      </c>
      <c r="AP354" s="21" t="str">
        <f>TEXT(cadangan[[#This Row],[Tanggal terjual]],"dddd")</f>
        <v>Monday</v>
      </c>
      <c r="AQ354" s="23" t="str" cm="1">
        <f t="array" ref="AQ3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54" s="61">
        <f>AVERAGE(cadangan[[#This Row],[Rating A]],cadangan[[#This Row],[Rating B]],cadangan[[#This Row],[Rating C]])</f>
        <v>2</v>
      </c>
    </row>
    <row r="355" spans="1:44" x14ac:dyDescent="0.2">
      <c r="A355" s="20">
        <v>354</v>
      </c>
      <c r="B355" s="21" t="str">
        <f>_xlfn.CONCAT("ORD-",INDEX(Helper!$B$2:$B$5,MATCH(cadangan[[#This Row],[Marketplace]],Helper!$A$2:$A$5,0)),TEXT(cadangan[[#This Row],[No]],"0000"),"-",TEXT(cadangan[[#This Row],[Tanggal terjual]],"dd/mm/yy"))</f>
        <v>ORD-TK0354-02/04/23</v>
      </c>
      <c r="C355" s="39" t="s">
        <v>65</v>
      </c>
      <c r="D355" s="39" t="str">
        <f>IFERROR(INDEX(Katalog!$A$3:$A$12,MATCH(cadangan[[#This Row],[ItemID A]],Katalog!$C$3:$C$12,0)),"-")</f>
        <v>Sepatu Pria</v>
      </c>
      <c r="E355" s="39" t="str">
        <f>IFERROR(INDEX(Katalog!$B$3:$B$12,MATCH(cadangan[[#This Row],[ItemID A]],Katalog!$C$3:$C$12,0)),"-")</f>
        <v>Sneakers</v>
      </c>
      <c r="F355" s="50">
        <v>3</v>
      </c>
      <c r="G355" s="50">
        <v>3</v>
      </c>
      <c r="H355" s="73">
        <f>IFERROR(INDEX(Katalog!$D$3:$D$12,MATCH(cadangan[[#This Row],[ItemID A]],Katalog!$C$3:$C$12,0))*cadangan[[#This Row],[Qty A]],0)</f>
        <v>1500000</v>
      </c>
      <c r="I355" s="73">
        <f>IFERROR(cadangan[[#This Row],[Harga Normal A]]-(cadangan[[#This Row],[Harga Normal A]]*cadangan[[#This Row],[Diskon]]),cadangan[[#This Row],[Harga Normal A]])</f>
        <v>1350000</v>
      </c>
      <c r="J355" s="73">
        <f>INDEX(Katalog!$F$3:$F$12,MATCH(cadangan[[#This Row],[ItemID A]],Katalog!$C$3:$C$12,0))*cadangan[[#This Row],[Qty A]]</f>
        <v>600000</v>
      </c>
      <c r="K355" s="73">
        <f>IFERROR(cadangan[[#This Row],[Harga Diskon A]]-INDEX(Katalog!$E$3:$E$12,MATCH(cadangan[[#This Row],[ItemID A]],Katalog!$C$3:$C$12,0))*cadangan[[#This Row],[Qty A]],0)</f>
        <v>450000</v>
      </c>
      <c r="L355" s="39" t="s">
        <v>58</v>
      </c>
      <c r="M355" s="39" t="str">
        <f>IFERROR(INDEX(Katalog!$A$3:$A$12,MATCH(cadangan[[#This Row],[ItemID B]],Katalog!$C$3:$C$12,0)),"-")</f>
        <v>Pakaian Wanita</v>
      </c>
      <c r="N355" s="39" t="str">
        <f>IFERROR(INDEX(Katalog!$B$3:$B$12,MATCH(cadangan[[#This Row],[ItemID B]],Katalog!$C$3:$C$12,0)),"-")</f>
        <v>Dress</v>
      </c>
      <c r="O355" s="50">
        <v>1</v>
      </c>
      <c r="P355" s="50">
        <v>1</v>
      </c>
      <c r="Q355" s="73">
        <f>IFERROR(INDEX(Katalog!$D$3:$D$12,MATCH(cadangan[[#This Row],[ItemID B]],Katalog!$C$3:$C$12,0))*cadangan[[#This Row],[Qty B]],0)</f>
        <v>300000</v>
      </c>
      <c r="R355" s="73">
        <f>IFERROR(cadangan[[#This Row],[Harga Normal B]]-(cadangan[[#This Row],[Harga Normal B]]*cadangan[[#This Row],[Diskon]]),cadangan[[#This Row],[Harga Normal B]])</f>
        <v>270000</v>
      </c>
      <c r="S355" s="73">
        <f>IFERROR(INDEX(Katalog!$F$3:$F$12,MATCH(cadangan[[#This Row],[ItemID B]],Katalog!$C$3:$C$12,0))*cadangan[[#This Row],[Qty B]],0)</f>
        <v>100000</v>
      </c>
      <c r="T355" s="73">
        <f>IFERROR(cadangan[[#This Row],[Harga Diskon B]]-INDEX(Katalog!$E$3:$E$12,MATCH(cadangan[[#This Row],[ItemID B]],Katalog!$C$3:$C$12,0))*cadangan[[#This Row],[Qty B]],0)</f>
        <v>70000</v>
      </c>
      <c r="U355" s="39" t="s">
        <v>67</v>
      </c>
      <c r="V355" s="39" t="str">
        <f>IFERROR(INDEX(Katalog!$A$3:$A$12,MATCH(cadangan[[#This Row],[ItemID C]],Katalog!$C$3:$C$12,0)),"-")</f>
        <v>Sepatu Wanita</v>
      </c>
      <c r="W355" s="39" t="str">
        <f>IFERROR(INDEX(Katalog!$B$3:$B$12,MATCH(cadangan[[#This Row],[ItemID C]],Katalog!$C$3:$C$12,0)),"-")</f>
        <v>Flat Shoes</v>
      </c>
      <c r="X355" s="50">
        <v>1</v>
      </c>
      <c r="Y355" s="50">
        <v>1</v>
      </c>
      <c r="Z355" s="73">
        <f>IFERROR(INDEX(Katalog!$D$3:$D$12,MATCH(cadangan[[#This Row],[ItemID C]],Katalog!$C$3:$C$12,0))*cadangan[[#This Row],[Qty C]],0)</f>
        <v>250000</v>
      </c>
      <c r="AA355" s="73">
        <f>IFERROR(cadangan[[#This Row],[Harga Normal C]]-(cadangan[[#This Row],[Harga Normal C]]*cadangan[[#This Row],[Diskon]]),cadangan[[#This Row],[Harga Normal C]])</f>
        <v>225000</v>
      </c>
      <c r="AB355" s="73">
        <f>IFERROR(INDEX(Katalog!$F$3:$F$12,MATCH(cadangan[[#This Row],[ItemID C]],Katalog!$C$3:$C$12,0))*cadangan[[#This Row],[Qty C]],0)</f>
        <v>100000</v>
      </c>
      <c r="AC355" s="73">
        <f>IFERROR(cadangan[[#This Row],[Harga Diskon C]]-INDEX(Katalog!$E$3:$E$12,MATCH(cadangan[[#This Row],[ItemID C]],Katalog!$C$3:$C$12,0))*cadangan[[#This Row],[Qty C]],0)</f>
        <v>75000</v>
      </c>
      <c r="AD355" s="53">
        <f>cadangan[[#This Row],[Qty A]]+cadangan[[#This Row],[Qty B]]+cadangan[[#This Row],[Qty C]]</f>
        <v>5</v>
      </c>
      <c r="AE355" s="73">
        <f>cadangan[[#This Row],[Harga Normal A]]+cadangan[[#This Row],[Harga Normal B]]+cadangan[[#This Row],[Harga Normal C]]</f>
        <v>2050000</v>
      </c>
      <c r="AF355" s="73">
        <f>cadangan[[#This Row],[Harga Diskon A]]+cadangan[[#This Row],[Harga Diskon B]]+cadangan[[#This Row],[Harga Diskon C]]</f>
        <v>1845000</v>
      </c>
      <c r="AG355" s="73">
        <f>(cadangan[[#This Row],[Profit Normal A]]+cadangan[[#This Row],[Profit Normal B]]+cadangan[[#This Row],[Profit Normal C]])</f>
        <v>800000</v>
      </c>
      <c r="AH355" s="73">
        <f>cadangan[[#This Row],[Profit Diskon A]]+cadangan[[#This Row],[Profit Diskon B]]+cadangan[[#This Row],[Profit Diskon C]]</f>
        <v>595000</v>
      </c>
      <c r="AI355" s="23" t="s">
        <v>30</v>
      </c>
      <c r="AJ355" s="37">
        <f>IFERROR(INDEX('Kode Diskon'!$D$3:$D$9,MATCH(cadangan[[#This Row],[Kode diskon]],'Kode Diskon'!$C$3:$C$9,0)),"-")</f>
        <v>0.1</v>
      </c>
      <c r="AK355" s="23" t="s">
        <v>29</v>
      </c>
      <c r="AL355" s="23" t="s">
        <v>10</v>
      </c>
      <c r="AM355" s="23" t="s">
        <v>80</v>
      </c>
      <c r="AN355" s="55">
        <v>45018</v>
      </c>
      <c r="AO355" s="53">
        <f>DAY(cadangan[[#This Row],[Tanggal terjual]])</f>
        <v>2</v>
      </c>
      <c r="AP355" s="21" t="str">
        <f>TEXT(cadangan[[#This Row],[Tanggal terjual]],"dddd")</f>
        <v>Sunday</v>
      </c>
      <c r="AQ355" s="23" t="str" cm="1">
        <f t="array" ref="AQ3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55" s="61">
        <f>AVERAGE(cadangan[[#This Row],[Rating A]],cadangan[[#This Row],[Rating B]],cadangan[[#This Row],[Rating C]])</f>
        <v>1.6666666666666667</v>
      </c>
    </row>
    <row r="356" spans="1:44" x14ac:dyDescent="0.2">
      <c r="A356" s="20">
        <v>355</v>
      </c>
      <c r="B356" s="21" t="str">
        <f>_xlfn.CONCAT("ORD-",INDEX(Helper!$B$2:$B$5,MATCH(cadangan[[#This Row],[Marketplace]],Helper!$A$2:$A$5,0)),TEXT(cadangan[[#This Row],[No]],"0000"),"-",TEXT(cadangan[[#This Row],[Tanggal terjual]],"dd/mm/yy"))</f>
        <v>ORD-SP0355-19/04/23</v>
      </c>
      <c r="C356" s="39" t="s">
        <v>64</v>
      </c>
      <c r="D356" s="39" t="str">
        <f>IFERROR(INDEX(Katalog!$A$3:$A$12,MATCH(cadangan[[#This Row],[ItemID A]],Katalog!$C$3:$C$12,0)),"-")</f>
        <v>Pakaian Unisex</v>
      </c>
      <c r="E356" s="39" t="str">
        <f>IFERROR(INDEX(Katalog!$B$3:$B$12,MATCH(cadangan[[#This Row],[ItemID A]],Katalog!$C$3:$C$12,0)),"-")</f>
        <v>Jaket Hoodie</v>
      </c>
      <c r="F356" s="50">
        <v>4</v>
      </c>
      <c r="G356" s="50">
        <v>1</v>
      </c>
      <c r="H356" s="73">
        <f>IFERROR(INDEX(Katalog!$D$3:$D$12,MATCH(cadangan[[#This Row],[ItemID A]],Katalog!$C$3:$C$12,0))*cadangan[[#This Row],[Qty A]],0)</f>
        <v>1400000</v>
      </c>
      <c r="I356" s="73">
        <f>IFERROR(cadangan[[#This Row],[Harga Normal A]]-(cadangan[[#This Row],[Harga Normal A]]*cadangan[[#This Row],[Diskon]]),cadangan[[#This Row],[Harga Normal A]])</f>
        <v>1120000</v>
      </c>
      <c r="J356" s="73">
        <f>INDEX(Katalog!$F$3:$F$12,MATCH(cadangan[[#This Row],[ItemID A]],Katalog!$C$3:$C$12,0))*cadangan[[#This Row],[Qty A]]</f>
        <v>520000</v>
      </c>
      <c r="K356" s="73">
        <f>IFERROR(cadangan[[#This Row],[Harga Diskon A]]-INDEX(Katalog!$E$3:$E$12,MATCH(cadangan[[#This Row],[ItemID A]],Katalog!$C$3:$C$12,0))*cadangan[[#This Row],[Qty A]],0)</f>
        <v>240000</v>
      </c>
      <c r="L356" s="39" t="s">
        <v>59</v>
      </c>
      <c r="M356" s="39" t="str">
        <f>IFERROR(INDEX(Katalog!$A$3:$A$12,MATCH(cadangan[[#This Row],[ItemID B]],Katalog!$C$3:$C$12,0)),"-")</f>
        <v>Pakaian Wanita</v>
      </c>
      <c r="N356" s="39" t="str">
        <f>IFERROR(INDEX(Katalog!$B$3:$B$12,MATCH(cadangan[[#This Row],[ItemID B]],Katalog!$C$3:$C$12,0)),"-")</f>
        <v>Blouse</v>
      </c>
      <c r="O356" s="50">
        <v>1</v>
      </c>
      <c r="P356" s="50">
        <v>2</v>
      </c>
      <c r="Q356" s="73">
        <f>IFERROR(INDEX(Katalog!$D$3:$D$12,MATCH(cadangan[[#This Row],[ItemID B]],Katalog!$C$3:$C$12,0))*cadangan[[#This Row],[Qty B]],0)</f>
        <v>150000</v>
      </c>
      <c r="R356" s="73">
        <f>IFERROR(cadangan[[#This Row],[Harga Normal B]]-(cadangan[[#This Row],[Harga Normal B]]*cadangan[[#This Row],[Diskon]]),cadangan[[#This Row],[Harga Normal B]])</f>
        <v>120000</v>
      </c>
      <c r="S356" s="73">
        <f>IFERROR(INDEX(Katalog!$F$3:$F$12,MATCH(cadangan[[#This Row],[ItemID B]],Katalog!$C$3:$C$12,0))*cadangan[[#This Row],[Qty B]],0)</f>
        <v>50000</v>
      </c>
      <c r="T356" s="73">
        <f>IFERROR(cadangan[[#This Row],[Harga Diskon B]]-INDEX(Katalog!$E$3:$E$12,MATCH(cadangan[[#This Row],[ItemID B]],Katalog!$C$3:$C$12,0))*cadangan[[#This Row],[Qty B]],0)</f>
        <v>20000</v>
      </c>
      <c r="U356" s="39" t="s">
        <v>58</v>
      </c>
      <c r="V356" s="39" t="str">
        <f>IFERROR(INDEX(Katalog!$A$3:$A$12,MATCH(cadangan[[#This Row],[ItemID C]],Katalog!$C$3:$C$12,0)),"-")</f>
        <v>Pakaian Wanita</v>
      </c>
      <c r="W356" s="39" t="str">
        <f>IFERROR(INDEX(Katalog!$B$3:$B$12,MATCH(cadangan[[#This Row],[ItemID C]],Katalog!$C$3:$C$12,0)),"-")</f>
        <v>Dress</v>
      </c>
      <c r="X356" s="50">
        <v>1</v>
      </c>
      <c r="Y356" s="50">
        <v>2</v>
      </c>
      <c r="Z356" s="73">
        <f>IFERROR(INDEX(Katalog!$D$3:$D$12,MATCH(cadangan[[#This Row],[ItemID C]],Katalog!$C$3:$C$12,0))*cadangan[[#This Row],[Qty C]],0)</f>
        <v>300000</v>
      </c>
      <c r="AA356" s="73">
        <f>IFERROR(cadangan[[#This Row],[Harga Normal C]]-(cadangan[[#This Row],[Harga Normal C]]*cadangan[[#This Row],[Diskon]]),cadangan[[#This Row],[Harga Normal C]])</f>
        <v>240000</v>
      </c>
      <c r="AB356" s="73">
        <f>IFERROR(INDEX(Katalog!$F$3:$F$12,MATCH(cadangan[[#This Row],[ItemID C]],Katalog!$C$3:$C$12,0))*cadangan[[#This Row],[Qty C]],0)</f>
        <v>100000</v>
      </c>
      <c r="AC356" s="73">
        <f>IFERROR(cadangan[[#This Row],[Harga Diskon C]]-INDEX(Katalog!$E$3:$E$12,MATCH(cadangan[[#This Row],[ItemID C]],Katalog!$C$3:$C$12,0))*cadangan[[#This Row],[Qty C]],0)</f>
        <v>40000</v>
      </c>
      <c r="AD356" s="53">
        <f>cadangan[[#This Row],[Qty A]]+cadangan[[#This Row],[Qty B]]+cadangan[[#This Row],[Qty C]]</f>
        <v>6</v>
      </c>
      <c r="AE356" s="73">
        <f>cadangan[[#This Row],[Harga Normal A]]+cadangan[[#This Row],[Harga Normal B]]+cadangan[[#This Row],[Harga Normal C]]</f>
        <v>1850000</v>
      </c>
      <c r="AF356" s="73">
        <f>cadangan[[#This Row],[Harga Diskon A]]+cadangan[[#This Row],[Harga Diskon B]]+cadangan[[#This Row],[Harga Diskon C]]</f>
        <v>1480000</v>
      </c>
      <c r="AG356" s="73">
        <f>(cadangan[[#This Row],[Profit Normal A]]+cadangan[[#This Row],[Profit Normal B]]+cadangan[[#This Row],[Profit Normal C]])</f>
        <v>670000</v>
      </c>
      <c r="AH356" s="73">
        <f>cadangan[[#This Row],[Profit Diskon A]]+cadangan[[#This Row],[Profit Diskon B]]+cadangan[[#This Row],[Profit Diskon C]]</f>
        <v>300000</v>
      </c>
      <c r="AI356" s="23" t="s">
        <v>8</v>
      </c>
      <c r="AJ356" s="37">
        <f>IFERROR(INDEX('Kode Diskon'!$D$3:$D$9,MATCH(cadangan[[#This Row],[Kode diskon]],'Kode Diskon'!$C$3:$C$9,0)),"-")</f>
        <v>0.2</v>
      </c>
      <c r="AK356" s="23" t="s">
        <v>9</v>
      </c>
      <c r="AL356" s="23" t="s">
        <v>7</v>
      </c>
      <c r="AM356" s="23" t="s">
        <v>75</v>
      </c>
      <c r="AN356" s="55">
        <v>45035</v>
      </c>
      <c r="AO356" s="53">
        <f>DAY(cadangan[[#This Row],[Tanggal terjual]])</f>
        <v>19</v>
      </c>
      <c r="AP356" s="21" t="str">
        <f>TEXT(cadangan[[#This Row],[Tanggal terjual]],"dddd")</f>
        <v>Wednesday</v>
      </c>
      <c r="AQ356" s="23" t="str" cm="1">
        <f t="array" ref="AQ3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56" s="61">
        <f>AVERAGE(cadangan[[#This Row],[Rating A]],cadangan[[#This Row],[Rating B]],cadangan[[#This Row],[Rating C]])</f>
        <v>1.6666666666666667</v>
      </c>
    </row>
    <row r="357" spans="1:44" x14ac:dyDescent="0.2">
      <c r="A357" s="20">
        <v>356</v>
      </c>
      <c r="B357" s="21" t="str">
        <f>_xlfn.CONCAT("ORD-",INDEX(Helper!$B$2:$B$5,MATCH(cadangan[[#This Row],[Marketplace]],Helper!$A$2:$A$5,0)),TEXT(cadangan[[#This Row],[No]],"0000"),"-",TEXT(cadangan[[#This Row],[Tanggal terjual]],"dd/mm/yy"))</f>
        <v>ORD-SP0356-26/04/23</v>
      </c>
      <c r="C357" s="39" t="s">
        <v>62</v>
      </c>
      <c r="D357" s="39" t="str">
        <f>IFERROR(INDEX(Katalog!$A$3:$A$12,MATCH(cadangan[[#This Row],[ItemID A]],Katalog!$C$3:$C$12,0)),"-")</f>
        <v>Pakaian Pria</v>
      </c>
      <c r="E357" s="39" t="str">
        <f>IFERROR(INDEX(Katalog!$B$3:$B$12,MATCH(cadangan[[#This Row],[ItemID A]],Katalog!$C$3:$C$12,0)),"-")</f>
        <v>Celana Pendek</v>
      </c>
      <c r="F357" s="50">
        <v>1</v>
      </c>
      <c r="G357" s="50">
        <v>1</v>
      </c>
      <c r="H357" s="73">
        <f>IFERROR(INDEX(Katalog!$D$3:$D$12,MATCH(cadangan[[#This Row],[ItemID A]],Katalog!$C$3:$C$12,0))*cadangan[[#This Row],[Qty A]],0)</f>
        <v>180000</v>
      </c>
      <c r="I357" s="73">
        <f>IFERROR(cadangan[[#This Row],[Harga Normal A]]-(cadangan[[#This Row],[Harga Normal A]]*cadangan[[#This Row],[Diskon]]),cadangan[[#This Row],[Harga Normal A]])</f>
        <v>144000</v>
      </c>
      <c r="J357" s="73">
        <f>INDEX(Katalog!$F$3:$F$12,MATCH(cadangan[[#This Row],[ItemID A]],Katalog!$C$3:$C$12,0))*cadangan[[#This Row],[Qty A]]</f>
        <v>70000</v>
      </c>
      <c r="K357" s="73">
        <f>IFERROR(cadangan[[#This Row],[Harga Diskon A]]-INDEX(Katalog!$E$3:$E$12,MATCH(cadangan[[#This Row],[ItemID A]],Katalog!$C$3:$C$12,0))*cadangan[[#This Row],[Qty A]],0)</f>
        <v>34000</v>
      </c>
      <c r="L357" s="39" t="s">
        <v>66</v>
      </c>
      <c r="M357" s="39" t="str">
        <f>IFERROR(INDEX(Katalog!$A$3:$A$12,MATCH(cadangan[[#This Row],[ItemID B]],Katalog!$C$3:$C$12,0)),"-")</f>
        <v>Sepatu Pria</v>
      </c>
      <c r="N357" s="39" t="str">
        <f>IFERROR(INDEX(Katalog!$B$3:$B$12,MATCH(cadangan[[#This Row],[ItemID B]],Katalog!$C$3:$C$12,0)),"-")</f>
        <v>Sandal Slip On</v>
      </c>
      <c r="O357" s="50">
        <v>1</v>
      </c>
      <c r="P357" s="50">
        <v>1</v>
      </c>
      <c r="Q357" s="73">
        <f>IFERROR(INDEX(Katalog!$D$3:$D$12,MATCH(cadangan[[#This Row],[ItemID B]],Katalog!$C$3:$C$12,0))*cadangan[[#This Row],[Qty B]],0)</f>
        <v>150000</v>
      </c>
      <c r="R357" s="73">
        <f>IFERROR(cadangan[[#This Row],[Harga Normal B]]-(cadangan[[#This Row],[Harga Normal B]]*cadangan[[#This Row],[Diskon]]),cadangan[[#This Row],[Harga Normal B]])</f>
        <v>120000</v>
      </c>
      <c r="S357" s="73">
        <f>IFERROR(INDEX(Katalog!$F$3:$F$12,MATCH(cadangan[[#This Row],[ItemID B]],Katalog!$C$3:$C$12,0))*cadangan[[#This Row],[Qty B]],0)</f>
        <v>60000</v>
      </c>
      <c r="T357" s="73">
        <f>IFERROR(cadangan[[#This Row],[Harga Diskon B]]-INDEX(Katalog!$E$3:$E$12,MATCH(cadangan[[#This Row],[ItemID B]],Katalog!$C$3:$C$12,0))*cadangan[[#This Row],[Qty B]],0)</f>
        <v>30000</v>
      </c>
      <c r="U357" s="39" t="s">
        <v>64</v>
      </c>
      <c r="V357" s="39" t="str">
        <f>IFERROR(INDEX(Katalog!$A$3:$A$12,MATCH(cadangan[[#This Row],[ItemID C]],Katalog!$C$3:$C$12,0)),"-")</f>
        <v>Pakaian Unisex</v>
      </c>
      <c r="W357" s="39" t="str">
        <f>IFERROR(INDEX(Katalog!$B$3:$B$12,MATCH(cadangan[[#This Row],[ItemID C]],Katalog!$C$3:$C$12,0)),"-")</f>
        <v>Jaket Hoodie</v>
      </c>
      <c r="X357" s="50">
        <v>1</v>
      </c>
      <c r="Y357" s="50">
        <v>4</v>
      </c>
      <c r="Z357" s="73">
        <f>IFERROR(INDEX(Katalog!$D$3:$D$12,MATCH(cadangan[[#This Row],[ItemID C]],Katalog!$C$3:$C$12,0))*cadangan[[#This Row],[Qty C]],0)</f>
        <v>350000</v>
      </c>
      <c r="AA357" s="73">
        <f>IFERROR(cadangan[[#This Row],[Harga Normal C]]-(cadangan[[#This Row],[Harga Normal C]]*cadangan[[#This Row],[Diskon]]),cadangan[[#This Row],[Harga Normal C]])</f>
        <v>280000</v>
      </c>
      <c r="AB357" s="73">
        <f>IFERROR(INDEX(Katalog!$F$3:$F$12,MATCH(cadangan[[#This Row],[ItemID C]],Katalog!$C$3:$C$12,0))*cadangan[[#This Row],[Qty C]],0)</f>
        <v>130000</v>
      </c>
      <c r="AC357" s="73">
        <f>IFERROR(cadangan[[#This Row],[Harga Diskon C]]-INDEX(Katalog!$E$3:$E$12,MATCH(cadangan[[#This Row],[ItemID C]],Katalog!$C$3:$C$12,0))*cadangan[[#This Row],[Qty C]],0)</f>
        <v>60000</v>
      </c>
      <c r="AD357" s="53">
        <f>cadangan[[#This Row],[Qty A]]+cadangan[[#This Row],[Qty B]]+cadangan[[#This Row],[Qty C]]</f>
        <v>3</v>
      </c>
      <c r="AE357" s="73">
        <f>cadangan[[#This Row],[Harga Normal A]]+cadangan[[#This Row],[Harga Normal B]]+cadangan[[#This Row],[Harga Normal C]]</f>
        <v>680000</v>
      </c>
      <c r="AF357" s="73">
        <f>cadangan[[#This Row],[Harga Diskon A]]+cadangan[[#This Row],[Harga Diskon B]]+cadangan[[#This Row],[Harga Diskon C]]</f>
        <v>544000</v>
      </c>
      <c r="AG357" s="73">
        <f>(cadangan[[#This Row],[Profit Normal A]]+cadangan[[#This Row],[Profit Normal B]]+cadangan[[#This Row],[Profit Normal C]])</f>
        <v>260000</v>
      </c>
      <c r="AH357" s="73">
        <f>cadangan[[#This Row],[Profit Diskon A]]+cadangan[[#This Row],[Profit Diskon B]]+cadangan[[#This Row],[Profit Diskon C]]</f>
        <v>124000</v>
      </c>
      <c r="AI357" s="23" t="s">
        <v>8</v>
      </c>
      <c r="AJ357" s="37">
        <f>IFERROR(INDEX('Kode Diskon'!$D$3:$D$9,MATCH(cadangan[[#This Row],[Kode diskon]],'Kode Diskon'!$C$3:$C$9,0)),"-")</f>
        <v>0.2</v>
      </c>
      <c r="AK357" s="23" t="s">
        <v>9</v>
      </c>
      <c r="AL357" s="23" t="s">
        <v>7</v>
      </c>
      <c r="AM357" s="23" t="s">
        <v>80</v>
      </c>
      <c r="AN357" s="55">
        <v>45042</v>
      </c>
      <c r="AO357" s="53">
        <f>DAY(cadangan[[#This Row],[Tanggal terjual]])</f>
        <v>26</v>
      </c>
      <c r="AP357" s="21" t="str">
        <f>TEXT(cadangan[[#This Row],[Tanggal terjual]],"dddd")</f>
        <v>Wednesday</v>
      </c>
      <c r="AQ357" s="23" t="str" cm="1">
        <f t="array" ref="AQ3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57" s="61">
        <f>AVERAGE(cadangan[[#This Row],[Rating A]],cadangan[[#This Row],[Rating B]],cadangan[[#This Row],[Rating C]])</f>
        <v>2</v>
      </c>
    </row>
    <row r="358" spans="1:44" x14ac:dyDescent="0.2">
      <c r="A358" s="20">
        <v>357</v>
      </c>
      <c r="B358" s="21" t="str">
        <f>_xlfn.CONCAT("ORD-",INDEX(Helper!$B$2:$B$5,MATCH(cadangan[[#This Row],[Marketplace]],Helper!$A$2:$A$5,0)),TEXT(cadangan[[#This Row],[No]],"0000"),"-",TEXT(cadangan[[#This Row],[Tanggal terjual]],"dd/mm/yy"))</f>
        <v>ORD-TK0357-03/04/23</v>
      </c>
      <c r="C358" s="39" t="s">
        <v>65</v>
      </c>
      <c r="D358" s="39" t="str">
        <f>IFERROR(INDEX(Katalog!$A$3:$A$12,MATCH(cadangan[[#This Row],[ItemID A]],Katalog!$C$3:$C$12,0)),"-")</f>
        <v>Sepatu Pria</v>
      </c>
      <c r="E358" s="39" t="str">
        <f>IFERROR(INDEX(Katalog!$B$3:$B$12,MATCH(cadangan[[#This Row],[ItemID A]],Katalog!$C$3:$C$12,0)),"-")</f>
        <v>Sneakers</v>
      </c>
      <c r="F358" s="50">
        <v>5</v>
      </c>
      <c r="G358" s="50">
        <v>1</v>
      </c>
      <c r="H358" s="73">
        <f>IFERROR(INDEX(Katalog!$D$3:$D$12,MATCH(cadangan[[#This Row],[ItemID A]],Katalog!$C$3:$C$12,0))*cadangan[[#This Row],[Qty A]],0)</f>
        <v>2500000</v>
      </c>
      <c r="I358" s="73">
        <f>IFERROR(cadangan[[#This Row],[Harga Normal A]]-(cadangan[[#This Row],[Harga Normal A]]*cadangan[[#This Row],[Diskon]]),cadangan[[#This Row],[Harga Normal A]])</f>
        <v>2250000</v>
      </c>
      <c r="J358" s="73">
        <f>INDEX(Katalog!$F$3:$F$12,MATCH(cadangan[[#This Row],[ItemID A]],Katalog!$C$3:$C$12,0))*cadangan[[#This Row],[Qty A]]</f>
        <v>1000000</v>
      </c>
      <c r="K358" s="73">
        <f>IFERROR(cadangan[[#This Row],[Harga Diskon A]]-INDEX(Katalog!$E$3:$E$12,MATCH(cadangan[[#This Row],[ItemID A]],Katalog!$C$3:$C$12,0))*cadangan[[#This Row],[Qty A]],0)</f>
        <v>750000</v>
      </c>
      <c r="L358" s="39" t="s">
        <v>58</v>
      </c>
      <c r="M358" s="39" t="str">
        <f>IFERROR(INDEX(Katalog!$A$3:$A$12,MATCH(cadangan[[#This Row],[ItemID B]],Katalog!$C$3:$C$12,0)),"-")</f>
        <v>Pakaian Wanita</v>
      </c>
      <c r="N358" s="39" t="str">
        <f>IFERROR(INDEX(Katalog!$B$3:$B$12,MATCH(cadangan[[#This Row],[ItemID B]],Katalog!$C$3:$C$12,0)),"-")</f>
        <v>Dress</v>
      </c>
      <c r="O358" s="50">
        <v>1</v>
      </c>
      <c r="P358" s="50">
        <v>1</v>
      </c>
      <c r="Q358" s="73">
        <f>IFERROR(INDEX(Katalog!$D$3:$D$12,MATCH(cadangan[[#This Row],[ItemID B]],Katalog!$C$3:$C$12,0))*cadangan[[#This Row],[Qty B]],0)</f>
        <v>300000</v>
      </c>
      <c r="R358" s="73">
        <f>IFERROR(cadangan[[#This Row],[Harga Normal B]]-(cadangan[[#This Row],[Harga Normal B]]*cadangan[[#This Row],[Diskon]]),cadangan[[#This Row],[Harga Normal B]])</f>
        <v>270000</v>
      </c>
      <c r="S358" s="73">
        <f>IFERROR(INDEX(Katalog!$F$3:$F$12,MATCH(cadangan[[#This Row],[ItemID B]],Katalog!$C$3:$C$12,0))*cadangan[[#This Row],[Qty B]],0)</f>
        <v>100000</v>
      </c>
      <c r="T358" s="73">
        <f>IFERROR(cadangan[[#This Row],[Harga Diskon B]]-INDEX(Katalog!$E$3:$E$12,MATCH(cadangan[[#This Row],[ItemID B]],Katalog!$C$3:$C$12,0))*cadangan[[#This Row],[Qty B]],0)</f>
        <v>70000</v>
      </c>
      <c r="V358" s="39" t="str">
        <f>IFERROR(INDEX(Katalog!$A$3:$A$12,MATCH(cadangan[[#This Row],[ItemID C]],Katalog!$C$3:$C$12,0)),"-")</f>
        <v>-</v>
      </c>
      <c r="W358" s="39" t="str">
        <f>IFERROR(INDEX(Katalog!$B$3:$B$12,MATCH(cadangan[[#This Row],[ItemID C]],Katalog!$C$3:$C$12,0)),"-")</f>
        <v>-</v>
      </c>
      <c r="Z358" s="73">
        <f>IFERROR(INDEX(Katalog!$D$3:$D$12,MATCH(cadangan[[#This Row],[ItemID C]],Katalog!$C$3:$C$12,0))*cadangan[[#This Row],[Qty C]],0)</f>
        <v>0</v>
      </c>
      <c r="AA358" s="73">
        <f>IFERROR(cadangan[[#This Row],[Harga Normal C]]-(cadangan[[#This Row],[Harga Normal C]]*cadangan[[#This Row],[Diskon]]),cadangan[[#This Row],[Harga Normal C]])</f>
        <v>0</v>
      </c>
      <c r="AB358" s="73">
        <f>IFERROR(INDEX(Katalog!$F$3:$F$12,MATCH(cadangan[[#This Row],[ItemID C]],Katalog!$C$3:$C$12,0))*cadangan[[#This Row],[Qty C]],0)</f>
        <v>0</v>
      </c>
      <c r="AC358" s="73">
        <f>IFERROR(cadangan[[#This Row],[Harga Diskon C]]-INDEX(Katalog!$E$3:$E$12,MATCH(cadangan[[#This Row],[ItemID C]],Katalog!$C$3:$C$12,0))*cadangan[[#This Row],[Qty C]],0)</f>
        <v>0</v>
      </c>
      <c r="AD358" s="53">
        <f>cadangan[[#This Row],[Qty A]]+cadangan[[#This Row],[Qty B]]+cadangan[[#This Row],[Qty C]]</f>
        <v>6</v>
      </c>
      <c r="AE358" s="73">
        <f>cadangan[[#This Row],[Harga Normal A]]+cadangan[[#This Row],[Harga Normal B]]+cadangan[[#This Row],[Harga Normal C]]</f>
        <v>2800000</v>
      </c>
      <c r="AF358" s="73">
        <f>cadangan[[#This Row],[Harga Diskon A]]+cadangan[[#This Row],[Harga Diskon B]]+cadangan[[#This Row],[Harga Diskon C]]</f>
        <v>2520000</v>
      </c>
      <c r="AG358" s="73">
        <f>(cadangan[[#This Row],[Profit Normal A]]+cadangan[[#This Row],[Profit Normal B]]+cadangan[[#This Row],[Profit Normal C]])</f>
        <v>1100000</v>
      </c>
      <c r="AH358" s="73">
        <f>cadangan[[#This Row],[Profit Diskon A]]+cadangan[[#This Row],[Profit Diskon B]]+cadangan[[#This Row],[Profit Diskon C]]</f>
        <v>820000</v>
      </c>
      <c r="AI358" s="23" t="s">
        <v>30</v>
      </c>
      <c r="AJ358" s="37">
        <f>IFERROR(INDEX('Kode Diskon'!$D$3:$D$9,MATCH(cadangan[[#This Row],[Kode diskon]],'Kode Diskon'!$C$3:$C$9,0)),"-")</f>
        <v>0.1</v>
      </c>
      <c r="AK358" s="23" t="s">
        <v>29</v>
      </c>
      <c r="AL358" s="23" t="s">
        <v>10</v>
      </c>
      <c r="AM358" s="23" t="s">
        <v>75</v>
      </c>
      <c r="AN358" s="55">
        <v>45019</v>
      </c>
      <c r="AO358" s="53">
        <f>DAY(cadangan[[#This Row],[Tanggal terjual]])</f>
        <v>3</v>
      </c>
      <c r="AP358" s="21" t="str">
        <f>TEXT(cadangan[[#This Row],[Tanggal terjual]],"dddd")</f>
        <v>Monday</v>
      </c>
      <c r="AQ358" s="23" t="str" cm="1">
        <f t="array" ref="AQ3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58" s="61">
        <f>AVERAGE(cadangan[[#This Row],[Rating A]],cadangan[[#This Row],[Rating B]],cadangan[[#This Row],[Rating C]])</f>
        <v>1</v>
      </c>
    </row>
    <row r="359" spans="1:44" x14ac:dyDescent="0.2">
      <c r="A359" s="20">
        <v>358</v>
      </c>
      <c r="B359" s="21" t="str">
        <f>_xlfn.CONCAT("ORD-",INDEX(Helper!$B$2:$B$5,MATCH(cadangan[[#This Row],[Marketplace]],Helper!$A$2:$A$5,0)),TEXT(cadangan[[#This Row],[No]],"0000"),"-",TEXT(cadangan[[#This Row],[Tanggal terjual]],"dd/mm/yy"))</f>
        <v>ORD-BB0358-01/04/23</v>
      </c>
      <c r="C359" s="39" t="s">
        <v>67</v>
      </c>
      <c r="D359" s="39" t="str">
        <f>IFERROR(INDEX(Katalog!$A$3:$A$12,MATCH(cadangan[[#This Row],[ItemID A]],Katalog!$C$3:$C$12,0)),"-")</f>
        <v>Sepatu Wanita</v>
      </c>
      <c r="E359" s="39" t="str">
        <f>IFERROR(INDEX(Katalog!$B$3:$B$12,MATCH(cadangan[[#This Row],[ItemID A]],Katalog!$C$3:$C$12,0)),"-")</f>
        <v>Flat Shoes</v>
      </c>
      <c r="F359" s="50">
        <v>1</v>
      </c>
      <c r="G359" s="50">
        <v>2</v>
      </c>
      <c r="H359" s="73">
        <f>IFERROR(INDEX(Katalog!$D$3:$D$12,MATCH(cadangan[[#This Row],[ItemID A]],Katalog!$C$3:$C$12,0))*cadangan[[#This Row],[Qty A]],0)</f>
        <v>250000</v>
      </c>
      <c r="I359" s="73">
        <f>IFERROR(cadangan[[#This Row],[Harga Normal A]]-(cadangan[[#This Row],[Harga Normal A]]*cadangan[[#This Row],[Diskon]]),cadangan[[#This Row],[Harga Normal A]])</f>
        <v>212500</v>
      </c>
      <c r="J359" s="73">
        <f>INDEX(Katalog!$F$3:$F$12,MATCH(cadangan[[#This Row],[ItemID A]],Katalog!$C$3:$C$12,0))*cadangan[[#This Row],[Qty A]]</f>
        <v>100000</v>
      </c>
      <c r="K359" s="73">
        <f>IFERROR(cadangan[[#This Row],[Harga Diskon A]]-INDEX(Katalog!$E$3:$E$12,MATCH(cadangan[[#This Row],[ItemID A]],Katalog!$C$3:$C$12,0))*cadangan[[#This Row],[Qty A]],0)</f>
        <v>62500</v>
      </c>
      <c r="L359" s="39" t="s">
        <v>58</v>
      </c>
      <c r="M359" s="39" t="str">
        <f>IFERROR(INDEX(Katalog!$A$3:$A$12,MATCH(cadangan[[#This Row],[ItemID B]],Katalog!$C$3:$C$12,0)),"-")</f>
        <v>Pakaian Wanita</v>
      </c>
      <c r="N359" s="39" t="str">
        <f>IFERROR(INDEX(Katalog!$B$3:$B$12,MATCH(cadangan[[#This Row],[ItemID B]],Katalog!$C$3:$C$12,0)),"-")</f>
        <v>Dress</v>
      </c>
      <c r="O359" s="50">
        <v>1</v>
      </c>
      <c r="P359" s="50">
        <v>1</v>
      </c>
      <c r="Q359" s="73">
        <f>IFERROR(INDEX(Katalog!$D$3:$D$12,MATCH(cadangan[[#This Row],[ItemID B]],Katalog!$C$3:$C$12,0))*cadangan[[#This Row],[Qty B]],0)</f>
        <v>300000</v>
      </c>
      <c r="R359" s="73">
        <f>IFERROR(cadangan[[#This Row],[Harga Normal B]]-(cadangan[[#This Row],[Harga Normal B]]*cadangan[[#This Row],[Diskon]]),cadangan[[#This Row],[Harga Normal B]])</f>
        <v>255000</v>
      </c>
      <c r="S359" s="73">
        <f>IFERROR(INDEX(Katalog!$F$3:$F$12,MATCH(cadangan[[#This Row],[ItemID B]],Katalog!$C$3:$C$12,0))*cadangan[[#This Row],[Qty B]],0)</f>
        <v>100000</v>
      </c>
      <c r="T359" s="73">
        <f>IFERROR(cadangan[[#This Row],[Harga Diskon B]]-INDEX(Katalog!$E$3:$E$12,MATCH(cadangan[[#This Row],[ItemID B]],Katalog!$C$3:$C$12,0))*cadangan[[#This Row],[Qty B]],0)</f>
        <v>55000</v>
      </c>
      <c r="U359" s="39" t="s">
        <v>60</v>
      </c>
      <c r="V359" s="39" t="str">
        <f>IFERROR(INDEX(Katalog!$A$3:$A$12,MATCH(cadangan[[#This Row],[ItemID C]],Katalog!$C$3:$C$12,0)),"-")</f>
        <v>Pakaian Wanita</v>
      </c>
      <c r="W359" s="39" t="str">
        <f>IFERROR(INDEX(Katalog!$B$3:$B$12,MATCH(cadangan[[#This Row],[ItemID C]],Katalog!$C$3:$C$12,0)),"-")</f>
        <v>Kaftan</v>
      </c>
      <c r="X359" s="50">
        <v>2</v>
      </c>
      <c r="Y359" s="50">
        <v>3</v>
      </c>
      <c r="Z359" s="73">
        <f>IFERROR(INDEX(Katalog!$D$3:$D$12,MATCH(cadangan[[#This Row],[ItemID C]],Katalog!$C$3:$C$12,0))*cadangan[[#This Row],[Qty C]],0)</f>
        <v>500000</v>
      </c>
      <c r="AA359" s="73">
        <f>IFERROR(cadangan[[#This Row],[Harga Normal C]]-(cadangan[[#This Row],[Harga Normal C]]*cadangan[[#This Row],[Diskon]]),cadangan[[#This Row],[Harga Normal C]])</f>
        <v>425000</v>
      </c>
      <c r="AB359" s="73">
        <f>IFERROR(INDEX(Katalog!$F$3:$F$12,MATCH(cadangan[[#This Row],[ItemID C]],Katalog!$C$3:$C$12,0))*cadangan[[#This Row],[Qty C]],0)</f>
        <v>200000</v>
      </c>
      <c r="AC359" s="73">
        <f>IFERROR(cadangan[[#This Row],[Harga Diskon C]]-INDEX(Katalog!$E$3:$E$12,MATCH(cadangan[[#This Row],[ItemID C]],Katalog!$C$3:$C$12,0))*cadangan[[#This Row],[Qty C]],0)</f>
        <v>125000</v>
      </c>
      <c r="AD359" s="53">
        <f>cadangan[[#This Row],[Qty A]]+cadangan[[#This Row],[Qty B]]+cadangan[[#This Row],[Qty C]]</f>
        <v>4</v>
      </c>
      <c r="AE359" s="73">
        <f>cadangan[[#This Row],[Harga Normal A]]+cadangan[[#This Row],[Harga Normal B]]+cadangan[[#This Row],[Harga Normal C]]</f>
        <v>1050000</v>
      </c>
      <c r="AF359" s="73">
        <f>cadangan[[#This Row],[Harga Diskon A]]+cadangan[[#This Row],[Harga Diskon B]]+cadangan[[#This Row],[Harga Diskon C]]</f>
        <v>892500</v>
      </c>
      <c r="AG359" s="73">
        <f>(cadangan[[#This Row],[Profit Normal A]]+cadangan[[#This Row],[Profit Normal B]]+cadangan[[#This Row],[Profit Normal C]])</f>
        <v>400000</v>
      </c>
      <c r="AH359" s="73">
        <f>cadangan[[#This Row],[Profit Diskon A]]+cadangan[[#This Row],[Profit Diskon B]]+cadangan[[#This Row],[Profit Diskon C]]</f>
        <v>242500</v>
      </c>
      <c r="AI359" s="23" t="s">
        <v>28</v>
      </c>
      <c r="AJ359" s="37">
        <f>IFERROR(INDEX('Kode Diskon'!$D$3:$D$9,MATCH(cadangan[[#This Row],[Kode diskon]],'Kode Diskon'!$C$3:$C$9,0)),"-")</f>
        <v>0.15</v>
      </c>
      <c r="AK359" s="23" t="s">
        <v>29</v>
      </c>
      <c r="AL359" s="23" t="s">
        <v>14</v>
      </c>
      <c r="AM359" s="23" t="s">
        <v>76</v>
      </c>
      <c r="AN359" s="55">
        <v>45017</v>
      </c>
      <c r="AO359" s="53">
        <f>DAY(cadangan[[#This Row],[Tanggal terjual]])</f>
        <v>1</v>
      </c>
      <c r="AP359" s="21" t="str">
        <f>TEXT(cadangan[[#This Row],[Tanggal terjual]],"dddd")</f>
        <v>Saturday</v>
      </c>
      <c r="AQ359" s="23" t="str" cm="1">
        <f t="array" ref="AQ3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59" s="61">
        <f>AVERAGE(cadangan[[#This Row],[Rating A]],cadangan[[#This Row],[Rating B]],cadangan[[#This Row],[Rating C]])</f>
        <v>2</v>
      </c>
    </row>
    <row r="360" spans="1:44" x14ac:dyDescent="0.2">
      <c r="A360" s="20">
        <v>359</v>
      </c>
      <c r="B360" s="21" t="str">
        <f>_xlfn.CONCAT("ORD-",INDEX(Helper!$B$2:$B$5,MATCH(cadangan[[#This Row],[Marketplace]],Helper!$A$2:$A$5,0)),TEXT(cadangan[[#This Row],[No]],"0000"),"-",TEXT(cadangan[[#This Row],[Tanggal terjual]],"dd/mm/yy"))</f>
        <v>ORD-BB0359-02/04/23</v>
      </c>
      <c r="C360" s="39" t="s">
        <v>61</v>
      </c>
      <c r="D360" s="39" t="str">
        <f>IFERROR(INDEX(Katalog!$A$3:$A$12,MATCH(cadangan[[#This Row],[ItemID A]],Katalog!$C$3:$C$12,0)),"-")</f>
        <v>Pakaian Pria</v>
      </c>
      <c r="E360" s="39" t="str">
        <f>IFERROR(INDEX(Katalog!$B$3:$B$12,MATCH(cadangan[[#This Row],[ItemID A]],Katalog!$C$3:$C$12,0)),"-")</f>
        <v>Kaos Polo</v>
      </c>
      <c r="F360" s="50">
        <v>1</v>
      </c>
      <c r="G360" s="50">
        <v>3</v>
      </c>
      <c r="H360" s="73">
        <f>IFERROR(INDEX(Katalog!$D$3:$D$12,MATCH(cadangan[[#This Row],[ItemID A]],Katalog!$C$3:$C$12,0))*cadangan[[#This Row],[Qty A]],0)</f>
        <v>200000</v>
      </c>
      <c r="I360" s="73">
        <f>IFERROR(cadangan[[#This Row],[Harga Normal A]]-(cadangan[[#This Row],[Harga Normal A]]*cadangan[[#This Row],[Diskon]]),cadangan[[#This Row],[Harga Normal A]])</f>
        <v>170000</v>
      </c>
      <c r="J360" s="73">
        <f>INDEX(Katalog!$F$3:$F$12,MATCH(cadangan[[#This Row],[ItemID A]],Katalog!$C$3:$C$12,0))*cadangan[[#This Row],[Qty A]]</f>
        <v>80000</v>
      </c>
      <c r="K360" s="73">
        <f>IFERROR(cadangan[[#This Row],[Harga Diskon A]]-INDEX(Katalog!$E$3:$E$12,MATCH(cadangan[[#This Row],[ItemID A]],Katalog!$C$3:$C$12,0))*cadangan[[#This Row],[Qty A]],0)</f>
        <v>50000</v>
      </c>
      <c r="M360" s="39" t="str">
        <f>IFERROR(INDEX(Katalog!$A$3:$A$12,MATCH(cadangan[[#This Row],[ItemID B]],Katalog!$C$3:$C$12,0)),"-")</f>
        <v>-</v>
      </c>
      <c r="N360" s="39" t="str">
        <f>IFERROR(INDEX(Katalog!$B$3:$B$12,MATCH(cadangan[[#This Row],[ItemID B]],Katalog!$C$3:$C$12,0)),"-")</f>
        <v>-</v>
      </c>
      <c r="Q360" s="73">
        <f>IFERROR(INDEX(Katalog!$D$3:$D$12,MATCH(cadangan[[#This Row],[ItemID B]],Katalog!$C$3:$C$12,0))*cadangan[[#This Row],[Qty B]],0)</f>
        <v>0</v>
      </c>
      <c r="R360" s="73">
        <f>IFERROR(cadangan[[#This Row],[Harga Normal B]]-(cadangan[[#This Row],[Harga Normal B]]*cadangan[[#This Row],[Diskon]]),cadangan[[#This Row],[Harga Normal B]])</f>
        <v>0</v>
      </c>
      <c r="S360" s="73">
        <f>IFERROR(INDEX(Katalog!$F$3:$F$12,MATCH(cadangan[[#This Row],[ItemID B]],Katalog!$C$3:$C$12,0))*cadangan[[#This Row],[Qty B]],0)</f>
        <v>0</v>
      </c>
      <c r="T360" s="73">
        <f>IFERROR(cadangan[[#This Row],[Harga Diskon B]]-INDEX(Katalog!$E$3:$E$12,MATCH(cadangan[[#This Row],[ItemID B]],Katalog!$C$3:$C$12,0))*cadangan[[#This Row],[Qty B]],0)</f>
        <v>0</v>
      </c>
      <c r="V360" s="39" t="str">
        <f>IFERROR(INDEX(Katalog!$A$3:$A$12,MATCH(cadangan[[#This Row],[ItemID C]],Katalog!$C$3:$C$12,0)),"-")</f>
        <v>-</v>
      </c>
      <c r="W360" s="39" t="str">
        <f>IFERROR(INDEX(Katalog!$B$3:$B$12,MATCH(cadangan[[#This Row],[ItemID C]],Katalog!$C$3:$C$12,0)),"-")</f>
        <v>-</v>
      </c>
      <c r="Z360" s="73">
        <f>IFERROR(INDEX(Katalog!$D$3:$D$12,MATCH(cadangan[[#This Row],[ItemID C]],Katalog!$C$3:$C$12,0))*cadangan[[#This Row],[Qty C]],0)</f>
        <v>0</v>
      </c>
      <c r="AA360" s="73">
        <f>IFERROR(cadangan[[#This Row],[Harga Normal C]]-(cadangan[[#This Row],[Harga Normal C]]*cadangan[[#This Row],[Diskon]]),cadangan[[#This Row],[Harga Normal C]])</f>
        <v>0</v>
      </c>
      <c r="AB360" s="73">
        <f>IFERROR(INDEX(Katalog!$F$3:$F$12,MATCH(cadangan[[#This Row],[ItemID C]],Katalog!$C$3:$C$12,0))*cadangan[[#This Row],[Qty C]],0)</f>
        <v>0</v>
      </c>
      <c r="AC360" s="73">
        <f>IFERROR(cadangan[[#This Row],[Harga Diskon C]]-INDEX(Katalog!$E$3:$E$12,MATCH(cadangan[[#This Row],[ItemID C]],Katalog!$C$3:$C$12,0))*cadangan[[#This Row],[Qty C]],0)</f>
        <v>0</v>
      </c>
      <c r="AD360" s="53">
        <f>cadangan[[#This Row],[Qty A]]+cadangan[[#This Row],[Qty B]]+cadangan[[#This Row],[Qty C]]</f>
        <v>1</v>
      </c>
      <c r="AE360" s="73">
        <f>cadangan[[#This Row],[Harga Normal A]]+cadangan[[#This Row],[Harga Normal B]]+cadangan[[#This Row],[Harga Normal C]]</f>
        <v>200000</v>
      </c>
      <c r="AF360" s="73">
        <f>cadangan[[#This Row],[Harga Diskon A]]+cadangan[[#This Row],[Harga Diskon B]]+cadangan[[#This Row],[Harga Diskon C]]</f>
        <v>170000</v>
      </c>
      <c r="AG360" s="73">
        <f>(cadangan[[#This Row],[Profit Normal A]]+cadangan[[#This Row],[Profit Normal B]]+cadangan[[#This Row],[Profit Normal C]])</f>
        <v>80000</v>
      </c>
      <c r="AH360" s="73">
        <f>cadangan[[#This Row],[Profit Diskon A]]+cadangan[[#This Row],[Profit Diskon B]]+cadangan[[#This Row],[Profit Diskon C]]</f>
        <v>50000</v>
      </c>
      <c r="AI360" s="23" t="s">
        <v>28</v>
      </c>
      <c r="AJ360" s="37">
        <f>IFERROR(INDEX('Kode Diskon'!$D$3:$D$9,MATCH(cadangan[[#This Row],[Kode diskon]],'Kode Diskon'!$C$3:$C$9,0)),"-")</f>
        <v>0.15</v>
      </c>
      <c r="AK360" s="23" t="s">
        <v>29</v>
      </c>
      <c r="AL360" s="23" t="s">
        <v>14</v>
      </c>
      <c r="AM360" s="23" t="s">
        <v>78</v>
      </c>
      <c r="AN360" s="55">
        <v>45018</v>
      </c>
      <c r="AO360" s="53">
        <f>DAY(cadangan[[#This Row],[Tanggal terjual]])</f>
        <v>2</v>
      </c>
      <c r="AP360" s="21" t="str">
        <f>TEXT(cadangan[[#This Row],[Tanggal terjual]],"dddd")</f>
        <v>Sunday</v>
      </c>
      <c r="AQ360" s="23" t="str" cm="1">
        <f t="array" ref="AQ3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60" s="61">
        <f>AVERAGE(cadangan[[#This Row],[Rating A]],cadangan[[#This Row],[Rating B]],cadangan[[#This Row],[Rating C]])</f>
        <v>3</v>
      </c>
    </row>
    <row r="361" spans="1:44" x14ac:dyDescent="0.2">
      <c r="A361" s="20">
        <v>360</v>
      </c>
      <c r="B361" s="21" t="str">
        <f>_xlfn.CONCAT("ORD-",INDEX(Helper!$B$2:$B$5,MATCH(cadangan[[#This Row],[Marketplace]],Helper!$A$2:$A$5,0)),TEXT(cadangan[[#This Row],[No]],"0000"),"-",TEXT(cadangan[[#This Row],[Tanggal terjual]],"dd/mm/yy"))</f>
        <v>ORD-SP0360-05/04/23</v>
      </c>
      <c r="C361" s="39" t="s">
        <v>67</v>
      </c>
      <c r="D361" s="39" t="str">
        <f>IFERROR(INDEX(Katalog!$A$3:$A$12,MATCH(cadangan[[#This Row],[ItemID A]],Katalog!$C$3:$C$12,0)),"-")</f>
        <v>Sepatu Wanita</v>
      </c>
      <c r="E361" s="39" t="str">
        <f>IFERROR(INDEX(Katalog!$B$3:$B$12,MATCH(cadangan[[#This Row],[ItemID A]],Katalog!$C$3:$C$12,0)),"-")</f>
        <v>Flat Shoes</v>
      </c>
      <c r="F361" s="50">
        <v>4</v>
      </c>
      <c r="G361" s="50">
        <v>5</v>
      </c>
      <c r="H361" s="73">
        <f>IFERROR(INDEX(Katalog!$D$3:$D$12,MATCH(cadangan[[#This Row],[ItemID A]],Katalog!$C$3:$C$12,0))*cadangan[[#This Row],[Qty A]],0)</f>
        <v>1000000</v>
      </c>
      <c r="I361" s="73">
        <f>IFERROR(cadangan[[#This Row],[Harga Normal A]]-(cadangan[[#This Row],[Harga Normal A]]*cadangan[[#This Row],[Diskon]]),cadangan[[#This Row],[Harga Normal A]])</f>
        <v>900000</v>
      </c>
      <c r="J361" s="73">
        <f>INDEX(Katalog!$F$3:$F$12,MATCH(cadangan[[#This Row],[ItemID A]],Katalog!$C$3:$C$12,0))*cadangan[[#This Row],[Qty A]]</f>
        <v>400000</v>
      </c>
      <c r="K361" s="73">
        <f>IFERROR(cadangan[[#This Row],[Harga Diskon A]]-INDEX(Katalog!$E$3:$E$12,MATCH(cadangan[[#This Row],[ItemID A]],Katalog!$C$3:$C$12,0))*cadangan[[#This Row],[Qty A]],0)</f>
        <v>300000</v>
      </c>
      <c r="M361" s="39" t="str">
        <f>IFERROR(INDEX(Katalog!$A$3:$A$12,MATCH(cadangan[[#This Row],[ItemID B]],Katalog!$C$3:$C$12,0)),"-")</f>
        <v>-</v>
      </c>
      <c r="N361" s="39" t="str">
        <f>IFERROR(INDEX(Katalog!$B$3:$B$12,MATCH(cadangan[[#This Row],[ItemID B]],Katalog!$C$3:$C$12,0)),"-")</f>
        <v>-</v>
      </c>
      <c r="Q361" s="73">
        <f>IFERROR(INDEX(Katalog!$D$3:$D$12,MATCH(cadangan[[#This Row],[ItemID B]],Katalog!$C$3:$C$12,0))*cadangan[[#This Row],[Qty B]],0)</f>
        <v>0</v>
      </c>
      <c r="R361" s="73">
        <f>IFERROR(cadangan[[#This Row],[Harga Normal B]]-(cadangan[[#This Row],[Harga Normal B]]*cadangan[[#This Row],[Diskon]]),cadangan[[#This Row],[Harga Normal B]])</f>
        <v>0</v>
      </c>
      <c r="S361" s="73">
        <f>IFERROR(INDEX(Katalog!$F$3:$F$12,MATCH(cadangan[[#This Row],[ItemID B]],Katalog!$C$3:$C$12,0))*cadangan[[#This Row],[Qty B]],0)</f>
        <v>0</v>
      </c>
      <c r="T361" s="73">
        <f>IFERROR(cadangan[[#This Row],[Harga Diskon B]]-INDEX(Katalog!$E$3:$E$12,MATCH(cadangan[[#This Row],[ItemID B]],Katalog!$C$3:$C$12,0))*cadangan[[#This Row],[Qty B]],0)</f>
        <v>0</v>
      </c>
      <c r="V361" s="39" t="str">
        <f>IFERROR(INDEX(Katalog!$A$3:$A$12,MATCH(cadangan[[#This Row],[ItemID C]],Katalog!$C$3:$C$12,0)),"-")</f>
        <v>-</v>
      </c>
      <c r="W361" s="39" t="str">
        <f>IFERROR(INDEX(Katalog!$B$3:$B$12,MATCH(cadangan[[#This Row],[ItemID C]],Katalog!$C$3:$C$12,0)),"-")</f>
        <v>-</v>
      </c>
      <c r="Z361" s="73">
        <f>IFERROR(INDEX(Katalog!$D$3:$D$12,MATCH(cadangan[[#This Row],[ItemID C]],Katalog!$C$3:$C$12,0))*cadangan[[#This Row],[Qty C]],0)</f>
        <v>0</v>
      </c>
      <c r="AA361" s="73">
        <f>IFERROR(cadangan[[#This Row],[Harga Normal C]]-(cadangan[[#This Row],[Harga Normal C]]*cadangan[[#This Row],[Diskon]]),cadangan[[#This Row],[Harga Normal C]])</f>
        <v>0</v>
      </c>
      <c r="AB361" s="73">
        <f>IFERROR(INDEX(Katalog!$F$3:$F$12,MATCH(cadangan[[#This Row],[ItemID C]],Katalog!$C$3:$C$12,0))*cadangan[[#This Row],[Qty C]],0)</f>
        <v>0</v>
      </c>
      <c r="AC361" s="73">
        <f>IFERROR(cadangan[[#This Row],[Harga Diskon C]]-INDEX(Katalog!$E$3:$E$12,MATCH(cadangan[[#This Row],[ItemID C]],Katalog!$C$3:$C$12,0))*cadangan[[#This Row],[Qty C]],0)</f>
        <v>0</v>
      </c>
      <c r="AD361" s="53">
        <f>cadangan[[#This Row],[Qty A]]+cadangan[[#This Row],[Qty B]]+cadangan[[#This Row],[Qty C]]</f>
        <v>4</v>
      </c>
      <c r="AE361" s="73">
        <f>cadangan[[#This Row],[Harga Normal A]]+cadangan[[#This Row],[Harga Normal B]]+cadangan[[#This Row],[Harga Normal C]]</f>
        <v>1000000</v>
      </c>
      <c r="AF361" s="73">
        <f>cadangan[[#This Row],[Harga Diskon A]]+cadangan[[#This Row],[Harga Diskon B]]+cadangan[[#This Row],[Harga Diskon C]]</f>
        <v>900000</v>
      </c>
      <c r="AG361" s="73">
        <f>(cadangan[[#This Row],[Profit Normal A]]+cadangan[[#This Row],[Profit Normal B]]+cadangan[[#This Row],[Profit Normal C]])</f>
        <v>400000</v>
      </c>
      <c r="AH361" s="73">
        <f>cadangan[[#This Row],[Profit Diskon A]]+cadangan[[#This Row],[Profit Diskon B]]+cadangan[[#This Row],[Profit Diskon C]]</f>
        <v>300000</v>
      </c>
      <c r="AI361" s="23" t="s">
        <v>6</v>
      </c>
      <c r="AJ361" s="37">
        <f>IFERROR(INDEX('Kode Diskon'!$D$3:$D$9,MATCH(cadangan[[#This Row],[Kode diskon]],'Kode Diskon'!$C$3:$C$9,0)),"-")</f>
        <v>0.1</v>
      </c>
      <c r="AK361" s="23" t="s">
        <v>29</v>
      </c>
      <c r="AL361" s="23" t="s">
        <v>7</v>
      </c>
      <c r="AM361" s="23" t="s">
        <v>75</v>
      </c>
      <c r="AN361" s="55">
        <v>45021</v>
      </c>
      <c r="AO361" s="53">
        <f>DAY(cadangan[[#This Row],[Tanggal terjual]])</f>
        <v>5</v>
      </c>
      <c r="AP361" s="21" t="str">
        <f>TEXT(cadangan[[#This Row],[Tanggal terjual]],"dddd")</f>
        <v>Wednesday</v>
      </c>
      <c r="AQ361" s="23" t="str" cm="1">
        <f t="array" ref="AQ3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61" s="61">
        <f>AVERAGE(cadangan[[#This Row],[Rating A]],cadangan[[#This Row],[Rating B]],cadangan[[#This Row],[Rating C]])</f>
        <v>5</v>
      </c>
    </row>
    <row r="362" spans="1:44" x14ac:dyDescent="0.2">
      <c r="A362" s="20">
        <v>361</v>
      </c>
      <c r="B362" s="21" t="str">
        <f>_xlfn.CONCAT("ORD-",INDEX(Helper!$B$2:$B$5,MATCH(cadangan[[#This Row],[Marketplace]],Helper!$A$2:$A$5,0)),TEXT(cadangan[[#This Row],[No]],"0000"),"-",TEXT(cadangan[[#This Row],[Tanggal terjual]],"dd/mm/yy"))</f>
        <v>ORD-TK0361-23/04/23</v>
      </c>
      <c r="C362" s="39" t="s">
        <v>58</v>
      </c>
      <c r="D362" s="39" t="str">
        <f>IFERROR(INDEX(Katalog!$A$3:$A$12,MATCH(cadangan[[#This Row],[ItemID A]],Katalog!$C$3:$C$12,0)),"-")</f>
        <v>Pakaian Wanita</v>
      </c>
      <c r="E362" s="39" t="str">
        <f>IFERROR(INDEX(Katalog!$B$3:$B$12,MATCH(cadangan[[#This Row],[ItemID A]],Katalog!$C$3:$C$12,0)),"-")</f>
        <v>Dress</v>
      </c>
      <c r="F362" s="50">
        <v>2</v>
      </c>
      <c r="G362" s="50">
        <v>2</v>
      </c>
      <c r="H362" s="73">
        <f>IFERROR(INDEX(Katalog!$D$3:$D$12,MATCH(cadangan[[#This Row],[ItemID A]],Katalog!$C$3:$C$12,0))*cadangan[[#This Row],[Qty A]],0)</f>
        <v>600000</v>
      </c>
      <c r="I362" s="73">
        <f>IFERROR(cadangan[[#This Row],[Harga Normal A]]-(cadangan[[#This Row],[Harga Normal A]]*cadangan[[#This Row],[Diskon]]),cadangan[[#This Row],[Harga Normal A]])</f>
        <v>540000</v>
      </c>
      <c r="J362" s="73">
        <f>INDEX(Katalog!$F$3:$F$12,MATCH(cadangan[[#This Row],[ItemID A]],Katalog!$C$3:$C$12,0))*cadangan[[#This Row],[Qty A]]</f>
        <v>200000</v>
      </c>
      <c r="K362" s="73">
        <f>IFERROR(cadangan[[#This Row],[Harga Diskon A]]-INDEX(Katalog!$E$3:$E$12,MATCH(cadangan[[#This Row],[ItemID A]],Katalog!$C$3:$C$12,0))*cadangan[[#This Row],[Qty A]],0)</f>
        <v>140000</v>
      </c>
      <c r="L362" s="39" t="s">
        <v>63</v>
      </c>
      <c r="M362" s="39" t="str">
        <f>IFERROR(INDEX(Katalog!$A$3:$A$12,MATCH(cadangan[[#This Row],[ItemID B]],Katalog!$C$3:$C$12,0)),"-")</f>
        <v>Pakaian Pria</v>
      </c>
      <c r="N362" s="39" t="str">
        <f>IFERROR(INDEX(Katalog!$B$3:$B$12,MATCH(cadangan[[#This Row],[ItemID B]],Katalog!$C$3:$C$12,0)),"-")</f>
        <v>Jaket Jeans</v>
      </c>
      <c r="O362" s="50">
        <v>3</v>
      </c>
      <c r="P362" s="50">
        <v>2</v>
      </c>
      <c r="Q362" s="73">
        <f>IFERROR(INDEX(Katalog!$D$3:$D$12,MATCH(cadangan[[#This Row],[ItemID B]],Katalog!$C$3:$C$12,0))*cadangan[[#This Row],[Qty B]],0)</f>
        <v>1200000</v>
      </c>
      <c r="R362" s="73">
        <f>IFERROR(cadangan[[#This Row],[Harga Normal B]]-(cadangan[[#This Row],[Harga Normal B]]*cadangan[[#This Row],[Diskon]]),cadangan[[#This Row],[Harga Normal B]])</f>
        <v>1080000</v>
      </c>
      <c r="S362" s="73">
        <f>IFERROR(INDEX(Katalog!$F$3:$F$12,MATCH(cadangan[[#This Row],[ItemID B]],Katalog!$C$3:$C$12,0))*cadangan[[#This Row],[Qty B]],0)</f>
        <v>450000</v>
      </c>
      <c r="T362" s="73">
        <f>IFERROR(cadangan[[#This Row],[Harga Diskon B]]-INDEX(Katalog!$E$3:$E$12,MATCH(cadangan[[#This Row],[ItemID B]],Katalog!$C$3:$C$12,0))*cadangan[[#This Row],[Qty B]],0)</f>
        <v>330000</v>
      </c>
      <c r="V362" s="39" t="str">
        <f>IFERROR(INDEX(Katalog!$A$3:$A$12,MATCH(cadangan[[#This Row],[ItemID C]],Katalog!$C$3:$C$12,0)),"-")</f>
        <v>-</v>
      </c>
      <c r="W362" s="39" t="str">
        <f>IFERROR(INDEX(Katalog!$B$3:$B$12,MATCH(cadangan[[#This Row],[ItemID C]],Katalog!$C$3:$C$12,0)),"-")</f>
        <v>-</v>
      </c>
      <c r="Z362" s="73">
        <f>IFERROR(INDEX(Katalog!$D$3:$D$12,MATCH(cadangan[[#This Row],[ItemID C]],Katalog!$C$3:$C$12,0))*cadangan[[#This Row],[Qty C]],0)</f>
        <v>0</v>
      </c>
      <c r="AA362" s="73">
        <f>IFERROR(cadangan[[#This Row],[Harga Normal C]]-(cadangan[[#This Row],[Harga Normal C]]*cadangan[[#This Row],[Diskon]]),cadangan[[#This Row],[Harga Normal C]])</f>
        <v>0</v>
      </c>
      <c r="AB362" s="73">
        <f>IFERROR(INDEX(Katalog!$F$3:$F$12,MATCH(cadangan[[#This Row],[ItemID C]],Katalog!$C$3:$C$12,0))*cadangan[[#This Row],[Qty C]],0)</f>
        <v>0</v>
      </c>
      <c r="AC362" s="73">
        <f>IFERROR(cadangan[[#This Row],[Harga Diskon C]]-INDEX(Katalog!$E$3:$E$12,MATCH(cadangan[[#This Row],[ItemID C]],Katalog!$C$3:$C$12,0))*cadangan[[#This Row],[Qty C]],0)</f>
        <v>0</v>
      </c>
      <c r="AD362" s="53">
        <f>cadangan[[#This Row],[Qty A]]+cadangan[[#This Row],[Qty B]]+cadangan[[#This Row],[Qty C]]</f>
        <v>5</v>
      </c>
      <c r="AE362" s="73">
        <f>cadangan[[#This Row],[Harga Normal A]]+cadangan[[#This Row],[Harga Normal B]]+cadangan[[#This Row],[Harga Normal C]]</f>
        <v>1800000</v>
      </c>
      <c r="AF362" s="73">
        <f>cadangan[[#This Row],[Harga Diskon A]]+cadangan[[#This Row],[Harga Diskon B]]+cadangan[[#This Row],[Harga Diskon C]]</f>
        <v>1620000</v>
      </c>
      <c r="AG362" s="73">
        <f>(cadangan[[#This Row],[Profit Normal A]]+cadangan[[#This Row],[Profit Normal B]]+cadangan[[#This Row],[Profit Normal C]])</f>
        <v>650000</v>
      </c>
      <c r="AH362" s="73">
        <f>cadangan[[#This Row],[Profit Diskon A]]+cadangan[[#This Row],[Profit Diskon B]]+cadangan[[#This Row],[Profit Diskon C]]</f>
        <v>470000</v>
      </c>
      <c r="AI362" s="23" t="s">
        <v>31</v>
      </c>
      <c r="AJ362" s="37">
        <f>IFERROR(INDEX('Kode Diskon'!$D$3:$D$9,MATCH(cadangan[[#This Row],[Kode diskon]],'Kode Diskon'!$C$3:$C$9,0)),"-")</f>
        <v>0.1</v>
      </c>
      <c r="AK362" s="23" t="s">
        <v>9</v>
      </c>
      <c r="AL362" s="23" t="s">
        <v>10</v>
      </c>
      <c r="AM362" s="23" t="s">
        <v>80</v>
      </c>
      <c r="AN362" s="55">
        <v>45039</v>
      </c>
      <c r="AO362" s="53">
        <f>DAY(cadangan[[#This Row],[Tanggal terjual]])</f>
        <v>23</v>
      </c>
      <c r="AP362" s="21" t="str">
        <f>TEXT(cadangan[[#This Row],[Tanggal terjual]],"dddd")</f>
        <v>Sunday</v>
      </c>
      <c r="AQ362" s="23" t="str" cm="1">
        <f t="array" ref="AQ3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62" s="61">
        <f>AVERAGE(cadangan[[#This Row],[Rating A]],cadangan[[#This Row],[Rating B]],cadangan[[#This Row],[Rating C]])</f>
        <v>2</v>
      </c>
    </row>
    <row r="363" spans="1:44" x14ac:dyDescent="0.2">
      <c r="A363" s="20">
        <v>362</v>
      </c>
      <c r="B363" s="21" t="str">
        <f>_xlfn.CONCAT("ORD-",INDEX(Helper!$B$2:$B$5,MATCH(cadangan[[#This Row],[Marketplace]],Helper!$A$2:$A$5,0)),TEXT(cadangan[[#This Row],[No]],"0000"),"-",TEXT(cadangan[[#This Row],[Tanggal terjual]],"dd/mm/yy"))</f>
        <v>ORD-BL0362-17/04/23</v>
      </c>
      <c r="C363" s="39" t="s">
        <v>66</v>
      </c>
      <c r="D363" s="39" t="str">
        <f>IFERROR(INDEX(Katalog!$A$3:$A$12,MATCH(cadangan[[#This Row],[ItemID A]],Katalog!$C$3:$C$12,0)),"-")</f>
        <v>Sepatu Pria</v>
      </c>
      <c r="E363" s="39" t="str">
        <f>IFERROR(INDEX(Katalog!$B$3:$B$12,MATCH(cadangan[[#This Row],[ItemID A]],Katalog!$C$3:$C$12,0)),"-")</f>
        <v>Sandal Slip On</v>
      </c>
      <c r="F363" s="50">
        <v>3</v>
      </c>
      <c r="G363" s="50">
        <v>5</v>
      </c>
      <c r="H363" s="73">
        <f>IFERROR(INDEX(Katalog!$D$3:$D$12,MATCH(cadangan[[#This Row],[ItemID A]],Katalog!$C$3:$C$12,0))*cadangan[[#This Row],[Qty A]],0)</f>
        <v>450000</v>
      </c>
      <c r="I363" s="73">
        <f>IFERROR(cadangan[[#This Row],[Harga Normal A]]-(cadangan[[#This Row],[Harga Normal A]]*cadangan[[#This Row],[Diskon]]),cadangan[[#This Row],[Harga Normal A]])</f>
        <v>382500</v>
      </c>
      <c r="J363" s="73">
        <f>INDEX(Katalog!$F$3:$F$12,MATCH(cadangan[[#This Row],[ItemID A]],Katalog!$C$3:$C$12,0))*cadangan[[#This Row],[Qty A]]</f>
        <v>180000</v>
      </c>
      <c r="K363" s="73">
        <f>IFERROR(cadangan[[#This Row],[Harga Diskon A]]-INDEX(Katalog!$E$3:$E$12,MATCH(cadangan[[#This Row],[ItemID A]],Katalog!$C$3:$C$12,0))*cadangan[[#This Row],[Qty A]],0)</f>
        <v>112500</v>
      </c>
      <c r="L363" s="39" t="s">
        <v>60</v>
      </c>
      <c r="M363" s="39" t="str">
        <f>IFERROR(INDEX(Katalog!$A$3:$A$12,MATCH(cadangan[[#This Row],[ItemID B]],Katalog!$C$3:$C$12,0)),"-")</f>
        <v>Pakaian Wanita</v>
      </c>
      <c r="N363" s="39" t="str">
        <f>IFERROR(INDEX(Katalog!$B$3:$B$12,MATCH(cadangan[[#This Row],[ItemID B]],Katalog!$C$3:$C$12,0)),"-")</f>
        <v>Kaftan</v>
      </c>
      <c r="O363" s="50">
        <v>1</v>
      </c>
      <c r="P363" s="50">
        <v>5</v>
      </c>
      <c r="Q363" s="73">
        <f>IFERROR(INDEX(Katalog!$D$3:$D$12,MATCH(cadangan[[#This Row],[ItemID B]],Katalog!$C$3:$C$12,0))*cadangan[[#This Row],[Qty B]],0)</f>
        <v>250000</v>
      </c>
      <c r="R363" s="73">
        <f>IFERROR(cadangan[[#This Row],[Harga Normal B]]-(cadangan[[#This Row],[Harga Normal B]]*cadangan[[#This Row],[Diskon]]),cadangan[[#This Row],[Harga Normal B]])</f>
        <v>212500</v>
      </c>
      <c r="S363" s="73">
        <f>IFERROR(INDEX(Katalog!$F$3:$F$12,MATCH(cadangan[[#This Row],[ItemID B]],Katalog!$C$3:$C$12,0))*cadangan[[#This Row],[Qty B]],0)</f>
        <v>100000</v>
      </c>
      <c r="T363" s="73">
        <f>IFERROR(cadangan[[#This Row],[Harga Diskon B]]-INDEX(Katalog!$E$3:$E$12,MATCH(cadangan[[#This Row],[ItemID B]],Katalog!$C$3:$C$12,0))*cadangan[[#This Row],[Qty B]],0)</f>
        <v>62500</v>
      </c>
      <c r="V363" s="39" t="str">
        <f>IFERROR(INDEX(Katalog!$A$3:$A$12,MATCH(cadangan[[#This Row],[ItemID C]],Katalog!$C$3:$C$12,0)),"-")</f>
        <v>-</v>
      </c>
      <c r="W363" s="39" t="str">
        <f>IFERROR(INDEX(Katalog!$B$3:$B$12,MATCH(cadangan[[#This Row],[ItemID C]],Katalog!$C$3:$C$12,0)),"-")</f>
        <v>-</v>
      </c>
      <c r="Z363" s="73">
        <f>IFERROR(INDEX(Katalog!$D$3:$D$12,MATCH(cadangan[[#This Row],[ItemID C]],Katalog!$C$3:$C$12,0))*cadangan[[#This Row],[Qty C]],0)</f>
        <v>0</v>
      </c>
      <c r="AA363" s="73">
        <f>IFERROR(cadangan[[#This Row],[Harga Normal C]]-(cadangan[[#This Row],[Harga Normal C]]*cadangan[[#This Row],[Diskon]]),cadangan[[#This Row],[Harga Normal C]])</f>
        <v>0</v>
      </c>
      <c r="AB363" s="73">
        <f>IFERROR(INDEX(Katalog!$F$3:$F$12,MATCH(cadangan[[#This Row],[ItemID C]],Katalog!$C$3:$C$12,0))*cadangan[[#This Row],[Qty C]],0)</f>
        <v>0</v>
      </c>
      <c r="AC363" s="73">
        <f>IFERROR(cadangan[[#This Row],[Harga Diskon C]]-INDEX(Katalog!$E$3:$E$12,MATCH(cadangan[[#This Row],[ItemID C]],Katalog!$C$3:$C$12,0))*cadangan[[#This Row],[Qty C]],0)</f>
        <v>0</v>
      </c>
      <c r="AD363" s="53">
        <f>cadangan[[#This Row],[Qty A]]+cadangan[[#This Row],[Qty B]]+cadangan[[#This Row],[Qty C]]</f>
        <v>4</v>
      </c>
      <c r="AE363" s="73">
        <f>cadangan[[#This Row],[Harga Normal A]]+cadangan[[#This Row],[Harga Normal B]]+cadangan[[#This Row],[Harga Normal C]]</f>
        <v>700000</v>
      </c>
      <c r="AF363" s="73">
        <f>cadangan[[#This Row],[Harga Diskon A]]+cadangan[[#This Row],[Harga Diskon B]]+cadangan[[#This Row],[Harga Diskon C]]</f>
        <v>595000</v>
      </c>
      <c r="AG363" s="73">
        <f>(cadangan[[#This Row],[Profit Normal A]]+cadangan[[#This Row],[Profit Normal B]]+cadangan[[#This Row],[Profit Normal C]])</f>
        <v>280000</v>
      </c>
      <c r="AH363" s="73">
        <f>cadangan[[#This Row],[Profit Diskon A]]+cadangan[[#This Row],[Profit Diskon B]]+cadangan[[#This Row],[Profit Diskon C]]</f>
        <v>175000</v>
      </c>
      <c r="AI363" s="23" t="s">
        <v>32</v>
      </c>
      <c r="AJ363" s="37">
        <f>IFERROR(INDEX('Kode Diskon'!$D$3:$D$9,MATCH(cadangan[[#This Row],[Kode diskon]],'Kode Diskon'!$C$3:$C$9,0)),"-")</f>
        <v>0.15</v>
      </c>
      <c r="AK363" s="23" t="s">
        <v>9</v>
      </c>
      <c r="AL363" s="23" t="s">
        <v>12</v>
      </c>
      <c r="AM363" s="23" t="s">
        <v>79</v>
      </c>
      <c r="AN363" s="55">
        <v>45033</v>
      </c>
      <c r="AO363" s="53">
        <f>DAY(cadangan[[#This Row],[Tanggal terjual]])</f>
        <v>17</v>
      </c>
      <c r="AP363" s="21" t="str">
        <f>TEXT(cadangan[[#This Row],[Tanggal terjual]],"dddd")</f>
        <v>Monday</v>
      </c>
      <c r="AQ363" s="23" t="str" cm="1">
        <f t="array" ref="AQ3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63" s="61">
        <f>AVERAGE(cadangan[[#This Row],[Rating A]],cadangan[[#This Row],[Rating B]],cadangan[[#This Row],[Rating C]])</f>
        <v>5</v>
      </c>
    </row>
    <row r="364" spans="1:44" x14ac:dyDescent="0.2">
      <c r="A364" s="20">
        <v>363</v>
      </c>
      <c r="B364" s="21" t="str">
        <f>_xlfn.CONCAT("ORD-",INDEX(Helper!$B$2:$B$5,MATCH(cadangan[[#This Row],[Marketplace]],Helper!$A$2:$A$5,0)),TEXT(cadangan[[#This Row],[No]],"0000"),"-",TEXT(cadangan[[#This Row],[Tanggal terjual]],"dd/mm/yy"))</f>
        <v>ORD-TK0363-07/04/23</v>
      </c>
      <c r="C364" s="39" t="s">
        <v>62</v>
      </c>
      <c r="D364" s="39" t="str">
        <f>IFERROR(INDEX(Katalog!$A$3:$A$12,MATCH(cadangan[[#This Row],[ItemID A]],Katalog!$C$3:$C$12,0)),"-")</f>
        <v>Pakaian Pria</v>
      </c>
      <c r="E364" s="39" t="str">
        <f>IFERROR(INDEX(Katalog!$B$3:$B$12,MATCH(cadangan[[#This Row],[ItemID A]],Katalog!$C$3:$C$12,0)),"-")</f>
        <v>Celana Pendek</v>
      </c>
      <c r="F364" s="50">
        <v>1</v>
      </c>
      <c r="G364" s="50">
        <v>5</v>
      </c>
      <c r="H364" s="73">
        <f>IFERROR(INDEX(Katalog!$D$3:$D$12,MATCH(cadangan[[#This Row],[ItemID A]],Katalog!$C$3:$C$12,0))*cadangan[[#This Row],[Qty A]],0)</f>
        <v>180000</v>
      </c>
      <c r="I364" s="73">
        <f>IFERROR(cadangan[[#This Row],[Harga Normal A]]-(cadangan[[#This Row],[Harga Normal A]]*cadangan[[#This Row],[Diskon]]),cadangan[[#This Row],[Harga Normal A]])</f>
        <v>180000</v>
      </c>
      <c r="J364" s="73">
        <f>INDEX(Katalog!$F$3:$F$12,MATCH(cadangan[[#This Row],[ItemID A]],Katalog!$C$3:$C$12,0))*cadangan[[#This Row],[Qty A]]</f>
        <v>70000</v>
      </c>
      <c r="K364" s="73">
        <f>IFERROR(cadangan[[#This Row],[Harga Diskon A]]-INDEX(Katalog!$E$3:$E$12,MATCH(cadangan[[#This Row],[ItemID A]],Katalog!$C$3:$C$12,0))*cadangan[[#This Row],[Qty A]],0)</f>
        <v>70000</v>
      </c>
      <c r="L364" s="39" t="s">
        <v>58</v>
      </c>
      <c r="M364" s="39" t="str">
        <f>IFERROR(INDEX(Katalog!$A$3:$A$12,MATCH(cadangan[[#This Row],[ItemID B]],Katalog!$C$3:$C$12,0)),"-")</f>
        <v>Pakaian Wanita</v>
      </c>
      <c r="N364" s="39" t="str">
        <f>IFERROR(INDEX(Katalog!$B$3:$B$12,MATCH(cadangan[[#This Row],[ItemID B]],Katalog!$C$3:$C$12,0)),"-")</f>
        <v>Dress</v>
      </c>
      <c r="O364" s="50">
        <v>2</v>
      </c>
      <c r="P364" s="50">
        <v>5</v>
      </c>
      <c r="Q364" s="73">
        <f>IFERROR(INDEX(Katalog!$D$3:$D$12,MATCH(cadangan[[#This Row],[ItemID B]],Katalog!$C$3:$C$12,0))*cadangan[[#This Row],[Qty B]],0)</f>
        <v>600000</v>
      </c>
      <c r="R364" s="73">
        <f>IFERROR(cadangan[[#This Row],[Harga Normal B]]-(cadangan[[#This Row],[Harga Normal B]]*cadangan[[#This Row],[Diskon]]),cadangan[[#This Row],[Harga Normal B]])</f>
        <v>600000</v>
      </c>
      <c r="S364" s="73">
        <f>IFERROR(INDEX(Katalog!$F$3:$F$12,MATCH(cadangan[[#This Row],[ItemID B]],Katalog!$C$3:$C$12,0))*cadangan[[#This Row],[Qty B]],0)</f>
        <v>200000</v>
      </c>
      <c r="T364" s="73">
        <f>IFERROR(cadangan[[#This Row],[Harga Diskon B]]-INDEX(Katalog!$E$3:$E$12,MATCH(cadangan[[#This Row],[ItemID B]],Katalog!$C$3:$C$12,0))*cadangan[[#This Row],[Qty B]],0)</f>
        <v>200000</v>
      </c>
      <c r="V364" s="39" t="str">
        <f>IFERROR(INDEX(Katalog!$A$3:$A$12,MATCH(cadangan[[#This Row],[ItemID C]],Katalog!$C$3:$C$12,0)),"-")</f>
        <v>-</v>
      </c>
      <c r="W364" s="39" t="str">
        <f>IFERROR(INDEX(Katalog!$B$3:$B$12,MATCH(cadangan[[#This Row],[ItemID C]],Katalog!$C$3:$C$12,0)),"-")</f>
        <v>-</v>
      </c>
      <c r="Z364" s="73">
        <f>IFERROR(INDEX(Katalog!$D$3:$D$12,MATCH(cadangan[[#This Row],[ItemID C]],Katalog!$C$3:$C$12,0))*cadangan[[#This Row],[Qty C]],0)</f>
        <v>0</v>
      </c>
      <c r="AA364" s="73">
        <f>IFERROR(cadangan[[#This Row],[Harga Normal C]]-(cadangan[[#This Row],[Harga Normal C]]*cadangan[[#This Row],[Diskon]]),cadangan[[#This Row],[Harga Normal C]])</f>
        <v>0</v>
      </c>
      <c r="AB364" s="73">
        <f>IFERROR(INDEX(Katalog!$F$3:$F$12,MATCH(cadangan[[#This Row],[ItemID C]],Katalog!$C$3:$C$12,0))*cadangan[[#This Row],[Qty C]],0)</f>
        <v>0</v>
      </c>
      <c r="AC364" s="73">
        <f>IFERROR(cadangan[[#This Row],[Harga Diskon C]]-INDEX(Katalog!$E$3:$E$12,MATCH(cadangan[[#This Row],[ItemID C]],Katalog!$C$3:$C$12,0))*cadangan[[#This Row],[Qty C]],0)</f>
        <v>0</v>
      </c>
      <c r="AD364" s="53">
        <f>cadangan[[#This Row],[Qty A]]+cadangan[[#This Row],[Qty B]]+cadangan[[#This Row],[Qty C]]</f>
        <v>3</v>
      </c>
      <c r="AE364" s="73">
        <f>cadangan[[#This Row],[Harga Normal A]]+cadangan[[#This Row],[Harga Normal B]]+cadangan[[#This Row],[Harga Normal C]]</f>
        <v>780000</v>
      </c>
      <c r="AF364" s="73">
        <f>cadangan[[#This Row],[Harga Diskon A]]+cadangan[[#This Row],[Harga Diskon B]]+cadangan[[#This Row],[Harga Diskon C]]</f>
        <v>780000</v>
      </c>
      <c r="AG364" s="73">
        <f>(cadangan[[#This Row],[Profit Normal A]]+cadangan[[#This Row],[Profit Normal B]]+cadangan[[#This Row],[Profit Normal C]])</f>
        <v>270000</v>
      </c>
      <c r="AH364" s="73">
        <f>cadangan[[#This Row],[Profit Diskon A]]+cadangan[[#This Row],[Profit Diskon B]]+cadangan[[#This Row],[Profit Diskon C]]</f>
        <v>270000</v>
      </c>
      <c r="AI364" s="23" t="s">
        <v>290</v>
      </c>
      <c r="AJ364" s="37" t="str">
        <f>IFERROR(INDEX('Kode Diskon'!$D$3:$D$9,MATCH(cadangan[[#This Row],[Kode diskon]],'Kode Diskon'!$C$3:$C$9,0)),"-")</f>
        <v>-</v>
      </c>
      <c r="AK364" s="23" t="s">
        <v>290</v>
      </c>
      <c r="AL364" s="23" t="s">
        <v>10</v>
      </c>
      <c r="AM364" s="23" t="s">
        <v>77</v>
      </c>
      <c r="AN364" s="55">
        <v>45023</v>
      </c>
      <c r="AO364" s="53">
        <f>DAY(cadangan[[#This Row],[Tanggal terjual]])</f>
        <v>7</v>
      </c>
      <c r="AP364" s="21" t="str">
        <f>TEXT(cadangan[[#This Row],[Tanggal terjual]],"dddd")</f>
        <v>Friday</v>
      </c>
      <c r="AQ364" s="23" t="str" cm="1">
        <f t="array" ref="AQ3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64" s="61">
        <f>AVERAGE(cadangan[[#This Row],[Rating A]],cadangan[[#This Row],[Rating B]],cadangan[[#This Row],[Rating C]])</f>
        <v>5</v>
      </c>
    </row>
    <row r="365" spans="1:44" x14ac:dyDescent="0.2">
      <c r="A365" s="20">
        <v>364</v>
      </c>
      <c r="B365" s="21" t="str">
        <f>_xlfn.CONCAT("ORD-",INDEX(Helper!$B$2:$B$5,MATCH(cadangan[[#This Row],[Marketplace]],Helper!$A$2:$A$5,0)),TEXT(cadangan[[#This Row],[No]],"0000"),"-",TEXT(cadangan[[#This Row],[Tanggal terjual]],"dd/mm/yy"))</f>
        <v>ORD-SP0364-30/04/23</v>
      </c>
      <c r="C365" s="39" t="s">
        <v>61</v>
      </c>
      <c r="D365" s="39" t="str">
        <f>IFERROR(INDEX(Katalog!$A$3:$A$12,MATCH(cadangan[[#This Row],[ItemID A]],Katalog!$C$3:$C$12,0)),"-")</f>
        <v>Pakaian Pria</v>
      </c>
      <c r="E365" s="39" t="str">
        <f>IFERROR(INDEX(Katalog!$B$3:$B$12,MATCH(cadangan[[#This Row],[ItemID A]],Katalog!$C$3:$C$12,0)),"-")</f>
        <v>Kaos Polo</v>
      </c>
      <c r="F365" s="50">
        <v>3</v>
      </c>
      <c r="G365" s="50">
        <v>4</v>
      </c>
      <c r="H365" s="73">
        <f>IFERROR(INDEX(Katalog!$D$3:$D$12,MATCH(cadangan[[#This Row],[ItemID A]],Katalog!$C$3:$C$12,0))*cadangan[[#This Row],[Qty A]],0)</f>
        <v>600000</v>
      </c>
      <c r="I365" s="73">
        <f>IFERROR(cadangan[[#This Row],[Harga Normal A]]-(cadangan[[#This Row],[Harga Normal A]]*cadangan[[#This Row],[Diskon]]),cadangan[[#This Row],[Harga Normal A]])</f>
        <v>480000</v>
      </c>
      <c r="J365" s="73">
        <f>INDEX(Katalog!$F$3:$F$12,MATCH(cadangan[[#This Row],[ItemID A]],Katalog!$C$3:$C$12,0))*cadangan[[#This Row],[Qty A]]</f>
        <v>240000</v>
      </c>
      <c r="K365" s="73">
        <f>IFERROR(cadangan[[#This Row],[Harga Diskon A]]-INDEX(Katalog!$E$3:$E$12,MATCH(cadangan[[#This Row],[ItemID A]],Katalog!$C$3:$C$12,0))*cadangan[[#This Row],[Qty A]],0)</f>
        <v>120000</v>
      </c>
      <c r="M365" s="39" t="str">
        <f>IFERROR(INDEX(Katalog!$A$3:$A$12,MATCH(cadangan[[#This Row],[ItemID B]],Katalog!$C$3:$C$12,0)),"-")</f>
        <v>-</v>
      </c>
      <c r="N365" s="39" t="str">
        <f>IFERROR(INDEX(Katalog!$B$3:$B$12,MATCH(cadangan[[#This Row],[ItemID B]],Katalog!$C$3:$C$12,0)),"-")</f>
        <v>-</v>
      </c>
      <c r="Q365" s="73">
        <f>IFERROR(INDEX(Katalog!$D$3:$D$12,MATCH(cadangan[[#This Row],[ItemID B]],Katalog!$C$3:$C$12,0))*cadangan[[#This Row],[Qty B]],0)</f>
        <v>0</v>
      </c>
      <c r="R365" s="73">
        <f>IFERROR(cadangan[[#This Row],[Harga Normal B]]-(cadangan[[#This Row],[Harga Normal B]]*cadangan[[#This Row],[Diskon]]),cadangan[[#This Row],[Harga Normal B]])</f>
        <v>0</v>
      </c>
      <c r="S365" s="73">
        <f>IFERROR(INDEX(Katalog!$F$3:$F$12,MATCH(cadangan[[#This Row],[ItemID B]],Katalog!$C$3:$C$12,0))*cadangan[[#This Row],[Qty B]],0)</f>
        <v>0</v>
      </c>
      <c r="T365" s="73">
        <f>IFERROR(cadangan[[#This Row],[Harga Diskon B]]-INDEX(Katalog!$E$3:$E$12,MATCH(cadangan[[#This Row],[ItemID B]],Katalog!$C$3:$C$12,0))*cadangan[[#This Row],[Qty B]],0)</f>
        <v>0</v>
      </c>
      <c r="V365" s="39" t="str">
        <f>IFERROR(INDEX(Katalog!$A$3:$A$12,MATCH(cadangan[[#This Row],[ItemID C]],Katalog!$C$3:$C$12,0)),"-")</f>
        <v>-</v>
      </c>
      <c r="W365" s="39" t="str">
        <f>IFERROR(INDEX(Katalog!$B$3:$B$12,MATCH(cadangan[[#This Row],[ItemID C]],Katalog!$C$3:$C$12,0)),"-")</f>
        <v>-</v>
      </c>
      <c r="Z365" s="73">
        <f>IFERROR(INDEX(Katalog!$D$3:$D$12,MATCH(cadangan[[#This Row],[ItemID C]],Katalog!$C$3:$C$12,0))*cadangan[[#This Row],[Qty C]],0)</f>
        <v>0</v>
      </c>
      <c r="AA365" s="73">
        <f>IFERROR(cadangan[[#This Row],[Harga Normal C]]-(cadangan[[#This Row],[Harga Normal C]]*cadangan[[#This Row],[Diskon]]),cadangan[[#This Row],[Harga Normal C]])</f>
        <v>0</v>
      </c>
      <c r="AB365" s="73">
        <f>IFERROR(INDEX(Katalog!$F$3:$F$12,MATCH(cadangan[[#This Row],[ItemID C]],Katalog!$C$3:$C$12,0))*cadangan[[#This Row],[Qty C]],0)</f>
        <v>0</v>
      </c>
      <c r="AC365" s="73">
        <f>IFERROR(cadangan[[#This Row],[Harga Diskon C]]-INDEX(Katalog!$E$3:$E$12,MATCH(cadangan[[#This Row],[ItemID C]],Katalog!$C$3:$C$12,0))*cadangan[[#This Row],[Qty C]],0)</f>
        <v>0</v>
      </c>
      <c r="AD365" s="53">
        <f>cadangan[[#This Row],[Qty A]]+cadangan[[#This Row],[Qty B]]+cadangan[[#This Row],[Qty C]]</f>
        <v>3</v>
      </c>
      <c r="AE365" s="73">
        <f>cadangan[[#This Row],[Harga Normal A]]+cadangan[[#This Row],[Harga Normal B]]+cadangan[[#This Row],[Harga Normal C]]</f>
        <v>600000</v>
      </c>
      <c r="AF365" s="73">
        <f>cadangan[[#This Row],[Harga Diskon A]]+cadangan[[#This Row],[Harga Diskon B]]+cadangan[[#This Row],[Harga Diskon C]]</f>
        <v>480000</v>
      </c>
      <c r="AG365" s="73">
        <f>(cadangan[[#This Row],[Profit Normal A]]+cadangan[[#This Row],[Profit Normal B]]+cadangan[[#This Row],[Profit Normal C]])</f>
        <v>240000</v>
      </c>
      <c r="AH365" s="73">
        <f>cadangan[[#This Row],[Profit Diskon A]]+cadangan[[#This Row],[Profit Diskon B]]+cadangan[[#This Row],[Profit Diskon C]]</f>
        <v>120000</v>
      </c>
      <c r="AI365" s="23" t="s">
        <v>8</v>
      </c>
      <c r="AJ365" s="37">
        <f>IFERROR(INDEX('Kode Diskon'!$D$3:$D$9,MATCH(cadangan[[#This Row],[Kode diskon]],'Kode Diskon'!$C$3:$C$9,0)),"-")</f>
        <v>0.2</v>
      </c>
      <c r="AK365" s="23" t="s">
        <v>9</v>
      </c>
      <c r="AL365" s="23" t="s">
        <v>7</v>
      </c>
      <c r="AM365" s="23" t="s">
        <v>76</v>
      </c>
      <c r="AN365" s="55">
        <v>45046</v>
      </c>
      <c r="AO365" s="53">
        <f>DAY(cadangan[[#This Row],[Tanggal terjual]])</f>
        <v>30</v>
      </c>
      <c r="AP365" s="21" t="str">
        <f>TEXT(cadangan[[#This Row],[Tanggal terjual]],"dddd")</f>
        <v>Sunday</v>
      </c>
      <c r="AQ365" s="23" t="str" cm="1">
        <f t="array" ref="AQ3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65" s="61">
        <f>AVERAGE(cadangan[[#This Row],[Rating A]],cadangan[[#This Row],[Rating B]],cadangan[[#This Row],[Rating C]])</f>
        <v>4</v>
      </c>
    </row>
    <row r="366" spans="1:44" x14ac:dyDescent="0.2">
      <c r="A366" s="20">
        <v>365</v>
      </c>
      <c r="B366" s="21" t="str">
        <f>_xlfn.CONCAT("ORD-",INDEX(Helper!$B$2:$B$5,MATCH(cadangan[[#This Row],[Marketplace]],Helper!$A$2:$A$5,0)),TEXT(cadangan[[#This Row],[No]],"0000"),"-",TEXT(cadangan[[#This Row],[Tanggal terjual]],"dd/mm/yy"))</f>
        <v>ORD-SP0365-08/04/23</v>
      </c>
      <c r="C366" s="39" t="s">
        <v>59</v>
      </c>
      <c r="D366" s="39" t="str">
        <f>IFERROR(INDEX(Katalog!$A$3:$A$12,MATCH(cadangan[[#This Row],[ItemID A]],Katalog!$C$3:$C$12,0)),"-")</f>
        <v>Pakaian Wanita</v>
      </c>
      <c r="E366" s="39" t="str">
        <f>IFERROR(INDEX(Katalog!$B$3:$B$12,MATCH(cadangan[[#This Row],[ItemID A]],Katalog!$C$3:$C$12,0)),"-")</f>
        <v>Blouse</v>
      </c>
      <c r="F366" s="50">
        <v>2</v>
      </c>
      <c r="G366" s="50">
        <v>2</v>
      </c>
      <c r="H366" s="73">
        <f>IFERROR(INDEX(Katalog!$D$3:$D$12,MATCH(cadangan[[#This Row],[ItemID A]],Katalog!$C$3:$C$12,0))*cadangan[[#This Row],[Qty A]],0)</f>
        <v>300000</v>
      </c>
      <c r="I366" s="73">
        <f>IFERROR(cadangan[[#This Row],[Harga Normal A]]-(cadangan[[#This Row],[Harga Normal A]]*cadangan[[#This Row],[Diskon]]),cadangan[[#This Row],[Harga Normal A]])</f>
        <v>300000</v>
      </c>
      <c r="J366" s="73">
        <f>INDEX(Katalog!$F$3:$F$12,MATCH(cadangan[[#This Row],[ItemID A]],Katalog!$C$3:$C$12,0))*cadangan[[#This Row],[Qty A]]</f>
        <v>100000</v>
      </c>
      <c r="K366" s="73">
        <f>IFERROR(cadangan[[#This Row],[Harga Diskon A]]-INDEX(Katalog!$E$3:$E$12,MATCH(cadangan[[#This Row],[ItemID A]],Katalog!$C$3:$C$12,0))*cadangan[[#This Row],[Qty A]],0)</f>
        <v>100000</v>
      </c>
      <c r="L366" s="39" t="s">
        <v>58</v>
      </c>
      <c r="M366" s="39" t="str">
        <f>IFERROR(INDEX(Katalog!$A$3:$A$12,MATCH(cadangan[[#This Row],[ItemID B]],Katalog!$C$3:$C$12,0)),"-")</f>
        <v>Pakaian Wanita</v>
      </c>
      <c r="N366" s="39" t="str">
        <f>IFERROR(INDEX(Katalog!$B$3:$B$12,MATCH(cadangan[[#This Row],[ItemID B]],Katalog!$C$3:$C$12,0)),"-")</f>
        <v>Dress</v>
      </c>
      <c r="O366" s="50">
        <v>1</v>
      </c>
      <c r="P366" s="50">
        <v>1</v>
      </c>
      <c r="Q366" s="73">
        <f>IFERROR(INDEX(Katalog!$D$3:$D$12,MATCH(cadangan[[#This Row],[ItemID B]],Katalog!$C$3:$C$12,0))*cadangan[[#This Row],[Qty B]],0)</f>
        <v>300000</v>
      </c>
      <c r="R366" s="73">
        <f>IFERROR(cadangan[[#This Row],[Harga Normal B]]-(cadangan[[#This Row],[Harga Normal B]]*cadangan[[#This Row],[Diskon]]),cadangan[[#This Row],[Harga Normal B]])</f>
        <v>300000</v>
      </c>
      <c r="S366" s="73">
        <f>IFERROR(INDEX(Katalog!$F$3:$F$12,MATCH(cadangan[[#This Row],[ItemID B]],Katalog!$C$3:$C$12,0))*cadangan[[#This Row],[Qty B]],0)</f>
        <v>100000</v>
      </c>
      <c r="T366" s="73">
        <f>IFERROR(cadangan[[#This Row],[Harga Diskon B]]-INDEX(Katalog!$E$3:$E$12,MATCH(cadangan[[#This Row],[ItemID B]],Katalog!$C$3:$C$12,0))*cadangan[[#This Row],[Qty B]],0)</f>
        <v>100000</v>
      </c>
      <c r="V366" s="39" t="str">
        <f>IFERROR(INDEX(Katalog!$A$3:$A$12,MATCH(cadangan[[#This Row],[ItemID C]],Katalog!$C$3:$C$12,0)),"-")</f>
        <v>-</v>
      </c>
      <c r="W366" s="39" t="str">
        <f>IFERROR(INDEX(Katalog!$B$3:$B$12,MATCH(cadangan[[#This Row],[ItemID C]],Katalog!$C$3:$C$12,0)),"-")</f>
        <v>-</v>
      </c>
      <c r="Z366" s="73">
        <f>IFERROR(INDEX(Katalog!$D$3:$D$12,MATCH(cadangan[[#This Row],[ItemID C]],Katalog!$C$3:$C$12,0))*cadangan[[#This Row],[Qty C]],0)</f>
        <v>0</v>
      </c>
      <c r="AA366" s="73">
        <f>IFERROR(cadangan[[#This Row],[Harga Normal C]]-(cadangan[[#This Row],[Harga Normal C]]*cadangan[[#This Row],[Diskon]]),cadangan[[#This Row],[Harga Normal C]])</f>
        <v>0</v>
      </c>
      <c r="AB366" s="73">
        <f>IFERROR(INDEX(Katalog!$F$3:$F$12,MATCH(cadangan[[#This Row],[ItemID C]],Katalog!$C$3:$C$12,0))*cadangan[[#This Row],[Qty C]],0)</f>
        <v>0</v>
      </c>
      <c r="AC366" s="73">
        <f>IFERROR(cadangan[[#This Row],[Harga Diskon C]]-INDEX(Katalog!$E$3:$E$12,MATCH(cadangan[[#This Row],[ItemID C]],Katalog!$C$3:$C$12,0))*cadangan[[#This Row],[Qty C]],0)</f>
        <v>0</v>
      </c>
      <c r="AD366" s="53">
        <f>cadangan[[#This Row],[Qty A]]+cadangan[[#This Row],[Qty B]]+cadangan[[#This Row],[Qty C]]</f>
        <v>3</v>
      </c>
      <c r="AE366" s="73">
        <f>cadangan[[#This Row],[Harga Normal A]]+cadangan[[#This Row],[Harga Normal B]]+cadangan[[#This Row],[Harga Normal C]]</f>
        <v>600000</v>
      </c>
      <c r="AF366" s="73">
        <f>cadangan[[#This Row],[Harga Diskon A]]+cadangan[[#This Row],[Harga Diskon B]]+cadangan[[#This Row],[Harga Diskon C]]</f>
        <v>600000</v>
      </c>
      <c r="AG366" s="73">
        <f>(cadangan[[#This Row],[Profit Normal A]]+cadangan[[#This Row],[Profit Normal B]]+cadangan[[#This Row],[Profit Normal C]])</f>
        <v>200000</v>
      </c>
      <c r="AH366" s="73">
        <f>cadangan[[#This Row],[Profit Diskon A]]+cadangan[[#This Row],[Profit Diskon B]]+cadangan[[#This Row],[Profit Diskon C]]</f>
        <v>200000</v>
      </c>
      <c r="AI366" s="23" t="s">
        <v>290</v>
      </c>
      <c r="AJ366" s="37" t="str">
        <f>IFERROR(INDEX('Kode Diskon'!$D$3:$D$9,MATCH(cadangan[[#This Row],[Kode diskon]],'Kode Diskon'!$C$3:$C$9,0)),"-")</f>
        <v>-</v>
      </c>
      <c r="AK366" s="23" t="s">
        <v>290</v>
      </c>
      <c r="AL366" s="23" t="s">
        <v>7</v>
      </c>
      <c r="AM366" s="23" t="s">
        <v>77</v>
      </c>
      <c r="AN366" s="55">
        <v>45024</v>
      </c>
      <c r="AO366" s="53">
        <f>DAY(cadangan[[#This Row],[Tanggal terjual]])</f>
        <v>8</v>
      </c>
      <c r="AP366" s="21" t="str">
        <f>TEXT(cadangan[[#This Row],[Tanggal terjual]],"dddd")</f>
        <v>Saturday</v>
      </c>
      <c r="AQ366" s="23" t="str" cm="1">
        <f t="array" ref="AQ3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66" s="61">
        <f>AVERAGE(cadangan[[#This Row],[Rating A]],cadangan[[#This Row],[Rating B]],cadangan[[#This Row],[Rating C]])</f>
        <v>1.5</v>
      </c>
    </row>
    <row r="367" spans="1:44" x14ac:dyDescent="0.2">
      <c r="A367" s="20">
        <v>366</v>
      </c>
      <c r="B367" s="21" t="str">
        <f>_xlfn.CONCAT("ORD-",INDEX(Helper!$B$2:$B$5,MATCH(cadangan[[#This Row],[Marketplace]],Helper!$A$2:$A$5,0)),TEXT(cadangan[[#This Row],[No]],"0000"),"-",TEXT(cadangan[[#This Row],[Tanggal terjual]],"dd/mm/yy"))</f>
        <v>ORD-BL0366-16/04/23</v>
      </c>
      <c r="C367" s="39" t="s">
        <v>58</v>
      </c>
      <c r="D367" s="39" t="str">
        <f>IFERROR(INDEX(Katalog!$A$3:$A$12,MATCH(cadangan[[#This Row],[ItemID A]],Katalog!$C$3:$C$12,0)),"-")</f>
        <v>Pakaian Wanita</v>
      </c>
      <c r="E367" s="39" t="str">
        <f>IFERROR(INDEX(Katalog!$B$3:$B$12,MATCH(cadangan[[#This Row],[ItemID A]],Katalog!$C$3:$C$12,0)),"-")</f>
        <v>Dress</v>
      </c>
      <c r="F367" s="50">
        <v>1</v>
      </c>
      <c r="G367" s="50">
        <v>5</v>
      </c>
      <c r="H367" s="73">
        <f>IFERROR(INDEX(Katalog!$D$3:$D$12,MATCH(cadangan[[#This Row],[ItemID A]],Katalog!$C$3:$C$12,0))*cadangan[[#This Row],[Qty A]],0)</f>
        <v>300000</v>
      </c>
      <c r="I367" s="73">
        <f>IFERROR(cadangan[[#This Row],[Harga Normal A]]-(cadangan[[#This Row],[Harga Normal A]]*cadangan[[#This Row],[Diskon]]),cadangan[[#This Row],[Harga Normal A]])</f>
        <v>255000</v>
      </c>
      <c r="J367" s="73">
        <f>INDEX(Katalog!$F$3:$F$12,MATCH(cadangan[[#This Row],[ItemID A]],Katalog!$C$3:$C$12,0))*cadangan[[#This Row],[Qty A]]</f>
        <v>100000</v>
      </c>
      <c r="K367" s="73">
        <f>IFERROR(cadangan[[#This Row],[Harga Diskon A]]-INDEX(Katalog!$E$3:$E$12,MATCH(cadangan[[#This Row],[ItemID A]],Katalog!$C$3:$C$12,0))*cadangan[[#This Row],[Qty A]],0)</f>
        <v>55000</v>
      </c>
      <c r="L367" s="39" t="s">
        <v>62</v>
      </c>
      <c r="M367" s="39" t="str">
        <f>IFERROR(INDEX(Katalog!$A$3:$A$12,MATCH(cadangan[[#This Row],[ItemID B]],Katalog!$C$3:$C$12,0)),"-")</f>
        <v>Pakaian Pria</v>
      </c>
      <c r="N367" s="39" t="str">
        <f>IFERROR(INDEX(Katalog!$B$3:$B$12,MATCH(cadangan[[#This Row],[ItemID B]],Katalog!$C$3:$C$12,0)),"-")</f>
        <v>Celana Pendek</v>
      </c>
      <c r="O367" s="50">
        <v>4</v>
      </c>
      <c r="P367" s="50">
        <v>5</v>
      </c>
      <c r="Q367" s="73">
        <f>IFERROR(INDEX(Katalog!$D$3:$D$12,MATCH(cadangan[[#This Row],[ItemID B]],Katalog!$C$3:$C$12,0))*cadangan[[#This Row],[Qty B]],0)</f>
        <v>720000</v>
      </c>
      <c r="R367" s="73">
        <f>IFERROR(cadangan[[#This Row],[Harga Normal B]]-(cadangan[[#This Row],[Harga Normal B]]*cadangan[[#This Row],[Diskon]]),cadangan[[#This Row],[Harga Normal B]])</f>
        <v>612000</v>
      </c>
      <c r="S367" s="73">
        <f>IFERROR(INDEX(Katalog!$F$3:$F$12,MATCH(cadangan[[#This Row],[ItemID B]],Katalog!$C$3:$C$12,0))*cadangan[[#This Row],[Qty B]],0)</f>
        <v>280000</v>
      </c>
      <c r="T367" s="73">
        <f>IFERROR(cadangan[[#This Row],[Harga Diskon B]]-INDEX(Katalog!$E$3:$E$12,MATCH(cadangan[[#This Row],[ItemID B]],Katalog!$C$3:$C$12,0))*cadangan[[#This Row],[Qty B]],0)</f>
        <v>172000</v>
      </c>
      <c r="V367" s="39" t="str">
        <f>IFERROR(INDEX(Katalog!$A$3:$A$12,MATCH(cadangan[[#This Row],[ItemID C]],Katalog!$C$3:$C$12,0)),"-")</f>
        <v>-</v>
      </c>
      <c r="W367" s="39" t="str">
        <f>IFERROR(INDEX(Katalog!$B$3:$B$12,MATCH(cadangan[[#This Row],[ItemID C]],Katalog!$C$3:$C$12,0)),"-")</f>
        <v>-</v>
      </c>
      <c r="Z367" s="73">
        <f>IFERROR(INDEX(Katalog!$D$3:$D$12,MATCH(cadangan[[#This Row],[ItemID C]],Katalog!$C$3:$C$12,0))*cadangan[[#This Row],[Qty C]],0)</f>
        <v>0</v>
      </c>
      <c r="AA367" s="73">
        <f>IFERROR(cadangan[[#This Row],[Harga Normal C]]-(cadangan[[#This Row],[Harga Normal C]]*cadangan[[#This Row],[Diskon]]),cadangan[[#This Row],[Harga Normal C]])</f>
        <v>0</v>
      </c>
      <c r="AB367" s="73">
        <f>IFERROR(INDEX(Katalog!$F$3:$F$12,MATCH(cadangan[[#This Row],[ItemID C]],Katalog!$C$3:$C$12,0))*cadangan[[#This Row],[Qty C]],0)</f>
        <v>0</v>
      </c>
      <c r="AC367" s="73">
        <f>IFERROR(cadangan[[#This Row],[Harga Diskon C]]-INDEX(Katalog!$E$3:$E$12,MATCH(cadangan[[#This Row],[ItemID C]],Katalog!$C$3:$C$12,0))*cadangan[[#This Row],[Qty C]],0)</f>
        <v>0</v>
      </c>
      <c r="AD367" s="53">
        <f>cadangan[[#This Row],[Qty A]]+cadangan[[#This Row],[Qty B]]+cadangan[[#This Row],[Qty C]]</f>
        <v>5</v>
      </c>
      <c r="AE367" s="73">
        <f>cadangan[[#This Row],[Harga Normal A]]+cadangan[[#This Row],[Harga Normal B]]+cadangan[[#This Row],[Harga Normal C]]</f>
        <v>1020000</v>
      </c>
      <c r="AF367" s="73">
        <f>cadangan[[#This Row],[Harga Diskon A]]+cadangan[[#This Row],[Harga Diskon B]]+cadangan[[#This Row],[Harga Diskon C]]</f>
        <v>867000</v>
      </c>
      <c r="AG367" s="73">
        <f>(cadangan[[#This Row],[Profit Normal A]]+cadangan[[#This Row],[Profit Normal B]]+cadangan[[#This Row],[Profit Normal C]])</f>
        <v>380000</v>
      </c>
      <c r="AH367" s="73">
        <f>cadangan[[#This Row],[Profit Diskon A]]+cadangan[[#This Row],[Profit Diskon B]]+cadangan[[#This Row],[Profit Diskon C]]</f>
        <v>227000</v>
      </c>
      <c r="AI367" s="23" t="s">
        <v>32</v>
      </c>
      <c r="AJ367" s="37">
        <f>IFERROR(INDEX('Kode Diskon'!$D$3:$D$9,MATCH(cadangan[[#This Row],[Kode diskon]],'Kode Diskon'!$C$3:$C$9,0)),"-")</f>
        <v>0.15</v>
      </c>
      <c r="AK367" s="23" t="s">
        <v>9</v>
      </c>
      <c r="AL367" s="23" t="s">
        <v>12</v>
      </c>
      <c r="AM367" s="23" t="s">
        <v>80</v>
      </c>
      <c r="AN367" s="55">
        <v>45032</v>
      </c>
      <c r="AO367" s="53">
        <f>DAY(cadangan[[#This Row],[Tanggal terjual]])</f>
        <v>16</v>
      </c>
      <c r="AP367" s="21" t="str">
        <f>TEXT(cadangan[[#This Row],[Tanggal terjual]],"dddd")</f>
        <v>Sunday</v>
      </c>
      <c r="AQ367" s="23" t="str" cm="1">
        <f t="array" ref="AQ3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67" s="61">
        <f>AVERAGE(cadangan[[#This Row],[Rating A]],cadangan[[#This Row],[Rating B]],cadangan[[#This Row],[Rating C]])</f>
        <v>5</v>
      </c>
    </row>
    <row r="368" spans="1:44" x14ac:dyDescent="0.2">
      <c r="A368" s="20">
        <v>367</v>
      </c>
      <c r="B368" s="21" t="str">
        <f>_xlfn.CONCAT("ORD-",INDEX(Helper!$B$2:$B$5,MATCH(cadangan[[#This Row],[Marketplace]],Helper!$A$2:$A$5,0)),TEXT(cadangan[[#This Row],[No]],"0000"),"-",TEXT(cadangan[[#This Row],[Tanggal terjual]],"dd/mm/yy"))</f>
        <v>ORD-TK0367-12/04/23</v>
      </c>
      <c r="C368" s="39" t="s">
        <v>63</v>
      </c>
      <c r="D368" s="39" t="str">
        <f>IFERROR(INDEX(Katalog!$A$3:$A$12,MATCH(cadangan[[#This Row],[ItemID A]],Katalog!$C$3:$C$12,0)),"-")</f>
        <v>Pakaian Pria</v>
      </c>
      <c r="E368" s="39" t="str">
        <f>IFERROR(INDEX(Katalog!$B$3:$B$12,MATCH(cadangan[[#This Row],[ItemID A]],Katalog!$C$3:$C$12,0)),"-")</f>
        <v>Jaket Jeans</v>
      </c>
      <c r="F368" s="50">
        <v>4</v>
      </c>
      <c r="G368" s="50">
        <v>5</v>
      </c>
      <c r="H368" s="73">
        <f>IFERROR(INDEX(Katalog!$D$3:$D$12,MATCH(cadangan[[#This Row],[ItemID A]],Katalog!$C$3:$C$12,0))*cadangan[[#This Row],[Qty A]],0)</f>
        <v>1600000</v>
      </c>
      <c r="I368" s="73">
        <f>IFERROR(cadangan[[#This Row],[Harga Normal A]]-(cadangan[[#This Row],[Harga Normal A]]*cadangan[[#This Row],[Diskon]]),cadangan[[#This Row],[Harga Normal A]])</f>
        <v>1600000</v>
      </c>
      <c r="J368" s="73">
        <f>INDEX(Katalog!$F$3:$F$12,MATCH(cadangan[[#This Row],[ItemID A]],Katalog!$C$3:$C$12,0))*cadangan[[#This Row],[Qty A]]</f>
        <v>600000</v>
      </c>
      <c r="K368" s="73">
        <f>IFERROR(cadangan[[#This Row],[Harga Diskon A]]-INDEX(Katalog!$E$3:$E$12,MATCH(cadangan[[#This Row],[ItemID A]],Katalog!$C$3:$C$12,0))*cadangan[[#This Row],[Qty A]],0)</f>
        <v>600000</v>
      </c>
      <c r="L368" s="39" t="s">
        <v>66</v>
      </c>
      <c r="M368" s="39" t="str">
        <f>IFERROR(INDEX(Katalog!$A$3:$A$12,MATCH(cadangan[[#This Row],[ItemID B]],Katalog!$C$3:$C$12,0)),"-")</f>
        <v>Sepatu Pria</v>
      </c>
      <c r="N368" s="39" t="str">
        <f>IFERROR(INDEX(Katalog!$B$3:$B$12,MATCH(cadangan[[#This Row],[ItemID B]],Katalog!$C$3:$C$12,0)),"-")</f>
        <v>Sandal Slip On</v>
      </c>
      <c r="O368" s="50">
        <v>2</v>
      </c>
      <c r="P368" s="50">
        <v>4</v>
      </c>
      <c r="Q368" s="73">
        <f>IFERROR(INDEX(Katalog!$D$3:$D$12,MATCH(cadangan[[#This Row],[ItemID B]],Katalog!$C$3:$C$12,0))*cadangan[[#This Row],[Qty B]],0)</f>
        <v>300000</v>
      </c>
      <c r="R368" s="73">
        <f>IFERROR(cadangan[[#This Row],[Harga Normal B]]-(cadangan[[#This Row],[Harga Normal B]]*cadangan[[#This Row],[Diskon]]),cadangan[[#This Row],[Harga Normal B]])</f>
        <v>300000</v>
      </c>
      <c r="S368" s="73">
        <f>IFERROR(INDEX(Katalog!$F$3:$F$12,MATCH(cadangan[[#This Row],[ItemID B]],Katalog!$C$3:$C$12,0))*cadangan[[#This Row],[Qty B]],0)</f>
        <v>120000</v>
      </c>
      <c r="T368" s="73">
        <f>IFERROR(cadangan[[#This Row],[Harga Diskon B]]-INDEX(Katalog!$E$3:$E$12,MATCH(cadangan[[#This Row],[ItemID B]],Katalog!$C$3:$C$12,0))*cadangan[[#This Row],[Qty B]],0)</f>
        <v>120000</v>
      </c>
      <c r="V368" s="39" t="str">
        <f>IFERROR(INDEX(Katalog!$A$3:$A$12,MATCH(cadangan[[#This Row],[ItemID C]],Katalog!$C$3:$C$12,0)),"-")</f>
        <v>-</v>
      </c>
      <c r="W368" s="39" t="str">
        <f>IFERROR(INDEX(Katalog!$B$3:$B$12,MATCH(cadangan[[#This Row],[ItemID C]],Katalog!$C$3:$C$12,0)),"-")</f>
        <v>-</v>
      </c>
      <c r="Z368" s="73">
        <f>IFERROR(INDEX(Katalog!$D$3:$D$12,MATCH(cadangan[[#This Row],[ItemID C]],Katalog!$C$3:$C$12,0))*cadangan[[#This Row],[Qty C]],0)</f>
        <v>0</v>
      </c>
      <c r="AA368" s="73">
        <f>IFERROR(cadangan[[#This Row],[Harga Normal C]]-(cadangan[[#This Row],[Harga Normal C]]*cadangan[[#This Row],[Diskon]]),cadangan[[#This Row],[Harga Normal C]])</f>
        <v>0</v>
      </c>
      <c r="AB368" s="73">
        <f>IFERROR(INDEX(Katalog!$F$3:$F$12,MATCH(cadangan[[#This Row],[ItemID C]],Katalog!$C$3:$C$12,0))*cadangan[[#This Row],[Qty C]],0)</f>
        <v>0</v>
      </c>
      <c r="AC368" s="73">
        <f>IFERROR(cadangan[[#This Row],[Harga Diskon C]]-INDEX(Katalog!$E$3:$E$12,MATCH(cadangan[[#This Row],[ItemID C]],Katalog!$C$3:$C$12,0))*cadangan[[#This Row],[Qty C]],0)</f>
        <v>0</v>
      </c>
      <c r="AD368" s="53">
        <f>cadangan[[#This Row],[Qty A]]+cadangan[[#This Row],[Qty B]]+cadangan[[#This Row],[Qty C]]</f>
        <v>6</v>
      </c>
      <c r="AE368" s="73">
        <f>cadangan[[#This Row],[Harga Normal A]]+cadangan[[#This Row],[Harga Normal B]]+cadangan[[#This Row],[Harga Normal C]]</f>
        <v>1900000</v>
      </c>
      <c r="AF368" s="73">
        <f>cadangan[[#This Row],[Harga Diskon A]]+cadangan[[#This Row],[Harga Diskon B]]+cadangan[[#This Row],[Harga Diskon C]]</f>
        <v>1900000</v>
      </c>
      <c r="AG368" s="73">
        <f>(cadangan[[#This Row],[Profit Normal A]]+cadangan[[#This Row],[Profit Normal B]]+cadangan[[#This Row],[Profit Normal C]])</f>
        <v>720000</v>
      </c>
      <c r="AH368" s="73">
        <f>cadangan[[#This Row],[Profit Diskon A]]+cadangan[[#This Row],[Profit Diskon B]]+cadangan[[#This Row],[Profit Diskon C]]</f>
        <v>720000</v>
      </c>
      <c r="AI368" s="23" t="s">
        <v>290</v>
      </c>
      <c r="AJ368" s="37" t="str">
        <f>IFERROR(INDEX('Kode Diskon'!$D$3:$D$9,MATCH(cadangan[[#This Row],[Kode diskon]],'Kode Diskon'!$C$3:$C$9,0)),"-")</f>
        <v>-</v>
      </c>
      <c r="AK368" s="23" t="s">
        <v>290</v>
      </c>
      <c r="AL368" s="23" t="s">
        <v>10</v>
      </c>
      <c r="AM368" s="23" t="s">
        <v>80</v>
      </c>
      <c r="AN368" s="55">
        <v>45028</v>
      </c>
      <c r="AO368" s="53">
        <f>DAY(cadangan[[#This Row],[Tanggal terjual]])</f>
        <v>12</v>
      </c>
      <c r="AP368" s="21" t="str">
        <f>TEXT(cadangan[[#This Row],[Tanggal terjual]],"dddd")</f>
        <v>Wednesday</v>
      </c>
      <c r="AQ368" s="23" t="str" cm="1">
        <f t="array" ref="AQ3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68" s="61">
        <f>AVERAGE(cadangan[[#This Row],[Rating A]],cadangan[[#This Row],[Rating B]],cadangan[[#This Row],[Rating C]])</f>
        <v>4.5</v>
      </c>
    </row>
    <row r="369" spans="1:44" x14ac:dyDescent="0.2">
      <c r="A369" s="20">
        <v>368</v>
      </c>
      <c r="B369" s="21" t="str">
        <f>_xlfn.CONCAT("ORD-",INDEX(Helper!$B$2:$B$5,MATCH(cadangan[[#This Row],[Marketplace]],Helper!$A$2:$A$5,0)),TEXT(cadangan[[#This Row],[No]],"0000"),"-",TEXT(cadangan[[#This Row],[Tanggal terjual]],"dd/mm/yy"))</f>
        <v>ORD-SP0368-06/04/23</v>
      </c>
      <c r="C369" s="39" t="s">
        <v>64</v>
      </c>
      <c r="D369" s="39" t="str">
        <f>IFERROR(INDEX(Katalog!$A$3:$A$12,MATCH(cadangan[[#This Row],[ItemID A]],Katalog!$C$3:$C$12,0)),"-")</f>
        <v>Pakaian Unisex</v>
      </c>
      <c r="E369" s="39" t="str">
        <f>IFERROR(INDEX(Katalog!$B$3:$B$12,MATCH(cadangan[[#This Row],[ItemID A]],Katalog!$C$3:$C$12,0)),"-")</f>
        <v>Jaket Hoodie</v>
      </c>
      <c r="F369" s="50">
        <v>1</v>
      </c>
      <c r="G369" s="50">
        <v>3</v>
      </c>
      <c r="H369" s="73">
        <f>IFERROR(INDEX(Katalog!$D$3:$D$12,MATCH(cadangan[[#This Row],[ItemID A]],Katalog!$C$3:$C$12,0))*cadangan[[#This Row],[Qty A]],0)</f>
        <v>350000</v>
      </c>
      <c r="I369" s="73">
        <f>IFERROR(cadangan[[#This Row],[Harga Normal A]]-(cadangan[[#This Row],[Harga Normal A]]*cadangan[[#This Row],[Diskon]]),cadangan[[#This Row],[Harga Normal A]])</f>
        <v>315000</v>
      </c>
      <c r="J369" s="73">
        <f>INDEX(Katalog!$F$3:$F$12,MATCH(cadangan[[#This Row],[ItemID A]],Katalog!$C$3:$C$12,0))*cadangan[[#This Row],[Qty A]]</f>
        <v>130000</v>
      </c>
      <c r="K369" s="73">
        <f>IFERROR(cadangan[[#This Row],[Harga Diskon A]]-INDEX(Katalog!$E$3:$E$12,MATCH(cadangan[[#This Row],[ItemID A]],Katalog!$C$3:$C$12,0))*cadangan[[#This Row],[Qty A]],0)</f>
        <v>95000</v>
      </c>
      <c r="M369" s="39" t="str">
        <f>IFERROR(INDEX(Katalog!$A$3:$A$12,MATCH(cadangan[[#This Row],[ItemID B]],Katalog!$C$3:$C$12,0)),"-")</f>
        <v>-</v>
      </c>
      <c r="N369" s="39" t="str">
        <f>IFERROR(INDEX(Katalog!$B$3:$B$12,MATCH(cadangan[[#This Row],[ItemID B]],Katalog!$C$3:$C$12,0)),"-")</f>
        <v>-</v>
      </c>
      <c r="Q369" s="73">
        <f>IFERROR(INDEX(Katalog!$D$3:$D$12,MATCH(cadangan[[#This Row],[ItemID B]],Katalog!$C$3:$C$12,0))*cadangan[[#This Row],[Qty B]],0)</f>
        <v>0</v>
      </c>
      <c r="R369" s="73">
        <f>IFERROR(cadangan[[#This Row],[Harga Normal B]]-(cadangan[[#This Row],[Harga Normal B]]*cadangan[[#This Row],[Diskon]]),cadangan[[#This Row],[Harga Normal B]])</f>
        <v>0</v>
      </c>
      <c r="S369" s="73">
        <f>IFERROR(INDEX(Katalog!$F$3:$F$12,MATCH(cadangan[[#This Row],[ItemID B]],Katalog!$C$3:$C$12,0))*cadangan[[#This Row],[Qty B]],0)</f>
        <v>0</v>
      </c>
      <c r="T369" s="73">
        <f>IFERROR(cadangan[[#This Row],[Harga Diskon B]]-INDEX(Katalog!$E$3:$E$12,MATCH(cadangan[[#This Row],[ItemID B]],Katalog!$C$3:$C$12,0))*cadangan[[#This Row],[Qty B]],0)</f>
        <v>0</v>
      </c>
      <c r="V369" s="39" t="str">
        <f>IFERROR(INDEX(Katalog!$A$3:$A$12,MATCH(cadangan[[#This Row],[ItemID C]],Katalog!$C$3:$C$12,0)),"-")</f>
        <v>-</v>
      </c>
      <c r="W369" s="39" t="str">
        <f>IFERROR(INDEX(Katalog!$B$3:$B$12,MATCH(cadangan[[#This Row],[ItemID C]],Katalog!$C$3:$C$12,0)),"-")</f>
        <v>-</v>
      </c>
      <c r="Z369" s="73">
        <f>IFERROR(INDEX(Katalog!$D$3:$D$12,MATCH(cadangan[[#This Row],[ItemID C]],Katalog!$C$3:$C$12,0))*cadangan[[#This Row],[Qty C]],0)</f>
        <v>0</v>
      </c>
      <c r="AA369" s="73">
        <f>IFERROR(cadangan[[#This Row],[Harga Normal C]]-(cadangan[[#This Row],[Harga Normal C]]*cadangan[[#This Row],[Diskon]]),cadangan[[#This Row],[Harga Normal C]])</f>
        <v>0</v>
      </c>
      <c r="AB369" s="73">
        <f>IFERROR(INDEX(Katalog!$F$3:$F$12,MATCH(cadangan[[#This Row],[ItemID C]],Katalog!$C$3:$C$12,0))*cadangan[[#This Row],[Qty C]],0)</f>
        <v>0</v>
      </c>
      <c r="AC369" s="73">
        <f>IFERROR(cadangan[[#This Row],[Harga Diskon C]]-INDEX(Katalog!$E$3:$E$12,MATCH(cadangan[[#This Row],[ItemID C]],Katalog!$C$3:$C$12,0))*cadangan[[#This Row],[Qty C]],0)</f>
        <v>0</v>
      </c>
      <c r="AD369" s="53">
        <f>cadangan[[#This Row],[Qty A]]+cadangan[[#This Row],[Qty B]]+cadangan[[#This Row],[Qty C]]</f>
        <v>1</v>
      </c>
      <c r="AE369" s="73">
        <f>cadangan[[#This Row],[Harga Normal A]]+cadangan[[#This Row],[Harga Normal B]]+cadangan[[#This Row],[Harga Normal C]]</f>
        <v>350000</v>
      </c>
      <c r="AF369" s="73">
        <f>cadangan[[#This Row],[Harga Diskon A]]+cadangan[[#This Row],[Harga Diskon B]]+cadangan[[#This Row],[Harga Diskon C]]</f>
        <v>315000</v>
      </c>
      <c r="AG369" s="73">
        <f>(cadangan[[#This Row],[Profit Normal A]]+cadangan[[#This Row],[Profit Normal B]]+cadangan[[#This Row],[Profit Normal C]])</f>
        <v>130000</v>
      </c>
      <c r="AH369" s="73">
        <f>cadangan[[#This Row],[Profit Diskon A]]+cadangan[[#This Row],[Profit Diskon B]]+cadangan[[#This Row],[Profit Diskon C]]</f>
        <v>95000</v>
      </c>
      <c r="AI369" s="23" t="s">
        <v>6</v>
      </c>
      <c r="AJ369" s="37">
        <f>IFERROR(INDEX('Kode Diskon'!$D$3:$D$9,MATCH(cadangan[[#This Row],[Kode diskon]],'Kode Diskon'!$C$3:$C$9,0)),"-")</f>
        <v>0.1</v>
      </c>
      <c r="AK369" s="23" t="s">
        <v>29</v>
      </c>
      <c r="AL369" s="23" t="s">
        <v>7</v>
      </c>
      <c r="AM369" s="23" t="s">
        <v>79</v>
      </c>
      <c r="AN369" s="55">
        <v>45022</v>
      </c>
      <c r="AO369" s="53">
        <f>DAY(cadangan[[#This Row],[Tanggal terjual]])</f>
        <v>6</v>
      </c>
      <c r="AP369" s="21" t="str">
        <f>TEXT(cadangan[[#This Row],[Tanggal terjual]],"dddd")</f>
        <v>Thursday</v>
      </c>
      <c r="AQ369" s="23" t="str" cm="1">
        <f t="array" ref="AQ3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69" s="61">
        <f>AVERAGE(cadangan[[#This Row],[Rating A]],cadangan[[#This Row],[Rating B]],cadangan[[#This Row],[Rating C]])</f>
        <v>3</v>
      </c>
    </row>
    <row r="370" spans="1:44" x14ac:dyDescent="0.2">
      <c r="A370" s="20">
        <v>369</v>
      </c>
      <c r="B370" s="21" t="str">
        <f>_xlfn.CONCAT("ORD-",INDEX(Helper!$B$2:$B$5,MATCH(cadangan[[#This Row],[Marketplace]],Helper!$A$2:$A$5,0)),TEXT(cadangan[[#This Row],[No]],"0000"),"-",TEXT(cadangan[[#This Row],[Tanggal terjual]],"dd/mm/yy"))</f>
        <v>ORD-SP0369-15/04/23</v>
      </c>
      <c r="C370" s="39" t="s">
        <v>58</v>
      </c>
      <c r="D370" s="39" t="str">
        <f>IFERROR(INDEX(Katalog!$A$3:$A$12,MATCH(cadangan[[#This Row],[ItemID A]],Katalog!$C$3:$C$12,0)),"-")</f>
        <v>Pakaian Wanita</v>
      </c>
      <c r="E370" s="39" t="str">
        <f>IFERROR(INDEX(Katalog!$B$3:$B$12,MATCH(cadangan[[#This Row],[ItemID A]],Katalog!$C$3:$C$12,0)),"-")</f>
        <v>Dress</v>
      </c>
      <c r="F370" s="50">
        <v>1</v>
      </c>
      <c r="G370" s="50">
        <v>1</v>
      </c>
      <c r="H370" s="73">
        <f>IFERROR(INDEX(Katalog!$D$3:$D$12,MATCH(cadangan[[#This Row],[ItemID A]],Katalog!$C$3:$C$12,0))*cadangan[[#This Row],[Qty A]],0)</f>
        <v>300000</v>
      </c>
      <c r="I370" s="73">
        <f>IFERROR(cadangan[[#This Row],[Harga Normal A]]-(cadangan[[#This Row],[Harga Normal A]]*cadangan[[#This Row],[Diskon]]),cadangan[[#This Row],[Harga Normal A]])</f>
        <v>300000</v>
      </c>
      <c r="J370" s="73">
        <f>INDEX(Katalog!$F$3:$F$12,MATCH(cadangan[[#This Row],[ItemID A]],Katalog!$C$3:$C$12,0))*cadangan[[#This Row],[Qty A]]</f>
        <v>100000</v>
      </c>
      <c r="K370" s="73">
        <f>IFERROR(cadangan[[#This Row],[Harga Diskon A]]-INDEX(Katalog!$E$3:$E$12,MATCH(cadangan[[#This Row],[ItemID A]],Katalog!$C$3:$C$12,0))*cadangan[[#This Row],[Qty A]],0)</f>
        <v>100000</v>
      </c>
      <c r="M370" s="39" t="str">
        <f>IFERROR(INDEX(Katalog!$A$3:$A$12,MATCH(cadangan[[#This Row],[ItemID B]],Katalog!$C$3:$C$12,0)),"-")</f>
        <v>-</v>
      </c>
      <c r="N370" s="39" t="str">
        <f>IFERROR(INDEX(Katalog!$B$3:$B$12,MATCH(cadangan[[#This Row],[ItemID B]],Katalog!$C$3:$C$12,0)),"-")</f>
        <v>-</v>
      </c>
      <c r="Q370" s="73">
        <f>IFERROR(INDEX(Katalog!$D$3:$D$12,MATCH(cadangan[[#This Row],[ItemID B]],Katalog!$C$3:$C$12,0))*cadangan[[#This Row],[Qty B]],0)</f>
        <v>0</v>
      </c>
      <c r="R370" s="73">
        <f>IFERROR(cadangan[[#This Row],[Harga Normal B]]-(cadangan[[#This Row],[Harga Normal B]]*cadangan[[#This Row],[Diskon]]),cadangan[[#This Row],[Harga Normal B]])</f>
        <v>0</v>
      </c>
      <c r="S370" s="73">
        <f>IFERROR(INDEX(Katalog!$F$3:$F$12,MATCH(cadangan[[#This Row],[ItemID B]],Katalog!$C$3:$C$12,0))*cadangan[[#This Row],[Qty B]],0)</f>
        <v>0</v>
      </c>
      <c r="T370" s="73">
        <f>IFERROR(cadangan[[#This Row],[Harga Diskon B]]-INDEX(Katalog!$E$3:$E$12,MATCH(cadangan[[#This Row],[ItemID B]],Katalog!$C$3:$C$12,0))*cadangan[[#This Row],[Qty B]],0)</f>
        <v>0</v>
      </c>
      <c r="V370" s="39" t="str">
        <f>IFERROR(INDEX(Katalog!$A$3:$A$12,MATCH(cadangan[[#This Row],[ItemID C]],Katalog!$C$3:$C$12,0)),"-")</f>
        <v>-</v>
      </c>
      <c r="W370" s="39" t="str">
        <f>IFERROR(INDEX(Katalog!$B$3:$B$12,MATCH(cadangan[[#This Row],[ItemID C]],Katalog!$C$3:$C$12,0)),"-")</f>
        <v>-</v>
      </c>
      <c r="Z370" s="73">
        <f>IFERROR(INDEX(Katalog!$D$3:$D$12,MATCH(cadangan[[#This Row],[ItemID C]],Katalog!$C$3:$C$12,0))*cadangan[[#This Row],[Qty C]],0)</f>
        <v>0</v>
      </c>
      <c r="AA370" s="73">
        <f>IFERROR(cadangan[[#This Row],[Harga Normal C]]-(cadangan[[#This Row],[Harga Normal C]]*cadangan[[#This Row],[Diskon]]),cadangan[[#This Row],[Harga Normal C]])</f>
        <v>0</v>
      </c>
      <c r="AB370" s="73">
        <f>IFERROR(INDEX(Katalog!$F$3:$F$12,MATCH(cadangan[[#This Row],[ItemID C]],Katalog!$C$3:$C$12,0))*cadangan[[#This Row],[Qty C]],0)</f>
        <v>0</v>
      </c>
      <c r="AC370" s="73">
        <f>IFERROR(cadangan[[#This Row],[Harga Diskon C]]-INDEX(Katalog!$E$3:$E$12,MATCH(cadangan[[#This Row],[ItemID C]],Katalog!$C$3:$C$12,0))*cadangan[[#This Row],[Qty C]],0)</f>
        <v>0</v>
      </c>
      <c r="AD370" s="53">
        <f>cadangan[[#This Row],[Qty A]]+cadangan[[#This Row],[Qty B]]+cadangan[[#This Row],[Qty C]]</f>
        <v>1</v>
      </c>
      <c r="AE370" s="73">
        <f>cadangan[[#This Row],[Harga Normal A]]+cadangan[[#This Row],[Harga Normal B]]+cadangan[[#This Row],[Harga Normal C]]</f>
        <v>300000</v>
      </c>
      <c r="AF370" s="73">
        <f>cadangan[[#This Row],[Harga Diskon A]]+cadangan[[#This Row],[Harga Diskon B]]+cadangan[[#This Row],[Harga Diskon C]]</f>
        <v>300000</v>
      </c>
      <c r="AG370" s="73">
        <f>(cadangan[[#This Row],[Profit Normal A]]+cadangan[[#This Row],[Profit Normal B]]+cadangan[[#This Row],[Profit Normal C]])</f>
        <v>100000</v>
      </c>
      <c r="AH370" s="73">
        <f>cadangan[[#This Row],[Profit Diskon A]]+cadangan[[#This Row],[Profit Diskon B]]+cadangan[[#This Row],[Profit Diskon C]]</f>
        <v>100000</v>
      </c>
      <c r="AI370" s="23" t="s">
        <v>290</v>
      </c>
      <c r="AJ370" s="37" t="str">
        <f>IFERROR(INDEX('Kode Diskon'!$D$3:$D$9,MATCH(cadangan[[#This Row],[Kode diskon]],'Kode Diskon'!$C$3:$C$9,0)),"-")</f>
        <v>-</v>
      </c>
      <c r="AK370" s="23" t="s">
        <v>290</v>
      </c>
      <c r="AL370" s="23" t="s">
        <v>7</v>
      </c>
      <c r="AM370" s="23" t="s">
        <v>76</v>
      </c>
      <c r="AN370" s="55">
        <v>45031</v>
      </c>
      <c r="AO370" s="53">
        <f>DAY(cadangan[[#This Row],[Tanggal terjual]])</f>
        <v>15</v>
      </c>
      <c r="AP370" s="21" t="str">
        <f>TEXT(cadangan[[#This Row],[Tanggal terjual]],"dddd")</f>
        <v>Saturday</v>
      </c>
      <c r="AQ370" s="23" t="str" cm="1">
        <f t="array" ref="AQ3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70" s="61">
        <f>AVERAGE(cadangan[[#This Row],[Rating A]],cadangan[[#This Row],[Rating B]],cadangan[[#This Row],[Rating C]])</f>
        <v>1</v>
      </c>
    </row>
    <row r="371" spans="1:44" x14ac:dyDescent="0.2">
      <c r="A371" s="20">
        <v>370</v>
      </c>
      <c r="B371" s="21" t="str">
        <f>_xlfn.CONCAT("ORD-",INDEX(Helper!$B$2:$B$5,MATCH(cadangan[[#This Row],[Marketplace]],Helper!$A$2:$A$5,0)),TEXT(cadangan[[#This Row],[No]],"0000"),"-",TEXT(cadangan[[#This Row],[Tanggal terjual]],"dd/mm/yy"))</f>
        <v>ORD-BL0370-30/04/23</v>
      </c>
      <c r="C371" s="39" t="s">
        <v>62</v>
      </c>
      <c r="D371" s="39" t="str">
        <f>IFERROR(INDEX(Katalog!$A$3:$A$12,MATCH(cadangan[[#This Row],[ItemID A]],Katalog!$C$3:$C$12,0)),"-")</f>
        <v>Pakaian Pria</v>
      </c>
      <c r="E371" s="39" t="str">
        <f>IFERROR(INDEX(Katalog!$B$3:$B$12,MATCH(cadangan[[#This Row],[ItemID A]],Katalog!$C$3:$C$12,0)),"-")</f>
        <v>Celana Pendek</v>
      </c>
      <c r="F371" s="50">
        <v>1</v>
      </c>
      <c r="G371" s="50">
        <v>5</v>
      </c>
      <c r="H371" s="73">
        <f>IFERROR(INDEX(Katalog!$D$3:$D$12,MATCH(cadangan[[#This Row],[ItemID A]],Katalog!$C$3:$C$12,0))*cadangan[[#This Row],[Qty A]],0)</f>
        <v>180000</v>
      </c>
      <c r="I371" s="73">
        <f>IFERROR(cadangan[[#This Row],[Harga Normal A]]-(cadangan[[#This Row],[Harga Normal A]]*cadangan[[#This Row],[Diskon]]),cadangan[[#This Row],[Harga Normal A]])</f>
        <v>153000</v>
      </c>
      <c r="J371" s="73">
        <f>INDEX(Katalog!$F$3:$F$12,MATCH(cadangan[[#This Row],[ItemID A]],Katalog!$C$3:$C$12,0))*cadangan[[#This Row],[Qty A]]</f>
        <v>70000</v>
      </c>
      <c r="K371" s="73">
        <f>IFERROR(cadangan[[#This Row],[Harga Diskon A]]-INDEX(Katalog!$E$3:$E$12,MATCH(cadangan[[#This Row],[ItemID A]],Katalog!$C$3:$C$12,0))*cadangan[[#This Row],[Qty A]],0)</f>
        <v>43000</v>
      </c>
      <c r="L371" s="39" t="s">
        <v>65</v>
      </c>
      <c r="M371" s="39" t="str">
        <f>IFERROR(INDEX(Katalog!$A$3:$A$12,MATCH(cadangan[[#This Row],[ItemID B]],Katalog!$C$3:$C$12,0)),"-")</f>
        <v>Sepatu Pria</v>
      </c>
      <c r="N371" s="39" t="str">
        <f>IFERROR(INDEX(Katalog!$B$3:$B$12,MATCH(cadangan[[#This Row],[ItemID B]],Katalog!$C$3:$C$12,0)),"-")</f>
        <v>Sneakers</v>
      </c>
      <c r="O371" s="50">
        <v>1</v>
      </c>
      <c r="P371" s="50">
        <v>3</v>
      </c>
      <c r="Q371" s="73">
        <f>IFERROR(INDEX(Katalog!$D$3:$D$12,MATCH(cadangan[[#This Row],[ItemID B]],Katalog!$C$3:$C$12,0))*cadangan[[#This Row],[Qty B]],0)</f>
        <v>500000</v>
      </c>
      <c r="R371" s="73">
        <f>IFERROR(cadangan[[#This Row],[Harga Normal B]]-(cadangan[[#This Row],[Harga Normal B]]*cadangan[[#This Row],[Diskon]]),cadangan[[#This Row],[Harga Normal B]])</f>
        <v>425000</v>
      </c>
      <c r="S371" s="73">
        <f>IFERROR(INDEX(Katalog!$F$3:$F$12,MATCH(cadangan[[#This Row],[ItemID B]],Katalog!$C$3:$C$12,0))*cadangan[[#This Row],[Qty B]],0)</f>
        <v>200000</v>
      </c>
      <c r="T371" s="73">
        <f>IFERROR(cadangan[[#This Row],[Harga Diskon B]]-INDEX(Katalog!$E$3:$E$12,MATCH(cadangan[[#This Row],[ItemID B]],Katalog!$C$3:$C$12,0))*cadangan[[#This Row],[Qty B]],0)</f>
        <v>125000</v>
      </c>
      <c r="V371" s="39" t="str">
        <f>IFERROR(INDEX(Katalog!$A$3:$A$12,MATCH(cadangan[[#This Row],[ItemID C]],Katalog!$C$3:$C$12,0)),"-")</f>
        <v>-</v>
      </c>
      <c r="W371" s="39" t="str">
        <f>IFERROR(INDEX(Katalog!$B$3:$B$12,MATCH(cadangan[[#This Row],[ItemID C]],Katalog!$C$3:$C$12,0)),"-")</f>
        <v>-</v>
      </c>
      <c r="Z371" s="73">
        <f>IFERROR(INDEX(Katalog!$D$3:$D$12,MATCH(cadangan[[#This Row],[ItemID C]],Katalog!$C$3:$C$12,0))*cadangan[[#This Row],[Qty C]],0)</f>
        <v>0</v>
      </c>
      <c r="AA371" s="73">
        <f>IFERROR(cadangan[[#This Row],[Harga Normal C]]-(cadangan[[#This Row],[Harga Normal C]]*cadangan[[#This Row],[Diskon]]),cadangan[[#This Row],[Harga Normal C]])</f>
        <v>0</v>
      </c>
      <c r="AB371" s="73">
        <f>IFERROR(INDEX(Katalog!$F$3:$F$12,MATCH(cadangan[[#This Row],[ItemID C]],Katalog!$C$3:$C$12,0))*cadangan[[#This Row],[Qty C]],0)</f>
        <v>0</v>
      </c>
      <c r="AC371" s="73">
        <f>IFERROR(cadangan[[#This Row],[Harga Diskon C]]-INDEX(Katalog!$E$3:$E$12,MATCH(cadangan[[#This Row],[ItemID C]],Katalog!$C$3:$C$12,0))*cadangan[[#This Row],[Qty C]],0)</f>
        <v>0</v>
      </c>
      <c r="AD371" s="53">
        <f>cadangan[[#This Row],[Qty A]]+cadangan[[#This Row],[Qty B]]+cadangan[[#This Row],[Qty C]]</f>
        <v>2</v>
      </c>
      <c r="AE371" s="73">
        <f>cadangan[[#This Row],[Harga Normal A]]+cadangan[[#This Row],[Harga Normal B]]+cadangan[[#This Row],[Harga Normal C]]</f>
        <v>680000</v>
      </c>
      <c r="AF371" s="73">
        <f>cadangan[[#This Row],[Harga Diskon A]]+cadangan[[#This Row],[Harga Diskon B]]+cadangan[[#This Row],[Harga Diskon C]]</f>
        <v>578000</v>
      </c>
      <c r="AG371" s="73">
        <f>(cadangan[[#This Row],[Profit Normal A]]+cadangan[[#This Row],[Profit Normal B]]+cadangan[[#This Row],[Profit Normal C]])</f>
        <v>270000</v>
      </c>
      <c r="AH371" s="73">
        <f>cadangan[[#This Row],[Profit Diskon A]]+cadangan[[#This Row],[Profit Diskon B]]+cadangan[[#This Row],[Profit Diskon C]]</f>
        <v>168000</v>
      </c>
      <c r="AI371" s="23" t="s">
        <v>32</v>
      </c>
      <c r="AJ371" s="37">
        <f>IFERROR(INDEX('Kode Diskon'!$D$3:$D$9,MATCH(cadangan[[#This Row],[Kode diskon]],'Kode Diskon'!$C$3:$C$9,0)),"-")</f>
        <v>0.15</v>
      </c>
      <c r="AK371" s="23" t="s">
        <v>9</v>
      </c>
      <c r="AL371" s="23" t="s">
        <v>12</v>
      </c>
      <c r="AM371" s="23" t="s">
        <v>80</v>
      </c>
      <c r="AN371" s="55">
        <v>45046</v>
      </c>
      <c r="AO371" s="53">
        <f>DAY(cadangan[[#This Row],[Tanggal terjual]])</f>
        <v>30</v>
      </c>
      <c r="AP371" s="21" t="str">
        <f>TEXT(cadangan[[#This Row],[Tanggal terjual]],"dddd")</f>
        <v>Sunday</v>
      </c>
      <c r="AQ371" s="23" t="str" cm="1">
        <f t="array" ref="AQ3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71" s="61">
        <f>AVERAGE(cadangan[[#This Row],[Rating A]],cadangan[[#This Row],[Rating B]],cadangan[[#This Row],[Rating C]])</f>
        <v>4</v>
      </c>
    </row>
    <row r="372" spans="1:44" x14ac:dyDescent="0.2">
      <c r="A372" s="20">
        <v>371</v>
      </c>
      <c r="B372" s="21" t="str">
        <f>_xlfn.CONCAT("ORD-",INDEX(Helper!$B$2:$B$5,MATCH(cadangan[[#This Row],[Marketplace]],Helper!$A$2:$A$5,0)),TEXT(cadangan[[#This Row],[No]],"0000"),"-",TEXT(cadangan[[#This Row],[Tanggal terjual]],"dd/mm/yy"))</f>
        <v>ORD-BB0371-09/04/23</v>
      </c>
      <c r="C372" s="39" t="s">
        <v>58</v>
      </c>
      <c r="D372" s="39" t="str">
        <f>IFERROR(INDEX(Katalog!$A$3:$A$12,MATCH(cadangan[[#This Row],[ItemID A]],Katalog!$C$3:$C$12,0)),"-")</f>
        <v>Pakaian Wanita</v>
      </c>
      <c r="E372" s="39" t="str">
        <f>IFERROR(INDEX(Katalog!$B$3:$B$12,MATCH(cadangan[[#This Row],[ItemID A]],Katalog!$C$3:$C$12,0)),"-")</f>
        <v>Dress</v>
      </c>
      <c r="F372" s="50">
        <v>3</v>
      </c>
      <c r="G372" s="50">
        <v>3</v>
      </c>
      <c r="H372" s="73">
        <f>IFERROR(INDEX(Katalog!$D$3:$D$12,MATCH(cadangan[[#This Row],[ItemID A]],Katalog!$C$3:$C$12,0))*cadangan[[#This Row],[Qty A]],0)</f>
        <v>900000</v>
      </c>
      <c r="I372" s="73">
        <f>IFERROR(cadangan[[#This Row],[Harga Normal A]]-(cadangan[[#This Row],[Harga Normal A]]*cadangan[[#This Row],[Diskon]]),cadangan[[#This Row],[Harga Normal A]])</f>
        <v>900000</v>
      </c>
      <c r="J372" s="73">
        <f>INDEX(Katalog!$F$3:$F$12,MATCH(cadangan[[#This Row],[ItemID A]],Katalog!$C$3:$C$12,0))*cadangan[[#This Row],[Qty A]]</f>
        <v>300000</v>
      </c>
      <c r="K372" s="73">
        <f>IFERROR(cadangan[[#This Row],[Harga Diskon A]]-INDEX(Katalog!$E$3:$E$12,MATCH(cadangan[[#This Row],[ItemID A]],Katalog!$C$3:$C$12,0))*cadangan[[#This Row],[Qty A]],0)</f>
        <v>300000</v>
      </c>
      <c r="L372" s="39" t="s">
        <v>62</v>
      </c>
      <c r="M372" s="39" t="str">
        <f>IFERROR(INDEX(Katalog!$A$3:$A$12,MATCH(cadangan[[#This Row],[ItemID B]],Katalog!$C$3:$C$12,0)),"-")</f>
        <v>Pakaian Pria</v>
      </c>
      <c r="N372" s="39" t="str">
        <f>IFERROR(INDEX(Katalog!$B$3:$B$12,MATCH(cadangan[[#This Row],[ItemID B]],Katalog!$C$3:$C$12,0)),"-")</f>
        <v>Celana Pendek</v>
      </c>
      <c r="O372" s="50">
        <v>2</v>
      </c>
      <c r="P372" s="50">
        <v>3</v>
      </c>
      <c r="Q372" s="73">
        <f>IFERROR(INDEX(Katalog!$D$3:$D$12,MATCH(cadangan[[#This Row],[ItemID B]],Katalog!$C$3:$C$12,0))*cadangan[[#This Row],[Qty B]],0)</f>
        <v>360000</v>
      </c>
      <c r="R372" s="73">
        <f>IFERROR(cadangan[[#This Row],[Harga Normal B]]-(cadangan[[#This Row],[Harga Normal B]]*cadangan[[#This Row],[Diskon]]),cadangan[[#This Row],[Harga Normal B]])</f>
        <v>360000</v>
      </c>
      <c r="S372" s="73">
        <f>IFERROR(INDEX(Katalog!$F$3:$F$12,MATCH(cadangan[[#This Row],[ItemID B]],Katalog!$C$3:$C$12,0))*cadangan[[#This Row],[Qty B]],0)</f>
        <v>140000</v>
      </c>
      <c r="T372" s="73">
        <f>IFERROR(cadangan[[#This Row],[Harga Diskon B]]-INDEX(Katalog!$E$3:$E$12,MATCH(cadangan[[#This Row],[ItemID B]],Katalog!$C$3:$C$12,0))*cadangan[[#This Row],[Qty B]],0)</f>
        <v>140000</v>
      </c>
      <c r="U372" s="39" t="s">
        <v>67</v>
      </c>
      <c r="V372" s="39" t="str">
        <f>IFERROR(INDEX(Katalog!$A$3:$A$12,MATCH(cadangan[[#This Row],[ItemID C]],Katalog!$C$3:$C$12,0)),"-")</f>
        <v>Sepatu Wanita</v>
      </c>
      <c r="W372" s="39" t="str">
        <f>IFERROR(INDEX(Katalog!$B$3:$B$12,MATCH(cadangan[[#This Row],[ItemID C]],Katalog!$C$3:$C$12,0)),"-")</f>
        <v>Flat Shoes</v>
      </c>
      <c r="X372" s="50">
        <v>1</v>
      </c>
      <c r="Y372" s="50">
        <v>2</v>
      </c>
      <c r="Z372" s="73">
        <f>IFERROR(INDEX(Katalog!$D$3:$D$12,MATCH(cadangan[[#This Row],[ItemID C]],Katalog!$C$3:$C$12,0))*cadangan[[#This Row],[Qty C]],0)</f>
        <v>250000</v>
      </c>
      <c r="AA372" s="73">
        <f>IFERROR(cadangan[[#This Row],[Harga Normal C]]-(cadangan[[#This Row],[Harga Normal C]]*cadangan[[#This Row],[Diskon]]),cadangan[[#This Row],[Harga Normal C]])</f>
        <v>250000</v>
      </c>
      <c r="AB372" s="73">
        <f>IFERROR(INDEX(Katalog!$F$3:$F$12,MATCH(cadangan[[#This Row],[ItemID C]],Katalog!$C$3:$C$12,0))*cadangan[[#This Row],[Qty C]],0)</f>
        <v>100000</v>
      </c>
      <c r="AC372" s="73">
        <f>IFERROR(cadangan[[#This Row],[Harga Diskon C]]-INDEX(Katalog!$E$3:$E$12,MATCH(cadangan[[#This Row],[ItemID C]],Katalog!$C$3:$C$12,0))*cadangan[[#This Row],[Qty C]],0)</f>
        <v>100000</v>
      </c>
      <c r="AD372" s="53">
        <f>cadangan[[#This Row],[Qty A]]+cadangan[[#This Row],[Qty B]]+cadangan[[#This Row],[Qty C]]</f>
        <v>6</v>
      </c>
      <c r="AE372" s="73">
        <f>cadangan[[#This Row],[Harga Normal A]]+cadangan[[#This Row],[Harga Normal B]]+cadangan[[#This Row],[Harga Normal C]]</f>
        <v>1510000</v>
      </c>
      <c r="AF372" s="73">
        <f>cadangan[[#This Row],[Harga Diskon A]]+cadangan[[#This Row],[Harga Diskon B]]+cadangan[[#This Row],[Harga Diskon C]]</f>
        <v>1510000</v>
      </c>
      <c r="AG372" s="73">
        <f>(cadangan[[#This Row],[Profit Normal A]]+cadangan[[#This Row],[Profit Normal B]]+cadangan[[#This Row],[Profit Normal C]])</f>
        <v>540000</v>
      </c>
      <c r="AH372" s="73">
        <f>cadangan[[#This Row],[Profit Diskon A]]+cadangan[[#This Row],[Profit Diskon B]]+cadangan[[#This Row],[Profit Diskon C]]</f>
        <v>540000</v>
      </c>
      <c r="AI372" s="23" t="s">
        <v>290</v>
      </c>
      <c r="AJ372" s="37" t="str">
        <f>IFERROR(INDEX('Kode Diskon'!$D$3:$D$9,MATCH(cadangan[[#This Row],[Kode diskon]],'Kode Diskon'!$C$3:$C$9,0)),"-")</f>
        <v>-</v>
      </c>
      <c r="AK372" s="23" t="s">
        <v>290</v>
      </c>
      <c r="AL372" s="23" t="s">
        <v>14</v>
      </c>
      <c r="AM372" s="23" t="s">
        <v>75</v>
      </c>
      <c r="AN372" s="55">
        <v>45025</v>
      </c>
      <c r="AO372" s="53">
        <f>DAY(cadangan[[#This Row],[Tanggal terjual]])</f>
        <v>9</v>
      </c>
      <c r="AP372" s="21" t="str">
        <f>TEXT(cadangan[[#This Row],[Tanggal terjual]],"dddd")</f>
        <v>Sunday</v>
      </c>
      <c r="AQ372" s="23" t="str" cm="1">
        <f t="array" ref="AQ3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72" s="61">
        <f>AVERAGE(cadangan[[#This Row],[Rating A]],cadangan[[#This Row],[Rating B]],cadangan[[#This Row],[Rating C]])</f>
        <v>2.6666666666666665</v>
      </c>
    </row>
    <row r="373" spans="1:44" x14ac:dyDescent="0.2">
      <c r="A373" s="20">
        <v>372</v>
      </c>
      <c r="B373" s="21" t="str">
        <f>_xlfn.CONCAT("ORD-",INDEX(Helper!$B$2:$B$5,MATCH(cadangan[[#This Row],[Marketplace]],Helper!$A$2:$A$5,0)),TEXT(cadangan[[#This Row],[No]],"0000"),"-",TEXT(cadangan[[#This Row],[Tanggal terjual]],"dd/mm/yy"))</f>
        <v>ORD-BB0372-02/04/23</v>
      </c>
      <c r="C373" s="39" t="s">
        <v>66</v>
      </c>
      <c r="D373" s="39" t="str">
        <f>IFERROR(INDEX(Katalog!$A$3:$A$12,MATCH(cadangan[[#This Row],[ItemID A]],Katalog!$C$3:$C$12,0)),"-")</f>
        <v>Sepatu Pria</v>
      </c>
      <c r="E373" s="39" t="str">
        <f>IFERROR(INDEX(Katalog!$B$3:$B$12,MATCH(cadangan[[#This Row],[ItemID A]],Katalog!$C$3:$C$12,0)),"-")</f>
        <v>Sandal Slip On</v>
      </c>
      <c r="F373" s="50">
        <v>2</v>
      </c>
      <c r="G373" s="50">
        <v>3</v>
      </c>
      <c r="H373" s="73">
        <f>IFERROR(INDEX(Katalog!$D$3:$D$12,MATCH(cadangan[[#This Row],[ItemID A]],Katalog!$C$3:$C$12,0))*cadangan[[#This Row],[Qty A]],0)</f>
        <v>300000</v>
      </c>
      <c r="I373" s="73">
        <f>IFERROR(cadangan[[#This Row],[Harga Normal A]]-(cadangan[[#This Row],[Harga Normal A]]*cadangan[[#This Row],[Diskon]]),cadangan[[#This Row],[Harga Normal A]])</f>
        <v>255000</v>
      </c>
      <c r="J373" s="73">
        <f>INDEX(Katalog!$F$3:$F$12,MATCH(cadangan[[#This Row],[ItemID A]],Katalog!$C$3:$C$12,0))*cadangan[[#This Row],[Qty A]]</f>
        <v>120000</v>
      </c>
      <c r="K373" s="73">
        <f>IFERROR(cadangan[[#This Row],[Harga Diskon A]]-INDEX(Katalog!$E$3:$E$12,MATCH(cadangan[[#This Row],[ItemID A]],Katalog!$C$3:$C$12,0))*cadangan[[#This Row],[Qty A]],0)</f>
        <v>75000</v>
      </c>
      <c r="L373" s="39" t="s">
        <v>59</v>
      </c>
      <c r="M373" s="39" t="str">
        <f>IFERROR(INDEX(Katalog!$A$3:$A$12,MATCH(cadangan[[#This Row],[ItemID B]],Katalog!$C$3:$C$12,0)),"-")</f>
        <v>Pakaian Wanita</v>
      </c>
      <c r="N373" s="39" t="str">
        <f>IFERROR(INDEX(Katalog!$B$3:$B$12,MATCH(cadangan[[#This Row],[ItemID B]],Katalog!$C$3:$C$12,0)),"-")</f>
        <v>Blouse</v>
      </c>
      <c r="O373" s="50">
        <v>1</v>
      </c>
      <c r="P373" s="50">
        <v>4</v>
      </c>
      <c r="Q373" s="73">
        <f>IFERROR(INDEX(Katalog!$D$3:$D$12,MATCH(cadangan[[#This Row],[ItemID B]],Katalog!$C$3:$C$12,0))*cadangan[[#This Row],[Qty B]],0)</f>
        <v>150000</v>
      </c>
      <c r="R373" s="73">
        <f>IFERROR(cadangan[[#This Row],[Harga Normal B]]-(cadangan[[#This Row],[Harga Normal B]]*cadangan[[#This Row],[Diskon]]),cadangan[[#This Row],[Harga Normal B]])</f>
        <v>127500</v>
      </c>
      <c r="S373" s="73">
        <f>IFERROR(INDEX(Katalog!$F$3:$F$12,MATCH(cadangan[[#This Row],[ItemID B]],Katalog!$C$3:$C$12,0))*cadangan[[#This Row],[Qty B]],0)</f>
        <v>50000</v>
      </c>
      <c r="T373" s="73">
        <f>IFERROR(cadangan[[#This Row],[Harga Diskon B]]-INDEX(Katalog!$E$3:$E$12,MATCH(cadangan[[#This Row],[ItemID B]],Katalog!$C$3:$C$12,0))*cadangan[[#This Row],[Qty B]],0)</f>
        <v>27500</v>
      </c>
      <c r="U373" s="39" t="s">
        <v>58</v>
      </c>
      <c r="V373" s="39" t="str">
        <f>IFERROR(INDEX(Katalog!$A$3:$A$12,MATCH(cadangan[[#This Row],[ItemID C]],Katalog!$C$3:$C$12,0)),"-")</f>
        <v>Pakaian Wanita</v>
      </c>
      <c r="W373" s="39" t="str">
        <f>IFERROR(INDEX(Katalog!$B$3:$B$12,MATCH(cadangan[[#This Row],[ItemID C]],Katalog!$C$3:$C$12,0)),"-")</f>
        <v>Dress</v>
      </c>
      <c r="X373" s="50">
        <v>1</v>
      </c>
      <c r="Y373" s="50">
        <v>3</v>
      </c>
      <c r="Z373" s="73">
        <f>IFERROR(INDEX(Katalog!$D$3:$D$12,MATCH(cadangan[[#This Row],[ItemID C]],Katalog!$C$3:$C$12,0))*cadangan[[#This Row],[Qty C]],0)</f>
        <v>300000</v>
      </c>
      <c r="AA373" s="73">
        <f>IFERROR(cadangan[[#This Row],[Harga Normal C]]-(cadangan[[#This Row],[Harga Normal C]]*cadangan[[#This Row],[Diskon]]),cadangan[[#This Row],[Harga Normal C]])</f>
        <v>255000</v>
      </c>
      <c r="AB373" s="73">
        <f>IFERROR(INDEX(Katalog!$F$3:$F$12,MATCH(cadangan[[#This Row],[ItemID C]],Katalog!$C$3:$C$12,0))*cadangan[[#This Row],[Qty C]],0)</f>
        <v>100000</v>
      </c>
      <c r="AC373" s="73">
        <f>IFERROR(cadangan[[#This Row],[Harga Diskon C]]-INDEX(Katalog!$E$3:$E$12,MATCH(cadangan[[#This Row],[ItemID C]],Katalog!$C$3:$C$12,0))*cadangan[[#This Row],[Qty C]],0)</f>
        <v>55000</v>
      </c>
      <c r="AD373" s="53">
        <f>cadangan[[#This Row],[Qty A]]+cadangan[[#This Row],[Qty B]]+cadangan[[#This Row],[Qty C]]</f>
        <v>4</v>
      </c>
      <c r="AE373" s="73">
        <f>cadangan[[#This Row],[Harga Normal A]]+cadangan[[#This Row],[Harga Normal B]]+cadangan[[#This Row],[Harga Normal C]]</f>
        <v>750000</v>
      </c>
      <c r="AF373" s="73">
        <f>cadangan[[#This Row],[Harga Diskon A]]+cadangan[[#This Row],[Harga Diskon B]]+cadangan[[#This Row],[Harga Diskon C]]</f>
        <v>637500</v>
      </c>
      <c r="AG373" s="73">
        <f>(cadangan[[#This Row],[Profit Normal A]]+cadangan[[#This Row],[Profit Normal B]]+cadangan[[#This Row],[Profit Normal C]])</f>
        <v>270000</v>
      </c>
      <c r="AH373" s="73">
        <f>cadangan[[#This Row],[Profit Diskon A]]+cadangan[[#This Row],[Profit Diskon B]]+cadangan[[#This Row],[Profit Diskon C]]</f>
        <v>157500</v>
      </c>
      <c r="AI373" s="23" t="s">
        <v>28</v>
      </c>
      <c r="AJ373" s="37">
        <f>IFERROR(INDEX('Kode Diskon'!$D$3:$D$9,MATCH(cadangan[[#This Row],[Kode diskon]],'Kode Diskon'!$C$3:$C$9,0)),"-")</f>
        <v>0.15</v>
      </c>
      <c r="AK373" s="23" t="s">
        <v>29</v>
      </c>
      <c r="AL373" s="23" t="s">
        <v>14</v>
      </c>
      <c r="AM373" s="23" t="s">
        <v>76</v>
      </c>
      <c r="AN373" s="55">
        <v>45018</v>
      </c>
      <c r="AO373" s="53">
        <f>DAY(cadangan[[#This Row],[Tanggal terjual]])</f>
        <v>2</v>
      </c>
      <c r="AP373" s="21" t="str">
        <f>TEXT(cadangan[[#This Row],[Tanggal terjual]],"dddd")</f>
        <v>Sunday</v>
      </c>
      <c r="AQ373" s="23" t="str" cm="1">
        <f t="array" ref="AQ3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73" s="61">
        <f>AVERAGE(cadangan[[#This Row],[Rating A]],cadangan[[#This Row],[Rating B]],cadangan[[#This Row],[Rating C]])</f>
        <v>3.3333333333333335</v>
      </c>
    </row>
    <row r="374" spans="1:44" x14ac:dyDescent="0.2">
      <c r="A374" s="20">
        <v>373</v>
      </c>
      <c r="B374" s="21" t="str">
        <f>_xlfn.CONCAT("ORD-",INDEX(Helper!$B$2:$B$5,MATCH(cadangan[[#This Row],[Marketplace]],Helper!$A$2:$A$5,0)),TEXT(cadangan[[#This Row],[No]],"0000"),"-",TEXT(cadangan[[#This Row],[Tanggal terjual]],"dd/mm/yy"))</f>
        <v>ORD-TK0373-07/04/23</v>
      </c>
      <c r="C374" s="39" t="s">
        <v>59</v>
      </c>
      <c r="D374" s="39" t="str">
        <f>IFERROR(INDEX(Katalog!$A$3:$A$12,MATCH(cadangan[[#This Row],[ItemID A]],Katalog!$C$3:$C$12,0)),"-")</f>
        <v>Pakaian Wanita</v>
      </c>
      <c r="E374" s="39" t="str">
        <f>IFERROR(INDEX(Katalog!$B$3:$B$12,MATCH(cadangan[[#This Row],[ItemID A]],Katalog!$C$3:$C$12,0)),"-")</f>
        <v>Blouse</v>
      </c>
      <c r="F374" s="50">
        <v>1</v>
      </c>
      <c r="G374" s="50">
        <v>4</v>
      </c>
      <c r="H374" s="73">
        <f>IFERROR(INDEX(Katalog!$D$3:$D$12,MATCH(cadangan[[#This Row],[ItemID A]],Katalog!$C$3:$C$12,0))*cadangan[[#This Row],[Qty A]],0)</f>
        <v>150000</v>
      </c>
      <c r="I374" s="73">
        <f>IFERROR(cadangan[[#This Row],[Harga Normal A]]-(cadangan[[#This Row],[Harga Normal A]]*cadangan[[#This Row],[Diskon]]),cadangan[[#This Row],[Harga Normal A]])</f>
        <v>150000</v>
      </c>
      <c r="J374" s="73">
        <f>INDEX(Katalog!$F$3:$F$12,MATCH(cadangan[[#This Row],[ItemID A]],Katalog!$C$3:$C$12,0))*cadangan[[#This Row],[Qty A]]</f>
        <v>50000</v>
      </c>
      <c r="K374" s="73">
        <f>IFERROR(cadangan[[#This Row],[Harga Diskon A]]-INDEX(Katalog!$E$3:$E$12,MATCH(cadangan[[#This Row],[ItemID A]],Katalog!$C$3:$C$12,0))*cadangan[[#This Row],[Qty A]],0)</f>
        <v>50000</v>
      </c>
      <c r="L374" s="39" t="s">
        <v>64</v>
      </c>
      <c r="M374" s="39" t="str">
        <f>IFERROR(INDEX(Katalog!$A$3:$A$12,MATCH(cadangan[[#This Row],[ItemID B]],Katalog!$C$3:$C$12,0)),"-")</f>
        <v>Pakaian Unisex</v>
      </c>
      <c r="N374" s="39" t="str">
        <f>IFERROR(INDEX(Katalog!$B$3:$B$12,MATCH(cadangan[[#This Row],[ItemID B]],Katalog!$C$3:$C$12,0)),"-")</f>
        <v>Jaket Hoodie</v>
      </c>
      <c r="O374" s="50">
        <v>2</v>
      </c>
      <c r="P374" s="50">
        <v>3</v>
      </c>
      <c r="Q374" s="73">
        <f>IFERROR(INDEX(Katalog!$D$3:$D$12,MATCH(cadangan[[#This Row],[ItemID B]],Katalog!$C$3:$C$12,0))*cadangan[[#This Row],[Qty B]],0)</f>
        <v>700000</v>
      </c>
      <c r="R374" s="73">
        <f>IFERROR(cadangan[[#This Row],[Harga Normal B]]-(cadangan[[#This Row],[Harga Normal B]]*cadangan[[#This Row],[Diskon]]),cadangan[[#This Row],[Harga Normal B]])</f>
        <v>700000</v>
      </c>
      <c r="S374" s="73">
        <f>IFERROR(INDEX(Katalog!$F$3:$F$12,MATCH(cadangan[[#This Row],[ItemID B]],Katalog!$C$3:$C$12,0))*cadangan[[#This Row],[Qty B]],0)</f>
        <v>260000</v>
      </c>
      <c r="T374" s="73">
        <f>IFERROR(cadangan[[#This Row],[Harga Diskon B]]-INDEX(Katalog!$E$3:$E$12,MATCH(cadangan[[#This Row],[ItemID B]],Katalog!$C$3:$C$12,0))*cadangan[[#This Row],[Qty B]],0)</f>
        <v>260000</v>
      </c>
      <c r="V374" s="39" t="str">
        <f>IFERROR(INDEX(Katalog!$A$3:$A$12,MATCH(cadangan[[#This Row],[ItemID C]],Katalog!$C$3:$C$12,0)),"-")</f>
        <v>-</v>
      </c>
      <c r="W374" s="39" t="str">
        <f>IFERROR(INDEX(Katalog!$B$3:$B$12,MATCH(cadangan[[#This Row],[ItemID C]],Katalog!$C$3:$C$12,0)),"-")</f>
        <v>-</v>
      </c>
      <c r="Z374" s="73">
        <f>IFERROR(INDEX(Katalog!$D$3:$D$12,MATCH(cadangan[[#This Row],[ItemID C]],Katalog!$C$3:$C$12,0))*cadangan[[#This Row],[Qty C]],0)</f>
        <v>0</v>
      </c>
      <c r="AA374" s="73">
        <f>IFERROR(cadangan[[#This Row],[Harga Normal C]]-(cadangan[[#This Row],[Harga Normal C]]*cadangan[[#This Row],[Diskon]]),cadangan[[#This Row],[Harga Normal C]])</f>
        <v>0</v>
      </c>
      <c r="AB374" s="73">
        <f>IFERROR(INDEX(Katalog!$F$3:$F$12,MATCH(cadangan[[#This Row],[ItemID C]],Katalog!$C$3:$C$12,0))*cadangan[[#This Row],[Qty C]],0)</f>
        <v>0</v>
      </c>
      <c r="AC374" s="73">
        <f>IFERROR(cadangan[[#This Row],[Harga Diskon C]]-INDEX(Katalog!$E$3:$E$12,MATCH(cadangan[[#This Row],[ItemID C]],Katalog!$C$3:$C$12,0))*cadangan[[#This Row],[Qty C]],0)</f>
        <v>0</v>
      </c>
      <c r="AD374" s="53">
        <f>cadangan[[#This Row],[Qty A]]+cadangan[[#This Row],[Qty B]]+cadangan[[#This Row],[Qty C]]</f>
        <v>3</v>
      </c>
      <c r="AE374" s="73">
        <f>cadangan[[#This Row],[Harga Normal A]]+cadangan[[#This Row],[Harga Normal B]]+cadangan[[#This Row],[Harga Normal C]]</f>
        <v>850000</v>
      </c>
      <c r="AF374" s="73">
        <f>cadangan[[#This Row],[Harga Diskon A]]+cadangan[[#This Row],[Harga Diskon B]]+cadangan[[#This Row],[Harga Diskon C]]</f>
        <v>850000</v>
      </c>
      <c r="AG374" s="73">
        <f>(cadangan[[#This Row],[Profit Normal A]]+cadangan[[#This Row],[Profit Normal B]]+cadangan[[#This Row],[Profit Normal C]])</f>
        <v>310000</v>
      </c>
      <c r="AH374" s="73">
        <f>cadangan[[#This Row],[Profit Diskon A]]+cadangan[[#This Row],[Profit Diskon B]]+cadangan[[#This Row],[Profit Diskon C]]</f>
        <v>310000</v>
      </c>
      <c r="AI374" s="23" t="s">
        <v>290</v>
      </c>
      <c r="AJ374" s="37" t="str">
        <f>IFERROR(INDEX('Kode Diskon'!$D$3:$D$9,MATCH(cadangan[[#This Row],[Kode diskon]],'Kode Diskon'!$C$3:$C$9,0)),"-")</f>
        <v>-</v>
      </c>
      <c r="AK374" s="23" t="s">
        <v>290</v>
      </c>
      <c r="AL374" s="23" t="s">
        <v>10</v>
      </c>
      <c r="AM374" s="23" t="s">
        <v>80</v>
      </c>
      <c r="AN374" s="55">
        <v>45023</v>
      </c>
      <c r="AO374" s="53">
        <f>DAY(cadangan[[#This Row],[Tanggal terjual]])</f>
        <v>7</v>
      </c>
      <c r="AP374" s="21" t="str">
        <f>TEXT(cadangan[[#This Row],[Tanggal terjual]],"dddd")</f>
        <v>Friday</v>
      </c>
      <c r="AQ374" s="23" t="str" cm="1">
        <f t="array" ref="AQ3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74" s="61">
        <f>AVERAGE(cadangan[[#This Row],[Rating A]],cadangan[[#This Row],[Rating B]],cadangan[[#This Row],[Rating C]])</f>
        <v>3.5</v>
      </c>
    </row>
    <row r="375" spans="1:44" x14ac:dyDescent="0.2">
      <c r="A375" s="20">
        <v>374</v>
      </c>
      <c r="B375" s="21" t="str">
        <f>_xlfn.CONCAT("ORD-",INDEX(Helper!$B$2:$B$5,MATCH(cadangan[[#This Row],[Marketplace]],Helper!$A$2:$A$5,0)),TEXT(cadangan[[#This Row],[No]],"0000"),"-",TEXT(cadangan[[#This Row],[Tanggal terjual]],"dd/mm/yy"))</f>
        <v>ORD-TK0374-28/04/23</v>
      </c>
      <c r="C375" s="39" t="s">
        <v>64</v>
      </c>
      <c r="D375" s="39" t="str">
        <f>IFERROR(INDEX(Katalog!$A$3:$A$12,MATCH(cadangan[[#This Row],[ItemID A]],Katalog!$C$3:$C$12,0)),"-")</f>
        <v>Pakaian Unisex</v>
      </c>
      <c r="E375" s="39" t="str">
        <f>IFERROR(INDEX(Katalog!$B$3:$B$12,MATCH(cadangan[[#This Row],[ItemID A]],Katalog!$C$3:$C$12,0)),"-")</f>
        <v>Jaket Hoodie</v>
      </c>
      <c r="F375" s="50">
        <v>5</v>
      </c>
      <c r="G375" s="50">
        <v>2</v>
      </c>
      <c r="H375" s="73">
        <f>IFERROR(INDEX(Katalog!$D$3:$D$12,MATCH(cadangan[[#This Row],[ItemID A]],Katalog!$C$3:$C$12,0))*cadangan[[#This Row],[Qty A]],0)</f>
        <v>1750000</v>
      </c>
      <c r="I375" s="73">
        <f>IFERROR(cadangan[[#This Row],[Harga Normal A]]-(cadangan[[#This Row],[Harga Normal A]]*cadangan[[#This Row],[Diskon]]),cadangan[[#This Row],[Harga Normal A]])</f>
        <v>1575000</v>
      </c>
      <c r="J375" s="73">
        <f>INDEX(Katalog!$F$3:$F$12,MATCH(cadangan[[#This Row],[ItemID A]],Katalog!$C$3:$C$12,0))*cadangan[[#This Row],[Qty A]]</f>
        <v>650000</v>
      </c>
      <c r="K375" s="73">
        <f>IFERROR(cadangan[[#This Row],[Harga Diskon A]]-INDEX(Katalog!$E$3:$E$12,MATCH(cadangan[[#This Row],[ItemID A]],Katalog!$C$3:$C$12,0))*cadangan[[#This Row],[Qty A]],0)</f>
        <v>475000</v>
      </c>
      <c r="M375" s="39" t="str">
        <f>IFERROR(INDEX(Katalog!$A$3:$A$12,MATCH(cadangan[[#This Row],[ItemID B]],Katalog!$C$3:$C$12,0)),"-")</f>
        <v>-</v>
      </c>
      <c r="N375" s="39" t="str">
        <f>IFERROR(INDEX(Katalog!$B$3:$B$12,MATCH(cadangan[[#This Row],[ItemID B]],Katalog!$C$3:$C$12,0)),"-")</f>
        <v>-</v>
      </c>
      <c r="Q375" s="73">
        <f>IFERROR(INDEX(Katalog!$D$3:$D$12,MATCH(cadangan[[#This Row],[ItemID B]],Katalog!$C$3:$C$12,0))*cadangan[[#This Row],[Qty B]],0)</f>
        <v>0</v>
      </c>
      <c r="R375" s="73">
        <f>IFERROR(cadangan[[#This Row],[Harga Normal B]]-(cadangan[[#This Row],[Harga Normal B]]*cadangan[[#This Row],[Diskon]]),cadangan[[#This Row],[Harga Normal B]])</f>
        <v>0</v>
      </c>
      <c r="S375" s="73">
        <f>IFERROR(INDEX(Katalog!$F$3:$F$12,MATCH(cadangan[[#This Row],[ItemID B]],Katalog!$C$3:$C$12,0))*cadangan[[#This Row],[Qty B]],0)</f>
        <v>0</v>
      </c>
      <c r="T375" s="73">
        <f>IFERROR(cadangan[[#This Row],[Harga Diskon B]]-INDEX(Katalog!$E$3:$E$12,MATCH(cadangan[[#This Row],[ItemID B]],Katalog!$C$3:$C$12,0))*cadangan[[#This Row],[Qty B]],0)</f>
        <v>0</v>
      </c>
      <c r="V375" s="39" t="str">
        <f>IFERROR(INDEX(Katalog!$A$3:$A$12,MATCH(cadangan[[#This Row],[ItemID C]],Katalog!$C$3:$C$12,0)),"-")</f>
        <v>-</v>
      </c>
      <c r="W375" s="39" t="str">
        <f>IFERROR(INDEX(Katalog!$B$3:$B$12,MATCH(cadangan[[#This Row],[ItemID C]],Katalog!$C$3:$C$12,0)),"-")</f>
        <v>-</v>
      </c>
      <c r="Z375" s="73">
        <f>IFERROR(INDEX(Katalog!$D$3:$D$12,MATCH(cadangan[[#This Row],[ItemID C]],Katalog!$C$3:$C$12,0))*cadangan[[#This Row],[Qty C]],0)</f>
        <v>0</v>
      </c>
      <c r="AA375" s="73">
        <f>IFERROR(cadangan[[#This Row],[Harga Normal C]]-(cadangan[[#This Row],[Harga Normal C]]*cadangan[[#This Row],[Diskon]]),cadangan[[#This Row],[Harga Normal C]])</f>
        <v>0</v>
      </c>
      <c r="AB375" s="73">
        <f>IFERROR(INDEX(Katalog!$F$3:$F$12,MATCH(cadangan[[#This Row],[ItemID C]],Katalog!$C$3:$C$12,0))*cadangan[[#This Row],[Qty C]],0)</f>
        <v>0</v>
      </c>
      <c r="AC375" s="73">
        <f>IFERROR(cadangan[[#This Row],[Harga Diskon C]]-INDEX(Katalog!$E$3:$E$12,MATCH(cadangan[[#This Row],[ItemID C]],Katalog!$C$3:$C$12,0))*cadangan[[#This Row],[Qty C]],0)</f>
        <v>0</v>
      </c>
      <c r="AD375" s="53">
        <f>cadangan[[#This Row],[Qty A]]+cadangan[[#This Row],[Qty B]]+cadangan[[#This Row],[Qty C]]</f>
        <v>5</v>
      </c>
      <c r="AE375" s="73">
        <f>cadangan[[#This Row],[Harga Normal A]]+cadangan[[#This Row],[Harga Normal B]]+cadangan[[#This Row],[Harga Normal C]]</f>
        <v>1750000</v>
      </c>
      <c r="AF375" s="73">
        <f>cadangan[[#This Row],[Harga Diskon A]]+cadangan[[#This Row],[Harga Diskon B]]+cadangan[[#This Row],[Harga Diskon C]]</f>
        <v>1575000</v>
      </c>
      <c r="AG375" s="73">
        <f>(cadangan[[#This Row],[Profit Normal A]]+cadangan[[#This Row],[Profit Normal B]]+cadangan[[#This Row],[Profit Normal C]])</f>
        <v>650000</v>
      </c>
      <c r="AH375" s="73">
        <f>cadangan[[#This Row],[Profit Diskon A]]+cadangan[[#This Row],[Profit Diskon B]]+cadangan[[#This Row],[Profit Diskon C]]</f>
        <v>475000</v>
      </c>
      <c r="AI375" s="23" t="s">
        <v>31</v>
      </c>
      <c r="AJ375" s="37">
        <f>IFERROR(INDEX('Kode Diskon'!$D$3:$D$9,MATCH(cadangan[[#This Row],[Kode diskon]],'Kode Diskon'!$C$3:$C$9,0)),"-")</f>
        <v>0.1</v>
      </c>
      <c r="AK375" s="23" t="s">
        <v>9</v>
      </c>
      <c r="AL375" s="23" t="s">
        <v>10</v>
      </c>
      <c r="AM375" s="23" t="s">
        <v>75</v>
      </c>
      <c r="AN375" s="55">
        <v>45044</v>
      </c>
      <c r="AO375" s="53">
        <f>DAY(cadangan[[#This Row],[Tanggal terjual]])</f>
        <v>28</v>
      </c>
      <c r="AP375" s="21" t="str">
        <f>TEXT(cadangan[[#This Row],[Tanggal terjual]],"dddd")</f>
        <v>Friday</v>
      </c>
      <c r="AQ375" s="23" t="str" cm="1">
        <f t="array" ref="AQ3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75" s="61">
        <f>AVERAGE(cadangan[[#This Row],[Rating A]],cadangan[[#This Row],[Rating B]],cadangan[[#This Row],[Rating C]])</f>
        <v>2</v>
      </c>
    </row>
    <row r="376" spans="1:44" x14ac:dyDescent="0.2">
      <c r="A376" s="20">
        <v>375</v>
      </c>
      <c r="B376" s="21" t="str">
        <f>_xlfn.CONCAT("ORD-",INDEX(Helper!$B$2:$B$5,MATCH(cadangan[[#This Row],[Marketplace]],Helper!$A$2:$A$5,0)),TEXT(cadangan[[#This Row],[No]],"0000"),"-",TEXT(cadangan[[#This Row],[Tanggal terjual]],"dd/mm/yy"))</f>
        <v>ORD-BB0375-01/04/23</v>
      </c>
      <c r="C376" s="39" t="s">
        <v>61</v>
      </c>
      <c r="D376" s="39" t="str">
        <f>IFERROR(INDEX(Katalog!$A$3:$A$12,MATCH(cadangan[[#This Row],[ItemID A]],Katalog!$C$3:$C$12,0)),"-")</f>
        <v>Pakaian Pria</v>
      </c>
      <c r="E376" s="39" t="str">
        <f>IFERROR(INDEX(Katalog!$B$3:$B$12,MATCH(cadangan[[#This Row],[ItemID A]],Katalog!$C$3:$C$12,0)),"-")</f>
        <v>Kaos Polo</v>
      </c>
      <c r="F376" s="50">
        <v>4</v>
      </c>
      <c r="G376" s="50">
        <v>3</v>
      </c>
      <c r="H376" s="73">
        <f>IFERROR(INDEX(Katalog!$D$3:$D$12,MATCH(cadangan[[#This Row],[ItemID A]],Katalog!$C$3:$C$12,0))*cadangan[[#This Row],[Qty A]],0)</f>
        <v>800000</v>
      </c>
      <c r="I376" s="73">
        <f>IFERROR(cadangan[[#This Row],[Harga Normal A]]-(cadangan[[#This Row],[Harga Normal A]]*cadangan[[#This Row],[Diskon]]),cadangan[[#This Row],[Harga Normal A]])</f>
        <v>680000</v>
      </c>
      <c r="J376" s="73">
        <f>INDEX(Katalog!$F$3:$F$12,MATCH(cadangan[[#This Row],[ItemID A]],Katalog!$C$3:$C$12,0))*cadangan[[#This Row],[Qty A]]</f>
        <v>320000</v>
      </c>
      <c r="K376" s="73">
        <f>IFERROR(cadangan[[#This Row],[Harga Diskon A]]-INDEX(Katalog!$E$3:$E$12,MATCH(cadangan[[#This Row],[ItemID A]],Katalog!$C$3:$C$12,0))*cadangan[[#This Row],[Qty A]],0)</f>
        <v>200000</v>
      </c>
      <c r="M376" s="39" t="str">
        <f>IFERROR(INDEX(Katalog!$A$3:$A$12,MATCH(cadangan[[#This Row],[ItemID B]],Katalog!$C$3:$C$12,0)),"-")</f>
        <v>-</v>
      </c>
      <c r="N376" s="39" t="str">
        <f>IFERROR(INDEX(Katalog!$B$3:$B$12,MATCH(cadangan[[#This Row],[ItemID B]],Katalog!$C$3:$C$12,0)),"-")</f>
        <v>-</v>
      </c>
      <c r="Q376" s="73">
        <f>IFERROR(INDEX(Katalog!$D$3:$D$12,MATCH(cadangan[[#This Row],[ItemID B]],Katalog!$C$3:$C$12,0))*cadangan[[#This Row],[Qty B]],0)</f>
        <v>0</v>
      </c>
      <c r="R376" s="73">
        <f>IFERROR(cadangan[[#This Row],[Harga Normal B]]-(cadangan[[#This Row],[Harga Normal B]]*cadangan[[#This Row],[Diskon]]),cadangan[[#This Row],[Harga Normal B]])</f>
        <v>0</v>
      </c>
      <c r="S376" s="73">
        <f>IFERROR(INDEX(Katalog!$F$3:$F$12,MATCH(cadangan[[#This Row],[ItemID B]],Katalog!$C$3:$C$12,0))*cadangan[[#This Row],[Qty B]],0)</f>
        <v>0</v>
      </c>
      <c r="T376" s="73">
        <f>IFERROR(cadangan[[#This Row],[Harga Diskon B]]-INDEX(Katalog!$E$3:$E$12,MATCH(cadangan[[#This Row],[ItemID B]],Katalog!$C$3:$C$12,0))*cadangan[[#This Row],[Qty B]],0)</f>
        <v>0</v>
      </c>
      <c r="V376" s="39" t="str">
        <f>IFERROR(INDEX(Katalog!$A$3:$A$12,MATCH(cadangan[[#This Row],[ItemID C]],Katalog!$C$3:$C$12,0)),"-")</f>
        <v>-</v>
      </c>
      <c r="W376" s="39" t="str">
        <f>IFERROR(INDEX(Katalog!$B$3:$B$12,MATCH(cadangan[[#This Row],[ItemID C]],Katalog!$C$3:$C$12,0)),"-")</f>
        <v>-</v>
      </c>
      <c r="Z376" s="73">
        <f>IFERROR(INDEX(Katalog!$D$3:$D$12,MATCH(cadangan[[#This Row],[ItemID C]],Katalog!$C$3:$C$12,0))*cadangan[[#This Row],[Qty C]],0)</f>
        <v>0</v>
      </c>
      <c r="AA376" s="73">
        <f>IFERROR(cadangan[[#This Row],[Harga Normal C]]-(cadangan[[#This Row],[Harga Normal C]]*cadangan[[#This Row],[Diskon]]),cadangan[[#This Row],[Harga Normal C]])</f>
        <v>0</v>
      </c>
      <c r="AB376" s="73">
        <f>IFERROR(INDEX(Katalog!$F$3:$F$12,MATCH(cadangan[[#This Row],[ItemID C]],Katalog!$C$3:$C$12,0))*cadangan[[#This Row],[Qty C]],0)</f>
        <v>0</v>
      </c>
      <c r="AC376" s="73">
        <f>IFERROR(cadangan[[#This Row],[Harga Diskon C]]-INDEX(Katalog!$E$3:$E$12,MATCH(cadangan[[#This Row],[ItemID C]],Katalog!$C$3:$C$12,0))*cadangan[[#This Row],[Qty C]],0)</f>
        <v>0</v>
      </c>
      <c r="AD376" s="53">
        <f>cadangan[[#This Row],[Qty A]]+cadangan[[#This Row],[Qty B]]+cadangan[[#This Row],[Qty C]]</f>
        <v>4</v>
      </c>
      <c r="AE376" s="73">
        <f>cadangan[[#This Row],[Harga Normal A]]+cadangan[[#This Row],[Harga Normal B]]+cadangan[[#This Row],[Harga Normal C]]</f>
        <v>800000</v>
      </c>
      <c r="AF376" s="73">
        <f>cadangan[[#This Row],[Harga Diskon A]]+cadangan[[#This Row],[Harga Diskon B]]+cadangan[[#This Row],[Harga Diskon C]]</f>
        <v>680000</v>
      </c>
      <c r="AG376" s="73">
        <f>(cadangan[[#This Row],[Profit Normal A]]+cadangan[[#This Row],[Profit Normal B]]+cadangan[[#This Row],[Profit Normal C]])</f>
        <v>320000</v>
      </c>
      <c r="AH376" s="73">
        <f>cadangan[[#This Row],[Profit Diskon A]]+cadangan[[#This Row],[Profit Diskon B]]+cadangan[[#This Row],[Profit Diskon C]]</f>
        <v>200000</v>
      </c>
      <c r="AI376" s="23" t="s">
        <v>28</v>
      </c>
      <c r="AJ376" s="37">
        <f>IFERROR(INDEX('Kode Diskon'!$D$3:$D$9,MATCH(cadangan[[#This Row],[Kode diskon]],'Kode Diskon'!$C$3:$C$9,0)),"-")</f>
        <v>0.15</v>
      </c>
      <c r="AK376" s="23" t="s">
        <v>29</v>
      </c>
      <c r="AL376" s="23" t="s">
        <v>14</v>
      </c>
      <c r="AM376" s="23" t="s">
        <v>78</v>
      </c>
      <c r="AN376" s="55">
        <v>45017</v>
      </c>
      <c r="AO376" s="53">
        <f>DAY(cadangan[[#This Row],[Tanggal terjual]])</f>
        <v>1</v>
      </c>
      <c r="AP376" s="21" t="str">
        <f>TEXT(cadangan[[#This Row],[Tanggal terjual]],"dddd")</f>
        <v>Saturday</v>
      </c>
      <c r="AQ376" s="23" t="str" cm="1">
        <f t="array" ref="AQ3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76" s="61">
        <f>AVERAGE(cadangan[[#This Row],[Rating A]],cadangan[[#This Row],[Rating B]],cadangan[[#This Row],[Rating C]])</f>
        <v>3</v>
      </c>
    </row>
    <row r="377" spans="1:44" x14ac:dyDescent="0.2">
      <c r="A377" s="20">
        <v>376</v>
      </c>
      <c r="B377" s="21" t="str">
        <f>_xlfn.CONCAT("ORD-",INDEX(Helper!$B$2:$B$5,MATCH(cadangan[[#This Row],[Marketplace]],Helper!$A$2:$A$5,0)),TEXT(cadangan[[#This Row],[No]],"0000"),"-",TEXT(cadangan[[#This Row],[Tanggal terjual]],"dd/mm/yy"))</f>
        <v>ORD-BL0376-20/04/23</v>
      </c>
      <c r="C377" s="39" t="s">
        <v>67</v>
      </c>
      <c r="D377" s="39" t="str">
        <f>IFERROR(INDEX(Katalog!$A$3:$A$12,MATCH(cadangan[[#This Row],[ItemID A]],Katalog!$C$3:$C$12,0)),"-")</f>
        <v>Sepatu Wanita</v>
      </c>
      <c r="E377" s="39" t="str">
        <f>IFERROR(INDEX(Katalog!$B$3:$B$12,MATCH(cadangan[[#This Row],[ItemID A]],Katalog!$C$3:$C$12,0)),"-")</f>
        <v>Flat Shoes</v>
      </c>
      <c r="F377" s="50">
        <v>1</v>
      </c>
      <c r="G377" s="50">
        <v>1</v>
      </c>
      <c r="H377" s="73">
        <f>IFERROR(INDEX(Katalog!$D$3:$D$12,MATCH(cadangan[[#This Row],[ItemID A]],Katalog!$C$3:$C$12,0))*cadangan[[#This Row],[Qty A]],0)</f>
        <v>250000</v>
      </c>
      <c r="I377" s="73">
        <f>IFERROR(cadangan[[#This Row],[Harga Normal A]]-(cadangan[[#This Row],[Harga Normal A]]*cadangan[[#This Row],[Diskon]]),cadangan[[#This Row],[Harga Normal A]])</f>
        <v>212500</v>
      </c>
      <c r="J377" s="73">
        <f>INDEX(Katalog!$F$3:$F$12,MATCH(cadangan[[#This Row],[ItemID A]],Katalog!$C$3:$C$12,0))*cadangan[[#This Row],[Qty A]]</f>
        <v>100000</v>
      </c>
      <c r="K377" s="73">
        <f>IFERROR(cadangan[[#This Row],[Harga Diskon A]]-INDEX(Katalog!$E$3:$E$12,MATCH(cadangan[[#This Row],[ItemID A]],Katalog!$C$3:$C$12,0))*cadangan[[#This Row],[Qty A]],0)</f>
        <v>62500</v>
      </c>
      <c r="M377" s="39" t="str">
        <f>IFERROR(INDEX(Katalog!$A$3:$A$12,MATCH(cadangan[[#This Row],[ItemID B]],Katalog!$C$3:$C$12,0)),"-")</f>
        <v>-</v>
      </c>
      <c r="N377" s="39" t="str">
        <f>IFERROR(INDEX(Katalog!$B$3:$B$12,MATCH(cadangan[[#This Row],[ItemID B]],Katalog!$C$3:$C$12,0)),"-")</f>
        <v>-</v>
      </c>
      <c r="Q377" s="73">
        <f>IFERROR(INDEX(Katalog!$D$3:$D$12,MATCH(cadangan[[#This Row],[ItemID B]],Katalog!$C$3:$C$12,0))*cadangan[[#This Row],[Qty B]],0)</f>
        <v>0</v>
      </c>
      <c r="R377" s="73">
        <f>IFERROR(cadangan[[#This Row],[Harga Normal B]]-(cadangan[[#This Row],[Harga Normal B]]*cadangan[[#This Row],[Diskon]]),cadangan[[#This Row],[Harga Normal B]])</f>
        <v>0</v>
      </c>
      <c r="S377" s="73">
        <f>IFERROR(INDEX(Katalog!$F$3:$F$12,MATCH(cadangan[[#This Row],[ItemID B]],Katalog!$C$3:$C$12,0))*cadangan[[#This Row],[Qty B]],0)</f>
        <v>0</v>
      </c>
      <c r="T377" s="73">
        <f>IFERROR(cadangan[[#This Row],[Harga Diskon B]]-INDEX(Katalog!$E$3:$E$12,MATCH(cadangan[[#This Row],[ItemID B]],Katalog!$C$3:$C$12,0))*cadangan[[#This Row],[Qty B]],0)</f>
        <v>0</v>
      </c>
      <c r="V377" s="39" t="str">
        <f>IFERROR(INDEX(Katalog!$A$3:$A$12,MATCH(cadangan[[#This Row],[ItemID C]],Katalog!$C$3:$C$12,0)),"-")</f>
        <v>-</v>
      </c>
      <c r="W377" s="39" t="str">
        <f>IFERROR(INDEX(Katalog!$B$3:$B$12,MATCH(cadangan[[#This Row],[ItemID C]],Katalog!$C$3:$C$12,0)),"-")</f>
        <v>-</v>
      </c>
      <c r="Z377" s="73">
        <f>IFERROR(INDEX(Katalog!$D$3:$D$12,MATCH(cadangan[[#This Row],[ItemID C]],Katalog!$C$3:$C$12,0))*cadangan[[#This Row],[Qty C]],0)</f>
        <v>0</v>
      </c>
      <c r="AA377" s="73">
        <f>IFERROR(cadangan[[#This Row],[Harga Normal C]]-(cadangan[[#This Row],[Harga Normal C]]*cadangan[[#This Row],[Diskon]]),cadangan[[#This Row],[Harga Normal C]])</f>
        <v>0</v>
      </c>
      <c r="AB377" s="73">
        <f>IFERROR(INDEX(Katalog!$F$3:$F$12,MATCH(cadangan[[#This Row],[ItemID C]],Katalog!$C$3:$C$12,0))*cadangan[[#This Row],[Qty C]],0)</f>
        <v>0</v>
      </c>
      <c r="AC377" s="73">
        <f>IFERROR(cadangan[[#This Row],[Harga Diskon C]]-INDEX(Katalog!$E$3:$E$12,MATCH(cadangan[[#This Row],[ItemID C]],Katalog!$C$3:$C$12,0))*cadangan[[#This Row],[Qty C]],0)</f>
        <v>0</v>
      </c>
      <c r="AD377" s="53">
        <f>cadangan[[#This Row],[Qty A]]+cadangan[[#This Row],[Qty B]]+cadangan[[#This Row],[Qty C]]</f>
        <v>1</v>
      </c>
      <c r="AE377" s="73">
        <f>cadangan[[#This Row],[Harga Normal A]]+cadangan[[#This Row],[Harga Normal B]]+cadangan[[#This Row],[Harga Normal C]]</f>
        <v>250000</v>
      </c>
      <c r="AF377" s="73">
        <f>cadangan[[#This Row],[Harga Diskon A]]+cadangan[[#This Row],[Harga Diskon B]]+cadangan[[#This Row],[Harga Diskon C]]</f>
        <v>212500</v>
      </c>
      <c r="AG377" s="73">
        <f>(cadangan[[#This Row],[Profit Normal A]]+cadangan[[#This Row],[Profit Normal B]]+cadangan[[#This Row],[Profit Normal C]])</f>
        <v>100000</v>
      </c>
      <c r="AH377" s="73">
        <f>cadangan[[#This Row],[Profit Diskon A]]+cadangan[[#This Row],[Profit Diskon B]]+cadangan[[#This Row],[Profit Diskon C]]</f>
        <v>62500</v>
      </c>
      <c r="AI377" s="23" t="s">
        <v>32</v>
      </c>
      <c r="AJ377" s="37">
        <f>IFERROR(INDEX('Kode Diskon'!$D$3:$D$9,MATCH(cadangan[[#This Row],[Kode diskon]],'Kode Diskon'!$C$3:$C$9,0)),"-")</f>
        <v>0.15</v>
      </c>
      <c r="AK377" s="23" t="s">
        <v>9</v>
      </c>
      <c r="AL377" s="23" t="s">
        <v>12</v>
      </c>
      <c r="AM377" s="23" t="s">
        <v>80</v>
      </c>
      <c r="AN377" s="55">
        <v>45036</v>
      </c>
      <c r="AO377" s="53">
        <f>DAY(cadangan[[#This Row],[Tanggal terjual]])</f>
        <v>20</v>
      </c>
      <c r="AP377" s="21" t="str">
        <f>TEXT(cadangan[[#This Row],[Tanggal terjual]],"dddd")</f>
        <v>Thursday</v>
      </c>
      <c r="AQ377" s="23" t="str" cm="1">
        <f t="array" ref="AQ3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77" s="61">
        <f>AVERAGE(cadangan[[#This Row],[Rating A]],cadangan[[#This Row],[Rating B]],cadangan[[#This Row],[Rating C]])</f>
        <v>1</v>
      </c>
    </row>
    <row r="378" spans="1:44" x14ac:dyDescent="0.2">
      <c r="A378" s="20">
        <v>377</v>
      </c>
      <c r="B378" s="21" t="str">
        <f>_xlfn.CONCAT("ORD-",INDEX(Helper!$B$2:$B$5,MATCH(cadangan[[#This Row],[Marketplace]],Helper!$A$2:$A$5,0)),TEXT(cadangan[[#This Row],[No]],"0000"),"-",TEXT(cadangan[[#This Row],[Tanggal terjual]],"dd/mm/yy"))</f>
        <v>ORD-SP0377-26/04/23</v>
      </c>
      <c r="C378" s="39" t="s">
        <v>58</v>
      </c>
      <c r="D378" s="39" t="str">
        <f>IFERROR(INDEX(Katalog!$A$3:$A$12,MATCH(cadangan[[#This Row],[ItemID A]],Katalog!$C$3:$C$12,0)),"-")</f>
        <v>Pakaian Wanita</v>
      </c>
      <c r="E378" s="39" t="str">
        <f>IFERROR(INDEX(Katalog!$B$3:$B$12,MATCH(cadangan[[#This Row],[ItemID A]],Katalog!$C$3:$C$12,0)),"-")</f>
        <v>Dress</v>
      </c>
      <c r="F378" s="50">
        <v>2</v>
      </c>
      <c r="G378" s="50">
        <v>1</v>
      </c>
      <c r="H378" s="73">
        <f>IFERROR(INDEX(Katalog!$D$3:$D$12,MATCH(cadangan[[#This Row],[ItemID A]],Katalog!$C$3:$C$12,0))*cadangan[[#This Row],[Qty A]],0)</f>
        <v>600000</v>
      </c>
      <c r="I378" s="73">
        <f>IFERROR(cadangan[[#This Row],[Harga Normal A]]-(cadangan[[#This Row],[Harga Normal A]]*cadangan[[#This Row],[Diskon]]),cadangan[[#This Row],[Harga Normal A]])</f>
        <v>480000</v>
      </c>
      <c r="J378" s="73">
        <f>INDEX(Katalog!$F$3:$F$12,MATCH(cadangan[[#This Row],[ItemID A]],Katalog!$C$3:$C$12,0))*cadangan[[#This Row],[Qty A]]</f>
        <v>200000</v>
      </c>
      <c r="K378" s="73">
        <f>IFERROR(cadangan[[#This Row],[Harga Diskon A]]-INDEX(Katalog!$E$3:$E$12,MATCH(cadangan[[#This Row],[ItemID A]],Katalog!$C$3:$C$12,0))*cadangan[[#This Row],[Qty A]],0)</f>
        <v>80000</v>
      </c>
      <c r="L378" s="39" t="s">
        <v>65</v>
      </c>
      <c r="M378" s="39" t="str">
        <f>IFERROR(INDEX(Katalog!$A$3:$A$12,MATCH(cadangan[[#This Row],[ItemID B]],Katalog!$C$3:$C$12,0)),"-")</f>
        <v>Sepatu Pria</v>
      </c>
      <c r="N378" s="39" t="str">
        <f>IFERROR(INDEX(Katalog!$B$3:$B$12,MATCH(cadangan[[#This Row],[ItemID B]],Katalog!$C$3:$C$12,0)),"-")</f>
        <v>Sneakers</v>
      </c>
      <c r="O378" s="50">
        <v>4</v>
      </c>
      <c r="P378" s="50">
        <v>3</v>
      </c>
      <c r="Q378" s="73">
        <f>IFERROR(INDEX(Katalog!$D$3:$D$12,MATCH(cadangan[[#This Row],[ItemID B]],Katalog!$C$3:$C$12,0))*cadangan[[#This Row],[Qty B]],0)</f>
        <v>2000000</v>
      </c>
      <c r="R378" s="73">
        <f>IFERROR(cadangan[[#This Row],[Harga Normal B]]-(cadangan[[#This Row],[Harga Normal B]]*cadangan[[#This Row],[Diskon]]),cadangan[[#This Row],[Harga Normal B]])</f>
        <v>1600000</v>
      </c>
      <c r="S378" s="73">
        <f>IFERROR(INDEX(Katalog!$F$3:$F$12,MATCH(cadangan[[#This Row],[ItemID B]],Katalog!$C$3:$C$12,0))*cadangan[[#This Row],[Qty B]],0)</f>
        <v>800000</v>
      </c>
      <c r="T378" s="73">
        <f>IFERROR(cadangan[[#This Row],[Harga Diskon B]]-INDEX(Katalog!$E$3:$E$12,MATCH(cadangan[[#This Row],[ItemID B]],Katalog!$C$3:$C$12,0))*cadangan[[#This Row],[Qty B]],0)</f>
        <v>400000</v>
      </c>
      <c r="V378" s="39" t="str">
        <f>IFERROR(INDEX(Katalog!$A$3:$A$12,MATCH(cadangan[[#This Row],[ItemID C]],Katalog!$C$3:$C$12,0)),"-")</f>
        <v>-</v>
      </c>
      <c r="W378" s="39" t="str">
        <f>IFERROR(INDEX(Katalog!$B$3:$B$12,MATCH(cadangan[[#This Row],[ItemID C]],Katalog!$C$3:$C$12,0)),"-")</f>
        <v>-</v>
      </c>
      <c r="Z378" s="73">
        <f>IFERROR(INDEX(Katalog!$D$3:$D$12,MATCH(cadangan[[#This Row],[ItemID C]],Katalog!$C$3:$C$12,0))*cadangan[[#This Row],[Qty C]],0)</f>
        <v>0</v>
      </c>
      <c r="AA378" s="73">
        <f>IFERROR(cadangan[[#This Row],[Harga Normal C]]-(cadangan[[#This Row],[Harga Normal C]]*cadangan[[#This Row],[Diskon]]),cadangan[[#This Row],[Harga Normal C]])</f>
        <v>0</v>
      </c>
      <c r="AB378" s="73">
        <f>IFERROR(INDEX(Katalog!$F$3:$F$12,MATCH(cadangan[[#This Row],[ItemID C]],Katalog!$C$3:$C$12,0))*cadangan[[#This Row],[Qty C]],0)</f>
        <v>0</v>
      </c>
      <c r="AC378" s="73">
        <f>IFERROR(cadangan[[#This Row],[Harga Diskon C]]-INDEX(Katalog!$E$3:$E$12,MATCH(cadangan[[#This Row],[ItemID C]],Katalog!$C$3:$C$12,0))*cadangan[[#This Row],[Qty C]],0)</f>
        <v>0</v>
      </c>
      <c r="AD378" s="53">
        <f>cadangan[[#This Row],[Qty A]]+cadangan[[#This Row],[Qty B]]+cadangan[[#This Row],[Qty C]]</f>
        <v>6</v>
      </c>
      <c r="AE378" s="73">
        <f>cadangan[[#This Row],[Harga Normal A]]+cadangan[[#This Row],[Harga Normal B]]+cadangan[[#This Row],[Harga Normal C]]</f>
        <v>2600000</v>
      </c>
      <c r="AF378" s="73">
        <f>cadangan[[#This Row],[Harga Diskon A]]+cadangan[[#This Row],[Harga Diskon B]]+cadangan[[#This Row],[Harga Diskon C]]</f>
        <v>2080000</v>
      </c>
      <c r="AG378" s="73">
        <f>(cadangan[[#This Row],[Profit Normal A]]+cadangan[[#This Row],[Profit Normal B]]+cadangan[[#This Row],[Profit Normal C]])</f>
        <v>1000000</v>
      </c>
      <c r="AH378" s="73">
        <f>cadangan[[#This Row],[Profit Diskon A]]+cadangan[[#This Row],[Profit Diskon B]]+cadangan[[#This Row],[Profit Diskon C]]</f>
        <v>480000</v>
      </c>
      <c r="AI378" s="23" t="s">
        <v>8</v>
      </c>
      <c r="AJ378" s="37">
        <f>IFERROR(INDEX('Kode Diskon'!$D$3:$D$9,MATCH(cadangan[[#This Row],[Kode diskon]],'Kode Diskon'!$C$3:$C$9,0)),"-")</f>
        <v>0.2</v>
      </c>
      <c r="AK378" s="23" t="s">
        <v>9</v>
      </c>
      <c r="AL378" s="23" t="s">
        <v>7</v>
      </c>
      <c r="AM378" s="23" t="s">
        <v>80</v>
      </c>
      <c r="AN378" s="55">
        <v>45042</v>
      </c>
      <c r="AO378" s="53">
        <f>DAY(cadangan[[#This Row],[Tanggal terjual]])</f>
        <v>26</v>
      </c>
      <c r="AP378" s="21" t="str">
        <f>TEXT(cadangan[[#This Row],[Tanggal terjual]],"dddd")</f>
        <v>Wednesday</v>
      </c>
      <c r="AQ378" s="23" t="str" cm="1">
        <f t="array" ref="AQ3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78" s="61">
        <f>AVERAGE(cadangan[[#This Row],[Rating A]],cadangan[[#This Row],[Rating B]],cadangan[[#This Row],[Rating C]])</f>
        <v>2</v>
      </c>
    </row>
    <row r="379" spans="1:44" x14ac:dyDescent="0.2">
      <c r="A379" s="20">
        <v>378</v>
      </c>
      <c r="B379" s="21" t="str">
        <f>_xlfn.CONCAT("ORD-",INDEX(Helper!$B$2:$B$5,MATCH(cadangan[[#This Row],[Marketplace]],Helper!$A$2:$A$5,0)),TEXT(cadangan[[#This Row],[No]],"0000"),"-",TEXT(cadangan[[#This Row],[Tanggal terjual]],"dd/mm/yy"))</f>
        <v>ORD-TK0378-25/04/23</v>
      </c>
      <c r="C379" s="39" t="s">
        <v>67</v>
      </c>
      <c r="D379" s="39" t="str">
        <f>IFERROR(INDEX(Katalog!$A$3:$A$12,MATCH(cadangan[[#This Row],[ItemID A]],Katalog!$C$3:$C$12,0)),"-")</f>
        <v>Sepatu Wanita</v>
      </c>
      <c r="E379" s="39" t="str">
        <f>IFERROR(INDEX(Katalog!$B$3:$B$12,MATCH(cadangan[[#This Row],[ItemID A]],Katalog!$C$3:$C$12,0)),"-")</f>
        <v>Flat Shoes</v>
      </c>
      <c r="F379" s="50">
        <v>3</v>
      </c>
      <c r="G379" s="50">
        <v>4</v>
      </c>
      <c r="H379" s="73">
        <f>IFERROR(INDEX(Katalog!$D$3:$D$12,MATCH(cadangan[[#This Row],[ItemID A]],Katalog!$C$3:$C$12,0))*cadangan[[#This Row],[Qty A]],0)</f>
        <v>750000</v>
      </c>
      <c r="I379" s="73">
        <f>IFERROR(cadangan[[#This Row],[Harga Normal A]]-(cadangan[[#This Row],[Harga Normal A]]*cadangan[[#This Row],[Diskon]]),cadangan[[#This Row],[Harga Normal A]])</f>
        <v>675000</v>
      </c>
      <c r="J379" s="73">
        <f>INDEX(Katalog!$F$3:$F$12,MATCH(cadangan[[#This Row],[ItemID A]],Katalog!$C$3:$C$12,0))*cadangan[[#This Row],[Qty A]]</f>
        <v>300000</v>
      </c>
      <c r="K379" s="73">
        <f>IFERROR(cadangan[[#This Row],[Harga Diskon A]]-INDEX(Katalog!$E$3:$E$12,MATCH(cadangan[[#This Row],[ItemID A]],Katalog!$C$3:$C$12,0))*cadangan[[#This Row],[Qty A]],0)</f>
        <v>225000</v>
      </c>
      <c r="L379" s="39" t="s">
        <v>63</v>
      </c>
      <c r="M379" s="39" t="str">
        <f>IFERROR(INDEX(Katalog!$A$3:$A$12,MATCH(cadangan[[#This Row],[ItemID B]],Katalog!$C$3:$C$12,0)),"-")</f>
        <v>Pakaian Pria</v>
      </c>
      <c r="N379" s="39" t="str">
        <f>IFERROR(INDEX(Katalog!$B$3:$B$12,MATCH(cadangan[[#This Row],[ItemID B]],Katalog!$C$3:$C$12,0)),"-")</f>
        <v>Jaket Jeans</v>
      </c>
      <c r="O379" s="50">
        <v>2</v>
      </c>
      <c r="P379" s="50">
        <v>5</v>
      </c>
      <c r="Q379" s="73">
        <f>IFERROR(INDEX(Katalog!$D$3:$D$12,MATCH(cadangan[[#This Row],[ItemID B]],Katalog!$C$3:$C$12,0))*cadangan[[#This Row],[Qty B]],0)</f>
        <v>800000</v>
      </c>
      <c r="R379" s="73">
        <f>IFERROR(cadangan[[#This Row],[Harga Normal B]]-(cadangan[[#This Row],[Harga Normal B]]*cadangan[[#This Row],[Diskon]]),cadangan[[#This Row],[Harga Normal B]])</f>
        <v>720000</v>
      </c>
      <c r="S379" s="73">
        <f>IFERROR(INDEX(Katalog!$F$3:$F$12,MATCH(cadangan[[#This Row],[ItemID B]],Katalog!$C$3:$C$12,0))*cadangan[[#This Row],[Qty B]],0)</f>
        <v>300000</v>
      </c>
      <c r="T379" s="73">
        <f>IFERROR(cadangan[[#This Row],[Harga Diskon B]]-INDEX(Katalog!$E$3:$E$12,MATCH(cadangan[[#This Row],[ItemID B]],Katalog!$C$3:$C$12,0))*cadangan[[#This Row],[Qty B]],0)</f>
        <v>220000</v>
      </c>
      <c r="V379" s="39" t="str">
        <f>IFERROR(INDEX(Katalog!$A$3:$A$12,MATCH(cadangan[[#This Row],[ItemID C]],Katalog!$C$3:$C$12,0)),"-")</f>
        <v>-</v>
      </c>
      <c r="W379" s="39" t="str">
        <f>IFERROR(INDEX(Katalog!$B$3:$B$12,MATCH(cadangan[[#This Row],[ItemID C]],Katalog!$C$3:$C$12,0)),"-")</f>
        <v>-</v>
      </c>
      <c r="Z379" s="73">
        <f>IFERROR(INDEX(Katalog!$D$3:$D$12,MATCH(cadangan[[#This Row],[ItemID C]],Katalog!$C$3:$C$12,0))*cadangan[[#This Row],[Qty C]],0)</f>
        <v>0</v>
      </c>
      <c r="AA379" s="73">
        <f>IFERROR(cadangan[[#This Row],[Harga Normal C]]-(cadangan[[#This Row],[Harga Normal C]]*cadangan[[#This Row],[Diskon]]),cadangan[[#This Row],[Harga Normal C]])</f>
        <v>0</v>
      </c>
      <c r="AB379" s="73">
        <f>IFERROR(INDEX(Katalog!$F$3:$F$12,MATCH(cadangan[[#This Row],[ItemID C]],Katalog!$C$3:$C$12,0))*cadangan[[#This Row],[Qty C]],0)</f>
        <v>0</v>
      </c>
      <c r="AC379" s="73">
        <f>IFERROR(cadangan[[#This Row],[Harga Diskon C]]-INDEX(Katalog!$E$3:$E$12,MATCH(cadangan[[#This Row],[ItemID C]],Katalog!$C$3:$C$12,0))*cadangan[[#This Row],[Qty C]],0)</f>
        <v>0</v>
      </c>
      <c r="AD379" s="53">
        <f>cadangan[[#This Row],[Qty A]]+cadangan[[#This Row],[Qty B]]+cadangan[[#This Row],[Qty C]]</f>
        <v>5</v>
      </c>
      <c r="AE379" s="73">
        <f>cadangan[[#This Row],[Harga Normal A]]+cadangan[[#This Row],[Harga Normal B]]+cadangan[[#This Row],[Harga Normal C]]</f>
        <v>1550000</v>
      </c>
      <c r="AF379" s="73">
        <f>cadangan[[#This Row],[Harga Diskon A]]+cadangan[[#This Row],[Harga Diskon B]]+cadangan[[#This Row],[Harga Diskon C]]</f>
        <v>1395000</v>
      </c>
      <c r="AG379" s="73">
        <f>(cadangan[[#This Row],[Profit Normal A]]+cadangan[[#This Row],[Profit Normal B]]+cadangan[[#This Row],[Profit Normal C]])</f>
        <v>600000</v>
      </c>
      <c r="AH379" s="73">
        <f>cadangan[[#This Row],[Profit Diskon A]]+cadangan[[#This Row],[Profit Diskon B]]+cadangan[[#This Row],[Profit Diskon C]]</f>
        <v>445000</v>
      </c>
      <c r="AI379" s="23" t="s">
        <v>31</v>
      </c>
      <c r="AJ379" s="37">
        <f>IFERROR(INDEX('Kode Diskon'!$D$3:$D$9,MATCH(cadangan[[#This Row],[Kode diskon]],'Kode Diskon'!$C$3:$C$9,0)),"-")</f>
        <v>0.1</v>
      </c>
      <c r="AK379" s="23" t="s">
        <v>9</v>
      </c>
      <c r="AL379" s="23" t="s">
        <v>10</v>
      </c>
      <c r="AM379" s="23" t="s">
        <v>79</v>
      </c>
      <c r="AN379" s="55">
        <v>45041</v>
      </c>
      <c r="AO379" s="53">
        <f>DAY(cadangan[[#This Row],[Tanggal terjual]])</f>
        <v>25</v>
      </c>
      <c r="AP379" s="21" t="str">
        <f>TEXT(cadangan[[#This Row],[Tanggal terjual]],"dddd")</f>
        <v>Tuesday</v>
      </c>
      <c r="AQ379" s="23" t="str" cm="1">
        <f t="array" ref="AQ3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79" s="61">
        <f>AVERAGE(cadangan[[#This Row],[Rating A]],cadangan[[#This Row],[Rating B]],cadangan[[#This Row],[Rating C]])</f>
        <v>4.5</v>
      </c>
    </row>
    <row r="380" spans="1:44" x14ac:dyDescent="0.2">
      <c r="A380" s="20">
        <v>379</v>
      </c>
      <c r="B380" s="21" t="str">
        <f>_xlfn.CONCAT("ORD-",INDEX(Helper!$B$2:$B$5,MATCH(cadangan[[#This Row],[Marketplace]],Helper!$A$2:$A$5,0)),TEXT(cadangan[[#This Row],[No]],"0000"),"-",TEXT(cadangan[[#This Row],[Tanggal terjual]],"dd/mm/yy"))</f>
        <v>ORD-SP0379-16/04/23</v>
      </c>
      <c r="C380" s="39" t="s">
        <v>67</v>
      </c>
      <c r="D380" s="39" t="str">
        <f>IFERROR(INDEX(Katalog!$A$3:$A$12,MATCH(cadangan[[#This Row],[ItemID A]],Katalog!$C$3:$C$12,0)),"-")</f>
        <v>Sepatu Wanita</v>
      </c>
      <c r="E380" s="39" t="str">
        <f>IFERROR(INDEX(Katalog!$B$3:$B$12,MATCH(cadangan[[#This Row],[ItemID A]],Katalog!$C$3:$C$12,0)),"-")</f>
        <v>Flat Shoes</v>
      </c>
      <c r="F380" s="50">
        <v>1</v>
      </c>
      <c r="G380" s="50">
        <v>3</v>
      </c>
      <c r="H380" s="73">
        <f>IFERROR(INDEX(Katalog!$D$3:$D$12,MATCH(cadangan[[#This Row],[ItemID A]],Katalog!$C$3:$C$12,0))*cadangan[[#This Row],[Qty A]],0)</f>
        <v>250000</v>
      </c>
      <c r="I380" s="73">
        <f>IFERROR(cadangan[[#This Row],[Harga Normal A]]-(cadangan[[#This Row],[Harga Normal A]]*cadangan[[#This Row],[Diskon]]),cadangan[[#This Row],[Harga Normal A]])</f>
        <v>200000</v>
      </c>
      <c r="J380" s="73">
        <f>INDEX(Katalog!$F$3:$F$12,MATCH(cadangan[[#This Row],[ItemID A]],Katalog!$C$3:$C$12,0))*cadangan[[#This Row],[Qty A]]</f>
        <v>100000</v>
      </c>
      <c r="K380" s="73">
        <f>IFERROR(cadangan[[#This Row],[Harga Diskon A]]-INDEX(Katalog!$E$3:$E$12,MATCH(cadangan[[#This Row],[ItemID A]],Katalog!$C$3:$C$12,0))*cadangan[[#This Row],[Qty A]],0)</f>
        <v>50000</v>
      </c>
      <c r="L380" s="39" t="s">
        <v>62</v>
      </c>
      <c r="M380" s="39" t="str">
        <f>IFERROR(INDEX(Katalog!$A$3:$A$12,MATCH(cadangan[[#This Row],[ItemID B]],Katalog!$C$3:$C$12,0)),"-")</f>
        <v>Pakaian Pria</v>
      </c>
      <c r="N380" s="39" t="str">
        <f>IFERROR(INDEX(Katalog!$B$3:$B$12,MATCH(cadangan[[#This Row],[ItemID B]],Katalog!$C$3:$C$12,0)),"-")</f>
        <v>Celana Pendek</v>
      </c>
      <c r="O380" s="50">
        <v>2</v>
      </c>
      <c r="P380" s="50">
        <v>1</v>
      </c>
      <c r="Q380" s="73">
        <f>IFERROR(INDEX(Katalog!$D$3:$D$12,MATCH(cadangan[[#This Row],[ItemID B]],Katalog!$C$3:$C$12,0))*cadangan[[#This Row],[Qty B]],0)</f>
        <v>360000</v>
      </c>
      <c r="R380" s="73">
        <f>IFERROR(cadangan[[#This Row],[Harga Normal B]]-(cadangan[[#This Row],[Harga Normal B]]*cadangan[[#This Row],[Diskon]]),cadangan[[#This Row],[Harga Normal B]])</f>
        <v>288000</v>
      </c>
      <c r="S380" s="73">
        <f>IFERROR(INDEX(Katalog!$F$3:$F$12,MATCH(cadangan[[#This Row],[ItemID B]],Katalog!$C$3:$C$12,0))*cadangan[[#This Row],[Qty B]],0)</f>
        <v>140000</v>
      </c>
      <c r="T380" s="73">
        <f>IFERROR(cadangan[[#This Row],[Harga Diskon B]]-INDEX(Katalog!$E$3:$E$12,MATCH(cadangan[[#This Row],[ItemID B]],Katalog!$C$3:$C$12,0))*cadangan[[#This Row],[Qty B]],0)</f>
        <v>68000</v>
      </c>
      <c r="U380" s="39" t="s">
        <v>59</v>
      </c>
      <c r="V380" s="39" t="str">
        <f>IFERROR(INDEX(Katalog!$A$3:$A$12,MATCH(cadangan[[#This Row],[ItemID C]],Katalog!$C$3:$C$12,0)),"-")</f>
        <v>Pakaian Wanita</v>
      </c>
      <c r="W380" s="39" t="str">
        <f>IFERROR(INDEX(Katalog!$B$3:$B$12,MATCH(cadangan[[#This Row],[ItemID C]],Katalog!$C$3:$C$12,0)),"-")</f>
        <v>Blouse</v>
      </c>
      <c r="X380" s="50">
        <v>4</v>
      </c>
      <c r="Y380" s="50">
        <v>4</v>
      </c>
      <c r="Z380" s="73">
        <f>IFERROR(INDEX(Katalog!$D$3:$D$12,MATCH(cadangan[[#This Row],[ItemID C]],Katalog!$C$3:$C$12,0))*cadangan[[#This Row],[Qty C]],0)</f>
        <v>600000</v>
      </c>
      <c r="AA380" s="73">
        <f>IFERROR(cadangan[[#This Row],[Harga Normal C]]-(cadangan[[#This Row],[Harga Normal C]]*cadangan[[#This Row],[Diskon]]),cadangan[[#This Row],[Harga Normal C]])</f>
        <v>480000</v>
      </c>
      <c r="AB380" s="73">
        <f>IFERROR(INDEX(Katalog!$F$3:$F$12,MATCH(cadangan[[#This Row],[ItemID C]],Katalog!$C$3:$C$12,0))*cadangan[[#This Row],[Qty C]],0)</f>
        <v>200000</v>
      </c>
      <c r="AC380" s="73">
        <f>IFERROR(cadangan[[#This Row],[Harga Diskon C]]-INDEX(Katalog!$E$3:$E$12,MATCH(cadangan[[#This Row],[ItemID C]],Katalog!$C$3:$C$12,0))*cadangan[[#This Row],[Qty C]],0)</f>
        <v>80000</v>
      </c>
      <c r="AD380" s="53">
        <f>cadangan[[#This Row],[Qty A]]+cadangan[[#This Row],[Qty B]]+cadangan[[#This Row],[Qty C]]</f>
        <v>7</v>
      </c>
      <c r="AE380" s="73">
        <f>cadangan[[#This Row],[Harga Normal A]]+cadangan[[#This Row],[Harga Normal B]]+cadangan[[#This Row],[Harga Normal C]]</f>
        <v>1210000</v>
      </c>
      <c r="AF380" s="73">
        <f>cadangan[[#This Row],[Harga Diskon A]]+cadangan[[#This Row],[Harga Diskon B]]+cadangan[[#This Row],[Harga Diskon C]]</f>
        <v>968000</v>
      </c>
      <c r="AG380" s="73">
        <f>(cadangan[[#This Row],[Profit Normal A]]+cadangan[[#This Row],[Profit Normal B]]+cadangan[[#This Row],[Profit Normal C]])</f>
        <v>440000</v>
      </c>
      <c r="AH380" s="73">
        <f>cadangan[[#This Row],[Profit Diskon A]]+cadangan[[#This Row],[Profit Diskon B]]+cadangan[[#This Row],[Profit Diskon C]]</f>
        <v>198000</v>
      </c>
      <c r="AI380" s="23" t="s">
        <v>8</v>
      </c>
      <c r="AJ380" s="37">
        <f>IFERROR(INDEX('Kode Diskon'!$D$3:$D$9,MATCH(cadangan[[#This Row],[Kode diskon]],'Kode Diskon'!$C$3:$C$9,0)),"-")</f>
        <v>0.2</v>
      </c>
      <c r="AK380" s="23" t="s">
        <v>9</v>
      </c>
      <c r="AL380" s="23" t="s">
        <v>7</v>
      </c>
      <c r="AM380" s="23" t="s">
        <v>76</v>
      </c>
      <c r="AN380" s="55">
        <v>45032</v>
      </c>
      <c r="AO380" s="53">
        <f>DAY(cadangan[[#This Row],[Tanggal terjual]])</f>
        <v>16</v>
      </c>
      <c r="AP380" s="21" t="str">
        <f>TEXT(cadangan[[#This Row],[Tanggal terjual]],"dddd")</f>
        <v>Sunday</v>
      </c>
      <c r="AQ380" s="23" t="str" cm="1">
        <f t="array" ref="AQ3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80" s="61">
        <f>AVERAGE(cadangan[[#This Row],[Rating A]],cadangan[[#This Row],[Rating B]],cadangan[[#This Row],[Rating C]])</f>
        <v>2.6666666666666665</v>
      </c>
    </row>
    <row r="381" spans="1:44" x14ac:dyDescent="0.2">
      <c r="A381" s="20">
        <v>380</v>
      </c>
      <c r="B381" s="21" t="str">
        <f>_xlfn.CONCAT("ORD-",INDEX(Helper!$B$2:$B$5,MATCH(cadangan[[#This Row],[Marketplace]],Helper!$A$2:$A$5,0)),TEXT(cadangan[[#This Row],[No]],"0000"),"-",TEXT(cadangan[[#This Row],[Tanggal terjual]],"dd/mm/yy"))</f>
        <v>ORD-SP0380-22/04/23</v>
      </c>
      <c r="C381" s="39" t="s">
        <v>65</v>
      </c>
      <c r="D381" s="39" t="str">
        <f>IFERROR(INDEX(Katalog!$A$3:$A$12,MATCH(cadangan[[#This Row],[ItemID A]],Katalog!$C$3:$C$12,0)),"-")</f>
        <v>Sepatu Pria</v>
      </c>
      <c r="E381" s="39" t="str">
        <f>IFERROR(INDEX(Katalog!$B$3:$B$12,MATCH(cadangan[[#This Row],[ItemID A]],Katalog!$C$3:$C$12,0)),"-")</f>
        <v>Sneakers</v>
      </c>
      <c r="F381" s="50">
        <v>1</v>
      </c>
      <c r="G381" s="50">
        <v>2</v>
      </c>
      <c r="H381" s="73">
        <f>IFERROR(INDEX(Katalog!$D$3:$D$12,MATCH(cadangan[[#This Row],[ItemID A]],Katalog!$C$3:$C$12,0))*cadangan[[#This Row],[Qty A]],0)</f>
        <v>500000</v>
      </c>
      <c r="I381" s="73">
        <f>IFERROR(cadangan[[#This Row],[Harga Normal A]]-(cadangan[[#This Row],[Harga Normal A]]*cadangan[[#This Row],[Diskon]]),cadangan[[#This Row],[Harga Normal A]])</f>
        <v>400000</v>
      </c>
      <c r="J381" s="73">
        <f>INDEX(Katalog!$F$3:$F$12,MATCH(cadangan[[#This Row],[ItemID A]],Katalog!$C$3:$C$12,0))*cadangan[[#This Row],[Qty A]]</f>
        <v>200000</v>
      </c>
      <c r="K381" s="73">
        <f>IFERROR(cadangan[[#This Row],[Harga Diskon A]]-INDEX(Katalog!$E$3:$E$12,MATCH(cadangan[[#This Row],[ItemID A]],Katalog!$C$3:$C$12,0))*cadangan[[#This Row],[Qty A]],0)</f>
        <v>100000</v>
      </c>
      <c r="L381" s="39" t="s">
        <v>63</v>
      </c>
      <c r="M381" s="39" t="str">
        <f>IFERROR(INDEX(Katalog!$A$3:$A$12,MATCH(cadangan[[#This Row],[ItemID B]],Katalog!$C$3:$C$12,0)),"-")</f>
        <v>Pakaian Pria</v>
      </c>
      <c r="N381" s="39" t="str">
        <f>IFERROR(INDEX(Katalog!$B$3:$B$12,MATCH(cadangan[[#This Row],[ItemID B]],Katalog!$C$3:$C$12,0)),"-")</f>
        <v>Jaket Jeans</v>
      </c>
      <c r="O381" s="50">
        <v>2</v>
      </c>
      <c r="P381" s="50">
        <v>2</v>
      </c>
      <c r="Q381" s="73">
        <f>IFERROR(INDEX(Katalog!$D$3:$D$12,MATCH(cadangan[[#This Row],[ItemID B]],Katalog!$C$3:$C$12,0))*cadangan[[#This Row],[Qty B]],0)</f>
        <v>800000</v>
      </c>
      <c r="R381" s="73">
        <f>IFERROR(cadangan[[#This Row],[Harga Normal B]]-(cadangan[[#This Row],[Harga Normal B]]*cadangan[[#This Row],[Diskon]]),cadangan[[#This Row],[Harga Normal B]])</f>
        <v>640000</v>
      </c>
      <c r="S381" s="73">
        <f>IFERROR(INDEX(Katalog!$F$3:$F$12,MATCH(cadangan[[#This Row],[ItemID B]],Katalog!$C$3:$C$12,0))*cadangan[[#This Row],[Qty B]],0)</f>
        <v>300000</v>
      </c>
      <c r="T381" s="73">
        <f>IFERROR(cadangan[[#This Row],[Harga Diskon B]]-INDEX(Katalog!$E$3:$E$12,MATCH(cadangan[[#This Row],[ItemID B]],Katalog!$C$3:$C$12,0))*cadangan[[#This Row],[Qty B]],0)</f>
        <v>140000</v>
      </c>
      <c r="U381" s="39" t="s">
        <v>60</v>
      </c>
      <c r="V381" s="39" t="str">
        <f>IFERROR(INDEX(Katalog!$A$3:$A$12,MATCH(cadangan[[#This Row],[ItemID C]],Katalog!$C$3:$C$12,0)),"-")</f>
        <v>Pakaian Wanita</v>
      </c>
      <c r="W381" s="39" t="str">
        <f>IFERROR(INDEX(Katalog!$B$3:$B$12,MATCH(cadangan[[#This Row],[ItemID C]],Katalog!$C$3:$C$12,0)),"-")</f>
        <v>Kaftan</v>
      </c>
      <c r="X381" s="50">
        <v>1</v>
      </c>
      <c r="Y381" s="50">
        <v>1</v>
      </c>
      <c r="Z381" s="73">
        <f>IFERROR(INDEX(Katalog!$D$3:$D$12,MATCH(cadangan[[#This Row],[ItemID C]],Katalog!$C$3:$C$12,0))*cadangan[[#This Row],[Qty C]],0)</f>
        <v>250000</v>
      </c>
      <c r="AA381" s="73">
        <f>IFERROR(cadangan[[#This Row],[Harga Normal C]]-(cadangan[[#This Row],[Harga Normal C]]*cadangan[[#This Row],[Diskon]]),cadangan[[#This Row],[Harga Normal C]])</f>
        <v>200000</v>
      </c>
      <c r="AB381" s="73">
        <f>IFERROR(INDEX(Katalog!$F$3:$F$12,MATCH(cadangan[[#This Row],[ItemID C]],Katalog!$C$3:$C$12,0))*cadangan[[#This Row],[Qty C]],0)</f>
        <v>100000</v>
      </c>
      <c r="AC381" s="73">
        <f>IFERROR(cadangan[[#This Row],[Harga Diskon C]]-INDEX(Katalog!$E$3:$E$12,MATCH(cadangan[[#This Row],[ItemID C]],Katalog!$C$3:$C$12,0))*cadangan[[#This Row],[Qty C]],0)</f>
        <v>50000</v>
      </c>
      <c r="AD381" s="53">
        <f>cadangan[[#This Row],[Qty A]]+cadangan[[#This Row],[Qty B]]+cadangan[[#This Row],[Qty C]]</f>
        <v>4</v>
      </c>
      <c r="AE381" s="73">
        <f>cadangan[[#This Row],[Harga Normal A]]+cadangan[[#This Row],[Harga Normal B]]+cadangan[[#This Row],[Harga Normal C]]</f>
        <v>1550000</v>
      </c>
      <c r="AF381" s="73">
        <f>cadangan[[#This Row],[Harga Diskon A]]+cadangan[[#This Row],[Harga Diskon B]]+cadangan[[#This Row],[Harga Diskon C]]</f>
        <v>1240000</v>
      </c>
      <c r="AG381" s="73">
        <f>(cadangan[[#This Row],[Profit Normal A]]+cadangan[[#This Row],[Profit Normal B]]+cadangan[[#This Row],[Profit Normal C]])</f>
        <v>600000</v>
      </c>
      <c r="AH381" s="73">
        <f>cadangan[[#This Row],[Profit Diskon A]]+cadangan[[#This Row],[Profit Diskon B]]+cadangan[[#This Row],[Profit Diskon C]]</f>
        <v>290000</v>
      </c>
      <c r="AI381" s="23" t="s">
        <v>8</v>
      </c>
      <c r="AJ381" s="37">
        <f>IFERROR(INDEX('Kode Diskon'!$D$3:$D$9,MATCH(cadangan[[#This Row],[Kode diskon]],'Kode Diskon'!$C$3:$C$9,0)),"-")</f>
        <v>0.2</v>
      </c>
      <c r="AK381" s="23" t="s">
        <v>9</v>
      </c>
      <c r="AL381" s="23" t="s">
        <v>7</v>
      </c>
      <c r="AM381" s="23" t="s">
        <v>80</v>
      </c>
      <c r="AN381" s="55">
        <v>45038</v>
      </c>
      <c r="AO381" s="53">
        <f>DAY(cadangan[[#This Row],[Tanggal terjual]])</f>
        <v>22</v>
      </c>
      <c r="AP381" s="21" t="str">
        <f>TEXT(cadangan[[#This Row],[Tanggal terjual]],"dddd")</f>
        <v>Saturday</v>
      </c>
      <c r="AQ381" s="23" t="str" cm="1">
        <f t="array" ref="AQ3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81" s="61">
        <f>AVERAGE(cadangan[[#This Row],[Rating A]],cadangan[[#This Row],[Rating B]],cadangan[[#This Row],[Rating C]])</f>
        <v>1.6666666666666667</v>
      </c>
    </row>
    <row r="382" spans="1:44" x14ac:dyDescent="0.2">
      <c r="A382" s="20">
        <v>381</v>
      </c>
      <c r="B382" s="21" t="str">
        <f>_xlfn.CONCAT("ORD-",INDEX(Helper!$B$2:$B$5,MATCH(cadangan[[#This Row],[Marketplace]],Helper!$A$2:$A$5,0)),TEXT(cadangan[[#This Row],[No]],"0000"),"-",TEXT(cadangan[[#This Row],[Tanggal terjual]],"dd/mm/yy"))</f>
        <v>ORD-TK0381-11/04/23</v>
      </c>
      <c r="C382" s="39" t="s">
        <v>67</v>
      </c>
      <c r="D382" s="39" t="str">
        <f>IFERROR(INDEX(Katalog!$A$3:$A$12,MATCH(cadangan[[#This Row],[ItemID A]],Katalog!$C$3:$C$12,0)),"-")</f>
        <v>Sepatu Wanita</v>
      </c>
      <c r="E382" s="39" t="str">
        <f>IFERROR(INDEX(Katalog!$B$3:$B$12,MATCH(cadangan[[#This Row],[ItemID A]],Katalog!$C$3:$C$12,0)),"-")</f>
        <v>Flat Shoes</v>
      </c>
      <c r="F382" s="50">
        <v>1</v>
      </c>
      <c r="G382" s="50">
        <v>3</v>
      </c>
      <c r="H382" s="73">
        <f>IFERROR(INDEX(Katalog!$D$3:$D$12,MATCH(cadangan[[#This Row],[ItemID A]],Katalog!$C$3:$C$12,0))*cadangan[[#This Row],[Qty A]],0)</f>
        <v>250000</v>
      </c>
      <c r="I382" s="73">
        <f>IFERROR(cadangan[[#This Row],[Harga Normal A]]-(cadangan[[#This Row],[Harga Normal A]]*cadangan[[#This Row],[Diskon]]),cadangan[[#This Row],[Harga Normal A]])</f>
        <v>250000</v>
      </c>
      <c r="J382" s="73">
        <f>INDEX(Katalog!$F$3:$F$12,MATCH(cadangan[[#This Row],[ItemID A]],Katalog!$C$3:$C$12,0))*cadangan[[#This Row],[Qty A]]</f>
        <v>100000</v>
      </c>
      <c r="K382" s="73">
        <f>IFERROR(cadangan[[#This Row],[Harga Diskon A]]-INDEX(Katalog!$E$3:$E$12,MATCH(cadangan[[#This Row],[ItemID A]],Katalog!$C$3:$C$12,0))*cadangan[[#This Row],[Qty A]],0)</f>
        <v>100000</v>
      </c>
      <c r="L382" s="39" t="s">
        <v>62</v>
      </c>
      <c r="M382" s="39" t="str">
        <f>IFERROR(INDEX(Katalog!$A$3:$A$12,MATCH(cadangan[[#This Row],[ItemID B]],Katalog!$C$3:$C$12,0)),"-")</f>
        <v>Pakaian Pria</v>
      </c>
      <c r="N382" s="39" t="str">
        <f>IFERROR(INDEX(Katalog!$B$3:$B$12,MATCH(cadangan[[#This Row],[ItemID B]],Katalog!$C$3:$C$12,0)),"-")</f>
        <v>Celana Pendek</v>
      </c>
      <c r="O382" s="50">
        <v>2</v>
      </c>
      <c r="P382" s="50">
        <v>3</v>
      </c>
      <c r="Q382" s="73">
        <f>IFERROR(INDEX(Katalog!$D$3:$D$12,MATCH(cadangan[[#This Row],[ItemID B]],Katalog!$C$3:$C$12,0))*cadangan[[#This Row],[Qty B]],0)</f>
        <v>360000</v>
      </c>
      <c r="R382" s="73">
        <f>IFERROR(cadangan[[#This Row],[Harga Normal B]]-(cadangan[[#This Row],[Harga Normal B]]*cadangan[[#This Row],[Diskon]]),cadangan[[#This Row],[Harga Normal B]])</f>
        <v>360000</v>
      </c>
      <c r="S382" s="73">
        <f>IFERROR(INDEX(Katalog!$F$3:$F$12,MATCH(cadangan[[#This Row],[ItemID B]],Katalog!$C$3:$C$12,0))*cadangan[[#This Row],[Qty B]],0)</f>
        <v>140000</v>
      </c>
      <c r="T382" s="73">
        <f>IFERROR(cadangan[[#This Row],[Harga Diskon B]]-INDEX(Katalog!$E$3:$E$12,MATCH(cadangan[[#This Row],[ItemID B]],Katalog!$C$3:$C$12,0))*cadangan[[#This Row],[Qty B]],0)</f>
        <v>140000</v>
      </c>
      <c r="V382" s="39" t="str">
        <f>IFERROR(INDEX(Katalog!$A$3:$A$12,MATCH(cadangan[[#This Row],[ItemID C]],Katalog!$C$3:$C$12,0)),"-")</f>
        <v>-</v>
      </c>
      <c r="W382" s="39" t="str">
        <f>IFERROR(INDEX(Katalog!$B$3:$B$12,MATCH(cadangan[[#This Row],[ItemID C]],Katalog!$C$3:$C$12,0)),"-")</f>
        <v>-</v>
      </c>
      <c r="Z382" s="73">
        <f>IFERROR(INDEX(Katalog!$D$3:$D$12,MATCH(cadangan[[#This Row],[ItemID C]],Katalog!$C$3:$C$12,0))*cadangan[[#This Row],[Qty C]],0)</f>
        <v>0</v>
      </c>
      <c r="AA382" s="73">
        <f>IFERROR(cadangan[[#This Row],[Harga Normal C]]-(cadangan[[#This Row],[Harga Normal C]]*cadangan[[#This Row],[Diskon]]),cadangan[[#This Row],[Harga Normal C]])</f>
        <v>0</v>
      </c>
      <c r="AB382" s="73">
        <f>IFERROR(INDEX(Katalog!$F$3:$F$12,MATCH(cadangan[[#This Row],[ItemID C]],Katalog!$C$3:$C$12,0))*cadangan[[#This Row],[Qty C]],0)</f>
        <v>0</v>
      </c>
      <c r="AC382" s="73">
        <f>IFERROR(cadangan[[#This Row],[Harga Diskon C]]-INDEX(Katalog!$E$3:$E$12,MATCH(cadangan[[#This Row],[ItemID C]],Katalog!$C$3:$C$12,0))*cadangan[[#This Row],[Qty C]],0)</f>
        <v>0</v>
      </c>
      <c r="AD382" s="53">
        <f>cadangan[[#This Row],[Qty A]]+cadangan[[#This Row],[Qty B]]+cadangan[[#This Row],[Qty C]]</f>
        <v>3</v>
      </c>
      <c r="AE382" s="73">
        <f>cadangan[[#This Row],[Harga Normal A]]+cadangan[[#This Row],[Harga Normal B]]+cadangan[[#This Row],[Harga Normal C]]</f>
        <v>610000</v>
      </c>
      <c r="AF382" s="73">
        <f>cadangan[[#This Row],[Harga Diskon A]]+cadangan[[#This Row],[Harga Diskon B]]+cadangan[[#This Row],[Harga Diskon C]]</f>
        <v>610000</v>
      </c>
      <c r="AG382" s="73">
        <f>(cadangan[[#This Row],[Profit Normal A]]+cadangan[[#This Row],[Profit Normal B]]+cadangan[[#This Row],[Profit Normal C]])</f>
        <v>240000</v>
      </c>
      <c r="AH382" s="73">
        <f>cadangan[[#This Row],[Profit Diskon A]]+cadangan[[#This Row],[Profit Diskon B]]+cadangan[[#This Row],[Profit Diskon C]]</f>
        <v>240000</v>
      </c>
      <c r="AI382" s="23" t="s">
        <v>290</v>
      </c>
      <c r="AJ382" s="37" t="str">
        <f>IFERROR(INDEX('Kode Diskon'!$D$3:$D$9,MATCH(cadangan[[#This Row],[Kode diskon]],'Kode Diskon'!$C$3:$C$9,0)),"-")</f>
        <v>-</v>
      </c>
      <c r="AK382" s="23" t="s">
        <v>290</v>
      </c>
      <c r="AL382" s="23" t="s">
        <v>10</v>
      </c>
      <c r="AM382" s="23" t="s">
        <v>79</v>
      </c>
      <c r="AN382" s="55">
        <v>45027</v>
      </c>
      <c r="AO382" s="53">
        <f>DAY(cadangan[[#This Row],[Tanggal terjual]])</f>
        <v>11</v>
      </c>
      <c r="AP382" s="21" t="str">
        <f>TEXT(cadangan[[#This Row],[Tanggal terjual]],"dddd")</f>
        <v>Tuesday</v>
      </c>
      <c r="AQ382" s="23" t="str" cm="1">
        <f t="array" ref="AQ3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82" s="61">
        <f>AVERAGE(cadangan[[#This Row],[Rating A]],cadangan[[#This Row],[Rating B]],cadangan[[#This Row],[Rating C]])</f>
        <v>3</v>
      </c>
    </row>
    <row r="383" spans="1:44" x14ac:dyDescent="0.2">
      <c r="A383" s="20">
        <v>382</v>
      </c>
      <c r="B383" s="21" t="str">
        <f>_xlfn.CONCAT("ORD-",INDEX(Helper!$B$2:$B$5,MATCH(cadangan[[#This Row],[Marketplace]],Helper!$A$2:$A$5,0)),TEXT(cadangan[[#This Row],[No]],"0000"),"-",TEXT(cadangan[[#This Row],[Tanggal terjual]],"dd/mm/yy"))</f>
        <v>ORD-TK0382-08/04/23</v>
      </c>
      <c r="C383" s="39" t="s">
        <v>65</v>
      </c>
      <c r="D383" s="39" t="str">
        <f>IFERROR(INDEX(Katalog!$A$3:$A$12,MATCH(cadangan[[#This Row],[ItemID A]],Katalog!$C$3:$C$12,0)),"-")</f>
        <v>Sepatu Pria</v>
      </c>
      <c r="E383" s="39" t="str">
        <f>IFERROR(INDEX(Katalog!$B$3:$B$12,MATCH(cadangan[[#This Row],[ItemID A]],Katalog!$C$3:$C$12,0)),"-")</f>
        <v>Sneakers</v>
      </c>
      <c r="F383" s="50">
        <v>4</v>
      </c>
      <c r="G383" s="50">
        <v>2</v>
      </c>
      <c r="H383" s="73">
        <f>IFERROR(INDEX(Katalog!$D$3:$D$12,MATCH(cadangan[[#This Row],[ItemID A]],Katalog!$C$3:$C$12,0))*cadangan[[#This Row],[Qty A]],0)</f>
        <v>2000000</v>
      </c>
      <c r="I383" s="73">
        <f>IFERROR(cadangan[[#This Row],[Harga Normal A]]-(cadangan[[#This Row],[Harga Normal A]]*cadangan[[#This Row],[Diskon]]),cadangan[[#This Row],[Harga Normal A]])</f>
        <v>2000000</v>
      </c>
      <c r="J383" s="73">
        <f>INDEX(Katalog!$F$3:$F$12,MATCH(cadangan[[#This Row],[ItemID A]],Katalog!$C$3:$C$12,0))*cadangan[[#This Row],[Qty A]]</f>
        <v>800000</v>
      </c>
      <c r="K383" s="73">
        <f>IFERROR(cadangan[[#This Row],[Harga Diskon A]]-INDEX(Katalog!$E$3:$E$12,MATCH(cadangan[[#This Row],[ItemID A]],Katalog!$C$3:$C$12,0))*cadangan[[#This Row],[Qty A]],0)</f>
        <v>800000</v>
      </c>
      <c r="L383" s="39" t="s">
        <v>63</v>
      </c>
      <c r="M383" s="39" t="str">
        <f>IFERROR(INDEX(Katalog!$A$3:$A$12,MATCH(cadangan[[#This Row],[ItemID B]],Katalog!$C$3:$C$12,0)),"-")</f>
        <v>Pakaian Pria</v>
      </c>
      <c r="N383" s="39" t="str">
        <f>IFERROR(INDEX(Katalog!$B$3:$B$12,MATCH(cadangan[[#This Row],[ItemID B]],Katalog!$C$3:$C$12,0)),"-")</f>
        <v>Jaket Jeans</v>
      </c>
      <c r="O383" s="50">
        <v>2</v>
      </c>
      <c r="P383" s="50">
        <v>5</v>
      </c>
      <c r="Q383" s="73">
        <f>IFERROR(INDEX(Katalog!$D$3:$D$12,MATCH(cadangan[[#This Row],[ItemID B]],Katalog!$C$3:$C$12,0))*cadangan[[#This Row],[Qty B]],0)</f>
        <v>800000</v>
      </c>
      <c r="R383" s="73">
        <f>IFERROR(cadangan[[#This Row],[Harga Normal B]]-(cadangan[[#This Row],[Harga Normal B]]*cadangan[[#This Row],[Diskon]]),cadangan[[#This Row],[Harga Normal B]])</f>
        <v>800000</v>
      </c>
      <c r="S383" s="73">
        <f>IFERROR(INDEX(Katalog!$F$3:$F$12,MATCH(cadangan[[#This Row],[ItemID B]],Katalog!$C$3:$C$12,0))*cadangan[[#This Row],[Qty B]],0)</f>
        <v>300000</v>
      </c>
      <c r="T383" s="73">
        <f>IFERROR(cadangan[[#This Row],[Harga Diskon B]]-INDEX(Katalog!$E$3:$E$12,MATCH(cadangan[[#This Row],[ItemID B]],Katalog!$C$3:$C$12,0))*cadangan[[#This Row],[Qty B]],0)</f>
        <v>300000</v>
      </c>
      <c r="V383" s="39" t="str">
        <f>IFERROR(INDEX(Katalog!$A$3:$A$12,MATCH(cadangan[[#This Row],[ItemID C]],Katalog!$C$3:$C$12,0)),"-")</f>
        <v>-</v>
      </c>
      <c r="W383" s="39" t="str">
        <f>IFERROR(INDEX(Katalog!$B$3:$B$12,MATCH(cadangan[[#This Row],[ItemID C]],Katalog!$C$3:$C$12,0)),"-")</f>
        <v>-</v>
      </c>
      <c r="Z383" s="73">
        <f>IFERROR(INDEX(Katalog!$D$3:$D$12,MATCH(cadangan[[#This Row],[ItemID C]],Katalog!$C$3:$C$12,0))*cadangan[[#This Row],[Qty C]],0)</f>
        <v>0</v>
      </c>
      <c r="AA383" s="73">
        <f>IFERROR(cadangan[[#This Row],[Harga Normal C]]-(cadangan[[#This Row],[Harga Normal C]]*cadangan[[#This Row],[Diskon]]),cadangan[[#This Row],[Harga Normal C]])</f>
        <v>0</v>
      </c>
      <c r="AB383" s="73">
        <f>IFERROR(INDEX(Katalog!$F$3:$F$12,MATCH(cadangan[[#This Row],[ItemID C]],Katalog!$C$3:$C$12,0))*cadangan[[#This Row],[Qty C]],0)</f>
        <v>0</v>
      </c>
      <c r="AC383" s="73">
        <f>IFERROR(cadangan[[#This Row],[Harga Diskon C]]-INDEX(Katalog!$E$3:$E$12,MATCH(cadangan[[#This Row],[ItemID C]],Katalog!$C$3:$C$12,0))*cadangan[[#This Row],[Qty C]],0)</f>
        <v>0</v>
      </c>
      <c r="AD383" s="53">
        <f>cadangan[[#This Row],[Qty A]]+cadangan[[#This Row],[Qty B]]+cadangan[[#This Row],[Qty C]]</f>
        <v>6</v>
      </c>
      <c r="AE383" s="73">
        <f>cadangan[[#This Row],[Harga Normal A]]+cadangan[[#This Row],[Harga Normal B]]+cadangan[[#This Row],[Harga Normal C]]</f>
        <v>2800000</v>
      </c>
      <c r="AF383" s="73">
        <f>cadangan[[#This Row],[Harga Diskon A]]+cadangan[[#This Row],[Harga Diskon B]]+cadangan[[#This Row],[Harga Diskon C]]</f>
        <v>2800000</v>
      </c>
      <c r="AG383" s="73">
        <f>(cadangan[[#This Row],[Profit Normal A]]+cadangan[[#This Row],[Profit Normal B]]+cadangan[[#This Row],[Profit Normal C]])</f>
        <v>1100000</v>
      </c>
      <c r="AH383" s="73">
        <f>cadangan[[#This Row],[Profit Diskon A]]+cadangan[[#This Row],[Profit Diskon B]]+cadangan[[#This Row],[Profit Diskon C]]</f>
        <v>1100000</v>
      </c>
      <c r="AI383" s="23" t="s">
        <v>290</v>
      </c>
      <c r="AJ383" s="37" t="str">
        <f>IFERROR(INDEX('Kode Diskon'!$D$3:$D$9,MATCH(cadangan[[#This Row],[Kode diskon]],'Kode Diskon'!$C$3:$C$9,0)),"-")</f>
        <v>-</v>
      </c>
      <c r="AK383" s="23" t="s">
        <v>290</v>
      </c>
      <c r="AL383" s="23" t="s">
        <v>10</v>
      </c>
      <c r="AM383" s="23" t="s">
        <v>80</v>
      </c>
      <c r="AN383" s="55">
        <v>45024</v>
      </c>
      <c r="AO383" s="53">
        <f>DAY(cadangan[[#This Row],[Tanggal terjual]])</f>
        <v>8</v>
      </c>
      <c r="AP383" s="21" t="str">
        <f>TEXT(cadangan[[#This Row],[Tanggal terjual]],"dddd")</f>
        <v>Saturday</v>
      </c>
      <c r="AQ383" s="23" t="str" cm="1">
        <f t="array" ref="AQ3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83" s="61">
        <f>AVERAGE(cadangan[[#This Row],[Rating A]],cadangan[[#This Row],[Rating B]],cadangan[[#This Row],[Rating C]])</f>
        <v>3.5</v>
      </c>
    </row>
    <row r="384" spans="1:44" x14ac:dyDescent="0.2">
      <c r="A384" s="20">
        <v>383</v>
      </c>
      <c r="B384" s="21" t="str">
        <f>_xlfn.CONCAT("ORD-",INDEX(Helper!$B$2:$B$5,MATCH(cadangan[[#This Row],[Marketplace]],Helper!$A$2:$A$5,0)),TEXT(cadangan[[#This Row],[No]],"0000"),"-",TEXT(cadangan[[#This Row],[Tanggal terjual]],"dd/mm/yy"))</f>
        <v>ORD-SP0383-04/04/23</v>
      </c>
      <c r="C384" s="39" t="s">
        <v>63</v>
      </c>
      <c r="D384" s="39" t="str">
        <f>IFERROR(INDEX(Katalog!$A$3:$A$12,MATCH(cadangan[[#This Row],[ItemID A]],Katalog!$C$3:$C$12,0)),"-")</f>
        <v>Pakaian Pria</v>
      </c>
      <c r="E384" s="39" t="str">
        <f>IFERROR(INDEX(Katalog!$B$3:$B$12,MATCH(cadangan[[#This Row],[ItemID A]],Katalog!$C$3:$C$12,0)),"-")</f>
        <v>Jaket Jeans</v>
      </c>
      <c r="F384" s="50">
        <v>4</v>
      </c>
      <c r="G384" s="50">
        <v>4</v>
      </c>
      <c r="H384" s="73">
        <f>IFERROR(INDEX(Katalog!$D$3:$D$12,MATCH(cadangan[[#This Row],[ItemID A]],Katalog!$C$3:$C$12,0))*cadangan[[#This Row],[Qty A]],0)</f>
        <v>1600000</v>
      </c>
      <c r="I384" s="73">
        <f>IFERROR(cadangan[[#This Row],[Harga Normal A]]-(cadangan[[#This Row],[Harga Normal A]]*cadangan[[#This Row],[Diskon]]),cadangan[[#This Row],[Harga Normal A]])</f>
        <v>1360000</v>
      </c>
      <c r="J384" s="73">
        <f>INDEX(Katalog!$F$3:$F$12,MATCH(cadangan[[#This Row],[ItemID A]],Katalog!$C$3:$C$12,0))*cadangan[[#This Row],[Qty A]]</f>
        <v>600000</v>
      </c>
      <c r="K384" s="73">
        <f>IFERROR(cadangan[[#This Row],[Harga Diskon A]]-INDEX(Katalog!$E$3:$E$12,MATCH(cadangan[[#This Row],[ItemID A]],Katalog!$C$3:$C$12,0))*cadangan[[#This Row],[Qty A]],0)</f>
        <v>360000</v>
      </c>
      <c r="L384" s="39" t="s">
        <v>64</v>
      </c>
      <c r="M384" s="39" t="str">
        <f>IFERROR(INDEX(Katalog!$A$3:$A$12,MATCH(cadangan[[#This Row],[ItemID B]],Katalog!$C$3:$C$12,0)),"-")</f>
        <v>Pakaian Unisex</v>
      </c>
      <c r="N384" s="39" t="str">
        <f>IFERROR(INDEX(Katalog!$B$3:$B$12,MATCH(cadangan[[#This Row],[ItemID B]],Katalog!$C$3:$C$12,0)),"-")</f>
        <v>Jaket Hoodie</v>
      </c>
      <c r="O384" s="50">
        <v>1</v>
      </c>
      <c r="P384" s="50">
        <v>4</v>
      </c>
      <c r="Q384" s="73">
        <f>IFERROR(INDEX(Katalog!$D$3:$D$12,MATCH(cadangan[[#This Row],[ItemID B]],Katalog!$C$3:$C$12,0))*cadangan[[#This Row],[Qty B]],0)</f>
        <v>350000</v>
      </c>
      <c r="R384" s="73">
        <f>IFERROR(cadangan[[#This Row],[Harga Normal B]]-(cadangan[[#This Row],[Harga Normal B]]*cadangan[[#This Row],[Diskon]]),cadangan[[#This Row],[Harga Normal B]])</f>
        <v>297500</v>
      </c>
      <c r="S384" s="73">
        <f>IFERROR(INDEX(Katalog!$F$3:$F$12,MATCH(cadangan[[#This Row],[ItemID B]],Katalog!$C$3:$C$12,0))*cadangan[[#This Row],[Qty B]],0)</f>
        <v>130000</v>
      </c>
      <c r="T384" s="73">
        <f>IFERROR(cadangan[[#This Row],[Harga Diskon B]]-INDEX(Katalog!$E$3:$E$12,MATCH(cadangan[[#This Row],[ItemID B]],Katalog!$C$3:$C$12,0))*cadangan[[#This Row],[Qty B]],0)</f>
        <v>77500</v>
      </c>
      <c r="U384" s="39" t="s">
        <v>63</v>
      </c>
      <c r="V384" s="39" t="str">
        <f>IFERROR(INDEX(Katalog!$A$3:$A$12,MATCH(cadangan[[#This Row],[ItemID C]],Katalog!$C$3:$C$12,0)),"-")</f>
        <v>Pakaian Pria</v>
      </c>
      <c r="W384" s="39" t="str">
        <f>IFERROR(INDEX(Katalog!$B$3:$B$12,MATCH(cadangan[[#This Row],[ItemID C]],Katalog!$C$3:$C$12,0)),"-")</f>
        <v>Jaket Jeans</v>
      </c>
      <c r="X384" s="50">
        <v>2</v>
      </c>
      <c r="Y384" s="50">
        <v>4</v>
      </c>
      <c r="Z384" s="73">
        <f>IFERROR(INDEX(Katalog!$D$3:$D$12,MATCH(cadangan[[#This Row],[ItemID C]],Katalog!$C$3:$C$12,0))*cadangan[[#This Row],[Qty C]],0)</f>
        <v>800000</v>
      </c>
      <c r="AA384" s="73">
        <f>IFERROR(cadangan[[#This Row],[Harga Normal C]]-(cadangan[[#This Row],[Harga Normal C]]*cadangan[[#This Row],[Diskon]]),cadangan[[#This Row],[Harga Normal C]])</f>
        <v>680000</v>
      </c>
      <c r="AB384" s="73">
        <f>IFERROR(INDEX(Katalog!$F$3:$F$12,MATCH(cadangan[[#This Row],[ItemID C]],Katalog!$C$3:$C$12,0))*cadangan[[#This Row],[Qty C]],0)</f>
        <v>300000</v>
      </c>
      <c r="AC384" s="73">
        <f>IFERROR(cadangan[[#This Row],[Harga Diskon C]]-INDEX(Katalog!$E$3:$E$12,MATCH(cadangan[[#This Row],[ItemID C]],Katalog!$C$3:$C$12,0))*cadangan[[#This Row],[Qty C]],0)</f>
        <v>180000</v>
      </c>
      <c r="AD384" s="53">
        <f>cadangan[[#This Row],[Qty A]]+cadangan[[#This Row],[Qty B]]+cadangan[[#This Row],[Qty C]]</f>
        <v>7</v>
      </c>
      <c r="AE384" s="73">
        <f>cadangan[[#This Row],[Harga Normal A]]+cadangan[[#This Row],[Harga Normal B]]+cadangan[[#This Row],[Harga Normal C]]</f>
        <v>2750000</v>
      </c>
      <c r="AF384" s="73">
        <f>cadangan[[#This Row],[Harga Diskon A]]+cadangan[[#This Row],[Harga Diskon B]]+cadangan[[#This Row],[Harga Diskon C]]</f>
        <v>2337500</v>
      </c>
      <c r="AG384" s="73">
        <f>(cadangan[[#This Row],[Profit Normal A]]+cadangan[[#This Row],[Profit Normal B]]+cadangan[[#This Row],[Profit Normal C]])</f>
        <v>1030000</v>
      </c>
      <c r="AH384" s="73">
        <f>cadangan[[#This Row],[Profit Diskon A]]+cadangan[[#This Row],[Profit Diskon B]]+cadangan[[#This Row],[Profit Diskon C]]</f>
        <v>617500</v>
      </c>
      <c r="AI384" s="23" t="s">
        <v>13</v>
      </c>
      <c r="AJ384" s="37">
        <f>IFERROR(INDEX('Kode Diskon'!$D$3:$D$9,MATCH(cadangan[[#This Row],[Kode diskon]],'Kode Diskon'!$C$3:$C$9,0)),"-")</f>
        <v>0.15</v>
      </c>
      <c r="AK384" s="23" t="s">
        <v>29</v>
      </c>
      <c r="AL384" s="23" t="s">
        <v>7</v>
      </c>
      <c r="AM384" s="23" t="s">
        <v>78</v>
      </c>
      <c r="AN384" s="55">
        <v>45020</v>
      </c>
      <c r="AO384" s="53">
        <f>DAY(cadangan[[#This Row],[Tanggal terjual]])</f>
        <v>4</v>
      </c>
      <c r="AP384" s="21" t="str">
        <f>TEXT(cadangan[[#This Row],[Tanggal terjual]],"dddd")</f>
        <v>Tuesday</v>
      </c>
      <c r="AQ384" s="23" t="str" cm="1">
        <f t="array" ref="AQ3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84" s="61">
        <f>AVERAGE(cadangan[[#This Row],[Rating A]],cadangan[[#This Row],[Rating B]],cadangan[[#This Row],[Rating C]])</f>
        <v>4</v>
      </c>
    </row>
    <row r="385" spans="1:44" x14ac:dyDescent="0.2">
      <c r="A385" s="20">
        <v>384</v>
      </c>
      <c r="B385" s="21" t="str">
        <f>_xlfn.CONCAT("ORD-",INDEX(Helper!$B$2:$B$5,MATCH(cadangan[[#This Row],[Marketplace]],Helper!$A$2:$A$5,0)),TEXT(cadangan[[#This Row],[No]],"0000"),"-",TEXT(cadangan[[#This Row],[Tanggal terjual]],"dd/mm/yy"))</f>
        <v>ORD-SP0384-06/04/23</v>
      </c>
      <c r="C385" s="39" t="s">
        <v>65</v>
      </c>
      <c r="D385" s="39" t="str">
        <f>IFERROR(INDEX(Katalog!$A$3:$A$12,MATCH(cadangan[[#This Row],[ItemID A]],Katalog!$C$3:$C$12,0)),"-")</f>
        <v>Sepatu Pria</v>
      </c>
      <c r="E385" s="39" t="str">
        <f>IFERROR(INDEX(Katalog!$B$3:$B$12,MATCH(cadangan[[#This Row],[ItemID A]],Katalog!$C$3:$C$12,0)),"-")</f>
        <v>Sneakers</v>
      </c>
      <c r="F385" s="50">
        <v>2</v>
      </c>
      <c r="G385" s="50">
        <v>3</v>
      </c>
      <c r="H385" s="73">
        <f>IFERROR(INDEX(Katalog!$D$3:$D$12,MATCH(cadangan[[#This Row],[ItemID A]],Katalog!$C$3:$C$12,0))*cadangan[[#This Row],[Qty A]],0)</f>
        <v>1000000</v>
      </c>
      <c r="I385" s="73">
        <f>IFERROR(cadangan[[#This Row],[Harga Normal A]]-(cadangan[[#This Row],[Harga Normal A]]*cadangan[[#This Row],[Diskon]]),cadangan[[#This Row],[Harga Normal A]])</f>
        <v>850000</v>
      </c>
      <c r="J385" s="73">
        <f>INDEX(Katalog!$F$3:$F$12,MATCH(cadangan[[#This Row],[ItemID A]],Katalog!$C$3:$C$12,0))*cadangan[[#This Row],[Qty A]]</f>
        <v>400000</v>
      </c>
      <c r="K385" s="73">
        <f>IFERROR(cadangan[[#This Row],[Harga Diskon A]]-INDEX(Katalog!$E$3:$E$12,MATCH(cadangan[[#This Row],[ItemID A]],Katalog!$C$3:$C$12,0))*cadangan[[#This Row],[Qty A]],0)</f>
        <v>250000</v>
      </c>
      <c r="L385" s="39" t="s">
        <v>63</v>
      </c>
      <c r="M385" s="39" t="str">
        <f>IFERROR(INDEX(Katalog!$A$3:$A$12,MATCH(cadangan[[#This Row],[ItemID B]],Katalog!$C$3:$C$12,0)),"-")</f>
        <v>Pakaian Pria</v>
      </c>
      <c r="N385" s="39" t="str">
        <f>IFERROR(INDEX(Katalog!$B$3:$B$12,MATCH(cadangan[[#This Row],[ItemID B]],Katalog!$C$3:$C$12,0)),"-")</f>
        <v>Jaket Jeans</v>
      </c>
      <c r="O385" s="50">
        <v>1</v>
      </c>
      <c r="P385" s="50">
        <v>4</v>
      </c>
      <c r="Q385" s="73">
        <f>IFERROR(INDEX(Katalog!$D$3:$D$12,MATCH(cadangan[[#This Row],[ItemID B]],Katalog!$C$3:$C$12,0))*cadangan[[#This Row],[Qty B]],0)</f>
        <v>400000</v>
      </c>
      <c r="R385" s="73">
        <f>IFERROR(cadangan[[#This Row],[Harga Normal B]]-(cadangan[[#This Row],[Harga Normal B]]*cadangan[[#This Row],[Diskon]]),cadangan[[#This Row],[Harga Normal B]])</f>
        <v>340000</v>
      </c>
      <c r="S385" s="73">
        <f>IFERROR(INDEX(Katalog!$F$3:$F$12,MATCH(cadangan[[#This Row],[ItemID B]],Katalog!$C$3:$C$12,0))*cadangan[[#This Row],[Qty B]],0)</f>
        <v>150000</v>
      </c>
      <c r="T385" s="73">
        <f>IFERROR(cadangan[[#This Row],[Harga Diskon B]]-INDEX(Katalog!$E$3:$E$12,MATCH(cadangan[[#This Row],[ItemID B]],Katalog!$C$3:$C$12,0))*cadangan[[#This Row],[Qty B]],0)</f>
        <v>90000</v>
      </c>
      <c r="V385" s="39" t="str">
        <f>IFERROR(INDEX(Katalog!$A$3:$A$12,MATCH(cadangan[[#This Row],[ItemID C]],Katalog!$C$3:$C$12,0)),"-")</f>
        <v>-</v>
      </c>
      <c r="W385" s="39" t="str">
        <f>IFERROR(INDEX(Katalog!$B$3:$B$12,MATCH(cadangan[[#This Row],[ItemID C]],Katalog!$C$3:$C$12,0)),"-")</f>
        <v>-</v>
      </c>
      <c r="Z385" s="73">
        <f>IFERROR(INDEX(Katalog!$D$3:$D$12,MATCH(cadangan[[#This Row],[ItemID C]],Katalog!$C$3:$C$12,0))*cadangan[[#This Row],[Qty C]],0)</f>
        <v>0</v>
      </c>
      <c r="AA385" s="73">
        <f>IFERROR(cadangan[[#This Row],[Harga Normal C]]-(cadangan[[#This Row],[Harga Normal C]]*cadangan[[#This Row],[Diskon]]),cadangan[[#This Row],[Harga Normal C]])</f>
        <v>0</v>
      </c>
      <c r="AB385" s="73">
        <f>IFERROR(INDEX(Katalog!$F$3:$F$12,MATCH(cadangan[[#This Row],[ItemID C]],Katalog!$C$3:$C$12,0))*cadangan[[#This Row],[Qty C]],0)</f>
        <v>0</v>
      </c>
      <c r="AC385" s="73">
        <f>IFERROR(cadangan[[#This Row],[Harga Diskon C]]-INDEX(Katalog!$E$3:$E$12,MATCH(cadangan[[#This Row],[ItemID C]],Katalog!$C$3:$C$12,0))*cadangan[[#This Row],[Qty C]],0)</f>
        <v>0</v>
      </c>
      <c r="AD385" s="53">
        <f>cadangan[[#This Row],[Qty A]]+cadangan[[#This Row],[Qty B]]+cadangan[[#This Row],[Qty C]]</f>
        <v>3</v>
      </c>
      <c r="AE385" s="73">
        <f>cadangan[[#This Row],[Harga Normal A]]+cadangan[[#This Row],[Harga Normal B]]+cadangan[[#This Row],[Harga Normal C]]</f>
        <v>1400000</v>
      </c>
      <c r="AF385" s="73">
        <f>cadangan[[#This Row],[Harga Diskon A]]+cadangan[[#This Row],[Harga Diskon B]]+cadangan[[#This Row],[Harga Diskon C]]</f>
        <v>1190000</v>
      </c>
      <c r="AG385" s="73">
        <f>(cadangan[[#This Row],[Profit Normal A]]+cadangan[[#This Row],[Profit Normal B]]+cadangan[[#This Row],[Profit Normal C]])</f>
        <v>550000</v>
      </c>
      <c r="AH385" s="73">
        <f>cadangan[[#This Row],[Profit Diskon A]]+cadangan[[#This Row],[Profit Diskon B]]+cadangan[[#This Row],[Profit Diskon C]]</f>
        <v>340000</v>
      </c>
      <c r="AI385" s="23" t="s">
        <v>13</v>
      </c>
      <c r="AJ385" s="37">
        <f>IFERROR(INDEX('Kode Diskon'!$D$3:$D$9,MATCH(cadangan[[#This Row],[Kode diskon]],'Kode Diskon'!$C$3:$C$9,0)),"-")</f>
        <v>0.15</v>
      </c>
      <c r="AK385" s="23" t="s">
        <v>29</v>
      </c>
      <c r="AL385" s="23" t="s">
        <v>7</v>
      </c>
      <c r="AM385" s="23" t="s">
        <v>76</v>
      </c>
      <c r="AN385" s="55">
        <v>45022</v>
      </c>
      <c r="AO385" s="53">
        <f>DAY(cadangan[[#This Row],[Tanggal terjual]])</f>
        <v>6</v>
      </c>
      <c r="AP385" s="21" t="str">
        <f>TEXT(cadangan[[#This Row],[Tanggal terjual]],"dddd")</f>
        <v>Thursday</v>
      </c>
      <c r="AQ385" s="23" t="str" cm="1">
        <f t="array" ref="AQ3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85" s="61">
        <f>AVERAGE(cadangan[[#This Row],[Rating A]],cadangan[[#This Row],[Rating B]],cadangan[[#This Row],[Rating C]])</f>
        <v>3.5</v>
      </c>
    </row>
    <row r="386" spans="1:44" x14ac:dyDescent="0.2">
      <c r="A386" s="20">
        <v>385</v>
      </c>
      <c r="B386" s="21" t="str">
        <f>_xlfn.CONCAT("ORD-",INDEX(Helper!$B$2:$B$5,MATCH(cadangan[[#This Row],[Marketplace]],Helper!$A$2:$A$5,0)),TEXT(cadangan[[#This Row],[No]],"0000"),"-",TEXT(cadangan[[#This Row],[Tanggal terjual]],"dd/mm/yy"))</f>
        <v>ORD-SP0385-07/04/23</v>
      </c>
      <c r="C386" s="39" t="s">
        <v>62</v>
      </c>
      <c r="D386" s="39" t="str">
        <f>IFERROR(INDEX(Katalog!$A$3:$A$12,MATCH(cadangan[[#This Row],[ItemID A]],Katalog!$C$3:$C$12,0)),"-")</f>
        <v>Pakaian Pria</v>
      </c>
      <c r="E386" s="39" t="str">
        <f>IFERROR(INDEX(Katalog!$B$3:$B$12,MATCH(cadangan[[#This Row],[ItemID A]],Katalog!$C$3:$C$12,0)),"-")</f>
        <v>Celana Pendek</v>
      </c>
      <c r="F386" s="50">
        <v>2</v>
      </c>
      <c r="G386" s="50">
        <v>1</v>
      </c>
      <c r="H386" s="73">
        <f>IFERROR(INDEX(Katalog!$D$3:$D$12,MATCH(cadangan[[#This Row],[ItemID A]],Katalog!$C$3:$C$12,0))*cadangan[[#This Row],[Qty A]],0)</f>
        <v>360000</v>
      </c>
      <c r="I386" s="73">
        <f>IFERROR(cadangan[[#This Row],[Harga Normal A]]-(cadangan[[#This Row],[Harga Normal A]]*cadangan[[#This Row],[Diskon]]),cadangan[[#This Row],[Harga Normal A]])</f>
        <v>360000</v>
      </c>
      <c r="J386" s="73">
        <f>INDEX(Katalog!$F$3:$F$12,MATCH(cadangan[[#This Row],[ItemID A]],Katalog!$C$3:$C$12,0))*cadangan[[#This Row],[Qty A]]</f>
        <v>140000</v>
      </c>
      <c r="K386" s="73">
        <f>IFERROR(cadangan[[#This Row],[Harga Diskon A]]-INDEX(Katalog!$E$3:$E$12,MATCH(cadangan[[#This Row],[ItemID A]],Katalog!$C$3:$C$12,0))*cadangan[[#This Row],[Qty A]],0)</f>
        <v>140000</v>
      </c>
      <c r="M386" s="39" t="str">
        <f>IFERROR(INDEX(Katalog!$A$3:$A$12,MATCH(cadangan[[#This Row],[ItemID B]],Katalog!$C$3:$C$12,0)),"-")</f>
        <v>-</v>
      </c>
      <c r="N386" s="39" t="str">
        <f>IFERROR(INDEX(Katalog!$B$3:$B$12,MATCH(cadangan[[#This Row],[ItemID B]],Katalog!$C$3:$C$12,0)),"-")</f>
        <v>-</v>
      </c>
      <c r="Q386" s="73">
        <f>IFERROR(INDEX(Katalog!$D$3:$D$12,MATCH(cadangan[[#This Row],[ItemID B]],Katalog!$C$3:$C$12,0))*cadangan[[#This Row],[Qty B]],0)</f>
        <v>0</v>
      </c>
      <c r="R386" s="73">
        <f>IFERROR(cadangan[[#This Row],[Harga Normal B]]-(cadangan[[#This Row],[Harga Normal B]]*cadangan[[#This Row],[Diskon]]),cadangan[[#This Row],[Harga Normal B]])</f>
        <v>0</v>
      </c>
      <c r="S386" s="73">
        <f>IFERROR(INDEX(Katalog!$F$3:$F$12,MATCH(cadangan[[#This Row],[ItemID B]],Katalog!$C$3:$C$12,0))*cadangan[[#This Row],[Qty B]],0)</f>
        <v>0</v>
      </c>
      <c r="T386" s="73">
        <f>IFERROR(cadangan[[#This Row],[Harga Diskon B]]-INDEX(Katalog!$E$3:$E$12,MATCH(cadangan[[#This Row],[ItemID B]],Katalog!$C$3:$C$12,0))*cadangan[[#This Row],[Qty B]],0)</f>
        <v>0</v>
      </c>
      <c r="V386" s="39" t="str">
        <f>IFERROR(INDEX(Katalog!$A$3:$A$12,MATCH(cadangan[[#This Row],[ItemID C]],Katalog!$C$3:$C$12,0)),"-")</f>
        <v>-</v>
      </c>
      <c r="W386" s="39" t="str">
        <f>IFERROR(INDEX(Katalog!$B$3:$B$12,MATCH(cadangan[[#This Row],[ItemID C]],Katalog!$C$3:$C$12,0)),"-")</f>
        <v>-</v>
      </c>
      <c r="Z386" s="73">
        <f>IFERROR(INDEX(Katalog!$D$3:$D$12,MATCH(cadangan[[#This Row],[ItemID C]],Katalog!$C$3:$C$12,0))*cadangan[[#This Row],[Qty C]],0)</f>
        <v>0</v>
      </c>
      <c r="AA386" s="73">
        <f>IFERROR(cadangan[[#This Row],[Harga Normal C]]-(cadangan[[#This Row],[Harga Normal C]]*cadangan[[#This Row],[Diskon]]),cadangan[[#This Row],[Harga Normal C]])</f>
        <v>0</v>
      </c>
      <c r="AB386" s="73">
        <f>IFERROR(INDEX(Katalog!$F$3:$F$12,MATCH(cadangan[[#This Row],[ItemID C]],Katalog!$C$3:$C$12,0))*cadangan[[#This Row],[Qty C]],0)</f>
        <v>0</v>
      </c>
      <c r="AC386" s="73">
        <f>IFERROR(cadangan[[#This Row],[Harga Diskon C]]-INDEX(Katalog!$E$3:$E$12,MATCH(cadangan[[#This Row],[ItemID C]],Katalog!$C$3:$C$12,0))*cadangan[[#This Row],[Qty C]],0)</f>
        <v>0</v>
      </c>
      <c r="AD386" s="53">
        <f>cadangan[[#This Row],[Qty A]]+cadangan[[#This Row],[Qty B]]+cadangan[[#This Row],[Qty C]]</f>
        <v>2</v>
      </c>
      <c r="AE386" s="73">
        <f>cadangan[[#This Row],[Harga Normal A]]+cadangan[[#This Row],[Harga Normal B]]+cadangan[[#This Row],[Harga Normal C]]</f>
        <v>360000</v>
      </c>
      <c r="AF386" s="73">
        <f>cadangan[[#This Row],[Harga Diskon A]]+cadangan[[#This Row],[Harga Diskon B]]+cadangan[[#This Row],[Harga Diskon C]]</f>
        <v>360000</v>
      </c>
      <c r="AG386" s="73">
        <f>(cadangan[[#This Row],[Profit Normal A]]+cadangan[[#This Row],[Profit Normal B]]+cadangan[[#This Row],[Profit Normal C]])</f>
        <v>140000</v>
      </c>
      <c r="AH386" s="73">
        <f>cadangan[[#This Row],[Profit Diskon A]]+cadangan[[#This Row],[Profit Diskon B]]+cadangan[[#This Row],[Profit Diskon C]]</f>
        <v>140000</v>
      </c>
      <c r="AI386" s="23" t="s">
        <v>290</v>
      </c>
      <c r="AJ386" s="37" t="str">
        <f>IFERROR(INDEX('Kode Diskon'!$D$3:$D$9,MATCH(cadangan[[#This Row],[Kode diskon]],'Kode Diskon'!$C$3:$C$9,0)),"-")</f>
        <v>-</v>
      </c>
      <c r="AK386" s="23" t="s">
        <v>290</v>
      </c>
      <c r="AL386" s="23" t="s">
        <v>7</v>
      </c>
      <c r="AM386" s="23" t="s">
        <v>78</v>
      </c>
      <c r="AN386" s="55">
        <v>45023</v>
      </c>
      <c r="AO386" s="53">
        <f>DAY(cadangan[[#This Row],[Tanggal terjual]])</f>
        <v>7</v>
      </c>
      <c r="AP386" s="21" t="str">
        <f>TEXT(cadangan[[#This Row],[Tanggal terjual]],"dddd")</f>
        <v>Friday</v>
      </c>
      <c r="AQ386" s="23" t="str" cm="1">
        <f t="array" ref="AQ3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86" s="61">
        <f>AVERAGE(cadangan[[#This Row],[Rating A]],cadangan[[#This Row],[Rating B]],cadangan[[#This Row],[Rating C]])</f>
        <v>1</v>
      </c>
    </row>
    <row r="387" spans="1:44" x14ac:dyDescent="0.2">
      <c r="A387" s="20">
        <v>386</v>
      </c>
      <c r="B387" s="21" t="str">
        <f>_xlfn.CONCAT("ORD-",INDEX(Helper!$B$2:$B$5,MATCH(cadangan[[#This Row],[Marketplace]],Helper!$A$2:$A$5,0)),TEXT(cadangan[[#This Row],[No]],"0000"),"-",TEXT(cadangan[[#This Row],[Tanggal terjual]],"dd/mm/yy"))</f>
        <v>ORD-SP0386-02/04/23</v>
      </c>
      <c r="C387" s="39" t="s">
        <v>63</v>
      </c>
      <c r="D387" s="39" t="str">
        <f>IFERROR(INDEX(Katalog!$A$3:$A$12,MATCH(cadangan[[#This Row],[ItemID A]],Katalog!$C$3:$C$12,0)),"-")</f>
        <v>Pakaian Pria</v>
      </c>
      <c r="E387" s="39" t="str">
        <f>IFERROR(INDEX(Katalog!$B$3:$B$12,MATCH(cadangan[[#This Row],[ItemID A]],Katalog!$C$3:$C$12,0)),"-")</f>
        <v>Jaket Jeans</v>
      </c>
      <c r="F387" s="50">
        <v>4</v>
      </c>
      <c r="G387" s="50">
        <v>2</v>
      </c>
      <c r="H387" s="73">
        <f>IFERROR(INDEX(Katalog!$D$3:$D$12,MATCH(cadangan[[#This Row],[ItemID A]],Katalog!$C$3:$C$12,0))*cadangan[[#This Row],[Qty A]],0)</f>
        <v>1600000</v>
      </c>
      <c r="I387" s="73">
        <f>IFERROR(cadangan[[#This Row],[Harga Normal A]]-(cadangan[[#This Row],[Harga Normal A]]*cadangan[[#This Row],[Diskon]]),cadangan[[#This Row],[Harga Normal A]])</f>
        <v>1440000</v>
      </c>
      <c r="J387" s="73">
        <f>INDEX(Katalog!$F$3:$F$12,MATCH(cadangan[[#This Row],[ItemID A]],Katalog!$C$3:$C$12,0))*cadangan[[#This Row],[Qty A]]</f>
        <v>600000</v>
      </c>
      <c r="K387" s="73">
        <f>IFERROR(cadangan[[#This Row],[Harga Diskon A]]-INDEX(Katalog!$E$3:$E$12,MATCH(cadangan[[#This Row],[ItemID A]],Katalog!$C$3:$C$12,0))*cadangan[[#This Row],[Qty A]],0)</f>
        <v>440000</v>
      </c>
      <c r="M387" s="39" t="str">
        <f>IFERROR(INDEX(Katalog!$A$3:$A$12,MATCH(cadangan[[#This Row],[ItemID B]],Katalog!$C$3:$C$12,0)),"-")</f>
        <v>-</v>
      </c>
      <c r="N387" s="39" t="str">
        <f>IFERROR(INDEX(Katalog!$B$3:$B$12,MATCH(cadangan[[#This Row],[ItemID B]],Katalog!$C$3:$C$12,0)),"-")</f>
        <v>-</v>
      </c>
      <c r="Q387" s="73">
        <f>IFERROR(INDEX(Katalog!$D$3:$D$12,MATCH(cadangan[[#This Row],[ItemID B]],Katalog!$C$3:$C$12,0))*cadangan[[#This Row],[Qty B]],0)</f>
        <v>0</v>
      </c>
      <c r="R387" s="73">
        <f>IFERROR(cadangan[[#This Row],[Harga Normal B]]-(cadangan[[#This Row],[Harga Normal B]]*cadangan[[#This Row],[Diskon]]),cadangan[[#This Row],[Harga Normal B]])</f>
        <v>0</v>
      </c>
      <c r="S387" s="73">
        <f>IFERROR(INDEX(Katalog!$F$3:$F$12,MATCH(cadangan[[#This Row],[ItemID B]],Katalog!$C$3:$C$12,0))*cadangan[[#This Row],[Qty B]],0)</f>
        <v>0</v>
      </c>
      <c r="T387" s="73">
        <f>IFERROR(cadangan[[#This Row],[Harga Diskon B]]-INDEX(Katalog!$E$3:$E$12,MATCH(cadangan[[#This Row],[ItemID B]],Katalog!$C$3:$C$12,0))*cadangan[[#This Row],[Qty B]],0)</f>
        <v>0</v>
      </c>
      <c r="V387" s="39" t="str">
        <f>IFERROR(INDEX(Katalog!$A$3:$A$12,MATCH(cadangan[[#This Row],[ItemID C]],Katalog!$C$3:$C$12,0)),"-")</f>
        <v>-</v>
      </c>
      <c r="W387" s="39" t="str">
        <f>IFERROR(INDEX(Katalog!$B$3:$B$12,MATCH(cadangan[[#This Row],[ItemID C]],Katalog!$C$3:$C$12,0)),"-")</f>
        <v>-</v>
      </c>
      <c r="Z387" s="73">
        <f>IFERROR(INDEX(Katalog!$D$3:$D$12,MATCH(cadangan[[#This Row],[ItemID C]],Katalog!$C$3:$C$12,0))*cadangan[[#This Row],[Qty C]],0)</f>
        <v>0</v>
      </c>
      <c r="AA387" s="73">
        <f>IFERROR(cadangan[[#This Row],[Harga Normal C]]-(cadangan[[#This Row],[Harga Normal C]]*cadangan[[#This Row],[Diskon]]),cadangan[[#This Row],[Harga Normal C]])</f>
        <v>0</v>
      </c>
      <c r="AB387" s="73">
        <f>IFERROR(INDEX(Katalog!$F$3:$F$12,MATCH(cadangan[[#This Row],[ItemID C]],Katalog!$C$3:$C$12,0))*cadangan[[#This Row],[Qty C]],0)</f>
        <v>0</v>
      </c>
      <c r="AC387" s="73">
        <f>IFERROR(cadangan[[#This Row],[Harga Diskon C]]-INDEX(Katalog!$E$3:$E$12,MATCH(cadangan[[#This Row],[ItemID C]],Katalog!$C$3:$C$12,0))*cadangan[[#This Row],[Qty C]],0)</f>
        <v>0</v>
      </c>
      <c r="AD387" s="53">
        <f>cadangan[[#This Row],[Qty A]]+cadangan[[#This Row],[Qty B]]+cadangan[[#This Row],[Qty C]]</f>
        <v>4</v>
      </c>
      <c r="AE387" s="73">
        <f>cadangan[[#This Row],[Harga Normal A]]+cadangan[[#This Row],[Harga Normal B]]+cadangan[[#This Row],[Harga Normal C]]</f>
        <v>1600000</v>
      </c>
      <c r="AF387" s="73">
        <f>cadangan[[#This Row],[Harga Diskon A]]+cadangan[[#This Row],[Harga Diskon B]]+cadangan[[#This Row],[Harga Diskon C]]</f>
        <v>1440000</v>
      </c>
      <c r="AG387" s="73">
        <f>(cadangan[[#This Row],[Profit Normal A]]+cadangan[[#This Row],[Profit Normal B]]+cadangan[[#This Row],[Profit Normal C]])</f>
        <v>600000</v>
      </c>
      <c r="AH387" s="73">
        <f>cadangan[[#This Row],[Profit Diskon A]]+cadangan[[#This Row],[Profit Diskon B]]+cadangan[[#This Row],[Profit Diskon C]]</f>
        <v>440000</v>
      </c>
      <c r="AI387" s="23" t="s">
        <v>6</v>
      </c>
      <c r="AJ387" s="37">
        <f>IFERROR(INDEX('Kode Diskon'!$D$3:$D$9,MATCH(cadangan[[#This Row],[Kode diskon]],'Kode Diskon'!$C$3:$C$9,0)),"-")</f>
        <v>0.1</v>
      </c>
      <c r="AK387" s="23" t="s">
        <v>29</v>
      </c>
      <c r="AL387" s="23" t="s">
        <v>7</v>
      </c>
      <c r="AM387" s="23" t="s">
        <v>80</v>
      </c>
      <c r="AN387" s="55">
        <v>45018</v>
      </c>
      <c r="AO387" s="53">
        <f>DAY(cadangan[[#This Row],[Tanggal terjual]])</f>
        <v>2</v>
      </c>
      <c r="AP387" s="21" t="str">
        <f>TEXT(cadangan[[#This Row],[Tanggal terjual]],"dddd")</f>
        <v>Sunday</v>
      </c>
      <c r="AQ387" s="23" t="str" cm="1">
        <f t="array" ref="AQ3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87" s="61">
        <f>AVERAGE(cadangan[[#This Row],[Rating A]],cadangan[[#This Row],[Rating B]],cadangan[[#This Row],[Rating C]])</f>
        <v>2</v>
      </c>
    </row>
    <row r="388" spans="1:44" x14ac:dyDescent="0.2">
      <c r="A388" s="20">
        <v>387</v>
      </c>
      <c r="B388" s="21" t="str">
        <f>_xlfn.CONCAT("ORD-",INDEX(Helper!$B$2:$B$5,MATCH(cadangan[[#This Row],[Marketplace]],Helper!$A$2:$A$5,0)),TEXT(cadangan[[#This Row],[No]],"0000"),"-",TEXT(cadangan[[#This Row],[Tanggal terjual]],"dd/mm/yy"))</f>
        <v>ORD-SP0387-01/04/23</v>
      </c>
      <c r="C388" s="39" t="s">
        <v>62</v>
      </c>
      <c r="D388" s="39" t="str">
        <f>IFERROR(INDEX(Katalog!$A$3:$A$12,MATCH(cadangan[[#This Row],[ItemID A]],Katalog!$C$3:$C$12,0)),"-")</f>
        <v>Pakaian Pria</v>
      </c>
      <c r="E388" s="39" t="str">
        <f>IFERROR(INDEX(Katalog!$B$3:$B$12,MATCH(cadangan[[#This Row],[ItemID A]],Katalog!$C$3:$C$12,0)),"-")</f>
        <v>Celana Pendek</v>
      </c>
      <c r="F388" s="50">
        <v>4</v>
      </c>
      <c r="G388" s="50">
        <v>3</v>
      </c>
      <c r="H388" s="73">
        <f>IFERROR(INDEX(Katalog!$D$3:$D$12,MATCH(cadangan[[#This Row],[ItemID A]],Katalog!$C$3:$C$12,0))*cadangan[[#This Row],[Qty A]],0)</f>
        <v>720000</v>
      </c>
      <c r="I388" s="73">
        <f>IFERROR(cadangan[[#This Row],[Harga Normal A]]-(cadangan[[#This Row],[Harga Normal A]]*cadangan[[#This Row],[Diskon]]),cadangan[[#This Row],[Harga Normal A]])</f>
        <v>612000</v>
      </c>
      <c r="J388" s="73">
        <f>INDEX(Katalog!$F$3:$F$12,MATCH(cadangan[[#This Row],[ItemID A]],Katalog!$C$3:$C$12,0))*cadangan[[#This Row],[Qty A]]</f>
        <v>280000</v>
      </c>
      <c r="K388" s="73">
        <f>IFERROR(cadangan[[#This Row],[Harga Diskon A]]-INDEX(Katalog!$E$3:$E$12,MATCH(cadangan[[#This Row],[ItemID A]],Katalog!$C$3:$C$12,0))*cadangan[[#This Row],[Qty A]],0)</f>
        <v>172000</v>
      </c>
      <c r="L388" s="39" t="s">
        <v>64</v>
      </c>
      <c r="M388" s="39" t="str">
        <f>IFERROR(INDEX(Katalog!$A$3:$A$12,MATCH(cadangan[[#This Row],[ItemID B]],Katalog!$C$3:$C$12,0)),"-")</f>
        <v>Pakaian Unisex</v>
      </c>
      <c r="N388" s="39" t="str">
        <f>IFERROR(INDEX(Katalog!$B$3:$B$12,MATCH(cadangan[[#This Row],[ItemID B]],Katalog!$C$3:$C$12,0)),"-")</f>
        <v>Jaket Hoodie</v>
      </c>
      <c r="O388" s="50">
        <v>1</v>
      </c>
      <c r="P388" s="50">
        <v>2</v>
      </c>
      <c r="Q388" s="73">
        <f>IFERROR(INDEX(Katalog!$D$3:$D$12,MATCH(cadangan[[#This Row],[ItemID B]],Katalog!$C$3:$C$12,0))*cadangan[[#This Row],[Qty B]],0)</f>
        <v>350000</v>
      </c>
      <c r="R388" s="73">
        <f>IFERROR(cadangan[[#This Row],[Harga Normal B]]-(cadangan[[#This Row],[Harga Normal B]]*cadangan[[#This Row],[Diskon]]),cadangan[[#This Row],[Harga Normal B]])</f>
        <v>297500</v>
      </c>
      <c r="S388" s="73">
        <f>IFERROR(INDEX(Katalog!$F$3:$F$12,MATCH(cadangan[[#This Row],[ItemID B]],Katalog!$C$3:$C$12,0))*cadangan[[#This Row],[Qty B]],0)</f>
        <v>130000</v>
      </c>
      <c r="T388" s="73">
        <f>IFERROR(cadangan[[#This Row],[Harga Diskon B]]-INDEX(Katalog!$E$3:$E$12,MATCH(cadangan[[#This Row],[ItemID B]],Katalog!$C$3:$C$12,0))*cadangan[[#This Row],[Qty B]],0)</f>
        <v>77500</v>
      </c>
      <c r="U388" s="39" t="s">
        <v>65</v>
      </c>
      <c r="V388" s="39" t="str">
        <f>IFERROR(INDEX(Katalog!$A$3:$A$12,MATCH(cadangan[[#This Row],[ItemID C]],Katalog!$C$3:$C$12,0)),"-")</f>
        <v>Sepatu Pria</v>
      </c>
      <c r="W388" s="39" t="str">
        <f>IFERROR(INDEX(Katalog!$B$3:$B$12,MATCH(cadangan[[#This Row],[ItemID C]],Katalog!$C$3:$C$12,0)),"-")</f>
        <v>Sneakers</v>
      </c>
      <c r="X388" s="50">
        <v>2</v>
      </c>
      <c r="Y388" s="50">
        <v>4</v>
      </c>
      <c r="Z388" s="73">
        <f>IFERROR(INDEX(Katalog!$D$3:$D$12,MATCH(cadangan[[#This Row],[ItemID C]],Katalog!$C$3:$C$12,0))*cadangan[[#This Row],[Qty C]],0)</f>
        <v>1000000</v>
      </c>
      <c r="AA388" s="73">
        <f>IFERROR(cadangan[[#This Row],[Harga Normal C]]-(cadangan[[#This Row],[Harga Normal C]]*cadangan[[#This Row],[Diskon]]),cadangan[[#This Row],[Harga Normal C]])</f>
        <v>850000</v>
      </c>
      <c r="AB388" s="73">
        <f>IFERROR(INDEX(Katalog!$F$3:$F$12,MATCH(cadangan[[#This Row],[ItemID C]],Katalog!$C$3:$C$12,0))*cadangan[[#This Row],[Qty C]],0)</f>
        <v>400000</v>
      </c>
      <c r="AC388" s="73">
        <f>IFERROR(cadangan[[#This Row],[Harga Diskon C]]-INDEX(Katalog!$E$3:$E$12,MATCH(cadangan[[#This Row],[ItemID C]],Katalog!$C$3:$C$12,0))*cadangan[[#This Row],[Qty C]],0)</f>
        <v>250000</v>
      </c>
      <c r="AD388" s="53">
        <f>cadangan[[#This Row],[Qty A]]+cadangan[[#This Row],[Qty B]]+cadangan[[#This Row],[Qty C]]</f>
        <v>7</v>
      </c>
      <c r="AE388" s="73">
        <f>cadangan[[#This Row],[Harga Normal A]]+cadangan[[#This Row],[Harga Normal B]]+cadangan[[#This Row],[Harga Normal C]]</f>
        <v>2070000</v>
      </c>
      <c r="AF388" s="73">
        <f>cadangan[[#This Row],[Harga Diskon A]]+cadangan[[#This Row],[Harga Diskon B]]+cadangan[[#This Row],[Harga Diskon C]]</f>
        <v>1759500</v>
      </c>
      <c r="AG388" s="73">
        <f>(cadangan[[#This Row],[Profit Normal A]]+cadangan[[#This Row],[Profit Normal B]]+cadangan[[#This Row],[Profit Normal C]])</f>
        <v>810000</v>
      </c>
      <c r="AH388" s="73">
        <f>cadangan[[#This Row],[Profit Diskon A]]+cadangan[[#This Row],[Profit Diskon B]]+cadangan[[#This Row],[Profit Diskon C]]</f>
        <v>499500</v>
      </c>
      <c r="AI388" s="23" t="s">
        <v>13</v>
      </c>
      <c r="AJ388" s="37">
        <f>IFERROR(INDEX('Kode Diskon'!$D$3:$D$9,MATCH(cadangan[[#This Row],[Kode diskon]],'Kode Diskon'!$C$3:$C$9,0)),"-")</f>
        <v>0.15</v>
      </c>
      <c r="AK388" s="23" t="s">
        <v>29</v>
      </c>
      <c r="AL388" s="23" t="s">
        <v>7</v>
      </c>
      <c r="AM388" s="23" t="s">
        <v>80</v>
      </c>
      <c r="AN388" s="55">
        <v>45017</v>
      </c>
      <c r="AO388" s="53">
        <f>DAY(cadangan[[#This Row],[Tanggal terjual]])</f>
        <v>1</v>
      </c>
      <c r="AP388" s="21" t="str">
        <f>TEXT(cadangan[[#This Row],[Tanggal terjual]],"dddd")</f>
        <v>Saturday</v>
      </c>
      <c r="AQ388" s="23" t="str" cm="1">
        <f t="array" ref="AQ3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88" s="61">
        <f>AVERAGE(cadangan[[#This Row],[Rating A]],cadangan[[#This Row],[Rating B]],cadangan[[#This Row],[Rating C]])</f>
        <v>3</v>
      </c>
    </row>
    <row r="389" spans="1:44" x14ac:dyDescent="0.2">
      <c r="A389" s="20">
        <v>388</v>
      </c>
      <c r="B389" s="21" t="str">
        <f>_xlfn.CONCAT("ORD-",INDEX(Helper!$B$2:$B$5,MATCH(cadangan[[#This Row],[Marketplace]],Helper!$A$2:$A$5,0)),TEXT(cadangan[[#This Row],[No]],"0000"),"-",TEXT(cadangan[[#This Row],[Tanggal terjual]],"dd/mm/yy"))</f>
        <v>ORD-TK0388-20/04/23</v>
      </c>
      <c r="C389" s="39" t="s">
        <v>59</v>
      </c>
      <c r="D389" s="39" t="str">
        <f>IFERROR(INDEX(Katalog!$A$3:$A$12,MATCH(cadangan[[#This Row],[ItemID A]],Katalog!$C$3:$C$12,0)),"-")</f>
        <v>Pakaian Wanita</v>
      </c>
      <c r="E389" s="39" t="str">
        <f>IFERROR(INDEX(Katalog!$B$3:$B$12,MATCH(cadangan[[#This Row],[ItemID A]],Katalog!$C$3:$C$12,0)),"-")</f>
        <v>Blouse</v>
      </c>
      <c r="F389" s="50">
        <v>3</v>
      </c>
      <c r="G389" s="50">
        <v>5</v>
      </c>
      <c r="H389" s="73">
        <f>IFERROR(INDEX(Katalog!$D$3:$D$12,MATCH(cadangan[[#This Row],[ItemID A]],Katalog!$C$3:$C$12,0))*cadangan[[#This Row],[Qty A]],0)</f>
        <v>450000</v>
      </c>
      <c r="I389" s="73">
        <f>IFERROR(cadangan[[#This Row],[Harga Normal A]]-(cadangan[[#This Row],[Harga Normal A]]*cadangan[[#This Row],[Diskon]]),cadangan[[#This Row],[Harga Normal A]])</f>
        <v>405000</v>
      </c>
      <c r="J389" s="73">
        <f>INDEX(Katalog!$F$3:$F$12,MATCH(cadangan[[#This Row],[ItemID A]],Katalog!$C$3:$C$12,0))*cadangan[[#This Row],[Qty A]]</f>
        <v>150000</v>
      </c>
      <c r="K389" s="73">
        <f>IFERROR(cadangan[[#This Row],[Harga Diskon A]]-INDEX(Katalog!$E$3:$E$12,MATCH(cadangan[[#This Row],[ItemID A]],Katalog!$C$3:$C$12,0))*cadangan[[#This Row],[Qty A]],0)</f>
        <v>105000</v>
      </c>
      <c r="M389" s="39" t="str">
        <f>IFERROR(INDEX(Katalog!$A$3:$A$12,MATCH(cadangan[[#This Row],[ItemID B]],Katalog!$C$3:$C$12,0)),"-")</f>
        <v>-</v>
      </c>
      <c r="N389" s="39" t="str">
        <f>IFERROR(INDEX(Katalog!$B$3:$B$12,MATCH(cadangan[[#This Row],[ItemID B]],Katalog!$C$3:$C$12,0)),"-")</f>
        <v>-</v>
      </c>
      <c r="Q389" s="73">
        <f>IFERROR(INDEX(Katalog!$D$3:$D$12,MATCH(cadangan[[#This Row],[ItemID B]],Katalog!$C$3:$C$12,0))*cadangan[[#This Row],[Qty B]],0)</f>
        <v>0</v>
      </c>
      <c r="R389" s="73">
        <f>IFERROR(cadangan[[#This Row],[Harga Normal B]]-(cadangan[[#This Row],[Harga Normal B]]*cadangan[[#This Row],[Diskon]]),cadangan[[#This Row],[Harga Normal B]])</f>
        <v>0</v>
      </c>
      <c r="S389" s="73">
        <f>IFERROR(INDEX(Katalog!$F$3:$F$12,MATCH(cadangan[[#This Row],[ItemID B]],Katalog!$C$3:$C$12,0))*cadangan[[#This Row],[Qty B]],0)</f>
        <v>0</v>
      </c>
      <c r="T389" s="73">
        <f>IFERROR(cadangan[[#This Row],[Harga Diskon B]]-INDEX(Katalog!$E$3:$E$12,MATCH(cadangan[[#This Row],[ItemID B]],Katalog!$C$3:$C$12,0))*cadangan[[#This Row],[Qty B]],0)</f>
        <v>0</v>
      </c>
      <c r="V389" s="39" t="str">
        <f>IFERROR(INDEX(Katalog!$A$3:$A$12,MATCH(cadangan[[#This Row],[ItemID C]],Katalog!$C$3:$C$12,0)),"-")</f>
        <v>-</v>
      </c>
      <c r="W389" s="39" t="str">
        <f>IFERROR(INDEX(Katalog!$B$3:$B$12,MATCH(cadangan[[#This Row],[ItemID C]],Katalog!$C$3:$C$12,0)),"-")</f>
        <v>-</v>
      </c>
      <c r="Z389" s="73">
        <f>IFERROR(INDEX(Katalog!$D$3:$D$12,MATCH(cadangan[[#This Row],[ItemID C]],Katalog!$C$3:$C$12,0))*cadangan[[#This Row],[Qty C]],0)</f>
        <v>0</v>
      </c>
      <c r="AA389" s="73">
        <f>IFERROR(cadangan[[#This Row],[Harga Normal C]]-(cadangan[[#This Row],[Harga Normal C]]*cadangan[[#This Row],[Diskon]]),cadangan[[#This Row],[Harga Normal C]])</f>
        <v>0</v>
      </c>
      <c r="AB389" s="73">
        <f>IFERROR(INDEX(Katalog!$F$3:$F$12,MATCH(cadangan[[#This Row],[ItemID C]],Katalog!$C$3:$C$12,0))*cadangan[[#This Row],[Qty C]],0)</f>
        <v>0</v>
      </c>
      <c r="AC389" s="73">
        <f>IFERROR(cadangan[[#This Row],[Harga Diskon C]]-INDEX(Katalog!$E$3:$E$12,MATCH(cadangan[[#This Row],[ItemID C]],Katalog!$C$3:$C$12,0))*cadangan[[#This Row],[Qty C]],0)</f>
        <v>0</v>
      </c>
      <c r="AD389" s="53">
        <f>cadangan[[#This Row],[Qty A]]+cadangan[[#This Row],[Qty B]]+cadangan[[#This Row],[Qty C]]</f>
        <v>3</v>
      </c>
      <c r="AE389" s="73">
        <f>cadangan[[#This Row],[Harga Normal A]]+cadangan[[#This Row],[Harga Normal B]]+cadangan[[#This Row],[Harga Normal C]]</f>
        <v>450000</v>
      </c>
      <c r="AF389" s="73">
        <f>cadangan[[#This Row],[Harga Diskon A]]+cadangan[[#This Row],[Harga Diskon B]]+cadangan[[#This Row],[Harga Diskon C]]</f>
        <v>405000</v>
      </c>
      <c r="AG389" s="73">
        <f>(cadangan[[#This Row],[Profit Normal A]]+cadangan[[#This Row],[Profit Normal B]]+cadangan[[#This Row],[Profit Normal C]])</f>
        <v>150000</v>
      </c>
      <c r="AH389" s="73">
        <f>cadangan[[#This Row],[Profit Diskon A]]+cadangan[[#This Row],[Profit Diskon B]]+cadangan[[#This Row],[Profit Diskon C]]</f>
        <v>105000</v>
      </c>
      <c r="AI389" s="23" t="s">
        <v>31</v>
      </c>
      <c r="AJ389" s="37">
        <f>IFERROR(INDEX('Kode Diskon'!$D$3:$D$9,MATCH(cadangan[[#This Row],[Kode diskon]],'Kode Diskon'!$C$3:$C$9,0)),"-")</f>
        <v>0.1</v>
      </c>
      <c r="AK389" s="23" t="s">
        <v>9</v>
      </c>
      <c r="AL389" s="23" t="s">
        <v>10</v>
      </c>
      <c r="AM389" s="23" t="s">
        <v>77</v>
      </c>
      <c r="AN389" s="55">
        <v>45036</v>
      </c>
      <c r="AO389" s="53">
        <f>DAY(cadangan[[#This Row],[Tanggal terjual]])</f>
        <v>20</v>
      </c>
      <c r="AP389" s="21" t="str">
        <f>TEXT(cadangan[[#This Row],[Tanggal terjual]],"dddd")</f>
        <v>Thursday</v>
      </c>
      <c r="AQ389" s="23" t="str" cm="1">
        <f t="array" ref="AQ3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389" s="61">
        <f>AVERAGE(cadangan[[#This Row],[Rating A]],cadangan[[#This Row],[Rating B]],cadangan[[#This Row],[Rating C]])</f>
        <v>5</v>
      </c>
    </row>
    <row r="390" spans="1:44" x14ac:dyDescent="0.2">
      <c r="A390" s="20">
        <v>389</v>
      </c>
      <c r="B390" s="21" t="str">
        <f>_xlfn.CONCAT("ORD-",INDEX(Helper!$B$2:$B$5,MATCH(cadangan[[#This Row],[Marketplace]],Helper!$A$2:$A$5,0)),TEXT(cadangan[[#This Row],[No]],"0000"),"-",TEXT(cadangan[[#This Row],[Tanggal terjual]],"dd/mm/yy"))</f>
        <v>ORD-BL0389-10/04/23</v>
      </c>
      <c r="C390" s="39" t="s">
        <v>66</v>
      </c>
      <c r="D390" s="39" t="str">
        <f>IFERROR(INDEX(Katalog!$A$3:$A$12,MATCH(cadangan[[#This Row],[ItemID A]],Katalog!$C$3:$C$12,0)),"-")</f>
        <v>Sepatu Pria</v>
      </c>
      <c r="E390" s="39" t="str">
        <f>IFERROR(INDEX(Katalog!$B$3:$B$12,MATCH(cadangan[[#This Row],[ItemID A]],Katalog!$C$3:$C$12,0)),"-")</f>
        <v>Sandal Slip On</v>
      </c>
      <c r="F390" s="50">
        <v>3</v>
      </c>
      <c r="G390" s="50">
        <v>2</v>
      </c>
      <c r="H390" s="73">
        <f>IFERROR(INDEX(Katalog!$D$3:$D$12,MATCH(cadangan[[#This Row],[ItemID A]],Katalog!$C$3:$C$12,0))*cadangan[[#This Row],[Qty A]],0)</f>
        <v>450000</v>
      </c>
      <c r="I390" s="73">
        <f>IFERROR(cadangan[[#This Row],[Harga Normal A]]-(cadangan[[#This Row],[Harga Normal A]]*cadangan[[#This Row],[Diskon]]),cadangan[[#This Row],[Harga Normal A]])</f>
        <v>450000</v>
      </c>
      <c r="J390" s="73">
        <f>INDEX(Katalog!$F$3:$F$12,MATCH(cadangan[[#This Row],[ItemID A]],Katalog!$C$3:$C$12,0))*cadangan[[#This Row],[Qty A]]</f>
        <v>180000</v>
      </c>
      <c r="K390" s="73">
        <f>IFERROR(cadangan[[#This Row],[Harga Diskon A]]-INDEX(Katalog!$E$3:$E$12,MATCH(cadangan[[#This Row],[ItemID A]],Katalog!$C$3:$C$12,0))*cadangan[[#This Row],[Qty A]],0)</f>
        <v>180000</v>
      </c>
      <c r="M390" s="39" t="str">
        <f>IFERROR(INDEX(Katalog!$A$3:$A$12,MATCH(cadangan[[#This Row],[ItemID B]],Katalog!$C$3:$C$12,0)),"-")</f>
        <v>-</v>
      </c>
      <c r="N390" s="39" t="str">
        <f>IFERROR(INDEX(Katalog!$B$3:$B$12,MATCH(cadangan[[#This Row],[ItemID B]],Katalog!$C$3:$C$12,0)),"-")</f>
        <v>-</v>
      </c>
      <c r="Q390" s="73">
        <f>IFERROR(INDEX(Katalog!$D$3:$D$12,MATCH(cadangan[[#This Row],[ItemID B]],Katalog!$C$3:$C$12,0))*cadangan[[#This Row],[Qty B]],0)</f>
        <v>0</v>
      </c>
      <c r="R390" s="73">
        <f>IFERROR(cadangan[[#This Row],[Harga Normal B]]-(cadangan[[#This Row],[Harga Normal B]]*cadangan[[#This Row],[Diskon]]),cadangan[[#This Row],[Harga Normal B]])</f>
        <v>0</v>
      </c>
      <c r="S390" s="73">
        <f>IFERROR(INDEX(Katalog!$F$3:$F$12,MATCH(cadangan[[#This Row],[ItemID B]],Katalog!$C$3:$C$12,0))*cadangan[[#This Row],[Qty B]],0)</f>
        <v>0</v>
      </c>
      <c r="T390" s="73">
        <f>IFERROR(cadangan[[#This Row],[Harga Diskon B]]-INDEX(Katalog!$E$3:$E$12,MATCH(cadangan[[#This Row],[ItemID B]],Katalog!$C$3:$C$12,0))*cadangan[[#This Row],[Qty B]],0)</f>
        <v>0</v>
      </c>
      <c r="V390" s="39" t="str">
        <f>IFERROR(INDEX(Katalog!$A$3:$A$12,MATCH(cadangan[[#This Row],[ItemID C]],Katalog!$C$3:$C$12,0)),"-")</f>
        <v>-</v>
      </c>
      <c r="W390" s="39" t="str">
        <f>IFERROR(INDEX(Katalog!$B$3:$B$12,MATCH(cadangan[[#This Row],[ItemID C]],Katalog!$C$3:$C$12,0)),"-")</f>
        <v>-</v>
      </c>
      <c r="Z390" s="73">
        <f>IFERROR(INDEX(Katalog!$D$3:$D$12,MATCH(cadangan[[#This Row],[ItemID C]],Katalog!$C$3:$C$12,0))*cadangan[[#This Row],[Qty C]],0)</f>
        <v>0</v>
      </c>
      <c r="AA390" s="73">
        <f>IFERROR(cadangan[[#This Row],[Harga Normal C]]-(cadangan[[#This Row],[Harga Normal C]]*cadangan[[#This Row],[Diskon]]),cadangan[[#This Row],[Harga Normal C]])</f>
        <v>0</v>
      </c>
      <c r="AB390" s="73">
        <f>IFERROR(INDEX(Katalog!$F$3:$F$12,MATCH(cadangan[[#This Row],[ItemID C]],Katalog!$C$3:$C$12,0))*cadangan[[#This Row],[Qty C]],0)</f>
        <v>0</v>
      </c>
      <c r="AC390" s="73">
        <f>IFERROR(cadangan[[#This Row],[Harga Diskon C]]-INDEX(Katalog!$E$3:$E$12,MATCH(cadangan[[#This Row],[ItemID C]],Katalog!$C$3:$C$12,0))*cadangan[[#This Row],[Qty C]],0)</f>
        <v>0</v>
      </c>
      <c r="AD390" s="53">
        <f>cadangan[[#This Row],[Qty A]]+cadangan[[#This Row],[Qty B]]+cadangan[[#This Row],[Qty C]]</f>
        <v>3</v>
      </c>
      <c r="AE390" s="73">
        <f>cadangan[[#This Row],[Harga Normal A]]+cadangan[[#This Row],[Harga Normal B]]+cadangan[[#This Row],[Harga Normal C]]</f>
        <v>450000</v>
      </c>
      <c r="AF390" s="73">
        <f>cadangan[[#This Row],[Harga Diskon A]]+cadangan[[#This Row],[Harga Diskon B]]+cadangan[[#This Row],[Harga Diskon C]]</f>
        <v>450000</v>
      </c>
      <c r="AG390" s="73">
        <f>(cadangan[[#This Row],[Profit Normal A]]+cadangan[[#This Row],[Profit Normal B]]+cadangan[[#This Row],[Profit Normal C]])</f>
        <v>180000</v>
      </c>
      <c r="AH390" s="73">
        <f>cadangan[[#This Row],[Profit Diskon A]]+cadangan[[#This Row],[Profit Diskon B]]+cadangan[[#This Row],[Profit Diskon C]]</f>
        <v>180000</v>
      </c>
      <c r="AI390" s="23" t="s">
        <v>290</v>
      </c>
      <c r="AJ390" s="37" t="str">
        <f>IFERROR(INDEX('Kode Diskon'!$D$3:$D$9,MATCH(cadangan[[#This Row],[Kode diskon]],'Kode Diskon'!$C$3:$C$9,0)),"-")</f>
        <v>-</v>
      </c>
      <c r="AK390" s="23" t="s">
        <v>290</v>
      </c>
      <c r="AL390" s="23" t="s">
        <v>12</v>
      </c>
      <c r="AM390" s="23" t="s">
        <v>80</v>
      </c>
      <c r="AN390" s="55">
        <v>45026</v>
      </c>
      <c r="AO390" s="53">
        <f>DAY(cadangan[[#This Row],[Tanggal terjual]])</f>
        <v>10</v>
      </c>
      <c r="AP390" s="21" t="str">
        <f>TEXT(cadangan[[#This Row],[Tanggal terjual]],"dddd")</f>
        <v>Monday</v>
      </c>
      <c r="AQ390" s="23" t="str" cm="1">
        <f t="array" ref="AQ3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90" s="61">
        <f>AVERAGE(cadangan[[#This Row],[Rating A]],cadangan[[#This Row],[Rating B]],cadangan[[#This Row],[Rating C]])</f>
        <v>2</v>
      </c>
    </row>
    <row r="391" spans="1:44" x14ac:dyDescent="0.2">
      <c r="A391" s="20">
        <v>390</v>
      </c>
      <c r="B391" s="21" t="str">
        <f>_xlfn.CONCAT("ORD-",INDEX(Helper!$B$2:$B$5,MATCH(cadangan[[#This Row],[Marketplace]],Helper!$A$2:$A$5,0)),TEXT(cadangan[[#This Row],[No]],"0000"),"-",TEXT(cadangan[[#This Row],[Tanggal terjual]],"dd/mm/yy"))</f>
        <v>ORD-SP0390-02/04/23</v>
      </c>
      <c r="C391" s="39" t="s">
        <v>60</v>
      </c>
      <c r="D391" s="39" t="str">
        <f>IFERROR(INDEX(Katalog!$A$3:$A$12,MATCH(cadangan[[#This Row],[ItemID A]],Katalog!$C$3:$C$12,0)),"-")</f>
        <v>Pakaian Wanita</v>
      </c>
      <c r="E391" s="39" t="str">
        <f>IFERROR(INDEX(Katalog!$B$3:$B$12,MATCH(cadangan[[#This Row],[ItemID A]],Katalog!$C$3:$C$12,0)),"-")</f>
        <v>Kaftan</v>
      </c>
      <c r="F391" s="50">
        <v>2</v>
      </c>
      <c r="G391" s="50">
        <v>1</v>
      </c>
      <c r="H391" s="73">
        <f>IFERROR(INDEX(Katalog!$D$3:$D$12,MATCH(cadangan[[#This Row],[ItemID A]],Katalog!$C$3:$C$12,0))*cadangan[[#This Row],[Qty A]],0)</f>
        <v>500000</v>
      </c>
      <c r="I391" s="73">
        <f>IFERROR(cadangan[[#This Row],[Harga Normal A]]-(cadangan[[#This Row],[Harga Normal A]]*cadangan[[#This Row],[Diskon]]),cadangan[[#This Row],[Harga Normal A]])</f>
        <v>425000</v>
      </c>
      <c r="J391" s="73">
        <f>INDEX(Katalog!$F$3:$F$12,MATCH(cadangan[[#This Row],[ItemID A]],Katalog!$C$3:$C$12,0))*cadangan[[#This Row],[Qty A]]</f>
        <v>200000</v>
      </c>
      <c r="K391" s="73">
        <f>IFERROR(cadangan[[#This Row],[Harga Diskon A]]-INDEX(Katalog!$E$3:$E$12,MATCH(cadangan[[#This Row],[ItemID A]],Katalog!$C$3:$C$12,0))*cadangan[[#This Row],[Qty A]],0)</f>
        <v>125000</v>
      </c>
      <c r="M391" s="39" t="str">
        <f>IFERROR(INDEX(Katalog!$A$3:$A$12,MATCH(cadangan[[#This Row],[ItemID B]],Katalog!$C$3:$C$12,0)),"-")</f>
        <v>-</v>
      </c>
      <c r="N391" s="39" t="str">
        <f>IFERROR(INDEX(Katalog!$B$3:$B$12,MATCH(cadangan[[#This Row],[ItemID B]],Katalog!$C$3:$C$12,0)),"-")</f>
        <v>-</v>
      </c>
      <c r="Q391" s="73">
        <f>IFERROR(INDEX(Katalog!$D$3:$D$12,MATCH(cadangan[[#This Row],[ItemID B]],Katalog!$C$3:$C$12,0))*cadangan[[#This Row],[Qty B]],0)</f>
        <v>0</v>
      </c>
      <c r="R391" s="73">
        <f>IFERROR(cadangan[[#This Row],[Harga Normal B]]-(cadangan[[#This Row],[Harga Normal B]]*cadangan[[#This Row],[Diskon]]),cadangan[[#This Row],[Harga Normal B]])</f>
        <v>0</v>
      </c>
      <c r="S391" s="73">
        <f>IFERROR(INDEX(Katalog!$F$3:$F$12,MATCH(cadangan[[#This Row],[ItemID B]],Katalog!$C$3:$C$12,0))*cadangan[[#This Row],[Qty B]],0)</f>
        <v>0</v>
      </c>
      <c r="T391" s="73">
        <f>IFERROR(cadangan[[#This Row],[Harga Diskon B]]-INDEX(Katalog!$E$3:$E$12,MATCH(cadangan[[#This Row],[ItemID B]],Katalog!$C$3:$C$12,0))*cadangan[[#This Row],[Qty B]],0)</f>
        <v>0</v>
      </c>
      <c r="V391" s="39" t="str">
        <f>IFERROR(INDEX(Katalog!$A$3:$A$12,MATCH(cadangan[[#This Row],[ItemID C]],Katalog!$C$3:$C$12,0)),"-")</f>
        <v>-</v>
      </c>
      <c r="W391" s="39" t="str">
        <f>IFERROR(INDEX(Katalog!$B$3:$B$12,MATCH(cadangan[[#This Row],[ItemID C]],Katalog!$C$3:$C$12,0)),"-")</f>
        <v>-</v>
      </c>
      <c r="Z391" s="73">
        <f>IFERROR(INDEX(Katalog!$D$3:$D$12,MATCH(cadangan[[#This Row],[ItemID C]],Katalog!$C$3:$C$12,0))*cadangan[[#This Row],[Qty C]],0)</f>
        <v>0</v>
      </c>
      <c r="AA391" s="73">
        <f>IFERROR(cadangan[[#This Row],[Harga Normal C]]-(cadangan[[#This Row],[Harga Normal C]]*cadangan[[#This Row],[Diskon]]),cadangan[[#This Row],[Harga Normal C]])</f>
        <v>0</v>
      </c>
      <c r="AB391" s="73">
        <f>IFERROR(INDEX(Katalog!$F$3:$F$12,MATCH(cadangan[[#This Row],[ItemID C]],Katalog!$C$3:$C$12,0))*cadangan[[#This Row],[Qty C]],0)</f>
        <v>0</v>
      </c>
      <c r="AC391" s="73">
        <f>IFERROR(cadangan[[#This Row],[Harga Diskon C]]-INDEX(Katalog!$E$3:$E$12,MATCH(cadangan[[#This Row],[ItemID C]],Katalog!$C$3:$C$12,0))*cadangan[[#This Row],[Qty C]],0)</f>
        <v>0</v>
      </c>
      <c r="AD391" s="53">
        <f>cadangan[[#This Row],[Qty A]]+cadangan[[#This Row],[Qty B]]+cadangan[[#This Row],[Qty C]]</f>
        <v>2</v>
      </c>
      <c r="AE391" s="73">
        <f>cadangan[[#This Row],[Harga Normal A]]+cadangan[[#This Row],[Harga Normal B]]+cadangan[[#This Row],[Harga Normal C]]</f>
        <v>500000</v>
      </c>
      <c r="AF391" s="73">
        <f>cadangan[[#This Row],[Harga Diskon A]]+cadangan[[#This Row],[Harga Diskon B]]+cadangan[[#This Row],[Harga Diskon C]]</f>
        <v>425000</v>
      </c>
      <c r="AG391" s="73">
        <f>(cadangan[[#This Row],[Profit Normal A]]+cadangan[[#This Row],[Profit Normal B]]+cadangan[[#This Row],[Profit Normal C]])</f>
        <v>200000</v>
      </c>
      <c r="AH391" s="73">
        <f>cadangan[[#This Row],[Profit Diskon A]]+cadangan[[#This Row],[Profit Diskon B]]+cadangan[[#This Row],[Profit Diskon C]]</f>
        <v>125000</v>
      </c>
      <c r="AI391" s="23" t="s">
        <v>13</v>
      </c>
      <c r="AJ391" s="37">
        <f>IFERROR(INDEX('Kode Diskon'!$D$3:$D$9,MATCH(cadangan[[#This Row],[Kode diskon]],'Kode Diskon'!$C$3:$C$9,0)),"-")</f>
        <v>0.15</v>
      </c>
      <c r="AK391" s="23" t="s">
        <v>29</v>
      </c>
      <c r="AL391" s="23" t="s">
        <v>7</v>
      </c>
      <c r="AM391" s="23" t="s">
        <v>80</v>
      </c>
      <c r="AN391" s="55">
        <v>45018</v>
      </c>
      <c r="AO391" s="53">
        <f>DAY(cadangan[[#This Row],[Tanggal terjual]])</f>
        <v>2</v>
      </c>
      <c r="AP391" s="21" t="str">
        <f>TEXT(cadangan[[#This Row],[Tanggal terjual]],"dddd")</f>
        <v>Sunday</v>
      </c>
      <c r="AQ391" s="23" t="str" cm="1">
        <f t="array" ref="AQ3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1" s="61">
        <f>AVERAGE(cadangan[[#This Row],[Rating A]],cadangan[[#This Row],[Rating B]],cadangan[[#This Row],[Rating C]])</f>
        <v>1</v>
      </c>
    </row>
    <row r="392" spans="1:44" x14ac:dyDescent="0.2">
      <c r="A392" s="20">
        <v>391</v>
      </c>
      <c r="B392" s="21" t="str">
        <f>_xlfn.CONCAT("ORD-",INDEX(Helper!$B$2:$B$5,MATCH(cadangan[[#This Row],[Marketplace]],Helper!$A$2:$A$5,0)),TEXT(cadangan[[#This Row],[No]],"0000"),"-",TEXT(cadangan[[#This Row],[Tanggal terjual]],"dd/mm/yy"))</f>
        <v>ORD-BB0391-14/04/23</v>
      </c>
      <c r="C392" s="39" t="s">
        <v>60</v>
      </c>
      <c r="D392" s="39" t="str">
        <f>IFERROR(INDEX(Katalog!$A$3:$A$12,MATCH(cadangan[[#This Row],[ItemID A]],Katalog!$C$3:$C$12,0)),"-")</f>
        <v>Pakaian Wanita</v>
      </c>
      <c r="E392" s="39" t="str">
        <f>IFERROR(INDEX(Katalog!$B$3:$B$12,MATCH(cadangan[[#This Row],[ItemID A]],Katalog!$C$3:$C$12,0)),"-")</f>
        <v>Kaftan</v>
      </c>
      <c r="F392" s="50">
        <v>2</v>
      </c>
      <c r="G392" s="50">
        <v>1</v>
      </c>
      <c r="H392" s="73">
        <f>IFERROR(INDEX(Katalog!$D$3:$D$12,MATCH(cadangan[[#This Row],[ItemID A]],Katalog!$C$3:$C$12,0))*cadangan[[#This Row],[Qty A]],0)</f>
        <v>500000</v>
      </c>
      <c r="I392" s="73">
        <f>IFERROR(cadangan[[#This Row],[Harga Normal A]]-(cadangan[[#This Row],[Harga Normal A]]*cadangan[[#This Row],[Diskon]]),cadangan[[#This Row],[Harga Normal A]])</f>
        <v>500000</v>
      </c>
      <c r="J392" s="73">
        <f>INDEX(Katalog!$F$3:$F$12,MATCH(cadangan[[#This Row],[ItemID A]],Katalog!$C$3:$C$12,0))*cadangan[[#This Row],[Qty A]]</f>
        <v>200000</v>
      </c>
      <c r="K392" s="73">
        <f>IFERROR(cadangan[[#This Row],[Harga Diskon A]]-INDEX(Katalog!$E$3:$E$12,MATCH(cadangan[[#This Row],[ItemID A]],Katalog!$C$3:$C$12,0))*cadangan[[#This Row],[Qty A]],0)</f>
        <v>200000</v>
      </c>
      <c r="L392" s="39" t="s">
        <v>59</v>
      </c>
      <c r="M392" s="39" t="str">
        <f>IFERROR(INDEX(Katalog!$A$3:$A$12,MATCH(cadangan[[#This Row],[ItemID B]],Katalog!$C$3:$C$12,0)),"-")</f>
        <v>Pakaian Wanita</v>
      </c>
      <c r="N392" s="39" t="str">
        <f>IFERROR(INDEX(Katalog!$B$3:$B$12,MATCH(cadangan[[#This Row],[ItemID B]],Katalog!$C$3:$C$12,0)),"-")</f>
        <v>Blouse</v>
      </c>
      <c r="O392" s="50">
        <v>1</v>
      </c>
      <c r="P392" s="50">
        <v>5</v>
      </c>
      <c r="Q392" s="73">
        <f>IFERROR(INDEX(Katalog!$D$3:$D$12,MATCH(cadangan[[#This Row],[ItemID B]],Katalog!$C$3:$C$12,0))*cadangan[[#This Row],[Qty B]],0)</f>
        <v>150000</v>
      </c>
      <c r="R392" s="73">
        <f>IFERROR(cadangan[[#This Row],[Harga Normal B]]-(cadangan[[#This Row],[Harga Normal B]]*cadangan[[#This Row],[Diskon]]),cadangan[[#This Row],[Harga Normal B]])</f>
        <v>150000</v>
      </c>
      <c r="S392" s="73">
        <f>IFERROR(INDEX(Katalog!$F$3:$F$12,MATCH(cadangan[[#This Row],[ItemID B]],Katalog!$C$3:$C$12,0))*cadangan[[#This Row],[Qty B]],0)</f>
        <v>50000</v>
      </c>
      <c r="T392" s="73">
        <f>IFERROR(cadangan[[#This Row],[Harga Diskon B]]-INDEX(Katalog!$E$3:$E$12,MATCH(cadangan[[#This Row],[ItemID B]],Katalog!$C$3:$C$12,0))*cadangan[[#This Row],[Qty B]],0)</f>
        <v>50000</v>
      </c>
      <c r="U392" s="39" t="s">
        <v>58</v>
      </c>
      <c r="V392" s="39" t="str">
        <f>IFERROR(INDEX(Katalog!$A$3:$A$12,MATCH(cadangan[[#This Row],[ItemID C]],Katalog!$C$3:$C$12,0)),"-")</f>
        <v>Pakaian Wanita</v>
      </c>
      <c r="W392" s="39" t="str">
        <f>IFERROR(INDEX(Katalog!$B$3:$B$12,MATCH(cadangan[[#This Row],[ItemID C]],Katalog!$C$3:$C$12,0)),"-")</f>
        <v>Dress</v>
      </c>
      <c r="X392" s="50">
        <v>2</v>
      </c>
      <c r="Y392" s="50">
        <v>3</v>
      </c>
      <c r="Z392" s="73">
        <f>IFERROR(INDEX(Katalog!$D$3:$D$12,MATCH(cadangan[[#This Row],[ItemID C]],Katalog!$C$3:$C$12,0))*cadangan[[#This Row],[Qty C]],0)</f>
        <v>600000</v>
      </c>
      <c r="AA392" s="73">
        <f>IFERROR(cadangan[[#This Row],[Harga Normal C]]-(cadangan[[#This Row],[Harga Normal C]]*cadangan[[#This Row],[Diskon]]),cadangan[[#This Row],[Harga Normal C]])</f>
        <v>600000</v>
      </c>
      <c r="AB392" s="73">
        <f>IFERROR(INDEX(Katalog!$F$3:$F$12,MATCH(cadangan[[#This Row],[ItemID C]],Katalog!$C$3:$C$12,0))*cadangan[[#This Row],[Qty C]],0)</f>
        <v>200000</v>
      </c>
      <c r="AC392" s="73">
        <f>IFERROR(cadangan[[#This Row],[Harga Diskon C]]-INDEX(Katalog!$E$3:$E$12,MATCH(cadangan[[#This Row],[ItemID C]],Katalog!$C$3:$C$12,0))*cadangan[[#This Row],[Qty C]],0)</f>
        <v>200000</v>
      </c>
      <c r="AD392" s="53">
        <f>cadangan[[#This Row],[Qty A]]+cadangan[[#This Row],[Qty B]]+cadangan[[#This Row],[Qty C]]</f>
        <v>5</v>
      </c>
      <c r="AE392" s="73">
        <f>cadangan[[#This Row],[Harga Normal A]]+cadangan[[#This Row],[Harga Normal B]]+cadangan[[#This Row],[Harga Normal C]]</f>
        <v>1250000</v>
      </c>
      <c r="AF392" s="73">
        <f>cadangan[[#This Row],[Harga Diskon A]]+cadangan[[#This Row],[Harga Diskon B]]+cadangan[[#This Row],[Harga Diskon C]]</f>
        <v>1250000</v>
      </c>
      <c r="AG392" s="73">
        <f>(cadangan[[#This Row],[Profit Normal A]]+cadangan[[#This Row],[Profit Normal B]]+cadangan[[#This Row],[Profit Normal C]])</f>
        <v>450000</v>
      </c>
      <c r="AH392" s="73">
        <f>cadangan[[#This Row],[Profit Diskon A]]+cadangan[[#This Row],[Profit Diskon B]]+cadangan[[#This Row],[Profit Diskon C]]</f>
        <v>450000</v>
      </c>
      <c r="AI392" s="23" t="s">
        <v>290</v>
      </c>
      <c r="AJ392" s="37" t="str">
        <f>IFERROR(INDEX('Kode Diskon'!$D$3:$D$9,MATCH(cadangan[[#This Row],[Kode diskon]],'Kode Diskon'!$C$3:$C$9,0)),"-")</f>
        <v>-</v>
      </c>
      <c r="AK392" s="23" t="s">
        <v>290</v>
      </c>
      <c r="AL392" s="23" t="s">
        <v>14</v>
      </c>
      <c r="AM392" s="23" t="s">
        <v>80</v>
      </c>
      <c r="AN392" s="55">
        <v>45030</v>
      </c>
      <c r="AO392" s="53">
        <f>DAY(cadangan[[#This Row],[Tanggal terjual]])</f>
        <v>14</v>
      </c>
      <c r="AP392" s="21" t="str">
        <f>TEXT(cadangan[[#This Row],[Tanggal terjual]],"dddd")</f>
        <v>Friday</v>
      </c>
      <c r="AQ392" s="23" t="str" cm="1">
        <f t="array" ref="AQ3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392" s="61">
        <f>AVERAGE(cadangan[[#This Row],[Rating A]],cadangan[[#This Row],[Rating B]],cadangan[[#This Row],[Rating C]])</f>
        <v>3</v>
      </c>
    </row>
    <row r="393" spans="1:44" x14ac:dyDescent="0.2">
      <c r="A393" s="20">
        <v>392</v>
      </c>
      <c r="B393" s="21" t="str">
        <f>_xlfn.CONCAT("ORD-",INDEX(Helper!$B$2:$B$5,MATCH(cadangan[[#This Row],[Marketplace]],Helper!$A$2:$A$5,0)),TEXT(cadangan[[#This Row],[No]],"0000"),"-",TEXT(cadangan[[#This Row],[Tanggal terjual]],"dd/mm/yy"))</f>
        <v>ORD-SP0392-22/04/23</v>
      </c>
      <c r="C393" s="39" t="s">
        <v>62</v>
      </c>
      <c r="D393" s="39" t="str">
        <f>IFERROR(INDEX(Katalog!$A$3:$A$12,MATCH(cadangan[[#This Row],[ItemID A]],Katalog!$C$3:$C$12,0)),"-")</f>
        <v>Pakaian Pria</v>
      </c>
      <c r="E393" s="39" t="str">
        <f>IFERROR(INDEX(Katalog!$B$3:$B$12,MATCH(cadangan[[#This Row],[ItemID A]],Katalog!$C$3:$C$12,0)),"-")</f>
        <v>Celana Pendek</v>
      </c>
      <c r="F393" s="50">
        <v>1</v>
      </c>
      <c r="G393" s="50">
        <v>4</v>
      </c>
      <c r="H393" s="73">
        <f>IFERROR(INDEX(Katalog!$D$3:$D$12,MATCH(cadangan[[#This Row],[ItemID A]],Katalog!$C$3:$C$12,0))*cadangan[[#This Row],[Qty A]],0)</f>
        <v>180000</v>
      </c>
      <c r="I393" s="73">
        <f>IFERROR(cadangan[[#This Row],[Harga Normal A]]-(cadangan[[#This Row],[Harga Normal A]]*cadangan[[#This Row],[Diskon]]),cadangan[[#This Row],[Harga Normal A]])</f>
        <v>144000</v>
      </c>
      <c r="J393" s="73">
        <f>INDEX(Katalog!$F$3:$F$12,MATCH(cadangan[[#This Row],[ItemID A]],Katalog!$C$3:$C$12,0))*cadangan[[#This Row],[Qty A]]</f>
        <v>70000</v>
      </c>
      <c r="K393" s="73">
        <f>IFERROR(cadangan[[#This Row],[Harga Diskon A]]-INDEX(Katalog!$E$3:$E$12,MATCH(cadangan[[#This Row],[ItemID A]],Katalog!$C$3:$C$12,0))*cadangan[[#This Row],[Qty A]],0)</f>
        <v>34000</v>
      </c>
      <c r="M393" s="39" t="str">
        <f>IFERROR(INDEX(Katalog!$A$3:$A$12,MATCH(cadangan[[#This Row],[ItemID B]],Katalog!$C$3:$C$12,0)),"-")</f>
        <v>-</v>
      </c>
      <c r="N393" s="39" t="str">
        <f>IFERROR(INDEX(Katalog!$B$3:$B$12,MATCH(cadangan[[#This Row],[ItemID B]],Katalog!$C$3:$C$12,0)),"-")</f>
        <v>-</v>
      </c>
      <c r="Q393" s="73">
        <f>IFERROR(INDEX(Katalog!$D$3:$D$12,MATCH(cadangan[[#This Row],[ItemID B]],Katalog!$C$3:$C$12,0))*cadangan[[#This Row],[Qty B]],0)</f>
        <v>0</v>
      </c>
      <c r="R393" s="73">
        <f>IFERROR(cadangan[[#This Row],[Harga Normal B]]-(cadangan[[#This Row],[Harga Normal B]]*cadangan[[#This Row],[Diskon]]),cadangan[[#This Row],[Harga Normal B]])</f>
        <v>0</v>
      </c>
      <c r="S393" s="73">
        <f>IFERROR(INDEX(Katalog!$F$3:$F$12,MATCH(cadangan[[#This Row],[ItemID B]],Katalog!$C$3:$C$12,0))*cadangan[[#This Row],[Qty B]],0)</f>
        <v>0</v>
      </c>
      <c r="T393" s="73">
        <f>IFERROR(cadangan[[#This Row],[Harga Diskon B]]-INDEX(Katalog!$E$3:$E$12,MATCH(cadangan[[#This Row],[ItemID B]],Katalog!$C$3:$C$12,0))*cadangan[[#This Row],[Qty B]],0)</f>
        <v>0</v>
      </c>
      <c r="V393" s="39" t="str">
        <f>IFERROR(INDEX(Katalog!$A$3:$A$12,MATCH(cadangan[[#This Row],[ItemID C]],Katalog!$C$3:$C$12,0)),"-")</f>
        <v>-</v>
      </c>
      <c r="W393" s="39" t="str">
        <f>IFERROR(INDEX(Katalog!$B$3:$B$12,MATCH(cadangan[[#This Row],[ItemID C]],Katalog!$C$3:$C$12,0)),"-")</f>
        <v>-</v>
      </c>
      <c r="Z393" s="73">
        <f>IFERROR(INDEX(Katalog!$D$3:$D$12,MATCH(cadangan[[#This Row],[ItemID C]],Katalog!$C$3:$C$12,0))*cadangan[[#This Row],[Qty C]],0)</f>
        <v>0</v>
      </c>
      <c r="AA393" s="73">
        <f>IFERROR(cadangan[[#This Row],[Harga Normal C]]-(cadangan[[#This Row],[Harga Normal C]]*cadangan[[#This Row],[Diskon]]),cadangan[[#This Row],[Harga Normal C]])</f>
        <v>0</v>
      </c>
      <c r="AB393" s="73">
        <f>IFERROR(INDEX(Katalog!$F$3:$F$12,MATCH(cadangan[[#This Row],[ItemID C]],Katalog!$C$3:$C$12,0))*cadangan[[#This Row],[Qty C]],0)</f>
        <v>0</v>
      </c>
      <c r="AC393" s="73">
        <f>IFERROR(cadangan[[#This Row],[Harga Diskon C]]-INDEX(Katalog!$E$3:$E$12,MATCH(cadangan[[#This Row],[ItemID C]],Katalog!$C$3:$C$12,0))*cadangan[[#This Row],[Qty C]],0)</f>
        <v>0</v>
      </c>
      <c r="AD393" s="53">
        <f>cadangan[[#This Row],[Qty A]]+cadangan[[#This Row],[Qty B]]+cadangan[[#This Row],[Qty C]]</f>
        <v>1</v>
      </c>
      <c r="AE393" s="73">
        <f>cadangan[[#This Row],[Harga Normal A]]+cadangan[[#This Row],[Harga Normal B]]+cadangan[[#This Row],[Harga Normal C]]</f>
        <v>180000</v>
      </c>
      <c r="AF393" s="73">
        <f>cadangan[[#This Row],[Harga Diskon A]]+cadangan[[#This Row],[Harga Diskon B]]+cadangan[[#This Row],[Harga Diskon C]]</f>
        <v>144000</v>
      </c>
      <c r="AG393" s="73">
        <f>(cadangan[[#This Row],[Profit Normal A]]+cadangan[[#This Row],[Profit Normal B]]+cadangan[[#This Row],[Profit Normal C]])</f>
        <v>70000</v>
      </c>
      <c r="AH393" s="73">
        <f>cadangan[[#This Row],[Profit Diskon A]]+cadangan[[#This Row],[Profit Diskon B]]+cadangan[[#This Row],[Profit Diskon C]]</f>
        <v>34000</v>
      </c>
      <c r="AI393" s="23" t="s">
        <v>8</v>
      </c>
      <c r="AJ393" s="37">
        <f>IFERROR(INDEX('Kode Diskon'!$D$3:$D$9,MATCH(cadangan[[#This Row],[Kode diskon]],'Kode Diskon'!$C$3:$C$9,0)),"-")</f>
        <v>0.2</v>
      </c>
      <c r="AK393" s="23" t="s">
        <v>9</v>
      </c>
      <c r="AL393" s="23" t="s">
        <v>7</v>
      </c>
      <c r="AM393" s="23" t="s">
        <v>75</v>
      </c>
      <c r="AN393" s="55">
        <v>45038</v>
      </c>
      <c r="AO393" s="53">
        <f>DAY(cadangan[[#This Row],[Tanggal terjual]])</f>
        <v>22</v>
      </c>
      <c r="AP393" s="21" t="str">
        <f>TEXT(cadangan[[#This Row],[Tanggal terjual]],"dddd")</f>
        <v>Saturday</v>
      </c>
      <c r="AQ393" s="23" t="str" cm="1">
        <f t="array" ref="AQ3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93" s="61">
        <f>AVERAGE(cadangan[[#This Row],[Rating A]],cadangan[[#This Row],[Rating B]],cadangan[[#This Row],[Rating C]])</f>
        <v>4</v>
      </c>
    </row>
    <row r="394" spans="1:44" x14ac:dyDescent="0.2">
      <c r="A394" s="20">
        <v>393</v>
      </c>
      <c r="B394" s="21" t="str">
        <f>_xlfn.CONCAT("ORD-",INDEX(Helper!$B$2:$B$5,MATCH(cadangan[[#This Row],[Marketplace]],Helper!$A$2:$A$5,0)),TEXT(cadangan[[#This Row],[No]],"0000"),"-",TEXT(cadangan[[#This Row],[Tanggal terjual]],"dd/mm/yy"))</f>
        <v>ORD-BL0393-22/04/23</v>
      </c>
      <c r="C394" s="39" t="s">
        <v>64</v>
      </c>
      <c r="D394" s="39" t="str">
        <f>IFERROR(INDEX(Katalog!$A$3:$A$12,MATCH(cadangan[[#This Row],[ItemID A]],Katalog!$C$3:$C$12,0)),"-")</f>
        <v>Pakaian Unisex</v>
      </c>
      <c r="E394" s="39" t="str">
        <f>IFERROR(INDEX(Katalog!$B$3:$B$12,MATCH(cadangan[[#This Row],[ItemID A]],Katalog!$C$3:$C$12,0)),"-")</f>
        <v>Jaket Hoodie</v>
      </c>
      <c r="F394" s="50">
        <v>4</v>
      </c>
      <c r="G394" s="50">
        <v>2</v>
      </c>
      <c r="H394" s="73">
        <f>IFERROR(INDEX(Katalog!$D$3:$D$12,MATCH(cadangan[[#This Row],[ItemID A]],Katalog!$C$3:$C$12,0))*cadangan[[#This Row],[Qty A]],0)</f>
        <v>1400000</v>
      </c>
      <c r="I394" s="73">
        <f>IFERROR(cadangan[[#This Row],[Harga Normal A]]-(cadangan[[#This Row],[Harga Normal A]]*cadangan[[#This Row],[Diskon]]),cadangan[[#This Row],[Harga Normal A]])</f>
        <v>1190000</v>
      </c>
      <c r="J394" s="73">
        <f>INDEX(Katalog!$F$3:$F$12,MATCH(cadangan[[#This Row],[ItemID A]],Katalog!$C$3:$C$12,0))*cadangan[[#This Row],[Qty A]]</f>
        <v>520000</v>
      </c>
      <c r="K394" s="73">
        <f>IFERROR(cadangan[[#This Row],[Harga Diskon A]]-INDEX(Katalog!$E$3:$E$12,MATCH(cadangan[[#This Row],[ItemID A]],Katalog!$C$3:$C$12,0))*cadangan[[#This Row],[Qty A]],0)</f>
        <v>310000</v>
      </c>
      <c r="L394" s="39" t="s">
        <v>63</v>
      </c>
      <c r="M394" s="39" t="str">
        <f>IFERROR(INDEX(Katalog!$A$3:$A$12,MATCH(cadangan[[#This Row],[ItemID B]],Katalog!$C$3:$C$12,0)),"-")</f>
        <v>Pakaian Pria</v>
      </c>
      <c r="N394" s="39" t="str">
        <f>IFERROR(INDEX(Katalog!$B$3:$B$12,MATCH(cadangan[[#This Row],[ItemID B]],Katalog!$C$3:$C$12,0)),"-")</f>
        <v>Jaket Jeans</v>
      </c>
      <c r="O394" s="50">
        <v>2</v>
      </c>
      <c r="P394" s="50">
        <v>4</v>
      </c>
      <c r="Q394" s="73">
        <f>IFERROR(INDEX(Katalog!$D$3:$D$12,MATCH(cadangan[[#This Row],[ItemID B]],Katalog!$C$3:$C$12,0))*cadangan[[#This Row],[Qty B]],0)</f>
        <v>800000</v>
      </c>
      <c r="R394" s="73">
        <f>IFERROR(cadangan[[#This Row],[Harga Normal B]]-(cadangan[[#This Row],[Harga Normal B]]*cadangan[[#This Row],[Diskon]]),cadangan[[#This Row],[Harga Normal B]])</f>
        <v>680000</v>
      </c>
      <c r="S394" s="73">
        <f>IFERROR(INDEX(Katalog!$F$3:$F$12,MATCH(cadangan[[#This Row],[ItemID B]],Katalog!$C$3:$C$12,0))*cadangan[[#This Row],[Qty B]],0)</f>
        <v>300000</v>
      </c>
      <c r="T394" s="73">
        <f>IFERROR(cadangan[[#This Row],[Harga Diskon B]]-INDEX(Katalog!$E$3:$E$12,MATCH(cadangan[[#This Row],[ItemID B]],Katalog!$C$3:$C$12,0))*cadangan[[#This Row],[Qty B]],0)</f>
        <v>180000</v>
      </c>
      <c r="U394" s="39" t="s">
        <v>64</v>
      </c>
      <c r="V394" s="39" t="str">
        <f>IFERROR(INDEX(Katalog!$A$3:$A$12,MATCH(cadangan[[#This Row],[ItemID C]],Katalog!$C$3:$C$12,0)),"-")</f>
        <v>Pakaian Unisex</v>
      </c>
      <c r="W394" s="39" t="str">
        <f>IFERROR(INDEX(Katalog!$B$3:$B$12,MATCH(cadangan[[#This Row],[ItemID C]],Katalog!$C$3:$C$12,0)),"-")</f>
        <v>Jaket Hoodie</v>
      </c>
      <c r="X394" s="50">
        <v>1</v>
      </c>
      <c r="Y394" s="50">
        <v>5</v>
      </c>
      <c r="Z394" s="73">
        <f>IFERROR(INDEX(Katalog!$D$3:$D$12,MATCH(cadangan[[#This Row],[ItemID C]],Katalog!$C$3:$C$12,0))*cadangan[[#This Row],[Qty C]],0)</f>
        <v>350000</v>
      </c>
      <c r="AA394" s="73">
        <f>IFERROR(cadangan[[#This Row],[Harga Normal C]]-(cadangan[[#This Row],[Harga Normal C]]*cadangan[[#This Row],[Diskon]]),cadangan[[#This Row],[Harga Normal C]])</f>
        <v>297500</v>
      </c>
      <c r="AB394" s="73">
        <f>IFERROR(INDEX(Katalog!$F$3:$F$12,MATCH(cadangan[[#This Row],[ItemID C]],Katalog!$C$3:$C$12,0))*cadangan[[#This Row],[Qty C]],0)</f>
        <v>130000</v>
      </c>
      <c r="AC394" s="73">
        <f>IFERROR(cadangan[[#This Row],[Harga Diskon C]]-INDEX(Katalog!$E$3:$E$12,MATCH(cadangan[[#This Row],[ItemID C]],Katalog!$C$3:$C$12,0))*cadangan[[#This Row],[Qty C]],0)</f>
        <v>77500</v>
      </c>
      <c r="AD394" s="53">
        <f>cadangan[[#This Row],[Qty A]]+cadangan[[#This Row],[Qty B]]+cadangan[[#This Row],[Qty C]]</f>
        <v>7</v>
      </c>
      <c r="AE394" s="73">
        <f>cadangan[[#This Row],[Harga Normal A]]+cadangan[[#This Row],[Harga Normal B]]+cadangan[[#This Row],[Harga Normal C]]</f>
        <v>2550000</v>
      </c>
      <c r="AF394" s="73">
        <f>cadangan[[#This Row],[Harga Diskon A]]+cadangan[[#This Row],[Harga Diskon B]]+cadangan[[#This Row],[Harga Diskon C]]</f>
        <v>2167500</v>
      </c>
      <c r="AG394" s="73">
        <f>(cadangan[[#This Row],[Profit Normal A]]+cadangan[[#This Row],[Profit Normal B]]+cadangan[[#This Row],[Profit Normal C]])</f>
        <v>950000</v>
      </c>
      <c r="AH394" s="73">
        <f>cadangan[[#This Row],[Profit Diskon A]]+cadangan[[#This Row],[Profit Diskon B]]+cadangan[[#This Row],[Profit Diskon C]]</f>
        <v>567500</v>
      </c>
      <c r="AI394" s="23" t="s">
        <v>32</v>
      </c>
      <c r="AJ394" s="37">
        <f>IFERROR(INDEX('Kode Diskon'!$D$3:$D$9,MATCH(cadangan[[#This Row],[Kode diskon]],'Kode Diskon'!$C$3:$C$9,0)),"-")</f>
        <v>0.15</v>
      </c>
      <c r="AK394" s="23" t="s">
        <v>9</v>
      </c>
      <c r="AL394" s="23" t="s">
        <v>12</v>
      </c>
      <c r="AM394" s="23" t="s">
        <v>76</v>
      </c>
      <c r="AN394" s="55">
        <v>45038</v>
      </c>
      <c r="AO394" s="53">
        <f>DAY(cadangan[[#This Row],[Tanggal terjual]])</f>
        <v>22</v>
      </c>
      <c r="AP394" s="21" t="str">
        <f>TEXT(cadangan[[#This Row],[Tanggal terjual]],"dddd")</f>
        <v>Saturday</v>
      </c>
      <c r="AQ394" s="23" t="str" cm="1">
        <f t="array" ref="AQ3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94" s="61">
        <f>AVERAGE(cadangan[[#This Row],[Rating A]],cadangan[[#This Row],[Rating B]],cadangan[[#This Row],[Rating C]])</f>
        <v>3.6666666666666665</v>
      </c>
    </row>
    <row r="395" spans="1:44" x14ac:dyDescent="0.2">
      <c r="A395" s="20">
        <v>394</v>
      </c>
      <c r="B395" s="21" t="str">
        <f>_xlfn.CONCAT("ORD-",INDEX(Helper!$B$2:$B$5,MATCH(cadangan[[#This Row],[Marketplace]],Helper!$A$2:$A$5,0)),TEXT(cadangan[[#This Row],[No]],"0000"),"-",TEXT(cadangan[[#This Row],[Tanggal terjual]],"dd/mm/yy"))</f>
        <v>ORD-TK0394-03/04/23</v>
      </c>
      <c r="C395" s="39" t="s">
        <v>62</v>
      </c>
      <c r="D395" s="39" t="str">
        <f>IFERROR(INDEX(Katalog!$A$3:$A$12,MATCH(cadangan[[#This Row],[ItemID A]],Katalog!$C$3:$C$12,0)),"-")</f>
        <v>Pakaian Pria</v>
      </c>
      <c r="E395" s="39" t="str">
        <f>IFERROR(INDEX(Katalog!$B$3:$B$12,MATCH(cadangan[[#This Row],[ItemID A]],Katalog!$C$3:$C$12,0)),"-")</f>
        <v>Celana Pendek</v>
      </c>
      <c r="F395" s="50">
        <v>1</v>
      </c>
      <c r="G395" s="50">
        <v>2</v>
      </c>
      <c r="H395" s="73">
        <f>IFERROR(INDEX(Katalog!$D$3:$D$12,MATCH(cadangan[[#This Row],[ItemID A]],Katalog!$C$3:$C$12,0))*cadangan[[#This Row],[Qty A]],0)</f>
        <v>180000</v>
      </c>
      <c r="I395" s="73">
        <f>IFERROR(cadangan[[#This Row],[Harga Normal A]]-(cadangan[[#This Row],[Harga Normal A]]*cadangan[[#This Row],[Diskon]]),cadangan[[#This Row],[Harga Normal A]])</f>
        <v>162000</v>
      </c>
      <c r="J395" s="73">
        <f>INDEX(Katalog!$F$3:$F$12,MATCH(cadangan[[#This Row],[ItemID A]],Katalog!$C$3:$C$12,0))*cadangan[[#This Row],[Qty A]]</f>
        <v>70000</v>
      </c>
      <c r="K395" s="73">
        <f>IFERROR(cadangan[[#This Row],[Harga Diskon A]]-INDEX(Katalog!$E$3:$E$12,MATCH(cadangan[[#This Row],[ItemID A]],Katalog!$C$3:$C$12,0))*cadangan[[#This Row],[Qty A]],0)</f>
        <v>52000</v>
      </c>
      <c r="L395" s="39" t="s">
        <v>65</v>
      </c>
      <c r="M395" s="39" t="str">
        <f>IFERROR(INDEX(Katalog!$A$3:$A$12,MATCH(cadangan[[#This Row],[ItemID B]],Katalog!$C$3:$C$12,0)),"-")</f>
        <v>Sepatu Pria</v>
      </c>
      <c r="N395" s="39" t="str">
        <f>IFERROR(INDEX(Katalog!$B$3:$B$12,MATCH(cadangan[[#This Row],[ItemID B]],Katalog!$C$3:$C$12,0)),"-")</f>
        <v>Sneakers</v>
      </c>
      <c r="O395" s="50">
        <v>1</v>
      </c>
      <c r="P395" s="50">
        <v>1</v>
      </c>
      <c r="Q395" s="73">
        <f>IFERROR(INDEX(Katalog!$D$3:$D$12,MATCH(cadangan[[#This Row],[ItemID B]],Katalog!$C$3:$C$12,0))*cadangan[[#This Row],[Qty B]],0)</f>
        <v>500000</v>
      </c>
      <c r="R395" s="73">
        <f>IFERROR(cadangan[[#This Row],[Harga Normal B]]-(cadangan[[#This Row],[Harga Normal B]]*cadangan[[#This Row],[Diskon]]),cadangan[[#This Row],[Harga Normal B]])</f>
        <v>450000</v>
      </c>
      <c r="S395" s="73">
        <f>IFERROR(INDEX(Katalog!$F$3:$F$12,MATCH(cadangan[[#This Row],[ItemID B]],Katalog!$C$3:$C$12,0))*cadangan[[#This Row],[Qty B]],0)</f>
        <v>200000</v>
      </c>
      <c r="T395" s="73">
        <f>IFERROR(cadangan[[#This Row],[Harga Diskon B]]-INDEX(Katalog!$E$3:$E$12,MATCH(cadangan[[#This Row],[ItemID B]],Katalog!$C$3:$C$12,0))*cadangan[[#This Row],[Qty B]],0)</f>
        <v>150000</v>
      </c>
      <c r="U395" s="39" t="s">
        <v>64</v>
      </c>
      <c r="V395" s="39" t="str">
        <f>IFERROR(INDEX(Katalog!$A$3:$A$12,MATCH(cadangan[[#This Row],[ItemID C]],Katalog!$C$3:$C$12,0)),"-")</f>
        <v>Pakaian Unisex</v>
      </c>
      <c r="W395" s="39" t="str">
        <f>IFERROR(INDEX(Katalog!$B$3:$B$12,MATCH(cadangan[[#This Row],[ItemID C]],Katalog!$C$3:$C$12,0)),"-")</f>
        <v>Jaket Hoodie</v>
      </c>
      <c r="X395" s="50">
        <v>1</v>
      </c>
      <c r="Y395" s="50">
        <v>2</v>
      </c>
      <c r="Z395" s="73">
        <f>IFERROR(INDEX(Katalog!$D$3:$D$12,MATCH(cadangan[[#This Row],[ItemID C]],Katalog!$C$3:$C$12,0))*cadangan[[#This Row],[Qty C]],0)</f>
        <v>350000</v>
      </c>
      <c r="AA395" s="73">
        <f>IFERROR(cadangan[[#This Row],[Harga Normal C]]-(cadangan[[#This Row],[Harga Normal C]]*cadangan[[#This Row],[Diskon]]),cadangan[[#This Row],[Harga Normal C]])</f>
        <v>315000</v>
      </c>
      <c r="AB395" s="73">
        <f>IFERROR(INDEX(Katalog!$F$3:$F$12,MATCH(cadangan[[#This Row],[ItemID C]],Katalog!$C$3:$C$12,0))*cadangan[[#This Row],[Qty C]],0)</f>
        <v>130000</v>
      </c>
      <c r="AC395" s="73">
        <f>IFERROR(cadangan[[#This Row],[Harga Diskon C]]-INDEX(Katalog!$E$3:$E$12,MATCH(cadangan[[#This Row],[ItemID C]],Katalog!$C$3:$C$12,0))*cadangan[[#This Row],[Qty C]],0)</f>
        <v>95000</v>
      </c>
      <c r="AD395" s="53">
        <f>cadangan[[#This Row],[Qty A]]+cadangan[[#This Row],[Qty B]]+cadangan[[#This Row],[Qty C]]</f>
        <v>3</v>
      </c>
      <c r="AE395" s="73">
        <f>cadangan[[#This Row],[Harga Normal A]]+cadangan[[#This Row],[Harga Normal B]]+cadangan[[#This Row],[Harga Normal C]]</f>
        <v>1030000</v>
      </c>
      <c r="AF395" s="73">
        <f>cadangan[[#This Row],[Harga Diskon A]]+cadangan[[#This Row],[Harga Diskon B]]+cadangan[[#This Row],[Harga Diskon C]]</f>
        <v>927000</v>
      </c>
      <c r="AG395" s="73">
        <f>(cadangan[[#This Row],[Profit Normal A]]+cadangan[[#This Row],[Profit Normal B]]+cadangan[[#This Row],[Profit Normal C]])</f>
        <v>400000</v>
      </c>
      <c r="AH395" s="73">
        <f>cadangan[[#This Row],[Profit Diskon A]]+cadangan[[#This Row],[Profit Diskon B]]+cadangan[[#This Row],[Profit Diskon C]]</f>
        <v>297000</v>
      </c>
      <c r="AI395" s="23" t="s">
        <v>30</v>
      </c>
      <c r="AJ395" s="37">
        <f>IFERROR(INDEX('Kode Diskon'!$D$3:$D$9,MATCH(cadangan[[#This Row],[Kode diskon]],'Kode Diskon'!$C$3:$C$9,0)),"-")</f>
        <v>0.1</v>
      </c>
      <c r="AK395" s="23" t="s">
        <v>29</v>
      </c>
      <c r="AL395" s="23" t="s">
        <v>10</v>
      </c>
      <c r="AM395" s="23" t="s">
        <v>78</v>
      </c>
      <c r="AN395" s="55">
        <v>45019</v>
      </c>
      <c r="AO395" s="53">
        <f>DAY(cadangan[[#This Row],[Tanggal terjual]])</f>
        <v>3</v>
      </c>
      <c r="AP395" s="21" t="str">
        <f>TEXT(cadangan[[#This Row],[Tanggal terjual]],"dddd")</f>
        <v>Monday</v>
      </c>
      <c r="AQ395" s="23" t="str" cm="1">
        <f t="array" ref="AQ3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5" s="61">
        <f>AVERAGE(cadangan[[#This Row],[Rating A]],cadangan[[#This Row],[Rating B]],cadangan[[#This Row],[Rating C]])</f>
        <v>1.6666666666666667</v>
      </c>
    </row>
    <row r="396" spans="1:44" x14ac:dyDescent="0.2">
      <c r="A396" s="20">
        <v>395</v>
      </c>
      <c r="B396" s="21" t="str">
        <f>_xlfn.CONCAT("ORD-",INDEX(Helper!$B$2:$B$5,MATCH(cadangan[[#This Row],[Marketplace]],Helper!$A$2:$A$5,0)),TEXT(cadangan[[#This Row],[No]],"0000"),"-",TEXT(cadangan[[#This Row],[Tanggal terjual]],"dd/mm/yy"))</f>
        <v>ORD-TK0395-27/04/23</v>
      </c>
      <c r="C396" s="39" t="s">
        <v>65</v>
      </c>
      <c r="D396" s="39" t="str">
        <f>IFERROR(INDEX(Katalog!$A$3:$A$12,MATCH(cadangan[[#This Row],[ItemID A]],Katalog!$C$3:$C$12,0)),"-")</f>
        <v>Sepatu Pria</v>
      </c>
      <c r="E396" s="39" t="str">
        <f>IFERROR(INDEX(Katalog!$B$3:$B$12,MATCH(cadangan[[#This Row],[ItemID A]],Katalog!$C$3:$C$12,0)),"-")</f>
        <v>Sneakers</v>
      </c>
      <c r="F396" s="50">
        <v>1</v>
      </c>
      <c r="G396" s="50">
        <v>3</v>
      </c>
      <c r="H396" s="73">
        <f>IFERROR(INDEX(Katalog!$D$3:$D$12,MATCH(cadangan[[#This Row],[ItemID A]],Katalog!$C$3:$C$12,0))*cadangan[[#This Row],[Qty A]],0)</f>
        <v>500000</v>
      </c>
      <c r="I396" s="73">
        <f>IFERROR(cadangan[[#This Row],[Harga Normal A]]-(cadangan[[#This Row],[Harga Normal A]]*cadangan[[#This Row],[Diskon]]),cadangan[[#This Row],[Harga Normal A]])</f>
        <v>450000</v>
      </c>
      <c r="J396" s="73">
        <f>INDEX(Katalog!$F$3:$F$12,MATCH(cadangan[[#This Row],[ItemID A]],Katalog!$C$3:$C$12,0))*cadangan[[#This Row],[Qty A]]</f>
        <v>200000</v>
      </c>
      <c r="K396" s="73">
        <f>IFERROR(cadangan[[#This Row],[Harga Diskon A]]-INDEX(Katalog!$E$3:$E$12,MATCH(cadangan[[#This Row],[ItemID A]],Katalog!$C$3:$C$12,0))*cadangan[[#This Row],[Qty A]],0)</f>
        <v>150000</v>
      </c>
      <c r="M396" s="39" t="str">
        <f>IFERROR(INDEX(Katalog!$A$3:$A$12,MATCH(cadangan[[#This Row],[ItemID B]],Katalog!$C$3:$C$12,0)),"-")</f>
        <v>-</v>
      </c>
      <c r="N396" s="39" t="str">
        <f>IFERROR(INDEX(Katalog!$B$3:$B$12,MATCH(cadangan[[#This Row],[ItemID B]],Katalog!$C$3:$C$12,0)),"-")</f>
        <v>-</v>
      </c>
      <c r="Q396" s="73">
        <f>IFERROR(INDEX(Katalog!$D$3:$D$12,MATCH(cadangan[[#This Row],[ItemID B]],Katalog!$C$3:$C$12,0))*cadangan[[#This Row],[Qty B]],0)</f>
        <v>0</v>
      </c>
      <c r="R396" s="73">
        <f>IFERROR(cadangan[[#This Row],[Harga Normal B]]-(cadangan[[#This Row],[Harga Normal B]]*cadangan[[#This Row],[Diskon]]),cadangan[[#This Row],[Harga Normal B]])</f>
        <v>0</v>
      </c>
      <c r="S396" s="73">
        <f>IFERROR(INDEX(Katalog!$F$3:$F$12,MATCH(cadangan[[#This Row],[ItemID B]],Katalog!$C$3:$C$12,0))*cadangan[[#This Row],[Qty B]],0)</f>
        <v>0</v>
      </c>
      <c r="T396" s="73">
        <f>IFERROR(cadangan[[#This Row],[Harga Diskon B]]-INDEX(Katalog!$E$3:$E$12,MATCH(cadangan[[#This Row],[ItemID B]],Katalog!$C$3:$C$12,0))*cadangan[[#This Row],[Qty B]],0)</f>
        <v>0</v>
      </c>
      <c r="V396" s="39" t="str">
        <f>IFERROR(INDEX(Katalog!$A$3:$A$12,MATCH(cadangan[[#This Row],[ItemID C]],Katalog!$C$3:$C$12,0)),"-")</f>
        <v>-</v>
      </c>
      <c r="W396" s="39" t="str">
        <f>IFERROR(INDEX(Katalog!$B$3:$B$12,MATCH(cadangan[[#This Row],[ItemID C]],Katalog!$C$3:$C$12,0)),"-")</f>
        <v>-</v>
      </c>
      <c r="Z396" s="73">
        <f>IFERROR(INDEX(Katalog!$D$3:$D$12,MATCH(cadangan[[#This Row],[ItemID C]],Katalog!$C$3:$C$12,0))*cadangan[[#This Row],[Qty C]],0)</f>
        <v>0</v>
      </c>
      <c r="AA396" s="73">
        <f>IFERROR(cadangan[[#This Row],[Harga Normal C]]-(cadangan[[#This Row],[Harga Normal C]]*cadangan[[#This Row],[Diskon]]),cadangan[[#This Row],[Harga Normal C]])</f>
        <v>0</v>
      </c>
      <c r="AB396" s="73">
        <f>IFERROR(INDEX(Katalog!$F$3:$F$12,MATCH(cadangan[[#This Row],[ItemID C]],Katalog!$C$3:$C$12,0))*cadangan[[#This Row],[Qty C]],0)</f>
        <v>0</v>
      </c>
      <c r="AC396" s="73">
        <f>IFERROR(cadangan[[#This Row],[Harga Diskon C]]-INDEX(Katalog!$E$3:$E$12,MATCH(cadangan[[#This Row],[ItemID C]],Katalog!$C$3:$C$12,0))*cadangan[[#This Row],[Qty C]],0)</f>
        <v>0</v>
      </c>
      <c r="AD396" s="53">
        <f>cadangan[[#This Row],[Qty A]]+cadangan[[#This Row],[Qty B]]+cadangan[[#This Row],[Qty C]]</f>
        <v>1</v>
      </c>
      <c r="AE396" s="73">
        <f>cadangan[[#This Row],[Harga Normal A]]+cadangan[[#This Row],[Harga Normal B]]+cadangan[[#This Row],[Harga Normal C]]</f>
        <v>500000</v>
      </c>
      <c r="AF396" s="73">
        <f>cadangan[[#This Row],[Harga Diskon A]]+cadangan[[#This Row],[Harga Diskon B]]+cadangan[[#This Row],[Harga Diskon C]]</f>
        <v>450000</v>
      </c>
      <c r="AG396" s="73">
        <f>(cadangan[[#This Row],[Profit Normal A]]+cadangan[[#This Row],[Profit Normal B]]+cadangan[[#This Row],[Profit Normal C]])</f>
        <v>200000</v>
      </c>
      <c r="AH396" s="73">
        <f>cadangan[[#This Row],[Profit Diskon A]]+cadangan[[#This Row],[Profit Diskon B]]+cadangan[[#This Row],[Profit Diskon C]]</f>
        <v>150000</v>
      </c>
      <c r="AI396" s="23" t="s">
        <v>31</v>
      </c>
      <c r="AJ396" s="37">
        <f>IFERROR(INDEX('Kode Diskon'!$D$3:$D$9,MATCH(cadangan[[#This Row],[Kode diskon]],'Kode Diskon'!$C$3:$C$9,0)),"-")</f>
        <v>0.1</v>
      </c>
      <c r="AK396" s="23" t="s">
        <v>9</v>
      </c>
      <c r="AL396" s="23" t="s">
        <v>10</v>
      </c>
      <c r="AM396" s="23" t="s">
        <v>77</v>
      </c>
      <c r="AN396" s="55">
        <v>45043</v>
      </c>
      <c r="AO396" s="53">
        <f>DAY(cadangan[[#This Row],[Tanggal terjual]])</f>
        <v>27</v>
      </c>
      <c r="AP396" s="21" t="str">
        <f>TEXT(cadangan[[#This Row],[Tanggal terjual]],"dddd")</f>
        <v>Thursday</v>
      </c>
      <c r="AQ396" s="23" t="str" cm="1">
        <f t="array" ref="AQ3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396" s="61">
        <f>AVERAGE(cadangan[[#This Row],[Rating A]],cadangan[[#This Row],[Rating B]],cadangan[[#This Row],[Rating C]])</f>
        <v>3</v>
      </c>
    </row>
    <row r="397" spans="1:44" x14ac:dyDescent="0.2">
      <c r="A397" s="20">
        <v>396</v>
      </c>
      <c r="B397" s="21" t="str">
        <f>_xlfn.CONCAT("ORD-",INDEX(Helper!$B$2:$B$5,MATCH(cadangan[[#This Row],[Marketplace]],Helper!$A$2:$A$5,0)),TEXT(cadangan[[#This Row],[No]],"0000"),"-",TEXT(cadangan[[#This Row],[Tanggal terjual]],"dd/mm/yy"))</f>
        <v>ORD-SP0396-04/04/23</v>
      </c>
      <c r="C397" s="39" t="s">
        <v>58</v>
      </c>
      <c r="D397" s="39" t="str">
        <f>IFERROR(INDEX(Katalog!$A$3:$A$12,MATCH(cadangan[[#This Row],[ItemID A]],Katalog!$C$3:$C$12,0)),"-")</f>
        <v>Pakaian Wanita</v>
      </c>
      <c r="E397" s="39" t="str">
        <f>IFERROR(INDEX(Katalog!$B$3:$B$12,MATCH(cadangan[[#This Row],[ItemID A]],Katalog!$C$3:$C$12,0)),"-")</f>
        <v>Dress</v>
      </c>
      <c r="F397" s="50">
        <v>1</v>
      </c>
      <c r="G397" s="50">
        <v>3</v>
      </c>
      <c r="H397" s="73">
        <f>IFERROR(INDEX(Katalog!$D$3:$D$12,MATCH(cadangan[[#This Row],[ItemID A]],Katalog!$C$3:$C$12,0))*cadangan[[#This Row],[Qty A]],0)</f>
        <v>300000</v>
      </c>
      <c r="I397" s="73">
        <f>IFERROR(cadangan[[#This Row],[Harga Normal A]]-(cadangan[[#This Row],[Harga Normal A]]*cadangan[[#This Row],[Diskon]]),cadangan[[#This Row],[Harga Normal A]])</f>
        <v>255000</v>
      </c>
      <c r="J397" s="73">
        <f>INDEX(Katalog!$F$3:$F$12,MATCH(cadangan[[#This Row],[ItemID A]],Katalog!$C$3:$C$12,0))*cadangan[[#This Row],[Qty A]]</f>
        <v>100000</v>
      </c>
      <c r="K397" s="73">
        <f>IFERROR(cadangan[[#This Row],[Harga Diskon A]]-INDEX(Katalog!$E$3:$E$12,MATCH(cadangan[[#This Row],[ItemID A]],Katalog!$C$3:$C$12,0))*cadangan[[#This Row],[Qty A]],0)</f>
        <v>55000</v>
      </c>
      <c r="L397" s="39" t="s">
        <v>59</v>
      </c>
      <c r="M397" s="39" t="str">
        <f>IFERROR(INDEX(Katalog!$A$3:$A$12,MATCH(cadangan[[#This Row],[ItemID B]],Katalog!$C$3:$C$12,0)),"-")</f>
        <v>Pakaian Wanita</v>
      </c>
      <c r="N397" s="39" t="str">
        <f>IFERROR(INDEX(Katalog!$B$3:$B$12,MATCH(cadangan[[#This Row],[ItemID B]],Katalog!$C$3:$C$12,0)),"-")</f>
        <v>Blouse</v>
      </c>
      <c r="O397" s="50">
        <v>1</v>
      </c>
      <c r="P397" s="50">
        <v>3</v>
      </c>
      <c r="Q397" s="73">
        <f>IFERROR(INDEX(Katalog!$D$3:$D$12,MATCH(cadangan[[#This Row],[ItemID B]],Katalog!$C$3:$C$12,0))*cadangan[[#This Row],[Qty B]],0)</f>
        <v>150000</v>
      </c>
      <c r="R397" s="73">
        <f>IFERROR(cadangan[[#This Row],[Harga Normal B]]-(cadangan[[#This Row],[Harga Normal B]]*cadangan[[#This Row],[Diskon]]),cadangan[[#This Row],[Harga Normal B]])</f>
        <v>127500</v>
      </c>
      <c r="S397" s="73">
        <f>IFERROR(INDEX(Katalog!$F$3:$F$12,MATCH(cadangan[[#This Row],[ItemID B]],Katalog!$C$3:$C$12,0))*cadangan[[#This Row],[Qty B]],0)</f>
        <v>50000</v>
      </c>
      <c r="T397" s="73">
        <f>IFERROR(cadangan[[#This Row],[Harga Diskon B]]-INDEX(Katalog!$E$3:$E$12,MATCH(cadangan[[#This Row],[ItemID B]],Katalog!$C$3:$C$12,0))*cadangan[[#This Row],[Qty B]],0)</f>
        <v>27500</v>
      </c>
      <c r="U397" s="39" t="s">
        <v>64</v>
      </c>
      <c r="V397" s="39" t="str">
        <f>IFERROR(INDEX(Katalog!$A$3:$A$12,MATCH(cadangan[[#This Row],[ItemID C]],Katalog!$C$3:$C$12,0)),"-")</f>
        <v>Pakaian Unisex</v>
      </c>
      <c r="W397" s="39" t="str">
        <f>IFERROR(INDEX(Katalog!$B$3:$B$12,MATCH(cadangan[[#This Row],[ItemID C]],Katalog!$C$3:$C$12,0)),"-")</f>
        <v>Jaket Hoodie</v>
      </c>
      <c r="X397" s="50">
        <v>3</v>
      </c>
      <c r="Y397" s="50">
        <v>3</v>
      </c>
      <c r="Z397" s="73">
        <f>IFERROR(INDEX(Katalog!$D$3:$D$12,MATCH(cadangan[[#This Row],[ItemID C]],Katalog!$C$3:$C$12,0))*cadangan[[#This Row],[Qty C]],0)</f>
        <v>1050000</v>
      </c>
      <c r="AA397" s="73">
        <f>IFERROR(cadangan[[#This Row],[Harga Normal C]]-(cadangan[[#This Row],[Harga Normal C]]*cadangan[[#This Row],[Diskon]]),cadangan[[#This Row],[Harga Normal C]])</f>
        <v>892500</v>
      </c>
      <c r="AB397" s="73">
        <f>IFERROR(INDEX(Katalog!$F$3:$F$12,MATCH(cadangan[[#This Row],[ItemID C]],Katalog!$C$3:$C$12,0))*cadangan[[#This Row],[Qty C]],0)</f>
        <v>390000</v>
      </c>
      <c r="AC397" s="73">
        <f>IFERROR(cadangan[[#This Row],[Harga Diskon C]]-INDEX(Katalog!$E$3:$E$12,MATCH(cadangan[[#This Row],[ItemID C]],Katalog!$C$3:$C$12,0))*cadangan[[#This Row],[Qty C]],0)</f>
        <v>232500</v>
      </c>
      <c r="AD397" s="53">
        <f>cadangan[[#This Row],[Qty A]]+cadangan[[#This Row],[Qty B]]+cadangan[[#This Row],[Qty C]]</f>
        <v>5</v>
      </c>
      <c r="AE397" s="73">
        <f>cadangan[[#This Row],[Harga Normal A]]+cadangan[[#This Row],[Harga Normal B]]+cadangan[[#This Row],[Harga Normal C]]</f>
        <v>1500000</v>
      </c>
      <c r="AF397" s="73">
        <f>cadangan[[#This Row],[Harga Diskon A]]+cadangan[[#This Row],[Harga Diskon B]]+cadangan[[#This Row],[Harga Diskon C]]</f>
        <v>1275000</v>
      </c>
      <c r="AG397" s="73">
        <f>(cadangan[[#This Row],[Profit Normal A]]+cadangan[[#This Row],[Profit Normal B]]+cadangan[[#This Row],[Profit Normal C]])</f>
        <v>540000</v>
      </c>
      <c r="AH397" s="73">
        <f>cadangan[[#This Row],[Profit Diskon A]]+cadangan[[#This Row],[Profit Diskon B]]+cadangan[[#This Row],[Profit Diskon C]]</f>
        <v>315000</v>
      </c>
      <c r="AI397" s="23" t="s">
        <v>13</v>
      </c>
      <c r="AJ397" s="37">
        <f>IFERROR(INDEX('Kode Diskon'!$D$3:$D$9,MATCH(cadangan[[#This Row],[Kode diskon]],'Kode Diskon'!$C$3:$C$9,0)),"-")</f>
        <v>0.15</v>
      </c>
      <c r="AK397" s="23" t="s">
        <v>29</v>
      </c>
      <c r="AL397" s="23" t="s">
        <v>7</v>
      </c>
      <c r="AM397" s="23" t="s">
        <v>77</v>
      </c>
      <c r="AN397" s="55">
        <v>45020</v>
      </c>
      <c r="AO397" s="53">
        <f>DAY(cadangan[[#This Row],[Tanggal terjual]])</f>
        <v>4</v>
      </c>
      <c r="AP397" s="21" t="str">
        <f>TEXT(cadangan[[#This Row],[Tanggal terjual]],"dddd")</f>
        <v>Tuesday</v>
      </c>
      <c r="AQ397" s="23" t="str" cm="1">
        <f t="array" ref="AQ3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7" s="61">
        <f>AVERAGE(cadangan[[#This Row],[Rating A]],cadangan[[#This Row],[Rating B]],cadangan[[#This Row],[Rating C]])</f>
        <v>3</v>
      </c>
    </row>
    <row r="398" spans="1:44" x14ac:dyDescent="0.2">
      <c r="A398" s="20">
        <v>397</v>
      </c>
      <c r="B398" s="21" t="str">
        <f>_xlfn.CONCAT("ORD-",INDEX(Helper!$B$2:$B$5,MATCH(cadangan[[#This Row],[Marketplace]],Helper!$A$2:$A$5,0)),TEXT(cadangan[[#This Row],[No]],"0000"),"-",TEXT(cadangan[[#This Row],[Tanggal terjual]],"dd/mm/yy"))</f>
        <v>ORD-SP0397-03/04/23</v>
      </c>
      <c r="C398" s="39" t="s">
        <v>66</v>
      </c>
      <c r="D398" s="39" t="str">
        <f>IFERROR(INDEX(Katalog!$A$3:$A$12,MATCH(cadangan[[#This Row],[ItemID A]],Katalog!$C$3:$C$12,0)),"-")</f>
        <v>Sepatu Pria</v>
      </c>
      <c r="E398" s="39" t="str">
        <f>IFERROR(INDEX(Katalog!$B$3:$B$12,MATCH(cadangan[[#This Row],[ItemID A]],Katalog!$C$3:$C$12,0)),"-")</f>
        <v>Sandal Slip On</v>
      </c>
      <c r="F398" s="50">
        <v>3</v>
      </c>
      <c r="G398" s="50">
        <v>2</v>
      </c>
      <c r="H398" s="73">
        <f>IFERROR(INDEX(Katalog!$D$3:$D$12,MATCH(cadangan[[#This Row],[ItemID A]],Katalog!$C$3:$C$12,0))*cadangan[[#This Row],[Qty A]],0)</f>
        <v>450000</v>
      </c>
      <c r="I398" s="73">
        <f>IFERROR(cadangan[[#This Row],[Harga Normal A]]-(cadangan[[#This Row],[Harga Normal A]]*cadangan[[#This Row],[Diskon]]),cadangan[[#This Row],[Harga Normal A]])</f>
        <v>382500</v>
      </c>
      <c r="J398" s="73">
        <f>INDEX(Katalog!$F$3:$F$12,MATCH(cadangan[[#This Row],[ItemID A]],Katalog!$C$3:$C$12,0))*cadangan[[#This Row],[Qty A]]</f>
        <v>180000</v>
      </c>
      <c r="K398" s="73">
        <f>IFERROR(cadangan[[#This Row],[Harga Diskon A]]-INDEX(Katalog!$E$3:$E$12,MATCH(cadangan[[#This Row],[ItemID A]],Katalog!$C$3:$C$12,0))*cadangan[[#This Row],[Qty A]],0)</f>
        <v>112500</v>
      </c>
      <c r="L398" s="39" t="s">
        <v>63</v>
      </c>
      <c r="M398" s="39" t="str">
        <f>IFERROR(INDEX(Katalog!$A$3:$A$12,MATCH(cadangan[[#This Row],[ItemID B]],Katalog!$C$3:$C$12,0)),"-")</f>
        <v>Pakaian Pria</v>
      </c>
      <c r="N398" s="39" t="str">
        <f>IFERROR(INDEX(Katalog!$B$3:$B$12,MATCH(cadangan[[#This Row],[ItemID B]],Katalog!$C$3:$C$12,0)),"-")</f>
        <v>Jaket Jeans</v>
      </c>
      <c r="O398" s="50">
        <v>3</v>
      </c>
      <c r="P398" s="50">
        <v>3</v>
      </c>
      <c r="Q398" s="73">
        <f>IFERROR(INDEX(Katalog!$D$3:$D$12,MATCH(cadangan[[#This Row],[ItemID B]],Katalog!$C$3:$C$12,0))*cadangan[[#This Row],[Qty B]],0)</f>
        <v>1200000</v>
      </c>
      <c r="R398" s="73">
        <f>IFERROR(cadangan[[#This Row],[Harga Normal B]]-(cadangan[[#This Row],[Harga Normal B]]*cadangan[[#This Row],[Diskon]]),cadangan[[#This Row],[Harga Normal B]])</f>
        <v>1020000</v>
      </c>
      <c r="S398" s="73">
        <f>IFERROR(INDEX(Katalog!$F$3:$F$12,MATCH(cadangan[[#This Row],[ItemID B]],Katalog!$C$3:$C$12,0))*cadangan[[#This Row],[Qty B]],0)</f>
        <v>450000</v>
      </c>
      <c r="T398" s="73">
        <f>IFERROR(cadangan[[#This Row],[Harga Diskon B]]-INDEX(Katalog!$E$3:$E$12,MATCH(cadangan[[#This Row],[ItemID B]],Katalog!$C$3:$C$12,0))*cadangan[[#This Row],[Qty B]],0)</f>
        <v>270000</v>
      </c>
      <c r="V398" s="39" t="str">
        <f>IFERROR(INDEX(Katalog!$A$3:$A$12,MATCH(cadangan[[#This Row],[ItemID C]],Katalog!$C$3:$C$12,0)),"-")</f>
        <v>-</v>
      </c>
      <c r="W398" s="39" t="str">
        <f>IFERROR(INDEX(Katalog!$B$3:$B$12,MATCH(cadangan[[#This Row],[ItemID C]],Katalog!$C$3:$C$12,0)),"-")</f>
        <v>-</v>
      </c>
      <c r="Z398" s="73">
        <f>IFERROR(INDEX(Katalog!$D$3:$D$12,MATCH(cadangan[[#This Row],[ItemID C]],Katalog!$C$3:$C$12,0))*cadangan[[#This Row],[Qty C]],0)</f>
        <v>0</v>
      </c>
      <c r="AA398" s="73">
        <f>IFERROR(cadangan[[#This Row],[Harga Normal C]]-(cadangan[[#This Row],[Harga Normal C]]*cadangan[[#This Row],[Diskon]]),cadangan[[#This Row],[Harga Normal C]])</f>
        <v>0</v>
      </c>
      <c r="AB398" s="73">
        <f>IFERROR(INDEX(Katalog!$F$3:$F$12,MATCH(cadangan[[#This Row],[ItemID C]],Katalog!$C$3:$C$12,0))*cadangan[[#This Row],[Qty C]],0)</f>
        <v>0</v>
      </c>
      <c r="AC398" s="73">
        <f>IFERROR(cadangan[[#This Row],[Harga Diskon C]]-INDEX(Katalog!$E$3:$E$12,MATCH(cadangan[[#This Row],[ItemID C]],Katalog!$C$3:$C$12,0))*cadangan[[#This Row],[Qty C]],0)</f>
        <v>0</v>
      </c>
      <c r="AD398" s="53">
        <f>cadangan[[#This Row],[Qty A]]+cadangan[[#This Row],[Qty B]]+cadangan[[#This Row],[Qty C]]</f>
        <v>6</v>
      </c>
      <c r="AE398" s="73">
        <f>cadangan[[#This Row],[Harga Normal A]]+cadangan[[#This Row],[Harga Normal B]]+cadangan[[#This Row],[Harga Normal C]]</f>
        <v>1650000</v>
      </c>
      <c r="AF398" s="73">
        <f>cadangan[[#This Row],[Harga Diskon A]]+cadangan[[#This Row],[Harga Diskon B]]+cadangan[[#This Row],[Harga Diskon C]]</f>
        <v>1402500</v>
      </c>
      <c r="AG398" s="73">
        <f>(cadangan[[#This Row],[Profit Normal A]]+cadangan[[#This Row],[Profit Normal B]]+cadangan[[#This Row],[Profit Normal C]])</f>
        <v>630000</v>
      </c>
      <c r="AH398" s="73">
        <f>cadangan[[#This Row],[Profit Diskon A]]+cadangan[[#This Row],[Profit Diskon B]]+cadangan[[#This Row],[Profit Diskon C]]</f>
        <v>382500</v>
      </c>
      <c r="AI398" s="23" t="s">
        <v>13</v>
      </c>
      <c r="AJ398" s="37">
        <f>IFERROR(INDEX('Kode Diskon'!$D$3:$D$9,MATCH(cadangan[[#This Row],[Kode diskon]],'Kode Diskon'!$C$3:$C$9,0)),"-")</f>
        <v>0.15</v>
      </c>
      <c r="AK398" s="23" t="s">
        <v>29</v>
      </c>
      <c r="AL398" s="23" t="s">
        <v>7</v>
      </c>
      <c r="AM398" s="23" t="s">
        <v>75</v>
      </c>
      <c r="AN398" s="55">
        <v>45019</v>
      </c>
      <c r="AO398" s="53">
        <f>DAY(cadangan[[#This Row],[Tanggal terjual]])</f>
        <v>3</v>
      </c>
      <c r="AP398" s="21" t="str">
        <f>TEXT(cadangan[[#This Row],[Tanggal terjual]],"dddd")</f>
        <v>Monday</v>
      </c>
      <c r="AQ398" s="23" t="str" cm="1">
        <f t="array" ref="AQ3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8" s="61">
        <f>AVERAGE(cadangan[[#This Row],[Rating A]],cadangan[[#This Row],[Rating B]],cadangan[[#This Row],[Rating C]])</f>
        <v>2.5</v>
      </c>
    </row>
    <row r="399" spans="1:44" x14ac:dyDescent="0.2">
      <c r="A399" s="20">
        <v>398</v>
      </c>
      <c r="B399" s="21" t="str">
        <f>_xlfn.CONCAT("ORD-",INDEX(Helper!$B$2:$B$5,MATCH(cadangan[[#This Row],[Marketplace]],Helper!$A$2:$A$5,0)),TEXT(cadangan[[#This Row],[No]],"0000"),"-",TEXT(cadangan[[#This Row],[Tanggal terjual]],"dd/mm/yy"))</f>
        <v>ORD-SP0398-04/04/23</v>
      </c>
      <c r="C399" s="39" t="s">
        <v>61</v>
      </c>
      <c r="D399" s="39" t="str">
        <f>IFERROR(INDEX(Katalog!$A$3:$A$12,MATCH(cadangan[[#This Row],[ItemID A]],Katalog!$C$3:$C$12,0)),"-")</f>
        <v>Pakaian Pria</v>
      </c>
      <c r="E399" s="39" t="str">
        <f>IFERROR(INDEX(Katalog!$B$3:$B$12,MATCH(cadangan[[#This Row],[ItemID A]],Katalog!$C$3:$C$12,0)),"-")</f>
        <v>Kaos Polo</v>
      </c>
      <c r="F399" s="50">
        <v>2</v>
      </c>
      <c r="G399" s="50">
        <v>3</v>
      </c>
      <c r="H399" s="73">
        <f>IFERROR(INDEX(Katalog!$D$3:$D$12,MATCH(cadangan[[#This Row],[ItemID A]],Katalog!$C$3:$C$12,0))*cadangan[[#This Row],[Qty A]],0)</f>
        <v>400000</v>
      </c>
      <c r="I399" s="73">
        <f>IFERROR(cadangan[[#This Row],[Harga Normal A]]-(cadangan[[#This Row],[Harga Normal A]]*cadangan[[#This Row],[Diskon]]),cadangan[[#This Row],[Harga Normal A]])</f>
        <v>360000</v>
      </c>
      <c r="J399" s="73">
        <f>INDEX(Katalog!$F$3:$F$12,MATCH(cadangan[[#This Row],[ItemID A]],Katalog!$C$3:$C$12,0))*cadangan[[#This Row],[Qty A]]</f>
        <v>160000</v>
      </c>
      <c r="K399" s="73">
        <f>IFERROR(cadangan[[#This Row],[Harga Diskon A]]-INDEX(Katalog!$E$3:$E$12,MATCH(cadangan[[#This Row],[ItemID A]],Katalog!$C$3:$C$12,0))*cadangan[[#This Row],[Qty A]],0)</f>
        <v>120000</v>
      </c>
      <c r="L399" s="39" t="s">
        <v>62</v>
      </c>
      <c r="M399" s="39" t="str">
        <f>IFERROR(INDEX(Katalog!$A$3:$A$12,MATCH(cadangan[[#This Row],[ItemID B]],Katalog!$C$3:$C$12,0)),"-")</f>
        <v>Pakaian Pria</v>
      </c>
      <c r="N399" s="39" t="str">
        <f>IFERROR(INDEX(Katalog!$B$3:$B$12,MATCH(cadangan[[#This Row],[ItemID B]],Katalog!$C$3:$C$12,0)),"-")</f>
        <v>Celana Pendek</v>
      </c>
      <c r="O399" s="50">
        <v>1</v>
      </c>
      <c r="P399" s="50">
        <v>2</v>
      </c>
      <c r="Q399" s="73">
        <f>IFERROR(INDEX(Katalog!$D$3:$D$12,MATCH(cadangan[[#This Row],[ItemID B]],Katalog!$C$3:$C$12,0))*cadangan[[#This Row],[Qty B]],0)</f>
        <v>180000</v>
      </c>
      <c r="R399" s="73">
        <f>IFERROR(cadangan[[#This Row],[Harga Normal B]]-(cadangan[[#This Row],[Harga Normal B]]*cadangan[[#This Row],[Diskon]]),cadangan[[#This Row],[Harga Normal B]])</f>
        <v>162000</v>
      </c>
      <c r="S399" s="73">
        <f>IFERROR(INDEX(Katalog!$F$3:$F$12,MATCH(cadangan[[#This Row],[ItemID B]],Katalog!$C$3:$C$12,0))*cadangan[[#This Row],[Qty B]],0)</f>
        <v>70000</v>
      </c>
      <c r="T399" s="73">
        <f>IFERROR(cadangan[[#This Row],[Harga Diskon B]]-INDEX(Katalog!$E$3:$E$12,MATCH(cadangan[[#This Row],[ItemID B]],Katalog!$C$3:$C$12,0))*cadangan[[#This Row],[Qty B]],0)</f>
        <v>52000</v>
      </c>
      <c r="V399" s="39" t="str">
        <f>IFERROR(INDEX(Katalog!$A$3:$A$12,MATCH(cadangan[[#This Row],[ItemID C]],Katalog!$C$3:$C$12,0)),"-")</f>
        <v>-</v>
      </c>
      <c r="W399" s="39" t="str">
        <f>IFERROR(INDEX(Katalog!$B$3:$B$12,MATCH(cadangan[[#This Row],[ItemID C]],Katalog!$C$3:$C$12,0)),"-")</f>
        <v>-</v>
      </c>
      <c r="Z399" s="73">
        <f>IFERROR(INDEX(Katalog!$D$3:$D$12,MATCH(cadangan[[#This Row],[ItemID C]],Katalog!$C$3:$C$12,0))*cadangan[[#This Row],[Qty C]],0)</f>
        <v>0</v>
      </c>
      <c r="AA399" s="73">
        <f>IFERROR(cadangan[[#This Row],[Harga Normal C]]-(cadangan[[#This Row],[Harga Normal C]]*cadangan[[#This Row],[Diskon]]),cadangan[[#This Row],[Harga Normal C]])</f>
        <v>0</v>
      </c>
      <c r="AB399" s="73">
        <f>IFERROR(INDEX(Katalog!$F$3:$F$12,MATCH(cadangan[[#This Row],[ItemID C]],Katalog!$C$3:$C$12,0))*cadangan[[#This Row],[Qty C]],0)</f>
        <v>0</v>
      </c>
      <c r="AC399" s="73">
        <f>IFERROR(cadangan[[#This Row],[Harga Diskon C]]-INDEX(Katalog!$E$3:$E$12,MATCH(cadangan[[#This Row],[ItemID C]],Katalog!$C$3:$C$12,0))*cadangan[[#This Row],[Qty C]],0)</f>
        <v>0</v>
      </c>
      <c r="AD399" s="53">
        <f>cadangan[[#This Row],[Qty A]]+cadangan[[#This Row],[Qty B]]+cadangan[[#This Row],[Qty C]]</f>
        <v>3</v>
      </c>
      <c r="AE399" s="73">
        <f>cadangan[[#This Row],[Harga Normal A]]+cadangan[[#This Row],[Harga Normal B]]+cadangan[[#This Row],[Harga Normal C]]</f>
        <v>580000</v>
      </c>
      <c r="AF399" s="73">
        <f>cadangan[[#This Row],[Harga Diskon A]]+cadangan[[#This Row],[Harga Diskon B]]+cadangan[[#This Row],[Harga Diskon C]]</f>
        <v>522000</v>
      </c>
      <c r="AG399" s="73">
        <f>(cadangan[[#This Row],[Profit Normal A]]+cadangan[[#This Row],[Profit Normal B]]+cadangan[[#This Row],[Profit Normal C]])</f>
        <v>230000</v>
      </c>
      <c r="AH399" s="73">
        <f>cadangan[[#This Row],[Profit Diskon A]]+cadangan[[#This Row],[Profit Diskon B]]+cadangan[[#This Row],[Profit Diskon C]]</f>
        <v>172000</v>
      </c>
      <c r="AI399" s="23" t="s">
        <v>6</v>
      </c>
      <c r="AJ399" s="37">
        <f>IFERROR(INDEX('Kode Diskon'!$D$3:$D$9,MATCH(cadangan[[#This Row],[Kode diskon]],'Kode Diskon'!$C$3:$C$9,0)),"-")</f>
        <v>0.1</v>
      </c>
      <c r="AK399" s="23" t="s">
        <v>29</v>
      </c>
      <c r="AL399" s="23" t="s">
        <v>7</v>
      </c>
      <c r="AM399" s="23" t="s">
        <v>75</v>
      </c>
      <c r="AN399" s="55">
        <v>45020</v>
      </c>
      <c r="AO399" s="53">
        <f>DAY(cadangan[[#This Row],[Tanggal terjual]])</f>
        <v>4</v>
      </c>
      <c r="AP399" s="21" t="str">
        <f>TEXT(cadangan[[#This Row],[Tanggal terjual]],"dddd")</f>
        <v>Tuesday</v>
      </c>
      <c r="AQ399" s="23" t="str" cm="1">
        <f t="array" ref="AQ3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399" s="61">
        <f>AVERAGE(cadangan[[#This Row],[Rating A]],cadangan[[#This Row],[Rating B]],cadangan[[#This Row],[Rating C]])</f>
        <v>2.5</v>
      </c>
    </row>
    <row r="400" spans="1:44" x14ac:dyDescent="0.2">
      <c r="A400" s="20">
        <v>399</v>
      </c>
      <c r="B400" s="21" t="str">
        <f>_xlfn.CONCAT("ORD-",INDEX(Helper!$B$2:$B$5,MATCH(cadangan[[#This Row],[Marketplace]],Helper!$A$2:$A$5,0)),TEXT(cadangan[[#This Row],[No]],"0000"),"-",TEXT(cadangan[[#This Row],[Tanggal terjual]],"dd/mm/yy"))</f>
        <v>ORD-BL0399-18/04/23</v>
      </c>
      <c r="C400" s="39" t="s">
        <v>66</v>
      </c>
      <c r="D400" s="39" t="str">
        <f>IFERROR(INDEX(Katalog!$A$3:$A$12,MATCH(cadangan[[#This Row],[ItemID A]],Katalog!$C$3:$C$12,0)),"-")</f>
        <v>Sepatu Pria</v>
      </c>
      <c r="E400" s="39" t="str">
        <f>IFERROR(INDEX(Katalog!$B$3:$B$12,MATCH(cadangan[[#This Row],[ItemID A]],Katalog!$C$3:$C$12,0)),"-")</f>
        <v>Sandal Slip On</v>
      </c>
      <c r="F400" s="50">
        <v>1</v>
      </c>
      <c r="G400" s="50">
        <v>2</v>
      </c>
      <c r="H400" s="73">
        <f>IFERROR(INDEX(Katalog!$D$3:$D$12,MATCH(cadangan[[#This Row],[ItemID A]],Katalog!$C$3:$C$12,0))*cadangan[[#This Row],[Qty A]],0)</f>
        <v>150000</v>
      </c>
      <c r="I400" s="73">
        <f>IFERROR(cadangan[[#This Row],[Harga Normal A]]-(cadangan[[#This Row],[Harga Normal A]]*cadangan[[#This Row],[Diskon]]),cadangan[[#This Row],[Harga Normal A]])</f>
        <v>127500</v>
      </c>
      <c r="J400" s="73">
        <f>INDEX(Katalog!$F$3:$F$12,MATCH(cadangan[[#This Row],[ItemID A]],Katalog!$C$3:$C$12,0))*cadangan[[#This Row],[Qty A]]</f>
        <v>60000</v>
      </c>
      <c r="K400" s="73">
        <f>IFERROR(cadangan[[#This Row],[Harga Diskon A]]-INDEX(Katalog!$E$3:$E$12,MATCH(cadangan[[#This Row],[ItemID A]],Katalog!$C$3:$C$12,0))*cadangan[[#This Row],[Qty A]],0)</f>
        <v>37500</v>
      </c>
      <c r="M400" s="39" t="str">
        <f>IFERROR(INDEX(Katalog!$A$3:$A$12,MATCH(cadangan[[#This Row],[ItemID B]],Katalog!$C$3:$C$12,0)),"-")</f>
        <v>-</v>
      </c>
      <c r="N400" s="39" t="str">
        <f>IFERROR(INDEX(Katalog!$B$3:$B$12,MATCH(cadangan[[#This Row],[ItemID B]],Katalog!$C$3:$C$12,0)),"-")</f>
        <v>-</v>
      </c>
      <c r="Q400" s="73">
        <f>IFERROR(INDEX(Katalog!$D$3:$D$12,MATCH(cadangan[[#This Row],[ItemID B]],Katalog!$C$3:$C$12,0))*cadangan[[#This Row],[Qty B]],0)</f>
        <v>0</v>
      </c>
      <c r="R400" s="73">
        <f>IFERROR(cadangan[[#This Row],[Harga Normal B]]-(cadangan[[#This Row],[Harga Normal B]]*cadangan[[#This Row],[Diskon]]),cadangan[[#This Row],[Harga Normal B]])</f>
        <v>0</v>
      </c>
      <c r="S400" s="73">
        <f>IFERROR(INDEX(Katalog!$F$3:$F$12,MATCH(cadangan[[#This Row],[ItemID B]],Katalog!$C$3:$C$12,0))*cadangan[[#This Row],[Qty B]],0)</f>
        <v>0</v>
      </c>
      <c r="T400" s="73">
        <f>IFERROR(cadangan[[#This Row],[Harga Diskon B]]-INDEX(Katalog!$E$3:$E$12,MATCH(cadangan[[#This Row],[ItemID B]],Katalog!$C$3:$C$12,0))*cadangan[[#This Row],[Qty B]],0)</f>
        <v>0</v>
      </c>
      <c r="V400" s="39" t="str">
        <f>IFERROR(INDEX(Katalog!$A$3:$A$12,MATCH(cadangan[[#This Row],[ItemID C]],Katalog!$C$3:$C$12,0)),"-")</f>
        <v>-</v>
      </c>
      <c r="W400" s="39" t="str">
        <f>IFERROR(INDEX(Katalog!$B$3:$B$12,MATCH(cadangan[[#This Row],[ItemID C]],Katalog!$C$3:$C$12,0)),"-")</f>
        <v>-</v>
      </c>
      <c r="Z400" s="73">
        <f>IFERROR(INDEX(Katalog!$D$3:$D$12,MATCH(cadangan[[#This Row],[ItemID C]],Katalog!$C$3:$C$12,0))*cadangan[[#This Row],[Qty C]],0)</f>
        <v>0</v>
      </c>
      <c r="AA400" s="73">
        <f>IFERROR(cadangan[[#This Row],[Harga Normal C]]-(cadangan[[#This Row],[Harga Normal C]]*cadangan[[#This Row],[Diskon]]),cadangan[[#This Row],[Harga Normal C]])</f>
        <v>0</v>
      </c>
      <c r="AB400" s="73">
        <f>IFERROR(INDEX(Katalog!$F$3:$F$12,MATCH(cadangan[[#This Row],[ItemID C]],Katalog!$C$3:$C$12,0))*cadangan[[#This Row],[Qty C]],0)</f>
        <v>0</v>
      </c>
      <c r="AC400" s="73">
        <f>IFERROR(cadangan[[#This Row],[Harga Diskon C]]-INDEX(Katalog!$E$3:$E$12,MATCH(cadangan[[#This Row],[ItemID C]],Katalog!$C$3:$C$12,0))*cadangan[[#This Row],[Qty C]],0)</f>
        <v>0</v>
      </c>
      <c r="AD400" s="53">
        <f>cadangan[[#This Row],[Qty A]]+cadangan[[#This Row],[Qty B]]+cadangan[[#This Row],[Qty C]]</f>
        <v>1</v>
      </c>
      <c r="AE400" s="73">
        <f>cadangan[[#This Row],[Harga Normal A]]+cadangan[[#This Row],[Harga Normal B]]+cadangan[[#This Row],[Harga Normal C]]</f>
        <v>150000</v>
      </c>
      <c r="AF400" s="73">
        <f>cadangan[[#This Row],[Harga Diskon A]]+cadangan[[#This Row],[Harga Diskon B]]+cadangan[[#This Row],[Harga Diskon C]]</f>
        <v>127500</v>
      </c>
      <c r="AG400" s="73">
        <f>(cadangan[[#This Row],[Profit Normal A]]+cadangan[[#This Row],[Profit Normal B]]+cadangan[[#This Row],[Profit Normal C]])</f>
        <v>60000</v>
      </c>
      <c r="AH400" s="73">
        <f>cadangan[[#This Row],[Profit Diskon A]]+cadangan[[#This Row],[Profit Diskon B]]+cadangan[[#This Row],[Profit Diskon C]]</f>
        <v>37500</v>
      </c>
      <c r="AI400" s="23" t="s">
        <v>32</v>
      </c>
      <c r="AJ400" s="37">
        <f>IFERROR(INDEX('Kode Diskon'!$D$3:$D$9,MATCH(cadangan[[#This Row],[Kode diskon]],'Kode Diskon'!$C$3:$C$9,0)),"-")</f>
        <v>0.15</v>
      </c>
      <c r="AK400" s="23" t="s">
        <v>9</v>
      </c>
      <c r="AL400" s="23" t="s">
        <v>12</v>
      </c>
      <c r="AM400" s="23" t="s">
        <v>75</v>
      </c>
      <c r="AN400" s="55">
        <v>45034</v>
      </c>
      <c r="AO400" s="53">
        <f>DAY(cadangan[[#This Row],[Tanggal terjual]])</f>
        <v>18</v>
      </c>
      <c r="AP400" s="21" t="str">
        <f>TEXT(cadangan[[#This Row],[Tanggal terjual]],"dddd")</f>
        <v>Tuesday</v>
      </c>
      <c r="AQ400" s="23" t="str" cm="1">
        <f t="array" ref="AQ4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00" s="61">
        <f>AVERAGE(cadangan[[#This Row],[Rating A]],cadangan[[#This Row],[Rating B]],cadangan[[#This Row],[Rating C]])</f>
        <v>2</v>
      </c>
    </row>
    <row r="401" spans="1:44" x14ac:dyDescent="0.2">
      <c r="A401" s="20">
        <v>400</v>
      </c>
      <c r="B401" s="21" t="str">
        <f>_xlfn.CONCAT("ORD-",INDEX(Helper!$B$2:$B$5,MATCH(cadangan[[#This Row],[Marketplace]],Helper!$A$2:$A$5,0)),TEXT(cadangan[[#This Row],[No]],"0000"),"-",TEXT(cadangan[[#This Row],[Tanggal terjual]],"dd/mm/yy"))</f>
        <v>ORD-SP0400-24/04/23</v>
      </c>
      <c r="C401" s="39" t="s">
        <v>66</v>
      </c>
      <c r="D401" s="39" t="str">
        <f>IFERROR(INDEX(Katalog!$A$3:$A$12,MATCH(cadangan[[#This Row],[ItemID A]],Katalog!$C$3:$C$12,0)),"-")</f>
        <v>Sepatu Pria</v>
      </c>
      <c r="E401" s="39" t="str">
        <f>IFERROR(INDEX(Katalog!$B$3:$B$12,MATCH(cadangan[[#This Row],[ItemID A]],Katalog!$C$3:$C$12,0)),"-")</f>
        <v>Sandal Slip On</v>
      </c>
      <c r="F401" s="50">
        <v>3</v>
      </c>
      <c r="G401" s="50">
        <v>3</v>
      </c>
      <c r="H401" s="73">
        <f>IFERROR(INDEX(Katalog!$D$3:$D$12,MATCH(cadangan[[#This Row],[ItemID A]],Katalog!$C$3:$C$12,0))*cadangan[[#This Row],[Qty A]],0)</f>
        <v>450000</v>
      </c>
      <c r="I401" s="73">
        <f>IFERROR(cadangan[[#This Row],[Harga Normal A]]-(cadangan[[#This Row],[Harga Normal A]]*cadangan[[#This Row],[Diskon]]),cadangan[[#This Row],[Harga Normal A]])</f>
        <v>360000</v>
      </c>
      <c r="J401" s="73">
        <f>INDEX(Katalog!$F$3:$F$12,MATCH(cadangan[[#This Row],[ItemID A]],Katalog!$C$3:$C$12,0))*cadangan[[#This Row],[Qty A]]</f>
        <v>180000</v>
      </c>
      <c r="K401" s="73">
        <f>IFERROR(cadangan[[#This Row],[Harga Diskon A]]-INDEX(Katalog!$E$3:$E$12,MATCH(cadangan[[#This Row],[ItemID A]],Katalog!$C$3:$C$12,0))*cadangan[[#This Row],[Qty A]],0)</f>
        <v>90000</v>
      </c>
      <c r="L401" s="39" t="s">
        <v>60</v>
      </c>
      <c r="M401" s="39" t="str">
        <f>IFERROR(INDEX(Katalog!$A$3:$A$12,MATCH(cadangan[[#This Row],[ItemID B]],Katalog!$C$3:$C$12,0)),"-")</f>
        <v>Pakaian Wanita</v>
      </c>
      <c r="N401" s="39" t="str">
        <f>IFERROR(INDEX(Katalog!$B$3:$B$12,MATCH(cadangan[[#This Row],[ItemID B]],Katalog!$C$3:$C$12,0)),"-")</f>
        <v>Kaftan</v>
      </c>
      <c r="O401" s="50">
        <v>1</v>
      </c>
      <c r="P401" s="50">
        <v>2</v>
      </c>
      <c r="Q401" s="73">
        <f>IFERROR(INDEX(Katalog!$D$3:$D$12,MATCH(cadangan[[#This Row],[ItemID B]],Katalog!$C$3:$C$12,0))*cadangan[[#This Row],[Qty B]],0)</f>
        <v>250000</v>
      </c>
      <c r="R401" s="73">
        <f>IFERROR(cadangan[[#This Row],[Harga Normal B]]-(cadangan[[#This Row],[Harga Normal B]]*cadangan[[#This Row],[Diskon]]),cadangan[[#This Row],[Harga Normal B]])</f>
        <v>200000</v>
      </c>
      <c r="S401" s="73">
        <f>IFERROR(INDEX(Katalog!$F$3:$F$12,MATCH(cadangan[[#This Row],[ItemID B]],Katalog!$C$3:$C$12,0))*cadangan[[#This Row],[Qty B]],0)</f>
        <v>100000</v>
      </c>
      <c r="T401" s="73">
        <f>IFERROR(cadangan[[#This Row],[Harga Diskon B]]-INDEX(Katalog!$E$3:$E$12,MATCH(cadangan[[#This Row],[ItemID B]],Katalog!$C$3:$C$12,0))*cadangan[[#This Row],[Qty B]],0)</f>
        <v>50000</v>
      </c>
      <c r="V401" s="39" t="str">
        <f>IFERROR(INDEX(Katalog!$A$3:$A$12,MATCH(cadangan[[#This Row],[ItemID C]],Katalog!$C$3:$C$12,0)),"-")</f>
        <v>-</v>
      </c>
      <c r="W401" s="39" t="str">
        <f>IFERROR(INDEX(Katalog!$B$3:$B$12,MATCH(cadangan[[#This Row],[ItemID C]],Katalog!$C$3:$C$12,0)),"-")</f>
        <v>-</v>
      </c>
      <c r="Z401" s="73">
        <f>IFERROR(INDEX(Katalog!$D$3:$D$12,MATCH(cadangan[[#This Row],[ItemID C]],Katalog!$C$3:$C$12,0))*cadangan[[#This Row],[Qty C]],0)</f>
        <v>0</v>
      </c>
      <c r="AA401" s="73">
        <f>IFERROR(cadangan[[#This Row],[Harga Normal C]]-(cadangan[[#This Row],[Harga Normal C]]*cadangan[[#This Row],[Diskon]]),cadangan[[#This Row],[Harga Normal C]])</f>
        <v>0</v>
      </c>
      <c r="AB401" s="73">
        <f>IFERROR(INDEX(Katalog!$F$3:$F$12,MATCH(cadangan[[#This Row],[ItemID C]],Katalog!$C$3:$C$12,0))*cadangan[[#This Row],[Qty C]],0)</f>
        <v>0</v>
      </c>
      <c r="AC401" s="73">
        <f>IFERROR(cadangan[[#This Row],[Harga Diskon C]]-INDEX(Katalog!$E$3:$E$12,MATCH(cadangan[[#This Row],[ItemID C]],Katalog!$C$3:$C$12,0))*cadangan[[#This Row],[Qty C]],0)</f>
        <v>0</v>
      </c>
      <c r="AD401" s="53">
        <f>cadangan[[#This Row],[Qty A]]+cadangan[[#This Row],[Qty B]]+cadangan[[#This Row],[Qty C]]</f>
        <v>4</v>
      </c>
      <c r="AE401" s="73">
        <f>cadangan[[#This Row],[Harga Normal A]]+cadangan[[#This Row],[Harga Normal B]]+cadangan[[#This Row],[Harga Normal C]]</f>
        <v>700000</v>
      </c>
      <c r="AF401" s="73">
        <f>cadangan[[#This Row],[Harga Diskon A]]+cadangan[[#This Row],[Harga Diskon B]]+cadangan[[#This Row],[Harga Diskon C]]</f>
        <v>560000</v>
      </c>
      <c r="AG401" s="73">
        <f>(cadangan[[#This Row],[Profit Normal A]]+cadangan[[#This Row],[Profit Normal B]]+cadangan[[#This Row],[Profit Normal C]])</f>
        <v>280000</v>
      </c>
      <c r="AH401" s="73">
        <f>cadangan[[#This Row],[Profit Diskon A]]+cadangan[[#This Row],[Profit Diskon B]]+cadangan[[#This Row],[Profit Diskon C]]</f>
        <v>140000</v>
      </c>
      <c r="AI401" s="23" t="s">
        <v>8</v>
      </c>
      <c r="AJ401" s="37">
        <f>IFERROR(INDEX('Kode Diskon'!$D$3:$D$9,MATCH(cadangan[[#This Row],[Kode diskon]],'Kode Diskon'!$C$3:$C$9,0)),"-")</f>
        <v>0.2</v>
      </c>
      <c r="AK401" s="23" t="s">
        <v>9</v>
      </c>
      <c r="AL401" s="23" t="s">
        <v>7</v>
      </c>
      <c r="AM401" s="23" t="s">
        <v>80</v>
      </c>
      <c r="AN401" s="55">
        <v>45040</v>
      </c>
      <c r="AO401" s="53">
        <f>DAY(cadangan[[#This Row],[Tanggal terjual]])</f>
        <v>24</v>
      </c>
      <c r="AP401" s="21" t="str">
        <f>TEXT(cadangan[[#This Row],[Tanggal terjual]],"dddd")</f>
        <v>Monday</v>
      </c>
      <c r="AQ401" s="23" t="str" cm="1">
        <f t="array" ref="AQ4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01" s="61">
        <f>AVERAGE(cadangan[[#This Row],[Rating A]],cadangan[[#This Row],[Rating B]],cadangan[[#This Row],[Rating C]])</f>
        <v>2.5</v>
      </c>
    </row>
    <row r="402" spans="1:44" x14ac:dyDescent="0.2">
      <c r="A402" s="20">
        <v>401</v>
      </c>
      <c r="B402" s="21" t="str">
        <f>_xlfn.CONCAT("ORD-",INDEX(Helper!$B$2:$B$5,MATCH(cadangan[[#This Row],[Marketplace]],Helper!$A$2:$A$5,0)),TEXT(cadangan[[#This Row],[No]],"0000"),"-",TEXT(cadangan[[#This Row],[Tanggal terjual]],"dd/mm/yy"))</f>
        <v>ORD-SP0401-03/04/23</v>
      </c>
      <c r="C402" s="39" t="s">
        <v>63</v>
      </c>
      <c r="D402" s="39" t="str">
        <f>IFERROR(INDEX(Katalog!$A$3:$A$12,MATCH(cadangan[[#This Row],[ItemID A]],Katalog!$C$3:$C$12,0)),"-")</f>
        <v>Pakaian Pria</v>
      </c>
      <c r="E402" s="39" t="str">
        <f>IFERROR(INDEX(Katalog!$B$3:$B$12,MATCH(cadangan[[#This Row],[ItemID A]],Katalog!$C$3:$C$12,0)),"-")</f>
        <v>Jaket Jeans</v>
      </c>
      <c r="F402" s="50">
        <v>1</v>
      </c>
      <c r="G402" s="50">
        <v>2</v>
      </c>
      <c r="H402" s="73">
        <f>IFERROR(INDEX(Katalog!$D$3:$D$12,MATCH(cadangan[[#This Row],[ItemID A]],Katalog!$C$3:$C$12,0))*cadangan[[#This Row],[Qty A]],0)</f>
        <v>400000</v>
      </c>
      <c r="I402" s="73">
        <f>IFERROR(cadangan[[#This Row],[Harga Normal A]]-(cadangan[[#This Row],[Harga Normal A]]*cadangan[[#This Row],[Diskon]]),cadangan[[#This Row],[Harga Normal A]])</f>
        <v>360000</v>
      </c>
      <c r="J402" s="73">
        <f>INDEX(Katalog!$F$3:$F$12,MATCH(cadangan[[#This Row],[ItemID A]],Katalog!$C$3:$C$12,0))*cadangan[[#This Row],[Qty A]]</f>
        <v>150000</v>
      </c>
      <c r="K402" s="73">
        <f>IFERROR(cadangan[[#This Row],[Harga Diskon A]]-INDEX(Katalog!$E$3:$E$12,MATCH(cadangan[[#This Row],[ItemID A]],Katalog!$C$3:$C$12,0))*cadangan[[#This Row],[Qty A]],0)</f>
        <v>110000</v>
      </c>
      <c r="M402" s="39" t="str">
        <f>IFERROR(INDEX(Katalog!$A$3:$A$12,MATCH(cadangan[[#This Row],[ItemID B]],Katalog!$C$3:$C$12,0)),"-")</f>
        <v>-</v>
      </c>
      <c r="N402" s="39" t="str">
        <f>IFERROR(INDEX(Katalog!$B$3:$B$12,MATCH(cadangan[[#This Row],[ItemID B]],Katalog!$C$3:$C$12,0)),"-")</f>
        <v>-</v>
      </c>
      <c r="Q402" s="73">
        <f>IFERROR(INDEX(Katalog!$D$3:$D$12,MATCH(cadangan[[#This Row],[ItemID B]],Katalog!$C$3:$C$12,0))*cadangan[[#This Row],[Qty B]],0)</f>
        <v>0</v>
      </c>
      <c r="R402" s="73">
        <f>IFERROR(cadangan[[#This Row],[Harga Normal B]]-(cadangan[[#This Row],[Harga Normal B]]*cadangan[[#This Row],[Diskon]]),cadangan[[#This Row],[Harga Normal B]])</f>
        <v>0</v>
      </c>
      <c r="S402" s="73">
        <f>IFERROR(INDEX(Katalog!$F$3:$F$12,MATCH(cadangan[[#This Row],[ItemID B]],Katalog!$C$3:$C$12,0))*cadangan[[#This Row],[Qty B]],0)</f>
        <v>0</v>
      </c>
      <c r="T402" s="73">
        <f>IFERROR(cadangan[[#This Row],[Harga Diskon B]]-INDEX(Katalog!$E$3:$E$12,MATCH(cadangan[[#This Row],[ItemID B]],Katalog!$C$3:$C$12,0))*cadangan[[#This Row],[Qty B]],0)</f>
        <v>0</v>
      </c>
      <c r="V402" s="39" t="str">
        <f>IFERROR(INDEX(Katalog!$A$3:$A$12,MATCH(cadangan[[#This Row],[ItemID C]],Katalog!$C$3:$C$12,0)),"-")</f>
        <v>-</v>
      </c>
      <c r="W402" s="39" t="str">
        <f>IFERROR(INDEX(Katalog!$B$3:$B$12,MATCH(cadangan[[#This Row],[ItemID C]],Katalog!$C$3:$C$12,0)),"-")</f>
        <v>-</v>
      </c>
      <c r="Z402" s="73">
        <f>IFERROR(INDEX(Katalog!$D$3:$D$12,MATCH(cadangan[[#This Row],[ItemID C]],Katalog!$C$3:$C$12,0))*cadangan[[#This Row],[Qty C]],0)</f>
        <v>0</v>
      </c>
      <c r="AA402" s="73">
        <f>IFERROR(cadangan[[#This Row],[Harga Normal C]]-(cadangan[[#This Row],[Harga Normal C]]*cadangan[[#This Row],[Diskon]]),cadangan[[#This Row],[Harga Normal C]])</f>
        <v>0</v>
      </c>
      <c r="AB402" s="73">
        <f>IFERROR(INDEX(Katalog!$F$3:$F$12,MATCH(cadangan[[#This Row],[ItemID C]],Katalog!$C$3:$C$12,0))*cadangan[[#This Row],[Qty C]],0)</f>
        <v>0</v>
      </c>
      <c r="AC402" s="73">
        <f>IFERROR(cadangan[[#This Row],[Harga Diskon C]]-INDEX(Katalog!$E$3:$E$12,MATCH(cadangan[[#This Row],[ItemID C]],Katalog!$C$3:$C$12,0))*cadangan[[#This Row],[Qty C]],0)</f>
        <v>0</v>
      </c>
      <c r="AD402" s="53">
        <f>cadangan[[#This Row],[Qty A]]+cadangan[[#This Row],[Qty B]]+cadangan[[#This Row],[Qty C]]</f>
        <v>1</v>
      </c>
      <c r="AE402" s="73">
        <f>cadangan[[#This Row],[Harga Normal A]]+cadangan[[#This Row],[Harga Normal B]]+cadangan[[#This Row],[Harga Normal C]]</f>
        <v>400000</v>
      </c>
      <c r="AF402" s="73">
        <f>cadangan[[#This Row],[Harga Diskon A]]+cadangan[[#This Row],[Harga Diskon B]]+cadangan[[#This Row],[Harga Diskon C]]</f>
        <v>360000</v>
      </c>
      <c r="AG402" s="73">
        <f>(cadangan[[#This Row],[Profit Normal A]]+cadangan[[#This Row],[Profit Normal B]]+cadangan[[#This Row],[Profit Normal C]])</f>
        <v>150000</v>
      </c>
      <c r="AH402" s="73">
        <f>cadangan[[#This Row],[Profit Diskon A]]+cadangan[[#This Row],[Profit Diskon B]]+cadangan[[#This Row],[Profit Diskon C]]</f>
        <v>110000</v>
      </c>
      <c r="AI402" s="23" t="s">
        <v>6</v>
      </c>
      <c r="AJ402" s="37">
        <f>IFERROR(INDEX('Kode Diskon'!$D$3:$D$9,MATCH(cadangan[[#This Row],[Kode diskon]],'Kode Diskon'!$C$3:$C$9,0)),"-")</f>
        <v>0.1</v>
      </c>
      <c r="AK402" s="23" t="s">
        <v>29</v>
      </c>
      <c r="AL402" s="23" t="s">
        <v>7</v>
      </c>
      <c r="AM402" s="23" t="s">
        <v>76</v>
      </c>
      <c r="AN402" s="55">
        <v>45019</v>
      </c>
      <c r="AO402" s="53">
        <f>DAY(cadangan[[#This Row],[Tanggal terjual]])</f>
        <v>3</v>
      </c>
      <c r="AP402" s="21" t="str">
        <f>TEXT(cadangan[[#This Row],[Tanggal terjual]],"dddd")</f>
        <v>Monday</v>
      </c>
      <c r="AQ402" s="23" t="str" cm="1">
        <f t="array" ref="AQ4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2" s="61">
        <f>AVERAGE(cadangan[[#This Row],[Rating A]],cadangan[[#This Row],[Rating B]],cadangan[[#This Row],[Rating C]])</f>
        <v>2</v>
      </c>
    </row>
    <row r="403" spans="1:44" x14ac:dyDescent="0.2">
      <c r="A403" s="20">
        <v>402</v>
      </c>
      <c r="B403" s="21" t="str">
        <f>_xlfn.CONCAT("ORD-",INDEX(Helper!$B$2:$B$5,MATCH(cadangan[[#This Row],[Marketplace]],Helper!$A$2:$A$5,0)),TEXT(cadangan[[#This Row],[No]],"0000"),"-",TEXT(cadangan[[#This Row],[Tanggal terjual]],"dd/mm/yy"))</f>
        <v>ORD-SP0402-01/04/23</v>
      </c>
      <c r="C403" s="39" t="s">
        <v>63</v>
      </c>
      <c r="D403" s="39" t="str">
        <f>IFERROR(INDEX(Katalog!$A$3:$A$12,MATCH(cadangan[[#This Row],[ItemID A]],Katalog!$C$3:$C$12,0)),"-")</f>
        <v>Pakaian Pria</v>
      </c>
      <c r="E403" s="39" t="str">
        <f>IFERROR(INDEX(Katalog!$B$3:$B$12,MATCH(cadangan[[#This Row],[ItemID A]],Katalog!$C$3:$C$12,0)),"-")</f>
        <v>Jaket Jeans</v>
      </c>
      <c r="F403" s="50">
        <v>6</v>
      </c>
      <c r="G403" s="50">
        <v>4</v>
      </c>
      <c r="H403" s="73">
        <f>IFERROR(INDEX(Katalog!$D$3:$D$12,MATCH(cadangan[[#This Row],[ItemID A]],Katalog!$C$3:$C$12,0))*cadangan[[#This Row],[Qty A]],0)</f>
        <v>2400000</v>
      </c>
      <c r="I403" s="73">
        <f>IFERROR(cadangan[[#This Row],[Harga Normal A]]-(cadangan[[#This Row],[Harga Normal A]]*cadangan[[#This Row],[Diskon]]),cadangan[[#This Row],[Harga Normal A]])</f>
        <v>2160000</v>
      </c>
      <c r="J403" s="73">
        <f>INDEX(Katalog!$F$3:$F$12,MATCH(cadangan[[#This Row],[ItemID A]],Katalog!$C$3:$C$12,0))*cadangan[[#This Row],[Qty A]]</f>
        <v>900000</v>
      </c>
      <c r="K403" s="73">
        <f>IFERROR(cadangan[[#This Row],[Harga Diskon A]]-INDEX(Katalog!$E$3:$E$12,MATCH(cadangan[[#This Row],[ItemID A]],Katalog!$C$3:$C$12,0))*cadangan[[#This Row],[Qty A]],0)</f>
        <v>660000</v>
      </c>
      <c r="M403" s="39" t="str">
        <f>IFERROR(INDEX(Katalog!$A$3:$A$12,MATCH(cadangan[[#This Row],[ItemID B]],Katalog!$C$3:$C$12,0)),"-")</f>
        <v>-</v>
      </c>
      <c r="N403" s="39" t="str">
        <f>IFERROR(INDEX(Katalog!$B$3:$B$12,MATCH(cadangan[[#This Row],[ItemID B]],Katalog!$C$3:$C$12,0)),"-")</f>
        <v>-</v>
      </c>
      <c r="Q403" s="73">
        <f>IFERROR(INDEX(Katalog!$D$3:$D$12,MATCH(cadangan[[#This Row],[ItemID B]],Katalog!$C$3:$C$12,0))*cadangan[[#This Row],[Qty B]],0)</f>
        <v>0</v>
      </c>
      <c r="R403" s="73">
        <f>IFERROR(cadangan[[#This Row],[Harga Normal B]]-(cadangan[[#This Row],[Harga Normal B]]*cadangan[[#This Row],[Diskon]]),cadangan[[#This Row],[Harga Normal B]])</f>
        <v>0</v>
      </c>
      <c r="S403" s="73">
        <f>IFERROR(INDEX(Katalog!$F$3:$F$12,MATCH(cadangan[[#This Row],[ItemID B]],Katalog!$C$3:$C$12,0))*cadangan[[#This Row],[Qty B]],0)</f>
        <v>0</v>
      </c>
      <c r="T403" s="73">
        <f>IFERROR(cadangan[[#This Row],[Harga Diskon B]]-INDEX(Katalog!$E$3:$E$12,MATCH(cadangan[[#This Row],[ItemID B]],Katalog!$C$3:$C$12,0))*cadangan[[#This Row],[Qty B]],0)</f>
        <v>0</v>
      </c>
      <c r="V403" s="39" t="str">
        <f>IFERROR(INDEX(Katalog!$A$3:$A$12,MATCH(cadangan[[#This Row],[ItemID C]],Katalog!$C$3:$C$12,0)),"-")</f>
        <v>-</v>
      </c>
      <c r="W403" s="39" t="str">
        <f>IFERROR(INDEX(Katalog!$B$3:$B$12,MATCH(cadangan[[#This Row],[ItemID C]],Katalog!$C$3:$C$12,0)),"-")</f>
        <v>-</v>
      </c>
      <c r="Z403" s="73">
        <f>IFERROR(INDEX(Katalog!$D$3:$D$12,MATCH(cadangan[[#This Row],[ItemID C]],Katalog!$C$3:$C$12,0))*cadangan[[#This Row],[Qty C]],0)</f>
        <v>0</v>
      </c>
      <c r="AA403" s="73">
        <f>IFERROR(cadangan[[#This Row],[Harga Normal C]]-(cadangan[[#This Row],[Harga Normal C]]*cadangan[[#This Row],[Diskon]]),cadangan[[#This Row],[Harga Normal C]])</f>
        <v>0</v>
      </c>
      <c r="AB403" s="73">
        <f>IFERROR(INDEX(Katalog!$F$3:$F$12,MATCH(cadangan[[#This Row],[ItemID C]],Katalog!$C$3:$C$12,0))*cadangan[[#This Row],[Qty C]],0)</f>
        <v>0</v>
      </c>
      <c r="AC403" s="73">
        <f>IFERROR(cadangan[[#This Row],[Harga Diskon C]]-INDEX(Katalog!$E$3:$E$12,MATCH(cadangan[[#This Row],[ItemID C]],Katalog!$C$3:$C$12,0))*cadangan[[#This Row],[Qty C]],0)</f>
        <v>0</v>
      </c>
      <c r="AD403" s="53">
        <f>cadangan[[#This Row],[Qty A]]+cadangan[[#This Row],[Qty B]]+cadangan[[#This Row],[Qty C]]</f>
        <v>6</v>
      </c>
      <c r="AE403" s="73">
        <f>cadangan[[#This Row],[Harga Normal A]]+cadangan[[#This Row],[Harga Normal B]]+cadangan[[#This Row],[Harga Normal C]]</f>
        <v>2400000</v>
      </c>
      <c r="AF403" s="73">
        <f>cadangan[[#This Row],[Harga Diskon A]]+cadangan[[#This Row],[Harga Diskon B]]+cadangan[[#This Row],[Harga Diskon C]]</f>
        <v>2160000</v>
      </c>
      <c r="AG403" s="73">
        <f>(cadangan[[#This Row],[Profit Normal A]]+cadangan[[#This Row],[Profit Normal B]]+cadangan[[#This Row],[Profit Normal C]])</f>
        <v>900000</v>
      </c>
      <c r="AH403" s="73">
        <f>cadangan[[#This Row],[Profit Diskon A]]+cadangan[[#This Row],[Profit Diskon B]]+cadangan[[#This Row],[Profit Diskon C]]</f>
        <v>660000</v>
      </c>
      <c r="AI403" s="23" t="s">
        <v>6</v>
      </c>
      <c r="AJ403" s="37">
        <f>IFERROR(INDEX('Kode Diskon'!$D$3:$D$9,MATCH(cadangan[[#This Row],[Kode diskon]],'Kode Diskon'!$C$3:$C$9,0)),"-")</f>
        <v>0.1</v>
      </c>
      <c r="AK403" s="23" t="s">
        <v>29</v>
      </c>
      <c r="AL403" s="23" t="s">
        <v>7</v>
      </c>
      <c r="AM403" s="23" t="s">
        <v>79</v>
      </c>
      <c r="AN403" s="55">
        <v>45017</v>
      </c>
      <c r="AO403" s="53">
        <f>DAY(cadangan[[#This Row],[Tanggal terjual]])</f>
        <v>1</v>
      </c>
      <c r="AP403" s="21" t="str">
        <f>TEXT(cadangan[[#This Row],[Tanggal terjual]],"dddd")</f>
        <v>Saturday</v>
      </c>
      <c r="AQ403" s="23" t="str" cm="1">
        <f t="array" ref="AQ4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3" s="61">
        <f>AVERAGE(cadangan[[#This Row],[Rating A]],cadangan[[#This Row],[Rating B]],cadangan[[#This Row],[Rating C]])</f>
        <v>4</v>
      </c>
    </row>
    <row r="404" spans="1:44" x14ac:dyDescent="0.2">
      <c r="A404" s="20">
        <v>403</v>
      </c>
      <c r="B404" s="21" t="str">
        <f>_xlfn.CONCAT("ORD-",INDEX(Helper!$B$2:$B$5,MATCH(cadangan[[#This Row],[Marketplace]],Helper!$A$2:$A$5,0)),TEXT(cadangan[[#This Row],[No]],"0000"),"-",TEXT(cadangan[[#This Row],[Tanggal terjual]],"dd/mm/yy"))</f>
        <v>ORD-SP0403-04/04/23</v>
      </c>
      <c r="C404" s="39" t="s">
        <v>60</v>
      </c>
      <c r="D404" s="39" t="str">
        <f>IFERROR(INDEX(Katalog!$A$3:$A$12,MATCH(cadangan[[#This Row],[ItemID A]],Katalog!$C$3:$C$12,0)),"-")</f>
        <v>Pakaian Wanita</v>
      </c>
      <c r="E404" s="39" t="str">
        <f>IFERROR(INDEX(Katalog!$B$3:$B$12,MATCH(cadangan[[#This Row],[ItemID A]],Katalog!$C$3:$C$12,0)),"-")</f>
        <v>Kaftan</v>
      </c>
      <c r="F404" s="50">
        <v>3</v>
      </c>
      <c r="G404" s="50">
        <v>3</v>
      </c>
      <c r="H404" s="73">
        <f>IFERROR(INDEX(Katalog!$D$3:$D$12,MATCH(cadangan[[#This Row],[ItemID A]],Katalog!$C$3:$C$12,0))*cadangan[[#This Row],[Qty A]],0)</f>
        <v>750000</v>
      </c>
      <c r="I404" s="73">
        <f>IFERROR(cadangan[[#This Row],[Harga Normal A]]-(cadangan[[#This Row],[Harga Normal A]]*cadangan[[#This Row],[Diskon]]),cadangan[[#This Row],[Harga Normal A]])</f>
        <v>637500</v>
      </c>
      <c r="J404" s="73">
        <f>INDEX(Katalog!$F$3:$F$12,MATCH(cadangan[[#This Row],[ItemID A]],Katalog!$C$3:$C$12,0))*cadangan[[#This Row],[Qty A]]</f>
        <v>300000</v>
      </c>
      <c r="K404" s="73">
        <f>IFERROR(cadangan[[#This Row],[Harga Diskon A]]-INDEX(Katalog!$E$3:$E$12,MATCH(cadangan[[#This Row],[ItemID A]],Katalog!$C$3:$C$12,0))*cadangan[[#This Row],[Qty A]],0)</f>
        <v>187500</v>
      </c>
      <c r="L404" s="39" t="s">
        <v>58</v>
      </c>
      <c r="M404" s="39" t="str">
        <f>IFERROR(INDEX(Katalog!$A$3:$A$12,MATCH(cadangan[[#This Row],[ItemID B]],Katalog!$C$3:$C$12,0)),"-")</f>
        <v>Pakaian Wanita</v>
      </c>
      <c r="N404" s="39" t="str">
        <f>IFERROR(INDEX(Katalog!$B$3:$B$12,MATCH(cadangan[[#This Row],[ItemID B]],Katalog!$C$3:$C$12,0)),"-")</f>
        <v>Dress</v>
      </c>
      <c r="O404" s="50">
        <v>3</v>
      </c>
      <c r="P404" s="50">
        <v>2</v>
      </c>
      <c r="Q404" s="73">
        <f>IFERROR(INDEX(Katalog!$D$3:$D$12,MATCH(cadangan[[#This Row],[ItemID B]],Katalog!$C$3:$C$12,0))*cadangan[[#This Row],[Qty B]],0)</f>
        <v>900000</v>
      </c>
      <c r="R404" s="73">
        <f>IFERROR(cadangan[[#This Row],[Harga Normal B]]-(cadangan[[#This Row],[Harga Normal B]]*cadangan[[#This Row],[Diskon]]),cadangan[[#This Row],[Harga Normal B]])</f>
        <v>765000</v>
      </c>
      <c r="S404" s="73">
        <f>IFERROR(INDEX(Katalog!$F$3:$F$12,MATCH(cadangan[[#This Row],[ItemID B]],Katalog!$C$3:$C$12,0))*cadangan[[#This Row],[Qty B]],0)</f>
        <v>300000</v>
      </c>
      <c r="T404" s="73">
        <f>IFERROR(cadangan[[#This Row],[Harga Diskon B]]-INDEX(Katalog!$E$3:$E$12,MATCH(cadangan[[#This Row],[ItemID B]],Katalog!$C$3:$C$12,0))*cadangan[[#This Row],[Qty B]],0)</f>
        <v>165000</v>
      </c>
      <c r="V404" s="39" t="str">
        <f>IFERROR(INDEX(Katalog!$A$3:$A$12,MATCH(cadangan[[#This Row],[ItemID C]],Katalog!$C$3:$C$12,0)),"-")</f>
        <v>-</v>
      </c>
      <c r="W404" s="39" t="str">
        <f>IFERROR(INDEX(Katalog!$B$3:$B$12,MATCH(cadangan[[#This Row],[ItemID C]],Katalog!$C$3:$C$12,0)),"-")</f>
        <v>-</v>
      </c>
      <c r="Z404" s="73">
        <f>IFERROR(INDEX(Katalog!$D$3:$D$12,MATCH(cadangan[[#This Row],[ItemID C]],Katalog!$C$3:$C$12,0))*cadangan[[#This Row],[Qty C]],0)</f>
        <v>0</v>
      </c>
      <c r="AA404" s="73">
        <f>IFERROR(cadangan[[#This Row],[Harga Normal C]]-(cadangan[[#This Row],[Harga Normal C]]*cadangan[[#This Row],[Diskon]]),cadangan[[#This Row],[Harga Normal C]])</f>
        <v>0</v>
      </c>
      <c r="AB404" s="73">
        <f>IFERROR(INDEX(Katalog!$F$3:$F$12,MATCH(cadangan[[#This Row],[ItemID C]],Katalog!$C$3:$C$12,0))*cadangan[[#This Row],[Qty C]],0)</f>
        <v>0</v>
      </c>
      <c r="AC404" s="73">
        <f>IFERROR(cadangan[[#This Row],[Harga Diskon C]]-INDEX(Katalog!$E$3:$E$12,MATCH(cadangan[[#This Row],[ItemID C]],Katalog!$C$3:$C$12,0))*cadangan[[#This Row],[Qty C]],0)</f>
        <v>0</v>
      </c>
      <c r="AD404" s="53">
        <f>cadangan[[#This Row],[Qty A]]+cadangan[[#This Row],[Qty B]]+cadangan[[#This Row],[Qty C]]</f>
        <v>6</v>
      </c>
      <c r="AE404" s="73">
        <f>cadangan[[#This Row],[Harga Normal A]]+cadangan[[#This Row],[Harga Normal B]]+cadangan[[#This Row],[Harga Normal C]]</f>
        <v>1650000</v>
      </c>
      <c r="AF404" s="73">
        <f>cadangan[[#This Row],[Harga Diskon A]]+cadangan[[#This Row],[Harga Diskon B]]+cadangan[[#This Row],[Harga Diskon C]]</f>
        <v>1402500</v>
      </c>
      <c r="AG404" s="73">
        <f>(cadangan[[#This Row],[Profit Normal A]]+cadangan[[#This Row],[Profit Normal B]]+cadangan[[#This Row],[Profit Normal C]])</f>
        <v>600000</v>
      </c>
      <c r="AH404" s="73">
        <f>cadangan[[#This Row],[Profit Diskon A]]+cadangan[[#This Row],[Profit Diskon B]]+cadangan[[#This Row],[Profit Diskon C]]</f>
        <v>352500</v>
      </c>
      <c r="AI404" s="23" t="s">
        <v>13</v>
      </c>
      <c r="AJ404" s="37">
        <f>IFERROR(INDEX('Kode Diskon'!$D$3:$D$9,MATCH(cadangan[[#This Row],[Kode diskon]],'Kode Diskon'!$C$3:$C$9,0)),"-")</f>
        <v>0.15</v>
      </c>
      <c r="AK404" s="23" t="s">
        <v>29</v>
      </c>
      <c r="AL404" s="23" t="s">
        <v>7</v>
      </c>
      <c r="AM404" s="23" t="s">
        <v>80</v>
      </c>
      <c r="AN404" s="55">
        <v>45020</v>
      </c>
      <c r="AO404" s="53">
        <f>DAY(cadangan[[#This Row],[Tanggal terjual]])</f>
        <v>4</v>
      </c>
      <c r="AP404" s="21" t="str">
        <f>TEXT(cadangan[[#This Row],[Tanggal terjual]],"dddd")</f>
        <v>Tuesday</v>
      </c>
      <c r="AQ404" s="23" t="str" cm="1">
        <f t="array" ref="AQ4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4" s="61">
        <f>AVERAGE(cadangan[[#This Row],[Rating A]],cadangan[[#This Row],[Rating B]],cadangan[[#This Row],[Rating C]])</f>
        <v>2.5</v>
      </c>
    </row>
    <row r="405" spans="1:44" x14ac:dyDescent="0.2">
      <c r="A405" s="20">
        <v>404</v>
      </c>
      <c r="B405" s="21" t="str">
        <f>_xlfn.CONCAT("ORD-",INDEX(Helper!$B$2:$B$5,MATCH(cadangan[[#This Row],[Marketplace]],Helper!$A$2:$A$5,0)),TEXT(cadangan[[#This Row],[No]],"0000"),"-",TEXT(cadangan[[#This Row],[Tanggal terjual]],"dd/mm/yy"))</f>
        <v>ORD-BB0404-01/04/23</v>
      </c>
      <c r="C405" s="39" t="s">
        <v>67</v>
      </c>
      <c r="D405" s="39" t="str">
        <f>IFERROR(INDEX(Katalog!$A$3:$A$12,MATCH(cadangan[[#This Row],[ItemID A]],Katalog!$C$3:$C$12,0)),"-")</f>
        <v>Sepatu Wanita</v>
      </c>
      <c r="E405" s="39" t="str">
        <f>IFERROR(INDEX(Katalog!$B$3:$B$12,MATCH(cadangan[[#This Row],[ItemID A]],Katalog!$C$3:$C$12,0)),"-")</f>
        <v>Flat Shoes</v>
      </c>
      <c r="F405" s="50">
        <v>1</v>
      </c>
      <c r="G405" s="50">
        <v>3</v>
      </c>
      <c r="H405" s="73">
        <f>IFERROR(INDEX(Katalog!$D$3:$D$12,MATCH(cadangan[[#This Row],[ItemID A]],Katalog!$C$3:$C$12,0))*cadangan[[#This Row],[Qty A]],0)</f>
        <v>250000</v>
      </c>
      <c r="I405" s="73">
        <f>IFERROR(cadangan[[#This Row],[Harga Normal A]]-(cadangan[[#This Row],[Harga Normal A]]*cadangan[[#This Row],[Diskon]]),cadangan[[#This Row],[Harga Normal A]])</f>
        <v>212500</v>
      </c>
      <c r="J405" s="73">
        <f>INDEX(Katalog!$F$3:$F$12,MATCH(cadangan[[#This Row],[ItemID A]],Katalog!$C$3:$C$12,0))*cadangan[[#This Row],[Qty A]]</f>
        <v>100000</v>
      </c>
      <c r="K405" s="73">
        <f>IFERROR(cadangan[[#This Row],[Harga Diskon A]]-INDEX(Katalog!$E$3:$E$12,MATCH(cadangan[[#This Row],[ItemID A]],Katalog!$C$3:$C$12,0))*cadangan[[#This Row],[Qty A]],0)</f>
        <v>62500</v>
      </c>
      <c r="M405" s="39" t="str">
        <f>IFERROR(INDEX(Katalog!$A$3:$A$12,MATCH(cadangan[[#This Row],[ItemID B]],Katalog!$C$3:$C$12,0)),"-")</f>
        <v>-</v>
      </c>
      <c r="N405" s="39" t="str">
        <f>IFERROR(INDEX(Katalog!$B$3:$B$12,MATCH(cadangan[[#This Row],[ItemID B]],Katalog!$C$3:$C$12,0)),"-")</f>
        <v>-</v>
      </c>
      <c r="Q405" s="73">
        <f>IFERROR(INDEX(Katalog!$D$3:$D$12,MATCH(cadangan[[#This Row],[ItemID B]],Katalog!$C$3:$C$12,0))*cadangan[[#This Row],[Qty B]],0)</f>
        <v>0</v>
      </c>
      <c r="R405" s="73">
        <f>IFERROR(cadangan[[#This Row],[Harga Normal B]]-(cadangan[[#This Row],[Harga Normal B]]*cadangan[[#This Row],[Diskon]]),cadangan[[#This Row],[Harga Normal B]])</f>
        <v>0</v>
      </c>
      <c r="S405" s="73">
        <f>IFERROR(INDEX(Katalog!$F$3:$F$12,MATCH(cadangan[[#This Row],[ItemID B]],Katalog!$C$3:$C$12,0))*cadangan[[#This Row],[Qty B]],0)</f>
        <v>0</v>
      </c>
      <c r="T405" s="73">
        <f>IFERROR(cadangan[[#This Row],[Harga Diskon B]]-INDEX(Katalog!$E$3:$E$12,MATCH(cadangan[[#This Row],[ItemID B]],Katalog!$C$3:$C$12,0))*cadangan[[#This Row],[Qty B]],0)</f>
        <v>0</v>
      </c>
      <c r="V405" s="39" t="str">
        <f>IFERROR(INDEX(Katalog!$A$3:$A$12,MATCH(cadangan[[#This Row],[ItemID C]],Katalog!$C$3:$C$12,0)),"-")</f>
        <v>-</v>
      </c>
      <c r="W405" s="39" t="str">
        <f>IFERROR(INDEX(Katalog!$B$3:$B$12,MATCH(cadangan[[#This Row],[ItemID C]],Katalog!$C$3:$C$12,0)),"-")</f>
        <v>-</v>
      </c>
      <c r="Z405" s="73">
        <f>IFERROR(INDEX(Katalog!$D$3:$D$12,MATCH(cadangan[[#This Row],[ItemID C]],Katalog!$C$3:$C$12,0))*cadangan[[#This Row],[Qty C]],0)</f>
        <v>0</v>
      </c>
      <c r="AA405" s="73">
        <f>IFERROR(cadangan[[#This Row],[Harga Normal C]]-(cadangan[[#This Row],[Harga Normal C]]*cadangan[[#This Row],[Diskon]]),cadangan[[#This Row],[Harga Normal C]])</f>
        <v>0</v>
      </c>
      <c r="AB405" s="73">
        <f>IFERROR(INDEX(Katalog!$F$3:$F$12,MATCH(cadangan[[#This Row],[ItemID C]],Katalog!$C$3:$C$12,0))*cadangan[[#This Row],[Qty C]],0)</f>
        <v>0</v>
      </c>
      <c r="AC405" s="73">
        <f>IFERROR(cadangan[[#This Row],[Harga Diskon C]]-INDEX(Katalog!$E$3:$E$12,MATCH(cadangan[[#This Row],[ItemID C]],Katalog!$C$3:$C$12,0))*cadangan[[#This Row],[Qty C]],0)</f>
        <v>0</v>
      </c>
      <c r="AD405" s="53">
        <f>cadangan[[#This Row],[Qty A]]+cadangan[[#This Row],[Qty B]]+cadangan[[#This Row],[Qty C]]</f>
        <v>1</v>
      </c>
      <c r="AE405" s="73">
        <f>cadangan[[#This Row],[Harga Normal A]]+cadangan[[#This Row],[Harga Normal B]]+cadangan[[#This Row],[Harga Normal C]]</f>
        <v>250000</v>
      </c>
      <c r="AF405" s="73">
        <f>cadangan[[#This Row],[Harga Diskon A]]+cadangan[[#This Row],[Harga Diskon B]]+cadangan[[#This Row],[Harga Diskon C]]</f>
        <v>212500</v>
      </c>
      <c r="AG405" s="73">
        <f>(cadangan[[#This Row],[Profit Normal A]]+cadangan[[#This Row],[Profit Normal B]]+cadangan[[#This Row],[Profit Normal C]])</f>
        <v>100000</v>
      </c>
      <c r="AH405" s="73">
        <f>cadangan[[#This Row],[Profit Diskon A]]+cadangan[[#This Row],[Profit Diskon B]]+cadangan[[#This Row],[Profit Diskon C]]</f>
        <v>62500</v>
      </c>
      <c r="AI405" s="23" t="s">
        <v>28</v>
      </c>
      <c r="AJ405" s="37">
        <f>IFERROR(INDEX('Kode Diskon'!$D$3:$D$9,MATCH(cadangan[[#This Row],[Kode diskon]],'Kode Diskon'!$C$3:$C$9,0)),"-")</f>
        <v>0.15</v>
      </c>
      <c r="AK405" s="23" t="s">
        <v>29</v>
      </c>
      <c r="AL405" s="23" t="s">
        <v>14</v>
      </c>
      <c r="AM405" s="23" t="s">
        <v>79</v>
      </c>
      <c r="AN405" s="55">
        <v>45017</v>
      </c>
      <c r="AO405" s="53">
        <f>DAY(cadangan[[#This Row],[Tanggal terjual]])</f>
        <v>1</v>
      </c>
      <c r="AP405" s="21" t="str">
        <f>TEXT(cadangan[[#This Row],[Tanggal terjual]],"dddd")</f>
        <v>Saturday</v>
      </c>
      <c r="AQ405" s="23" t="str" cm="1">
        <f t="array" ref="AQ4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5" s="61">
        <f>AVERAGE(cadangan[[#This Row],[Rating A]],cadangan[[#This Row],[Rating B]],cadangan[[#This Row],[Rating C]])</f>
        <v>3</v>
      </c>
    </row>
    <row r="406" spans="1:44" x14ac:dyDescent="0.2">
      <c r="A406" s="20">
        <v>405</v>
      </c>
      <c r="B406" s="21" t="str">
        <f>_xlfn.CONCAT("ORD-",INDEX(Helper!$B$2:$B$5,MATCH(cadangan[[#This Row],[Marketplace]],Helper!$A$2:$A$5,0)),TEXT(cadangan[[#This Row],[No]],"0000"),"-",TEXT(cadangan[[#This Row],[Tanggal terjual]],"dd/mm/yy"))</f>
        <v>ORD-SP0405-20/04/23</v>
      </c>
      <c r="C406" s="39" t="s">
        <v>61</v>
      </c>
      <c r="D406" s="39" t="str">
        <f>IFERROR(INDEX(Katalog!$A$3:$A$12,MATCH(cadangan[[#This Row],[ItemID A]],Katalog!$C$3:$C$12,0)),"-")</f>
        <v>Pakaian Pria</v>
      </c>
      <c r="E406" s="39" t="str">
        <f>IFERROR(INDEX(Katalog!$B$3:$B$12,MATCH(cadangan[[#This Row],[ItemID A]],Katalog!$C$3:$C$12,0)),"-")</f>
        <v>Kaos Polo</v>
      </c>
      <c r="F406" s="50">
        <v>4</v>
      </c>
      <c r="G406" s="50">
        <v>5</v>
      </c>
      <c r="H406" s="73">
        <f>IFERROR(INDEX(Katalog!$D$3:$D$12,MATCH(cadangan[[#This Row],[ItemID A]],Katalog!$C$3:$C$12,0))*cadangan[[#This Row],[Qty A]],0)</f>
        <v>800000</v>
      </c>
      <c r="I406" s="73">
        <f>IFERROR(cadangan[[#This Row],[Harga Normal A]]-(cadangan[[#This Row],[Harga Normal A]]*cadangan[[#This Row],[Diskon]]),cadangan[[#This Row],[Harga Normal A]])</f>
        <v>640000</v>
      </c>
      <c r="J406" s="73">
        <f>INDEX(Katalog!$F$3:$F$12,MATCH(cadangan[[#This Row],[ItemID A]],Katalog!$C$3:$C$12,0))*cadangan[[#This Row],[Qty A]]</f>
        <v>320000</v>
      </c>
      <c r="K406" s="73">
        <f>IFERROR(cadangan[[#This Row],[Harga Diskon A]]-INDEX(Katalog!$E$3:$E$12,MATCH(cadangan[[#This Row],[ItemID A]],Katalog!$C$3:$C$12,0))*cadangan[[#This Row],[Qty A]],0)</f>
        <v>160000</v>
      </c>
      <c r="L406" s="39" t="s">
        <v>60</v>
      </c>
      <c r="M406" s="39" t="str">
        <f>IFERROR(INDEX(Katalog!$A$3:$A$12,MATCH(cadangan[[#This Row],[ItemID B]],Katalog!$C$3:$C$12,0)),"-")</f>
        <v>Pakaian Wanita</v>
      </c>
      <c r="N406" s="39" t="str">
        <f>IFERROR(INDEX(Katalog!$B$3:$B$12,MATCH(cadangan[[#This Row],[ItemID B]],Katalog!$C$3:$C$12,0)),"-")</f>
        <v>Kaftan</v>
      </c>
      <c r="O406" s="50">
        <v>1</v>
      </c>
      <c r="P406" s="50">
        <v>2</v>
      </c>
      <c r="Q406" s="73">
        <f>IFERROR(INDEX(Katalog!$D$3:$D$12,MATCH(cadangan[[#This Row],[ItemID B]],Katalog!$C$3:$C$12,0))*cadangan[[#This Row],[Qty B]],0)</f>
        <v>250000</v>
      </c>
      <c r="R406" s="73">
        <f>IFERROR(cadangan[[#This Row],[Harga Normal B]]-(cadangan[[#This Row],[Harga Normal B]]*cadangan[[#This Row],[Diskon]]),cadangan[[#This Row],[Harga Normal B]])</f>
        <v>200000</v>
      </c>
      <c r="S406" s="73">
        <f>IFERROR(INDEX(Katalog!$F$3:$F$12,MATCH(cadangan[[#This Row],[ItemID B]],Katalog!$C$3:$C$12,0))*cadangan[[#This Row],[Qty B]],0)</f>
        <v>100000</v>
      </c>
      <c r="T406" s="73">
        <f>IFERROR(cadangan[[#This Row],[Harga Diskon B]]-INDEX(Katalog!$E$3:$E$12,MATCH(cadangan[[#This Row],[ItemID B]],Katalog!$C$3:$C$12,0))*cadangan[[#This Row],[Qty B]],0)</f>
        <v>50000</v>
      </c>
      <c r="U406" s="39" t="s">
        <v>59</v>
      </c>
      <c r="V406" s="39" t="str">
        <f>IFERROR(INDEX(Katalog!$A$3:$A$12,MATCH(cadangan[[#This Row],[ItemID C]],Katalog!$C$3:$C$12,0)),"-")</f>
        <v>Pakaian Wanita</v>
      </c>
      <c r="W406" s="39" t="str">
        <f>IFERROR(INDEX(Katalog!$B$3:$B$12,MATCH(cadangan[[#This Row],[ItemID C]],Katalog!$C$3:$C$12,0)),"-")</f>
        <v>Blouse</v>
      </c>
      <c r="X406" s="50">
        <v>2</v>
      </c>
      <c r="Y406" s="50">
        <v>1</v>
      </c>
      <c r="Z406" s="73">
        <f>IFERROR(INDEX(Katalog!$D$3:$D$12,MATCH(cadangan[[#This Row],[ItemID C]],Katalog!$C$3:$C$12,0))*cadangan[[#This Row],[Qty C]],0)</f>
        <v>300000</v>
      </c>
      <c r="AA406" s="73">
        <f>IFERROR(cadangan[[#This Row],[Harga Normal C]]-(cadangan[[#This Row],[Harga Normal C]]*cadangan[[#This Row],[Diskon]]),cadangan[[#This Row],[Harga Normal C]])</f>
        <v>240000</v>
      </c>
      <c r="AB406" s="73">
        <f>IFERROR(INDEX(Katalog!$F$3:$F$12,MATCH(cadangan[[#This Row],[ItemID C]],Katalog!$C$3:$C$12,0))*cadangan[[#This Row],[Qty C]],0)</f>
        <v>100000</v>
      </c>
      <c r="AC406" s="73">
        <f>IFERROR(cadangan[[#This Row],[Harga Diskon C]]-INDEX(Katalog!$E$3:$E$12,MATCH(cadangan[[#This Row],[ItemID C]],Katalog!$C$3:$C$12,0))*cadangan[[#This Row],[Qty C]],0)</f>
        <v>40000</v>
      </c>
      <c r="AD406" s="53">
        <f>cadangan[[#This Row],[Qty A]]+cadangan[[#This Row],[Qty B]]+cadangan[[#This Row],[Qty C]]</f>
        <v>7</v>
      </c>
      <c r="AE406" s="73">
        <f>cadangan[[#This Row],[Harga Normal A]]+cadangan[[#This Row],[Harga Normal B]]+cadangan[[#This Row],[Harga Normal C]]</f>
        <v>1350000</v>
      </c>
      <c r="AF406" s="73">
        <f>cadangan[[#This Row],[Harga Diskon A]]+cadangan[[#This Row],[Harga Diskon B]]+cadangan[[#This Row],[Harga Diskon C]]</f>
        <v>1080000</v>
      </c>
      <c r="AG406" s="73">
        <f>(cadangan[[#This Row],[Profit Normal A]]+cadangan[[#This Row],[Profit Normal B]]+cadangan[[#This Row],[Profit Normal C]])</f>
        <v>520000</v>
      </c>
      <c r="AH406" s="73">
        <f>cadangan[[#This Row],[Profit Diskon A]]+cadangan[[#This Row],[Profit Diskon B]]+cadangan[[#This Row],[Profit Diskon C]]</f>
        <v>250000</v>
      </c>
      <c r="AI406" s="23" t="s">
        <v>8</v>
      </c>
      <c r="AJ406" s="37">
        <f>IFERROR(INDEX('Kode Diskon'!$D$3:$D$9,MATCH(cadangan[[#This Row],[Kode diskon]],'Kode Diskon'!$C$3:$C$9,0)),"-")</f>
        <v>0.2</v>
      </c>
      <c r="AK406" s="23" t="s">
        <v>9</v>
      </c>
      <c r="AL406" s="23" t="s">
        <v>7</v>
      </c>
      <c r="AM406" s="23" t="s">
        <v>76</v>
      </c>
      <c r="AN406" s="55">
        <v>45036</v>
      </c>
      <c r="AO406" s="53">
        <f>DAY(cadangan[[#This Row],[Tanggal terjual]])</f>
        <v>20</v>
      </c>
      <c r="AP406" s="21" t="str">
        <f>TEXT(cadangan[[#This Row],[Tanggal terjual]],"dddd")</f>
        <v>Thursday</v>
      </c>
      <c r="AQ406" s="23" t="str" cm="1">
        <f t="array" ref="AQ4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06" s="61">
        <f>AVERAGE(cadangan[[#This Row],[Rating A]],cadangan[[#This Row],[Rating B]],cadangan[[#This Row],[Rating C]])</f>
        <v>2.6666666666666665</v>
      </c>
    </row>
    <row r="407" spans="1:44" x14ac:dyDescent="0.2">
      <c r="A407" s="20">
        <v>406</v>
      </c>
      <c r="B407" s="21" t="str">
        <f>_xlfn.CONCAT("ORD-",INDEX(Helper!$B$2:$B$5,MATCH(cadangan[[#This Row],[Marketplace]],Helper!$A$2:$A$5,0)),TEXT(cadangan[[#This Row],[No]],"0000"),"-",TEXT(cadangan[[#This Row],[Tanggal terjual]],"dd/mm/yy"))</f>
        <v>ORD-SP0406-02/04/23</v>
      </c>
      <c r="C407" s="39" t="s">
        <v>66</v>
      </c>
      <c r="D407" s="39" t="str">
        <f>IFERROR(INDEX(Katalog!$A$3:$A$12,MATCH(cadangan[[#This Row],[ItemID A]],Katalog!$C$3:$C$12,0)),"-")</f>
        <v>Sepatu Pria</v>
      </c>
      <c r="E407" s="39" t="str">
        <f>IFERROR(INDEX(Katalog!$B$3:$B$12,MATCH(cadangan[[#This Row],[ItemID A]],Katalog!$C$3:$C$12,0)),"-")</f>
        <v>Sandal Slip On</v>
      </c>
      <c r="F407" s="50">
        <v>1</v>
      </c>
      <c r="G407" s="50">
        <v>4</v>
      </c>
      <c r="H407" s="73">
        <f>IFERROR(INDEX(Katalog!$D$3:$D$12,MATCH(cadangan[[#This Row],[ItemID A]],Katalog!$C$3:$C$12,0))*cadangan[[#This Row],[Qty A]],0)</f>
        <v>150000</v>
      </c>
      <c r="I407" s="73">
        <f>IFERROR(cadangan[[#This Row],[Harga Normal A]]-(cadangan[[#This Row],[Harga Normal A]]*cadangan[[#This Row],[Diskon]]),cadangan[[#This Row],[Harga Normal A]])</f>
        <v>127500</v>
      </c>
      <c r="J407" s="73">
        <f>INDEX(Katalog!$F$3:$F$12,MATCH(cadangan[[#This Row],[ItemID A]],Katalog!$C$3:$C$12,0))*cadangan[[#This Row],[Qty A]]</f>
        <v>60000</v>
      </c>
      <c r="K407" s="73">
        <f>IFERROR(cadangan[[#This Row],[Harga Diskon A]]-INDEX(Katalog!$E$3:$E$12,MATCH(cadangan[[#This Row],[ItemID A]],Katalog!$C$3:$C$12,0))*cadangan[[#This Row],[Qty A]],0)</f>
        <v>37500</v>
      </c>
      <c r="L407" s="39" t="s">
        <v>62</v>
      </c>
      <c r="M407" s="39" t="str">
        <f>IFERROR(INDEX(Katalog!$A$3:$A$12,MATCH(cadangan[[#This Row],[ItemID B]],Katalog!$C$3:$C$12,0)),"-")</f>
        <v>Pakaian Pria</v>
      </c>
      <c r="N407" s="39" t="str">
        <f>IFERROR(INDEX(Katalog!$B$3:$B$12,MATCH(cadangan[[#This Row],[ItemID B]],Katalog!$C$3:$C$12,0)),"-")</f>
        <v>Celana Pendek</v>
      </c>
      <c r="O407" s="50">
        <v>1</v>
      </c>
      <c r="P407" s="50">
        <v>5</v>
      </c>
      <c r="Q407" s="73">
        <f>IFERROR(INDEX(Katalog!$D$3:$D$12,MATCH(cadangan[[#This Row],[ItemID B]],Katalog!$C$3:$C$12,0))*cadangan[[#This Row],[Qty B]],0)</f>
        <v>180000</v>
      </c>
      <c r="R407" s="73">
        <f>IFERROR(cadangan[[#This Row],[Harga Normal B]]-(cadangan[[#This Row],[Harga Normal B]]*cadangan[[#This Row],[Diskon]]),cadangan[[#This Row],[Harga Normal B]])</f>
        <v>153000</v>
      </c>
      <c r="S407" s="73">
        <f>IFERROR(INDEX(Katalog!$F$3:$F$12,MATCH(cadangan[[#This Row],[ItemID B]],Katalog!$C$3:$C$12,0))*cadangan[[#This Row],[Qty B]],0)</f>
        <v>70000</v>
      </c>
      <c r="T407" s="73">
        <f>IFERROR(cadangan[[#This Row],[Harga Diskon B]]-INDEX(Katalog!$E$3:$E$12,MATCH(cadangan[[#This Row],[ItemID B]],Katalog!$C$3:$C$12,0))*cadangan[[#This Row],[Qty B]],0)</f>
        <v>43000</v>
      </c>
      <c r="V407" s="39" t="str">
        <f>IFERROR(INDEX(Katalog!$A$3:$A$12,MATCH(cadangan[[#This Row],[ItemID C]],Katalog!$C$3:$C$12,0)),"-")</f>
        <v>-</v>
      </c>
      <c r="W407" s="39" t="str">
        <f>IFERROR(INDEX(Katalog!$B$3:$B$12,MATCH(cadangan[[#This Row],[ItemID C]],Katalog!$C$3:$C$12,0)),"-")</f>
        <v>-</v>
      </c>
      <c r="Z407" s="73">
        <f>IFERROR(INDEX(Katalog!$D$3:$D$12,MATCH(cadangan[[#This Row],[ItemID C]],Katalog!$C$3:$C$12,0))*cadangan[[#This Row],[Qty C]],0)</f>
        <v>0</v>
      </c>
      <c r="AA407" s="73">
        <f>IFERROR(cadangan[[#This Row],[Harga Normal C]]-(cadangan[[#This Row],[Harga Normal C]]*cadangan[[#This Row],[Diskon]]),cadangan[[#This Row],[Harga Normal C]])</f>
        <v>0</v>
      </c>
      <c r="AB407" s="73">
        <f>IFERROR(INDEX(Katalog!$F$3:$F$12,MATCH(cadangan[[#This Row],[ItemID C]],Katalog!$C$3:$C$12,0))*cadangan[[#This Row],[Qty C]],0)</f>
        <v>0</v>
      </c>
      <c r="AC407" s="73">
        <f>IFERROR(cadangan[[#This Row],[Harga Diskon C]]-INDEX(Katalog!$E$3:$E$12,MATCH(cadangan[[#This Row],[ItemID C]],Katalog!$C$3:$C$12,0))*cadangan[[#This Row],[Qty C]],0)</f>
        <v>0</v>
      </c>
      <c r="AD407" s="53">
        <f>cadangan[[#This Row],[Qty A]]+cadangan[[#This Row],[Qty B]]+cadangan[[#This Row],[Qty C]]</f>
        <v>2</v>
      </c>
      <c r="AE407" s="73">
        <f>cadangan[[#This Row],[Harga Normal A]]+cadangan[[#This Row],[Harga Normal B]]+cadangan[[#This Row],[Harga Normal C]]</f>
        <v>330000</v>
      </c>
      <c r="AF407" s="73">
        <f>cadangan[[#This Row],[Harga Diskon A]]+cadangan[[#This Row],[Harga Diskon B]]+cadangan[[#This Row],[Harga Diskon C]]</f>
        <v>280500</v>
      </c>
      <c r="AG407" s="73">
        <f>(cadangan[[#This Row],[Profit Normal A]]+cadangan[[#This Row],[Profit Normal B]]+cadangan[[#This Row],[Profit Normal C]])</f>
        <v>130000</v>
      </c>
      <c r="AH407" s="73">
        <f>cadangan[[#This Row],[Profit Diskon A]]+cadangan[[#This Row],[Profit Diskon B]]+cadangan[[#This Row],[Profit Diskon C]]</f>
        <v>80500</v>
      </c>
      <c r="AI407" s="23" t="s">
        <v>13</v>
      </c>
      <c r="AJ407" s="37">
        <f>IFERROR(INDEX('Kode Diskon'!$D$3:$D$9,MATCH(cadangan[[#This Row],[Kode diskon]],'Kode Diskon'!$C$3:$C$9,0)),"-")</f>
        <v>0.15</v>
      </c>
      <c r="AK407" s="23" t="s">
        <v>29</v>
      </c>
      <c r="AL407" s="23" t="s">
        <v>7</v>
      </c>
      <c r="AM407" s="23" t="s">
        <v>80</v>
      </c>
      <c r="AN407" s="55">
        <v>45018</v>
      </c>
      <c r="AO407" s="53">
        <f>DAY(cadangan[[#This Row],[Tanggal terjual]])</f>
        <v>2</v>
      </c>
      <c r="AP407" s="21" t="str">
        <f>TEXT(cadangan[[#This Row],[Tanggal terjual]],"dddd")</f>
        <v>Sunday</v>
      </c>
      <c r="AQ407" s="23" t="str" cm="1">
        <f t="array" ref="AQ4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7" s="61">
        <f>AVERAGE(cadangan[[#This Row],[Rating A]],cadangan[[#This Row],[Rating B]],cadangan[[#This Row],[Rating C]])</f>
        <v>4.5</v>
      </c>
    </row>
    <row r="408" spans="1:44" x14ac:dyDescent="0.2">
      <c r="A408" s="20">
        <v>407</v>
      </c>
      <c r="B408" s="21" t="str">
        <f>_xlfn.CONCAT("ORD-",INDEX(Helper!$B$2:$B$5,MATCH(cadangan[[#This Row],[Marketplace]],Helper!$A$2:$A$5,0)),TEXT(cadangan[[#This Row],[No]],"0000"),"-",TEXT(cadangan[[#This Row],[Tanggal terjual]],"dd/mm/yy"))</f>
        <v>ORD-SP0407-01/04/23</v>
      </c>
      <c r="C408" s="39" t="s">
        <v>65</v>
      </c>
      <c r="D408" s="39" t="str">
        <f>IFERROR(INDEX(Katalog!$A$3:$A$12,MATCH(cadangan[[#This Row],[ItemID A]],Katalog!$C$3:$C$12,0)),"-")</f>
        <v>Sepatu Pria</v>
      </c>
      <c r="E408" s="39" t="str">
        <f>IFERROR(INDEX(Katalog!$B$3:$B$12,MATCH(cadangan[[#This Row],[ItemID A]],Katalog!$C$3:$C$12,0)),"-")</f>
        <v>Sneakers</v>
      </c>
      <c r="F408" s="50">
        <v>2</v>
      </c>
      <c r="G408" s="50">
        <v>5</v>
      </c>
      <c r="H408" s="73">
        <f>IFERROR(INDEX(Katalog!$D$3:$D$12,MATCH(cadangan[[#This Row],[ItemID A]],Katalog!$C$3:$C$12,0))*cadangan[[#This Row],[Qty A]],0)</f>
        <v>1000000</v>
      </c>
      <c r="I408" s="73">
        <f>IFERROR(cadangan[[#This Row],[Harga Normal A]]-(cadangan[[#This Row],[Harga Normal A]]*cadangan[[#This Row],[Diskon]]),cadangan[[#This Row],[Harga Normal A]])</f>
        <v>900000</v>
      </c>
      <c r="J408" s="73">
        <f>INDEX(Katalog!$F$3:$F$12,MATCH(cadangan[[#This Row],[ItemID A]],Katalog!$C$3:$C$12,0))*cadangan[[#This Row],[Qty A]]</f>
        <v>400000</v>
      </c>
      <c r="K408" s="73">
        <f>IFERROR(cadangan[[#This Row],[Harga Diskon A]]-INDEX(Katalog!$E$3:$E$12,MATCH(cadangan[[#This Row],[ItemID A]],Katalog!$C$3:$C$12,0))*cadangan[[#This Row],[Qty A]],0)</f>
        <v>300000</v>
      </c>
      <c r="L408" s="39" t="s">
        <v>60</v>
      </c>
      <c r="M408" s="39" t="str">
        <f>IFERROR(INDEX(Katalog!$A$3:$A$12,MATCH(cadangan[[#This Row],[ItemID B]],Katalog!$C$3:$C$12,0)),"-")</f>
        <v>Pakaian Wanita</v>
      </c>
      <c r="N408" s="39" t="str">
        <f>IFERROR(INDEX(Katalog!$B$3:$B$12,MATCH(cadangan[[#This Row],[ItemID B]],Katalog!$C$3:$C$12,0)),"-")</f>
        <v>Kaftan</v>
      </c>
      <c r="O408" s="50">
        <v>2</v>
      </c>
      <c r="P408" s="50">
        <v>5</v>
      </c>
      <c r="Q408" s="73">
        <f>IFERROR(INDEX(Katalog!$D$3:$D$12,MATCH(cadangan[[#This Row],[ItemID B]],Katalog!$C$3:$C$12,0))*cadangan[[#This Row],[Qty B]],0)</f>
        <v>500000</v>
      </c>
      <c r="R408" s="73">
        <f>IFERROR(cadangan[[#This Row],[Harga Normal B]]-(cadangan[[#This Row],[Harga Normal B]]*cadangan[[#This Row],[Diskon]]),cadangan[[#This Row],[Harga Normal B]])</f>
        <v>450000</v>
      </c>
      <c r="S408" s="73">
        <f>IFERROR(INDEX(Katalog!$F$3:$F$12,MATCH(cadangan[[#This Row],[ItemID B]],Katalog!$C$3:$C$12,0))*cadangan[[#This Row],[Qty B]],0)</f>
        <v>200000</v>
      </c>
      <c r="T408" s="73">
        <f>IFERROR(cadangan[[#This Row],[Harga Diskon B]]-INDEX(Katalog!$E$3:$E$12,MATCH(cadangan[[#This Row],[ItemID B]],Katalog!$C$3:$C$12,0))*cadangan[[#This Row],[Qty B]],0)</f>
        <v>150000</v>
      </c>
      <c r="U408" s="39" t="s">
        <v>59</v>
      </c>
      <c r="V408" s="39" t="str">
        <f>IFERROR(INDEX(Katalog!$A$3:$A$12,MATCH(cadangan[[#This Row],[ItemID C]],Katalog!$C$3:$C$12,0)),"-")</f>
        <v>Pakaian Wanita</v>
      </c>
      <c r="W408" s="39" t="str">
        <f>IFERROR(INDEX(Katalog!$B$3:$B$12,MATCH(cadangan[[#This Row],[ItemID C]],Katalog!$C$3:$C$12,0)),"-")</f>
        <v>Blouse</v>
      </c>
      <c r="X408" s="50">
        <v>3</v>
      </c>
      <c r="Y408" s="50">
        <v>4</v>
      </c>
      <c r="Z408" s="73">
        <f>IFERROR(INDEX(Katalog!$D$3:$D$12,MATCH(cadangan[[#This Row],[ItemID C]],Katalog!$C$3:$C$12,0))*cadangan[[#This Row],[Qty C]],0)</f>
        <v>450000</v>
      </c>
      <c r="AA408" s="73">
        <f>IFERROR(cadangan[[#This Row],[Harga Normal C]]-(cadangan[[#This Row],[Harga Normal C]]*cadangan[[#This Row],[Diskon]]),cadangan[[#This Row],[Harga Normal C]])</f>
        <v>405000</v>
      </c>
      <c r="AB408" s="73">
        <f>IFERROR(INDEX(Katalog!$F$3:$F$12,MATCH(cadangan[[#This Row],[ItemID C]],Katalog!$C$3:$C$12,0))*cadangan[[#This Row],[Qty C]],0)</f>
        <v>150000</v>
      </c>
      <c r="AC408" s="73">
        <f>IFERROR(cadangan[[#This Row],[Harga Diskon C]]-INDEX(Katalog!$E$3:$E$12,MATCH(cadangan[[#This Row],[ItemID C]],Katalog!$C$3:$C$12,0))*cadangan[[#This Row],[Qty C]],0)</f>
        <v>105000</v>
      </c>
      <c r="AD408" s="53">
        <f>cadangan[[#This Row],[Qty A]]+cadangan[[#This Row],[Qty B]]+cadangan[[#This Row],[Qty C]]</f>
        <v>7</v>
      </c>
      <c r="AE408" s="73">
        <f>cadangan[[#This Row],[Harga Normal A]]+cadangan[[#This Row],[Harga Normal B]]+cadangan[[#This Row],[Harga Normal C]]</f>
        <v>1950000</v>
      </c>
      <c r="AF408" s="73">
        <f>cadangan[[#This Row],[Harga Diskon A]]+cadangan[[#This Row],[Harga Diskon B]]+cadangan[[#This Row],[Harga Diskon C]]</f>
        <v>1755000</v>
      </c>
      <c r="AG408" s="73">
        <f>(cadangan[[#This Row],[Profit Normal A]]+cadangan[[#This Row],[Profit Normal B]]+cadangan[[#This Row],[Profit Normal C]])</f>
        <v>750000</v>
      </c>
      <c r="AH408" s="73">
        <f>cadangan[[#This Row],[Profit Diskon A]]+cadangan[[#This Row],[Profit Diskon B]]+cadangan[[#This Row],[Profit Diskon C]]</f>
        <v>555000</v>
      </c>
      <c r="AI408" s="23" t="s">
        <v>6</v>
      </c>
      <c r="AJ408" s="37">
        <f>IFERROR(INDEX('Kode Diskon'!$D$3:$D$9,MATCH(cadangan[[#This Row],[Kode diskon]],'Kode Diskon'!$C$3:$C$9,0)),"-")</f>
        <v>0.1</v>
      </c>
      <c r="AK408" s="23" t="s">
        <v>29</v>
      </c>
      <c r="AL408" s="23" t="s">
        <v>7</v>
      </c>
      <c r="AM408" s="23" t="s">
        <v>80</v>
      </c>
      <c r="AN408" s="55">
        <v>45017</v>
      </c>
      <c r="AO408" s="53">
        <f>DAY(cadangan[[#This Row],[Tanggal terjual]])</f>
        <v>1</v>
      </c>
      <c r="AP408" s="21" t="str">
        <f>TEXT(cadangan[[#This Row],[Tanggal terjual]],"dddd")</f>
        <v>Saturday</v>
      </c>
      <c r="AQ408" s="23" t="str" cm="1">
        <f t="array" ref="AQ4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08" s="61">
        <f>AVERAGE(cadangan[[#This Row],[Rating A]],cadangan[[#This Row],[Rating B]],cadangan[[#This Row],[Rating C]])</f>
        <v>4.666666666666667</v>
      </c>
    </row>
    <row r="409" spans="1:44" x14ac:dyDescent="0.2">
      <c r="A409" s="20">
        <v>408</v>
      </c>
      <c r="B409" s="21" t="str">
        <f>_xlfn.CONCAT("ORD-",INDEX(Helper!$B$2:$B$5,MATCH(cadangan[[#This Row],[Marketplace]],Helper!$A$2:$A$5,0)),TEXT(cadangan[[#This Row],[No]],"0000"),"-",TEXT(cadangan[[#This Row],[Tanggal terjual]],"dd/mm/yy"))</f>
        <v>ORD-TK0408-09/04/23</v>
      </c>
      <c r="C409" s="39" t="s">
        <v>63</v>
      </c>
      <c r="D409" s="39" t="str">
        <f>IFERROR(INDEX(Katalog!$A$3:$A$12,MATCH(cadangan[[#This Row],[ItemID A]],Katalog!$C$3:$C$12,0)),"-")</f>
        <v>Pakaian Pria</v>
      </c>
      <c r="E409" s="39" t="str">
        <f>IFERROR(INDEX(Katalog!$B$3:$B$12,MATCH(cadangan[[#This Row],[ItemID A]],Katalog!$C$3:$C$12,0)),"-")</f>
        <v>Jaket Jeans</v>
      </c>
      <c r="F409" s="50">
        <v>1</v>
      </c>
      <c r="G409" s="50">
        <v>2</v>
      </c>
      <c r="H409" s="73">
        <f>IFERROR(INDEX(Katalog!$D$3:$D$12,MATCH(cadangan[[#This Row],[ItemID A]],Katalog!$C$3:$C$12,0))*cadangan[[#This Row],[Qty A]],0)</f>
        <v>400000</v>
      </c>
      <c r="I409" s="73">
        <f>IFERROR(cadangan[[#This Row],[Harga Normal A]]-(cadangan[[#This Row],[Harga Normal A]]*cadangan[[#This Row],[Diskon]]),cadangan[[#This Row],[Harga Normal A]])</f>
        <v>400000</v>
      </c>
      <c r="J409" s="73">
        <f>INDEX(Katalog!$F$3:$F$12,MATCH(cadangan[[#This Row],[ItemID A]],Katalog!$C$3:$C$12,0))*cadangan[[#This Row],[Qty A]]</f>
        <v>150000</v>
      </c>
      <c r="K409" s="73">
        <f>IFERROR(cadangan[[#This Row],[Harga Diskon A]]-INDEX(Katalog!$E$3:$E$12,MATCH(cadangan[[#This Row],[ItemID A]],Katalog!$C$3:$C$12,0))*cadangan[[#This Row],[Qty A]],0)</f>
        <v>150000</v>
      </c>
      <c r="L409" s="39" t="s">
        <v>61</v>
      </c>
      <c r="M409" s="39" t="str">
        <f>IFERROR(INDEX(Katalog!$A$3:$A$12,MATCH(cadangan[[#This Row],[ItemID B]],Katalog!$C$3:$C$12,0)),"-")</f>
        <v>Pakaian Pria</v>
      </c>
      <c r="N409" s="39" t="str">
        <f>IFERROR(INDEX(Katalog!$B$3:$B$12,MATCH(cadangan[[#This Row],[ItemID B]],Katalog!$C$3:$C$12,0)),"-")</f>
        <v>Kaos Polo</v>
      </c>
      <c r="O409" s="50">
        <v>1</v>
      </c>
      <c r="P409" s="50">
        <v>2</v>
      </c>
      <c r="Q409" s="73">
        <f>IFERROR(INDEX(Katalog!$D$3:$D$12,MATCH(cadangan[[#This Row],[ItemID B]],Katalog!$C$3:$C$12,0))*cadangan[[#This Row],[Qty B]],0)</f>
        <v>200000</v>
      </c>
      <c r="R409" s="73">
        <f>IFERROR(cadangan[[#This Row],[Harga Normal B]]-(cadangan[[#This Row],[Harga Normal B]]*cadangan[[#This Row],[Diskon]]),cadangan[[#This Row],[Harga Normal B]])</f>
        <v>200000</v>
      </c>
      <c r="S409" s="73">
        <f>IFERROR(INDEX(Katalog!$F$3:$F$12,MATCH(cadangan[[#This Row],[ItemID B]],Katalog!$C$3:$C$12,0))*cadangan[[#This Row],[Qty B]],0)</f>
        <v>80000</v>
      </c>
      <c r="T409" s="73">
        <f>IFERROR(cadangan[[#This Row],[Harga Diskon B]]-INDEX(Katalog!$E$3:$E$12,MATCH(cadangan[[#This Row],[ItemID B]],Katalog!$C$3:$C$12,0))*cadangan[[#This Row],[Qty B]],0)</f>
        <v>80000</v>
      </c>
      <c r="U409" s="39" t="s">
        <v>65</v>
      </c>
      <c r="V409" s="39" t="str">
        <f>IFERROR(INDEX(Katalog!$A$3:$A$12,MATCH(cadangan[[#This Row],[ItemID C]],Katalog!$C$3:$C$12,0)),"-")</f>
        <v>Sepatu Pria</v>
      </c>
      <c r="W409" s="39" t="str">
        <f>IFERROR(INDEX(Katalog!$B$3:$B$12,MATCH(cadangan[[#This Row],[ItemID C]],Katalog!$C$3:$C$12,0)),"-")</f>
        <v>Sneakers</v>
      </c>
      <c r="X409" s="50">
        <v>3</v>
      </c>
      <c r="Y409" s="50">
        <v>4</v>
      </c>
      <c r="Z409" s="73">
        <f>IFERROR(INDEX(Katalog!$D$3:$D$12,MATCH(cadangan[[#This Row],[ItemID C]],Katalog!$C$3:$C$12,0))*cadangan[[#This Row],[Qty C]],0)</f>
        <v>1500000</v>
      </c>
      <c r="AA409" s="73">
        <f>IFERROR(cadangan[[#This Row],[Harga Normal C]]-(cadangan[[#This Row],[Harga Normal C]]*cadangan[[#This Row],[Diskon]]),cadangan[[#This Row],[Harga Normal C]])</f>
        <v>1500000</v>
      </c>
      <c r="AB409" s="73">
        <f>IFERROR(INDEX(Katalog!$F$3:$F$12,MATCH(cadangan[[#This Row],[ItemID C]],Katalog!$C$3:$C$12,0))*cadangan[[#This Row],[Qty C]],0)</f>
        <v>600000</v>
      </c>
      <c r="AC409" s="73">
        <f>IFERROR(cadangan[[#This Row],[Harga Diskon C]]-INDEX(Katalog!$E$3:$E$12,MATCH(cadangan[[#This Row],[ItemID C]],Katalog!$C$3:$C$12,0))*cadangan[[#This Row],[Qty C]],0)</f>
        <v>600000</v>
      </c>
      <c r="AD409" s="53">
        <f>cadangan[[#This Row],[Qty A]]+cadangan[[#This Row],[Qty B]]+cadangan[[#This Row],[Qty C]]</f>
        <v>5</v>
      </c>
      <c r="AE409" s="73">
        <f>cadangan[[#This Row],[Harga Normal A]]+cadangan[[#This Row],[Harga Normal B]]+cadangan[[#This Row],[Harga Normal C]]</f>
        <v>2100000</v>
      </c>
      <c r="AF409" s="73">
        <f>cadangan[[#This Row],[Harga Diskon A]]+cadangan[[#This Row],[Harga Diskon B]]+cadangan[[#This Row],[Harga Diskon C]]</f>
        <v>2100000</v>
      </c>
      <c r="AG409" s="73">
        <f>(cadangan[[#This Row],[Profit Normal A]]+cadangan[[#This Row],[Profit Normal B]]+cadangan[[#This Row],[Profit Normal C]])</f>
        <v>830000</v>
      </c>
      <c r="AH409" s="73">
        <f>cadangan[[#This Row],[Profit Diskon A]]+cadangan[[#This Row],[Profit Diskon B]]+cadangan[[#This Row],[Profit Diskon C]]</f>
        <v>830000</v>
      </c>
      <c r="AI409" s="23" t="s">
        <v>290</v>
      </c>
      <c r="AJ409" s="37" t="str">
        <f>IFERROR(INDEX('Kode Diskon'!$D$3:$D$9,MATCH(cadangan[[#This Row],[Kode diskon]],'Kode Diskon'!$C$3:$C$9,0)),"-")</f>
        <v>-</v>
      </c>
      <c r="AK409" s="23" t="s">
        <v>290</v>
      </c>
      <c r="AL409" s="23" t="s">
        <v>10</v>
      </c>
      <c r="AM409" s="23" t="s">
        <v>80</v>
      </c>
      <c r="AN409" s="55">
        <v>45025</v>
      </c>
      <c r="AO409" s="53">
        <f>DAY(cadangan[[#This Row],[Tanggal terjual]])</f>
        <v>9</v>
      </c>
      <c r="AP409" s="21" t="str">
        <f>TEXT(cadangan[[#This Row],[Tanggal terjual]],"dddd")</f>
        <v>Sunday</v>
      </c>
      <c r="AQ409" s="23" t="str" cm="1">
        <f t="array" ref="AQ4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09" s="61">
        <f>AVERAGE(cadangan[[#This Row],[Rating A]],cadangan[[#This Row],[Rating B]],cadangan[[#This Row],[Rating C]])</f>
        <v>2.6666666666666665</v>
      </c>
    </row>
    <row r="410" spans="1:44" x14ac:dyDescent="0.2">
      <c r="A410" s="20">
        <v>409</v>
      </c>
      <c r="B410" s="21" t="str">
        <f>_xlfn.CONCAT("ORD-",INDEX(Helper!$B$2:$B$5,MATCH(cadangan[[#This Row],[Marketplace]],Helper!$A$2:$A$5,0)),TEXT(cadangan[[#This Row],[No]],"0000"),"-",TEXT(cadangan[[#This Row],[Tanggal terjual]],"dd/mm/yy"))</f>
        <v>ORD-SP0409-26/04/23</v>
      </c>
      <c r="C410" s="39" t="s">
        <v>67</v>
      </c>
      <c r="D410" s="39" t="str">
        <f>IFERROR(INDEX(Katalog!$A$3:$A$12,MATCH(cadangan[[#This Row],[ItemID A]],Katalog!$C$3:$C$12,0)),"-")</f>
        <v>Sepatu Wanita</v>
      </c>
      <c r="E410" s="39" t="str">
        <f>IFERROR(INDEX(Katalog!$B$3:$B$12,MATCH(cadangan[[#This Row],[ItemID A]],Katalog!$C$3:$C$12,0)),"-")</f>
        <v>Flat Shoes</v>
      </c>
      <c r="F410" s="50">
        <v>3</v>
      </c>
      <c r="G410" s="50">
        <v>5</v>
      </c>
      <c r="H410" s="73">
        <f>IFERROR(INDEX(Katalog!$D$3:$D$12,MATCH(cadangan[[#This Row],[ItemID A]],Katalog!$C$3:$C$12,0))*cadangan[[#This Row],[Qty A]],0)</f>
        <v>750000</v>
      </c>
      <c r="I410" s="73">
        <f>IFERROR(cadangan[[#This Row],[Harga Normal A]]-(cadangan[[#This Row],[Harga Normal A]]*cadangan[[#This Row],[Diskon]]),cadangan[[#This Row],[Harga Normal A]])</f>
        <v>600000</v>
      </c>
      <c r="J410" s="73">
        <f>INDEX(Katalog!$F$3:$F$12,MATCH(cadangan[[#This Row],[ItemID A]],Katalog!$C$3:$C$12,0))*cadangan[[#This Row],[Qty A]]</f>
        <v>300000</v>
      </c>
      <c r="K410" s="73">
        <f>IFERROR(cadangan[[#This Row],[Harga Diskon A]]-INDEX(Katalog!$E$3:$E$12,MATCH(cadangan[[#This Row],[ItemID A]],Katalog!$C$3:$C$12,0))*cadangan[[#This Row],[Qty A]],0)</f>
        <v>150000</v>
      </c>
      <c r="L410" s="39" t="s">
        <v>60</v>
      </c>
      <c r="M410" s="39" t="str">
        <f>IFERROR(INDEX(Katalog!$A$3:$A$12,MATCH(cadangan[[#This Row],[ItemID B]],Katalog!$C$3:$C$12,0)),"-")</f>
        <v>Pakaian Wanita</v>
      </c>
      <c r="N410" s="39" t="str">
        <f>IFERROR(INDEX(Katalog!$B$3:$B$12,MATCH(cadangan[[#This Row],[ItemID B]],Katalog!$C$3:$C$12,0)),"-")</f>
        <v>Kaftan</v>
      </c>
      <c r="O410" s="50">
        <v>1</v>
      </c>
      <c r="P410" s="50">
        <v>2</v>
      </c>
      <c r="Q410" s="73">
        <f>IFERROR(INDEX(Katalog!$D$3:$D$12,MATCH(cadangan[[#This Row],[ItemID B]],Katalog!$C$3:$C$12,0))*cadangan[[#This Row],[Qty B]],0)</f>
        <v>250000</v>
      </c>
      <c r="R410" s="73">
        <f>IFERROR(cadangan[[#This Row],[Harga Normal B]]-(cadangan[[#This Row],[Harga Normal B]]*cadangan[[#This Row],[Diskon]]),cadangan[[#This Row],[Harga Normal B]])</f>
        <v>200000</v>
      </c>
      <c r="S410" s="73">
        <f>IFERROR(INDEX(Katalog!$F$3:$F$12,MATCH(cadangan[[#This Row],[ItemID B]],Katalog!$C$3:$C$12,0))*cadangan[[#This Row],[Qty B]],0)</f>
        <v>100000</v>
      </c>
      <c r="T410" s="73">
        <f>IFERROR(cadangan[[#This Row],[Harga Diskon B]]-INDEX(Katalog!$E$3:$E$12,MATCH(cadangan[[#This Row],[ItemID B]],Katalog!$C$3:$C$12,0))*cadangan[[#This Row],[Qty B]],0)</f>
        <v>50000</v>
      </c>
      <c r="V410" s="39" t="str">
        <f>IFERROR(INDEX(Katalog!$A$3:$A$12,MATCH(cadangan[[#This Row],[ItemID C]],Katalog!$C$3:$C$12,0)),"-")</f>
        <v>-</v>
      </c>
      <c r="W410" s="39" t="str">
        <f>IFERROR(INDEX(Katalog!$B$3:$B$12,MATCH(cadangan[[#This Row],[ItemID C]],Katalog!$C$3:$C$12,0)),"-")</f>
        <v>-</v>
      </c>
      <c r="Z410" s="73">
        <f>IFERROR(INDEX(Katalog!$D$3:$D$12,MATCH(cadangan[[#This Row],[ItemID C]],Katalog!$C$3:$C$12,0))*cadangan[[#This Row],[Qty C]],0)</f>
        <v>0</v>
      </c>
      <c r="AA410" s="73">
        <f>IFERROR(cadangan[[#This Row],[Harga Normal C]]-(cadangan[[#This Row],[Harga Normal C]]*cadangan[[#This Row],[Diskon]]),cadangan[[#This Row],[Harga Normal C]])</f>
        <v>0</v>
      </c>
      <c r="AB410" s="73">
        <f>IFERROR(INDEX(Katalog!$F$3:$F$12,MATCH(cadangan[[#This Row],[ItemID C]],Katalog!$C$3:$C$12,0))*cadangan[[#This Row],[Qty C]],0)</f>
        <v>0</v>
      </c>
      <c r="AC410" s="73">
        <f>IFERROR(cadangan[[#This Row],[Harga Diskon C]]-INDEX(Katalog!$E$3:$E$12,MATCH(cadangan[[#This Row],[ItemID C]],Katalog!$C$3:$C$12,0))*cadangan[[#This Row],[Qty C]],0)</f>
        <v>0</v>
      </c>
      <c r="AD410" s="53">
        <f>cadangan[[#This Row],[Qty A]]+cadangan[[#This Row],[Qty B]]+cadangan[[#This Row],[Qty C]]</f>
        <v>4</v>
      </c>
      <c r="AE410" s="73">
        <f>cadangan[[#This Row],[Harga Normal A]]+cadangan[[#This Row],[Harga Normal B]]+cadangan[[#This Row],[Harga Normal C]]</f>
        <v>1000000</v>
      </c>
      <c r="AF410" s="73">
        <f>cadangan[[#This Row],[Harga Diskon A]]+cadangan[[#This Row],[Harga Diskon B]]+cadangan[[#This Row],[Harga Diskon C]]</f>
        <v>800000</v>
      </c>
      <c r="AG410" s="73">
        <f>(cadangan[[#This Row],[Profit Normal A]]+cadangan[[#This Row],[Profit Normal B]]+cadangan[[#This Row],[Profit Normal C]])</f>
        <v>400000</v>
      </c>
      <c r="AH410" s="73">
        <f>cadangan[[#This Row],[Profit Diskon A]]+cadangan[[#This Row],[Profit Diskon B]]+cadangan[[#This Row],[Profit Diskon C]]</f>
        <v>200000</v>
      </c>
      <c r="AI410" s="23" t="s">
        <v>8</v>
      </c>
      <c r="AJ410" s="37">
        <f>IFERROR(INDEX('Kode Diskon'!$D$3:$D$9,MATCH(cadangan[[#This Row],[Kode diskon]],'Kode Diskon'!$C$3:$C$9,0)),"-")</f>
        <v>0.2</v>
      </c>
      <c r="AK410" s="23" t="s">
        <v>9</v>
      </c>
      <c r="AL410" s="23" t="s">
        <v>7</v>
      </c>
      <c r="AM410" s="23" t="s">
        <v>79</v>
      </c>
      <c r="AN410" s="55">
        <v>45042</v>
      </c>
      <c r="AO410" s="53">
        <f>DAY(cadangan[[#This Row],[Tanggal terjual]])</f>
        <v>26</v>
      </c>
      <c r="AP410" s="21" t="str">
        <f>TEXT(cadangan[[#This Row],[Tanggal terjual]],"dddd")</f>
        <v>Wednesday</v>
      </c>
      <c r="AQ410" s="23" t="str" cm="1">
        <f t="array" ref="AQ4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10" s="61">
        <f>AVERAGE(cadangan[[#This Row],[Rating A]],cadangan[[#This Row],[Rating B]],cadangan[[#This Row],[Rating C]])</f>
        <v>3.5</v>
      </c>
    </row>
    <row r="411" spans="1:44" x14ac:dyDescent="0.2">
      <c r="A411" s="20">
        <v>410</v>
      </c>
      <c r="B411" s="21" t="str">
        <f>_xlfn.CONCAT("ORD-",INDEX(Helper!$B$2:$B$5,MATCH(cadangan[[#This Row],[Marketplace]],Helper!$A$2:$A$5,0)),TEXT(cadangan[[#This Row],[No]],"0000"),"-",TEXT(cadangan[[#This Row],[Tanggal terjual]],"dd/mm/yy"))</f>
        <v>ORD-SP0410-16/04/23</v>
      </c>
      <c r="C411" s="39" t="s">
        <v>67</v>
      </c>
      <c r="D411" s="39" t="str">
        <f>IFERROR(INDEX(Katalog!$A$3:$A$12,MATCH(cadangan[[#This Row],[ItemID A]],Katalog!$C$3:$C$12,0)),"-")</f>
        <v>Sepatu Wanita</v>
      </c>
      <c r="E411" s="39" t="str">
        <f>IFERROR(INDEX(Katalog!$B$3:$B$12,MATCH(cadangan[[#This Row],[ItemID A]],Katalog!$C$3:$C$12,0)),"-")</f>
        <v>Flat Shoes</v>
      </c>
      <c r="F411" s="50">
        <v>1</v>
      </c>
      <c r="G411" s="50">
        <v>1</v>
      </c>
      <c r="H411" s="73">
        <f>IFERROR(INDEX(Katalog!$D$3:$D$12,MATCH(cadangan[[#This Row],[ItemID A]],Katalog!$C$3:$C$12,0))*cadangan[[#This Row],[Qty A]],0)</f>
        <v>250000</v>
      </c>
      <c r="I411" s="73">
        <f>IFERROR(cadangan[[#This Row],[Harga Normal A]]-(cadangan[[#This Row],[Harga Normal A]]*cadangan[[#This Row],[Diskon]]),cadangan[[#This Row],[Harga Normal A]])</f>
        <v>200000</v>
      </c>
      <c r="J411" s="73">
        <f>INDEX(Katalog!$F$3:$F$12,MATCH(cadangan[[#This Row],[ItemID A]],Katalog!$C$3:$C$12,0))*cadangan[[#This Row],[Qty A]]</f>
        <v>100000</v>
      </c>
      <c r="K411" s="73">
        <f>IFERROR(cadangan[[#This Row],[Harga Diskon A]]-INDEX(Katalog!$E$3:$E$12,MATCH(cadangan[[#This Row],[ItemID A]],Katalog!$C$3:$C$12,0))*cadangan[[#This Row],[Qty A]],0)</f>
        <v>50000</v>
      </c>
      <c r="M411" s="39" t="str">
        <f>IFERROR(INDEX(Katalog!$A$3:$A$12,MATCH(cadangan[[#This Row],[ItemID B]],Katalog!$C$3:$C$12,0)),"-")</f>
        <v>-</v>
      </c>
      <c r="N411" s="39" t="str">
        <f>IFERROR(INDEX(Katalog!$B$3:$B$12,MATCH(cadangan[[#This Row],[ItemID B]],Katalog!$C$3:$C$12,0)),"-")</f>
        <v>-</v>
      </c>
      <c r="Q411" s="73">
        <f>IFERROR(INDEX(Katalog!$D$3:$D$12,MATCH(cadangan[[#This Row],[ItemID B]],Katalog!$C$3:$C$12,0))*cadangan[[#This Row],[Qty B]],0)</f>
        <v>0</v>
      </c>
      <c r="R411" s="73">
        <f>IFERROR(cadangan[[#This Row],[Harga Normal B]]-(cadangan[[#This Row],[Harga Normal B]]*cadangan[[#This Row],[Diskon]]),cadangan[[#This Row],[Harga Normal B]])</f>
        <v>0</v>
      </c>
      <c r="S411" s="73">
        <f>IFERROR(INDEX(Katalog!$F$3:$F$12,MATCH(cadangan[[#This Row],[ItemID B]],Katalog!$C$3:$C$12,0))*cadangan[[#This Row],[Qty B]],0)</f>
        <v>0</v>
      </c>
      <c r="T411" s="73">
        <f>IFERROR(cadangan[[#This Row],[Harga Diskon B]]-INDEX(Katalog!$E$3:$E$12,MATCH(cadangan[[#This Row],[ItemID B]],Katalog!$C$3:$C$12,0))*cadangan[[#This Row],[Qty B]],0)</f>
        <v>0</v>
      </c>
      <c r="V411" s="39" t="str">
        <f>IFERROR(INDEX(Katalog!$A$3:$A$12,MATCH(cadangan[[#This Row],[ItemID C]],Katalog!$C$3:$C$12,0)),"-")</f>
        <v>-</v>
      </c>
      <c r="W411" s="39" t="str">
        <f>IFERROR(INDEX(Katalog!$B$3:$B$12,MATCH(cadangan[[#This Row],[ItemID C]],Katalog!$C$3:$C$12,0)),"-")</f>
        <v>-</v>
      </c>
      <c r="Z411" s="73">
        <f>IFERROR(INDEX(Katalog!$D$3:$D$12,MATCH(cadangan[[#This Row],[ItemID C]],Katalog!$C$3:$C$12,0))*cadangan[[#This Row],[Qty C]],0)</f>
        <v>0</v>
      </c>
      <c r="AA411" s="73">
        <f>IFERROR(cadangan[[#This Row],[Harga Normal C]]-(cadangan[[#This Row],[Harga Normal C]]*cadangan[[#This Row],[Diskon]]),cadangan[[#This Row],[Harga Normal C]])</f>
        <v>0</v>
      </c>
      <c r="AB411" s="73">
        <f>IFERROR(INDEX(Katalog!$F$3:$F$12,MATCH(cadangan[[#This Row],[ItemID C]],Katalog!$C$3:$C$12,0))*cadangan[[#This Row],[Qty C]],0)</f>
        <v>0</v>
      </c>
      <c r="AC411" s="73">
        <f>IFERROR(cadangan[[#This Row],[Harga Diskon C]]-INDEX(Katalog!$E$3:$E$12,MATCH(cadangan[[#This Row],[ItemID C]],Katalog!$C$3:$C$12,0))*cadangan[[#This Row],[Qty C]],0)</f>
        <v>0</v>
      </c>
      <c r="AD411" s="53">
        <f>cadangan[[#This Row],[Qty A]]+cadangan[[#This Row],[Qty B]]+cadangan[[#This Row],[Qty C]]</f>
        <v>1</v>
      </c>
      <c r="AE411" s="73">
        <f>cadangan[[#This Row],[Harga Normal A]]+cadangan[[#This Row],[Harga Normal B]]+cadangan[[#This Row],[Harga Normal C]]</f>
        <v>250000</v>
      </c>
      <c r="AF411" s="73">
        <f>cadangan[[#This Row],[Harga Diskon A]]+cadangan[[#This Row],[Harga Diskon B]]+cadangan[[#This Row],[Harga Diskon C]]</f>
        <v>200000</v>
      </c>
      <c r="AG411" s="73">
        <f>(cadangan[[#This Row],[Profit Normal A]]+cadangan[[#This Row],[Profit Normal B]]+cadangan[[#This Row],[Profit Normal C]])</f>
        <v>100000</v>
      </c>
      <c r="AH411" s="73">
        <f>cadangan[[#This Row],[Profit Diskon A]]+cadangan[[#This Row],[Profit Diskon B]]+cadangan[[#This Row],[Profit Diskon C]]</f>
        <v>50000</v>
      </c>
      <c r="AI411" s="23" t="s">
        <v>8</v>
      </c>
      <c r="AJ411" s="37">
        <f>IFERROR(INDEX('Kode Diskon'!$D$3:$D$9,MATCH(cadangan[[#This Row],[Kode diskon]],'Kode Diskon'!$C$3:$C$9,0)),"-")</f>
        <v>0.2</v>
      </c>
      <c r="AK411" s="23" t="s">
        <v>9</v>
      </c>
      <c r="AL411" s="23" t="s">
        <v>7</v>
      </c>
      <c r="AM411" s="23" t="s">
        <v>76</v>
      </c>
      <c r="AN411" s="55">
        <v>45032</v>
      </c>
      <c r="AO411" s="53">
        <f>DAY(cadangan[[#This Row],[Tanggal terjual]])</f>
        <v>16</v>
      </c>
      <c r="AP411" s="21" t="str">
        <f>TEXT(cadangan[[#This Row],[Tanggal terjual]],"dddd")</f>
        <v>Sunday</v>
      </c>
      <c r="AQ411" s="23" t="str" cm="1">
        <f t="array" ref="AQ4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11" s="61">
        <f>AVERAGE(cadangan[[#This Row],[Rating A]],cadangan[[#This Row],[Rating B]],cadangan[[#This Row],[Rating C]])</f>
        <v>1</v>
      </c>
    </row>
    <row r="412" spans="1:44" x14ac:dyDescent="0.2">
      <c r="A412" s="20">
        <v>411</v>
      </c>
      <c r="B412" s="21" t="str">
        <f>_xlfn.CONCAT("ORD-",INDEX(Helper!$B$2:$B$5,MATCH(cadangan[[#This Row],[Marketplace]],Helper!$A$2:$A$5,0)),TEXT(cadangan[[#This Row],[No]],"0000"),"-",TEXT(cadangan[[#This Row],[Tanggal terjual]],"dd/mm/yy"))</f>
        <v>ORD-TK0411-01/04/23</v>
      </c>
      <c r="C412" s="39" t="s">
        <v>58</v>
      </c>
      <c r="D412" s="39" t="str">
        <f>IFERROR(INDEX(Katalog!$A$3:$A$12,MATCH(cadangan[[#This Row],[ItemID A]],Katalog!$C$3:$C$12,0)),"-")</f>
        <v>Pakaian Wanita</v>
      </c>
      <c r="E412" s="39" t="str">
        <f>IFERROR(INDEX(Katalog!$B$3:$B$12,MATCH(cadangan[[#This Row],[ItemID A]],Katalog!$C$3:$C$12,0)),"-")</f>
        <v>Dress</v>
      </c>
      <c r="F412" s="50">
        <v>1</v>
      </c>
      <c r="G412" s="50">
        <v>5</v>
      </c>
      <c r="H412" s="73">
        <f>IFERROR(INDEX(Katalog!$D$3:$D$12,MATCH(cadangan[[#This Row],[ItemID A]],Katalog!$C$3:$C$12,0))*cadangan[[#This Row],[Qty A]],0)</f>
        <v>300000</v>
      </c>
      <c r="I412" s="73">
        <f>IFERROR(cadangan[[#This Row],[Harga Normal A]]-(cadangan[[#This Row],[Harga Normal A]]*cadangan[[#This Row],[Diskon]]),cadangan[[#This Row],[Harga Normal A]])</f>
        <v>270000</v>
      </c>
      <c r="J412" s="73">
        <f>INDEX(Katalog!$F$3:$F$12,MATCH(cadangan[[#This Row],[ItemID A]],Katalog!$C$3:$C$12,0))*cadangan[[#This Row],[Qty A]]</f>
        <v>100000</v>
      </c>
      <c r="K412" s="73">
        <f>IFERROR(cadangan[[#This Row],[Harga Diskon A]]-INDEX(Katalog!$E$3:$E$12,MATCH(cadangan[[#This Row],[ItemID A]],Katalog!$C$3:$C$12,0))*cadangan[[#This Row],[Qty A]],0)</f>
        <v>70000</v>
      </c>
      <c r="M412" s="39" t="str">
        <f>IFERROR(INDEX(Katalog!$A$3:$A$12,MATCH(cadangan[[#This Row],[ItemID B]],Katalog!$C$3:$C$12,0)),"-")</f>
        <v>-</v>
      </c>
      <c r="N412" s="39" t="str">
        <f>IFERROR(INDEX(Katalog!$B$3:$B$12,MATCH(cadangan[[#This Row],[ItemID B]],Katalog!$C$3:$C$12,0)),"-")</f>
        <v>-</v>
      </c>
      <c r="Q412" s="73">
        <f>IFERROR(INDEX(Katalog!$D$3:$D$12,MATCH(cadangan[[#This Row],[ItemID B]],Katalog!$C$3:$C$12,0))*cadangan[[#This Row],[Qty B]],0)</f>
        <v>0</v>
      </c>
      <c r="R412" s="73">
        <f>IFERROR(cadangan[[#This Row],[Harga Normal B]]-(cadangan[[#This Row],[Harga Normal B]]*cadangan[[#This Row],[Diskon]]),cadangan[[#This Row],[Harga Normal B]])</f>
        <v>0</v>
      </c>
      <c r="S412" s="73">
        <f>IFERROR(INDEX(Katalog!$F$3:$F$12,MATCH(cadangan[[#This Row],[ItemID B]],Katalog!$C$3:$C$12,0))*cadangan[[#This Row],[Qty B]],0)</f>
        <v>0</v>
      </c>
      <c r="T412" s="73">
        <f>IFERROR(cadangan[[#This Row],[Harga Diskon B]]-INDEX(Katalog!$E$3:$E$12,MATCH(cadangan[[#This Row],[ItemID B]],Katalog!$C$3:$C$12,0))*cadangan[[#This Row],[Qty B]],0)</f>
        <v>0</v>
      </c>
      <c r="V412" s="39" t="str">
        <f>IFERROR(INDEX(Katalog!$A$3:$A$12,MATCH(cadangan[[#This Row],[ItemID C]],Katalog!$C$3:$C$12,0)),"-")</f>
        <v>-</v>
      </c>
      <c r="W412" s="39" t="str">
        <f>IFERROR(INDEX(Katalog!$B$3:$B$12,MATCH(cadangan[[#This Row],[ItemID C]],Katalog!$C$3:$C$12,0)),"-")</f>
        <v>-</v>
      </c>
      <c r="Z412" s="73">
        <f>IFERROR(INDEX(Katalog!$D$3:$D$12,MATCH(cadangan[[#This Row],[ItemID C]],Katalog!$C$3:$C$12,0))*cadangan[[#This Row],[Qty C]],0)</f>
        <v>0</v>
      </c>
      <c r="AA412" s="73">
        <f>IFERROR(cadangan[[#This Row],[Harga Normal C]]-(cadangan[[#This Row],[Harga Normal C]]*cadangan[[#This Row],[Diskon]]),cadangan[[#This Row],[Harga Normal C]])</f>
        <v>0</v>
      </c>
      <c r="AB412" s="73">
        <f>IFERROR(INDEX(Katalog!$F$3:$F$12,MATCH(cadangan[[#This Row],[ItemID C]],Katalog!$C$3:$C$12,0))*cadangan[[#This Row],[Qty C]],0)</f>
        <v>0</v>
      </c>
      <c r="AC412" s="73">
        <f>IFERROR(cadangan[[#This Row],[Harga Diskon C]]-INDEX(Katalog!$E$3:$E$12,MATCH(cadangan[[#This Row],[ItemID C]],Katalog!$C$3:$C$12,0))*cadangan[[#This Row],[Qty C]],0)</f>
        <v>0</v>
      </c>
      <c r="AD412" s="53">
        <f>cadangan[[#This Row],[Qty A]]+cadangan[[#This Row],[Qty B]]+cadangan[[#This Row],[Qty C]]</f>
        <v>1</v>
      </c>
      <c r="AE412" s="73">
        <f>cadangan[[#This Row],[Harga Normal A]]+cadangan[[#This Row],[Harga Normal B]]+cadangan[[#This Row],[Harga Normal C]]</f>
        <v>300000</v>
      </c>
      <c r="AF412" s="73">
        <f>cadangan[[#This Row],[Harga Diskon A]]+cadangan[[#This Row],[Harga Diskon B]]+cadangan[[#This Row],[Harga Diskon C]]</f>
        <v>270000</v>
      </c>
      <c r="AG412" s="73">
        <f>(cadangan[[#This Row],[Profit Normal A]]+cadangan[[#This Row],[Profit Normal B]]+cadangan[[#This Row],[Profit Normal C]])</f>
        <v>100000</v>
      </c>
      <c r="AH412" s="73">
        <f>cadangan[[#This Row],[Profit Diskon A]]+cadangan[[#This Row],[Profit Diskon B]]+cadangan[[#This Row],[Profit Diskon C]]</f>
        <v>70000</v>
      </c>
      <c r="AI412" s="23" t="s">
        <v>30</v>
      </c>
      <c r="AJ412" s="37">
        <f>IFERROR(INDEX('Kode Diskon'!$D$3:$D$9,MATCH(cadangan[[#This Row],[Kode diskon]],'Kode Diskon'!$C$3:$C$9,0)),"-")</f>
        <v>0.1</v>
      </c>
      <c r="AK412" s="23" t="s">
        <v>29</v>
      </c>
      <c r="AL412" s="23" t="s">
        <v>10</v>
      </c>
      <c r="AM412" s="23" t="s">
        <v>76</v>
      </c>
      <c r="AN412" s="55">
        <v>45017</v>
      </c>
      <c r="AO412" s="53">
        <f>DAY(cadangan[[#This Row],[Tanggal terjual]])</f>
        <v>1</v>
      </c>
      <c r="AP412" s="21" t="str">
        <f>TEXT(cadangan[[#This Row],[Tanggal terjual]],"dddd")</f>
        <v>Saturday</v>
      </c>
      <c r="AQ412" s="23" t="str" cm="1">
        <f t="array" ref="AQ4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12" s="61">
        <f>AVERAGE(cadangan[[#This Row],[Rating A]],cadangan[[#This Row],[Rating B]],cadangan[[#This Row],[Rating C]])</f>
        <v>5</v>
      </c>
    </row>
    <row r="413" spans="1:44" x14ac:dyDescent="0.2">
      <c r="A413" s="20">
        <v>412</v>
      </c>
      <c r="B413" s="21" t="str">
        <f>_xlfn.CONCAT("ORD-",INDEX(Helper!$B$2:$B$5,MATCH(cadangan[[#This Row],[Marketplace]],Helper!$A$2:$A$5,0)),TEXT(cadangan[[#This Row],[No]],"0000"),"-",TEXT(cadangan[[#This Row],[Tanggal terjual]],"dd/mm/yy"))</f>
        <v>ORD-TK0412-25/04/23</v>
      </c>
      <c r="C413" s="39" t="s">
        <v>62</v>
      </c>
      <c r="D413" s="39" t="str">
        <f>IFERROR(INDEX(Katalog!$A$3:$A$12,MATCH(cadangan[[#This Row],[ItemID A]],Katalog!$C$3:$C$12,0)),"-")</f>
        <v>Pakaian Pria</v>
      </c>
      <c r="E413" s="39" t="str">
        <f>IFERROR(INDEX(Katalog!$B$3:$B$12,MATCH(cadangan[[#This Row],[ItemID A]],Katalog!$C$3:$C$12,0)),"-")</f>
        <v>Celana Pendek</v>
      </c>
      <c r="F413" s="50">
        <v>4</v>
      </c>
      <c r="G413" s="50">
        <v>4</v>
      </c>
      <c r="H413" s="73">
        <f>IFERROR(INDEX(Katalog!$D$3:$D$12,MATCH(cadangan[[#This Row],[ItemID A]],Katalog!$C$3:$C$12,0))*cadangan[[#This Row],[Qty A]],0)</f>
        <v>720000</v>
      </c>
      <c r="I413" s="73">
        <f>IFERROR(cadangan[[#This Row],[Harga Normal A]]-(cadangan[[#This Row],[Harga Normal A]]*cadangan[[#This Row],[Diskon]]),cadangan[[#This Row],[Harga Normal A]])</f>
        <v>648000</v>
      </c>
      <c r="J413" s="73">
        <f>INDEX(Katalog!$F$3:$F$12,MATCH(cadangan[[#This Row],[ItemID A]],Katalog!$C$3:$C$12,0))*cadangan[[#This Row],[Qty A]]</f>
        <v>280000</v>
      </c>
      <c r="K413" s="73">
        <f>IFERROR(cadangan[[#This Row],[Harga Diskon A]]-INDEX(Katalog!$E$3:$E$12,MATCH(cadangan[[#This Row],[ItemID A]],Katalog!$C$3:$C$12,0))*cadangan[[#This Row],[Qty A]],0)</f>
        <v>208000</v>
      </c>
      <c r="L413" s="39" t="s">
        <v>61</v>
      </c>
      <c r="M413" s="39" t="str">
        <f>IFERROR(INDEX(Katalog!$A$3:$A$12,MATCH(cadangan[[#This Row],[ItemID B]],Katalog!$C$3:$C$12,0)),"-")</f>
        <v>Pakaian Pria</v>
      </c>
      <c r="N413" s="39" t="str">
        <f>IFERROR(INDEX(Katalog!$B$3:$B$12,MATCH(cadangan[[#This Row],[ItemID B]],Katalog!$C$3:$C$12,0)),"-")</f>
        <v>Kaos Polo</v>
      </c>
      <c r="O413" s="50">
        <v>1</v>
      </c>
      <c r="P413" s="50">
        <v>4</v>
      </c>
      <c r="Q413" s="73">
        <f>IFERROR(INDEX(Katalog!$D$3:$D$12,MATCH(cadangan[[#This Row],[ItemID B]],Katalog!$C$3:$C$12,0))*cadangan[[#This Row],[Qty B]],0)</f>
        <v>200000</v>
      </c>
      <c r="R413" s="73">
        <f>IFERROR(cadangan[[#This Row],[Harga Normal B]]-(cadangan[[#This Row],[Harga Normal B]]*cadangan[[#This Row],[Diskon]]),cadangan[[#This Row],[Harga Normal B]])</f>
        <v>180000</v>
      </c>
      <c r="S413" s="73">
        <f>IFERROR(INDEX(Katalog!$F$3:$F$12,MATCH(cadangan[[#This Row],[ItemID B]],Katalog!$C$3:$C$12,0))*cadangan[[#This Row],[Qty B]],0)</f>
        <v>80000</v>
      </c>
      <c r="T413" s="73">
        <f>IFERROR(cadangan[[#This Row],[Harga Diskon B]]-INDEX(Katalog!$E$3:$E$12,MATCH(cadangan[[#This Row],[ItemID B]],Katalog!$C$3:$C$12,0))*cadangan[[#This Row],[Qty B]],0)</f>
        <v>60000</v>
      </c>
      <c r="V413" s="39" t="str">
        <f>IFERROR(INDEX(Katalog!$A$3:$A$12,MATCH(cadangan[[#This Row],[ItemID C]],Katalog!$C$3:$C$12,0)),"-")</f>
        <v>-</v>
      </c>
      <c r="W413" s="39" t="str">
        <f>IFERROR(INDEX(Katalog!$B$3:$B$12,MATCH(cadangan[[#This Row],[ItemID C]],Katalog!$C$3:$C$12,0)),"-")</f>
        <v>-</v>
      </c>
      <c r="Z413" s="73">
        <f>IFERROR(INDEX(Katalog!$D$3:$D$12,MATCH(cadangan[[#This Row],[ItemID C]],Katalog!$C$3:$C$12,0))*cadangan[[#This Row],[Qty C]],0)</f>
        <v>0</v>
      </c>
      <c r="AA413" s="73">
        <f>IFERROR(cadangan[[#This Row],[Harga Normal C]]-(cadangan[[#This Row],[Harga Normal C]]*cadangan[[#This Row],[Diskon]]),cadangan[[#This Row],[Harga Normal C]])</f>
        <v>0</v>
      </c>
      <c r="AB413" s="73">
        <f>IFERROR(INDEX(Katalog!$F$3:$F$12,MATCH(cadangan[[#This Row],[ItemID C]],Katalog!$C$3:$C$12,0))*cadangan[[#This Row],[Qty C]],0)</f>
        <v>0</v>
      </c>
      <c r="AC413" s="73">
        <f>IFERROR(cadangan[[#This Row],[Harga Diskon C]]-INDEX(Katalog!$E$3:$E$12,MATCH(cadangan[[#This Row],[ItemID C]],Katalog!$C$3:$C$12,0))*cadangan[[#This Row],[Qty C]],0)</f>
        <v>0</v>
      </c>
      <c r="AD413" s="53">
        <f>cadangan[[#This Row],[Qty A]]+cadangan[[#This Row],[Qty B]]+cadangan[[#This Row],[Qty C]]</f>
        <v>5</v>
      </c>
      <c r="AE413" s="73">
        <f>cadangan[[#This Row],[Harga Normal A]]+cadangan[[#This Row],[Harga Normal B]]+cadangan[[#This Row],[Harga Normal C]]</f>
        <v>920000</v>
      </c>
      <c r="AF413" s="73">
        <f>cadangan[[#This Row],[Harga Diskon A]]+cadangan[[#This Row],[Harga Diskon B]]+cadangan[[#This Row],[Harga Diskon C]]</f>
        <v>828000</v>
      </c>
      <c r="AG413" s="73">
        <f>(cadangan[[#This Row],[Profit Normal A]]+cadangan[[#This Row],[Profit Normal B]]+cadangan[[#This Row],[Profit Normal C]])</f>
        <v>360000</v>
      </c>
      <c r="AH413" s="73">
        <f>cadangan[[#This Row],[Profit Diskon A]]+cadangan[[#This Row],[Profit Diskon B]]+cadangan[[#This Row],[Profit Diskon C]]</f>
        <v>268000</v>
      </c>
      <c r="AI413" s="23" t="s">
        <v>31</v>
      </c>
      <c r="AJ413" s="37">
        <f>IFERROR(INDEX('Kode Diskon'!$D$3:$D$9,MATCH(cadangan[[#This Row],[Kode diskon]],'Kode Diskon'!$C$3:$C$9,0)),"-")</f>
        <v>0.1</v>
      </c>
      <c r="AK413" s="23" t="s">
        <v>9</v>
      </c>
      <c r="AL413" s="23" t="s">
        <v>10</v>
      </c>
      <c r="AM413" s="23" t="s">
        <v>76</v>
      </c>
      <c r="AN413" s="55">
        <v>45041</v>
      </c>
      <c r="AO413" s="53">
        <f>DAY(cadangan[[#This Row],[Tanggal terjual]])</f>
        <v>25</v>
      </c>
      <c r="AP413" s="21" t="str">
        <f>TEXT(cadangan[[#This Row],[Tanggal terjual]],"dddd")</f>
        <v>Tuesday</v>
      </c>
      <c r="AQ413" s="23" t="str" cm="1">
        <f t="array" ref="AQ4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13" s="61">
        <f>AVERAGE(cadangan[[#This Row],[Rating A]],cadangan[[#This Row],[Rating B]],cadangan[[#This Row],[Rating C]])</f>
        <v>4</v>
      </c>
    </row>
    <row r="414" spans="1:44" x14ac:dyDescent="0.2">
      <c r="A414" s="20">
        <v>413</v>
      </c>
      <c r="B414" s="21" t="str">
        <f>_xlfn.CONCAT("ORD-",INDEX(Helper!$B$2:$B$5,MATCH(cadangan[[#This Row],[Marketplace]],Helper!$A$2:$A$5,0)),TEXT(cadangan[[#This Row],[No]],"0000"),"-",TEXT(cadangan[[#This Row],[Tanggal terjual]],"dd/mm/yy"))</f>
        <v>ORD-SP0413-05/04/23</v>
      </c>
      <c r="C414" s="39" t="s">
        <v>65</v>
      </c>
      <c r="D414" s="39" t="str">
        <f>IFERROR(INDEX(Katalog!$A$3:$A$12,MATCH(cadangan[[#This Row],[ItemID A]],Katalog!$C$3:$C$12,0)),"-")</f>
        <v>Sepatu Pria</v>
      </c>
      <c r="E414" s="39" t="str">
        <f>IFERROR(INDEX(Katalog!$B$3:$B$12,MATCH(cadangan[[#This Row],[ItemID A]],Katalog!$C$3:$C$12,0)),"-")</f>
        <v>Sneakers</v>
      </c>
      <c r="F414" s="50">
        <v>5</v>
      </c>
      <c r="G414" s="50">
        <v>1</v>
      </c>
      <c r="H414" s="73">
        <f>IFERROR(INDEX(Katalog!$D$3:$D$12,MATCH(cadangan[[#This Row],[ItemID A]],Katalog!$C$3:$C$12,0))*cadangan[[#This Row],[Qty A]],0)</f>
        <v>2500000</v>
      </c>
      <c r="I414" s="73">
        <f>IFERROR(cadangan[[#This Row],[Harga Normal A]]-(cadangan[[#This Row],[Harga Normal A]]*cadangan[[#This Row],[Diskon]]),cadangan[[#This Row],[Harga Normal A]])</f>
        <v>2250000</v>
      </c>
      <c r="J414" s="73">
        <f>INDEX(Katalog!$F$3:$F$12,MATCH(cadangan[[#This Row],[ItemID A]],Katalog!$C$3:$C$12,0))*cadangan[[#This Row],[Qty A]]</f>
        <v>1000000</v>
      </c>
      <c r="K414" s="73">
        <f>IFERROR(cadangan[[#This Row],[Harga Diskon A]]-INDEX(Katalog!$E$3:$E$12,MATCH(cadangan[[#This Row],[ItemID A]],Katalog!$C$3:$C$12,0))*cadangan[[#This Row],[Qty A]],0)</f>
        <v>750000</v>
      </c>
      <c r="M414" s="39" t="str">
        <f>IFERROR(INDEX(Katalog!$A$3:$A$12,MATCH(cadangan[[#This Row],[ItemID B]],Katalog!$C$3:$C$12,0)),"-")</f>
        <v>-</v>
      </c>
      <c r="N414" s="39" t="str">
        <f>IFERROR(INDEX(Katalog!$B$3:$B$12,MATCH(cadangan[[#This Row],[ItemID B]],Katalog!$C$3:$C$12,0)),"-")</f>
        <v>-</v>
      </c>
      <c r="Q414" s="73">
        <f>IFERROR(INDEX(Katalog!$D$3:$D$12,MATCH(cadangan[[#This Row],[ItemID B]],Katalog!$C$3:$C$12,0))*cadangan[[#This Row],[Qty B]],0)</f>
        <v>0</v>
      </c>
      <c r="R414" s="73">
        <f>IFERROR(cadangan[[#This Row],[Harga Normal B]]-(cadangan[[#This Row],[Harga Normal B]]*cadangan[[#This Row],[Diskon]]),cadangan[[#This Row],[Harga Normal B]])</f>
        <v>0</v>
      </c>
      <c r="S414" s="73">
        <f>IFERROR(INDEX(Katalog!$F$3:$F$12,MATCH(cadangan[[#This Row],[ItemID B]],Katalog!$C$3:$C$12,0))*cadangan[[#This Row],[Qty B]],0)</f>
        <v>0</v>
      </c>
      <c r="T414" s="73">
        <f>IFERROR(cadangan[[#This Row],[Harga Diskon B]]-INDEX(Katalog!$E$3:$E$12,MATCH(cadangan[[#This Row],[ItemID B]],Katalog!$C$3:$C$12,0))*cadangan[[#This Row],[Qty B]],0)</f>
        <v>0</v>
      </c>
      <c r="V414" s="39" t="str">
        <f>IFERROR(INDEX(Katalog!$A$3:$A$12,MATCH(cadangan[[#This Row],[ItemID C]],Katalog!$C$3:$C$12,0)),"-")</f>
        <v>-</v>
      </c>
      <c r="W414" s="39" t="str">
        <f>IFERROR(INDEX(Katalog!$B$3:$B$12,MATCH(cadangan[[#This Row],[ItemID C]],Katalog!$C$3:$C$12,0)),"-")</f>
        <v>-</v>
      </c>
      <c r="Z414" s="73">
        <f>IFERROR(INDEX(Katalog!$D$3:$D$12,MATCH(cadangan[[#This Row],[ItemID C]],Katalog!$C$3:$C$12,0))*cadangan[[#This Row],[Qty C]],0)</f>
        <v>0</v>
      </c>
      <c r="AA414" s="73">
        <f>IFERROR(cadangan[[#This Row],[Harga Normal C]]-(cadangan[[#This Row],[Harga Normal C]]*cadangan[[#This Row],[Diskon]]),cadangan[[#This Row],[Harga Normal C]])</f>
        <v>0</v>
      </c>
      <c r="AB414" s="73">
        <f>IFERROR(INDEX(Katalog!$F$3:$F$12,MATCH(cadangan[[#This Row],[ItemID C]],Katalog!$C$3:$C$12,0))*cadangan[[#This Row],[Qty C]],0)</f>
        <v>0</v>
      </c>
      <c r="AC414" s="73">
        <f>IFERROR(cadangan[[#This Row],[Harga Diskon C]]-INDEX(Katalog!$E$3:$E$12,MATCH(cadangan[[#This Row],[ItemID C]],Katalog!$C$3:$C$12,0))*cadangan[[#This Row],[Qty C]],0)</f>
        <v>0</v>
      </c>
      <c r="AD414" s="53">
        <f>cadangan[[#This Row],[Qty A]]+cadangan[[#This Row],[Qty B]]+cadangan[[#This Row],[Qty C]]</f>
        <v>5</v>
      </c>
      <c r="AE414" s="73">
        <f>cadangan[[#This Row],[Harga Normal A]]+cadangan[[#This Row],[Harga Normal B]]+cadangan[[#This Row],[Harga Normal C]]</f>
        <v>2500000</v>
      </c>
      <c r="AF414" s="73">
        <f>cadangan[[#This Row],[Harga Diskon A]]+cadangan[[#This Row],[Harga Diskon B]]+cadangan[[#This Row],[Harga Diskon C]]</f>
        <v>2250000</v>
      </c>
      <c r="AG414" s="73">
        <f>(cadangan[[#This Row],[Profit Normal A]]+cadangan[[#This Row],[Profit Normal B]]+cadangan[[#This Row],[Profit Normal C]])</f>
        <v>1000000</v>
      </c>
      <c r="AH414" s="73">
        <f>cadangan[[#This Row],[Profit Diskon A]]+cadangan[[#This Row],[Profit Diskon B]]+cadangan[[#This Row],[Profit Diskon C]]</f>
        <v>750000</v>
      </c>
      <c r="AI414" s="23" t="s">
        <v>6</v>
      </c>
      <c r="AJ414" s="37">
        <f>IFERROR(INDEX('Kode Diskon'!$D$3:$D$9,MATCH(cadangan[[#This Row],[Kode diskon]],'Kode Diskon'!$C$3:$C$9,0)),"-")</f>
        <v>0.1</v>
      </c>
      <c r="AK414" s="23" t="s">
        <v>29</v>
      </c>
      <c r="AL414" s="23" t="s">
        <v>7</v>
      </c>
      <c r="AM414" s="23" t="s">
        <v>79</v>
      </c>
      <c r="AN414" s="55">
        <v>45021</v>
      </c>
      <c r="AO414" s="53">
        <f>DAY(cadangan[[#This Row],[Tanggal terjual]])</f>
        <v>5</v>
      </c>
      <c r="AP414" s="21" t="str">
        <f>TEXT(cadangan[[#This Row],[Tanggal terjual]],"dddd")</f>
        <v>Wednesday</v>
      </c>
      <c r="AQ414" s="23" t="str" cm="1">
        <f t="array" ref="AQ4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14" s="61">
        <f>AVERAGE(cadangan[[#This Row],[Rating A]],cadangan[[#This Row],[Rating B]],cadangan[[#This Row],[Rating C]])</f>
        <v>1</v>
      </c>
    </row>
    <row r="415" spans="1:44" x14ac:dyDescent="0.2">
      <c r="A415" s="20">
        <v>414</v>
      </c>
      <c r="B415" s="21" t="str">
        <f>_xlfn.CONCAT("ORD-",INDEX(Helper!$B$2:$B$5,MATCH(cadangan[[#This Row],[Marketplace]],Helper!$A$2:$A$5,0)),TEXT(cadangan[[#This Row],[No]],"0000"),"-",TEXT(cadangan[[#This Row],[Tanggal terjual]],"dd/mm/yy"))</f>
        <v>ORD-BL0414-26/04/23</v>
      </c>
      <c r="C415" s="39" t="s">
        <v>64</v>
      </c>
      <c r="D415" s="39" t="str">
        <f>IFERROR(INDEX(Katalog!$A$3:$A$12,MATCH(cadangan[[#This Row],[ItemID A]],Katalog!$C$3:$C$12,0)),"-")</f>
        <v>Pakaian Unisex</v>
      </c>
      <c r="E415" s="39" t="str">
        <f>IFERROR(INDEX(Katalog!$B$3:$B$12,MATCH(cadangan[[#This Row],[ItemID A]],Katalog!$C$3:$C$12,0)),"-")</f>
        <v>Jaket Hoodie</v>
      </c>
      <c r="F415" s="50">
        <v>2</v>
      </c>
      <c r="G415" s="50">
        <v>4</v>
      </c>
      <c r="H415" s="73">
        <f>IFERROR(INDEX(Katalog!$D$3:$D$12,MATCH(cadangan[[#This Row],[ItemID A]],Katalog!$C$3:$C$12,0))*cadangan[[#This Row],[Qty A]],0)</f>
        <v>700000</v>
      </c>
      <c r="I415" s="73">
        <f>IFERROR(cadangan[[#This Row],[Harga Normal A]]-(cadangan[[#This Row],[Harga Normal A]]*cadangan[[#This Row],[Diskon]]),cadangan[[#This Row],[Harga Normal A]])</f>
        <v>595000</v>
      </c>
      <c r="J415" s="73">
        <f>INDEX(Katalog!$F$3:$F$12,MATCH(cadangan[[#This Row],[ItemID A]],Katalog!$C$3:$C$12,0))*cadangan[[#This Row],[Qty A]]</f>
        <v>260000</v>
      </c>
      <c r="K415" s="73">
        <f>IFERROR(cadangan[[#This Row],[Harga Diskon A]]-INDEX(Katalog!$E$3:$E$12,MATCH(cadangan[[#This Row],[ItemID A]],Katalog!$C$3:$C$12,0))*cadangan[[#This Row],[Qty A]],0)</f>
        <v>155000</v>
      </c>
      <c r="L415" s="39" t="s">
        <v>61</v>
      </c>
      <c r="M415" s="39" t="str">
        <f>IFERROR(INDEX(Katalog!$A$3:$A$12,MATCH(cadangan[[#This Row],[ItemID B]],Katalog!$C$3:$C$12,0)),"-")</f>
        <v>Pakaian Pria</v>
      </c>
      <c r="N415" s="39" t="str">
        <f>IFERROR(INDEX(Katalog!$B$3:$B$12,MATCH(cadangan[[#This Row],[ItemID B]],Katalog!$C$3:$C$12,0)),"-")</f>
        <v>Kaos Polo</v>
      </c>
      <c r="O415" s="50">
        <v>1</v>
      </c>
      <c r="P415" s="50">
        <v>1</v>
      </c>
      <c r="Q415" s="73">
        <f>IFERROR(INDEX(Katalog!$D$3:$D$12,MATCH(cadangan[[#This Row],[ItemID B]],Katalog!$C$3:$C$12,0))*cadangan[[#This Row],[Qty B]],0)</f>
        <v>200000</v>
      </c>
      <c r="R415" s="73">
        <f>IFERROR(cadangan[[#This Row],[Harga Normal B]]-(cadangan[[#This Row],[Harga Normal B]]*cadangan[[#This Row],[Diskon]]),cadangan[[#This Row],[Harga Normal B]])</f>
        <v>170000</v>
      </c>
      <c r="S415" s="73">
        <f>IFERROR(INDEX(Katalog!$F$3:$F$12,MATCH(cadangan[[#This Row],[ItemID B]],Katalog!$C$3:$C$12,0))*cadangan[[#This Row],[Qty B]],0)</f>
        <v>80000</v>
      </c>
      <c r="T415" s="73">
        <f>IFERROR(cadangan[[#This Row],[Harga Diskon B]]-INDEX(Katalog!$E$3:$E$12,MATCH(cadangan[[#This Row],[ItemID B]],Katalog!$C$3:$C$12,0))*cadangan[[#This Row],[Qty B]],0)</f>
        <v>50000</v>
      </c>
      <c r="V415" s="39" t="str">
        <f>IFERROR(INDEX(Katalog!$A$3:$A$12,MATCH(cadangan[[#This Row],[ItemID C]],Katalog!$C$3:$C$12,0)),"-")</f>
        <v>-</v>
      </c>
      <c r="W415" s="39" t="str">
        <f>IFERROR(INDEX(Katalog!$B$3:$B$12,MATCH(cadangan[[#This Row],[ItemID C]],Katalog!$C$3:$C$12,0)),"-")</f>
        <v>-</v>
      </c>
      <c r="Z415" s="73">
        <f>IFERROR(INDEX(Katalog!$D$3:$D$12,MATCH(cadangan[[#This Row],[ItemID C]],Katalog!$C$3:$C$12,0))*cadangan[[#This Row],[Qty C]],0)</f>
        <v>0</v>
      </c>
      <c r="AA415" s="73">
        <f>IFERROR(cadangan[[#This Row],[Harga Normal C]]-(cadangan[[#This Row],[Harga Normal C]]*cadangan[[#This Row],[Diskon]]),cadangan[[#This Row],[Harga Normal C]])</f>
        <v>0</v>
      </c>
      <c r="AB415" s="73">
        <f>IFERROR(INDEX(Katalog!$F$3:$F$12,MATCH(cadangan[[#This Row],[ItemID C]],Katalog!$C$3:$C$12,0))*cadangan[[#This Row],[Qty C]],0)</f>
        <v>0</v>
      </c>
      <c r="AC415" s="73">
        <f>IFERROR(cadangan[[#This Row],[Harga Diskon C]]-INDEX(Katalog!$E$3:$E$12,MATCH(cadangan[[#This Row],[ItemID C]],Katalog!$C$3:$C$12,0))*cadangan[[#This Row],[Qty C]],0)</f>
        <v>0</v>
      </c>
      <c r="AD415" s="53">
        <f>cadangan[[#This Row],[Qty A]]+cadangan[[#This Row],[Qty B]]+cadangan[[#This Row],[Qty C]]</f>
        <v>3</v>
      </c>
      <c r="AE415" s="73">
        <f>cadangan[[#This Row],[Harga Normal A]]+cadangan[[#This Row],[Harga Normal B]]+cadangan[[#This Row],[Harga Normal C]]</f>
        <v>900000</v>
      </c>
      <c r="AF415" s="73">
        <f>cadangan[[#This Row],[Harga Diskon A]]+cadangan[[#This Row],[Harga Diskon B]]+cadangan[[#This Row],[Harga Diskon C]]</f>
        <v>765000</v>
      </c>
      <c r="AG415" s="73">
        <f>(cadangan[[#This Row],[Profit Normal A]]+cadangan[[#This Row],[Profit Normal B]]+cadangan[[#This Row],[Profit Normal C]])</f>
        <v>340000</v>
      </c>
      <c r="AH415" s="73">
        <f>cadangan[[#This Row],[Profit Diskon A]]+cadangan[[#This Row],[Profit Diskon B]]+cadangan[[#This Row],[Profit Diskon C]]</f>
        <v>205000</v>
      </c>
      <c r="AI415" s="23" t="s">
        <v>32</v>
      </c>
      <c r="AJ415" s="37">
        <f>IFERROR(INDEX('Kode Diskon'!$D$3:$D$9,MATCH(cadangan[[#This Row],[Kode diskon]],'Kode Diskon'!$C$3:$C$9,0)),"-")</f>
        <v>0.15</v>
      </c>
      <c r="AK415" s="23" t="s">
        <v>9</v>
      </c>
      <c r="AL415" s="23" t="s">
        <v>12</v>
      </c>
      <c r="AM415" s="23" t="s">
        <v>79</v>
      </c>
      <c r="AN415" s="55">
        <v>45042</v>
      </c>
      <c r="AO415" s="53">
        <f>DAY(cadangan[[#This Row],[Tanggal terjual]])</f>
        <v>26</v>
      </c>
      <c r="AP415" s="21" t="str">
        <f>TEXT(cadangan[[#This Row],[Tanggal terjual]],"dddd")</f>
        <v>Wednesday</v>
      </c>
      <c r="AQ415" s="23" t="str" cm="1">
        <f t="array" ref="AQ4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15" s="61">
        <f>AVERAGE(cadangan[[#This Row],[Rating A]],cadangan[[#This Row],[Rating B]],cadangan[[#This Row],[Rating C]])</f>
        <v>2.5</v>
      </c>
    </row>
    <row r="416" spans="1:44" x14ac:dyDescent="0.2">
      <c r="A416" s="20">
        <v>415</v>
      </c>
      <c r="B416" s="21" t="str">
        <f>_xlfn.CONCAT("ORD-",INDEX(Helper!$B$2:$B$5,MATCH(cadangan[[#This Row],[Marketplace]],Helper!$A$2:$A$5,0)),TEXT(cadangan[[#This Row],[No]],"0000"),"-",TEXT(cadangan[[#This Row],[Tanggal terjual]],"dd/mm/yy"))</f>
        <v>ORD-TK0415-03/04/23</v>
      </c>
      <c r="C416" s="39" t="s">
        <v>62</v>
      </c>
      <c r="D416" s="39" t="str">
        <f>IFERROR(INDEX(Katalog!$A$3:$A$12,MATCH(cadangan[[#This Row],[ItemID A]],Katalog!$C$3:$C$12,0)),"-")</f>
        <v>Pakaian Pria</v>
      </c>
      <c r="E416" s="39" t="str">
        <f>IFERROR(INDEX(Katalog!$B$3:$B$12,MATCH(cadangan[[#This Row],[ItemID A]],Katalog!$C$3:$C$12,0)),"-")</f>
        <v>Celana Pendek</v>
      </c>
      <c r="F416" s="50">
        <v>2</v>
      </c>
      <c r="G416" s="50">
        <v>5</v>
      </c>
      <c r="H416" s="73">
        <f>IFERROR(INDEX(Katalog!$D$3:$D$12,MATCH(cadangan[[#This Row],[ItemID A]],Katalog!$C$3:$C$12,0))*cadangan[[#This Row],[Qty A]],0)</f>
        <v>360000</v>
      </c>
      <c r="I416" s="73">
        <f>IFERROR(cadangan[[#This Row],[Harga Normal A]]-(cadangan[[#This Row],[Harga Normal A]]*cadangan[[#This Row],[Diskon]]),cadangan[[#This Row],[Harga Normal A]])</f>
        <v>324000</v>
      </c>
      <c r="J416" s="73">
        <f>INDEX(Katalog!$F$3:$F$12,MATCH(cadangan[[#This Row],[ItemID A]],Katalog!$C$3:$C$12,0))*cadangan[[#This Row],[Qty A]]</f>
        <v>140000</v>
      </c>
      <c r="K416" s="73">
        <f>IFERROR(cadangan[[#This Row],[Harga Diskon A]]-INDEX(Katalog!$E$3:$E$12,MATCH(cadangan[[#This Row],[ItemID A]],Katalog!$C$3:$C$12,0))*cadangan[[#This Row],[Qty A]],0)</f>
        <v>104000</v>
      </c>
      <c r="L416" s="39" t="s">
        <v>66</v>
      </c>
      <c r="M416" s="39" t="str">
        <f>IFERROR(INDEX(Katalog!$A$3:$A$12,MATCH(cadangan[[#This Row],[ItemID B]],Katalog!$C$3:$C$12,0)),"-")</f>
        <v>Sepatu Pria</v>
      </c>
      <c r="N416" s="39" t="str">
        <f>IFERROR(INDEX(Katalog!$B$3:$B$12,MATCH(cadangan[[#This Row],[ItemID B]],Katalog!$C$3:$C$12,0)),"-")</f>
        <v>Sandal Slip On</v>
      </c>
      <c r="O416" s="50">
        <v>1</v>
      </c>
      <c r="P416" s="50">
        <v>5</v>
      </c>
      <c r="Q416" s="73">
        <f>IFERROR(INDEX(Katalog!$D$3:$D$12,MATCH(cadangan[[#This Row],[ItemID B]],Katalog!$C$3:$C$12,0))*cadangan[[#This Row],[Qty B]],0)</f>
        <v>150000</v>
      </c>
      <c r="R416" s="73">
        <f>IFERROR(cadangan[[#This Row],[Harga Normal B]]-(cadangan[[#This Row],[Harga Normal B]]*cadangan[[#This Row],[Diskon]]),cadangan[[#This Row],[Harga Normal B]])</f>
        <v>135000</v>
      </c>
      <c r="S416" s="73">
        <f>IFERROR(INDEX(Katalog!$F$3:$F$12,MATCH(cadangan[[#This Row],[ItemID B]],Katalog!$C$3:$C$12,0))*cadangan[[#This Row],[Qty B]],0)</f>
        <v>60000</v>
      </c>
      <c r="T416" s="73">
        <f>IFERROR(cadangan[[#This Row],[Harga Diskon B]]-INDEX(Katalog!$E$3:$E$12,MATCH(cadangan[[#This Row],[ItemID B]],Katalog!$C$3:$C$12,0))*cadangan[[#This Row],[Qty B]],0)</f>
        <v>45000</v>
      </c>
      <c r="V416" s="39" t="str">
        <f>IFERROR(INDEX(Katalog!$A$3:$A$12,MATCH(cadangan[[#This Row],[ItemID C]],Katalog!$C$3:$C$12,0)),"-")</f>
        <v>-</v>
      </c>
      <c r="W416" s="39" t="str">
        <f>IFERROR(INDEX(Katalog!$B$3:$B$12,MATCH(cadangan[[#This Row],[ItemID C]],Katalog!$C$3:$C$12,0)),"-")</f>
        <v>-</v>
      </c>
      <c r="Z416" s="73">
        <f>IFERROR(INDEX(Katalog!$D$3:$D$12,MATCH(cadangan[[#This Row],[ItemID C]],Katalog!$C$3:$C$12,0))*cadangan[[#This Row],[Qty C]],0)</f>
        <v>0</v>
      </c>
      <c r="AA416" s="73">
        <f>IFERROR(cadangan[[#This Row],[Harga Normal C]]-(cadangan[[#This Row],[Harga Normal C]]*cadangan[[#This Row],[Diskon]]),cadangan[[#This Row],[Harga Normal C]])</f>
        <v>0</v>
      </c>
      <c r="AB416" s="73">
        <f>IFERROR(INDEX(Katalog!$F$3:$F$12,MATCH(cadangan[[#This Row],[ItemID C]],Katalog!$C$3:$C$12,0))*cadangan[[#This Row],[Qty C]],0)</f>
        <v>0</v>
      </c>
      <c r="AC416" s="73">
        <f>IFERROR(cadangan[[#This Row],[Harga Diskon C]]-INDEX(Katalog!$E$3:$E$12,MATCH(cadangan[[#This Row],[ItemID C]],Katalog!$C$3:$C$12,0))*cadangan[[#This Row],[Qty C]],0)</f>
        <v>0</v>
      </c>
      <c r="AD416" s="53">
        <f>cadangan[[#This Row],[Qty A]]+cadangan[[#This Row],[Qty B]]+cadangan[[#This Row],[Qty C]]</f>
        <v>3</v>
      </c>
      <c r="AE416" s="73">
        <f>cadangan[[#This Row],[Harga Normal A]]+cadangan[[#This Row],[Harga Normal B]]+cadangan[[#This Row],[Harga Normal C]]</f>
        <v>510000</v>
      </c>
      <c r="AF416" s="73">
        <f>cadangan[[#This Row],[Harga Diskon A]]+cadangan[[#This Row],[Harga Diskon B]]+cadangan[[#This Row],[Harga Diskon C]]</f>
        <v>459000</v>
      </c>
      <c r="AG416" s="73">
        <f>(cadangan[[#This Row],[Profit Normal A]]+cadangan[[#This Row],[Profit Normal B]]+cadangan[[#This Row],[Profit Normal C]])</f>
        <v>200000</v>
      </c>
      <c r="AH416" s="73">
        <f>cadangan[[#This Row],[Profit Diskon A]]+cadangan[[#This Row],[Profit Diskon B]]+cadangan[[#This Row],[Profit Diskon C]]</f>
        <v>149000</v>
      </c>
      <c r="AI416" s="23" t="s">
        <v>30</v>
      </c>
      <c r="AJ416" s="37">
        <f>IFERROR(INDEX('Kode Diskon'!$D$3:$D$9,MATCH(cadangan[[#This Row],[Kode diskon]],'Kode Diskon'!$C$3:$C$9,0)),"-")</f>
        <v>0.1</v>
      </c>
      <c r="AK416" s="23" t="s">
        <v>29</v>
      </c>
      <c r="AL416" s="23" t="s">
        <v>10</v>
      </c>
      <c r="AM416" s="23" t="s">
        <v>80</v>
      </c>
      <c r="AN416" s="55">
        <v>45019</v>
      </c>
      <c r="AO416" s="53">
        <f>DAY(cadangan[[#This Row],[Tanggal terjual]])</f>
        <v>3</v>
      </c>
      <c r="AP416" s="21" t="str">
        <f>TEXT(cadangan[[#This Row],[Tanggal terjual]],"dddd")</f>
        <v>Monday</v>
      </c>
      <c r="AQ416" s="23" t="str" cm="1">
        <f t="array" ref="AQ4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16" s="61">
        <f>AVERAGE(cadangan[[#This Row],[Rating A]],cadangan[[#This Row],[Rating B]],cadangan[[#This Row],[Rating C]])</f>
        <v>5</v>
      </c>
    </row>
    <row r="417" spans="1:44" x14ac:dyDescent="0.2">
      <c r="A417" s="20">
        <v>416</v>
      </c>
      <c r="B417" s="21" t="str">
        <f>_xlfn.CONCAT("ORD-",INDEX(Helper!$B$2:$B$5,MATCH(cadangan[[#This Row],[Marketplace]],Helper!$A$2:$A$5,0)),TEXT(cadangan[[#This Row],[No]],"0000"),"-",TEXT(cadangan[[#This Row],[Tanggal terjual]],"dd/mm/yy"))</f>
        <v>ORD-BB0416-06/04/23</v>
      </c>
      <c r="C417" s="39" t="s">
        <v>64</v>
      </c>
      <c r="D417" s="39" t="str">
        <f>IFERROR(INDEX(Katalog!$A$3:$A$12,MATCH(cadangan[[#This Row],[ItemID A]],Katalog!$C$3:$C$12,0)),"-")</f>
        <v>Pakaian Unisex</v>
      </c>
      <c r="E417" s="39" t="str">
        <f>IFERROR(INDEX(Katalog!$B$3:$B$12,MATCH(cadangan[[#This Row],[ItemID A]],Katalog!$C$3:$C$12,0)),"-")</f>
        <v>Jaket Hoodie</v>
      </c>
      <c r="F417" s="50">
        <v>6</v>
      </c>
      <c r="G417" s="50">
        <v>5</v>
      </c>
      <c r="H417" s="73">
        <f>IFERROR(INDEX(Katalog!$D$3:$D$12,MATCH(cadangan[[#This Row],[ItemID A]],Katalog!$C$3:$C$12,0))*cadangan[[#This Row],[Qty A]],0)</f>
        <v>2100000</v>
      </c>
      <c r="I417" s="73">
        <f>IFERROR(cadangan[[#This Row],[Harga Normal A]]-(cadangan[[#This Row],[Harga Normal A]]*cadangan[[#This Row],[Diskon]]),cadangan[[#This Row],[Harga Normal A]])</f>
        <v>1785000</v>
      </c>
      <c r="J417" s="73">
        <f>INDEX(Katalog!$F$3:$F$12,MATCH(cadangan[[#This Row],[ItemID A]],Katalog!$C$3:$C$12,0))*cadangan[[#This Row],[Qty A]]</f>
        <v>780000</v>
      </c>
      <c r="K417" s="73">
        <f>IFERROR(cadangan[[#This Row],[Harga Diskon A]]-INDEX(Katalog!$E$3:$E$12,MATCH(cadangan[[#This Row],[ItemID A]],Katalog!$C$3:$C$12,0))*cadangan[[#This Row],[Qty A]],0)</f>
        <v>465000</v>
      </c>
      <c r="M417" s="39" t="str">
        <f>IFERROR(INDEX(Katalog!$A$3:$A$12,MATCH(cadangan[[#This Row],[ItemID B]],Katalog!$C$3:$C$12,0)),"-")</f>
        <v>-</v>
      </c>
      <c r="N417" s="39" t="str">
        <f>IFERROR(INDEX(Katalog!$B$3:$B$12,MATCH(cadangan[[#This Row],[ItemID B]],Katalog!$C$3:$C$12,0)),"-")</f>
        <v>-</v>
      </c>
      <c r="Q417" s="73">
        <f>IFERROR(INDEX(Katalog!$D$3:$D$12,MATCH(cadangan[[#This Row],[ItemID B]],Katalog!$C$3:$C$12,0))*cadangan[[#This Row],[Qty B]],0)</f>
        <v>0</v>
      </c>
      <c r="R417" s="73">
        <f>IFERROR(cadangan[[#This Row],[Harga Normal B]]-(cadangan[[#This Row],[Harga Normal B]]*cadangan[[#This Row],[Diskon]]),cadangan[[#This Row],[Harga Normal B]])</f>
        <v>0</v>
      </c>
      <c r="S417" s="73">
        <f>IFERROR(INDEX(Katalog!$F$3:$F$12,MATCH(cadangan[[#This Row],[ItemID B]],Katalog!$C$3:$C$12,0))*cadangan[[#This Row],[Qty B]],0)</f>
        <v>0</v>
      </c>
      <c r="T417" s="73">
        <f>IFERROR(cadangan[[#This Row],[Harga Diskon B]]-INDEX(Katalog!$E$3:$E$12,MATCH(cadangan[[#This Row],[ItemID B]],Katalog!$C$3:$C$12,0))*cadangan[[#This Row],[Qty B]],0)</f>
        <v>0</v>
      </c>
      <c r="V417" s="39" t="str">
        <f>IFERROR(INDEX(Katalog!$A$3:$A$12,MATCH(cadangan[[#This Row],[ItemID C]],Katalog!$C$3:$C$12,0)),"-")</f>
        <v>-</v>
      </c>
      <c r="W417" s="39" t="str">
        <f>IFERROR(INDEX(Katalog!$B$3:$B$12,MATCH(cadangan[[#This Row],[ItemID C]],Katalog!$C$3:$C$12,0)),"-")</f>
        <v>-</v>
      </c>
      <c r="Z417" s="73">
        <f>IFERROR(INDEX(Katalog!$D$3:$D$12,MATCH(cadangan[[#This Row],[ItemID C]],Katalog!$C$3:$C$12,0))*cadangan[[#This Row],[Qty C]],0)</f>
        <v>0</v>
      </c>
      <c r="AA417" s="73">
        <f>IFERROR(cadangan[[#This Row],[Harga Normal C]]-(cadangan[[#This Row],[Harga Normal C]]*cadangan[[#This Row],[Diskon]]),cadangan[[#This Row],[Harga Normal C]])</f>
        <v>0</v>
      </c>
      <c r="AB417" s="73">
        <f>IFERROR(INDEX(Katalog!$F$3:$F$12,MATCH(cadangan[[#This Row],[ItemID C]],Katalog!$C$3:$C$12,0))*cadangan[[#This Row],[Qty C]],0)</f>
        <v>0</v>
      </c>
      <c r="AC417" s="73">
        <f>IFERROR(cadangan[[#This Row],[Harga Diskon C]]-INDEX(Katalog!$E$3:$E$12,MATCH(cadangan[[#This Row],[ItemID C]],Katalog!$C$3:$C$12,0))*cadangan[[#This Row],[Qty C]],0)</f>
        <v>0</v>
      </c>
      <c r="AD417" s="53">
        <f>cadangan[[#This Row],[Qty A]]+cadangan[[#This Row],[Qty B]]+cadangan[[#This Row],[Qty C]]</f>
        <v>6</v>
      </c>
      <c r="AE417" s="73">
        <f>cadangan[[#This Row],[Harga Normal A]]+cadangan[[#This Row],[Harga Normal B]]+cadangan[[#This Row],[Harga Normal C]]</f>
        <v>2100000</v>
      </c>
      <c r="AF417" s="73">
        <f>cadangan[[#This Row],[Harga Diskon A]]+cadangan[[#This Row],[Harga Diskon B]]+cadangan[[#This Row],[Harga Diskon C]]</f>
        <v>1785000</v>
      </c>
      <c r="AG417" s="73">
        <f>(cadangan[[#This Row],[Profit Normal A]]+cadangan[[#This Row],[Profit Normal B]]+cadangan[[#This Row],[Profit Normal C]])</f>
        <v>780000</v>
      </c>
      <c r="AH417" s="73">
        <f>cadangan[[#This Row],[Profit Diskon A]]+cadangan[[#This Row],[Profit Diskon B]]+cadangan[[#This Row],[Profit Diskon C]]</f>
        <v>465000</v>
      </c>
      <c r="AI417" s="23" t="s">
        <v>28</v>
      </c>
      <c r="AJ417" s="37">
        <f>IFERROR(INDEX('Kode Diskon'!$D$3:$D$9,MATCH(cadangan[[#This Row],[Kode diskon]],'Kode Diskon'!$C$3:$C$9,0)),"-")</f>
        <v>0.15</v>
      </c>
      <c r="AK417" s="23" t="s">
        <v>29</v>
      </c>
      <c r="AL417" s="23" t="s">
        <v>14</v>
      </c>
      <c r="AM417" s="23" t="s">
        <v>76</v>
      </c>
      <c r="AN417" s="55">
        <v>45022</v>
      </c>
      <c r="AO417" s="53">
        <f>DAY(cadangan[[#This Row],[Tanggal terjual]])</f>
        <v>6</v>
      </c>
      <c r="AP417" s="21" t="str">
        <f>TEXT(cadangan[[#This Row],[Tanggal terjual]],"dddd")</f>
        <v>Thursday</v>
      </c>
      <c r="AQ417" s="23" t="str" cm="1">
        <f t="array" ref="AQ4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17" s="61">
        <f>AVERAGE(cadangan[[#This Row],[Rating A]],cadangan[[#This Row],[Rating B]],cadangan[[#This Row],[Rating C]])</f>
        <v>5</v>
      </c>
    </row>
    <row r="418" spans="1:44" x14ac:dyDescent="0.2">
      <c r="A418" s="20">
        <v>417</v>
      </c>
      <c r="B418" s="21" t="str">
        <f>_xlfn.CONCAT("ORD-",INDEX(Helper!$B$2:$B$5,MATCH(cadangan[[#This Row],[Marketplace]],Helper!$A$2:$A$5,0)),TEXT(cadangan[[#This Row],[No]],"0000"),"-",TEXT(cadangan[[#This Row],[Tanggal terjual]],"dd/mm/yy"))</f>
        <v>ORD-TK0417-30/04/23</v>
      </c>
      <c r="C418" s="39" t="s">
        <v>61</v>
      </c>
      <c r="D418" s="39" t="str">
        <f>IFERROR(INDEX(Katalog!$A$3:$A$12,MATCH(cadangan[[#This Row],[ItemID A]],Katalog!$C$3:$C$12,0)),"-")</f>
        <v>Pakaian Pria</v>
      </c>
      <c r="E418" s="39" t="str">
        <f>IFERROR(INDEX(Katalog!$B$3:$B$12,MATCH(cadangan[[#This Row],[ItemID A]],Katalog!$C$3:$C$12,0)),"-")</f>
        <v>Kaos Polo</v>
      </c>
      <c r="F418" s="50">
        <v>5</v>
      </c>
      <c r="G418" s="50">
        <v>4</v>
      </c>
      <c r="H418" s="73">
        <f>IFERROR(INDEX(Katalog!$D$3:$D$12,MATCH(cadangan[[#This Row],[ItemID A]],Katalog!$C$3:$C$12,0))*cadangan[[#This Row],[Qty A]],0)</f>
        <v>1000000</v>
      </c>
      <c r="I418" s="73">
        <f>IFERROR(cadangan[[#This Row],[Harga Normal A]]-(cadangan[[#This Row],[Harga Normal A]]*cadangan[[#This Row],[Diskon]]),cadangan[[#This Row],[Harga Normal A]])</f>
        <v>900000</v>
      </c>
      <c r="J418" s="73">
        <f>INDEX(Katalog!$F$3:$F$12,MATCH(cadangan[[#This Row],[ItemID A]],Katalog!$C$3:$C$12,0))*cadangan[[#This Row],[Qty A]]</f>
        <v>400000</v>
      </c>
      <c r="K418" s="73">
        <f>IFERROR(cadangan[[#This Row],[Harga Diskon A]]-INDEX(Katalog!$E$3:$E$12,MATCH(cadangan[[#This Row],[ItemID A]],Katalog!$C$3:$C$12,0))*cadangan[[#This Row],[Qty A]],0)</f>
        <v>300000</v>
      </c>
      <c r="L418" s="39" t="s">
        <v>62</v>
      </c>
      <c r="M418" s="39" t="str">
        <f>IFERROR(INDEX(Katalog!$A$3:$A$12,MATCH(cadangan[[#This Row],[ItemID B]],Katalog!$C$3:$C$12,0)),"-")</f>
        <v>Pakaian Pria</v>
      </c>
      <c r="N418" s="39" t="str">
        <f>IFERROR(INDEX(Katalog!$B$3:$B$12,MATCH(cadangan[[#This Row],[ItemID B]],Katalog!$C$3:$C$12,0)),"-")</f>
        <v>Celana Pendek</v>
      </c>
      <c r="O418" s="50">
        <v>1</v>
      </c>
      <c r="P418" s="50">
        <v>3</v>
      </c>
      <c r="Q418" s="73">
        <f>IFERROR(INDEX(Katalog!$D$3:$D$12,MATCH(cadangan[[#This Row],[ItemID B]],Katalog!$C$3:$C$12,0))*cadangan[[#This Row],[Qty B]],0)</f>
        <v>180000</v>
      </c>
      <c r="R418" s="73">
        <f>IFERROR(cadangan[[#This Row],[Harga Normal B]]-(cadangan[[#This Row],[Harga Normal B]]*cadangan[[#This Row],[Diskon]]),cadangan[[#This Row],[Harga Normal B]])</f>
        <v>162000</v>
      </c>
      <c r="S418" s="73">
        <f>IFERROR(INDEX(Katalog!$F$3:$F$12,MATCH(cadangan[[#This Row],[ItemID B]],Katalog!$C$3:$C$12,0))*cadangan[[#This Row],[Qty B]],0)</f>
        <v>70000</v>
      </c>
      <c r="T418" s="73">
        <f>IFERROR(cadangan[[#This Row],[Harga Diskon B]]-INDEX(Katalog!$E$3:$E$12,MATCH(cadangan[[#This Row],[ItemID B]],Katalog!$C$3:$C$12,0))*cadangan[[#This Row],[Qty B]],0)</f>
        <v>52000</v>
      </c>
      <c r="V418" s="39" t="str">
        <f>IFERROR(INDEX(Katalog!$A$3:$A$12,MATCH(cadangan[[#This Row],[ItemID C]],Katalog!$C$3:$C$12,0)),"-")</f>
        <v>-</v>
      </c>
      <c r="W418" s="39" t="str">
        <f>IFERROR(INDEX(Katalog!$B$3:$B$12,MATCH(cadangan[[#This Row],[ItemID C]],Katalog!$C$3:$C$12,0)),"-")</f>
        <v>-</v>
      </c>
      <c r="Z418" s="73">
        <f>IFERROR(INDEX(Katalog!$D$3:$D$12,MATCH(cadangan[[#This Row],[ItemID C]],Katalog!$C$3:$C$12,0))*cadangan[[#This Row],[Qty C]],0)</f>
        <v>0</v>
      </c>
      <c r="AA418" s="73">
        <f>IFERROR(cadangan[[#This Row],[Harga Normal C]]-(cadangan[[#This Row],[Harga Normal C]]*cadangan[[#This Row],[Diskon]]),cadangan[[#This Row],[Harga Normal C]])</f>
        <v>0</v>
      </c>
      <c r="AB418" s="73">
        <f>IFERROR(INDEX(Katalog!$F$3:$F$12,MATCH(cadangan[[#This Row],[ItemID C]],Katalog!$C$3:$C$12,0))*cadangan[[#This Row],[Qty C]],0)</f>
        <v>0</v>
      </c>
      <c r="AC418" s="73">
        <f>IFERROR(cadangan[[#This Row],[Harga Diskon C]]-INDEX(Katalog!$E$3:$E$12,MATCH(cadangan[[#This Row],[ItemID C]],Katalog!$C$3:$C$12,0))*cadangan[[#This Row],[Qty C]],0)</f>
        <v>0</v>
      </c>
      <c r="AD418" s="53">
        <f>cadangan[[#This Row],[Qty A]]+cadangan[[#This Row],[Qty B]]+cadangan[[#This Row],[Qty C]]</f>
        <v>6</v>
      </c>
      <c r="AE418" s="73">
        <f>cadangan[[#This Row],[Harga Normal A]]+cadangan[[#This Row],[Harga Normal B]]+cadangan[[#This Row],[Harga Normal C]]</f>
        <v>1180000</v>
      </c>
      <c r="AF418" s="73">
        <f>cadangan[[#This Row],[Harga Diskon A]]+cadangan[[#This Row],[Harga Diskon B]]+cadangan[[#This Row],[Harga Diskon C]]</f>
        <v>1062000</v>
      </c>
      <c r="AG418" s="73">
        <f>(cadangan[[#This Row],[Profit Normal A]]+cadangan[[#This Row],[Profit Normal B]]+cadangan[[#This Row],[Profit Normal C]])</f>
        <v>470000</v>
      </c>
      <c r="AH418" s="73">
        <f>cadangan[[#This Row],[Profit Diskon A]]+cadangan[[#This Row],[Profit Diskon B]]+cadangan[[#This Row],[Profit Diskon C]]</f>
        <v>352000</v>
      </c>
      <c r="AI418" s="23" t="s">
        <v>31</v>
      </c>
      <c r="AJ418" s="37">
        <f>IFERROR(INDEX('Kode Diskon'!$D$3:$D$9,MATCH(cadangan[[#This Row],[Kode diskon]],'Kode Diskon'!$C$3:$C$9,0)),"-")</f>
        <v>0.1</v>
      </c>
      <c r="AK418" s="23" t="s">
        <v>9</v>
      </c>
      <c r="AL418" s="23" t="s">
        <v>10</v>
      </c>
      <c r="AM418" s="23" t="s">
        <v>80</v>
      </c>
      <c r="AN418" s="55">
        <v>45046</v>
      </c>
      <c r="AO418" s="53">
        <f>DAY(cadangan[[#This Row],[Tanggal terjual]])</f>
        <v>30</v>
      </c>
      <c r="AP418" s="21" t="str">
        <f>TEXT(cadangan[[#This Row],[Tanggal terjual]],"dddd")</f>
        <v>Sunday</v>
      </c>
      <c r="AQ418" s="23" t="str" cm="1">
        <f t="array" ref="AQ4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18" s="61">
        <f>AVERAGE(cadangan[[#This Row],[Rating A]],cadangan[[#This Row],[Rating B]],cadangan[[#This Row],[Rating C]])</f>
        <v>3.5</v>
      </c>
    </row>
    <row r="419" spans="1:44" x14ac:dyDescent="0.2">
      <c r="A419" s="20">
        <v>418</v>
      </c>
      <c r="B419" s="21" t="str">
        <f>_xlfn.CONCAT("ORD-",INDEX(Helper!$B$2:$B$5,MATCH(cadangan[[#This Row],[Marketplace]],Helper!$A$2:$A$5,0)),TEXT(cadangan[[#This Row],[No]],"0000"),"-",TEXT(cadangan[[#This Row],[Tanggal terjual]],"dd/mm/yy"))</f>
        <v>ORD-BB0418-01/04/23</v>
      </c>
      <c r="C419" s="39" t="s">
        <v>58</v>
      </c>
      <c r="D419" s="39" t="str">
        <f>IFERROR(INDEX(Katalog!$A$3:$A$12,MATCH(cadangan[[#This Row],[ItemID A]],Katalog!$C$3:$C$12,0)),"-")</f>
        <v>Pakaian Wanita</v>
      </c>
      <c r="E419" s="39" t="str">
        <f>IFERROR(INDEX(Katalog!$B$3:$B$12,MATCH(cadangan[[#This Row],[ItemID A]],Katalog!$C$3:$C$12,0)),"-")</f>
        <v>Dress</v>
      </c>
      <c r="F419" s="50">
        <v>2</v>
      </c>
      <c r="G419" s="50">
        <v>5</v>
      </c>
      <c r="H419" s="73">
        <f>IFERROR(INDEX(Katalog!$D$3:$D$12,MATCH(cadangan[[#This Row],[ItemID A]],Katalog!$C$3:$C$12,0))*cadangan[[#This Row],[Qty A]],0)</f>
        <v>600000</v>
      </c>
      <c r="I419" s="73">
        <f>IFERROR(cadangan[[#This Row],[Harga Normal A]]-(cadangan[[#This Row],[Harga Normal A]]*cadangan[[#This Row],[Diskon]]),cadangan[[#This Row],[Harga Normal A]])</f>
        <v>510000</v>
      </c>
      <c r="J419" s="73">
        <f>INDEX(Katalog!$F$3:$F$12,MATCH(cadangan[[#This Row],[ItemID A]],Katalog!$C$3:$C$12,0))*cadangan[[#This Row],[Qty A]]</f>
        <v>200000</v>
      </c>
      <c r="K419" s="73">
        <f>IFERROR(cadangan[[#This Row],[Harga Diskon A]]-INDEX(Katalog!$E$3:$E$12,MATCH(cadangan[[#This Row],[ItemID A]],Katalog!$C$3:$C$12,0))*cadangan[[#This Row],[Qty A]],0)</f>
        <v>110000</v>
      </c>
      <c r="L419" s="39" t="s">
        <v>67</v>
      </c>
      <c r="M419" s="39" t="str">
        <f>IFERROR(INDEX(Katalog!$A$3:$A$12,MATCH(cadangan[[#This Row],[ItemID B]],Katalog!$C$3:$C$12,0)),"-")</f>
        <v>Sepatu Wanita</v>
      </c>
      <c r="N419" s="39" t="str">
        <f>IFERROR(INDEX(Katalog!$B$3:$B$12,MATCH(cadangan[[#This Row],[ItemID B]],Katalog!$C$3:$C$12,0)),"-")</f>
        <v>Flat Shoes</v>
      </c>
      <c r="O419" s="50">
        <v>1</v>
      </c>
      <c r="P419" s="50">
        <v>5</v>
      </c>
      <c r="Q419" s="73">
        <f>IFERROR(INDEX(Katalog!$D$3:$D$12,MATCH(cadangan[[#This Row],[ItemID B]],Katalog!$C$3:$C$12,0))*cadangan[[#This Row],[Qty B]],0)</f>
        <v>250000</v>
      </c>
      <c r="R419" s="73">
        <f>IFERROR(cadangan[[#This Row],[Harga Normal B]]-(cadangan[[#This Row],[Harga Normal B]]*cadangan[[#This Row],[Diskon]]),cadangan[[#This Row],[Harga Normal B]])</f>
        <v>212500</v>
      </c>
      <c r="S419" s="73">
        <f>IFERROR(INDEX(Katalog!$F$3:$F$12,MATCH(cadangan[[#This Row],[ItemID B]],Katalog!$C$3:$C$12,0))*cadangan[[#This Row],[Qty B]],0)</f>
        <v>100000</v>
      </c>
      <c r="T419" s="73">
        <f>IFERROR(cadangan[[#This Row],[Harga Diskon B]]-INDEX(Katalog!$E$3:$E$12,MATCH(cadangan[[#This Row],[ItemID B]],Katalog!$C$3:$C$12,0))*cadangan[[#This Row],[Qty B]],0)</f>
        <v>62500</v>
      </c>
      <c r="U419" s="39" t="s">
        <v>65</v>
      </c>
      <c r="V419" s="39" t="str">
        <f>IFERROR(INDEX(Katalog!$A$3:$A$12,MATCH(cadangan[[#This Row],[ItemID C]],Katalog!$C$3:$C$12,0)),"-")</f>
        <v>Sepatu Pria</v>
      </c>
      <c r="W419" s="39" t="str">
        <f>IFERROR(INDEX(Katalog!$B$3:$B$12,MATCH(cadangan[[#This Row],[ItemID C]],Katalog!$C$3:$C$12,0)),"-")</f>
        <v>Sneakers</v>
      </c>
      <c r="X419" s="50">
        <v>1</v>
      </c>
      <c r="Y419" s="50">
        <v>3</v>
      </c>
      <c r="Z419" s="73">
        <f>IFERROR(INDEX(Katalog!$D$3:$D$12,MATCH(cadangan[[#This Row],[ItemID C]],Katalog!$C$3:$C$12,0))*cadangan[[#This Row],[Qty C]],0)</f>
        <v>500000</v>
      </c>
      <c r="AA419" s="73">
        <f>IFERROR(cadangan[[#This Row],[Harga Normal C]]-(cadangan[[#This Row],[Harga Normal C]]*cadangan[[#This Row],[Diskon]]),cadangan[[#This Row],[Harga Normal C]])</f>
        <v>425000</v>
      </c>
      <c r="AB419" s="73">
        <f>IFERROR(INDEX(Katalog!$F$3:$F$12,MATCH(cadangan[[#This Row],[ItemID C]],Katalog!$C$3:$C$12,0))*cadangan[[#This Row],[Qty C]],0)</f>
        <v>200000</v>
      </c>
      <c r="AC419" s="73">
        <f>IFERROR(cadangan[[#This Row],[Harga Diskon C]]-INDEX(Katalog!$E$3:$E$12,MATCH(cadangan[[#This Row],[ItemID C]],Katalog!$C$3:$C$12,0))*cadangan[[#This Row],[Qty C]],0)</f>
        <v>125000</v>
      </c>
      <c r="AD419" s="53">
        <f>cadangan[[#This Row],[Qty A]]+cadangan[[#This Row],[Qty B]]+cadangan[[#This Row],[Qty C]]</f>
        <v>4</v>
      </c>
      <c r="AE419" s="73">
        <f>cadangan[[#This Row],[Harga Normal A]]+cadangan[[#This Row],[Harga Normal B]]+cadangan[[#This Row],[Harga Normal C]]</f>
        <v>1350000</v>
      </c>
      <c r="AF419" s="73">
        <f>cadangan[[#This Row],[Harga Diskon A]]+cadangan[[#This Row],[Harga Diskon B]]+cadangan[[#This Row],[Harga Diskon C]]</f>
        <v>1147500</v>
      </c>
      <c r="AG419" s="73">
        <f>(cadangan[[#This Row],[Profit Normal A]]+cadangan[[#This Row],[Profit Normal B]]+cadangan[[#This Row],[Profit Normal C]])</f>
        <v>500000</v>
      </c>
      <c r="AH419" s="73">
        <f>cadangan[[#This Row],[Profit Diskon A]]+cadangan[[#This Row],[Profit Diskon B]]+cadangan[[#This Row],[Profit Diskon C]]</f>
        <v>297500</v>
      </c>
      <c r="AI419" s="23" t="s">
        <v>28</v>
      </c>
      <c r="AJ419" s="37">
        <f>IFERROR(INDEX('Kode Diskon'!$D$3:$D$9,MATCH(cadangan[[#This Row],[Kode diskon]],'Kode Diskon'!$C$3:$C$9,0)),"-")</f>
        <v>0.15</v>
      </c>
      <c r="AK419" s="23" t="s">
        <v>29</v>
      </c>
      <c r="AL419" s="23" t="s">
        <v>14</v>
      </c>
      <c r="AM419" s="23" t="s">
        <v>79</v>
      </c>
      <c r="AN419" s="55">
        <v>45017</v>
      </c>
      <c r="AO419" s="53">
        <f>DAY(cadangan[[#This Row],[Tanggal terjual]])</f>
        <v>1</v>
      </c>
      <c r="AP419" s="21" t="str">
        <f>TEXT(cadangan[[#This Row],[Tanggal terjual]],"dddd")</f>
        <v>Saturday</v>
      </c>
      <c r="AQ419" s="23" t="str" cm="1">
        <f t="array" ref="AQ4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19" s="61">
        <f>AVERAGE(cadangan[[#This Row],[Rating A]],cadangan[[#This Row],[Rating B]],cadangan[[#This Row],[Rating C]])</f>
        <v>4.333333333333333</v>
      </c>
    </row>
    <row r="420" spans="1:44" x14ac:dyDescent="0.2">
      <c r="A420" s="20">
        <v>419</v>
      </c>
      <c r="B420" s="21" t="str">
        <f>_xlfn.CONCAT("ORD-",INDEX(Helper!$B$2:$B$5,MATCH(cadangan[[#This Row],[Marketplace]],Helper!$A$2:$A$5,0)),TEXT(cadangan[[#This Row],[No]],"0000"),"-",TEXT(cadangan[[#This Row],[Tanggal terjual]],"dd/mm/yy"))</f>
        <v>ORD-BL0419-24/04/23</v>
      </c>
      <c r="C420" s="39" t="s">
        <v>59</v>
      </c>
      <c r="D420" s="39" t="str">
        <f>IFERROR(INDEX(Katalog!$A$3:$A$12,MATCH(cadangan[[#This Row],[ItemID A]],Katalog!$C$3:$C$12,0)),"-")</f>
        <v>Pakaian Wanita</v>
      </c>
      <c r="E420" s="39" t="str">
        <f>IFERROR(INDEX(Katalog!$B$3:$B$12,MATCH(cadangan[[#This Row],[ItemID A]],Katalog!$C$3:$C$12,0)),"-")</f>
        <v>Blouse</v>
      </c>
      <c r="F420" s="50">
        <v>1</v>
      </c>
      <c r="G420" s="50">
        <v>1</v>
      </c>
      <c r="H420" s="73">
        <f>IFERROR(INDEX(Katalog!$D$3:$D$12,MATCH(cadangan[[#This Row],[ItemID A]],Katalog!$C$3:$C$12,0))*cadangan[[#This Row],[Qty A]],0)</f>
        <v>150000</v>
      </c>
      <c r="I420" s="73">
        <f>IFERROR(cadangan[[#This Row],[Harga Normal A]]-(cadangan[[#This Row],[Harga Normal A]]*cadangan[[#This Row],[Diskon]]),cadangan[[#This Row],[Harga Normal A]])</f>
        <v>127500</v>
      </c>
      <c r="J420" s="73">
        <f>INDEX(Katalog!$F$3:$F$12,MATCH(cadangan[[#This Row],[ItemID A]],Katalog!$C$3:$C$12,0))*cadangan[[#This Row],[Qty A]]</f>
        <v>50000</v>
      </c>
      <c r="K420" s="73">
        <f>IFERROR(cadangan[[#This Row],[Harga Diskon A]]-INDEX(Katalog!$E$3:$E$12,MATCH(cadangan[[#This Row],[ItemID A]],Katalog!$C$3:$C$12,0))*cadangan[[#This Row],[Qty A]],0)</f>
        <v>27500</v>
      </c>
      <c r="M420" s="39" t="str">
        <f>IFERROR(INDEX(Katalog!$A$3:$A$12,MATCH(cadangan[[#This Row],[ItemID B]],Katalog!$C$3:$C$12,0)),"-")</f>
        <v>-</v>
      </c>
      <c r="N420" s="39" t="str">
        <f>IFERROR(INDEX(Katalog!$B$3:$B$12,MATCH(cadangan[[#This Row],[ItemID B]],Katalog!$C$3:$C$12,0)),"-")</f>
        <v>-</v>
      </c>
      <c r="Q420" s="73">
        <f>IFERROR(INDEX(Katalog!$D$3:$D$12,MATCH(cadangan[[#This Row],[ItemID B]],Katalog!$C$3:$C$12,0))*cadangan[[#This Row],[Qty B]],0)</f>
        <v>0</v>
      </c>
      <c r="R420" s="73">
        <f>IFERROR(cadangan[[#This Row],[Harga Normal B]]-(cadangan[[#This Row],[Harga Normal B]]*cadangan[[#This Row],[Diskon]]),cadangan[[#This Row],[Harga Normal B]])</f>
        <v>0</v>
      </c>
      <c r="S420" s="73">
        <f>IFERROR(INDEX(Katalog!$F$3:$F$12,MATCH(cadangan[[#This Row],[ItemID B]],Katalog!$C$3:$C$12,0))*cadangan[[#This Row],[Qty B]],0)</f>
        <v>0</v>
      </c>
      <c r="T420" s="73">
        <f>IFERROR(cadangan[[#This Row],[Harga Diskon B]]-INDEX(Katalog!$E$3:$E$12,MATCH(cadangan[[#This Row],[ItemID B]],Katalog!$C$3:$C$12,0))*cadangan[[#This Row],[Qty B]],0)</f>
        <v>0</v>
      </c>
      <c r="V420" s="39" t="str">
        <f>IFERROR(INDEX(Katalog!$A$3:$A$12,MATCH(cadangan[[#This Row],[ItemID C]],Katalog!$C$3:$C$12,0)),"-")</f>
        <v>-</v>
      </c>
      <c r="W420" s="39" t="str">
        <f>IFERROR(INDEX(Katalog!$B$3:$B$12,MATCH(cadangan[[#This Row],[ItemID C]],Katalog!$C$3:$C$12,0)),"-")</f>
        <v>-</v>
      </c>
      <c r="Z420" s="73">
        <f>IFERROR(INDEX(Katalog!$D$3:$D$12,MATCH(cadangan[[#This Row],[ItemID C]],Katalog!$C$3:$C$12,0))*cadangan[[#This Row],[Qty C]],0)</f>
        <v>0</v>
      </c>
      <c r="AA420" s="73">
        <f>IFERROR(cadangan[[#This Row],[Harga Normal C]]-(cadangan[[#This Row],[Harga Normal C]]*cadangan[[#This Row],[Diskon]]),cadangan[[#This Row],[Harga Normal C]])</f>
        <v>0</v>
      </c>
      <c r="AB420" s="73">
        <f>IFERROR(INDEX(Katalog!$F$3:$F$12,MATCH(cadangan[[#This Row],[ItemID C]],Katalog!$C$3:$C$12,0))*cadangan[[#This Row],[Qty C]],0)</f>
        <v>0</v>
      </c>
      <c r="AC420" s="73">
        <f>IFERROR(cadangan[[#This Row],[Harga Diskon C]]-INDEX(Katalog!$E$3:$E$12,MATCH(cadangan[[#This Row],[ItemID C]],Katalog!$C$3:$C$12,0))*cadangan[[#This Row],[Qty C]],0)</f>
        <v>0</v>
      </c>
      <c r="AD420" s="53">
        <f>cadangan[[#This Row],[Qty A]]+cadangan[[#This Row],[Qty B]]+cadangan[[#This Row],[Qty C]]</f>
        <v>1</v>
      </c>
      <c r="AE420" s="73">
        <f>cadangan[[#This Row],[Harga Normal A]]+cadangan[[#This Row],[Harga Normal B]]+cadangan[[#This Row],[Harga Normal C]]</f>
        <v>150000</v>
      </c>
      <c r="AF420" s="73">
        <f>cadangan[[#This Row],[Harga Diskon A]]+cadangan[[#This Row],[Harga Diskon B]]+cadangan[[#This Row],[Harga Diskon C]]</f>
        <v>127500</v>
      </c>
      <c r="AG420" s="73">
        <f>(cadangan[[#This Row],[Profit Normal A]]+cadangan[[#This Row],[Profit Normal B]]+cadangan[[#This Row],[Profit Normal C]])</f>
        <v>50000</v>
      </c>
      <c r="AH420" s="73">
        <f>cadangan[[#This Row],[Profit Diskon A]]+cadangan[[#This Row],[Profit Diskon B]]+cadangan[[#This Row],[Profit Diskon C]]</f>
        <v>27500</v>
      </c>
      <c r="AI420" s="23" t="s">
        <v>32</v>
      </c>
      <c r="AJ420" s="37">
        <f>IFERROR(INDEX('Kode Diskon'!$D$3:$D$9,MATCH(cadangan[[#This Row],[Kode diskon]],'Kode Diskon'!$C$3:$C$9,0)),"-")</f>
        <v>0.15</v>
      </c>
      <c r="AK420" s="23" t="s">
        <v>9</v>
      </c>
      <c r="AL420" s="23" t="s">
        <v>12</v>
      </c>
      <c r="AM420" s="23" t="s">
        <v>80</v>
      </c>
      <c r="AN420" s="55">
        <v>45040</v>
      </c>
      <c r="AO420" s="53">
        <f>DAY(cadangan[[#This Row],[Tanggal terjual]])</f>
        <v>24</v>
      </c>
      <c r="AP420" s="21" t="str">
        <f>TEXT(cadangan[[#This Row],[Tanggal terjual]],"dddd")</f>
        <v>Monday</v>
      </c>
      <c r="AQ420" s="23" t="str" cm="1">
        <f t="array" ref="AQ4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20" s="61">
        <f>AVERAGE(cadangan[[#This Row],[Rating A]],cadangan[[#This Row],[Rating B]],cadangan[[#This Row],[Rating C]])</f>
        <v>1</v>
      </c>
    </row>
    <row r="421" spans="1:44" x14ac:dyDescent="0.2">
      <c r="A421" s="20">
        <v>420</v>
      </c>
      <c r="B421" s="21" t="str">
        <f>_xlfn.CONCAT("ORD-",INDEX(Helper!$B$2:$B$5,MATCH(cadangan[[#This Row],[Marketplace]],Helper!$A$2:$A$5,0)),TEXT(cadangan[[#This Row],[No]],"0000"),"-",TEXT(cadangan[[#This Row],[Tanggal terjual]],"dd/mm/yy"))</f>
        <v>ORD-BB0420-05/04/23</v>
      </c>
      <c r="C421" s="39" t="s">
        <v>64</v>
      </c>
      <c r="D421" s="39" t="str">
        <f>IFERROR(INDEX(Katalog!$A$3:$A$12,MATCH(cadangan[[#This Row],[ItemID A]],Katalog!$C$3:$C$12,0)),"-")</f>
        <v>Pakaian Unisex</v>
      </c>
      <c r="E421" s="39" t="str">
        <f>IFERROR(INDEX(Katalog!$B$3:$B$12,MATCH(cadangan[[#This Row],[ItemID A]],Katalog!$C$3:$C$12,0)),"-")</f>
        <v>Jaket Hoodie</v>
      </c>
      <c r="F421" s="50">
        <v>3</v>
      </c>
      <c r="G421" s="50">
        <v>4</v>
      </c>
      <c r="H421" s="73">
        <f>IFERROR(INDEX(Katalog!$D$3:$D$12,MATCH(cadangan[[#This Row],[ItemID A]],Katalog!$C$3:$C$12,0))*cadangan[[#This Row],[Qty A]],0)</f>
        <v>1050000</v>
      </c>
      <c r="I421" s="73">
        <f>IFERROR(cadangan[[#This Row],[Harga Normal A]]-(cadangan[[#This Row],[Harga Normal A]]*cadangan[[#This Row],[Diskon]]),cadangan[[#This Row],[Harga Normal A]])</f>
        <v>892500</v>
      </c>
      <c r="J421" s="73">
        <f>INDEX(Katalog!$F$3:$F$12,MATCH(cadangan[[#This Row],[ItemID A]],Katalog!$C$3:$C$12,0))*cadangan[[#This Row],[Qty A]]</f>
        <v>390000</v>
      </c>
      <c r="K421" s="73">
        <f>IFERROR(cadangan[[#This Row],[Harga Diskon A]]-INDEX(Katalog!$E$3:$E$12,MATCH(cadangan[[#This Row],[ItemID A]],Katalog!$C$3:$C$12,0))*cadangan[[#This Row],[Qty A]],0)</f>
        <v>232500</v>
      </c>
      <c r="L421" s="39" t="s">
        <v>63</v>
      </c>
      <c r="M421" s="39" t="str">
        <f>IFERROR(INDEX(Katalog!$A$3:$A$12,MATCH(cadangan[[#This Row],[ItemID B]],Katalog!$C$3:$C$12,0)),"-")</f>
        <v>Pakaian Pria</v>
      </c>
      <c r="N421" s="39" t="str">
        <f>IFERROR(INDEX(Katalog!$B$3:$B$12,MATCH(cadangan[[#This Row],[ItemID B]],Katalog!$C$3:$C$12,0)),"-")</f>
        <v>Jaket Jeans</v>
      </c>
      <c r="O421" s="50">
        <v>1</v>
      </c>
      <c r="P421" s="50">
        <v>5</v>
      </c>
      <c r="Q421" s="73">
        <f>IFERROR(INDEX(Katalog!$D$3:$D$12,MATCH(cadangan[[#This Row],[ItemID B]],Katalog!$C$3:$C$12,0))*cadangan[[#This Row],[Qty B]],0)</f>
        <v>400000</v>
      </c>
      <c r="R421" s="73">
        <f>IFERROR(cadangan[[#This Row],[Harga Normal B]]-(cadangan[[#This Row],[Harga Normal B]]*cadangan[[#This Row],[Diskon]]),cadangan[[#This Row],[Harga Normal B]])</f>
        <v>340000</v>
      </c>
      <c r="S421" s="73">
        <f>IFERROR(INDEX(Katalog!$F$3:$F$12,MATCH(cadangan[[#This Row],[ItemID B]],Katalog!$C$3:$C$12,0))*cadangan[[#This Row],[Qty B]],0)</f>
        <v>150000</v>
      </c>
      <c r="T421" s="73">
        <f>IFERROR(cadangan[[#This Row],[Harga Diskon B]]-INDEX(Katalog!$E$3:$E$12,MATCH(cadangan[[#This Row],[ItemID B]],Katalog!$C$3:$C$12,0))*cadangan[[#This Row],[Qty B]],0)</f>
        <v>90000</v>
      </c>
      <c r="U421" s="39" t="s">
        <v>59</v>
      </c>
      <c r="V421" s="39" t="str">
        <f>IFERROR(INDEX(Katalog!$A$3:$A$12,MATCH(cadangan[[#This Row],[ItemID C]],Katalog!$C$3:$C$12,0)),"-")</f>
        <v>Pakaian Wanita</v>
      </c>
      <c r="W421" s="39" t="str">
        <f>IFERROR(INDEX(Katalog!$B$3:$B$12,MATCH(cadangan[[#This Row],[ItemID C]],Katalog!$C$3:$C$12,0)),"-")</f>
        <v>Blouse</v>
      </c>
      <c r="X421" s="50">
        <v>2</v>
      </c>
      <c r="Y421" s="50">
        <v>4</v>
      </c>
      <c r="Z421" s="73">
        <f>IFERROR(INDEX(Katalog!$D$3:$D$12,MATCH(cadangan[[#This Row],[ItemID C]],Katalog!$C$3:$C$12,0))*cadangan[[#This Row],[Qty C]],0)</f>
        <v>300000</v>
      </c>
      <c r="AA421" s="73">
        <f>IFERROR(cadangan[[#This Row],[Harga Normal C]]-(cadangan[[#This Row],[Harga Normal C]]*cadangan[[#This Row],[Diskon]]),cadangan[[#This Row],[Harga Normal C]])</f>
        <v>255000</v>
      </c>
      <c r="AB421" s="73">
        <f>IFERROR(INDEX(Katalog!$F$3:$F$12,MATCH(cadangan[[#This Row],[ItemID C]],Katalog!$C$3:$C$12,0))*cadangan[[#This Row],[Qty C]],0)</f>
        <v>100000</v>
      </c>
      <c r="AC421" s="73">
        <f>IFERROR(cadangan[[#This Row],[Harga Diskon C]]-INDEX(Katalog!$E$3:$E$12,MATCH(cadangan[[#This Row],[ItemID C]],Katalog!$C$3:$C$12,0))*cadangan[[#This Row],[Qty C]],0)</f>
        <v>55000</v>
      </c>
      <c r="AD421" s="53">
        <f>cadangan[[#This Row],[Qty A]]+cadangan[[#This Row],[Qty B]]+cadangan[[#This Row],[Qty C]]</f>
        <v>6</v>
      </c>
      <c r="AE421" s="73">
        <f>cadangan[[#This Row],[Harga Normal A]]+cadangan[[#This Row],[Harga Normal B]]+cadangan[[#This Row],[Harga Normal C]]</f>
        <v>1750000</v>
      </c>
      <c r="AF421" s="73">
        <f>cadangan[[#This Row],[Harga Diskon A]]+cadangan[[#This Row],[Harga Diskon B]]+cadangan[[#This Row],[Harga Diskon C]]</f>
        <v>1487500</v>
      </c>
      <c r="AG421" s="73">
        <f>(cadangan[[#This Row],[Profit Normal A]]+cadangan[[#This Row],[Profit Normal B]]+cadangan[[#This Row],[Profit Normal C]])</f>
        <v>640000</v>
      </c>
      <c r="AH421" s="73">
        <f>cadangan[[#This Row],[Profit Diskon A]]+cadangan[[#This Row],[Profit Diskon B]]+cadangan[[#This Row],[Profit Diskon C]]</f>
        <v>377500</v>
      </c>
      <c r="AI421" s="23" t="s">
        <v>28</v>
      </c>
      <c r="AJ421" s="37">
        <f>IFERROR(INDEX('Kode Diskon'!$D$3:$D$9,MATCH(cadangan[[#This Row],[Kode diskon]],'Kode Diskon'!$C$3:$C$9,0)),"-")</f>
        <v>0.15</v>
      </c>
      <c r="AK421" s="23" t="s">
        <v>29</v>
      </c>
      <c r="AL421" s="23" t="s">
        <v>14</v>
      </c>
      <c r="AM421" s="23" t="s">
        <v>76</v>
      </c>
      <c r="AN421" s="55">
        <v>45021</v>
      </c>
      <c r="AO421" s="53">
        <f>DAY(cadangan[[#This Row],[Tanggal terjual]])</f>
        <v>5</v>
      </c>
      <c r="AP421" s="21" t="str">
        <f>TEXT(cadangan[[#This Row],[Tanggal terjual]],"dddd")</f>
        <v>Wednesday</v>
      </c>
      <c r="AQ421" s="23" t="str" cm="1">
        <f t="array" ref="AQ4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21" s="61">
        <f>AVERAGE(cadangan[[#This Row],[Rating A]],cadangan[[#This Row],[Rating B]],cadangan[[#This Row],[Rating C]])</f>
        <v>4.333333333333333</v>
      </c>
    </row>
    <row r="422" spans="1:44" x14ac:dyDescent="0.2">
      <c r="A422" s="20">
        <v>421</v>
      </c>
      <c r="B422" s="21" t="str">
        <f>_xlfn.CONCAT("ORD-",INDEX(Helper!$B$2:$B$5,MATCH(cadangan[[#This Row],[Marketplace]],Helper!$A$2:$A$5,0)),TEXT(cadangan[[#This Row],[No]],"0000"),"-",TEXT(cadangan[[#This Row],[Tanggal terjual]],"dd/mm/yy"))</f>
        <v>ORD-TK0421-16/04/23</v>
      </c>
      <c r="C422" s="39" t="s">
        <v>60</v>
      </c>
      <c r="D422" s="39" t="str">
        <f>IFERROR(INDEX(Katalog!$A$3:$A$12,MATCH(cadangan[[#This Row],[ItemID A]],Katalog!$C$3:$C$12,0)),"-")</f>
        <v>Pakaian Wanita</v>
      </c>
      <c r="E422" s="39" t="str">
        <f>IFERROR(INDEX(Katalog!$B$3:$B$12,MATCH(cadangan[[#This Row],[ItemID A]],Katalog!$C$3:$C$12,0)),"-")</f>
        <v>Kaftan</v>
      </c>
      <c r="F422" s="50">
        <v>1</v>
      </c>
      <c r="G422" s="50">
        <v>4</v>
      </c>
      <c r="H422" s="73">
        <f>IFERROR(INDEX(Katalog!$D$3:$D$12,MATCH(cadangan[[#This Row],[ItemID A]],Katalog!$C$3:$C$12,0))*cadangan[[#This Row],[Qty A]],0)</f>
        <v>250000</v>
      </c>
      <c r="I422" s="73">
        <f>IFERROR(cadangan[[#This Row],[Harga Normal A]]-(cadangan[[#This Row],[Harga Normal A]]*cadangan[[#This Row],[Diskon]]),cadangan[[#This Row],[Harga Normal A]])</f>
        <v>225000</v>
      </c>
      <c r="J422" s="73">
        <f>INDEX(Katalog!$F$3:$F$12,MATCH(cadangan[[#This Row],[ItemID A]],Katalog!$C$3:$C$12,0))*cadangan[[#This Row],[Qty A]]</f>
        <v>100000</v>
      </c>
      <c r="K422" s="73">
        <f>IFERROR(cadangan[[#This Row],[Harga Diskon A]]-INDEX(Katalog!$E$3:$E$12,MATCH(cadangan[[#This Row],[ItemID A]],Katalog!$C$3:$C$12,0))*cadangan[[#This Row],[Qty A]],0)</f>
        <v>75000</v>
      </c>
      <c r="M422" s="39" t="str">
        <f>IFERROR(INDEX(Katalog!$A$3:$A$12,MATCH(cadangan[[#This Row],[ItemID B]],Katalog!$C$3:$C$12,0)),"-")</f>
        <v>-</v>
      </c>
      <c r="N422" s="39" t="str">
        <f>IFERROR(INDEX(Katalog!$B$3:$B$12,MATCH(cadangan[[#This Row],[ItemID B]],Katalog!$C$3:$C$12,0)),"-")</f>
        <v>-</v>
      </c>
      <c r="Q422" s="73">
        <f>IFERROR(INDEX(Katalog!$D$3:$D$12,MATCH(cadangan[[#This Row],[ItemID B]],Katalog!$C$3:$C$12,0))*cadangan[[#This Row],[Qty B]],0)</f>
        <v>0</v>
      </c>
      <c r="R422" s="73">
        <f>IFERROR(cadangan[[#This Row],[Harga Normal B]]-(cadangan[[#This Row],[Harga Normal B]]*cadangan[[#This Row],[Diskon]]),cadangan[[#This Row],[Harga Normal B]])</f>
        <v>0</v>
      </c>
      <c r="S422" s="73">
        <f>IFERROR(INDEX(Katalog!$F$3:$F$12,MATCH(cadangan[[#This Row],[ItemID B]],Katalog!$C$3:$C$12,0))*cadangan[[#This Row],[Qty B]],0)</f>
        <v>0</v>
      </c>
      <c r="T422" s="73">
        <f>IFERROR(cadangan[[#This Row],[Harga Diskon B]]-INDEX(Katalog!$E$3:$E$12,MATCH(cadangan[[#This Row],[ItemID B]],Katalog!$C$3:$C$12,0))*cadangan[[#This Row],[Qty B]],0)</f>
        <v>0</v>
      </c>
      <c r="V422" s="39" t="str">
        <f>IFERROR(INDEX(Katalog!$A$3:$A$12,MATCH(cadangan[[#This Row],[ItemID C]],Katalog!$C$3:$C$12,0)),"-")</f>
        <v>-</v>
      </c>
      <c r="W422" s="39" t="str">
        <f>IFERROR(INDEX(Katalog!$B$3:$B$12,MATCH(cadangan[[#This Row],[ItemID C]],Katalog!$C$3:$C$12,0)),"-")</f>
        <v>-</v>
      </c>
      <c r="Z422" s="73">
        <f>IFERROR(INDEX(Katalog!$D$3:$D$12,MATCH(cadangan[[#This Row],[ItemID C]],Katalog!$C$3:$C$12,0))*cadangan[[#This Row],[Qty C]],0)</f>
        <v>0</v>
      </c>
      <c r="AA422" s="73">
        <f>IFERROR(cadangan[[#This Row],[Harga Normal C]]-(cadangan[[#This Row],[Harga Normal C]]*cadangan[[#This Row],[Diskon]]),cadangan[[#This Row],[Harga Normal C]])</f>
        <v>0</v>
      </c>
      <c r="AB422" s="73">
        <f>IFERROR(INDEX(Katalog!$F$3:$F$12,MATCH(cadangan[[#This Row],[ItemID C]],Katalog!$C$3:$C$12,0))*cadangan[[#This Row],[Qty C]],0)</f>
        <v>0</v>
      </c>
      <c r="AC422" s="73">
        <f>IFERROR(cadangan[[#This Row],[Harga Diskon C]]-INDEX(Katalog!$E$3:$E$12,MATCH(cadangan[[#This Row],[ItemID C]],Katalog!$C$3:$C$12,0))*cadangan[[#This Row],[Qty C]],0)</f>
        <v>0</v>
      </c>
      <c r="AD422" s="53">
        <f>cadangan[[#This Row],[Qty A]]+cadangan[[#This Row],[Qty B]]+cadangan[[#This Row],[Qty C]]</f>
        <v>1</v>
      </c>
      <c r="AE422" s="73">
        <f>cadangan[[#This Row],[Harga Normal A]]+cadangan[[#This Row],[Harga Normal B]]+cadangan[[#This Row],[Harga Normal C]]</f>
        <v>250000</v>
      </c>
      <c r="AF422" s="73">
        <f>cadangan[[#This Row],[Harga Diskon A]]+cadangan[[#This Row],[Harga Diskon B]]+cadangan[[#This Row],[Harga Diskon C]]</f>
        <v>225000</v>
      </c>
      <c r="AG422" s="73">
        <f>(cadangan[[#This Row],[Profit Normal A]]+cadangan[[#This Row],[Profit Normal B]]+cadangan[[#This Row],[Profit Normal C]])</f>
        <v>100000</v>
      </c>
      <c r="AH422" s="73">
        <f>cadangan[[#This Row],[Profit Diskon A]]+cadangan[[#This Row],[Profit Diskon B]]+cadangan[[#This Row],[Profit Diskon C]]</f>
        <v>75000</v>
      </c>
      <c r="AI422" s="23" t="s">
        <v>31</v>
      </c>
      <c r="AJ422" s="37">
        <f>IFERROR(INDEX('Kode Diskon'!$D$3:$D$9,MATCH(cadangan[[#This Row],[Kode diskon]],'Kode Diskon'!$C$3:$C$9,0)),"-")</f>
        <v>0.1</v>
      </c>
      <c r="AK422" s="23" t="s">
        <v>9</v>
      </c>
      <c r="AL422" s="23" t="s">
        <v>10</v>
      </c>
      <c r="AM422" s="23" t="s">
        <v>75</v>
      </c>
      <c r="AN422" s="55">
        <v>45032</v>
      </c>
      <c r="AO422" s="53">
        <f>DAY(cadangan[[#This Row],[Tanggal terjual]])</f>
        <v>16</v>
      </c>
      <c r="AP422" s="21" t="str">
        <f>TEXT(cadangan[[#This Row],[Tanggal terjual]],"dddd")</f>
        <v>Sunday</v>
      </c>
      <c r="AQ422" s="23" t="str" cm="1">
        <f t="array" ref="AQ4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22" s="61">
        <f>AVERAGE(cadangan[[#This Row],[Rating A]],cadangan[[#This Row],[Rating B]],cadangan[[#This Row],[Rating C]])</f>
        <v>4</v>
      </c>
    </row>
    <row r="423" spans="1:44" x14ac:dyDescent="0.2">
      <c r="A423" s="20">
        <v>422</v>
      </c>
      <c r="B423" s="21" t="str">
        <f>_xlfn.CONCAT("ORD-",INDEX(Helper!$B$2:$B$5,MATCH(cadangan[[#This Row],[Marketplace]],Helper!$A$2:$A$5,0)),TEXT(cadangan[[#This Row],[No]],"0000"),"-",TEXT(cadangan[[#This Row],[Tanggal terjual]],"dd/mm/yy"))</f>
        <v>ORD-SP0422-11/04/23</v>
      </c>
      <c r="C423" s="39" t="s">
        <v>63</v>
      </c>
      <c r="D423" s="39" t="str">
        <f>IFERROR(INDEX(Katalog!$A$3:$A$12,MATCH(cadangan[[#This Row],[ItemID A]],Katalog!$C$3:$C$12,0)),"-")</f>
        <v>Pakaian Pria</v>
      </c>
      <c r="E423" s="39" t="str">
        <f>IFERROR(INDEX(Katalog!$B$3:$B$12,MATCH(cadangan[[#This Row],[ItemID A]],Katalog!$C$3:$C$12,0)),"-")</f>
        <v>Jaket Jeans</v>
      </c>
      <c r="F423" s="50">
        <v>1</v>
      </c>
      <c r="G423" s="50">
        <v>3</v>
      </c>
      <c r="H423" s="73">
        <f>IFERROR(INDEX(Katalog!$D$3:$D$12,MATCH(cadangan[[#This Row],[ItemID A]],Katalog!$C$3:$C$12,0))*cadangan[[#This Row],[Qty A]],0)</f>
        <v>400000</v>
      </c>
      <c r="I423" s="73">
        <f>IFERROR(cadangan[[#This Row],[Harga Normal A]]-(cadangan[[#This Row],[Harga Normal A]]*cadangan[[#This Row],[Diskon]]),cadangan[[#This Row],[Harga Normal A]])</f>
        <v>400000</v>
      </c>
      <c r="J423" s="73">
        <f>INDEX(Katalog!$F$3:$F$12,MATCH(cadangan[[#This Row],[ItemID A]],Katalog!$C$3:$C$12,0))*cadangan[[#This Row],[Qty A]]</f>
        <v>150000</v>
      </c>
      <c r="K423" s="73">
        <f>IFERROR(cadangan[[#This Row],[Harga Diskon A]]-INDEX(Katalog!$E$3:$E$12,MATCH(cadangan[[#This Row],[ItemID A]],Katalog!$C$3:$C$12,0))*cadangan[[#This Row],[Qty A]],0)</f>
        <v>150000</v>
      </c>
      <c r="L423" s="39" t="s">
        <v>62</v>
      </c>
      <c r="M423" s="39" t="str">
        <f>IFERROR(INDEX(Katalog!$A$3:$A$12,MATCH(cadangan[[#This Row],[ItemID B]],Katalog!$C$3:$C$12,0)),"-")</f>
        <v>Pakaian Pria</v>
      </c>
      <c r="N423" s="39" t="str">
        <f>IFERROR(INDEX(Katalog!$B$3:$B$12,MATCH(cadangan[[#This Row],[ItemID B]],Katalog!$C$3:$C$12,0)),"-")</f>
        <v>Celana Pendek</v>
      </c>
      <c r="O423" s="50">
        <v>5</v>
      </c>
      <c r="P423" s="50">
        <v>2</v>
      </c>
      <c r="Q423" s="73">
        <f>IFERROR(INDEX(Katalog!$D$3:$D$12,MATCH(cadangan[[#This Row],[ItemID B]],Katalog!$C$3:$C$12,0))*cadangan[[#This Row],[Qty B]],0)</f>
        <v>900000</v>
      </c>
      <c r="R423" s="73">
        <f>IFERROR(cadangan[[#This Row],[Harga Normal B]]-(cadangan[[#This Row],[Harga Normal B]]*cadangan[[#This Row],[Diskon]]),cadangan[[#This Row],[Harga Normal B]])</f>
        <v>900000</v>
      </c>
      <c r="S423" s="73">
        <f>IFERROR(INDEX(Katalog!$F$3:$F$12,MATCH(cadangan[[#This Row],[ItemID B]],Katalog!$C$3:$C$12,0))*cadangan[[#This Row],[Qty B]],0)</f>
        <v>350000</v>
      </c>
      <c r="T423" s="73">
        <f>IFERROR(cadangan[[#This Row],[Harga Diskon B]]-INDEX(Katalog!$E$3:$E$12,MATCH(cadangan[[#This Row],[ItemID B]],Katalog!$C$3:$C$12,0))*cadangan[[#This Row],[Qty B]],0)</f>
        <v>350000</v>
      </c>
      <c r="V423" s="39" t="str">
        <f>IFERROR(INDEX(Katalog!$A$3:$A$12,MATCH(cadangan[[#This Row],[ItemID C]],Katalog!$C$3:$C$12,0)),"-")</f>
        <v>-</v>
      </c>
      <c r="W423" s="39" t="str">
        <f>IFERROR(INDEX(Katalog!$B$3:$B$12,MATCH(cadangan[[#This Row],[ItemID C]],Katalog!$C$3:$C$12,0)),"-")</f>
        <v>-</v>
      </c>
      <c r="Z423" s="73">
        <f>IFERROR(INDEX(Katalog!$D$3:$D$12,MATCH(cadangan[[#This Row],[ItemID C]],Katalog!$C$3:$C$12,0))*cadangan[[#This Row],[Qty C]],0)</f>
        <v>0</v>
      </c>
      <c r="AA423" s="73">
        <f>IFERROR(cadangan[[#This Row],[Harga Normal C]]-(cadangan[[#This Row],[Harga Normal C]]*cadangan[[#This Row],[Diskon]]),cadangan[[#This Row],[Harga Normal C]])</f>
        <v>0</v>
      </c>
      <c r="AB423" s="73">
        <f>IFERROR(INDEX(Katalog!$F$3:$F$12,MATCH(cadangan[[#This Row],[ItemID C]],Katalog!$C$3:$C$12,0))*cadangan[[#This Row],[Qty C]],0)</f>
        <v>0</v>
      </c>
      <c r="AC423" s="73">
        <f>IFERROR(cadangan[[#This Row],[Harga Diskon C]]-INDEX(Katalog!$E$3:$E$12,MATCH(cadangan[[#This Row],[ItemID C]],Katalog!$C$3:$C$12,0))*cadangan[[#This Row],[Qty C]],0)</f>
        <v>0</v>
      </c>
      <c r="AD423" s="53">
        <f>cadangan[[#This Row],[Qty A]]+cadangan[[#This Row],[Qty B]]+cadangan[[#This Row],[Qty C]]</f>
        <v>6</v>
      </c>
      <c r="AE423" s="73">
        <f>cadangan[[#This Row],[Harga Normal A]]+cadangan[[#This Row],[Harga Normal B]]+cadangan[[#This Row],[Harga Normal C]]</f>
        <v>1300000</v>
      </c>
      <c r="AF423" s="73">
        <f>cadangan[[#This Row],[Harga Diskon A]]+cadangan[[#This Row],[Harga Diskon B]]+cadangan[[#This Row],[Harga Diskon C]]</f>
        <v>1300000</v>
      </c>
      <c r="AG423" s="73">
        <f>(cadangan[[#This Row],[Profit Normal A]]+cadangan[[#This Row],[Profit Normal B]]+cadangan[[#This Row],[Profit Normal C]])</f>
        <v>500000</v>
      </c>
      <c r="AH423" s="73">
        <f>cadangan[[#This Row],[Profit Diskon A]]+cadangan[[#This Row],[Profit Diskon B]]+cadangan[[#This Row],[Profit Diskon C]]</f>
        <v>500000</v>
      </c>
      <c r="AI423" s="23" t="s">
        <v>290</v>
      </c>
      <c r="AJ423" s="37" t="str">
        <f>IFERROR(INDEX('Kode Diskon'!$D$3:$D$9,MATCH(cadangan[[#This Row],[Kode diskon]],'Kode Diskon'!$C$3:$C$9,0)),"-")</f>
        <v>-</v>
      </c>
      <c r="AK423" s="23" t="s">
        <v>290</v>
      </c>
      <c r="AL423" s="23" t="s">
        <v>7</v>
      </c>
      <c r="AM423" s="23" t="s">
        <v>76</v>
      </c>
      <c r="AN423" s="55">
        <v>45027</v>
      </c>
      <c r="AO423" s="53">
        <f>DAY(cadangan[[#This Row],[Tanggal terjual]])</f>
        <v>11</v>
      </c>
      <c r="AP423" s="21" t="str">
        <f>TEXT(cadangan[[#This Row],[Tanggal terjual]],"dddd")</f>
        <v>Tuesday</v>
      </c>
      <c r="AQ423" s="23" t="str" cm="1">
        <f t="array" ref="AQ4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23" s="61">
        <f>AVERAGE(cadangan[[#This Row],[Rating A]],cadangan[[#This Row],[Rating B]],cadangan[[#This Row],[Rating C]])</f>
        <v>2.5</v>
      </c>
    </row>
    <row r="424" spans="1:44" x14ac:dyDescent="0.2">
      <c r="A424" s="20">
        <v>423</v>
      </c>
      <c r="B424" s="21" t="str">
        <f>_xlfn.CONCAT("ORD-",INDEX(Helper!$B$2:$B$5,MATCH(cadangan[[#This Row],[Marketplace]],Helper!$A$2:$A$5,0)),TEXT(cadangan[[#This Row],[No]],"0000"),"-",TEXT(cadangan[[#This Row],[Tanggal terjual]],"dd/mm/yy"))</f>
        <v>ORD-SP0423-15/04/23</v>
      </c>
      <c r="C424" s="39" t="s">
        <v>67</v>
      </c>
      <c r="D424" s="39" t="str">
        <f>IFERROR(INDEX(Katalog!$A$3:$A$12,MATCH(cadangan[[#This Row],[ItemID A]],Katalog!$C$3:$C$12,0)),"-")</f>
        <v>Sepatu Wanita</v>
      </c>
      <c r="E424" s="39" t="str">
        <f>IFERROR(INDEX(Katalog!$B$3:$B$12,MATCH(cadangan[[#This Row],[ItemID A]],Katalog!$C$3:$C$12,0)),"-")</f>
        <v>Flat Shoes</v>
      </c>
      <c r="F424" s="50">
        <v>1</v>
      </c>
      <c r="G424" s="50">
        <v>2</v>
      </c>
      <c r="H424" s="73">
        <f>IFERROR(INDEX(Katalog!$D$3:$D$12,MATCH(cadangan[[#This Row],[ItemID A]],Katalog!$C$3:$C$12,0))*cadangan[[#This Row],[Qty A]],0)</f>
        <v>250000</v>
      </c>
      <c r="I424" s="73">
        <f>IFERROR(cadangan[[#This Row],[Harga Normal A]]-(cadangan[[#This Row],[Harga Normal A]]*cadangan[[#This Row],[Diskon]]),cadangan[[#This Row],[Harga Normal A]])</f>
        <v>250000</v>
      </c>
      <c r="J424" s="73">
        <f>INDEX(Katalog!$F$3:$F$12,MATCH(cadangan[[#This Row],[ItemID A]],Katalog!$C$3:$C$12,0))*cadangan[[#This Row],[Qty A]]</f>
        <v>100000</v>
      </c>
      <c r="K424" s="73">
        <f>IFERROR(cadangan[[#This Row],[Harga Diskon A]]-INDEX(Katalog!$E$3:$E$12,MATCH(cadangan[[#This Row],[ItemID A]],Katalog!$C$3:$C$12,0))*cadangan[[#This Row],[Qty A]],0)</f>
        <v>100000</v>
      </c>
      <c r="L424" s="39" t="s">
        <v>66</v>
      </c>
      <c r="M424" s="39" t="str">
        <f>IFERROR(INDEX(Katalog!$A$3:$A$12,MATCH(cadangan[[#This Row],[ItemID B]],Katalog!$C$3:$C$12,0)),"-")</f>
        <v>Sepatu Pria</v>
      </c>
      <c r="N424" s="39" t="str">
        <f>IFERROR(INDEX(Katalog!$B$3:$B$12,MATCH(cadangan[[#This Row],[ItemID B]],Katalog!$C$3:$C$12,0)),"-")</f>
        <v>Sandal Slip On</v>
      </c>
      <c r="O424" s="50">
        <v>1</v>
      </c>
      <c r="P424" s="50">
        <v>3</v>
      </c>
      <c r="Q424" s="73">
        <f>IFERROR(INDEX(Katalog!$D$3:$D$12,MATCH(cadangan[[#This Row],[ItemID B]],Katalog!$C$3:$C$12,0))*cadangan[[#This Row],[Qty B]],0)</f>
        <v>150000</v>
      </c>
      <c r="R424" s="73">
        <f>IFERROR(cadangan[[#This Row],[Harga Normal B]]-(cadangan[[#This Row],[Harga Normal B]]*cadangan[[#This Row],[Diskon]]),cadangan[[#This Row],[Harga Normal B]])</f>
        <v>150000</v>
      </c>
      <c r="S424" s="73">
        <f>IFERROR(INDEX(Katalog!$F$3:$F$12,MATCH(cadangan[[#This Row],[ItemID B]],Katalog!$C$3:$C$12,0))*cadangan[[#This Row],[Qty B]],0)</f>
        <v>60000</v>
      </c>
      <c r="T424" s="73">
        <f>IFERROR(cadangan[[#This Row],[Harga Diskon B]]-INDEX(Katalog!$E$3:$E$12,MATCH(cadangan[[#This Row],[ItemID B]],Katalog!$C$3:$C$12,0))*cadangan[[#This Row],[Qty B]],0)</f>
        <v>60000</v>
      </c>
      <c r="U424" s="39" t="s">
        <v>65</v>
      </c>
      <c r="V424" s="39" t="str">
        <f>IFERROR(INDEX(Katalog!$A$3:$A$12,MATCH(cadangan[[#This Row],[ItemID C]],Katalog!$C$3:$C$12,0)),"-")</f>
        <v>Sepatu Pria</v>
      </c>
      <c r="W424" s="39" t="str">
        <f>IFERROR(INDEX(Katalog!$B$3:$B$12,MATCH(cadangan[[#This Row],[ItemID C]],Katalog!$C$3:$C$12,0)),"-")</f>
        <v>Sneakers</v>
      </c>
      <c r="X424" s="50">
        <v>1</v>
      </c>
      <c r="Y424" s="50">
        <v>2</v>
      </c>
      <c r="Z424" s="73">
        <f>IFERROR(INDEX(Katalog!$D$3:$D$12,MATCH(cadangan[[#This Row],[ItemID C]],Katalog!$C$3:$C$12,0))*cadangan[[#This Row],[Qty C]],0)</f>
        <v>500000</v>
      </c>
      <c r="AA424" s="73">
        <f>IFERROR(cadangan[[#This Row],[Harga Normal C]]-(cadangan[[#This Row],[Harga Normal C]]*cadangan[[#This Row],[Diskon]]),cadangan[[#This Row],[Harga Normal C]])</f>
        <v>500000</v>
      </c>
      <c r="AB424" s="73">
        <f>IFERROR(INDEX(Katalog!$F$3:$F$12,MATCH(cadangan[[#This Row],[ItemID C]],Katalog!$C$3:$C$12,0))*cadangan[[#This Row],[Qty C]],0)</f>
        <v>200000</v>
      </c>
      <c r="AC424" s="73">
        <f>IFERROR(cadangan[[#This Row],[Harga Diskon C]]-INDEX(Katalog!$E$3:$E$12,MATCH(cadangan[[#This Row],[ItemID C]],Katalog!$C$3:$C$12,0))*cadangan[[#This Row],[Qty C]],0)</f>
        <v>200000</v>
      </c>
      <c r="AD424" s="53">
        <f>cadangan[[#This Row],[Qty A]]+cadangan[[#This Row],[Qty B]]+cadangan[[#This Row],[Qty C]]</f>
        <v>3</v>
      </c>
      <c r="AE424" s="73">
        <f>cadangan[[#This Row],[Harga Normal A]]+cadangan[[#This Row],[Harga Normal B]]+cadangan[[#This Row],[Harga Normal C]]</f>
        <v>900000</v>
      </c>
      <c r="AF424" s="73">
        <f>cadangan[[#This Row],[Harga Diskon A]]+cadangan[[#This Row],[Harga Diskon B]]+cadangan[[#This Row],[Harga Diskon C]]</f>
        <v>900000</v>
      </c>
      <c r="AG424" s="73">
        <f>(cadangan[[#This Row],[Profit Normal A]]+cadangan[[#This Row],[Profit Normal B]]+cadangan[[#This Row],[Profit Normal C]])</f>
        <v>360000</v>
      </c>
      <c r="AH424" s="73">
        <f>cadangan[[#This Row],[Profit Diskon A]]+cadangan[[#This Row],[Profit Diskon B]]+cadangan[[#This Row],[Profit Diskon C]]</f>
        <v>360000</v>
      </c>
      <c r="AI424" s="23" t="s">
        <v>290</v>
      </c>
      <c r="AJ424" s="37" t="str">
        <f>IFERROR(INDEX('Kode Diskon'!$D$3:$D$9,MATCH(cadangan[[#This Row],[Kode diskon]],'Kode Diskon'!$C$3:$C$9,0)),"-")</f>
        <v>-</v>
      </c>
      <c r="AK424" s="23" t="s">
        <v>290</v>
      </c>
      <c r="AL424" s="23" t="s">
        <v>7</v>
      </c>
      <c r="AM424" s="23" t="s">
        <v>80</v>
      </c>
      <c r="AN424" s="55">
        <v>45031</v>
      </c>
      <c r="AO424" s="53">
        <f>DAY(cadangan[[#This Row],[Tanggal terjual]])</f>
        <v>15</v>
      </c>
      <c r="AP424" s="21" t="str">
        <f>TEXT(cadangan[[#This Row],[Tanggal terjual]],"dddd")</f>
        <v>Saturday</v>
      </c>
      <c r="AQ424" s="23" t="str" cm="1">
        <f t="array" ref="AQ4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24" s="61">
        <f>AVERAGE(cadangan[[#This Row],[Rating A]],cadangan[[#This Row],[Rating B]],cadangan[[#This Row],[Rating C]])</f>
        <v>2.3333333333333335</v>
      </c>
    </row>
    <row r="425" spans="1:44" x14ac:dyDescent="0.2">
      <c r="A425" s="20">
        <v>424</v>
      </c>
      <c r="B425" s="21" t="str">
        <f>_xlfn.CONCAT("ORD-",INDEX(Helper!$B$2:$B$5,MATCH(cadangan[[#This Row],[Marketplace]],Helper!$A$2:$A$5,0)),TEXT(cadangan[[#This Row],[No]],"0000"),"-",TEXT(cadangan[[#This Row],[Tanggal terjual]],"dd/mm/yy"))</f>
        <v>ORD-SP0424-29/04/23</v>
      </c>
      <c r="C425" s="39" t="s">
        <v>65</v>
      </c>
      <c r="D425" s="39" t="str">
        <f>IFERROR(INDEX(Katalog!$A$3:$A$12,MATCH(cadangan[[#This Row],[ItemID A]],Katalog!$C$3:$C$12,0)),"-")</f>
        <v>Sepatu Pria</v>
      </c>
      <c r="E425" s="39" t="str">
        <f>IFERROR(INDEX(Katalog!$B$3:$B$12,MATCH(cadangan[[#This Row],[ItemID A]],Katalog!$C$3:$C$12,0)),"-")</f>
        <v>Sneakers</v>
      </c>
      <c r="F425" s="50">
        <v>7</v>
      </c>
      <c r="G425" s="50">
        <v>1</v>
      </c>
      <c r="H425" s="73">
        <f>IFERROR(INDEX(Katalog!$D$3:$D$12,MATCH(cadangan[[#This Row],[ItemID A]],Katalog!$C$3:$C$12,0))*cadangan[[#This Row],[Qty A]],0)</f>
        <v>3500000</v>
      </c>
      <c r="I425" s="73">
        <f>IFERROR(cadangan[[#This Row],[Harga Normal A]]-(cadangan[[#This Row],[Harga Normal A]]*cadangan[[#This Row],[Diskon]]),cadangan[[#This Row],[Harga Normal A]])</f>
        <v>2800000</v>
      </c>
      <c r="J425" s="73">
        <f>INDEX(Katalog!$F$3:$F$12,MATCH(cadangan[[#This Row],[ItemID A]],Katalog!$C$3:$C$12,0))*cadangan[[#This Row],[Qty A]]</f>
        <v>1400000</v>
      </c>
      <c r="K425" s="73">
        <f>IFERROR(cadangan[[#This Row],[Harga Diskon A]]-INDEX(Katalog!$E$3:$E$12,MATCH(cadangan[[#This Row],[ItemID A]],Katalog!$C$3:$C$12,0))*cadangan[[#This Row],[Qty A]],0)</f>
        <v>700000</v>
      </c>
      <c r="M425" s="39" t="str">
        <f>IFERROR(INDEX(Katalog!$A$3:$A$12,MATCH(cadangan[[#This Row],[ItemID B]],Katalog!$C$3:$C$12,0)),"-")</f>
        <v>-</v>
      </c>
      <c r="N425" s="39" t="str">
        <f>IFERROR(INDEX(Katalog!$B$3:$B$12,MATCH(cadangan[[#This Row],[ItemID B]],Katalog!$C$3:$C$12,0)),"-")</f>
        <v>-</v>
      </c>
      <c r="Q425" s="73">
        <f>IFERROR(INDEX(Katalog!$D$3:$D$12,MATCH(cadangan[[#This Row],[ItemID B]],Katalog!$C$3:$C$12,0))*cadangan[[#This Row],[Qty B]],0)</f>
        <v>0</v>
      </c>
      <c r="R425" s="73">
        <f>IFERROR(cadangan[[#This Row],[Harga Normal B]]-(cadangan[[#This Row],[Harga Normal B]]*cadangan[[#This Row],[Diskon]]),cadangan[[#This Row],[Harga Normal B]])</f>
        <v>0</v>
      </c>
      <c r="S425" s="73">
        <f>IFERROR(INDEX(Katalog!$F$3:$F$12,MATCH(cadangan[[#This Row],[ItemID B]],Katalog!$C$3:$C$12,0))*cadangan[[#This Row],[Qty B]],0)</f>
        <v>0</v>
      </c>
      <c r="T425" s="73">
        <f>IFERROR(cadangan[[#This Row],[Harga Diskon B]]-INDEX(Katalog!$E$3:$E$12,MATCH(cadangan[[#This Row],[ItemID B]],Katalog!$C$3:$C$12,0))*cadangan[[#This Row],[Qty B]],0)</f>
        <v>0</v>
      </c>
      <c r="V425" s="39" t="str">
        <f>IFERROR(INDEX(Katalog!$A$3:$A$12,MATCH(cadangan[[#This Row],[ItemID C]],Katalog!$C$3:$C$12,0)),"-")</f>
        <v>-</v>
      </c>
      <c r="W425" s="39" t="str">
        <f>IFERROR(INDEX(Katalog!$B$3:$B$12,MATCH(cadangan[[#This Row],[ItemID C]],Katalog!$C$3:$C$12,0)),"-")</f>
        <v>-</v>
      </c>
      <c r="Z425" s="73">
        <f>IFERROR(INDEX(Katalog!$D$3:$D$12,MATCH(cadangan[[#This Row],[ItemID C]],Katalog!$C$3:$C$12,0))*cadangan[[#This Row],[Qty C]],0)</f>
        <v>0</v>
      </c>
      <c r="AA425" s="73">
        <f>IFERROR(cadangan[[#This Row],[Harga Normal C]]-(cadangan[[#This Row],[Harga Normal C]]*cadangan[[#This Row],[Diskon]]),cadangan[[#This Row],[Harga Normal C]])</f>
        <v>0</v>
      </c>
      <c r="AB425" s="73">
        <f>IFERROR(INDEX(Katalog!$F$3:$F$12,MATCH(cadangan[[#This Row],[ItemID C]],Katalog!$C$3:$C$12,0))*cadangan[[#This Row],[Qty C]],0)</f>
        <v>0</v>
      </c>
      <c r="AC425" s="73">
        <f>IFERROR(cadangan[[#This Row],[Harga Diskon C]]-INDEX(Katalog!$E$3:$E$12,MATCH(cadangan[[#This Row],[ItemID C]],Katalog!$C$3:$C$12,0))*cadangan[[#This Row],[Qty C]],0)</f>
        <v>0</v>
      </c>
      <c r="AD425" s="53">
        <f>cadangan[[#This Row],[Qty A]]+cadangan[[#This Row],[Qty B]]+cadangan[[#This Row],[Qty C]]</f>
        <v>7</v>
      </c>
      <c r="AE425" s="73">
        <f>cadangan[[#This Row],[Harga Normal A]]+cadangan[[#This Row],[Harga Normal B]]+cadangan[[#This Row],[Harga Normal C]]</f>
        <v>3500000</v>
      </c>
      <c r="AF425" s="73">
        <f>cadangan[[#This Row],[Harga Diskon A]]+cadangan[[#This Row],[Harga Diskon B]]+cadangan[[#This Row],[Harga Diskon C]]</f>
        <v>2800000</v>
      </c>
      <c r="AG425" s="73">
        <f>(cadangan[[#This Row],[Profit Normal A]]+cadangan[[#This Row],[Profit Normal B]]+cadangan[[#This Row],[Profit Normal C]])</f>
        <v>1400000</v>
      </c>
      <c r="AH425" s="73">
        <f>cadangan[[#This Row],[Profit Diskon A]]+cadangan[[#This Row],[Profit Diskon B]]+cadangan[[#This Row],[Profit Diskon C]]</f>
        <v>700000</v>
      </c>
      <c r="AI425" s="23" t="s">
        <v>8</v>
      </c>
      <c r="AJ425" s="37">
        <f>IFERROR(INDEX('Kode Diskon'!$D$3:$D$9,MATCH(cadangan[[#This Row],[Kode diskon]],'Kode Diskon'!$C$3:$C$9,0)),"-")</f>
        <v>0.2</v>
      </c>
      <c r="AK425" s="23" t="s">
        <v>9</v>
      </c>
      <c r="AL425" s="23" t="s">
        <v>7</v>
      </c>
      <c r="AM425" s="23" t="s">
        <v>80</v>
      </c>
      <c r="AN425" s="55">
        <v>45045</v>
      </c>
      <c r="AO425" s="53">
        <f>DAY(cadangan[[#This Row],[Tanggal terjual]])</f>
        <v>29</v>
      </c>
      <c r="AP425" s="21" t="str">
        <f>TEXT(cadangan[[#This Row],[Tanggal terjual]],"dddd")</f>
        <v>Saturday</v>
      </c>
      <c r="AQ425" s="23" t="str" cm="1">
        <f t="array" ref="AQ4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25" s="61">
        <f>AVERAGE(cadangan[[#This Row],[Rating A]],cadangan[[#This Row],[Rating B]],cadangan[[#This Row],[Rating C]])</f>
        <v>1</v>
      </c>
    </row>
    <row r="426" spans="1:44" x14ac:dyDescent="0.2">
      <c r="A426" s="20">
        <v>425</v>
      </c>
      <c r="B426" s="21" t="str">
        <f>_xlfn.CONCAT("ORD-",INDEX(Helper!$B$2:$B$5,MATCH(cadangan[[#This Row],[Marketplace]],Helper!$A$2:$A$5,0)),TEXT(cadangan[[#This Row],[No]],"0000"),"-",TEXT(cadangan[[#This Row],[Tanggal terjual]],"dd/mm/yy"))</f>
        <v>ORD-SP0425-21/04/23</v>
      </c>
      <c r="C426" s="39" t="s">
        <v>59</v>
      </c>
      <c r="D426" s="39" t="str">
        <f>IFERROR(INDEX(Katalog!$A$3:$A$12,MATCH(cadangan[[#This Row],[ItemID A]],Katalog!$C$3:$C$12,0)),"-")</f>
        <v>Pakaian Wanita</v>
      </c>
      <c r="E426" s="39" t="str">
        <f>IFERROR(INDEX(Katalog!$B$3:$B$12,MATCH(cadangan[[#This Row],[ItemID A]],Katalog!$C$3:$C$12,0)),"-")</f>
        <v>Blouse</v>
      </c>
      <c r="F426" s="50">
        <v>6</v>
      </c>
      <c r="G426" s="50">
        <v>1</v>
      </c>
      <c r="H426" s="73">
        <f>IFERROR(INDEX(Katalog!$D$3:$D$12,MATCH(cadangan[[#This Row],[ItemID A]],Katalog!$C$3:$C$12,0))*cadangan[[#This Row],[Qty A]],0)</f>
        <v>900000</v>
      </c>
      <c r="I426" s="73">
        <f>IFERROR(cadangan[[#This Row],[Harga Normal A]]-(cadangan[[#This Row],[Harga Normal A]]*cadangan[[#This Row],[Diskon]]),cadangan[[#This Row],[Harga Normal A]])</f>
        <v>720000</v>
      </c>
      <c r="J426" s="73">
        <f>INDEX(Katalog!$F$3:$F$12,MATCH(cadangan[[#This Row],[ItemID A]],Katalog!$C$3:$C$12,0))*cadangan[[#This Row],[Qty A]]</f>
        <v>300000</v>
      </c>
      <c r="K426" s="73">
        <f>IFERROR(cadangan[[#This Row],[Harga Diskon A]]-INDEX(Katalog!$E$3:$E$12,MATCH(cadangan[[#This Row],[ItemID A]],Katalog!$C$3:$C$12,0))*cadangan[[#This Row],[Qty A]],0)</f>
        <v>120000</v>
      </c>
      <c r="L426" s="39" t="s">
        <v>65</v>
      </c>
      <c r="M426" s="39" t="str">
        <f>IFERROR(INDEX(Katalog!$A$3:$A$12,MATCH(cadangan[[#This Row],[ItemID B]],Katalog!$C$3:$C$12,0)),"-")</f>
        <v>Sepatu Pria</v>
      </c>
      <c r="N426" s="39" t="str">
        <f>IFERROR(INDEX(Katalog!$B$3:$B$12,MATCH(cadangan[[#This Row],[ItemID B]],Katalog!$C$3:$C$12,0)),"-")</f>
        <v>Sneakers</v>
      </c>
      <c r="O426" s="50">
        <v>1</v>
      </c>
      <c r="P426" s="50">
        <v>3</v>
      </c>
      <c r="Q426" s="73">
        <f>IFERROR(INDEX(Katalog!$D$3:$D$12,MATCH(cadangan[[#This Row],[ItemID B]],Katalog!$C$3:$C$12,0))*cadangan[[#This Row],[Qty B]],0)</f>
        <v>500000</v>
      </c>
      <c r="R426" s="73">
        <f>IFERROR(cadangan[[#This Row],[Harga Normal B]]-(cadangan[[#This Row],[Harga Normal B]]*cadangan[[#This Row],[Diskon]]),cadangan[[#This Row],[Harga Normal B]])</f>
        <v>400000</v>
      </c>
      <c r="S426" s="73">
        <f>IFERROR(INDEX(Katalog!$F$3:$F$12,MATCH(cadangan[[#This Row],[ItemID B]],Katalog!$C$3:$C$12,0))*cadangan[[#This Row],[Qty B]],0)</f>
        <v>200000</v>
      </c>
      <c r="T426" s="73">
        <f>IFERROR(cadangan[[#This Row],[Harga Diskon B]]-INDEX(Katalog!$E$3:$E$12,MATCH(cadangan[[#This Row],[ItemID B]],Katalog!$C$3:$C$12,0))*cadangan[[#This Row],[Qty B]],0)</f>
        <v>100000</v>
      </c>
      <c r="V426" s="39" t="str">
        <f>IFERROR(INDEX(Katalog!$A$3:$A$12,MATCH(cadangan[[#This Row],[ItemID C]],Katalog!$C$3:$C$12,0)),"-")</f>
        <v>-</v>
      </c>
      <c r="W426" s="39" t="str">
        <f>IFERROR(INDEX(Katalog!$B$3:$B$12,MATCH(cadangan[[#This Row],[ItemID C]],Katalog!$C$3:$C$12,0)),"-")</f>
        <v>-</v>
      </c>
      <c r="Z426" s="73">
        <f>IFERROR(INDEX(Katalog!$D$3:$D$12,MATCH(cadangan[[#This Row],[ItemID C]],Katalog!$C$3:$C$12,0))*cadangan[[#This Row],[Qty C]],0)</f>
        <v>0</v>
      </c>
      <c r="AA426" s="73">
        <f>IFERROR(cadangan[[#This Row],[Harga Normal C]]-(cadangan[[#This Row],[Harga Normal C]]*cadangan[[#This Row],[Diskon]]),cadangan[[#This Row],[Harga Normal C]])</f>
        <v>0</v>
      </c>
      <c r="AB426" s="73">
        <f>IFERROR(INDEX(Katalog!$F$3:$F$12,MATCH(cadangan[[#This Row],[ItemID C]],Katalog!$C$3:$C$12,0))*cadangan[[#This Row],[Qty C]],0)</f>
        <v>0</v>
      </c>
      <c r="AC426" s="73">
        <f>IFERROR(cadangan[[#This Row],[Harga Diskon C]]-INDEX(Katalog!$E$3:$E$12,MATCH(cadangan[[#This Row],[ItemID C]],Katalog!$C$3:$C$12,0))*cadangan[[#This Row],[Qty C]],0)</f>
        <v>0</v>
      </c>
      <c r="AD426" s="53">
        <f>cadangan[[#This Row],[Qty A]]+cadangan[[#This Row],[Qty B]]+cadangan[[#This Row],[Qty C]]</f>
        <v>7</v>
      </c>
      <c r="AE426" s="73">
        <f>cadangan[[#This Row],[Harga Normal A]]+cadangan[[#This Row],[Harga Normal B]]+cadangan[[#This Row],[Harga Normal C]]</f>
        <v>1400000</v>
      </c>
      <c r="AF426" s="73">
        <f>cadangan[[#This Row],[Harga Diskon A]]+cadangan[[#This Row],[Harga Diskon B]]+cadangan[[#This Row],[Harga Diskon C]]</f>
        <v>1120000</v>
      </c>
      <c r="AG426" s="73">
        <f>(cadangan[[#This Row],[Profit Normal A]]+cadangan[[#This Row],[Profit Normal B]]+cadangan[[#This Row],[Profit Normal C]])</f>
        <v>500000</v>
      </c>
      <c r="AH426" s="73">
        <f>cadangan[[#This Row],[Profit Diskon A]]+cadangan[[#This Row],[Profit Diskon B]]+cadangan[[#This Row],[Profit Diskon C]]</f>
        <v>220000</v>
      </c>
      <c r="AI426" s="23" t="s">
        <v>8</v>
      </c>
      <c r="AJ426" s="37">
        <f>IFERROR(INDEX('Kode Diskon'!$D$3:$D$9,MATCH(cadangan[[#This Row],[Kode diskon]],'Kode Diskon'!$C$3:$C$9,0)),"-")</f>
        <v>0.2</v>
      </c>
      <c r="AK426" s="23" t="s">
        <v>9</v>
      </c>
      <c r="AL426" s="23" t="s">
        <v>7</v>
      </c>
      <c r="AM426" s="23" t="s">
        <v>79</v>
      </c>
      <c r="AN426" s="55">
        <v>45037</v>
      </c>
      <c r="AO426" s="53">
        <f>DAY(cadangan[[#This Row],[Tanggal terjual]])</f>
        <v>21</v>
      </c>
      <c r="AP426" s="21" t="str">
        <f>TEXT(cadangan[[#This Row],[Tanggal terjual]],"dddd")</f>
        <v>Friday</v>
      </c>
      <c r="AQ426" s="23" t="str" cm="1">
        <f t="array" ref="AQ4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26" s="61">
        <f>AVERAGE(cadangan[[#This Row],[Rating A]],cadangan[[#This Row],[Rating B]],cadangan[[#This Row],[Rating C]])</f>
        <v>2</v>
      </c>
    </row>
    <row r="427" spans="1:44" x14ac:dyDescent="0.2">
      <c r="A427" s="20">
        <v>426</v>
      </c>
      <c r="B427" s="21" t="str">
        <f>_xlfn.CONCAT("ORD-",INDEX(Helper!$B$2:$B$5,MATCH(cadangan[[#This Row],[Marketplace]],Helper!$A$2:$A$5,0)),TEXT(cadangan[[#This Row],[No]],"0000"),"-",TEXT(cadangan[[#This Row],[Tanggal terjual]],"dd/mm/yy"))</f>
        <v>ORD-SP0426-28/04/23</v>
      </c>
      <c r="C427" s="39" t="s">
        <v>63</v>
      </c>
      <c r="D427" s="39" t="str">
        <f>IFERROR(INDEX(Katalog!$A$3:$A$12,MATCH(cadangan[[#This Row],[ItemID A]],Katalog!$C$3:$C$12,0)),"-")</f>
        <v>Pakaian Pria</v>
      </c>
      <c r="E427" s="39" t="str">
        <f>IFERROR(INDEX(Katalog!$B$3:$B$12,MATCH(cadangan[[#This Row],[ItemID A]],Katalog!$C$3:$C$12,0)),"-")</f>
        <v>Jaket Jeans</v>
      </c>
      <c r="F427" s="50">
        <v>1</v>
      </c>
      <c r="G427" s="50">
        <v>5</v>
      </c>
      <c r="H427" s="73">
        <f>IFERROR(INDEX(Katalog!$D$3:$D$12,MATCH(cadangan[[#This Row],[ItemID A]],Katalog!$C$3:$C$12,0))*cadangan[[#This Row],[Qty A]],0)</f>
        <v>400000</v>
      </c>
      <c r="I427" s="73">
        <f>IFERROR(cadangan[[#This Row],[Harga Normal A]]-(cadangan[[#This Row],[Harga Normal A]]*cadangan[[#This Row],[Diskon]]),cadangan[[#This Row],[Harga Normal A]])</f>
        <v>320000</v>
      </c>
      <c r="J427" s="73">
        <f>INDEX(Katalog!$F$3:$F$12,MATCH(cadangan[[#This Row],[ItemID A]],Katalog!$C$3:$C$12,0))*cadangan[[#This Row],[Qty A]]</f>
        <v>150000</v>
      </c>
      <c r="K427" s="73">
        <f>IFERROR(cadangan[[#This Row],[Harga Diskon A]]-INDEX(Katalog!$E$3:$E$12,MATCH(cadangan[[#This Row],[ItemID A]],Katalog!$C$3:$C$12,0))*cadangan[[#This Row],[Qty A]],0)</f>
        <v>70000</v>
      </c>
      <c r="M427" s="39" t="str">
        <f>IFERROR(INDEX(Katalog!$A$3:$A$12,MATCH(cadangan[[#This Row],[ItemID B]],Katalog!$C$3:$C$12,0)),"-")</f>
        <v>-</v>
      </c>
      <c r="N427" s="39" t="str">
        <f>IFERROR(INDEX(Katalog!$B$3:$B$12,MATCH(cadangan[[#This Row],[ItemID B]],Katalog!$C$3:$C$12,0)),"-")</f>
        <v>-</v>
      </c>
      <c r="Q427" s="73">
        <f>IFERROR(INDEX(Katalog!$D$3:$D$12,MATCH(cadangan[[#This Row],[ItemID B]],Katalog!$C$3:$C$12,0))*cadangan[[#This Row],[Qty B]],0)</f>
        <v>0</v>
      </c>
      <c r="R427" s="73">
        <f>IFERROR(cadangan[[#This Row],[Harga Normal B]]-(cadangan[[#This Row],[Harga Normal B]]*cadangan[[#This Row],[Diskon]]),cadangan[[#This Row],[Harga Normal B]])</f>
        <v>0</v>
      </c>
      <c r="S427" s="73">
        <f>IFERROR(INDEX(Katalog!$F$3:$F$12,MATCH(cadangan[[#This Row],[ItemID B]],Katalog!$C$3:$C$12,0))*cadangan[[#This Row],[Qty B]],0)</f>
        <v>0</v>
      </c>
      <c r="T427" s="73">
        <f>IFERROR(cadangan[[#This Row],[Harga Diskon B]]-INDEX(Katalog!$E$3:$E$12,MATCH(cadangan[[#This Row],[ItemID B]],Katalog!$C$3:$C$12,0))*cadangan[[#This Row],[Qty B]],0)</f>
        <v>0</v>
      </c>
      <c r="V427" s="39" t="str">
        <f>IFERROR(INDEX(Katalog!$A$3:$A$12,MATCH(cadangan[[#This Row],[ItemID C]],Katalog!$C$3:$C$12,0)),"-")</f>
        <v>-</v>
      </c>
      <c r="W427" s="39" t="str">
        <f>IFERROR(INDEX(Katalog!$B$3:$B$12,MATCH(cadangan[[#This Row],[ItemID C]],Katalog!$C$3:$C$12,0)),"-")</f>
        <v>-</v>
      </c>
      <c r="Z427" s="73">
        <f>IFERROR(INDEX(Katalog!$D$3:$D$12,MATCH(cadangan[[#This Row],[ItemID C]],Katalog!$C$3:$C$12,0))*cadangan[[#This Row],[Qty C]],0)</f>
        <v>0</v>
      </c>
      <c r="AA427" s="73">
        <f>IFERROR(cadangan[[#This Row],[Harga Normal C]]-(cadangan[[#This Row],[Harga Normal C]]*cadangan[[#This Row],[Diskon]]),cadangan[[#This Row],[Harga Normal C]])</f>
        <v>0</v>
      </c>
      <c r="AB427" s="73">
        <f>IFERROR(INDEX(Katalog!$F$3:$F$12,MATCH(cadangan[[#This Row],[ItemID C]],Katalog!$C$3:$C$12,0))*cadangan[[#This Row],[Qty C]],0)</f>
        <v>0</v>
      </c>
      <c r="AC427" s="73">
        <f>IFERROR(cadangan[[#This Row],[Harga Diskon C]]-INDEX(Katalog!$E$3:$E$12,MATCH(cadangan[[#This Row],[ItemID C]],Katalog!$C$3:$C$12,0))*cadangan[[#This Row],[Qty C]],0)</f>
        <v>0</v>
      </c>
      <c r="AD427" s="53">
        <f>cadangan[[#This Row],[Qty A]]+cadangan[[#This Row],[Qty B]]+cadangan[[#This Row],[Qty C]]</f>
        <v>1</v>
      </c>
      <c r="AE427" s="73">
        <f>cadangan[[#This Row],[Harga Normal A]]+cadangan[[#This Row],[Harga Normal B]]+cadangan[[#This Row],[Harga Normal C]]</f>
        <v>400000</v>
      </c>
      <c r="AF427" s="73">
        <f>cadangan[[#This Row],[Harga Diskon A]]+cadangan[[#This Row],[Harga Diskon B]]+cadangan[[#This Row],[Harga Diskon C]]</f>
        <v>320000</v>
      </c>
      <c r="AG427" s="73">
        <f>(cadangan[[#This Row],[Profit Normal A]]+cadangan[[#This Row],[Profit Normal B]]+cadangan[[#This Row],[Profit Normal C]])</f>
        <v>150000</v>
      </c>
      <c r="AH427" s="73">
        <f>cadangan[[#This Row],[Profit Diskon A]]+cadangan[[#This Row],[Profit Diskon B]]+cadangan[[#This Row],[Profit Diskon C]]</f>
        <v>70000</v>
      </c>
      <c r="AI427" s="23" t="s">
        <v>8</v>
      </c>
      <c r="AJ427" s="37">
        <f>IFERROR(INDEX('Kode Diskon'!$D$3:$D$9,MATCH(cadangan[[#This Row],[Kode diskon]],'Kode Diskon'!$C$3:$C$9,0)),"-")</f>
        <v>0.2</v>
      </c>
      <c r="AK427" s="23" t="s">
        <v>9</v>
      </c>
      <c r="AL427" s="23" t="s">
        <v>7</v>
      </c>
      <c r="AM427" s="23" t="s">
        <v>76</v>
      </c>
      <c r="AN427" s="55">
        <v>45044</v>
      </c>
      <c r="AO427" s="53">
        <f>DAY(cadangan[[#This Row],[Tanggal terjual]])</f>
        <v>28</v>
      </c>
      <c r="AP427" s="21" t="str">
        <f>TEXT(cadangan[[#This Row],[Tanggal terjual]],"dddd")</f>
        <v>Friday</v>
      </c>
      <c r="AQ427" s="23" t="str" cm="1">
        <f t="array" ref="AQ4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27" s="61">
        <f>AVERAGE(cadangan[[#This Row],[Rating A]],cadangan[[#This Row],[Rating B]],cadangan[[#This Row],[Rating C]])</f>
        <v>5</v>
      </c>
    </row>
    <row r="428" spans="1:44" x14ac:dyDescent="0.2">
      <c r="A428" s="20">
        <v>427</v>
      </c>
      <c r="B428" s="21" t="str">
        <f>_xlfn.CONCAT("ORD-",INDEX(Helper!$B$2:$B$5,MATCH(cadangan[[#This Row],[Marketplace]],Helper!$A$2:$A$5,0)),TEXT(cadangan[[#This Row],[No]],"0000"),"-",TEXT(cadangan[[#This Row],[Tanggal terjual]],"dd/mm/yy"))</f>
        <v>ORD-TK0427-04/04/23</v>
      </c>
      <c r="C428" s="39" t="s">
        <v>66</v>
      </c>
      <c r="D428" s="39" t="str">
        <f>IFERROR(INDEX(Katalog!$A$3:$A$12,MATCH(cadangan[[#This Row],[ItemID A]],Katalog!$C$3:$C$12,0)),"-")</f>
        <v>Sepatu Pria</v>
      </c>
      <c r="E428" s="39" t="str">
        <f>IFERROR(INDEX(Katalog!$B$3:$B$12,MATCH(cadangan[[#This Row],[ItemID A]],Katalog!$C$3:$C$12,0)),"-")</f>
        <v>Sandal Slip On</v>
      </c>
      <c r="F428" s="50">
        <v>7</v>
      </c>
      <c r="G428" s="50">
        <v>4</v>
      </c>
      <c r="H428" s="73">
        <f>IFERROR(INDEX(Katalog!$D$3:$D$12,MATCH(cadangan[[#This Row],[ItemID A]],Katalog!$C$3:$C$12,0))*cadangan[[#This Row],[Qty A]],0)</f>
        <v>1050000</v>
      </c>
      <c r="I428" s="73">
        <f>IFERROR(cadangan[[#This Row],[Harga Normal A]]-(cadangan[[#This Row],[Harga Normal A]]*cadangan[[#This Row],[Diskon]]),cadangan[[#This Row],[Harga Normal A]])</f>
        <v>945000</v>
      </c>
      <c r="J428" s="73">
        <f>INDEX(Katalog!$F$3:$F$12,MATCH(cadangan[[#This Row],[ItemID A]],Katalog!$C$3:$C$12,0))*cadangan[[#This Row],[Qty A]]</f>
        <v>420000</v>
      </c>
      <c r="K428" s="73">
        <f>IFERROR(cadangan[[#This Row],[Harga Diskon A]]-INDEX(Katalog!$E$3:$E$12,MATCH(cadangan[[#This Row],[ItemID A]],Katalog!$C$3:$C$12,0))*cadangan[[#This Row],[Qty A]],0)</f>
        <v>315000</v>
      </c>
      <c r="M428" s="39" t="str">
        <f>IFERROR(INDEX(Katalog!$A$3:$A$12,MATCH(cadangan[[#This Row],[ItemID B]],Katalog!$C$3:$C$12,0)),"-")</f>
        <v>-</v>
      </c>
      <c r="N428" s="39" t="str">
        <f>IFERROR(INDEX(Katalog!$B$3:$B$12,MATCH(cadangan[[#This Row],[ItemID B]],Katalog!$C$3:$C$12,0)),"-")</f>
        <v>-</v>
      </c>
      <c r="Q428" s="73">
        <f>IFERROR(INDEX(Katalog!$D$3:$D$12,MATCH(cadangan[[#This Row],[ItemID B]],Katalog!$C$3:$C$12,0))*cadangan[[#This Row],[Qty B]],0)</f>
        <v>0</v>
      </c>
      <c r="R428" s="73">
        <f>IFERROR(cadangan[[#This Row],[Harga Normal B]]-(cadangan[[#This Row],[Harga Normal B]]*cadangan[[#This Row],[Diskon]]),cadangan[[#This Row],[Harga Normal B]])</f>
        <v>0</v>
      </c>
      <c r="S428" s="73">
        <f>IFERROR(INDEX(Katalog!$F$3:$F$12,MATCH(cadangan[[#This Row],[ItemID B]],Katalog!$C$3:$C$12,0))*cadangan[[#This Row],[Qty B]],0)</f>
        <v>0</v>
      </c>
      <c r="T428" s="73">
        <f>IFERROR(cadangan[[#This Row],[Harga Diskon B]]-INDEX(Katalog!$E$3:$E$12,MATCH(cadangan[[#This Row],[ItemID B]],Katalog!$C$3:$C$12,0))*cadangan[[#This Row],[Qty B]],0)</f>
        <v>0</v>
      </c>
      <c r="V428" s="39" t="str">
        <f>IFERROR(INDEX(Katalog!$A$3:$A$12,MATCH(cadangan[[#This Row],[ItemID C]],Katalog!$C$3:$C$12,0)),"-")</f>
        <v>-</v>
      </c>
      <c r="W428" s="39" t="str">
        <f>IFERROR(INDEX(Katalog!$B$3:$B$12,MATCH(cadangan[[#This Row],[ItemID C]],Katalog!$C$3:$C$12,0)),"-")</f>
        <v>-</v>
      </c>
      <c r="Z428" s="73">
        <f>IFERROR(INDEX(Katalog!$D$3:$D$12,MATCH(cadangan[[#This Row],[ItemID C]],Katalog!$C$3:$C$12,0))*cadangan[[#This Row],[Qty C]],0)</f>
        <v>0</v>
      </c>
      <c r="AA428" s="73">
        <f>IFERROR(cadangan[[#This Row],[Harga Normal C]]-(cadangan[[#This Row],[Harga Normal C]]*cadangan[[#This Row],[Diskon]]),cadangan[[#This Row],[Harga Normal C]])</f>
        <v>0</v>
      </c>
      <c r="AB428" s="73">
        <f>IFERROR(INDEX(Katalog!$F$3:$F$12,MATCH(cadangan[[#This Row],[ItemID C]],Katalog!$C$3:$C$12,0))*cadangan[[#This Row],[Qty C]],0)</f>
        <v>0</v>
      </c>
      <c r="AC428" s="73">
        <f>IFERROR(cadangan[[#This Row],[Harga Diskon C]]-INDEX(Katalog!$E$3:$E$12,MATCH(cadangan[[#This Row],[ItemID C]],Katalog!$C$3:$C$12,0))*cadangan[[#This Row],[Qty C]],0)</f>
        <v>0</v>
      </c>
      <c r="AD428" s="53">
        <f>cadangan[[#This Row],[Qty A]]+cadangan[[#This Row],[Qty B]]+cadangan[[#This Row],[Qty C]]</f>
        <v>7</v>
      </c>
      <c r="AE428" s="73">
        <f>cadangan[[#This Row],[Harga Normal A]]+cadangan[[#This Row],[Harga Normal B]]+cadangan[[#This Row],[Harga Normal C]]</f>
        <v>1050000</v>
      </c>
      <c r="AF428" s="73">
        <f>cadangan[[#This Row],[Harga Diskon A]]+cadangan[[#This Row],[Harga Diskon B]]+cadangan[[#This Row],[Harga Diskon C]]</f>
        <v>945000</v>
      </c>
      <c r="AG428" s="73">
        <f>(cadangan[[#This Row],[Profit Normal A]]+cadangan[[#This Row],[Profit Normal B]]+cadangan[[#This Row],[Profit Normal C]])</f>
        <v>420000</v>
      </c>
      <c r="AH428" s="73">
        <f>cadangan[[#This Row],[Profit Diskon A]]+cadangan[[#This Row],[Profit Diskon B]]+cadangan[[#This Row],[Profit Diskon C]]</f>
        <v>315000</v>
      </c>
      <c r="AI428" s="23" t="s">
        <v>30</v>
      </c>
      <c r="AJ428" s="37">
        <f>IFERROR(INDEX('Kode Diskon'!$D$3:$D$9,MATCH(cadangan[[#This Row],[Kode diskon]],'Kode Diskon'!$C$3:$C$9,0)),"-")</f>
        <v>0.1</v>
      </c>
      <c r="AK428" s="23" t="s">
        <v>29</v>
      </c>
      <c r="AL428" s="23" t="s">
        <v>10</v>
      </c>
      <c r="AM428" s="23" t="s">
        <v>76</v>
      </c>
      <c r="AN428" s="55">
        <v>45020</v>
      </c>
      <c r="AO428" s="53">
        <f>DAY(cadangan[[#This Row],[Tanggal terjual]])</f>
        <v>4</v>
      </c>
      <c r="AP428" s="21" t="str">
        <f>TEXT(cadangan[[#This Row],[Tanggal terjual]],"dddd")</f>
        <v>Tuesday</v>
      </c>
      <c r="AQ428" s="23" t="str" cm="1">
        <f t="array" ref="AQ4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28" s="61">
        <f>AVERAGE(cadangan[[#This Row],[Rating A]],cadangan[[#This Row],[Rating B]],cadangan[[#This Row],[Rating C]])</f>
        <v>4</v>
      </c>
    </row>
    <row r="429" spans="1:44" x14ac:dyDescent="0.2">
      <c r="A429" s="20">
        <v>428</v>
      </c>
      <c r="B429" s="21" t="str">
        <f>_xlfn.CONCAT("ORD-",INDEX(Helper!$B$2:$B$5,MATCH(cadangan[[#This Row],[Marketplace]],Helper!$A$2:$A$5,0)),TEXT(cadangan[[#This Row],[No]],"0000"),"-",TEXT(cadangan[[#This Row],[Tanggal terjual]],"dd/mm/yy"))</f>
        <v>ORD-SP0428-06/04/23</v>
      </c>
      <c r="C429" s="39" t="s">
        <v>67</v>
      </c>
      <c r="D429" s="39" t="str">
        <f>IFERROR(INDEX(Katalog!$A$3:$A$12,MATCH(cadangan[[#This Row],[ItemID A]],Katalog!$C$3:$C$12,0)),"-")</f>
        <v>Sepatu Wanita</v>
      </c>
      <c r="E429" s="39" t="str">
        <f>IFERROR(INDEX(Katalog!$B$3:$B$12,MATCH(cadangan[[#This Row],[ItemID A]],Katalog!$C$3:$C$12,0)),"-")</f>
        <v>Flat Shoes</v>
      </c>
      <c r="F429" s="50">
        <v>1</v>
      </c>
      <c r="G429" s="50">
        <v>1</v>
      </c>
      <c r="H429" s="73">
        <f>IFERROR(INDEX(Katalog!$D$3:$D$12,MATCH(cadangan[[#This Row],[ItemID A]],Katalog!$C$3:$C$12,0))*cadangan[[#This Row],[Qty A]],0)</f>
        <v>250000</v>
      </c>
      <c r="I429" s="73">
        <f>IFERROR(cadangan[[#This Row],[Harga Normal A]]-(cadangan[[#This Row],[Harga Normal A]]*cadangan[[#This Row],[Diskon]]),cadangan[[#This Row],[Harga Normal A]])</f>
        <v>225000</v>
      </c>
      <c r="J429" s="73">
        <f>INDEX(Katalog!$F$3:$F$12,MATCH(cadangan[[#This Row],[ItemID A]],Katalog!$C$3:$C$12,0))*cadangan[[#This Row],[Qty A]]</f>
        <v>100000</v>
      </c>
      <c r="K429" s="73">
        <f>IFERROR(cadangan[[#This Row],[Harga Diskon A]]-INDEX(Katalog!$E$3:$E$12,MATCH(cadangan[[#This Row],[ItemID A]],Katalog!$C$3:$C$12,0))*cadangan[[#This Row],[Qty A]],0)</f>
        <v>75000</v>
      </c>
      <c r="M429" s="39" t="str">
        <f>IFERROR(INDEX(Katalog!$A$3:$A$12,MATCH(cadangan[[#This Row],[ItemID B]],Katalog!$C$3:$C$12,0)),"-")</f>
        <v>-</v>
      </c>
      <c r="N429" s="39" t="str">
        <f>IFERROR(INDEX(Katalog!$B$3:$B$12,MATCH(cadangan[[#This Row],[ItemID B]],Katalog!$C$3:$C$12,0)),"-")</f>
        <v>-</v>
      </c>
      <c r="Q429" s="73">
        <f>IFERROR(INDEX(Katalog!$D$3:$D$12,MATCH(cadangan[[#This Row],[ItemID B]],Katalog!$C$3:$C$12,0))*cadangan[[#This Row],[Qty B]],0)</f>
        <v>0</v>
      </c>
      <c r="R429" s="73">
        <f>IFERROR(cadangan[[#This Row],[Harga Normal B]]-(cadangan[[#This Row],[Harga Normal B]]*cadangan[[#This Row],[Diskon]]),cadangan[[#This Row],[Harga Normal B]])</f>
        <v>0</v>
      </c>
      <c r="S429" s="73">
        <f>IFERROR(INDEX(Katalog!$F$3:$F$12,MATCH(cadangan[[#This Row],[ItemID B]],Katalog!$C$3:$C$12,0))*cadangan[[#This Row],[Qty B]],0)</f>
        <v>0</v>
      </c>
      <c r="T429" s="73">
        <f>IFERROR(cadangan[[#This Row],[Harga Diskon B]]-INDEX(Katalog!$E$3:$E$12,MATCH(cadangan[[#This Row],[ItemID B]],Katalog!$C$3:$C$12,0))*cadangan[[#This Row],[Qty B]],0)</f>
        <v>0</v>
      </c>
      <c r="V429" s="39" t="str">
        <f>IFERROR(INDEX(Katalog!$A$3:$A$12,MATCH(cadangan[[#This Row],[ItemID C]],Katalog!$C$3:$C$12,0)),"-")</f>
        <v>-</v>
      </c>
      <c r="W429" s="39" t="str">
        <f>IFERROR(INDEX(Katalog!$B$3:$B$12,MATCH(cadangan[[#This Row],[ItemID C]],Katalog!$C$3:$C$12,0)),"-")</f>
        <v>-</v>
      </c>
      <c r="Z429" s="73">
        <f>IFERROR(INDEX(Katalog!$D$3:$D$12,MATCH(cadangan[[#This Row],[ItemID C]],Katalog!$C$3:$C$12,0))*cadangan[[#This Row],[Qty C]],0)</f>
        <v>0</v>
      </c>
      <c r="AA429" s="73">
        <f>IFERROR(cadangan[[#This Row],[Harga Normal C]]-(cadangan[[#This Row],[Harga Normal C]]*cadangan[[#This Row],[Diskon]]),cadangan[[#This Row],[Harga Normal C]])</f>
        <v>0</v>
      </c>
      <c r="AB429" s="73">
        <f>IFERROR(INDEX(Katalog!$F$3:$F$12,MATCH(cadangan[[#This Row],[ItemID C]],Katalog!$C$3:$C$12,0))*cadangan[[#This Row],[Qty C]],0)</f>
        <v>0</v>
      </c>
      <c r="AC429" s="73">
        <f>IFERROR(cadangan[[#This Row],[Harga Diskon C]]-INDEX(Katalog!$E$3:$E$12,MATCH(cadangan[[#This Row],[ItemID C]],Katalog!$C$3:$C$12,0))*cadangan[[#This Row],[Qty C]],0)</f>
        <v>0</v>
      </c>
      <c r="AD429" s="53">
        <f>cadangan[[#This Row],[Qty A]]+cadangan[[#This Row],[Qty B]]+cadangan[[#This Row],[Qty C]]</f>
        <v>1</v>
      </c>
      <c r="AE429" s="73">
        <f>cadangan[[#This Row],[Harga Normal A]]+cadangan[[#This Row],[Harga Normal B]]+cadangan[[#This Row],[Harga Normal C]]</f>
        <v>250000</v>
      </c>
      <c r="AF429" s="73">
        <f>cadangan[[#This Row],[Harga Diskon A]]+cadangan[[#This Row],[Harga Diskon B]]+cadangan[[#This Row],[Harga Diskon C]]</f>
        <v>225000</v>
      </c>
      <c r="AG429" s="73">
        <f>(cadangan[[#This Row],[Profit Normal A]]+cadangan[[#This Row],[Profit Normal B]]+cadangan[[#This Row],[Profit Normal C]])</f>
        <v>100000</v>
      </c>
      <c r="AH429" s="73">
        <f>cadangan[[#This Row],[Profit Diskon A]]+cadangan[[#This Row],[Profit Diskon B]]+cadangan[[#This Row],[Profit Diskon C]]</f>
        <v>75000</v>
      </c>
      <c r="AI429" s="23" t="s">
        <v>6</v>
      </c>
      <c r="AJ429" s="37">
        <f>IFERROR(INDEX('Kode Diskon'!$D$3:$D$9,MATCH(cadangan[[#This Row],[Kode diskon]],'Kode Diskon'!$C$3:$C$9,0)),"-")</f>
        <v>0.1</v>
      </c>
      <c r="AK429" s="23" t="s">
        <v>29</v>
      </c>
      <c r="AL429" s="23" t="s">
        <v>7</v>
      </c>
      <c r="AM429" s="23" t="s">
        <v>80</v>
      </c>
      <c r="AN429" s="55">
        <v>45022</v>
      </c>
      <c r="AO429" s="53">
        <f>DAY(cadangan[[#This Row],[Tanggal terjual]])</f>
        <v>6</v>
      </c>
      <c r="AP429" s="21" t="str">
        <f>TEXT(cadangan[[#This Row],[Tanggal terjual]],"dddd")</f>
        <v>Thursday</v>
      </c>
      <c r="AQ429" s="23" t="str" cm="1">
        <f t="array" ref="AQ4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29" s="61">
        <f>AVERAGE(cadangan[[#This Row],[Rating A]],cadangan[[#This Row],[Rating B]],cadangan[[#This Row],[Rating C]])</f>
        <v>1</v>
      </c>
    </row>
    <row r="430" spans="1:44" x14ac:dyDescent="0.2">
      <c r="A430" s="20">
        <v>429</v>
      </c>
      <c r="B430" s="21" t="str">
        <f>_xlfn.CONCAT("ORD-",INDEX(Helper!$B$2:$B$5,MATCH(cadangan[[#This Row],[Marketplace]],Helper!$A$2:$A$5,0)),TEXT(cadangan[[#This Row],[No]],"0000"),"-",TEXT(cadangan[[#This Row],[Tanggal terjual]],"dd/mm/yy"))</f>
        <v>ORD-TK0429-02/04/23</v>
      </c>
      <c r="C430" s="39" t="s">
        <v>62</v>
      </c>
      <c r="D430" s="39" t="str">
        <f>IFERROR(INDEX(Katalog!$A$3:$A$12,MATCH(cadangan[[#This Row],[ItemID A]],Katalog!$C$3:$C$12,0)),"-")</f>
        <v>Pakaian Pria</v>
      </c>
      <c r="E430" s="39" t="str">
        <f>IFERROR(INDEX(Katalog!$B$3:$B$12,MATCH(cadangan[[#This Row],[ItemID A]],Katalog!$C$3:$C$12,0)),"-")</f>
        <v>Celana Pendek</v>
      </c>
      <c r="F430" s="50">
        <v>5</v>
      </c>
      <c r="G430" s="50">
        <v>4</v>
      </c>
      <c r="H430" s="73">
        <f>IFERROR(INDEX(Katalog!$D$3:$D$12,MATCH(cadangan[[#This Row],[ItemID A]],Katalog!$C$3:$C$12,0))*cadangan[[#This Row],[Qty A]],0)</f>
        <v>900000</v>
      </c>
      <c r="I430" s="73">
        <f>IFERROR(cadangan[[#This Row],[Harga Normal A]]-(cadangan[[#This Row],[Harga Normal A]]*cadangan[[#This Row],[Diskon]]),cadangan[[#This Row],[Harga Normal A]])</f>
        <v>810000</v>
      </c>
      <c r="J430" s="73">
        <f>INDEX(Katalog!$F$3:$F$12,MATCH(cadangan[[#This Row],[ItemID A]],Katalog!$C$3:$C$12,0))*cadangan[[#This Row],[Qty A]]</f>
        <v>350000</v>
      </c>
      <c r="K430" s="73">
        <f>IFERROR(cadangan[[#This Row],[Harga Diskon A]]-INDEX(Katalog!$E$3:$E$12,MATCH(cadangan[[#This Row],[ItemID A]],Katalog!$C$3:$C$12,0))*cadangan[[#This Row],[Qty A]],0)</f>
        <v>260000</v>
      </c>
      <c r="M430" s="39" t="str">
        <f>IFERROR(INDEX(Katalog!$A$3:$A$12,MATCH(cadangan[[#This Row],[ItemID B]],Katalog!$C$3:$C$12,0)),"-")</f>
        <v>-</v>
      </c>
      <c r="N430" s="39" t="str">
        <f>IFERROR(INDEX(Katalog!$B$3:$B$12,MATCH(cadangan[[#This Row],[ItemID B]],Katalog!$C$3:$C$12,0)),"-")</f>
        <v>-</v>
      </c>
      <c r="Q430" s="73">
        <f>IFERROR(INDEX(Katalog!$D$3:$D$12,MATCH(cadangan[[#This Row],[ItemID B]],Katalog!$C$3:$C$12,0))*cadangan[[#This Row],[Qty B]],0)</f>
        <v>0</v>
      </c>
      <c r="R430" s="73">
        <f>IFERROR(cadangan[[#This Row],[Harga Normal B]]-(cadangan[[#This Row],[Harga Normal B]]*cadangan[[#This Row],[Diskon]]),cadangan[[#This Row],[Harga Normal B]])</f>
        <v>0</v>
      </c>
      <c r="S430" s="73">
        <f>IFERROR(INDEX(Katalog!$F$3:$F$12,MATCH(cadangan[[#This Row],[ItemID B]],Katalog!$C$3:$C$12,0))*cadangan[[#This Row],[Qty B]],0)</f>
        <v>0</v>
      </c>
      <c r="T430" s="73">
        <f>IFERROR(cadangan[[#This Row],[Harga Diskon B]]-INDEX(Katalog!$E$3:$E$12,MATCH(cadangan[[#This Row],[ItemID B]],Katalog!$C$3:$C$12,0))*cadangan[[#This Row],[Qty B]],0)</f>
        <v>0</v>
      </c>
      <c r="V430" s="39" t="str">
        <f>IFERROR(INDEX(Katalog!$A$3:$A$12,MATCH(cadangan[[#This Row],[ItemID C]],Katalog!$C$3:$C$12,0)),"-")</f>
        <v>-</v>
      </c>
      <c r="W430" s="39" t="str">
        <f>IFERROR(INDEX(Katalog!$B$3:$B$12,MATCH(cadangan[[#This Row],[ItemID C]],Katalog!$C$3:$C$12,0)),"-")</f>
        <v>-</v>
      </c>
      <c r="Z430" s="73">
        <f>IFERROR(INDEX(Katalog!$D$3:$D$12,MATCH(cadangan[[#This Row],[ItemID C]],Katalog!$C$3:$C$12,0))*cadangan[[#This Row],[Qty C]],0)</f>
        <v>0</v>
      </c>
      <c r="AA430" s="73">
        <f>IFERROR(cadangan[[#This Row],[Harga Normal C]]-(cadangan[[#This Row],[Harga Normal C]]*cadangan[[#This Row],[Diskon]]),cadangan[[#This Row],[Harga Normal C]])</f>
        <v>0</v>
      </c>
      <c r="AB430" s="73">
        <f>IFERROR(INDEX(Katalog!$F$3:$F$12,MATCH(cadangan[[#This Row],[ItemID C]],Katalog!$C$3:$C$12,0))*cadangan[[#This Row],[Qty C]],0)</f>
        <v>0</v>
      </c>
      <c r="AC430" s="73">
        <f>IFERROR(cadangan[[#This Row],[Harga Diskon C]]-INDEX(Katalog!$E$3:$E$12,MATCH(cadangan[[#This Row],[ItemID C]],Katalog!$C$3:$C$12,0))*cadangan[[#This Row],[Qty C]],0)</f>
        <v>0</v>
      </c>
      <c r="AD430" s="53">
        <f>cadangan[[#This Row],[Qty A]]+cadangan[[#This Row],[Qty B]]+cadangan[[#This Row],[Qty C]]</f>
        <v>5</v>
      </c>
      <c r="AE430" s="73">
        <f>cadangan[[#This Row],[Harga Normal A]]+cadangan[[#This Row],[Harga Normal B]]+cadangan[[#This Row],[Harga Normal C]]</f>
        <v>900000</v>
      </c>
      <c r="AF430" s="73">
        <f>cadangan[[#This Row],[Harga Diskon A]]+cadangan[[#This Row],[Harga Diskon B]]+cadangan[[#This Row],[Harga Diskon C]]</f>
        <v>810000</v>
      </c>
      <c r="AG430" s="73">
        <f>(cadangan[[#This Row],[Profit Normal A]]+cadangan[[#This Row],[Profit Normal B]]+cadangan[[#This Row],[Profit Normal C]])</f>
        <v>350000</v>
      </c>
      <c r="AH430" s="73">
        <f>cadangan[[#This Row],[Profit Diskon A]]+cadangan[[#This Row],[Profit Diskon B]]+cadangan[[#This Row],[Profit Diskon C]]</f>
        <v>260000</v>
      </c>
      <c r="AI430" s="23" t="s">
        <v>30</v>
      </c>
      <c r="AJ430" s="37">
        <f>IFERROR(INDEX('Kode Diskon'!$D$3:$D$9,MATCH(cadangan[[#This Row],[Kode diskon]],'Kode Diskon'!$C$3:$C$9,0)),"-")</f>
        <v>0.1</v>
      </c>
      <c r="AK430" s="23" t="s">
        <v>29</v>
      </c>
      <c r="AL430" s="23" t="s">
        <v>10</v>
      </c>
      <c r="AM430" s="23" t="s">
        <v>78</v>
      </c>
      <c r="AN430" s="55">
        <v>45018</v>
      </c>
      <c r="AO430" s="53">
        <f>DAY(cadangan[[#This Row],[Tanggal terjual]])</f>
        <v>2</v>
      </c>
      <c r="AP430" s="21" t="str">
        <f>TEXT(cadangan[[#This Row],[Tanggal terjual]],"dddd")</f>
        <v>Sunday</v>
      </c>
      <c r="AQ430" s="23" t="str" cm="1">
        <f t="array" ref="AQ4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30" s="61">
        <f>AVERAGE(cadangan[[#This Row],[Rating A]],cadangan[[#This Row],[Rating B]],cadangan[[#This Row],[Rating C]])</f>
        <v>4</v>
      </c>
    </row>
    <row r="431" spans="1:44" x14ac:dyDescent="0.2">
      <c r="A431" s="20">
        <v>430</v>
      </c>
      <c r="B431" s="21" t="str">
        <f>_xlfn.CONCAT("ORD-",INDEX(Helper!$B$2:$B$5,MATCH(cadangan[[#This Row],[Marketplace]],Helper!$A$2:$A$5,0)),TEXT(cadangan[[#This Row],[No]],"0000"),"-",TEXT(cadangan[[#This Row],[Tanggal terjual]],"dd/mm/yy"))</f>
        <v>ORD-BL0430-20/04/23</v>
      </c>
      <c r="C431" s="39" t="s">
        <v>67</v>
      </c>
      <c r="D431" s="39" t="str">
        <f>IFERROR(INDEX(Katalog!$A$3:$A$12,MATCH(cadangan[[#This Row],[ItemID A]],Katalog!$C$3:$C$12,0)),"-")</f>
        <v>Sepatu Wanita</v>
      </c>
      <c r="E431" s="39" t="str">
        <f>IFERROR(INDEX(Katalog!$B$3:$B$12,MATCH(cadangan[[#This Row],[ItemID A]],Katalog!$C$3:$C$12,0)),"-")</f>
        <v>Flat Shoes</v>
      </c>
      <c r="F431" s="50">
        <v>2</v>
      </c>
      <c r="G431" s="50">
        <v>4</v>
      </c>
      <c r="H431" s="73">
        <f>IFERROR(INDEX(Katalog!$D$3:$D$12,MATCH(cadangan[[#This Row],[ItemID A]],Katalog!$C$3:$C$12,0))*cadangan[[#This Row],[Qty A]],0)</f>
        <v>500000</v>
      </c>
      <c r="I431" s="73">
        <f>IFERROR(cadangan[[#This Row],[Harga Normal A]]-(cadangan[[#This Row],[Harga Normal A]]*cadangan[[#This Row],[Diskon]]),cadangan[[#This Row],[Harga Normal A]])</f>
        <v>425000</v>
      </c>
      <c r="J431" s="73">
        <f>INDEX(Katalog!$F$3:$F$12,MATCH(cadangan[[#This Row],[ItemID A]],Katalog!$C$3:$C$12,0))*cadangan[[#This Row],[Qty A]]</f>
        <v>200000</v>
      </c>
      <c r="K431" s="73">
        <f>IFERROR(cadangan[[#This Row],[Harga Diskon A]]-INDEX(Katalog!$E$3:$E$12,MATCH(cadangan[[#This Row],[ItemID A]],Katalog!$C$3:$C$12,0))*cadangan[[#This Row],[Qty A]],0)</f>
        <v>125000</v>
      </c>
      <c r="L431" s="39" t="s">
        <v>58</v>
      </c>
      <c r="M431" s="39" t="str">
        <f>IFERROR(INDEX(Katalog!$A$3:$A$12,MATCH(cadangan[[#This Row],[ItemID B]],Katalog!$C$3:$C$12,0)),"-")</f>
        <v>Pakaian Wanita</v>
      </c>
      <c r="N431" s="39" t="str">
        <f>IFERROR(INDEX(Katalog!$B$3:$B$12,MATCH(cadangan[[#This Row],[ItemID B]],Katalog!$C$3:$C$12,0)),"-")</f>
        <v>Dress</v>
      </c>
      <c r="O431" s="50">
        <v>1</v>
      </c>
      <c r="P431" s="50">
        <v>4</v>
      </c>
      <c r="Q431" s="73">
        <f>IFERROR(INDEX(Katalog!$D$3:$D$12,MATCH(cadangan[[#This Row],[ItemID B]],Katalog!$C$3:$C$12,0))*cadangan[[#This Row],[Qty B]],0)</f>
        <v>300000</v>
      </c>
      <c r="R431" s="73">
        <f>IFERROR(cadangan[[#This Row],[Harga Normal B]]-(cadangan[[#This Row],[Harga Normal B]]*cadangan[[#This Row],[Diskon]]),cadangan[[#This Row],[Harga Normal B]])</f>
        <v>255000</v>
      </c>
      <c r="S431" s="73">
        <f>IFERROR(INDEX(Katalog!$F$3:$F$12,MATCH(cadangan[[#This Row],[ItemID B]],Katalog!$C$3:$C$12,0))*cadangan[[#This Row],[Qty B]],0)</f>
        <v>100000</v>
      </c>
      <c r="T431" s="73">
        <f>IFERROR(cadangan[[#This Row],[Harga Diskon B]]-INDEX(Katalog!$E$3:$E$12,MATCH(cadangan[[#This Row],[ItemID B]],Katalog!$C$3:$C$12,0))*cadangan[[#This Row],[Qty B]],0)</f>
        <v>55000</v>
      </c>
      <c r="V431" s="39" t="str">
        <f>IFERROR(INDEX(Katalog!$A$3:$A$12,MATCH(cadangan[[#This Row],[ItemID C]],Katalog!$C$3:$C$12,0)),"-")</f>
        <v>-</v>
      </c>
      <c r="W431" s="39" t="str">
        <f>IFERROR(INDEX(Katalog!$B$3:$B$12,MATCH(cadangan[[#This Row],[ItemID C]],Katalog!$C$3:$C$12,0)),"-")</f>
        <v>-</v>
      </c>
      <c r="Z431" s="73">
        <f>IFERROR(INDEX(Katalog!$D$3:$D$12,MATCH(cadangan[[#This Row],[ItemID C]],Katalog!$C$3:$C$12,0))*cadangan[[#This Row],[Qty C]],0)</f>
        <v>0</v>
      </c>
      <c r="AA431" s="73">
        <f>IFERROR(cadangan[[#This Row],[Harga Normal C]]-(cadangan[[#This Row],[Harga Normal C]]*cadangan[[#This Row],[Diskon]]),cadangan[[#This Row],[Harga Normal C]])</f>
        <v>0</v>
      </c>
      <c r="AB431" s="73">
        <f>IFERROR(INDEX(Katalog!$F$3:$F$12,MATCH(cadangan[[#This Row],[ItemID C]],Katalog!$C$3:$C$12,0))*cadangan[[#This Row],[Qty C]],0)</f>
        <v>0</v>
      </c>
      <c r="AC431" s="73">
        <f>IFERROR(cadangan[[#This Row],[Harga Diskon C]]-INDEX(Katalog!$E$3:$E$12,MATCH(cadangan[[#This Row],[ItemID C]],Katalog!$C$3:$C$12,0))*cadangan[[#This Row],[Qty C]],0)</f>
        <v>0</v>
      </c>
      <c r="AD431" s="53">
        <f>cadangan[[#This Row],[Qty A]]+cadangan[[#This Row],[Qty B]]+cadangan[[#This Row],[Qty C]]</f>
        <v>3</v>
      </c>
      <c r="AE431" s="73">
        <f>cadangan[[#This Row],[Harga Normal A]]+cadangan[[#This Row],[Harga Normal B]]+cadangan[[#This Row],[Harga Normal C]]</f>
        <v>800000</v>
      </c>
      <c r="AF431" s="73">
        <f>cadangan[[#This Row],[Harga Diskon A]]+cadangan[[#This Row],[Harga Diskon B]]+cadangan[[#This Row],[Harga Diskon C]]</f>
        <v>680000</v>
      </c>
      <c r="AG431" s="73">
        <f>(cadangan[[#This Row],[Profit Normal A]]+cadangan[[#This Row],[Profit Normal B]]+cadangan[[#This Row],[Profit Normal C]])</f>
        <v>300000</v>
      </c>
      <c r="AH431" s="73">
        <f>cadangan[[#This Row],[Profit Diskon A]]+cadangan[[#This Row],[Profit Diskon B]]+cadangan[[#This Row],[Profit Diskon C]]</f>
        <v>180000</v>
      </c>
      <c r="AI431" s="23" t="s">
        <v>32</v>
      </c>
      <c r="AJ431" s="37">
        <f>IFERROR(INDEX('Kode Diskon'!$D$3:$D$9,MATCH(cadangan[[#This Row],[Kode diskon]],'Kode Diskon'!$C$3:$C$9,0)),"-")</f>
        <v>0.15</v>
      </c>
      <c r="AK431" s="23" t="s">
        <v>9</v>
      </c>
      <c r="AL431" s="23" t="s">
        <v>12</v>
      </c>
      <c r="AM431" s="23" t="s">
        <v>77</v>
      </c>
      <c r="AN431" s="55">
        <v>45036</v>
      </c>
      <c r="AO431" s="53">
        <f>DAY(cadangan[[#This Row],[Tanggal terjual]])</f>
        <v>20</v>
      </c>
      <c r="AP431" s="21" t="str">
        <f>TEXT(cadangan[[#This Row],[Tanggal terjual]],"dddd")</f>
        <v>Thursday</v>
      </c>
      <c r="AQ431" s="23" t="str" cm="1">
        <f t="array" ref="AQ4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31" s="61">
        <f>AVERAGE(cadangan[[#This Row],[Rating A]],cadangan[[#This Row],[Rating B]],cadangan[[#This Row],[Rating C]])</f>
        <v>4</v>
      </c>
    </row>
    <row r="432" spans="1:44" x14ac:dyDescent="0.2">
      <c r="A432" s="20">
        <v>431</v>
      </c>
      <c r="B432" s="21" t="str">
        <f>_xlfn.CONCAT("ORD-",INDEX(Helper!$B$2:$B$5,MATCH(cadangan[[#This Row],[Marketplace]],Helper!$A$2:$A$5,0)),TEXT(cadangan[[#This Row],[No]],"0000"),"-",TEXT(cadangan[[#This Row],[Tanggal terjual]],"dd/mm/yy"))</f>
        <v>ORD-SP0431-20/04/23</v>
      </c>
      <c r="C432" s="39" t="s">
        <v>65</v>
      </c>
      <c r="D432" s="39" t="str">
        <f>IFERROR(INDEX(Katalog!$A$3:$A$12,MATCH(cadangan[[#This Row],[ItemID A]],Katalog!$C$3:$C$12,0)),"-")</f>
        <v>Sepatu Pria</v>
      </c>
      <c r="E432" s="39" t="str">
        <f>IFERROR(INDEX(Katalog!$B$3:$B$12,MATCH(cadangan[[#This Row],[ItemID A]],Katalog!$C$3:$C$12,0)),"-")</f>
        <v>Sneakers</v>
      </c>
      <c r="F432" s="50">
        <v>3</v>
      </c>
      <c r="G432" s="50">
        <v>2</v>
      </c>
      <c r="H432" s="73">
        <f>IFERROR(INDEX(Katalog!$D$3:$D$12,MATCH(cadangan[[#This Row],[ItemID A]],Katalog!$C$3:$C$12,0))*cadangan[[#This Row],[Qty A]],0)</f>
        <v>1500000</v>
      </c>
      <c r="I432" s="73">
        <f>IFERROR(cadangan[[#This Row],[Harga Normal A]]-(cadangan[[#This Row],[Harga Normal A]]*cadangan[[#This Row],[Diskon]]),cadangan[[#This Row],[Harga Normal A]])</f>
        <v>1200000</v>
      </c>
      <c r="J432" s="73">
        <f>INDEX(Katalog!$F$3:$F$12,MATCH(cadangan[[#This Row],[ItemID A]],Katalog!$C$3:$C$12,0))*cadangan[[#This Row],[Qty A]]</f>
        <v>600000</v>
      </c>
      <c r="K432" s="73">
        <f>IFERROR(cadangan[[#This Row],[Harga Diskon A]]-INDEX(Katalog!$E$3:$E$12,MATCH(cadangan[[#This Row],[ItemID A]],Katalog!$C$3:$C$12,0))*cadangan[[#This Row],[Qty A]],0)</f>
        <v>300000</v>
      </c>
      <c r="L432" s="39" t="s">
        <v>67</v>
      </c>
      <c r="M432" s="39" t="str">
        <f>IFERROR(INDEX(Katalog!$A$3:$A$12,MATCH(cadangan[[#This Row],[ItemID B]],Katalog!$C$3:$C$12,0)),"-")</f>
        <v>Sepatu Wanita</v>
      </c>
      <c r="N432" s="39" t="str">
        <f>IFERROR(INDEX(Katalog!$B$3:$B$12,MATCH(cadangan[[#This Row],[ItemID B]],Katalog!$C$3:$C$12,0)),"-")</f>
        <v>Flat Shoes</v>
      </c>
      <c r="O432" s="50">
        <v>1</v>
      </c>
      <c r="P432" s="50">
        <v>1</v>
      </c>
      <c r="Q432" s="73">
        <f>IFERROR(INDEX(Katalog!$D$3:$D$12,MATCH(cadangan[[#This Row],[ItemID B]],Katalog!$C$3:$C$12,0))*cadangan[[#This Row],[Qty B]],0)</f>
        <v>250000</v>
      </c>
      <c r="R432" s="73">
        <f>IFERROR(cadangan[[#This Row],[Harga Normal B]]-(cadangan[[#This Row],[Harga Normal B]]*cadangan[[#This Row],[Diskon]]),cadangan[[#This Row],[Harga Normal B]])</f>
        <v>200000</v>
      </c>
      <c r="S432" s="73">
        <f>IFERROR(INDEX(Katalog!$F$3:$F$12,MATCH(cadangan[[#This Row],[ItemID B]],Katalog!$C$3:$C$12,0))*cadangan[[#This Row],[Qty B]],0)</f>
        <v>100000</v>
      </c>
      <c r="T432" s="73">
        <f>IFERROR(cadangan[[#This Row],[Harga Diskon B]]-INDEX(Katalog!$E$3:$E$12,MATCH(cadangan[[#This Row],[ItemID B]],Katalog!$C$3:$C$12,0))*cadangan[[#This Row],[Qty B]],0)</f>
        <v>50000</v>
      </c>
      <c r="V432" s="39" t="str">
        <f>IFERROR(INDEX(Katalog!$A$3:$A$12,MATCH(cadangan[[#This Row],[ItemID C]],Katalog!$C$3:$C$12,0)),"-")</f>
        <v>-</v>
      </c>
      <c r="W432" s="39" t="str">
        <f>IFERROR(INDEX(Katalog!$B$3:$B$12,MATCH(cadangan[[#This Row],[ItemID C]],Katalog!$C$3:$C$12,0)),"-")</f>
        <v>-</v>
      </c>
      <c r="Z432" s="73">
        <f>IFERROR(INDEX(Katalog!$D$3:$D$12,MATCH(cadangan[[#This Row],[ItemID C]],Katalog!$C$3:$C$12,0))*cadangan[[#This Row],[Qty C]],0)</f>
        <v>0</v>
      </c>
      <c r="AA432" s="73">
        <f>IFERROR(cadangan[[#This Row],[Harga Normal C]]-(cadangan[[#This Row],[Harga Normal C]]*cadangan[[#This Row],[Diskon]]),cadangan[[#This Row],[Harga Normal C]])</f>
        <v>0</v>
      </c>
      <c r="AB432" s="73">
        <f>IFERROR(INDEX(Katalog!$F$3:$F$12,MATCH(cadangan[[#This Row],[ItemID C]],Katalog!$C$3:$C$12,0))*cadangan[[#This Row],[Qty C]],0)</f>
        <v>0</v>
      </c>
      <c r="AC432" s="73">
        <f>IFERROR(cadangan[[#This Row],[Harga Diskon C]]-INDEX(Katalog!$E$3:$E$12,MATCH(cadangan[[#This Row],[ItemID C]],Katalog!$C$3:$C$12,0))*cadangan[[#This Row],[Qty C]],0)</f>
        <v>0</v>
      </c>
      <c r="AD432" s="53">
        <f>cadangan[[#This Row],[Qty A]]+cadangan[[#This Row],[Qty B]]+cadangan[[#This Row],[Qty C]]</f>
        <v>4</v>
      </c>
      <c r="AE432" s="73">
        <f>cadangan[[#This Row],[Harga Normal A]]+cadangan[[#This Row],[Harga Normal B]]+cadangan[[#This Row],[Harga Normal C]]</f>
        <v>1750000</v>
      </c>
      <c r="AF432" s="73">
        <f>cadangan[[#This Row],[Harga Diskon A]]+cadangan[[#This Row],[Harga Diskon B]]+cadangan[[#This Row],[Harga Diskon C]]</f>
        <v>1400000</v>
      </c>
      <c r="AG432" s="73">
        <f>(cadangan[[#This Row],[Profit Normal A]]+cadangan[[#This Row],[Profit Normal B]]+cadangan[[#This Row],[Profit Normal C]])</f>
        <v>700000</v>
      </c>
      <c r="AH432" s="73">
        <f>cadangan[[#This Row],[Profit Diskon A]]+cadangan[[#This Row],[Profit Diskon B]]+cadangan[[#This Row],[Profit Diskon C]]</f>
        <v>350000</v>
      </c>
      <c r="AI432" s="23" t="s">
        <v>8</v>
      </c>
      <c r="AJ432" s="37">
        <f>IFERROR(INDEX('Kode Diskon'!$D$3:$D$9,MATCH(cadangan[[#This Row],[Kode diskon]],'Kode Diskon'!$C$3:$C$9,0)),"-")</f>
        <v>0.2</v>
      </c>
      <c r="AK432" s="23" t="s">
        <v>9</v>
      </c>
      <c r="AL432" s="23" t="s">
        <v>7</v>
      </c>
      <c r="AM432" s="23" t="s">
        <v>77</v>
      </c>
      <c r="AN432" s="55">
        <v>45036</v>
      </c>
      <c r="AO432" s="53">
        <f>DAY(cadangan[[#This Row],[Tanggal terjual]])</f>
        <v>20</v>
      </c>
      <c r="AP432" s="21" t="str">
        <f>TEXT(cadangan[[#This Row],[Tanggal terjual]],"dddd")</f>
        <v>Thursday</v>
      </c>
      <c r="AQ432" s="23" t="str" cm="1">
        <f t="array" ref="AQ4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32" s="61">
        <f>AVERAGE(cadangan[[#This Row],[Rating A]],cadangan[[#This Row],[Rating B]],cadangan[[#This Row],[Rating C]])</f>
        <v>1.5</v>
      </c>
    </row>
    <row r="433" spans="1:44" x14ac:dyDescent="0.2">
      <c r="A433" s="20">
        <v>432</v>
      </c>
      <c r="B433" s="21" t="str">
        <f>_xlfn.CONCAT("ORD-",INDEX(Helper!$B$2:$B$5,MATCH(cadangan[[#This Row],[Marketplace]],Helper!$A$2:$A$5,0)),TEXT(cadangan[[#This Row],[No]],"0000"),"-",TEXT(cadangan[[#This Row],[Tanggal terjual]],"dd/mm/yy"))</f>
        <v>ORD-TK0432-04/04/23</v>
      </c>
      <c r="C433" s="39" t="s">
        <v>67</v>
      </c>
      <c r="D433" s="39" t="str">
        <f>IFERROR(INDEX(Katalog!$A$3:$A$12,MATCH(cadangan[[#This Row],[ItemID A]],Katalog!$C$3:$C$12,0)),"-")</f>
        <v>Sepatu Wanita</v>
      </c>
      <c r="E433" s="39" t="str">
        <f>IFERROR(INDEX(Katalog!$B$3:$B$12,MATCH(cadangan[[#This Row],[ItemID A]],Katalog!$C$3:$C$12,0)),"-")</f>
        <v>Flat Shoes</v>
      </c>
      <c r="F433" s="50">
        <v>5</v>
      </c>
      <c r="G433" s="50">
        <v>2</v>
      </c>
      <c r="H433" s="73">
        <f>IFERROR(INDEX(Katalog!$D$3:$D$12,MATCH(cadangan[[#This Row],[ItemID A]],Katalog!$C$3:$C$12,0))*cadangan[[#This Row],[Qty A]],0)</f>
        <v>1250000</v>
      </c>
      <c r="I433" s="73">
        <f>IFERROR(cadangan[[#This Row],[Harga Normal A]]-(cadangan[[#This Row],[Harga Normal A]]*cadangan[[#This Row],[Diskon]]),cadangan[[#This Row],[Harga Normal A]])</f>
        <v>1125000</v>
      </c>
      <c r="J433" s="73">
        <f>INDEX(Katalog!$F$3:$F$12,MATCH(cadangan[[#This Row],[ItemID A]],Katalog!$C$3:$C$12,0))*cadangan[[#This Row],[Qty A]]</f>
        <v>500000</v>
      </c>
      <c r="K433" s="73">
        <f>IFERROR(cadangan[[#This Row],[Harga Diskon A]]-INDEX(Katalog!$E$3:$E$12,MATCH(cadangan[[#This Row],[ItemID A]],Katalog!$C$3:$C$12,0))*cadangan[[#This Row],[Qty A]],0)</f>
        <v>375000</v>
      </c>
      <c r="L433" s="39" t="s">
        <v>62</v>
      </c>
      <c r="M433" s="39" t="str">
        <f>IFERROR(INDEX(Katalog!$A$3:$A$12,MATCH(cadangan[[#This Row],[ItemID B]],Katalog!$C$3:$C$12,0)),"-")</f>
        <v>Pakaian Pria</v>
      </c>
      <c r="N433" s="39" t="str">
        <f>IFERROR(INDEX(Katalog!$B$3:$B$12,MATCH(cadangan[[#This Row],[ItemID B]],Katalog!$C$3:$C$12,0)),"-")</f>
        <v>Celana Pendek</v>
      </c>
      <c r="O433" s="50">
        <v>1</v>
      </c>
      <c r="P433" s="50">
        <v>3</v>
      </c>
      <c r="Q433" s="73">
        <f>IFERROR(INDEX(Katalog!$D$3:$D$12,MATCH(cadangan[[#This Row],[ItemID B]],Katalog!$C$3:$C$12,0))*cadangan[[#This Row],[Qty B]],0)</f>
        <v>180000</v>
      </c>
      <c r="R433" s="73">
        <f>IFERROR(cadangan[[#This Row],[Harga Normal B]]-(cadangan[[#This Row],[Harga Normal B]]*cadangan[[#This Row],[Diskon]]),cadangan[[#This Row],[Harga Normal B]])</f>
        <v>162000</v>
      </c>
      <c r="S433" s="73">
        <f>IFERROR(INDEX(Katalog!$F$3:$F$12,MATCH(cadangan[[#This Row],[ItemID B]],Katalog!$C$3:$C$12,0))*cadangan[[#This Row],[Qty B]],0)</f>
        <v>70000</v>
      </c>
      <c r="T433" s="73">
        <f>IFERROR(cadangan[[#This Row],[Harga Diskon B]]-INDEX(Katalog!$E$3:$E$12,MATCH(cadangan[[#This Row],[ItemID B]],Katalog!$C$3:$C$12,0))*cadangan[[#This Row],[Qty B]],0)</f>
        <v>52000</v>
      </c>
      <c r="V433" s="39" t="str">
        <f>IFERROR(INDEX(Katalog!$A$3:$A$12,MATCH(cadangan[[#This Row],[ItemID C]],Katalog!$C$3:$C$12,0)),"-")</f>
        <v>-</v>
      </c>
      <c r="W433" s="39" t="str">
        <f>IFERROR(INDEX(Katalog!$B$3:$B$12,MATCH(cadangan[[#This Row],[ItemID C]],Katalog!$C$3:$C$12,0)),"-")</f>
        <v>-</v>
      </c>
      <c r="Z433" s="73">
        <f>IFERROR(INDEX(Katalog!$D$3:$D$12,MATCH(cadangan[[#This Row],[ItemID C]],Katalog!$C$3:$C$12,0))*cadangan[[#This Row],[Qty C]],0)</f>
        <v>0</v>
      </c>
      <c r="AA433" s="73">
        <f>IFERROR(cadangan[[#This Row],[Harga Normal C]]-(cadangan[[#This Row],[Harga Normal C]]*cadangan[[#This Row],[Diskon]]),cadangan[[#This Row],[Harga Normal C]])</f>
        <v>0</v>
      </c>
      <c r="AB433" s="73">
        <f>IFERROR(INDEX(Katalog!$F$3:$F$12,MATCH(cadangan[[#This Row],[ItemID C]],Katalog!$C$3:$C$12,0))*cadangan[[#This Row],[Qty C]],0)</f>
        <v>0</v>
      </c>
      <c r="AC433" s="73">
        <f>IFERROR(cadangan[[#This Row],[Harga Diskon C]]-INDEX(Katalog!$E$3:$E$12,MATCH(cadangan[[#This Row],[ItemID C]],Katalog!$C$3:$C$12,0))*cadangan[[#This Row],[Qty C]],0)</f>
        <v>0</v>
      </c>
      <c r="AD433" s="53">
        <f>cadangan[[#This Row],[Qty A]]+cadangan[[#This Row],[Qty B]]+cadangan[[#This Row],[Qty C]]</f>
        <v>6</v>
      </c>
      <c r="AE433" s="73">
        <f>cadangan[[#This Row],[Harga Normal A]]+cadangan[[#This Row],[Harga Normal B]]+cadangan[[#This Row],[Harga Normal C]]</f>
        <v>1430000</v>
      </c>
      <c r="AF433" s="73">
        <f>cadangan[[#This Row],[Harga Diskon A]]+cadangan[[#This Row],[Harga Diskon B]]+cadangan[[#This Row],[Harga Diskon C]]</f>
        <v>1287000</v>
      </c>
      <c r="AG433" s="73">
        <f>(cadangan[[#This Row],[Profit Normal A]]+cadangan[[#This Row],[Profit Normal B]]+cadangan[[#This Row],[Profit Normal C]])</f>
        <v>570000</v>
      </c>
      <c r="AH433" s="73">
        <f>cadangan[[#This Row],[Profit Diskon A]]+cadangan[[#This Row],[Profit Diskon B]]+cadangan[[#This Row],[Profit Diskon C]]</f>
        <v>427000</v>
      </c>
      <c r="AI433" s="23" t="s">
        <v>30</v>
      </c>
      <c r="AJ433" s="37">
        <f>IFERROR(INDEX('Kode Diskon'!$D$3:$D$9,MATCH(cadangan[[#This Row],[Kode diskon]],'Kode Diskon'!$C$3:$C$9,0)),"-")</f>
        <v>0.1</v>
      </c>
      <c r="AK433" s="23" t="s">
        <v>29</v>
      </c>
      <c r="AL433" s="23" t="s">
        <v>10</v>
      </c>
      <c r="AM433" s="23" t="s">
        <v>80</v>
      </c>
      <c r="AN433" s="55">
        <v>45020</v>
      </c>
      <c r="AO433" s="53">
        <f>DAY(cadangan[[#This Row],[Tanggal terjual]])</f>
        <v>4</v>
      </c>
      <c r="AP433" s="21" t="str">
        <f>TEXT(cadangan[[#This Row],[Tanggal terjual]],"dddd")</f>
        <v>Tuesday</v>
      </c>
      <c r="AQ433" s="23" t="str" cm="1">
        <f t="array" ref="AQ4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33" s="61">
        <f>AVERAGE(cadangan[[#This Row],[Rating A]],cadangan[[#This Row],[Rating B]],cadangan[[#This Row],[Rating C]])</f>
        <v>2.5</v>
      </c>
    </row>
    <row r="434" spans="1:44" x14ac:dyDescent="0.2">
      <c r="A434" s="20">
        <v>433</v>
      </c>
      <c r="B434" s="21" t="str">
        <f>_xlfn.CONCAT("ORD-",INDEX(Helper!$B$2:$B$5,MATCH(cadangan[[#This Row],[Marketplace]],Helper!$A$2:$A$5,0)),TEXT(cadangan[[#This Row],[No]],"0000"),"-",TEXT(cadangan[[#This Row],[Tanggal terjual]],"dd/mm/yy"))</f>
        <v>ORD-SP0433-15/04/23</v>
      </c>
      <c r="C434" s="39" t="s">
        <v>59</v>
      </c>
      <c r="D434" s="39" t="str">
        <f>IFERROR(INDEX(Katalog!$A$3:$A$12,MATCH(cadangan[[#This Row],[ItemID A]],Katalog!$C$3:$C$12,0)),"-")</f>
        <v>Pakaian Wanita</v>
      </c>
      <c r="E434" s="39" t="str">
        <f>IFERROR(INDEX(Katalog!$B$3:$B$12,MATCH(cadangan[[#This Row],[ItemID A]],Katalog!$C$3:$C$12,0)),"-")</f>
        <v>Blouse</v>
      </c>
      <c r="F434" s="50">
        <v>1</v>
      </c>
      <c r="G434" s="50">
        <v>3</v>
      </c>
      <c r="H434" s="73">
        <f>IFERROR(INDEX(Katalog!$D$3:$D$12,MATCH(cadangan[[#This Row],[ItemID A]],Katalog!$C$3:$C$12,0))*cadangan[[#This Row],[Qty A]],0)</f>
        <v>150000</v>
      </c>
      <c r="I434" s="73">
        <f>IFERROR(cadangan[[#This Row],[Harga Normal A]]-(cadangan[[#This Row],[Harga Normal A]]*cadangan[[#This Row],[Diskon]]),cadangan[[#This Row],[Harga Normal A]])</f>
        <v>150000</v>
      </c>
      <c r="J434" s="73">
        <f>INDEX(Katalog!$F$3:$F$12,MATCH(cadangan[[#This Row],[ItemID A]],Katalog!$C$3:$C$12,0))*cadangan[[#This Row],[Qty A]]</f>
        <v>50000</v>
      </c>
      <c r="K434" s="73">
        <f>IFERROR(cadangan[[#This Row],[Harga Diskon A]]-INDEX(Katalog!$E$3:$E$12,MATCH(cadangan[[#This Row],[ItemID A]],Katalog!$C$3:$C$12,0))*cadangan[[#This Row],[Qty A]],0)</f>
        <v>50000</v>
      </c>
      <c r="L434" s="39" t="s">
        <v>61</v>
      </c>
      <c r="M434" s="39" t="str">
        <f>IFERROR(INDEX(Katalog!$A$3:$A$12,MATCH(cadangan[[#This Row],[ItemID B]],Katalog!$C$3:$C$12,0)),"-")</f>
        <v>Pakaian Pria</v>
      </c>
      <c r="N434" s="39" t="str">
        <f>IFERROR(INDEX(Katalog!$B$3:$B$12,MATCH(cadangan[[#This Row],[ItemID B]],Katalog!$C$3:$C$12,0)),"-")</f>
        <v>Kaos Polo</v>
      </c>
      <c r="O434" s="50">
        <v>1</v>
      </c>
      <c r="P434" s="50">
        <v>3</v>
      </c>
      <c r="Q434" s="73">
        <f>IFERROR(INDEX(Katalog!$D$3:$D$12,MATCH(cadangan[[#This Row],[ItemID B]],Katalog!$C$3:$C$12,0))*cadangan[[#This Row],[Qty B]],0)</f>
        <v>200000</v>
      </c>
      <c r="R434" s="73">
        <f>IFERROR(cadangan[[#This Row],[Harga Normal B]]-(cadangan[[#This Row],[Harga Normal B]]*cadangan[[#This Row],[Diskon]]),cadangan[[#This Row],[Harga Normal B]])</f>
        <v>200000</v>
      </c>
      <c r="S434" s="73">
        <f>IFERROR(INDEX(Katalog!$F$3:$F$12,MATCH(cadangan[[#This Row],[ItemID B]],Katalog!$C$3:$C$12,0))*cadangan[[#This Row],[Qty B]],0)</f>
        <v>80000</v>
      </c>
      <c r="T434" s="73">
        <f>IFERROR(cadangan[[#This Row],[Harga Diskon B]]-INDEX(Katalog!$E$3:$E$12,MATCH(cadangan[[#This Row],[ItemID B]],Katalog!$C$3:$C$12,0))*cadangan[[#This Row],[Qty B]],0)</f>
        <v>80000</v>
      </c>
      <c r="U434" s="39" t="s">
        <v>62</v>
      </c>
      <c r="V434" s="39" t="str">
        <f>IFERROR(INDEX(Katalog!$A$3:$A$12,MATCH(cadangan[[#This Row],[ItemID C]],Katalog!$C$3:$C$12,0)),"-")</f>
        <v>Pakaian Pria</v>
      </c>
      <c r="W434" s="39" t="str">
        <f>IFERROR(INDEX(Katalog!$B$3:$B$12,MATCH(cadangan[[#This Row],[ItemID C]],Katalog!$C$3:$C$12,0)),"-")</f>
        <v>Celana Pendek</v>
      </c>
      <c r="X434" s="50">
        <v>1</v>
      </c>
      <c r="Y434" s="50">
        <v>2</v>
      </c>
      <c r="Z434" s="73">
        <f>IFERROR(INDEX(Katalog!$D$3:$D$12,MATCH(cadangan[[#This Row],[ItemID C]],Katalog!$C$3:$C$12,0))*cadangan[[#This Row],[Qty C]],0)</f>
        <v>180000</v>
      </c>
      <c r="AA434" s="73">
        <f>IFERROR(cadangan[[#This Row],[Harga Normal C]]-(cadangan[[#This Row],[Harga Normal C]]*cadangan[[#This Row],[Diskon]]),cadangan[[#This Row],[Harga Normal C]])</f>
        <v>180000</v>
      </c>
      <c r="AB434" s="73">
        <f>IFERROR(INDEX(Katalog!$F$3:$F$12,MATCH(cadangan[[#This Row],[ItemID C]],Katalog!$C$3:$C$12,0))*cadangan[[#This Row],[Qty C]],0)</f>
        <v>70000</v>
      </c>
      <c r="AC434" s="73">
        <f>IFERROR(cadangan[[#This Row],[Harga Diskon C]]-INDEX(Katalog!$E$3:$E$12,MATCH(cadangan[[#This Row],[ItemID C]],Katalog!$C$3:$C$12,0))*cadangan[[#This Row],[Qty C]],0)</f>
        <v>70000</v>
      </c>
      <c r="AD434" s="53">
        <f>cadangan[[#This Row],[Qty A]]+cadangan[[#This Row],[Qty B]]+cadangan[[#This Row],[Qty C]]</f>
        <v>3</v>
      </c>
      <c r="AE434" s="73">
        <f>cadangan[[#This Row],[Harga Normal A]]+cadangan[[#This Row],[Harga Normal B]]+cadangan[[#This Row],[Harga Normal C]]</f>
        <v>530000</v>
      </c>
      <c r="AF434" s="73">
        <f>cadangan[[#This Row],[Harga Diskon A]]+cadangan[[#This Row],[Harga Diskon B]]+cadangan[[#This Row],[Harga Diskon C]]</f>
        <v>530000</v>
      </c>
      <c r="AG434" s="73">
        <f>(cadangan[[#This Row],[Profit Normal A]]+cadangan[[#This Row],[Profit Normal B]]+cadangan[[#This Row],[Profit Normal C]])</f>
        <v>200000</v>
      </c>
      <c r="AH434" s="73">
        <f>cadangan[[#This Row],[Profit Diskon A]]+cadangan[[#This Row],[Profit Diskon B]]+cadangan[[#This Row],[Profit Diskon C]]</f>
        <v>200000</v>
      </c>
      <c r="AI434" s="23" t="s">
        <v>290</v>
      </c>
      <c r="AJ434" s="37" t="str">
        <f>IFERROR(INDEX('Kode Diskon'!$D$3:$D$9,MATCH(cadangan[[#This Row],[Kode diskon]],'Kode Diskon'!$C$3:$C$9,0)),"-")</f>
        <v>-</v>
      </c>
      <c r="AK434" s="23" t="s">
        <v>290</v>
      </c>
      <c r="AL434" s="23" t="s">
        <v>7</v>
      </c>
      <c r="AM434" s="23" t="s">
        <v>80</v>
      </c>
      <c r="AN434" s="55">
        <v>45031</v>
      </c>
      <c r="AO434" s="53">
        <f>DAY(cadangan[[#This Row],[Tanggal terjual]])</f>
        <v>15</v>
      </c>
      <c r="AP434" s="21" t="str">
        <f>TEXT(cadangan[[#This Row],[Tanggal terjual]],"dddd")</f>
        <v>Saturday</v>
      </c>
      <c r="AQ434" s="23" t="str" cm="1">
        <f t="array" ref="AQ4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34" s="61">
        <f>AVERAGE(cadangan[[#This Row],[Rating A]],cadangan[[#This Row],[Rating B]],cadangan[[#This Row],[Rating C]])</f>
        <v>2.6666666666666665</v>
      </c>
    </row>
    <row r="435" spans="1:44" x14ac:dyDescent="0.2">
      <c r="A435" s="20">
        <v>434</v>
      </c>
      <c r="B435" s="21" t="str">
        <f>_xlfn.CONCAT("ORD-",INDEX(Helper!$B$2:$B$5,MATCH(cadangan[[#This Row],[Marketplace]],Helper!$A$2:$A$5,0)),TEXT(cadangan[[#This Row],[No]],"0000"),"-",TEXT(cadangan[[#This Row],[Tanggal terjual]],"dd/mm/yy"))</f>
        <v>ORD-BB0434-03/04/23</v>
      </c>
      <c r="C435" s="39" t="s">
        <v>60</v>
      </c>
      <c r="D435" s="39" t="str">
        <f>IFERROR(INDEX(Katalog!$A$3:$A$12,MATCH(cadangan[[#This Row],[ItemID A]],Katalog!$C$3:$C$12,0)),"-")</f>
        <v>Pakaian Wanita</v>
      </c>
      <c r="E435" s="39" t="str">
        <f>IFERROR(INDEX(Katalog!$B$3:$B$12,MATCH(cadangan[[#This Row],[ItemID A]],Katalog!$C$3:$C$12,0)),"-")</f>
        <v>Kaftan</v>
      </c>
      <c r="F435" s="50">
        <v>5</v>
      </c>
      <c r="G435" s="50">
        <v>5</v>
      </c>
      <c r="H435" s="73">
        <f>IFERROR(INDEX(Katalog!$D$3:$D$12,MATCH(cadangan[[#This Row],[ItemID A]],Katalog!$C$3:$C$12,0))*cadangan[[#This Row],[Qty A]],0)</f>
        <v>1250000</v>
      </c>
      <c r="I435" s="73">
        <f>IFERROR(cadangan[[#This Row],[Harga Normal A]]-(cadangan[[#This Row],[Harga Normal A]]*cadangan[[#This Row],[Diskon]]),cadangan[[#This Row],[Harga Normal A]])</f>
        <v>1062500</v>
      </c>
      <c r="J435" s="73">
        <f>INDEX(Katalog!$F$3:$F$12,MATCH(cadangan[[#This Row],[ItemID A]],Katalog!$C$3:$C$12,0))*cadangan[[#This Row],[Qty A]]</f>
        <v>500000</v>
      </c>
      <c r="K435" s="73">
        <f>IFERROR(cadangan[[#This Row],[Harga Diskon A]]-INDEX(Katalog!$E$3:$E$12,MATCH(cadangan[[#This Row],[ItemID A]],Katalog!$C$3:$C$12,0))*cadangan[[#This Row],[Qty A]],0)</f>
        <v>312500</v>
      </c>
      <c r="L435" s="39" t="s">
        <v>61</v>
      </c>
      <c r="M435" s="39" t="str">
        <f>IFERROR(INDEX(Katalog!$A$3:$A$12,MATCH(cadangan[[#This Row],[ItemID B]],Katalog!$C$3:$C$12,0)),"-")</f>
        <v>Pakaian Pria</v>
      </c>
      <c r="N435" s="39" t="str">
        <f>IFERROR(INDEX(Katalog!$B$3:$B$12,MATCH(cadangan[[#This Row],[ItemID B]],Katalog!$C$3:$C$12,0)),"-")</f>
        <v>Kaos Polo</v>
      </c>
      <c r="O435" s="50">
        <v>1</v>
      </c>
      <c r="P435" s="50">
        <v>1</v>
      </c>
      <c r="Q435" s="73">
        <f>IFERROR(INDEX(Katalog!$D$3:$D$12,MATCH(cadangan[[#This Row],[ItemID B]],Katalog!$C$3:$C$12,0))*cadangan[[#This Row],[Qty B]],0)</f>
        <v>200000</v>
      </c>
      <c r="R435" s="73">
        <f>IFERROR(cadangan[[#This Row],[Harga Normal B]]-(cadangan[[#This Row],[Harga Normal B]]*cadangan[[#This Row],[Diskon]]),cadangan[[#This Row],[Harga Normal B]])</f>
        <v>170000</v>
      </c>
      <c r="S435" s="73">
        <f>IFERROR(INDEX(Katalog!$F$3:$F$12,MATCH(cadangan[[#This Row],[ItemID B]],Katalog!$C$3:$C$12,0))*cadangan[[#This Row],[Qty B]],0)</f>
        <v>80000</v>
      </c>
      <c r="T435" s="73">
        <f>IFERROR(cadangan[[#This Row],[Harga Diskon B]]-INDEX(Katalog!$E$3:$E$12,MATCH(cadangan[[#This Row],[ItemID B]],Katalog!$C$3:$C$12,0))*cadangan[[#This Row],[Qty B]],0)</f>
        <v>50000</v>
      </c>
      <c r="V435" s="39" t="str">
        <f>IFERROR(INDEX(Katalog!$A$3:$A$12,MATCH(cadangan[[#This Row],[ItemID C]],Katalog!$C$3:$C$12,0)),"-")</f>
        <v>-</v>
      </c>
      <c r="W435" s="39" t="str">
        <f>IFERROR(INDEX(Katalog!$B$3:$B$12,MATCH(cadangan[[#This Row],[ItemID C]],Katalog!$C$3:$C$12,0)),"-")</f>
        <v>-</v>
      </c>
      <c r="Z435" s="73">
        <f>IFERROR(INDEX(Katalog!$D$3:$D$12,MATCH(cadangan[[#This Row],[ItemID C]],Katalog!$C$3:$C$12,0))*cadangan[[#This Row],[Qty C]],0)</f>
        <v>0</v>
      </c>
      <c r="AA435" s="73">
        <f>IFERROR(cadangan[[#This Row],[Harga Normal C]]-(cadangan[[#This Row],[Harga Normal C]]*cadangan[[#This Row],[Diskon]]),cadangan[[#This Row],[Harga Normal C]])</f>
        <v>0</v>
      </c>
      <c r="AB435" s="73">
        <f>IFERROR(INDEX(Katalog!$F$3:$F$12,MATCH(cadangan[[#This Row],[ItemID C]],Katalog!$C$3:$C$12,0))*cadangan[[#This Row],[Qty C]],0)</f>
        <v>0</v>
      </c>
      <c r="AC435" s="73">
        <f>IFERROR(cadangan[[#This Row],[Harga Diskon C]]-INDEX(Katalog!$E$3:$E$12,MATCH(cadangan[[#This Row],[ItemID C]],Katalog!$C$3:$C$12,0))*cadangan[[#This Row],[Qty C]],0)</f>
        <v>0</v>
      </c>
      <c r="AD435" s="53">
        <f>cadangan[[#This Row],[Qty A]]+cadangan[[#This Row],[Qty B]]+cadangan[[#This Row],[Qty C]]</f>
        <v>6</v>
      </c>
      <c r="AE435" s="73">
        <f>cadangan[[#This Row],[Harga Normal A]]+cadangan[[#This Row],[Harga Normal B]]+cadangan[[#This Row],[Harga Normal C]]</f>
        <v>1450000</v>
      </c>
      <c r="AF435" s="73">
        <f>cadangan[[#This Row],[Harga Diskon A]]+cadangan[[#This Row],[Harga Diskon B]]+cadangan[[#This Row],[Harga Diskon C]]</f>
        <v>1232500</v>
      </c>
      <c r="AG435" s="73">
        <f>(cadangan[[#This Row],[Profit Normal A]]+cadangan[[#This Row],[Profit Normal B]]+cadangan[[#This Row],[Profit Normal C]])</f>
        <v>580000</v>
      </c>
      <c r="AH435" s="73">
        <f>cadangan[[#This Row],[Profit Diskon A]]+cadangan[[#This Row],[Profit Diskon B]]+cadangan[[#This Row],[Profit Diskon C]]</f>
        <v>362500</v>
      </c>
      <c r="AI435" s="23" t="s">
        <v>28</v>
      </c>
      <c r="AJ435" s="37">
        <f>IFERROR(INDEX('Kode Diskon'!$D$3:$D$9,MATCH(cadangan[[#This Row],[Kode diskon]],'Kode Diskon'!$C$3:$C$9,0)),"-")</f>
        <v>0.15</v>
      </c>
      <c r="AK435" s="23" t="s">
        <v>29</v>
      </c>
      <c r="AL435" s="23" t="s">
        <v>14</v>
      </c>
      <c r="AM435" s="23" t="s">
        <v>79</v>
      </c>
      <c r="AN435" s="55">
        <v>45019</v>
      </c>
      <c r="AO435" s="53">
        <f>DAY(cadangan[[#This Row],[Tanggal terjual]])</f>
        <v>3</v>
      </c>
      <c r="AP435" s="21" t="str">
        <f>TEXT(cadangan[[#This Row],[Tanggal terjual]],"dddd")</f>
        <v>Monday</v>
      </c>
      <c r="AQ435" s="23" t="str" cm="1">
        <f t="array" ref="AQ4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35" s="61">
        <f>AVERAGE(cadangan[[#This Row],[Rating A]],cadangan[[#This Row],[Rating B]],cadangan[[#This Row],[Rating C]])</f>
        <v>3</v>
      </c>
    </row>
    <row r="436" spans="1:44" x14ac:dyDescent="0.2">
      <c r="A436" s="20">
        <v>435</v>
      </c>
      <c r="B436" s="21" t="str">
        <f>_xlfn.CONCAT("ORD-",INDEX(Helper!$B$2:$B$5,MATCH(cadangan[[#This Row],[Marketplace]],Helper!$A$2:$A$5,0)),TEXT(cadangan[[#This Row],[No]],"0000"),"-",TEXT(cadangan[[#This Row],[Tanggal terjual]],"dd/mm/yy"))</f>
        <v>ORD-SP0435-04/04/23</v>
      </c>
      <c r="C436" s="39" t="s">
        <v>60</v>
      </c>
      <c r="D436" s="39" t="str">
        <f>IFERROR(INDEX(Katalog!$A$3:$A$12,MATCH(cadangan[[#This Row],[ItemID A]],Katalog!$C$3:$C$12,0)),"-")</f>
        <v>Pakaian Wanita</v>
      </c>
      <c r="E436" s="39" t="str">
        <f>IFERROR(INDEX(Katalog!$B$3:$B$12,MATCH(cadangan[[#This Row],[ItemID A]],Katalog!$C$3:$C$12,0)),"-")</f>
        <v>Kaftan</v>
      </c>
      <c r="F436" s="50">
        <v>1</v>
      </c>
      <c r="G436" s="50">
        <v>3</v>
      </c>
      <c r="H436" s="73">
        <f>IFERROR(INDEX(Katalog!$D$3:$D$12,MATCH(cadangan[[#This Row],[ItemID A]],Katalog!$C$3:$C$12,0))*cadangan[[#This Row],[Qty A]],0)</f>
        <v>250000</v>
      </c>
      <c r="I436" s="73">
        <f>IFERROR(cadangan[[#This Row],[Harga Normal A]]-(cadangan[[#This Row],[Harga Normal A]]*cadangan[[#This Row],[Diskon]]),cadangan[[#This Row],[Harga Normal A]])</f>
        <v>212500</v>
      </c>
      <c r="J436" s="73">
        <f>INDEX(Katalog!$F$3:$F$12,MATCH(cadangan[[#This Row],[ItemID A]],Katalog!$C$3:$C$12,0))*cadangan[[#This Row],[Qty A]]</f>
        <v>100000</v>
      </c>
      <c r="K436" s="73">
        <f>IFERROR(cadangan[[#This Row],[Harga Diskon A]]-INDEX(Katalog!$E$3:$E$12,MATCH(cadangan[[#This Row],[ItemID A]],Katalog!$C$3:$C$12,0))*cadangan[[#This Row],[Qty A]],0)</f>
        <v>62500</v>
      </c>
      <c r="L436" s="39" t="s">
        <v>64</v>
      </c>
      <c r="M436" s="39" t="str">
        <f>IFERROR(INDEX(Katalog!$A$3:$A$12,MATCH(cadangan[[#This Row],[ItemID B]],Katalog!$C$3:$C$12,0)),"-")</f>
        <v>Pakaian Unisex</v>
      </c>
      <c r="N436" s="39" t="str">
        <f>IFERROR(INDEX(Katalog!$B$3:$B$12,MATCH(cadangan[[#This Row],[ItemID B]],Katalog!$C$3:$C$12,0)),"-")</f>
        <v>Jaket Hoodie</v>
      </c>
      <c r="O436" s="50">
        <v>1</v>
      </c>
      <c r="P436" s="50">
        <v>3</v>
      </c>
      <c r="Q436" s="73">
        <f>IFERROR(INDEX(Katalog!$D$3:$D$12,MATCH(cadangan[[#This Row],[ItemID B]],Katalog!$C$3:$C$12,0))*cadangan[[#This Row],[Qty B]],0)</f>
        <v>350000</v>
      </c>
      <c r="R436" s="73">
        <f>IFERROR(cadangan[[#This Row],[Harga Normal B]]-(cadangan[[#This Row],[Harga Normal B]]*cadangan[[#This Row],[Diskon]]),cadangan[[#This Row],[Harga Normal B]])</f>
        <v>297500</v>
      </c>
      <c r="S436" s="73">
        <f>IFERROR(INDEX(Katalog!$F$3:$F$12,MATCH(cadangan[[#This Row],[ItemID B]],Katalog!$C$3:$C$12,0))*cadangan[[#This Row],[Qty B]],0)</f>
        <v>130000</v>
      </c>
      <c r="T436" s="73">
        <f>IFERROR(cadangan[[#This Row],[Harga Diskon B]]-INDEX(Katalog!$E$3:$E$12,MATCH(cadangan[[#This Row],[ItemID B]],Katalog!$C$3:$C$12,0))*cadangan[[#This Row],[Qty B]],0)</f>
        <v>77500</v>
      </c>
      <c r="U436" s="39" t="s">
        <v>67</v>
      </c>
      <c r="V436" s="39" t="str">
        <f>IFERROR(INDEX(Katalog!$A$3:$A$12,MATCH(cadangan[[#This Row],[ItemID C]],Katalog!$C$3:$C$12,0)),"-")</f>
        <v>Sepatu Wanita</v>
      </c>
      <c r="W436" s="39" t="str">
        <f>IFERROR(INDEX(Katalog!$B$3:$B$12,MATCH(cadangan[[#This Row],[ItemID C]],Katalog!$C$3:$C$12,0)),"-")</f>
        <v>Flat Shoes</v>
      </c>
      <c r="X436" s="50">
        <v>4</v>
      </c>
      <c r="Y436" s="50">
        <v>2</v>
      </c>
      <c r="Z436" s="73">
        <f>IFERROR(INDEX(Katalog!$D$3:$D$12,MATCH(cadangan[[#This Row],[ItemID C]],Katalog!$C$3:$C$12,0))*cadangan[[#This Row],[Qty C]],0)</f>
        <v>1000000</v>
      </c>
      <c r="AA436" s="73">
        <f>IFERROR(cadangan[[#This Row],[Harga Normal C]]-(cadangan[[#This Row],[Harga Normal C]]*cadangan[[#This Row],[Diskon]]),cadangan[[#This Row],[Harga Normal C]])</f>
        <v>850000</v>
      </c>
      <c r="AB436" s="73">
        <f>IFERROR(INDEX(Katalog!$F$3:$F$12,MATCH(cadangan[[#This Row],[ItemID C]],Katalog!$C$3:$C$12,0))*cadangan[[#This Row],[Qty C]],0)</f>
        <v>400000</v>
      </c>
      <c r="AC436" s="73">
        <f>IFERROR(cadangan[[#This Row],[Harga Diskon C]]-INDEX(Katalog!$E$3:$E$12,MATCH(cadangan[[#This Row],[ItemID C]],Katalog!$C$3:$C$12,0))*cadangan[[#This Row],[Qty C]],0)</f>
        <v>250000</v>
      </c>
      <c r="AD436" s="53">
        <f>cadangan[[#This Row],[Qty A]]+cadangan[[#This Row],[Qty B]]+cadangan[[#This Row],[Qty C]]</f>
        <v>6</v>
      </c>
      <c r="AE436" s="73">
        <f>cadangan[[#This Row],[Harga Normal A]]+cadangan[[#This Row],[Harga Normal B]]+cadangan[[#This Row],[Harga Normal C]]</f>
        <v>1600000</v>
      </c>
      <c r="AF436" s="73">
        <f>cadangan[[#This Row],[Harga Diskon A]]+cadangan[[#This Row],[Harga Diskon B]]+cadangan[[#This Row],[Harga Diskon C]]</f>
        <v>1360000</v>
      </c>
      <c r="AG436" s="73">
        <f>(cadangan[[#This Row],[Profit Normal A]]+cadangan[[#This Row],[Profit Normal B]]+cadangan[[#This Row],[Profit Normal C]])</f>
        <v>630000</v>
      </c>
      <c r="AH436" s="73">
        <f>cadangan[[#This Row],[Profit Diskon A]]+cadangan[[#This Row],[Profit Diskon B]]+cadangan[[#This Row],[Profit Diskon C]]</f>
        <v>390000</v>
      </c>
      <c r="AI436" s="23" t="s">
        <v>13</v>
      </c>
      <c r="AJ436" s="37">
        <f>IFERROR(INDEX('Kode Diskon'!$D$3:$D$9,MATCH(cadangan[[#This Row],[Kode diskon]],'Kode Diskon'!$C$3:$C$9,0)),"-")</f>
        <v>0.15</v>
      </c>
      <c r="AK436" s="23" t="s">
        <v>29</v>
      </c>
      <c r="AL436" s="23" t="s">
        <v>7</v>
      </c>
      <c r="AM436" s="23" t="s">
        <v>79</v>
      </c>
      <c r="AN436" s="55">
        <v>45020</v>
      </c>
      <c r="AO436" s="53">
        <f>DAY(cadangan[[#This Row],[Tanggal terjual]])</f>
        <v>4</v>
      </c>
      <c r="AP436" s="21" t="str">
        <f>TEXT(cadangan[[#This Row],[Tanggal terjual]],"dddd")</f>
        <v>Tuesday</v>
      </c>
      <c r="AQ436" s="23" t="str" cm="1">
        <f t="array" ref="AQ4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36" s="61">
        <f>AVERAGE(cadangan[[#This Row],[Rating A]],cadangan[[#This Row],[Rating B]],cadangan[[#This Row],[Rating C]])</f>
        <v>2.6666666666666665</v>
      </c>
    </row>
    <row r="437" spans="1:44" x14ac:dyDescent="0.2">
      <c r="A437" s="20">
        <v>436</v>
      </c>
      <c r="B437" s="21" t="str">
        <f>_xlfn.CONCAT("ORD-",INDEX(Helper!$B$2:$B$5,MATCH(cadangan[[#This Row],[Marketplace]],Helper!$A$2:$A$5,0)),TEXT(cadangan[[#This Row],[No]],"0000"),"-",TEXT(cadangan[[#This Row],[Tanggal terjual]],"dd/mm/yy"))</f>
        <v>ORD-SP0436-01/04/23</v>
      </c>
      <c r="C437" s="39" t="s">
        <v>58</v>
      </c>
      <c r="D437" s="39" t="str">
        <f>IFERROR(INDEX(Katalog!$A$3:$A$12,MATCH(cadangan[[#This Row],[ItemID A]],Katalog!$C$3:$C$12,0)),"-")</f>
        <v>Pakaian Wanita</v>
      </c>
      <c r="E437" s="39" t="str">
        <f>IFERROR(INDEX(Katalog!$B$3:$B$12,MATCH(cadangan[[#This Row],[ItemID A]],Katalog!$C$3:$C$12,0)),"-")</f>
        <v>Dress</v>
      </c>
      <c r="F437" s="50">
        <v>1</v>
      </c>
      <c r="G437" s="50">
        <v>5</v>
      </c>
      <c r="H437" s="73">
        <f>IFERROR(INDEX(Katalog!$D$3:$D$12,MATCH(cadangan[[#This Row],[ItemID A]],Katalog!$C$3:$C$12,0))*cadangan[[#This Row],[Qty A]],0)</f>
        <v>300000</v>
      </c>
      <c r="I437" s="73">
        <f>IFERROR(cadangan[[#This Row],[Harga Normal A]]-(cadangan[[#This Row],[Harga Normal A]]*cadangan[[#This Row],[Diskon]]),cadangan[[#This Row],[Harga Normal A]])</f>
        <v>270000</v>
      </c>
      <c r="J437" s="73">
        <f>INDEX(Katalog!$F$3:$F$12,MATCH(cadangan[[#This Row],[ItemID A]],Katalog!$C$3:$C$12,0))*cadangan[[#This Row],[Qty A]]</f>
        <v>100000</v>
      </c>
      <c r="K437" s="73">
        <f>IFERROR(cadangan[[#This Row],[Harga Diskon A]]-INDEX(Katalog!$E$3:$E$12,MATCH(cadangan[[#This Row],[ItemID A]],Katalog!$C$3:$C$12,0))*cadangan[[#This Row],[Qty A]],0)</f>
        <v>70000</v>
      </c>
      <c r="L437" s="39" t="s">
        <v>64</v>
      </c>
      <c r="M437" s="39" t="str">
        <f>IFERROR(INDEX(Katalog!$A$3:$A$12,MATCH(cadangan[[#This Row],[ItemID B]],Katalog!$C$3:$C$12,0)),"-")</f>
        <v>Pakaian Unisex</v>
      </c>
      <c r="N437" s="39" t="str">
        <f>IFERROR(INDEX(Katalog!$B$3:$B$12,MATCH(cadangan[[#This Row],[ItemID B]],Katalog!$C$3:$C$12,0)),"-")</f>
        <v>Jaket Hoodie</v>
      </c>
      <c r="O437" s="50">
        <v>3</v>
      </c>
      <c r="P437" s="50">
        <v>4</v>
      </c>
      <c r="Q437" s="73">
        <f>IFERROR(INDEX(Katalog!$D$3:$D$12,MATCH(cadangan[[#This Row],[ItemID B]],Katalog!$C$3:$C$12,0))*cadangan[[#This Row],[Qty B]],0)</f>
        <v>1050000</v>
      </c>
      <c r="R437" s="73">
        <f>IFERROR(cadangan[[#This Row],[Harga Normal B]]-(cadangan[[#This Row],[Harga Normal B]]*cadangan[[#This Row],[Diskon]]),cadangan[[#This Row],[Harga Normal B]])</f>
        <v>945000</v>
      </c>
      <c r="S437" s="73">
        <f>IFERROR(INDEX(Katalog!$F$3:$F$12,MATCH(cadangan[[#This Row],[ItemID B]],Katalog!$C$3:$C$12,0))*cadangan[[#This Row],[Qty B]],0)</f>
        <v>390000</v>
      </c>
      <c r="T437" s="73">
        <f>IFERROR(cadangan[[#This Row],[Harga Diskon B]]-INDEX(Katalog!$E$3:$E$12,MATCH(cadangan[[#This Row],[ItemID B]],Katalog!$C$3:$C$12,0))*cadangan[[#This Row],[Qty B]],0)</f>
        <v>285000</v>
      </c>
      <c r="V437" s="39" t="str">
        <f>IFERROR(INDEX(Katalog!$A$3:$A$12,MATCH(cadangan[[#This Row],[ItemID C]],Katalog!$C$3:$C$12,0)),"-")</f>
        <v>-</v>
      </c>
      <c r="W437" s="39" t="str">
        <f>IFERROR(INDEX(Katalog!$B$3:$B$12,MATCH(cadangan[[#This Row],[ItemID C]],Katalog!$C$3:$C$12,0)),"-")</f>
        <v>-</v>
      </c>
      <c r="Z437" s="73">
        <f>IFERROR(INDEX(Katalog!$D$3:$D$12,MATCH(cadangan[[#This Row],[ItemID C]],Katalog!$C$3:$C$12,0))*cadangan[[#This Row],[Qty C]],0)</f>
        <v>0</v>
      </c>
      <c r="AA437" s="73">
        <f>IFERROR(cadangan[[#This Row],[Harga Normal C]]-(cadangan[[#This Row],[Harga Normal C]]*cadangan[[#This Row],[Diskon]]),cadangan[[#This Row],[Harga Normal C]])</f>
        <v>0</v>
      </c>
      <c r="AB437" s="73">
        <f>IFERROR(INDEX(Katalog!$F$3:$F$12,MATCH(cadangan[[#This Row],[ItemID C]],Katalog!$C$3:$C$12,0))*cadangan[[#This Row],[Qty C]],0)</f>
        <v>0</v>
      </c>
      <c r="AC437" s="73">
        <f>IFERROR(cadangan[[#This Row],[Harga Diskon C]]-INDEX(Katalog!$E$3:$E$12,MATCH(cadangan[[#This Row],[ItemID C]],Katalog!$C$3:$C$12,0))*cadangan[[#This Row],[Qty C]],0)</f>
        <v>0</v>
      </c>
      <c r="AD437" s="53">
        <f>cadangan[[#This Row],[Qty A]]+cadangan[[#This Row],[Qty B]]+cadangan[[#This Row],[Qty C]]</f>
        <v>4</v>
      </c>
      <c r="AE437" s="73">
        <f>cadangan[[#This Row],[Harga Normal A]]+cadangan[[#This Row],[Harga Normal B]]+cadangan[[#This Row],[Harga Normal C]]</f>
        <v>1350000</v>
      </c>
      <c r="AF437" s="73">
        <f>cadangan[[#This Row],[Harga Diskon A]]+cadangan[[#This Row],[Harga Diskon B]]+cadangan[[#This Row],[Harga Diskon C]]</f>
        <v>1215000</v>
      </c>
      <c r="AG437" s="73">
        <f>(cadangan[[#This Row],[Profit Normal A]]+cadangan[[#This Row],[Profit Normal B]]+cadangan[[#This Row],[Profit Normal C]])</f>
        <v>490000</v>
      </c>
      <c r="AH437" s="73">
        <f>cadangan[[#This Row],[Profit Diskon A]]+cadangan[[#This Row],[Profit Diskon B]]+cadangan[[#This Row],[Profit Diskon C]]</f>
        <v>355000</v>
      </c>
      <c r="AI437" s="23" t="s">
        <v>6</v>
      </c>
      <c r="AJ437" s="37">
        <f>IFERROR(INDEX('Kode Diskon'!$D$3:$D$9,MATCH(cadangan[[#This Row],[Kode diskon]],'Kode Diskon'!$C$3:$C$9,0)),"-")</f>
        <v>0.1</v>
      </c>
      <c r="AK437" s="23" t="s">
        <v>29</v>
      </c>
      <c r="AL437" s="23" t="s">
        <v>7</v>
      </c>
      <c r="AM437" s="23" t="s">
        <v>76</v>
      </c>
      <c r="AN437" s="55">
        <v>45017</v>
      </c>
      <c r="AO437" s="53">
        <f>DAY(cadangan[[#This Row],[Tanggal terjual]])</f>
        <v>1</v>
      </c>
      <c r="AP437" s="21" t="str">
        <f>TEXT(cadangan[[#This Row],[Tanggal terjual]],"dddd")</f>
        <v>Saturday</v>
      </c>
      <c r="AQ437" s="23" t="str" cm="1">
        <f t="array" ref="AQ4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37" s="61">
        <f>AVERAGE(cadangan[[#This Row],[Rating A]],cadangan[[#This Row],[Rating B]],cadangan[[#This Row],[Rating C]])</f>
        <v>4.5</v>
      </c>
    </row>
    <row r="438" spans="1:44" x14ac:dyDescent="0.2">
      <c r="A438" s="20">
        <v>437</v>
      </c>
      <c r="B438" s="21" t="str">
        <f>_xlfn.CONCAT("ORD-",INDEX(Helper!$B$2:$B$5,MATCH(cadangan[[#This Row],[Marketplace]],Helper!$A$2:$A$5,0)),TEXT(cadangan[[#This Row],[No]],"0000"),"-",TEXT(cadangan[[#This Row],[Tanggal terjual]],"dd/mm/yy"))</f>
        <v>ORD-TK0437-13/04/23</v>
      </c>
      <c r="C438" s="39" t="s">
        <v>66</v>
      </c>
      <c r="D438" s="39" t="str">
        <f>IFERROR(INDEX(Katalog!$A$3:$A$12,MATCH(cadangan[[#This Row],[ItemID A]],Katalog!$C$3:$C$12,0)),"-")</f>
        <v>Sepatu Pria</v>
      </c>
      <c r="E438" s="39" t="str">
        <f>IFERROR(INDEX(Katalog!$B$3:$B$12,MATCH(cadangan[[#This Row],[ItemID A]],Katalog!$C$3:$C$12,0)),"-")</f>
        <v>Sandal Slip On</v>
      </c>
      <c r="F438" s="50">
        <v>4</v>
      </c>
      <c r="G438" s="50">
        <v>5</v>
      </c>
      <c r="H438" s="73">
        <f>IFERROR(INDEX(Katalog!$D$3:$D$12,MATCH(cadangan[[#This Row],[ItemID A]],Katalog!$C$3:$C$12,0))*cadangan[[#This Row],[Qty A]],0)</f>
        <v>600000</v>
      </c>
      <c r="I438" s="73">
        <f>IFERROR(cadangan[[#This Row],[Harga Normal A]]-(cadangan[[#This Row],[Harga Normal A]]*cadangan[[#This Row],[Diskon]]),cadangan[[#This Row],[Harga Normal A]])</f>
        <v>600000</v>
      </c>
      <c r="J438" s="73">
        <f>INDEX(Katalog!$F$3:$F$12,MATCH(cadangan[[#This Row],[ItemID A]],Katalog!$C$3:$C$12,0))*cadangan[[#This Row],[Qty A]]</f>
        <v>240000</v>
      </c>
      <c r="K438" s="73">
        <f>IFERROR(cadangan[[#This Row],[Harga Diskon A]]-INDEX(Katalog!$E$3:$E$12,MATCH(cadangan[[#This Row],[ItemID A]],Katalog!$C$3:$C$12,0))*cadangan[[#This Row],[Qty A]],0)</f>
        <v>240000</v>
      </c>
      <c r="M438" s="39" t="str">
        <f>IFERROR(INDEX(Katalog!$A$3:$A$12,MATCH(cadangan[[#This Row],[ItemID B]],Katalog!$C$3:$C$12,0)),"-")</f>
        <v>-</v>
      </c>
      <c r="N438" s="39" t="str">
        <f>IFERROR(INDEX(Katalog!$B$3:$B$12,MATCH(cadangan[[#This Row],[ItemID B]],Katalog!$C$3:$C$12,0)),"-")</f>
        <v>-</v>
      </c>
      <c r="Q438" s="73">
        <f>IFERROR(INDEX(Katalog!$D$3:$D$12,MATCH(cadangan[[#This Row],[ItemID B]],Katalog!$C$3:$C$12,0))*cadangan[[#This Row],[Qty B]],0)</f>
        <v>0</v>
      </c>
      <c r="R438" s="73">
        <f>IFERROR(cadangan[[#This Row],[Harga Normal B]]-(cadangan[[#This Row],[Harga Normal B]]*cadangan[[#This Row],[Diskon]]),cadangan[[#This Row],[Harga Normal B]])</f>
        <v>0</v>
      </c>
      <c r="S438" s="73">
        <f>IFERROR(INDEX(Katalog!$F$3:$F$12,MATCH(cadangan[[#This Row],[ItemID B]],Katalog!$C$3:$C$12,0))*cadangan[[#This Row],[Qty B]],0)</f>
        <v>0</v>
      </c>
      <c r="T438" s="73">
        <f>IFERROR(cadangan[[#This Row],[Harga Diskon B]]-INDEX(Katalog!$E$3:$E$12,MATCH(cadangan[[#This Row],[ItemID B]],Katalog!$C$3:$C$12,0))*cadangan[[#This Row],[Qty B]],0)</f>
        <v>0</v>
      </c>
      <c r="V438" s="39" t="str">
        <f>IFERROR(INDEX(Katalog!$A$3:$A$12,MATCH(cadangan[[#This Row],[ItemID C]],Katalog!$C$3:$C$12,0)),"-")</f>
        <v>-</v>
      </c>
      <c r="W438" s="39" t="str">
        <f>IFERROR(INDEX(Katalog!$B$3:$B$12,MATCH(cadangan[[#This Row],[ItemID C]],Katalog!$C$3:$C$12,0)),"-")</f>
        <v>-</v>
      </c>
      <c r="Z438" s="73">
        <f>IFERROR(INDEX(Katalog!$D$3:$D$12,MATCH(cadangan[[#This Row],[ItemID C]],Katalog!$C$3:$C$12,0))*cadangan[[#This Row],[Qty C]],0)</f>
        <v>0</v>
      </c>
      <c r="AA438" s="73">
        <f>IFERROR(cadangan[[#This Row],[Harga Normal C]]-(cadangan[[#This Row],[Harga Normal C]]*cadangan[[#This Row],[Diskon]]),cadangan[[#This Row],[Harga Normal C]])</f>
        <v>0</v>
      </c>
      <c r="AB438" s="73">
        <f>IFERROR(INDEX(Katalog!$F$3:$F$12,MATCH(cadangan[[#This Row],[ItemID C]],Katalog!$C$3:$C$12,0))*cadangan[[#This Row],[Qty C]],0)</f>
        <v>0</v>
      </c>
      <c r="AC438" s="73">
        <f>IFERROR(cadangan[[#This Row],[Harga Diskon C]]-INDEX(Katalog!$E$3:$E$12,MATCH(cadangan[[#This Row],[ItemID C]],Katalog!$C$3:$C$12,0))*cadangan[[#This Row],[Qty C]],0)</f>
        <v>0</v>
      </c>
      <c r="AD438" s="53">
        <f>cadangan[[#This Row],[Qty A]]+cadangan[[#This Row],[Qty B]]+cadangan[[#This Row],[Qty C]]</f>
        <v>4</v>
      </c>
      <c r="AE438" s="73">
        <f>cadangan[[#This Row],[Harga Normal A]]+cadangan[[#This Row],[Harga Normal B]]+cadangan[[#This Row],[Harga Normal C]]</f>
        <v>600000</v>
      </c>
      <c r="AF438" s="73">
        <f>cadangan[[#This Row],[Harga Diskon A]]+cadangan[[#This Row],[Harga Diskon B]]+cadangan[[#This Row],[Harga Diskon C]]</f>
        <v>600000</v>
      </c>
      <c r="AG438" s="73">
        <f>(cadangan[[#This Row],[Profit Normal A]]+cadangan[[#This Row],[Profit Normal B]]+cadangan[[#This Row],[Profit Normal C]])</f>
        <v>240000</v>
      </c>
      <c r="AH438" s="73">
        <f>cadangan[[#This Row],[Profit Diskon A]]+cadangan[[#This Row],[Profit Diskon B]]+cadangan[[#This Row],[Profit Diskon C]]</f>
        <v>240000</v>
      </c>
      <c r="AI438" s="23" t="s">
        <v>290</v>
      </c>
      <c r="AJ438" s="37" t="str">
        <f>IFERROR(INDEX('Kode Diskon'!$D$3:$D$9,MATCH(cadangan[[#This Row],[Kode diskon]],'Kode Diskon'!$C$3:$C$9,0)),"-")</f>
        <v>-</v>
      </c>
      <c r="AK438" s="23" t="s">
        <v>290</v>
      </c>
      <c r="AL438" s="23" t="s">
        <v>10</v>
      </c>
      <c r="AM438" s="23" t="s">
        <v>80</v>
      </c>
      <c r="AN438" s="55">
        <v>45029</v>
      </c>
      <c r="AO438" s="53">
        <f>DAY(cadangan[[#This Row],[Tanggal terjual]])</f>
        <v>13</v>
      </c>
      <c r="AP438" s="21" t="str">
        <f>TEXT(cadangan[[#This Row],[Tanggal terjual]],"dddd")</f>
        <v>Thursday</v>
      </c>
      <c r="AQ438" s="23" t="str" cm="1">
        <f t="array" ref="AQ4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38" s="61">
        <f>AVERAGE(cadangan[[#This Row],[Rating A]],cadangan[[#This Row],[Rating B]],cadangan[[#This Row],[Rating C]])</f>
        <v>5</v>
      </c>
    </row>
    <row r="439" spans="1:44" x14ac:dyDescent="0.2">
      <c r="A439" s="20">
        <v>438</v>
      </c>
      <c r="B439" s="21" t="str">
        <f>_xlfn.CONCAT("ORD-",INDEX(Helper!$B$2:$B$5,MATCH(cadangan[[#This Row],[Marketplace]],Helper!$A$2:$A$5,0)),TEXT(cadangan[[#This Row],[No]],"0000"),"-",TEXT(cadangan[[#This Row],[Tanggal terjual]],"dd/mm/yy"))</f>
        <v>ORD-SP0438-22/04/23</v>
      </c>
      <c r="C439" s="39" t="s">
        <v>64</v>
      </c>
      <c r="D439" s="39" t="str">
        <f>IFERROR(INDEX(Katalog!$A$3:$A$12,MATCH(cadangan[[#This Row],[ItemID A]],Katalog!$C$3:$C$12,0)),"-")</f>
        <v>Pakaian Unisex</v>
      </c>
      <c r="E439" s="39" t="str">
        <f>IFERROR(INDEX(Katalog!$B$3:$B$12,MATCH(cadangan[[#This Row],[ItemID A]],Katalog!$C$3:$C$12,0)),"-")</f>
        <v>Jaket Hoodie</v>
      </c>
      <c r="F439" s="50">
        <v>2</v>
      </c>
      <c r="G439" s="50">
        <v>1</v>
      </c>
      <c r="H439" s="73">
        <f>IFERROR(INDEX(Katalog!$D$3:$D$12,MATCH(cadangan[[#This Row],[ItemID A]],Katalog!$C$3:$C$12,0))*cadangan[[#This Row],[Qty A]],0)</f>
        <v>700000</v>
      </c>
      <c r="I439" s="73">
        <f>IFERROR(cadangan[[#This Row],[Harga Normal A]]-(cadangan[[#This Row],[Harga Normal A]]*cadangan[[#This Row],[Diskon]]),cadangan[[#This Row],[Harga Normal A]])</f>
        <v>560000</v>
      </c>
      <c r="J439" s="73">
        <f>INDEX(Katalog!$F$3:$F$12,MATCH(cadangan[[#This Row],[ItemID A]],Katalog!$C$3:$C$12,0))*cadangan[[#This Row],[Qty A]]</f>
        <v>260000</v>
      </c>
      <c r="K439" s="73">
        <f>IFERROR(cadangan[[#This Row],[Harga Diskon A]]-INDEX(Katalog!$E$3:$E$12,MATCH(cadangan[[#This Row],[ItemID A]],Katalog!$C$3:$C$12,0))*cadangan[[#This Row],[Qty A]],0)</f>
        <v>120000</v>
      </c>
      <c r="L439" s="39" t="s">
        <v>63</v>
      </c>
      <c r="M439" s="39" t="str">
        <f>IFERROR(INDEX(Katalog!$A$3:$A$12,MATCH(cadangan[[#This Row],[ItemID B]],Katalog!$C$3:$C$12,0)),"-")</f>
        <v>Pakaian Pria</v>
      </c>
      <c r="N439" s="39" t="str">
        <f>IFERROR(INDEX(Katalog!$B$3:$B$12,MATCH(cadangan[[#This Row],[ItemID B]],Katalog!$C$3:$C$12,0)),"-")</f>
        <v>Jaket Jeans</v>
      </c>
      <c r="O439" s="50">
        <v>1</v>
      </c>
      <c r="P439" s="50">
        <v>3</v>
      </c>
      <c r="Q439" s="73">
        <f>IFERROR(INDEX(Katalog!$D$3:$D$12,MATCH(cadangan[[#This Row],[ItemID B]],Katalog!$C$3:$C$12,0))*cadangan[[#This Row],[Qty B]],0)</f>
        <v>400000</v>
      </c>
      <c r="R439" s="73">
        <f>IFERROR(cadangan[[#This Row],[Harga Normal B]]-(cadangan[[#This Row],[Harga Normal B]]*cadangan[[#This Row],[Diskon]]),cadangan[[#This Row],[Harga Normal B]])</f>
        <v>320000</v>
      </c>
      <c r="S439" s="73">
        <f>IFERROR(INDEX(Katalog!$F$3:$F$12,MATCH(cadangan[[#This Row],[ItemID B]],Katalog!$C$3:$C$12,0))*cadangan[[#This Row],[Qty B]],0)</f>
        <v>150000</v>
      </c>
      <c r="T439" s="73">
        <f>IFERROR(cadangan[[#This Row],[Harga Diskon B]]-INDEX(Katalog!$E$3:$E$12,MATCH(cadangan[[#This Row],[ItemID B]],Katalog!$C$3:$C$12,0))*cadangan[[#This Row],[Qty B]],0)</f>
        <v>70000</v>
      </c>
      <c r="V439" s="39" t="str">
        <f>IFERROR(INDEX(Katalog!$A$3:$A$12,MATCH(cadangan[[#This Row],[ItemID C]],Katalog!$C$3:$C$12,0)),"-")</f>
        <v>-</v>
      </c>
      <c r="W439" s="39" t="str">
        <f>IFERROR(INDEX(Katalog!$B$3:$B$12,MATCH(cadangan[[#This Row],[ItemID C]],Katalog!$C$3:$C$12,0)),"-")</f>
        <v>-</v>
      </c>
      <c r="Z439" s="73">
        <f>IFERROR(INDEX(Katalog!$D$3:$D$12,MATCH(cadangan[[#This Row],[ItemID C]],Katalog!$C$3:$C$12,0))*cadangan[[#This Row],[Qty C]],0)</f>
        <v>0</v>
      </c>
      <c r="AA439" s="73">
        <f>IFERROR(cadangan[[#This Row],[Harga Normal C]]-(cadangan[[#This Row],[Harga Normal C]]*cadangan[[#This Row],[Diskon]]),cadangan[[#This Row],[Harga Normal C]])</f>
        <v>0</v>
      </c>
      <c r="AB439" s="73">
        <f>IFERROR(INDEX(Katalog!$F$3:$F$12,MATCH(cadangan[[#This Row],[ItemID C]],Katalog!$C$3:$C$12,0))*cadangan[[#This Row],[Qty C]],0)</f>
        <v>0</v>
      </c>
      <c r="AC439" s="73">
        <f>IFERROR(cadangan[[#This Row],[Harga Diskon C]]-INDEX(Katalog!$E$3:$E$12,MATCH(cadangan[[#This Row],[ItemID C]],Katalog!$C$3:$C$12,0))*cadangan[[#This Row],[Qty C]],0)</f>
        <v>0</v>
      </c>
      <c r="AD439" s="53">
        <f>cadangan[[#This Row],[Qty A]]+cadangan[[#This Row],[Qty B]]+cadangan[[#This Row],[Qty C]]</f>
        <v>3</v>
      </c>
      <c r="AE439" s="73">
        <f>cadangan[[#This Row],[Harga Normal A]]+cadangan[[#This Row],[Harga Normal B]]+cadangan[[#This Row],[Harga Normal C]]</f>
        <v>1100000</v>
      </c>
      <c r="AF439" s="73">
        <f>cadangan[[#This Row],[Harga Diskon A]]+cadangan[[#This Row],[Harga Diskon B]]+cadangan[[#This Row],[Harga Diskon C]]</f>
        <v>880000</v>
      </c>
      <c r="AG439" s="73">
        <f>(cadangan[[#This Row],[Profit Normal A]]+cadangan[[#This Row],[Profit Normal B]]+cadangan[[#This Row],[Profit Normal C]])</f>
        <v>410000</v>
      </c>
      <c r="AH439" s="73">
        <f>cadangan[[#This Row],[Profit Diskon A]]+cadangan[[#This Row],[Profit Diskon B]]+cadangan[[#This Row],[Profit Diskon C]]</f>
        <v>190000</v>
      </c>
      <c r="AI439" s="23" t="s">
        <v>8</v>
      </c>
      <c r="AJ439" s="37">
        <f>IFERROR(INDEX('Kode Diskon'!$D$3:$D$9,MATCH(cadangan[[#This Row],[Kode diskon]],'Kode Diskon'!$C$3:$C$9,0)),"-")</f>
        <v>0.2</v>
      </c>
      <c r="AK439" s="23" t="s">
        <v>9</v>
      </c>
      <c r="AL439" s="23" t="s">
        <v>7</v>
      </c>
      <c r="AM439" s="23" t="s">
        <v>80</v>
      </c>
      <c r="AN439" s="55">
        <v>45038</v>
      </c>
      <c r="AO439" s="53">
        <f>DAY(cadangan[[#This Row],[Tanggal terjual]])</f>
        <v>22</v>
      </c>
      <c r="AP439" s="21" t="str">
        <f>TEXT(cadangan[[#This Row],[Tanggal terjual]],"dddd")</f>
        <v>Saturday</v>
      </c>
      <c r="AQ439" s="23" t="str" cm="1">
        <f t="array" ref="AQ4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39" s="61">
        <f>AVERAGE(cadangan[[#This Row],[Rating A]],cadangan[[#This Row],[Rating B]],cadangan[[#This Row],[Rating C]])</f>
        <v>2</v>
      </c>
    </row>
    <row r="440" spans="1:44" x14ac:dyDescent="0.2">
      <c r="A440" s="20">
        <v>439</v>
      </c>
      <c r="B440" s="21" t="str">
        <f>_xlfn.CONCAT("ORD-",INDEX(Helper!$B$2:$B$5,MATCH(cadangan[[#This Row],[Marketplace]],Helper!$A$2:$A$5,0)),TEXT(cadangan[[#This Row],[No]],"0000"),"-",TEXT(cadangan[[#This Row],[Tanggal terjual]],"dd/mm/yy"))</f>
        <v>ORD-SP0439-04/04/23</v>
      </c>
      <c r="C440" s="39" t="s">
        <v>62</v>
      </c>
      <c r="D440" s="39" t="str">
        <f>IFERROR(INDEX(Katalog!$A$3:$A$12,MATCH(cadangan[[#This Row],[ItemID A]],Katalog!$C$3:$C$12,0)),"-")</f>
        <v>Pakaian Pria</v>
      </c>
      <c r="E440" s="39" t="str">
        <f>IFERROR(INDEX(Katalog!$B$3:$B$12,MATCH(cadangan[[#This Row],[ItemID A]],Katalog!$C$3:$C$12,0)),"-")</f>
        <v>Celana Pendek</v>
      </c>
      <c r="F440" s="50">
        <v>2</v>
      </c>
      <c r="G440" s="50">
        <v>4</v>
      </c>
      <c r="H440" s="73">
        <f>IFERROR(INDEX(Katalog!$D$3:$D$12,MATCH(cadangan[[#This Row],[ItemID A]],Katalog!$C$3:$C$12,0))*cadangan[[#This Row],[Qty A]],0)</f>
        <v>360000</v>
      </c>
      <c r="I440" s="73">
        <f>IFERROR(cadangan[[#This Row],[Harga Normal A]]-(cadangan[[#This Row],[Harga Normal A]]*cadangan[[#This Row],[Diskon]]),cadangan[[#This Row],[Harga Normal A]])</f>
        <v>324000</v>
      </c>
      <c r="J440" s="73">
        <f>INDEX(Katalog!$F$3:$F$12,MATCH(cadangan[[#This Row],[ItemID A]],Katalog!$C$3:$C$12,0))*cadangan[[#This Row],[Qty A]]</f>
        <v>140000</v>
      </c>
      <c r="K440" s="73">
        <f>IFERROR(cadangan[[#This Row],[Harga Diskon A]]-INDEX(Katalog!$E$3:$E$12,MATCH(cadangan[[#This Row],[ItemID A]],Katalog!$C$3:$C$12,0))*cadangan[[#This Row],[Qty A]],0)</f>
        <v>104000</v>
      </c>
      <c r="L440" s="39" t="s">
        <v>64</v>
      </c>
      <c r="M440" s="39" t="str">
        <f>IFERROR(INDEX(Katalog!$A$3:$A$12,MATCH(cadangan[[#This Row],[ItemID B]],Katalog!$C$3:$C$12,0)),"-")</f>
        <v>Pakaian Unisex</v>
      </c>
      <c r="N440" s="39" t="str">
        <f>IFERROR(INDEX(Katalog!$B$3:$B$12,MATCH(cadangan[[#This Row],[ItemID B]],Katalog!$C$3:$C$12,0)),"-")</f>
        <v>Jaket Hoodie</v>
      </c>
      <c r="O440" s="50">
        <v>1</v>
      </c>
      <c r="P440" s="50">
        <v>4</v>
      </c>
      <c r="Q440" s="73">
        <f>IFERROR(INDEX(Katalog!$D$3:$D$12,MATCH(cadangan[[#This Row],[ItemID B]],Katalog!$C$3:$C$12,0))*cadangan[[#This Row],[Qty B]],0)</f>
        <v>350000</v>
      </c>
      <c r="R440" s="73">
        <f>IFERROR(cadangan[[#This Row],[Harga Normal B]]-(cadangan[[#This Row],[Harga Normal B]]*cadangan[[#This Row],[Diskon]]),cadangan[[#This Row],[Harga Normal B]])</f>
        <v>315000</v>
      </c>
      <c r="S440" s="73">
        <f>IFERROR(INDEX(Katalog!$F$3:$F$12,MATCH(cadangan[[#This Row],[ItemID B]],Katalog!$C$3:$C$12,0))*cadangan[[#This Row],[Qty B]],0)</f>
        <v>130000</v>
      </c>
      <c r="T440" s="73">
        <f>IFERROR(cadangan[[#This Row],[Harga Diskon B]]-INDEX(Katalog!$E$3:$E$12,MATCH(cadangan[[#This Row],[ItemID B]],Katalog!$C$3:$C$12,0))*cadangan[[#This Row],[Qty B]],0)</f>
        <v>95000</v>
      </c>
      <c r="V440" s="39" t="str">
        <f>IFERROR(INDEX(Katalog!$A$3:$A$12,MATCH(cadangan[[#This Row],[ItemID C]],Katalog!$C$3:$C$12,0)),"-")</f>
        <v>-</v>
      </c>
      <c r="W440" s="39" t="str">
        <f>IFERROR(INDEX(Katalog!$B$3:$B$12,MATCH(cadangan[[#This Row],[ItemID C]],Katalog!$C$3:$C$12,0)),"-")</f>
        <v>-</v>
      </c>
      <c r="Z440" s="73">
        <f>IFERROR(INDEX(Katalog!$D$3:$D$12,MATCH(cadangan[[#This Row],[ItemID C]],Katalog!$C$3:$C$12,0))*cadangan[[#This Row],[Qty C]],0)</f>
        <v>0</v>
      </c>
      <c r="AA440" s="73">
        <f>IFERROR(cadangan[[#This Row],[Harga Normal C]]-(cadangan[[#This Row],[Harga Normal C]]*cadangan[[#This Row],[Diskon]]),cadangan[[#This Row],[Harga Normal C]])</f>
        <v>0</v>
      </c>
      <c r="AB440" s="73">
        <f>IFERROR(INDEX(Katalog!$F$3:$F$12,MATCH(cadangan[[#This Row],[ItemID C]],Katalog!$C$3:$C$12,0))*cadangan[[#This Row],[Qty C]],0)</f>
        <v>0</v>
      </c>
      <c r="AC440" s="73">
        <f>IFERROR(cadangan[[#This Row],[Harga Diskon C]]-INDEX(Katalog!$E$3:$E$12,MATCH(cadangan[[#This Row],[ItemID C]],Katalog!$C$3:$C$12,0))*cadangan[[#This Row],[Qty C]],0)</f>
        <v>0</v>
      </c>
      <c r="AD440" s="53">
        <f>cadangan[[#This Row],[Qty A]]+cadangan[[#This Row],[Qty B]]+cadangan[[#This Row],[Qty C]]</f>
        <v>3</v>
      </c>
      <c r="AE440" s="73">
        <f>cadangan[[#This Row],[Harga Normal A]]+cadangan[[#This Row],[Harga Normal B]]+cadangan[[#This Row],[Harga Normal C]]</f>
        <v>710000</v>
      </c>
      <c r="AF440" s="73">
        <f>cadangan[[#This Row],[Harga Diskon A]]+cadangan[[#This Row],[Harga Diskon B]]+cadangan[[#This Row],[Harga Diskon C]]</f>
        <v>639000</v>
      </c>
      <c r="AG440" s="73">
        <f>(cadangan[[#This Row],[Profit Normal A]]+cadangan[[#This Row],[Profit Normal B]]+cadangan[[#This Row],[Profit Normal C]])</f>
        <v>270000</v>
      </c>
      <c r="AH440" s="73">
        <f>cadangan[[#This Row],[Profit Diskon A]]+cadangan[[#This Row],[Profit Diskon B]]+cadangan[[#This Row],[Profit Diskon C]]</f>
        <v>199000</v>
      </c>
      <c r="AI440" s="23" t="s">
        <v>6</v>
      </c>
      <c r="AJ440" s="37">
        <f>IFERROR(INDEX('Kode Diskon'!$D$3:$D$9,MATCH(cadangan[[#This Row],[Kode diskon]],'Kode Diskon'!$C$3:$C$9,0)),"-")</f>
        <v>0.1</v>
      </c>
      <c r="AK440" s="23" t="s">
        <v>29</v>
      </c>
      <c r="AL440" s="23" t="s">
        <v>7</v>
      </c>
      <c r="AM440" s="23" t="s">
        <v>79</v>
      </c>
      <c r="AN440" s="55">
        <v>45020</v>
      </c>
      <c r="AO440" s="53">
        <f>DAY(cadangan[[#This Row],[Tanggal terjual]])</f>
        <v>4</v>
      </c>
      <c r="AP440" s="21" t="str">
        <f>TEXT(cadangan[[#This Row],[Tanggal terjual]],"dddd")</f>
        <v>Tuesday</v>
      </c>
      <c r="AQ440" s="23" t="str" cm="1">
        <f t="array" ref="AQ4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0" s="61">
        <f>AVERAGE(cadangan[[#This Row],[Rating A]],cadangan[[#This Row],[Rating B]],cadangan[[#This Row],[Rating C]])</f>
        <v>4</v>
      </c>
    </row>
    <row r="441" spans="1:44" x14ac:dyDescent="0.2">
      <c r="A441" s="20">
        <v>440</v>
      </c>
      <c r="B441" s="21" t="str">
        <f>_xlfn.CONCAT("ORD-",INDEX(Helper!$B$2:$B$5,MATCH(cadangan[[#This Row],[Marketplace]],Helper!$A$2:$A$5,0)),TEXT(cadangan[[#This Row],[No]],"0000"),"-",TEXT(cadangan[[#This Row],[Tanggal terjual]],"dd/mm/yy"))</f>
        <v>ORD-TK0440-19/04/23</v>
      </c>
      <c r="C441" s="39" t="s">
        <v>61</v>
      </c>
      <c r="D441" s="39" t="str">
        <f>IFERROR(INDEX(Katalog!$A$3:$A$12,MATCH(cadangan[[#This Row],[ItemID A]],Katalog!$C$3:$C$12,0)),"-")</f>
        <v>Pakaian Pria</v>
      </c>
      <c r="E441" s="39" t="str">
        <f>IFERROR(INDEX(Katalog!$B$3:$B$12,MATCH(cadangan[[#This Row],[ItemID A]],Katalog!$C$3:$C$12,0)),"-")</f>
        <v>Kaos Polo</v>
      </c>
      <c r="F441" s="50">
        <v>1</v>
      </c>
      <c r="G441" s="50">
        <v>5</v>
      </c>
      <c r="H441" s="73">
        <f>IFERROR(INDEX(Katalog!$D$3:$D$12,MATCH(cadangan[[#This Row],[ItemID A]],Katalog!$C$3:$C$12,0))*cadangan[[#This Row],[Qty A]],0)</f>
        <v>200000</v>
      </c>
      <c r="I441" s="73">
        <f>IFERROR(cadangan[[#This Row],[Harga Normal A]]-(cadangan[[#This Row],[Harga Normal A]]*cadangan[[#This Row],[Diskon]]),cadangan[[#This Row],[Harga Normal A]])</f>
        <v>180000</v>
      </c>
      <c r="J441" s="73">
        <f>INDEX(Katalog!$F$3:$F$12,MATCH(cadangan[[#This Row],[ItemID A]],Katalog!$C$3:$C$12,0))*cadangan[[#This Row],[Qty A]]</f>
        <v>80000</v>
      </c>
      <c r="K441" s="73">
        <f>IFERROR(cadangan[[#This Row],[Harga Diskon A]]-INDEX(Katalog!$E$3:$E$12,MATCH(cadangan[[#This Row],[ItemID A]],Katalog!$C$3:$C$12,0))*cadangan[[#This Row],[Qty A]],0)</f>
        <v>60000</v>
      </c>
      <c r="L441" s="39" t="s">
        <v>66</v>
      </c>
      <c r="M441" s="39" t="str">
        <f>IFERROR(INDEX(Katalog!$A$3:$A$12,MATCH(cadangan[[#This Row],[ItemID B]],Katalog!$C$3:$C$12,0)),"-")</f>
        <v>Sepatu Pria</v>
      </c>
      <c r="N441" s="39" t="str">
        <f>IFERROR(INDEX(Katalog!$B$3:$B$12,MATCH(cadangan[[#This Row],[ItemID B]],Katalog!$C$3:$C$12,0)),"-")</f>
        <v>Sandal Slip On</v>
      </c>
      <c r="O441" s="50">
        <v>1</v>
      </c>
      <c r="P441" s="50">
        <v>5</v>
      </c>
      <c r="Q441" s="73">
        <f>IFERROR(INDEX(Katalog!$D$3:$D$12,MATCH(cadangan[[#This Row],[ItemID B]],Katalog!$C$3:$C$12,0))*cadangan[[#This Row],[Qty B]],0)</f>
        <v>150000</v>
      </c>
      <c r="R441" s="73">
        <f>IFERROR(cadangan[[#This Row],[Harga Normal B]]-(cadangan[[#This Row],[Harga Normal B]]*cadangan[[#This Row],[Diskon]]),cadangan[[#This Row],[Harga Normal B]])</f>
        <v>135000</v>
      </c>
      <c r="S441" s="73">
        <f>IFERROR(INDEX(Katalog!$F$3:$F$12,MATCH(cadangan[[#This Row],[ItemID B]],Katalog!$C$3:$C$12,0))*cadangan[[#This Row],[Qty B]],0)</f>
        <v>60000</v>
      </c>
      <c r="T441" s="73">
        <f>IFERROR(cadangan[[#This Row],[Harga Diskon B]]-INDEX(Katalog!$E$3:$E$12,MATCH(cadangan[[#This Row],[ItemID B]],Katalog!$C$3:$C$12,0))*cadangan[[#This Row],[Qty B]],0)</f>
        <v>45000</v>
      </c>
      <c r="V441" s="39" t="str">
        <f>IFERROR(INDEX(Katalog!$A$3:$A$12,MATCH(cadangan[[#This Row],[ItemID C]],Katalog!$C$3:$C$12,0)),"-")</f>
        <v>-</v>
      </c>
      <c r="W441" s="39" t="str">
        <f>IFERROR(INDEX(Katalog!$B$3:$B$12,MATCH(cadangan[[#This Row],[ItemID C]],Katalog!$C$3:$C$12,0)),"-")</f>
        <v>-</v>
      </c>
      <c r="Z441" s="73">
        <f>IFERROR(INDEX(Katalog!$D$3:$D$12,MATCH(cadangan[[#This Row],[ItemID C]],Katalog!$C$3:$C$12,0))*cadangan[[#This Row],[Qty C]],0)</f>
        <v>0</v>
      </c>
      <c r="AA441" s="73">
        <f>IFERROR(cadangan[[#This Row],[Harga Normal C]]-(cadangan[[#This Row],[Harga Normal C]]*cadangan[[#This Row],[Diskon]]),cadangan[[#This Row],[Harga Normal C]])</f>
        <v>0</v>
      </c>
      <c r="AB441" s="73">
        <f>IFERROR(INDEX(Katalog!$F$3:$F$12,MATCH(cadangan[[#This Row],[ItemID C]],Katalog!$C$3:$C$12,0))*cadangan[[#This Row],[Qty C]],0)</f>
        <v>0</v>
      </c>
      <c r="AC441" s="73">
        <f>IFERROR(cadangan[[#This Row],[Harga Diskon C]]-INDEX(Katalog!$E$3:$E$12,MATCH(cadangan[[#This Row],[ItemID C]],Katalog!$C$3:$C$12,0))*cadangan[[#This Row],[Qty C]],0)</f>
        <v>0</v>
      </c>
      <c r="AD441" s="53">
        <f>cadangan[[#This Row],[Qty A]]+cadangan[[#This Row],[Qty B]]+cadangan[[#This Row],[Qty C]]</f>
        <v>2</v>
      </c>
      <c r="AE441" s="73">
        <f>cadangan[[#This Row],[Harga Normal A]]+cadangan[[#This Row],[Harga Normal B]]+cadangan[[#This Row],[Harga Normal C]]</f>
        <v>350000</v>
      </c>
      <c r="AF441" s="73">
        <f>cadangan[[#This Row],[Harga Diskon A]]+cadangan[[#This Row],[Harga Diskon B]]+cadangan[[#This Row],[Harga Diskon C]]</f>
        <v>315000</v>
      </c>
      <c r="AG441" s="73">
        <f>(cadangan[[#This Row],[Profit Normal A]]+cadangan[[#This Row],[Profit Normal B]]+cadangan[[#This Row],[Profit Normal C]])</f>
        <v>140000</v>
      </c>
      <c r="AH441" s="73">
        <f>cadangan[[#This Row],[Profit Diskon A]]+cadangan[[#This Row],[Profit Diskon B]]+cadangan[[#This Row],[Profit Diskon C]]</f>
        <v>105000</v>
      </c>
      <c r="AI441" s="23" t="s">
        <v>31</v>
      </c>
      <c r="AJ441" s="37">
        <f>IFERROR(INDEX('Kode Diskon'!$D$3:$D$9,MATCH(cadangan[[#This Row],[Kode diskon]],'Kode Diskon'!$C$3:$C$9,0)),"-")</f>
        <v>0.1</v>
      </c>
      <c r="AK441" s="23" t="s">
        <v>9</v>
      </c>
      <c r="AL441" s="23" t="s">
        <v>10</v>
      </c>
      <c r="AM441" s="23" t="s">
        <v>80</v>
      </c>
      <c r="AN441" s="55">
        <v>45035</v>
      </c>
      <c r="AO441" s="53">
        <f>DAY(cadangan[[#This Row],[Tanggal terjual]])</f>
        <v>19</v>
      </c>
      <c r="AP441" s="21" t="str">
        <f>TEXT(cadangan[[#This Row],[Tanggal terjual]],"dddd")</f>
        <v>Wednesday</v>
      </c>
      <c r="AQ441" s="23" t="str" cm="1">
        <f t="array" ref="AQ4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41" s="61">
        <f>AVERAGE(cadangan[[#This Row],[Rating A]],cadangan[[#This Row],[Rating B]],cadangan[[#This Row],[Rating C]])</f>
        <v>5</v>
      </c>
    </row>
    <row r="442" spans="1:44" x14ac:dyDescent="0.2">
      <c r="A442" s="20">
        <v>441</v>
      </c>
      <c r="B442" s="21" t="str">
        <f>_xlfn.CONCAT("ORD-",INDEX(Helper!$B$2:$B$5,MATCH(cadangan[[#This Row],[Marketplace]],Helper!$A$2:$A$5,0)),TEXT(cadangan[[#This Row],[No]],"0000"),"-",TEXT(cadangan[[#This Row],[Tanggal terjual]],"dd/mm/yy"))</f>
        <v>ORD-TK0441-09/04/23</v>
      </c>
      <c r="C442" s="39" t="s">
        <v>58</v>
      </c>
      <c r="D442" s="39" t="str">
        <f>IFERROR(INDEX(Katalog!$A$3:$A$12,MATCH(cadangan[[#This Row],[ItemID A]],Katalog!$C$3:$C$12,0)),"-")</f>
        <v>Pakaian Wanita</v>
      </c>
      <c r="E442" s="39" t="str">
        <f>IFERROR(INDEX(Katalog!$B$3:$B$12,MATCH(cadangan[[#This Row],[ItemID A]],Katalog!$C$3:$C$12,0)),"-")</f>
        <v>Dress</v>
      </c>
      <c r="F442" s="50">
        <v>1</v>
      </c>
      <c r="G442" s="50">
        <v>4</v>
      </c>
      <c r="H442" s="73">
        <f>IFERROR(INDEX(Katalog!$D$3:$D$12,MATCH(cadangan[[#This Row],[ItemID A]],Katalog!$C$3:$C$12,0))*cadangan[[#This Row],[Qty A]],0)</f>
        <v>300000</v>
      </c>
      <c r="I442" s="73">
        <f>IFERROR(cadangan[[#This Row],[Harga Normal A]]-(cadangan[[#This Row],[Harga Normal A]]*cadangan[[#This Row],[Diskon]]),cadangan[[#This Row],[Harga Normal A]])</f>
        <v>300000</v>
      </c>
      <c r="J442" s="73">
        <f>INDEX(Katalog!$F$3:$F$12,MATCH(cadangan[[#This Row],[ItemID A]],Katalog!$C$3:$C$12,0))*cadangan[[#This Row],[Qty A]]</f>
        <v>100000</v>
      </c>
      <c r="K442" s="73">
        <f>IFERROR(cadangan[[#This Row],[Harga Diskon A]]-INDEX(Katalog!$E$3:$E$12,MATCH(cadangan[[#This Row],[ItemID A]],Katalog!$C$3:$C$12,0))*cadangan[[#This Row],[Qty A]],0)</f>
        <v>100000</v>
      </c>
      <c r="L442" s="39" t="s">
        <v>63</v>
      </c>
      <c r="M442" s="39" t="str">
        <f>IFERROR(INDEX(Katalog!$A$3:$A$12,MATCH(cadangan[[#This Row],[ItemID B]],Katalog!$C$3:$C$12,0)),"-")</f>
        <v>Pakaian Pria</v>
      </c>
      <c r="N442" s="39" t="str">
        <f>IFERROR(INDEX(Katalog!$B$3:$B$12,MATCH(cadangan[[#This Row],[ItemID B]],Katalog!$C$3:$C$12,0)),"-")</f>
        <v>Jaket Jeans</v>
      </c>
      <c r="O442" s="50">
        <v>1</v>
      </c>
      <c r="P442" s="50">
        <v>4</v>
      </c>
      <c r="Q442" s="73">
        <f>IFERROR(INDEX(Katalog!$D$3:$D$12,MATCH(cadangan[[#This Row],[ItemID B]],Katalog!$C$3:$C$12,0))*cadangan[[#This Row],[Qty B]],0)</f>
        <v>400000</v>
      </c>
      <c r="R442" s="73">
        <f>IFERROR(cadangan[[#This Row],[Harga Normal B]]-(cadangan[[#This Row],[Harga Normal B]]*cadangan[[#This Row],[Diskon]]),cadangan[[#This Row],[Harga Normal B]])</f>
        <v>400000</v>
      </c>
      <c r="S442" s="73">
        <f>IFERROR(INDEX(Katalog!$F$3:$F$12,MATCH(cadangan[[#This Row],[ItemID B]],Katalog!$C$3:$C$12,0))*cadangan[[#This Row],[Qty B]],0)</f>
        <v>150000</v>
      </c>
      <c r="T442" s="73">
        <f>IFERROR(cadangan[[#This Row],[Harga Diskon B]]-INDEX(Katalog!$E$3:$E$12,MATCH(cadangan[[#This Row],[ItemID B]],Katalog!$C$3:$C$12,0))*cadangan[[#This Row],[Qty B]],0)</f>
        <v>150000</v>
      </c>
      <c r="V442" s="39" t="str">
        <f>IFERROR(INDEX(Katalog!$A$3:$A$12,MATCH(cadangan[[#This Row],[ItemID C]],Katalog!$C$3:$C$12,0)),"-")</f>
        <v>-</v>
      </c>
      <c r="W442" s="39" t="str">
        <f>IFERROR(INDEX(Katalog!$B$3:$B$12,MATCH(cadangan[[#This Row],[ItemID C]],Katalog!$C$3:$C$12,0)),"-")</f>
        <v>-</v>
      </c>
      <c r="Z442" s="73">
        <f>IFERROR(INDEX(Katalog!$D$3:$D$12,MATCH(cadangan[[#This Row],[ItemID C]],Katalog!$C$3:$C$12,0))*cadangan[[#This Row],[Qty C]],0)</f>
        <v>0</v>
      </c>
      <c r="AA442" s="73">
        <f>IFERROR(cadangan[[#This Row],[Harga Normal C]]-(cadangan[[#This Row],[Harga Normal C]]*cadangan[[#This Row],[Diskon]]),cadangan[[#This Row],[Harga Normal C]])</f>
        <v>0</v>
      </c>
      <c r="AB442" s="73">
        <f>IFERROR(INDEX(Katalog!$F$3:$F$12,MATCH(cadangan[[#This Row],[ItemID C]],Katalog!$C$3:$C$12,0))*cadangan[[#This Row],[Qty C]],0)</f>
        <v>0</v>
      </c>
      <c r="AC442" s="73">
        <f>IFERROR(cadangan[[#This Row],[Harga Diskon C]]-INDEX(Katalog!$E$3:$E$12,MATCH(cadangan[[#This Row],[ItemID C]],Katalog!$C$3:$C$12,0))*cadangan[[#This Row],[Qty C]],0)</f>
        <v>0</v>
      </c>
      <c r="AD442" s="53">
        <f>cadangan[[#This Row],[Qty A]]+cadangan[[#This Row],[Qty B]]+cadangan[[#This Row],[Qty C]]</f>
        <v>2</v>
      </c>
      <c r="AE442" s="73">
        <f>cadangan[[#This Row],[Harga Normal A]]+cadangan[[#This Row],[Harga Normal B]]+cadangan[[#This Row],[Harga Normal C]]</f>
        <v>700000</v>
      </c>
      <c r="AF442" s="73">
        <f>cadangan[[#This Row],[Harga Diskon A]]+cadangan[[#This Row],[Harga Diskon B]]+cadangan[[#This Row],[Harga Diskon C]]</f>
        <v>700000</v>
      </c>
      <c r="AG442" s="73">
        <f>(cadangan[[#This Row],[Profit Normal A]]+cadangan[[#This Row],[Profit Normal B]]+cadangan[[#This Row],[Profit Normal C]])</f>
        <v>250000</v>
      </c>
      <c r="AH442" s="73">
        <f>cadangan[[#This Row],[Profit Diskon A]]+cadangan[[#This Row],[Profit Diskon B]]+cadangan[[#This Row],[Profit Diskon C]]</f>
        <v>250000</v>
      </c>
      <c r="AI442" s="23" t="s">
        <v>290</v>
      </c>
      <c r="AJ442" s="37" t="str">
        <f>IFERROR(INDEX('Kode Diskon'!$D$3:$D$9,MATCH(cadangan[[#This Row],[Kode diskon]],'Kode Diskon'!$C$3:$C$9,0)),"-")</f>
        <v>-</v>
      </c>
      <c r="AK442" s="23" t="s">
        <v>290</v>
      </c>
      <c r="AL442" s="23" t="s">
        <v>10</v>
      </c>
      <c r="AM442" s="23" t="s">
        <v>80</v>
      </c>
      <c r="AN442" s="55">
        <v>45025</v>
      </c>
      <c r="AO442" s="53">
        <f>DAY(cadangan[[#This Row],[Tanggal terjual]])</f>
        <v>9</v>
      </c>
      <c r="AP442" s="21" t="str">
        <f>TEXT(cadangan[[#This Row],[Tanggal terjual]],"dddd")</f>
        <v>Sunday</v>
      </c>
      <c r="AQ442" s="23" t="str" cm="1">
        <f t="array" ref="AQ4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42" s="61">
        <f>AVERAGE(cadangan[[#This Row],[Rating A]],cadangan[[#This Row],[Rating B]],cadangan[[#This Row],[Rating C]])</f>
        <v>4</v>
      </c>
    </row>
    <row r="443" spans="1:44" x14ac:dyDescent="0.2">
      <c r="A443" s="20">
        <v>442</v>
      </c>
      <c r="B443" s="21" t="str">
        <f>_xlfn.CONCAT("ORD-",INDEX(Helper!$B$2:$B$5,MATCH(cadangan[[#This Row],[Marketplace]],Helper!$A$2:$A$5,0)),TEXT(cadangan[[#This Row],[No]],"0000"),"-",TEXT(cadangan[[#This Row],[Tanggal terjual]],"dd/mm/yy"))</f>
        <v>ORD-SP0442-28/04/23</v>
      </c>
      <c r="C443" s="39" t="s">
        <v>62</v>
      </c>
      <c r="D443" s="39" t="str">
        <f>IFERROR(INDEX(Katalog!$A$3:$A$12,MATCH(cadangan[[#This Row],[ItemID A]],Katalog!$C$3:$C$12,0)),"-")</f>
        <v>Pakaian Pria</v>
      </c>
      <c r="E443" s="39" t="str">
        <f>IFERROR(INDEX(Katalog!$B$3:$B$12,MATCH(cadangan[[#This Row],[ItemID A]],Katalog!$C$3:$C$12,0)),"-")</f>
        <v>Celana Pendek</v>
      </c>
      <c r="F443" s="50">
        <v>1</v>
      </c>
      <c r="G443" s="50">
        <v>3</v>
      </c>
      <c r="H443" s="73">
        <f>IFERROR(INDEX(Katalog!$D$3:$D$12,MATCH(cadangan[[#This Row],[ItemID A]],Katalog!$C$3:$C$12,0))*cadangan[[#This Row],[Qty A]],0)</f>
        <v>180000</v>
      </c>
      <c r="I443" s="73">
        <f>IFERROR(cadangan[[#This Row],[Harga Normal A]]-(cadangan[[#This Row],[Harga Normal A]]*cadangan[[#This Row],[Diskon]]),cadangan[[#This Row],[Harga Normal A]])</f>
        <v>144000</v>
      </c>
      <c r="J443" s="73">
        <f>INDEX(Katalog!$F$3:$F$12,MATCH(cadangan[[#This Row],[ItemID A]],Katalog!$C$3:$C$12,0))*cadangan[[#This Row],[Qty A]]</f>
        <v>70000</v>
      </c>
      <c r="K443" s="73">
        <f>IFERROR(cadangan[[#This Row],[Harga Diskon A]]-INDEX(Katalog!$E$3:$E$12,MATCH(cadangan[[#This Row],[ItemID A]],Katalog!$C$3:$C$12,0))*cadangan[[#This Row],[Qty A]],0)</f>
        <v>34000</v>
      </c>
      <c r="M443" s="39" t="str">
        <f>IFERROR(INDEX(Katalog!$A$3:$A$12,MATCH(cadangan[[#This Row],[ItemID B]],Katalog!$C$3:$C$12,0)),"-")</f>
        <v>-</v>
      </c>
      <c r="N443" s="39" t="str">
        <f>IFERROR(INDEX(Katalog!$B$3:$B$12,MATCH(cadangan[[#This Row],[ItemID B]],Katalog!$C$3:$C$12,0)),"-")</f>
        <v>-</v>
      </c>
      <c r="Q443" s="73">
        <f>IFERROR(INDEX(Katalog!$D$3:$D$12,MATCH(cadangan[[#This Row],[ItemID B]],Katalog!$C$3:$C$12,0))*cadangan[[#This Row],[Qty B]],0)</f>
        <v>0</v>
      </c>
      <c r="R443" s="73">
        <f>IFERROR(cadangan[[#This Row],[Harga Normal B]]-(cadangan[[#This Row],[Harga Normal B]]*cadangan[[#This Row],[Diskon]]),cadangan[[#This Row],[Harga Normal B]])</f>
        <v>0</v>
      </c>
      <c r="S443" s="73">
        <f>IFERROR(INDEX(Katalog!$F$3:$F$12,MATCH(cadangan[[#This Row],[ItemID B]],Katalog!$C$3:$C$12,0))*cadangan[[#This Row],[Qty B]],0)</f>
        <v>0</v>
      </c>
      <c r="T443" s="73">
        <f>IFERROR(cadangan[[#This Row],[Harga Diskon B]]-INDEX(Katalog!$E$3:$E$12,MATCH(cadangan[[#This Row],[ItemID B]],Katalog!$C$3:$C$12,0))*cadangan[[#This Row],[Qty B]],0)</f>
        <v>0</v>
      </c>
      <c r="V443" s="39" t="str">
        <f>IFERROR(INDEX(Katalog!$A$3:$A$12,MATCH(cadangan[[#This Row],[ItemID C]],Katalog!$C$3:$C$12,0)),"-")</f>
        <v>-</v>
      </c>
      <c r="W443" s="39" t="str">
        <f>IFERROR(INDEX(Katalog!$B$3:$B$12,MATCH(cadangan[[#This Row],[ItemID C]],Katalog!$C$3:$C$12,0)),"-")</f>
        <v>-</v>
      </c>
      <c r="Z443" s="73">
        <f>IFERROR(INDEX(Katalog!$D$3:$D$12,MATCH(cadangan[[#This Row],[ItemID C]],Katalog!$C$3:$C$12,0))*cadangan[[#This Row],[Qty C]],0)</f>
        <v>0</v>
      </c>
      <c r="AA443" s="73">
        <f>IFERROR(cadangan[[#This Row],[Harga Normal C]]-(cadangan[[#This Row],[Harga Normal C]]*cadangan[[#This Row],[Diskon]]),cadangan[[#This Row],[Harga Normal C]])</f>
        <v>0</v>
      </c>
      <c r="AB443" s="73">
        <f>IFERROR(INDEX(Katalog!$F$3:$F$12,MATCH(cadangan[[#This Row],[ItemID C]],Katalog!$C$3:$C$12,0))*cadangan[[#This Row],[Qty C]],0)</f>
        <v>0</v>
      </c>
      <c r="AC443" s="73">
        <f>IFERROR(cadangan[[#This Row],[Harga Diskon C]]-INDEX(Katalog!$E$3:$E$12,MATCH(cadangan[[#This Row],[ItemID C]],Katalog!$C$3:$C$12,0))*cadangan[[#This Row],[Qty C]],0)</f>
        <v>0</v>
      </c>
      <c r="AD443" s="53">
        <f>cadangan[[#This Row],[Qty A]]+cadangan[[#This Row],[Qty B]]+cadangan[[#This Row],[Qty C]]</f>
        <v>1</v>
      </c>
      <c r="AE443" s="73">
        <f>cadangan[[#This Row],[Harga Normal A]]+cadangan[[#This Row],[Harga Normal B]]+cadangan[[#This Row],[Harga Normal C]]</f>
        <v>180000</v>
      </c>
      <c r="AF443" s="73">
        <f>cadangan[[#This Row],[Harga Diskon A]]+cadangan[[#This Row],[Harga Diskon B]]+cadangan[[#This Row],[Harga Diskon C]]</f>
        <v>144000</v>
      </c>
      <c r="AG443" s="73">
        <f>(cadangan[[#This Row],[Profit Normal A]]+cadangan[[#This Row],[Profit Normal B]]+cadangan[[#This Row],[Profit Normal C]])</f>
        <v>70000</v>
      </c>
      <c r="AH443" s="73">
        <f>cadangan[[#This Row],[Profit Diskon A]]+cadangan[[#This Row],[Profit Diskon B]]+cadangan[[#This Row],[Profit Diskon C]]</f>
        <v>34000</v>
      </c>
      <c r="AI443" s="23" t="s">
        <v>8</v>
      </c>
      <c r="AJ443" s="37">
        <f>IFERROR(INDEX('Kode Diskon'!$D$3:$D$9,MATCH(cadangan[[#This Row],[Kode diskon]],'Kode Diskon'!$C$3:$C$9,0)),"-")</f>
        <v>0.2</v>
      </c>
      <c r="AK443" s="23" t="s">
        <v>9</v>
      </c>
      <c r="AL443" s="23" t="s">
        <v>7</v>
      </c>
      <c r="AM443" s="23" t="s">
        <v>75</v>
      </c>
      <c r="AN443" s="55">
        <v>45044</v>
      </c>
      <c r="AO443" s="53">
        <f>DAY(cadangan[[#This Row],[Tanggal terjual]])</f>
        <v>28</v>
      </c>
      <c r="AP443" s="21" t="str">
        <f>TEXT(cadangan[[#This Row],[Tanggal terjual]],"dddd")</f>
        <v>Friday</v>
      </c>
      <c r="AQ443" s="23" t="str" cm="1">
        <f t="array" ref="AQ4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43" s="61">
        <f>AVERAGE(cadangan[[#This Row],[Rating A]],cadangan[[#This Row],[Rating B]],cadangan[[#This Row],[Rating C]])</f>
        <v>3</v>
      </c>
    </row>
    <row r="444" spans="1:44" x14ac:dyDescent="0.2">
      <c r="A444" s="20">
        <v>443</v>
      </c>
      <c r="B444" s="21" t="str">
        <f>_xlfn.CONCAT("ORD-",INDEX(Helper!$B$2:$B$5,MATCH(cadangan[[#This Row],[Marketplace]],Helper!$A$2:$A$5,0)),TEXT(cadangan[[#This Row],[No]],"0000"),"-",TEXT(cadangan[[#This Row],[Tanggal terjual]],"dd/mm/yy"))</f>
        <v>ORD-BB0443-02/04/23</v>
      </c>
      <c r="C444" s="39" t="s">
        <v>66</v>
      </c>
      <c r="D444" s="39" t="str">
        <f>IFERROR(INDEX(Katalog!$A$3:$A$12,MATCH(cadangan[[#This Row],[ItemID A]],Katalog!$C$3:$C$12,0)),"-")</f>
        <v>Sepatu Pria</v>
      </c>
      <c r="E444" s="39" t="str">
        <f>IFERROR(INDEX(Katalog!$B$3:$B$12,MATCH(cadangan[[#This Row],[ItemID A]],Katalog!$C$3:$C$12,0)),"-")</f>
        <v>Sandal Slip On</v>
      </c>
      <c r="F444" s="50">
        <v>5</v>
      </c>
      <c r="G444" s="50">
        <v>5</v>
      </c>
      <c r="H444" s="73">
        <f>IFERROR(INDEX(Katalog!$D$3:$D$12,MATCH(cadangan[[#This Row],[ItemID A]],Katalog!$C$3:$C$12,0))*cadangan[[#This Row],[Qty A]],0)</f>
        <v>750000</v>
      </c>
      <c r="I444" s="73">
        <f>IFERROR(cadangan[[#This Row],[Harga Normal A]]-(cadangan[[#This Row],[Harga Normal A]]*cadangan[[#This Row],[Diskon]]),cadangan[[#This Row],[Harga Normal A]])</f>
        <v>637500</v>
      </c>
      <c r="J444" s="73">
        <f>INDEX(Katalog!$F$3:$F$12,MATCH(cadangan[[#This Row],[ItemID A]],Katalog!$C$3:$C$12,0))*cadangan[[#This Row],[Qty A]]</f>
        <v>300000</v>
      </c>
      <c r="K444" s="73">
        <f>IFERROR(cadangan[[#This Row],[Harga Diskon A]]-INDEX(Katalog!$E$3:$E$12,MATCH(cadangan[[#This Row],[ItemID A]],Katalog!$C$3:$C$12,0))*cadangan[[#This Row],[Qty A]],0)</f>
        <v>187500</v>
      </c>
      <c r="M444" s="39" t="str">
        <f>IFERROR(INDEX(Katalog!$A$3:$A$12,MATCH(cadangan[[#This Row],[ItemID B]],Katalog!$C$3:$C$12,0)),"-")</f>
        <v>-</v>
      </c>
      <c r="N444" s="39" t="str">
        <f>IFERROR(INDEX(Katalog!$B$3:$B$12,MATCH(cadangan[[#This Row],[ItemID B]],Katalog!$C$3:$C$12,0)),"-")</f>
        <v>-</v>
      </c>
      <c r="Q444" s="73">
        <f>IFERROR(INDEX(Katalog!$D$3:$D$12,MATCH(cadangan[[#This Row],[ItemID B]],Katalog!$C$3:$C$12,0))*cadangan[[#This Row],[Qty B]],0)</f>
        <v>0</v>
      </c>
      <c r="R444" s="73">
        <f>IFERROR(cadangan[[#This Row],[Harga Normal B]]-(cadangan[[#This Row],[Harga Normal B]]*cadangan[[#This Row],[Diskon]]),cadangan[[#This Row],[Harga Normal B]])</f>
        <v>0</v>
      </c>
      <c r="S444" s="73">
        <f>IFERROR(INDEX(Katalog!$F$3:$F$12,MATCH(cadangan[[#This Row],[ItemID B]],Katalog!$C$3:$C$12,0))*cadangan[[#This Row],[Qty B]],0)</f>
        <v>0</v>
      </c>
      <c r="T444" s="73">
        <f>IFERROR(cadangan[[#This Row],[Harga Diskon B]]-INDEX(Katalog!$E$3:$E$12,MATCH(cadangan[[#This Row],[ItemID B]],Katalog!$C$3:$C$12,0))*cadangan[[#This Row],[Qty B]],0)</f>
        <v>0</v>
      </c>
      <c r="V444" s="39" t="str">
        <f>IFERROR(INDEX(Katalog!$A$3:$A$12,MATCH(cadangan[[#This Row],[ItemID C]],Katalog!$C$3:$C$12,0)),"-")</f>
        <v>-</v>
      </c>
      <c r="W444" s="39" t="str">
        <f>IFERROR(INDEX(Katalog!$B$3:$B$12,MATCH(cadangan[[#This Row],[ItemID C]],Katalog!$C$3:$C$12,0)),"-")</f>
        <v>-</v>
      </c>
      <c r="Z444" s="73">
        <f>IFERROR(INDEX(Katalog!$D$3:$D$12,MATCH(cadangan[[#This Row],[ItemID C]],Katalog!$C$3:$C$12,0))*cadangan[[#This Row],[Qty C]],0)</f>
        <v>0</v>
      </c>
      <c r="AA444" s="73">
        <f>IFERROR(cadangan[[#This Row],[Harga Normal C]]-(cadangan[[#This Row],[Harga Normal C]]*cadangan[[#This Row],[Diskon]]),cadangan[[#This Row],[Harga Normal C]])</f>
        <v>0</v>
      </c>
      <c r="AB444" s="73">
        <f>IFERROR(INDEX(Katalog!$F$3:$F$12,MATCH(cadangan[[#This Row],[ItemID C]],Katalog!$C$3:$C$12,0))*cadangan[[#This Row],[Qty C]],0)</f>
        <v>0</v>
      </c>
      <c r="AC444" s="73">
        <f>IFERROR(cadangan[[#This Row],[Harga Diskon C]]-INDEX(Katalog!$E$3:$E$12,MATCH(cadangan[[#This Row],[ItemID C]],Katalog!$C$3:$C$12,0))*cadangan[[#This Row],[Qty C]],0)</f>
        <v>0</v>
      </c>
      <c r="AD444" s="53">
        <f>cadangan[[#This Row],[Qty A]]+cadangan[[#This Row],[Qty B]]+cadangan[[#This Row],[Qty C]]</f>
        <v>5</v>
      </c>
      <c r="AE444" s="73">
        <f>cadangan[[#This Row],[Harga Normal A]]+cadangan[[#This Row],[Harga Normal B]]+cadangan[[#This Row],[Harga Normal C]]</f>
        <v>750000</v>
      </c>
      <c r="AF444" s="73">
        <f>cadangan[[#This Row],[Harga Diskon A]]+cadangan[[#This Row],[Harga Diskon B]]+cadangan[[#This Row],[Harga Diskon C]]</f>
        <v>637500</v>
      </c>
      <c r="AG444" s="73">
        <f>(cadangan[[#This Row],[Profit Normal A]]+cadangan[[#This Row],[Profit Normal B]]+cadangan[[#This Row],[Profit Normal C]])</f>
        <v>300000</v>
      </c>
      <c r="AH444" s="73">
        <f>cadangan[[#This Row],[Profit Diskon A]]+cadangan[[#This Row],[Profit Diskon B]]+cadangan[[#This Row],[Profit Diskon C]]</f>
        <v>187500</v>
      </c>
      <c r="AI444" s="23" t="s">
        <v>28</v>
      </c>
      <c r="AJ444" s="37">
        <f>IFERROR(INDEX('Kode Diskon'!$D$3:$D$9,MATCH(cadangan[[#This Row],[Kode diskon]],'Kode Diskon'!$C$3:$C$9,0)),"-")</f>
        <v>0.15</v>
      </c>
      <c r="AK444" s="23" t="s">
        <v>29</v>
      </c>
      <c r="AL444" s="23" t="s">
        <v>14</v>
      </c>
      <c r="AM444" s="23" t="s">
        <v>80</v>
      </c>
      <c r="AN444" s="55">
        <v>45018</v>
      </c>
      <c r="AO444" s="53">
        <f>DAY(cadangan[[#This Row],[Tanggal terjual]])</f>
        <v>2</v>
      </c>
      <c r="AP444" s="21" t="str">
        <f>TEXT(cadangan[[#This Row],[Tanggal terjual]],"dddd")</f>
        <v>Sunday</v>
      </c>
      <c r="AQ444" s="23" t="str" cm="1">
        <f t="array" ref="AQ4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4" s="61">
        <f>AVERAGE(cadangan[[#This Row],[Rating A]],cadangan[[#This Row],[Rating B]],cadangan[[#This Row],[Rating C]])</f>
        <v>5</v>
      </c>
    </row>
    <row r="445" spans="1:44" x14ac:dyDescent="0.2">
      <c r="A445" s="20">
        <v>444</v>
      </c>
      <c r="B445" s="21" t="str">
        <f>_xlfn.CONCAT("ORD-",INDEX(Helper!$B$2:$B$5,MATCH(cadangan[[#This Row],[Marketplace]],Helper!$A$2:$A$5,0)),TEXT(cadangan[[#This Row],[No]],"0000"),"-",TEXT(cadangan[[#This Row],[Tanggal terjual]],"dd/mm/yy"))</f>
        <v>ORD-TK0444-09/04/23</v>
      </c>
      <c r="C445" s="39" t="s">
        <v>65</v>
      </c>
      <c r="D445" s="39" t="str">
        <f>IFERROR(INDEX(Katalog!$A$3:$A$12,MATCH(cadangan[[#This Row],[ItemID A]],Katalog!$C$3:$C$12,0)),"-")</f>
        <v>Sepatu Pria</v>
      </c>
      <c r="E445" s="39" t="str">
        <f>IFERROR(INDEX(Katalog!$B$3:$B$12,MATCH(cadangan[[#This Row],[ItemID A]],Katalog!$C$3:$C$12,0)),"-")</f>
        <v>Sneakers</v>
      </c>
      <c r="F445" s="50">
        <v>1</v>
      </c>
      <c r="G445" s="50">
        <v>4</v>
      </c>
      <c r="H445" s="73">
        <f>IFERROR(INDEX(Katalog!$D$3:$D$12,MATCH(cadangan[[#This Row],[ItemID A]],Katalog!$C$3:$C$12,0))*cadangan[[#This Row],[Qty A]],0)</f>
        <v>500000</v>
      </c>
      <c r="I445" s="73">
        <f>IFERROR(cadangan[[#This Row],[Harga Normal A]]-(cadangan[[#This Row],[Harga Normal A]]*cadangan[[#This Row],[Diskon]]),cadangan[[#This Row],[Harga Normal A]])</f>
        <v>500000</v>
      </c>
      <c r="J445" s="73">
        <f>INDEX(Katalog!$F$3:$F$12,MATCH(cadangan[[#This Row],[ItemID A]],Katalog!$C$3:$C$12,0))*cadangan[[#This Row],[Qty A]]</f>
        <v>200000</v>
      </c>
      <c r="K445" s="73">
        <f>IFERROR(cadangan[[#This Row],[Harga Diskon A]]-INDEX(Katalog!$E$3:$E$12,MATCH(cadangan[[#This Row],[ItemID A]],Katalog!$C$3:$C$12,0))*cadangan[[#This Row],[Qty A]],0)</f>
        <v>200000</v>
      </c>
      <c r="L445" s="39" t="s">
        <v>58</v>
      </c>
      <c r="M445" s="39" t="str">
        <f>IFERROR(INDEX(Katalog!$A$3:$A$12,MATCH(cadangan[[#This Row],[ItemID B]],Katalog!$C$3:$C$12,0)),"-")</f>
        <v>Pakaian Wanita</v>
      </c>
      <c r="N445" s="39" t="str">
        <f>IFERROR(INDEX(Katalog!$B$3:$B$12,MATCH(cadangan[[#This Row],[ItemID B]],Katalog!$C$3:$C$12,0)),"-")</f>
        <v>Dress</v>
      </c>
      <c r="O445" s="50">
        <v>1</v>
      </c>
      <c r="P445" s="50">
        <v>1</v>
      </c>
      <c r="Q445" s="73">
        <f>IFERROR(INDEX(Katalog!$D$3:$D$12,MATCH(cadangan[[#This Row],[ItemID B]],Katalog!$C$3:$C$12,0))*cadangan[[#This Row],[Qty B]],0)</f>
        <v>300000</v>
      </c>
      <c r="R445" s="73">
        <f>IFERROR(cadangan[[#This Row],[Harga Normal B]]-(cadangan[[#This Row],[Harga Normal B]]*cadangan[[#This Row],[Diskon]]),cadangan[[#This Row],[Harga Normal B]])</f>
        <v>300000</v>
      </c>
      <c r="S445" s="73">
        <f>IFERROR(INDEX(Katalog!$F$3:$F$12,MATCH(cadangan[[#This Row],[ItemID B]],Katalog!$C$3:$C$12,0))*cadangan[[#This Row],[Qty B]],0)</f>
        <v>100000</v>
      </c>
      <c r="T445" s="73">
        <f>IFERROR(cadangan[[#This Row],[Harga Diskon B]]-INDEX(Katalog!$E$3:$E$12,MATCH(cadangan[[#This Row],[ItemID B]],Katalog!$C$3:$C$12,0))*cadangan[[#This Row],[Qty B]],0)</f>
        <v>100000</v>
      </c>
      <c r="V445" s="39" t="str">
        <f>IFERROR(INDEX(Katalog!$A$3:$A$12,MATCH(cadangan[[#This Row],[ItemID C]],Katalog!$C$3:$C$12,0)),"-")</f>
        <v>-</v>
      </c>
      <c r="W445" s="39" t="str">
        <f>IFERROR(INDEX(Katalog!$B$3:$B$12,MATCH(cadangan[[#This Row],[ItemID C]],Katalog!$C$3:$C$12,0)),"-")</f>
        <v>-</v>
      </c>
      <c r="Z445" s="73">
        <f>IFERROR(INDEX(Katalog!$D$3:$D$12,MATCH(cadangan[[#This Row],[ItemID C]],Katalog!$C$3:$C$12,0))*cadangan[[#This Row],[Qty C]],0)</f>
        <v>0</v>
      </c>
      <c r="AA445" s="73">
        <f>IFERROR(cadangan[[#This Row],[Harga Normal C]]-(cadangan[[#This Row],[Harga Normal C]]*cadangan[[#This Row],[Diskon]]),cadangan[[#This Row],[Harga Normal C]])</f>
        <v>0</v>
      </c>
      <c r="AB445" s="73">
        <f>IFERROR(INDEX(Katalog!$F$3:$F$12,MATCH(cadangan[[#This Row],[ItemID C]],Katalog!$C$3:$C$12,0))*cadangan[[#This Row],[Qty C]],0)</f>
        <v>0</v>
      </c>
      <c r="AC445" s="73">
        <f>IFERROR(cadangan[[#This Row],[Harga Diskon C]]-INDEX(Katalog!$E$3:$E$12,MATCH(cadangan[[#This Row],[ItemID C]],Katalog!$C$3:$C$12,0))*cadangan[[#This Row],[Qty C]],0)</f>
        <v>0</v>
      </c>
      <c r="AD445" s="53">
        <f>cadangan[[#This Row],[Qty A]]+cadangan[[#This Row],[Qty B]]+cadangan[[#This Row],[Qty C]]</f>
        <v>2</v>
      </c>
      <c r="AE445" s="73">
        <f>cadangan[[#This Row],[Harga Normal A]]+cadangan[[#This Row],[Harga Normal B]]+cadangan[[#This Row],[Harga Normal C]]</f>
        <v>800000</v>
      </c>
      <c r="AF445" s="73">
        <f>cadangan[[#This Row],[Harga Diskon A]]+cadangan[[#This Row],[Harga Diskon B]]+cadangan[[#This Row],[Harga Diskon C]]</f>
        <v>800000</v>
      </c>
      <c r="AG445" s="73">
        <f>(cadangan[[#This Row],[Profit Normal A]]+cadangan[[#This Row],[Profit Normal B]]+cadangan[[#This Row],[Profit Normal C]])</f>
        <v>300000</v>
      </c>
      <c r="AH445" s="73">
        <f>cadangan[[#This Row],[Profit Diskon A]]+cadangan[[#This Row],[Profit Diskon B]]+cadangan[[#This Row],[Profit Diskon C]]</f>
        <v>300000</v>
      </c>
      <c r="AI445" s="23" t="s">
        <v>290</v>
      </c>
      <c r="AJ445" s="37" t="str">
        <f>IFERROR(INDEX('Kode Diskon'!$D$3:$D$9,MATCH(cadangan[[#This Row],[Kode diskon]],'Kode Diskon'!$C$3:$C$9,0)),"-")</f>
        <v>-</v>
      </c>
      <c r="AK445" s="23" t="s">
        <v>290</v>
      </c>
      <c r="AL445" s="23" t="s">
        <v>10</v>
      </c>
      <c r="AM445" s="23" t="s">
        <v>80</v>
      </c>
      <c r="AN445" s="55">
        <v>45025</v>
      </c>
      <c r="AO445" s="53">
        <f>DAY(cadangan[[#This Row],[Tanggal terjual]])</f>
        <v>9</v>
      </c>
      <c r="AP445" s="21" t="str">
        <f>TEXT(cadangan[[#This Row],[Tanggal terjual]],"dddd")</f>
        <v>Sunday</v>
      </c>
      <c r="AQ445" s="23" t="str" cm="1">
        <f t="array" ref="AQ4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45" s="61">
        <f>AVERAGE(cadangan[[#This Row],[Rating A]],cadangan[[#This Row],[Rating B]],cadangan[[#This Row],[Rating C]])</f>
        <v>2.5</v>
      </c>
    </row>
    <row r="446" spans="1:44" x14ac:dyDescent="0.2">
      <c r="A446" s="20">
        <v>445</v>
      </c>
      <c r="B446" s="21" t="str">
        <f>_xlfn.CONCAT("ORD-",INDEX(Helper!$B$2:$B$5,MATCH(cadangan[[#This Row],[Marketplace]],Helper!$A$2:$A$5,0)),TEXT(cadangan[[#This Row],[No]],"0000"),"-",TEXT(cadangan[[#This Row],[Tanggal terjual]],"dd/mm/yy"))</f>
        <v>ORD-BB0445-02/04/23</v>
      </c>
      <c r="C446" s="39" t="s">
        <v>61</v>
      </c>
      <c r="D446" s="39" t="str">
        <f>IFERROR(INDEX(Katalog!$A$3:$A$12,MATCH(cadangan[[#This Row],[ItemID A]],Katalog!$C$3:$C$12,0)),"-")</f>
        <v>Pakaian Pria</v>
      </c>
      <c r="E446" s="39" t="str">
        <f>IFERROR(INDEX(Katalog!$B$3:$B$12,MATCH(cadangan[[#This Row],[ItemID A]],Katalog!$C$3:$C$12,0)),"-")</f>
        <v>Kaos Polo</v>
      </c>
      <c r="F446" s="50">
        <v>1</v>
      </c>
      <c r="G446" s="50">
        <v>5</v>
      </c>
      <c r="H446" s="73">
        <f>IFERROR(INDEX(Katalog!$D$3:$D$12,MATCH(cadangan[[#This Row],[ItemID A]],Katalog!$C$3:$C$12,0))*cadangan[[#This Row],[Qty A]],0)</f>
        <v>200000</v>
      </c>
      <c r="I446" s="73">
        <f>IFERROR(cadangan[[#This Row],[Harga Normal A]]-(cadangan[[#This Row],[Harga Normal A]]*cadangan[[#This Row],[Diskon]]),cadangan[[#This Row],[Harga Normal A]])</f>
        <v>170000</v>
      </c>
      <c r="J446" s="73">
        <f>INDEX(Katalog!$F$3:$F$12,MATCH(cadangan[[#This Row],[ItemID A]],Katalog!$C$3:$C$12,0))*cadangan[[#This Row],[Qty A]]</f>
        <v>80000</v>
      </c>
      <c r="K446" s="73">
        <f>IFERROR(cadangan[[#This Row],[Harga Diskon A]]-INDEX(Katalog!$E$3:$E$12,MATCH(cadangan[[#This Row],[ItemID A]],Katalog!$C$3:$C$12,0))*cadangan[[#This Row],[Qty A]],0)</f>
        <v>50000</v>
      </c>
      <c r="M446" s="39" t="str">
        <f>IFERROR(INDEX(Katalog!$A$3:$A$12,MATCH(cadangan[[#This Row],[ItemID B]],Katalog!$C$3:$C$12,0)),"-")</f>
        <v>-</v>
      </c>
      <c r="N446" s="39" t="str">
        <f>IFERROR(INDEX(Katalog!$B$3:$B$12,MATCH(cadangan[[#This Row],[ItemID B]],Katalog!$C$3:$C$12,0)),"-")</f>
        <v>-</v>
      </c>
      <c r="Q446" s="73">
        <f>IFERROR(INDEX(Katalog!$D$3:$D$12,MATCH(cadangan[[#This Row],[ItemID B]],Katalog!$C$3:$C$12,0))*cadangan[[#This Row],[Qty B]],0)</f>
        <v>0</v>
      </c>
      <c r="R446" s="73">
        <f>IFERROR(cadangan[[#This Row],[Harga Normal B]]-(cadangan[[#This Row],[Harga Normal B]]*cadangan[[#This Row],[Diskon]]),cadangan[[#This Row],[Harga Normal B]])</f>
        <v>0</v>
      </c>
      <c r="S446" s="73">
        <f>IFERROR(INDEX(Katalog!$F$3:$F$12,MATCH(cadangan[[#This Row],[ItemID B]],Katalog!$C$3:$C$12,0))*cadangan[[#This Row],[Qty B]],0)</f>
        <v>0</v>
      </c>
      <c r="T446" s="73">
        <f>IFERROR(cadangan[[#This Row],[Harga Diskon B]]-INDEX(Katalog!$E$3:$E$12,MATCH(cadangan[[#This Row],[ItemID B]],Katalog!$C$3:$C$12,0))*cadangan[[#This Row],[Qty B]],0)</f>
        <v>0</v>
      </c>
      <c r="V446" s="39" t="str">
        <f>IFERROR(INDEX(Katalog!$A$3:$A$12,MATCH(cadangan[[#This Row],[ItemID C]],Katalog!$C$3:$C$12,0)),"-")</f>
        <v>-</v>
      </c>
      <c r="W446" s="39" t="str">
        <f>IFERROR(INDEX(Katalog!$B$3:$B$12,MATCH(cadangan[[#This Row],[ItemID C]],Katalog!$C$3:$C$12,0)),"-")</f>
        <v>-</v>
      </c>
      <c r="Z446" s="73">
        <f>IFERROR(INDEX(Katalog!$D$3:$D$12,MATCH(cadangan[[#This Row],[ItemID C]],Katalog!$C$3:$C$12,0))*cadangan[[#This Row],[Qty C]],0)</f>
        <v>0</v>
      </c>
      <c r="AA446" s="73">
        <f>IFERROR(cadangan[[#This Row],[Harga Normal C]]-(cadangan[[#This Row],[Harga Normal C]]*cadangan[[#This Row],[Diskon]]),cadangan[[#This Row],[Harga Normal C]])</f>
        <v>0</v>
      </c>
      <c r="AB446" s="73">
        <f>IFERROR(INDEX(Katalog!$F$3:$F$12,MATCH(cadangan[[#This Row],[ItemID C]],Katalog!$C$3:$C$12,0))*cadangan[[#This Row],[Qty C]],0)</f>
        <v>0</v>
      </c>
      <c r="AC446" s="73">
        <f>IFERROR(cadangan[[#This Row],[Harga Diskon C]]-INDEX(Katalog!$E$3:$E$12,MATCH(cadangan[[#This Row],[ItemID C]],Katalog!$C$3:$C$12,0))*cadangan[[#This Row],[Qty C]],0)</f>
        <v>0</v>
      </c>
      <c r="AD446" s="53">
        <f>cadangan[[#This Row],[Qty A]]+cadangan[[#This Row],[Qty B]]+cadangan[[#This Row],[Qty C]]</f>
        <v>1</v>
      </c>
      <c r="AE446" s="73">
        <f>cadangan[[#This Row],[Harga Normal A]]+cadangan[[#This Row],[Harga Normal B]]+cadangan[[#This Row],[Harga Normal C]]</f>
        <v>200000</v>
      </c>
      <c r="AF446" s="73">
        <f>cadangan[[#This Row],[Harga Diskon A]]+cadangan[[#This Row],[Harga Diskon B]]+cadangan[[#This Row],[Harga Diskon C]]</f>
        <v>170000</v>
      </c>
      <c r="AG446" s="73">
        <f>(cadangan[[#This Row],[Profit Normal A]]+cadangan[[#This Row],[Profit Normal B]]+cadangan[[#This Row],[Profit Normal C]])</f>
        <v>80000</v>
      </c>
      <c r="AH446" s="73">
        <f>cadangan[[#This Row],[Profit Diskon A]]+cadangan[[#This Row],[Profit Diskon B]]+cadangan[[#This Row],[Profit Diskon C]]</f>
        <v>50000</v>
      </c>
      <c r="AI446" s="23" t="s">
        <v>28</v>
      </c>
      <c r="AJ446" s="37">
        <f>IFERROR(INDEX('Kode Diskon'!$D$3:$D$9,MATCH(cadangan[[#This Row],[Kode diskon]],'Kode Diskon'!$C$3:$C$9,0)),"-")</f>
        <v>0.15</v>
      </c>
      <c r="AK446" s="23" t="s">
        <v>29</v>
      </c>
      <c r="AL446" s="23" t="s">
        <v>14</v>
      </c>
      <c r="AM446" s="23" t="s">
        <v>78</v>
      </c>
      <c r="AN446" s="55">
        <v>45018</v>
      </c>
      <c r="AO446" s="53">
        <f>DAY(cadangan[[#This Row],[Tanggal terjual]])</f>
        <v>2</v>
      </c>
      <c r="AP446" s="21" t="str">
        <f>TEXT(cadangan[[#This Row],[Tanggal terjual]],"dddd")</f>
        <v>Sunday</v>
      </c>
      <c r="AQ446" s="23" t="str" cm="1">
        <f t="array" ref="AQ4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6" s="61">
        <f>AVERAGE(cadangan[[#This Row],[Rating A]],cadangan[[#This Row],[Rating B]],cadangan[[#This Row],[Rating C]])</f>
        <v>5</v>
      </c>
    </row>
    <row r="447" spans="1:44" x14ac:dyDescent="0.2">
      <c r="A447" s="20">
        <v>446</v>
      </c>
      <c r="B447" s="21" t="str">
        <f>_xlfn.CONCAT("ORD-",INDEX(Helper!$B$2:$B$5,MATCH(cadangan[[#This Row],[Marketplace]],Helper!$A$2:$A$5,0)),TEXT(cadangan[[#This Row],[No]],"0000"),"-",TEXT(cadangan[[#This Row],[Tanggal terjual]],"dd/mm/yy"))</f>
        <v>ORD-BB0446-03/04/23</v>
      </c>
      <c r="C447" s="39" t="s">
        <v>61</v>
      </c>
      <c r="D447" s="39" t="str">
        <f>IFERROR(INDEX(Katalog!$A$3:$A$12,MATCH(cadangan[[#This Row],[ItemID A]],Katalog!$C$3:$C$12,0)),"-")</f>
        <v>Pakaian Pria</v>
      </c>
      <c r="E447" s="39" t="str">
        <f>IFERROR(INDEX(Katalog!$B$3:$B$12,MATCH(cadangan[[#This Row],[ItemID A]],Katalog!$C$3:$C$12,0)),"-")</f>
        <v>Kaos Polo</v>
      </c>
      <c r="F447" s="50">
        <v>1</v>
      </c>
      <c r="G447" s="50">
        <v>5</v>
      </c>
      <c r="H447" s="73">
        <f>IFERROR(INDEX(Katalog!$D$3:$D$12,MATCH(cadangan[[#This Row],[ItemID A]],Katalog!$C$3:$C$12,0))*cadangan[[#This Row],[Qty A]],0)</f>
        <v>200000</v>
      </c>
      <c r="I447" s="73">
        <f>IFERROR(cadangan[[#This Row],[Harga Normal A]]-(cadangan[[#This Row],[Harga Normal A]]*cadangan[[#This Row],[Diskon]]),cadangan[[#This Row],[Harga Normal A]])</f>
        <v>170000</v>
      </c>
      <c r="J447" s="73">
        <f>INDEX(Katalog!$F$3:$F$12,MATCH(cadangan[[#This Row],[ItemID A]],Katalog!$C$3:$C$12,0))*cadangan[[#This Row],[Qty A]]</f>
        <v>80000</v>
      </c>
      <c r="K447" s="73">
        <f>IFERROR(cadangan[[#This Row],[Harga Diskon A]]-INDEX(Katalog!$E$3:$E$12,MATCH(cadangan[[#This Row],[ItemID A]],Katalog!$C$3:$C$12,0))*cadangan[[#This Row],[Qty A]],0)</f>
        <v>50000</v>
      </c>
      <c r="L447" s="39" t="s">
        <v>62</v>
      </c>
      <c r="M447" s="39" t="str">
        <f>IFERROR(INDEX(Katalog!$A$3:$A$12,MATCH(cadangan[[#This Row],[ItemID B]],Katalog!$C$3:$C$12,0)),"-")</f>
        <v>Pakaian Pria</v>
      </c>
      <c r="N447" s="39" t="str">
        <f>IFERROR(INDEX(Katalog!$B$3:$B$12,MATCH(cadangan[[#This Row],[ItemID B]],Katalog!$C$3:$C$12,0)),"-")</f>
        <v>Celana Pendek</v>
      </c>
      <c r="O447" s="50">
        <v>2</v>
      </c>
      <c r="P447" s="50">
        <v>1</v>
      </c>
      <c r="Q447" s="73">
        <f>IFERROR(INDEX(Katalog!$D$3:$D$12,MATCH(cadangan[[#This Row],[ItemID B]],Katalog!$C$3:$C$12,0))*cadangan[[#This Row],[Qty B]],0)</f>
        <v>360000</v>
      </c>
      <c r="R447" s="73">
        <f>IFERROR(cadangan[[#This Row],[Harga Normal B]]-(cadangan[[#This Row],[Harga Normal B]]*cadangan[[#This Row],[Diskon]]),cadangan[[#This Row],[Harga Normal B]])</f>
        <v>306000</v>
      </c>
      <c r="S447" s="73">
        <f>IFERROR(INDEX(Katalog!$F$3:$F$12,MATCH(cadangan[[#This Row],[ItemID B]],Katalog!$C$3:$C$12,0))*cadangan[[#This Row],[Qty B]],0)</f>
        <v>140000</v>
      </c>
      <c r="T447" s="73">
        <f>IFERROR(cadangan[[#This Row],[Harga Diskon B]]-INDEX(Katalog!$E$3:$E$12,MATCH(cadangan[[#This Row],[ItemID B]],Katalog!$C$3:$C$12,0))*cadangan[[#This Row],[Qty B]],0)</f>
        <v>86000</v>
      </c>
      <c r="U447" s="39" t="s">
        <v>66</v>
      </c>
      <c r="V447" s="39" t="str">
        <f>IFERROR(INDEX(Katalog!$A$3:$A$12,MATCH(cadangan[[#This Row],[ItemID C]],Katalog!$C$3:$C$12,0)),"-")</f>
        <v>Sepatu Pria</v>
      </c>
      <c r="W447" s="39" t="str">
        <f>IFERROR(INDEX(Katalog!$B$3:$B$12,MATCH(cadangan[[#This Row],[ItemID C]],Katalog!$C$3:$C$12,0)),"-")</f>
        <v>Sandal Slip On</v>
      </c>
      <c r="X447" s="50">
        <v>1</v>
      </c>
      <c r="Y447" s="50">
        <v>3</v>
      </c>
      <c r="Z447" s="73">
        <f>IFERROR(INDEX(Katalog!$D$3:$D$12,MATCH(cadangan[[#This Row],[ItemID C]],Katalog!$C$3:$C$12,0))*cadangan[[#This Row],[Qty C]],0)</f>
        <v>150000</v>
      </c>
      <c r="AA447" s="73">
        <f>IFERROR(cadangan[[#This Row],[Harga Normal C]]-(cadangan[[#This Row],[Harga Normal C]]*cadangan[[#This Row],[Diskon]]),cadangan[[#This Row],[Harga Normal C]])</f>
        <v>127500</v>
      </c>
      <c r="AB447" s="73">
        <f>IFERROR(INDEX(Katalog!$F$3:$F$12,MATCH(cadangan[[#This Row],[ItemID C]],Katalog!$C$3:$C$12,0))*cadangan[[#This Row],[Qty C]],0)</f>
        <v>60000</v>
      </c>
      <c r="AC447" s="73">
        <f>IFERROR(cadangan[[#This Row],[Harga Diskon C]]-INDEX(Katalog!$E$3:$E$12,MATCH(cadangan[[#This Row],[ItemID C]],Katalog!$C$3:$C$12,0))*cadangan[[#This Row],[Qty C]],0)</f>
        <v>37500</v>
      </c>
      <c r="AD447" s="53">
        <f>cadangan[[#This Row],[Qty A]]+cadangan[[#This Row],[Qty B]]+cadangan[[#This Row],[Qty C]]</f>
        <v>4</v>
      </c>
      <c r="AE447" s="73">
        <f>cadangan[[#This Row],[Harga Normal A]]+cadangan[[#This Row],[Harga Normal B]]+cadangan[[#This Row],[Harga Normal C]]</f>
        <v>710000</v>
      </c>
      <c r="AF447" s="73">
        <f>cadangan[[#This Row],[Harga Diskon A]]+cadangan[[#This Row],[Harga Diskon B]]+cadangan[[#This Row],[Harga Diskon C]]</f>
        <v>603500</v>
      </c>
      <c r="AG447" s="73">
        <f>(cadangan[[#This Row],[Profit Normal A]]+cadangan[[#This Row],[Profit Normal B]]+cadangan[[#This Row],[Profit Normal C]])</f>
        <v>280000</v>
      </c>
      <c r="AH447" s="73">
        <f>cadangan[[#This Row],[Profit Diskon A]]+cadangan[[#This Row],[Profit Diskon B]]+cadangan[[#This Row],[Profit Diskon C]]</f>
        <v>173500</v>
      </c>
      <c r="AI447" s="23" t="s">
        <v>28</v>
      </c>
      <c r="AJ447" s="37">
        <f>IFERROR(INDEX('Kode Diskon'!$D$3:$D$9,MATCH(cadangan[[#This Row],[Kode diskon]],'Kode Diskon'!$C$3:$C$9,0)),"-")</f>
        <v>0.15</v>
      </c>
      <c r="AK447" s="23" t="s">
        <v>29</v>
      </c>
      <c r="AL447" s="23" t="s">
        <v>14</v>
      </c>
      <c r="AM447" s="23" t="s">
        <v>80</v>
      </c>
      <c r="AN447" s="55">
        <v>45019</v>
      </c>
      <c r="AO447" s="53">
        <f>DAY(cadangan[[#This Row],[Tanggal terjual]])</f>
        <v>3</v>
      </c>
      <c r="AP447" s="21" t="str">
        <f>TEXT(cadangan[[#This Row],[Tanggal terjual]],"dddd")</f>
        <v>Monday</v>
      </c>
      <c r="AQ447" s="23" t="str" cm="1">
        <f t="array" ref="AQ4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7" s="61">
        <f>AVERAGE(cadangan[[#This Row],[Rating A]],cadangan[[#This Row],[Rating B]],cadangan[[#This Row],[Rating C]])</f>
        <v>3</v>
      </c>
    </row>
    <row r="448" spans="1:44" x14ac:dyDescent="0.2">
      <c r="A448" s="20">
        <v>447</v>
      </c>
      <c r="B448" s="21" t="str">
        <f>_xlfn.CONCAT("ORD-",INDEX(Helper!$B$2:$B$5,MATCH(cadangan[[#This Row],[Marketplace]],Helper!$A$2:$A$5,0)),TEXT(cadangan[[#This Row],[No]],"0000"),"-",TEXT(cadangan[[#This Row],[Tanggal terjual]],"dd/mm/yy"))</f>
        <v>ORD-TK0447-28/04/23</v>
      </c>
      <c r="C448" s="39" t="s">
        <v>58</v>
      </c>
      <c r="D448" s="39" t="str">
        <f>IFERROR(INDEX(Katalog!$A$3:$A$12,MATCH(cadangan[[#This Row],[ItemID A]],Katalog!$C$3:$C$12,0)),"-")</f>
        <v>Pakaian Wanita</v>
      </c>
      <c r="E448" s="39" t="str">
        <f>IFERROR(INDEX(Katalog!$B$3:$B$12,MATCH(cadangan[[#This Row],[ItemID A]],Katalog!$C$3:$C$12,0)),"-")</f>
        <v>Dress</v>
      </c>
      <c r="F448" s="50">
        <v>7</v>
      </c>
      <c r="G448" s="50">
        <v>2</v>
      </c>
      <c r="H448" s="73">
        <f>IFERROR(INDEX(Katalog!$D$3:$D$12,MATCH(cadangan[[#This Row],[ItemID A]],Katalog!$C$3:$C$12,0))*cadangan[[#This Row],[Qty A]],0)</f>
        <v>2100000</v>
      </c>
      <c r="I448" s="73">
        <f>IFERROR(cadangan[[#This Row],[Harga Normal A]]-(cadangan[[#This Row],[Harga Normal A]]*cadangan[[#This Row],[Diskon]]),cadangan[[#This Row],[Harga Normal A]])</f>
        <v>1890000</v>
      </c>
      <c r="J448" s="73">
        <f>INDEX(Katalog!$F$3:$F$12,MATCH(cadangan[[#This Row],[ItemID A]],Katalog!$C$3:$C$12,0))*cadangan[[#This Row],[Qty A]]</f>
        <v>700000</v>
      </c>
      <c r="K448" s="73">
        <f>IFERROR(cadangan[[#This Row],[Harga Diskon A]]-INDEX(Katalog!$E$3:$E$12,MATCH(cadangan[[#This Row],[ItemID A]],Katalog!$C$3:$C$12,0))*cadangan[[#This Row],[Qty A]],0)</f>
        <v>490000</v>
      </c>
      <c r="M448" s="39" t="str">
        <f>IFERROR(INDEX(Katalog!$A$3:$A$12,MATCH(cadangan[[#This Row],[ItemID B]],Katalog!$C$3:$C$12,0)),"-")</f>
        <v>-</v>
      </c>
      <c r="N448" s="39" t="str">
        <f>IFERROR(INDEX(Katalog!$B$3:$B$12,MATCH(cadangan[[#This Row],[ItemID B]],Katalog!$C$3:$C$12,0)),"-")</f>
        <v>-</v>
      </c>
      <c r="Q448" s="73">
        <f>IFERROR(INDEX(Katalog!$D$3:$D$12,MATCH(cadangan[[#This Row],[ItemID B]],Katalog!$C$3:$C$12,0))*cadangan[[#This Row],[Qty B]],0)</f>
        <v>0</v>
      </c>
      <c r="R448" s="73">
        <f>IFERROR(cadangan[[#This Row],[Harga Normal B]]-(cadangan[[#This Row],[Harga Normal B]]*cadangan[[#This Row],[Diskon]]),cadangan[[#This Row],[Harga Normal B]])</f>
        <v>0</v>
      </c>
      <c r="S448" s="73">
        <f>IFERROR(INDEX(Katalog!$F$3:$F$12,MATCH(cadangan[[#This Row],[ItemID B]],Katalog!$C$3:$C$12,0))*cadangan[[#This Row],[Qty B]],0)</f>
        <v>0</v>
      </c>
      <c r="T448" s="73">
        <f>IFERROR(cadangan[[#This Row],[Harga Diskon B]]-INDEX(Katalog!$E$3:$E$12,MATCH(cadangan[[#This Row],[ItemID B]],Katalog!$C$3:$C$12,0))*cadangan[[#This Row],[Qty B]],0)</f>
        <v>0</v>
      </c>
      <c r="V448" s="39" t="str">
        <f>IFERROR(INDEX(Katalog!$A$3:$A$12,MATCH(cadangan[[#This Row],[ItemID C]],Katalog!$C$3:$C$12,0)),"-")</f>
        <v>-</v>
      </c>
      <c r="W448" s="39" t="str">
        <f>IFERROR(INDEX(Katalog!$B$3:$B$12,MATCH(cadangan[[#This Row],[ItemID C]],Katalog!$C$3:$C$12,0)),"-")</f>
        <v>-</v>
      </c>
      <c r="Z448" s="73">
        <f>IFERROR(INDEX(Katalog!$D$3:$D$12,MATCH(cadangan[[#This Row],[ItemID C]],Katalog!$C$3:$C$12,0))*cadangan[[#This Row],[Qty C]],0)</f>
        <v>0</v>
      </c>
      <c r="AA448" s="73">
        <f>IFERROR(cadangan[[#This Row],[Harga Normal C]]-(cadangan[[#This Row],[Harga Normal C]]*cadangan[[#This Row],[Diskon]]),cadangan[[#This Row],[Harga Normal C]])</f>
        <v>0</v>
      </c>
      <c r="AB448" s="73">
        <f>IFERROR(INDEX(Katalog!$F$3:$F$12,MATCH(cadangan[[#This Row],[ItemID C]],Katalog!$C$3:$C$12,0))*cadangan[[#This Row],[Qty C]],0)</f>
        <v>0</v>
      </c>
      <c r="AC448" s="73">
        <f>IFERROR(cadangan[[#This Row],[Harga Diskon C]]-INDEX(Katalog!$E$3:$E$12,MATCH(cadangan[[#This Row],[ItemID C]],Katalog!$C$3:$C$12,0))*cadangan[[#This Row],[Qty C]],0)</f>
        <v>0</v>
      </c>
      <c r="AD448" s="53">
        <f>cadangan[[#This Row],[Qty A]]+cadangan[[#This Row],[Qty B]]+cadangan[[#This Row],[Qty C]]</f>
        <v>7</v>
      </c>
      <c r="AE448" s="73">
        <f>cadangan[[#This Row],[Harga Normal A]]+cadangan[[#This Row],[Harga Normal B]]+cadangan[[#This Row],[Harga Normal C]]</f>
        <v>2100000</v>
      </c>
      <c r="AF448" s="73">
        <f>cadangan[[#This Row],[Harga Diskon A]]+cadangan[[#This Row],[Harga Diskon B]]+cadangan[[#This Row],[Harga Diskon C]]</f>
        <v>1890000</v>
      </c>
      <c r="AG448" s="73">
        <f>(cadangan[[#This Row],[Profit Normal A]]+cadangan[[#This Row],[Profit Normal B]]+cadangan[[#This Row],[Profit Normal C]])</f>
        <v>700000</v>
      </c>
      <c r="AH448" s="73">
        <f>cadangan[[#This Row],[Profit Diskon A]]+cadangan[[#This Row],[Profit Diskon B]]+cadangan[[#This Row],[Profit Diskon C]]</f>
        <v>490000</v>
      </c>
      <c r="AI448" s="23" t="s">
        <v>31</v>
      </c>
      <c r="AJ448" s="37">
        <f>IFERROR(INDEX('Kode Diskon'!$D$3:$D$9,MATCH(cadangan[[#This Row],[Kode diskon]],'Kode Diskon'!$C$3:$C$9,0)),"-")</f>
        <v>0.1</v>
      </c>
      <c r="AK448" s="23" t="s">
        <v>9</v>
      </c>
      <c r="AL448" s="23" t="s">
        <v>10</v>
      </c>
      <c r="AM448" s="23" t="s">
        <v>80</v>
      </c>
      <c r="AN448" s="55">
        <v>45044</v>
      </c>
      <c r="AO448" s="53">
        <f>DAY(cadangan[[#This Row],[Tanggal terjual]])</f>
        <v>28</v>
      </c>
      <c r="AP448" s="21" t="str">
        <f>TEXT(cadangan[[#This Row],[Tanggal terjual]],"dddd")</f>
        <v>Friday</v>
      </c>
      <c r="AQ448" s="23" t="str" cm="1">
        <f t="array" ref="AQ4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48" s="61">
        <f>AVERAGE(cadangan[[#This Row],[Rating A]],cadangan[[#This Row],[Rating B]],cadangan[[#This Row],[Rating C]])</f>
        <v>2</v>
      </c>
    </row>
    <row r="449" spans="1:44" x14ac:dyDescent="0.2">
      <c r="A449" s="20">
        <v>448</v>
      </c>
      <c r="B449" s="21" t="str">
        <f>_xlfn.CONCAT("ORD-",INDEX(Helper!$B$2:$B$5,MATCH(cadangan[[#This Row],[Marketplace]],Helper!$A$2:$A$5,0)),TEXT(cadangan[[#This Row],[No]],"0000"),"-",TEXT(cadangan[[#This Row],[Tanggal terjual]],"dd/mm/yy"))</f>
        <v>ORD-BB0448-01/04/23</v>
      </c>
      <c r="C449" s="39" t="s">
        <v>64</v>
      </c>
      <c r="D449" s="39" t="str">
        <f>IFERROR(INDEX(Katalog!$A$3:$A$12,MATCH(cadangan[[#This Row],[ItemID A]],Katalog!$C$3:$C$12,0)),"-")</f>
        <v>Pakaian Unisex</v>
      </c>
      <c r="E449" s="39" t="str">
        <f>IFERROR(INDEX(Katalog!$B$3:$B$12,MATCH(cadangan[[#This Row],[ItemID A]],Katalog!$C$3:$C$12,0)),"-")</f>
        <v>Jaket Hoodie</v>
      </c>
      <c r="F449" s="50">
        <v>2</v>
      </c>
      <c r="G449" s="50">
        <v>2</v>
      </c>
      <c r="H449" s="73">
        <f>IFERROR(INDEX(Katalog!$D$3:$D$12,MATCH(cadangan[[#This Row],[ItemID A]],Katalog!$C$3:$C$12,0))*cadangan[[#This Row],[Qty A]],0)</f>
        <v>700000</v>
      </c>
      <c r="I449" s="73">
        <f>IFERROR(cadangan[[#This Row],[Harga Normal A]]-(cadangan[[#This Row],[Harga Normal A]]*cadangan[[#This Row],[Diskon]]),cadangan[[#This Row],[Harga Normal A]])</f>
        <v>595000</v>
      </c>
      <c r="J449" s="73">
        <f>INDEX(Katalog!$F$3:$F$12,MATCH(cadangan[[#This Row],[ItemID A]],Katalog!$C$3:$C$12,0))*cadangan[[#This Row],[Qty A]]</f>
        <v>260000</v>
      </c>
      <c r="K449" s="73">
        <f>IFERROR(cadangan[[#This Row],[Harga Diskon A]]-INDEX(Katalog!$E$3:$E$12,MATCH(cadangan[[#This Row],[ItemID A]],Katalog!$C$3:$C$12,0))*cadangan[[#This Row],[Qty A]],0)</f>
        <v>155000</v>
      </c>
      <c r="M449" s="39" t="str">
        <f>IFERROR(INDEX(Katalog!$A$3:$A$12,MATCH(cadangan[[#This Row],[ItemID B]],Katalog!$C$3:$C$12,0)),"-")</f>
        <v>-</v>
      </c>
      <c r="N449" s="39" t="str">
        <f>IFERROR(INDEX(Katalog!$B$3:$B$12,MATCH(cadangan[[#This Row],[ItemID B]],Katalog!$C$3:$C$12,0)),"-")</f>
        <v>-</v>
      </c>
      <c r="Q449" s="73">
        <f>IFERROR(INDEX(Katalog!$D$3:$D$12,MATCH(cadangan[[#This Row],[ItemID B]],Katalog!$C$3:$C$12,0))*cadangan[[#This Row],[Qty B]],0)</f>
        <v>0</v>
      </c>
      <c r="R449" s="73">
        <f>IFERROR(cadangan[[#This Row],[Harga Normal B]]-(cadangan[[#This Row],[Harga Normal B]]*cadangan[[#This Row],[Diskon]]),cadangan[[#This Row],[Harga Normal B]])</f>
        <v>0</v>
      </c>
      <c r="S449" s="73">
        <f>IFERROR(INDEX(Katalog!$F$3:$F$12,MATCH(cadangan[[#This Row],[ItemID B]],Katalog!$C$3:$C$12,0))*cadangan[[#This Row],[Qty B]],0)</f>
        <v>0</v>
      </c>
      <c r="T449" s="73">
        <f>IFERROR(cadangan[[#This Row],[Harga Diskon B]]-INDEX(Katalog!$E$3:$E$12,MATCH(cadangan[[#This Row],[ItemID B]],Katalog!$C$3:$C$12,0))*cadangan[[#This Row],[Qty B]],0)</f>
        <v>0</v>
      </c>
      <c r="V449" s="39" t="str">
        <f>IFERROR(INDEX(Katalog!$A$3:$A$12,MATCH(cadangan[[#This Row],[ItemID C]],Katalog!$C$3:$C$12,0)),"-")</f>
        <v>-</v>
      </c>
      <c r="W449" s="39" t="str">
        <f>IFERROR(INDEX(Katalog!$B$3:$B$12,MATCH(cadangan[[#This Row],[ItemID C]],Katalog!$C$3:$C$12,0)),"-")</f>
        <v>-</v>
      </c>
      <c r="Z449" s="73">
        <f>IFERROR(INDEX(Katalog!$D$3:$D$12,MATCH(cadangan[[#This Row],[ItemID C]],Katalog!$C$3:$C$12,0))*cadangan[[#This Row],[Qty C]],0)</f>
        <v>0</v>
      </c>
      <c r="AA449" s="73">
        <f>IFERROR(cadangan[[#This Row],[Harga Normal C]]-(cadangan[[#This Row],[Harga Normal C]]*cadangan[[#This Row],[Diskon]]),cadangan[[#This Row],[Harga Normal C]])</f>
        <v>0</v>
      </c>
      <c r="AB449" s="73">
        <f>IFERROR(INDEX(Katalog!$F$3:$F$12,MATCH(cadangan[[#This Row],[ItemID C]],Katalog!$C$3:$C$12,0))*cadangan[[#This Row],[Qty C]],0)</f>
        <v>0</v>
      </c>
      <c r="AC449" s="73">
        <f>IFERROR(cadangan[[#This Row],[Harga Diskon C]]-INDEX(Katalog!$E$3:$E$12,MATCH(cadangan[[#This Row],[ItemID C]],Katalog!$C$3:$C$12,0))*cadangan[[#This Row],[Qty C]],0)</f>
        <v>0</v>
      </c>
      <c r="AD449" s="53">
        <f>cadangan[[#This Row],[Qty A]]+cadangan[[#This Row],[Qty B]]+cadangan[[#This Row],[Qty C]]</f>
        <v>2</v>
      </c>
      <c r="AE449" s="73">
        <f>cadangan[[#This Row],[Harga Normal A]]+cadangan[[#This Row],[Harga Normal B]]+cadangan[[#This Row],[Harga Normal C]]</f>
        <v>700000</v>
      </c>
      <c r="AF449" s="73">
        <f>cadangan[[#This Row],[Harga Diskon A]]+cadangan[[#This Row],[Harga Diskon B]]+cadangan[[#This Row],[Harga Diskon C]]</f>
        <v>595000</v>
      </c>
      <c r="AG449" s="73">
        <f>(cadangan[[#This Row],[Profit Normal A]]+cadangan[[#This Row],[Profit Normal B]]+cadangan[[#This Row],[Profit Normal C]])</f>
        <v>260000</v>
      </c>
      <c r="AH449" s="73">
        <f>cadangan[[#This Row],[Profit Diskon A]]+cadangan[[#This Row],[Profit Diskon B]]+cadangan[[#This Row],[Profit Diskon C]]</f>
        <v>155000</v>
      </c>
      <c r="AI449" s="23" t="s">
        <v>28</v>
      </c>
      <c r="AJ449" s="37">
        <f>IFERROR(INDEX('Kode Diskon'!$D$3:$D$9,MATCH(cadangan[[#This Row],[Kode diskon]],'Kode Diskon'!$C$3:$C$9,0)),"-")</f>
        <v>0.15</v>
      </c>
      <c r="AK449" s="23" t="s">
        <v>29</v>
      </c>
      <c r="AL449" s="23" t="s">
        <v>14</v>
      </c>
      <c r="AM449" s="23" t="s">
        <v>79</v>
      </c>
      <c r="AN449" s="55">
        <v>45017</v>
      </c>
      <c r="AO449" s="53">
        <f>DAY(cadangan[[#This Row],[Tanggal terjual]])</f>
        <v>1</v>
      </c>
      <c r="AP449" s="21" t="str">
        <f>TEXT(cadangan[[#This Row],[Tanggal terjual]],"dddd")</f>
        <v>Saturday</v>
      </c>
      <c r="AQ449" s="23" t="str" cm="1">
        <f t="array" ref="AQ4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49" s="61">
        <f>AVERAGE(cadangan[[#This Row],[Rating A]],cadangan[[#This Row],[Rating B]],cadangan[[#This Row],[Rating C]])</f>
        <v>2</v>
      </c>
    </row>
    <row r="450" spans="1:44" x14ac:dyDescent="0.2">
      <c r="A450" s="20">
        <v>449</v>
      </c>
      <c r="B450" s="21" t="str">
        <f>_xlfn.CONCAT("ORD-",INDEX(Helper!$B$2:$B$5,MATCH(cadangan[[#This Row],[Marketplace]],Helper!$A$2:$A$5,0)),TEXT(cadangan[[#This Row],[No]],"0000"),"-",TEXT(cadangan[[#This Row],[Tanggal terjual]],"dd/mm/yy"))</f>
        <v>ORD-SP0449-22/04/23</v>
      </c>
      <c r="C450" s="39" t="s">
        <v>60</v>
      </c>
      <c r="D450" s="39" t="str">
        <f>IFERROR(INDEX(Katalog!$A$3:$A$12,MATCH(cadangan[[#This Row],[ItemID A]],Katalog!$C$3:$C$12,0)),"-")</f>
        <v>Pakaian Wanita</v>
      </c>
      <c r="E450" s="39" t="str">
        <f>IFERROR(INDEX(Katalog!$B$3:$B$12,MATCH(cadangan[[#This Row],[ItemID A]],Katalog!$C$3:$C$12,0)),"-")</f>
        <v>Kaftan</v>
      </c>
      <c r="F450" s="50">
        <v>5</v>
      </c>
      <c r="G450" s="50">
        <v>3</v>
      </c>
      <c r="H450" s="73">
        <f>IFERROR(INDEX(Katalog!$D$3:$D$12,MATCH(cadangan[[#This Row],[ItemID A]],Katalog!$C$3:$C$12,0))*cadangan[[#This Row],[Qty A]],0)</f>
        <v>1250000</v>
      </c>
      <c r="I450" s="73">
        <f>IFERROR(cadangan[[#This Row],[Harga Normal A]]-(cadangan[[#This Row],[Harga Normal A]]*cadangan[[#This Row],[Diskon]]),cadangan[[#This Row],[Harga Normal A]])</f>
        <v>1000000</v>
      </c>
      <c r="J450" s="73">
        <f>INDEX(Katalog!$F$3:$F$12,MATCH(cadangan[[#This Row],[ItemID A]],Katalog!$C$3:$C$12,0))*cadangan[[#This Row],[Qty A]]</f>
        <v>500000</v>
      </c>
      <c r="K450" s="73">
        <f>IFERROR(cadangan[[#This Row],[Harga Diskon A]]-INDEX(Katalog!$E$3:$E$12,MATCH(cadangan[[#This Row],[ItemID A]],Katalog!$C$3:$C$12,0))*cadangan[[#This Row],[Qty A]],0)</f>
        <v>250000</v>
      </c>
      <c r="L450" s="39" t="s">
        <v>60</v>
      </c>
      <c r="M450" s="39" t="str">
        <f>IFERROR(INDEX(Katalog!$A$3:$A$12,MATCH(cadangan[[#This Row],[ItemID B]],Katalog!$C$3:$C$12,0)),"-")</f>
        <v>Pakaian Wanita</v>
      </c>
      <c r="N450" s="39" t="str">
        <f>IFERROR(INDEX(Katalog!$B$3:$B$12,MATCH(cadangan[[#This Row],[ItemID B]],Katalog!$C$3:$C$12,0)),"-")</f>
        <v>Kaftan</v>
      </c>
      <c r="O450" s="50">
        <v>1</v>
      </c>
      <c r="P450" s="50">
        <v>3</v>
      </c>
      <c r="Q450" s="73">
        <f>IFERROR(INDEX(Katalog!$D$3:$D$12,MATCH(cadangan[[#This Row],[ItemID B]],Katalog!$C$3:$C$12,0))*cadangan[[#This Row],[Qty B]],0)</f>
        <v>250000</v>
      </c>
      <c r="R450" s="73">
        <f>IFERROR(cadangan[[#This Row],[Harga Normal B]]-(cadangan[[#This Row],[Harga Normal B]]*cadangan[[#This Row],[Diskon]]),cadangan[[#This Row],[Harga Normal B]])</f>
        <v>200000</v>
      </c>
      <c r="S450" s="73">
        <f>IFERROR(INDEX(Katalog!$F$3:$F$12,MATCH(cadangan[[#This Row],[ItemID B]],Katalog!$C$3:$C$12,0))*cadangan[[#This Row],[Qty B]],0)</f>
        <v>100000</v>
      </c>
      <c r="T450" s="73">
        <f>IFERROR(cadangan[[#This Row],[Harga Diskon B]]-INDEX(Katalog!$E$3:$E$12,MATCH(cadangan[[#This Row],[ItemID B]],Katalog!$C$3:$C$12,0))*cadangan[[#This Row],[Qty B]],0)</f>
        <v>50000</v>
      </c>
      <c r="U450" s="39" t="s">
        <v>65</v>
      </c>
      <c r="V450" s="39" t="str">
        <f>IFERROR(INDEX(Katalog!$A$3:$A$12,MATCH(cadangan[[#This Row],[ItemID C]],Katalog!$C$3:$C$12,0)),"-")</f>
        <v>Sepatu Pria</v>
      </c>
      <c r="W450" s="39" t="str">
        <f>IFERROR(INDEX(Katalog!$B$3:$B$12,MATCH(cadangan[[#This Row],[ItemID C]],Katalog!$C$3:$C$12,0)),"-")</f>
        <v>Sneakers</v>
      </c>
      <c r="X450" s="50">
        <v>1</v>
      </c>
      <c r="Y450" s="50">
        <v>4</v>
      </c>
      <c r="Z450" s="73">
        <f>IFERROR(INDEX(Katalog!$D$3:$D$12,MATCH(cadangan[[#This Row],[ItemID C]],Katalog!$C$3:$C$12,0))*cadangan[[#This Row],[Qty C]],0)</f>
        <v>500000</v>
      </c>
      <c r="AA450" s="73">
        <f>IFERROR(cadangan[[#This Row],[Harga Normal C]]-(cadangan[[#This Row],[Harga Normal C]]*cadangan[[#This Row],[Diskon]]),cadangan[[#This Row],[Harga Normal C]])</f>
        <v>400000</v>
      </c>
      <c r="AB450" s="73">
        <f>IFERROR(INDEX(Katalog!$F$3:$F$12,MATCH(cadangan[[#This Row],[ItemID C]],Katalog!$C$3:$C$12,0))*cadangan[[#This Row],[Qty C]],0)</f>
        <v>200000</v>
      </c>
      <c r="AC450" s="73">
        <f>IFERROR(cadangan[[#This Row],[Harga Diskon C]]-INDEX(Katalog!$E$3:$E$12,MATCH(cadangan[[#This Row],[ItemID C]],Katalog!$C$3:$C$12,0))*cadangan[[#This Row],[Qty C]],0)</f>
        <v>100000</v>
      </c>
      <c r="AD450" s="53">
        <f>cadangan[[#This Row],[Qty A]]+cadangan[[#This Row],[Qty B]]+cadangan[[#This Row],[Qty C]]</f>
        <v>7</v>
      </c>
      <c r="AE450" s="73">
        <f>cadangan[[#This Row],[Harga Normal A]]+cadangan[[#This Row],[Harga Normal B]]+cadangan[[#This Row],[Harga Normal C]]</f>
        <v>2000000</v>
      </c>
      <c r="AF450" s="73">
        <f>cadangan[[#This Row],[Harga Diskon A]]+cadangan[[#This Row],[Harga Diskon B]]+cadangan[[#This Row],[Harga Diskon C]]</f>
        <v>1600000</v>
      </c>
      <c r="AG450" s="73">
        <f>(cadangan[[#This Row],[Profit Normal A]]+cadangan[[#This Row],[Profit Normal B]]+cadangan[[#This Row],[Profit Normal C]])</f>
        <v>800000</v>
      </c>
      <c r="AH450" s="73">
        <f>cadangan[[#This Row],[Profit Diskon A]]+cadangan[[#This Row],[Profit Diskon B]]+cadangan[[#This Row],[Profit Diskon C]]</f>
        <v>400000</v>
      </c>
      <c r="AI450" s="23" t="s">
        <v>8</v>
      </c>
      <c r="AJ450" s="37">
        <f>IFERROR(INDEX('Kode Diskon'!$D$3:$D$9,MATCH(cadangan[[#This Row],[Kode diskon]],'Kode Diskon'!$C$3:$C$9,0)),"-")</f>
        <v>0.2</v>
      </c>
      <c r="AK450" s="23" t="s">
        <v>9</v>
      </c>
      <c r="AL450" s="23" t="s">
        <v>7</v>
      </c>
      <c r="AM450" s="23" t="s">
        <v>76</v>
      </c>
      <c r="AN450" s="55">
        <v>45038</v>
      </c>
      <c r="AO450" s="53">
        <f>DAY(cadangan[[#This Row],[Tanggal terjual]])</f>
        <v>22</v>
      </c>
      <c r="AP450" s="21" t="str">
        <f>TEXT(cadangan[[#This Row],[Tanggal terjual]],"dddd")</f>
        <v>Saturday</v>
      </c>
      <c r="AQ450" s="23" t="str" cm="1">
        <f t="array" ref="AQ4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50" s="61">
        <f>AVERAGE(cadangan[[#This Row],[Rating A]],cadangan[[#This Row],[Rating B]],cadangan[[#This Row],[Rating C]])</f>
        <v>3.3333333333333335</v>
      </c>
    </row>
    <row r="451" spans="1:44" x14ac:dyDescent="0.2">
      <c r="A451" s="20">
        <v>450</v>
      </c>
      <c r="B451" s="21" t="str">
        <f>_xlfn.CONCAT("ORD-",INDEX(Helper!$B$2:$B$5,MATCH(cadangan[[#This Row],[Marketplace]],Helper!$A$2:$A$5,0)),TEXT(cadangan[[#This Row],[No]],"0000"),"-",TEXT(cadangan[[#This Row],[Tanggal terjual]],"dd/mm/yy"))</f>
        <v>ORD-TK0450-17/04/23</v>
      </c>
      <c r="C451" s="39" t="s">
        <v>66</v>
      </c>
      <c r="D451" s="39" t="str">
        <f>IFERROR(INDEX(Katalog!$A$3:$A$12,MATCH(cadangan[[#This Row],[ItemID A]],Katalog!$C$3:$C$12,0)),"-")</f>
        <v>Sepatu Pria</v>
      </c>
      <c r="E451" s="39" t="str">
        <f>IFERROR(INDEX(Katalog!$B$3:$B$12,MATCH(cadangan[[#This Row],[ItemID A]],Katalog!$C$3:$C$12,0)),"-")</f>
        <v>Sandal Slip On</v>
      </c>
      <c r="F451" s="50">
        <v>6</v>
      </c>
      <c r="G451" s="50">
        <v>3</v>
      </c>
      <c r="H451" s="73">
        <f>IFERROR(INDEX(Katalog!$D$3:$D$12,MATCH(cadangan[[#This Row],[ItemID A]],Katalog!$C$3:$C$12,0))*cadangan[[#This Row],[Qty A]],0)</f>
        <v>900000</v>
      </c>
      <c r="I451" s="73">
        <f>IFERROR(cadangan[[#This Row],[Harga Normal A]]-(cadangan[[#This Row],[Harga Normal A]]*cadangan[[#This Row],[Diskon]]),cadangan[[#This Row],[Harga Normal A]])</f>
        <v>810000</v>
      </c>
      <c r="J451" s="73">
        <f>INDEX(Katalog!$F$3:$F$12,MATCH(cadangan[[#This Row],[ItemID A]],Katalog!$C$3:$C$12,0))*cadangan[[#This Row],[Qty A]]</f>
        <v>360000</v>
      </c>
      <c r="K451" s="73">
        <f>IFERROR(cadangan[[#This Row],[Harga Diskon A]]-INDEX(Katalog!$E$3:$E$12,MATCH(cadangan[[#This Row],[ItemID A]],Katalog!$C$3:$C$12,0))*cadangan[[#This Row],[Qty A]],0)</f>
        <v>270000</v>
      </c>
      <c r="M451" s="39" t="str">
        <f>IFERROR(INDEX(Katalog!$A$3:$A$12,MATCH(cadangan[[#This Row],[ItemID B]],Katalog!$C$3:$C$12,0)),"-")</f>
        <v>-</v>
      </c>
      <c r="N451" s="39" t="str">
        <f>IFERROR(INDEX(Katalog!$B$3:$B$12,MATCH(cadangan[[#This Row],[ItemID B]],Katalog!$C$3:$C$12,0)),"-")</f>
        <v>-</v>
      </c>
      <c r="Q451" s="73">
        <f>IFERROR(INDEX(Katalog!$D$3:$D$12,MATCH(cadangan[[#This Row],[ItemID B]],Katalog!$C$3:$C$12,0))*cadangan[[#This Row],[Qty B]],0)</f>
        <v>0</v>
      </c>
      <c r="R451" s="73">
        <f>IFERROR(cadangan[[#This Row],[Harga Normal B]]-(cadangan[[#This Row],[Harga Normal B]]*cadangan[[#This Row],[Diskon]]),cadangan[[#This Row],[Harga Normal B]])</f>
        <v>0</v>
      </c>
      <c r="S451" s="73">
        <f>IFERROR(INDEX(Katalog!$F$3:$F$12,MATCH(cadangan[[#This Row],[ItemID B]],Katalog!$C$3:$C$12,0))*cadangan[[#This Row],[Qty B]],0)</f>
        <v>0</v>
      </c>
      <c r="T451" s="73">
        <f>IFERROR(cadangan[[#This Row],[Harga Diskon B]]-INDEX(Katalog!$E$3:$E$12,MATCH(cadangan[[#This Row],[ItemID B]],Katalog!$C$3:$C$12,0))*cadangan[[#This Row],[Qty B]],0)</f>
        <v>0</v>
      </c>
      <c r="V451" s="39" t="str">
        <f>IFERROR(INDEX(Katalog!$A$3:$A$12,MATCH(cadangan[[#This Row],[ItemID C]],Katalog!$C$3:$C$12,0)),"-")</f>
        <v>-</v>
      </c>
      <c r="W451" s="39" t="str">
        <f>IFERROR(INDEX(Katalog!$B$3:$B$12,MATCH(cadangan[[#This Row],[ItemID C]],Katalog!$C$3:$C$12,0)),"-")</f>
        <v>-</v>
      </c>
      <c r="Z451" s="73">
        <f>IFERROR(INDEX(Katalog!$D$3:$D$12,MATCH(cadangan[[#This Row],[ItemID C]],Katalog!$C$3:$C$12,0))*cadangan[[#This Row],[Qty C]],0)</f>
        <v>0</v>
      </c>
      <c r="AA451" s="73">
        <f>IFERROR(cadangan[[#This Row],[Harga Normal C]]-(cadangan[[#This Row],[Harga Normal C]]*cadangan[[#This Row],[Diskon]]),cadangan[[#This Row],[Harga Normal C]])</f>
        <v>0</v>
      </c>
      <c r="AB451" s="73">
        <f>IFERROR(INDEX(Katalog!$F$3:$F$12,MATCH(cadangan[[#This Row],[ItemID C]],Katalog!$C$3:$C$12,0))*cadangan[[#This Row],[Qty C]],0)</f>
        <v>0</v>
      </c>
      <c r="AC451" s="73">
        <f>IFERROR(cadangan[[#This Row],[Harga Diskon C]]-INDEX(Katalog!$E$3:$E$12,MATCH(cadangan[[#This Row],[ItemID C]],Katalog!$C$3:$C$12,0))*cadangan[[#This Row],[Qty C]],0)</f>
        <v>0</v>
      </c>
      <c r="AD451" s="53">
        <f>cadangan[[#This Row],[Qty A]]+cadangan[[#This Row],[Qty B]]+cadangan[[#This Row],[Qty C]]</f>
        <v>6</v>
      </c>
      <c r="AE451" s="73">
        <f>cadangan[[#This Row],[Harga Normal A]]+cadangan[[#This Row],[Harga Normal B]]+cadangan[[#This Row],[Harga Normal C]]</f>
        <v>900000</v>
      </c>
      <c r="AF451" s="73">
        <f>cadangan[[#This Row],[Harga Diskon A]]+cadangan[[#This Row],[Harga Diskon B]]+cadangan[[#This Row],[Harga Diskon C]]</f>
        <v>810000</v>
      </c>
      <c r="AG451" s="73">
        <f>(cadangan[[#This Row],[Profit Normal A]]+cadangan[[#This Row],[Profit Normal B]]+cadangan[[#This Row],[Profit Normal C]])</f>
        <v>360000</v>
      </c>
      <c r="AH451" s="73">
        <f>cadangan[[#This Row],[Profit Diskon A]]+cadangan[[#This Row],[Profit Diskon B]]+cadangan[[#This Row],[Profit Diskon C]]</f>
        <v>270000</v>
      </c>
      <c r="AI451" s="23" t="s">
        <v>31</v>
      </c>
      <c r="AJ451" s="37">
        <f>IFERROR(INDEX('Kode Diskon'!$D$3:$D$9,MATCH(cadangan[[#This Row],[Kode diskon]],'Kode Diskon'!$C$3:$C$9,0)),"-")</f>
        <v>0.1</v>
      </c>
      <c r="AK451" s="23" t="s">
        <v>9</v>
      </c>
      <c r="AL451" s="23" t="s">
        <v>10</v>
      </c>
      <c r="AM451" s="23" t="s">
        <v>80</v>
      </c>
      <c r="AN451" s="55">
        <v>45033</v>
      </c>
      <c r="AO451" s="53">
        <f>DAY(cadangan[[#This Row],[Tanggal terjual]])</f>
        <v>17</v>
      </c>
      <c r="AP451" s="21" t="str">
        <f>TEXT(cadangan[[#This Row],[Tanggal terjual]],"dddd")</f>
        <v>Monday</v>
      </c>
      <c r="AQ451" s="23" t="str" cm="1">
        <f t="array" ref="AQ4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51" s="61">
        <f>AVERAGE(cadangan[[#This Row],[Rating A]],cadangan[[#This Row],[Rating B]],cadangan[[#This Row],[Rating C]])</f>
        <v>3</v>
      </c>
    </row>
    <row r="452" spans="1:44" x14ac:dyDescent="0.2">
      <c r="A452" s="20">
        <v>451</v>
      </c>
      <c r="B452" s="21" t="str">
        <f>_xlfn.CONCAT("ORD-",INDEX(Helper!$B$2:$B$5,MATCH(cadangan[[#This Row],[Marketplace]],Helper!$A$2:$A$5,0)),TEXT(cadangan[[#This Row],[No]],"0000"),"-",TEXT(cadangan[[#This Row],[Tanggal terjual]],"dd/mm/yy"))</f>
        <v>ORD-BL0451-21/04/23</v>
      </c>
      <c r="C452" s="39" t="s">
        <v>66</v>
      </c>
      <c r="D452" s="39" t="str">
        <f>IFERROR(INDEX(Katalog!$A$3:$A$12,MATCH(cadangan[[#This Row],[ItemID A]],Katalog!$C$3:$C$12,0)),"-")</f>
        <v>Sepatu Pria</v>
      </c>
      <c r="E452" s="39" t="str">
        <f>IFERROR(INDEX(Katalog!$B$3:$B$12,MATCH(cadangan[[#This Row],[ItemID A]],Katalog!$C$3:$C$12,0)),"-")</f>
        <v>Sandal Slip On</v>
      </c>
      <c r="F452" s="50">
        <v>1</v>
      </c>
      <c r="G452" s="50">
        <v>4</v>
      </c>
      <c r="H452" s="73">
        <f>IFERROR(INDEX(Katalog!$D$3:$D$12,MATCH(cadangan[[#This Row],[ItemID A]],Katalog!$C$3:$C$12,0))*cadangan[[#This Row],[Qty A]],0)</f>
        <v>150000</v>
      </c>
      <c r="I452" s="73">
        <f>IFERROR(cadangan[[#This Row],[Harga Normal A]]-(cadangan[[#This Row],[Harga Normal A]]*cadangan[[#This Row],[Diskon]]),cadangan[[#This Row],[Harga Normal A]])</f>
        <v>127500</v>
      </c>
      <c r="J452" s="73">
        <f>INDEX(Katalog!$F$3:$F$12,MATCH(cadangan[[#This Row],[ItemID A]],Katalog!$C$3:$C$12,0))*cadangan[[#This Row],[Qty A]]</f>
        <v>60000</v>
      </c>
      <c r="K452" s="73">
        <f>IFERROR(cadangan[[#This Row],[Harga Diskon A]]-INDEX(Katalog!$E$3:$E$12,MATCH(cadangan[[#This Row],[ItemID A]],Katalog!$C$3:$C$12,0))*cadangan[[#This Row],[Qty A]],0)</f>
        <v>37500</v>
      </c>
      <c r="M452" s="39" t="str">
        <f>IFERROR(INDEX(Katalog!$A$3:$A$12,MATCH(cadangan[[#This Row],[ItemID B]],Katalog!$C$3:$C$12,0)),"-")</f>
        <v>-</v>
      </c>
      <c r="N452" s="39" t="str">
        <f>IFERROR(INDEX(Katalog!$B$3:$B$12,MATCH(cadangan[[#This Row],[ItemID B]],Katalog!$C$3:$C$12,0)),"-")</f>
        <v>-</v>
      </c>
      <c r="Q452" s="73">
        <f>IFERROR(INDEX(Katalog!$D$3:$D$12,MATCH(cadangan[[#This Row],[ItemID B]],Katalog!$C$3:$C$12,0))*cadangan[[#This Row],[Qty B]],0)</f>
        <v>0</v>
      </c>
      <c r="R452" s="73">
        <f>IFERROR(cadangan[[#This Row],[Harga Normal B]]-(cadangan[[#This Row],[Harga Normal B]]*cadangan[[#This Row],[Diskon]]),cadangan[[#This Row],[Harga Normal B]])</f>
        <v>0</v>
      </c>
      <c r="S452" s="73">
        <f>IFERROR(INDEX(Katalog!$F$3:$F$12,MATCH(cadangan[[#This Row],[ItemID B]],Katalog!$C$3:$C$12,0))*cadangan[[#This Row],[Qty B]],0)</f>
        <v>0</v>
      </c>
      <c r="T452" s="73">
        <f>IFERROR(cadangan[[#This Row],[Harga Diskon B]]-INDEX(Katalog!$E$3:$E$12,MATCH(cadangan[[#This Row],[ItemID B]],Katalog!$C$3:$C$12,0))*cadangan[[#This Row],[Qty B]],0)</f>
        <v>0</v>
      </c>
      <c r="V452" s="39" t="str">
        <f>IFERROR(INDEX(Katalog!$A$3:$A$12,MATCH(cadangan[[#This Row],[ItemID C]],Katalog!$C$3:$C$12,0)),"-")</f>
        <v>-</v>
      </c>
      <c r="W452" s="39" t="str">
        <f>IFERROR(INDEX(Katalog!$B$3:$B$12,MATCH(cadangan[[#This Row],[ItemID C]],Katalog!$C$3:$C$12,0)),"-")</f>
        <v>-</v>
      </c>
      <c r="Z452" s="73">
        <f>IFERROR(INDEX(Katalog!$D$3:$D$12,MATCH(cadangan[[#This Row],[ItemID C]],Katalog!$C$3:$C$12,0))*cadangan[[#This Row],[Qty C]],0)</f>
        <v>0</v>
      </c>
      <c r="AA452" s="73">
        <f>IFERROR(cadangan[[#This Row],[Harga Normal C]]-(cadangan[[#This Row],[Harga Normal C]]*cadangan[[#This Row],[Diskon]]),cadangan[[#This Row],[Harga Normal C]])</f>
        <v>0</v>
      </c>
      <c r="AB452" s="73">
        <f>IFERROR(INDEX(Katalog!$F$3:$F$12,MATCH(cadangan[[#This Row],[ItemID C]],Katalog!$C$3:$C$12,0))*cadangan[[#This Row],[Qty C]],0)</f>
        <v>0</v>
      </c>
      <c r="AC452" s="73">
        <f>IFERROR(cadangan[[#This Row],[Harga Diskon C]]-INDEX(Katalog!$E$3:$E$12,MATCH(cadangan[[#This Row],[ItemID C]],Katalog!$C$3:$C$12,0))*cadangan[[#This Row],[Qty C]],0)</f>
        <v>0</v>
      </c>
      <c r="AD452" s="53">
        <f>cadangan[[#This Row],[Qty A]]+cadangan[[#This Row],[Qty B]]+cadangan[[#This Row],[Qty C]]</f>
        <v>1</v>
      </c>
      <c r="AE452" s="73">
        <f>cadangan[[#This Row],[Harga Normal A]]+cadangan[[#This Row],[Harga Normal B]]+cadangan[[#This Row],[Harga Normal C]]</f>
        <v>150000</v>
      </c>
      <c r="AF452" s="73">
        <f>cadangan[[#This Row],[Harga Diskon A]]+cadangan[[#This Row],[Harga Diskon B]]+cadangan[[#This Row],[Harga Diskon C]]</f>
        <v>127500</v>
      </c>
      <c r="AG452" s="73">
        <f>(cadangan[[#This Row],[Profit Normal A]]+cadangan[[#This Row],[Profit Normal B]]+cadangan[[#This Row],[Profit Normal C]])</f>
        <v>60000</v>
      </c>
      <c r="AH452" s="73">
        <f>cadangan[[#This Row],[Profit Diskon A]]+cadangan[[#This Row],[Profit Diskon B]]+cadangan[[#This Row],[Profit Diskon C]]</f>
        <v>37500</v>
      </c>
      <c r="AI452" s="23" t="s">
        <v>32</v>
      </c>
      <c r="AJ452" s="37">
        <f>IFERROR(INDEX('Kode Diskon'!$D$3:$D$9,MATCH(cadangan[[#This Row],[Kode diskon]],'Kode Diskon'!$C$3:$C$9,0)),"-")</f>
        <v>0.15</v>
      </c>
      <c r="AK452" s="23" t="s">
        <v>9</v>
      </c>
      <c r="AL452" s="23" t="s">
        <v>12</v>
      </c>
      <c r="AM452" s="23" t="s">
        <v>80</v>
      </c>
      <c r="AN452" s="55">
        <v>45037</v>
      </c>
      <c r="AO452" s="53">
        <f>DAY(cadangan[[#This Row],[Tanggal terjual]])</f>
        <v>21</v>
      </c>
      <c r="AP452" s="21" t="str">
        <f>TEXT(cadangan[[#This Row],[Tanggal terjual]],"dddd")</f>
        <v>Friday</v>
      </c>
      <c r="AQ452" s="23" t="str" cm="1">
        <f t="array" ref="AQ4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52" s="61">
        <f>AVERAGE(cadangan[[#This Row],[Rating A]],cadangan[[#This Row],[Rating B]],cadangan[[#This Row],[Rating C]])</f>
        <v>4</v>
      </c>
    </row>
    <row r="453" spans="1:44" x14ac:dyDescent="0.2">
      <c r="A453" s="20">
        <v>452</v>
      </c>
      <c r="B453" s="21" t="str">
        <f>_xlfn.CONCAT("ORD-",INDEX(Helper!$B$2:$B$5,MATCH(cadangan[[#This Row],[Marketplace]],Helper!$A$2:$A$5,0)),TEXT(cadangan[[#This Row],[No]],"0000"),"-",TEXT(cadangan[[#This Row],[Tanggal terjual]],"dd/mm/yy"))</f>
        <v>ORD-SP0452-01/04/23</v>
      </c>
      <c r="C453" s="39" t="s">
        <v>63</v>
      </c>
      <c r="D453" s="39" t="str">
        <f>IFERROR(INDEX(Katalog!$A$3:$A$12,MATCH(cadangan[[#This Row],[ItemID A]],Katalog!$C$3:$C$12,0)),"-")</f>
        <v>Pakaian Pria</v>
      </c>
      <c r="E453" s="39" t="str">
        <f>IFERROR(INDEX(Katalog!$B$3:$B$12,MATCH(cadangan[[#This Row],[ItemID A]],Katalog!$C$3:$C$12,0)),"-")</f>
        <v>Jaket Jeans</v>
      </c>
      <c r="F453" s="50">
        <v>2</v>
      </c>
      <c r="G453" s="50">
        <v>2</v>
      </c>
      <c r="H453" s="73">
        <f>IFERROR(INDEX(Katalog!$D$3:$D$12,MATCH(cadangan[[#This Row],[ItemID A]],Katalog!$C$3:$C$12,0))*cadangan[[#This Row],[Qty A]],0)</f>
        <v>800000</v>
      </c>
      <c r="I453" s="73">
        <f>IFERROR(cadangan[[#This Row],[Harga Normal A]]-(cadangan[[#This Row],[Harga Normal A]]*cadangan[[#This Row],[Diskon]]),cadangan[[#This Row],[Harga Normal A]])</f>
        <v>680000</v>
      </c>
      <c r="J453" s="73">
        <f>INDEX(Katalog!$F$3:$F$12,MATCH(cadangan[[#This Row],[ItemID A]],Katalog!$C$3:$C$12,0))*cadangan[[#This Row],[Qty A]]</f>
        <v>300000</v>
      </c>
      <c r="K453" s="73">
        <f>IFERROR(cadangan[[#This Row],[Harga Diskon A]]-INDEX(Katalog!$E$3:$E$12,MATCH(cadangan[[#This Row],[ItemID A]],Katalog!$C$3:$C$12,0))*cadangan[[#This Row],[Qty A]],0)</f>
        <v>180000</v>
      </c>
      <c r="M453" s="39" t="str">
        <f>IFERROR(INDEX(Katalog!$A$3:$A$12,MATCH(cadangan[[#This Row],[ItemID B]],Katalog!$C$3:$C$12,0)),"-")</f>
        <v>-</v>
      </c>
      <c r="N453" s="39" t="str">
        <f>IFERROR(INDEX(Katalog!$B$3:$B$12,MATCH(cadangan[[#This Row],[ItemID B]],Katalog!$C$3:$C$12,0)),"-")</f>
        <v>-</v>
      </c>
      <c r="Q453" s="73">
        <f>IFERROR(INDEX(Katalog!$D$3:$D$12,MATCH(cadangan[[#This Row],[ItemID B]],Katalog!$C$3:$C$12,0))*cadangan[[#This Row],[Qty B]],0)</f>
        <v>0</v>
      </c>
      <c r="R453" s="73">
        <f>IFERROR(cadangan[[#This Row],[Harga Normal B]]-(cadangan[[#This Row],[Harga Normal B]]*cadangan[[#This Row],[Diskon]]),cadangan[[#This Row],[Harga Normal B]])</f>
        <v>0</v>
      </c>
      <c r="S453" s="73">
        <f>IFERROR(INDEX(Katalog!$F$3:$F$12,MATCH(cadangan[[#This Row],[ItemID B]],Katalog!$C$3:$C$12,0))*cadangan[[#This Row],[Qty B]],0)</f>
        <v>0</v>
      </c>
      <c r="T453" s="73">
        <f>IFERROR(cadangan[[#This Row],[Harga Diskon B]]-INDEX(Katalog!$E$3:$E$12,MATCH(cadangan[[#This Row],[ItemID B]],Katalog!$C$3:$C$12,0))*cadangan[[#This Row],[Qty B]],0)</f>
        <v>0</v>
      </c>
      <c r="V453" s="39" t="str">
        <f>IFERROR(INDEX(Katalog!$A$3:$A$12,MATCH(cadangan[[#This Row],[ItemID C]],Katalog!$C$3:$C$12,0)),"-")</f>
        <v>-</v>
      </c>
      <c r="W453" s="39" t="str">
        <f>IFERROR(INDEX(Katalog!$B$3:$B$12,MATCH(cadangan[[#This Row],[ItemID C]],Katalog!$C$3:$C$12,0)),"-")</f>
        <v>-</v>
      </c>
      <c r="Z453" s="73">
        <f>IFERROR(INDEX(Katalog!$D$3:$D$12,MATCH(cadangan[[#This Row],[ItemID C]],Katalog!$C$3:$C$12,0))*cadangan[[#This Row],[Qty C]],0)</f>
        <v>0</v>
      </c>
      <c r="AA453" s="73">
        <f>IFERROR(cadangan[[#This Row],[Harga Normal C]]-(cadangan[[#This Row],[Harga Normal C]]*cadangan[[#This Row],[Diskon]]),cadangan[[#This Row],[Harga Normal C]])</f>
        <v>0</v>
      </c>
      <c r="AB453" s="73">
        <f>IFERROR(INDEX(Katalog!$F$3:$F$12,MATCH(cadangan[[#This Row],[ItemID C]],Katalog!$C$3:$C$12,0))*cadangan[[#This Row],[Qty C]],0)</f>
        <v>0</v>
      </c>
      <c r="AC453" s="73">
        <f>IFERROR(cadangan[[#This Row],[Harga Diskon C]]-INDEX(Katalog!$E$3:$E$12,MATCH(cadangan[[#This Row],[ItemID C]],Katalog!$C$3:$C$12,0))*cadangan[[#This Row],[Qty C]],0)</f>
        <v>0</v>
      </c>
      <c r="AD453" s="53">
        <f>cadangan[[#This Row],[Qty A]]+cadangan[[#This Row],[Qty B]]+cadangan[[#This Row],[Qty C]]</f>
        <v>2</v>
      </c>
      <c r="AE453" s="73">
        <f>cadangan[[#This Row],[Harga Normal A]]+cadangan[[#This Row],[Harga Normal B]]+cadangan[[#This Row],[Harga Normal C]]</f>
        <v>800000</v>
      </c>
      <c r="AF453" s="73">
        <f>cadangan[[#This Row],[Harga Diskon A]]+cadangan[[#This Row],[Harga Diskon B]]+cadangan[[#This Row],[Harga Diskon C]]</f>
        <v>680000</v>
      </c>
      <c r="AG453" s="73">
        <f>(cadangan[[#This Row],[Profit Normal A]]+cadangan[[#This Row],[Profit Normal B]]+cadangan[[#This Row],[Profit Normal C]])</f>
        <v>300000</v>
      </c>
      <c r="AH453" s="73">
        <f>cadangan[[#This Row],[Profit Diskon A]]+cadangan[[#This Row],[Profit Diskon B]]+cadangan[[#This Row],[Profit Diskon C]]</f>
        <v>180000</v>
      </c>
      <c r="AI453" s="23" t="s">
        <v>13</v>
      </c>
      <c r="AJ453" s="37">
        <f>IFERROR(INDEX('Kode Diskon'!$D$3:$D$9,MATCH(cadangan[[#This Row],[Kode diskon]],'Kode Diskon'!$C$3:$C$9,0)),"-")</f>
        <v>0.15</v>
      </c>
      <c r="AK453" s="23" t="s">
        <v>29</v>
      </c>
      <c r="AL453" s="23" t="s">
        <v>7</v>
      </c>
      <c r="AM453" s="23" t="s">
        <v>80</v>
      </c>
      <c r="AN453" s="55">
        <v>45017</v>
      </c>
      <c r="AO453" s="53">
        <f>DAY(cadangan[[#This Row],[Tanggal terjual]])</f>
        <v>1</v>
      </c>
      <c r="AP453" s="21" t="str">
        <f>TEXT(cadangan[[#This Row],[Tanggal terjual]],"dddd")</f>
        <v>Saturday</v>
      </c>
      <c r="AQ453" s="23" t="str" cm="1">
        <f t="array" ref="AQ4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3" s="61">
        <f>AVERAGE(cadangan[[#This Row],[Rating A]],cadangan[[#This Row],[Rating B]],cadangan[[#This Row],[Rating C]])</f>
        <v>2</v>
      </c>
    </row>
    <row r="454" spans="1:44" x14ac:dyDescent="0.2">
      <c r="A454" s="20">
        <v>453</v>
      </c>
      <c r="B454" s="21" t="str">
        <f>_xlfn.CONCAT("ORD-",INDEX(Helper!$B$2:$B$5,MATCH(cadangan[[#This Row],[Marketplace]],Helper!$A$2:$A$5,0)),TEXT(cadangan[[#This Row],[No]],"0000"),"-",TEXT(cadangan[[#This Row],[Tanggal terjual]],"dd/mm/yy"))</f>
        <v>ORD-BL0453-07/04/23</v>
      </c>
      <c r="C454" s="39" t="s">
        <v>60</v>
      </c>
      <c r="D454" s="39" t="str">
        <f>IFERROR(INDEX(Katalog!$A$3:$A$12,MATCH(cadangan[[#This Row],[ItemID A]],Katalog!$C$3:$C$12,0)),"-")</f>
        <v>Pakaian Wanita</v>
      </c>
      <c r="E454" s="39" t="str">
        <f>IFERROR(INDEX(Katalog!$B$3:$B$12,MATCH(cadangan[[#This Row],[ItemID A]],Katalog!$C$3:$C$12,0)),"-")</f>
        <v>Kaftan</v>
      </c>
      <c r="F454" s="50">
        <v>1</v>
      </c>
      <c r="G454" s="50">
        <v>5</v>
      </c>
      <c r="H454" s="73">
        <f>IFERROR(INDEX(Katalog!$D$3:$D$12,MATCH(cadangan[[#This Row],[ItemID A]],Katalog!$C$3:$C$12,0))*cadangan[[#This Row],[Qty A]],0)</f>
        <v>250000</v>
      </c>
      <c r="I454" s="73">
        <f>IFERROR(cadangan[[#This Row],[Harga Normal A]]-(cadangan[[#This Row],[Harga Normal A]]*cadangan[[#This Row],[Diskon]]),cadangan[[#This Row],[Harga Normal A]])</f>
        <v>250000</v>
      </c>
      <c r="J454" s="73">
        <f>INDEX(Katalog!$F$3:$F$12,MATCH(cadangan[[#This Row],[ItemID A]],Katalog!$C$3:$C$12,0))*cadangan[[#This Row],[Qty A]]</f>
        <v>100000</v>
      </c>
      <c r="K454" s="73">
        <f>IFERROR(cadangan[[#This Row],[Harga Diskon A]]-INDEX(Katalog!$E$3:$E$12,MATCH(cadangan[[#This Row],[ItemID A]],Katalog!$C$3:$C$12,0))*cadangan[[#This Row],[Qty A]],0)</f>
        <v>100000</v>
      </c>
      <c r="M454" s="39" t="str">
        <f>IFERROR(INDEX(Katalog!$A$3:$A$12,MATCH(cadangan[[#This Row],[ItemID B]],Katalog!$C$3:$C$12,0)),"-")</f>
        <v>-</v>
      </c>
      <c r="N454" s="39" t="str">
        <f>IFERROR(INDEX(Katalog!$B$3:$B$12,MATCH(cadangan[[#This Row],[ItemID B]],Katalog!$C$3:$C$12,0)),"-")</f>
        <v>-</v>
      </c>
      <c r="Q454" s="73">
        <f>IFERROR(INDEX(Katalog!$D$3:$D$12,MATCH(cadangan[[#This Row],[ItemID B]],Katalog!$C$3:$C$12,0))*cadangan[[#This Row],[Qty B]],0)</f>
        <v>0</v>
      </c>
      <c r="R454" s="73">
        <f>IFERROR(cadangan[[#This Row],[Harga Normal B]]-(cadangan[[#This Row],[Harga Normal B]]*cadangan[[#This Row],[Diskon]]),cadangan[[#This Row],[Harga Normal B]])</f>
        <v>0</v>
      </c>
      <c r="S454" s="73">
        <f>IFERROR(INDEX(Katalog!$F$3:$F$12,MATCH(cadangan[[#This Row],[ItemID B]],Katalog!$C$3:$C$12,0))*cadangan[[#This Row],[Qty B]],0)</f>
        <v>0</v>
      </c>
      <c r="T454" s="73">
        <f>IFERROR(cadangan[[#This Row],[Harga Diskon B]]-INDEX(Katalog!$E$3:$E$12,MATCH(cadangan[[#This Row],[ItemID B]],Katalog!$C$3:$C$12,0))*cadangan[[#This Row],[Qty B]],0)</f>
        <v>0</v>
      </c>
      <c r="V454" s="39" t="str">
        <f>IFERROR(INDEX(Katalog!$A$3:$A$12,MATCH(cadangan[[#This Row],[ItemID C]],Katalog!$C$3:$C$12,0)),"-")</f>
        <v>-</v>
      </c>
      <c r="W454" s="39" t="str">
        <f>IFERROR(INDEX(Katalog!$B$3:$B$12,MATCH(cadangan[[#This Row],[ItemID C]],Katalog!$C$3:$C$12,0)),"-")</f>
        <v>-</v>
      </c>
      <c r="Z454" s="73">
        <f>IFERROR(INDEX(Katalog!$D$3:$D$12,MATCH(cadangan[[#This Row],[ItemID C]],Katalog!$C$3:$C$12,0))*cadangan[[#This Row],[Qty C]],0)</f>
        <v>0</v>
      </c>
      <c r="AA454" s="73">
        <f>IFERROR(cadangan[[#This Row],[Harga Normal C]]-(cadangan[[#This Row],[Harga Normal C]]*cadangan[[#This Row],[Diskon]]),cadangan[[#This Row],[Harga Normal C]])</f>
        <v>0</v>
      </c>
      <c r="AB454" s="73">
        <f>IFERROR(INDEX(Katalog!$F$3:$F$12,MATCH(cadangan[[#This Row],[ItemID C]],Katalog!$C$3:$C$12,0))*cadangan[[#This Row],[Qty C]],0)</f>
        <v>0</v>
      </c>
      <c r="AC454" s="73">
        <f>IFERROR(cadangan[[#This Row],[Harga Diskon C]]-INDEX(Katalog!$E$3:$E$12,MATCH(cadangan[[#This Row],[ItemID C]],Katalog!$C$3:$C$12,0))*cadangan[[#This Row],[Qty C]],0)</f>
        <v>0</v>
      </c>
      <c r="AD454" s="53">
        <f>cadangan[[#This Row],[Qty A]]+cadangan[[#This Row],[Qty B]]+cadangan[[#This Row],[Qty C]]</f>
        <v>1</v>
      </c>
      <c r="AE454" s="73">
        <f>cadangan[[#This Row],[Harga Normal A]]+cadangan[[#This Row],[Harga Normal B]]+cadangan[[#This Row],[Harga Normal C]]</f>
        <v>250000</v>
      </c>
      <c r="AF454" s="73">
        <f>cadangan[[#This Row],[Harga Diskon A]]+cadangan[[#This Row],[Harga Diskon B]]+cadangan[[#This Row],[Harga Diskon C]]</f>
        <v>250000</v>
      </c>
      <c r="AG454" s="73">
        <f>(cadangan[[#This Row],[Profit Normal A]]+cadangan[[#This Row],[Profit Normal B]]+cadangan[[#This Row],[Profit Normal C]])</f>
        <v>100000</v>
      </c>
      <c r="AH454" s="73">
        <f>cadangan[[#This Row],[Profit Diskon A]]+cadangan[[#This Row],[Profit Diskon B]]+cadangan[[#This Row],[Profit Diskon C]]</f>
        <v>100000</v>
      </c>
      <c r="AI454" s="23" t="s">
        <v>290</v>
      </c>
      <c r="AJ454" s="37" t="str">
        <f>IFERROR(INDEX('Kode Diskon'!$D$3:$D$9,MATCH(cadangan[[#This Row],[Kode diskon]],'Kode Diskon'!$C$3:$C$9,0)),"-")</f>
        <v>-</v>
      </c>
      <c r="AK454" s="23" t="s">
        <v>290</v>
      </c>
      <c r="AL454" s="23" t="s">
        <v>12</v>
      </c>
      <c r="AM454" s="23" t="s">
        <v>80</v>
      </c>
      <c r="AN454" s="55">
        <v>45023</v>
      </c>
      <c r="AO454" s="53">
        <f>DAY(cadangan[[#This Row],[Tanggal terjual]])</f>
        <v>7</v>
      </c>
      <c r="AP454" s="21" t="str">
        <f>TEXT(cadangan[[#This Row],[Tanggal terjual]],"dddd")</f>
        <v>Friday</v>
      </c>
      <c r="AQ454" s="23" t="str" cm="1">
        <f t="array" ref="AQ4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4" s="61">
        <f>AVERAGE(cadangan[[#This Row],[Rating A]],cadangan[[#This Row],[Rating B]],cadangan[[#This Row],[Rating C]])</f>
        <v>5</v>
      </c>
    </row>
    <row r="455" spans="1:44" x14ac:dyDescent="0.2">
      <c r="A455" s="20">
        <v>454</v>
      </c>
      <c r="B455" s="21" t="str">
        <f>_xlfn.CONCAT("ORD-",INDEX(Helper!$B$2:$B$5,MATCH(cadangan[[#This Row],[Marketplace]],Helper!$A$2:$A$5,0)),TEXT(cadangan[[#This Row],[No]],"0000"),"-",TEXT(cadangan[[#This Row],[Tanggal terjual]],"dd/mm/yy"))</f>
        <v>ORD-TK0454-16/04/23</v>
      </c>
      <c r="C455" s="39" t="s">
        <v>60</v>
      </c>
      <c r="D455" s="39" t="str">
        <f>IFERROR(INDEX(Katalog!$A$3:$A$12,MATCH(cadangan[[#This Row],[ItemID A]],Katalog!$C$3:$C$12,0)),"-")</f>
        <v>Pakaian Wanita</v>
      </c>
      <c r="E455" s="39" t="str">
        <f>IFERROR(INDEX(Katalog!$B$3:$B$12,MATCH(cadangan[[#This Row],[ItemID A]],Katalog!$C$3:$C$12,0)),"-")</f>
        <v>Kaftan</v>
      </c>
      <c r="F455" s="50">
        <v>2</v>
      </c>
      <c r="G455" s="50">
        <v>2</v>
      </c>
      <c r="H455" s="73">
        <f>IFERROR(INDEX(Katalog!$D$3:$D$12,MATCH(cadangan[[#This Row],[ItemID A]],Katalog!$C$3:$C$12,0))*cadangan[[#This Row],[Qty A]],0)</f>
        <v>500000</v>
      </c>
      <c r="I455" s="73">
        <f>IFERROR(cadangan[[#This Row],[Harga Normal A]]-(cadangan[[#This Row],[Harga Normal A]]*cadangan[[#This Row],[Diskon]]),cadangan[[#This Row],[Harga Normal A]])</f>
        <v>450000</v>
      </c>
      <c r="J455" s="73">
        <f>INDEX(Katalog!$F$3:$F$12,MATCH(cadangan[[#This Row],[ItemID A]],Katalog!$C$3:$C$12,0))*cadangan[[#This Row],[Qty A]]</f>
        <v>200000</v>
      </c>
      <c r="K455" s="73">
        <f>IFERROR(cadangan[[#This Row],[Harga Diskon A]]-INDEX(Katalog!$E$3:$E$12,MATCH(cadangan[[#This Row],[ItemID A]],Katalog!$C$3:$C$12,0))*cadangan[[#This Row],[Qty A]],0)</f>
        <v>150000</v>
      </c>
      <c r="L455" s="39" t="s">
        <v>59</v>
      </c>
      <c r="M455" s="39" t="str">
        <f>IFERROR(INDEX(Katalog!$A$3:$A$12,MATCH(cadangan[[#This Row],[ItemID B]],Katalog!$C$3:$C$12,0)),"-")</f>
        <v>Pakaian Wanita</v>
      </c>
      <c r="N455" s="39" t="str">
        <f>IFERROR(INDEX(Katalog!$B$3:$B$12,MATCH(cadangan[[#This Row],[ItemID B]],Katalog!$C$3:$C$12,0)),"-")</f>
        <v>Blouse</v>
      </c>
      <c r="O455" s="50">
        <v>3</v>
      </c>
      <c r="P455" s="50">
        <v>1</v>
      </c>
      <c r="Q455" s="73">
        <f>IFERROR(INDEX(Katalog!$D$3:$D$12,MATCH(cadangan[[#This Row],[ItemID B]],Katalog!$C$3:$C$12,0))*cadangan[[#This Row],[Qty B]],0)</f>
        <v>450000</v>
      </c>
      <c r="R455" s="73">
        <f>IFERROR(cadangan[[#This Row],[Harga Normal B]]-(cadangan[[#This Row],[Harga Normal B]]*cadangan[[#This Row],[Diskon]]),cadangan[[#This Row],[Harga Normal B]])</f>
        <v>405000</v>
      </c>
      <c r="S455" s="73">
        <f>IFERROR(INDEX(Katalog!$F$3:$F$12,MATCH(cadangan[[#This Row],[ItemID B]],Katalog!$C$3:$C$12,0))*cadangan[[#This Row],[Qty B]],0)</f>
        <v>150000</v>
      </c>
      <c r="T455" s="73">
        <f>IFERROR(cadangan[[#This Row],[Harga Diskon B]]-INDEX(Katalog!$E$3:$E$12,MATCH(cadangan[[#This Row],[ItemID B]],Katalog!$C$3:$C$12,0))*cadangan[[#This Row],[Qty B]],0)</f>
        <v>105000</v>
      </c>
      <c r="V455" s="39" t="str">
        <f>IFERROR(INDEX(Katalog!$A$3:$A$12,MATCH(cadangan[[#This Row],[ItemID C]],Katalog!$C$3:$C$12,0)),"-")</f>
        <v>-</v>
      </c>
      <c r="W455" s="39" t="str">
        <f>IFERROR(INDEX(Katalog!$B$3:$B$12,MATCH(cadangan[[#This Row],[ItemID C]],Katalog!$C$3:$C$12,0)),"-")</f>
        <v>-</v>
      </c>
      <c r="Z455" s="73">
        <f>IFERROR(INDEX(Katalog!$D$3:$D$12,MATCH(cadangan[[#This Row],[ItemID C]],Katalog!$C$3:$C$12,0))*cadangan[[#This Row],[Qty C]],0)</f>
        <v>0</v>
      </c>
      <c r="AA455" s="73">
        <f>IFERROR(cadangan[[#This Row],[Harga Normal C]]-(cadangan[[#This Row],[Harga Normal C]]*cadangan[[#This Row],[Diskon]]),cadangan[[#This Row],[Harga Normal C]])</f>
        <v>0</v>
      </c>
      <c r="AB455" s="73">
        <f>IFERROR(INDEX(Katalog!$F$3:$F$12,MATCH(cadangan[[#This Row],[ItemID C]],Katalog!$C$3:$C$12,0))*cadangan[[#This Row],[Qty C]],0)</f>
        <v>0</v>
      </c>
      <c r="AC455" s="73">
        <f>IFERROR(cadangan[[#This Row],[Harga Diskon C]]-INDEX(Katalog!$E$3:$E$12,MATCH(cadangan[[#This Row],[ItemID C]],Katalog!$C$3:$C$12,0))*cadangan[[#This Row],[Qty C]],0)</f>
        <v>0</v>
      </c>
      <c r="AD455" s="53">
        <f>cadangan[[#This Row],[Qty A]]+cadangan[[#This Row],[Qty B]]+cadangan[[#This Row],[Qty C]]</f>
        <v>5</v>
      </c>
      <c r="AE455" s="73">
        <f>cadangan[[#This Row],[Harga Normal A]]+cadangan[[#This Row],[Harga Normal B]]+cadangan[[#This Row],[Harga Normal C]]</f>
        <v>950000</v>
      </c>
      <c r="AF455" s="73">
        <f>cadangan[[#This Row],[Harga Diskon A]]+cadangan[[#This Row],[Harga Diskon B]]+cadangan[[#This Row],[Harga Diskon C]]</f>
        <v>855000</v>
      </c>
      <c r="AG455" s="73">
        <f>(cadangan[[#This Row],[Profit Normal A]]+cadangan[[#This Row],[Profit Normal B]]+cadangan[[#This Row],[Profit Normal C]])</f>
        <v>350000</v>
      </c>
      <c r="AH455" s="73">
        <f>cadangan[[#This Row],[Profit Diskon A]]+cadangan[[#This Row],[Profit Diskon B]]+cadangan[[#This Row],[Profit Diskon C]]</f>
        <v>255000</v>
      </c>
      <c r="AI455" s="23" t="s">
        <v>31</v>
      </c>
      <c r="AJ455" s="37">
        <f>IFERROR(INDEX('Kode Diskon'!$D$3:$D$9,MATCH(cadangan[[#This Row],[Kode diskon]],'Kode Diskon'!$C$3:$C$9,0)),"-")</f>
        <v>0.1</v>
      </c>
      <c r="AK455" s="23" t="s">
        <v>9</v>
      </c>
      <c r="AL455" s="23" t="s">
        <v>10</v>
      </c>
      <c r="AM455" s="23" t="s">
        <v>80</v>
      </c>
      <c r="AN455" s="55">
        <v>45032</v>
      </c>
      <c r="AO455" s="53">
        <f>DAY(cadangan[[#This Row],[Tanggal terjual]])</f>
        <v>16</v>
      </c>
      <c r="AP455" s="21" t="str">
        <f>TEXT(cadangan[[#This Row],[Tanggal terjual]],"dddd")</f>
        <v>Sunday</v>
      </c>
      <c r="AQ455" s="23" t="str" cm="1">
        <f t="array" ref="AQ4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55" s="61">
        <f>AVERAGE(cadangan[[#This Row],[Rating A]],cadangan[[#This Row],[Rating B]],cadangan[[#This Row],[Rating C]])</f>
        <v>1.5</v>
      </c>
    </row>
    <row r="456" spans="1:44" x14ac:dyDescent="0.2">
      <c r="A456" s="20">
        <v>455</v>
      </c>
      <c r="B456" s="21" t="str">
        <f>_xlfn.CONCAT("ORD-",INDEX(Helper!$B$2:$B$5,MATCH(cadangan[[#This Row],[Marketplace]],Helper!$A$2:$A$5,0)),TEXT(cadangan[[#This Row],[No]],"0000"),"-",TEXT(cadangan[[#This Row],[Tanggal terjual]],"dd/mm/yy"))</f>
        <v>ORD-BL0455-28/04/23</v>
      </c>
      <c r="C456" s="39" t="s">
        <v>59</v>
      </c>
      <c r="D456" s="39" t="str">
        <f>IFERROR(INDEX(Katalog!$A$3:$A$12,MATCH(cadangan[[#This Row],[ItemID A]],Katalog!$C$3:$C$12,0)),"-")</f>
        <v>Pakaian Wanita</v>
      </c>
      <c r="E456" s="39" t="str">
        <f>IFERROR(INDEX(Katalog!$B$3:$B$12,MATCH(cadangan[[#This Row],[ItemID A]],Katalog!$C$3:$C$12,0)),"-")</f>
        <v>Blouse</v>
      </c>
      <c r="F456" s="50">
        <v>4</v>
      </c>
      <c r="G456" s="50">
        <v>5</v>
      </c>
      <c r="H456" s="73">
        <f>IFERROR(INDEX(Katalog!$D$3:$D$12,MATCH(cadangan[[#This Row],[ItemID A]],Katalog!$C$3:$C$12,0))*cadangan[[#This Row],[Qty A]],0)</f>
        <v>600000</v>
      </c>
      <c r="I456" s="73">
        <f>IFERROR(cadangan[[#This Row],[Harga Normal A]]-(cadangan[[#This Row],[Harga Normal A]]*cadangan[[#This Row],[Diskon]]),cadangan[[#This Row],[Harga Normal A]])</f>
        <v>510000</v>
      </c>
      <c r="J456" s="73">
        <f>INDEX(Katalog!$F$3:$F$12,MATCH(cadangan[[#This Row],[ItemID A]],Katalog!$C$3:$C$12,0))*cadangan[[#This Row],[Qty A]]</f>
        <v>200000</v>
      </c>
      <c r="K456" s="73">
        <f>IFERROR(cadangan[[#This Row],[Harga Diskon A]]-INDEX(Katalog!$E$3:$E$12,MATCH(cadangan[[#This Row],[ItemID A]],Katalog!$C$3:$C$12,0))*cadangan[[#This Row],[Qty A]],0)</f>
        <v>110000</v>
      </c>
      <c r="L456" s="39" t="s">
        <v>65</v>
      </c>
      <c r="M456" s="39" t="str">
        <f>IFERROR(INDEX(Katalog!$A$3:$A$12,MATCH(cadangan[[#This Row],[ItemID B]],Katalog!$C$3:$C$12,0)),"-")</f>
        <v>Sepatu Pria</v>
      </c>
      <c r="N456" s="39" t="str">
        <f>IFERROR(INDEX(Katalog!$B$3:$B$12,MATCH(cadangan[[#This Row],[ItemID B]],Katalog!$C$3:$C$12,0)),"-")</f>
        <v>Sneakers</v>
      </c>
      <c r="O456" s="50">
        <v>1</v>
      </c>
      <c r="P456" s="50">
        <v>1</v>
      </c>
      <c r="Q456" s="73">
        <f>IFERROR(INDEX(Katalog!$D$3:$D$12,MATCH(cadangan[[#This Row],[ItemID B]],Katalog!$C$3:$C$12,0))*cadangan[[#This Row],[Qty B]],0)</f>
        <v>500000</v>
      </c>
      <c r="R456" s="73">
        <f>IFERROR(cadangan[[#This Row],[Harga Normal B]]-(cadangan[[#This Row],[Harga Normal B]]*cadangan[[#This Row],[Diskon]]),cadangan[[#This Row],[Harga Normal B]])</f>
        <v>425000</v>
      </c>
      <c r="S456" s="73">
        <f>IFERROR(INDEX(Katalog!$F$3:$F$12,MATCH(cadangan[[#This Row],[ItemID B]],Katalog!$C$3:$C$12,0))*cadangan[[#This Row],[Qty B]],0)</f>
        <v>200000</v>
      </c>
      <c r="T456" s="73">
        <f>IFERROR(cadangan[[#This Row],[Harga Diskon B]]-INDEX(Katalog!$E$3:$E$12,MATCH(cadangan[[#This Row],[ItemID B]],Katalog!$C$3:$C$12,0))*cadangan[[#This Row],[Qty B]],0)</f>
        <v>125000</v>
      </c>
      <c r="V456" s="39" t="str">
        <f>IFERROR(INDEX(Katalog!$A$3:$A$12,MATCH(cadangan[[#This Row],[ItemID C]],Katalog!$C$3:$C$12,0)),"-")</f>
        <v>-</v>
      </c>
      <c r="W456" s="39" t="str">
        <f>IFERROR(INDEX(Katalog!$B$3:$B$12,MATCH(cadangan[[#This Row],[ItemID C]],Katalog!$C$3:$C$12,0)),"-")</f>
        <v>-</v>
      </c>
      <c r="Z456" s="73">
        <f>IFERROR(INDEX(Katalog!$D$3:$D$12,MATCH(cadangan[[#This Row],[ItemID C]],Katalog!$C$3:$C$12,0))*cadangan[[#This Row],[Qty C]],0)</f>
        <v>0</v>
      </c>
      <c r="AA456" s="73">
        <f>IFERROR(cadangan[[#This Row],[Harga Normal C]]-(cadangan[[#This Row],[Harga Normal C]]*cadangan[[#This Row],[Diskon]]),cadangan[[#This Row],[Harga Normal C]])</f>
        <v>0</v>
      </c>
      <c r="AB456" s="73">
        <f>IFERROR(INDEX(Katalog!$F$3:$F$12,MATCH(cadangan[[#This Row],[ItemID C]],Katalog!$C$3:$C$12,0))*cadangan[[#This Row],[Qty C]],0)</f>
        <v>0</v>
      </c>
      <c r="AC456" s="73">
        <f>IFERROR(cadangan[[#This Row],[Harga Diskon C]]-INDEX(Katalog!$E$3:$E$12,MATCH(cadangan[[#This Row],[ItemID C]],Katalog!$C$3:$C$12,0))*cadangan[[#This Row],[Qty C]],0)</f>
        <v>0</v>
      </c>
      <c r="AD456" s="53">
        <f>cadangan[[#This Row],[Qty A]]+cadangan[[#This Row],[Qty B]]+cadangan[[#This Row],[Qty C]]</f>
        <v>5</v>
      </c>
      <c r="AE456" s="73">
        <f>cadangan[[#This Row],[Harga Normal A]]+cadangan[[#This Row],[Harga Normal B]]+cadangan[[#This Row],[Harga Normal C]]</f>
        <v>1100000</v>
      </c>
      <c r="AF456" s="73">
        <f>cadangan[[#This Row],[Harga Diskon A]]+cadangan[[#This Row],[Harga Diskon B]]+cadangan[[#This Row],[Harga Diskon C]]</f>
        <v>935000</v>
      </c>
      <c r="AG456" s="73">
        <f>(cadangan[[#This Row],[Profit Normal A]]+cadangan[[#This Row],[Profit Normal B]]+cadangan[[#This Row],[Profit Normal C]])</f>
        <v>400000</v>
      </c>
      <c r="AH456" s="73">
        <f>cadangan[[#This Row],[Profit Diskon A]]+cadangan[[#This Row],[Profit Diskon B]]+cadangan[[#This Row],[Profit Diskon C]]</f>
        <v>235000</v>
      </c>
      <c r="AI456" s="23" t="s">
        <v>32</v>
      </c>
      <c r="AJ456" s="37">
        <f>IFERROR(INDEX('Kode Diskon'!$D$3:$D$9,MATCH(cadangan[[#This Row],[Kode diskon]],'Kode Diskon'!$C$3:$C$9,0)),"-")</f>
        <v>0.15</v>
      </c>
      <c r="AK456" s="23" t="s">
        <v>9</v>
      </c>
      <c r="AL456" s="23" t="s">
        <v>12</v>
      </c>
      <c r="AM456" s="23" t="s">
        <v>80</v>
      </c>
      <c r="AN456" s="55">
        <v>45044</v>
      </c>
      <c r="AO456" s="53">
        <f>DAY(cadangan[[#This Row],[Tanggal terjual]])</f>
        <v>28</v>
      </c>
      <c r="AP456" s="21" t="str">
        <f>TEXT(cadangan[[#This Row],[Tanggal terjual]],"dddd")</f>
        <v>Friday</v>
      </c>
      <c r="AQ456" s="23" t="str" cm="1">
        <f t="array" ref="AQ4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56" s="61">
        <f>AVERAGE(cadangan[[#This Row],[Rating A]],cadangan[[#This Row],[Rating B]],cadangan[[#This Row],[Rating C]])</f>
        <v>3</v>
      </c>
    </row>
    <row r="457" spans="1:44" x14ac:dyDescent="0.2">
      <c r="A457" s="20">
        <v>456</v>
      </c>
      <c r="B457" s="21" t="str">
        <f>_xlfn.CONCAT("ORD-",INDEX(Helper!$B$2:$B$5,MATCH(cadangan[[#This Row],[Marketplace]],Helper!$A$2:$A$5,0)),TEXT(cadangan[[#This Row],[No]],"0000"),"-",TEXT(cadangan[[#This Row],[Tanggal terjual]],"dd/mm/yy"))</f>
        <v>ORD-BB0456-05/04/23</v>
      </c>
      <c r="C457" s="39" t="s">
        <v>62</v>
      </c>
      <c r="D457" s="39" t="str">
        <f>IFERROR(INDEX(Katalog!$A$3:$A$12,MATCH(cadangan[[#This Row],[ItemID A]],Katalog!$C$3:$C$12,0)),"-")</f>
        <v>Pakaian Pria</v>
      </c>
      <c r="E457" s="39" t="str">
        <f>IFERROR(INDEX(Katalog!$B$3:$B$12,MATCH(cadangan[[#This Row],[ItemID A]],Katalog!$C$3:$C$12,0)),"-")</f>
        <v>Celana Pendek</v>
      </c>
      <c r="F457" s="50">
        <v>1</v>
      </c>
      <c r="G457" s="50">
        <v>1</v>
      </c>
      <c r="H457" s="73">
        <f>IFERROR(INDEX(Katalog!$D$3:$D$12,MATCH(cadangan[[#This Row],[ItemID A]],Katalog!$C$3:$C$12,0))*cadangan[[#This Row],[Qty A]],0)</f>
        <v>180000</v>
      </c>
      <c r="I457" s="73">
        <f>IFERROR(cadangan[[#This Row],[Harga Normal A]]-(cadangan[[#This Row],[Harga Normal A]]*cadangan[[#This Row],[Diskon]]),cadangan[[#This Row],[Harga Normal A]])</f>
        <v>153000</v>
      </c>
      <c r="J457" s="73">
        <f>INDEX(Katalog!$F$3:$F$12,MATCH(cadangan[[#This Row],[ItemID A]],Katalog!$C$3:$C$12,0))*cadangan[[#This Row],[Qty A]]</f>
        <v>70000</v>
      </c>
      <c r="K457" s="73">
        <f>IFERROR(cadangan[[#This Row],[Harga Diskon A]]-INDEX(Katalog!$E$3:$E$12,MATCH(cadangan[[#This Row],[ItemID A]],Katalog!$C$3:$C$12,0))*cadangan[[#This Row],[Qty A]],0)</f>
        <v>43000</v>
      </c>
      <c r="L457" s="39" t="s">
        <v>67</v>
      </c>
      <c r="M457" s="39" t="str">
        <f>IFERROR(INDEX(Katalog!$A$3:$A$12,MATCH(cadangan[[#This Row],[ItemID B]],Katalog!$C$3:$C$12,0)),"-")</f>
        <v>Sepatu Wanita</v>
      </c>
      <c r="N457" s="39" t="str">
        <f>IFERROR(INDEX(Katalog!$B$3:$B$12,MATCH(cadangan[[#This Row],[ItemID B]],Katalog!$C$3:$C$12,0)),"-")</f>
        <v>Flat Shoes</v>
      </c>
      <c r="O457" s="50">
        <v>6</v>
      </c>
      <c r="P457" s="50">
        <v>4</v>
      </c>
      <c r="Q457" s="73">
        <f>IFERROR(INDEX(Katalog!$D$3:$D$12,MATCH(cadangan[[#This Row],[ItemID B]],Katalog!$C$3:$C$12,0))*cadangan[[#This Row],[Qty B]],0)</f>
        <v>1500000</v>
      </c>
      <c r="R457" s="73">
        <f>IFERROR(cadangan[[#This Row],[Harga Normal B]]-(cadangan[[#This Row],[Harga Normal B]]*cadangan[[#This Row],[Diskon]]),cadangan[[#This Row],[Harga Normal B]])</f>
        <v>1275000</v>
      </c>
      <c r="S457" s="73">
        <f>IFERROR(INDEX(Katalog!$F$3:$F$12,MATCH(cadangan[[#This Row],[ItemID B]],Katalog!$C$3:$C$12,0))*cadangan[[#This Row],[Qty B]],0)</f>
        <v>600000</v>
      </c>
      <c r="T457" s="73">
        <f>IFERROR(cadangan[[#This Row],[Harga Diskon B]]-INDEX(Katalog!$E$3:$E$12,MATCH(cadangan[[#This Row],[ItemID B]],Katalog!$C$3:$C$12,0))*cadangan[[#This Row],[Qty B]],0)</f>
        <v>375000</v>
      </c>
      <c r="V457" s="39" t="str">
        <f>IFERROR(INDEX(Katalog!$A$3:$A$12,MATCH(cadangan[[#This Row],[ItemID C]],Katalog!$C$3:$C$12,0)),"-")</f>
        <v>-</v>
      </c>
      <c r="W457" s="39" t="str">
        <f>IFERROR(INDEX(Katalog!$B$3:$B$12,MATCH(cadangan[[#This Row],[ItemID C]],Katalog!$C$3:$C$12,0)),"-")</f>
        <v>-</v>
      </c>
      <c r="Z457" s="73">
        <f>IFERROR(INDEX(Katalog!$D$3:$D$12,MATCH(cadangan[[#This Row],[ItemID C]],Katalog!$C$3:$C$12,0))*cadangan[[#This Row],[Qty C]],0)</f>
        <v>0</v>
      </c>
      <c r="AA457" s="73">
        <f>IFERROR(cadangan[[#This Row],[Harga Normal C]]-(cadangan[[#This Row],[Harga Normal C]]*cadangan[[#This Row],[Diskon]]),cadangan[[#This Row],[Harga Normal C]])</f>
        <v>0</v>
      </c>
      <c r="AB457" s="73">
        <f>IFERROR(INDEX(Katalog!$F$3:$F$12,MATCH(cadangan[[#This Row],[ItemID C]],Katalog!$C$3:$C$12,0))*cadangan[[#This Row],[Qty C]],0)</f>
        <v>0</v>
      </c>
      <c r="AC457" s="73">
        <f>IFERROR(cadangan[[#This Row],[Harga Diskon C]]-INDEX(Katalog!$E$3:$E$12,MATCH(cadangan[[#This Row],[ItemID C]],Katalog!$C$3:$C$12,0))*cadangan[[#This Row],[Qty C]],0)</f>
        <v>0</v>
      </c>
      <c r="AD457" s="53">
        <f>cadangan[[#This Row],[Qty A]]+cadangan[[#This Row],[Qty B]]+cadangan[[#This Row],[Qty C]]</f>
        <v>7</v>
      </c>
      <c r="AE457" s="73">
        <f>cadangan[[#This Row],[Harga Normal A]]+cadangan[[#This Row],[Harga Normal B]]+cadangan[[#This Row],[Harga Normal C]]</f>
        <v>1680000</v>
      </c>
      <c r="AF457" s="73">
        <f>cadangan[[#This Row],[Harga Diskon A]]+cadangan[[#This Row],[Harga Diskon B]]+cadangan[[#This Row],[Harga Diskon C]]</f>
        <v>1428000</v>
      </c>
      <c r="AG457" s="73">
        <f>(cadangan[[#This Row],[Profit Normal A]]+cadangan[[#This Row],[Profit Normal B]]+cadangan[[#This Row],[Profit Normal C]])</f>
        <v>670000</v>
      </c>
      <c r="AH457" s="73">
        <f>cadangan[[#This Row],[Profit Diskon A]]+cadangan[[#This Row],[Profit Diskon B]]+cadangan[[#This Row],[Profit Diskon C]]</f>
        <v>418000</v>
      </c>
      <c r="AI457" s="23" t="s">
        <v>28</v>
      </c>
      <c r="AJ457" s="37">
        <f>IFERROR(INDEX('Kode Diskon'!$D$3:$D$9,MATCH(cadangan[[#This Row],[Kode diskon]],'Kode Diskon'!$C$3:$C$9,0)),"-")</f>
        <v>0.15</v>
      </c>
      <c r="AK457" s="23" t="s">
        <v>29</v>
      </c>
      <c r="AL457" s="23" t="s">
        <v>14</v>
      </c>
      <c r="AM457" s="23" t="s">
        <v>80</v>
      </c>
      <c r="AN457" s="55">
        <v>45021</v>
      </c>
      <c r="AO457" s="53">
        <f>DAY(cadangan[[#This Row],[Tanggal terjual]])</f>
        <v>5</v>
      </c>
      <c r="AP457" s="21" t="str">
        <f>TEXT(cadangan[[#This Row],[Tanggal terjual]],"dddd")</f>
        <v>Wednesday</v>
      </c>
      <c r="AQ457" s="23" t="str" cm="1">
        <f t="array" ref="AQ4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7" s="61">
        <f>AVERAGE(cadangan[[#This Row],[Rating A]],cadangan[[#This Row],[Rating B]],cadangan[[#This Row],[Rating C]])</f>
        <v>2.5</v>
      </c>
    </row>
    <row r="458" spans="1:44" x14ac:dyDescent="0.2">
      <c r="A458" s="20">
        <v>457</v>
      </c>
      <c r="B458" s="21" t="str">
        <f>_xlfn.CONCAT("ORD-",INDEX(Helper!$B$2:$B$5,MATCH(cadangan[[#This Row],[Marketplace]],Helper!$A$2:$A$5,0)),TEXT(cadangan[[#This Row],[No]],"0000"),"-",TEXT(cadangan[[#This Row],[Tanggal terjual]],"dd/mm/yy"))</f>
        <v>ORD-TK0457-05/04/23</v>
      </c>
      <c r="C458" s="39" t="s">
        <v>60</v>
      </c>
      <c r="D458" s="39" t="str">
        <f>IFERROR(INDEX(Katalog!$A$3:$A$12,MATCH(cadangan[[#This Row],[ItemID A]],Katalog!$C$3:$C$12,0)),"-")</f>
        <v>Pakaian Wanita</v>
      </c>
      <c r="E458" s="39" t="str">
        <f>IFERROR(INDEX(Katalog!$B$3:$B$12,MATCH(cadangan[[#This Row],[ItemID A]],Katalog!$C$3:$C$12,0)),"-")</f>
        <v>Kaftan</v>
      </c>
      <c r="F458" s="50">
        <v>1</v>
      </c>
      <c r="G458" s="50">
        <v>5</v>
      </c>
      <c r="H458" s="73">
        <f>IFERROR(INDEX(Katalog!$D$3:$D$12,MATCH(cadangan[[#This Row],[ItemID A]],Katalog!$C$3:$C$12,0))*cadangan[[#This Row],[Qty A]],0)</f>
        <v>250000</v>
      </c>
      <c r="I458" s="73">
        <f>IFERROR(cadangan[[#This Row],[Harga Normal A]]-(cadangan[[#This Row],[Harga Normal A]]*cadangan[[#This Row],[Diskon]]),cadangan[[#This Row],[Harga Normal A]])</f>
        <v>225000</v>
      </c>
      <c r="J458" s="73">
        <f>INDEX(Katalog!$F$3:$F$12,MATCH(cadangan[[#This Row],[ItemID A]],Katalog!$C$3:$C$12,0))*cadangan[[#This Row],[Qty A]]</f>
        <v>100000</v>
      </c>
      <c r="K458" s="73">
        <f>IFERROR(cadangan[[#This Row],[Harga Diskon A]]-INDEX(Katalog!$E$3:$E$12,MATCH(cadangan[[#This Row],[ItemID A]],Katalog!$C$3:$C$12,0))*cadangan[[#This Row],[Qty A]],0)</f>
        <v>75000</v>
      </c>
      <c r="L458" s="39" t="s">
        <v>62</v>
      </c>
      <c r="M458" s="39" t="str">
        <f>IFERROR(INDEX(Katalog!$A$3:$A$12,MATCH(cadangan[[#This Row],[ItemID B]],Katalog!$C$3:$C$12,0)),"-")</f>
        <v>Pakaian Pria</v>
      </c>
      <c r="N458" s="39" t="str">
        <f>IFERROR(INDEX(Katalog!$B$3:$B$12,MATCH(cadangan[[#This Row],[ItemID B]],Katalog!$C$3:$C$12,0)),"-")</f>
        <v>Celana Pendek</v>
      </c>
      <c r="O458" s="50">
        <v>2</v>
      </c>
      <c r="P458" s="50">
        <v>1</v>
      </c>
      <c r="Q458" s="73">
        <f>IFERROR(INDEX(Katalog!$D$3:$D$12,MATCH(cadangan[[#This Row],[ItemID B]],Katalog!$C$3:$C$12,0))*cadangan[[#This Row],[Qty B]],0)</f>
        <v>360000</v>
      </c>
      <c r="R458" s="73">
        <f>IFERROR(cadangan[[#This Row],[Harga Normal B]]-(cadangan[[#This Row],[Harga Normal B]]*cadangan[[#This Row],[Diskon]]),cadangan[[#This Row],[Harga Normal B]])</f>
        <v>324000</v>
      </c>
      <c r="S458" s="73">
        <f>IFERROR(INDEX(Katalog!$F$3:$F$12,MATCH(cadangan[[#This Row],[ItemID B]],Katalog!$C$3:$C$12,0))*cadangan[[#This Row],[Qty B]],0)</f>
        <v>140000</v>
      </c>
      <c r="T458" s="73">
        <f>IFERROR(cadangan[[#This Row],[Harga Diskon B]]-INDEX(Katalog!$E$3:$E$12,MATCH(cadangan[[#This Row],[ItemID B]],Katalog!$C$3:$C$12,0))*cadangan[[#This Row],[Qty B]],0)</f>
        <v>104000</v>
      </c>
      <c r="V458" s="39" t="str">
        <f>IFERROR(INDEX(Katalog!$A$3:$A$12,MATCH(cadangan[[#This Row],[ItemID C]],Katalog!$C$3:$C$12,0)),"-")</f>
        <v>-</v>
      </c>
      <c r="W458" s="39" t="str">
        <f>IFERROR(INDEX(Katalog!$B$3:$B$12,MATCH(cadangan[[#This Row],[ItemID C]],Katalog!$C$3:$C$12,0)),"-")</f>
        <v>-</v>
      </c>
      <c r="Z458" s="73">
        <f>IFERROR(INDEX(Katalog!$D$3:$D$12,MATCH(cadangan[[#This Row],[ItemID C]],Katalog!$C$3:$C$12,0))*cadangan[[#This Row],[Qty C]],0)</f>
        <v>0</v>
      </c>
      <c r="AA458" s="73">
        <f>IFERROR(cadangan[[#This Row],[Harga Normal C]]-(cadangan[[#This Row],[Harga Normal C]]*cadangan[[#This Row],[Diskon]]),cadangan[[#This Row],[Harga Normal C]])</f>
        <v>0</v>
      </c>
      <c r="AB458" s="73">
        <f>IFERROR(INDEX(Katalog!$F$3:$F$12,MATCH(cadangan[[#This Row],[ItemID C]],Katalog!$C$3:$C$12,0))*cadangan[[#This Row],[Qty C]],0)</f>
        <v>0</v>
      </c>
      <c r="AC458" s="73">
        <f>IFERROR(cadangan[[#This Row],[Harga Diskon C]]-INDEX(Katalog!$E$3:$E$12,MATCH(cadangan[[#This Row],[ItemID C]],Katalog!$C$3:$C$12,0))*cadangan[[#This Row],[Qty C]],0)</f>
        <v>0</v>
      </c>
      <c r="AD458" s="53">
        <f>cadangan[[#This Row],[Qty A]]+cadangan[[#This Row],[Qty B]]+cadangan[[#This Row],[Qty C]]</f>
        <v>3</v>
      </c>
      <c r="AE458" s="73">
        <f>cadangan[[#This Row],[Harga Normal A]]+cadangan[[#This Row],[Harga Normal B]]+cadangan[[#This Row],[Harga Normal C]]</f>
        <v>610000</v>
      </c>
      <c r="AF458" s="73">
        <f>cadangan[[#This Row],[Harga Diskon A]]+cadangan[[#This Row],[Harga Diskon B]]+cadangan[[#This Row],[Harga Diskon C]]</f>
        <v>549000</v>
      </c>
      <c r="AG458" s="73">
        <f>(cadangan[[#This Row],[Profit Normal A]]+cadangan[[#This Row],[Profit Normal B]]+cadangan[[#This Row],[Profit Normal C]])</f>
        <v>240000</v>
      </c>
      <c r="AH458" s="73">
        <f>cadangan[[#This Row],[Profit Diskon A]]+cadangan[[#This Row],[Profit Diskon B]]+cadangan[[#This Row],[Profit Diskon C]]</f>
        <v>179000</v>
      </c>
      <c r="AI458" s="23" t="s">
        <v>30</v>
      </c>
      <c r="AJ458" s="37">
        <f>IFERROR(INDEX('Kode Diskon'!$D$3:$D$9,MATCH(cadangan[[#This Row],[Kode diskon]],'Kode Diskon'!$C$3:$C$9,0)),"-")</f>
        <v>0.1</v>
      </c>
      <c r="AK458" s="23" t="s">
        <v>29</v>
      </c>
      <c r="AL458" s="23" t="s">
        <v>10</v>
      </c>
      <c r="AM458" s="23" t="s">
        <v>76</v>
      </c>
      <c r="AN458" s="55">
        <v>45021</v>
      </c>
      <c r="AO458" s="53">
        <f>DAY(cadangan[[#This Row],[Tanggal terjual]])</f>
        <v>5</v>
      </c>
      <c r="AP458" s="21" t="str">
        <f>TEXT(cadangan[[#This Row],[Tanggal terjual]],"dddd")</f>
        <v>Wednesday</v>
      </c>
      <c r="AQ458" s="23" t="str" cm="1">
        <f t="array" ref="AQ4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8" s="61">
        <f>AVERAGE(cadangan[[#This Row],[Rating A]],cadangan[[#This Row],[Rating B]],cadangan[[#This Row],[Rating C]])</f>
        <v>3</v>
      </c>
    </row>
    <row r="459" spans="1:44" x14ac:dyDescent="0.2">
      <c r="A459" s="20">
        <v>458</v>
      </c>
      <c r="B459" s="21" t="str">
        <f>_xlfn.CONCAT("ORD-",INDEX(Helper!$B$2:$B$5,MATCH(cadangan[[#This Row],[Marketplace]],Helper!$A$2:$A$5,0)),TEXT(cadangan[[#This Row],[No]],"0000"),"-",TEXT(cadangan[[#This Row],[Tanggal terjual]],"dd/mm/yy"))</f>
        <v>ORD-BB0458-03/04/23</v>
      </c>
      <c r="C459" s="39" t="s">
        <v>67</v>
      </c>
      <c r="D459" s="39" t="str">
        <f>IFERROR(INDEX(Katalog!$A$3:$A$12,MATCH(cadangan[[#This Row],[ItemID A]],Katalog!$C$3:$C$12,0)),"-")</f>
        <v>Sepatu Wanita</v>
      </c>
      <c r="E459" s="39" t="str">
        <f>IFERROR(INDEX(Katalog!$B$3:$B$12,MATCH(cadangan[[#This Row],[ItemID A]],Katalog!$C$3:$C$12,0)),"-")</f>
        <v>Flat Shoes</v>
      </c>
      <c r="F459" s="50">
        <v>2</v>
      </c>
      <c r="G459" s="50">
        <v>2</v>
      </c>
      <c r="H459" s="73">
        <f>IFERROR(INDEX(Katalog!$D$3:$D$12,MATCH(cadangan[[#This Row],[ItemID A]],Katalog!$C$3:$C$12,0))*cadangan[[#This Row],[Qty A]],0)</f>
        <v>500000</v>
      </c>
      <c r="I459" s="73">
        <f>IFERROR(cadangan[[#This Row],[Harga Normal A]]-(cadangan[[#This Row],[Harga Normal A]]*cadangan[[#This Row],[Diskon]]),cadangan[[#This Row],[Harga Normal A]])</f>
        <v>425000</v>
      </c>
      <c r="J459" s="73">
        <f>INDEX(Katalog!$F$3:$F$12,MATCH(cadangan[[#This Row],[ItemID A]],Katalog!$C$3:$C$12,0))*cadangan[[#This Row],[Qty A]]</f>
        <v>200000</v>
      </c>
      <c r="K459" s="73">
        <f>IFERROR(cadangan[[#This Row],[Harga Diskon A]]-INDEX(Katalog!$E$3:$E$12,MATCH(cadangan[[#This Row],[ItemID A]],Katalog!$C$3:$C$12,0))*cadangan[[#This Row],[Qty A]],0)</f>
        <v>125000</v>
      </c>
      <c r="L459" s="39" t="s">
        <v>62</v>
      </c>
      <c r="M459" s="39" t="str">
        <f>IFERROR(INDEX(Katalog!$A$3:$A$12,MATCH(cadangan[[#This Row],[ItemID B]],Katalog!$C$3:$C$12,0)),"-")</f>
        <v>Pakaian Pria</v>
      </c>
      <c r="N459" s="39" t="str">
        <f>IFERROR(INDEX(Katalog!$B$3:$B$12,MATCH(cadangan[[#This Row],[ItemID B]],Katalog!$C$3:$C$12,0)),"-")</f>
        <v>Celana Pendek</v>
      </c>
      <c r="O459" s="50">
        <v>2</v>
      </c>
      <c r="P459" s="50">
        <v>5</v>
      </c>
      <c r="Q459" s="73">
        <f>IFERROR(INDEX(Katalog!$D$3:$D$12,MATCH(cadangan[[#This Row],[ItemID B]],Katalog!$C$3:$C$12,0))*cadangan[[#This Row],[Qty B]],0)</f>
        <v>360000</v>
      </c>
      <c r="R459" s="73">
        <f>IFERROR(cadangan[[#This Row],[Harga Normal B]]-(cadangan[[#This Row],[Harga Normal B]]*cadangan[[#This Row],[Diskon]]),cadangan[[#This Row],[Harga Normal B]])</f>
        <v>306000</v>
      </c>
      <c r="S459" s="73">
        <f>IFERROR(INDEX(Katalog!$F$3:$F$12,MATCH(cadangan[[#This Row],[ItemID B]],Katalog!$C$3:$C$12,0))*cadangan[[#This Row],[Qty B]],0)</f>
        <v>140000</v>
      </c>
      <c r="T459" s="73">
        <f>IFERROR(cadangan[[#This Row],[Harga Diskon B]]-INDEX(Katalog!$E$3:$E$12,MATCH(cadangan[[#This Row],[ItemID B]],Katalog!$C$3:$C$12,0))*cadangan[[#This Row],[Qty B]],0)</f>
        <v>86000</v>
      </c>
      <c r="V459" s="39" t="str">
        <f>IFERROR(INDEX(Katalog!$A$3:$A$12,MATCH(cadangan[[#This Row],[ItemID C]],Katalog!$C$3:$C$12,0)),"-")</f>
        <v>-</v>
      </c>
      <c r="W459" s="39" t="str">
        <f>IFERROR(INDEX(Katalog!$B$3:$B$12,MATCH(cadangan[[#This Row],[ItemID C]],Katalog!$C$3:$C$12,0)),"-")</f>
        <v>-</v>
      </c>
      <c r="Z459" s="73">
        <f>IFERROR(INDEX(Katalog!$D$3:$D$12,MATCH(cadangan[[#This Row],[ItemID C]],Katalog!$C$3:$C$12,0))*cadangan[[#This Row],[Qty C]],0)</f>
        <v>0</v>
      </c>
      <c r="AA459" s="73">
        <f>IFERROR(cadangan[[#This Row],[Harga Normal C]]-(cadangan[[#This Row],[Harga Normal C]]*cadangan[[#This Row],[Diskon]]),cadangan[[#This Row],[Harga Normal C]])</f>
        <v>0</v>
      </c>
      <c r="AB459" s="73">
        <f>IFERROR(INDEX(Katalog!$F$3:$F$12,MATCH(cadangan[[#This Row],[ItemID C]],Katalog!$C$3:$C$12,0))*cadangan[[#This Row],[Qty C]],0)</f>
        <v>0</v>
      </c>
      <c r="AC459" s="73">
        <f>IFERROR(cadangan[[#This Row],[Harga Diskon C]]-INDEX(Katalog!$E$3:$E$12,MATCH(cadangan[[#This Row],[ItemID C]],Katalog!$C$3:$C$12,0))*cadangan[[#This Row],[Qty C]],0)</f>
        <v>0</v>
      </c>
      <c r="AD459" s="53">
        <f>cadangan[[#This Row],[Qty A]]+cadangan[[#This Row],[Qty B]]+cadangan[[#This Row],[Qty C]]</f>
        <v>4</v>
      </c>
      <c r="AE459" s="73">
        <f>cadangan[[#This Row],[Harga Normal A]]+cadangan[[#This Row],[Harga Normal B]]+cadangan[[#This Row],[Harga Normal C]]</f>
        <v>860000</v>
      </c>
      <c r="AF459" s="73">
        <f>cadangan[[#This Row],[Harga Diskon A]]+cadangan[[#This Row],[Harga Diskon B]]+cadangan[[#This Row],[Harga Diskon C]]</f>
        <v>731000</v>
      </c>
      <c r="AG459" s="73">
        <f>(cadangan[[#This Row],[Profit Normal A]]+cadangan[[#This Row],[Profit Normal B]]+cadangan[[#This Row],[Profit Normal C]])</f>
        <v>340000</v>
      </c>
      <c r="AH459" s="73">
        <f>cadangan[[#This Row],[Profit Diskon A]]+cadangan[[#This Row],[Profit Diskon B]]+cadangan[[#This Row],[Profit Diskon C]]</f>
        <v>211000</v>
      </c>
      <c r="AI459" s="23" t="s">
        <v>28</v>
      </c>
      <c r="AJ459" s="37">
        <f>IFERROR(INDEX('Kode Diskon'!$D$3:$D$9,MATCH(cadangan[[#This Row],[Kode diskon]],'Kode Diskon'!$C$3:$C$9,0)),"-")</f>
        <v>0.15</v>
      </c>
      <c r="AK459" s="23" t="s">
        <v>29</v>
      </c>
      <c r="AL459" s="23" t="s">
        <v>14</v>
      </c>
      <c r="AM459" s="23" t="s">
        <v>77</v>
      </c>
      <c r="AN459" s="55">
        <v>45019</v>
      </c>
      <c r="AO459" s="53">
        <f>DAY(cadangan[[#This Row],[Tanggal terjual]])</f>
        <v>3</v>
      </c>
      <c r="AP459" s="21" t="str">
        <f>TEXT(cadangan[[#This Row],[Tanggal terjual]],"dddd")</f>
        <v>Monday</v>
      </c>
      <c r="AQ459" s="23" t="str" cm="1">
        <f t="array" ref="AQ4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59" s="61">
        <f>AVERAGE(cadangan[[#This Row],[Rating A]],cadangan[[#This Row],[Rating B]],cadangan[[#This Row],[Rating C]])</f>
        <v>3.5</v>
      </c>
    </row>
    <row r="460" spans="1:44" x14ac:dyDescent="0.2">
      <c r="A460" s="20">
        <v>459</v>
      </c>
      <c r="B460" s="21" t="str">
        <f>_xlfn.CONCAT("ORD-",INDEX(Helper!$B$2:$B$5,MATCH(cadangan[[#This Row],[Marketplace]],Helper!$A$2:$A$5,0)),TEXT(cadangan[[#This Row],[No]],"0000"),"-",TEXT(cadangan[[#This Row],[Tanggal terjual]],"dd/mm/yy"))</f>
        <v>ORD-BL0459-21/04/23</v>
      </c>
      <c r="C460" s="39" t="s">
        <v>66</v>
      </c>
      <c r="D460" s="39" t="str">
        <f>IFERROR(INDEX(Katalog!$A$3:$A$12,MATCH(cadangan[[#This Row],[ItemID A]],Katalog!$C$3:$C$12,0)),"-")</f>
        <v>Sepatu Pria</v>
      </c>
      <c r="E460" s="39" t="str">
        <f>IFERROR(INDEX(Katalog!$B$3:$B$12,MATCH(cadangan[[#This Row],[ItemID A]],Katalog!$C$3:$C$12,0)),"-")</f>
        <v>Sandal Slip On</v>
      </c>
      <c r="F460" s="50">
        <v>1</v>
      </c>
      <c r="G460" s="50">
        <v>4</v>
      </c>
      <c r="H460" s="73">
        <f>IFERROR(INDEX(Katalog!$D$3:$D$12,MATCH(cadangan[[#This Row],[ItemID A]],Katalog!$C$3:$C$12,0))*cadangan[[#This Row],[Qty A]],0)</f>
        <v>150000</v>
      </c>
      <c r="I460" s="73">
        <f>IFERROR(cadangan[[#This Row],[Harga Normal A]]-(cadangan[[#This Row],[Harga Normal A]]*cadangan[[#This Row],[Diskon]]),cadangan[[#This Row],[Harga Normal A]])</f>
        <v>127500</v>
      </c>
      <c r="J460" s="73">
        <f>INDEX(Katalog!$F$3:$F$12,MATCH(cadangan[[#This Row],[ItemID A]],Katalog!$C$3:$C$12,0))*cadangan[[#This Row],[Qty A]]</f>
        <v>60000</v>
      </c>
      <c r="K460" s="73">
        <f>IFERROR(cadangan[[#This Row],[Harga Diskon A]]-INDEX(Katalog!$E$3:$E$12,MATCH(cadangan[[#This Row],[ItemID A]],Katalog!$C$3:$C$12,0))*cadangan[[#This Row],[Qty A]],0)</f>
        <v>37500</v>
      </c>
      <c r="L460" s="39" t="s">
        <v>58</v>
      </c>
      <c r="M460" s="39" t="str">
        <f>IFERROR(INDEX(Katalog!$A$3:$A$12,MATCH(cadangan[[#This Row],[ItemID B]],Katalog!$C$3:$C$12,0)),"-")</f>
        <v>Pakaian Wanita</v>
      </c>
      <c r="N460" s="39" t="str">
        <f>IFERROR(INDEX(Katalog!$B$3:$B$12,MATCH(cadangan[[#This Row],[ItemID B]],Katalog!$C$3:$C$12,0)),"-")</f>
        <v>Dress</v>
      </c>
      <c r="O460" s="50">
        <v>4</v>
      </c>
      <c r="P460" s="50">
        <v>3</v>
      </c>
      <c r="Q460" s="73">
        <f>IFERROR(INDEX(Katalog!$D$3:$D$12,MATCH(cadangan[[#This Row],[ItemID B]],Katalog!$C$3:$C$12,0))*cadangan[[#This Row],[Qty B]],0)</f>
        <v>1200000</v>
      </c>
      <c r="R460" s="73">
        <f>IFERROR(cadangan[[#This Row],[Harga Normal B]]-(cadangan[[#This Row],[Harga Normal B]]*cadangan[[#This Row],[Diskon]]),cadangan[[#This Row],[Harga Normal B]])</f>
        <v>1020000</v>
      </c>
      <c r="S460" s="73">
        <f>IFERROR(INDEX(Katalog!$F$3:$F$12,MATCH(cadangan[[#This Row],[ItemID B]],Katalog!$C$3:$C$12,0))*cadangan[[#This Row],[Qty B]],0)</f>
        <v>400000</v>
      </c>
      <c r="T460" s="73">
        <f>IFERROR(cadangan[[#This Row],[Harga Diskon B]]-INDEX(Katalog!$E$3:$E$12,MATCH(cadangan[[#This Row],[ItemID B]],Katalog!$C$3:$C$12,0))*cadangan[[#This Row],[Qty B]],0)</f>
        <v>220000</v>
      </c>
      <c r="U460" s="39" t="s">
        <v>64</v>
      </c>
      <c r="V460" s="39" t="str">
        <f>IFERROR(INDEX(Katalog!$A$3:$A$12,MATCH(cadangan[[#This Row],[ItemID C]],Katalog!$C$3:$C$12,0)),"-")</f>
        <v>Pakaian Unisex</v>
      </c>
      <c r="W460" s="39" t="str">
        <f>IFERROR(INDEX(Katalog!$B$3:$B$12,MATCH(cadangan[[#This Row],[ItemID C]],Katalog!$C$3:$C$12,0)),"-")</f>
        <v>Jaket Hoodie</v>
      </c>
      <c r="X460" s="50">
        <v>1</v>
      </c>
      <c r="Y460" s="50">
        <v>5</v>
      </c>
      <c r="Z460" s="73">
        <f>IFERROR(INDEX(Katalog!$D$3:$D$12,MATCH(cadangan[[#This Row],[ItemID C]],Katalog!$C$3:$C$12,0))*cadangan[[#This Row],[Qty C]],0)</f>
        <v>350000</v>
      </c>
      <c r="AA460" s="73">
        <f>IFERROR(cadangan[[#This Row],[Harga Normal C]]-(cadangan[[#This Row],[Harga Normal C]]*cadangan[[#This Row],[Diskon]]),cadangan[[#This Row],[Harga Normal C]])</f>
        <v>297500</v>
      </c>
      <c r="AB460" s="73">
        <f>IFERROR(INDEX(Katalog!$F$3:$F$12,MATCH(cadangan[[#This Row],[ItemID C]],Katalog!$C$3:$C$12,0))*cadangan[[#This Row],[Qty C]],0)</f>
        <v>130000</v>
      </c>
      <c r="AC460" s="73">
        <f>IFERROR(cadangan[[#This Row],[Harga Diskon C]]-INDEX(Katalog!$E$3:$E$12,MATCH(cadangan[[#This Row],[ItemID C]],Katalog!$C$3:$C$12,0))*cadangan[[#This Row],[Qty C]],0)</f>
        <v>77500</v>
      </c>
      <c r="AD460" s="53">
        <f>cadangan[[#This Row],[Qty A]]+cadangan[[#This Row],[Qty B]]+cadangan[[#This Row],[Qty C]]</f>
        <v>6</v>
      </c>
      <c r="AE460" s="73">
        <f>cadangan[[#This Row],[Harga Normal A]]+cadangan[[#This Row],[Harga Normal B]]+cadangan[[#This Row],[Harga Normal C]]</f>
        <v>1700000</v>
      </c>
      <c r="AF460" s="73">
        <f>cadangan[[#This Row],[Harga Diskon A]]+cadangan[[#This Row],[Harga Diskon B]]+cadangan[[#This Row],[Harga Diskon C]]</f>
        <v>1445000</v>
      </c>
      <c r="AG460" s="73">
        <f>(cadangan[[#This Row],[Profit Normal A]]+cadangan[[#This Row],[Profit Normal B]]+cadangan[[#This Row],[Profit Normal C]])</f>
        <v>590000</v>
      </c>
      <c r="AH460" s="73">
        <f>cadangan[[#This Row],[Profit Diskon A]]+cadangan[[#This Row],[Profit Diskon B]]+cadangan[[#This Row],[Profit Diskon C]]</f>
        <v>335000</v>
      </c>
      <c r="AI460" s="23" t="s">
        <v>32</v>
      </c>
      <c r="AJ460" s="37">
        <f>IFERROR(INDEX('Kode Diskon'!$D$3:$D$9,MATCH(cadangan[[#This Row],[Kode diskon]],'Kode Diskon'!$C$3:$C$9,0)),"-")</f>
        <v>0.15</v>
      </c>
      <c r="AK460" s="23" t="s">
        <v>9</v>
      </c>
      <c r="AL460" s="23" t="s">
        <v>12</v>
      </c>
      <c r="AM460" s="23" t="s">
        <v>75</v>
      </c>
      <c r="AN460" s="55">
        <v>45037</v>
      </c>
      <c r="AO460" s="53">
        <f>DAY(cadangan[[#This Row],[Tanggal terjual]])</f>
        <v>21</v>
      </c>
      <c r="AP460" s="21" t="str">
        <f>TEXT(cadangan[[#This Row],[Tanggal terjual]],"dddd")</f>
        <v>Friday</v>
      </c>
      <c r="AQ460" s="23" t="str" cm="1">
        <f t="array" ref="AQ4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60" s="61">
        <f>AVERAGE(cadangan[[#This Row],[Rating A]],cadangan[[#This Row],[Rating B]],cadangan[[#This Row],[Rating C]])</f>
        <v>4</v>
      </c>
    </row>
    <row r="461" spans="1:44" x14ac:dyDescent="0.2">
      <c r="A461" s="20">
        <v>460</v>
      </c>
      <c r="B461" s="21" t="str">
        <f>_xlfn.CONCAT("ORD-",INDEX(Helper!$B$2:$B$5,MATCH(cadangan[[#This Row],[Marketplace]],Helper!$A$2:$A$5,0)),TEXT(cadangan[[#This Row],[No]],"0000"),"-",TEXT(cadangan[[#This Row],[Tanggal terjual]],"dd/mm/yy"))</f>
        <v>ORD-SP0460-06/04/23</v>
      </c>
      <c r="C461" s="39" t="s">
        <v>61</v>
      </c>
      <c r="D461" s="39" t="str">
        <f>IFERROR(INDEX(Katalog!$A$3:$A$12,MATCH(cadangan[[#This Row],[ItemID A]],Katalog!$C$3:$C$12,0)),"-")</f>
        <v>Pakaian Pria</v>
      </c>
      <c r="E461" s="39" t="str">
        <f>IFERROR(INDEX(Katalog!$B$3:$B$12,MATCH(cadangan[[#This Row],[ItemID A]],Katalog!$C$3:$C$12,0)),"-")</f>
        <v>Kaos Polo</v>
      </c>
      <c r="F461" s="50">
        <v>4</v>
      </c>
      <c r="G461" s="50">
        <v>4</v>
      </c>
      <c r="H461" s="73">
        <f>IFERROR(INDEX(Katalog!$D$3:$D$12,MATCH(cadangan[[#This Row],[ItemID A]],Katalog!$C$3:$C$12,0))*cadangan[[#This Row],[Qty A]],0)</f>
        <v>800000</v>
      </c>
      <c r="I461" s="73">
        <f>IFERROR(cadangan[[#This Row],[Harga Normal A]]-(cadangan[[#This Row],[Harga Normal A]]*cadangan[[#This Row],[Diskon]]),cadangan[[#This Row],[Harga Normal A]])</f>
        <v>720000</v>
      </c>
      <c r="J461" s="73">
        <f>INDEX(Katalog!$F$3:$F$12,MATCH(cadangan[[#This Row],[ItemID A]],Katalog!$C$3:$C$12,0))*cadangan[[#This Row],[Qty A]]</f>
        <v>320000</v>
      </c>
      <c r="K461" s="73">
        <f>IFERROR(cadangan[[#This Row],[Harga Diskon A]]-INDEX(Katalog!$E$3:$E$12,MATCH(cadangan[[#This Row],[ItemID A]],Katalog!$C$3:$C$12,0))*cadangan[[#This Row],[Qty A]],0)</f>
        <v>240000</v>
      </c>
      <c r="M461" s="39" t="str">
        <f>IFERROR(INDEX(Katalog!$A$3:$A$12,MATCH(cadangan[[#This Row],[ItemID B]],Katalog!$C$3:$C$12,0)),"-")</f>
        <v>-</v>
      </c>
      <c r="N461" s="39" t="str">
        <f>IFERROR(INDEX(Katalog!$B$3:$B$12,MATCH(cadangan[[#This Row],[ItemID B]],Katalog!$C$3:$C$12,0)),"-")</f>
        <v>-</v>
      </c>
      <c r="Q461" s="73">
        <f>IFERROR(INDEX(Katalog!$D$3:$D$12,MATCH(cadangan[[#This Row],[ItemID B]],Katalog!$C$3:$C$12,0))*cadangan[[#This Row],[Qty B]],0)</f>
        <v>0</v>
      </c>
      <c r="R461" s="73">
        <f>IFERROR(cadangan[[#This Row],[Harga Normal B]]-(cadangan[[#This Row],[Harga Normal B]]*cadangan[[#This Row],[Diskon]]),cadangan[[#This Row],[Harga Normal B]])</f>
        <v>0</v>
      </c>
      <c r="S461" s="73">
        <f>IFERROR(INDEX(Katalog!$F$3:$F$12,MATCH(cadangan[[#This Row],[ItemID B]],Katalog!$C$3:$C$12,0))*cadangan[[#This Row],[Qty B]],0)</f>
        <v>0</v>
      </c>
      <c r="T461" s="73">
        <f>IFERROR(cadangan[[#This Row],[Harga Diskon B]]-INDEX(Katalog!$E$3:$E$12,MATCH(cadangan[[#This Row],[ItemID B]],Katalog!$C$3:$C$12,0))*cadangan[[#This Row],[Qty B]],0)</f>
        <v>0</v>
      </c>
      <c r="V461" s="39" t="str">
        <f>IFERROR(INDEX(Katalog!$A$3:$A$12,MATCH(cadangan[[#This Row],[ItemID C]],Katalog!$C$3:$C$12,0)),"-")</f>
        <v>-</v>
      </c>
      <c r="W461" s="39" t="str">
        <f>IFERROR(INDEX(Katalog!$B$3:$B$12,MATCH(cadangan[[#This Row],[ItemID C]],Katalog!$C$3:$C$12,0)),"-")</f>
        <v>-</v>
      </c>
      <c r="Z461" s="73">
        <f>IFERROR(INDEX(Katalog!$D$3:$D$12,MATCH(cadangan[[#This Row],[ItemID C]],Katalog!$C$3:$C$12,0))*cadangan[[#This Row],[Qty C]],0)</f>
        <v>0</v>
      </c>
      <c r="AA461" s="73">
        <f>IFERROR(cadangan[[#This Row],[Harga Normal C]]-(cadangan[[#This Row],[Harga Normal C]]*cadangan[[#This Row],[Diskon]]),cadangan[[#This Row],[Harga Normal C]])</f>
        <v>0</v>
      </c>
      <c r="AB461" s="73">
        <f>IFERROR(INDEX(Katalog!$F$3:$F$12,MATCH(cadangan[[#This Row],[ItemID C]],Katalog!$C$3:$C$12,0))*cadangan[[#This Row],[Qty C]],0)</f>
        <v>0</v>
      </c>
      <c r="AC461" s="73">
        <f>IFERROR(cadangan[[#This Row],[Harga Diskon C]]-INDEX(Katalog!$E$3:$E$12,MATCH(cadangan[[#This Row],[ItemID C]],Katalog!$C$3:$C$12,0))*cadangan[[#This Row],[Qty C]],0)</f>
        <v>0</v>
      </c>
      <c r="AD461" s="53">
        <f>cadangan[[#This Row],[Qty A]]+cadangan[[#This Row],[Qty B]]+cadangan[[#This Row],[Qty C]]</f>
        <v>4</v>
      </c>
      <c r="AE461" s="73">
        <f>cadangan[[#This Row],[Harga Normal A]]+cadangan[[#This Row],[Harga Normal B]]+cadangan[[#This Row],[Harga Normal C]]</f>
        <v>800000</v>
      </c>
      <c r="AF461" s="73">
        <f>cadangan[[#This Row],[Harga Diskon A]]+cadangan[[#This Row],[Harga Diskon B]]+cadangan[[#This Row],[Harga Diskon C]]</f>
        <v>720000</v>
      </c>
      <c r="AG461" s="73">
        <f>(cadangan[[#This Row],[Profit Normal A]]+cadangan[[#This Row],[Profit Normal B]]+cadangan[[#This Row],[Profit Normal C]])</f>
        <v>320000</v>
      </c>
      <c r="AH461" s="73">
        <f>cadangan[[#This Row],[Profit Diskon A]]+cadangan[[#This Row],[Profit Diskon B]]+cadangan[[#This Row],[Profit Diskon C]]</f>
        <v>240000</v>
      </c>
      <c r="AI461" s="23" t="s">
        <v>6</v>
      </c>
      <c r="AJ461" s="37">
        <f>IFERROR(INDEX('Kode Diskon'!$D$3:$D$9,MATCH(cadangan[[#This Row],[Kode diskon]],'Kode Diskon'!$C$3:$C$9,0)),"-")</f>
        <v>0.1</v>
      </c>
      <c r="AK461" s="23" t="s">
        <v>29</v>
      </c>
      <c r="AL461" s="23" t="s">
        <v>7</v>
      </c>
      <c r="AM461" s="23" t="s">
        <v>76</v>
      </c>
      <c r="AN461" s="55">
        <v>45022</v>
      </c>
      <c r="AO461" s="53">
        <f>DAY(cadangan[[#This Row],[Tanggal terjual]])</f>
        <v>6</v>
      </c>
      <c r="AP461" s="21" t="str">
        <f>TEXT(cadangan[[#This Row],[Tanggal terjual]],"dddd")</f>
        <v>Thursday</v>
      </c>
      <c r="AQ461" s="23" t="str" cm="1">
        <f t="array" ref="AQ4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61" s="61">
        <f>AVERAGE(cadangan[[#This Row],[Rating A]],cadangan[[#This Row],[Rating B]],cadangan[[#This Row],[Rating C]])</f>
        <v>4</v>
      </c>
    </row>
    <row r="462" spans="1:44" x14ac:dyDescent="0.2">
      <c r="A462" s="20">
        <v>461</v>
      </c>
      <c r="B462" s="21" t="str">
        <f>_xlfn.CONCAT("ORD-",INDEX(Helper!$B$2:$B$5,MATCH(cadangan[[#This Row],[Marketplace]],Helper!$A$2:$A$5,0)),TEXT(cadangan[[#This Row],[No]],"0000"),"-",TEXT(cadangan[[#This Row],[Tanggal terjual]],"dd/mm/yy"))</f>
        <v>ORD-SP0461-02/04/23</v>
      </c>
      <c r="C462" s="39" t="s">
        <v>64</v>
      </c>
      <c r="D462" s="39" t="str">
        <f>IFERROR(INDEX(Katalog!$A$3:$A$12,MATCH(cadangan[[#This Row],[ItemID A]],Katalog!$C$3:$C$12,0)),"-")</f>
        <v>Pakaian Unisex</v>
      </c>
      <c r="E462" s="39" t="str">
        <f>IFERROR(INDEX(Katalog!$B$3:$B$12,MATCH(cadangan[[#This Row],[ItemID A]],Katalog!$C$3:$C$12,0)),"-")</f>
        <v>Jaket Hoodie</v>
      </c>
      <c r="F462" s="50">
        <v>1</v>
      </c>
      <c r="G462" s="50">
        <v>5</v>
      </c>
      <c r="H462" s="73">
        <f>IFERROR(INDEX(Katalog!$D$3:$D$12,MATCH(cadangan[[#This Row],[ItemID A]],Katalog!$C$3:$C$12,0))*cadangan[[#This Row],[Qty A]],0)</f>
        <v>350000</v>
      </c>
      <c r="I462" s="73">
        <f>IFERROR(cadangan[[#This Row],[Harga Normal A]]-(cadangan[[#This Row],[Harga Normal A]]*cadangan[[#This Row],[Diskon]]),cadangan[[#This Row],[Harga Normal A]])</f>
        <v>297500</v>
      </c>
      <c r="J462" s="73">
        <f>INDEX(Katalog!$F$3:$F$12,MATCH(cadangan[[#This Row],[ItemID A]],Katalog!$C$3:$C$12,0))*cadangan[[#This Row],[Qty A]]</f>
        <v>130000</v>
      </c>
      <c r="K462" s="73">
        <f>IFERROR(cadangan[[#This Row],[Harga Diskon A]]-INDEX(Katalog!$E$3:$E$12,MATCH(cadangan[[#This Row],[ItemID A]],Katalog!$C$3:$C$12,0))*cadangan[[#This Row],[Qty A]],0)</f>
        <v>77500</v>
      </c>
      <c r="M462" s="39" t="str">
        <f>IFERROR(INDEX(Katalog!$A$3:$A$12,MATCH(cadangan[[#This Row],[ItemID B]],Katalog!$C$3:$C$12,0)),"-")</f>
        <v>-</v>
      </c>
      <c r="N462" s="39" t="str">
        <f>IFERROR(INDEX(Katalog!$B$3:$B$12,MATCH(cadangan[[#This Row],[ItemID B]],Katalog!$C$3:$C$12,0)),"-")</f>
        <v>-</v>
      </c>
      <c r="Q462" s="73">
        <f>IFERROR(INDEX(Katalog!$D$3:$D$12,MATCH(cadangan[[#This Row],[ItemID B]],Katalog!$C$3:$C$12,0))*cadangan[[#This Row],[Qty B]],0)</f>
        <v>0</v>
      </c>
      <c r="R462" s="73">
        <f>IFERROR(cadangan[[#This Row],[Harga Normal B]]-(cadangan[[#This Row],[Harga Normal B]]*cadangan[[#This Row],[Diskon]]),cadangan[[#This Row],[Harga Normal B]])</f>
        <v>0</v>
      </c>
      <c r="S462" s="73">
        <f>IFERROR(INDEX(Katalog!$F$3:$F$12,MATCH(cadangan[[#This Row],[ItemID B]],Katalog!$C$3:$C$12,0))*cadangan[[#This Row],[Qty B]],0)</f>
        <v>0</v>
      </c>
      <c r="T462" s="73">
        <f>IFERROR(cadangan[[#This Row],[Harga Diskon B]]-INDEX(Katalog!$E$3:$E$12,MATCH(cadangan[[#This Row],[ItemID B]],Katalog!$C$3:$C$12,0))*cadangan[[#This Row],[Qty B]],0)</f>
        <v>0</v>
      </c>
      <c r="V462" s="39" t="str">
        <f>IFERROR(INDEX(Katalog!$A$3:$A$12,MATCH(cadangan[[#This Row],[ItemID C]],Katalog!$C$3:$C$12,0)),"-")</f>
        <v>-</v>
      </c>
      <c r="W462" s="39" t="str">
        <f>IFERROR(INDEX(Katalog!$B$3:$B$12,MATCH(cadangan[[#This Row],[ItemID C]],Katalog!$C$3:$C$12,0)),"-")</f>
        <v>-</v>
      </c>
      <c r="Z462" s="73">
        <f>IFERROR(INDEX(Katalog!$D$3:$D$12,MATCH(cadangan[[#This Row],[ItemID C]],Katalog!$C$3:$C$12,0))*cadangan[[#This Row],[Qty C]],0)</f>
        <v>0</v>
      </c>
      <c r="AA462" s="73">
        <f>IFERROR(cadangan[[#This Row],[Harga Normal C]]-(cadangan[[#This Row],[Harga Normal C]]*cadangan[[#This Row],[Diskon]]),cadangan[[#This Row],[Harga Normal C]])</f>
        <v>0</v>
      </c>
      <c r="AB462" s="73">
        <f>IFERROR(INDEX(Katalog!$F$3:$F$12,MATCH(cadangan[[#This Row],[ItemID C]],Katalog!$C$3:$C$12,0))*cadangan[[#This Row],[Qty C]],0)</f>
        <v>0</v>
      </c>
      <c r="AC462" s="73">
        <f>IFERROR(cadangan[[#This Row],[Harga Diskon C]]-INDEX(Katalog!$E$3:$E$12,MATCH(cadangan[[#This Row],[ItemID C]],Katalog!$C$3:$C$12,0))*cadangan[[#This Row],[Qty C]],0)</f>
        <v>0</v>
      </c>
      <c r="AD462" s="53">
        <f>cadangan[[#This Row],[Qty A]]+cadangan[[#This Row],[Qty B]]+cadangan[[#This Row],[Qty C]]</f>
        <v>1</v>
      </c>
      <c r="AE462" s="73">
        <f>cadangan[[#This Row],[Harga Normal A]]+cadangan[[#This Row],[Harga Normal B]]+cadangan[[#This Row],[Harga Normal C]]</f>
        <v>350000</v>
      </c>
      <c r="AF462" s="73">
        <f>cadangan[[#This Row],[Harga Diskon A]]+cadangan[[#This Row],[Harga Diskon B]]+cadangan[[#This Row],[Harga Diskon C]]</f>
        <v>297500</v>
      </c>
      <c r="AG462" s="73">
        <f>(cadangan[[#This Row],[Profit Normal A]]+cadangan[[#This Row],[Profit Normal B]]+cadangan[[#This Row],[Profit Normal C]])</f>
        <v>130000</v>
      </c>
      <c r="AH462" s="73">
        <f>cadangan[[#This Row],[Profit Diskon A]]+cadangan[[#This Row],[Profit Diskon B]]+cadangan[[#This Row],[Profit Diskon C]]</f>
        <v>77500</v>
      </c>
      <c r="AI462" s="23" t="s">
        <v>13</v>
      </c>
      <c r="AJ462" s="37">
        <f>IFERROR(INDEX('Kode Diskon'!$D$3:$D$9,MATCH(cadangan[[#This Row],[Kode diskon]],'Kode Diskon'!$C$3:$C$9,0)),"-")</f>
        <v>0.15</v>
      </c>
      <c r="AK462" s="23" t="s">
        <v>29</v>
      </c>
      <c r="AL462" s="23" t="s">
        <v>7</v>
      </c>
      <c r="AM462" s="23" t="s">
        <v>76</v>
      </c>
      <c r="AN462" s="55">
        <v>45018</v>
      </c>
      <c r="AO462" s="53">
        <f>DAY(cadangan[[#This Row],[Tanggal terjual]])</f>
        <v>2</v>
      </c>
      <c r="AP462" s="21" t="str">
        <f>TEXT(cadangan[[#This Row],[Tanggal terjual]],"dddd")</f>
        <v>Sunday</v>
      </c>
      <c r="AQ462" s="23" t="str" cm="1">
        <f t="array" ref="AQ4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62" s="61">
        <f>AVERAGE(cadangan[[#This Row],[Rating A]],cadangan[[#This Row],[Rating B]],cadangan[[#This Row],[Rating C]])</f>
        <v>5</v>
      </c>
    </row>
    <row r="463" spans="1:44" x14ac:dyDescent="0.2">
      <c r="A463" s="20">
        <v>462</v>
      </c>
      <c r="B463" s="21" t="str">
        <f>_xlfn.CONCAT("ORD-",INDEX(Helper!$B$2:$B$5,MATCH(cadangan[[#This Row],[Marketplace]],Helper!$A$2:$A$5,0)),TEXT(cadangan[[#This Row],[No]],"0000"),"-",TEXT(cadangan[[#This Row],[Tanggal terjual]],"dd/mm/yy"))</f>
        <v>ORD-SP0462-27/04/23</v>
      </c>
      <c r="C463" s="39" t="s">
        <v>60</v>
      </c>
      <c r="D463" s="39" t="str">
        <f>IFERROR(INDEX(Katalog!$A$3:$A$12,MATCH(cadangan[[#This Row],[ItemID A]],Katalog!$C$3:$C$12,0)),"-")</f>
        <v>Pakaian Wanita</v>
      </c>
      <c r="E463" s="39" t="str">
        <f>IFERROR(INDEX(Katalog!$B$3:$B$12,MATCH(cadangan[[#This Row],[ItemID A]],Katalog!$C$3:$C$12,0)),"-")</f>
        <v>Kaftan</v>
      </c>
      <c r="F463" s="50">
        <v>2</v>
      </c>
      <c r="G463" s="50">
        <v>4</v>
      </c>
      <c r="H463" s="73">
        <f>IFERROR(INDEX(Katalog!$D$3:$D$12,MATCH(cadangan[[#This Row],[ItemID A]],Katalog!$C$3:$C$12,0))*cadangan[[#This Row],[Qty A]],0)</f>
        <v>500000</v>
      </c>
      <c r="I463" s="73">
        <f>IFERROR(cadangan[[#This Row],[Harga Normal A]]-(cadangan[[#This Row],[Harga Normal A]]*cadangan[[#This Row],[Diskon]]),cadangan[[#This Row],[Harga Normal A]])</f>
        <v>400000</v>
      </c>
      <c r="J463" s="73">
        <f>INDEX(Katalog!$F$3:$F$12,MATCH(cadangan[[#This Row],[ItemID A]],Katalog!$C$3:$C$12,0))*cadangan[[#This Row],[Qty A]]</f>
        <v>200000</v>
      </c>
      <c r="K463" s="73">
        <f>IFERROR(cadangan[[#This Row],[Harga Diskon A]]-INDEX(Katalog!$E$3:$E$12,MATCH(cadangan[[#This Row],[ItemID A]],Katalog!$C$3:$C$12,0))*cadangan[[#This Row],[Qty A]],0)</f>
        <v>100000</v>
      </c>
      <c r="M463" s="39" t="str">
        <f>IFERROR(INDEX(Katalog!$A$3:$A$12,MATCH(cadangan[[#This Row],[ItemID B]],Katalog!$C$3:$C$12,0)),"-")</f>
        <v>-</v>
      </c>
      <c r="N463" s="39" t="str">
        <f>IFERROR(INDEX(Katalog!$B$3:$B$12,MATCH(cadangan[[#This Row],[ItemID B]],Katalog!$C$3:$C$12,0)),"-")</f>
        <v>-</v>
      </c>
      <c r="Q463" s="73">
        <f>IFERROR(INDEX(Katalog!$D$3:$D$12,MATCH(cadangan[[#This Row],[ItemID B]],Katalog!$C$3:$C$12,0))*cadangan[[#This Row],[Qty B]],0)</f>
        <v>0</v>
      </c>
      <c r="R463" s="73">
        <f>IFERROR(cadangan[[#This Row],[Harga Normal B]]-(cadangan[[#This Row],[Harga Normal B]]*cadangan[[#This Row],[Diskon]]),cadangan[[#This Row],[Harga Normal B]])</f>
        <v>0</v>
      </c>
      <c r="S463" s="73">
        <f>IFERROR(INDEX(Katalog!$F$3:$F$12,MATCH(cadangan[[#This Row],[ItemID B]],Katalog!$C$3:$C$12,0))*cadangan[[#This Row],[Qty B]],0)</f>
        <v>0</v>
      </c>
      <c r="T463" s="73">
        <f>IFERROR(cadangan[[#This Row],[Harga Diskon B]]-INDEX(Katalog!$E$3:$E$12,MATCH(cadangan[[#This Row],[ItemID B]],Katalog!$C$3:$C$12,0))*cadangan[[#This Row],[Qty B]],0)</f>
        <v>0</v>
      </c>
      <c r="V463" s="39" t="str">
        <f>IFERROR(INDEX(Katalog!$A$3:$A$12,MATCH(cadangan[[#This Row],[ItemID C]],Katalog!$C$3:$C$12,0)),"-")</f>
        <v>-</v>
      </c>
      <c r="W463" s="39" t="str">
        <f>IFERROR(INDEX(Katalog!$B$3:$B$12,MATCH(cadangan[[#This Row],[ItemID C]],Katalog!$C$3:$C$12,0)),"-")</f>
        <v>-</v>
      </c>
      <c r="Z463" s="73">
        <f>IFERROR(INDEX(Katalog!$D$3:$D$12,MATCH(cadangan[[#This Row],[ItemID C]],Katalog!$C$3:$C$12,0))*cadangan[[#This Row],[Qty C]],0)</f>
        <v>0</v>
      </c>
      <c r="AA463" s="73">
        <f>IFERROR(cadangan[[#This Row],[Harga Normal C]]-(cadangan[[#This Row],[Harga Normal C]]*cadangan[[#This Row],[Diskon]]),cadangan[[#This Row],[Harga Normal C]])</f>
        <v>0</v>
      </c>
      <c r="AB463" s="73">
        <f>IFERROR(INDEX(Katalog!$F$3:$F$12,MATCH(cadangan[[#This Row],[ItemID C]],Katalog!$C$3:$C$12,0))*cadangan[[#This Row],[Qty C]],0)</f>
        <v>0</v>
      </c>
      <c r="AC463" s="73">
        <f>IFERROR(cadangan[[#This Row],[Harga Diskon C]]-INDEX(Katalog!$E$3:$E$12,MATCH(cadangan[[#This Row],[ItemID C]],Katalog!$C$3:$C$12,0))*cadangan[[#This Row],[Qty C]],0)</f>
        <v>0</v>
      </c>
      <c r="AD463" s="53">
        <f>cadangan[[#This Row],[Qty A]]+cadangan[[#This Row],[Qty B]]+cadangan[[#This Row],[Qty C]]</f>
        <v>2</v>
      </c>
      <c r="AE463" s="73">
        <f>cadangan[[#This Row],[Harga Normal A]]+cadangan[[#This Row],[Harga Normal B]]+cadangan[[#This Row],[Harga Normal C]]</f>
        <v>500000</v>
      </c>
      <c r="AF463" s="73">
        <f>cadangan[[#This Row],[Harga Diskon A]]+cadangan[[#This Row],[Harga Diskon B]]+cadangan[[#This Row],[Harga Diskon C]]</f>
        <v>400000</v>
      </c>
      <c r="AG463" s="73">
        <f>(cadangan[[#This Row],[Profit Normal A]]+cadangan[[#This Row],[Profit Normal B]]+cadangan[[#This Row],[Profit Normal C]])</f>
        <v>200000</v>
      </c>
      <c r="AH463" s="73">
        <f>cadangan[[#This Row],[Profit Diskon A]]+cadangan[[#This Row],[Profit Diskon B]]+cadangan[[#This Row],[Profit Diskon C]]</f>
        <v>100000</v>
      </c>
      <c r="AI463" s="23" t="s">
        <v>8</v>
      </c>
      <c r="AJ463" s="37">
        <f>IFERROR(INDEX('Kode Diskon'!$D$3:$D$9,MATCH(cadangan[[#This Row],[Kode diskon]],'Kode Diskon'!$C$3:$C$9,0)),"-")</f>
        <v>0.2</v>
      </c>
      <c r="AK463" s="23" t="s">
        <v>9</v>
      </c>
      <c r="AL463" s="23" t="s">
        <v>7</v>
      </c>
      <c r="AM463" s="23" t="s">
        <v>80</v>
      </c>
      <c r="AN463" s="55">
        <v>45043</v>
      </c>
      <c r="AO463" s="53">
        <f>DAY(cadangan[[#This Row],[Tanggal terjual]])</f>
        <v>27</v>
      </c>
      <c r="AP463" s="21" t="str">
        <f>TEXT(cadangan[[#This Row],[Tanggal terjual]],"dddd")</f>
        <v>Thursday</v>
      </c>
      <c r="AQ463" s="23" t="str" cm="1">
        <f t="array" ref="AQ4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63" s="61">
        <f>AVERAGE(cadangan[[#This Row],[Rating A]],cadangan[[#This Row],[Rating B]],cadangan[[#This Row],[Rating C]])</f>
        <v>4</v>
      </c>
    </row>
    <row r="464" spans="1:44" x14ac:dyDescent="0.2">
      <c r="A464" s="20">
        <v>463</v>
      </c>
      <c r="B464" s="21" t="str">
        <f>_xlfn.CONCAT("ORD-",INDEX(Helper!$B$2:$B$5,MATCH(cadangan[[#This Row],[Marketplace]],Helper!$A$2:$A$5,0)),TEXT(cadangan[[#This Row],[No]],"0000"),"-",TEXT(cadangan[[#This Row],[Tanggal terjual]],"dd/mm/yy"))</f>
        <v>ORD-TK0463-17/04/23</v>
      </c>
      <c r="C464" s="39" t="s">
        <v>67</v>
      </c>
      <c r="D464" s="39" t="str">
        <f>IFERROR(INDEX(Katalog!$A$3:$A$12,MATCH(cadangan[[#This Row],[ItemID A]],Katalog!$C$3:$C$12,0)),"-")</f>
        <v>Sepatu Wanita</v>
      </c>
      <c r="E464" s="39" t="str">
        <f>IFERROR(INDEX(Katalog!$B$3:$B$12,MATCH(cadangan[[#This Row],[ItemID A]],Katalog!$C$3:$C$12,0)),"-")</f>
        <v>Flat Shoes</v>
      </c>
      <c r="F464" s="50">
        <v>4</v>
      </c>
      <c r="G464" s="50">
        <v>2</v>
      </c>
      <c r="H464" s="73">
        <f>IFERROR(INDEX(Katalog!$D$3:$D$12,MATCH(cadangan[[#This Row],[ItemID A]],Katalog!$C$3:$C$12,0))*cadangan[[#This Row],[Qty A]],0)</f>
        <v>1000000</v>
      </c>
      <c r="I464" s="73">
        <f>IFERROR(cadangan[[#This Row],[Harga Normal A]]-(cadangan[[#This Row],[Harga Normal A]]*cadangan[[#This Row],[Diskon]]),cadangan[[#This Row],[Harga Normal A]])</f>
        <v>900000</v>
      </c>
      <c r="J464" s="73">
        <f>INDEX(Katalog!$F$3:$F$12,MATCH(cadangan[[#This Row],[ItemID A]],Katalog!$C$3:$C$12,0))*cadangan[[#This Row],[Qty A]]</f>
        <v>400000</v>
      </c>
      <c r="K464" s="73">
        <f>IFERROR(cadangan[[#This Row],[Harga Diskon A]]-INDEX(Katalog!$E$3:$E$12,MATCH(cadangan[[#This Row],[ItemID A]],Katalog!$C$3:$C$12,0))*cadangan[[#This Row],[Qty A]],0)</f>
        <v>300000</v>
      </c>
      <c r="L464" s="39" t="s">
        <v>60</v>
      </c>
      <c r="M464" s="39" t="str">
        <f>IFERROR(INDEX(Katalog!$A$3:$A$12,MATCH(cadangan[[#This Row],[ItemID B]],Katalog!$C$3:$C$12,0)),"-")</f>
        <v>Pakaian Wanita</v>
      </c>
      <c r="N464" s="39" t="str">
        <f>IFERROR(INDEX(Katalog!$B$3:$B$12,MATCH(cadangan[[#This Row],[ItemID B]],Katalog!$C$3:$C$12,0)),"-")</f>
        <v>Kaftan</v>
      </c>
      <c r="O464" s="50">
        <v>3</v>
      </c>
      <c r="P464" s="50">
        <v>1</v>
      </c>
      <c r="Q464" s="73">
        <f>IFERROR(INDEX(Katalog!$D$3:$D$12,MATCH(cadangan[[#This Row],[ItemID B]],Katalog!$C$3:$C$12,0))*cadangan[[#This Row],[Qty B]],0)</f>
        <v>750000</v>
      </c>
      <c r="R464" s="73">
        <f>IFERROR(cadangan[[#This Row],[Harga Normal B]]-(cadangan[[#This Row],[Harga Normal B]]*cadangan[[#This Row],[Diskon]]),cadangan[[#This Row],[Harga Normal B]])</f>
        <v>675000</v>
      </c>
      <c r="S464" s="73">
        <f>IFERROR(INDEX(Katalog!$F$3:$F$12,MATCH(cadangan[[#This Row],[ItemID B]],Katalog!$C$3:$C$12,0))*cadangan[[#This Row],[Qty B]],0)</f>
        <v>300000</v>
      </c>
      <c r="T464" s="73">
        <f>IFERROR(cadangan[[#This Row],[Harga Diskon B]]-INDEX(Katalog!$E$3:$E$12,MATCH(cadangan[[#This Row],[ItemID B]],Katalog!$C$3:$C$12,0))*cadangan[[#This Row],[Qty B]],0)</f>
        <v>225000</v>
      </c>
      <c r="V464" s="39" t="str">
        <f>IFERROR(INDEX(Katalog!$A$3:$A$12,MATCH(cadangan[[#This Row],[ItemID C]],Katalog!$C$3:$C$12,0)),"-")</f>
        <v>-</v>
      </c>
      <c r="W464" s="39" t="str">
        <f>IFERROR(INDEX(Katalog!$B$3:$B$12,MATCH(cadangan[[#This Row],[ItemID C]],Katalog!$C$3:$C$12,0)),"-")</f>
        <v>-</v>
      </c>
      <c r="Z464" s="73">
        <f>IFERROR(INDEX(Katalog!$D$3:$D$12,MATCH(cadangan[[#This Row],[ItemID C]],Katalog!$C$3:$C$12,0))*cadangan[[#This Row],[Qty C]],0)</f>
        <v>0</v>
      </c>
      <c r="AA464" s="73">
        <f>IFERROR(cadangan[[#This Row],[Harga Normal C]]-(cadangan[[#This Row],[Harga Normal C]]*cadangan[[#This Row],[Diskon]]),cadangan[[#This Row],[Harga Normal C]])</f>
        <v>0</v>
      </c>
      <c r="AB464" s="73">
        <f>IFERROR(INDEX(Katalog!$F$3:$F$12,MATCH(cadangan[[#This Row],[ItemID C]],Katalog!$C$3:$C$12,0))*cadangan[[#This Row],[Qty C]],0)</f>
        <v>0</v>
      </c>
      <c r="AC464" s="73">
        <f>IFERROR(cadangan[[#This Row],[Harga Diskon C]]-INDEX(Katalog!$E$3:$E$12,MATCH(cadangan[[#This Row],[ItemID C]],Katalog!$C$3:$C$12,0))*cadangan[[#This Row],[Qty C]],0)</f>
        <v>0</v>
      </c>
      <c r="AD464" s="53">
        <f>cadangan[[#This Row],[Qty A]]+cadangan[[#This Row],[Qty B]]+cadangan[[#This Row],[Qty C]]</f>
        <v>7</v>
      </c>
      <c r="AE464" s="73">
        <f>cadangan[[#This Row],[Harga Normal A]]+cadangan[[#This Row],[Harga Normal B]]+cadangan[[#This Row],[Harga Normal C]]</f>
        <v>1750000</v>
      </c>
      <c r="AF464" s="73">
        <f>cadangan[[#This Row],[Harga Diskon A]]+cadangan[[#This Row],[Harga Diskon B]]+cadangan[[#This Row],[Harga Diskon C]]</f>
        <v>1575000</v>
      </c>
      <c r="AG464" s="73">
        <f>(cadangan[[#This Row],[Profit Normal A]]+cadangan[[#This Row],[Profit Normal B]]+cadangan[[#This Row],[Profit Normal C]])</f>
        <v>700000</v>
      </c>
      <c r="AH464" s="73">
        <f>cadangan[[#This Row],[Profit Diskon A]]+cadangan[[#This Row],[Profit Diskon B]]+cadangan[[#This Row],[Profit Diskon C]]</f>
        <v>525000</v>
      </c>
      <c r="AI464" s="23" t="s">
        <v>31</v>
      </c>
      <c r="AJ464" s="37">
        <f>IFERROR(INDEX('Kode Diskon'!$D$3:$D$9,MATCH(cadangan[[#This Row],[Kode diskon]],'Kode Diskon'!$C$3:$C$9,0)),"-")</f>
        <v>0.1</v>
      </c>
      <c r="AK464" s="23" t="s">
        <v>9</v>
      </c>
      <c r="AL464" s="23" t="s">
        <v>10</v>
      </c>
      <c r="AM464" s="23" t="s">
        <v>80</v>
      </c>
      <c r="AN464" s="55">
        <v>45033</v>
      </c>
      <c r="AO464" s="53">
        <f>DAY(cadangan[[#This Row],[Tanggal terjual]])</f>
        <v>17</v>
      </c>
      <c r="AP464" s="21" t="str">
        <f>TEXT(cadangan[[#This Row],[Tanggal terjual]],"dddd")</f>
        <v>Monday</v>
      </c>
      <c r="AQ464" s="23" t="str" cm="1">
        <f t="array" ref="AQ4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64" s="61">
        <f>AVERAGE(cadangan[[#This Row],[Rating A]],cadangan[[#This Row],[Rating B]],cadangan[[#This Row],[Rating C]])</f>
        <v>1.5</v>
      </c>
    </row>
    <row r="465" spans="1:44" x14ac:dyDescent="0.2">
      <c r="A465" s="20">
        <v>464</v>
      </c>
      <c r="B465" s="21" t="str">
        <f>_xlfn.CONCAT("ORD-",INDEX(Helper!$B$2:$B$5,MATCH(cadangan[[#This Row],[Marketplace]],Helper!$A$2:$A$5,0)),TEXT(cadangan[[#This Row],[No]],"0000"),"-",TEXT(cadangan[[#This Row],[Tanggal terjual]],"dd/mm/yy"))</f>
        <v>ORD-TK0464-04/04/23</v>
      </c>
      <c r="C465" s="39" t="s">
        <v>65</v>
      </c>
      <c r="D465" s="39" t="str">
        <f>IFERROR(INDEX(Katalog!$A$3:$A$12,MATCH(cadangan[[#This Row],[ItemID A]],Katalog!$C$3:$C$12,0)),"-")</f>
        <v>Sepatu Pria</v>
      </c>
      <c r="E465" s="39" t="str">
        <f>IFERROR(INDEX(Katalog!$B$3:$B$12,MATCH(cadangan[[#This Row],[ItemID A]],Katalog!$C$3:$C$12,0)),"-")</f>
        <v>Sneakers</v>
      </c>
      <c r="F465" s="50">
        <v>2</v>
      </c>
      <c r="G465" s="50">
        <v>4</v>
      </c>
      <c r="H465" s="73">
        <f>IFERROR(INDEX(Katalog!$D$3:$D$12,MATCH(cadangan[[#This Row],[ItemID A]],Katalog!$C$3:$C$12,0))*cadangan[[#This Row],[Qty A]],0)</f>
        <v>1000000</v>
      </c>
      <c r="I465" s="73">
        <f>IFERROR(cadangan[[#This Row],[Harga Normal A]]-(cadangan[[#This Row],[Harga Normal A]]*cadangan[[#This Row],[Diskon]]),cadangan[[#This Row],[Harga Normal A]])</f>
        <v>900000</v>
      </c>
      <c r="J465" s="73">
        <f>INDEX(Katalog!$F$3:$F$12,MATCH(cadangan[[#This Row],[ItemID A]],Katalog!$C$3:$C$12,0))*cadangan[[#This Row],[Qty A]]</f>
        <v>400000</v>
      </c>
      <c r="K465" s="73">
        <f>IFERROR(cadangan[[#This Row],[Harga Diskon A]]-INDEX(Katalog!$E$3:$E$12,MATCH(cadangan[[#This Row],[ItemID A]],Katalog!$C$3:$C$12,0))*cadangan[[#This Row],[Qty A]],0)</f>
        <v>300000</v>
      </c>
      <c r="M465" s="39" t="str">
        <f>IFERROR(INDEX(Katalog!$A$3:$A$12,MATCH(cadangan[[#This Row],[ItemID B]],Katalog!$C$3:$C$12,0)),"-")</f>
        <v>-</v>
      </c>
      <c r="N465" s="39" t="str">
        <f>IFERROR(INDEX(Katalog!$B$3:$B$12,MATCH(cadangan[[#This Row],[ItemID B]],Katalog!$C$3:$C$12,0)),"-")</f>
        <v>-</v>
      </c>
      <c r="Q465" s="73">
        <f>IFERROR(INDEX(Katalog!$D$3:$D$12,MATCH(cadangan[[#This Row],[ItemID B]],Katalog!$C$3:$C$12,0))*cadangan[[#This Row],[Qty B]],0)</f>
        <v>0</v>
      </c>
      <c r="R465" s="73">
        <f>IFERROR(cadangan[[#This Row],[Harga Normal B]]-(cadangan[[#This Row],[Harga Normal B]]*cadangan[[#This Row],[Diskon]]),cadangan[[#This Row],[Harga Normal B]])</f>
        <v>0</v>
      </c>
      <c r="S465" s="73">
        <f>IFERROR(INDEX(Katalog!$F$3:$F$12,MATCH(cadangan[[#This Row],[ItemID B]],Katalog!$C$3:$C$12,0))*cadangan[[#This Row],[Qty B]],0)</f>
        <v>0</v>
      </c>
      <c r="T465" s="73">
        <f>IFERROR(cadangan[[#This Row],[Harga Diskon B]]-INDEX(Katalog!$E$3:$E$12,MATCH(cadangan[[#This Row],[ItemID B]],Katalog!$C$3:$C$12,0))*cadangan[[#This Row],[Qty B]],0)</f>
        <v>0</v>
      </c>
      <c r="V465" s="39" t="str">
        <f>IFERROR(INDEX(Katalog!$A$3:$A$12,MATCH(cadangan[[#This Row],[ItemID C]],Katalog!$C$3:$C$12,0)),"-")</f>
        <v>-</v>
      </c>
      <c r="W465" s="39" t="str">
        <f>IFERROR(INDEX(Katalog!$B$3:$B$12,MATCH(cadangan[[#This Row],[ItemID C]],Katalog!$C$3:$C$12,0)),"-")</f>
        <v>-</v>
      </c>
      <c r="Z465" s="73">
        <f>IFERROR(INDEX(Katalog!$D$3:$D$12,MATCH(cadangan[[#This Row],[ItemID C]],Katalog!$C$3:$C$12,0))*cadangan[[#This Row],[Qty C]],0)</f>
        <v>0</v>
      </c>
      <c r="AA465" s="73">
        <f>IFERROR(cadangan[[#This Row],[Harga Normal C]]-(cadangan[[#This Row],[Harga Normal C]]*cadangan[[#This Row],[Diskon]]),cadangan[[#This Row],[Harga Normal C]])</f>
        <v>0</v>
      </c>
      <c r="AB465" s="73">
        <f>IFERROR(INDEX(Katalog!$F$3:$F$12,MATCH(cadangan[[#This Row],[ItemID C]],Katalog!$C$3:$C$12,0))*cadangan[[#This Row],[Qty C]],0)</f>
        <v>0</v>
      </c>
      <c r="AC465" s="73">
        <f>IFERROR(cadangan[[#This Row],[Harga Diskon C]]-INDEX(Katalog!$E$3:$E$12,MATCH(cadangan[[#This Row],[ItemID C]],Katalog!$C$3:$C$12,0))*cadangan[[#This Row],[Qty C]],0)</f>
        <v>0</v>
      </c>
      <c r="AD465" s="53">
        <f>cadangan[[#This Row],[Qty A]]+cadangan[[#This Row],[Qty B]]+cadangan[[#This Row],[Qty C]]</f>
        <v>2</v>
      </c>
      <c r="AE465" s="73">
        <f>cadangan[[#This Row],[Harga Normal A]]+cadangan[[#This Row],[Harga Normal B]]+cadangan[[#This Row],[Harga Normal C]]</f>
        <v>1000000</v>
      </c>
      <c r="AF465" s="73">
        <f>cadangan[[#This Row],[Harga Diskon A]]+cadangan[[#This Row],[Harga Diskon B]]+cadangan[[#This Row],[Harga Diskon C]]</f>
        <v>900000</v>
      </c>
      <c r="AG465" s="73">
        <f>(cadangan[[#This Row],[Profit Normal A]]+cadangan[[#This Row],[Profit Normal B]]+cadangan[[#This Row],[Profit Normal C]])</f>
        <v>400000</v>
      </c>
      <c r="AH465" s="73">
        <f>cadangan[[#This Row],[Profit Diskon A]]+cadangan[[#This Row],[Profit Diskon B]]+cadangan[[#This Row],[Profit Diskon C]]</f>
        <v>300000</v>
      </c>
      <c r="AI465" s="23" t="s">
        <v>30</v>
      </c>
      <c r="AJ465" s="37">
        <f>IFERROR(INDEX('Kode Diskon'!$D$3:$D$9,MATCH(cadangan[[#This Row],[Kode diskon]],'Kode Diskon'!$C$3:$C$9,0)),"-")</f>
        <v>0.1</v>
      </c>
      <c r="AK465" s="23" t="s">
        <v>29</v>
      </c>
      <c r="AL465" s="23" t="s">
        <v>10</v>
      </c>
      <c r="AM465" s="23" t="s">
        <v>80</v>
      </c>
      <c r="AN465" s="55">
        <v>45020</v>
      </c>
      <c r="AO465" s="53">
        <f>DAY(cadangan[[#This Row],[Tanggal terjual]])</f>
        <v>4</v>
      </c>
      <c r="AP465" s="21" t="str">
        <f>TEXT(cadangan[[#This Row],[Tanggal terjual]],"dddd")</f>
        <v>Tuesday</v>
      </c>
      <c r="AQ465" s="23" t="str" cm="1">
        <f t="array" ref="AQ4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65" s="61">
        <f>AVERAGE(cadangan[[#This Row],[Rating A]],cadangan[[#This Row],[Rating B]],cadangan[[#This Row],[Rating C]])</f>
        <v>4</v>
      </c>
    </row>
    <row r="466" spans="1:44" x14ac:dyDescent="0.2">
      <c r="A466" s="20">
        <v>465</v>
      </c>
      <c r="B466" s="21" t="str">
        <f>_xlfn.CONCAT("ORD-",INDEX(Helper!$B$2:$B$5,MATCH(cadangan[[#This Row],[Marketplace]],Helper!$A$2:$A$5,0)),TEXT(cadangan[[#This Row],[No]],"0000"),"-",TEXT(cadangan[[#This Row],[Tanggal terjual]],"dd/mm/yy"))</f>
        <v>ORD-BL0465-18/04/23</v>
      </c>
      <c r="C466" s="39" t="s">
        <v>67</v>
      </c>
      <c r="D466" s="39" t="str">
        <f>IFERROR(INDEX(Katalog!$A$3:$A$12,MATCH(cadangan[[#This Row],[ItemID A]],Katalog!$C$3:$C$12,0)),"-")</f>
        <v>Sepatu Wanita</v>
      </c>
      <c r="E466" s="39" t="str">
        <f>IFERROR(INDEX(Katalog!$B$3:$B$12,MATCH(cadangan[[#This Row],[ItemID A]],Katalog!$C$3:$C$12,0)),"-")</f>
        <v>Flat Shoes</v>
      </c>
      <c r="F466" s="50">
        <v>1</v>
      </c>
      <c r="G466" s="50">
        <v>2</v>
      </c>
      <c r="H466" s="73">
        <f>IFERROR(INDEX(Katalog!$D$3:$D$12,MATCH(cadangan[[#This Row],[ItemID A]],Katalog!$C$3:$C$12,0))*cadangan[[#This Row],[Qty A]],0)</f>
        <v>250000</v>
      </c>
      <c r="I466" s="73">
        <f>IFERROR(cadangan[[#This Row],[Harga Normal A]]-(cadangan[[#This Row],[Harga Normal A]]*cadangan[[#This Row],[Diskon]]),cadangan[[#This Row],[Harga Normal A]])</f>
        <v>212500</v>
      </c>
      <c r="J466" s="73">
        <f>INDEX(Katalog!$F$3:$F$12,MATCH(cadangan[[#This Row],[ItemID A]],Katalog!$C$3:$C$12,0))*cadangan[[#This Row],[Qty A]]</f>
        <v>100000</v>
      </c>
      <c r="K466" s="73">
        <f>IFERROR(cadangan[[#This Row],[Harga Diskon A]]-INDEX(Katalog!$E$3:$E$12,MATCH(cadangan[[#This Row],[ItemID A]],Katalog!$C$3:$C$12,0))*cadangan[[#This Row],[Qty A]],0)</f>
        <v>62500</v>
      </c>
      <c r="M466" s="39" t="str">
        <f>IFERROR(INDEX(Katalog!$A$3:$A$12,MATCH(cadangan[[#This Row],[ItemID B]],Katalog!$C$3:$C$12,0)),"-")</f>
        <v>-</v>
      </c>
      <c r="N466" s="39" t="str">
        <f>IFERROR(INDEX(Katalog!$B$3:$B$12,MATCH(cadangan[[#This Row],[ItemID B]],Katalog!$C$3:$C$12,0)),"-")</f>
        <v>-</v>
      </c>
      <c r="Q466" s="73">
        <f>IFERROR(INDEX(Katalog!$D$3:$D$12,MATCH(cadangan[[#This Row],[ItemID B]],Katalog!$C$3:$C$12,0))*cadangan[[#This Row],[Qty B]],0)</f>
        <v>0</v>
      </c>
      <c r="R466" s="73">
        <f>IFERROR(cadangan[[#This Row],[Harga Normal B]]-(cadangan[[#This Row],[Harga Normal B]]*cadangan[[#This Row],[Diskon]]),cadangan[[#This Row],[Harga Normal B]])</f>
        <v>0</v>
      </c>
      <c r="S466" s="73">
        <f>IFERROR(INDEX(Katalog!$F$3:$F$12,MATCH(cadangan[[#This Row],[ItemID B]],Katalog!$C$3:$C$12,0))*cadangan[[#This Row],[Qty B]],0)</f>
        <v>0</v>
      </c>
      <c r="T466" s="73">
        <f>IFERROR(cadangan[[#This Row],[Harga Diskon B]]-INDEX(Katalog!$E$3:$E$12,MATCH(cadangan[[#This Row],[ItemID B]],Katalog!$C$3:$C$12,0))*cadangan[[#This Row],[Qty B]],0)</f>
        <v>0</v>
      </c>
      <c r="V466" s="39" t="str">
        <f>IFERROR(INDEX(Katalog!$A$3:$A$12,MATCH(cadangan[[#This Row],[ItemID C]],Katalog!$C$3:$C$12,0)),"-")</f>
        <v>-</v>
      </c>
      <c r="W466" s="39" t="str">
        <f>IFERROR(INDEX(Katalog!$B$3:$B$12,MATCH(cadangan[[#This Row],[ItemID C]],Katalog!$C$3:$C$12,0)),"-")</f>
        <v>-</v>
      </c>
      <c r="Z466" s="73">
        <f>IFERROR(INDEX(Katalog!$D$3:$D$12,MATCH(cadangan[[#This Row],[ItemID C]],Katalog!$C$3:$C$12,0))*cadangan[[#This Row],[Qty C]],0)</f>
        <v>0</v>
      </c>
      <c r="AA466" s="73">
        <f>IFERROR(cadangan[[#This Row],[Harga Normal C]]-(cadangan[[#This Row],[Harga Normal C]]*cadangan[[#This Row],[Diskon]]),cadangan[[#This Row],[Harga Normal C]])</f>
        <v>0</v>
      </c>
      <c r="AB466" s="73">
        <f>IFERROR(INDEX(Katalog!$F$3:$F$12,MATCH(cadangan[[#This Row],[ItemID C]],Katalog!$C$3:$C$12,0))*cadangan[[#This Row],[Qty C]],0)</f>
        <v>0</v>
      </c>
      <c r="AC466" s="73">
        <f>IFERROR(cadangan[[#This Row],[Harga Diskon C]]-INDEX(Katalog!$E$3:$E$12,MATCH(cadangan[[#This Row],[ItemID C]],Katalog!$C$3:$C$12,0))*cadangan[[#This Row],[Qty C]],0)</f>
        <v>0</v>
      </c>
      <c r="AD466" s="53">
        <f>cadangan[[#This Row],[Qty A]]+cadangan[[#This Row],[Qty B]]+cadangan[[#This Row],[Qty C]]</f>
        <v>1</v>
      </c>
      <c r="AE466" s="73">
        <f>cadangan[[#This Row],[Harga Normal A]]+cadangan[[#This Row],[Harga Normal B]]+cadangan[[#This Row],[Harga Normal C]]</f>
        <v>250000</v>
      </c>
      <c r="AF466" s="73">
        <f>cadangan[[#This Row],[Harga Diskon A]]+cadangan[[#This Row],[Harga Diskon B]]+cadangan[[#This Row],[Harga Diskon C]]</f>
        <v>212500</v>
      </c>
      <c r="AG466" s="73">
        <f>(cadangan[[#This Row],[Profit Normal A]]+cadangan[[#This Row],[Profit Normal B]]+cadangan[[#This Row],[Profit Normal C]])</f>
        <v>100000</v>
      </c>
      <c r="AH466" s="73">
        <f>cadangan[[#This Row],[Profit Diskon A]]+cadangan[[#This Row],[Profit Diskon B]]+cadangan[[#This Row],[Profit Diskon C]]</f>
        <v>62500</v>
      </c>
      <c r="AI466" s="23" t="s">
        <v>32</v>
      </c>
      <c r="AJ466" s="37">
        <f>IFERROR(INDEX('Kode Diskon'!$D$3:$D$9,MATCH(cadangan[[#This Row],[Kode diskon]],'Kode Diskon'!$C$3:$C$9,0)),"-")</f>
        <v>0.15</v>
      </c>
      <c r="AK466" s="23" t="s">
        <v>9</v>
      </c>
      <c r="AL466" s="23" t="s">
        <v>12</v>
      </c>
      <c r="AM466" s="23" t="s">
        <v>80</v>
      </c>
      <c r="AN466" s="55">
        <v>45034</v>
      </c>
      <c r="AO466" s="53">
        <f>DAY(cadangan[[#This Row],[Tanggal terjual]])</f>
        <v>18</v>
      </c>
      <c r="AP466" s="21" t="str">
        <f>TEXT(cadangan[[#This Row],[Tanggal terjual]],"dddd")</f>
        <v>Tuesday</v>
      </c>
      <c r="AQ466" s="23" t="str" cm="1">
        <f t="array" ref="AQ4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66" s="61">
        <f>AVERAGE(cadangan[[#This Row],[Rating A]],cadangan[[#This Row],[Rating B]],cadangan[[#This Row],[Rating C]])</f>
        <v>2</v>
      </c>
    </row>
    <row r="467" spans="1:44" x14ac:dyDescent="0.2">
      <c r="A467" s="20">
        <v>466</v>
      </c>
      <c r="B467" s="21" t="str">
        <f>_xlfn.CONCAT("ORD-",INDEX(Helper!$B$2:$B$5,MATCH(cadangan[[#This Row],[Marketplace]],Helper!$A$2:$A$5,0)),TEXT(cadangan[[#This Row],[No]],"0000"),"-",TEXT(cadangan[[#This Row],[Tanggal terjual]],"dd/mm/yy"))</f>
        <v>ORD-SP0466-05/04/23</v>
      </c>
      <c r="C467" s="39" t="s">
        <v>64</v>
      </c>
      <c r="D467" s="39" t="str">
        <f>IFERROR(INDEX(Katalog!$A$3:$A$12,MATCH(cadangan[[#This Row],[ItemID A]],Katalog!$C$3:$C$12,0)),"-")</f>
        <v>Pakaian Unisex</v>
      </c>
      <c r="E467" s="39" t="str">
        <f>IFERROR(INDEX(Katalog!$B$3:$B$12,MATCH(cadangan[[#This Row],[ItemID A]],Katalog!$C$3:$C$12,0)),"-")</f>
        <v>Jaket Hoodie</v>
      </c>
      <c r="F467" s="50">
        <v>1</v>
      </c>
      <c r="G467" s="50">
        <v>1</v>
      </c>
      <c r="H467" s="73">
        <f>IFERROR(INDEX(Katalog!$D$3:$D$12,MATCH(cadangan[[#This Row],[ItemID A]],Katalog!$C$3:$C$12,0))*cadangan[[#This Row],[Qty A]],0)</f>
        <v>350000</v>
      </c>
      <c r="I467" s="73">
        <f>IFERROR(cadangan[[#This Row],[Harga Normal A]]-(cadangan[[#This Row],[Harga Normal A]]*cadangan[[#This Row],[Diskon]]),cadangan[[#This Row],[Harga Normal A]])</f>
        <v>297500</v>
      </c>
      <c r="J467" s="73">
        <f>INDEX(Katalog!$F$3:$F$12,MATCH(cadangan[[#This Row],[ItemID A]],Katalog!$C$3:$C$12,0))*cadangan[[#This Row],[Qty A]]</f>
        <v>130000</v>
      </c>
      <c r="K467" s="73">
        <f>IFERROR(cadangan[[#This Row],[Harga Diskon A]]-INDEX(Katalog!$E$3:$E$12,MATCH(cadangan[[#This Row],[ItemID A]],Katalog!$C$3:$C$12,0))*cadangan[[#This Row],[Qty A]],0)</f>
        <v>77500</v>
      </c>
      <c r="L467" s="39" t="s">
        <v>62</v>
      </c>
      <c r="M467" s="39" t="str">
        <f>IFERROR(INDEX(Katalog!$A$3:$A$12,MATCH(cadangan[[#This Row],[ItemID B]],Katalog!$C$3:$C$12,0)),"-")</f>
        <v>Pakaian Pria</v>
      </c>
      <c r="N467" s="39" t="str">
        <f>IFERROR(INDEX(Katalog!$B$3:$B$12,MATCH(cadangan[[#This Row],[ItemID B]],Katalog!$C$3:$C$12,0)),"-")</f>
        <v>Celana Pendek</v>
      </c>
      <c r="O467" s="50">
        <v>1</v>
      </c>
      <c r="P467" s="50">
        <v>4</v>
      </c>
      <c r="Q467" s="73">
        <f>IFERROR(INDEX(Katalog!$D$3:$D$12,MATCH(cadangan[[#This Row],[ItemID B]],Katalog!$C$3:$C$12,0))*cadangan[[#This Row],[Qty B]],0)</f>
        <v>180000</v>
      </c>
      <c r="R467" s="73">
        <f>IFERROR(cadangan[[#This Row],[Harga Normal B]]-(cadangan[[#This Row],[Harga Normal B]]*cadangan[[#This Row],[Diskon]]),cadangan[[#This Row],[Harga Normal B]])</f>
        <v>153000</v>
      </c>
      <c r="S467" s="73">
        <f>IFERROR(INDEX(Katalog!$F$3:$F$12,MATCH(cadangan[[#This Row],[ItemID B]],Katalog!$C$3:$C$12,0))*cadangan[[#This Row],[Qty B]],0)</f>
        <v>70000</v>
      </c>
      <c r="T467" s="73">
        <f>IFERROR(cadangan[[#This Row],[Harga Diskon B]]-INDEX(Katalog!$E$3:$E$12,MATCH(cadangan[[#This Row],[ItemID B]],Katalog!$C$3:$C$12,0))*cadangan[[#This Row],[Qty B]],0)</f>
        <v>43000</v>
      </c>
      <c r="V467" s="39" t="str">
        <f>IFERROR(INDEX(Katalog!$A$3:$A$12,MATCH(cadangan[[#This Row],[ItemID C]],Katalog!$C$3:$C$12,0)),"-")</f>
        <v>-</v>
      </c>
      <c r="W467" s="39" t="str">
        <f>IFERROR(INDEX(Katalog!$B$3:$B$12,MATCH(cadangan[[#This Row],[ItemID C]],Katalog!$C$3:$C$12,0)),"-")</f>
        <v>-</v>
      </c>
      <c r="Z467" s="73">
        <f>IFERROR(INDEX(Katalog!$D$3:$D$12,MATCH(cadangan[[#This Row],[ItemID C]],Katalog!$C$3:$C$12,0))*cadangan[[#This Row],[Qty C]],0)</f>
        <v>0</v>
      </c>
      <c r="AA467" s="73">
        <f>IFERROR(cadangan[[#This Row],[Harga Normal C]]-(cadangan[[#This Row],[Harga Normal C]]*cadangan[[#This Row],[Diskon]]),cadangan[[#This Row],[Harga Normal C]])</f>
        <v>0</v>
      </c>
      <c r="AB467" s="73">
        <f>IFERROR(INDEX(Katalog!$F$3:$F$12,MATCH(cadangan[[#This Row],[ItemID C]],Katalog!$C$3:$C$12,0))*cadangan[[#This Row],[Qty C]],0)</f>
        <v>0</v>
      </c>
      <c r="AC467" s="73">
        <f>IFERROR(cadangan[[#This Row],[Harga Diskon C]]-INDEX(Katalog!$E$3:$E$12,MATCH(cadangan[[#This Row],[ItemID C]],Katalog!$C$3:$C$12,0))*cadangan[[#This Row],[Qty C]],0)</f>
        <v>0</v>
      </c>
      <c r="AD467" s="53">
        <f>cadangan[[#This Row],[Qty A]]+cadangan[[#This Row],[Qty B]]+cadangan[[#This Row],[Qty C]]</f>
        <v>2</v>
      </c>
      <c r="AE467" s="73">
        <f>cadangan[[#This Row],[Harga Normal A]]+cadangan[[#This Row],[Harga Normal B]]+cadangan[[#This Row],[Harga Normal C]]</f>
        <v>530000</v>
      </c>
      <c r="AF467" s="73">
        <f>cadangan[[#This Row],[Harga Diskon A]]+cadangan[[#This Row],[Harga Diskon B]]+cadangan[[#This Row],[Harga Diskon C]]</f>
        <v>450500</v>
      </c>
      <c r="AG467" s="73">
        <f>(cadangan[[#This Row],[Profit Normal A]]+cadangan[[#This Row],[Profit Normal B]]+cadangan[[#This Row],[Profit Normal C]])</f>
        <v>200000</v>
      </c>
      <c r="AH467" s="73">
        <f>cadangan[[#This Row],[Profit Diskon A]]+cadangan[[#This Row],[Profit Diskon B]]+cadangan[[#This Row],[Profit Diskon C]]</f>
        <v>120500</v>
      </c>
      <c r="AI467" s="23" t="s">
        <v>13</v>
      </c>
      <c r="AJ467" s="37">
        <f>IFERROR(INDEX('Kode Diskon'!$D$3:$D$9,MATCH(cadangan[[#This Row],[Kode diskon]],'Kode Diskon'!$C$3:$C$9,0)),"-")</f>
        <v>0.15</v>
      </c>
      <c r="AK467" s="23" t="s">
        <v>29</v>
      </c>
      <c r="AL467" s="23" t="s">
        <v>7</v>
      </c>
      <c r="AM467" s="23" t="s">
        <v>80</v>
      </c>
      <c r="AN467" s="55">
        <v>45021</v>
      </c>
      <c r="AO467" s="53">
        <f>DAY(cadangan[[#This Row],[Tanggal terjual]])</f>
        <v>5</v>
      </c>
      <c r="AP467" s="21" t="str">
        <f>TEXT(cadangan[[#This Row],[Tanggal terjual]],"dddd")</f>
        <v>Wednesday</v>
      </c>
      <c r="AQ467" s="23" t="str" cm="1">
        <f t="array" ref="AQ4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67" s="61">
        <f>AVERAGE(cadangan[[#This Row],[Rating A]],cadangan[[#This Row],[Rating B]],cadangan[[#This Row],[Rating C]])</f>
        <v>2.5</v>
      </c>
    </row>
    <row r="468" spans="1:44" x14ac:dyDescent="0.2">
      <c r="A468" s="20">
        <v>467</v>
      </c>
      <c r="B468" s="21" t="str">
        <f>_xlfn.CONCAT("ORD-",INDEX(Helper!$B$2:$B$5,MATCH(cadangan[[#This Row],[Marketplace]],Helper!$A$2:$A$5,0)),TEXT(cadangan[[#This Row],[No]],"0000"),"-",TEXT(cadangan[[#This Row],[Tanggal terjual]],"dd/mm/yy"))</f>
        <v>ORD-TK0467-25/04/23</v>
      </c>
      <c r="C468" s="39" t="s">
        <v>61</v>
      </c>
      <c r="D468" s="39" t="str">
        <f>IFERROR(INDEX(Katalog!$A$3:$A$12,MATCH(cadangan[[#This Row],[ItemID A]],Katalog!$C$3:$C$12,0)),"-")</f>
        <v>Pakaian Pria</v>
      </c>
      <c r="E468" s="39" t="str">
        <f>IFERROR(INDEX(Katalog!$B$3:$B$12,MATCH(cadangan[[#This Row],[ItemID A]],Katalog!$C$3:$C$12,0)),"-")</f>
        <v>Kaos Polo</v>
      </c>
      <c r="F468" s="50">
        <v>3</v>
      </c>
      <c r="G468" s="50">
        <v>5</v>
      </c>
      <c r="H468" s="73">
        <f>IFERROR(INDEX(Katalog!$D$3:$D$12,MATCH(cadangan[[#This Row],[ItemID A]],Katalog!$C$3:$C$12,0))*cadangan[[#This Row],[Qty A]],0)</f>
        <v>600000</v>
      </c>
      <c r="I468" s="73">
        <f>IFERROR(cadangan[[#This Row],[Harga Normal A]]-(cadangan[[#This Row],[Harga Normal A]]*cadangan[[#This Row],[Diskon]]),cadangan[[#This Row],[Harga Normal A]])</f>
        <v>540000</v>
      </c>
      <c r="J468" s="73">
        <f>INDEX(Katalog!$F$3:$F$12,MATCH(cadangan[[#This Row],[ItemID A]],Katalog!$C$3:$C$12,0))*cadangan[[#This Row],[Qty A]]</f>
        <v>240000</v>
      </c>
      <c r="K468" s="73">
        <f>IFERROR(cadangan[[#This Row],[Harga Diskon A]]-INDEX(Katalog!$E$3:$E$12,MATCH(cadangan[[#This Row],[ItemID A]],Katalog!$C$3:$C$12,0))*cadangan[[#This Row],[Qty A]],0)</f>
        <v>180000</v>
      </c>
      <c r="M468" s="39" t="str">
        <f>IFERROR(INDEX(Katalog!$A$3:$A$12,MATCH(cadangan[[#This Row],[ItemID B]],Katalog!$C$3:$C$12,0)),"-")</f>
        <v>-</v>
      </c>
      <c r="N468" s="39" t="str">
        <f>IFERROR(INDEX(Katalog!$B$3:$B$12,MATCH(cadangan[[#This Row],[ItemID B]],Katalog!$C$3:$C$12,0)),"-")</f>
        <v>-</v>
      </c>
      <c r="Q468" s="73">
        <f>IFERROR(INDEX(Katalog!$D$3:$D$12,MATCH(cadangan[[#This Row],[ItemID B]],Katalog!$C$3:$C$12,0))*cadangan[[#This Row],[Qty B]],0)</f>
        <v>0</v>
      </c>
      <c r="R468" s="73">
        <f>IFERROR(cadangan[[#This Row],[Harga Normal B]]-(cadangan[[#This Row],[Harga Normal B]]*cadangan[[#This Row],[Diskon]]),cadangan[[#This Row],[Harga Normal B]])</f>
        <v>0</v>
      </c>
      <c r="S468" s="73">
        <f>IFERROR(INDEX(Katalog!$F$3:$F$12,MATCH(cadangan[[#This Row],[ItemID B]],Katalog!$C$3:$C$12,0))*cadangan[[#This Row],[Qty B]],0)</f>
        <v>0</v>
      </c>
      <c r="T468" s="73">
        <f>IFERROR(cadangan[[#This Row],[Harga Diskon B]]-INDEX(Katalog!$E$3:$E$12,MATCH(cadangan[[#This Row],[ItemID B]],Katalog!$C$3:$C$12,0))*cadangan[[#This Row],[Qty B]],0)</f>
        <v>0</v>
      </c>
      <c r="V468" s="39" t="str">
        <f>IFERROR(INDEX(Katalog!$A$3:$A$12,MATCH(cadangan[[#This Row],[ItemID C]],Katalog!$C$3:$C$12,0)),"-")</f>
        <v>-</v>
      </c>
      <c r="W468" s="39" t="str">
        <f>IFERROR(INDEX(Katalog!$B$3:$B$12,MATCH(cadangan[[#This Row],[ItemID C]],Katalog!$C$3:$C$12,0)),"-")</f>
        <v>-</v>
      </c>
      <c r="Z468" s="73">
        <f>IFERROR(INDEX(Katalog!$D$3:$D$12,MATCH(cadangan[[#This Row],[ItemID C]],Katalog!$C$3:$C$12,0))*cadangan[[#This Row],[Qty C]],0)</f>
        <v>0</v>
      </c>
      <c r="AA468" s="73">
        <f>IFERROR(cadangan[[#This Row],[Harga Normal C]]-(cadangan[[#This Row],[Harga Normal C]]*cadangan[[#This Row],[Diskon]]),cadangan[[#This Row],[Harga Normal C]])</f>
        <v>0</v>
      </c>
      <c r="AB468" s="73">
        <f>IFERROR(INDEX(Katalog!$F$3:$F$12,MATCH(cadangan[[#This Row],[ItemID C]],Katalog!$C$3:$C$12,0))*cadangan[[#This Row],[Qty C]],0)</f>
        <v>0</v>
      </c>
      <c r="AC468" s="73">
        <f>IFERROR(cadangan[[#This Row],[Harga Diskon C]]-INDEX(Katalog!$E$3:$E$12,MATCH(cadangan[[#This Row],[ItemID C]],Katalog!$C$3:$C$12,0))*cadangan[[#This Row],[Qty C]],0)</f>
        <v>0</v>
      </c>
      <c r="AD468" s="53">
        <f>cadangan[[#This Row],[Qty A]]+cadangan[[#This Row],[Qty B]]+cadangan[[#This Row],[Qty C]]</f>
        <v>3</v>
      </c>
      <c r="AE468" s="73">
        <f>cadangan[[#This Row],[Harga Normal A]]+cadangan[[#This Row],[Harga Normal B]]+cadangan[[#This Row],[Harga Normal C]]</f>
        <v>600000</v>
      </c>
      <c r="AF468" s="73">
        <f>cadangan[[#This Row],[Harga Diskon A]]+cadangan[[#This Row],[Harga Diskon B]]+cadangan[[#This Row],[Harga Diskon C]]</f>
        <v>540000</v>
      </c>
      <c r="AG468" s="73">
        <f>(cadangan[[#This Row],[Profit Normal A]]+cadangan[[#This Row],[Profit Normal B]]+cadangan[[#This Row],[Profit Normal C]])</f>
        <v>240000</v>
      </c>
      <c r="AH468" s="73">
        <f>cadangan[[#This Row],[Profit Diskon A]]+cadangan[[#This Row],[Profit Diskon B]]+cadangan[[#This Row],[Profit Diskon C]]</f>
        <v>180000</v>
      </c>
      <c r="AI468" s="23" t="s">
        <v>31</v>
      </c>
      <c r="AJ468" s="37">
        <f>IFERROR(INDEX('Kode Diskon'!$D$3:$D$9,MATCH(cadangan[[#This Row],[Kode diskon]],'Kode Diskon'!$C$3:$C$9,0)),"-")</f>
        <v>0.1</v>
      </c>
      <c r="AK468" s="23" t="s">
        <v>9</v>
      </c>
      <c r="AL468" s="23" t="s">
        <v>10</v>
      </c>
      <c r="AM468" s="23" t="s">
        <v>80</v>
      </c>
      <c r="AN468" s="55">
        <v>45041</v>
      </c>
      <c r="AO468" s="53">
        <f>DAY(cadangan[[#This Row],[Tanggal terjual]])</f>
        <v>25</v>
      </c>
      <c r="AP468" s="21" t="str">
        <f>TEXT(cadangan[[#This Row],[Tanggal terjual]],"dddd")</f>
        <v>Tuesday</v>
      </c>
      <c r="AQ468" s="23" t="str" cm="1">
        <f t="array" ref="AQ4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68" s="61">
        <f>AVERAGE(cadangan[[#This Row],[Rating A]],cadangan[[#This Row],[Rating B]],cadangan[[#This Row],[Rating C]])</f>
        <v>5</v>
      </c>
    </row>
    <row r="469" spans="1:44" x14ac:dyDescent="0.2">
      <c r="A469" s="20">
        <v>468</v>
      </c>
      <c r="B469" s="21" t="str">
        <f>_xlfn.CONCAT("ORD-",INDEX(Helper!$B$2:$B$5,MATCH(cadangan[[#This Row],[Marketplace]],Helper!$A$2:$A$5,0)),TEXT(cadangan[[#This Row],[No]],"0000"),"-",TEXT(cadangan[[#This Row],[Tanggal terjual]],"dd/mm/yy"))</f>
        <v>ORD-TK0468-05/04/23</v>
      </c>
      <c r="C469" s="39" t="s">
        <v>64</v>
      </c>
      <c r="D469" s="39" t="str">
        <f>IFERROR(INDEX(Katalog!$A$3:$A$12,MATCH(cadangan[[#This Row],[ItemID A]],Katalog!$C$3:$C$12,0)),"-")</f>
        <v>Pakaian Unisex</v>
      </c>
      <c r="E469" s="39" t="str">
        <f>IFERROR(INDEX(Katalog!$B$3:$B$12,MATCH(cadangan[[#This Row],[ItemID A]],Katalog!$C$3:$C$12,0)),"-")</f>
        <v>Jaket Hoodie</v>
      </c>
      <c r="F469" s="50">
        <v>3</v>
      </c>
      <c r="G469" s="50">
        <v>5</v>
      </c>
      <c r="H469" s="73">
        <f>IFERROR(INDEX(Katalog!$D$3:$D$12,MATCH(cadangan[[#This Row],[ItemID A]],Katalog!$C$3:$C$12,0))*cadangan[[#This Row],[Qty A]],0)</f>
        <v>1050000</v>
      </c>
      <c r="I469" s="73">
        <f>IFERROR(cadangan[[#This Row],[Harga Normal A]]-(cadangan[[#This Row],[Harga Normal A]]*cadangan[[#This Row],[Diskon]]),cadangan[[#This Row],[Harga Normal A]])</f>
        <v>945000</v>
      </c>
      <c r="J469" s="73">
        <f>INDEX(Katalog!$F$3:$F$12,MATCH(cadangan[[#This Row],[ItemID A]],Katalog!$C$3:$C$12,0))*cadangan[[#This Row],[Qty A]]</f>
        <v>390000</v>
      </c>
      <c r="K469" s="73">
        <f>IFERROR(cadangan[[#This Row],[Harga Diskon A]]-INDEX(Katalog!$E$3:$E$12,MATCH(cadangan[[#This Row],[ItemID A]],Katalog!$C$3:$C$12,0))*cadangan[[#This Row],[Qty A]],0)</f>
        <v>285000</v>
      </c>
      <c r="M469" s="39" t="str">
        <f>IFERROR(INDEX(Katalog!$A$3:$A$12,MATCH(cadangan[[#This Row],[ItemID B]],Katalog!$C$3:$C$12,0)),"-")</f>
        <v>-</v>
      </c>
      <c r="N469" s="39" t="str">
        <f>IFERROR(INDEX(Katalog!$B$3:$B$12,MATCH(cadangan[[#This Row],[ItemID B]],Katalog!$C$3:$C$12,0)),"-")</f>
        <v>-</v>
      </c>
      <c r="Q469" s="73">
        <f>IFERROR(INDEX(Katalog!$D$3:$D$12,MATCH(cadangan[[#This Row],[ItemID B]],Katalog!$C$3:$C$12,0))*cadangan[[#This Row],[Qty B]],0)</f>
        <v>0</v>
      </c>
      <c r="R469" s="73">
        <f>IFERROR(cadangan[[#This Row],[Harga Normal B]]-(cadangan[[#This Row],[Harga Normal B]]*cadangan[[#This Row],[Diskon]]),cadangan[[#This Row],[Harga Normal B]])</f>
        <v>0</v>
      </c>
      <c r="S469" s="73">
        <f>IFERROR(INDEX(Katalog!$F$3:$F$12,MATCH(cadangan[[#This Row],[ItemID B]],Katalog!$C$3:$C$12,0))*cadangan[[#This Row],[Qty B]],0)</f>
        <v>0</v>
      </c>
      <c r="T469" s="73">
        <f>IFERROR(cadangan[[#This Row],[Harga Diskon B]]-INDEX(Katalog!$E$3:$E$12,MATCH(cadangan[[#This Row],[ItemID B]],Katalog!$C$3:$C$12,0))*cadangan[[#This Row],[Qty B]],0)</f>
        <v>0</v>
      </c>
      <c r="V469" s="39" t="str">
        <f>IFERROR(INDEX(Katalog!$A$3:$A$12,MATCH(cadangan[[#This Row],[ItemID C]],Katalog!$C$3:$C$12,0)),"-")</f>
        <v>-</v>
      </c>
      <c r="W469" s="39" t="str">
        <f>IFERROR(INDEX(Katalog!$B$3:$B$12,MATCH(cadangan[[#This Row],[ItemID C]],Katalog!$C$3:$C$12,0)),"-")</f>
        <v>-</v>
      </c>
      <c r="Z469" s="73">
        <f>IFERROR(INDEX(Katalog!$D$3:$D$12,MATCH(cadangan[[#This Row],[ItemID C]],Katalog!$C$3:$C$12,0))*cadangan[[#This Row],[Qty C]],0)</f>
        <v>0</v>
      </c>
      <c r="AA469" s="73">
        <f>IFERROR(cadangan[[#This Row],[Harga Normal C]]-(cadangan[[#This Row],[Harga Normal C]]*cadangan[[#This Row],[Diskon]]),cadangan[[#This Row],[Harga Normal C]])</f>
        <v>0</v>
      </c>
      <c r="AB469" s="73">
        <f>IFERROR(INDEX(Katalog!$F$3:$F$12,MATCH(cadangan[[#This Row],[ItemID C]],Katalog!$C$3:$C$12,0))*cadangan[[#This Row],[Qty C]],0)</f>
        <v>0</v>
      </c>
      <c r="AC469" s="73">
        <f>IFERROR(cadangan[[#This Row],[Harga Diskon C]]-INDEX(Katalog!$E$3:$E$12,MATCH(cadangan[[#This Row],[ItemID C]],Katalog!$C$3:$C$12,0))*cadangan[[#This Row],[Qty C]],0)</f>
        <v>0</v>
      </c>
      <c r="AD469" s="53">
        <f>cadangan[[#This Row],[Qty A]]+cadangan[[#This Row],[Qty B]]+cadangan[[#This Row],[Qty C]]</f>
        <v>3</v>
      </c>
      <c r="AE469" s="73">
        <f>cadangan[[#This Row],[Harga Normal A]]+cadangan[[#This Row],[Harga Normal B]]+cadangan[[#This Row],[Harga Normal C]]</f>
        <v>1050000</v>
      </c>
      <c r="AF469" s="73">
        <f>cadangan[[#This Row],[Harga Diskon A]]+cadangan[[#This Row],[Harga Diskon B]]+cadangan[[#This Row],[Harga Diskon C]]</f>
        <v>945000</v>
      </c>
      <c r="AG469" s="73">
        <f>(cadangan[[#This Row],[Profit Normal A]]+cadangan[[#This Row],[Profit Normal B]]+cadangan[[#This Row],[Profit Normal C]])</f>
        <v>390000</v>
      </c>
      <c r="AH469" s="73">
        <f>cadangan[[#This Row],[Profit Diskon A]]+cadangan[[#This Row],[Profit Diskon B]]+cadangan[[#This Row],[Profit Diskon C]]</f>
        <v>285000</v>
      </c>
      <c r="AI469" s="23" t="s">
        <v>30</v>
      </c>
      <c r="AJ469" s="37">
        <f>IFERROR(INDEX('Kode Diskon'!$D$3:$D$9,MATCH(cadangan[[#This Row],[Kode diskon]],'Kode Diskon'!$C$3:$C$9,0)),"-")</f>
        <v>0.1</v>
      </c>
      <c r="AK469" s="23" t="s">
        <v>29</v>
      </c>
      <c r="AL469" s="23" t="s">
        <v>10</v>
      </c>
      <c r="AM469" s="23" t="s">
        <v>79</v>
      </c>
      <c r="AN469" s="55">
        <v>45021</v>
      </c>
      <c r="AO469" s="53">
        <f>DAY(cadangan[[#This Row],[Tanggal terjual]])</f>
        <v>5</v>
      </c>
      <c r="AP469" s="21" t="str">
        <f>TEXT(cadangan[[#This Row],[Tanggal terjual]],"dddd")</f>
        <v>Wednesday</v>
      </c>
      <c r="AQ469" s="23" t="str" cm="1">
        <f t="array" ref="AQ4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69" s="61">
        <f>AVERAGE(cadangan[[#This Row],[Rating A]],cadangan[[#This Row],[Rating B]],cadangan[[#This Row],[Rating C]])</f>
        <v>5</v>
      </c>
    </row>
    <row r="470" spans="1:44" x14ac:dyDescent="0.2">
      <c r="A470" s="20">
        <v>469</v>
      </c>
      <c r="B470" s="21" t="str">
        <f>_xlfn.CONCAT("ORD-",INDEX(Helper!$B$2:$B$5,MATCH(cadangan[[#This Row],[Marketplace]],Helper!$A$2:$A$5,0)),TEXT(cadangan[[#This Row],[No]],"0000"),"-",TEXT(cadangan[[#This Row],[Tanggal terjual]],"dd/mm/yy"))</f>
        <v>ORD-SP0469-02/04/23</v>
      </c>
      <c r="C470" s="39" t="s">
        <v>66</v>
      </c>
      <c r="D470" s="39" t="str">
        <f>IFERROR(INDEX(Katalog!$A$3:$A$12,MATCH(cadangan[[#This Row],[ItemID A]],Katalog!$C$3:$C$12,0)),"-")</f>
        <v>Sepatu Pria</v>
      </c>
      <c r="E470" s="39" t="str">
        <f>IFERROR(INDEX(Katalog!$B$3:$B$12,MATCH(cadangan[[#This Row],[ItemID A]],Katalog!$C$3:$C$12,0)),"-")</f>
        <v>Sandal Slip On</v>
      </c>
      <c r="F470" s="50">
        <v>2</v>
      </c>
      <c r="G470" s="50">
        <v>5</v>
      </c>
      <c r="H470" s="73">
        <f>IFERROR(INDEX(Katalog!$D$3:$D$12,MATCH(cadangan[[#This Row],[ItemID A]],Katalog!$C$3:$C$12,0))*cadangan[[#This Row],[Qty A]],0)</f>
        <v>300000</v>
      </c>
      <c r="I470" s="73">
        <f>IFERROR(cadangan[[#This Row],[Harga Normal A]]-(cadangan[[#This Row],[Harga Normal A]]*cadangan[[#This Row],[Diskon]]),cadangan[[#This Row],[Harga Normal A]])</f>
        <v>255000</v>
      </c>
      <c r="J470" s="73">
        <f>INDEX(Katalog!$F$3:$F$12,MATCH(cadangan[[#This Row],[ItemID A]],Katalog!$C$3:$C$12,0))*cadangan[[#This Row],[Qty A]]</f>
        <v>120000</v>
      </c>
      <c r="K470" s="73">
        <f>IFERROR(cadangan[[#This Row],[Harga Diskon A]]-INDEX(Katalog!$E$3:$E$12,MATCH(cadangan[[#This Row],[ItemID A]],Katalog!$C$3:$C$12,0))*cadangan[[#This Row],[Qty A]],0)</f>
        <v>75000</v>
      </c>
      <c r="M470" s="39" t="str">
        <f>IFERROR(INDEX(Katalog!$A$3:$A$12,MATCH(cadangan[[#This Row],[ItemID B]],Katalog!$C$3:$C$12,0)),"-")</f>
        <v>-</v>
      </c>
      <c r="N470" s="39" t="str">
        <f>IFERROR(INDEX(Katalog!$B$3:$B$12,MATCH(cadangan[[#This Row],[ItemID B]],Katalog!$C$3:$C$12,0)),"-")</f>
        <v>-</v>
      </c>
      <c r="Q470" s="73">
        <f>IFERROR(INDEX(Katalog!$D$3:$D$12,MATCH(cadangan[[#This Row],[ItemID B]],Katalog!$C$3:$C$12,0))*cadangan[[#This Row],[Qty B]],0)</f>
        <v>0</v>
      </c>
      <c r="R470" s="73">
        <f>IFERROR(cadangan[[#This Row],[Harga Normal B]]-(cadangan[[#This Row],[Harga Normal B]]*cadangan[[#This Row],[Diskon]]),cadangan[[#This Row],[Harga Normal B]])</f>
        <v>0</v>
      </c>
      <c r="S470" s="73">
        <f>IFERROR(INDEX(Katalog!$F$3:$F$12,MATCH(cadangan[[#This Row],[ItemID B]],Katalog!$C$3:$C$12,0))*cadangan[[#This Row],[Qty B]],0)</f>
        <v>0</v>
      </c>
      <c r="T470" s="73">
        <f>IFERROR(cadangan[[#This Row],[Harga Diskon B]]-INDEX(Katalog!$E$3:$E$12,MATCH(cadangan[[#This Row],[ItemID B]],Katalog!$C$3:$C$12,0))*cadangan[[#This Row],[Qty B]],0)</f>
        <v>0</v>
      </c>
      <c r="V470" s="39" t="str">
        <f>IFERROR(INDEX(Katalog!$A$3:$A$12,MATCH(cadangan[[#This Row],[ItemID C]],Katalog!$C$3:$C$12,0)),"-")</f>
        <v>-</v>
      </c>
      <c r="W470" s="39" t="str">
        <f>IFERROR(INDEX(Katalog!$B$3:$B$12,MATCH(cadangan[[#This Row],[ItemID C]],Katalog!$C$3:$C$12,0)),"-")</f>
        <v>-</v>
      </c>
      <c r="Z470" s="73">
        <f>IFERROR(INDEX(Katalog!$D$3:$D$12,MATCH(cadangan[[#This Row],[ItemID C]],Katalog!$C$3:$C$12,0))*cadangan[[#This Row],[Qty C]],0)</f>
        <v>0</v>
      </c>
      <c r="AA470" s="73">
        <f>IFERROR(cadangan[[#This Row],[Harga Normal C]]-(cadangan[[#This Row],[Harga Normal C]]*cadangan[[#This Row],[Diskon]]),cadangan[[#This Row],[Harga Normal C]])</f>
        <v>0</v>
      </c>
      <c r="AB470" s="73">
        <f>IFERROR(INDEX(Katalog!$F$3:$F$12,MATCH(cadangan[[#This Row],[ItemID C]],Katalog!$C$3:$C$12,0))*cadangan[[#This Row],[Qty C]],0)</f>
        <v>0</v>
      </c>
      <c r="AC470" s="73">
        <f>IFERROR(cadangan[[#This Row],[Harga Diskon C]]-INDEX(Katalog!$E$3:$E$12,MATCH(cadangan[[#This Row],[ItemID C]],Katalog!$C$3:$C$12,0))*cadangan[[#This Row],[Qty C]],0)</f>
        <v>0</v>
      </c>
      <c r="AD470" s="53">
        <f>cadangan[[#This Row],[Qty A]]+cadangan[[#This Row],[Qty B]]+cadangan[[#This Row],[Qty C]]</f>
        <v>2</v>
      </c>
      <c r="AE470" s="73">
        <f>cadangan[[#This Row],[Harga Normal A]]+cadangan[[#This Row],[Harga Normal B]]+cadangan[[#This Row],[Harga Normal C]]</f>
        <v>300000</v>
      </c>
      <c r="AF470" s="73">
        <f>cadangan[[#This Row],[Harga Diskon A]]+cadangan[[#This Row],[Harga Diskon B]]+cadangan[[#This Row],[Harga Diskon C]]</f>
        <v>255000</v>
      </c>
      <c r="AG470" s="73">
        <f>(cadangan[[#This Row],[Profit Normal A]]+cadangan[[#This Row],[Profit Normal B]]+cadangan[[#This Row],[Profit Normal C]])</f>
        <v>120000</v>
      </c>
      <c r="AH470" s="73">
        <f>cadangan[[#This Row],[Profit Diskon A]]+cadangan[[#This Row],[Profit Diskon B]]+cadangan[[#This Row],[Profit Diskon C]]</f>
        <v>75000</v>
      </c>
      <c r="AI470" s="23" t="s">
        <v>13</v>
      </c>
      <c r="AJ470" s="37">
        <f>IFERROR(INDEX('Kode Diskon'!$D$3:$D$9,MATCH(cadangan[[#This Row],[Kode diskon]],'Kode Diskon'!$C$3:$C$9,0)),"-")</f>
        <v>0.15</v>
      </c>
      <c r="AK470" s="23" t="s">
        <v>29</v>
      </c>
      <c r="AL470" s="23" t="s">
        <v>7</v>
      </c>
      <c r="AM470" s="23" t="s">
        <v>75</v>
      </c>
      <c r="AN470" s="55">
        <v>45018</v>
      </c>
      <c r="AO470" s="53">
        <f>DAY(cadangan[[#This Row],[Tanggal terjual]])</f>
        <v>2</v>
      </c>
      <c r="AP470" s="21" t="str">
        <f>TEXT(cadangan[[#This Row],[Tanggal terjual]],"dddd")</f>
        <v>Sunday</v>
      </c>
      <c r="AQ470" s="23" t="str" cm="1">
        <f t="array" ref="AQ4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0" s="61">
        <f>AVERAGE(cadangan[[#This Row],[Rating A]],cadangan[[#This Row],[Rating B]],cadangan[[#This Row],[Rating C]])</f>
        <v>5</v>
      </c>
    </row>
    <row r="471" spans="1:44" x14ac:dyDescent="0.2">
      <c r="A471" s="20">
        <v>470</v>
      </c>
      <c r="B471" s="21" t="str">
        <f>_xlfn.CONCAT("ORD-",INDEX(Helper!$B$2:$B$5,MATCH(cadangan[[#This Row],[Marketplace]],Helper!$A$2:$A$5,0)),TEXT(cadangan[[#This Row],[No]],"0000"),"-",TEXT(cadangan[[#This Row],[Tanggal terjual]],"dd/mm/yy"))</f>
        <v>ORD-SP0470-03/04/23</v>
      </c>
      <c r="C471" s="39" t="s">
        <v>62</v>
      </c>
      <c r="D471" s="39" t="str">
        <f>IFERROR(INDEX(Katalog!$A$3:$A$12,MATCH(cadangan[[#This Row],[ItemID A]],Katalog!$C$3:$C$12,0)),"-")</f>
        <v>Pakaian Pria</v>
      </c>
      <c r="E471" s="39" t="str">
        <f>IFERROR(INDEX(Katalog!$B$3:$B$12,MATCH(cadangan[[#This Row],[ItemID A]],Katalog!$C$3:$C$12,0)),"-")</f>
        <v>Celana Pendek</v>
      </c>
      <c r="F471" s="50">
        <v>4</v>
      </c>
      <c r="G471" s="50">
        <v>5</v>
      </c>
      <c r="H471" s="73">
        <f>IFERROR(INDEX(Katalog!$D$3:$D$12,MATCH(cadangan[[#This Row],[ItemID A]],Katalog!$C$3:$C$12,0))*cadangan[[#This Row],[Qty A]],0)</f>
        <v>720000</v>
      </c>
      <c r="I471" s="73">
        <f>IFERROR(cadangan[[#This Row],[Harga Normal A]]-(cadangan[[#This Row],[Harga Normal A]]*cadangan[[#This Row],[Diskon]]),cadangan[[#This Row],[Harga Normal A]])</f>
        <v>612000</v>
      </c>
      <c r="J471" s="73">
        <f>INDEX(Katalog!$F$3:$F$12,MATCH(cadangan[[#This Row],[ItemID A]],Katalog!$C$3:$C$12,0))*cadangan[[#This Row],[Qty A]]</f>
        <v>280000</v>
      </c>
      <c r="K471" s="73">
        <f>IFERROR(cadangan[[#This Row],[Harga Diskon A]]-INDEX(Katalog!$E$3:$E$12,MATCH(cadangan[[#This Row],[ItemID A]],Katalog!$C$3:$C$12,0))*cadangan[[#This Row],[Qty A]],0)</f>
        <v>172000</v>
      </c>
      <c r="L471" s="39" t="s">
        <v>59</v>
      </c>
      <c r="M471" s="39" t="str">
        <f>IFERROR(INDEX(Katalog!$A$3:$A$12,MATCH(cadangan[[#This Row],[ItemID B]],Katalog!$C$3:$C$12,0)),"-")</f>
        <v>Pakaian Wanita</v>
      </c>
      <c r="N471" s="39" t="str">
        <f>IFERROR(INDEX(Katalog!$B$3:$B$12,MATCH(cadangan[[#This Row],[ItemID B]],Katalog!$C$3:$C$12,0)),"-")</f>
        <v>Blouse</v>
      </c>
      <c r="O471" s="50">
        <v>1</v>
      </c>
      <c r="P471" s="50">
        <v>3</v>
      </c>
      <c r="Q471" s="73">
        <f>IFERROR(INDEX(Katalog!$D$3:$D$12,MATCH(cadangan[[#This Row],[ItemID B]],Katalog!$C$3:$C$12,0))*cadangan[[#This Row],[Qty B]],0)</f>
        <v>150000</v>
      </c>
      <c r="R471" s="73">
        <f>IFERROR(cadangan[[#This Row],[Harga Normal B]]-(cadangan[[#This Row],[Harga Normal B]]*cadangan[[#This Row],[Diskon]]),cadangan[[#This Row],[Harga Normal B]])</f>
        <v>127500</v>
      </c>
      <c r="S471" s="73">
        <f>IFERROR(INDEX(Katalog!$F$3:$F$12,MATCH(cadangan[[#This Row],[ItemID B]],Katalog!$C$3:$C$12,0))*cadangan[[#This Row],[Qty B]],0)</f>
        <v>50000</v>
      </c>
      <c r="T471" s="73">
        <f>IFERROR(cadangan[[#This Row],[Harga Diskon B]]-INDEX(Katalog!$E$3:$E$12,MATCH(cadangan[[#This Row],[ItemID B]],Katalog!$C$3:$C$12,0))*cadangan[[#This Row],[Qty B]],0)</f>
        <v>27500</v>
      </c>
      <c r="U471" s="39" t="s">
        <v>62</v>
      </c>
      <c r="V471" s="39" t="str">
        <f>IFERROR(INDEX(Katalog!$A$3:$A$12,MATCH(cadangan[[#This Row],[ItemID C]],Katalog!$C$3:$C$12,0)),"-")</f>
        <v>Pakaian Pria</v>
      </c>
      <c r="W471" s="39" t="str">
        <f>IFERROR(INDEX(Katalog!$B$3:$B$12,MATCH(cadangan[[#This Row],[ItemID C]],Katalog!$C$3:$C$12,0)),"-")</f>
        <v>Celana Pendek</v>
      </c>
      <c r="X471" s="50">
        <v>2</v>
      </c>
      <c r="Y471" s="50">
        <v>4</v>
      </c>
      <c r="Z471" s="73">
        <f>IFERROR(INDEX(Katalog!$D$3:$D$12,MATCH(cadangan[[#This Row],[ItemID C]],Katalog!$C$3:$C$12,0))*cadangan[[#This Row],[Qty C]],0)</f>
        <v>360000</v>
      </c>
      <c r="AA471" s="73">
        <f>IFERROR(cadangan[[#This Row],[Harga Normal C]]-(cadangan[[#This Row],[Harga Normal C]]*cadangan[[#This Row],[Diskon]]),cadangan[[#This Row],[Harga Normal C]])</f>
        <v>306000</v>
      </c>
      <c r="AB471" s="73">
        <f>IFERROR(INDEX(Katalog!$F$3:$F$12,MATCH(cadangan[[#This Row],[ItemID C]],Katalog!$C$3:$C$12,0))*cadangan[[#This Row],[Qty C]],0)</f>
        <v>140000</v>
      </c>
      <c r="AC471" s="73">
        <f>IFERROR(cadangan[[#This Row],[Harga Diskon C]]-INDEX(Katalog!$E$3:$E$12,MATCH(cadangan[[#This Row],[ItemID C]],Katalog!$C$3:$C$12,0))*cadangan[[#This Row],[Qty C]],0)</f>
        <v>86000</v>
      </c>
      <c r="AD471" s="53">
        <f>cadangan[[#This Row],[Qty A]]+cadangan[[#This Row],[Qty B]]+cadangan[[#This Row],[Qty C]]</f>
        <v>7</v>
      </c>
      <c r="AE471" s="73">
        <f>cadangan[[#This Row],[Harga Normal A]]+cadangan[[#This Row],[Harga Normal B]]+cadangan[[#This Row],[Harga Normal C]]</f>
        <v>1230000</v>
      </c>
      <c r="AF471" s="73">
        <f>cadangan[[#This Row],[Harga Diskon A]]+cadangan[[#This Row],[Harga Diskon B]]+cadangan[[#This Row],[Harga Diskon C]]</f>
        <v>1045500</v>
      </c>
      <c r="AG471" s="73">
        <f>(cadangan[[#This Row],[Profit Normal A]]+cadangan[[#This Row],[Profit Normal B]]+cadangan[[#This Row],[Profit Normal C]])</f>
        <v>470000</v>
      </c>
      <c r="AH471" s="73">
        <f>cadangan[[#This Row],[Profit Diskon A]]+cadangan[[#This Row],[Profit Diskon B]]+cadangan[[#This Row],[Profit Diskon C]]</f>
        <v>285500</v>
      </c>
      <c r="AI471" s="23" t="s">
        <v>13</v>
      </c>
      <c r="AJ471" s="37">
        <f>IFERROR(INDEX('Kode Diskon'!$D$3:$D$9,MATCH(cadangan[[#This Row],[Kode diskon]],'Kode Diskon'!$C$3:$C$9,0)),"-")</f>
        <v>0.15</v>
      </c>
      <c r="AK471" s="23" t="s">
        <v>29</v>
      </c>
      <c r="AL471" s="23" t="s">
        <v>7</v>
      </c>
      <c r="AM471" s="23" t="s">
        <v>75</v>
      </c>
      <c r="AN471" s="55">
        <v>45019</v>
      </c>
      <c r="AO471" s="53">
        <f>DAY(cadangan[[#This Row],[Tanggal terjual]])</f>
        <v>3</v>
      </c>
      <c r="AP471" s="21" t="str">
        <f>TEXT(cadangan[[#This Row],[Tanggal terjual]],"dddd")</f>
        <v>Monday</v>
      </c>
      <c r="AQ471" s="23" t="str" cm="1">
        <f t="array" ref="AQ4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1" s="61">
        <f>AVERAGE(cadangan[[#This Row],[Rating A]],cadangan[[#This Row],[Rating B]],cadangan[[#This Row],[Rating C]])</f>
        <v>4</v>
      </c>
    </row>
    <row r="472" spans="1:44" x14ac:dyDescent="0.2">
      <c r="A472" s="20">
        <v>471</v>
      </c>
      <c r="B472" s="21" t="str">
        <f>_xlfn.CONCAT("ORD-",INDEX(Helper!$B$2:$B$5,MATCH(cadangan[[#This Row],[Marketplace]],Helper!$A$2:$A$5,0)),TEXT(cadangan[[#This Row],[No]],"0000"),"-",TEXT(cadangan[[#This Row],[Tanggal terjual]],"dd/mm/yy"))</f>
        <v>ORD-SP0471-24/04/23</v>
      </c>
      <c r="C472" s="39" t="s">
        <v>59</v>
      </c>
      <c r="D472" s="39" t="str">
        <f>IFERROR(INDEX(Katalog!$A$3:$A$12,MATCH(cadangan[[#This Row],[ItemID A]],Katalog!$C$3:$C$12,0)),"-")</f>
        <v>Pakaian Wanita</v>
      </c>
      <c r="E472" s="39" t="str">
        <f>IFERROR(INDEX(Katalog!$B$3:$B$12,MATCH(cadangan[[#This Row],[ItemID A]],Katalog!$C$3:$C$12,0)),"-")</f>
        <v>Blouse</v>
      </c>
      <c r="F472" s="50">
        <v>6</v>
      </c>
      <c r="G472" s="50">
        <v>5</v>
      </c>
      <c r="H472" s="73">
        <f>IFERROR(INDEX(Katalog!$D$3:$D$12,MATCH(cadangan[[#This Row],[ItemID A]],Katalog!$C$3:$C$12,0))*cadangan[[#This Row],[Qty A]],0)</f>
        <v>900000</v>
      </c>
      <c r="I472" s="73">
        <f>IFERROR(cadangan[[#This Row],[Harga Normal A]]-(cadangan[[#This Row],[Harga Normal A]]*cadangan[[#This Row],[Diskon]]),cadangan[[#This Row],[Harga Normal A]])</f>
        <v>720000</v>
      </c>
      <c r="J472" s="73">
        <f>INDEX(Katalog!$F$3:$F$12,MATCH(cadangan[[#This Row],[ItemID A]],Katalog!$C$3:$C$12,0))*cadangan[[#This Row],[Qty A]]</f>
        <v>300000</v>
      </c>
      <c r="K472" s="73">
        <f>IFERROR(cadangan[[#This Row],[Harga Diskon A]]-INDEX(Katalog!$E$3:$E$12,MATCH(cadangan[[#This Row],[ItemID A]],Katalog!$C$3:$C$12,0))*cadangan[[#This Row],[Qty A]],0)</f>
        <v>120000</v>
      </c>
      <c r="L472" s="39" t="s">
        <v>65</v>
      </c>
      <c r="M472" s="39" t="str">
        <f>IFERROR(INDEX(Katalog!$A$3:$A$12,MATCH(cadangan[[#This Row],[ItemID B]],Katalog!$C$3:$C$12,0)),"-")</f>
        <v>Sepatu Pria</v>
      </c>
      <c r="N472" s="39" t="str">
        <f>IFERROR(INDEX(Katalog!$B$3:$B$12,MATCH(cadangan[[#This Row],[ItemID B]],Katalog!$C$3:$C$12,0)),"-")</f>
        <v>Sneakers</v>
      </c>
      <c r="O472" s="50">
        <v>1</v>
      </c>
      <c r="P472" s="50">
        <v>3</v>
      </c>
      <c r="Q472" s="73">
        <f>IFERROR(INDEX(Katalog!$D$3:$D$12,MATCH(cadangan[[#This Row],[ItemID B]],Katalog!$C$3:$C$12,0))*cadangan[[#This Row],[Qty B]],0)</f>
        <v>500000</v>
      </c>
      <c r="R472" s="73">
        <f>IFERROR(cadangan[[#This Row],[Harga Normal B]]-(cadangan[[#This Row],[Harga Normal B]]*cadangan[[#This Row],[Diskon]]),cadangan[[#This Row],[Harga Normal B]])</f>
        <v>400000</v>
      </c>
      <c r="S472" s="73">
        <f>IFERROR(INDEX(Katalog!$F$3:$F$12,MATCH(cadangan[[#This Row],[ItemID B]],Katalog!$C$3:$C$12,0))*cadangan[[#This Row],[Qty B]],0)</f>
        <v>200000</v>
      </c>
      <c r="T472" s="73">
        <f>IFERROR(cadangan[[#This Row],[Harga Diskon B]]-INDEX(Katalog!$E$3:$E$12,MATCH(cadangan[[#This Row],[ItemID B]],Katalog!$C$3:$C$12,0))*cadangan[[#This Row],[Qty B]],0)</f>
        <v>100000</v>
      </c>
      <c r="V472" s="39" t="str">
        <f>IFERROR(INDEX(Katalog!$A$3:$A$12,MATCH(cadangan[[#This Row],[ItemID C]],Katalog!$C$3:$C$12,0)),"-")</f>
        <v>-</v>
      </c>
      <c r="W472" s="39" t="str">
        <f>IFERROR(INDEX(Katalog!$B$3:$B$12,MATCH(cadangan[[#This Row],[ItemID C]],Katalog!$C$3:$C$12,0)),"-")</f>
        <v>-</v>
      </c>
      <c r="Z472" s="73">
        <f>IFERROR(INDEX(Katalog!$D$3:$D$12,MATCH(cadangan[[#This Row],[ItemID C]],Katalog!$C$3:$C$12,0))*cadangan[[#This Row],[Qty C]],0)</f>
        <v>0</v>
      </c>
      <c r="AA472" s="73">
        <f>IFERROR(cadangan[[#This Row],[Harga Normal C]]-(cadangan[[#This Row],[Harga Normal C]]*cadangan[[#This Row],[Diskon]]),cadangan[[#This Row],[Harga Normal C]])</f>
        <v>0</v>
      </c>
      <c r="AB472" s="73">
        <f>IFERROR(INDEX(Katalog!$F$3:$F$12,MATCH(cadangan[[#This Row],[ItemID C]],Katalog!$C$3:$C$12,0))*cadangan[[#This Row],[Qty C]],0)</f>
        <v>0</v>
      </c>
      <c r="AC472" s="73">
        <f>IFERROR(cadangan[[#This Row],[Harga Diskon C]]-INDEX(Katalog!$E$3:$E$12,MATCH(cadangan[[#This Row],[ItemID C]],Katalog!$C$3:$C$12,0))*cadangan[[#This Row],[Qty C]],0)</f>
        <v>0</v>
      </c>
      <c r="AD472" s="53">
        <f>cadangan[[#This Row],[Qty A]]+cadangan[[#This Row],[Qty B]]+cadangan[[#This Row],[Qty C]]</f>
        <v>7</v>
      </c>
      <c r="AE472" s="73">
        <f>cadangan[[#This Row],[Harga Normal A]]+cadangan[[#This Row],[Harga Normal B]]+cadangan[[#This Row],[Harga Normal C]]</f>
        <v>1400000</v>
      </c>
      <c r="AF472" s="73">
        <f>cadangan[[#This Row],[Harga Diskon A]]+cadangan[[#This Row],[Harga Diskon B]]+cadangan[[#This Row],[Harga Diskon C]]</f>
        <v>1120000</v>
      </c>
      <c r="AG472" s="73">
        <f>(cadangan[[#This Row],[Profit Normal A]]+cadangan[[#This Row],[Profit Normal B]]+cadangan[[#This Row],[Profit Normal C]])</f>
        <v>500000</v>
      </c>
      <c r="AH472" s="73">
        <f>cadangan[[#This Row],[Profit Diskon A]]+cadangan[[#This Row],[Profit Diskon B]]+cadangan[[#This Row],[Profit Diskon C]]</f>
        <v>220000</v>
      </c>
      <c r="AI472" s="23" t="s">
        <v>8</v>
      </c>
      <c r="AJ472" s="37">
        <f>IFERROR(INDEX('Kode Diskon'!$D$3:$D$9,MATCH(cadangan[[#This Row],[Kode diskon]],'Kode Diskon'!$C$3:$C$9,0)),"-")</f>
        <v>0.2</v>
      </c>
      <c r="AK472" s="23" t="s">
        <v>9</v>
      </c>
      <c r="AL472" s="23" t="s">
        <v>7</v>
      </c>
      <c r="AM472" s="23" t="s">
        <v>76</v>
      </c>
      <c r="AN472" s="55">
        <v>45040</v>
      </c>
      <c r="AO472" s="53">
        <f>DAY(cadangan[[#This Row],[Tanggal terjual]])</f>
        <v>24</v>
      </c>
      <c r="AP472" s="21" t="str">
        <f>TEXT(cadangan[[#This Row],[Tanggal terjual]],"dddd")</f>
        <v>Monday</v>
      </c>
      <c r="AQ472" s="23" t="str" cm="1">
        <f t="array" ref="AQ4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72" s="61">
        <f>AVERAGE(cadangan[[#This Row],[Rating A]],cadangan[[#This Row],[Rating B]],cadangan[[#This Row],[Rating C]])</f>
        <v>4</v>
      </c>
    </row>
    <row r="473" spans="1:44" x14ac:dyDescent="0.2">
      <c r="A473" s="20">
        <v>472</v>
      </c>
      <c r="B473" s="21" t="str">
        <f>_xlfn.CONCAT("ORD-",INDEX(Helper!$B$2:$B$5,MATCH(cadangan[[#This Row],[Marketplace]],Helper!$A$2:$A$5,0)),TEXT(cadangan[[#This Row],[No]],"0000"),"-",TEXT(cadangan[[#This Row],[Tanggal terjual]],"dd/mm/yy"))</f>
        <v>ORD-SP0472-06/04/23</v>
      </c>
      <c r="C473" s="39" t="s">
        <v>65</v>
      </c>
      <c r="D473" s="39" t="str">
        <f>IFERROR(INDEX(Katalog!$A$3:$A$12,MATCH(cadangan[[#This Row],[ItemID A]],Katalog!$C$3:$C$12,0)),"-")</f>
        <v>Sepatu Pria</v>
      </c>
      <c r="E473" s="39" t="str">
        <f>IFERROR(INDEX(Katalog!$B$3:$B$12,MATCH(cadangan[[#This Row],[ItemID A]],Katalog!$C$3:$C$12,0)),"-")</f>
        <v>Sneakers</v>
      </c>
      <c r="F473" s="50">
        <v>2</v>
      </c>
      <c r="G473" s="50">
        <v>2</v>
      </c>
      <c r="H473" s="73">
        <f>IFERROR(INDEX(Katalog!$D$3:$D$12,MATCH(cadangan[[#This Row],[ItemID A]],Katalog!$C$3:$C$12,0))*cadangan[[#This Row],[Qty A]],0)</f>
        <v>1000000</v>
      </c>
      <c r="I473" s="73">
        <f>IFERROR(cadangan[[#This Row],[Harga Normal A]]-(cadangan[[#This Row],[Harga Normal A]]*cadangan[[#This Row],[Diskon]]),cadangan[[#This Row],[Harga Normal A]])</f>
        <v>900000</v>
      </c>
      <c r="J473" s="73">
        <f>INDEX(Katalog!$F$3:$F$12,MATCH(cadangan[[#This Row],[ItemID A]],Katalog!$C$3:$C$12,0))*cadangan[[#This Row],[Qty A]]</f>
        <v>400000</v>
      </c>
      <c r="K473" s="73">
        <f>IFERROR(cadangan[[#This Row],[Harga Diskon A]]-INDEX(Katalog!$E$3:$E$12,MATCH(cadangan[[#This Row],[ItemID A]],Katalog!$C$3:$C$12,0))*cadangan[[#This Row],[Qty A]],0)</f>
        <v>300000</v>
      </c>
      <c r="M473" s="39" t="str">
        <f>IFERROR(INDEX(Katalog!$A$3:$A$12,MATCH(cadangan[[#This Row],[ItemID B]],Katalog!$C$3:$C$12,0)),"-")</f>
        <v>-</v>
      </c>
      <c r="N473" s="39" t="str">
        <f>IFERROR(INDEX(Katalog!$B$3:$B$12,MATCH(cadangan[[#This Row],[ItemID B]],Katalog!$C$3:$C$12,0)),"-")</f>
        <v>-</v>
      </c>
      <c r="Q473" s="73">
        <f>IFERROR(INDEX(Katalog!$D$3:$D$12,MATCH(cadangan[[#This Row],[ItemID B]],Katalog!$C$3:$C$12,0))*cadangan[[#This Row],[Qty B]],0)</f>
        <v>0</v>
      </c>
      <c r="R473" s="73">
        <f>IFERROR(cadangan[[#This Row],[Harga Normal B]]-(cadangan[[#This Row],[Harga Normal B]]*cadangan[[#This Row],[Diskon]]),cadangan[[#This Row],[Harga Normal B]])</f>
        <v>0</v>
      </c>
      <c r="S473" s="73">
        <f>IFERROR(INDEX(Katalog!$F$3:$F$12,MATCH(cadangan[[#This Row],[ItemID B]],Katalog!$C$3:$C$12,0))*cadangan[[#This Row],[Qty B]],0)</f>
        <v>0</v>
      </c>
      <c r="T473" s="73">
        <f>IFERROR(cadangan[[#This Row],[Harga Diskon B]]-INDEX(Katalog!$E$3:$E$12,MATCH(cadangan[[#This Row],[ItemID B]],Katalog!$C$3:$C$12,0))*cadangan[[#This Row],[Qty B]],0)</f>
        <v>0</v>
      </c>
      <c r="V473" s="39" t="str">
        <f>IFERROR(INDEX(Katalog!$A$3:$A$12,MATCH(cadangan[[#This Row],[ItemID C]],Katalog!$C$3:$C$12,0)),"-")</f>
        <v>-</v>
      </c>
      <c r="W473" s="39" t="str">
        <f>IFERROR(INDEX(Katalog!$B$3:$B$12,MATCH(cadangan[[#This Row],[ItemID C]],Katalog!$C$3:$C$12,0)),"-")</f>
        <v>-</v>
      </c>
      <c r="Z473" s="73">
        <f>IFERROR(INDEX(Katalog!$D$3:$D$12,MATCH(cadangan[[#This Row],[ItemID C]],Katalog!$C$3:$C$12,0))*cadangan[[#This Row],[Qty C]],0)</f>
        <v>0</v>
      </c>
      <c r="AA473" s="73">
        <f>IFERROR(cadangan[[#This Row],[Harga Normal C]]-(cadangan[[#This Row],[Harga Normal C]]*cadangan[[#This Row],[Diskon]]),cadangan[[#This Row],[Harga Normal C]])</f>
        <v>0</v>
      </c>
      <c r="AB473" s="73">
        <f>IFERROR(INDEX(Katalog!$F$3:$F$12,MATCH(cadangan[[#This Row],[ItemID C]],Katalog!$C$3:$C$12,0))*cadangan[[#This Row],[Qty C]],0)</f>
        <v>0</v>
      </c>
      <c r="AC473" s="73">
        <f>IFERROR(cadangan[[#This Row],[Harga Diskon C]]-INDEX(Katalog!$E$3:$E$12,MATCH(cadangan[[#This Row],[ItemID C]],Katalog!$C$3:$C$12,0))*cadangan[[#This Row],[Qty C]],0)</f>
        <v>0</v>
      </c>
      <c r="AD473" s="53">
        <f>cadangan[[#This Row],[Qty A]]+cadangan[[#This Row],[Qty B]]+cadangan[[#This Row],[Qty C]]</f>
        <v>2</v>
      </c>
      <c r="AE473" s="73">
        <f>cadangan[[#This Row],[Harga Normal A]]+cadangan[[#This Row],[Harga Normal B]]+cadangan[[#This Row],[Harga Normal C]]</f>
        <v>1000000</v>
      </c>
      <c r="AF473" s="73">
        <f>cadangan[[#This Row],[Harga Diskon A]]+cadangan[[#This Row],[Harga Diskon B]]+cadangan[[#This Row],[Harga Diskon C]]</f>
        <v>900000</v>
      </c>
      <c r="AG473" s="73">
        <f>(cadangan[[#This Row],[Profit Normal A]]+cadangan[[#This Row],[Profit Normal B]]+cadangan[[#This Row],[Profit Normal C]])</f>
        <v>400000</v>
      </c>
      <c r="AH473" s="73">
        <f>cadangan[[#This Row],[Profit Diskon A]]+cadangan[[#This Row],[Profit Diskon B]]+cadangan[[#This Row],[Profit Diskon C]]</f>
        <v>300000</v>
      </c>
      <c r="AI473" s="23" t="s">
        <v>6</v>
      </c>
      <c r="AJ473" s="37">
        <f>IFERROR(INDEX('Kode Diskon'!$D$3:$D$9,MATCH(cadangan[[#This Row],[Kode diskon]],'Kode Diskon'!$C$3:$C$9,0)),"-")</f>
        <v>0.1</v>
      </c>
      <c r="AK473" s="23" t="s">
        <v>29</v>
      </c>
      <c r="AL473" s="23" t="s">
        <v>7</v>
      </c>
      <c r="AM473" s="23" t="s">
        <v>79</v>
      </c>
      <c r="AN473" s="55">
        <v>45022</v>
      </c>
      <c r="AO473" s="53">
        <f>DAY(cadangan[[#This Row],[Tanggal terjual]])</f>
        <v>6</v>
      </c>
      <c r="AP473" s="21" t="str">
        <f>TEXT(cadangan[[#This Row],[Tanggal terjual]],"dddd")</f>
        <v>Thursday</v>
      </c>
      <c r="AQ473" s="23" t="str" cm="1">
        <f t="array" ref="AQ4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3" s="61">
        <f>AVERAGE(cadangan[[#This Row],[Rating A]],cadangan[[#This Row],[Rating B]],cadangan[[#This Row],[Rating C]])</f>
        <v>2</v>
      </c>
    </row>
    <row r="474" spans="1:44" x14ac:dyDescent="0.2">
      <c r="A474" s="20">
        <v>473</v>
      </c>
      <c r="B474" s="21" t="str">
        <f>_xlfn.CONCAT("ORD-",INDEX(Helper!$B$2:$B$5,MATCH(cadangan[[#This Row],[Marketplace]],Helper!$A$2:$A$5,0)),TEXT(cadangan[[#This Row],[No]],"0000"),"-",TEXT(cadangan[[#This Row],[Tanggal terjual]],"dd/mm/yy"))</f>
        <v>ORD-SP0473-25/04/23</v>
      </c>
      <c r="C474" s="39" t="s">
        <v>58</v>
      </c>
      <c r="D474" s="39" t="str">
        <f>IFERROR(INDEX(Katalog!$A$3:$A$12,MATCH(cadangan[[#This Row],[ItemID A]],Katalog!$C$3:$C$12,0)),"-")</f>
        <v>Pakaian Wanita</v>
      </c>
      <c r="E474" s="39" t="str">
        <f>IFERROR(INDEX(Katalog!$B$3:$B$12,MATCH(cadangan[[#This Row],[ItemID A]],Katalog!$C$3:$C$12,0)),"-")</f>
        <v>Dress</v>
      </c>
      <c r="F474" s="50">
        <v>2</v>
      </c>
      <c r="G474" s="50">
        <v>3</v>
      </c>
      <c r="H474" s="73">
        <f>IFERROR(INDEX(Katalog!$D$3:$D$12,MATCH(cadangan[[#This Row],[ItemID A]],Katalog!$C$3:$C$12,0))*cadangan[[#This Row],[Qty A]],0)</f>
        <v>600000</v>
      </c>
      <c r="I474" s="73">
        <f>IFERROR(cadangan[[#This Row],[Harga Normal A]]-(cadangan[[#This Row],[Harga Normal A]]*cadangan[[#This Row],[Diskon]]),cadangan[[#This Row],[Harga Normal A]])</f>
        <v>480000</v>
      </c>
      <c r="J474" s="73">
        <f>INDEX(Katalog!$F$3:$F$12,MATCH(cadangan[[#This Row],[ItemID A]],Katalog!$C$3:$C$12,0))*cadangan[[#This Row],[Qty A]]</f>
        <v>200000</v>
      </c>
      <c r="K474" s="73">
        <f>IFERROR(cadangan[[#This Row],[Harga Diskon A]]-INDEX(Katalog!$E$3:$E$12,MATCH(cadangan[[#This Row],[ItemID A]],Katalog!$C$3:$C$12,0))*cadangan[[#This Row],[Qty A]],0)</f>
        <v>80000</v>
      </c>
      <c r="M474" s="39" t="str">
        <f>IFERROR(INDEX(Katalog!$A$3:$A$12,MATCH(cadangan[[#This Row],[ItemID B]],Katalog!$C$3:$C$12,0)),"-")</f>
        <v>-</v>
      </c>
      <c r="N474" s="39" t="str">
        <f>IFERROR(INDEX(Katalog!$B$3:$B$12,MATCH(cadangan[[#This Row],[ItemID B]],Katalog!$C$3:$C$12,0)),"-")</f>
        <v>-</v>
      </c>
      <c r="Q474" s="73">
        <f>IFERROR(INDEX(Katalog!$D$3:$D$12,MATCH(cadangan[[#This Row],[ItemID B]],Katalog!$C$3:$C$12,0))*cadangan[[#This Row],[Qty B]],0)</f>
        <v>0</v>
      </c>
      <c r="R474" s="73">
        <f>IFERROR(cadangan[[#This Row],[Harga Normal B]]-(cadangan[[#This Row],[Harga Normal B]]*cadangan[[#This Row],[Diskon]]),cadangan[[#This Row],[Harga Normal B]])</f>
        <v>0</v>
      </c>
      <c r="S474" s="73">
        <f>IFERROR(INDEX(Katalog!$F$3:$F$12,MATCH(cadangan[[#This Row],[ItemID B]],Katalog!$C$3:$C$12,0))*cadangan[[#This Row],[Qty B]],0)</f>
        <v>0</v>
      </c>
      <c r="T474" s="73">
        <f>IFERROR(cadangan[[#This Row],[Harga Diskon B]]-INDEX(Katalog!$E$3:$E$12,MATCH(cadangan[[#This Row],[ItemID B]],Katalog!$C$3:$C$12,0))*cadangan[[#This Row],[Qty B]],0)</f>
        <v>0</v>
      </c>
      <c r="V474" s="39" t="str">
        <f>IFERROR(INDEX(Katalog!$A$3:$A$12,MATCH(cadangan[[#This Row],[ItemID C]],Katalog!$C$3:$C$12,0)),"-")</f>
        <v>-</v>
      </c>
      <c r="W474" s="39" t="str">
        <f>IFERROR(INDEX(Katalog!$B$3:$B$12,MATCH(cadangan[[#This Row],[ItemID C]],Katalog!$C$3:$C$12,0)),"-")</f>
        <v>-</v>
      </c>
      <c r="Z474" s="73">
        <f>IFERROR(INDEX(Katalog!$D$3:$D$12,MATCH(cadangan[[#This Row],[ItemID C]],Katalog!$C$3:$C$12,0))*cadangan[[#This Row],[Qty C]],0)</f>
        <v>0</v>
      </c>
      <c r="AA474" s="73">
        <f>IFERROR(cadangan[[#This Row],[Harga Normal C]]-(cadangan[[#This Row],[Harga Normal C]]*cadangan[[#This Row],[Diskon]]),cadangan[[#This Row],[Harga Normal C]])</f>
        <v>0</v>
      </c>
      <c r="AB474" s="73">
        <f>IFERROR(INDEX(Katalog!$F$3:$F$12,MATCH(cadangan[[#This Row],[ItemID C]],Katalog!$C$3:$C$12,0))*cadangan[[#This Row],[Qty C]],0)</f>
        <v>0</v>
      </c>
      <c r="AC474" s="73">
        <f>IFERROR(cadangan[[#This Row],[Harga Diskon C]]-INDEX(Katalog!$E$3:$E$12,MATCH(cadangan[[#This Row],[ItemID C]],Katalog!$C$3:$C$12,0))*cadangan[[#This Row],[Qty C]],0)</f>
        <v>0</v>
      </c>
      <c r="AD474" s="53">
        <f>cadangan[[#This Row],[Qty A]]+cadangan[[#This Row],[Qty B]]+cadangan[[#This Row],[Qty C]]</f>
        <v>2</v>
      </c>
      <c r="AE474" s="73">
        <f>cadangan[[#This Row],[Harga Normal A]]+cadangan[[#This Row],[Harga Normal B]]+cadangan[[#This Row],[Harga Normal C]]</f>
        <v>600000</v>
      </c>
      <c r="AF474" s="73">
        <f>cadangan[[#This Row],[Harga Diskon A]]+cadangan[[#This Row],[Harga Diskon B]]+cadangan[[#This Row],[Harga Diskon C]]</f>
        <v>480000</v>
      </c>
      <c r="AG474" s="73">
        <f>(cadangan[[#This Row],[Profit Normal A]]+cadangan[[#This Row],[Profit Normal B]]+cadangan[[#This Row],[Profit Normal C]])</f>
        <v>200000</v>
      </c>
      <c r="AH474" s="73">
        <f>cadangan[[#This Row],[Profit Diskon A]]+cadangan[[#This Row],[Profit Diskon B]]+cadangan[[#This Row],[Profit Diskon C]]</f>
        <v>80000</v>
      </c>
      <c r="AI474" s="23" t="s">
        <v>8</v>
      </c>
      <c r="AJ474" s="37">
        <f>IFERROR(INDEX('Kode Diskon'!$D$3:$D$9,MATCH(cadangan[[#This Row],[Kode diskon]],'Kode Diskon'!$C$3:$C$9,0)),"-")</f>
        <v>0.2</v>
      </c>
      <c r="AK474" s="23" t="s">
        <v>9</v>
      </c>
      <c r="AL474" s="23" t="s">
        <v>7</v>
      </c>
      <c r="AM474" s="23" t="s">
        <v>80</v>
      </c>
      <c r="AN474" s="55">
        <v>45041</v>
      </c>
      <c r="AO474" s="53">
        <f>DAY(cadangan[[#This Row],[Tanggal terjual]])</f>
        <v>25</v>
      </c>
      <c r="AP474" s="21" t="str">
        <f>TEXT(cadangan[[#This Row],[Tanggal terjual]],"dddd")</f>
        <v>Tuesday</v>
      </c>
      <c r="AQ474" s="23" t="str" cm="1">
        <f t="array" ref="AQ4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74" s="61">
        <f>AVERAGE(cadangan[[#This Row],[Rating A]],cadangan[[#This Row],[Rating B]],cadangan[[#This Row],[Rating C]])</f>
        <v>3</v>
      </c>
    </row>
    <row r="475" spans="1:44" x14ac:dyDescent="0.2">
      <c r="A475" s="20">
        <v>474</v>
      </c>
      <c r="B475" s="21" t="str">
        <f>_xlfn.CONCAT("ORD-",INDEX(Helper!$B$2:$B$5,MATCH(cadangan[[#This Row],[Marketplace]],Helper!$A$2:$A$5,0)),TEXT(cadangan[[#This Row],[No]],"0000"),"-",TEXT(cadangan[[#This Row],[Tanggal terjual]],"dd/mm/yy"))</f>
        <v>ORD-TK0474-19/04/23</v>
      </c>
      <c r="C475" s="39" t="s">
        <v>58</v>
      </c>
      <c r="D475" s="39" t="str">
        <f>IFERROR(INDEX(Katalog!$A$3:$A$12,MATCH(cadangan[[#This Row],[ItemID A]],Katalog!$C$3:$C$12,0)),"-")</f>
        <v>Pakaian Wanita</v>
      </c>
      <c r="E475" s="39" t="str">
        <f>IFERROR(INDEX(Katalog!$B$3:$B$12,MATCH(cadangan[[#This Row],[ItemID A]],Katalog!$C$3:$C$12,0)),"-")</f>
        <v>Dress</v>
      </c>
      <c r="F475" s="50">
        <v>1</v>
      </c>
      <c r="G475" s="50">
        <v>1</v>
      </c>
      <c r="H475" s="73">
        <f>IFERROR(INDEX(Katalog!$D$3:$D$12,MATCH(cadangan[[#This Row],[ItemID A]],Katalog!$C$3:$C$12,0))*cadangan[[#This Row],[Qty A]],0)</f>
        <v>300000</v>
      </c>
      <c r="I475" s="73">
        <f>IFERROR(cadangan[[#This Row],[Harga Normal A]]-(cadangan[[#This Row],[Harga Normal A]]*cadangan[[#This Row],[Diskon]]),cadangan[[#This Row],[Harga Normal A]])</f>
        <v>270000</v>
      </c>
      <c r="J475" s="73">
        <f>INDEX(Katalog!$F$3:$F$12,MATCH(cadangan[[#This Row],[ItemID A]],Katalog!$C$3:$C$12,0))*cadangan[[#This Row],[Qty A]]</f>
        <v>100000</v>
      </c>
      <c r="K475" s="73">
        <f>IFERROR(cadangan[[#This Row],[Harga Diskon A]]-INDEX(Katalog!$E$3:$E$12,MATCH(cadangan[[#This Row],[ItemID A]],Katalog!$C$3:$C$12,0))*cadangan[[#This Row],[Qty A]],0)</f>
        <v>70000</v>
      </c>
      <c r="L475" s="39" t="s">
        <v>61</v>
      </c>
      <c r="M475" s="39" t="str">
        <f>IFERROR(INDEX(Katalog!$A$3:$A$12,MATCH(cadangan[[#This Row],[ItemID B]],Katalog!$C$3:$C$12,0)),"-")</f>
        <v>Pakaian Pria</v>
      </c>
      <c r="N475" s="39" t="str">
        <f>IFERROR(INDEX(Katalog!$B$3:$B$12,MATCH(cadangan[[#This Row],[ItemID B]],Katalog!$C$3:$C$12,0)),"-")</f>
        <v>Kaos Polo</v>
      </c>
      <c r="O475" s="50">
        <v>1</v>
      </c>
      <c r="P475" s="50">
        <v>5</v>
      </c>
      <c r="Q475" s="73">
        <f>IFERROR(INDEX(Katalog!$D$3:$D$12,MATCH(cadangan[[#This Row],[ItemID B]],Katalog!$C$3:$C$12,0))*cadangan[[#This Row],[Qty B]],0)</f>
        <v>200000</v>
      </c>
      <c r="R475" s="73">
        <f>IFERROR(cadangan[[#This Row],[Harga Normal B]]-(cadangan[[#This Row],[Harga Normal B]]*cadangan[[#This Row],[Diskon]]),cadangan[[#This Row],[Harga Normal B]])</f>
        <v>180000</v>
      </c>
      <c r="S475" s="73">
        <f>IFERROR(INDEX(Katalog!$F$3:$F$12,MATCH(cadangan[[#This Row],[ItemID B]],Katalog!$C$3:$C$12,0))*cadangan[[#This Row],[Qty B]],0)</f>
        <v>80000</v>
      </c>
      <c r="T475" s="73">
        <f>IFERROR(cadangan[[#This Row],[Harga Diskon B]]-INDEX(Katalog!$E$3:$E$12,MATCH(cadangan[[#This Row],[ItemID B]],Katalog!$C$3:$C$12,0))*cadangan[[#This Row],[Qty B]],0)</f>
        <v>60000</v>
      </c>
      <c r="U475" s="39" t="s">
        <v>59</v>
      </c>
      <c r="V475" s="39" t="str">
        <f>IFERROR(INDEX(Katalog!$A$3:$A$12,MATCH(cadangan[[#This Row],[ItemID C]],Katalog!$C$3:$C$12,0)),"-")</f>
        <v>Pakaian Wanita</v>
      </c>
      <c r="W475" s="39" t="str">
        <f>IFERROR(INDEX(Katalog!$B$3:$B$12,MATCH(cadangan[[#This Row],[ItemID C]],Katalog!$C$3:$C$12,0)),"-")</f>
        <v>Blouse</v>
      </c>
      <c r="X475" s="50">
        <v>3</v>
      </c>
      <c r="Y475" s="50">
        <v>4</v>
      </c>
      <c r="Z475" s="73">
        <f>IFERROR(INDEX(Katalog!$D$3:$D$12,MATCH(cadangan[[#This Row],[ItemID C]],Katalog!$C$3:$C$12,0))*cadangan[[#This Row],[Qty C]],0)</f>
        <v>450000</v>
      </c>
      <c r="AA475" s="73">
        <f>IFERROR(cadangan[[#This Row],[Harga Normal C]]-(cadangan[[#This Row],[Harga Normal C]]*cadangan[[#This Row],[Diskon]]),cadangan[[#This Row],[Harga Normal C]])</f>
        <v>405000</v>
      </c>
      <c r="AB475" s="73">
        <f>IFERROR(INDEX(Katalog!$F$3:$F$12,MATCH(cadangan[[#This Row],[ItemID C]],Katalog!$C$3:$C$12,0))*cadangan[[#This Row],[Qty C]],0)</f>
        <v>150000</v>
      </c>
      <c r="AC475" s="73">
        <f>IFERROR(cadangan[[#This Row],[Harga Diskon C]]-INDEX(Katalog!$E$3:$E$12,MATCH(cadangan[[#This Row],[ItemID C]],Katalog!$C$3:$C$12,0))*cadangan[[#This Row],[Qty C]],0)</f>
        <v>105000</v>
      </c>
      <c r="AD475" s="53">
        <f>cadangan[[#This Row],[Qty A]]+cadangan[[#This Row],[Qty B]]+cadangan[[#This Row],[Qty C]]</f>
        <v>5</v>
      </c>
      <c r="AE475" s="73">
        <f>cadangan[[#This Row],[Harga Normal A]]+cadangan[[#This Row],[Harga Normal B]]+cadangan[[#This Row],[Harga Normal C]]</f>
        <v>950000</v>
      </c>
      <c r="AF475" s="73">
        <f>cadangan[[#This Row],[Harga Diskon A]]+cadangan[[#This Row],[Harga Diskon B]]+cadangan[[#This Row],[Harga Diskon C]]</f>
        <v>855000</v>
      </c>
      <c r="AG475" s="73">
        <f>(cadangan[[#This Row],[Profit Normal A]]+cadangan[[#This Row],[Profit Normal B]]+cadangan[[#This Row],[Profit Normal C]])</f>
        <v>330000</v>
      </c>
      <c r="AH475" s="73">
        <f>cadangan[[#This Row],[Profit Diskon A]]+cadangan[[#This Row],[Profit Diskon B]]+cadangan[[#This Row],[Profit Diskon C]]</f>
        <v>235000</v>
      </c>
      <c r="AI475" s="23" t="s">
        <v>31</v>
      </c>
      <c r="AJ475" s="37">
        <f>IFERROR(INDEX('Kode Diskon'!$D$3:$D$9,MATCH(cadangan[[#This Row],[Kode diskon]],'Kode Diskon'!$C$3:$C$9,0)),"-")</f>
        <v>0.1</v>
      </c>
      <c r="AK475" s="23" t="s">
        <v>9</v>
      </c>
      <c r="AL475" s="23" t="s">
        <v>10</v>
      </c>
      <c r="AM475" s="23" t="s">
        <v>80</v>
      </c>
      <c r="AN475" s="55">
        <v>45035</v>
      </c>
      <c r="AO475" s="53">
        <f>DAY(cadangan[[#This Row],[Tanggal terjual]])</f>
        <v>19</v>
      </c>
      <c r="AP475" s="21" t="str">
        <f>TEXT(cadangan[[#This Row],[Tanggal terjual]],"dddd")</f>
        <v>Wednesday</v>
      </c>
      <c r="AQ475" s="23" t="str" cm="1">
        <f t="array" ref="AQ4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475" s="61">
        <f>AVERAGE(cadangan[[#This Row],[Rating A]],cadangan[[#This Row],[Rating B]],cadangan[[#This Row],[Rating C]])</f>
        <v>3.3333333333333335</v>
      </c>
    </row>
    <row r="476" spans="1:44" x14ac:dyDescent="0.2">
      <c r="A476" s="20">
        <v>475</v>
      </c>
      <c r="B476" s="21" t="str">
        <f>_xlfn.CONCAT("ORD-",INDEX(Helper!$B$2:$B$5,MATCH(cadangan[[#This Row],[Marketplace]],Helper!$A$2:$A$5,0)),TEXT(cadangan[[#This Row],[No]],"0000"),"-",TEXT(cadangan[[#This Row],[Tanggal terjual]],"dd/mm/yy"))</f>
        <v>ORD-SP0475-01/04/23</v>
      </c>
      <c r="C476" s="39" t="s">
        <v>62</v>
      </c>
      <c r="D476" s="39" t="str">
        <f>IFERROR(INDEX(Katalog!$A$3:$A$12,MATCH(cadangan[[#This Row],[ItemID A]],Katalog!$C$3:$C$12,0)),"-")</f>
        <v>Pakaian Pria</v>
      </c>
      <c r="E476" s="39" t="str">
        <f>IFERROR(INDEX(Katalog!$B$3:$B$12,MATCH(cadangan[[#This Row],[ItemID A]],Katalog!$C$3:$C$12,0)),"-")</f>
        <v>Celana Pendek</v>
      </c>
      <c r="F476" s="50">
        <v>2</v>
      </c>
      <c r="G476" s="50">
        <v>3</v>
      </c>
      <c r="H476" s="73">
        <f>IFERROR(INDEX(Katalog!$D$3:$D$12,MATCH(cadangan[[#This Row],[ItemID A]],Katalog!$C$3:$C$12,0))*cadangan[[#This Row],[Qty A]],0)</f>
        <v>360000</v>
      </c>
      <c r="I476" s="73">
        <f>IFERROR(cadangan[[#This Row],[Harga Normal A]]-(cadangan[[#This Row],[Harga Normal A]]*cadangan[[#This Row],[Diskon]]),cadangan[[#This Row],[Harga Normal A]])</f>
        <v>324000</v>
      </c>
      <c r="J476" s="73">
        <f>INDEX(Katalog!$F$3:$F$12,MATCH(cadangan[[#This Row],[ItemID A]],Katalog!$C$3:$C$12,0))*cadangan[[#This Row],[Qty A]]</f>
        <v>140000</v>
      </c>
      <c r="K476" s="73">
        <f>IFERROR(cadangan[[#This Row],[Harga Diskon A]]-INDEX(Katalog!$E$3:$E$12,MATCH(cadangan[[#This Row],[ItemID A]],Katalog!$C$3:$C$12,0))*cadangan[[#This Row],[Qty A]],0)</f>
        <v>104000</v>
      </c>
      <c r="L476" s="39" t="s">
        <v>58</v>
      </c>
      <c r="M476" s="39" t="str">
        <f>IFERROR(INDEX(Katalog!$A$3:$A$12,MATCH(cadangan[[#This Row],[ItemID B]],Katalog!$C$3:$C$12,0)),"-")</f>
        <v>Pakaian Wanita</v>
      </c>
      <c r="N476" s="39" t="str">
        <f>IFERROR(INDEX(Katalog!$B$3:$B$12,MATCH(cadangan[[#This Row],[ItemID B]],Katalog!$C$3:$C$12,0)),"-")</f>
        <v>Dress</v>
      </c>
      <c r="O476" s="50">
        <v>1</v>
      </c>
      <c r="P476" s="50">
        <v>3</v>
      </c>
      <c r="Q476" s="73">
        <f>IFERROR(INDEX(Katalog!$D$3:$D$12,MATCH(cadangan[[#This Row],[ItemID B]],Katalog!$C$3:$C$12,0))*cadangan[[#This Row],[Qty B]],0)</f>
        <v>300000</v>
      </c>
      <c r="R476" s="73">
        <f>IFERROR(cadangan[[#This Row],[Harga Normal B]]-(cadangan[[#This Row],[Harga Normal B]]*cadangan[[#This Row],[Diskon]]),cadangan[[#This Row],[Harga Normal B]])</f>
        <v>270000</v>
      </c>
      <c r="S476" s="73">
        <f>IFERROR(INDEX(Katalog!$F$3:$F$12,MATCH(cadangan[[#This Row],[ItemID B]],Katalog!$C$3:$C$12,0))*cadangan[[#This Row],[Qty B]],0)</f>
        <v>100000</v>
      </c>
      <c r="T476" s="73">
        <f>IFERROR(cadangan[[#This Row],[Harga Diskon B]]-INDEX(Katalog!$E$3:$E$12,MATCH(cadangan[[#This Row],[ItemID B]],Katalog!$C$3:$C$12,0))*cadangan[[#This Row],[Qty B]],0)</f>
        <v>70000</v>
      </c>
      <c r="V476" s="39" t="str">
        <f>IFERROR(INDEX(Katalog!$A$3:$A$12,MATCH(cadangan[[#This Row],[ItemID C]],Katalog!$C$3:$C$12,0)),"-")</f>
        <v>-</v>
      </c>
      <c r="W476" s="39" t="str">
        <f>IFERROR(INDEX(Katalog!$B$3:$B$12,MATCH(cadangan[[#This Row],[ItemID C]],Katalog!$C$3:$C$12,0)),"-")</f>
        <v>-</v>
      </c>
      <c r="Z476" s="73">
        <f>IFERROR(INDEX(Katalog!$D$3:$D$12,MATCH(cadangan[[#This Row],[ItemID C]],Katalog!$C$3:$C$12,0))*cadangan[[#This Row],[Qty C]],0)</f>
        <v>0</v>
      </c>
      <c r="AA476" s="73">
        <f>IFERROR(cadangan[[#This Row],[Harga Normal C]]-(cadangan[[#This Row],[Harga Normal C]]*cadangan[[#This Row],[Diskon]]),cadangan[[#This Row],[Harga Normal C]])</f>
        <v>0</v>
      </c>
      <c r="AB476" s="73">
        <f>IFERROR(INDEX(Katalog!$F$3:$F$12,MATCH(cadangan[[#This Row],[ItemID C]],Katalog!$C$3:$C$12,0))*cadangan[[#This Row],[Qty C]],0)</f>
        <v>0</v>
      </c>
      <c r="AC476" s="73">
        <f>IFERROR(cadangan[[#This Row],[Harga Diskon C]]-INDEX(Katalog!$E$3:$E$12,MATCH(cadangan[[#This Row],[ItemID C]],Katalog!$C$3:$C$12,0))*cadangan[[#This Row],[Qty C]],0)</f>
        <v>0</v>
      </c>
      <c r="AD476" s="53">
        <f>cadangan[[#This Row],[Qty A]]+cadangan[[#This Row],[Qty B]]+cadangan[[#This Row],[Qty C]]</f>
        <v>3</v>
      </c>
      <c r="AE476" s="73">
        <f>cadangan[[#This Row],[Harga Normal A]]+cadangan[[#This Row],[Harga Normal B]]+cadangan[[#This Row],[Harga Normal C]]</f>
        <v>660000</v>
      </c>
      <c r="AF476" s="73">
        <f>cadangan[[#This Row],[Harga Diskon A]]+cadangan[[#This Row],[Harga Diskon B]]+cadangan[[#This Row],[Harga Diskon C]]</f>
        <v>594000</v>
      </c>
      <c r="AG476" s="73">
        <f>(cadangan[[#This Row],[Profit Normal A]]+cadangan[[#This Row],[Profit Normal B]]+cadangan[[#This Row],[Profit Normal C]])</f>
        <v>240000</v>
      </c>
      <c r="AH476" s="73">
        <f>cadangan[[#This Row],[Profit Diskon A]]+cadangan[[#This Row],[Profit Diskon B]]+cadangan[[#This Row],[Profit Diskon C]]</f>
        <v>174000</v>
      </c>
      <c r="AI476" s="23" t="s">
        <v>6</v>
      </c>
      <c r="AJ476" s="37">
        <f>IFERROR(INDEX('Kode Diskon'!$D$3:$D$9,MATCH(cadangan[[#This Row],[Kode diskon]],'Kode Diskon'!$C$3:$C$9,0)),"-")</f>
        <v>0.1</v>
      </c>
      <c r="AK476" s="23" t="s">
        <v>29</v>
      </c>
      <c r="AL476" s="23" t="s">
        <v>7</v>
      </c>
      <c r="AM476" s="23" t="s">
        <v>76</v>
      </c>
      <c r="AN476" s="55">
        <v>45017</v>
      </c>
      <c r="AO476" s="53">
        <f>DAY(cadangan[[#This Row],[Tanggal terjual]])</f>
        <v>1</v>
      </c>
      <c r="AP476" s="21" t="str">
        <f>TEXT(cadangan[[#This Row],[Tanggal terjual]],"dddd")</f>
        <v>Saturday</v>
      </c>
      <c r="AQ476" s="23" t="str" cm="1">
        <f t="array" ref="AQ4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6" s="61">
        <f>AVERAGE(cadangan[[#This Row],[Rating A]],cadangan[[#This Row],[Rating B]],cadangan[[#This Row],[Rating C]])</f>
        <v>3</v>
      </c>
    </row>
    <row r="477" spans="1:44" x14ac:dyDescent="0.2">
      <c r="A477" s="20">
        <v>476</v>
      </c>
      <c r="B477" s="21" t="str">
        <f>_xlfn.CONCAT("ORD-",INDEX(Helper!$B$2:$B$5,MATCH(cadangan[[#This Row],[Marketplace]],Helper!$A$2:$A$5,0)),TEXT(cadangan[[#This Row],[No]],"0000"),"-",TEXT(cadangan[[#This Row],[Tanggal terjual]],"dd/mm/yy"))</f>
        <v>ORD-BB0476-04/04/23</v>
      </c>
      <c r="C477" s="39" t="s">
        <v>59</v>
      </c>
      <c r="D477" s="39" t="str">
        <f>IFERROR(INDEX(Katalog!$A$3:$A$12,MATCH(cadangan[[#This Row],[ItemID A]],Katalog!$C$3:$C$12,0)),"-")</f>
        <v>Pakaian Wanita</v>
      </c>
      <c r="E477" s="39" t="str">
        <f>IFERROR(INDEX(Katalog!$B$3:$B$12,MATCH(cadangan[[#This Row],[ItemID A]],Katalog!$C$3:$C$12,0)),"-")</f>
        <v>Blouse</v>
      </c>
      <c r="F477" s="50">
        <v>2</v>
      </c>
      <c r="G477" s="50">
        <v>5</v>
      </c>
      <c r="H477" s="73">
        <f>IFERROR(INDEX(Katalog!$D$3:$D$12,MATCH(cadangan[[#This Row],[ItemID A]],Katalog!$C$3:$C$12,0))*cadangan[[#This Row],[Qty A]],0)</f>
        <v>300000</v>
      </c>
      <c r="I477" s="73">
        <f>IFERROR(cadangan[[#This Row],[Harga Normal A]]-(cadangan[[#This Row],[Harga Normal A]]*cadangan[[#This Row],[Diskon]]),cadangan[[#This Row],[Harga Normal A]])</f>
        <v>255000</v>
      </c>
      <c r="J477" s="73">
        <f>INDEX(Katalog!$F$3:$F$12,MATCH(cadangan[[#This Row],[ItemID A]],Katalog!$C$3:$C$12,0))*cadangan[[#This Row],[Qty A]]</f>
        <v>100000</v>
      </c>
      <c r="K477" s="73">
        <f>IFERROR(cadangan[[#This Row],[Harga Diskon A]]-INDEX(Katalog!$E$3:$E$12,MATCH(cadangan[[#This Row],[ItemID A]],Katalog!$C$3:$C$12,0))*cadangan[[#This Row],[Qty A]],0)</f>
        <v>55000</v>
      </c>
      <c r="L477" s="39" t="s">
        <v>66</v>
      </c>
      <c r="M477" s="39" t="str">
        <f>IFERROR(INDEX(Katalog!$A$3:$A$12,MATCH(cadangan[[#This Row],[ItemID B]],Katalog!$C$3:$C$12,0)),"-")</f>
        <v>Sepatu Pria</v>
      </c>
      <c r="N477" s="39" t="str">
        <f>IFERROR(INDEX(Katalog!$B$3:$B$12,MATCH(cadangan[[#This Row],[ItemID B]],Katalog!$C$3:$C$12,0)),"-")</f>
        <v>Sandal Slip On</v>
      </c>
      <c r="O477" s="50">
        <v>3</v>
      </c>
      <c r="P477" s="50">
        <v>1</v>
      </c>
      <c r="Q477" s="73">
        <f>IFERROR(INDEX(Katalog!$D$3:$D$12,MATCH(cadangan[[#This Row],[ItemID B]],Katalog!$C$3:$C$12,0))*cadangan[[#This Row],[Qty B]],0)</f>
        <v>450000</v>
      </c>
      <c r="R477" s="73">
        <f>IFERROR(cadangan[[#This Row],[Harga Normal B]]-(cadangan[[#This Row],[Harga Normal B]]*cadangan[[#This Row],[Diskon]]),cadangan[[#This Row],[Harga Normal B]])</f>
        <v>382500</v>
      </c>
      <c r="S477" s="73">
        <f>IFERROR(INDEX(Katalog!$F$3:$F$12,MATCH(cadangan[[#This Row],[ItemID B]],Katalog!$C$3:$C$12,0))*cadangan[[#This Row],[Qty B]],0)</f>
        <v>180000</v>
      </c>
      <c r="T477" s="73">
        <f>IFERROR(cadangan[[#This Row],[Harga Diskon B]]-INDEX(Katalog!$E$3:$E$12,MATCH(cadangan[[#This Row],[ItemID B]],Katalog!$C$3:$C$12,0))*cadangan[[#This Row],[Qty B]],0)</f>
        <v>112500</v>
      </c>
      <c r="V477" s="39" t="str">
        <f>IFERROR(INDEX(Katalog!$A$3:$A$12,MATCH(cadangan[[#This Row],[ItemID C]],Katalog!$C$3:$C$12,0)),"-")</f>
        <v>-</v>
      </c>
      <c r="W477" s="39" t="str">
        <f>IFERROR(INDEX(Katalog!$B$3:$B$12,MATCH(cadangan[[#This Row],[ItemID C]],Katalog!$C$3:$C$12,0)),"-")</f>
        <v>-</v>
      </c>
      <c r="Z477" s="73">
        <f>IFERROR(INDEX(Katalog!$D$3:$D$12,MATCH(cadangan[[#This Row],[ItemID C]],Katalog!$C$3:$C$12,0))*cadangan[[#This Row],[Qty C]],0)</f>
        <v>0</v>
      </c>
      <c r="AA477" s="73">
        <f>IFERROR(cadangan[[#This Row],[Harga Normal C]]-(cadangan[[#This Row],[Harga Normal C]]*cadangan[[#This Row],[Diskon]]),cadangan[[#This Row],[Harga Normal C]])</f>
        <v>0</v>
      </c>
      <c r="AB477" s="73">
        <f>IFERROR(INDEX(Katalog!$F$3:$F$12,MATCH(cadangan[[#This Row],[ItemID C]],Katalog!$C$3:$C$12,0))*cadangan[[#This Row],[Qty C]],0)</f>
        <v>0</v>
      </c>
      <c r="AC477" s="73">
        <f>IFERROR(cadangan[[#This Row],[Harga Diskon C]]-INDEX(Katalog!$E$3:$E$12,MATCH(cadangan[[#This Row],[ItemID C]],Katalog!$C$3:$C$12,0))*cadangan[[#This Row],[Qty C]],0)</f>
        <v>0</v>
      </c>
      <c r="AD477" s="53">
        <f>cadangan[[#This Row],[Qty A]]+cadangan[[#This Row],[Qty B]]+cadangan[[#This Row],[Qty C]]</f>
        <v>5</v>
      </c>
      <c r="AE477" s="73">
        <f>cadangan[[#This Row],[Harga Normal A]]+cadangan[[#This Row],[Harga Normal B]]+cadangan[[#This Row],[Harga Normal C]]</f>
        <v>750000</v>
      </c>
      <c r="AF477" s="73">
        <f>cadangan[[#This Row],[Harga Diskon A]]+cadangan[[#This Row],[Harga Diskon B]]+cadangan[[#This Row],[Harga Diskon C]]</f>
        <v>637500</v>
      </c>
      <c r="AG477" s="73">
        <f>(cadangan[[#This Row],[Profit Normal A]]+cadangan[[#This Row],[Profit Normal B]]+cadangan[[#This Row],[Profit Normal C]])</f>
        <v>280000</v>
      </c>
      <c r="AH477" s="73">
        <f>cadangan[[#This Row],[Profit Diskon A]]+cadangan[[#This Row],[Profit Diskon B]]+cadangan[[#This Row],[Profit Diskon C]]</f>
        <v>167500</v>
      </c>
      <c r="AI477" s="23" t="s">
        <v>28</v>
      </c>
      <c r="AJ477" s="37">
        <f>IFERROR(INDEX('Kode Diskon'!$D$3:$D$9,MATCH(cadangan[[#This Row],[Kode diskon]],'Kode Diskon'!$C$3:$C$9,0)),"-")</f>
        <v>0.15</v>
      </c>
      <c r="AK477" s="23" t="s">
        <v>29</v>
      </c>
      <c r="AL477" s="23" t="s">
        <v>14</v>
      </c>
      <c r="AM477" s="23" t="s">
        <v>80</v>
      </c>
      <c r="AN477" s="55">
        <v>45020</v>
      </c>
      <c r="AO477" s="53">
        <f>DAY(cadangan[[#This Row],[Tanggal terjual]])</f>
        <v>4</v>
      </c>
      <c r="AP477" s="21" t="str">
        <f>TEXT(cadangan[[#This Row],[Tanggal terjual]],"dddd")</f>
        <v>Tuesday</v>
      </c>
      <c r="AQ477" s="23" t="str" cm="1">
        <f t="array" ref="AQ4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7" s="61">
        <f>AVERAGE(cadangan[[#This Row],[Rating A]],cadangan[[#This Row],[Rating B]],cadangan[[#This Row],[Rating C]])</f>
        <v>3</v>
      </c>
    </row>
    <row r="478" spans="1:44" x14ac:dyDescent="0.2">
      <c r="A478" s="20">
        <v>477</v>
      </c>
      <c r="B478" s="21" t="str">
        <f>_xlfn.CONCAT("ORD-",INDEX(Helper!$B$2:$B$5,MATCH(cadangan[[#This Row],[Marketplace]],Helper!$A$2:$A$5,0)),TEXT(cadangan[[#This Row],[No]],"0000"),"-",TEXT(cadangan[[#This Row],[Tanggal terjual]],"dd/mm/yy"))</f>
        <v>ORD-BL0477-29/04/23</v>
      </c>
      <c r="C478" s="39" t="s">
        <v>63</v>
      </c>
      <c r="D478" s="39" t="str">
        <f>IFERROR(INDEX(Katalog!$A$3:$A$12,MATCH(cadangan[[#This Row],[ItemID A]],Katalog!$C$3:$C$12,0)),"-")</f>
        <v>Pakaian Pria</v>
      </c>
      <c r="E478" s="39" t="str">
        <f>IFERROR(INDEX(Katalog!$B$3:$B$12,MATCH(cadangan[[#This Row],[ItemID A]],Katalog!$C$3:$C$12,0)),"-")</f>
        <v>Jaket Jeans</v>
      </c>
      <c r="F478" s="50">
        <v>3</v>
      </c>
      <c r="G478" s="50">
        <v>3</v>
      </c>
      <c r="H478" s="73">
        <f>IFERROR(INDEX(Katalog!$D$3:$D$12,MATCH(cadangan[[#This Row],[ItemID A]],Katalog!$C$3:$C$12,0))*cadangan[[#This Row],[Qty A]],0)</f>
        <v>1200000</v>
      </c>
      <c r="I478" s="73">
        <f>IFERROR(cadangan[[#This Row],[Harga Normal A]]-(cadangan[[#This Row],[Harga Normal A]]*cadangan[[#This Row],[Diskon]]),cadangan[[#This Row],[Harga Normal A]])</f>
        <v>1020000</v>
      </c>
      <c r="J478" s="73">
        <f>INDEX(Katalog!$F$3:$F$12,MATCH(cadangan[[#This Row],[ItemID A]],Katalog!$C$3:$C$12,0))*cadangan[[#This Row],[Qty A]]</f>
        <v>450000</v>
      </c>
      <c r="K478" s="73">
        <f>IFERROR(cadangan[[#This Row],[Harga Diskon A]]-INDEX(Katalog!$E$3:$E$12,MATCH(cadangan[[#This Row],[ItemID A]],Katalog!$C$3:$C$12,0))*cadangan[[#This Row],[Qty A]],0)</f>
        <v>270000</v>
      </c>
      <c r="M478" s="39" t="str">
        <f>IFERROR(INDEX(Katalog!$A$3:$A$12,MATCH(cadangan[[#This Row],[ItemID B]],Katalog!$C$3:$C$12,0)),"-")</f>
        <v>-</v>
      </c>
      <c r="N478" s="39" t="str">
        <f>IFERROR(INDEX(Katalog!$B$3:$B$12,MATCH(cadangan[[#This Row],[ItemID B]],Katalog!$C$3:$C$12,0)),"-")</f>
        <v>-</v>
      </c>
      <c r="Q478" s="73">
        <f>IFERROR(INDEX(Katalog!$D$3:$D$12,MATCH(cadangan[[#This Row],[ItemID B]],Katalog!$C$3:$C$12,0))*cadangan[[#This Row],[Qty B]],0)</f>
        <v>0</v>
      </c>
      <c r="R478" s="73">
        <f>IFERROR(cadangan[[#This Row],[Harga Normal B]]-(cadangan[[#This Row],[Harga Normal B]]*cadangan[[#This Row],[Diskon]]),cadangan[[#This Row],[Harga Normal B]])</f>
        <v>0</v>
      </c>
      <c r="S478" s="73">
        <f>IFERROR(INDEX(Katalog!$F$3:$F$12,MATCH(cadangan[[#This Row],[ItemID B]],Katalog!$C$3:$C$12,0))*cadangan[[#This Row],[Qty B]],0)</f>
        <v>0</v>
      </c>
      <c r="T478" s="73">
        <f>IFERROR(cadangan[[#This Row],[Harga Diskon B]]-INDEX(Katalog!$E$3:$E$12,MATCH(cadangan[[#This Row],[ItemID B]],Katalog!$C$3:$C$12,0))*cadangan[[#This Row],[Qty B]],0)</f>
        <v>0</v>
      </c>
      <c r="V478" s="39" t="str">
        <f>IFERROR(INDEX(Katalog!$A$3:$A$12,MATCH(cadangan[[#This Row],[ItemID C]],Katalog!$C$3:$C$12,0)),"-")</f>
        <v>-</v>
      </c>
      <c r="W478" s="39" t="str">
        <f>IFERROR(INDEX(Katalog!$B$3:$B$12,MATCH(cadangan[[#This Row],[ItemID C]],Katalog!$C$3:$C$12,0)),"-")</f>
        <v>-</v>
      </c>
      <c r="Z478" s="73">
        <f>IFERROR(INDEX(Katalog!$D$3:$D$12,MATCH(cadangan[[#This Row],[ItemID C]],Katalog!$C$3:$C$12,0))*cadangan[[#This Row],[Qty C]],0)</f>
        <v>0</v>
      </c>
      <c r="AA478" s="73">
        <f>IFERROR(cadangan[[#This Row],[Harga Normal C]]-(cadangan[[#This Row],[Harga Normal C]]*cadangan[[#This Row],[Diskon]]),cadangan[[#This Row],[Harga Normal C]])</f>
        <v>0</v>
      </c>
      <c r="AB478" s="73">
        <f>IFERROR(INDEX(Katalog!$F$3:$F$12,MATCH(cadangan[[#This Row],[ItemID C]],Katalog!$C$3:$C$12,0))*cadangan[[#This Row],[Qty C]],0)</f>
        <v>0</v>
      </c>
      <c r="AC478" s="73">
        <f>IFERROR(cadangan[[#This Row],[Harga Diskon C]]-INDEX(Katalog!$E$3:$E$12,MATCH(cadangan[[#This Row],[ItemID C]],Katalog!$C$3:$C$12,0))*cadangan[[#This Row],[Qty C]],0)</f>
        <v>0</v>
      </c>
      <c r="AD478" s="53">
        <f>cadangan[[#This Row],[Qty A]]+cadangan[[#This Row],[Qty B]]+cadangan[[#This Row],[Qty C]]</f>
        <v>3</v>
      </c>
      <c r="AE478" s="73">
        <f>cadangan[[#This Row],[Harga Normal A]]+cadangan[[#This Row],[Harga Normal B]]+cadangan[[#This Row],[Harga Normal C]]</f>
        <v>1200000</v>
      </c>
      <c r="AF478" s="73">
        <f>cadangan[[#This Row],[Harga Diskon A]]+cadangan[[#This Row],[Harga Diskon B]]+cadangan[[#This Row],[Harga Diskon C]]</f>
        <v>1020000</v>
      </c>
      <c r="AG478" s="73">
        <f>(cadangan[[#This Row],[Profit Normal A]]+cadangan[[#This Row],[Profit Normal B]]+cadangan[[#This Row],[Profit Normal C]])</f>
        <v>450000</v>
      </c>
      <c r="AH478" s="73">
        <f>cadangan[[#This Row],[Profit Diskon A]]+cadangan[[#This Row],[Profit Diskon B]]+cadangan[[#This Row],[Profit Diskon C]]</f>
        <v>270000</v>
      </c>
      <c r="AI478" s="23" t="s">
        <v>32</v>
      </c>
      <c r="AJ478" s="37">
        <f>IFERROR(INDEX('Kode Diskon'!$D$3:$D$9,MATCH(cadangan[[#This Row],[Kode diskon]],'Kode Diskon'!$C$3:$C$9,0)),"-")</f>
        <v>0.15</v>
      </c>
      <c r="AK478" s="23" t="s">
        <v>9</v>
      </c>
      <c r="AL478" s="23" t="s">
        <v>12</v>
      </c>
      <c r="AM478" s="23" t="s">
        <v>75</v>
      </c>
      <c r="AN478" s="55">
        <v>45045</v>
      </c>
      <c r="AO478" s="53">
        <f>DAY(cadangan[[#This Row],[Tanggal terjual]])</f>
        <v>29</v>
      </c>
      <c r="AP478" s="21" t="str">
        <f>TEXT(cadangan[[#This Row],[Tanggal terjual]],"dddd")</f>
        <v>Saturday</v>
      </c>
      <c r="AQ478" s="23" t="str" cm="1">
        <f t="array" ref="AQ4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78" s="61">
        <f>AVERAGE(cadangan[[#This Row],[Rating A]],cadangan[[#This Row],[Rating B]],cadangan[[#This Row],[Rating C]])</f>
        <v>3</v>
      </c>
    </row>
    <row r="479" spans="1:44" x14ac:dyDescent="0.2">
      <c r="A479" s="20">
        <v>478</v>
      </c>
      <c r="B479" s="21" t="str">
        <f>_xlfn.CONCAT("ORD-",INDEX(Helper!$B$2:$B$5,MATCH(cadangan[[#This Row],[Marketplace]],Helper!$A$2:$A$5,0)),TEXT(cadangan[[#This Row],[No]],"0000"),"-",TEXT(cadangan[[#This Row],[Tanggal terjual]],"dd/mm/yy"))</f>
        <v>ORD-BB0478-05/04/23</v>
      </c>
      <c r="C479" s="39" t="s">
        <v>64</v>
      </c>
      <c r="D479" s="39" t="str">
        <f>IFERROR(INDEX(Katalog!$A$3:$A$12,MATCH(cadangan[[#This Row],[ItemID A]],Katalog!$C$3:$C$12,0)),"-")</f>
        <v>Pakaian Unisex</v>
      </c>
      <c r="E479" s="39" t="str">
        <f>IFERROR(INDEX(Katalog!$B$3:$B$12,MATCH(cadangan[[#This Row],[ItemID A]],Katalog!$C$3:$C$12,0)),"-")</f>
        <v>Jaket Hoodie</v>
      </c>
      <c r="F479" s="50">
        <v>1</v>
      </c>
      <c r="G479" s="50">
        <v>3</v>
      </c>
      <c r="H479" s="73">
        <f>IFERROR(INDEX(Katalog!$D$3:$D$12,MATCH(cadangan[[#This Row],[ItemID A]],Katalog!$C$3:$C$12,0))*cadangan[[#This Row],[Qty A]],0)</f>
        <v>350000</v>
      </c>
      <c r="I479" s="73">
        <f>IFERROR(cadangan[[#This Row],[Harga Normal A]]-(cadangan[[#This Row],[Harga Normal A]]*cadangan[[#This Row],[Diskon]]),cadangan[[#This Row],[Harga Normal A]])</f>
        <v>297500</v>
      </c>
      <c r="J479" s="73">
        <f>INDEX(Katalog!$F$3:$F$12,MATCH(cadangan[[#This Row],[ItemID A]],Katalog!$C$3:$C$12,0))*cadangan[[#This Row],[Qty A]]</f>
        <v>130000</v>
      </c>
      <c r="K479" s="73">
        <f>IFERROR(cadangan[[#This Row],[Harga Diskon A]]-INDEX(Katalog!$E$3:$E$12,MATCH(cadangan[[#This Row],[ItemID A]],Katalog!$C$3:$C$12,0))*cadangan[[#This Row],[Qty A]],0)</f>
        <v>77500</v>
      </c>
      <c r="L479" s="39" t="s">
        <v>59</v>
      </c>
      <c r="M479" s="39" t="str">
        <f>IFERROR(INDEX(Katalog!$A$3:$A$12,MATCH(cadangan[[#This Row],[ItemID B]],Katalog!$C$3:$C$12,0)),"-")</f>
        <v>Pakaian Wanita</v>
      </c>
      <c r="N479" s="39" t="str">
        <f>IFERROR(INDEX(Katalog!$B$3:$B$12,MATCH(cadangan[[#This Row],[ItemID B]],Katalog!$C$3:$C$12,0)),"-")</f>
        <v>Blouse</v>
      </c>
      <c r="O479" s="50">
        <v>4</v>
      </c>
      <c r="P479" s="50">
        <v>2</v>
      </c>
      <c r="Q479" s="73">
        <f>IFERROR(INDEX(Katalog!$D$3:$D$12,MATCH(cadangan[[#This Row],[ItemID B]],Katalog!$C$3:$C$12,0))*cadangan[[#This Row],[Qty B]],0)</f>
        <v>600000</v>
      </c>
      <c r="R479" s="73">
        <f>IFERROR(cadangan[[#This Row],[Harga Normal B]]-(cadangan[[#This Row],[Harga Normal B]]*cadangan[[#This Row],[Diskon]]),cadangan[[#This Row],[Harga Normal B]])</f>
        <v>510000</v>
      </c>
      <c r="S479" s="73">
        <f>IFERROR(INDEX(Katalog!$F$3:$F$12,MATCH(cadangan[[#This Row],[ItemID B]],Katalog!$C$3:$C$12,0))*cadangan[[#This Row],[Qty B]],0)</f>
        <v>200000</v>
      </c>
      <c r="T479" s="73">
        <f>IFERROR(cadangan[[#This Row],[Harga Diskon B]]-INDEX(Katalog!$E$3:$E$12,MATCH(cadangan[[#This Row],[ItemID B]],Katalog!$C$3:$C$12,0))*cadangan[[#This Row],[Qty B]],0)</f>
        <v>110000</v>
      </c>
      <c r="U479" s="39" t="s">
        <v>64</v>
      </c>
      <c r="V479" s="39" t="str">
        <f>IFERROR(INDEX(Katalog!$A$3:$A$12,MATCH(cadangan[[#This Row],[ItemID C]],Katalog!$C$3:$C$12,0)),"-")</f>
        <v>Pakaian Unisex</v>
      </c>
      <c r="W479" s="39" t="str">
        <f>IFERROR(INDEX(Katalog!$B$3:$B$12,MATCH(cadangan[[#This Row],[ItemID C]],Katalog!$C$3:$C$12,0)),"-")</f>
        <v>Jaket Hoodie</v>
      </c>
      <c r="X479" s="50">
        <v>1</v>
      </c>
      <c r="Y479" s="50">
        <v>4</v>
      </c>
      <c r="Z479" s="73">
        <f>IFERROR(INDEX(Katalog!$D$3:$D$12,MATCH(cadangan[[#This Row],[ItemID C]],Katalog!$C$3:$C$12,0))*cadangan[[#This Row],[Qty C]],0)</f>
        <v>350000</v>
      </c>
      <c r="AA479" s="73">
        <f>IFERROR(cadangan[[#This Row],[Harga Normal C]]-(cadangan[[#This Row],[Harga Normal C]]*cadangan[[#This Row],[Diskon]]),cadangan[[#This Row],[Harga Normal C]])</f>
        <v>297500</v>
      </c>
      <c r="AB479" s="73">
        <f>IFERROR(INDEX(Katalog!$F$3:$F$12,MATCH(cadangan[[#This Row],[ItemID C]],Katalog!$C$3:$C$12,0))*cadangan[[#This Row],[Qty C]],0)</f>
        <v>130000</v>
      </c>
      <c r="AC479" s="73">
        <f>IFERROR(cadangan[[#This Row],[Harga Diskon C]]-INDEX(Katalog!$E$3:$E$12,MATCH(cadangan[[#This Row],[ItemID C]],Katalog!$C$3:$C$12,0))*cadangan[[#This Row],[Qty C]],0)</f>
        <v>77500</v>
      </c>
      <c r="AD479" s="53">
        <f>cadangan[[#This Row],[Qty A]]+cadangan[[#This Row],[Qty B]]+cadangan[[#This Row],[Qty C]]</f>
        <v>6</v>
      </c>
      <c r="AE479" s="73">
        <f>cadangan[[#This Row],[Harga Normal A]]+cadangan[[#This Row],[Harga Normal B]]+cadangan[[#This Row],[Harga Normal C]]</f>
        <v>1300000</v>
      </c>
      <c r="AF479" s="73">
        <f>cadangan[[#This Row],[Harga Diskon A]]+cadangan[[#This Row],[Harga Diskon B]]+cadangan[[#This Row],[Harga Diskon C]]</f>
        <v>1105000</v>
      </c>
      <c r="AG479" s="73">
        <f>(cadangan[[#This Row],[Profit Normal A]]+cadangan[[#This Row],[Profit Normal B]]+cadangan[[#This Row],[Profit Normal C]])</f>
        <v>460000</v>
      </c>
      <c r="AH479" s="73">
        <f>cadangan[[#This Row],[Profit Diskon A]]+cadangan[[#This Row],[Profit Diskon B]]+cadangan[[#This Row],[Profit Diskon C]]</f>
        <v>265000</v>
      </c>
      <c r="AI479" s="23" t="s">
        <v>28</v>
      </c>
      <c r="AJ479" s="37">
        <f>IFERROR(INDEX('Kode Diskon'!$D$3:$D$9,MATCH(cadangan[[#This Row],[Kode diskon]],'Kode Diskon'!$C$3:$C$9,0)),"-")</f>
        <v>0.15</v>
      </c>
      <c r="AK479" s="23" t="s">
        <v>29</v>
      </c>
      <c r="AL479" s="23" t="s">
        <v>14</v>
      </c>
      <c r="AM479" s="23" t="s">
        <v>80</v>
      </c>
      <c r="AN479" s="55">
        <v>45021</v>
      </c>
      <c r="AO479" s="53">
        <f>DAY(cadangan[[#This Row],[Tanggal terjual]])</f>
        <v>5</v>
      </c>
      <c r="AP479" s="21" t="str">
        <f>TEXT(cadangan[[#This Row],[Tanggal terjual]],"dddd")</f>
        <v>Wednesday</v>
      </c>
      <c r="AQ479" s="23" t="str" cm="1">
        <f t="array" ref="AQ4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79" s="61">
        <f>AVERAGE(cadangan[[#This Row],[Rating A]],cadangan[[#This Row],[Rating B]],cadangan[[#This Row],[Rating C]])</f>
        <v>3</v>
      </c>
    </row>
    <row r="480" spans="1:44" x14ac:dyDescent="0.2">
      <c r="A480" s="20">
        <v>479</v>
      </c>
      <c r="B480" s="21" t="str">
        <f>_xlfn.CONCAT("ORD-",INDEX(Helper!$B$2:$B$5,MATCH(cadangan[[#This Row],[Marketplace]],Helper!$A$2:$A$5,0)),TEXT(cadangan[[#This Row],[No]],"0000"),"-",TEXT(cadangan[[#This Row],[Tanggal terjual]],"dd/mm/yy"))</f>
        <v>ORD-TK0479-27/04/23</v>
      </c>
      <c r="C480" s="39" t="s">
        <v>63</v>
      </c>
      <c r="D480" s="39" t="str">
        <f>IFERROR(INDEX(Katalog!$A$3:$A$12,MATCH(cadangan[[#This Row],[ItemID A]],Katalog!$C$3:$C$12,0)),"-")</f>
        <v>Pakaian Pria</v>
      </c>
      <c r="E480" s="39" t="str">
        <f>IFERROR(INDEX(Katalog!$B$3:$B$12,MATCH(cadangan[[#This Row],[ItemID A]],Katalog!$C$3:$C$12,0)),"-")</f>
        <v>Jaket Jeans</v>
      </c>
      <c r="F480" s="50">
        <v>2</v>
      </c>
      <c r="G480" s="50">
        <v>1</v>
      </c>
      <c r="H480" s="73">
        <f>IFERROR(INDEX(Katalog!$D$3:$D$12,MATCH(cadangan[[#This Row],[ItemID A]],Katalog!$C$3:$C$12,0))*cadangan[[#This Row],[Qty A]],0)</f>
        <v>800000</v>
      </c>
      <c r="I480" s="73">
        <f>IFERROR(cadangan[[#This Row],[Harga Normal A]]-(cadangan[[#This Row],[Harga Normal A]]*cadangan[[#This Row],[Diskon]]),cadangan[[#This Row],[Harga Normal A]])</f>
        <v>720000</v>
      </c>
      <c r="J480" s="73">
        <f>INDEX(Katalog!$F$3:$F$12,MATCH(cadangan[[#This Row],[ItemID A]],Katalog!$C$3:$C$12,0))*cadangan[[#This Row],[Qty A]]</f>
        <v>300000</v>
      </c>
      <c r="K480" s="73">
        <f>IFERROR(cadangan[[#This Row],[Harga Diskon A]]-INDEX(Katalog!$E$3:$E$12,MATCH(cadangan[[#This Row],[ItemID A]],Katalog!$C$3:$C$12,0))*cadangan[[#This Row],[Qty A]],0)</f>
        <v>220000</v>
      </c>
      <c r="L480" s="39" t="s">
        <v>65</v>
      </c>
      <c r="M480" s="39" t="str">
        <f>IFERROR(INDEX(Katalog!$A$3:$A$12,MATCH(cadangan[[#This Row],[ItemID B]],Katalog!$C$3:$C$12,0)),"-")</f>
        <v>Sepatu Pria</v>
      </c>
      <c r="N480" s="39" t="str">
        <f>IFERROR(INDEX(Katalog!$B$3:$B$12,MATCH(cadangan[[#This Row],[ItemID B]],Katalog!$C$3:$C$12,0)),"-")</f>
        <v>Sneakers</v>
      </c>
      <c r="O480" s="50">
        <v>2</v>
      </c>
      <c r="P480" s="50">
        <v>3</v>
      </c>
      <c r="Q480" s="73">
        <f>IFERROR(INDEX(Katalog!$D$3:$D$12,MATCH(cadangan[[#This Row],[ItemID B]],Katalog!$C$3:$C$12,0))*cadangan[[#This Row],[Qty B]],0)</f>
        <v>1000000</v>
      </c>
      <c r="R480" s="73">
        <f>IFERROR(cadangan[[#This Row],[Harga Normal B]]-(cadangan[[#This Row],[Harga Normal B]]*cadangan[[#This Row],[Diskon]]),cadangan[[#This Row],[Harga Normal B]])</f>
        <v>900000</v>
      </c>
      <c r="S480" s="73">
        <f>IFERROR(INDEX(Katalog!$F$3:$F$12,MATCH(cadangan[[#This Row],[ItemID B]],Katalog!$C$3:$C$12,0))*cadangan[[#This Row],[Qty B]],0)</f>
        <v>400000</v>
      </c>
      <c r="T480" s="73">
        <f>IFERROR(cadangan[[#This Row],[Harga Diskon B]]-INDEX(Katalog!$E$3:$E$12,MATCH(cadangan[[#This Row],[ItemID B]],Katalog!$C$3:$C$12,0))*cadangan[[#This Row],[Qty B]],0)</f>
        <v>300000</v>
      </c>
      <c r="V480" s="39" t="str">
        <f>IFERROR(INDEX(Katalog!$A$3:$A$12,MATCH(cadangan[[#This Row],[ItemID C]],Katalog!$C$3:$C$12,0)),"-")</f>
        <v>-</v>
      </c>
      <c r="W480" s="39" t="str">
        <f>IFERROR(INDEX(Katalog!$B$3:$B$12,MATCH(cadangan[[#This Row],[ItemID C]],Katalog!$C$3:$C$12,0)),"-")</f>
        <v>-</v>
      </c>
      <c r="Z480" s="73">
        <f>IFERROR(INDEX(Katalog!$D$3:$D$12,MATCH(cadangan[[#This Row],[ItemID C]],Katalog!$C$3:$C$12,0))*cadangan[[#This Row],[Qty C]],0)</f>
        <v>0</v>
      </c>
      <c r="AA480" s="73">
        <f>IFERROR(cadangan[[#This Row],[Harga Normal C]]-(cadangan[[#This Row],[Harga Normal C]]*cadangan[[#This Row],[Diskon]]),cadangan[[#This Row],[Harga Normal C]])</f>
        <v>0</v>
      </c>
      <c r="AB480" s="73">
        <f>IFERROR(INDEX(Katalog!$F$3:$F$12,MATCH(cadangan[[#This Row],[ItemID C]],Katalog!$C$3:$C$12,0))*cadangan[[#This Row],[Qty C]],0)</f>
        <v>0</v>
      </c>
      <c r="AC480" s="73">
        <f>IFERROR(cadangan[[#This Row],[Harga Diskon C]]-INDEX(Katalog!$E$3:$E$12,MATCH(cadangan[[#This Row],[ItemID C]],Katalog!$C$3:$C$12,0))*cadangan[[#This Row],[Qty C]],0)</f>
        <v>0</v>
      </c>
      <c r="AD480" s="53">
        <f>cadangan[[#This Row],[Qty A]]+cadangan[[#This Row],[Qty B]]+cadangan[[#This Row],[Qty C]]</f>
        <v>4</v>
      </c>
      <c r="AE480" s="73">
        <f>cadangan[[#This Row],[Harga Normal A]]+cadangan[[#This Row],[Harga Normal B]]+cadangan[[#This Row],[Harga Normal C]]</f>
        <v>1800000</v>
      </c>
      <c r="AF480" s="73">
        <f>cadangan[[#This Row],[Harga Diskon A]]+cadangan[[#This Row],[Harga Diskon B]]+cadangan[[#This Row],[Harga Diskon C]]</f>
        <v>1620000</v>
      </c>
      <c r="AG480" s="73">
        <f>(cadangan[[#This Row],[Profit Normal A]]+cadangan[[#This Row],[Profit Normal B]]+cadangan[[#This Row],[Profit Normal C]])</f>
        <v>700000</v>
      </c>
      <c r="AH480" s="73">
        <f>cadangan[[#This Row],[Profit Diskon A]]+cadangan[[#This Row],[Profit Diskon B]]+cadangan[[#This Row],[Profit Diskon C]]</f>
        <v>520000</v>
      </c>
      <c r="AI480" s="23" t="s">
        <v>31</v>
      </c>
      <c r="AJ480" s="37">
        <f>IFERROR(INDEX('Kode Diskon'!$D$3:$D$9,MATCH(cadangan[[#This Row],[Kode diskon]],'Kode Diskon'!$C$3:$C$9,0)),"-")</f>
        <v>0.1</v>
      </c>
      <c r="AK480" s="23" t="s">
        <v>9</v>
      </c>
      <c r="AL480" s="23" t="s">
        <v>10</v>
      </c>
      <c r="AM480" s="23" t="s">
        <v>80</v>
      </c>
      <c r="AN480" s="55">
        <v>45043</v>
      </c>
      <c r="AO480" s="53">
        <f>DAY(cadangan[[#This Row],[Tanggal terjual]])</f>
        <v>27</v>
      </c>
      <c r="AP480" s="21" t="str">
        <f>TEXT(cadangan[[#This Row],[Tanggal terjual]],"dddd")</f>
        <v>Thursday</v>
      </c>
      <c r="AQ480" s="23" t="str" cm="1">
        <f t="array" ref="AQ4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80" s="61">
        <f>AVERAGE(cadangan[[#This Row],[Rating A]],cadangan[[#This Row],[Rating B]],cadangan[[#This Row],[Rating C]])</f>
        <v>2</v>
      </c>
    </row>
    <row r="481" spans="1:44" x14ac:dyDescent="0.2">
      <c r="A481" s="20">
        <v>480</v>
      </c>
      <c r="B481" s="21" t="str">
        <f>_xlfn.CONCAT("ORD-",INDEX(Helper!$B$2:$B$5,MATCH(cadangan[[#This Row],[Marketplace]],Helper!$A$2:$A$5,0)),TEXT(cadangan[[#This Row],[No]],"0000"),"-",TEXT(cadangan[[#This Row],[Tanggal terjual]],"dd/mm/yy"))</f>
        <v>ORD-TK0480-03/04/23</v>
      </c>
      <c r="C481" s="39" t="s">
        <v>65</v>
      </c>
      <c r="D481" s="39" t="str">
        <f>IFERROR(INDEX(Katalog!$A$3:$A$12,MATCH(cadangan[[#This Row],[ItemID A]],Katalog!$C$3:$C$12,0)),"-")</f>
        <v>Sepatu Pria</v>
      </c>
      <c r="E481" s="39" t="str">
        <f>IFERROR(INDEX(Katalog!$B$3:$B$12,MATCH(cadangan[[#This Row],[ItemID A]],Katalog!$C$3:$C$12,0)),"-")</f>
        <v>Sneakers</v>
      </c>
      <c r="F481" s="50">
        <v>2</v>
      </c>
      <c r="G481" s="50">
        <v>1</v>
      </c>
      <c r="H481" s="73">
        <f>IFERROR(INDEX(Katalog!$D$3:$D$12,MATCH(cadangan[[#This Row],[ItemID A]],Katalog!$C$3:$C$12,0))*cadangan[[#This Row],[Qty A]],0)</f>
        <v>1000000</v>
      </c>
      <c r="I481" s="73">
        <f>IFERROR(cadangan[[#This Row],[Harga Normal A]]-(cadangan[[#This Row],[Harga Normal A]]*cadangan[[#This Row],[Diskon]]),cadangan[[#This Row],[Harga Normal A]])</f>
        <v>900000</v>
      </c>
      <c r="J481" s="73">
        <f>INDEX(Katalog!$F$3:$F$12,MATCH(cadangan[[#This Row],[ItemID A]],Katalog!$C$3:$C$12,0))*cadangan[[#This Row],[Qty A]]</f>
        <v>400000</v>
      </c>
      <c r="K481" s="73">
        <f>IFERROR(cadangan[[#This Row],[Harga Diskon A]]-INDEX(Katalog!$E$3:$E$12,MATCH(cadangan[[#This Row],[ItemID A]],Katalog!$C$3:$C$12,0))*cadangan[[#This Row],[Qty A]],0)</f>
        <v>300000</v>
      </c>
      <c r="M481" s="39" t="str">
        <f>IFERROR(INDEX(Katalog!$A$3:$A$12,MATCH(cadangan[[#This Row],[ItemID B]],Katalog!$C$3:$C$12,0)),"-")</f>
        <v>-</v>
      </c>
      <c r="N481" s="39" t="str">
        <f>IFERROR(INDEX(Katalog!$B$3:$B$12,MATCH(cadangan[[#This Row],[ItemID B]],Katalog!$C$3:$C$12,0)),"-")</f>
        <v>-</v>
      </c>
      <c r="Q481" s="73">
        <f>IFERROR(INDEX(Katalog!$D$3:$D$12,MATCH(cadangan[[#This Row],[ItemID B]],Katalog!$C$3:$C$12,0))*cadangan[[#This Row],[Qty B]],0)</f>
        <v>0</v>
      </c>
      <c r="R481" s="73">
        <f>IFERROR(cadangan[[#This Row],[Harga Normal B]]-(cadangan[[#This Row],[Harga Normal B]]*cadangan[[#This Row],[Diskon]]),cadangan[[#This Row],[Harga Normal B]])</f>
        <v>0</v>
      </c>
      <c r="S481" s="73">
        <f>IFERROR(INDEX(Katalog!$F$3:$F$12,MATCH(cadangan[[#This Row],[ItemID B]],Katalog!$C$3:$C$12,0))*cadangan[[#This Row],[Qty B]],0)</f>
        <v>0</v>
      </c>
      <c r="T481" s="73">
        <f>IFERROR(cadangan[[#This Row],[Harga Diskon B]]-INDEX(Katalog!$E$3:$E$12,MATCH(cadangan[[#This Row],[ItemID B]],Katalog!$C$3:$C$12,0))*cadangan[[#This Row],[Qty B]],0)</f>
        <v>0</v>
      </c>
      <c r="V481" s="39" t="str">
        <f>IFERROR(INDEX(Katalog!$A$3:$A$12,MATCH(cadangan[[#This Row],[ItemID C]],Katalog!$C$3:$C$12,0)),"-")</f>
        <v>-</v>
      </c>
      <c r="W481" s="39" t="str">
        <f>IFERROR(INDEX(Katalog!$B$3:$B$12,MATCH(cadangan[[#This Row],[ItemID C]],Katalog!$C$3:$C$12,0)),"-")</f>
        <v>-</v>
      </c>
      <c r="Z481" s="73">
        <f>IFERROR(INDEX(Katalog!$D$3:$D$12,MATCH(cadangan[[#This Row],[ItemID C]],Katalog!$C$3:$C$12,0))*cadangan[[#This Row],[Qty C]],0)</f>
        <v>0</v>
      </c>
      <c r="AA481" s="73">
        <f>IFERROR(cadangan[[#This Row],[Harga Normal C]]-(cadangan[[#This Row],[Harga Normal C]]*cadangan[[#This Row],[Diskon]]),cadangan[[#This Row],[Harga Normal C]])</f>
        <v>0</v>
      </c>
      <c r="AB481" s="73">
        <f>IFERROR(INDEX(Katalog!$F$3:$F$12,MATCH(cadangan[[#This Row],[ItemID C]],Katalog!$C$3:$C$12,0))*cadangan[[#This Row],[Qty C]],0)</f>
        <v>0</v>
      </c>
      <c r="AC481" s="73">
        <f>IFERROR(cadangan[[#This Row],[Harga Diskon C]]-INDEX(Katalog!$E$3:$E$12,MATCH(cadangan[[#This Row],[ItemID C]],Katalog!$C$3:$C$12,0))*cadangan[[#This Row],[Qty C]],0)</f>
        <v>0</v>
      </c>
      <c r="AD481" s="53">
        <f>cadangan[[#This Row],[Qty A]]+cadangan[[#This Row],[Qty B]]+cadangan[[#This Row],[Qty C]]</f>
        <v>2</v>
      </c>
      <c r="AE481" s="73">
        <f>cadangan[[#This Row],[Harga Normal A]]+cadangan[[#This Row],[Harga Normal B]]+cadangan[[#This Row],[Harga Normal C]]</f>
        <v>1000000</v>
      </c>
      <c r="AF481" s="73">
        <f>cadangan[[#This Row],[Harga Diskon A]]+cadangan[[#This Row],[Harga Diskon B]]+cadangan[[#This Row],[Harga Diskon C]]</f>
        <v>900000</v>
      </c>
      <c r="AG481" s="73">
        <f>(cadangan[[#This Row],[Profit Normal A]]+cadangan[[#This Row],[Profit Normal B]]+cadangan[[#This Row],[Profit Normal C]])</f>
        <v>400000</v>
      </c>
      <c r="AH481" s="73">
        <f>cadangan[[#This Row],[Profit Diskon A]]+cadangan[[#This Row],[Profit Diskon B]]+cadangan[[#This Row],[Profit Diskon C]]</f>
        <v>300000</v>
      </c>
      <c r="AI481" s="23" t="s">
        <v>30</v>
      </c>
      <c r="AJ481" s="37">
        <f>IFERROR(INDEX('Kode Diskon'!$D$3:$D$9,MATCH(cadangan[[#This Row],[Kode diskon]],'Kode Diskon'!$C$3:$C$9,0)),"-")</f>
        <v>0.1</v>
      </c>
      <c r="AK481" s="23" t="s">
        <v>29</v>
      </c>
      <c r="AL481" s="23" t="s">
        <v>10</v>
      </c>
      <c r="AM481" s="23" t="s">
        <v>79</v>
      </c>
      <c r="AN481" s="55">
        <v>45019</v>
      </c>
      <c r="AO481" s="53">
        <f>DAY(cadangan[[#This Row],[Tanggal terjual]])</f>
        <v>3</v>
      </c>
      <c r="AP481" s="21" t="str">
        <f>TEXT(cadangan[[#This Row],[Tanggal terjual]],"dddd")</f>
        <v>Monday</v>
      </c>
      <c r="AQ481" s="23" t="str" cm="1">
        <f t="array" ref="AQ4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1" s="61">
        <f>AVERAGE(cadangan[[#This Row],[Rating A]],cadangan[[#This Row],[Rating B]],cadangan[[#This Row],[Rating C]])</f>
        <v>1</v>
      </c>
    </row>
    <row r="482" spans="1:44" x14ac:dyDescent="0.2">
      <c r="A482" s="20">
        <v>481</v>
      </c>
      <c r="B482" s="21" t="str">
        <f>_xlfn.CONCAT("ORD-",INDEX(Helper!$B$2:$B$5,MATCH(cadangan[[#This Row],[Marketplace]],Helper!$A$2:$A$5,0)),TEXT(cadangan[[#This Row],[No]],"0000"),"-",TEXT(cadangan[[#This Row],[Tanggal terjual]],"dd/mm/yy"))</f>
        <v>ORD-BB0481-06/04/23</v>
      </c>
      <c r="C482" s="39" t="s">
        <v>66</v>
      </c>
      <c r="D482" s="39" t="str">
        <f>IFERROR(INDEX(Katalog!$A$3:$A$12,MATCH(cadangan[[#This Row],[ItemID A]],Katalog!$C$3:$C$12,0)),"-")</f>
        <v>Sepatu Pria</v>
      </c>
      <c r="E482" s="39" t="str">
        <f>IFERROR(INDEX(Katalog!$B$3:$B$12,MATCH(cadangan[[#This Row],[ItemID A]],Katalog!$C$3:$C$12,0)),"-")</f>
        <v>Sandal Slip On</v>
      </c>
      <c r="F482" s="50">
        <v>2</v>
      </c>
      <c r="G482" s="50">
        <v>2</v>
      </c>
      <c r="H482" s="73">
        <f>IFERROR(INDEX(Katalog!$D$3:$D$12,MATCH(cadangan[[#This Row],[ItemID A]],Katalog!$C$3:$C$12,0))*cadangan[[#This Row],[Qty A]],0)</f>
        <v>300000</v>
      </c>
      <c r="I482" s="73">
        <f>IFERROR(cadangan[[#This Row],[Harga Normal A]]-(cadangan[[#This Row],[Harga Normal A]]*cadangan[[#This Row],[Diskon]]),cadangan[[#This Row],[Harga Normal A]])</f>
        <v>255000</v>
      </c>
      <c r="J482" s="73">
        <f>INDEX(Katalog!$F$3:$F$12,MATCH(cadangan[[#This Row],[ItemID A]],Katalog!$C$3:$C$12,0))*cadangan[[#This Row],[Qty A]]</f>
        <v>120000</v>
      </c>
      <c r="K482" s="73">
        <f>IFERROR(cadangan[[#This Row],[Harga Diskon A]]-INDEX(Katalog!$E$3:$E$12,MATCH(cadangan[[#This Row],[ItemID A]],Katalog!$C$3:$C$12,0))*cadangan[[#This Row],[Qty A]],0)</f>
        <v>75000</v>
      </c>
      <c r="L482" s="39" t="s">
        <v>67</v>
      </c>
      <c r="M482" s="39" t="str">
        <f>IFERROR(INDEX(Katalog!$A$3:$A$12,MATCH(cadangan[[#This Row],[ItemID B]],Katalog!$C$3:$C$12,0)),"-")</f>
        <v>Sepatu Wanita</v>
      </c>
      <c r="N482" s="39" t="str">
        <f>IFERROR(INDEX(Katalog!$B$3:$B$12,MATCH(cadangan[[#This Row],[ItemID B]],Katalog!$C$3:$C$12,0)),"-")</f>
        <v>Flat Shoes</v>
      </c>
      <c r="O482" s="50">
        <v>2</v>
      </c>
      <c r="P482" s="50">
        <v>2</v>
      </c>
      <c r="Q482" s="73">
        <f>IFERROR(INDEX(Katalog!$D$3:$D$12,MATCH(cadangan[[#This Row],[ItemID B]],Katalog!$C$3:$C$12,0))*cadangan[[#This Row],[Qty B]],0)</f>
        <v>500000</v>
      </c>
      <c r="R482" s="73">
        <f>IFERROR(cadangan[[#This Row],[Harga Normal B]]-(cadangan[[#This Row],[Harga Normal B]]*cadangan[[#This Row],[Diskon]]),cadangan[[#This Row],[Harga Normal B]])</f>
        <v>425000</v>
      </c>
      <c r="S482" s="73">
        <f>IFERROR(INDEX(Katalog!$F$3:$F$12,MATCH(cadangan[[#This Row],[ItemID B]],Katalog!$C$3:$C$12,0))*cadangan[[#This Row],[Qty B]],0)</f>
        <v>200000</v>
      </c>
      <c r="T482" s="73">
        <f>IFERROR(cadangan[[#This Row],[Harga Diskon B]]-INDEX(Katalog!$E$3:$E$12,MATCH(cadangan[[#This Row],[ItemID B]],Katalog!$C$3:$C$12,0))*cadangan[[#This Row],[Qty B]],0)</f>
        <v>125000</v>
      </c>
      <c r="U482" s="39" t="s">
        <v>65</v>
      </c>
      <c r="V482" s="39" t="str">
        <f>IFERROR(INDEX(Katalog!$A$3:$A$12,MATCH(cadangan[[#This Row],[ItemID C]],Katalog!$C$3:$C$12,0)),"-")</f>
        <v>Sepatu Pria</v>
      </c>
      <c r="W482" s="39" t="str">
        <f>IFERROR(INDEX(Katalog!$B$3:$B$12,MATCH(cadangan[[#This Row],[ItemID C]],Katalog!$C$3:$C$12,0)),"-")</f>
        <v>Sneakers</v>
      </c>
      <c r="X482" s="50">
        <v>1</v>
      </c>
      <c r="Y482" s="50">
        <v>1</v>
      </c>
      <c r="Z482" s="73">
        <f>IFERROR(INDEX(Katalog!$D$3:$D$12,MATCH(cadangan[[#This Row],[ItemID C]],Katalog!$C$3:$C$12,0))*cadangan[[#This Row],[Qty C]],0)</f>
        <v>500000</v>
      </c>
      <c r="AA482" s="73">
        <f>IFERROR(cadangan[[#This Row],[Harga Normal C]]-(cadangan[[#This Row],[Harga Normal C]]*cadangan[[#This Row],[Diskon]]),cadangan[[#This Row],[Harga Normal C]])</f>
        <v>425000</v>
      </c>
      <c r="AB482" s="73">
        <f>IFERROR(INDEX(Katalog!$F$3:$F$12,MATCH(cadangan[[#This Row],[ItemID C]],Katalog!$C$3:$C$12,0))*cadangan[[#This Row],[Qty C]],0)</f>
        <v>200000</v>
      </c>
      <c r="AC482" s="73">
        <f>IFERROR(cadangan[[#This Row],[Harga Diskon C]]-INDEX(Katalog!$E$3:$E$12,MATCH(cadangan[[#This Row],[ItemID C]],Katalog!$C$3:$C$12,0))*cadangan[[#This Row],[Qty C]],0)</f>
        <v>125000</v>
      </c>
      <c r="AD482" s="53">
        <f>cadangan[[#This Row],[Qty A]]+cadangan[[#This Row],[Qty B]]+cadangan[[#This Row],[Qty C]]</f>
        <v>5</v>
      </c>
      <c r="AE482" s="73">
        <f>cadangan[[#This Row],[Harga Normal A]]+cadangan[[#This Row],[Harga Normal B]]+cadangan[[#This Row],[Harga Normal C]]</f>
        <v>1300000</v>
      </c>
      <c r="AF482" s="73">
        <f>cadangan[[#This Row],[Harga Diskon A]]+cadangan[[#This Row],[Harga Diskon B]]+cadangan[[#This Row],[Harga Diskon C]]</f>
        <v>1105000</v>
      </c>
      <c r="AG482" s="73">
        <f>(cadangan[[#This Row],[Profit Normal A]]+cadangan[[#This Row],[Profit Normal B]]+cadangan[[#This Row],[Profit Normal C]])</f>
        <v>520000</v>
      </c>
      <c r="AH482" s="73">
        <f>cadangan[[#This Row],[Profit Diskon A]]+cadangan[[#This Row],[Profit Diskon B]]+cadangan[[#This Row],[Profit Diskon C]]</f>
        <v>325000</v>
      </c>
      <c r="AI482" s="23" t="s">
        <v>28</v>
      </c>
      <c r="AJ482" s="37">
        <f>IFERROR(INDEX('Kode Diskon'!$D$3:$D$9,MATCH(cadangan[[#This Row],[Kode diskon]],'Kode Diskon'!$C$3:$C$9,0)),"-")</f>
        <v>0.15</v>
      </c>
      <c r="AK482" s="23" t="s">
        <v>29</v>
      </c>
      <c r="AL482" s="23" t="s">
        <v>14</v>
      </c>
      <c r="AM482" s="23" t="s">
        <v>80</v>
      </c>
      <c r="AN482" s="55">
        <v>45022</v>
      </c>
      <c r="AO482" s="53">
        <f>DAY(cadangan[[#This Row],[Tanggal terjual]])</f>
        <v>6</v>
      </c>
      <c r="AP482" s="21" t="str">
        <f>TEXT(cadangan[[#This Row],[Tanggal terjual]],"dddd")</f>
        <v>Thursday</v>
      </c>
      <c r="AQ482" s="23" t="str" cm="1">
        <f t="array" ref="AQ4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2" s="61">
        <f>AVERAGE(cadangan[[#This Row],[Rating A]],cadangan[[#This Row],[Rating B]],cadangan[[#This Row],[Rating C]])</f>
        <v>1.6666666666666667</v>
      </c>
    </row>
    <row r="483" spans="1:44" x14ac:dyDescent="0.2">
      <c r="A483" s="20">
        <v>482</v>
      </c>
      <c r="B483" s="21" t="str">
        <f>_xlfn.CONCAT("ORD-",INDEX(Helper!$B$2:$B$5,MATCH(cadangan[[#This Row],[Marketplace]],Helper!$A$2:$A$5,0)),TEXT(cadangan[[#This Row],[No]],"0000"),"-",TEXT(cadangan[[#This Row],[Tanggal terjual]],"dd/mm/yy"))</f>
        <v>ORD-TK0482-25/04/23</v>
      </c>
      <c r="C483" s="39" t="s">
        <v>61</v>
      </c>
      <c r="D483" s="39" t="str">
        <f>IFERROR(INDEX(Katalog!$A$3:$A$12,MATCH(cadangan[[#This Row],[ItemID A]],Katalog!$C$3:$C$12,0)),"-")</f>
        <v>Pakaian Pria</v>
      </c>
      <c r="E483" s="39" t="str">
        <f>IFERROR(INDEX(Katalog!$B$3:$B$12,MATCH(cadangan[[#This Row],[ItemID A]],Katalog!$C$3:$C$12,0)),"-")</f>
        <v>Kaos Polo</v>
      </c>
      <c r="F483" s="50">
        <v>1</v>
      </c>
      <c r="G483" s="50">
        <v>3</v>
      </c>
      <c r="H483" s="73">
        <f>IFERROR(INDEX(Katalog!$D$3:$D$12,MATCH(cadangan[[#This Row],[ItemID A]],Katalog!$C$3:$C$12,0))*cadangan[[#This Row],[Qty A]],0)</f>
        <v>200000</v>
      </c>
      <c r="I483" s="73">
        <f>IFERROR(cadangan[[#This Row],[Harga Normal A]]-(cadangan[[#This Row],[Harga Normal A]]*cadangan[[#This Row],[Diskon]]),cadangan[[#This Row],[Harga Normal A]])</f>
        <v>180000</v>
      </c>
      <c r="J483" s="73">
        <f>INDEX(Katalog!$F$3:$F$12,MATCH(cadangan[[#This Row],[ItemID A]],Katalog!$C$3:$C$12,0))*cadangan[[#This Row],[Qty A]]</f>
        <v>80000</v>
      </c>
      <c r="K483" s="73">
        <f>IFERROR(cadangan[[#This Row],[Harga Diskon A]]-INDEX(Katalog!$E$3:$E$12,MATCH(cadangan[[#This Row],[ItemID A]],Katalog!$C$3:$C$12,0))*cadangan[[#This Row],[Qty A]],0)</f>
        <v>60000</v>
      </c>
      <c r="M483" s="39" t="str">
        <f>IFERROR(INDEX(Katalog!$A$3:$A$12,MATCH(cadangan[[#This Row],[ItemID B]],Katalog!$C$3:$C$12,0)),"-")</f>
        <v>-</v>
      </c>
      <c r="N483" s="39" t="str">
        <f>IFERROR(INDEX(Katalog!$B$3:$B$12,MATCH(cadangan[[#This Row],[ItemID B]],Katalog!$C$3:$C$12,0)),"-")</f>
        <v>-</v>
      </c>
      <c r="Q483" s="73">
        <f>IFERROR(INDEX(Katalog!$D$3:$D$12,MATCH(cadangan[[#This Row],[ItemID B]],Katalog!$C$3:$C$12,0))*cadangan[[#This Row],[Qty B]],0)</f>
        <v>0</v>
      </c>
      <c r="R483" s="73">
        <f>IFERROR(cadangan[[#This Row],[Harga Normal B]]-(cadangan[[#This Row],[Harga Normal B]]*cadangan[[#This Row],[Diskon]]),cadangan[[#This Row],[Harga Normal B]])</f>
        <v>0</v>
      </c>
      <c r="S483" s="73">
        <f>IFERROR(INDEX(Katalog!$F$3:$F$12,MATCH(cadangan[[#This Row],[ItemID B]],Katalog!$C$3:$C$12,0))*cadangan[[#This Row],[Qty B]],0)</f>
        <v>0</v>
      </c>
      <c r="T483" s="73">
        <f>IFERROR(cadangan[[#This Row],[Harga Diskon B]]-INDEX(Katalog!$E$3:$E$12,MATCH(cadangan[[#This Row],[ItemID B]],Katalog!$C$3:$C$12,0))*cadangan[[#This Row],[Qty B]],0)</f>
        <v>0</v>
      </c>
      <c r="V483" s="39" t="str">
        <f>IFERROR(INDEX(Katalog!$A$3:$A$12,MATCH(cadangan[[#This Row],[ItemID C]],Katalog!$C$3:$C$12,0)),"-")</f>
        <v>-</v>
      </c>
      <c r="W483" s="39" t="str">
        <f>IFERROR(INDEX(Katalog!$B$3:$B$12,MATCH(cadangan[[#This Row],[ItemID C]],Katalog!$C$3:$C$12,0)),"-")</f>
        <v>-</v>
      </c>
      <c r="Z483" s="73">
        <f>IFERROR(INDEX(Katalog!$D$3:$D$12,MATCH(cadangan[[#This Row],[ItemID C]],Katalog!$C$3:$C$12,0))*cadangan[[#This Row],[Qty C]],0)</f>
        <v>0</v>
      </c>
      <c r="AA483" s="73">
        <f>IFERROR(cadangan[[#This Row],[Harga Normal C]]-(cadangan[[#This Row],[Harga Normal C]]*cadangan[[#This Row],[Diskon]]),cadangan[[#This Row],[Harga Normal C]])</f>
        <v>0</v>
      </c>
      <c r="AB483" s="73">
        <f>IFERROR(INDEX(Katalog!$F$3:$F$12,MATCH(cadangan[[#This Row],[ItemID C]],Katalog!$C$3:$C$12,0))*cadangan[[#This Row],[Qty C]],0)</f>
        <v>0</v>
      </c>
      <c r="AC483" s="73">
        <f>IFERROR(cadangan[[#This Row],[Harga Diskon C]]-INDEX(Katalog!$E$3:$E$12,MATCH(cadangan[[#This Row],[ItemID C]],Katalog!$C$3:$C$12,0))*cadangan[[#This Row],[Qty C]],0)</f>
        <v>0</v>
      </c>
      <c r="AD483" s="53">
        <f>cadangan[[#This Row],[Qty A]]+cadangan[[#This Row],[Qty B]]+cadangan[[#This Row],[Qty C]]</f>
        <v>1</v>
      </c>
      <c r="AE483" s="73">
        <f>cadangan[[#This Row],[Harga Normal A]]+cadangan[[#This Row],[Harga Normal B]]+cadangan[[#This Row],[Harga Normal C]]</f>
        <v>200000</v>
      </c>
      <c r="AF483" s="73">
        <f>cadangan[[#This Row],[Harga Diskon A]]+cadangan[[#This Row],[Harga Diskon B]]+cadangan[[#This Row],[Harga Diskon C]]</f>
        <v>180000</v>
      </c>
      <c r="AG483" s="73">
        <f>(cadangan[[#This Row],[Profit Normal A]]+cadangan[[#This Row],[Profit Normal B]]+cadangan[[#This Row],[Profit Normal C]])</f>
        <v>80000</v>
      </c>
      <c r="AH483" s="73">
        <f>cadangan[[#This Row],[Profit Diskon A]]+cadangan[[#This Row],[Profit Diskon B]]+cadangan[[#This Row],[Profit Diskon C]]</f>
        <v>60000</v>
      </c>
      <c r="AI483" s="23" t="s">
        <v>31</v>
      </c>
      <c r="AJ483" s="37">
        <f>IFERROR(INDEX('Kode Diskon'!$D$3:$D$9,MATCH(cadangan[[#This Row],[Kode diskon]],'Kode Diskon'!$C$3:$C$9,0)),"-")</f>
        <v>0.1</v>
      </c>
      <c r="AK483" s="23" t="s">
        <v>9</v>
      </c>
      <c r="AL483" s="23" t="s">
        <v>10</v>
      </c>
      <c r="AM483" s="23" t="s">
        <v>76</v>
      </c>
      <c r="AN483" s="55">
        <v>45041</v>
      </c>
      <c r="AO483" s="53">
        <f>DAY(cadangan[[#This Row],[Tanggal terjual]])</f>
        <v>25</v>
      </c>
      <c r="AP483" s="21" t="str">
        <f>TEXT(cadangan[[#This Row],[Tanggal terjual]],"dddd")</f>
        <v>Tuesday</v>
      </c>
      <c r="AQ483" s="23" t="str" cm="1">
        <f t="array" ref="AQ4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83" s="61">
        <f>AVERAGE(cadangan[[#This Row],[Rating A]],cadangan[[#This Row],[Rating B]],cadangan[[#This Row],[Rating C]])</f>
        <v>3</v>
      </c>
    </row>
    <row r="484" spans="1:44" x14ac:dyDescent="0.2">
      <c r="A484" s="20">
        <v>483</v>
      </c>
      <c r="B484" s="21" t="str">
        <f>_xlfn.CONCAT("ORD-",INDEX(Helper!$B$2:$B$5,MATCH(cadangan[[#This Row],[Marketplace]],Helper!$A$2:$A$5,0)),TEXT(cadangan[[#This Row],[No]],"0000"),"-",TEXT(cadangan[[#This Row],[Tanggal terjual]],"dd/mm/yy"))</f>
        <v>ORD-TK0483-05/04/23</v>
      </c>
      <c r="C484" s="39" t="s">
        <v>61</v>
      </c>
      <c r="D484" s="39" t="str">
        <f>IFERROR(INDEX(Katalog!$A$3:$A$12,MATCH(cadangan[[#This Row],[ItemID A]],Katalog!$C$3:$C$12,0)),"-")</f>
        <v>Pakaian Pria</v>
      </c>
      <c r="E484" s="39" t="str">
        <f>IFERROR(INDEX(Katalog!$B$3:$B$12,MATCH(cadangan[[#This Row],[ItemID A]],Katalog!$C$3:$C$12,0)),"-")</f>
        <v>Kaos Polo</v>
      </c>
      <c r="F484" s="50">
        <v>3</v>
      </c>
      <c r="G484" s="50">
        <v>5</v>
      </c>
      <c r="H484" s="73">
        <f>IFERROR(INDEX(Katalog!$D$3:$D$12,MATCH(cadangan[[#This Row],[ItemID A]],Katalog!$C$3:$C$12,0))*cadangan[[#This Row],[Qty A]],0)</f>
        <v>600000</v>
      </c>
      <c r="I484" s="73">
        <f>IFERROR(cadangan[[#This Row],[Harga Normal A]]-(cadangan[[#This Row],[Harga Normal A]]*cadangan[[#This Row],[Diskon]]),cadangan[[#This Row],[Harga Normal A]])</f>
        <v>540000</v>
      </c>
      <c r="J484" s="73">
        <f>INDEX(Katalog!$F$3:$F$12,MATCH(cadangan[[#This Row],[ItemID A]],Katalog!$C$3:$C$12,0))*cadangan[[#This Row],[Qty A]]</f>
        <v>240000</v>
      </c>
      <c r="K484" s="73">
        <f>IFERROR(cadangan[[#This Row],[Harga Diskon A]]-INDEX(Katalog!$E$3:$E$12,MATCH(cadangan[[#This Row],[ItemID A]],Katalog!$C$3:$C$12,0))*cadangan[[#This Row],[Qty A]],0)</f>
        <v>180000</v>
      </c>
      <c r="L484" s="39" t="s">
        <v>60</v>
      </c>
      <c r="M484" s="39" t="str">
        <f>IFERROR(INDEX(Katalog!$A$3:$A$12,MATCH(cadangan[[#This Row],[ItemID B]],Katalog!$C$3:$C$12,0)),"-")</f>
        <v>Pakaian Wanita</v>
      </c>
      <c r="N484" s="39" t="str">
        <f>IFERROR(INDEX(Katalog!$B$3:$B$12,MATCH(cadangan[[#This Row],[ItemID B]],Katalog!$C$3:$C$12,0)),"-")</f>
        <v>Kaftan</v>
      </c>
      <c r="O484" s="50">
        <v>4</v>
      </c>
      <c r="P484" s="50">
        <v>1</v>
      </c>
      <c r="Q484" s="73">
        <f>IFERROR(INDEX(Katalog!$D$3:$D$12,MATCH(cadangan[[#This Row],[ItemID B]],Katalog!$C$3:$C$12,0))*cadangan[[#This Row],[Qty B]],0)</f>
        <v>1000000</v>
      </c>
      <c r="R484" s="73">
        <f>IFERROR(cadangan[[#This Row],[Harga Normal B]]-(cadangan[[#This Row],[Harga Normal B]]*cadangan[[#This Row],[Diskon]]),cadangan[[#This Row],[Harga Normal B]])</f>
        <v>900000</v>
      </c>
      <c r="S484" s="73">
        <f>IFERROR(INDEX(Katalog!$F$3:$F$12,MATCH(cadangan[[#This Row],[ItemID B]],Katalog!$C$3:$C$12,0))*cadangan[[#This Row],[Qty B]],0)</f>
        <v>400000</v>
      </c>
      <c r="T484" s="73">
        <f>IFERROR(cadangan[[#This Row],[Harga Diskon B]]-INDEX(Katalog!$E$3:$E$12,MATCH(cadangan[[#This Row],[ItemID B]],Katalog!$C$3:$C$12,0))*cadangan[[#This Row],[Qty B]],0)</f>
        <v>300000</v>
      </c>
      <c r="V484" s="39" t="str">
        <f>IFERROR(INDEX(Katalog!$A$3:$A$12,MATCH(cadangan[[#This Row],[ItemID C]],Katalog!$C$3:$C$12,0)),"-")</f>
        <v>-</v>
      </c>
      <c r="W484" s="39" t="str">
        <f>IFERROR(INDEX(Katalog!$B$3:$B$12,MATCH(cadangan[[#This Row],[ItemID C]],Katalog!$C$3:$C$12,0)),"-")</f>
        <v>-</v>
      </c>
      <c r="Z484" s="73">
        <f>IFERROR(INDEX(Katalog!$D$3:$D$12,MATCH(cadangan[[#This Row],[ItemID C]],Katalog!$C$3:$C$12,0))*cadangan[[#This Row],[Qty C]],0)</f>
        <v>0</v>
      </c>
      <c r="AA484" s="73">
        <f>IFERROR(cadangan[[#This Row],[Harga Normal C]]-(cadangan[[#This Row],[Harga Normal C]]*cadangan[[#This Row],[Diskon]]),cadangan[[#This Row],[Harga Normal C]])</f>
        <v>0</v>
      </c>
      <c r="AB484" s="73">
        <f>IFERROR(INDEX(Katalog!$F$3:$F$12,MATCH(cadangan[[#This Row],[ItemID C]],Katalog!$C$3:$C$12,0))*cadangan[[#This Row],[Qty C]],0)</f>
        <v>0</v>
      </c>
      <c r="AC484" s="73">
        <f>IFERROR(cadangan[[#This Row],[Harga Diskon C]]-INDEX(Katalog!$E$3:$E$12,MATCH(cadangan[[#This Row],[ItemID C]],Katalog!$C$3:$C$12,0))*cadangan[[#This Row],[Qty C]],0)</f>
        <v>0</v>
      </c>
      <c r="AD484" s="53">
        <f>cadangan[[#This Row],[Qty A]]+cadangan[[#This Row],[Qty B]]+cadangan[[#This Row],[Qty C]]</f>
        <v>7</v>
      </c>
      <c r="AE484" s="73">
        <f>cadangan[[#This Row],[Harga Normal A]]+cadangan[[#This Row],[Harga Normal B]]+cadangan[[#This Row],[Harga Normal C]]</f>
        <v>1600000</v>
      </c>
      <c r="AF484" s="73">
        <f>cadangan[[#This Row],[Harga Diskon A]]+cadangan[[#This Row],[Harga Diskon B]]+cadangan[[#This Row],[Harga Diskon C]]</f>
        <v>1440000</v>
      </c>
      <c r="AG484" s="73">
        <f>(cadangan[[#This Row],[Profit Normal A]]+cadangan[[#This Row],[Profit Normal B]]+cadangan[[#This Row],[Profit Normal C]])</f>
        <v>640000</v>
      </c>
      <c r="AH484" s="73">
        <f>cadangan[[#This Row],[Profit Diskon A]]+cadangan[[#This Row],[Profit Diskon B]]+cadangan[[#This Row],[Profit Diskon C]]</f>
        <v>480000</v>
      </c>
      <c r="AI484" s="23" t="s">
        <v>30</v>
      </c>
      <c r="AJ484" s="37">
        <f>IFERROR(INDEX('Kode Diskon'!$D$3:$D$9,MATCH(cadangan[[#This Row],[Kode diskon]],'Kode Diskon'!$C$3:$C$9,0)),"-")</f>
        <v>0.1</v>
      </c>
      <c r="AK484" s="23" t="s">
        <v>29</v>
      </c>
      <c r="AL484" s="23" t="s">
        <v>10</v>
      </c>
      <c r="AM484" s="23" t="s">
        <v>80</v>
      </c>
      <c r="AN484" s="55">
        <v>45021</v>
      </c>
      <c r="AO484" s="53">
        <f>DAY(cadangan[[#This Row],[Tanggal terjual]])</f>
        <v>5</v>
      </c>
      <c r="AP484" s="21" t="str">
        <f>TEXT(cadangan[[#This Row],[Tanggal terjual]],"dddd")</f>
        <v>Wednesday</v>
      </c>
      <c r="AQ484" s="23" t="str" cm="1">
        <f t="array" ref="AQ4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4" s="61">
        <f>AVERAGE(cadangan[[#This Row],[Rating A]],cadangan[[#This Row],[Rating B]],cadangan[[#This Row],[Rating C]])</f>
        <v>3</v>
      </c>
    </row>
    <row r="485" spans="1:44" x14ac:dyDescent="0.2">
      <c r="A485" s="20">
        <v>484</v>
      </c>
      <c r="B485" s="21" t="str">
        <f>_xlfn.CONCAT("ORD-",INDEX(Helper!$B$2:$B$5,MATCH(cadangan[[#This Row],[Marketplace]],Helper!$A$2:$A$5,0)),TEXT(cadangan[[#This Row],[No]],"0000"),"-",TEXT(cadangan[[#This Row],[Tanggal terjual]],"dd/mm/yy"))</f>
        <v>ORD-TK0484-03/04/23</v>
      </c>
      <c r="C485" s="39" t="s">
        <v>61</v>
      </c>
      <c r="D485" s="39" t="str">
        <f>IFERROR(INDEX(Katalog!$A$3:$A$12,MATCH(cadangan[[#This Row],[ItemID A]],Katalog!$C$3:$C$12,0)),"-")</f>
        <v>Pakaian Pria</v>
      </c>
      <c r="E485" s="39" t="str">
        <f>IFERROR(INDEX(Katalog!$B$3:$B$12,MATCH(cadangan[[#This Row],[ItemID A]],Katalog!$C$3:$C$12,0)),"-")</f>
        <v>Kaos Polo</v>
      </c>
      <c r="F485" s="50">
        <v>1</v>
      </c>
      <c r="G485" s="50">
        <v>3</v>
      </c>
      <c r="H485" s="73">
        <f>IFERROR(INDEX(Katalog!$D$3:$D$12,MATCH(cadangan[[#This Row],[ItemID A]],Katalog!$C$3:$C$12,0))*cadangan[[#This Row],[Qty A]],0)</f>
        <v>200000</v>
      </c>
      <c r="I485" s="73">
        <f>IFERROR(cadangan[[#This Row],[Harga Normal A]]-(cadangan[[#This Row],[Harga Normal A]]*cadangan[[#This Row],[Diskon]]),cadangan[[#This Row],[Harga Normal A]])</f>
        <v>180000</v>
      </c>
      <c r="J485" s="73">
        <f>INDEX(Katalog!$F$3:$F$12,MATCH(cadangan[[#This Row],[ItemID A]],Katalog!$C$3:$C$12,0))*cadangan[[#This Row],[Qty A]]</f>
        <v>80000</v>
      </c>
      <c r="K485" s="73">
        <f>IFERROR(cadangan[[#This Row],[Harga Diskon A]]-INDEX(Katalog!$E$3:$E$12,MATCH(cadangan[[#This Row],[ItemID A]],Katalog!$C$3:$C$12,0))*cadangan[[#This Row],[Qty A]],0)</f>
        <v>60000</v>
      </c>
      <c r="M485" s="39" t="str">
        <f>IFERROR(INDEX(Katalog!$A$3:$A$12,MATCH(cadangan[[#This Row],[ItemID B]],Katalog!$C$3:$C$12,0)),"-")</f>
        <v>-</v>
      </c>
      <c r="N485" s="39" t="str">
        <f>IFERROR(INDEX(Katalog!$B$3:$B$12,MATCH(cadangan[[#This Row],[ItemID B]],Katalog!$C$3:$C$12,0)),"-")</f>
        <v>-</v>
      </c>
      <c r="Q485" s="73">
        <f>IFERROR(INDEX(Katalog!$D$3:$D$12,MATCH(cadangan[[#This Row],[ItemID B]],Katalog!$C$3:$C$12,0))*cadangan[[#This Row],[Qty B]],0)</f>
        <v>0</v>
      </c>
      <c r="R485" s="73">
        <f>IFERROR(cadangan[[#This Row],[Harga Normal B]]-(cadangan[[#This Row],[Harga Normal B]]*cadangan[[#This Row],[Diskon]]),cadangan[[#This Row],[Harga Normal B]])</f>
        <v>0</v>
      </c>
      <c r="S485" s="73">
        <f>IFERROR(INDEX(Katalog!$F$3:$F$12,MATCH(cadangan[[#This Row],[ItemID B]],Katalog!$C$3:$C$12,0))*cadangan[[#This Row],[Qty B]],0)</f>
        <v>0</v>
      </c>
      <c r="T485" s="73">
        <f>IFERROR(cadangan[[#This Row],[Harga Diskon B]]-INDEX(Katalog!$E$3:$E$12,MATCH(cadangan[[#This Row],[ItemID B]],Katalog!$C$3:$C$12,0))*cadangan[[#This Row],[Qty B]],0)</f>
        <v>0</v>
      </c>
      <c r="V485" s="39" t="str">
        <f>IFERROR(INDEX(Katalog!$A$3:$A$12,MATCH(cadangan[[#This Row],[ItemID C]],Katalog!$C$3:$C$12,0)),"-")</f>
        <v>-</v>
      </c>
      <c r="W485" s="39" t="str">
        <f>IFERROR(INDEX(Katalog!$B$3:$B$12,MATCH(cadangan[[#This Row],[ItemID C]],Katalog!$C$3:$C$12,0)),"-")</f>
        <v>-</v>
      </c>
      <c r="Z485" s="73">
        <f>IFERROR(INDEX(Katalog!$D$3:$D$12,MATCH(cadangan[[#This Row],[ItemID C]],Katalog!$C$3:$C$12,0))*cadangan[[#This Row],[Qty C]],0)</f>
        <v>0</v>
      </c>
      <c r="AA485" s="73">
        <f>IFERROR(cadangan[[#This Row],[Harga Normal C]]-(cadangan[[#This Row],[Harga Normal C]]*cadangan[[#This Row],[Diskon]]),cadangan[[#This Row],[Harga Normal C]])</f>
        <v>0</v>
      </c>
      <c r="AB485" s="73">
        <f>IFERROR(INDEX(Katalog!$F$3:$F$12,MATCH(cadangan[[#This Row],[ItemID C]],Katalog!$C$3:$C$12,0))*cadangan[[#This Row],[Qty C]],0)</f>
        <v>0</v>
      </c>
      <c r="AC485" s="73">
        <f>IFERROR(cadangan[[#This Row],[Harga Diskon C]]-INDEX(Katalog!$E$3:$E$12,MATCH(cadangan[[#This Row],[ItemID C]],Katalog!$C$3:$C$12,0))*cadangan[[#This Row],[Qty C]],0)</f>
        <v>0</v>
      </c>
      <c r="AD485" s="53">
        <f>cadangan[[#This Row],[Qty A]]+cadangan[[#This Row],[Qty B]]+cadangan[[#This Row],[Qty C]]</f>
        <v>1</v>
      </c>
      <c r="AE485" s="73">
        <f>cadangan[[#This Row],[Harga Normal A]]+cadangan[[#This Row],[Harga Normal B]]+cadangan[[#This Row],[Harga Normal C]]</f>
        <v>200000</v>
      </c>
      <c r="AF485" s="73">
        <f>cadangan[[#This Row],[Harga Diskon A]]+cadangan[[#This Row],[Harga Diskon B]]+cadangan[[#This Row],[Harga Diskon C]]</f>
        <v>180000</v>
      </c>
      <c r="AG485" s="73">
        <f>(cadangan[[#This Row],[Profit Normal A]]+cadangan[[#This Row],[Profit Normal B]]+cadangan[[#This Row],[Profit Normal C]])</f>
        <v>80000</v>
      </c>
      <c r="AH485" s="73">
        <f>cadangan[[#This Row],[Profit Diskon A]]+cadangan[[#This Row],[Profit Diskon B]]+cadangan[[#This Row],[Profit Diskon C]]</f>
        <v>60000</v>
      </c>
      <c r="AI485" s="23" t="s">
        <v>30</v>
      </c>
      <c r="AJ485" s="37">
        <f>IFERROR(INDEX('Kode Diskon'!$D$3:$D$9,MATCH(cadangan[[#This Row],[Kode diskon]],'Kode Diskon'!$C$3:$C$9,0)),"-")</f>
        <v>0.1</v>
      </c>
      <c r="AK485" s="23" t="s">
        <v>29</v>
      </c>
      <c r="AL485" s="23" t="s">
        <v>10</v>
      </c>
      <c r="AM485" s="23" t="s">
        <v>80</v>
      </c>
      <c r="AN485" s="55">
        <v>45019</v>
      </c>
      <c r="AO485" s="53">
        <f>DAY(cadangan[[#This Row],[Tanggal terjual]])</f>
        <v>3</v>
      </c>
      <c r="AP485" s="21" t="str">
        <f>TEXT(cadangan[[#This Row],[Tanggal terjual]],"dddd")</f>
        <v>Monday</v>
      </c>
      <c r="AQ485" s="23" t="str" cm="1">
        <f t="array" ref="AQ4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5" s="61">
        <f>AVERAGE(cadangan[[#This Row],[Rating A]],cadangan[[#This Row],[Rating B]],cadangan[[#This Row],[Rating C]])</f>
        <v>3</v>
      </c>
    </row>
    <row r="486" spans="1:44" x14ac:dyDescent="0.2">
      <c r="A486" s="20">
        <v>485</v>
      </c>
      <c r="B486" s="21" t="str">
        <f>_xlfn.CONCAT("ORD-",INDEX(Helper!$B$2:$B$5,MATCH(cadangan[[#This Row],[Marketplace]],Helper!$A$2:$A$5,0)),TEXT(cadangan[[#This Row],[No]],"0000"),"-",TEXT(cadangan[[#This Row],[Tanggal terjual]],"dd/mm/yy"))</f>
        <v>ORD-TK0485-03/04/23</v>
      </c>
      <c r="C486" s="39" t="s">
        <v>65</v>
      </c>
      <c r="D486" s="39" t="str">
        <f>IFERROR(INDEX(Katalog!$A$3:$A$12,MATCH(cadangan[[#This Row],[ItemID A]],Katalog!$C$3:$C$12,0)),"-")</f>
        <v>Sepatu Pria</v>
      </c>
      <c r="E486" s="39" t="str">
        <f>IFERROR(INDEX(Katalog!$B$3:$B$12,MATCH(cadangan[[#This Row],[ItemID A]],Katalog!$C$3:$C$12,0)),"-")</f>
        <v>Sneakers</v>
      </c>
      <c r="F486" s="50">
        <v>2</v>
      </c>
      <c r="G486" s="50">
        <v>4</v>
      </c>
      <c r="H486" s="73">
        <f>IFERROR(INDEX(Katalog!$D$3:$D$12,MATCH(cadangan[[#This Row],[ItemID A]],Katalog!$C$3:$C$12,0))*cadangan[[#This Row],[Qty A]],0)</f>
        <v>1000000</v>
      </c>
      <c r="I486" s="73">
        <f>IFERROR(cadangan[[#This Row],[Harga Normal A]]-(cadangan[[#This Row],[Harga Normal A]]*cadangan[[#This Row],[Diskon]]),cadangan[[#This Row],[Harga Normal A]])</f>
        <v>900000</v>
      </c>
      <c r="J486" s="73">
        <f>INDEX(Katalog!$F$3:$F$12,MATCH(cadangan[[#This Row],[ItemID A]],Katalog!$C$3:$C$12,0))*cadangan[[#This Row],[Qty A]]</f>
        <v>400000</v>
      </c>
      <c r="K486" s="73">
        <f>IFERROR(cadangan[[#This Row],[Harga Diskon A]]-INDEX(Katalog!$E$3:$E$12,MATCH(cadangan[[#This Row],[ItemID A]],Katalog!$C$3:$C$12,0))*cadangan[[#This Row],[Qty A]],0)</f>
        <v>300000</v>
      </c>
      <c r="M486" s="39" t="str">
        <f>IFERROR(INDEX(Katalog!$A$3:$A$12,MATCH(cadangan[[#This Row],[ItemID B]],Katalog!$C$3:$C$12,0)),"-")</f>
        <v>-</v>
      </c>
      <c r="N486" s="39" t="str">
        <f>IFERROR(INDEX(Katalog!$B$3:$B$12,MATCH(cadangan[[#This Row],[ItemID B]],Katalog!$C$3:$C$12,0)),"-")</f>
        <v>-</v>
      </c>
      <c r="Q486" s="73">
        <f>IFERROR(INDEX(Katalog!$D$3:$D$12,MATCH(cadangan[[#This Row],[ItemID B]],Katalog!$C$3:$C$12,0))*cadangan[[#This Row],[Qty B]],0)</f>
        <v>0</v>
      </c>
      <c r="R486" s="73">
        <f>IFERROR(cadangan[[#This Row],[Harga Normal B]]-(cadangan[[#This Row],[Harga Normal B]]*cadangan[[#This Row],[Diskon]]),cadangan[[#This Row],[Harga Normal B]])</f>
        <v>0</v>
      </c>
      <c r="S486" s="73">
        <f>IFERROR(INDEX(Katalog!$F$3:$F$12,MATCH(cadangan[[#This Row],[ItemID B]],Katalog!$C$3:$C$12,0))*cadangan[[#This Row],[Qty B]],0)</f>
        <v>0</v>
      </c>
      <c r="T486" s="73">
        <f>IFERROR(cadangan[[#This Row],[Harga Diskon B]]-INDEX(Katalog!$E$3:$E$12,MATCH(cadangan[[#This Row],[ItemID B]],Katalog!$C$3:$C$12,0))*cadangan[[#This Row],[Qty B]],0)</f>
        <v>0</v>
      </c>
      <c r="V486" s="39" t="str">
        <f>IFERROR(INDEX(Katalog!$A$3:$A$12,MATCH(cadangan[[#This Row],[ItemID C]],Katalog!$C$3:$C$12,0)),"-")</f>
        <v>-</v>
      </c>
      <c r="W486" s="39" t="str">
        <f>IFERROR(INDEX(Katalog!$B$3:$B$12,MATCH(cadangan[[#This Row],[ItemID C]],Katalog!$C$3:$C$12,0)),"-")</f>
        <v>-</v>
      </c>
      <c r="Z486" s="73">
        <f>IFERROR(INDEX(Katalog!$D$3:$D$12,MATCH(cadangan[[#This Row],[ItemID C]],Katalog!$C$3:$C$12,0))*cadangan[[#This Row],[Qty C]],0)</f>
        <v>0</v>
      </c>
      <c r="AA486" s="73">
        <f>IFERROR(cadangan[[#This Row],[Harga Normal C]]-(cadangan[[#This Row],[Harga Normal C]]*cadangan[[#This Row],[Diskon]]),cadangan[[#This Row],[Harga Normal C]])</f>
        <v>0</v>
      </c>
      <c r="AB486" s="73">
        <f>IFERROR(INDEX(Katalog!$F$3:$F$12,MATCH(cadangan[[#This Row],[ItemID C]],Katalog!$C$3:$C$12,0))*cadangan[[#This Row],[Qty C]],0)</f>
        <v>0</v>
      </c>
      <c r="AC486" s="73">
        <f>IFERROR(cadangan[[#This Row],[Harga Diskon C]]-INDEX(Katalog!$E$3:$E$12,MATCH(cadangan[[#This Row],[ItemID C]],Katalog!$C$3:$C$12,0))*cadangan[[#This Row],[Qty C]],0)</f>
        <v>0</v>
      </c>
      <c r="AD486" s="53">
        <f>cadangan[[#This Row],[Qty A]]+cadangan[[#This Row],[Qty B]]+cadangan[[#This Row],[Qty C]]</f>
        <v>2</v>
      </c>
      <c r="AE486" s="73">
        <f>cadangan[[#This Row],[Harga Normal A]]+cadangan[[#This Row],[Harga Normal B]]+cadangan[[#This Row],[Harga Normal C]]</f>
        <v>1000000</v>
      </c>
      <c r="AF486" s="73">
        <f>cadangan[[#This Row],[Harga Diskon A]]+cadangan[[#This Row],[Harga Diskon B]]+cadangan[[#This Row],[Harga Diskon C]]</f>
        <v>900000</v>
      </c>
      <c r="AG486" s="73">
        <f>(cadangan[[#This Row],[Profit Normal A]]+cadangan[[#This Row],[Profit Normal B]]+cadangan[[#This Row],[Profit Normal C]])</f>
        <v>400000</v>
      </c>
      <c r="AH486" s="73">
        <f>cadangan[[#This Row],[Profit Diskon A]]+cadangan[[#This Row],[Profit Diskon B]]+cadangan[[#This Row],[Profit Diskon C]]</f>
        <v>300000</v>
      </c>
      <c r="AI486" s="23" t="s">
        <v>30</v>
      </c>
      <c r="AJ486" s="37">
        <f>IFERROR(INDEX('Kode Diskon'!$D$3:$D$9,MATCH(cadangan[[#This Row],[Kode diskon]],'Kode Diskon'!$C$3:$C$9,0)),"-")</f>
        <v>0.1</v>
      </c>
      <c r="AK486" s="23" t="s">
        <v>29</v>
      </c>
      <c r="AL486" s="23" t="s">
        <v>10</v>
      </c>
      <c r="AM486" s="23" t="s">
        <v>77</v>
      </c>
      <c r="AN486" s="55">
        <v>45019</v>
      </c>
      <c r="AO486" s="53">
        <f>DAY(cadangan[[#This Row],[Tanggal terjual]])</f>
        <v>3</v>
      </c>
      <c r="AP486" s="21" t="str">
        <f>TEXT(cadangan[[#This Row],[Tanggal terjual]],"dddd")</f>
        <v>Monday</v>
      </c>
      <c r="AQ486" s="23" t="str" cm="1">
        <f t="array" ref="AQ4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6" s="61">
        <f>AVERAGE(cadangan[[#This Row],[Rating A]],cadangan[[#This Row],[Rating B]],cadangan[[#This Row],[Rating C]])</f>
        <v>4</v>
      </c>
    </row>
    <row r="487" spans="1:44" x14ac:dyDescent="0.2">
      <c r="A487" s="20">
        <v>486</v>
      </c>
      <c r="B487" s="21" t="str">
        <f>_xlfn.CONCAT("ORD-",INDEX(Helper!$B$2:$B$5,MATCH(cadangan[[#This Row],[Marketplace]],Helper!$A$2:$A$5,0)),TEXT(cadangan[[#This Row],[No]],"0000"),"-",TEXT(cadangan[[#This Row],[Tanggal terjual]],"dd/mm/yy"))</f>
        <v>ORD-SP0486-13/04/23</v>
      </c>
      <c r="C487" s="39" t="s">
        <v>59</v>
      </c>
      <c r="D487" s="39" t="str">
        <f>IFERROR(INDEX(Katalog!$A$3:$A$12,MATCH(cadangan[[#This Row],[ItemID A]],Katalog!$C$3:$C$12,0)),"-")</f>
        <v>Pakaian Wanita</v>
      </c>
      <c r="E487" s="39" t="str">
        <f>IFERROR(INDEX(Katalog!$B$3:$B$12,MATCH(cadangan[[#This Row],[ItemID A]],Katalog!$C$3:$C$12,0)),"-")</f>
        <v>Blouse</v>
      </c>
      <c r="F487" s="50">
        <v>2</v>
      </c>
      <c r="G487" s="50">
        <v>4</v>
      </c>
      <c r="H487" s="73">
        <f>IFERROR(INDEX(Katalog!$D$3:$D$12,MATCH(cadangan[[#This Row],[ItemID A]],Katalog!$C$3:$C$12,0))*cadangan[[#This Row],[Qty A]],0)</f>
        <v>300000</v>
      </c>
      <c r="I487" s="73">
        <f>IFERROR(cadangan[[#This Row],[Harga Normal A]]-(cadangan[[#This Row],[Harga Normal A]]*cadangan[[#This Row],[Diskon]]),cadangan[[#This Row],[Harga Normal A]])</f>
        <v>300000</v>
      </c>
      <c r="J487" s="73">
        <f>INDEX(Katalog!$F$3:$F$12,MATCH(cadangan[[#This Row],[ItemID A]],Katalog!$C$3:$C$12,0))*cadangan[[#This Row],[Qty A]]</f>
        <v>100000</v>
      </c>
      <c r="K487" s="73">
        <f>IFERROR(cadangan[[#This Row],[Harga Diskon A]]-INDEX(Katalog!$E$3:$E$12,MATCH(cadangan[[#This Row],[ItemID A]],Katalog!$C$3:$C$12,0))*cadangan[[#This Row],[Qty A]],0)</f>
        <v>100000</v>
      </c>
      <c r="L487" s="39" t="s">
        <v>67</v>
      </c>
      <c r="M487" s="39" t="str">
        <f>IFERROR(INDEX(Katalog!$A$3:$A$12,MATCH(cadangan[[#This Row],[ItemID B]],Katalog!$C$3:$C$12,0)),"-")</f>
        <v>Sepatu Wanita</v>
      </c>
      <c r="N487" s="39" t="str">
        <f>IFERROR(INDEX(Katalog!$B$3:$B$12,MATCH(cadangan[[#This Row],[ItemID B]],Katalog!$C$3:$C$12,0)),"-")</f>
        <v>Flat Shoes</v>
      </c>
      <c r="O487" s="50">
        <v>2</v>
      </c>
      <c r="P487" s="50">
        <v>4</v>
      </c>
      <c r="Q487" s="73">
        <f>IFERROR(INDEX(Katalog!$D$3:$D$12,MATCH(cadangan[[#This Row],[ItemID B]],Katalog!$C$3:$C$12,0))*cadangan[[#This Row],[Qty B]],0)</f>
        <v>500000</v>
      </c>
      <c r="R487" s="73">
        <f>IFERROR(cadangan[[#This Row],[Harga Normal B]]-(cadangan[[#This Row],[Harga Normal B]]*cadangan[[#This Row],[Diskon]]),cadangan[[#This Row],[Harga Normal B]])</f>
        <v>500000</v>
      </c>
      <c r="S487" s="73">
        <f>IFERROR(INDEX(Katalog!$F$3:$F$12,MATCH(cadangan[[#This Row],[ItemID B]],Katalog!$C$3:$C$12,0))*cadangan[[#This Row],[Qty B]],0)</f>
        <v>200000</v>
      </c>
      <c r="T487" s="73">
        <f>IFERROR(cadangan[[#This Row],[Harga Diskon B]]-INDEX(Katalog!$E$3:$E$12,MATCH(cadangan[[#This Row],[ItemID B]],Katalog!$C$3:$C$12,0))*cadangan[[#This Row],[Qty B]],0)</f>
        <v>200000</v>
      </c>
      <c r="U487" s="39" t="s">
        <v>59</v>
      </c>
      <c r="V487" s="39" t="str">
        <f>IFERROR(INDEX(Katalog!$A$3:$A$12,MATCH(cadangan[[#This Row],[ItemID C]],Katalog!$C$3:$C$12,0)),"-")</f>
        <v>Pakaian Wanita</v>
      </c>
      <c r="W487" s="39" t="str">
        <f>IFERROR(INDEX(Katalog!$B$3:$B$12,MATCH(cadangan[[#This Row],[ItemID C]],Katalog!$C$3:$C$12,0)),"-")</f>
        <v>Blouse</v>
      </c>
      <c r="X487" s="50">
        <v>2</v>
      </c>
      <c r="Y487" s="50">
        <v>2</v>
      </c>
      <c r="Z487" s="73">
        <f>IFERROR(INDEX(Katalog!$D$3:$D$12,MATCH(cadangan[[#This Row],[ItemID C]],Katalog!$C$3:$C$12,0))*cadangan[[#This Row],[Qty C]],0)</f>
        <v>300000</v>
      </c>
      <c r="AA487" s="73">
        <f>IFERROR(cadangan[[#This Row],[Harga Normal C]]-(cadangan[[#This Row],[Harga Normal C]]*cadangan[[#This Row],[Diskon]]),cadangan[[#This Row],[Harga Normal C]])</f>
        <v>300000</v>
      </c>
      <c r="AB487" s="73">
        <f>IFERROR(INDEX(Katalog!$F$3:$F$12,MATCH(cadangan[[#This Row],[ItemID C]],Katalog!$C$3:$C$12,0))*cadangan[[#This Row],[Qty C]],0)</f>
        <v>100000</v>
      </c>
      <c r="AC487" s="73">
        <f>IFERROR(cadangan[[#This Row],[Harga Diskon C]]-INDEX(Katalog!$E$3:$E$12,MATCH(cadangan[[#This Row],[ItemID C]],Katalog!$C$3:$C$12,0))*cadangan[[#This Row],[Qty C]],0)</f>
        <v>100000</v>
      </c>
      <c r="AD487" s="53">
        <f>cadangan[[#This Row],[Qty A]]+cadangan[[#This Row],[Qty B]]+cadangan[[#This Row],[Qty C]]</f>
        <v>6</v>
      </c>
      <c r="AE487" s="73">
        <f>cadangan[[#This Row],[Harga Normal A]]+cadangan[[#This Row],[Harga Normal B]]+cadangan[[#This Row],[Harga Normal C]]</f>
        <v>1100000</v>
      </c>
      <c r="AF487" s="73">
        <f>cadangan[[#This Row],[Harga Diskon A]]+cadangan[[#This Row],[Harga Diskon B]]+cadangan[[#This Row],[Harga Diskon C]]</f>
        <v>1100000</v>
      </c>
      <c r="AG487" s="73">
        <f>(cadangan[[#This Row],[Profit Normal A]]+cadangan[[#This Row],[Profit Normal B]]+cadangan[[#This Row],[Profit Normal C]])</f>
        <v>400000</v>
      </c>
      <c r="AH487" s="73">
        <f>cadangan[[#This Row],[Profit Diskon A]]+cadangan[[#This Row],[Profit Diskon B]]+cadangan[[#This Row],[Profit Diskon C]]</f>
        <v>400000</v>
      </c>
      <c r="AI487" s="23" t="s">
        <v>290</v>
      </c>
      <c r="AJ487" s="37" t="str">
        <f>IFERROR(INDEX('Kode Diskon'!$D$3:$D$9,MATCH(cadangan[[#This Row],[Kode diskon]],'Kode Diskon'!$C$3:$C$9,0)),"-")</f>
        <v>-</v>
      </c>
      <c r="AK487" s="23" t="s">
        <v>290</v>
      </c>
      <c r="AL487" s="23" t="s">
        <v>7</v>
      </c>
      <c r="AM487" s="23" t="s">
        <v>77</v>
      </c>
      <c r="AN487" s="55">
        <v>45029</v>
      </c>
      <c r="AO487" s="53">
        <f>DAY(cadangan[[#This Row],[Tanggal terjual]])</f>
        <v>13</v>
      </c>
      <c r="AP487" s="21" t="str">
        <f>TEXT(cadangan[[#This Row],[Tanggal terjual]],"dddd")</f>
        <v>Thursday</v>
      </c>
      <c r="AQ487" s="23" t="str" cm="1">
        <f t="array" ref="AQ4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87" s="61">
        <f>AVERAGE(cadangan[[#This Row],[Rating A]],cadangan[[#This Row],[Rating B]],cadangan[[#This Row],[Rating C]])</f>
        <v>3.3333333333333335</v>
      </c>
    </row>
    <row r="488" spans="1:44" x14ac:dyDescent="0.2">
      <c r="A488" s="20">
        <v>487</v>
      </c>
      <c r="B488" s="21" t="str">
        <f>_xlfn.CONCAT("ORD-",INDEX(Helper!$B$2:$B$5,MATCH(cadangan[[#This Row],[Marketplace]],Helper!$A$2:$A$5,0)),TEXT(cadangan[[#This Row],[No]],"0000"),"-",TEXT(cadangan[[#This Row],[Tanggal terjual]],"dd/mm/yy"))</f>
        <v>ORD-BB0487-04/04/23</v>
      </c>
      <c r="C488" s="39" t="s">
        <v>63</v>
      </c>
      <c r="D488" s="39" t="str">
        <f>IFERROR(INDEX(Katalog!$A$3:$A$12,MATCH(cadangan[[#This Row],[ItemID A]],Katalog!$C$3:$C$12,0)),"-")</f>
        <v>Pakaian Pria</v>
      </c>
      <c r="E488" s="39" t="str">
        <f>IFERROR(INDEX(Katalog!$B$3:$B$12,MATCH(cadangan[[#This Row],[ItemID A]],Katalog!$C$3:$C$12,0)),"-")</f>
        <v>Jaket Jeans</v>
      </c>
      <c r="F488" s="50">
        <v>2</v>
      </c>
      <c r="G488" s="50">
        <v>4</v>
      </c>
      <c r="H488" s="73">
        <f>IFERROR(INDEX(Katalog!$D$3:$D$12,MATCH(cadangan[[#This Row],[ItemID A]],Katalog!$C$3:$C$12,0))*cadangan[[#This Row],[Qty A]],0)</f>
        <v>800000</v>
      </c>
      <c r="I488" s="73">
        <f>IFERROR(cadangan[[#This Row],[Harga Normal A]]-(cadangan[[#This Row],[Harga Normal A]]*cadangan[[#This Row],[Diskon]]),cadangan[[#This Row],[Harga Normal A]])</f>
        <v>680000</v>
      </c>
      <c r="J488" s="73">
        <f>INDEX(Katalog!$F$3:$F$12,MATCH(cadangan[[#This Row],[ItemID A]],Katalog!$C$3:$C$12,0))*cadangan[[#This Row],[Qty A]]</f>
        <v>300000</v>
      </c>
      <c r="K488" s="73">
        <f>IFERROR(cadangan[[#This Row],[Harga Diskon A]]-INDEX(Katalog!$E$3:$E$12,MATCH(cadangan[[#This Row],[ItemID A]],Katalog!$C$3:$C$12,0))*cadangan[[#This Row],[Qty A]],0)</f>
        <v>180000</v>
      </c>
      <c r="L488" s="39" t="s">
        <v>61</v>
      </c>
      <c r="M488" s="39" t="str">
        <f>IFERROR(INDEX(Katalog!$A$3:$A$12,MATCH(cadangan[[#This Row],[ItemID B]],Katalog!$C$3:$C$12,0)),"-")</f>
        <v>Pakaian Pria</v>
      </c>
      <c r="N488" s="39" t="str">
        <f>IFERROR(INDEX(Katalog!$B$3:$B$12,MATCH(cadangan[[#This Row],[ItemID B]],Katalog!$C$3:$C$12,0)),"-")</f>
        <v>Kaos Polo</v>
      </c>
      <c r="O488" s="50">
        <v>1</v>
      </c>
      <c r="P488" s="50">
        <v>5</v>
      </c>
      <c r="Q488" s="73">
        <f>IFERROR(INDEX(Katalog!$D$3:$D$12,MATCH(cadangan[[#This Row],[ItemID B]],Katalog!$C$3:$C$12,0))*cadangan[[#This Row],[Qty B]],0)</f>
        <v>200000</v>
      </c>
      <c r="R488" s="73">
        <f>IFERROR(cadangan[[#This Row],[Harga Normal B]]-(cadangan[[#This Row],[Harga Normal B]]*cadangan[[#This Row],[Diskon]]),cadangan[[#This Row],[Harga Normal B]])</f>
        <v>170000</v>
      </c>
      <c r="S488" s="73">
        <f>IFERROR(INDEX(Katalog!$F$3:$F$12,MATCH(cadangan[[#This Row],[ItemID B]],Katalog!$C$3:$C$12,0))*cadangan[[#This Row],[Qty B]],0)</f>
        <v>80000</v>
      </c>
      <c r="T488" s="73">
        <f>IFERROR(cadangan[[#This Row],[Harga Diskon B]]-INDEX(Katalog!$E$3:$E$12,MATCH(cadangan[[#This Row],[ItemID B]],Katalog!$C$3:$C$12,0))*cadangan[[#This Row],[Qty B]],0)</f>
        <v>50000</v>
      </c>
      <c r="V488" s="39" t="str">
        <f>IFERROR(INDEX(Katalog!$A$3:$A$12,MATCH(cadangan[[#This Row],[ItemID C]],Katalog!$C$3:$C$12,0)),"-")</f>
        <v>-</v>
      </c>
      <c r="W488" s="39" t="str">
        <f>IFERROR(INDEX(Katalog!$B$3:$B$12,MATCH(cadangan[[#This Row],[ItemID C]],Katalog!$C$3:$C$12,0)),"-")</f>
        <v>-</v>
      </c>
      <c r="Z488" s="73">
        <f>IFERROR(INDEX(Katalog!$D$3:$D$12,MATCH(cadangan[[#This Row],[ItemID C]],Katalog!$C$3:$C$12,0))*cadangan[[#This Row],[Qty C]],0)</f>
        <v>0</v>
      </c>
      <c r="AA488" s="73">
        <f>IFERROR(cadangan[[#This Row],[Harga Normal C]]-(cadangan[[#This Row],[Harga Normal C]]*cadangan[[#This Row],[Diskon]]),cadangan[[#This Row],[Harga Normal C]])</f>
        <v>0</v>
      </c>
      <c r="AB488" s="73">
        <f>IFERROR(INDEX(Katalog!$F$3:$F$12,MATCH(cadangan[[#This Row],[ItemID C]],Katalog!$C$3:$C$12,0))*cadangan[[#This Row],[Qty C]],0)</f>
        <v>0</v>
      </c>
      <c r="AC488" s="73">
        <f>IFERROR(cadangan[[#This Row],[Harga Diskon C]]-INDEX(Katalog!$E$3:$E$12,MATCH(cadangan[[#This Row],[ItemID C]],Katalog!$C$3:$C$12,0))*cadangan[[#This Row],[Qty C]],0)</f>
        <v>0</v>
      </c>
      <c r="AD488" s="53">
        <f>cadangan[[#This Row],[Qty A]]+cadangan[[#This Row],[Qty B]]+cadangan[[#This Row],[Qty C]]</f>
        <v>3</v>
      </c>
      <c r="AE488" s="73">
        <f>cadangan[[#This Row],[Harga Normal A]]+cadangan[[#This Row],[Harga Normal B]]+cadangan[[#This Row],[Harga Normal C]]</f>
        <v>1000000</v>
      </c>
      <c r="AF488" s="73">
        <f>cadangan[[#This Row],[Harga Diskon A]]+cadangan[[#This Row],[Harga Diskon B]]+cadangan[[#This Row],[Harga Diskon C]]</f>
        <v>850000</v>
      </c>
      <c r="AG488" s="73">
        <f>(cadangan[[#This Row],[Profit Normal A]]+cadangan[[#This Row],[Profit Normal B]]+cadangan[[#This Row],[Profit Normal C]])</f>
        <v>380000</v>
      </c>
      <c r="AH488" s="73">
        <f>cadangan[[#This Row],[Profit Diskon A]]+cadangan[[#This Row],[Profit Diskon B]]+cadangan[[#This Row],[Profit Diskon C]]</f>
        <v>230000</v>
      </c>
      <c r="AI488" s="23" t="s">
        <v>28</v>
      </c>
      <c r="AJ488" s="37">
        <f>IFERROR(INDEX('Kode Diskon'!$D$3:$D$9,MATCH(cadangan[[#This Row],[Kode diskon]],'Kode Diskon'!$C$3:$C$9,0)),"-")</f>
        <v>0.15</v>
      </c>
      <c r="AK488" s="23" t="s">
        <v>29</v>
      </c>
      <c r="AL488" s="23" t="s">
        <v>14</v>
      </c>
      <c r="AM488" s="23" t="s">
        <v>75</v>
      </c>
      <c r="AN488" s="55">
        <v>45020</v>
      </c>
      <c r="AO488" s="53">
        <f>DAY(cadangan[[#This Row],[Tanggal terjual]])</f>
        <v>4</v>
      </c>
      <c r="AP488" s="21" t="str">
        <f>TEXT(cadangan[[#This Row],[Tanggal terjual]],"dddd")</f>
        <v>Tuesday</v>
      </c>
      <c r="AQ488" s="23" t="str" cm="1">
        <f t="array" ref="AQ4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88" s="61">
        <f>AVERAGE(cadangan[[#This Row],[Rating A]],cadangan[[#This Row],[Rating B]],cadangan[[#This Row],[Rating C]])</f>
        <v>4.5</v>
      </c>
    </row>
    <row r="489" spans="1:44" x14ac:dyDescent="0.2">
      <c r="A489" s="20">
        <v>488</v>
      </c>
      <c r="B489" s="21" t="str">
        <f>_xlfn.CONCAT("ORD-",INDEX(Helper!$B$2:$B$5,MATCH(cadangan[[#This Row],[Marketplace]],Helper!$A$2:$A$5,0)),TEXT(cadangan[[#This Row],[No]],"0000"),"-",TEXT(cadangan[[#This Row],[Tanggal terjual]],"dd/mm/yy"))</f>
        <v>ORD-BL0488-08/04/23</v>
      </c>
      <c r="C489" s="39" t="s">
        <v>66</v>
      </c>
      <c r="D489" s="39" t="str">
        <f>IFERROR(INDEX(Katalog!$A$3:$A$12,MATCH(cadangan[[#This Row],[ItemID A]],Katalog!$C$3:$C$12,0)),"-")</f>
        <v>Sepatu Pria</v>
      </c>
      <c r="E489" s="39" t="str">
        <f>IFERROR(INDEX(Katalog!$B$3:$B$12,MATCH(cadangan[[#This Row],[ItemID A]],Katalog!$C$3:$C$12,0)),"-")</f>
        <v>Sandal Slip On</v>
      </c>
      <c r="F489" s="50">
        <v>2</v>
      </c>
      <c r="G489" s="50">
        <v>3</v>
      </c>
      <c r="H489" s="73">
        <f>IFERROR(INDEX(Katalog!$D$3:$D$12,MATCH(cadangan[[#This Row],[ItemID A]],Katalog!$C$3:$C$12,0))*cadangan[[#This Row],[Qty A]],0)</f>
        <v>300000</v>
      </c>
      <c r="I489" s="73">
        <f>IFERROR(cadangan[[#This Row],[Harga Normal A]]-(cadangan[[#This Row],[Harga Normal A]]*cadangan[[#This Row],[Diskon]]),cadangan[[#This Row],[Harga Normal A]])</f>
        <v>300000</v>
      </c>
      <c r="J489" s="73">
        <f>INDEX(Katalog!$F$3:$F$12,MATCH(cadangan[[#This Row],[ItemID A]],Katalog!$C$3:$C$12,0))*cadangan[[#This Row],[Qty A]]</f>
        <v>120000</v>
      </c>
      <c r="K489" s="73">
        <f>IFERROR(cadangan[[#This Row],[Harga Diskon A]]-INDEX(Katalog!$E$3:$E$12,MATCH(cadangan[[#This Row],[ItemID A]],Katalog!$C$3:$C$12,0))*cadangan[[#This Row],[Qty A]],0)</f>
        <v>120000</v>
      </c>
      <c r="L489" s="39" t="s">
        <v>59</v>
      </c>
      <c r="M489" s="39" t="str">
        <f>IFERROR(INDEX(Katalog!$A$3:$A$12,MATCH(cadangan[[#This Row],[ItemID B]],Katalog!$C$3:$C$12,0)),"-")</f>
        <v>Pakaian Wanita</v>
      </c>
      <c r="N489" s="39" t="str">
        <f>IFERROR(INDEX(Katalog!$B$3:$B$12,MATCH(cadangan[[#This Row],[ItemID B]],Katalog!$C$3:$C$12,0)),"-")</f>
        <v>Blouse</v>
      </c>
      <c r="O489" s="50">
        <v>1</v>
      </c>
      <c r="P489" s="50">
        <v>3</v>
      </c>
      <c r="Q489" s="73">
        <f>IFERROR(INDEX(Katalog!$D$3:$D$12,MATCH(cadangan[[#This Row],[ItemID B]],Katalog!$C$3:$C$12,0))*cadangan[[#This Row],[Qty B]],0)</f>
        <v>150000</v>
      </c>
      <c r="R489" s="73">
        <f>IFERROR(cadangan[[#This Row],[Harga Normal B]]-(cadangan[[#This Row],[Harga Normal B]]*cadangan[[#This Row],[Diskon]]),cadangan[[#This Row],[Harga Normal B]])</f>
        <v>150000</v>
      </c>
      <c r="S489" s="73">
        <f>IFERROR(INDEX(Katalog!$F$3:$F$12,MATCH(cadangan[[#This Row],[ItemID B]],Katalog!$C$3:$C$12,0))*cadangan[[#This Row],[Qty B]],0)</f>
        <v>50000</v>
      </c>
      <c r="T489" s="73">
        <f>IFERROR(cadangan[[#This Row],[Harga Diskon B]]-INDEX(Katalog!$E$3:$E$12,MATCH(cadangan[[#This Row],[ItemID B]],Katalog!$C$3:$C$12,0))*cadangan[[#This Row],[Qty B]],0)</f>
        <v>50000</v>
      </c>
      <c r="V489" s="39" t="str">
        <f>IFERROR(INDEX(Katalog!$A$3:$A$12,MATCH(cadangan[[#This Row],[ItemID C]],Katalog!$C$3:$C$12,0)),"-")</f>
        <v>-</v>
      </c>
      <c r="W489" s="39" t="str">
        <f>IFERROR(INDEX(Katalog!$B$3:$B$12,MATCH(cadangan[[#This Row],[ItemID C]],Katalog!$C$3:$C$12,0)),"-")</f>
        <v>-</v>
      </c>
      <c r="Z489" s="73">
        <f>IFERROR(INDEX(Katalog!$D$3:$D$12,MATCH(cadangan[[#This Row],[ItemID C]],Katalog!$C$3:$C$12,0))*cadangan[[#This Row],[Qty C]],0)</f>
        <v>0</v>
      </c>
      <c r="AA489" s="73">
        <f>IFERROR(cadangan[[#This Row],[Harga Normal C]]-(cadangan[[#This Row],[Harga Normal C]]*cadangan[[#This Row],[Diskon]]),cadangan[[#This Row],[Harga Normal C]])</f>
        <v>0</v>
      </c>
      <c r="AB489" s="73">
        <f>IFERROR(INDEX(Katalog!$F$3:$F$12,MATCH(cadangan[[#This Row],[ItemID C]],Katalog!$C$3:$C$12,0))*cadangan[[#This Row],[Qty C]],0)</f>
        <v>0</v>
      </c>
      <c r="AC489" s="73">
        <f>IFERROR(cadangan[[#This Row],[Harga Diskon C]]-INDEX(Katalog!$E$3:$E$12,MATCH(cadangan[[#This Row],[ItemID C]],Katalog!$C$3:$C$12,0))*cadangan[[#This Row],[Qty C]],0)</f>
        <v>0</v>
      </c>
      <c r="AD489" s="53">
        <f>cadangan[[#This Row],[Qty A]]+cadangan[[#This Row],[Qty B]]+cadangan[[#This Row],[Qty C]]</f>
        <v>3</v>
      </c>
      <c r="AE489" s="73">
        <f>cadangan[[#This Row],[Harga Normal A]]+cadangan[[#This Row],[Harga Normal B]]+cadangan[[#This Row],[Harga Normal C]]</f>
        <v>450000</v>
      </c>
      <c r="AF489" s="73">
        <f>cadangan[[#This Row],[Harga Diskon A]]+cadangan[[#This Row],[Harga Diskon B]]+cadangan[[#This Row],[Harga Diskon C]]</f>
        <v>450000</v>
      </c>
      <c r="AG489" s="73">
        <f>(cadangan[[#This Row],[Profit Normal A]]+cadangan[[#This Row],[Profit Normal B]]+cadangan[[#This Row],[Profit Normal C]])</f>
        <v>170000</v>
      </c>
      <c r="AH489" s="73">
        <f>cadangan[[#This Row],[Profit Diskon A]]+cadangan[[#This Row],[Profit Diskon B]]+cadangan[[#This Row],[Profit Diskon C]]</f>
        <v>170000</v>
      </c>
      <c r="AI489" s="23" t="s">
        <v>290</v>
      </c>
      <c r="AJ489" s="37" t="str">
        <f>IFERROR(INDEX('Kode Diskon'!$D$3:$D$9,MATCH(cadangan[[#This Row],[Kode diskon]],'Kode Diskon'!$C$3:$C$9,0)),"-")</f>
        <v>-</v>
      </c>
      <c r="AK489" s="23" t="s">
        <v>290</v>
      </c>
      <c r="AL489" s="23" t="s">
        <v>12</v>
      </c>
      <c r="AM489" s="23" t="s">
        <v>75</v>
      </c>
      <c r="AN489" s="55">
        <v>45024</v>
      </c>
      <c r="AO489" s="53">
        <f>DAY(cadangan[[#This Row],[Tanggal terjual]])</f>
        <v>8</v>
      </c>
      <c r="AP489" s="21" t="str">
        <f>TEXT(cadangan[[#This Row],[Tanggal terjual]],"dddd")</f>
        <v>Saturday</v>
      </c>
      <c r="AQ489" s="23" t="str" cm="1">
        <f t="array" ref="AQ4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89" s="61">
        <f>AVERAGE(cadangan[[#This Row],[Rating A]],cadangan[[#This Row],[Rating B]],cadangan[[#This Row],[Rating C]])</f>
        <v>3</v>
      </c>
    </row>
    <row r="490" spans="1:44" x14ac:dyDescent="0.2">
      <c r="A490" s="20">
        <v>489</v>
      </c>
      <c r="B490" s="21" t="str">
        <f>_xlfn.CONCAT("ORD-",INDEX(Helper!$B$2:$B$5,MATCH(cadangan[[#This Row],[Marketplace]],Helper!$A$2:$A$5,0)),TEXT(cadangan[[#This Row],[No]],"0000"),"-",TEXT(cadangan[[#This Row],[Tanggal terjual]],"dd/mm/yy"))</f>
        <v>ORD-SP0489-07/04/23</v>
      </c>
      <c r="C490" s="39" t="s">
        <v>58</v>
      </c>
      <c r="D490" s="39" t="str">
        <f>IFERROR(INDEX(Katalog!$A$3:$A$12,MATCH(cadangan[[#This Row],[ItemID A]],Katalog!$C$3:$C$12,0)),"-")</f>
        <v>Pakaian Wanita</v>
      </c>
      <c r="E490" s="39" t="str">
        <f>IFERROR(INDEX(Katalog!$B$3:$B$12,MATCH(cadangan[[#This Row],[ItemID A]],Katalog!$C$3:$C$12,0)),"-")</f>
        <v>Dress</v>
      </c>
      <c r="F490" s="50">
        <v>1</v>
      </c>
      <c r="G490" s="50">
        <v>5</v>
      </c>
      <c r="H490" s="73">
        <f>IFERROR(INDEX(Katalog!$D$3:$D$12,MATCH(cadangan[[#This Row],[ItemID A]],Katalog!$C$3:$C$12,0))*cadangan[[#This Row],[Qty A]],0)</f>
        <v>300000</v>
      </c>
      <c r="I490" s="73">
        <f>IFERROR(cadangan[[#This Row],[Harga Normal A]]-(cadangan[[#This Row],[Harga Normal A]]*cadangan[[#This Row],[Diskon]]),cadangan[[#This Row],[Harga Normal A]])</f>
        <v>300000</v>
      </c>
      <c r="J490" s="73">
        <f>INDEX(Katalog!$F$3:$F$12,MATCH(cadangan[[#This Row],[ItemID A]],Katalog!$C$3:$C$12,0))*cadangan[[#This Row],[Qty A]]</f>
        <v>100000</v>
      </c>
      <c r="K490" s="73">
        <f>IFERROR(cadangan[[#This Row],[Harga Diskon A]]-INDEX(Katalog!$E$3:$E$12,MATCH(cadangan[[#This Row],[ItemID A]],Katalog!$C$3:$C$12,0))*cadangan[[#This Row],[Qty A]],0)</f>
        <v>100000</v>
      </c>
      <c r="M490" s="39" t="str">
        <f>IFERROR(INDEX(Katalog!$A$3:$A$12,MATCH(cadangan[[#This Row],[ItemID B]],Katalog!$C$3:$C$12,0)),"-")</f>
        <v>-</v>
      </c>
      <c r="N490" s="39" t="str">
        <f>IFERROR(INDEX(Katalog!$B$3:$B$12,MATCH(cadangan[[#This Row],[ItemID B]],Katalog!$C$3:$C$12,0)),"-")</f>
        <v>-</v>
      </c>
      <c r="Q490" s="73">
        <f>IFERROR(INDEX(Katalog!$D$3:$D$12,MATCH(cadangan[[#This Row],[ItemID B]],Katalog!$C$3:$C$12,0))*cadangan[[#This Row],[Qty B]],0)</f>
        <v>0</v>
      </c>
      <c r="R490" s="73">
        <f>IFERROR(cadangan[[#This Row],[Harga Normal B]]-(cadangan[[#This Row],[Harga Normal B]]*cadangan[[#This Row],[Diskon]]),cadangan[[#This Row],[Harga Normal B]])</f>
        <v>0</v>
      </c>
      <c r="S490" s="73">
        <f>IFERROR(INDEX(Katalog!$F$3:$F$12,MATCH(cadangan[[#This Row],[ItemID B]],Katalog!$C$3:$C$12,0))*cadangan[[#This Row],[Qty B]],0)</f>
        <v>0</v>
      </c>
      <c r="T490" s="73">
        <f>IFERROR(cadangan[[#This Row],[Harga Diskon B]]-INDEX(Katalog!$E$3:$E$12,MATCH(cadangan[[#This Row],[ItemID B]],Katalog!$C$3:$C$12,0))*cadangan[[#This Row],[Qty B]],0)</f>
        <v>0</v>
      </c>
      <c r="V490" s="39" t="str">
        <f>IFERROR(INDEX(Katalog!$A$3:$A$12,MATCH(cadangan[[#This Row],[ItemID C]],Katalog!$C$3:$C$12,0)),"-")</f>
        <v>-</v>
      </c>
      <c r="W490" s="39" t="str">
        <f>IFERROR(INDEX(Katalog!$B$3:$B$12,MATCH(cadangan[[#This Row],[ItemID C]],Katalog!$C$3:$C$12,0)),"-")</f>
        <v>-</v>
      </c>
      <c r="Z490" s="73">
        <f>IFERROR(INDEX(Katalog!$D$3:$D$12,MATCH(cadangan[[#This Row],[ItemID C]],Katalog!$C$3:$C$12,0))*cadangan[[#This Row],[Qty C]],0)</f>
        <v>0</v>
      </c>
      <c r="AA490" s="73">
        <f>IFERROR(cadangan[[#This Row],[Harga Normal C]]-(cadangan[[#This Row],[Harga Normal C]]*cadangan[[#This Row],[Diskon]]),cadangan[[#This Row],[Harga Normal C]])</f>
        <v>0</v>
      </c>
      <c r="AB490" s="73">
        <f>IFERROR(INDEX(Katalog!$F$3:$F$12,MATCH(cadangan[[#This Row],[ItemID C]],Katalog!$C$3:$C$12,0))*cadangan[[#This Row],[Qty C]],0)</f>
        <v>0</v>
      </c>
      <c r="AC490" s="73">
        <f>IFERROR(cadangan[[#This Row],[Harga Diskon C]]-INDEX(Katalog!$E$3:$E$12,MATCH(cadangan[[#This Row],[ItemID C]],Katalog!$C$3:$C$12,0))*cadangan[[#This Row],[Qty C]],0)</f>
        <v>0</v>
      </c>
      <c r="AD490" s="53">
        <f>cadangan[[#This Row],[Qty A]]+cadangan[[#This Row],[Qty B]]+cadangan[[#This Row],[Qty C]]</f>
        <v>1</v>
      </c>
      <c r="AE490" s="73">
        <f>cadangan[[#This Row],[Harga Normal A]]+cadangan[[#This Row],[Harga Normal B]]+cadangan[[#This Row],[Harga Normal C]]</f>
        <v>300000</v>
      </c>
      <c r="AF490" s="73">
        <f>cadangan[[#This Row],[Harga Diskon A]]+cadangan[[#This Row],[Harga Diskon B]]+cadangan[[#This Row],[Harga Diskon C]]</f>
        <v>300000</v>
      </c>
      <c r="AG490" s="73">
        <f>(cadangan[[#This Row],[Profit Normal A]]+cadangan[[#This Row],[Profit Normal B]]+cadangan[[#This Row],[Profit Normal C]])</f>
        <v>100000</v>
      </c>
      <c r="AH490" s="73">
        <f>cadangan[[#This Row],[Profit Diskon A]]+cadangan[[#This Row],[Profit Diskon B]]+cadangan[[#This Row],[Profit Diskon C]]</f>
        <v>100000</v>
      </c>
      <c r="AI490" s="23" t="s">
        <v>290</v>
      </c>
      <c r="AJ490" s="37" t="str">
        <f>IFERROR(INDEX('Kode Diskon'!$D$3:$D$9,MATCH(cadangan[[#This Row],[Kode diskon]],'Kode Diskon'!$C$3:$C$9,0)),"-")</f>
        <v>-</v>
      </c>
      <c r="AK490" s="23" t="s">
        <v>290</v>
      </c>
      <c r="AL490" s="23" t="s">
        <v>7</v>
      </c>
      <c r="AM490" s="23" t="s">
        <v>77</v>
      </c>
      <c r="AN490" s="55">
        <v>45023</v>
      </c>
      <c r="AO490" s="53">
        <f>DAY(cadangan[[#This Row],[Tanggal terjual]])</f>
        <v>7</v>
      </c>
      <c r="AP490" s="21" t="str">
        <f>TEXT(cadangan[[#This Row],[Tanggal terjual]],"dddd")</f>
        <v>Friday</v>
      </c>
      <c r="AQ490" s="23" t="str" cm="1">
        <f t="array" ref="AQ4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0" s="61">
        <f>AVERAGE(cadangan[[#This Row],[Rating A]],cadangan[[#This Row],[Rating B]],cadangan[[#This Row],[Rating C]])</f>
        <v>5</v>
      </c>
    </row>
    <row r="491" spans="1:44" x14ac:dyDescent="0.2">
      <c r="A491" s="20">
        <v>490</v>
      </c>
      <c r="B491" s="21" t="str">
        <f>_xlfn.CONCAT("ORD-",INDEX(Helper!$B$2:$B$5,MATCH(cadangan[[#This Row],[Marketplace]],Helper!$A$2:$A$5,0)),TEXT(cadangan[[#This Row],[No]],"0000"),"-",TEXT(cadangan[[#This Row],[Tanggal terjual]],"dd/mm/yy"))</f>
        <v>ORD-BL0490-27/04/23</v>
      </c>
      <c r="C491" s="39" t="s">
        <v>65</v>
      </c>
      <c r="D491" s="39" t="str">
        <f>IFERROR(INDEX(Katalog!$A$3:$A$12,MATCH(cadangan[[#This Row],[ItemID A]],Katalog!$C$3:$C$12,0)),"-")</f>
        <v>Sepatu Pria</v>
      </c>
      <c r="E491" s="39" t="str">
        <f>IFERROR(INDEX(Katalog!$B$3:$B$12,MATCH(cadangan[[#This Row],[ItemID A]],Katalog!$C$3:$C$12,0)),"-")</f>
        <v>Sneakers</v>
      </c>
      <c r="F491" s="50">
        <v>1</v>
      </c>
      <c r="G491" s="50">
        <v>2</v>
      </c>
      <c r="H491" s="73">
        <f>IFERROR(INDEX(Katalog!$D$3:$D$12,MATCH(cadangan[[#This Row],[ItemID A]],Katalog!$C$3:$C$12,0))*cadangan[[#This Row],[Qty A]],0)</f>
        <v>500000</v>
      </c>
      <c r="I491" s="73">
        <f>IFERROR(cadangan[[#This Row],[Harga Normal A]]-(cadangan[[#This Row],[Harga Normal A]]*cadangan[[#This Row],[Diskon]]),cadangan[[#This Row],[Harga Normal A]])</f>
        <v>425000</v>
      </c>
      <c r="J491" s="73">
        <f>INDEX(Katalog!$F$3:$F$12,MATCH(cadangan[[#This Row],[ItemID A]],Katalog!$C$3:$C$12,0))*cadangan[[#This Row],[Qty A]]</f>
        <v>200000</v>
      </c>
      <c r="K491" s="73">
        <f>IFERROR(cadangan[[#This Row],[Harga Diskon A]]-INDEX(Katalog!$E$3:$E$12,MATCH(cadangan[[#This Row],[ItemID A]],Katalog!$C$3:$C$12,0))*cadangan[[#This Row],[Qty A]],0)</f>
        <v>125000</v>
      </c>
      <c r="M491" s="39" t="str">
        <f>IFERROR(INDEX(Katalog!$A$3:$A$12,MATCH(cadangan[[#This Row],[ItemID B]],Katalog!$C$3:$C$12,0)),"-")</f>
        <v>-</v>
      </c>
      <c r="N491" s="39" t="str">
        <f>IFERROR(INDEX(Katalog!$B$3:$B$12,MATCH(cadangan[[#This Row],[ItemID B]],Katalog!$C$3:$C$12,0)),"-")</f>
        <v>-</v>
      </c>
      <c r="Q491" s="73">
        <f>IFERROR(INDEX(Katalog!$D$3:$D$12,MATCH(cadangan[[#This Row],[ItemID B]],Katalog!$C$3:$C$12,0))*cadangan[[#This Row],[Qty B]],0)</f>
        <v>0</v>
      </c>
      <c r="R491" s="73">
        <f>IFERROR(cadangan[[#This Row],[Harga Normal B]]-(cadangan[[#This Row],[Harga Normal B]]*cadangan[[#This Row],[Diskon]]),cadangan[[#This Row],[Harga Normal B]])</f>
        <v>0</v>
      </c>
      <c r="S491" s="73">
        <f>IFERROR(INDEX(Katalog!$F$3:$F$12,MATCH(cadangan[[#This Row],[ItemID B]],Katalog!$C$3:$C$12,0))*cadangan[[#This Row],[Qty B]],0)</f>
        <v>0</v>
      </c>
      <c r="T491" s="73">
        <f>IFERROR(cadangan[[#This Row],[Harga Diskon B]]-INDEX(Katalog!$E$3:$E$12,MATCH(cadangan[[#This Row],[ItemID B]],Katalog!$C$3:$C$12,0))*cadangan[[#This Row],[Qty B]],0)</f>
        <v>0</v>
      </c>
      <c r="V491" s="39" t="str">
        <f>IFERROR(INDEX(Katalog!$A$3:$A$12,MATCH(cadangan[[#This Row],[ItemID C]],Katalog!$C$3:$C$12,0)),"-")</f>
        <v>-</v>
      </c>
      <c r="W491" s="39" t="str">
        <f>IFERROR(INDEX(Katalog!$B$3:$B$12,MATCH(cadangan[[#This Row],[ItemID C]],Katalog!$C$3:$C$12,0)),"-")</f>
        <v>-</v>
      </c>
      <c r="Z491" s="73">
        <f>IFERROR(INDEX(Katalog!$D$3:$D$12,MATCH(cadangan[[#This Row],[ItemID C]],Katalog!$C$3:$C$12,0))*cadangan[[#This Row],[Qty C]],0)</f>
        <v>0</v>
      </c>
      <c r="AA491" s="73">
        <f>IFERROR(cadangan[[#This Row],[Harga Normal C]]-(cadangan[[#This Row],[Harga Normal C]]*cadangan[[#This Row],[Diskon]]),cadangan[[#This Row],[Harga Normal C]])</f>
        <v>0</v>
      </c>
      <c r="AB491" s="73">
        <f>IFERROR(INDEX(Katalog!$F$3:$F$12,MATCH(cadangan[[#This Row],[ItemID C]],Katalog!$C$3:$C$12,0))*cadangan[[#This Row],[Qty C]],0)</f>
        <v>0</v>
      </c>
      <c r="AC491" s="73">
        <f>IFERROR(cadangan[[#This Row],[Harga Diskon C]]-INDEX(Katalog!$E$3:$E$12,MATCH(cadangan[[#This Row],[ItemID C]],Katalog!$C$3:$C$12,0))*cadangan[[#This Row],[Qty C]],0)</f>
        <v>0</v>
      </c>
      <c r="AD491" s="53">
        <f>cadangan[[#This Row],[Qty A]]+cadangan[[#This Row],[Qty B]]+cadangan[[#This Row],[Qty C]]</f>
        <v>1</v>
      </c>
      <c r="AE491" s="73">
        <f>cadangan[[#This Row],[Harga Normal A]]+cadangan[[#This Row],[Harga Normal B]]+cadangan[[#This Row],[Harga Normal C]]</f>
        <v>500000</v>
      </c>
      <c r="AF491" s="73">
        <f>cadangan[[#This Row],[Harga Diskon A]]+cadangan[[#This Row],[Harga Diskon B]]+cadangan[[#This Row],[Harga Diskon C]]</f>
        <v>425000</v>
      </c>
      <c r="AG491" s="73">
        <f>(cadangan[[#This Row],[Profit Normal A]]+cadangan[[#This Row],[Profit Normal B]]+cadangan[[#This Row],[Profit Normal C]])</f>
        <v>200000</v>
      </c>
      <c r="AH491" s="73">
        <f>cadangan[[#This Row],[Profit Diskon A]]+cadangan[[#This Row],[Profit Diskon B]]+cadangan[[#This Row],[Profit Diskon C]]</f>
        <v>125000</v>
      </c>
      <c r="AI491" s="23" t="s">
        <v>32</v>
      </c>
      <c r="AJ491" s="37">
        <f>IFERROR(INDEX('Kode Diskon'!$D$3:$D$9,MATCH(cadangan[[#This Row],[Kode diskon]],'Kode Diskon'!$C$3:$C$9,0)),"-")</f>
        <v>0.15</v>
      </c>
      <c r="AK491" s="23" t="s">
        <v>9</v>
      </c>
      <c r="AL491" s="23" t="s">
        <v>12</v>
      </c>
      <c r="AM491" s="23" t="s">
        <v>77</v>
      </c>
      <c r="AN491" s="55">
        <v>45043</v>
      </c>
      <c r="AO491" s="53">
        <f>DAY(cadangan[[#This Row],[Tanggal terjual]])</f>
        <v>27</v>
      </c>
      <c r="AP491" s="21" t="str">
        <f>TEXT(cadangan[[#This Row],[Tanggal terjual]],"dddd")</f>
        <v>Thursday</v>
      </c>
      <c r="AQ491" s="23" t="str" cm="1">
        <f t="array" ref="AQ4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91" s="61">
        <f>AVERAGE(cadangan[[#This Row],[Rating A]],cadangan[[#This Row],[Rating B]],cadangan[[#This Row],[Rating C]])</f>
        <v>2</v>
      </c>
    </row>
    <row r="492" spans="1:44" x14ac:dyDescent="0.2">
      <c r="A492" s="20">
        <v>491</v>
      </c>
      <c r="B492" s="21" t="str">
        <f>_xlfn.CONCAT("ORD-",INDEX(Helper!$B$2:$B$5,MATCH(cadangan[[#This Row],[Marketplace]],Helper!$A$2:$A$5,0)),TEXT(cadangan[[#This Row],[No]],"0000"),"-",TEXT(cadangan[[#This Row],[Tanggal terjual]],"dd/mm/yy"))</f>
        <v>ORD-BB0491-05/04/23</v>
      </c>
      <c r="C492" s="39" t="s">
        <v>65</v>
      </c>
      <c r="D492" s="39" t="str">
        <f>IFERROR(INDEX(Katalog!$A$3:$A$12,MATCH(cadangan[[#This Row],[ItemID A]],Katalog!$C$3:$C$12,0)),"-")</f>
        <v>Sepatu Pria</v>
      </c>
      <c r="E492" s="39" t="str">
        <f>IFERROR(INDEX(Katalog!$B$3:$B$12,MATCH(cadangan[[#This Row],[ItemID A]],Katalog!$C$3:$C$12,0)),"-")</f>
        <v>Sneakers</v>
      </c>
      <c r="F492" s="50">
        <v>1</v>
      </c>
      <c r="G492" s="50">
        <v>1</v>
      </c>
      <c r="H492" s="73">
        <f>IFERROR(INDEX(Katalog!$D$3:$D$12,MATCH(cadangan[[#This Row],[ItemID A]],Katalog!$C$3:$C$12,0))*cadangan[[#This Row],[Qty A]],0)</f>
        <v>500000</v>
      </c>
      <c r="I492" s="73">
        <f>IFERROR(cadangan[[#This Row],[Harga Normal A]]-(cadangan[[#This Row],[Harga Normal A]]*cadangan[[#This Row],[Diskon]]),cadangan[[#This Row],[Harga Normal A]])</f>
        <v>425000</v>
      </c>
      <c r="J492" s="73">
        <f>INDEX(Katalog!$F$3:$F$12,MATCH(cadangan[[#This Row],[ItemID A]],Katalog!$C$3:$C$12,0))*cadangan[[#This Row],[Qty A]]</f>
        <v>200000</v>
      </c>
      <c r="K492" s="73">
        <f>IFERROR(cadangan[[#This Row],[Harga Diskon A]]-INDEX(Katalog!$E$3:$E$12,MATCH(cadangan[[#This Row],[ItemID A]],Katalog!$C$3:$C$12,0))*cadangan[[#This Row],[Qty A]],0)</f>
        <v>125000</v>
      </c>
      <c r="L492" s="39" t="s">
        <v>62</v>
      </c>
      <c r="M492" s="39" t="str">
        <f>IFERROR(INDEX(Katalog!$A$3:$A$12,MATCH(cadangan[[#This Row],[ItemID B]],Katalog!$C$3:$C$12,0)),"-")</f>
        <v>Pakaian Pria</v>
      </c>
      <c r="N492" s="39" t="str">
        <f>IFERROR(INDEX(Katalog!$B$3:$B$12,MATCH(cadangan[[#This Row],[ItemID B]],Katalog!$C$3:$C$12,0)),"-")</f>
        <v>Celana Pendek</v>
      </c>
      <c r="O492" s="50">
        <v>2</v>
      </c>
      <c r="P492" s="50">
        <v>2</v>
      </c>
      <c r="Q492" s="73">
        <f>IFERROR(INDEX(Katalog!$D$3:$D$12,MATCH(cadangan[[#This Row],[ItemID B]],Katalog!$C$3:$C$12,0))*cadangan[[#This Row],[Qty B]],0)</f>
        <v>360000</v>
      </c>
      <c r="R492" s="73">
        <f>IFERROR(cadangan[[#This Row],[Harga Normal B]]-(cadangan[[#This Row],[Harga Normal B]]*cadangan[[#This Row],[Diskon]]),cadangan[[#This Row],[Harga Normal B]])</f>
        <v>306000</v>
      </c>
      <c r="S492" s="73">
        <f>IFERROR(INDEX(Katalog!$F$3:$F$12,MATCH(cadangan[[#This Row],[ItemID B]],Katalog!$C$3:$C$12,0))*cadangan[[#This Row],[Qty B]],0)</f>
        <v>140000</v>
      </c>
      <c r="T492" s="73">
        <f>IFERROR(cadangan[[#This Row],[Harga Diskon B]]-INDEX(Katalog!$E$3:$E$12,MATCH(cadangan[[#This Row],[ItemID B]],Katalog!$C$3:$C$12,0))*cadangan[[#This Row],[Qty B]],0)</f>
        <v>86000</v>
      </c>
      <c r="U492" s="39" t="s">
        <v>63</v>
      </c>
      <c r="V492" s="39" t="str">
        <f>IFERROR(INDEX(Katalog!$A$3:$A$12,MATCH(cadangan[[#This Row],[ItemID C]],Katalog!$C$3:$C$12,0)),"-")</f>
        <v>Pakaian Pria</v>
      </c>
      <c r="W492" s="39" t="str">
        <f>IFERROR(INDEX(Katalog!$B$3:$B$12,MATCH(cadangan[[#This Row],[ItemID C]],Katalog!$C$3:$C$12,0)),"-")</f>
        <v>Jaket Jeans</v>
      </c>
      <c r="X492" s="50">
        <v>1</v>
      </c>
      <c r="Y492" s="50">
        <v>2</v>
      </c>
      <c r="Z492" s="73">
        <f>IFERROR(INDEX(Katalog!$D$3:$D$12,MATCH(cadangan[[#This Row],[ItemID C]],Katalog!$C$3:$C$12,0))*cadangan[[#This Row],[Qty C]],0)</f>
        <v>400000</v>
      </c>
      <c r="AA492" s="73">
        <f>IFERROR(cadangan[[#This Row],[Harga Normal C]]-(cadangan[[#This Row],[Harga Normal C]]*cadangan[[#This Row],[Diskon]]),cadangan[[#This Row],[Harga Normal C]])</f>
        <v>340000</v>
      </c>
      <c r="AB492" s="73">
        <f>IFERROR(INDEX(Katalog!$F$3:$F$12,MATCH(cadangan[[#This Row],[ItemID C]],Katalog!$C$3:$C$12,0))*cadangan[[#This Row],[Qty C]],0)</f>
        <v>150000</v>
      </c>
      <c r="AC492" s="73">
        <f>IFERROR(cadangan[[#This Row],[Harga Diskon C]]-INDEX(Katalog!$E$3:$E$12,MATCH(cadangan[[#This Row],[ItemID C]],Katalog!$C$3:$C$12,0))*cadangan[[#This Row],[Qty C]],0)</f>
        <v>90000</v>
      </c>
      <c r="AD492" s="53">
        <f>cadangan[[#This Row],[Qty A]]+cadangan[[#This Row],[Qty B]]+cadangan[[#This Row],[Qty C]]</f>
        <v>4</v>
      </c>
      <c r="AE492" s="73">
        <f>cadangan[[#This Row],[Harga Normal A]]+cadangan[[#This Row],[Harga Normal B]]+cadangan[[#This Row],[Harga Normal C]]</f>
        <v>1260000</v>
      </c>
      <c r="AF492" s="73">
        <f>cadangan[[#This Row],[Harga Diskon A]]+cadangan[[#This Row],[Harga Diskon B]]+cadangan[[#This Row],[Harga Diskon C]]</f>
        <v>1071000</v>
      </c>
      <c r="AG492" s="73">
        <f>(cadangan[[#This Row],[Profit Normal A]]+cadangan[[#This Row],[Profit Normal B]]+cadangan[[#This Row],[Profit Normal C]])</f>
        <v>490000</v>
      </c>
      <c r="AH492" s="73">
        <f>cadangan[[#This Row],[Profit Diskon A]]+cadangan[[#This Row],[Profit Diskon B]]+cadangan[[#This Row],[Profit Diskon C]]</f>
        <v>301000</v>
      </c>
      <c r="AI492" s="23" t="s">
        <v>28</v>
      </c>
      <c r="AJ492" s="37">
        <f>IFERROR(INDEX('Kode Diskon'!$D$3:$D$9,MATCH(cadangan[[#This Row],[Kode diskon]],'Kode Diskon'!$C$3:$C$9,0)),"-")</f>
        <v>0.15</v>
      </c>
      <c r="AK492" s="23" t="s">
        <v>29</v>
      </c>
      <c r="AL492" s="23" t="s">
        <v>14</v>
      </c>
      <c r="AM492" s="23" t="s">
        <v>80</v>
      </c>
      <c r="AN492" s="55">
        <v>45021</v>
      </c>
      <c r="AO492" s="53">
        <f>DAY(cadangan[[#This Row],[Tanggal terjual]])</f>
        <v>5</v>
      </c>
      <c r="AP492" s="21" t="str">
        <f>TEXT(cadangan[[#This Row],[Tanggal terjual]],"dddd")</f>
        <v>Wednesday</v>
      </c>
      <c r="AQ492" s="23" t="str" cm="1">
        <f t="array" ref="AQ4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2" s="61">
        <f>AVERAGE(cadangan[[#This Row],[Rating A]],cadangan[[#This Row],[Rating B]],cadangan[[#This Row],[Rating C]])</f>
        <v>1.6666666666666667</v>
      </c>
    </row>
    <row r="493" spans="1:44" x14ac:dyDescent="0.2">
      <c r="A493" s="20">
        <v>492</v>
      </c>
      <c r="B493" s="21" t="str">
        <f>_xlfn.CONCAT("ORD-",INDEX(Helper!$B$2:$B$5,MATCH(cadangan[[#This Row],[Marketplace]],Helper!$A$2:$A$5,0)),TEXT(cadangan[[#This Row],[No]],"0000"),"-",TEXT(cadangan[[#This Row],[Tanggal terjual]],"dd/mm/yy"))</f>
        <v>ORD-TK0492-06/04/23</v>
      </c>
      <c r="C493" s="39" t="s">
        <v>62</v>
      </c>
      <c r="D493" s="39" t="str">
        <f>IFERROR(INDEX(Katalog!$A$3:$A$12,MATCH(cadangan[[#This Row],[ItemID A]],Katalog!$C$3:$C$12,0)),"-")</f>
        <v>Pakaian Pria</v>
      </c>
      <c r="E493" s="39" t="str">
        <f>IFERROR(INDEX(Katalog!$B$3:$B$12,MATCH(cadangan[[#This Row],[ItemID A]],Katalog!$C$3:$C$12,0)),"-")</f>
        <v>Celana Pendek</v>
      </c>
      <c r="F493" s="50">
        <v>3</v>
      </c>
      <c r="G493" s="50">
        <v>5</v>
      </c>
      <c r="H493" s="73">
        <f>IFERROR(INDEX(Katalog!$D$3:$D$12,MATCH(cadangan[[#This Row],[ItemID A]],Katalog!$C$3:$C$12,0))*cadangan[[#This Row],[Qty A]],0)</f>
        <v>540000</v>
      </c>
      <c r="I493" s="73">
        <f>IFERROR(cadangan[[#This Row],[Harga Normal A]]-(cadangan[[#This Row],[Harga Normal A]]*cadangan[[#This Row],[Diskon]]),cadangan[[#This Row],[Harga Normal A]])</f>
        <v>486000</v>
      </c>
      <c r="J493" s="73">
        <f>INDEX(Katalog!$F$3:$F$12,MATCH(cadangan[[#This Row],[ItemID A]],Katalog!$C$3:$C$12,0))*cadangan[[#This Row],[Qty A]]</f>
        <v>210000</v>
      </c>
      <c r="K493" s="73">
        <f>IFERROR(cadangan[[#This Row],[Harga Diskon A]]-INDEX(Katalog!$E$3:$E$12,MATCH(cadangan[[#This Row],[ItemID A]],Katalog!$C$3:$C$12,0))*cadangan[[#This Row],[Qty A]],0)</f>
        <v>156000</v>
      </c>
      <c r="L493" s="39" t="s">
        <v>63</v>
      </c>
      <c r="M493" s="39" t="str">
        <f>IFERROR(INDEX(Katalog!$A$3:$A$12,MATCH(cadangan[[#This Row],[ItemID B]],Katalog!$C$3:$C$12,0)),"-")</f>
        <v>Pakaian Pria</v>
      </c>
      <c r="N493" s="39" t="str">
        <f>IFERROR(INDEX(Katalog!$B$3:$B$12,MATCH(cadangan[[#This Row],[ItemID B]],Katalog!$C$3:$C$12,0)),"-")</f>
        <v>Jaket Jeans</v>
      </c>
      <c r="O493" s="50">
        <v>1</v>
      </c>
      <c r="P493" s="50">
        <v>4</v>
      </c>
      <c r="Q493" s="73">
        <f>IFERROR(INDEX(Katalog!$D$3:$D$12,MATCH(cadangan[[#This Row],[ItemID B]],Katalog!$C$3:$C$12,0))*cadangan[[#This Row],[Qty B]],0)</f>
        <v>400000</v>
      </c>
      <c r="R493" s="73">
        <f>IFERROR(cadangan[[#This Row],[Harga Normal B]]-(cadangan[[#This Row],[Harga Normal B]]*cadangan[[#This Row],[Diskon]]),cadangan[[#This Row],[Harga Normal B]])</f>
        <v>360000</v>
      </c>
      <c r="S493" s="73">
        <f>IFERROR(INDEX(Katalog!$F$3:$F$12,MATCH(cadangan[[#This Row],[ItemID B]],Katalog!$C$3:$C$12,0))*cadangan[[#This Row],[Qty B]],0)</f>
        <v>150000</v>
      </c>
      <c r="T493" s="73">
        <f>IFERROR(cadangan[[#This Row],[Harga Diskon B]]-INDEX(Katalog!$E$3:$E$12,MATCH(cadangan[[#This Row],[ItemID B]],Katalog!$C$3:$C$12,0))*cadangan[[#This Row],[Qty B]],0)</f>
        <v>110000</v>
      </c>
      <c r="U493" s="39" t="s">
        <v>64</v>
      </c>
      <c r="V493" s="39" t="str">
        <f>IFERROR(INDEX(Katalog!$A$3:$A$12,MATCH(cadangan[[#This Row],[ItemID C]],Katalog!$C$3:$C$12,0)),"-")</f>
        <v>Pakaian Unisex</v>
      </c>
      <c r="W493" s="39" t="str">
        <f>IFERROR(INDEX(Katalog!$B$3:$B$12,MATCH(cadangan[[#This Row],[ItemID C]],Katalog!$C$3:$C$12,0)),"-")</f>
        <v>Jaket Hoodie</v>
      </c>
      <c r="X493" s="50">
        <v>1</v>
      </c>
      <c r="Y493" s="50">
        <v>3</v>
      </c>
      <c r="Z493" s="73">
        <f>IFERROR(INDEX(Katalog!$D$3:$D$12,MATCH(cadangan[[#This Row],[ItemID C]],Katalog!$C$3:$C$12,0))*cadangan[[#This Row],[Qty C]],0)</f>
        <v>350000</v>
      </c>
      <c r="AA493" s="73">
        <f>IFERROR(cadangan[[#This Row],[Harga Normal C]]-(cadangan[[#This Row],[Harga Normal C]]*cadangan[[#This Row],[Diskon]]),cadangan[[#This Row],[Harga Normal C]])</f>
        <v>315000</v>
      </c>
      <c r="AB493" s="73">
        <f>IFERROR(INDEX(Katalog!$F$3:$F$12,MATCH(cadangan[[#This Row],[ItemID C]],Katalog!$C$3:$C$12,0))*cadangan[[#This Row],[Qty C]],0)</f>
        <v>130000</v>
      </c>
      <c r="AC493" s="73">
        <f>IFERROR(cadangan[[#This Row],[Harga Diskon C]]-INDEX(Katalog!$E$3:$E$12,MATCH(cadangan[[#This Row],[ItemID C]],Katalog!$C$3:$C$12,0))*cadangan[[#This Row],[Qty C]],0)</f>
        <v>95000</v>
      </c>
      <c r="AD493" s="53">
        <f>cadangan[[#This Row],[Qty A]]+cadangan[[#This Row],[Qty B]]+cadangan[[#This Row],[Qty C]]</f>
        <v>5</v>
      </c>
      <c r="AE493" s="73">
        <f>cadangan[[#This Row],[Harga Normal A]]+cadangan[[#This Row],[Harga Normal B]]+cadangan[[#This Row],[Harga Normal C]]</f>
        <v>1290000</v>
      </c>
      <c r="AF493" s="73">
        <f>cadangan[[#This Row],[Harga Diskon A]]+cadangan[[#This Row],[Harga Diskon B]]+cadangan[[#This Row],[Harga Diskon C]]</f>
        <v>1161000</v>
      </c>
      <c r="AG493" s="73">
        <f>(cadangan[[#This Row],[Profit Normal A]]+cadangan[[#This Row],[Profit Normal B]]+cadangan[[#This Row],[Profit Normal C]])</f>
        <v>490000</v>
      </c>
      <c r="AH493" s="73">
        <f>cadangan[[#This Row],[Profit Diskon A]]+cadangan[[#This Row],[Profit Diskon B]]+cadangan[[#This Row],[Profit Diskon C]]</f>
        <v>361000</v>
      </c>
      <c r="AI493" s="23" t="s">
        <v>30</v>
      </c>
      <c r="AJ493" s="37">
        <f>IFERROR(INDEX('Kode Diskon'!$D$3:$D$9,MATCH(cadangan[[#This Row],[Kode diskon]],'Kode Diskon'!$C$3:$C$9,0)),"-")</f>
        <v>0.1</v>
      </c>
      <c r="AK493" s="23" t="s">
        <v>29</v>
      </c>
      <c r="AL493" s="23" t="s">
        <v>10</v>
      </c>
      <c r="AM493" s="23" t="s">
        <v>79</v>
      </c>
      <c r="AN493" s="55">
        <v>45022</v>
      </c>
      <c r="AO493" s="53">
        <f>DAY(cadangan[[#This Row],[Tanggal terjual]])</f>
        <v>6</v>
      </c>
      <c r="AP493" s="21" t="str">
        <f>TEXT(cadangan[[#This Row],[Tanggal terjual]],"dddd")</f>
        <v>Thursday</v>
      </c>
      <c r="AQ493" s="23" t="str" cm="1">
        <f t="array" ref="AQ4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3" s="61">
        <f>AVERAGE(cadangan[[#This Row],[Rating A]],cadangan[[#This Row],[Rating B]],cadangan[[#This Row],[Rating C]])</f>
        <v>4</v>
      </c>
    </row>
    <row r="494" spans="1:44" x14ac:dyDescent="0.2">
      <c r="A494" s="20">
        <v>493</v>
      </c>
      <c r="B494" s="21" t="str">
        <f>_xlfn.CONCAT("ORD-",INDEX(Helper!$B$2:$B$5,MATCH(cadangan[[#This Row],[Marketplace]],Helper!$A$2:$A$5,0)),TEXT(cadangan[[#This Row],[No]],"0000"),"-",TEXT(cadangan[[#This Row],[Tanggal terjual]],"dd/mm/yy"))</f>
        <v>ORD-BB0493-13/04/23</v>
      </c>
      <c r="C494" s="39" t="s">
        <v>59</v>
      </c>
      <c r="D494" s="39" t="str">
        <f>IFERROR(INDEX(Katalog!$A$3:$A$12,MATCH(cadangan[[#This Row],[ItemID A]],Katalog!$C$3:$C$12,0)),"-")</f>
        <v>Pakaian Wanita</v>
      </c>
      <c r="E494" s="39" t="str">
        <f>IFERROR(INDEX(Katalog!$B$3:$B$12,MATCH(cadangan[[#This Row],[ItemID A]],Katalog!$C$3:$C$12,0)),"-")</f>
        <v>Blouse</v>
      </c>
      <c r="F494" s="50">
        <v>2</v>
      </c>
      <c r="G494" s="50">
        <v>4</v>
      </c>
      <c r="H494" s="73">
        <f>IFERROR(INDEX(Katalog!$D$3:$D$12,MATCH(cadangan[[#This Row],[ItemID A]],Katalog!$C$3:$C$12,0))*cadangan[[#This Row],[Qty A]],0)</f>
        <v>300000</v>
      </c>
      <c r="I494" s="73">
        <f>IFERROR(cadangan[[#This Row],[Harga Normal A]]-(cadangan[[#This Row],[Harga Normal A]]*cadangan[[#This Row],[Diskon]]),cadangan[[#This Row],[Harga Normal A]])</f>
        <v>300000</v>
      </c>
      <c r="J494" s="73">
        <f>INDEX(Katalog!$F$3:$F$12,MATCH(cadangan[[#This Row],[ItemID A]],Katalog!$C$3:$C$12,0))*cadangan[[#This Row],[Qty A]]</f>
        <v>100000</v>
      </c>
      <c r="K494" s="73">
        <f>IFERROR(cadangan[[#This Row],[Harga Diskon A]]-INDEX(Katalog!$E$3:$E$12,MATCH(cadangan[[#This Row],[ItemID A]],Katalog!$C$3:$C$12,0))*cadangan[[#This Row],[Qty A]],0)</f>
        <v>100000</v>
      </c>
      <c r="L494" s="39" t="s">
        <v>58</v>
      </c>
      <c r="M494" s="39" t="str">
        <f>IFERROR(INDEX(Katalog!$A$3:$A$12,MATCH(cadangan[[#This Row],[ItemID B]],Katalog!$C$3:$C$12,0)),"-")</f>
        <v>Pakaian Wanita</v>
      </c>
      <c r="N494" s="39" t="str">
        <f>IFERROR(INDEX(Katalog!$B$3:$B$12,MATCH(cadangan[[#This Row],[ItemID B]],Katalog!$C$3:$C$12,0)),"-")</f>
        <v>Dress</v>
      </c>
      <c r="O494" s="50">
        <v>1</v>
      </c>
      <c r="P494" s="50">
        <v>5</v>
      </c>
      <c r="Q494" s="73">
        <f>IFERROR(INDEX(Katalog!$D$3:$D$12,MATCH(cadangan[[#This Row],[ItemID B]],Katalog!$C$3:$C$12,0))*cadangan[[#This Row],[Qty B]],0)</f>
        <v>300000</v>
      </c>
      <c r="R494" s="73">
        <f>IFERROR(cadangan[[#This Row],[Harga Normal B]]-(cadangan[[#This Row],[Harga Normal B]]*cadangan[[#This Row],[Diskon]]),cadangan[[#This Row],[Harga Normal B]])</f>
        <v>300000</v>
      </c>
      <c r="S494" s="73">
        <f>IFERROR(INDEX(Katalog!$F$3:$F$12,MATCH(cadangan[[#This Row],[ItemID B]],Katalog!$C$3:$C$12,0))*cadangan[[#This Row],[Qty B]],0)</f>
        <v>100000</v>
      </c>
      <c r="T494" s="73">
        <f>IFERROR(cadangan[[#This Row],[Harga Diskon B]]-INDEX(Katalog!$E$3:$E$12,MATCH(cadangan[[#This Row],[ItemID B]],Katalog!$C$3:$C$12,0))*cadangan[[#This Row],[Qty B]],0)</f>
        <v>100000</v>
      </c>
      <c r="U494" s="39" t="s">
        <v>64</v>
      </c>
      <c r="V494" s="39" t="str">
        <f>IFERROR(INDEX(Katalog!$A$3:$A$12,MATCH(cadangan[[#This Row],[ItemID C]],Katalog!$C$3:$C$12,0)),"-")</f>
        <v>Pakaian Unisex</v>
      </c>
      <c r="W494" s="39" t="str">
        <f>IFERROR(INDEX(Katalog!$B$3:$B$12,MATCH(cadangan[[#This Row],[ItemID C]],Katalog!$C$3:$C$12,0)),"-")</f>
        <v>Jaket Hoodie</v>
      </c>
      <c r="X494" s="50">
        <v>1</v>
      </c>
      <c r="Y494" s="50">
        <v>1</v>
      </c>
      <c r="Z494" s="73">
        <f>IFERROR(INDEX(Katalog!$D$3:$D$12,MATCH(cadangan[[#This Row],[ItemID C]],Katalog!$C$3:$C$12,0))*cadangan[[#This Row],[Qty C]],0)</f>
        <v>350000</v>
      </c>
      <c r="AA494" s="73">
        <f>IFERROR(cadangan[[#This Row],[Harga Normal C]]-(cadangan[[#This Row],[Harga Normal C]]*cadangan[[#This Row],[Diskon]]),cadangan[[#This Row],[Harga Normal C]])</f>
        <v>350000</v>
      </c>
      <c r="AB494" s="73">
        <f>IFERROR(INDEX(Katalog!$F$3:$F$12,MATCH(cadangan[[#This Row],[ItemID C]],Katalog!$C$3:$C$12,0))*cadangan[[#This Row],[Qty C]],0)</f>
        <v>130000</v>
      </c>
      <c r="AC494" s="73">
        <f>IFERROR(cadangan[[#This Row],[Harga Diskon C]]-INDEX(Katalog!$E$3:$E$12,MATCH(cadangan[[#This Row],[ItemID C]],Katalog!$C$3:$C$12,0))*cadangan[[#This Row],[Qty C]],0)</f>
        <v>130000</v>
      </c>
      <c r="AD494" s="53">
        <f>cadangan[[#This Row],[Qty A]]+cadangan[[#This Row],[Qty B]]+cadangan[[#This Row],[Qty C]]</f>
        <v>4</v>
      </c>
      <c r="AE494" s="73">
        <f>cadangan[[#This Row],[Harga Normal A]]+cadangan[[#This Row],[Harga Normal B]]+cadangan[[#This Row],[Harga Normal C]]</f>
        <v>950000</v>
      </c>
      <c r="AF494" s="73">
        <f>cadangan[[#This Row],[Harga Diskon A]]+cadangan[[#This Row],[Harga Diskon B]]+cadangan[[#This Row],[Harga Diskon C]]</f>
        <v>950000</v>
      </c>
      <c r="AG494" s="73">
        <f>(cadangan[[#This Row],[Profit Normal A]]+cadangan[[#This Row],[Profit Normal B]]+cadangan[[#This Row],[Profit Normal C]])</f>
        <v>330000</v>
      </c>
      <c r="AH494" s="73">
        <f>cadangan[[#This Row],[Profit Diskon A]]+cadangan[[#This Row],[Profit Diskon B]]+cadangan[[#This Row],[Profit Diskon C]]</f>
        <v>330000</v>
      </c>
      <c r="AI494" s="23" t="s">
        <v>290</v>
      </c>
      <c r="AJ494" s="37" t="str">
        <f>IFERROR(INDEX('Kode Diskon'!$D$3:$D$9,MATCH(cadangan[[#This Row],[Kode diskon]],'Kode Diskon'!$C$3:$C$9,0)),"-")</f>
        <v>-</v>
      </c>
      <c r="AK494" s="23" t="s">
        <v>290</v>
      </c>
      <c r="AL494" s="23" t="s">
        <v>14</v>
      </c>
      <c r="AM494" s="23" t="s">
        <v>76</v>
      </c>
      <c r="AN494" s="55">
        <v>45029</v>
      </c>
      <c r="AO494" s="53">
        <f>DAY(cadangan[[#This Row],[Tanggal terjual]])</f>
        <v>13</v>
      </c>
      <c r="AP494" s="21" t="str">
        <f>TEXT(cadangan[[#This Row],[Tanggal terjual]],"dddd")</f>
        <v>Thursday</v>
      </c>
      <c r="AQ494" s="23" t="str" cm="1">
        <f t="array" ref="AQ4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94" s="61">
        <f>AVERAGE(cadangan[[#This Row],[Rating A]],cadangan[[#This Row],[Rating B]],cadangan[[#This Row],[Rating C]])</f>
        <v>3.3333333333333335</v>
      </c>
    </row>
    <row r="495" spans="1:44" x14ac:dyDescent="0.2">
      <c r="A495" s="20">
        <v>494</v>
      </c>
      <c r="B495" s="21" t="str">
        <f>_xlfn.CONCAT("ORD-",INDEX(Helper!$B$2:$B$5,MATCH(cadangan[[#This Row],[Marketplace]],Helper!$A$2:$A$5,0)),TEXT(cadangan[[#This Row],[No]],"0000"),"-",TEXT(cadangan[[#This Row],[Tanggal terjual]],"dd/mm/yy"))</f>
        <v>ORD-BB0494-05/04/23</v>
      </c>
      <c r="C495" s="39" t="s">
        <v>59</v>
      </c>
      <c r="D495" s="39" t="str">
        <f>IFERROR(INDEX(Katalog!$A$3:$A$12,MATCH(cadangan[[#This Row],[ItemID A]],Katalog!$C$3:$C$12,0)),"-")</f>
        <v>Pakaian Wanita</v>
      </c>
      <c r="E495" s="39" t="str">
        <f>IFERROR(INDEX(Katalog!$B$3:$B$12,MATCH(cadangan[[#This Row],[ItemID A]],Katalog!$C$3:$C$12,0)),"-")</f>
        <v>Blouse</v>
      </c>
      <c r="F495" s="50">
        <v>1</v>
      </c>
      <c r="G495" s="50">
        <v>4</v>
      </c>
      <c r="H495" s="73">
        <f>IFERROR(INDEX(Katalog!$D$3:$D$12,MATCH(cadangan[[#This Row],[ItemID A]],Katalog!$C$3:$C$12,0))*cadangan[[#This Row],[Qty A]],0)</f>
        <v>150000</v>
      </c>
      <c r="I495" s="73">
        <f>IFERROR(cadangan[[#This Row],[Harga Normal A]]-(cadangan[[#This Row],[Harga Normal A]]*cadangan[[#This Row],[Diskon]]),cadangan[[#This Row],[Harga Normal A]])</f>
        <v>127500</v>
      </c>
      <c r="J495" s="73">
        <f>INDEX(Katalog!$F$3:$F$12,MATCH(cadangan[[#This Row],[ItemID A]],Katalog!$C$3:$C$12,0))*cadangan[[#This Row],[Qty A]]</f>
        <v>50000</v>
      </c>
      <c r="K495" s="73">
        <f>IFERROR(cadangan[[#This Row],[Harga Diskon A]]-INDEX(Katalog!$E$3:$E$12,MATCH(cadangan[[#This Row],[ItemID A]],Katalog!$C$3:$C$12,0))*cadangan[[#This Row],[Qty A]],0)</f>
        <v>27500</v>
      </c>
      <c r="L495" s="39" t="s">
        <v>61</v>
      </c>
      <c r="M495" s="39" t="str">
        <f>IFERROR(INDEX(Katalog!$A$3:$A$12,MATCH(cadangan[[#This Row],[ItemID B]],Katalog!$C$3:$C$12,0)),"-")</f>
        <v>Pakaian Pria</v>
      </c>
      <c r="N495" s="39" t="str">
        <f>IFERROR(INDEX(Katalog!$B$3:$B$12,MATCH(cadangan[[#This Row],[ItemID B]],Katalog!$C$3:$C$12,0)),"-")</f>
        <v>Kaos Polo</v>
      </c>
      <c r="O495" s="50">
        <v>1</v>
      </c>
      <c r="P495" s="50">
        <v>5</v>
      </c>
      <c r="Q495" s="73">
        <f>IFERROR(INDEX(Katalog!$D$3:$D$12,MATCH(cadangan[[#This Row],[ItemID B]],Katalog!$C$3:$C$12,0))*cadangan[[#This Row],[Qty B]],0)</f>
        <v>200000</v>
      </c>
      <c r="R495" s="73">
        <f>IFERROR(cadangan[[#This Row],[Harga Normal B]]-(cadangan[[#This Row],[Harga Normal B]]*cadangan[[#This Row],[Diskon]]),cadangan[[#This Row],[Harga Normal B]])</f>
        <v>170000</v>
      </c>
      <c r="S495" s="73">
        <f>IFERROR(INDEX(Katalog!$F$3:$F$12,MATCH(cadangan[[#This Row],[ItemID B]],Katalog!$C$3:$C$12,0))*cadangan[[#This Row],[Qty B]],0)</f>
        <v>80000</v>
      </c>
      <c r="T495" s="73">
        <f>IFERROR(cadangan[[#This Row],[Harga Diskon B]]-INDEX(Katalog!$E$3:$E$12,MATCH(cadangan[[#This Row],[ItemID B]],Katalog!$C$3:$C$12,0))*cadangan[[#This Row],[Qty B]],0)</f>
        <v>50000</v>
      </c>
      <c r="U495" s="39" t="s">
        <v>67</v>
      </c>
      <c r="V495" s="39" t="str">
        <f>IFERROR(INDEX(Katalog!$A$3:$A$12,MATCH(cadangan[[#This Row],[ItemID C]],Katalog!$C$3:$C$12,0)),"-")</f>
        <v>Sepatu Wanita</v>
      </c>
      <c r="W495" s="39" t="str">
        <f>IFERROR(INDEX(Katalog!$B$3:$B$12,MATCH(cadangan[[#This Row],[ItemID C]],Katalog!$C$3:$C$12,0)),"-")</f>
        <v>Flat Shoes</v>
      </c>
      <c r="X495" s="50">
        <v>1</v>
      </c>
      <c r="Y495" s="50">
        <v>5</v>
      </c>
      <c r="Z495" s="73">
        <f>IFERROR(INDEX(Katalog!$D$3:$D$12,MATCH(cadangan[[#This Row],[ItemID C]],Katalog!$C$3:$C$12,0))*cadangan[[#This Row],[Qty C]],0)</f>
        <v>250000</v>
      </c>
      <c r="AA495" s="73">
        <f>IFERROR(cadangan[[#This Row],[Harga Normal C]]-(cadangan[[#This Row],[Harga Normal C]]*cadangan[[#This Row],[Diskon]]),cadangan[[#This Row],[Harga Normal C]])</f>
        <v>212500</v>
      </c>
      <c r="AB495" s="73">
        <f>IFERROR(INDEX(Katalog!$F$3:$F$12,MATCH(cadangan[[#This Row],[ItemID C]],Katalog!$C$3:$C$12,0))*cadangan[[#This Row],[Qty C]],0)</f>
        <v>100000</v>
      </c>
      <c r="AC495" s="73">
        <f>IFERROR(cadangan[[#This Row],[Harga Diskon C]]-INDEX(Katalog!$E$3:$E$12,MATCH(cadangan[[#This Row],[ItemID C]],Katalog!$C$3:$C$12,0))*cadangan[[#This Row],[Qty C]],0)</f>
        <v>62500</v>
      </c>
      <c r="AD495" s="53">
        <f>cadangan[[#This Row],[Qty A]]+cadangan[[#This Row],[Qty B]]+cadangan[[#This Row],[Qty C]]</f>
        <v>3</v>
      </c>
      <c r="AE495" s="73">
        <f>cadangan[[#This Row],[Harga Normal A]]+cadangan[[#This Row],[Harga Normal B]]+cadangan[[#This Row],[Harga Normal C]]</f>
        <v>600000</v>
      </c>
      <c r="AF495" s="73">
        <f>cadangan[[#This Row],[Harga Diskon A]]+cadangan[[#This Row],[Harga Diskon B]]+cadangan[[#This Row],[Harga Diskon C]]</f>
        <v>510000</v>
      </c>
      <c r="AG495" s="73">
        <f>(cadangan[[#This Row],[Profit Normal A]]+cadangan[[#This Row],[Profit Normal B]]+cadangan[[#This Row],[Profit Normal C]])</f>
        <v>230000</v>
      </c>
      <c r="AH495" s="73">
        <f>cadangan[[#This Row],[Profit Diskon A]]+cadangan[[#This Row],[Profit Diskon B]]+cadangan[[#This Row],[Profit Diskon C]]</f>
        <v>140000</v>
      </c>
      <c r="AI495" s="23" t="s">
        <v>28</v>
      </c>
      <c r="AJ495" s="37">
        <f>IFERROR(INDEX('Kode Diskon'!$D$3:$D$9,MATCH(cadangan[[#This Row],[Kode diskon]],'Kode Diskon'!$C$3:$C$9,0)),"-")</f>
        <v>0.15</v>
      </c>
      <c r="AK495" s="23" t="s">
        <v>29</v>
      </c>
      <c r="AL495" s="23" t="s">
        <v>14</v>
      </c>
      <c r="AM495" s="23" t="s">
        <v>75</v>
      </c>
      <c r="AN495" s="55">
        <v>45021</v>
      </c>
      <c r="AO495" s="53">
        <f>DAY(cadangan[[#This Row],[Tanggal terjual]])</f>
        <v>5</v>
      </c>
      <c r="AP495" s="21" t="str">
        <f>TEXT(cadangan[[#This Row],[Tanggal terjual]],"dddd")</f>
        <v>Wednesday</v>
      </c>
      <c r="AQ495" s="23" t="str" cm="1">
        <f t="array" ref="AQ4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5" s="61">
        <f>AVERAGE(cadangan[[#This Row],[Rating A]],cadangan[[#This Row],[Rating B]],cadangan[[#This Row],[Rating C]])</f>
        <v>4.666666666666667</v>
      </c>
    </row>
    <row r="496" spans="1:44" x14ac:dyDescent="0.2">
      <c r="A496" s="20">
        <v>495</v>
      </c>
      <c r="B496" s="21" t="str">
        <f>_xlfn.CONCAT("ORD-",INDEX(Helper!$B$2:$B$5,MATCH(cadangan[[#This Row],[Marketplace]],Helper!$A$2:$A$5,0)),TEXT(cadangan[[#This Row],[No]],"0000"),"-",TEXT(cadangan[[#This Row],[Tanggal terjual]],"dd/mm/yy"))</f>
        <v>ORD-SP0495-01/04/23</v>
      </c>
      <c r="C496" s="39" t="s">
        <v>64</v>
      </c>
      <c r="D496" s="39" t="str">
        <f>IFERROR(INDEX(Katalog!$A$3:$A$12,MATCH(cadangan[[#This Row],[ItemID A]],Katalog!$C$3:$C$12,0)),"-")</f>
        <v>Pakaian Unisex</v>
      </c>
      <c r="E496" s="39" t="str">
        <f>IFERROR(INDEX(Katalog!$B$3:$B$12,MATCH(cadangan[[#This Row],[ItemID A]],Katalog!$C$3:$C$12,0)),"-")</f>
        <v>Jaket Hoodie</v>
      </c>
      <c r="F496" s="50">
        <v>1</v>
      </c>
      <c r="G496" s="50">
        <v>5</v>
      </c>
      <c r="H496" s="73">
        <f>IFERROR(INDEX(Katalog!$D$3:$D$12,MATCH(cadangan[[#This Row],[ItemID A]],Katalog!$C$3:$C$12,0))*cadangan[[#This Row],[Qty A]],0)</f>
        <v>350000</v>
      </c>
      <c r="I496" s="73">
        <f>IFERROR(cadangan[[#This Row],[Harga Normal A]]-(cadangan[[#This Row],[Harga Normal A]]*cadangan[[#This Row],[Diskon]]),cadangan[[#This Row],[Harga Normal A]])</f>
        <v>297500</v>
      </c>
      <c r="J496" s="73">
        <f>INDEX(Katalog!$F$3:$F$12,MATCH(cadangan[[#This Row],[ItemID A]],Katalog!$C$3:$C$12,0))*cadangan[[#This Row],[Qty A]]</f>
        <v>130000</v>
      </c>
      <c r="K496" s="73">
        <f>IFERROR(cadangan[[#This Row],[Harga Diskon A]]-INDEX(Katalog!$E$3:$E$12,MATCH(cadangan[[#This Row],[ItemID A]],Katalog!$C$3:$C$12,0))*cadangan[[#This Row],[Qty A]],0)</f>
        <v>77500</v>
      </c>
      <c r="L496" s="39" t="s">
        <v>59</v>
      </c>
      <c r="M496" s="39" t="str">
        <f>IFERROR(INDEX(Katalog!$A$3:$A$12,MATCH(cadangan[[#This Row],[ItemID B]],Katalog!$C$3:$C$12,0)),"-")</f>
        <v>Pakaian Wanita</v>
      </c>
      <c r="N496" s="39" t="str">
        <f>IFERROR(INDEX(Katalog!$B$3:$B$12,MATCH(cadangan[[#This Row],[ItemID B]],Katalog!$C$3:$C$12,0)),"-")</f>
        <v>Blouse</v>
      </c>
      <c r="O496" s="50">
        <v>1</v>
      </c>
      <c r="P496" s="50">
        <v>3</v>
      </c>
      <c r="Q496" s="73">
        <f>IFERROR(INDEX(Katalog!$D$3:$D$12,MATCH(cadangan[[#This Row],[ItemID B]],Katalog!$C$3:$C$12,0))*cadangan[[#This Row],[Qty B]],0)</f>
        <v>150000</v>
      </c>
      <c r="R496" s="73">
        <f>IFERROR(cadangan[[#This Row],[Harga Normal B]]-(cadangan[[#This Row],[Harga Normal B]]*cadangan[[#This Row],[Diskon]]),cadangan[[#This Row],[Harga Normal B]])</f>
        <v>127500</v>
      </c>
      <c r="S496" s="73">
        <f>IFERROR(INDEX(Katalog!$F$3:$F$12,MATCH(cadangan[[#This Row],[ItemID B]],Katalog!$C$3:$C$12,0))*cadangan[[#This Row],[Qty B]],0)</f>
        <v>50000</v>
      </c>
      <c r="T496" s="73">
        <f>IFERROR(cadangan[[#This Row],[Harga Diskon B]]-INDEX(Katalog!$E$3:$E$12,MATCH(cadangan[[#This Row],[ItemID B]],Katalog!$C$3:$C$12,0))*cadangan[[#This Row],[Qty B]],0)</f>
        <v>27500</v>
      </c>
      <c r="U496" s="39" t="s">
        <v>67</v>
      </c>
      <c r="V496" s="39" t="str">
        <f>IFERROR(INDEX(Katalog!$A$3:$A$12,MATCH(cadangan[[#This Row],[ItemID C]],Katalog!$C$3:$C$12,0)),"-")</f>
        <v>Sepatu Wanita</v>
      </c>
      <c r="W496" s="39" t="str">
        <f>IFERROR(INDEX(Katalog!$B$3:$B$12,MATCH(cadangan[[#This Row],[ItemID C]],Katalog!$C$3:$C$12,0)),"-")</f>
        <v>Flat Shoes</v>
      </c>
      <c r="X496" s="50">
        <v>5</v>
      </c>
      <c r="Y496" s="50">
        <v>3</v>
      </c>
      <c r="Z496" s="73">
        <f>IFERROR(INDEX(Katalog!$D$3:$D$12,MATCH(cadangan[[#This Row],[ItemID C]],Katalog!$C$3:$C$12,0))*cadangan[[#This Row],[Qty C]],0)</f>
        <v>1250000</v>
      </c>
      <c r="AA496" s="73">
        <f>IFERROR(cadangan[[#This Row],[Harga Normal C]]-(cadangan[[#This Row],[Harga Normal C]]*cadangan[[#This Row],[Diskon]]),cadangan[[#This Row],[Harga Normal C]])</f>
        <v>1062500</v>
      </c>
      <c r="AB496" s="73">
        <f>IFERROR(INDEX(Katalog!$F$3:$F$12,MATCH(cadangan[[#This Row],[ItemID C]],Katalog!$C$3:$C$12,0))*cadangan[[#This Row],[Qty C]],0)</f>
        <v>500000</v>
      </c>
      <c r="AC496" s="73">
        <f>IFERROR(cadangan[[#This Row],[Harga Diskon C]]-INDEX(Katalog!$E$3:$E$12,MATCH(cadangan[[#This Row],[ItemID C]],Katalog!$C$3:$C$12,0))*cadangan[[#This Row],[Qty C]],0)</f>
        <v>312500</v>
      </c>
      <c r="AD496" s="53">
        <f>cadangan[[#This Row],[Qty A]]+cadangan[[#This Row],[Qty B]]+cadangan[[#This Row],[Qty C]]</f>
        <v>7</v>
      </c>
      <c r="AE496" s="73">
        <f>cadangan[[#This Row],[Harga Normal A]]+cadangan[[#This Row],[Harga Normal B]]+cadangan[[#This Row],[Harga Normal C]]</f>
        <v>1750000</v>
      </c>
      <c r="AF496" s="73">
        <f>cadangan[[#This Row],[Harga Diskon A]]+cadangan[[#This Row],[Harga Diskon B]]+cadangan[[#This Row],[Harga Diskon C]]</f>
        <v>1487500</v>
      </c>
      <c r="AG496" s="73">
        <f>(cadangan[[#This Row],[Profit Normal A]]+cadangan[[#This Row],[Profit Normal B]]+cadangan[[#This Row],[Profit Normal C]])</f>
        <v>680000</v>
      </c>
      <c r="AH496" s="73">
        <f>cadangan[[#This Row],[Profit Diskon A]]+cadangan[[#This Row],[Profit Diskon B]]+cadangan[[#This Row],[Profit Diskon C]]</f>
        <v>417500</v>
      </c>
      <c r="AI496" s="23" t="s">
        <v>13</v>
      </c>
      <c r="AJ496" s="37">
        <f>IFERROR(INDEX('Kode Diskon'!$D$3:$D$9,MATCH(cadangan[[#This Row],[Kode diskon]],'Kode Diskon'!$C$3:$C$9,0)),"-")</f>
        <v>0.15</v>
      </c>
      <c r="AK496" s="23" t="s">
        <v>29</v>
      </c>
      <c r="AL496" s="23" t="s">
        <v>7</v>
      </c>
      <c r="AM496" s="23" t="s">
        <v>80</v>
      </c>
      <c r="AN496" s="55">
        <v>45017</v>
      </c>
      <c r="AO496" s="53">
        <f>DAY(cadangan[[#This Row],[Tanggal terjual]])</f>
        <v>1</v>
      </c>
      <c r="AP496" s="21" t="str">
        <f>TEXT(cadangan[[#This Row],[Tanggal terjual]],"dddd")</f>
        <v>Saturday</v>
      </c>
      <c r="AQ496" s="23" t="str" cm="1">
        <f t="array" ref="AQ4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496" s="61">
        <f>AVERAGE(cadangan[[#This Row],[Rating A]],cadangan[[#This Row],[Rating B]],cadangan[[#This Row],[Rating C]])</f>
        <v>3.6666666666666665</v>
      </c>
    </row>
    <row r="497" spans="1:44" x14ac:dyDescent="0.2">
      <c r="A497" s="20">
        <v>496</v>
      </c>
      <c r="B497" s="21" t="str">
        <f>_xlfn.CONCAT("ORD-",INDEX(Helper!$B$2:$B$5,MATCH(cadangan[[#This Row],[Marketplace]],Helper!$A$2:$A$5,0)),TEXT(cadangan[[#This Row],[No]],"0000"),"-",TEXT(cadangan[[#This Row],[Tanggal terjual]],"dd/mm/yy"))</f>
        <v>ORD-TK0496-10/04/23</v>
      </c>
      <c r="C497" s="39" t="s">
        <v>58</v>
      </c>
      <c r="D497" s="39" t="str">
        <f>IFERROR(INDEX(Katalog!$A$3:$A$12,MATCH(cadangan[[#This Row],[ItemID A]],Katalog!$C$3:$C$12,0)),"-")</f>
        <v>Pakaian Wanita</v>
      </c>
      <c r="E497" s="39" t="str">
        <f>IFERROR(INDEX(Katalog!$B$3:$B$12,MATCH(cadangan[[#This Row],[ItemID A]],Katalog!$C$3:$C$12,0)),"-")</f>
        <v>Dress</v>
      </c>
      <c r="F497" s="50">
        <v>3</v>
      </c>
      <c r="G497" s="50">
        <v>3</v>
      </c>
      <c r="H497" s="73">
        <f>IFERROR(INDEX(Katalog!$D$3:$D$12,MATCH(cadangan[[#This Row],[ItemID A]],Katalog!$C$3:$C$12,0))*cadangan[[#This Row],[Qty A]],0)</f>
        <v>900000</v>
      </c>
      <c r="I497" s="73">
        <f>IFERROR(cadangan[[#This Row],[Harga Normal A]]-(cadangan[[#This Row],[Harga Normal A]]*cadangan[[#This Row],[Diskon]]),cadangan[[#This Row],[Harga Normal A]])</f>
        <v>900000</v>
      </c>
      <c r="J497" s="73">
        <f>INDEX(Katalog!$F$3:$F$12,MATCH(cadangan[[#This Row],[ItemID A]],Katalog!$C$3:$C$12,0))*cadangan[[#This Row],[Qty A]]</f>
        <v>300000</v>
      </c>
      <c r="K497" s="73">
        <f>IFERROR(cadangan[[#This Row],[Harga Diskon A]]-INDEX(Katalog!$E$3:$E$12,MATCH(cadangan[[#This Row],[ItemID A]],Katalog!$C$3:$C$12,0))*cadangan[[#This Row],[Qty A]],0)</f>
        <v>300000</v>
      </c>
      <c r="L497" s="39" t="s">
        <v>59</v>
      </c>
      <c r="M497" s="39" t="str">
        <f>IFERROR(INDEX(Katalog!$A$3:$A$12,MATCH(cadangan[[#This Row],[ItemID B]],Katalog!$C$3:$C$12,0)),"-")</f>
        <v>Pakaian Wanita</v>
      </c>
      <c r="N497" s="39" t="str">
        <f>IFERROR(INDEX(Katalog!$B$3:$B$12,MATCH(cadangan[[#This Row],[ItemID B]],Katalog!$C$3:$C$12,0)),"-")</f>
        <v>Blouse</v>
      </c>
      <c r="O497" s="50">
        <v>1</v>
      </c>
      <c r="P497" s="50">
        <v>1</v>
      </c>
      <c r="Q497" s="73">
        <f>IFERROR(INDEX(Katalog!$D$3:$D$12,MATCH(cadangan[[#This Row],[ItemID B]],Katalog!$C$3:$C$12,0))*cadangan[[#This Row],[Qty B]],0)</f>
        <v>150000</v>
      </c>
      <c r="R497" s="73">
        <f>IFERROR(cadangan[[#This Row],[Harga Normal B]]-(cadangan[[#This Row],[Harga Normal B]]*cadangan[[#This Row],[Diskon]]),cadangan[[#This Row],[Harga Normal B]])</f>
        <v>150000</v>
      </c>
      <c r="S497" s="73">
        <f>IFERROR(INDEX(Katalog!$F$3:$F$12,MATCH(cadangan[[#This Row],[ItemID B]],Katalog!$C$3:$C$12,0))*cadangan[[#This Row],[Qty B]],0)</f>
        <v>50000</v>
      </c>
      <c r="T497" s="73">
        <f>IFERROR(cadangan[[#This Row],[Harga Diskon B]]-INDEX(Katalog!$E$3:$E$12,MATCH(cadangan[[#This Row],[ItemID B]],Katalog!$C$3:$C$12,0))*cadangan[[#This Row],[Qty B]],0)</f>
        <v>50000</v>
      </c>
      <c r="U497" s="39" t="s">
        <v>67</v>
      </c>
      <c r="V497" s="39" t="str">
        <f>IFERROR(INDEX(Katalog!$A$3:$A$12,MATCH(cadangan[[#This Row],[ItemID C]],Katalog!$C$3:$C$12,0)),"-")</f>
        <v>Sepatu Wanita</v>
      </c>
      <c r="W497" s="39" t="str">
        <f>IFERROR(INDEX(Katalog!$B$3:$B$12,MATCH(cadangan[[#This Row],[ItemID C]],Katalog!$C$3:$C$12,0)),"-")</f>
        <v>Flat Shoes</v>
      </c>
      <c r="X497" s="50">
        <v>3</v>
      </c>
      <c r="Y497" s="50">
        <v>1</v>
      </c>
      <c r="Z497" s="73">
        <f>IFERROR(INDEX(Katalog!$D$3:$D$12,MATCH(cadangan[[#This Row],[ItemID C]],Katalog!$C$3:$C$12,0))*cadangan[[#This Row],[Qty C]],0)</f>
        <v>750000</v>
      </c>
      <c r="AA497" s="73">
        <f>IFERROR(cadangan[[#This Row],[Harga Normal C]]-(cadangan[[#This Row],[Harga Normal C]]*cadangan[[#This Row],[Diskon]]),cadangan[[#This Row],[Harga Normal C]])</f>
        <v>750000</v>
      </c>
      <c r="AB497" s="73">
        <f>IFERROR(INDEX(Katalog!$F$3:$F$12,MATCH(cadangan[[#This Row],[ItemID C]],Katalog!$C$3:$C$12,0))*cadangan[[#This Row],[Qty C]],0)</f>
        <v>300000</v>
      </c>
      <c r="AC497" s="73">
        <f>IFERROR(cadangan[[#This Row],[Harga Diskon C]]-INDEX(Katalog!$E$3:$E$12,MATCH(cadangan[[#This Row],[ItemID C]],Katalog!$C$3:$C$12,0))*cadangan[[#This Row],[Qty C]],0)</f>
        <v>300000</v>
      </c>
      <c r="AD497" s="53">
        <f>cadangan[[#This Row],[Qty A]]+cadangan[[#This Row],[Qty B]]+cadangan[[#This Row],[Qty C]]</f>
        <v>7</v>
      </c>
      <c r="AE497" s="73">
        <f>cadangan[[#This Row],[Harga Normal A]]+cadangan[[#This Row],[Harga Normal B]]+cadangan[[#This Row],[Harga Normal C]]</f>
        <v>1800000</v>
      </c>
      <c r="AF497" s="73">
        <f>cadangan[[#This Row],[Harga Diskon A]]+cadangan[[#This Row],[Harga Diskon B]]+cadangan[[#This Row],[Harga Diskon C]]</f>
        <v>1800000</v>
      </c>
      <c r="AG497" s="73">
        <f>(cadangan[[#This Row],[Profit Normal A]]+cadangan[[#This Row],[Profit Normal B]]+cadangan[[#This Row],[Profit Normal C]])</f>
        <v>650000</v>
      </c>
      <c r="AH497" s="73">
        <f>cadangan[[#This Row],[Profit Diskon A]]+cadangan[[#This Row],[Profit Diskon B]]+cadangan[[#This Row],[Profit Diskon C]]</f>
        <v>650000</v>
      </c>
      <c r="AI497" s="23" t="s">
        <v>290</v>
      </c>
      <c r="AJ497" s="37" t="str">
        <f>IFERROR(INDEX('Kode Diskon'!$D$3:$D$9,MATCH(cadangan[[#This Row],[Kode diskon]],'Kode Diskon'!$C$3:$C$9,0)),"-")</f>
        <v>-</v>
      </c>
      <c r="AK497" s="23" t="s">
        <v>290</v>
      </c>
      <c r="AL497" s="23" t="s">
        <v>10</v>
      </c>
      <c r="AM497" s="23" t="s">
        <v>79</v>
      </c>
      <c r="AN497" s="55">
        <v>45026</v>
      </c>
      <c r="AO497" s="53">
        <f>DAY(cadangan[[#This Row],[Tanggal terjual]])</f>
        <v>10</v>
      </c>
      <c r="AP497" s="21" t="str">
        <f>TEXT(cadangan[[#This Row],[Tanggal terjual]],"dddd")</f>
        <v>Monday</v>
      </c>
      <c r="AQ497" s="23" t="str" cm="1">
        <f t="array" ref="AQ4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97" s="61">
        <f>AVERAGE(cadangan[[#This Row],[Rating A]],cadangan[[#This Row],[Rating B]],cadangan[[#This Row],[Rating C]])</f>
        <v>1.6666666666666667</v>
      </c>
    </row>
    <row r="498" spans="1:44" x14ac:dyDescent="0.2">
      <c r="A498" s="20">
        <v>497</v>
      </c>
      <c r="B498" s="21" t="str">
        <f>_xlfn.CONCAT("ORD-",INDEX(Helper!$B$2:$B$5,MATCH(cadangan[[#This Row],[Marketplace]],Helper!$A$2:$A$5,0)),TEXT(cadangan[[#This Row],[No]],"0000"),"-",TEXT(cadangan[[#This Row],[Tanggal terjual]],"dd/mm/yy"))</f>
        <v>ORD-TK0497-24/04/23</v>
      </c>
      <c r="C498" s="39" t="s">
        <v>63</v>
      </c>
      <c r="D498" s="39" t="str">
        <f>IFERROR(INDEX(Katalog!$A$3:$A$12,MATCH(cadangan[[#This Row],[ItemID A]],Katalog!$C$3:$C$12,0)),"-")</f>
        <v>Pakaian Pria</v>
      </c>
      <c r="E498" s="39" t="str">
        <f>IFERROR(INDEX(Katalog!$B$3:$B$12,MATCH(cadangan[[#This Row],[ItemID A]],Katalog!$C$3:$C$12,0)),"-")</f>
        <v>Jaket Jeans</v>
      </c>
      <c r="F498" s="50">
        <v>3</v>
      </c>
      <c r="G498" s="50">
        <v>3</v>
      </c>
      <c r="H498" s="73">
        <f>IFERROR(INDEX(Katalog!$D$3:$D$12,MATCH(cadangan[[#This Row],[ItemID A]],Katalog!$C$3:$C$12,0))*cadangan[[#This Row],[Qty A]],0)</f>
        <v>1200000</v>
      </c>
      <c r="I498" s="73">
        <f>IFERROR(cadangan[[#This Row],[Harga Normal A]]-(cadangan[[#This Row],[Harga Normal A]]*cadangan[[#This Row],[Diskon]]),cadangan[[#This Row],[Harga Normal A]])</f>
        <v>1080000</v>
      </c>
      <c r="J498" s="73">
        <f>INDEX(Katalog!$F$3:$F$12,MATCH(cadangan[[#This Row],[ItemID A]],Katalog!$C$3:$C$12,0))*cadangan[[#This Row],[Qty A]]</f>
        <v>450000</v>
      </c>
      <c r="K498" s="73">
        <f>IFERROR(cadangan[[#This Row],[Harga Diskon A]]-INDEX(Katalog!$E$3:$E$12,MATCH(cadangan[[#This Row],[ItemID A]],Katalog!$C$3:$C$12,0))*cadangan[[#This Row],[Qty A]],0)</f>
        <v>330000</v>
      </c>
      <c r="M498" s="39" t="str">
        <f>IFERROR(INDEX(Katalog!$A$3:$A$12,MATCH(cadangan[[#This Row],[ItemID B]],Katalog!$C$3:$C$12,0)),"-")</f>
        <v>-</v>
      </c>
      <c r="N498" s="39" t="str">
        <f>IFERROR(INDEX(Katalog!$B$3:$B$12,MATCH(cadangan[[#This Row],[ItemID B]],Katalog!$C$3:$C$12,0)),"-")</f>
        <v>-</v>
      </c>
      <c r="Q498" s="73">
        <f>IFERROR(INDEX(Katalog!$D$3:$D$12,MATCH(cadangan[[#This Row],[ItemID B]],Katalog!$C$3:$C$12,0))*cadangan[[#This Row],[Qty B]],0)</f>
        <v>0</v>
      </c>
      <c r="R498" s="73">
        <f>IFERROR(cadangan[[#This Row],[Harga Normal B]]-(cadangan[[#This Row],[Harga Normal B]]*cadangan[[#This Row],[Diskon]]),cadangan[[#This Row],[Harga Normal B]])</f>
        <v>0</v>
      </c>
      <c r="S498" s="73">
        <f>IFERROR(INDEX(Katalog!$F$3:$F$12,MATCH(cadangan[[#This Row],[ItemID B]],Katalog!$C$3:$C$12,0))*cadangan[[#This Row],[Qty B]],0)</f>
        <v>0</v>
      </c>
      <c r="T498" s="73">
        <f>IFERROR(cadangan[[#This Row],[Harga Diskon B]]-INDEX(Katalog!$E$3:$E$12,MATCH(cadangan[[#This Row],[ItemID B]],Katalog!$C$3:$C$12,0))*cadangan[[#This Row],[Qty B]],0)</f>
        <v>0</v>
      </c>
      <c r="V498" s="39" t="str">
        <f>IFERROR(INDEX(Katalog!$A$3:$A$12,MATCH(cadangan[[#This Row],[ItemID C]],Katalog!$C$3:$C$12,0)),"-")</f>
        <v>-</v>
      </c>
      <c r="W498" s="39" t="str">
        <f>IFERROR(INDEX(Katalog!$B$3:$B$12,MATCH(cadangan[[#This Row],[ItemID C]],Katalog!$C$3:$C$12,0)),"-")</f>
        <v>-</v>
      </c>
      <c r="Z498" s="73">
        <f>IFERROR(INDEX(Katalog!$D$3:$D$12,MATCH(cadangan[[#This Row],[ItemID C]],Katalog!$C$3:$C$12,0))*cadangan[[#This Row],[Qty C]],0)</f>
        <v>0</v>
      </c>
      <c r="AA498" s="73">
        <f>IFERROR(cadangan[[#This Row],[Harga Normal C]]-(cadangan[[#This Row],[Harga Normal C]]*cadangan[[#This Row],[Diskon]]),cadangan[[#This Row],[Harga Normal C]])</f>
        <v>0</v>
      </c>
      <c r="AB498" s="73">
        <f>IFERROR(INDEX(Katalog!$F$3:$F$12,MATCH(cadangan[[#This Row],[ItemID C]],Katalog!$C$3:$C$12,0))*cadangan[[#This Row],[Qty C]],0)</f>
        <v>0</v>
      </c>
      <c r="AC498" s="73">
        <f>IFERROR(cadangan[[#This Row],[Harga Diskon C]]-INDEX(Katalog!$E$3:$E$12,MATCH(cadangan[[#This Row],[ItemID C]],Katalog!$C$3:$C$12,0))*cadangan[[#This Row],[Qty C]],0)</f>
        <v>0</v>
      </c>
      <c r="AD498" s="53">
        <f>cadangan[[#This Row],[Qty A]]+cadangan[[#This Row],[Qty B]]+cadangan[[#This Row],[Qty C]]</f>
        <v>3</v>
      </c>
      <c r="AE498" s="73">
        <f>cadangan[[#This Row],[Harga Normal A]]+cadangan[[#This Row],[Harga Normal B]]+cadangan[[#This Row],[Harga Normal C]]</f>
        <v>1200000</v>
      </c>
      <c r="AF498" s="73">
        <f>cadangan[[#This Row],[Harga Diskon A]]+cadangan[[#This Row],[Harga Diskon B]]+cadangan[[#This Row],[Harga Diskon C]]</f>
        <v>1080000</v>
      </c>
      <c r="AG498" s="73">
        <f>(cadangan[[#This Row],[Profit Normal A]]+cadangan[[#This Row],[Profit Normal B]]+cadangan[[#This Row],[Profit Normal C]])</f>
        <v>450000</v>
      </c>
      <c r="AH498" s="73">
        <f>cadangan[[#This Row],[Profit Diskon A]]+cadangan[[#This Row],[Profit Diskon B]]+cadangan[[#This Row],[Profit Diskon C]]</f>
        <v>330000</v>
      </c>
      <c r="AI498" s="23" t="s">
        <v>31</v>
      </c>
      <c r="AJ498" s="37">
        <f>IFERROR(INDEX('Kode Diskon'!$D$3:$D$9,MATCH(cadangan[[#This Row],[Kode diskon]],'Kode Diskon'!$C$3:$C$9,0)),"-")</f>
        <v>0.1</v>
      </c>
      <c r="AK498" s="23" t="s">
        <v>9</v>
      </c>
      <c r="AL498" s="23" t="s">
        <v>10</v>
      </c>
      <c r="AM498" s="23" t="s">
        <v>75</v>
      </c>
      <c r="AN498" s="55">
        <v>45040</v>
      </c>
      <c r="AO498" s="53">
        <f>DAY(cadangan[[#This Row],[Tanggal terjual]])</f>
        <v>24</v>
      </c>
      <c r="AP498" s="21" t="str">
        <f>TEXT(cadangan[[#This Row],[Tanggal terjual]],"dddd")</f>
        <v>Monday</v>
      </c>
      <c r="AQ498" s="23" t="str" cm="1">
        <f t="array" ref="AQ4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498" s="61">
        <f>AVERAGE(cadangan[[#This Row],[Rating A]],cadangan[[#This Row],[Rating B]],cadangan[[#This Row],[Rating C]])</f>
        <v>3</v>
      </c>
    </row>
    <row r="499" spans="1:44" x14ac:dyDescent="0.2">
      <c r="A499" s="20">
        <v>498</v>
      </c>
      <c r="B499" s="21" t="str">
        <f>_xlfn.CONCAT("ORD-",INDEX(Helper!$B$2:$B$5,MATCH(cadangan[[#This Row],[Marketplace]],Helper!$A$2:$A$5,0)),TEXT(cadangan[[#This Row],[No]],"0000"),"-",TEXT(cadangan[[#This Row],[Tanggal terjual]],"dd/mm/yy"))</f>
        <v>ORD-TK0498-11/04/23</v>
      </c>
      <c r="C499" s="39" t="s">
        <v>63</v>
      </c>
      <c r="D499" s="39" t="str">
        <f>IFERROR(INDEX(Katalog!$A$3:$A$12,MATCH(cadangan[[#This Row],[ItemID A]],Katalog!$C$3:$C$12,0)),"-")</f>
        <v>Pakaian Pria</v>
      </c>
      <c r="E499" s="39" t="str">
        <f>IFERROR(INDEX(Katalog!$B$3:$B$12,MATCH(cadangan[[#This Row],[ItemID A]],Katalog!$C$3:$C$12,0)),"-")</f>
        <v>Jaket Jeans</v>
      </c>
      <c r="F499" s="50">
        <v>4</v>
      </c>
      <c r="G499" s="50">
        <v>5</v>
      </c>
      <c r="H499" s="73">
        <f>IFERROR(INDEX(Katalog!$D$3:$D$12,MATCH(cadangan[[#This Row],[ItemID A]],Katalog!$C$3:$C$12,0))*cadangan[[#This Row],[Qty A]],0)</f>
        <v>1600000</v>
      </c>
      <c r="I499" s="73">
        <f>IFERROR(cadangan[[#This Row],[Harga Normal A]]-(cadangan[[#This Row],[Harga Normal A]]*cadangan[[#This Row],[Diskon]]),cadangan[[#This Row],[Harga Normal A]])</f>
        <v>1600000</v>
      </c>
      <c r="J499" s="73">
        <f>INDEX(Katalog!$F$3:$F$12,MATCH(cadangan[[#This Row],[ItemID A]],Katalog!$C$3:$C$12,0))*cadangan[[#This Row],[Qty A]]</f>
        <v>600000</v>
      </c>
      <c r="K499" s="73">
        <f>IFERROR(cadangan[[#This Row],[Harga Diskon A]]-INDEX(Katalog!$E$3:$E$12,MATCH(cadangan[[#This Row],[ItemID A]],Katalog!$C$3:$C$12,0))*cadangan[[#This Row],[Qty A]],0)</f>
        <v>600000</v>
      </c>
      <c r="L499" s="39" t="s">
        <v>61</v>
      </c>
      <c r="M499" s="39" t="str">
        <f>IFERROR(INDEX(Katalog!$A$3:$A$12,MATCH(cadangan[[#This Row],[ItemID B]],Katalog!$C$3:$C$12,0)),"-")</f>
        <v>Pakaian Pria</v>
      </c>
      <c r="N499" s="39" t="str">
        <f>IFERROR(INDEX(Katalog!$B$3:$B$12,MATCH(cadangan[[#This Row],[ItemID B]],Katalog!$C$3:$C$12,0)),"-")</f>
        <v>Kaos Polo</v>
      </c>
      <c r="O499" s="50">
        <v>2</v>
      </c>
      <c r="P499" s="50">
        <v>4</v>
      </c>
      <c r="Q499" s="73">
        <f>IFERROR(INDEX(Katalog!$D$3:$D$12,MATCH(cadangan[[#This Row],[ItemID B]],Katalog!$C$3:$C$12,0))*cadangan[[#This Row],[Qty B]],0)</f>
        <v>400000</v>
      </c>
      <c r="R499" s="73">
        <f>IFERROR(cadangan[[#This Row],[Harga Normal B]]-(cadangan[[#This Row],[Harga Normal B]]*cadangan[[#This Row],[Diskon]]),cadangan[[#This Row],[Harga Normal B]])</f>
        <v>400000</v>
      </c>
      <c r="S499" s="73">
        <f>IFERROR(INDEX(Katalog!$F$3:$F$12,MATCH(cadangan[[#This Row],[ItemID B]],Katalog!$C$3:$C$12,0))*cadangan[[#This Row],[Qty B]],0)</f>
        <v>160000</v>
      </c>
      <c r="T499" s="73">
        <f>IFERROR(cadangan[[#This Row],[Harga Diskon B]]-INDEX(Katalog!$E$3:$E$12,MATCH(cadangan[[#This Row],[ItemID B]],Katalog!$C$3:$C$12,0))*cadangan[[#This Row],[Qty B]],0)</f>
        <v>160000</v>
      </c>
      <c r="V499" s="39" t="str">
        <f>IFERROR(INDEX(Katalog!$A$3:$A$12,MATCH(cadangan[[#This Row],[ItemID C]],Katalog!$C$3:$C$12,0)),"-")</f>
        <v>-</v>
      </c>
      <c r="W499" s="39" t="str">
        <f>IFERROR(INDEX(Katalog!$B$3:$B$12,MATCH(cadangan[[#This Row],[ItemID C]],Katalog!$C$3:$C$12,0)),"-")</f>
        <v>-</v>
      </c>
      <c r="Z499" s="73">
        <f>IFERROR(INDEX(Katalog!$D$3:$D$12,MATCH(cadangan[[#This Row],[ItemID C]],Katalog!$C$3:$C$12,0))*cadangan[[#This Row],[Qty C]],0)</f>
        <v>0</v>
      </c>
      <c r="AA499" s="73">
        <f>IFERROR(cadangan[[#This Row],[Harga Normal C]]-(cadangan[[#This Row],[Harga Normal C]]*cadangan[[#This Row],[Diskon]]),cadangan[[#This Row],[Harga Normal C]])</f>
        <v>0</v>
      </c>
      <c r="AB499" s="73">
        <f>IFERROR(INDEX(Katalog!$F$3:$F$12,MATCH(cadangan[[#This Row],[ItemID C]],Katalog!$C$3:$C$12,0))*cadangan[[#This Row],[Qty C]],0)</f>
        <v>0</v>
      </c>
      <c r="AC499" s="73">
        <f>IFERROR(cadangan[[#This Row],[Harga Diskon C]]-INDEX(Katalog!$E$3:$E$12,MATCH(cadangan[[#This Row],[ItemID C]],Katalog!$C$3:$C$12,0))*cadangan[[#This Row],[Qty C]],0)</f>
        <v>0</v>
      </c>
      <c r="AD499" s="53">
        <f>cadangan[[#This Row],[Qty A]]+cadangan[[#This Row],[Qty B]]+cadangan[[#This Row],[Qty C]]</f>
        <v>6</v>
      </c>
      <c r="AE499" s="73">
        <f>cadangan[[#This Row],[Harga Normal A]]+cadangan[[#This Row],[Harga Normal B]]+cadangan[[#This Row],[Harga Normal C]]</f>
        <v>2000000</v>
      </c>
      <c r="AF499" s="73">
        <f>cadangan[[#This Row],[Harga Diskon A]]+cadangan[[#This Row],[Harga Diskon B]]+cadangan[[#This Row],[Harga Diskon C]]</f>
        <v>2000000</v>
      </c>
      <c r="AG499" s="73">
        <f>(cadangan[[#This Row],[Profit Normal A]]+cadangan[[#This Row],[Profit Normal B]]+cadangan[[#This Row],[Profit Normal C]])</f>
        <v>760000</v>
      </c>
      <c r="AH499" s="73">
        <f>cadangan[[#This Row],[Profit Diskon A]]+cadangan[[#This Row],[Profit Diskon B]]+cadangan[[#This Row],[Profit Diskon C]]</f>
        <v>760000</v>
      </c>
      <c r="AI499" s="23" t="s">
        <v>290</v>
      </c>
      <c r="AJ499" s="37" t="str">
        <f>IFERROR(INDEX('Kode Diskon'!$D$3:$D$9,MATCH(cadangan[[#This Row],[Kode diskon]],'Kode Diskon'!$C$3:$C$9,0)),"-")</f>
        <v>-</v>
      </c>
      <c r="AK499" s="23" t="s">
        <v>290</v>
      </c>
      <c r="AL499" s="23" t="s">
        <v>10</v>
      </c>
      <c r="AM499" s="23" t="s">
        <v>80</v>
      </c>
      <c r="AN499" s="55">
        <v>45027</v>
      </c>
      <c r="AO499" s="53">
        <f>DAY(cadangan[[#This Row],[Tanggal terjual]])</f>
        <v>11</v>
      </c>
      <c r="AP499" s="21" t="str">
        <f>TEXT(cadangan[[#This Row],[Tanggal terjual]],"dddd")</f>
        <v>Tuesday</v>
      </c>
      <c r="AQ499" s="23" t="str" cm="1">
        <f t="array" ref="AQ4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499" s="61">
        <f>AVERAGE(cadangan[[#This Row],[Rating A]],cadangan[[#This Row],[Rating B]],cadangan[[#This Row],[Rating C]])</f>
        <v>4.5</v>
      </c>
    </row>
    <row r="500" spans="1:44" x14ac:dyDescent="0.2">
      <c r="A500" s="20">
        <v>499</v>
      </c>
      <c r="B500" s="21" t="str">
        <f>_xlfn.CONCAT("ORD-",INDEX(Helper!$B$2:$B$5,MATCH(cadangan[[#This Row],[Marketplace]],Helper!$A$2:$A$5,0)),TEXT(cadangan[[#This Row],[No]],"0000"),"-",TEXT(cadangan[[#This Row],[Tanggal terjual]],"dd/mm/yy"))</f>
        <v>ORD-TK0499-04/04/23</v>
      </c>
      <c r="C500" s="39" t="s">
        <v>67</v>
      </c>
      <c r="D500" s="39" t="str">
        <f>IFERROR(INDEX(Katalog!$A$3:$A$12,MATCH(cadangan[[#This Row],[ItemID A]],Katalog!$C$3:$C$12,0)),"-")</f>
        <v>Sepatu Wanita</v>
      </c>
      <c r="E500" s="39" t="str">
        <f>IFERROR(INDEX(Katalog!$B$3:$B$12,MATCH(cadangan[[#This Row],[ItemID A]],Katalog!$C$3:$C$12,0)),"-")</f>
        <v>Flat Shoes</v>
      </c>
      <c r="F500" s="50">
        <v>2</v>
      </c>
      <c r="G500" s="50">
        <v>4</v>
      </c>
      <c r="H500" s="73">
        <f>IFERROR(INDEX(Katalog!$D$3:$D$12,MATCH(cadangan[[#This Row],[ItemID A]],Katalog!$C$3:$C$12,0))*cadangan[[#This Row],[Qty A]],0)</f>
        <v>500000</v>
      </c>
      <c r="I500" s="73">
        <f>IFERROR(cadangan[[#This Row],[Harga Normal A]]-(cadangan[[#This Row],[Harga Normal A]]*cadangan[[#This Row],[Diskon]]),cadangan[[#This Row],[Harga Normal A]])</f>
        <v>450000</v>
      </c>
      <c r="J500" s="73">
        <f>INDEX(Katalog!$F$3:$F$12,MATCH(cadangan[[#This Row],[ItemID A]],Katalog!$C$3:$C$12,0))*cadangan[[#This Row],[Qty A]]</f>
        <v>200000</v>
      </c>
      <c r="K500" s="73">
        <f>IFERROR(cadangan[[#This Row],[Harga Diskon A]]-INDEX(Katalog!$E$3:$E$12,MATCH(cadangan[[#This Row],[ItemID A]],Katalog!$C$3:$C$12,0))*cadangan[[#This Row],[Qty A]],0)</f>
        <v>150000</v>
      </c>
      <c r="L500" s="39" t="s">
        <v>61</v>
      </c>
      <c r="M500" s="39" t="str">
        <f>IFERROR(INDEX(Katalog!$A$3:$A$12,MATCH(cadangan[[#This Row],[ItemID B]],Katalog!$C$3:$C$12,0)),"-")</f>
        <v>Pakaian Pria</v>
      </c>
      <c r="N500" s="39" t="str">
        <f>IFERROR(INDEX(Katalog!$B$3:$B$12,MATCH(cadangan[[#This Row],[ItemID B]],Katalog!$C$3:$C$12,0)),"-")</f>
        <v>Kaos Polo</v>
      </c>
      <c r="O500" s="50">
        <v>1</v>
      </c>
      <c r="P500" s="50">
        <v>5</v>
      </c>
      <c r="Q500" s="73">
        <f>IFERROR(INDEX(Katalog!$D$3:$D$12,MATCH(cadangan[[#This Row],[ItemID B]],Katalog!$C$3:$C$12,0))*cadangan[[#This Row],[Qty B]],0)</f>
        <v>200000</v>
      </c>
      <c r="R500" s="73">
        <f>IFERROR(cadangan[[#This Row],[Harga Normal B]]-(cadangan[[#This Row],[Harga Normal B]]*cadangan[[#This Row],[Diskon]]),cadangan[[#This Row],[Harga Normal B]])</f>
        <v>180000</v>
      </c>
      <c r="S500" s="73">
        <f>IFERROR(INDEX(Katalog!$F$3:$F$12,MATCH(cadangan[[#This Row],[ItemID B]],Katalog!$C$3:$C$12,0))*cadangan[[#This Row],[Qty B]],0)</f>
        <v>80000</v>
      </c>
      <c r="T500" s="73">
        <f>IFERROR(cadangan[[#This Row],[Harga Diskon B]]-INDEX(Katalog!$E$3:$E$12,MATCH(cadangan[[#This Row],[ItemID B]],Katalog!$C$3:$C$12,0))*cadangan[[#This Row],[Qty B]],0)</f>
        <v>60000</v>
      </c>
      <c r="V500" s="39" t="str">
        <f>IFERROR(INDEX(Katalog!$A$3:$A$12,MATCH(cadangan[[#This Row],[ItemID C]],Katalog!$C$3:$C$12,0)),"-")</f>
        <v>-</v>
      </c>
      <c r="W500" s="39" t="str">
        <f>IFERROR(INDEX(Katalog!$B$3:$B$12,MATCH(cadangan[[#This Row],[ItemID C]],Katalog!$C$3:$C$12,0)),"-")</f>
        <v>-</v>
      </c>
      <c r="Z500" s="73">
        <f>IFERROR(INDEX(Katalog!$D$3:$D$12,MATCH(cadangan[[#This Row],[ItemID C]],Katalog!$C$3:$C$12,0))*cadangan[[#This Row],[Qty C]],0)</f>
        <v>0</v>
      </c>
      <c r="AA500" s="73">
        <f>IFERROR(cadangan[[#This Row],[Harga Normal C]]-(cadangan[[#This Row],[Harga Normal C]]*cadangan[[#This Row],[Diskon]]),cadangan[[#This Row],[Harga Normal C]])</f>
        <v>0</v>
      </c>
      <c r="AB500" s="73">
        <f>IFERROR(INDEX(Katalog!$F$3:$F$12,MATCH(cadangan[[#This Row],[ItemID C]],Katalog!$C$3:$C$12,0))*cadangan[[#This Row],[Qty C]],0)</f>
        <v>0</v>
      </c>
      <c r="AC500" s="73">
        <f>IFERROR(cadangan[[#This Row],[Harga Diskon C]]-INDEX(Katalog!$E$3:$E$12,MATCH(cadangan[[#This Row],[ItemID C]],Katalog!$C$3:$C$12,0))*cadangan[[#This Row],[Qty C]],0)</f>
        <v>0</v>
      </c>
      <c r="AD500" s="53">
        <f>cadangan[[#This Row],[Qty A]]+cadangan[[#This Row],[Qty B]]+cadangan[[#This Row],[Qty C]]</f>
        <v>3</v>
      </c>
      <c r="AE500" s="73">
        <f>cadangan[[#This Row],[Harga Normal A]]+cadangan[[#This Row],[Harga Normal B]]+cadangan[[#This Row],[Harga Normal C]]</f>
        <v>700000</v>
      </c>
      <c r="AF500" s="73">
        <f>cadangan[[#This Row],[Harga Diskon A]]+cadangan[[#This Row],[Harga Diskon B]]+cadangan[[#This Row],[Harga Diskon C]]</f>
        <v>630000</v>
      </c>
      <c r="AG500" s="73">
        <f>(cadangan[[#This Row],[Profit Normal A]]+cadangan[[#This Row],[Profit Normal B]]+cadangan[[#This Row],[Profit Normal C]])</f>
        <v>280000</v>
      </c>
      <c r="AH500" s="73">
        <f>cadangan[[#This Row],[Profit Diskon A]]+cadangan[[#This Row],[Profit Diskon B]]+cadangan[[#This Row],[Profit Diskon C]]</f>
        <v>210000</v>
      </c>
      <c r="AI500" s="23" t="s">
        <v>30</v>
      </c>
      <c r="AJ500" s="37">
        <f>IFERROR(INDEX('Kode Diskon'!$D$3:$D$9,MATCH(cadangan[[#This Row],[Kode diskon]],'Kode Diskon'!$C$3:$C$9,0)),"-")</f>
        <v>0.1</v>
      </c>
      <c r="AK500" s="23" t="s">
        <v>29</v>
      </c>
      <c r="AL500" s="23" t="s">
        <v>10</v>
      </c>
      <c r="AM500" s="23" t="s">
        <v>77</v>
      </c>
      <c r="AN500" s="55">
        <v>45020</v>
      </c>
      <c r="AO500" s="53">
        <f>DAY(cadangan[[#This Row],[Tanggal terjual]])</f>
        <v>4</v>
      </c>
      <c r="AP500" s="21" t="str">
        <f>TEXT(cadangan[[#This Row],[Tanggal terjual]],"dddd")</f>
        <v>Tuesday</v>
      </c>
      <c r="AQ500" s="23" t="str" cm="1">
        <f t="array" ref="AQ5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00" s="61">
        <f>AVERAGE(cadangan[[#This Row],[Rating A]],cadangan[[#This Row],[Rating B]],cadangan[[#This Row],[Rating C]])</f>
        <v>4.5</v>
      </c>
    </row>
    <row r="501" spans="1:44" x14ac:dyDescent="0.2">
      <c r="A501" s="20">
        <v>500</v>
      </c>
      <c r="B501" s="21" t="str">
        <f>_xlfn.CONCAT("ORD-",INDEX(Helper!$B$2:$B$5,MATCH(cadangan[[#This Row],[Marketplace]],Helper!$A$2:$A$5,0)),TEXT(cadangan[[#This Row],[No]],"0000"),"-",TEXT(cadangan[[#This Row],[Tanggal terjual]],"dd/mm/yy"))</f>
        <v>ORD-SP0500-29/04/23</v>
      </c>
      <c r="C501" s="39" t="s">
        <v>66</v>
      </c>
      <c r="D501" s="39" t="str">
        <f>IFERROR(INDEX(Katalog!$A$3:$A$12,MATCH(cadangan[[#This Row],[ItemID A]],Katalog!$C$3:$C$12,0)),"-")</f>
        <v>Sepatu Pria</v>
      </c>
      <c r="E501" s="39" t="str">
        <f>IFERROR(INDEX(Katalog!$B$3:$B$12,MATCH(cadangan[[#This Row],[ItemID A]],Katalog!$C$3:$C$12,0)),"-")</f>
        <v>Sandal Slip On</v>
      </c>
      <c r="F501" s="50">
        <v>2</v>
      </c>
      <c r="G501" s="50">
        <v>5</v>
      </c>
      <c r="H501" s="73">
        <f>IFERROR(INDEX(Katalog!$D$3:$D$12,MATCH(cadangan[[#This Row],[ItemID A]],Katalog!$C$3:$C$12,0))*cadangan[[#This Row],[Qty A]],0)</f>
        <v>300000</v>
      </c>
      <c r="I501" s="73">
        <f>IFERROR(cadangan[[#This Row],[Harga Normal A]]-(cadangan[[#This Row],[Harga Normal A]]*cadangan[[#This Row],[Diskon]]),cadangan[[#This Row],[Harga Normal A]])</f>
        <v>240000</v>
      </c>
      <c r="J501" s="73">
        <f>INDEX(Katalog!$F$3:$F$12,MATCH(cadangan[[#This Row],[ItemID A]],Katalog!$C$3:$C$12,0))*cadangan[[#This Row],[Qty A]]</f>
        <v>120000</v>
      </c>
      <c r="K501" s="73">
        <f>IFERROR(cadangan[[#This Row],[Harga Diskon A]]-INDEX(Katalog!$E$3:$E$12,MATCH(cadangan[[#This Row],[ItemID A]],Katalog!$C$3:$C$12,0))*cadangan[[#This Row],[Qty A]],0)</f>
        <v>60000</v>
      </c>
      <c r="M501" s="39" t="str">
        <f>IFERROR(INDEX(Katalog!$A$3:$A$12,MATCH(cadangan[[#This Row],[ItemID B]],Katalog!$C$3:$C$12,0)),"-")</f>
        <v>-</v>
      </c>
      <c r="N501" s="39" t="str">
        <f>IFERROR(INDEX(Katalog!$B$3:$B$12,MATCH(cadangan[[#This Row],[ItemID B]],Katalog!$C$3:$C$12,0)),"-")</f>
        <v>-</v>
      </c>
      <c r="Q501" s="73">
        <f>IFERROR(INDEX(Katalog!$D$3:$D$12,MATCH(cadangan[[#This Row],[ItemID B]],Katalog!$C$3:$C$12,0))*cadangan[[#This Row],[Qty B]],0)</f>
        <v>0</v>
      </c>
      <c r="R501" s="73">
        <f>IFERROR(cadangan[[#This Row],[Harga Normal B]]-(cadangan[[#This Row],[Harga Normal B]]*cadangan[[#This Row],[Diskon]]),cadangan[[#This Row],[Harga Normal B]])</f>
        <v>0</v>
      </c>
      <c r="S501" s="73">
        <f>IFERROR(INDEX(Katalog!$F$3:$F$12,MATCH(cadangan[[#This Row],[ItemID B]],Katalog!$C$3:$C$12,0))*cadangan[[#This Row],[Qty B]],0)</f>
        <v>0</v>
      </c>
      <c r="T501" s="73">
        <f>IFERROR(cadangan[[#This Row],[Harga Diskon B]]-INDEX(Katalog!$E$3:$E$12,MATCH(cadangan[[#This Row],[ItemID B]],Katalog!$C$3:$C$12,0))*cadangan[[#This Row],[Qty B]],0)</f>
        <v>0</v>
      </c>
      <c r="V501" s="39" t="str">
        <f>IFERROR(INDEX(Katalog!$A$3:$A$12,MATCH(cadangan[[#This Row],[ItemID C]],Katalog!$C$3:$C$12,0)),"-")</f>
        <v>-</v>
      </c>
      <c r="W501" s="39" t="str">
        <f>IFERROR(INDEX(Katalog!$B$3:$B$12,MATCH(cadangan[[#This Row],[ItemID C]],Katalog!$C$3:$C$12,0)),"-")</f>
        <v>-</v>
      </c>
      <c r="Z501" s="73">
        <f>IFERROR(INDEX(Katalog!$D$3:$D$12,MATCH(cadangan[[#This Row],[ItemID C]],Katalog!$C$3:$C$12,0))*cadangan[[#This Row],[Qty C]],0)</f>
        <v>0</v>
      </c>
      <c r="AA501" s="73">
        <f>IFERROR(cadangan[[#This Row],[Harga Normal C]]-(cadangan[[#This Row],[Harga Normal C]]*cadangan[[#This Row],[Diskon]]),cadangan[[#This Row],[Harga Normal C]])</f>
        <v>0</v>
      </c>
      <c r="AB501" s="73">
        <f>IFERROR(INDEX(Katalog!$F$3:$F$12,MATCH(cadangan[[#This Row],[ItemID C]],Katalog!$C$3:$C$12,0))*cadangan[[#This Row],[Qty C]],0)</f>
        <v>0</v>
      </c>
      <c r="AC501" s="73">
        <f>IFERROR(cadangan[[#This Row],[Harga Diskon C]]-INDEX(Katalog!$E$3:$E$12,MATCH(cadangan[[#This Row],[ItemID C]],Katalog!$C$3:$C$12,0))*cadangan[[#This Row],[Qty C]],0)</f>
        <v>0</v>
      </c>
      <c r="AD501" s="53">
        <f>cadangan[[#This Row],[Qty A]]+cadangan[[#This Row],[Qty B]]+cadangan[[#This Row],[Qty C]]</f>
        <v>2</v>
      </c>
      <c r="AE501" s="73">
        <f>cadangan[[#This Row],[Harga Normal A]]+cadangan[[#This Row],[Harga Normal B]]+cadangan[[#This Row],[Harga Normal C]]</f>
        <v>300000</v>
      </c>
      <c r="AF501" s="73">
        <f>cadangan[[#This Row],[Harga Diskon A]]+cadangan[[#This Row],[Harga Diskon B]]+cadangan[[#This Row],[Harga Diskon C]]</f>
        <v>240000</v>
      </c>
      <c r="AG501" s="73">
        <f>(cadangan[[#This Row],[Profit Normal A]]+cadangan[[#This Row],[Profit Normal B]]+cadangan[[#This Row],[Profit Normal C]])</f>
        <v>120000</v>
      </c>
      <c r="AH501" s="73">
        <f>cadangan[[#This Row],[Profit Diskon A]]+cadangan[[#This Row],[Profit Diskon B]]+cadangan[[#This Row],[Profit Diskon C]]</f>
        <v>60000</v>
      </c>
      <c r="AI501" s="23" t="s">
        <v>8</v>
      </c>
      <c r="AJ501" s="37">
        <f>IFERROR(INDEX('Kode Diskon'!$D$3:$D$9,MATCH(cadangan[[#This Row],[Kode diskon]],'Kode Diskon'!$C$3:$C$9,0)),"-")</f>
        <v>0.2</v>
      </c>
      <c r="AK501" s="23" t="s">
        <v>9</v>
      </c>
      <c r="AL501" s="23" t="s">
        <v>7</v>
      </c>
      <c r="AM501" s="23" t="s">
        <v>80</v>
      </c>
      <c r="AN501" s="55">
        <v>45045</v>
      </c>
      <c r="AO501" s="53">
        <f>DAY(cadangan[[#This Row],[Tanggal terjual]])</f>
        <v>29</v>
      </c>
      <c r="AP501" s="21" t="str">
        <f>TEXT(cadangan[[#This Row],[Tanggal terjual]],"dddd")</f>
        <v>Saturday</v>
      </c>
      <c r="AQ501" s="23" t="str" cm="1">
        <f t="array" ref="AQ5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01" s="61">
        <f>AVERAGE(cadangan[[#This Row],[Rating A]],cadangan[[#This Row],[Rating B]],cadangan[[#This Row],[Rating C]])</f>
        <v>5</v>
      </c>
    </row>
    <row r="502" spans="1:44" x14ac:dyDescent="0.2">
      <c r="A502" s="20">
        <v>501</v>
      </c>
      <c r="B502" s="21" t="str">
        <f>_xlfn.CONCAT("ORD-",INDEX(Helper!$B$2:$B$5,MATCH(cadangan[[#This Row],[Marketplace]],Helper!$A$2:$A$5,0)),TEXT(cadangan[[#This Row],[No]],"0000"),"-",TEXT(cadangan[[#This Row],[Tanggal terjual]],"dd/mm/yy"))</f>
        <v>ORD-BL0501-18/04/23</v>
      </c>
      <c r="C502" s="39" t="s">
        <v>66</v>
      </c>
      <c r="D502" s="39" t="str">
        <f>IFERROR(INDEX(Katalog!$A$3:$A$12,MATCH(cadangan[[#This Row],[ItemID A]],Katalog!$C$3:$C$12,0)),"-")</f>
        <v>Sepatu Pria</v>
      </c>
      <c r="E502" s="39" t="str">
        <f>IFERROR(INDEX(Katalog!$B$3:$B$12,MATCH(cadangan[[#This Row],[ItemID A]],Katalog!$C$3:$C$12,0)),"-")</f>
        <v>Sandal Slip On</v>
      </c>
      <c r="F502" s="50">
        <v>1</v>
      </c>
      <c r="G502" s="50">
        <v>3</v>
      </c>
      <c r="H502" s="73">
        <f>IFERROR(INDEX(Katalog!$D$3:$D$12,MATCH(cadangan[[#This Row],[ItemID A]],Katalog!$C$3:$C$12,0))*cadangan[[#This Row],[Qty A]],0)</f>
        <v>150000</v>
      </c>
      <c r="I502" s="73">
        <f>IFERROR(cadangan[[#This Row],[Harga Normal A]]-(cadangan[[#This Row],[Harga Normal A]]*cadangan[[#This Row],[Diskon]]),cadangan[[#This Row],[Harga Normal A]])</f>
        <v>127500</v>
      </c>
      <c r="J502" s="73">
        <f>INDEX(Katalog!$F$3:$F$12,MATCH(cadangan[[#This Row],[ItemID A]],Katalog!$C$3:$C$12,0))*cadangan[[#This Row],[Qty A]]</f>
        <v>60000</v>
      </c>
      <c r="K502" s="73">
        <f>IFERROR(cadangan[[#This Row],[Harga Diskon A]]-INDEX(Katalog!$E$3:$E$12,MATCH(cadangan[[#This Row],[ItemID A]],Katalog!$C$3:$C$12,0))*cadangan[[#This Row],[Qty A]],0)</f>
        <v>37500</v>
      </c>
      <c r="L502" s="39" t="s">
        <v>62</v>
      </c>
      <c r="M502" s="39" t="str">
        <f>IFERROR(INDEX(Katalog!$A$3:$A$12,MATCH(cadangan[[#This Row],[ItemID B]],Katalog!$C$3:$C$12,0)),"-")</f>
        <v>Pakaian Pria</v>
      </c>
      <c r="N502" s="39" t="str">
        <f>IFERROR(INDEX(Katalog!$B$3:$B$12,MATCH(cadangan[[#This Row],[ItemID B]],Katalog!$C$3:$C$12,0)),"-")</f>
        <v>Celana Pendek</v>
      </c>
      <c r="O502" s="50">
        <v>1</v>
      </c>
      <c r="P502" s="50">
        <v>2</v>
      </c>
      <c r="Q502" s="73">
        <f>IFERROR(INDEX(Katalog!$D$3:$D$12,MATCH(cadangan[[#This Row],[ItemID B]],Katalog!$C$3:$C$12,0))*cadangan[[#This Row],[Qty B]],0)</f>
        <v>180000</v>
      </c>
      <c r="R502" s="73">
        <f>IFERROR(cadangan[[#This Row],[Harga Normal B]]-(cadangan[[#This Row],[Harga Normal B]]*cadangan[[#This Row],[Diskon]]),cadangan[[#This Row],[Harga Normal B]])</f>
        <v>153000</v>
      </c>
      <c r="S502" s="73">
        <f>IFERROR(INDEX(Katalog!$F$3:$F$12,MATCH(cadangan[[#This Row],[ItemID B]],Katalog!$C$3:$C$12,0))*cadangan[[#This Row],[Qty B]],0)</f>
        <v>70000</v>
      </c>
      <c r="T502" s="73">
        <f>IFERROR(cadangan[[#This Row],[Harga Diskon B]]-INDEX(Katalog!$E$3:$E$12,MATCH(cadangan[[#This Row],[ItemID B]],Katalog!$C$3:$C$12,0))*cadangan[[#This Row],[Qty B]],0)</f>
        <v>43000</v>
      </c>
      <c r="V502" s="39" t="str">
        <f>IFERROR(INDEX(Katalog!$A$3:$A$12,MATCH(cadangan[[#This Row],[ItemID C]],Katalog!$C$3:$C$12,0)),"-")</f>
        <v>-</v>
      </c>
      <c r="W502" s="39" t="str">
        <f>IFERROR(INDEX(Katalog!$B$3:$B$12,MATCH(cadangan[[#This Row],[ItemID C]],Katalog!$C$3:$C$12,0)),"-")</f>
        <v>-</v>
      </c>
      <c r="Z502" s="73">
        <f>IFERROR(INDEX(Katalog!$D$3:$D$12,MATCH(cadangan[[#This Row],[ItemID C]],Katalog!$C$3:$C$12,0))*cadangan[[#This Row],[Qty C]],0)</f>
        <v>0</v>
      </c>
      <c r="AA502" s="73">
        <f>IFERROR(cadangan[[#This Row],[Harga Normal C]]-(cadangan[[#This Row],[Harga Normal C]]*cadangan[[#This Row],[Diskon]]),cadangan[[#This Row],[Harga Normal C]])</f>
        <v>0</v>
      </c>
      <c r="AB502" s="73">
        <f>IFERROR(INDEX(Katalog!$F$3:$F$12,MATCH(cadangan[[#This Row],[ItemID C]],Katalog!$C$3:$C$12,0))*cadangan[[#This Row],[Qty C]],0)</f>
        <v>0</v>
      </c>
      <c r="AC502" s="73">
        <f>IFERROR(cadangan[[#This Row],[Harga Diskon C]]-INDEX(Katalog!$E$3:$E$12,MATCH(cadangan[[#This Row],[ItemID C]],Katalog!$C$3:$C$12,0))*cadangan[[#This Row],[Qty C]],0)</f>
        <v>0</v>
      </c>
      <c r="AD502" s="53">
        <f>cadangan[[#This Row],[Qty A]]+cadangan[[#This Row],[Qty B]]+cadangan[[#This Row],[Qty C]]</f>
        <v>2</v>
      </c>
      <c r="AE502" s="73">
        <f>cadangan[[#This Row],[Harga Normal A]]+cadangan[[#This Row],[Harga Normal B]]+cadangan[[#This Row],[Harga Normal C]]</f>
        <v>330000</v>
      </c>
      <c r="AF502" s="73">
        <f>cadangan[[#This Row],[Harga Diskon A]]+cadangan[[#This Row],[Harga Diskon B]]+cadangan[[#This Row],[Harga Diskon C]]</f>
        <v>280500</v>
      </c>
      <c r="AG502" s="73">
        <f>(cadangan[[#This Row],[Profit Normal A]]+cadangan[[#This Row],[Profit Normal B]]+cadangan[[#This Row],[Profit Normal C]])</f>
        <v>130000</v>
      </c>
      <c r="AH502" s="73">
        <f>cadangan[[#This Row],[Profit Diskon A]]+cadangan[[#This Row],[Profit Diskon B]]+cadangan[[#This Row],[Profit Diskon C]]</f>
        <v>80500</v>
      </c>
      <c r="AI502" s="23" t="s">
        <v>32</v>
      </c>
      <c r="AJ502" s="37">
        <f>IFERROR(INDEX('Kode Diskon'!$D$3:$D$9,MATCH(cadangan[[#This Row],[Kode diskon]],'Kode Diskon'!$C$3:$C$9,0)),"-")</f>
        <v>0.15</v>
      </c>
      <c r="AK502" s="23" t="s">
        <v>9</v>
      </c>
      <c r="AL502" s="23" t="s">
        <v>12</v>
      </c>
      <c r="AM502" s="23" t="s">
        <v>77</v>
      </c>
      <c r="AN502" s="55">
        <v>45034</v>
      </c>
      <c r="AO502" s="53">
        <f>DAY(cadangan[[#This Row],[Tanggal terjual]])</f>
        <v>18</v>
      </c>
      <c r="AP502" s="21" t="str">
        <f>TEXT(cadangan[[#This Row],[Tanggal terjual]],"dddd")</f>
        <v>Tuesday</v>
      </c>
      <c r="AQ502" s="23" t="str" cm="1">
        <f t="array" ref="AQ5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02" s="61">
        <f>AVERAGE(cadangan[[#This Row],[Rating A]],cadangan[[#This Row],[Rating B]],cadangan[[#This Row],[Rating C]])</f>
        <v>2.5</v>
      </c>
    </row>
    <row r="503" spans="1:44" x14ac:dyDescent="0.2">
      <c r="A503" s="20">
        <v>502</v>
      </c>
      <c r="B503" s="21" t="str">
        <f>_xlfn.CONCAT("ORD-",INDEX(Helper!$B$2:$B$5,MATCH(cadangan[[#This Row],[Marketplace]],Helper!$A$2:$A$5,0)),TEXT(cadangan[[#This Row],[No]],"0000"),"-",TEXT(cadangan[[#This Row],[Tanggal terjual]],"dd/mm/yy"))</f>
        <v>ORD-SP0502-07/04/23</v>
      </c>
      <c r="C503" s="39" t="s">
        <v>63</v>
      </c>
      <c r="D503" s="39" t="str">
        <f>IFERROR(INDEX(Katalog!$A$3:$A$12,MATCH(cadangan[[#This Row],[ItemID A]],Katalog!$C$3:$C$12,0)),"-")</f>
        <v>Pakaian Pria</v>
      </c>
      <c r="E503" s="39" t="str">
        <f>IFERROR(INDEX(Katalog!$B$3:$B$12,MATCH(cadangan[[#This Row],[ItemID A]],Katalog!$C$3:$C$12,0)),"-")</f>
        <v>Jaket Jeans</v>
      </c>
      <c r="F503" s="50">
        <v>2</v>
      </c>
      <c r="G503" s="50">
        <v>2</v>
      </c>
      <c r="H503" s="73">
        <f>IFERROR(INDEX(Katalog!$D$3:$D$12,MATCH(cadangan[[#This Row],[ItemID A]],Katalog!$C$3:$C$12,0))*cadangan[[#This Row],[Qty A]],0)</f>
        <v>800000</v>
      </c>
      <c r="I503" s="73">
        <f>IFERROR(cadangan[[#This Row],[Harga Normal A]]-(cadangan[[#This Row],[Harga Normal A]]*cadangan[[#This Row],[Diskon]]),cadangan[[#This Row],[Harga Normal A]])</f>
        <v>800000</v>
      </c>
      <c r="J503" s="73">
        <f>INDEX(Katalog!$F$3:$F$12,MATCH(cadangan[[#This Row],[ItemID A]],Katalog!$C$3:$C$12,0))*cadangan[[#This Row],[Qty A]]</f>
        <v>300000</v>
      </c>
      <c r="K503" s="73">
        <f>IFERROR(cadangan[[#This Row],[Harga Diskon A]]-INDEX(Katalog!$E$3:$E$12,MATCH(cadangan[[#This Row],[ItemID A]],Katalog!$C$3:$C$12,0))*cadangan[[#This Row],[Qty A]],0)</f>
        <v>300000</v>
      </c>
      <c r="L503" s="39" t="s">
        <v>61</v>
      </c>
      <c r="M503" s="39" t="str">
        <f>IFERROR(INDEX(Katalog!$A$3:$A$12,MATCH(cadangan[[#This Row],[ItemID B]],Katalog!$C$3:$C$12,0)),"-")</f>
        <v>Pakaian Pria</v>
      </c>
      <c r="N503" s="39" t="str">
        <f>IFERROR(INDEX(Katalog!$B$3:$B$12,MATCH(cadangan[[#This Row],[ItemID B]],Katalog!$C$3:$C$12,0)),"-")</f>
        <v>Kaos Polo</v>
      </c>
      <c r="O503" s="50">
        <v>2</v>
      </c>
      <c r="P503" s="50">
        <v>4</v>
      </c>
      <c r="Q503" s="73">
        <f>IFERROR(INDEX(Katalog!$D$3:$D$12,MATCH(cadangan[[#This Row],[ItemID B]],Katalog!$C$3:$C$12,0))*cadangan[[#This Row],[Qty B]],0)</f>
        <v>400000</v>
      </c>
      <c r="R503" s="73">
        <f>IFERROR(cadangan[[#This Row],[Harga Normal B]]-(cadangan[[#This Row],[Harga Normal B]]*cadangan[[#This Row],[Diskon]]),cadangan[[#This Row],[Harga Normal B]])</f>
        <v>400000</v>
      </c>
      <c r="S503" s="73">
        <f>IFERROR(INDEX(Katalog!$F$3:$F$12,MATCH(cadangan[[#This Row],[ItemID B]],Katalog!$C$3:$C$12,0))*cadangan[[#This Row],[Qty B]],0)</f>
        <v>160000</v>
      </c>
      <c r="T503" s="73">
        <f>IFERROR(cadangan[[#This Row],[Harga Diskon B]]-INDEX(Katalog!$E$3:$E$12,MATCH(cadangan[[#This Row],[ItemID B]],Katalog!$C$3:$C$12,0))*cadangan[[#This Row],[Qty B]],0)</f>
        <v>160000</v>
      </c>
      <c r="V503" s="39" t="str">
        <f>IFERROR(INDEX(Katalog!$A$3:$A$12,MATCH(cadangan[[#This Row],[ItemID C]],Katalog!$C$3:$C$12,0)),"-")</f>
        <v>-</v>
      </c>
      <c r="W503" s="39" t="str">
        <f>IFERROR(INDEX(Katalog!$B$3:$B$12,MATCH(cadangan[[#This Row],[ItemID C]],Katalog!$C$3:$C$12,0)),"-")</f>
        <v>-</v>
      </c>
      <c r="Z503" s="73">
        <f>IFERROR(INDEX(Katalog!$D$3:$D$12,MATCH(cadangan[[#This Row],[ItemID C]],Katalog!$C$3:$C$12,0))*cadangan[[#This Row],[Qty C]],0)</f>
        <v>0</v>
      </c>
      <c r="AA503" s="73">
        <f>IFERROR(cadangan[[#This Row],[Harga Normal C]]-(cadangan[[#This Row],[Harga Normal C]]*cadangan[[#This Row],[Diskon]]),cadangan[[#This Row],[Harga Normal C]])</f>
        <v>0</v>
      </c>
      <c r="AB503" s="73">
        <f>IFERROR(INDEX(Katalog!$F$3:$F$12,MATCH(cadangan[[#This Row],[ItemID C]],Katalog!$C$3:$C$12,0))*cadangan[[#This Row],[Qty C]],0)</f>
        <v>0</v>
      </c>
      <c r="AC503" s="73">
        <f>IFERROR(cadangan[[#This Row],[Harga Diskon C]]-INDEX(Katalog!$E$3:$E$12,MATCH(cadangan[[#This Row],[ItemID C]],Katalog!$C$3:$C$12,0))*cadangan[[#This Row],[Qty C]],0)</f>
        <v>0</v>
      </c>
      <c r="AD503" s="53">
        <f>cadangan[[#This Row],[Qty A]]+cadangan[[#This Row],[Qty B]]+cadangan[[#This Row],[Qty C]]</f>
        <v>4</v>
      </c>
      <c r="AE503" s="73">
        <f>cadangan[[#This Row],[Harga Normal A]]+cadangan[[#This Row],[Harga Normal B]]+cadangan[[#This Row],[Harga Normal C]]</f>
        <v>1200000</v>
      </c>
      <c r="AF503" s="73">
        <f>cadangan[[#This Row],[Harga Diskon A]]+cadangan[[#This Row],[Harga Diskon B]]+cadangan[[#This Row],[Harga Diskon C]]</f>
        <v>1200000</v>
      </c>
      <c r="AG503" s="73">
        <f>(cadangan[[#This Row],[Profit Normal A]]+cadangan[[#This Row],[Profit Normal B]]+cadangan[[#This Row],[Profit Normal C]])</f>
        <v>460000</v>
      </c>
      <c r="AH503" s="73">
        <f>cadangan[[#This Row],[Profit Diskon A]]+cadangan[[#This Row],[Profit Diskon B]]+cadangan[[#This Row],[Profit Diskon C]]</f>
        <v>460000</v>
      </c>
      <c r="AI503" s="23" t="s">
        <v>290</v>
      </c>
      <c r="AJ503" s="37" t="str">
        <f>IFERROR(INDEX('Kode Diskon'!$D$3:$D$9,MATCH(cadangan[[#This Row],[Kode diskon]],'Kode Diskon'!$C$3:$C$9,0)),"-")</f>
        <v>-</v>
      </c>
      <c r="AK503" s="23" t="s">
        <v>290</v>
      </c>
      <c r="AL503" s="23" t="s">
        <v>7</v>
      </c>
      <c r="AM503" s="23" t="s">
        <v>79</v>
      </c>
      <c r="AN503" s="55">
        <v>45023</v>
      </c>
      <c r="AO503" s="53">
        <f>DAY(cadangan[[#This Row],[Tanggal terjual]])</f>
        <v>7</v>
      </c>
      <c r="AP503" s="21" t="str">
        <f>TEXT(cadangan[[#This Row],[Tanggal terjual]],"dddd")</f>
        <v>Friday</v>
      </c>
      <c r="AQ503" s="23" t="str" cm="1">
        <f t="array" ref="AQ5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03" s="61">
        <f>AVERAGE(cadangan[[#This Row],[Rating A]],cadangan[[#This Row],[Rating B]],cadangan[[#This Row],[Rating C]])</f>
        <v>3</v>
      </c>
    </row>
    <row r="504" spans="1:44" x14ac:dyDescent="0.2">
      <c r="A504" s="20">
        <v>503</v>
      </c>
      <c r="B504" s="21" t="str">
        <f>_xlfn.CONCAT("ORD-",INDEX(Helper!$B$2:$B$5,MATCH(cadangan[[#This Row],[Marketplace]],Helper!$A$2:$A$5,0)),TEXT(cadangan[[#This Row],[No]],"0000"),"-",TEXT(cadangan[[#This Row],[Tanggal terjual]],"dd/mm/yy"))</f>
        <v>ORD-BL0503-20/04/23</v>
      </c>
      <c r="C504" s="39" t="s">
        <v>65</v>
      </c>
      <c r="D504" s="39" t="str">
        <f>IFERROR(INDEX(Katalog!$A$3:$A$12,MATCH(cadangan[[#This Row],[ItemID A]],Katalog!$C$3:$C$12,0)),"-")</f>
        <v>Sepatu Pria</v>
      </c>
      <c r="E504" s="39" t="str">
        <f>IFERROR(INDEX(Katalog!$B$3:$B$12,MATCH(cadangan[[#This Row],[ItemID A]],Katalog!$C$3:$C$12,0)),"-")</f>
        <v>Sneakers</v>
      </c>
      <c r="F504" s="50">
        <v>3</v>
      </c>
      <c r="G504" s="50">
        <v>1</v>
      </c>
      <c r="H504" s="73">
        <f>IFERROR(INDEX(Katalog!$D$3:$D$12,MATCH(cadangan[[#This Row],[ItemID A]],Katalog!$C$3:$C$12,0))*cadangan[[#This Row],[Qty A]],0)</f>
        <v>1500000</v>
      </c>
      <c r="I504" s="73">
        <f>IFERROR(cadangan[[#This Row],[Harga Normal A]]-(cadangan[[#This Row],[Harga Normal A]]*cadangan[[#This Row],[Diskon]]),cadangan[[#This Row],[Harga Normal A]])</f>
        <v>1275000</v>
      </c>
      <c r="J504" s="73">
        <f>INDEX(Katalog!$F$3:$F$12,MATCH(cadangan[[#This Row],[ItemID A]],Katalog!$C$3:$C$12,0))*cadangan[[#This Row],[Qty A]]</f>
        <v>600000</v>
      </c>
      <c r="K504" s="73">
        <f>IFERROR(cadangan[[#This Row],[Harga Diskon A]]-INDEX(Katalog!$E$3:$E$12,MATCH(cadangan[[#This Row],[ItemID A]],Katalog!$C$3:$C$12,0))*cadangan[[#This Row],[Qty A]],0)</f>
        <v>375000</v>
      </c>
      <c r="M504" s="39" t="str">
        <f>IFERROR(INDEX(Katalog!$A$3:$A$12,MATCH(cadangan[[#This Row],[ItemID B]],Katalog!$C$3:$C$12,0)),"-")</f>
        <v>-</v>
      </c>
      <c r="N504" s="39" t="str">
        <f>IFERROR(INDEX(Katalog!$B$3:$B$12,MATCH(cadangan[[#This Row],[ItemID B]],Katalog!$C$3:$C$12,0)),"-")</f>
        <v>-</v>
      </c>
      <c r="Q504" s="73">
        <f>IFERROR(INDEX(Katalog!$D$3:$D$12,MATCH(cadangan[[#This Row],[ItemID B]],Katalog!$C$3:$C$12,0))*cadangan[[#This Row],[Qty B]],0)</f>
        <v>0</v>
      </c>
      <c r="R504" s="73">
        <f>IFERROR(cadangan[[#This Row],[Harga Normal B]]-(cadangan[[#This Row],[Harga Normal B]]*cadangan[[#This Row],[Diskon]]),cadangan[[#This Row],[Harga Normal B]])</f>
        <v>0</v>
      </c>
      <c r="S504" s="73">
        <f>IFERROR(INDEX(Katalog!$F$3:$F$12,MATCH(cadangan[[#This Row],[ItemID B]],Katalog!$C$3:$C$12,0))*cadangan[[#This Row],[Qty B]],0)</f>
        <v>0</v>
      </c>
      <c r="T504" s="73">
        <f>IFERROR(cadangan[[#This Row],[Harga Diskon B]]-INDEX(Katalog!$E$3:$E$12,MATCH(cadangan[[#This Row],[ItemID B]],Katalog!$C$3:$C$12,0))*cadangan[[#This Row],[Qty B]],0)</f>
        <v>0</v>
      </c>
      <c r="V504" s="39" t="str">
        <f>IFERROR(INDEX(Katalog!$A$3:$A$12,MATCH(cadangan[[#This Row],[ItemID C]],Katalog!$C$3:$C$12,0)),"-")</f>
        <v>-</v>
      </c>
      <c r="W504" s="39" t="str">
        <f>IFERROR(INDEX(Katalog!$B$3:$B$12,MATCH(cadangan[[#This Row],[ItemID C]],Katalog!$C$3:$C$12,0)),"-")</f>
        <v>-</v>
      </c>
      <c r="Z504" s="73">
        <f>IFERROR(INDEX(Katalog!$D$3:$D$12,MATCH(cadangan[[#This Row],[ItemID C]],Katalog!$C$3:$C$12,0))*cadangan[[#This Row],[Qty C]],0)</f>
        <v>0</v>
      </c>
      <c r="AA504" s="73">
        <f>IFERROR(cadangan[[#This Row],[Harga Normal C]]-(cadangan[[#This Row],[Harga Normal C]]*cadangan[[#This Row],[Diskon]]),cadangan[[#This Row],[Harga Normal C]])</f>
        <v>0</v>
      </c>
      <c r="AB504" s="73">
        <f>IFERROR(INDEX(Katalog!$F$3:$F$12,MATCH(cadangan[[#This Row],[ItemID C]],Katalog!$C$3:$C$12,0))*cadangan[[#This Row],[Qty C]],0)</f>
        <v>0</v>
      </c>
      <c r="AC504" s="73">
        <f>IFERROR(cadangan[[#This Row],[Harga Diskon C]]-INDEX(Katalog!$E$3:$E$12,MATCH(cadangan[[#This Row],[ItemID C]],Katalog!$C$3:$C$12,0))*cadangan[[#This Row],[Qty C]],0)</f>
        <v>0</v>
      </c>
      <c r="AD504" s="53">
        <f>cadangan[[#This Row],[Qty A]]+cadangan[[#This Row],[Qty B]]+cadangan[[#This Row],[Qty C]]</f>
        <v>3</v>
      </c>
      <c r="AE504" s="73">
        <f>cadangan[[#This Row],[Harga Normal A]]+cadangan[[#This Row],[Harga Normal B]]+cadangan[[#This Row],[Harga Normal C]]</f>
        <v>1500000</v>
      </c>
      <c r="AF504" s="73">
        <f>cadangan[[#This Row],[Harga Diskon A]]+cadangan[[#This Row],[Harga Diskon B]]+cadangan[[#This Row],[Harga Diskon C]]</f>
        <v>1275000</v>
      </c>
      <c r="AG504" s="73">
        <f>(cadangan[[#This Row],[Profit Normal A]]+cadangan[[#This Row],[Profit Normal B]]+cadangan[[#This Row],[Profit Normal C]])</f>
        <v>600000</v>
      </c>
      <c r="AH504" s="73">
        <f>cadangan[[#This Row],[Profit Diskon A]]+cadangan[[#This Row],[Profit Diskon B]]+cadangan[[#This Row],[Profit Diskon C]]</f>
        <v>375000</v>
      </c>
      <c r="AI504" s="23" t="s">
        <v>32</v>
      </c>
      <c r="AJ504" s="37">
        <f>IFERROR(INDEX('Kode Diskon'!$D$3:$D$9,MATCH(cadangan[[#This Row],[Kode diskon]],'Kode Diskon'!$C$3:$C$9,0)),"-")</f>
        <v>0.15</v>
      </c>
      <c r="AK504" s="23" t="s">
        <v>9</v>
      </c>
      <c r="AL504" s="23" t="s">
        <v>12</v>
      </c>
      <c r="AM504" s="23" t="s">
        <v>80</v>
      </c>
      <c r="AN504" s="55">
        <v>45036</v>
      </c>
      <c r="AO504" s="53">
        <f>DAY(cadangan[[#This Row],[Tanggal terjual]])</f>
        <v>20</v>
      </c>
      <c r="AP504" s="21" t="str">
        <f>TEXT(cadangan[[#This Row],[Tanggal terjual]],"dddd")</f>
        <v>Thursday</v>
      </c>
      <c r="AQ504" s="23" t="str" cm="1">
        <f t="array" ref="AQ5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04" s="61">
        <f>AVERAGE(cadangan[[#This Row],[Rating A]],cadangan[[#This Row],[Rating B]],cadangan[[#This Row],[Rating C]])</f>
        <v>1</v>
      </c>
    </row>
    <row r="505" spans="1:44" x14ac:dyDescent="0.2">
      <c r="A505" s="20">
        <v>504</v>
      </c>
      <c r="B505" s="21" t="str">
        <f>_xlfn.CONCAT("ORD-",INDEX(Helper!$B$2:$B$5,MATCH(cadangan[[#This Row],[Marketplace]],Helper!$A$2:$A$5,0)),TEXT(cadangan[[#This Row],[No]],"0000"),"-",TEXT(cadangan[[#This Row],[Tanggal terjual]],"dd/mm/yy"))</f>
        <v>ORD-SP0504-16/04/23</v>
      </c>
      <c r="C505" s="39" t="s">
        <v>62</v>
      </c>
      <c r="D505" s="39" t="str">
        <f>IFERROR(INDEX(Katalog!$A$3:$A$12,MATCH(cadangan[[#This Row],[ItemID A]],Katalog!$C$3:$C$12,0)),"-")</f>
        <v>Pakaian Pria</v>
      </c>
      <c r="E505" s="39" t="str">
        <f>IFERROR(INDEX(Katalog!$B$3:$B$12,MATCH(cadangan[[#This Row],[ItemID A]],Katalog!$C$3:$C$12,0)),"-")</f>
        <v>Celana Pendek</v>
      </c>
      <c r="F505" s="50">
        <v>5</v>
      </c>
      <c r="G505" s="50">
        <v>5</v>
      </c>
      <c r="H505" s="73">
        <f>IFERROR(INDEX(Katalog!$D$3:$D$12,MATCH(cadangan[[#This Row],[ItemID A]],Katalog!$C$3:$C$12,0))*cadangan[[#This Row],[Qty A]],0)</f>
        <v>900000</v>
      </c>
      <c r="I505" s="73">
        <f>IFERROR(cadangan[[#This Row],[Harga Normal A]]-(cadangan[[#This Row],[Harga Normal A]]*cadangan[[#This Row],[Diskon]]),cadangan[[#This Row],[Harga Normal A]])</f>
        <v>720000</v>
      </c>
      <c r="J505" s="73">
        <f>INDEX(Katalog!$F$3:$F$12,MATCH(cadangan[[#This Row],[ItemID A]],Katalog!$C$3:$C$12,0))*cadangan[[#This Row],[Qty A]]</f>
        <v>350000</v>
      </c>
      <c r="K505" s="73">
        <f>IFERROR(cadangan[[#This Row],[Harga Diskon A]]-INDEX(Katalog!$E$3:$E$12,MATCH(cadangan[[#This Row],[ItemID A]],Katalog!$C$3:$C$12,0))*cadangan[[#This Row],[Qty A]],0)</f>
        <v>170000</v>
      </c>
      <c r="L505" s="39" t="s">
        <v>63</v>
      </c>
      <c r="M505" s="39" t="str">
        <f>IFERROR(INDEX(Katalog!$A$3:$A$12,MATCH(cadangan[[#This Row],[ItemID B]],Katalog!$C$3:$C$12,0)),"-")</f>
        <v>Pakaian Pria</v>
      </c>
      <c r="N505" s="39" t="str">
        <f>IFERROR(INDEX(Katalog!$B$3:$B$12,MATCH(cadangan[[#This Row],[ItemID B]],Katalog!$C$3:$C$12,0)),"-")</f>
        <v>Jaket Jeans</v>
      </c>
      <c r="O505" s="50">
        <v>1</v>
      </c>
      <c r="P505" s="50">
        <v>1</v>
      </c>
      <c r="Q505" s="73">
        <f>IFERROR(INDEX(Katalog!$D$3:$D$12,MATCH(cadangan[[#This Row],[ItemID B]],Katalog!$C$3:$C$12,0))*cadangan[[#This Row],[Qty B]],0)</f>
        <v>400000</v>
      </c>
      <c r="R505" s="73">
        <f>IFERROR(cadangan[[#This Row],[Harga Normal B]]-(cadangan[[#This Row],[Harga Normal B]]*cadangan[[#This Row],[Diskon]]),cadangan[[#This Row],[Harga Normal B]])</f>
        <v>320000</v>
      </c>
      <c r="S505" s="73">
        <f>IFERROR(INDEX(Katalog!$F$3:$F$12,MATCH(cadangan[[#This Row],[ItemID B]],Katalog!$C$3:$C$12,0))*cadangan[[#This Row],[Qty B]],0)</f>
        <v>150000</v>
      </c>
      <c r="T505" s="73">
        <f>IFERROR(cadangan[[#This Row],[Harga Diskon B]]-INDEX(Katalog!$E$3:$E$12,MATCH(cadangan[[#This Row],[ItemID B]],Katalog!$C$3:$C$12,0))*cadangan[[#This Row],[Qty B]],0)</f>
        <v>70000</v>
      </c>
      <c r="U505" s="39" t="s">
        <v>65</v>
      </c>
      <c r="V505" s="39" t="str">
        <f>IFERROR(INDEX(Katalog!$A$3:$A$12,MATCH(cadangan[[#This Row],[ItemID C]],Katalog!$C$3:$C$12,0)),"-")</f>
        <v>Sepatu Pria</v>
      </c>
      <c r="W505" s="39" t="str">
        <f>IFERROR(INDEX(Katalog!$B$3:$B$12,MATCH(cadangan[[#This Row],[ItemID C]],Katalog!$C$3:$C$12,0)),"-")</f>
        <v>Sneakers</v>
      </c>
      <c r="X505" s="50">
        <v>1</v>
      </c>
      <c r="Y505" s="50">
        <v>5</v>
      </c>
      <c r="Z505" s="73">
        <f>IFERROR(INDEX(Katalog!$D$3:$D$12,MATCH(cadangan[[#This Row],[ItemID C]],Katalog!$C$3:$C$12,0))*cadangan[[#This Row],[Qty C]],0)</f>
        <v>500000</v>
      </c>
      <c r="AA505" s="73">
        <f>IFERROR(cadangan[[#This Row],[Harga Normal C]]-(cadangan[[#This Row],[Harga Normal C]]*cadangan[[#This Row],[Diskon]]),cadangan[[#This Row],[Harga Normal C]])</f>
        <v>400000</v>
      </c>
      <c r="AB505" s="73">
        <f>IFERROR(INDEX(Katalog!$F$3:$F$12,MATCH(cadangan[[#This Row],[ItemID C]],Katalog!$C$3:$C$12,0))*cadangan[[#This Row],[Qty C]],0)</f>
        <v>200000</v>
      </c>
      <c r="AC505" s="73">
        <f>IFERROR(cadangan[[#This Row],[Harga Diskon C]]-INDEX(Katalog!$E$3:$E$12,MATCH(cadangan[[#This Row],[ItemID C]],Katalog!$C$3:$C$12,0))*cadangan[[#This Row],[Qty C]],0)</f>
        <v>100000</v>
      </c>
      <c r="AD505" s="53">
        <f>cadangan[[#This Row],[Qty A]]+cadangan[[#This Row],[Qty B]]+cadangan[[#This Row],[Qty C]]</f>
        <v>7</v>
      </c>
      <c r="AE505" s="73">
        <f>cadangan[[#This Row],[Harga Normal A]]+cadangan[[#This Row],[Harga Normal B]]+cadangan[[#This Row],[Harga Normal C]]</f>
        <v>1800000</v>
      </c>
      <c r="AF505" s="73">
        <f>cadangan[[#This Row],[Harga Diskon A]]+cadangan[[#This Row],[Harga Diskon B]]+cadangan[[#This Row],[Harga Diskon C]]</f>
        <v>1440000</v>
      </c>
      <c r="AG505" s="73">
        <f>(cadangan[[#This Row],[Profit Normal A]]+cadangan[[#This Row],[Profit Normal B]]+cadangan[[#This Row],[Profit Normal C]])</f>
        <v>700000</v>
      </c>
      <c r="AH505" s="73">
        <f>cadangan[[#This Row],[Profit Diskon A]]+cadangan[[#This Row],[Profit Diskon B]]+cadangan[[#This Row],[Profit Diskon C]]</f>
        <v>340000</v>
      </c>
      <c r="AI505" s="23" t="s">
        <v>8</v>
      </c>
      <c r="AJ505" s="37">
        <f>IFERROR(INDEX('Kode Diskon'!$D$3:$D$9,MATCH(cadangan[[#This Row],[Kode diskon]],'Kode Diskon'!$C$3:$C$9,0)),"-")</f>
        <v>0.2</v>
      </c>
      <c r="AK505" s="23" t="s">
        <v>9</v>
      </c>
      <c r="AL505" s="23" t="s">
        <v>7</v>
      </c>
      <c r="AM505" s="23" t="s">
        <v>80</v>
      </c>
      <c r="AN505" s="55">
        <v>45032</v>
      </c>
      <c r="AO505" s="53">
        <f>DAY(cadangan[[#This Row],[Tanggal terjual]])</f>
        <v>16</v>
      </c>
      <c r="AP505" s="21" t="str">
        <f>TEXT(cadangan[[#This Row],[Tanggal terjual]],"dddd")</f>
        <v>Sunday</v>
      </c>
      <c r="AQ505" s="23" t="str" cm="1">
        <f t="array" ref="AQ5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05" s="61">
        <f>AVERAGE(cadangan[[#This Row],[Rating A]],cadangan[[#This Row],[Rating B]],cadangan[[#This Row],[Rating C]])</f>
        <v>3.6666666666666665</v>
      </c>
    </row>
    <row r="506" spans="1:44" x14ac:dyDescent="0.2">
      <c r="A506" s="20">
        <v>505</v>
      </c>
      <c r="B506" s="21" t="str">
        <f>_xlfn.CONCAT("ORD-",INDEX(Helper!$B$2:$B$5,MATCH(cadangan[[#This Row],[Marketplace]],Helper!$A$2:$A$5,0)),TEXT(cadangan[[#This Row],[No]],"0000"),"-",TEXT(cadangan[[#This Row],[Tanggal terjual]],"dd/mm/yy"))</f>
        <v>ORD-TK0505-17/04/23</v>
      </c>
      <c r="C506" s="39" t="s">
        <v>59</v>
      </c>
      <c r="D506" s="39" t="str">
        <f>IFERROR(INDEX(Katalog!$A$3:$A$12,MATCH(cadangan[[#This Row],[ItemID A]],Katalog!$C$3:$C$12,0)),"-")</f>
        <v>Pakaian Wanita</v>
      </c>
      <c r="E506" s="39" t="str">
        <f>IFERROR(INDEX(Katalog!$B$3:$B$12,MATCH(cadangan[[#This Row],[ItemID A]],Katalog!$C$3:$C$12,0)),"-")</f>
        <v>Blouse</v>
      </c>
      <c r="F506" s="50">
        <v>1</v>
      </c>
      <c r="G506" s="50">
        <v>3</v>
      </c>
      <c r="H506" s="73">
        <f>IFERROR(INDEX(Katalog!$D$3:$D$12,MATCH(cadangan[[#This Row],[ItemID A]],Katalog!$C$3:$C$12,0))*cadangan[[#This Row],[Qty A]],0)</f>
        <v>150000</v>
      </c>
      <c r="I506" s="73">
        <f>IFERROR(cadangan[[#This Row],[Harga Normal A]]-(cadangan[[#This Row],[Harga Normal A]]*cadangan[[#This Row],[Diskon]]),cadangan[[#This Row],[Harga Normal A]])</f>
        <v>135000</v>
      </c>
      <c r="J506" s="73">
        <f>INDEX(Katalog!$F$3:$F$12,MATCH(cadangan[[#This Row],[ItemID A]],Katalog!$C$3:$C$12,0))*cadangan[[#This Row],[Qty A]]</f>
        <v>50000</v>
      </c>
      <c r="K506" s="73">
        <f>IFERROR(cadangan[[#This Row],[Harga Diskon A]]-INDEX(Katalog!$E$3:$E$12,MATCH(cadangan[[#This Row],[ItemID A]],Katalog!$C$3:$C$12,0))*cadangan[[#This Row],[Qty A]],0)</f>
        <v>35000</v>
      </c>
      <c r="L506" s="39" t="s">
        <v>64</v>
      </c>
      <c r="M506" s="39" t="str">
        <f>IFERROR(INDEX(Katalog!$A$3:$A$12,MATCH(cadangan[[#This Row],[ItemID B]],Katalog!$C$3:$C$12,0)),"-")</f>
        <v>Pakaian Unisex</v>
      </c>
      <c r="N506" s="39" t="str">
        <f>IFERROR(INDEX(Katalog!$B$3:$B$12,MATCH(cadangan[[#This Row],[ItemID B]],Katalog!$C$3:$C$12,0)),"-")</f>
        <v>Jaket Hoodie</v>
      </c>
      <c r="O506" s="50">
        <v>1</v>
      </c>
      <c r="P506" s="50">
        <v>5</v>
      </c>
      <c r="Q506" s="73">
        <f>IFERROR(INDEX(Katalog!$D$3:$D$12,MATCH(cadangan[[#This Row],[ItemID B]],Katalog!$C$3:$C$12,0))*cadangan[[#This Row],[Qty B]],0)</f>
        <v>350000</v>
      </c>
      <c r="R506" s="73">
        <f>IFERROR(cadangan[[#This Row],[Harga Normal B]]-(cadangan[[#This Row],[Harga Normal B]]*cadangan[[#This Row],[Diskon]]),cadangan[[#This Row],[Harga Normal B]])</f>
        <v>315000</v>
      </c>
      <c r="S506" s="73">
        <f>IFERROR(INDEX(Katalog!$F$3:$F$12,MATCH(cadangan[[#This Row],[ItemID B]],Katalog!$C$3:$C$12,0))*cadangan[[#This Row],[Qty B]],0)</f>
        <v>130000</v>
      </c>
      <c r="T506" s="73">
        <f>IFERROR(cadangan[[#This Row],[Harga Diskon B]]-INDEX(Katalog!$E$3:$E$12,MATCH(cadangan[[#This Row],[ItemID B]],Katalog!$C$3:$C$12,0))*cadangan[[#This Row],[Qty B]],0)</f>
        <v>95000</v>
      </c>
      <c r="V506" s="39" t="str">
        <f>IFERROR(INDEX(Katalog!$A$3:$A$12,MATCH(cadangan[[#This Row],[ItemID C]],Katalog!$C$3:$C$12,0)),"-")</f>
        <v>-</v>
      </c>
      <c r="W506" s="39" t="str">
        <f>IFERROR(INDEX(Katalog!$B$3:$B$12,MATCH(cadangan[[#This Row],[ItemID C]],Katalog!$C$3:$C$12,0)),"-")</f>
        <v>-</v>
      </c>
      <c r="Z506" s="73">
        <f>IFERROR(INDEX(Katalog!$D$3:$D$12,MATCH(cadangan[[#This Row],[ItemID C]],Katalog!$C$3:$C$12,0))*cadangan[[#This Row],[Qty C]],0)</f>
        <v>0</v>
      </c>
      <c r="AA506" s="73">
        <f>IFERROR(cadangan[[#This Row],[Harga Normal C]]-(cadangan[[#This Row],[Harga Normal C]]*cadangan[[#This Row],[Diskon]]),cadangan[[#This Row],[Harga Normal C]])</f>
        <v>0</v>
      </c>
      <c r="AB506" s="73">
        <f>IFERROR(INDEX(Katalog!$F$3:$F$12,MATCH(cadangan[[#This Row],[ItemID C]],Katalog!$C$3:$C$12,0))*cadangan[[#This Row],[Qty C]],0)</f>
        <v>0</v>
      </c>
      <c r="AC506" s="73">
        <f>IFERROR(cadangan[[#This Row],[Harga Diskon C]]-INDEX(Katalog!$E$3:$E$12,MATCH(cadangan[[#This Row],[ItemID C]],Katalog!$C$3:$C$12,0))*cadangan[[#This Row],[Qty C]],0)</f>
        <v>0</v>
      </c>
      <c r="AD506" s="53">
        <f>cadangan[[#This Row],[Qty A]]+cadangan[[#This Row],[Qty B]]+cadangan[[#This Row],[Qty C]]</f>
        <v>2</v>
      </c>
      <c r="AE506" s="73">
        <f>cadangan[[#This Row],[Harga Normal A]]+cadangan[[#This Row],[Harga Normal B]]+cadangan[[#This Row],[Harga Normal C]]</f>
        <v>500000</v>
      </c>
      <c r="AF506" s="73">
        <f>cadangan[[#This Row],[Harga Diskon A]]+cadangan[[#This Row],[Harga Diskon B]]+cadangan[[#This Row],[Harga Diskon C]]</f>
        <v>450000</v>
      </c>
      <c r="AG506" s="73">
        <f>(cadangan[[#This Row],[Profit Normal A]]+cadangan[[#This Row],[Profit Normal B]]+cadangan[[#This Row],[Profit Normal C]])</f>
        <v>180000</v>
      </c>
      <c r="AH506" s="73">
        <f>cadangan[[#This Row],[Profit Diskon A]]+cadangan[[#This Row],[Profit Diskon B]]+cadangan[[#This Row],[Profit Diskon C]]</f>
        <v>130000</v>
      </c>
      <c r="AI506" s="23" t="s">
        <v>31</v>
      </c>
      <c r="AJ506" s="37">
        <f>IFERROR(INDEX('Kode Diskon'!$D$3:$D$9,MATCH(cadangan[[#This Row],[Kode diskon]],'Kode Diskon'!$C$3:$C$9,0)),"-")</f>
        <v>0.1</v>
      </c>
      <c r="AK506" s="23" t="s">
        <v>9</v>
      </c>
      <c r="AL506" s="23" t="s">
        <v>10</v>
      </c>
      <c r="AM506" s="23" t="s">
        <v>76</v>
      </c>
      <c r="AN506" s="55">
        <v>45033</v>
      </c>
      <c r="AO506" s="53">
        <f>DAY(cadangan[[#This Row],[Tanggal terjual]])</f>
        <v>17</v>
      </c>
      <c r="AP506" s="21" t="str">
        <f>TEXT(cadangan[[#This Row],[Tanggal terjual]],"dddd")</f>
        <v>Monday</v>
      </c>
      <c r="AQ506" s="23" t="str" cm="1">
        <f t="array" ref="AQ5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06" s="61">
        <f>AVERAGE(cadangan[[#This Row],[Rating A]],cadangan[[#This Row],[Rating B]],cadangan[[#This Row],[Rating C]])</f>
        <v>4</v>
      </c>
    </row>
    <row r="507" spans="1:44" x14ac:dyDescent="0.2">
      <c r="A507" s="20">
        <v>506</v>
      </c>
      <c r="B507" s="21" t="str">
        <f>_xlfn.CONCAT("ORD-",INDEX(Helper!$B$2:$B$5,MATCH(cadangan[[#This Row],[Marketplace]],Helper!$A$2:$A$5,0)),TEXT(cadangan[[#This Row],[No]],"0000"),"-",TEXT(cadangan[[#This Row],[Tanggal terjual]],"dd/mm/yy"))</f>
        <v>ORD-SP0506-03/04/23</v>
      </c>
      <c r="C507" s="39" t="s">
        <v>63</v>
      </c>
      <c r="D507" s="39" t="str">
        <f>IFERROR(INDEX(Katalog!$A$3:$A$12,MATCH(cadangan[[#This Row],[ItemID A]],Katalog!$C$3:$C$12,0)),"-")</f>
        <v>Pakaian Pria</v>
      </c>
      <c r="E507" s="39" t="str">
        <f>IFERROR(INDEX(Katalog!$B$3:$B$12,MATCH(cadangan[[#This Row],[ItemID A]],Katalog!$C$3:$C$12,0)),"-")</f>
        <v>Jaket Jeans</v>
      </c>
      <c r="F507" s="50">
        <v>1</v>
      </c>
      <c r="G507" s="50">
        <v>4</v>
      </c>
      <c r="H507" s="73">
        <f>IFERROR(INDEX(Katalog!$D$3:$D$12,MATCH(cadangan[[#This Row],[ItemID A]],Katalog!$C$3:$C$12,0))*cadangan[[#This Row],[Qty A]],0)</f>
        <v>400000</v>
      </c>
      <c r="I507" s="73">
        <f>IFERROR(cadangan[[#This Row],[Harga Normal A]]-(cadangan[[#This Row],[Harga Normal A]]*cadangan[[#This Row],[Diskon]]),cadangan[[#This Row],[Harga Normal A]])</f>
        <v>360000</v>
      </c>
      <c r="J507" s="73">
        <f>INDEX(Katalog!$F$3:$F$12,MATCH(cadangan[[#This Row],[ItemID A]],Katalog!$C$3:$C$12,0))*cadangan[[#This Row],[Qty A]]</f>
        <v>150000</v>
      </c>
      <c r="K507" s="73">
        <f>IFERROR(cadangan[[#This Row],[Harga Diskon A]]-INDEX(Katalog!$E$3:$E$12,MATCH(cadangan[[#This Row],[ItemID A]],Katalog!$C$3:$C$12,0))*cadangan[[#This Row],[Qty A]],0)</f>
        <v>110000</v>
      </c>
      <c r="L507" s="39" t="s">
        <v>60</v>
      </c>
      <c r="M507" s="39" t="str">
        <f>IFERROR(INDEX(Katalog!$A$3:$A$12,MATCH(cadangan[[#This Row],[ItemID B]],Katalog!$C$3:$C$12,0)),"-")</f>
        <v>Pakaian Wanita</v>
      </c>
      <c r="N507" s="39" t="str">
        <f>IFERROR(INDEX(Katalog!$B$3:$B$12,MATCH(cadangan[[#This Row],[ItemID B]],Katalog!$C$3:$C$12,0)),"-")</f>
        <v>Kaftan</v>
      </c>
      <c r="O507" s="50">
        <v>2</v>
      </c>
      <c r="P507" s="50">
        <v>1</v>
      </c>
      <c r="Q507" s="73">
        <f>IFERROR(INDEX(Katalog!$D$3:$D$12,MATCH(cadangan[[#This Row],[ItemID B]],Katalog!$C$3:$C$12,0))*cadangan[[#This Row],[Qty B]],0)</f>
        <v>500000</v>
      </c>
      <c r="R507" s="73">
        <f>IFERROR(cadangan[[#This Row],[Harga Normal B]]-(cadangan[[#This Row],[Harga Normal B]]*cadangan[[#This Row],[Diskon]]),cadangan[[#This Row],[Harga Normal B]])</f>
        <v>450000</v>
      </c>
      <c r="S507" s="73">
        <f>IFERROR(INDEX(Katalog!$F$3:$F$12,MATCH(cadangan[[#This Row],[ItemID B]],Katalog!$C$3:$C$12,0))*cadangan[[#This Row],[Qty B]],0)</f>
        <v>200000</v>
      </c>
      <c r="T507" s="73">
        <f>IFERROR(cadangan[[#This Row],[Harga Diskon B]]-INDEX(Katalog!$E$3:$E$12,MATCH(cadangan[[#This Row],[ItemID B]],Katalog!$C$3:$C$12,0))*cadangan[[#This Row],[Qty B]],0)</f>
        <v>150000</v>
      </c>
      <c r="U507" s="39" t="s">
        <v>65</v>
      </c>
      <c r="V507" s="39" t="str">
        <f>IFERROR(INDEX(Katalog!$A$3:$A$12,MATCH(cadangan[[#This Row],[ItemID C]],Katalog!$C$3:$C$12,0)),"-")</f>
        <v>Sepatu Pria</v>
      </c>
      <c r="W507" s="39" t="str">
        <f>IFERROR(INDEX(Katalog!$B$3:$B$12,MATCH(cadangan[[#This Row],[ItemID C]],Katalog!$C$3:$C$12,0)),"-")</f>
        <v>Sneakers</v>
      </c>
      <c r="X507" s="50">
        <v>1</v>
      </c>
      <c r="Y507" s="50">
        <v>3</v>
      </c>
      <c r="Z507" s="73">
        <f>IFERROR(INDEX(Katalog!$D$3:$D$12,MATCH(cadangan[[#This Row],[ItemID C]],Katalog!$C$3:$C$12,0))*cadangan[[#This Row],[Qty C]],0)</f>
        <v>500000</v>
      </c>
      <c r="AA507" s="73">
        <f>IFERROR(cadangan[[#This Row],[Harga Normal C]]-(cadangan[[#This Row],[Harga Normal C]]*cadangan[[#This Row],[Diskon]]),cadangan[[#This Row],[Harga Normal C]])</f>
        <v>450000</v>
      </c>
      <c r="AB507" s="73">
        <f>IFERROR(INDEX(Katalog!$F$3:$F$12,MATCH(cadangan[[#This Row],[ItemID C]],Katalog!$C$3:$C$12,0))*cadangan[[#This Row],[Qty C]],0)</f>
        <v>200000</v>
      </c>
      <c r="AC507" s="73">
        <f>IFERROR(cadangan[[#This Row],[Harga Diskon C]]-INDEX(Katalog!$E$3:$E$12,MATCH(cadangan[[#This Row],[ItemID C]],Katalog!$C$3:$C$12,0))*cadangan[[#This Row],[Qty C]],0)</f>
        <v>150000</v>
      </c>
      <c r="AD507" s="53">
        <f>cadangan[[#This Row],[Qty A]]+cadangan[[#This Row],[Qty B]]+cadangan[[#This Row],[Qty C]]</f>
        <v>4</v>
      </c>
      <c r="AE507" s="73">
        <f>cadangan[[#This Row],[Harga Normal A]]+cadangan[[#This Row],[Harga Normal B]]+cadangan[[#This Row],[Harga Normal C]]</f>
        <v>1400000</v>
      </c>
      <c r="AF507" s="73">
        <f>cadangan[[#This Row],[Harga Diskon A]]+cadangan[[#This Row],[Harga Diskon B]]+cadangan[[#This Row],[Harga Diskon C]]</f>
        <v>1260000</v>
      </c>
      <c r="AG507" s="73">
        <f>(cadangan[[#This Row],[Profit Normal A]]+cadangan[[#This Row],[Profit Normal B]]+cadangan[[#This Row],[Profit Normal C]])</f>
        <v>550000</v>
      </c>
      <c r="AH507" s="73">
        <f>cadangan[[#This Row],[Profit Diskon A]]+cadangan[[#This Row],[Profit Diskon B]]+cadangan[[#This Row],[Profit Diskon C]]</f>
        <v>410000</v>
      </c>
      <c r="AI507" s="23" t="s">
        <v>6</v>
      </c>
      <c r="AJ507" s="37">
        <f>IFERROR(INDEX('Kode Diskon'!$D$3:$D$9,MATCH(cadangan[[#This Row],[Kode diskon]],'Kode Diskon'!$C$3:$C$9,0)),"-")</f>
        <v>0.1</v>
      </c>
      <c r="AK507" s="23" t="s">
        <v>29</v>
      </c>
      <c r="AL507" s="23" t="s">
        <v>7</v>
      </c>
      <c r="AM507" s="23" t="s">
        <v>76</v>
      </c>
      <c r="AN507" s="55">
        <v>45019</v>
      </c>
      <c r="AO507" s="53">
        <f>DAY(cadangan[[#This Row],[Tanggal terjual]])</f>
        <v>3</v>
      </c>
      <c r="AP507" s="21" t="str">
        <f>TEXT(cadangan[[#This Row],[Tanggal terjual]],"dddd")</f>
        <v>Monday</v>
      </c>
      <c r="AQ507" s="23" t="str" cm="1">
        <f t="array" ref="AQ5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07" s="61">
        <f>AVERAGE(cadangan[[#This Row],[Rating A]],cadangan[[#This Row],[Rating B]],cadangan[[#This Row],[Rating C]])</f>
        <v>2.6666666666666665</v>
      </c>
    </row>
    <row r="508" spans="1:44" x14ac:dyDescent="0.2">
      <c r="A508" s="20">
        <v>507</v>
      </c>
      <c r="B508" s="21" t="str">
        <f>_xlfn.CONCAT("ORD-",INDEX(Helper!$B$2:$B$5,MATCH(cadangan[[#This Row],[Marketplace]],Helper!$A$2:$A$5,0)),TEXT(cadangan[[#This Row],[No]],"0000"),"-",TEXT(cadangan[[#This Row],[Tanggal terjual]],"dd/mm/yy"))</f>
        <v>ORD-SP0507-22/04/23</v>
      </c>
      <c r="C508" s="39" t="s">
        <v>61</v>
      </c>
      <c r="D508" s="39" t="str">
        <f>IFERROR(INDEX(Katalog!$A$3:$A$12,MATCH(cadangan[[#This Row],[ItemID A]],Katalog!$C$3:$C$12,0)),"-")</f>
        <v>Pakaian Pria</v>
      </c>
      <c r="E508" s="39" t="str">
        <f>IFERROR(INDEX(Katalog!$B$3:$B$12,MATCH(cadangan[[#This Row],[ItemID A]],Katalog!$C$3:$C$12,0)),"-")</f>
        <v>Kaos Polo</v>
      </c>
      <c r="F508" s="50">
        <v>1</v>
      </c>
      <c r="G508" s="50">
        <v>2</v>
      </c>
      <c r="H508" s="73">
        <f>IFERROR(INDEX(Katalog!$D$3:$D$12,MATCH(cadangan[[#This Row],[ItemID A]],Katalog!$C$3:$C$12,0))*cadangan[[#This Row],[Qty A]],0)</f>
        <v>200000</v>
      </c>
      <c r="I508" s="73">
        <f>IFERROR(cadangan[[#This Row],[Harga Normal A]]-(cadangan[[#This Row],[Harga Normal A]]*cadangan[[#This Row],[Diskon]]),cadangan[[#This Row],[Harga Normal A]])</f>
        <v>160000</v>
      </c>
      <c r="J508" s="73">
        <f>INDEX(Katalog!$F$3:$F$12,MATCH(cadangan[[#This Row],[ItemID A]],Katalog!$C$3:$C$12,0))*cadangan[[#This Row],[Qty A]]</f>
        <v>80000</v>
      </c>
      <c r="K508" s="73">
        <f>IFERROR(cadangan[[#This Row],[Harga Diskon A]]-INDEX(Katalog!$E$3:$E$12,MATCH(cadangan[[#This Row],[ItemID A]],Katalog!$C$3:$C$12,0))*cadangan[[#This Row],[Qty A]],0)</f>
        <v>40000</v>
      </c>
      <c r="L508" s="39" t="s">
        <v>64</v>
      </c>
      <c r="M508" s="39" t="str">
        <f>IFERROR(INDEX(Katalog!$A$3:$A$12,MATCH(cadangan[[#This Row],[ItemID B]],Katalog!$C$3:$C$12,0)),"-")</f>
        <v>Pakaian Unisex</v>
      </c>
      <c r="N508" s="39" t="str">
        <f>IFERROR(INDEX(Katalog!$B$3:$B$12,MATCH(cadangan[[#This Row],[ItemID B]],Katalog!$C$3:$C$12,0)),"-")</f>
        <v>Jaket Hoodie</v>
      </c>
      <c r="O508" s="50">
        <v>6</v>
      </c>
      <c r="P508" s="50">
        <v>2</v>
      </c>
      <c r="Q508" s="73">
        <f>IFERROR(INDEX(Katalog!$D$3:$D$12,MATCH(cadangan[[#This Row],[ItemID B]],Katalog!$C$3:$C$12,0))*cadangan[[#This Row],[Qty B]],0)</f>
        <v>2100000</v>
      </c>
      <c r="R508" s="73">
        <f>IFERROR(cadangan[[#This Row],[Harga Normal B]]-(cadangan[[#This Row],[Harga Normal B]]*cadangan[[#This Row],[Diskon]]),cadangan[[#This Row],[Harga Normal B]])</f>
        <v>1680000</v>
      </c>
      <c r="S508" s="73">
        <f>IFERROR(INDEX(Katalog!$F$3:$F$12,MATCH(cadangan[[#This Row],[ItemID B]],Katalog!$C$3:$C$12,0))*cadangan[[#This Row],[Qty B]],0)</f>
        <v>780000</v>
      </c>
      <c r="T508" s="73">
        <f>IFERROR(cadangan[[#This Row],[Harga Diskon B]]-INDEX(Katalog!$E$3:$E$12,MATCH(cadangan[[#This Row],[ItemID B]],Katalog!$C$3:$C$12,0))*cadangan[[#This Row],[Qty B]],0)</f>
        <v>360000</v>
      </c>
      <c r="V508" s="39" t="str">
        <f>IFERROR(INDEX(Katalog!$A$3:$A$12,MATCH(cadangan[[#This Row],[ItemID C]],Katalog!$C$3:$C$12,0)),"-")</f>
        <v>-</v>
      </c>
      <c r="W508" s="39" t="str">
        <f>IFERROR(INDEX(Katalog!$B$3:$B$12,MATCH(cadangan[[#This Row],[ItemID C]],Katalog!$C$3:$C$12,0)),"-")</f>
        <v>-</v>
      </c>
      <c r="Z508" s="73">
        <f>IFERROR(INDEX(Katalog!$D$3:$D$12,MATCH(cadangan[[#This Row],[ItemID C]],Katalog!$C$3:$C$12,0))*cadangan[[#This Row],[Qty C]],0)</f>
        <v>0</v>
      </c>
      <c r="AA508" s="73">
        <f>IFERROR(cadangan[[#This Row],[Harga Normal C]]-(cadangan[[#This Row],[Harga Normal C]]*cadangan[[#This Row],[Diskon]]),cadangan[[#This Row],[Harga Normal C]])</f>
        <v>0</v>
      </c>
      <c r="AB508" s="73">
        <f>IFERROR(INDEX(Katalog!$F$3:$F$12,MATCH(cadangan[[#This Row],[ItemID C]],Katalog!$C$3:$C$12,0))*cadangan[[#This Row],[Qty C]],0)</f>
        <v>0</v>
      </c>
      <c r="AC508" s="73">
        <f>IFERROR(cadangan[[#This Row],[Harga Diskon C]]-INDEX(Katalog!$E$3:$E$12,MATCH(cadangan[[#This Row],[ItemID C]],Katalog!$C$3:$C$12,0))*cadangan[[#This Row],[Qty C]],0)</f>
        <v>0</v>
      </c>
      <c r="AD508" s="53">
        <f>cadangan[[#This Row],[Qty A]]+cadangan[[#This Row],[Qty B]]+cadangan[[#This Row],[Qty C]]</f>
        <v>7</v>
      </c>
      <c r="AE508" s="73">
        <f>cadangan[[#This Row],[Harga Normal A]]+cadangan[[#This Row],[Harga Normal B]]+cadangan[[#This Row],[Harga Normal C]]</f>
        <v>2300000</v>
      </c>
      <c r="AF508" s="73">
        <f>cadangan[[#This Row],[Harga Diskon A]]+cadangan[[#This Row],[Harga Diskon B]]+cadangan[[#This Row],[Harga Diskon C]]</f>
        <v>1840000</v>
      </c>
      <c r="AG508" s="73">
        <f>(cadangan[[#This Row],[Profit Normal A]]+cadangan[[#This Row],[Profit Normal B]]+cadangan[[#This Row],[Profit Normal C]])</f>
        <v>860000</v>
      </c>
      <c r="AH508" s="73">
        <f>cadangan[[#This Row],[Profit Diskon A]]+cadangan[[#This Row],[Profit Diskon B]]+cadangan[[#This Row],[Profit Diskon C]]</f>
        <v>400000</v>
      </c>
      <c r="AI508" s="23" t="s">
        <v>8</v>
      </c>
      <c r="AJ508" s="37">
        <f>IFERROR(INDEX('Kode Diskon'!$D$3:$D$9,MATCH(cadangan[[#This Row],[Kode diskon]],'Kode Diskon'!$C$3:$C$9,0)),"-")</f>
        <v>0.2</v>
      </c>
      <c r="AK508" s="23" t="s">
        <v>9</v>
      </c>
      <c r="AL508" s="23" t="s">
        <v>7</v>
      </c>
      <c r="AM508" s="23" t="s">
        <v>80</v>
      </c>
      <c r="AN508" s="55">
        <v>45038</v>
      </c>
      <c r="AO508" s="53">
        <f>DAY(cadangan[[#This Row],[Tanggal terjual]])</f>
        <v>22</v>
      </c>
      <c r="AP508" s="21" t="str">
        <f>TEXT(cadangan[[#This Row],[Tanggal terjual]],"dddd")</f>
        <v>Saturday</v>
      </c>
      <c r="AQ508" s="23" t="str" cm="1">
        <f t="array" ref="AQ5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08" s="61">
        <f>AVERAGE(cadangan[[#This Row],[Rating A]],cadangan[[#This Row],[Rating B]],cadangan[[#This Row],[Rating C]])</f>
        <v>2</v>
      </c>
    </row>
    <row r="509" spans="1:44" x14ac:dyDescent="0.2">
      <c r="A509" s="20">
        <v>508</v>
      </c>
      <c r="B509" s="21" t="str">
        <f>_xlfn.CONCAT("ORD-",INDEX(Helper!$B$2:$B$5,MATCH(cadangan[[#This Row],[Marketplace]],Helper!$A$2:$A$5,0)),TEXT(cadangan[[#This Row],[No]],"0000"),"-",TEXT(cadangan[[#This Row],[Tanggal terjual]],"dd/mm/yy"))</f>
        <v>ORD-BL0508-16/04/23</v>
      </c>
      <c r="C509" s="39" t="s">
        <v>66</v>
      </c>
      <c r="D509" s="39" t="str">
        <f>IFERROR(INDEX(Katalog!$A$3:$A$12,MATCH(cadangan[[#This Row],[ItemID A]],Katalog!$C$3:$C$12,0)),"-")</f>
        <v>Sepatu Pria</v>
      </c>
      <c r="E509" s="39" t="str">
        <f>IFERROR(INDEX(Katalog!$B$3:$B$12,MATCH(cadangan[[#This Row],[ItemID A]],Katalog!$C$3:$C$12,0)),"-")</f>
        <v>Sandal Slip On</v>
      </c>
      <c r="F509" s="50">
        <v>2</v>
      </c>
      <c r="G509" s="50">
        <v>3</v>
      </c>
      <c r="H509" s="73">
        <f>IFERROR(INDEX(Katalog!$D$3:$D$12,MATCH(cadangan[[#This Row],[ItemID A]],Katalog!$C$3:$C$12,0))*cadangan[[#This Row],[Qty A]],0)</f>
        <v>300000</v>
      </c>
      <c r="I509" s="73">
        <f>IFERROR(cadangan[[#This Row],[Harga Normal A]]-(cadangan[[#This Row],[Harga Normal A]]*cadangan[[#This Row],[Diskon]]),cadangan[[#This Row],[Harga Normal A]])</f>
        <v>255000</v>
      </c>
      <c r="J509" s="73">
        <f>INDEX(Katalog!$F$3:$F$12,MATCH(cadangan[[#This Row],[ItemID A]],Katalog!$C$3:$C$12,0))*cadangan[[#This Row],[Qty A]]</f>
        <v>120000</v>
      </c>
      <c r="K509" s="73">
        <f>IFERROR(cadangan[[#This Row],[Harga Diskon A]]-INDEX(Katalog!$E$3:$E$12,MATCH(cadangan[[#This Row],[ItemID A]],Katalog!$C$3:$C$12,0))*cadangan[[#This Row],[Qty A]],0)</f>
        <v>75000</v>
      </c>
      <c r="L509" s="39" t="s">
        <v>60</v>
      </c>
      <c r="M509" s="39" t="str">
        <f>IFERROR(INDEX(Katalog!$A$3:$A$12,MATCH(cadangan[[#This Row],[ItemID B]],Katalog!$C$3:$C$12,0)),"-")</f>
        <v>Pakaian Wanita</v>
      </c>
      <c r="N509" s="39" t="str">
        <f>IFERROR(INDEX(Katalog!$B$3:$B$12,MATCH(cadangan[[#This Row],[ItemID B]],Katalog!$C$3:$C$12,0)),"-")</f>
        <v>Kaftan</v>
      </c>
      <c r="O509" s="50">
        <v>1</v>
      </c>
      <c r="P509" s="50">
        <v>5</v>
      </c>
      <c r="Q509" s="73">
        <f>IFERROR(INDEX(Katalog!$D$3:$D$12,MATCH(cadangan[[#This Row],[ItemID B]],Katalog!$C$3:$C$12,0))*cadangan[[#This Row],[Qty B]],0)</f>
        <v>250000</v>
      </c>
      <c r="R509" s="73">
        <f>IFERROR(cadangan[[#This Row],[Harga Normal B]]-(cadangan[[#This Row],[Harga Normal B]]*cadangan[[#This Row],[Diskon]]),cadangan[[#This Row],[Harga Normal B]])</f>
        <v>212500</v>
      </c>
      <c r="S509" s="73">
        <f>IFERROR(INDEX(Katalog!$F$3:$F$12,MATCH(cadangan[[#This Row],[ItemID B]],Katalog!$C$3:$C$12,0))*cadangan[[#This Row],[Qty B]],0)</f>
        <v>100000</v>
      </c>
      <c r="T509" s="73">
        <f>IFERROR(cadangan[[#This Row],[Harga Diskon B]]-INDEX(Katalog!$E$3:$E$12,MATCH(cadangan[[#This Row],[ItemID B]],Katalog!$C$3:$C$12,0))*cadangan[[#This Row],[Qty B]],0)</f>
        <v>62500</v>
      </c>
      <c r="U509" s="39" t="s">
        <v>59</v>
      </c>
      <c r="V509" s="39" t="str">
        <f>IFERROR(INDEX(Katalog!$A$3:$A$12,MATCH(cadangan[[#This Row],[ItemID C]],Katalog!$C$3:$C$12,0)),"-")</f>
        <v>Pakaian Wanita</v>
      </c>
      <c r="W509" s="39" t="str">
        <f>IFERROR(INDEX(Katalog!$B$3:$B$12,MATCH(cadangan[[#This Row],[ItemID C]],Katalog!$C$3:$C$12,0)),"-")</f>
        <v>Blouse</v>
      </c>
      <c r="X509" s="50">
        <v>2</v>
      </c>
      <c r="Y509" s="50">
        <v>2</v>
      </c>
      <c r="Z509" s="73">
        <f>IFERROR(INDEX(Katalog!$D$3:$D$12,MATCH(cadangan[[#This Row],[ItemID C]],Katalog!$C$3:$C$12,0))*cadangan[[#This Row],[Qty C]],0)</f>
        <v>300000</v>
      </c>
      <c r="AA509" s="73">
        <f>IFERROR(cadangan[[#This Row],[Harga Normal C]]-(cadangan[[#This Row],[Harga Normal C]]*cadangan[[#This Row],[Diskon]]),cadangan[[#This Row],[Harga Normal C]])</f>
        <v>255000</v>
      </c>
      <c r="AB509" s="73">
        <f>IFERROR(INDEX(Katalog!$F$3:$F$12,MATCH(cadangan[[#This Row],[ItemID C]],Katalog!$C$3:$C$12,0))*cadangan[[#This Row],[Qty C]],0)</f>
        <v>100000</v>
      </c>
      <c r="AC509" s="73">
        <f>IFERROR(cadangan[[#This Row],[Harga Diskon C]]-INDEX(Katalog!$E$3:$E$12,MATCH(cadangan[[#This Row],[ItemID C]],Katalog!$C$3:$C$12,0))*cadangan[[#This Row],[Qty C]],0)</f>
        <v>55000</v>
      </c>
      <c r="AD509" s="53">
        <f>cadangan[[#This Row],[Qty A]]+cadangan[[#This Row],[Qty B]]+cadangan[[#This Row],[Qty C]]</f>
        <v>5</v>
      </c>
      <c r="AE509" s="73">
        <f>cadangan[[#This Row],[Harga Normal A]]+cadangan[[#This Row],[Harga Normal B]]+cadangan[[#This Row],[Harga Normal C]]</f>
        <v>850000</v>
      </c>
      <c r="AF509" s="73">
        <f>cadangan[[#This Row],[Harga Diskon A]]+cadangan[[#This Row],[Harga Diskon B]]+cadangan[[#This Row],[Harga Diskon C]]</f>
        <v>722500</v>
      </c>
      <c r="AG509" s="73">
        <f>(cadangan[[#This Row],[Profit Normal A]]+cadangan[[#This Row],[Profit Normal B]]+cadangan[[#This Row],[Profit Normal C]])</f>
        <v>320000</v>
      </c>
      <c r="AH509" s="73">
        <f>cadangan[[#This Row],[Profit Diskon A]]+cadangan[[#This Row],[Profit Diskon B]]+cadangan[[#This Row],[Profit Diskon C]]</f>
        <v>192500</v>
      </c>
      <c r="AI509" s="23" t="s">
        <v>32</v>
      </c>
      <c r="AJ509" s="37">
        <f>IFERROR(INDEX('Kode Diskon'!$D$3:$D$9,MATCH(cadangan[[#This Row],[Kode diskon]],'Kode Diskon'!$C$3:$C$9,0)),"-")</f>
        <v>0.15</v>
      </c>
      <c r="AK509" s="23" t="s">
        <v>9</v>
      </c>
      <c r="AL509" s="23" t="s">
        <v>12</v>
      </c>
      <c r="AM509" s="23" t="s">
        <v>79</v>
      </c>
      <c r="AN509" s="55">
        <v>45032</v>
      </c>
      <c r="AO509" s="53">
        <f>DAY(cadangan[[#This Row],[Tanggal terjual]])</f>
        <v>16</v>
      </c>
      <c r="AP509" s="21" t="str">
        <f>TEXT(cadangan[[#This Row],[Tanggal terjual]],"dddd")</f>
        <v>Sunday</v>
      </c>
      <c r="AQ509" s="23" t="str" cm="1">
        <f t="array" ref="AQ5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09" s="61">
        <f>AVERAGE(cadangan[[#This Row],[Rating A]],cadangan[[#This Row],[Rating B]],cadangan[[#This Row],[Rating C]])</f>
        <v>3.3333333333333335</v>
      </c>
    </row>
    <row r="510" spans="1:44" x14ac:dyDescent="0.2">
      <c r="A510" s="20">
        <v>509</v>
      </c>
      <c r="B510" s="21" t="str">
        <f>_xlfn.CONCAT("ORD-",INDEX(Helper!$B$2:$B$5,MATCH(cadangan[[#This Row],[Marketplace]],Helper!$A$2:$A$5,0)),TEXT(cadangan[[#This Row],[No]],"0000"),"-",TEXT(cadangan[[#This Row],[Tanggal terjual]],"dd/mm/yy"))</f>
        <v>ORD-SP0509-01/04/23</v>
      </c>
      <c r="C510" s="39" t="s">
        <v>66</v>
      </c>
      <c r="D510" s="39" t="str">
        <f>IFERROR(INDEX(Katalog!$A$3:$A$12,MATCH(cadangan[[#This Row],[ItemID A]],Katalog!$C$3:$C$12,0)),"-")</f>
        <v>Sepatu Pria</v>
      </c>
      <c r="E510" s="39" t="str">
        <f>IFERROR(INDEX(Katalog!$B$3:$B$12,MATCH(cadangan[[#This Row],[ItemID A]],Katalog!$C$3:$C$12,0)),"-")</f>
        <v>Sandal Slip On</v>
      </c>
      <c r="F510" s="50">
        <v>3</v>
      </c>
      <c r="G510" s="50">
        <v>5</v>
      </c>
      <c r="H510" s="73">
        <f>IFERROR(INDEX(Katalog!$D$3:$D$12,MATCH(cadangan[[#This Row],[ItemID A]],Katalog!$C$3:$C$12,0))*cadangan[[#This Row],[Qty A]],0)</f>
        <v>450000</v>
      </c>
      <c r="I510" s="73">
        <f>IFERROR(cadangan[[#This Row],[Harga Normal A]]-(cadangan[[#This Row],[Harga Normal A]]*cadangan[[#This Row],[Diskon]]),cadangan[[#This Row],[Harga Normal A]])</f>
        <v>382500</v>
      </c>
      <c r="J510" s="73">
        <f>INDEX(Katalog!$F$3:$F$12,MATCH(cadangan[[#This Row],[ItemID A]],Katalog!$C$3:$C$12,0))*cadangan[[#This Row],[Qty A]]</f>
        <v>180000</v>
      </c>
      <c r="K510" s="73">
        <f>IFERROR(cadangan[[#This Row],[Harga Diskon A]]-INDEX(Katalog!$E$3:$E$12,MATCH(cadangan[[#This Row],[ItemID A]],Katalog!$C$3:$C$12,0))*cadangan[[#This Row],[Qty A]],0)</f>
        <v>112500</v>
      </c>
      <c r="L510" s="39" t="s">
        <v>61</v>
      </c>
      <c r="M510" s="39" t="str">
        <f>IFERROR(INDEX(Katalog!$A$3:$A$12,MATCH(cadangan[[#This Row],[ItemID B]],Katalog!$C$3:$C$12,0)),"-")</f>
        <v>Pakaian Pria</v>
      </c>
      <c r="N510" s="39" t="str">
        <f>IFERROR(INDEX(Katalog!$B$3:$B$12,MATCH(cadangan[[#This Row],[ItemID B]],Katalog!$C$3:$C$12,0)),"-")</f>
        <v>Kaos Polo</v>
      </c>
      <c r="O510" s="50">
        <v>2</v>
      </c>
      <c r="P510" s="50">
        <v>2</v>
      </c>
      <c r="Q510" s="73">
        <f>IFERROR(INDEX(Katalog!$D$3:$D$12,MATCH(cadangan[[#This Row],[ItemID B]],Katalog!$C$3:$C$12,0))*cadangan[[#This Row],[Qty B]],0)</f>
        <v>400000</v>
      </c>
      <c r="R510" s="73">
        <f>IFERROR(cadangan[[#This Row],[Harga Normal B]]-(cadangan[[#This Row],[Harga Normal B]]*cadangan[[#This Row],[Diskon]]),cadangan[[#This Row],[Harga Normal B]])</f>
        <v>340000</v>
      </c>
      <c r="S510" s="73">
        <f>IFERROR(INDEX(Katalog!$F$3:$F$12,MATCH(cadangan[[#This Row],[ItemID B]],Katalog!$C$3:$C$12,0))*cadangan[[#This Row],[Qty B]],0)</f>
        <v>160000</v>
      </c>
      <c r="T510" s="73">
        <f>IFERROR(cadangan[[#This Row],[Harga Diskon B]]-INDEX(Katalog!$E$3:$E$12,MATCH(cadangan[[#This Row],[ItemID B]],Katalog!$C$3:$C$12,0))*cadangan[[#This Row],[Qty B]],0)</f>
        <v>100000</v>
      </c>
      <c r="U510" s="39" t="s">
        <v>63</v>
      </c>
      <c r="V510" s="39" t="str">
        <f>IFERROR(INDEX(Katalog!$A$3:$A$12,MATCH(cadangan[[#This Row],[ItemID C]],Katalog!$C$3:$C$12,0)),"-")</f>
        <v>Pakaian Pria</v>
      </c>
      <c r="W510" s="39" t="str">
        <f>IFERROR(INDEX(Katalog!$B$3:$B$12,MATCH(cadangan[[#This Row],[ItemID C]],Katalog!$C$3:$C$12,0)),"-")</f>
        <v>Jaket Jeans</v>
      </c>
      <c r="X510" s="50">
        <v>1</v>
      </c>
      <c r="Y510" s="50">
        <v>2</v>
      </c>
      <c r="Z510" s="73">
        <f>IFERROR(INDEX(Katalog!$D$3:$D$12,MATCH(cadangan[[#This Row],[ItemID C]],Katalog!$C$3:$C$12,0))*cadangan[[#This Row],[Qty C]],0)</f>
        <v>400000</v>
      </c>
      <c r="AA510" s="73">
        <f>IFERROR(cadangan[[#This Row],[Harga Normal C]]-(cadangan[[#This Row],[Harga Normal C]]*cadangan[[#This Row],[Diskon]]),cadangan[[#This Row],[Harga Normal C]])</f>
        <v>340000</v>
      </c>
      <c r="AB510" s="73">
        <f>IFERROR(INDEX(Katalog!$F$3:$F$12,MATCH(cadangan[[#This Row],[ItemID C]],Katalog!$C$3:$C$12,0))*cadangan[[#This Row],[Qty C]],0)</f>
        <v>150000</v>
      </c>
      <c r="AC510" s="73">
        <f>IFERROR(cadangan[[#This Row],[Harga Diskon C]]-INDEX(Katalog!$E$3:$E$12,MATCH(cadangan[[#This Row],[ItemID C]],Katalog!$C$3:$C$12,0))*cadangan[[#This Row],[Qty C]],0)</f>
        <v>90000</v>
      </c>
      <c r="AD510" s="53">
        <f>cadangan[[#This Row],[Qty A]]+cadangan[[#This Row],[Qty B]]+cadangan[[#This Row],[Qty C]]</f>
        <v>6</v>
      </c>
      <c r="AE510" s="73">
        <f>cadangan[[#This Row],[Harga Normal A]]+cadangan[[#This Row],[Harga Normal B]]+cadangan[[#This Row],[Harga Normal C]]</f>
        <v>1250000</v>
      </c>
      <c r="AF510" s="73">
        <f>cadangan[[#This Row],[Harga Diskon A]]+cadangan[[#This Row],[Harga Diskon B]]+cadangan[[#This Row],[Harga Diskon C]]</f>
        <v>1062500</v>
      </c>
      <c r="AG510" s="73">
        <f>(cadangan[[#This Row],[Profit Normal A]]+cadangan[[#This Row],[Profit Normal B]]+cadangan[[#This Row],[Profit Normal C]])</f>
        <v>490000</v>
      </c>
      <c r="AH510" s="73">
        <f>cadangan[[#This Row],[Profit Diskon A]]+cadangan[[#This Row],[Profit Diskon B]]+cadangan[[#This Row],[Profit Diskon C]]</f>
        <v>302500</v>
      </c>
      <c r="AI510" s="23" t="s">
        <v>13</v>
      </c>
      <c r="AJ510" s="37">
        <f>IFERROR(INDEX('Kode Diskon'!$D$3:$D$9,MATCH(cadangan[[#This Row],[Kode diskon]],'Kode Diskon'!$C$3:$C$9,0)),"-")</f>
        <v>0.15</v>
      </c>
      <c r="AK510" s="23" t="s">
        <v>29</v>
      </c>
      <c r="AL510" s="23" t="s">
        <v>7</v>
      </c>
      <c r="AM510" s="23" t="s">
        <v>77</v>
      </c>
      <c r="AN510" s="55">
        <v>45017</v>
      </c>
      <c r="AO510" s="53">
        <f>DAY(cadangan[[#This Row],[Tanggal terjual]])</f>
        <v>1</v>
      </c>
      <c r="AP510" s="21" t="str">
        <f>TEXT(cadangan[[#This Row],[Tanggal terjual]],"dddd")</f>
        <v>Saturday</v>
      </c>
      <c r="AQ510" s="23" t="str" cm="1">
        <f t="array" ref="AQ5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0" s="61">
        <f>AVERAGE(cadangan[[#This Row],[Rating A]],cadangan[[#This Row],[Rating B]],cadangan[[#This Row],[Rating C]])</f>
        <v>3</v>
      </c>
    </row>
    <row r="511" spans="1:44" x14ac:dyDescent="0.2">
      <c r="A511" s="20">
        <v>510</v>
      </c>
      <c r="B511" s="21" t="str">
        <f>_xlfn.CONCAT("ORD-",INDEX(Helper!$B$2:$B$5,MATCH(cadangan[[#This Row],[Marketplace]],Helper!$A$2:$A$5,0)),TEXT(cadangan[[#This Row],[No]],"0000"),"-",TEXT(cadangan[[#This Row],[Tanggal terjual]],"dd/mm/yy"))</f>
        <v>ORD-SP0510-06/04/23</v>
      </c>
      <c r="C511" s="39" t="s">
        <v>67</v>
      </c>
      <c r="D511" s="39" t="str">
        <f>IFERROR(INDEX(Katalog!$A$3:$A$12,MATCH(cadangan[[#This Row],[ItemID A]],Katalog!$C$3:$C$12,0)),"-")</f>
        <v>Sepatu Wanita</v>
      </c>
      <c r="E511" s="39" t="str">
        <f>IFERROR(INDEX(Katalog!$B$3:$B$12,MATCH(cadangan[[#This Row],[ItemID A]],Katalog!$C$3:$C$12,0)),"-")</f>
        <v>Flat Shoes</v>
      </c>
      <c r="F511" s="50">
        <v>1</v>
      </c>
      <c r="G511" s="50">
        <v>4</v>
      </c>
      <c r="H511" s="73">
        <f>IFERROR(INDEX(Katalog!$D$3:$D$12,MATCH(cadangan[[#This Row],[ItemID A]],Katalog!$C$3:$C$12,0))*cadangan[[#This Row],[Qty A]],0)</f>
        <v>250000</v>
      </c>
      <c r="I511" s="73">
        <f>IFERROR(cadangan[[#This Row],[Harga Normal A]]-(cadangan[[#This Row],[Harga Normal A]]*cadangan[[#This Row],[Diskon]]),cadangan[[#This Row],[Harga Normal A]])</f>
        <v>212500</v>
      </c>
      <c r="J511" s="73">
        <f>INDEX(Katalog!$F$3:$F$12,MATCH(cadangan[[#This Row],[ItemID A]],Katalog!$C$3:$C$12,0))*cadangan[[#This Row],[Qty A]]</f>
        <v>100000</v>
      </c>
      <c r="K511" s="73">
        <f>IFERROR(cadangan[[#This Row],[Harga Diskon A]]-INDEX(Katalog!$E$3:$E$12,MATCH(cadangan[[#This Row],[ItemID A]],Katalog!$C$3:$C$12,0))*cadangan[[#This Row],[Qty A]],0)</f>
        <v>62500</v>
      </c>
      <c r="M511" s="39" t="str">
        <f>IFERROR(INDEX(Katalog!$A$3:$A$12,MATCH(cadangan[[#This Row],[ItemID B]],Katalog!$C$3:$C$12,0)),"-")</f>
        <v>-</v>
      </c>
      <c r="N511" s="39" t="str">
        <f>IFERROR(INDEX(Katalog!$B$3:$B$12,MATCH(cadangan[[#This Row],[ItemID B]],Katalog!$C$3:$C$12,0)),"-")</f>
        <v>-</v>
      </c>
      <c r="Q511" s="73">
        <f>IFERROR(INDEX(Katalog!$D$3:$D$12,MATCH(cadangan[[#This Row],[ItemID B]],Katalog!$C$3:$C$12,0))*cadangan[[#This Row],[Qty B]],0)</f>
        <v>0</v>
      </c>
      <c r="R511" s="73">
        <f>IFERROR(cadangan[[#This Row],[Harga Normal B]]-(cadangan[[#This Row],[Harga Normal B]]*cadangan[[#This Row],[Diskon]]),cadangan[[#This Row],[Harga Normal B]])</f>
        <v>0</v>
      </c>
      <c r="S511" s="73">
        <f>IFERROR(INDEX(Katalog!$F$3:$F$12,MATCH(cadangan[[#This Row],[ItemID B]],Katalog!$C$3:$C$12,0))*cadangan[[#This Row],[Qty B]],0)</f>
        <v>0</v>
      </c>
      <c r="T511" s="73">
        <f>IFERROR(cadangan[[#This Row],[Harga Diskon B]]-INDEX(Katalog!$E$3:$E$12,MATCH(cadangan[[#This Row],[ItemID B]],Katalog!$C$3:$C$12,0))*cadangan[[#This Row],[Qty B]],0)</f>
        <v>0</v>
      </c>
      <c r="V511" s="39" t="str">
        <f>IFERROR(INDEX(Katalog!$A$3:$A$12,MATCH(cadangan[[#This Row],[ItemID C]],Katalog!$C$3:$C$12,0)),"-")</f>
        <v>-</v>
      </c>
      <c r="W511" s="39" t="str">
        <f>IFERROR(INDEX(Katalog!$B$3:$B$12,MATCH(cadangan[[#This Row],[ItemID C]],Katalog!$C$3:$C$12,0)),"-")</f>
        <v>-</v>
      </c>
      <c r="Z511" s="73">
        <f>IFERROR(INDEX(Katalog!$D$3:$D$12,MATCH(cadangan[[#This Row],[ItemID C]],Katalog!$C$3:$C$12,0))*cadangan[[#This Row],[Qty C]],0)</f>
        <v>0</v>
      </c>
      <c r="AA511" s="73">
        <f>IFERROR(cadangan[[#This Row],[Harga Normal C]]-(cadangan[[#This Row],[Harga Normal C]]*cadangan[[#This Row],[Diskon]]),cadangan[[#This Row],[Harga Normal C]])</f>
        <v>0</v>
      </c>
      <c r="AB511" s="73">
        <f>IFERROR(INDEX(Katalog!$F$3:$F$12,MATCH(cadangan[[#This Row],[ItemID C]],Katalog!$C$3:$C$12,0))*cadangan[[#This Row],[Qty C]],0)</f>
        <v>0</v>
      </c>
      <c r="AC511" s="73">
        <f>IFERROR(cadangan[[#This Row],[Harga Diskon C]]-INDEX(Katalog!$E$3:$E$12,MATCH(cadangan[[#This Row],[ItemID C]],Katalog!$C$3:$C$12,0))*cadangan[[#This Row],[Qty C]],0)</f>
        <v>0</v>
      </c>
      <c r="AD511" s="53">
        <f>cadangan[[#This Row],[Qty A]]+cadangan[[#This Row],[Qty B]]+cadangan[[#This Row],[Qty C]]</f>
        <v>1</v>
      </c>
      <c r="AE511" s="73">
        <f>cadangan[[#This Row],[Harga Normal A]]+cadangan[[#This Row],[Harga Normal B]]+cadangan[[#This Row],[Harga Normal C]]</f>
        <v>250000</v>
      </c>
      <c r="AF511" s="73">
        <f>cadangan[[#This Row],[Harga Diskon A]]+cadangan[[#This Row],[Harga Diskon B]]+cadangan[[#This Row],[Harga Diskon C]]</f>
        <v>212500</v>
      </c>
      <c r="AG511" s="73">
        <f>(cadangan[[#This Row],[Profit Normal A]]+cadangan[[#This Row],[Profit Normal B]]+cadangan[[#This Row],[Profit Normal C]])</f>
        <v>100000</v>
      </c>
      <c r="AH511" s="73">
        <f>cadangan[[#This Row],[Profit Diskon A]]+cadangan[[#This Row],[Profit Diskon B]]+cadangan[[#This Row],[Profit Diskon C]]</f>
        <v>62500</v>
      </c>
      <c r="AI511" s="23" t="s">
        <v>13</v>
      </c>
      <c r="AJ511" s="37">
        <f>IFERROR(INDEX('Kode Diskon'!$D$3:$D$9,MATCH(cadangan[[#This Row],[Kode diskon]],'Kode Diskon'!$C$3:$C$9,0)),"-")</f>
        <v>0.15</v>
      </c>
      <c r="AK511" s="23" t="s">
        <v>29</v>
      </c>
      <c r="AL511" s="23" t="s">
        <v>7</v>
      </c>
      <c r="AM511" s="23" t="s">
        <v>79</v>
      </c>
      <c r="AN511" s="55">
        <v>45022</v>
      </c>
      <c r="AO511" s="53">
        <f>DAY(cadangan[[#This Row],[Tanggal terjual]])</f>
        <v>6</v>
      </c>
      <c r="AP511" s="21" t="str">
        <f>TEXT(cadangan[[#This Row],[Tanggal terjual]],"dddd")</f>
        <v>Thursday</v>
      </c>
      <c r="AQ511" s="23" t="str" cm="1">
        <f t="array" ref="AQ5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1" s="61">
        <f>AVERAGE(cadangan[[#This Row],[Rating A]],cadangan[[#This Row],[Rating B]],cadangan[[#This Row],[Rating C]])</f>
        <v>4</v>
      </c>
    </row>
    <row r="512" spans="1:44" x14ac:dyDescent="0.2">
      <c r="A512" s="20">
        <v>511</v>
      </c>
      <c r="B512" s="21" t="str">
        <f>_xlfn.CONCAT("ORD-",INDEX(Helper!$B$2:$B$5,MATCH(cadangan[[#This Row],[Marketplace]],Helper!$A$2:$A$5,0)),TEXT(cadangan[[#This Row],[No]],"0000"),"-",TEXT(cadangan[[#This Row],[Tanggal terjual]],"dd/mm/yy"))</f>
        <v>ORD-BL0511-28/04/23</v>
      </c>
      <c r="C512" s="39" t="s">
        <v>64</v>
      </c>
      <c r="D512" s="39" t="str">
        <f>IFERROR(INDEX(Katalog!$A$3:$A$12,MATCH(cadangan[[#This Row],[ItemID A]],Katalog!$C$3:$C$12,0)),"-")</f>
        <v>Pakaian Unisex</v>
      </c>
      <c r="E512" s="39" t="str">
        <f>IFERROR(INDEX(Katalog!$B$3:$B$12,MATCH(cadangan[[#This Row],[ItemID A]],Katalog!$C$3:$C$12,0)),"-")</f>
        <v>Jaket Hoodie</v>
      </c>
      <c r="F512" s="50">
        <v>1</v>
      </c>
      <c r="G512" s="50">
        <v>5</v>
      </c>
      <c r="H512" s="73">
        <f>IFERROR(INDEX(Katalog!$D$3:$D$12,MATCH(cadangan[[#This Row],[ItemID A]],Katalog!$C$3:$C$12,0))*cadangan[[#This Row],[Qty A]],0)</f>
        <v>350000</v>
      </c>
      <c r="I512" s="73">
        <f>IFERROR(cadangan[[#This Row],[Harga Normal A]]-(cadangan[[#This Row],[Harga Normal A]]*cadangan[[#This Row],[Diskon]]),cadangan[[#This Row],[Harga Normal A]])</f>
        <v>297500</v>
      </c>
      <c r="J512" s="73">
        <f>INDEX(Katalog!$F$3:$F$12,MATCH(cadangan[[#This Row],[ItemID A]],Katalog!$C$3:$C$12,0))*cadangan[[#This Row],[Qty A]]</f>
        <v>130000</v>
      </c>
      <c r="K512" s="73">
        <f>IFERROR(cadangan[[#This Row],[Harga Diskon A]]-INDEX(Katalog!$E$3:$E$12,MATCH(cadangan[[#This Row],[ItemID A]],Katalog!$C$3:$C$12,0))*cadangan[[#This Row],[Qty A]],0)</f>
        <v>77500</v>
      </c>
      <c r="M512" s="39" t="str">
        <f>IFERROR(INDEX(Katalog!$A$3:$A$12,MATCH(cadangan[[#This Row],[ItemID B]],Katalog!$C$3:$C$12,0)),"-")</f>
        <v>-</v>
      </c>
      <c r="N512" s="39" t="str">
        <f>IFERROR(INDEX(Katalog!$B$3:$B$12,MATCH(cadangan[[#This Row],[ItemID B]],Katalog!$C$3:$C$12,0)),"-")</f>
        <v>-</v>
      </c>
      <c r="Q512" s="73">
        <f>IFERROR(INDEX(Katalog!$D$3:$D$12,MATCH(cadangan[[#This Row],[ItemID B]],Katalog!$C$3:$C$12,0))*cadangan[[#This Row],[Qty B]],0)</f>
        <v>0</v>
      </c>
      <c r="R512" s="73">
        <f>IFERROR(cadangan[[#This Row],[Harga Normal B]]-(cadangan[[#This Row],[Harga Normal B]]*cadangan[[#This Row],[Diskon]]),cadangan[[#This Row],[Harga Normal B]])</f>
        <v>0</v>
      </c>
      <c r="S512" s="73">
        <f>IFERROR(INDEX(Katalog!$F$3:$F$12,MATCH(cadangan[[#This Row],[ItemID B]],Katalog!$C$3:$C$12,0))*cadangan[[#This Row],[Qty B]],0)</f>
        <v>0</v>
      </c>
      <c r="T512" s="73">
        <f>IFERROR(cadangan[[#This Row],[Harga Diskon B]]-INDEX(Katalog!$E$3:$E$12,MATCH(cadangan[[#This Row],[ItemID B]],Katalog!$C$3:$C$12,0))*cadangan[[#This Row],[Qty B]],0)</f>
        <v>0</v>
      </c>
      <c r="V512" s="39" t="str">
        <f>IFERROR(INDEX(Katalog!$A$3:$A$12,MATCH(cadangan[[#This Row],[ItemID C]],Katalog!$C$3:$C$12,0)),"-")</f>
        <v>-</v>
      </c>
      <c r="W512" s="39" t="str">
        <f>IFERROR(INDEX(Katalog!$B$3:$B$12,MATCH(cadangan[[#This Row],[ItemID C]],Katalog!$C$3:$C$12,0)),"-")</f>
        <v>-</v>
      </c>
      <c r="Z512" s="73">
        <f>IFERROR(INDEX(Katalog!$D$3:$D$12,MATCH(cadangan[[#This Row],[ItemID C]],Katalog!$C$3:$C$12,0))*cadangan[[#This Row],[Qty C]],0)</f>
        <v>0</v>
      </c>
      <c r="AA512" s="73">
        <f>IFERROR(cadangan[[#This Row],[Harga Normal C]]-(cadangan[[#This Row],[Harga Normal C]]*cadangan[[#This Row],[Diskon]]),cadangan[[#This Row],[Harga Normal C]])</f>
        <v>0</v>
      </c>
      <c r="AB512" s="73">
        <f>IFERROR(INDEX(Katalog!$F$3:$F$12,MATCH(cadangan[[#This Row],[ItemID C]],Katalog!$C$3:$C$12,0))*cadangan[[#This Row],[Qty C]],0)</f>
        <v>0</v>
      </c>
      <c r="AC512" s="73">
        <f>IFERROR(cadangan[[#This Row],[Harga Diskon C]]-INDEX(Katalog!$E$3:$E$12,MATCH(cadangan[[#This Row],[ItemID C]],Katalog!$C$3:$C$12,0))*cadangan[[#This Row],[Qty C]],0)</f>
        <v>0</v>
      </c>
      <c r="AD512" s="53">
        <f>cadangan[[#This Row],[Qty A]]+cadangan[[#This Row],[Qty B]]+cadangan[[#This Row],[Qty C]]</f>
        <v>1</v>
      </c>
      <c r="AE512" s="73">
        <f>cadangan[[#This Row],[Harga Normal A]]+cadangan[[#This Row],[Harga Normal B]]+cadangan[[#This Row],[Harga Normal C]]</f>
        <v>350000</v>
      </c>
      <c r="AF512" s="73">
        <f>cadangan[[#This Row],[Harga Diskon A]]+cadangan[[#This Row],[Harga Diskon B]]+cadangan[[#This Row],[Harga Diskon C]]</f>
        <v>297500</v>
      </c>
      <c r="AG512" s="73">
        <f>(cadangan[[#This Row],[Profit Normal A]]+cadangan[[#This Row],[Profit Normal B]]+cadangan[[#This Row],[Profit Normal C]])</f>
        <v>130000</v>
      </c>
      <c r="AH512" s="73">
        <f>cadangan[[#This Row],[Profit Diskon A]]+cadangan[[#This Row],[Profit Diskon B]]+cadangan[[#This Row],[Profit Diskon C]]</f>
        <v>77500</v>
      </c>
      <c r="AI512" s="23" t="s">
        <v>32</v>
      </c>
      <c r="AJ512" s="37">
        <f>IFERROR(INDEX('Kode Diskon'!$D$3:$D$9,MATCH(cadangan[[#This Row],[Kode diskon]],'Kode Diskon'!$C$3:$C$9,0)),"-")</f>
        <v>0.15</v>
      </c>
      <c r="AK512" s="23" t="s">
        <v>9</v>
      </c>
      <c r="AL512" s="23" t="s">
        <v>12</v>
      </c>
      <c r="AM512" s="23" t="s">
        <v>76</v>
      </c>
      <c r="AN512" s="55">
        <v>45044</v>
      </c>
      <c r="AO512" s="53">
        <f>DAY(cadangan[[#This Row],[Tanggal terjual]])</f>
        <v>28</v>
      </c>
      <c r="AP512" s="21" t="str">
        <f>TEXT(cadangan[[#This Row],[Tanggal terjual]],"dddd")</f>
        <v>Friday</v>
      </c>
      <c r="AQ512" s="23" t="str" cm="1">
        <f t="array" ref="AQ5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12" s="61">
        <f>AVERAGE(cadangan[[#This Row],[Rating A]],cadangan[[#This Row],[Rating B]],cadangan[[#This Row],[Rating C]])</f>
        <v>5</v>
      </c>
    </row>
    <row r="513" spans="1:44" x14ac:dyDescent="0.2">
      <c r="A513" s="20">
        <v>512</v>
      </c>
      <c r="B513" s="21" t="str">
        <f>_xlfn.CONCAT("ORD-",INDEX(Helper!$B$2:$B$5,MATCH(cadangan[[#This Row],[Marketplace]],Helper!$A$2:$A$5,0)),TEXT(cadangan[[#This Row],[No]],"0000"),"-",TEXT(cadangan[[#This Row],[Tanggal terjual]],"dd/mm/yy"))</f>
        <v>ORD-BB0512-01/04/23</v>
      </c>
      <c r="C513" s="39" t="s">
        <v>66</v>
      </c>
      <c r="D513" s="39" t="str">
        <f>IFERROR(INDEX(Katalog!$A$3:$A$12,MATCH(cadangan[[#This Row],[ItemID A]],Katalog!$C$3:$C$12,0)),"-")</f>
        <v>Sepatu Pria</v>
      </c>
      <c r="E513" s="39" t="str">
        <f>IFERROR(INDEX(Katalog!$B$3:$B$12,MATCH(cadangan[[#This Row],[ItemID A]],Katalog!$C$3:$C$12,0)),"-")</f>
        <v>Sandal Slip On</v>
      </c>
      <c r="F513" s="50">
        <v>1</v>
      </c>
      <c r="G513" s="50">
        <v>3</v>
      </c>
      <c r="H513" s="73">
        <f>IFERROR(INDEX(Katalog!$D$3:$D$12,MATCH(cadangan[[#This Row],[ItemID A]],Katalog!$C$3:$C$12,0))*cadangan[[#This Row],[Qty A]],0)</f>
        <v>150000</v>
      </c>
      <c r="I513" s="73">
        <f>IFERROR(cadangan[[#This Row],[Harga Normal A]]-(cadangan[[#This Row],[Harga Normal A]]*cadangan[[#This Row],[Diskon]]),cadangan[[#This Row],[Harga Normal A]])</f>
        <v>127500</v>
      </c>
      <c r="J513" s="73">
        <f>INDEX(Katalog!$F$3:$F$12,MATCH(cadangan[[#This Row],[ItemID A]],Katalog!$C$3:$C$12,0))*cadangan[[#This Row],[Qty A]]</f>
        <v>60000</v>
      </c>
      <c r="K513" s="73">
        <f>IFERROR(cadangan[[#This Row],[Harga Diskon A]]-INDEX(Katalog!$E$3:$E$12,MATCH(cadangan[[#This Row],[ItemID A]],Katalog!$C$3:$C$12,0))*cadangan[[#This Row],[Qty A]],0)</f>
        <v>37500</v>
      </c>
      <c r="M513" s="39" t="str">
        <f>IFERROR(INDEX(Katalog!$A$3:$A$12,MATCH(cadangan[[#This Row],[ItemID B]],Katalog!$C$3:$C$12,0)),"-")</f>
        <v>-</v>
      </c>
      <c r="N513" s="39" t="str">
        <f>IFERROR(INDEX(Katalog!$B$3:$B$12,MATCH(cadangan[[#This Row],[ItemID B]],Katalog!$C$3:$C$12,0)),"-")</f>
        <v>-</v>
      </c>
      <c r="Q513" s="73">
        <f>IFERROR(INDEX(Katalog!$D$3:$D$12,MATCH(cadangan[[#This Row],[ItemID B]],Katalog!$C$3:$C$12,0))*cadangan[[#This Row],[Qty B]],0)</f>
        <v>0</v>
      </c>
      <c r="R513" s="73">
        <f>IFERROR(cadangan[[#This Row],[Harga Normal B]]-(cadangan[[#This Row],[Harga Normal B]]*cadangan[[#This Row],[Diskon]]),cadangan[[#This Row],[Harga Normal B]])</f>
        <v>0</v>
      </c>
      <c r="S513" s="73">
        <f>IFERROR(INDEX(Katalog!$F$3:$F$12,MATCH(cadangan[[#This Row],[ItemID B]],Katalog!$C$3:$C$12,0))*cadangan[[#This Row],[Qty B]],0)</f>
        <v>0</v>
      </c>
      <c r="T513" s="73">
        <f>IFERROR(cadangan[[#This Row],[Harga Diskon B]]-INDEX(Katalog!$E$3:$E$12,MATCH(cadangan[[#This Row],[ItemID B]],Katalog!$C$3:$C$12,0))*cadangan[[#This Row],[Qty B]],0)</f>
        <v>0</v>
      </c>
      <c r="V513" s="39" t="str">
        <f>IFERROR(INDEX(Katalog!$A$3:$A$12,MATCH(cadangan[[#This Row],[ItemID C]],Katalog!$C$3:$C$12,0)),"-")</f>
        <v>-</v>
      </c>
      <c r="W513" s="39" t="str">
        <f>IFERROR(INDEX(Katalog!$B$3:$B$12,MATCH(cadangan[[#This Row],[ItemID C]],Katalog!$C$3:$C$12,0)),"-")</f>
        <v>-</v>
      </c>
      <c r="Z513" s="73">
        <f>IFERROR(INDEX(Katalog!$D$3:$D$12,MATCH(cadangan[[#This Row],[ItemID C]],Katalog!$C$3:$C$12,0))*cadangan[[#This Row],[Qty C]],0)</f>
        <v>0</v>
      </c>
      <c r="AA513" s="73">
        <f>IFERROR(cadangan[[#This Row],[Harga Normal C]]-(cadangan[[#This Row],[Harga Normal C]]*cadangan[[#This Row],[Diskon]]),cadangan[[#This Row],[Harga Normal C]])</f>
        <v>0</v>
      </c>
      <c r="AB513" s="73">
        <f>IFERROR(INDEX(Katalog!$F$3:$F$12,MATCH(cadangan[[#This Row],[ItemID C]],Katalog!$C$3:$C$12,0))*cadangan[[#This Row],[Qty C]],0)</f>
        <v>0</v>
      </c>
      <c r="AC513" s="73">
        <f>IFERROR(cadangan[[#This Row],[Harga Diskon C]]-INDEX(Katalog!$E$3:$E$12,MATCH(cadangan[[#This Row],[ItemID C]],Katalog!$C$3:$C$12,0))*cadangan[[#This Row],[Qty C]],0)</f>
        <v>0</v>
      </c>
      <c r="AD513" s="53">
        <f>cadangan[[#This Row],[Qty A]]+cadangan[[#This Row],[Qty B]]+cadangan[[#This Row],[Qty C]]</f>
        <v>1</v>
      </c>
      <c r="AE513" s="73">
        <f>cadangan[[#This Row],[Harga Normal A]]+cadangan[[#This Row],[Harga Normal B]]+cadangan[[#This Row],[Harga Normal C]]</f>
        <v>150000</v>
      </c>
      <c r="AF513" s="73">
        <f>cadangan[[#This Row],[Harga Diskon A]]+cadangan[[#This Row],[Harga Diskon B]]+cadangan[[#This Row],[Harga Diskon C]]</f>
        <v>127500</v>
      </c>
      <c r="AG513" s="73">
        <f>(cadangan[[#This Row],[Profit Normal A]]+cadangan[[#This Row],[Profit Normal B]]+cadangan[[#This Row],[Profit Normal C]])</f>
        <v>60000</v>
      </c>
      <c r="AH513" s="73">
        <f>cadangan[[#This Row],[Profit Diskon A]]+cadangan[[#This Row],[Profit Diskon B]]+cadangan[[#This Row],[Profit Diskon C]]</f>
        <v>37500</v>
      </c>
      <c r="AI513" s="23" t="s">
        <v>28</v>
      </c>
      <c r="AJ513" s="37">
        <f>IFERROR(INDEX('Kode Diskon'!$D$3:$D$9,MATCH(cadangan[[#This Row],[Kode diskon]],'Kode Diskon'!$C$3:$C$9,0)),"-")</f>
        <v>0.15</v>
      </c>
      <c r="AK513" s="23" t="s">
        <v>29</v>
      </c>
      <c r="AL513" s="23" t="s">
        <v>14</v>
      </c>
      <c r="AM513" s="23" t="s">
        <v>79</v>
      </c>
      <c r="AN513" s="55">
        <v>45017</v>
      </c>
      <c r="AO513" s="53">
        <f>DAY(cadangan[[#This Row],[Tanggal terjual]])</f>
        <v>1</v>
      </c>
      <c r="AP513" s="21" t="str">
        <f>TEXT(cadangan[[#This Row],[Tanggal terjual]],"dddd")</f>
        <v>Saturday</v>
      </c>
      <c r="AQ513" s="23" t="str" cm="1">
        <f t="array" ref="AQ5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3" s="61">
        <f>AVERAGE(cadangan[[#This Row],[Rating A]],cadangan[[#This Row],[Rating B]],cadangan[[#This Row],[Rating C]])</f>
        <v>3</v>
      </c>
    </row>
    <row r="514" spans="1:44" x14ac:dyDescent="0.2">
      <c r="A514" s="20">
        <v>513</v>
      </c>
      <c r="B514" s="21" t="str">
        <f>_xlfn.CONCAT("ORD-",INDEX(Helper!$B$2:$B$5,MATCH(cadangan[[#This Row],[Marketplace]],Helper!$A$2:$A$5,0)),TEXT(cadangan[[#This Row],[No]],"0000"),"-",TEXT(cadangan[[#This Row],[Tanggal terjual]],"dd/mm/yy"))</f>
        <v>ORD-SP0513-30/04/23</v>
      </c>
      <c r="C514" s="39" t="s">
        <v>65</v>
      </c>
      <c r="D514" s="39" t="str">
        <f>IFERROR(INDEX(Katalog!$A$3:$A$12,MATCH(cadangan[[#This Row],[ItemID A]],Katalog!$C$3:$C$12,0)),"-")</f>
        <v>Sepatu Pria</v>
      </c>
      <c r="E514" s="39" t="str">
        <f>IFERROR(INDEX(Katalog!$B$3:$B$12,MATCH(cadangan[[#This Row],[ItemID A]],Katalog!$C$3:$C$12,0)),"-")</f>
        <v>Sneakers</v>
      </c>
      <c r="F514" s="50">
        <v>3</v>
      </c>
      <c r="G514" s="50">
        <v>2</v>
      </c>
      <c r="H514" s="73">
        <f>IFERROR(INDEX(Katalog!$D$3:$D$12,MATCH(cadangan[[#This Row],[ItemID A]],Katalog!$C$3:$C$12,0))*cadangan[[#This Row],[Qty A]],0)</f>
        <v>1500000</v>
      </c>
      <c r="I514" s="73">
        <f>IFERROR(cadangan[[#This Row],[Harga Normal A]]-(cadangan[[#This Row],[Harga Normal A]]*cadangan[[#This Row],[Diskon]]),cadangan[[#This Row],[Harga Normal A]])</f>
        <v>1200000</v>
      </c>
      <c r="J514" s="73">
        <f>INDEX(Katalog!$F$3:$F$12,MATCH(cadangan[[#This Row],[ItemID A]],Katalog!$C$3:$C$12,0))*cadangan[[#This Row],[Qty A]]</f>
        <v>600000</v>
      </c>
      <c r="K514" s="73">
        <f>IFERROR(cadangan[[#This Row],[Harga Diskon A]]-INDEX(Katalog!$E$3:$E$12,MATCH(cadangan[[#This Row],[ItemID A]],Katalog!$C$3:$C$12,0))*cadangan[[#This Row],[Qty A]],0)</f>
        <v>300000</v>
      </c>
      <c r="L514" s="39" t="s">
        <v>61</v>
      </c>
      <c r="M514" s="39" t="str">
        <f>IFERROR(INDEX(Katalog!$A$3:$A$12,MATCH(cadangan[[#This Row],[ItemID B]],Katalog!$C$3:$C$12,0)),"-")</f>
        <v>Pakaian Pria</v>
      </c>
      <c r="N514" s="39" t="str">
        <f>IFERROR(INDEX(Katalog!$B$3:$B$12,MATCH(cadangan[[#This Row],[ItemID B]],Katalog!$C$3:$C$12,0)),"-")</f>
        <v>Kaos Polo</v>
      </c>
      <c r="O514" s="50">
        <v>2</v>
      </c>
      <c r="P514" s="50">
        <v>3</v>
      </c>
      <c r="Q514" s="73">
        <f>IFERROR(INDEX(Katalog!$D$3:$D$12,MATCH(cadangan[[#This Row],[ItemID B]],Katalog!$C$3:$C$12,0))*cadangan[[#This Row],[Qty B]],0)</f>
        <v>400000</v>
      </c>
      <c r="R514" s="73">
        <f>IFERROR(cadangan[[#This Row],[Harga Normal B]]-(cadangan[[#This Row],[Harga Normal B]]*cadangan[[#This Row],[Diskon]]),cadangan[[#This Row],[Harga Normal B]])</f>
        <v>320000</v>
      </c>
      <c r="S514" s="73">
        <f>IFERROR(INDEX(Katalog!$F$3:$F$12,MATCH(cadangan[[#This Row],[ItemID B]],Katalog!$C$3:$C$12,0))*cadangan[[#This Row],[Qty B]],0)</f>
        <v>160000</v>
      </c>
      <c r="T514" s="73">
        <f>IFERROR(cadangan[[#This Row],[Harga Diskon B]]-INDEX(Katalog!$E$3:$E$12,MATCH(cadangan[[#This Row],[ItemID B]],Katalog!$C$3:$C$12,0))*cadangan[[#This Row],[Qty B]],0)</f>
        <v>80000</v>
      </c>
      <c r="V514" s="39" t="str">
        <f>IFERROR(INDEX(Katalog!$A$3:$A$12,MATCH(cadangan[[#This Row],[ItemID C]],Katalog!$C$3:$C$12,0)),"-")</f>
        <v>-</v>
      </c>
      <c r="W514" s="39" t="str">
        <f>IFERROR(INDEX(Katalog!$B$3:$B$12,MATCH(cadangan[[#This Row],[ItemID C]],Katalog!$C$3:$C$12,0)),"-")</f>
        <v>-</v>
      </c>
      <c r="Z514" s="73">
        <f>IFERROR(INDEX(Katalog!$D$3:$D$12,MATCH(cadangan[[#This Row],[ItemID C]],Katalog!$C$3:$C$12,0))*cadangan[[#This Row],[Qty C]],0)</f>
        <v>0</v>
      </c>
      <c r="AA514" s="73">
        <f>IFERROR(cadangan[[#This Row],[Harga Normal C]]-(cadangan[[#This Row],[Harga Normal C]]*cadangan[[#This Row],[Diskon]]),cadangan[[#This Row],[Harga Normal C]])</f>
        <v>0</v>
      </c>
      <c r="AB514" s="73">
        <f>IFERROR(INDEX(Katalog!$F$3:$F$12,MATCH(cadangan[[#This Row],[ItemID C]],Katalog!$C$3:$C$12,0))*cadangan[[#This Row],[Qty C]],0)</f>
        <v>0</v>
      </c>
      <c r="AC514" s="73">
        <f>IFERROR(cadangan[[#This Row],[Harga Diskon C]]-INDEX(Katalog!$E$3:$E$12,MATCH(cadangan[[#This Row],[ItemID C]],Katalog!$C$3:$C$12,0))*cadangan[[#This Row],[Qty C]],0)</f>
        <v>0</v>
      </c>
      <c r="AD514" s="53">
        <f>cadangan[[#This Row],[Qty A]]+cadangan[[#This Row],[Qty B]]+cadangan[[#This Row],[Qty C]]</f>
        <v>5</v>
      </c>
      <c r="AE514" s="73">
        <f>cadangan[[#This Row],[Harga Normal A]]+cadangan[[#This Row],[Harga Normal B]]+cadangan[[#This Row],[Harga Normal C]]</f>
        <v>1900000</v>
      </c>
      <c r="AF514" s="73">
        <f>cadangan[[#This Row],[Harga Diskon A]]+cadangan[[#This Row],[Harga Diskon B]]+cadangan[[#This Row],[Harga Diskon C]]</f>
        <v>1520000</v>
      </c>
      <c r="AG514" s="73">
        <f>(cadangan[[#This Row],[Profit Normal A]]+cadangan[[#This Row],[Profit Normal B]]+cadangan[[#This Row],[Profit Normal C]])</f>
        <v>760000</v>
      </c>
      <c r="AH514" s="73">
        <f>cadangan[[#This Row],[Profit Diskon A]]+cadangan[[#This Row],[Profit Diskon B]]+cadangan[[#This Row],[Profit Diskon C]]</f>
        <v>380000</v>
      </c>
      <c r="AI514" s="23" t="s">
        <v>8</v>
      </c>
      <c r="AJ514" s="37">
        <f>IFERROR(INDEX('Kode Diskon'!$D$3:$D$9,MATCH(cadangan[[#This Row],[Kode diskon]],'Kode Diskon'!$C$3:$C$9,0)),"-")</f>
        <v>0.2</v>
      </c>
      <c r="AK514" s="23" t="s">
        <v>9</v>
      </c>
      <c r="AL514" s="23" t="s">
        <v>7</v>
      </c>
      <c r="AM514" s="23" t="s">
        <v>75</v>
      </c>
      <c r="AN514" s="55">
        <v>45046</v>
      </c>
      <c r="AO514" s="53">
        <f>DAY(cadangan[[#This Row],[Tanggal terjual]])</f>
        <v>30</v>
      </c>
      <c r="AP514" s="21" t="str">
        <f>TEXT(cadangan[[#This Row],[Tanggal terjual]],"dddd")</f>
        <v>Sunday</v>
      </c>
      <c r="AQ514" s="23" t="str" cm="1">
        <f t="array" ref="AQ5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14" s="61">
        <f>AVERAGE(cadangan[[#This Row],[Rating A]],cadangan[[#This Row],[Rating B]],cadangan[[#This Row],[Rating C]])</f>
        <v>2.5</v>
      </c>
    </row>
    <row r="515" spans="1:44" x14ac:dyDescent="0.2">
      <c r="A515" s="20">
        <v>514</v>
      </c>
      <c r="B515" s="21" t="str">
        <f>_xlfn.CONCAT("ORD-",INDEX(Helper!$B$2:$B$5,MATCH(cadangan[[#This Row],[Marketplace]],Helper!$A$2:$A$5,0)),TEXT(cadangan[[#This Row],[No]],"0000"),"-",TEXT(cadangan[[#This Row],[Tanggal terjual]],"dd/mm/yy"))</f>
        <v>ORD-SP0514-16/04/23</v>
      </c>
      <c r="C515" s="39" t="s">
        <v>64</v>
      </c>
      <c r="D515" s="39" t="str">
        <f>IFERROR(INDEX(Katalog!$A$3:$A$12,MATCH(cadangan[[#This Row],[ItemID A]],Katalog!$C$3:$C$12,0)),"-")</f>
        <v>Pakaian Unisex</v>
      </c>
      <c r="E515" s="39" t="str">
        <f>IFERROR(INDEX(Katalog!$B$3:$B$12,MATCH(cadangan[[#This Row],[ItemID A]],Katalog!$C$3:$C$12,0)),"-")</f>
        <v>Jaket Hoodie</v>
      </c>
      <c r="F515" s="50">
        <v>2</v>
      </c>
      <c r="G515" s="50">
        <v>4</v>
      </c>
      <c r="H515" s="73">
        <f>IFERROR(INDEX(Katalog!$D$3:$D$12,MATCH(cadangan[[#This Row],[ItemID A]],Katalog!$C$3:$C$12,0))*cadangan[[#This Row],[Qty A]],0)</f>
        <v>700000</v>
      </c>
      <c r="I515" s="73">
        <f>IFERROR(cadangan[[#This Row],[Harga Normal A]]-(cadangan[[#This Row],[Harga Normal A]]*cadangan[[#This Row],[Diskon]]),cadangan[[#This Row],[Harga Normal A]])</f>
        <v>560000</v>
      </c>
      <c r="J515" s="73">
        <f>INDEX(Katalog!$F$3:$F$12,MATCH(cadangan[[#This Row],[ItemID A]],Katalog!$C$3:$C$12,0))*cadangan[[#This Row],[Qty A]]</f>
        <v>260000</v>
      </c>
      <c r="K515" s="73">
        <f>IFERROR(cadangan[[#This Row],[Harga Diskon A]]-INDEX(Katalog!$E$3:$E$12,MATCH(cadangan[[#This Row],[ItemID A]],Katalog!$C$3:$C$12,0))*cadangan[[#This Row],[Qty A]],0)</f>
        <v>120000</v>
      </c>
      <c r="L515" s="39" t="s">
        <v>60</v>
      </c>
      <c r="M515" s="39" t="str">
        <f>IFERROR(INDEX(Katalog!$A$3:$A$12,MATCH(cadangan[[#This Row],[ItemID B]],Katalog!$C$3:$C$12,0)),"-")</f>
        <v>Pakaian Wanita</v>
      </c>
      <c r="N515" s="39" t="str">
        <f>IFERROR(INDEX(Katalog!$B$3:$B$12,MATCH(cadangan[[#This Row],[ItemID B]],Katalog!$C$3:$C$12,0)),"-")</f>
        <v>Kaftan</v>
      </c>
      <c r="O515" s="50">
        <v>2</v>
      </c>
      <c r="P515" s="50">
        <v>2</v>
      </c>
      <c r="Q515" s="73">
        <f>IFERROR(INDEX(Katalog!$D$3:$D$12,MATCH(cadangan[[#This Row],[ItemID B]],Katalog!$C$3:$C$12,0))*cadangan[[#This Row],[Qty B]],0)</f>
        <v>500000</v>
      </c>
      <c r="R515" s="73">
        <f>IFERROR(cadangan[[#This Row],[Harga Normal B]]-(cadangan[[#This Row],[Harga Normal B]]*cadangan[[#This Row],[Diskon]]),cadangan[[#This Row],[Harga Normal B]])</f>
        <v>400000</v>
      </c>
      <c r="S515" s="73">
        <f>IFERROR(INDEX(Katalog!$F$3:$F$12,MATCH(cadangan[[#This Row],[ItemID B]],Katalog!$C$3:$C$12,0))*cadangan[[#This Row],[Qty B]],0)</f>
        <v>200000</v>
      </c>
      <c r="T515" s="73">
        <f>IFERROR(cadangan[[#This Row],[Harga Diskon B]]-INDEX(Katalog!$E$3:$E$12,MATCH(cadangan[[#This Row],[ItemID B]],Katalog!$C$3:$C$12,0))*cadangan[[#This Row],[Qty B]],0)</f>
        <v>100000</v>
      </c>
      <c r="V515" s="39" t="str">
        <f>IFERROR(INDEX(Katalog!$A$3:$A$12,MATCH(cadangan[[#This Row],[ItemID C]],Katalog!$C$3:$C$12,0)),"-")</f>
        <v>-</v>
      </c>
      <c r="W515" s="39" t="str">
        <f>IFERROR(INDEX(Katalog!$B$3:$B$12,MATCH(cadangan[[#This Row],[ItemID C]],Katalog!$C$3:$C$12,0)),"-")</f>
        <v>-</v>
      </c>
      <c r="Z515" s="73">
        <f>IFERROR(INDEX(Katalog!$D$3:$D$12,MATCH(cadangan[[#This Row],[ItemID C]],Katalog!$C$3:$C$12,0))*cadangan[[#This Row],[Qty C]],0)</f>
        <v>0</v>
      </c>
      <c r="AA515" s="73">
        <f>IFERROR(cadangan[[#This Row],[Harga Normal C]]-(cadangan[[#This Row],[Harga Normal C]]*cadangan[[#This Row],[Diskon]]),cadangan[[#This Row],[Harga Normal C]])</f>
        <v>0</v>
      </c>
      <c r="AB515" s="73">
        <f>IFERROR(INDEX(Katalog!$F$3:$F$12,MATCH(cadangan[[#This Row],[ItemID C]],Katalog!$C$3:$C$12,0))*cadangan[[#This Row],[Qty C]],0)</f>
        <v>0</v>
      </c>
      <c r="AC515" s="73">
        <f>IFERROR(cadangan[[#This Row],[Harga Diskon C]]-INDEX(Katalog!$E$3:$E$12,MATCH(cadangan[[#This Row],[ItemID C]],Katalog!$C$3:$C$12,0))*cadangan[[#This Row],[Qty C]],0)</f>
        <v>0</v>
      </c>
      <c r="AD515" s="53">
        <f>cadangan[[#This Row],[Qty A]]+cadangan[[#This Row],[Qty B]]+cadangan[[#This Row],[Qty C]]</f>
        <v>4</v>
      </c>
      <c r="AE515" s="73">
        <f>cadangan[[#This Row],[Harga Normal A]]+cadangan[[#This Row],[Harga Normal B]]+cadangan[[#This Row],[Harga Normal C]]</f>
        <v>1200000</v>
      </c>
      <c r="AF515" s="73">
        <f>cadangan[[#This Row],[Harga Diskon A]]+cadangan[[#This Row],[Harga Diskon B]]+cadangan[[#This Row],[Harga Diskon C]]</f>
        <v>960000</v>
      </c>
      <c r="AG515" s="73">
        <f>(cadangan[[#This Row],[Profit Normal A]]+cadangan[[#This Row],[Profit Normal B]]+cadangan[[#This Row],[Profit Normal C]])</f>
        <v>460000</v>
      </c>
      <c r="AH515" s="73">
        <f>cadangan[[#This Row],[Profit Diskon A]]+cadangan[[#This Row],[Profit Diskon B]]+cadangan[[#This Row],[Profit Diskon C]]</f>
        <v>220000</v>
      </c>
      <c r="AI515" s="23" t="s">
        <v>8</v>
      </c>
      <c r="AJ515" s="37">
        <f>IFERROR(INDEX('Kode Diskon'!$D$3:$D$9,MATCH(cadangan[[#This Row],[Kode diskon]],'Kode Diskon'!$C$3:$C$9,0)),"-")</f>
        <v>0.2</v>
      </c>
      <c r="AK515" s="23" t="s">
        <v>9</v>
      </c>
      <c r="AL515" s="23" t="s">
        <v>7</v>
      </c>
      <c r="AM515" s="23" t="s">
        <v>75</v>
      </c>
      <c r="AN515" s="55">
        <v>45032</v>
      </c>
      <c r="AO515" s="53">
        <f>DAY(cadangan[[#This Row],[Tanggal terjual]])</f>
        <v>16</v>
      </c>
      <c r="AP515" s="21" t="str">
        <f>TEXT(cadangan[[#This Row],[Tanggal terjual]],"dddd")</f>
        <v>Sunday</v>
      </c>
      <c r="AQ515" s="23" t="str" cm="1">
        <f t="array" ref="AQ5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15" s="61">
        <f>AVERAGE(cadangan[[#This Row],[Rating A]],cadangan[[#This Row],[Rating B]],cadangan[[#This Row],[Rating C]])</f>
        <v>3</v>
      </c>
    </row>
    <row r="516" spans="1:44" x14ac:dyDescent="0.2">
      <c r="A516" s="20">
        <v>515</v>
      </c>
      <c r="B516" s="21" t="str">
        <f>_xlfn.CONCAT("ORD-",INDEX(Helper!$B$2:$B$5,MATCH(cadangan[[#This Row],[Marketplace]],Helper!$A$2:$A$5,0)),TEXT(cadangan[[#This Row],[No]],"0000"),"-",TEXT(cadangan[[#This Row],[Tanggal terjual]],"dd/mm/yy"))</f>
        <v>ORD-SP0515-04/04/23</v>
      </c>
      <c r="C516" s="39" t="s">
        <v>64</v>
      </c>
      <c r="D516" s="39" t="str">
        <f>IFERROR(INDEX(Katalog!$A$3:$A$12,MATCH(cadangan[[#This Row],[ItemID A]],Katalog!$C$3:$C$12,0)),"-")</f>
        <v>Pakaian Unisex</v>
      </c>
      <c r="E516" s="39" t="str">
        <f>IFERROR(INDEX(Katalog!$B$3:$B$12,MATCH(cadangan[[#This Row],[ItemID A]],Katalog!$C$3:$C$12,0)),"-")</f>
        <v>Jaket Hoodie</v>
      </c>
      <c r="F516" s="50">
        <v>4</v>
      </c>
      <c r="G516" s="50">
        <v>5</v>
      </c>
      <c r="H516" s="73">
        <f>IFERROR(INDEX(Katalog!$D$3:$D$12,MATCH(cadangan[[#This Row],[ItemID A]],Katalog!$C$3:$C$12,0))*cadangan[[#This Row],[Qty A]],0)</f>
        <v>1400000</v>
      </c>
      <c r="I516" s="73">
        <f>IFERROR(cadangan[[#This Row],[Harga Normal A]]-(cadangan[[#This Row],[Harga Normal A]]*cadangan[[#This Row],[Diskon]]),cadangan[[#This Row],[Harga Normal A]])</f>
        <v>1260000</v>
      </c>
      <c r="J516" s="73">
        <f>INDEX(Katalog!$F$3:$F$12,MATCH(cadangan[[#This Row],[ItemID A]],Katalog!$C$3:$C$12,0))*cadangan[[#This Row],[Qty A]]</f>
        <v>520000</v>
      </c>
      <c r="K516" s="73">
        <f>IFERROR(cadangan[[#This Row],[Harga Diskon A]]-INDEX(Katalog!$E$3:$E$12,MATCH(cadangan[[#This Row],[ItemID A]],Katalog!$C$3:$C$12,0))*cadangan[[#This Row],[Qty A]],0)</f>
        <v>380000</v>
      </c>
      <c r="L516" s="39" t="s">
        <v>66</v>
      </c>
      <c r="M516" s="39" t="str">
        <f>IFERROR(INDEX(Katalog!$A$3:$A$12,MATCH(cadangan[[#This Row],[ItemID B]],Katalog!$C$3:$C$12,0)),"-")</f>
        <v>Sepatu Pria</v>
      </c>
      <c r="N516" s="39" t="str">
        <f>IFERROR(INDEX(Katalog!$B$3:$B$12,MATCH(cadangan[[#This Row],[ItemID B]],Katalog!$C$3:$C$12,0)),"-")</f>
        <v>Sandal Slip On</v>
      </c>
      <c r="O516" s="50">
        <v>2</v>
      </c>
      <c r="P516" s="50">
        <v>1</v>
      </c>
      <c r="Q516" s="73">
        <f>IFERROR(INDEX(Katalog!$D$3:$D$12,MATCH(cadangan[[#This Row],[ItemID B]],Katalog!$C$3:$C$12,0))*cadangan[[#This Row],[Qty B]],0)</f>
        <v>300000</v>
      </c>
      <c r="R516" s="73">
        <f>IFERROR(cadangan[[#This Row],[Harga Normal B]]-(cadangan[[#This Row],[Harga Normal B]]*cadangan[[#This Row],[Diskon]]),cadangan[[#This Row],[Harga Normal B]])</f>
        <v>270000</v>
      </c>
      <c r="S516" s="73">
        <f>IFERROR(INDEX(Katalog!$F$3:$F$12,MATCH(cadangan[[#This Row],[ItemID B]],Katalog!$C$3:$C$12,0))*cadangan[[#This Row],[Qty B]],0)</f>
        <v>120000</v>
      </c>
      <c r="T516" s="73">
        <f>IFERROR(cadangan[[#This Row],[Harga Diskon B]]-INDEX(Katalog!$E$3:$E$12,MATCH(cadangan[[#This Row],[ItemID B]],Katalog!$C$3:$C$12,0))*cadangan[[#This Row],[Qty B]],0)</f>
        <v>90000</v>
      </c>
      <c r="V516" s="39" t="str">
        <f>IFERROR(INDEX(Katalog!$A$3:$A$12,MATCH(cadangan[[#This Row],[ItemID C]],Katalog!$C$3:$C$12,0)),"-")</f>
        <v>-</v>
      </c>
      <c r="W516" s="39" t="str">
        <f>IFERROR(INDEX(Katalog!$B$3:$B$12,MATCH(cadangan[[#This Row],[ItemID C]],Katalog!$C$3:$C$12,0)),"-")</f>
        <v>-</v>
      </c>
      <c r="Z516" s="73">
        <f>IFERROR(INDEX(Katalog!$D$3:$D$12,MATCH(cadangan[[#This Row],[ItemID C]],Katalog!$C$3:$C$12,0))*cadangan[[#This Row],[Qty C]],0)</f>
        <v>0</v>
      </c>
      <c r="AA516" s="73">
        <f>IFERROR(cadangan[[#This Row],[Harga Normal C]]-(cadangan[[#This Row],[Harga Normal C]]*cadangan[[#This Row],[Diskon]]),cadangan[[#This Row],[Harga Normal C]])</f>
        <v>0</v>
      </c>
      <c r="AB516" s="73">
        <f>IFERROR(INDEX(Katalog!$F$3:$F$12,MATCH(cadangan[[#This Row],[ItemID C]],Katalog!$C$3:$C$12,0))*cadangan[[#This Row],[Qty C]],0)</f>
        <v>0</v>
      </c>
      <c r="AC516" s="73">
        <f>IFERROR(cadangan[[#This Row],[Harga Diskon C]]-INDEX(Katalog!$E$3:$E$12,MATCH(cadangan[[#This Row],[ItemID C]],Katalog!$C$3:$C$12,0))*cadangan[[#This Row],[Qty C]],0)</f>
        <v>0</v>
      </c>
      <c r="AD516" s="53">
        <f>cadangan[[#This Row],[Qty A]]+cadangan[[#This Row],[Qty B]]+cadangan[[#This Row],[Qty C]]</f>
        <v>6</v>
      </c>
      <c r="AE516" s="73">
        <f>cadangan[[#This Row],[Harga Normal A]]+cadangan[[#This Row],[Harga Normal B]]+cadangan[[#This Row],[Harga Normal C]]</f>
        <v>1700000</v>
      </c>
      <c r="AF516" s="73">
        <f>cadangan[[#This Row],[Harga Diskon A]]+cadangan[[#This Row],[Harga Diskon B]]+cadangan[[#This Row],[Harga Diskon C]]</f>
        <v>1530000</v>
      </c>
      <c r="AG516" s="73">
        <f>(cadangan[[#This Row],[Profit Normal A]]+cadangan[[#This Row],[Profit Normal B]]+cadangan[[#This Row],[Profit Normal C]])</f>
        <v>640000</v>
      </c>
      <c r="AH516" s="73">
        <f>cadangan[[#This Row],[Profit Diskon A]]+cadangan[[#This Row],[Profit Diskon B]]+cadangan[[#This Row],[Profit Diskon C]]</f>
        <v>470000</v>
      </c>
      <c r="AI516" s="23" t="s">
        <v>6</v>
      </c>
      <c r="AJ516" s="37">
        <f>IFERROR(INDEX('Kode Diskon'!$D$3:$D$9,MATCH(cadangan[[#This Row],[Kode diskon]],'Kode Diskon'!$C$3:$C$9,0)),"-")</f>
        <v>0.1</v>
      </c>
      <c r="AK516" s="23" t="s">
        <v>29</v>
      </c>
      <c r="AL516" s="23" t="s">
        <v>7</v>
      </c>
      <c r="AM516" s="23" t="s">
        <v>80</v>
      </c>
      <c r="AN516" s="55">
        <v>45020</v>
      </c>
      <c r="AO516" s="53">
        <f>DAY(cadangan[[#This Row],[Tanggal terjual]])</f>
        <v>4</v>
      </c>
      <c r="AP516" s="21" t="str">
        <f>TEXT(cadangan[[#This Row],[Tanggal terjual]],"dddd")</f>
        <v>Tuesday</v>
      </c>
      <c r="AQ516" s="23" t="str" cm="1">
        <f t="array" ref="AQ5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6" s="61">
        <f>AVERAGE(cadangan[[#This Row],[Rating A]],cadangan[[#This Row],[Rating B]],cadangan[[#This Row],[Rating C]])</f>
        <v>3</v>
      </c>
    </row>
    <row r="517" spans="1:44" x14ac:dyDescent="0.2">
      <c r="A517" s="20">
        <v>516</v>
      </c>
      <c r="B517" s="21" t="str">
        <f>_xlfn.CONCAT("ORD-",INDEX(Helper!$B$2:$B$5,MATCH(cadangan[[#This Row],[Marketplace]],Helper!$A$2:$A$5,0)),TEXT(cadangan[[#This Row],[No]],"0000"),"-",TEXT(cadangan[[#This Row],[Tanggal terjual]],"dd/mm/yy"))</f>
        <v>ORD-SP0516-06/04/23</v>
      </c>
      <c r="C517" s="39" t="s">
        <v>63</v>
      </c>
      <c r="D517" s="39" t="str">
        <f>IFERROR(INDEX(Katalog!$A$3:$A$12,MATCH(cadangan[[#This Row],[ItemID A]],Katalog!$C$3:$C$12,0)),"-")</f>
        <v>Pakaian Pria</v>
      </c>
      <c r="E517" s="39" t="str">
        <f>IFERROR(INDEX(Katalog!$B$3:$B$12,MATCH(cadangan[[#This Row],[ItemID A]],Katalog!$C$3:$C$12,0)),"-")</f>
        <v>Jaket Jeans</v>
      </c>
      <c r="F517" s="50">
        <v>2</v>
      </c>
      <c r="G517" s="50">
        <v>3</v>
      </c>
      <c r="H517" s="73">
        <f>IFERROR(INDEX(Katalog!$D$3:$D$12,MATCH(cadangan[[#This Row],[ItemID A]],Katalog!$C$3:$C$12,0))*cadangan[[#This Row],[Qty A]],0)</f>
        <v>800000</v>
      </c>
      <c r="I517" s="73">
        <f>IFERROR(cadangan[[#This Row],[Harga Normal A]]-(cadangan[[#This Row],[Harga Normal A]]*cadangan[[#This Row],[Diskon]]),cadangan[[#This Row],[Harga Normal A]])</f>
        <v>680000</v>
      </c>
      <c r="J517" s="73">
        <f>INDEX(Katalog!$F$3:$F$12,MATCH(cadangan[[#This Row],[ItemID A]],Katalog!$C$3:$C$12,0))*cadangan[[#This Row],[Qty A]]</f>
        <v>300000</v>
      </c>
      <c r="K517" s="73">
        <f>IFERROR(cadangan[[#This Row],[Harga Diskon A]]-INDEX(Katalog!$E$3:$E$12,MATCH(cadangan[[#This Row],[ItemID A]],Katalog!$C$3:$C$12,0))*cadangan[[#This Row],[Qty A]],0)</f>
        <v>180000</v>
      </c>
      <c r="L517" s="39" t="s">
        <v>59</v>
      </c>
      <c r="M517" s="39" t="str">
        <f>IFERROR(INDEX(Katalog!$A$3:$A$12,MATCH(cadangan[[#This Row],[ItemID B]],Katalog!$C$3:$C$12,0)),"-")</f>
        <v>Pakaian Wanita</v>
      </c>
      <c r="N517" s="39" t="str">
        <f>IFERROR(INDEX(Katalog!$B$3:$B$12,MATCH(cadangan[[#This Row],[ItemID B]],Katalog!$C$3:$C$12,0)),"-")</f>
        <v>Blouse</v>
      </c>
      <c r="O517" s="50">
        <v>3</v>
      </c>
      <c r="P517" s="50">
        <v>1</v>
      </c>
      <c r="Q517" s="73">
        <f>IFERROR(INDEX(Katalog!$D$3:$D$12,MATCH(cadangan[[#This Row],[ItemID B]],Katalog!$C$3:$C$12,0))*cadangan[[#This Row],[Qty B]],0)</f>
        <v>450000</v>
      </c>
      <c r="R517" s="73">
        <f>IFERROR(cadangan[[#This Row],[Harga Normal B]]-(cadangan[[#This Row],[Harga Normal B]]*cadangan[[#This Row],[Diskon]]),cadangan[[#This Row],[Harga Normal B]])</f>
        <v>382500</v>
      </c>
      <c r="S517" s="73">
        <f>IFERROR(INDEX(Katalog!$F$3:$F$12,MATCH(cadangan[[#This Row],[ItemID B]],Katalog!$C$3:$C$12,0))*cadangan[[#This Row],[Qty B]],0)</f>
        <v>150000</v>
      </c>
      <c r="T517" s="73">
        <f>IFERROR(cadangan[[#This Row],[Harga Diskon B]]-INDEX(Katalog!$E$3:$E$12,MATCH(cadangan[[#This Row],[ItemID B]],Katalog!$C$3:$C$12,0))*cadangan[[#This Row],[Qty B]],0)</f>
        <v>82500</v>
      </c>
      <c r="V517" s="39" t="str">
        <f>IFERROR(INDEX(Katalog!$A$3:$A$12,MATCH(cadangan[[#This Row],[ItemID C]],Katalog!$C$3:$C$12,0)),"-")</f>
        <v>-</v>
      </c>
      <c r="W517" s="39" t="str">
        <f>IFERROR(INDEX(Katalog!$B$3:$B$12,MATCH(cadangan[[#This Row],[ItemID C]],Katalog!$C$3:$C$12,0)),"-")</f>
        <v>-</v>
      </c>
      <c r="Z517" s="73">
        <f>IFERROR(INDEX(Katalog!$D$3:$D$12,MATCH(cadangan[[#This Row],[ItemID C]],Katalog!$C$3:$C$12,0))*cadangan[[#This Row],[Qty C]],0)</f>
        <v>0</v>
      </c>
      <c r="AA517" s="73">
        <f>IFERROR(cadangan[[#This Row],[Harga Normal C]]-(cadangan[[#This Row],[Harga Normal C]]*cadangan[[#This Row],[Diskon]]),cadangan[[#This Row],[Harga Normal C]])</f>
        <v>0</v>
      </c>
      <c r="AB517" s="73">
        <f>IFERROR(INDEX(Katalog!$F$3:$F$12,MATCH(cadangan[[#This Row],[ItemID C]],Katalog!$C$3:$C$12,0))*cadangan[[#This Row],[Qty C]],0)</f>
        <v>0</v>
      </c>
      <c r="AC517" s="73">
        <f>IFERROR(cadangan[[#This Row],[Harga Diskon C]]-INDEX(Katalog!$E$3:$E$12,MATCH(cadangan[[#This Row],[ItemID C]],Katalog!$C$3:$C$12,0))*cadangan[[#This Row],[Qty C]],0)</f>
        <v>0</v>
      </c>
      <c r="AD517" s="53">
        <f>cadangan[[#This Row],[Qty A]]+cadangan[[#This Row],[Qty B]]+cadangan[[#This Row],[Qty C]]</f>
        <v>5</v>
      </c>
      <c r="AE517" s="73">
        <f>cadangan[[#This Row],[Harga Normal A]]+cadangan[[#This Row],[Harga Normal B]]+cadangan[[#This Row],[Harga Normal C]]</f>
        <v>1250000</v>
      </c>
      <c r="AF517" s="73">
        <f>cadangan[[#This Row],[Harga Diskon A]]+cadangan[[#This Row],[Harga Diskon B]]+cadangan[[#This Row],[Harga Diskon C]]</f>
        <v>1062500</v>
      </c>
      <c r="AG517" s="73">
        <f>(cadangan[[#This Row],[Profit Normal A]]+cadangan[[#This Row],[Profit Normal B]]+cadangan[[#This Row],[Profit Normal C]])</f>
        <v>450000</v>
      </c>
      <c r="AH517" s="73">
        <f>cadangan[[#This Row],[Profit Diskon A]]+cadangan[[#This Row],[Profit Diskon B]]+cadangan[[#This Row],[Profit Diskon C]]</f>
        <v>262500</v>
      </c>
      <c r="AI517" s="23" t="s">
        <v>13</v>
      </c>
      <c r="AJ517" s="37">
        <f>IFERROR(INDEX('Kode Diskon'!$D$3:$D$9,MATCH(cadangan[[#This Row],[Kode diskon]],'Kode Diskon'!$C$3:$C$9,0)),"-")</f>
        <v>0.15</v>
      </c>
      <c r="AK517" s="23" t="s">
        <v>29</v>
      </c>
      <c r="AL517" s="23" t="s">
        <v>7</v>
      </c>
      <c r="AM517" s="23" t="s">
        <v>79</v>
      </c>
      <c r="AN517" s="55">
        <v>45022</v>
      </c>
      <c r="AO517" s="53">
        <f>DAY(cadangan[[#This Row],[Tanggal terjual]])</f>
        <v>6</v>
      </c>
      <c r="AP517" s="21" t="str">
        <f>TEXT(cadangan[[#This Row],[Tanggal terjual]],"dddd")</f>
        <v>Thursday</v>
      </c>
      <c r="AQ517" s="23" t="str" cm="1">
        <f t="array" ref="AQ5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17" s="61">
        <f>AVERAGE(cadangan[[#This Row],[Rating A]],cadangan[[#This Row],[Rating B]],cadangan[[#This Row],[Rating C]])</f>
        <v>2</v>
      </c>
    </row>
    <row r="518" spans="1:44" x14ac:dyDescent="0.2">
      <c r="A518" s="20">
        <v>517</v>
      </c>
      <c r="B518" s="21" t="str">
        <f>_xlfn.CONCAT("ORD-",INDEX(Helper!$B$2:$B$5,MATCH(cadangan[[#This Row],[Marketplace]],Helper!$A$2:$A$5,0)),TEXT(cadangan[[#This Row],[No]],"0000"),"-",TEXT(cadangan[[#This Row],[Tanggal terjual]],"dd/mm/yy"))</f>
        <v>ORD-SP0517-12/04/23</v>
      </c>
      <c r="C518" s="39" t="s">
        <v>65</v>
      </c>
      <c r="D518" s="39" t="str">
        <f>IFERROR(INDEX(Katalog!$A$3:$A$12,MATCH(cadangan[[#This Row],[ItemID A]],Katalog!$C$3:$C$12,0)),"-")</f>
        <v>Sepatu Pria</v>
      </c>
      <c r="E518" s="39" t="str">
        <f>IFERROR(INDEX(Katalog!$B$3:$B$12,MATCH(cadangan[[#This Row],[ItemID A]],Katalog!$C$3:$C$12,0)),"-")</f>
        <v>Sneakers</v>
      </c>
      <c r="F518" s="50">
        <v>4</v>
      </c>
      <c r="G518" s="50">
        <v>2</v>
      </c>
      <c r="H518" s="73">
        <f>IFERROR(INDEX(Katalog!$D$3:$D$12,MATCH(cadangan[[#This Row],[ItemID A]],Katalog!$C$3:$C$12,0))*cadangan[[#This Row],[Qty A]],0)</f>
        <v>2000000</v>
      </c>
      <c r="I518" s="73">
        <f>IFERROR(cadangan[[#This Row],[Harga Normal A]]-(cadangan[[#This Row],[Harga Normal A]]*cadangan[[#This Row],[Diskon]]),cadangan[[#This Row],[Harga Normal A]])</f>
        <v>2000000</v>
      </c>
      <c r="J518" s="73">
        <f>INDEX(Katalog!$F$3:$F$12,MATCH(cadangan[[#This Row],[ItemID A]],Katalog!$C$3:$C$12,0))*cadangan[[#This Row],[Qty A]]</f>
        <v>800000</v>
      </c>
      <c r="K518" s="73">
        <f>IFERROR(cadangan[[#This Row],[Harga Diskon A]]-INDEX(Katalog!$E$3:$E$12,MATCH(cadangan[[#This Row],[ItemID A]],Katalog!$C$3:$C$12,0))*cadangan[[#This Row],[Qty A]],0)</f>
        <v>800000</v>
      </c>
      <c r="L518" s="39" t="s">
        <v>59</v>
      </c>
      <c r="M518" s="39" t="str">
        <f>IFERROR(INDEX(Katalog!$A$3:$A$12,MATCH(cadangan[[#This Row],[ItemID B]],Katalog!$C$3:$C$12,0)),"-")</f>
        <v>Pakaian Wanita</v>
      </c>
      <c r="N518" s="39" t="str">
        <f>IFERROR(INDEX(Katalog!$B$3:$B$12,MATCH(cadangan[[#This Row],[ItemID B]],Katalog!$C$3:$C$12,0)),"-")</f>
        <v>Blouse</v>
      </c>
      <c r="O518" s="50">
        <v>1</v>
      </c>
      <c r="P518" s="50">
        <v>4</v>
      </c>
      <c r="Q518" s="73">
        <f>IFERROR(INDEX(Katalog!$D$3:$D$12,MATCH(cadangan[[#This Row],[ItemID B]],Katalog!$C$3:$C$12,0))*cadangan[[#This Row],[Qty B]],0)</f>
        <v>150000</v>
      </c>
      <c r="R518" s="73">
        <f>IFERROR(cadangan[[#This Row],[Harga Normal B]]-(cadangan[[#This Row],[Harga Normal B]]*cadangan[[#This Row],[Diskon]]),cadangan[[#This Row],[Harga Normal B]])</f>
        <v>150000</v>
      </c>
      <c r="S518" s="73">
        <f>IFERROR(INDEX(Katalog!$F$3:$F$12,MATCH(cadangan[[#This Row],[ItemID B]],Katalog!$C$3:$C$12,0))*cadangan[[#This Row],[Qty B]],0)</f>
        <v>50000</v>
      </c>
      <c r="T518" s="73">
        <f>IFERROR(cadangan[[#This Row],[Harga Diskon B]]-INDEX(Katalog!$E$3:$E$12,MATCH(cadangan[[#This Row],[ItemID B]],Katalog!$C$3:$C$12,0))*cadangan[[#This Row],[Qty B]],0)</f>
        <v>50000</v>
      </c>
      <c r="V518" s="39" t="str">
        <f>IFERROR(INDEX(Katalog!$A$3:$A$12,MATCH(cadangan[[#This Row],[ItemID C]],Katalog!$C$3:$C$12,0)),"-")</f>
        <v>-</v>
      </c>
      <c r="W518" s="39" t="str">
        <f>IFERROR(INDEX(Katalog!$B$3:$B$12,MATCH(cadangan[[#This Row],[ItemID C]],Katalog!$C$3:$C$12,0)),"-")</f>
        <v>-</v>
      </c>
      <c r="Z518" s="73">
        <f>IFERROR(INDEX(Katalog!$D$3:$D$12,MATCH(cadangan[[#This Row],[ItemID C]],Katalog!$C$3:$C$12,0))*cadangan[[#This Row],[Qty C]],0)</f>
        <v>0</v>
      </c>
      <c r="AA518" s="73">
        <f>IFERROR(cadangan[[#This Row],[Harga Normal C]]-(cadangan[[#This Row],[Harga Normal C]]*cadangan[[#This Row],[Diskon]]),cadangan[[#This Row],[Harga Normal C]])</f>
        <v>0</v>
      </c>
      <c r="AB518" s="73">
        <f>IFERROR(INDEX(Katalog!$F$3:$F$12,MATCH(cadangan[[#This Row],[ItemID C]],Katalog!$C$3:$C$12,0))*cadangan[[#This Row],[Qty C]],0)</f>
        <v>0</v>
      </c>
      <c r="AC518" s="73">
        <f>IFERROR(cadangan[[#This Row],[Harga Diskon C]]-INDEX(Katalog!$E$3:$E$12,MATCH(cadangan[[#This Row],[ItemID C]],Katalog!$C$3:$C$12,0))*cadangan[[#This Row],[Qty C]],0)</f>
        <v>0</v>
      </c>
      <c r="AD518" s="53">
        <f>cadangan[[#This Row],[Qty A]]+cadangan[[#This Row],[Qty B]]+cadangan[[#This Row],[Qty C]]</f>
        <v>5</v>
      </c>
      <c r="AE518" s="73">
        <f>cadangan[[#This Row],[Harga Normal A]]+cadangan[[#This Row],[Harga Normal B]]+cadangan[[#This Row],[Harga Normal C]]</f>
        <v>2150000</v>
      </c>
      <c r="AF518" s="73">
        <f>cadangan[[#This Row],[Harga Diskon A]]+cadangan[[#This Row],[Harga Diskon B]]+cadangan[[#This Row],[Harga Diskon C]]</f>
        <v>2150000</v>
      </c>
      <c r="AG518" s="73">
        <f>(cadangan[[#This Row],[Profit Normal A]]+cadangan[[#This Row],[Profit Normal B]]+cadangan[[#This Row],[Profit Normal C]])</f>
        <v>850000</v>
      </c>
      <c r="AH518" s="73">
        <f>cadangan[[#This Row],[Profit Diskon A]]+cadangan[[#This Row],[Profit Diskon B]]+cadangan[[#This Row],[Profit Diskon C]]</f>
        <v>850000</v>
      </c>
      <c r="AI518" s="23" t="s">
        <v>290</v>
      </c>
      <c r="AJ518" s="37" t="str">
        <f>IFERROR(INDEX('Kode Diskon'!$D$3:$D$9,MATCH(cadangan[[#This Row],[Kode diskon]],'Kode Diskon'!$C$3:$C$9,0)),"-")</f>
        <v>-</v>
      </c>
      <c r="AK518" s="23" t="s">
        <v>290</v>
      </c>
      <c r="AL518" s="23" t="s">
        <v>7</v>
      </c>
      <c r="AM518" s="23" t="s">
        <v>77</v>
      </c>
      <c r="AN518" s="55">
        <v>45028</v>
      </c>
      <c r="AO518" s="53">
        <f>DAY(cadangan[[#This Row],[Tanggal terjual]])</f>
        <v>12</v>
      </c>
      <c r="AP518" s="21" t="str">
        <f>TEXT(cadangan[[#This Row],[Tanggal terjual]],"dddd")</f>
        <v>Wednesday</v>
      </c>
      <c r="AQ518" s="23" t="str" cm="1">
        <f t="array" ref="AQ5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518" s="61">
        <f>AVERAGE(cadangan[[#This Row],[Rating A]],cadangan[[#This Row],[Rating B]],cadangan[[#This Row],[Rating C]])</f>
        <v>3</v>
      </c>
    </row>
    <row r="519" spans="1:44" x14ac:dyDescent="0.2">
      <c r="A519" s="20">
        <v>518</v>
      </c>
      <c r="B519" s="21" t="str">
        <f>_xlfn.CONCAT("ORD-",INDEX(Helper!$B$2:$B$5,MATCH(cadangan[[#This Row],[Marketplace]],Helper!$A$2:$A$5,0)),TEXT(cadangan[[#This Row],[No]],"0000"),"-",TEXT(cadangan[[#This Row],[Tanggal terjual]],"dd/mm/yy"))</f>
        <v>ORD-SP0518-28/04/23</v>
      </c>
      <c r="C519" s="39" t="s">
        <v>67</v>
      </c>
      <c r="D519" s="39" t="str">
        <f>IFERROR(INDEX(Katalog!$A$3:$A$12,MATCH(cadangan[[#This Row],[ItemID A]],Katalog!$C$3:$C$12,0)),"-")</f>
        <v>Sepatu Wanita</v>
      </c>
      <c r="E519" s="39" t="str">
        <f>IFERROR(INDEX(Katalog!$B$3:$B$12,MATCH(cadangan[[#This Row],[ItemID A]],Katalog!$C$3:$C$12,0)),"-")</f>
        <v>Flat Shoes</v>
      </c>
      <c r="F519" s="50">
        <v>2</v>
      </c>
      <c r="G519" s="50">
        <v>5</v>
      </c>
      <c r="H519" s="73">
        <f>IFERROR(INDEX(Katalog!$D$3:$D$12,MATCH(cadangan[[#This Row],[ItemID A]],Katalog!$C$3:$C$12,0))*cadangan[[#This Row],[Qty A]],0)</f>
        <v>500000</v>
      </c>
      <c r="I519" s="73">
        <f>IFERROR(cadangan[[#This Row],[Harga Normal A]]-(cadangan[[#This Row],[Harga Normal A]]*cadangan[[#This Row],[Diskon]]),cadangan[[#This Row],[Harga Normal A]])</f>
        <v>400000</v>
      </c>
      <c r="J519" s="73">
        <f>INDEX(Katalog!$F$3:$F$12,MATCH(cadangan[[#This Row],[ItemID A]],Katalog!$C$3:$C$12,0))*cadangan[[#This Row],[Qty A]]</f>
        <v>200000</v>
      </c>
      <c r="K519" s="73">
        <f>IFERROR(cadangan[[#This Row],[Harga Diskon A]]-INDEX(Katalog!$E$3:$E$12,MATCH(cadangan[[#This Row],[ItemID A]],Katalog!$C$3:$C$12,0))*cadangan[[#This Row],[Qty A]],0)</f>
        <v>100000</v>
      </c>
      <c r="L519" s="39" t="s">
        <v>61</v>
      </c>
      <c r="M519" s="39" t="str">
        <f>IFERROR(INDEX(Katalog!$A$3:$A$12,MATCH(cadangan[[#This Row],[ItemID B]],Katalog!$C$3:$C$12,0)),"-")</f>
        <v>Pakaian Pria</v>
      </c>
      <c r="N519" s="39" t="str">
        <f>IFERROR(INDEX(Katalog!$B$3:$B$12,MATCH(cadangan[[#This Row],[ItemID B]],Katalog!$C$3:$C$12,0)),"-")</f>
        <v>Kaos Polo</v>
      </c>
      <c r="O519" s="50">
        <v>1</v>
      </c>
      <c r="P519" s="50">
        <v>3</v>
      </c>
      <c r="Q519" s="73">
        <f>IFERROR(INDEX(Katalog!$D$3:$D$12,MATCH(cadangan[[#This Row],[ItemID B]],Katalog!$C$3:$C$12,0))*cadangan[[#This Row],[Qty B]],0)</f>
        <v>200000</v>
      </c>
      <c r="R519" s="73">
        <f>IFERROR(cadangan[[#This Row],[Harga Normal B]]-(cadangan[[#This Row],[Harga Normal B]]*cadangan[[#This Row],[Diskon]]),cadangan[[#This Row],[Harga Normal B]])</f>
        <v>160000</v>
      </c>
      <c r="S519" s="73">
        <f>IFERROR(INDEX(Katalog!$F$3:$F$12,MATCH(cadangan[[#This Row],[ItemID B]],Katalog!$C$3:$C$12,0))*cadangan[[#This Row],[Qty B]],0)</f>
        <v>80000</v>
      </c>
      <c r="T519" s="73">
        <f>IFERROR(cadangan[[#This Row],[Harga Diskon B]]-INDEX(Katalog!$E$3:$E$12,MATCH(cadangan[[#This Row],[ItemID B]],Katalog!$C$3:$C$12,0))*cadangan[[#This Row],[Qty B]],0)</f>
        <v>40000</v>
      </c>
      <c r="U519" s="39" t="s">
        <v>65</v>
      </c>
      <c r="V519" s="39" t="str">
        <f>IFERROR(INDEX(Katalog!$A$3:$A$12,MATCH(cadangan[[#This Row],[ItemID C]],Katalog!$C$3:$C$12,0)),"-")</f>
        <v>Sepatu Pria</v>
      </c>
      <c r="W519" s="39" t="str">
        <f>IFERROR(INDEX(Katalog!$B$3:$B$12,MATCH(cadangan[[#This Row],[ItemID C]],Katalog!$C$3:$C$12,0)),"-")</f>
        <v>Sneakers</v>
      </c>
      <c r="X519" s="50">
        <v>2</v>
      </c>
      <c r="Y519" s="50">
        <v>5</v>
      </c>
      <c r="Z519" s="73">
        <f>IFERROR(INDEX(Katalog!$D$3:$D$12,MATCH(cadangan[[#This Row],[ItemID C]],Katalog!$C$3:$C$12,0))*cadangan[[#This Row],[Qty C]],0)</f>
        <v>1000000</v>
      </c>
      <c r="AA519" s="73">
        <f>IFERROR(cadangan[[#This Row],[Harga Normal C]]-(cadangan[[#This Row],[Harga Normal C]]*cadangan[[#This Row],[Diskon]]),cadangan[[#This Row],[Harga Normal C]])</f>
        <v>800000</v>
      </c>
      <c r="AB519" s="73">
        <f>IFERROR(INDEX(Katalog!$F$3:$F$12,MATCH(cadangan[[#This Row],[ItemID C]],Katalog!$C$3:$C$12,0))*cadangan[[#This Row],[Qty C]],0)</f>
        <v>400000</v>
      </c>
      <c r="AC519" s="73">
        <f>IFERROR(cadangan[[#This Row],[Harga Diskon C]]-INDEX(Katalog!$E$3:$E$12,MATCH(cadangan[[#This Row],[ItemID C]],Katalog!$C$3:$C$12,0))*cadangan[[#This Row],[Qty C]],0)</f>
        <v>200000</v>
      </c>
      <c r="AD519" s="53">
        <f>cadangan[[#This Row],[Qty A]]+cadangan[[#This Row],[Qty B]]+cadangan[[#This Row],[Qty C]]</f>
        <v>5</v>
      </c>
      <c r="AE519" s="73">
        <f>cadangan[[#This Row],[Harga Normal A]]+cadangan[[#This Row],[Harga Normal B]]+cadangan[[#This Row],[Harga Normal C]]</f>
        <v>1700000</v>
      </c>
      <c r="AF519" s="73">
        <f>cadangan[[#This Row],[Harga Diskon A]]+cadangan[[#This Row],[Harga Diskon B]]+cadangan[[#This Row],[Harga Diskon C]]</f>
        <v>1360000</v>
      </c>
      <c r="AG519" s="73">
        <f>(cadangan[[#This Row],[Profit Normal A]]+cadangan[[#This Row],[Profit Normal B]]+cadangan[[#This Row],[Profit Normal C]])</f>
        <v>680000</v>
      </c>
      <c r="AH519" s="73">
        <f>cadangan[[#This Row],[Profit Diskon A]]+cadangan[[#This Row],[Profit Diskon B]]+cadangan[[#This Row],[Profit Diskon C]]</f>
        <v>340000</v>
      </c>
      <c r="AI519" s="23" t="s">
        <v>8</v>
      </c>
      <c r="AJ519" s="37">
        <f>IFERROR(INDEX('Kode Diskon'!$D$3:$D$9,MATCH(cadangan[[#This Row],[Kode diskon]],'Kode Diskon'!$C$3:$C$9,0)),"-")</f>
        <v>0.2</v>
      </c>
      <c r="AK519" s="23" t="s">
        <v>9</v>
      </c>
      <c r="AL519" s="23" t="s">
        <v>7</v>
      </c>
      <c r="AM519" s="23" t="s">
        <v>76</v>
      </c>
      <c r="AN519" s="55">
        <v>45044</v>
      </c>
      <c r="AO519" s="53">
        <f>DAY(cadangan[[#This Row],[Tanggal terjual]])</f>
        <v>28</v>
      </c>
      <c r="AP519" s="21" t="str">
        <f>TEXT(cadangan[[#This Row],[Tanggal terjual]],"dddd")</f>
        <v>Friday</v>
      </c>
      <c r="AQ519" s="23" t="str" cm="1">
        <f t="array" ref="AQ5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19" s="61">
        <f>AVERAGE(cadangan[[#This Row],[Rating A]],cadangan[[#This Row],[Rating B]],cadangan[[#This Row],[Rating C]])</f>
        <v>4.333333333333333</v>
      </c>
    </row>
    <row r="520" spans="1:44" x14ac:dyDescent="0.2">
      <c r="A520" s="20">
        <v>519</v>
      </c>
      <c r="B520" s="21" t="str">
        <f>_xlfn.CONCAT("ORD-",INDEX(Helper!$B$2:$B$5,MATCH(cadangan[[#This Row],[Marketplace]],Helper!$A$2:$A$5,0)),TEXT(cadangan[[#This Row],[No]],"0000"),"-",TEXT(cadangan[[#This Row],[Tanggal terjual]],"dd/mm/yy"))</f>
        <v>ORD-BL0519-16/04/23</v>
      </c>
      <c r="C520" s="39" t="s">
        <v>59</v>
      </c>
      <c r="D520" s="39" t="str">
        <f>IFERROR(INDEX(Katalog!$A$3:$A$12,MATCH(cadangan[[#This Row],[ItemID A]],Katalog!$C$3:$C$12,0)),"-")</f>
        <v>Pakaian Wanita</v>
      </c>
      <c r="E520" s="39" t="str">
        <f>IFERROR(INDEX(Katalog!$B$3:$B$12,MATCH(cadangan[[#This Row],[ItemID A]],Katalog!$C$3:$C$12,0)),"-")</f>
        <v>Blouse</v>
      </c>
      <c r="F520" s="50">
        <v>2</v>
      </c>
      <c r="G520" s="50">
        <v>5</v>
      </c>
      <c r="H520" s="73">
        <f>IFERROR(INDEX(Katalog!$D$3:$D$12,MATCH(cadangan[[#This Row],[ItemID A]],Katalog!$C$3:$C$12,0))*cadangan[[#This Row],[Qty A]],0)</f>
        <v>300000</v>
      </c>
      <c r="I520" s="73">
        <f>IFERROR(cadangan[[#This Row],[Harga Normal A]]-(cadangan[[#This Row],[Harga Normal A]]*cadangan[[#This Row],[Diskon]]),cadangan[[#This Row],[Harga Normal A]])</f>
        <v>255000</v>
      </c>
      <c r="J520" s="73">
        <f>INDEX(Katalog!$F$3:$F$12,MATCH(cadangan[[#This Row],[ItemID A]],Katalog!$C$3:$C$12,0))*cadangan[[#This Row],[Qty A]]</f>
        <v>100000</v>
      </c>
      <c r="K520" s="73">
        <f>IFERROR(cadangan[[#This Row],[Harga Diskon A]]-INDEX(Katalog!$E$3:$E$12,MATCH(cadangan[[#This Row],[ItemID A]],Katalog!$C$3:$C$12,0))*cadangan[[#This Row],[Qty A]],0)</f>
        <v>55000</v>
      </c>
      <c r="L520" s="39" t="s">
        <v>67</v>
      </c>
      <c r="M520" s="39" t="str">
        <f>IFERROR(INDEX(Katalog!$A$3:$A$12,MATCH(cadangan[[#This Row],[ItemID B]],Katalog!$C$3:$C$12,0)),"-")</f>
        <v>Sepatu Wanita</v>
      </c>
      <c r="N520" s="39" t="str">
        <f>IFERROR(INDEX(Katalog!$B$3:$B$12,MATCH(cadangan[[#This Row],[ItemID B]],Katalog!$C$3:$C$12,0)),"-")</f>
        <v>Flat Shoes</v>
      </c>
      <c r="O520" s="50">
        <v>1</v>
      </c>
      <c r="P520" s="50">
        <v>5</v>
      </c>
      <c r="Q520" s="73">
        <f>IFERROR(INDEX(Katalog!$D$3:$D$12,MATCH(cadangan[[#This Row],[ItemID B]],Katalog!$C$3:$C$12,0))*cadangan[[#This Row],[Qty B]],0)</f>
        <v>250000</v>
      </c>
      <c r="R520" s="73">
        <f>IFERROR(cadangan[[#This Row],[Harga Normal B]]-(cadangan[[#This Row],[Harga Normal B]]*cadangan[[#This Row],[Diskon]]),cadangan[[#This Row],[Harga Normal B]])</f>
        <v>212500</v>
      </c>
      <c r="S520" s="73">
        <f>IFERROR(INDEX(Katalog!$F$3:$F$12,MATCH(cadangan[[#This Row],[ItemID B]],Katalog!$C$3:$C$12,0))*cadangan[[#This Row],[Qty B]],0)</f>
        <v>100000</v>
      </c>
      <c r="T520" s="73">
        <f>IFERROR(cadangan[[#This Row],[Harga Diskon B]]-INDEX(Katalog!$E$3:$E$12,MATCH(cadangan[[#This Row],[ItemID B]],Katalog!$C$3:$C$12,0))*cadangan[[#This Row],[Qty B]],0)</f>
        <v>62500</v>
      </c>
      <c r="V520" s="39" t="str">
        <f>IFERROR(INDEX(Katalog!$A$3:$A$12,MATCH(cadangan[[#This Row],[ItemID C]],Katalog!$C$3:$C$12,0)),"-")</f>
        <v>-</v>
      </c>
      <c r="W520" s="39" t="str">
        <f>IFERROR(INDEX(Katalog!$B$3:$B$12,MATCH(cadangan[[#This Row],[ItemID C]],Katalog!$C$3:$C$12,0)),"-")</f>
        <v>-</v>
      </c>
      <c r="Z520" s="73">
        <f>IFERROR(INDEX(Katalog!$D$3:$D$12,MATCH(cadangan[[#This Row],[ItemID C]],Katalog!$C$3:$C$12,0))*cadangan[[#This Row],[Qty C]],0)</f>
        <v>0</v>
      </c>
      <c r="AA520" s="73">
        <f>IFERROR(cadangan[[#This Row],[Harga Normal C]]-(cadangan[[#This Row],[Harga Normal C]]*cadangan[[#This Row],[Diskon]]),cadangan[[#This Row],[Harga Normal C]])</f>
        <v>0</v>
      </c>
      <c r="AB520" s="73">
        <f>IFERROR(INDEX(Katalog!$F$3:$F$12,MATCH(cadangan[[#This Row],[ItemID C]],Katalog!$C$3:$C$12,0))*cadangan[[#This Row],[Qty C]],0)</f>
        <v>0</v>
      </c>
      <c r="AC520" s="73">
        <f>IFERROR(cadangan[[#This Row],[Harga Diskon C]]-INDEX(Katalog!$E$3:$E$12,MATCH(cadangan[[#This Row],[ItemID C]],Katalog!$C$3:$C$12,0))*cadangan[[#This Row],[Qty C]],0)</f>
        <v>0</v>
      </c>
      <c r="AD520" s="53">
        <f>cadangan[[#This Row],[Qty A]]+cadangan[[#This Row],[Qty B]]+cadangan[[#This Row],[Qty C]]</f>
        <v>3</v>
      </c>
      <c r="AE520" s="73">
        <f>cadangan[[#This Row],[Harga Normal A]]+cadangan[[#This Row],[Harga Normal B]]+cadangan[[#This Row],[Harga Normal C]]</f>
        <v>550000</v>
      </c>
      <c r="AF520" s="73">
        <f>cadangan[[#This Row],[Harga Diskon A]]+cadangan[[#This Row],[Harga Diskon B]]+cadangan[[#This Row],[Harga Diskon C]]</f>
        <v>467500</v>
      </c>
      <c r="AG520" s="73">
        <f>(cadangan[[#This Row],[Profit Normal A]]+cadangan[[#This Row],[Profit Normal B]]+cadangan[[#This Row],[Profit Normal C]])</f>
        <v>200000</v>
      </c>
      <c r="AH520" s="73">
        <f>cadangan[[#This Row],[Profit Diskon A]]+cadangan[[#This Row],[Profit Diskon B]]+cadangan[[#This Row],[Profit Diskon C]]</f>
        <v>117500</v>
      </c>
      <c r="AI520" s="23" t="s">
        <v>32</v>
      </c>
      <c r="AJ520" s="37">
        <f>IFERROR(INDEX('Kode Diskon'!$D$3:$D$9,MATCH(cadangan[[#This Row],[Kode diskon]],'Kode Diskon'!$C$3:$C$9,0)),"-")</f>
        <v>0.15</v>
      </c>
      <c r="AK520" s="23" t="s">
        <v>9</v>
      </c>
      <c r="AL520" s="23" t="s">
        <v>12</v>
      </c>
      <c r="AM520" s="23" t="s">
        <v>75</v>
      </c>
      <c r="AN520" s="55">
        <v>45032</v>
      </c>
      <c r="AO520" s="53">
        <f>DAY(cadangan[[#This Row],[Tanggal terjual]])</f>
        <v>16</v>
      </c>
      <c r="AP520" s="21" t="str">
        <f>TEXT(cadangan[[#This Row],[Tanggal terjual]],"dddd")</f>
        <v>Sunday</v>
      </c>
      <c r="AQ520" s="23" t="str" cm="1">
        <f t="array" ref="AQ5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20" s="61">
        <f>AVERAGE(cadangan[[#This Row],[Rating A]],cadangan[[#This Row],[Rating B]],cadangan[[#This Row],[Rating C]])</f>
        <v>5</v>
      </c>
    </row>
    <row r="521" spans="1:44" x14ac:dyDescent="0.2">
      <c r="A521" s="20">
        <v>520</v>
      </c>
      <c r="B521" s="21" t="str">
        <f>_xlfn.CONCAT("ORD-",INDEX(Helper!$B$2:$B$5,MATCH(cadangan[[#This Row],[Marketplace]],Helper!$A$2:$A$5,0)),TEXT(cadangan[[#This Row],[No]],"0000"),"-",TEXT(cadangan[[#This Row],[Tanggal terjual]],"dd/mm/yy"))</f>
        <v>ORD-SP0520-03/04/23</v>
      </c>
      <c r="C521" s="39" t="s">
        <v>60</v>
      </c>
      <c r="D521" s="39" t="str">
        <f>IFERROR(INDEX(Katalog!$A$3:$A$12,MATCH(cadangan[[#This Row],[ItemID A]],Katalog!$C$3:$C$12,0)),"-")</f>
        <v>Pakaian Wanita</v>
      </c>
      <c r="E521" s="39" t="str">
        <f>IFERROR(INDEX(Katalog!$B$3:$B$12,MATCH(cadangan[[#This Row],[ItemID A]],Katalog!$C$3:$C$12,0)),"-")</f>
        <v>Kaftan</v>
      </c>
      <c r="F521" s="50">
        <v>5</v>
      </c>
      <c r="G521" s="50">
        <v>2</v>
      </c>
      <c r="H521" s="73">
        <f>IFERROR(INDEX(Katalog!$D$3:$D$12,MATCH(cadangan[[#This Row],[ItemID A]],Katalog!$C$3:$C$12,0))*cadangan[[#This Row],[Qty A]],0)</f>
        <v>1250000</v>
      </c>
      <c r="I521" s="73">
        <f>IFERROR(cadangan[[#This Row],[Harga Normal A]]-(cadangan[[#This Row],[Harga Normal A]]*cadangan[[#This Row],[Diskon]]),cadangan[[#This Row],[Harga Normal A]])</f>
        <v>1125000</v>
      </c>
      <c r="J521" s="73">
        <f>INDEX(Katalog!$F$3:$F$12,MATCH(cadangan[[#This Row],[ItemID A]],Katalog!$C$3:$C$12,0))*cadangan[[#This Row],[Qty A]]</f>
        <v>500000</v>
      </c>
      <c r="K521" s="73">
        <f>IFERROR(cadangan[[#This Row],[Harga Diskon A]]-INDEX(Katalog!$E$3:$E$12,MATCH(cadangan[[#This Row],[ItemID A]],Katalog!$C$3:$C$12,0))*cadangan[[#This Row],[Qty A]],0)</f>
        <v>375000</v>
      </c>
      <c r="M521" s="39" t="str">
        <f>IFERROR(INDEX(Katalog!$A$3:$A$12,MATCH(cadangan[[#This Row],[ItemID B]],Katalog!$C$3:$C$12,0)),"-")</f>
        <v>-</v>
      </c>
      <c r="N521" s="39" t="str">
        <f>IFERROR(INDEX(Katalog!$B$3:$B$12,MATCH(cadangan[[#This Row],[ItemID B]],Katalog!$C$3:$C$12,0)),"-")</f>
        <v>-</v>
      </c>
      <c r="Q521" s="73">
        <f>IFERROR(INDEX(Katalog!$D$3:$D$12,MATCH(cadangan[[#This Row],[ItemID B]],Katalog!$C$3:$C$12,0))*cadangan[[#This Row],[Qty B]],0)</f>
        <v>0</v>
      </c>
      <c r="R521" s="73">
        <f>IFERROR(cadangan[[#This Row],[Harga Normal B]]-(cadangan[[#This Row],[Harga Normal B]]*cadangan[[#This Row],[Diskon]]),cadangan[[#This Row],[Harga Normal B]])</f>
        <v>0</v>
      </c>
      <c r="S521" s="73">
        <f>IFERROR(INDEX(Katalog!$F$3:$F$12,MATCH(cadangan[[#This Row],[ItemID B]],Katalog!$C$3:$C$12,0))*cadangan[[#This Row],[Qty B]],0)</f>
        <v>0</v>
      </c>
      <c r="T521" s="73">
        <f>IFERROR(cadangan[[#This Row],[Harga Diskon B]]-INDEX(Katalog!$E$3:$E$12,MATCH(cadangan[[#This Row],[ItemID B]],Katalog!$C$3:$C$12,0))*cadangan[[#This Row],[Qty B]],0)</f>
        <v>0</v>
      </c>
      <c r="V521" s="39" t="str">
        <f>IFERROR(INDEX(Katalog!$A$3:$A$12,MATCH(cadangan[[#This Row],[ItemID C]],Katalog!$C$3:$C$12,0)),"-")</f>
        <v>-</v>
      </c>
      <c r="W521" s="39" t="str">
        <f>IFERROR(INDEX(Katalog!$B$3:$B$12,MATCH(cadangan[[#This Row],[ItemID C]],Katalog!$C$3:$C$12,0)),"-")</f>
        <v>-</v>
      </c>
      <c r="Z521" s="73">
        <f>IFERROR(INDEX(Katalog!$D$3:$D$12,MATCH(cadangan[[#This Row],[ItemID C]],Katalog!$C$3:$C$12,0))*cadangan[[#This Row],[Qty C]],0)</f>
        <v>0</v>
      </c>
      <c r="AA521" s="73">
        <f>IFERROR(cadangan[[#This Row],[Harga Normal C]]-(cadangan[[#This Row],[Harga Normal C]]*cadangan[[#This Row],[Diskon]]),cadangan[[#This Row],[Harga Normal C]])</f>
        <v>0</v>
      </c>
      <c r="AB521" s="73">
        <f>IFERROR(INDEX(Katalog!$F$3:$F$12,MATCH(cadangan[[#This Row],[ItemID C]],Katalog!$C$3:$C$12,0))*cadangan[[#This Row],[Qty C]],0)</f>
        <v>0</v>
      </c>
      <c r="AC521" s="73">
        <f>IFERROR(cadangan[[#This Row],[Harga Diskon C]]-INDEX(Katalog!$E$3:$E$12,MATCH(cadangan[[#This Row],[ItemID C]],Katalog!$C$3:$C$12,0))*cadangan[[#This Row],[Qty C]],0)</f>
        <v>0</v>
      </c>
      <c r="AD521" s="53">
        <f>cadangan[[#This Row],[Qty A]]+cadangan[[#This Row],[Qty B]]+cadangan[[#This Row],[Qty C]]</f>
        <v>5</v>
      </c>
      <c r="AE521" s="73">
        <f>cadangan[[#This Row],[Harga Normal A]]+cadangan[[#This Row],[Harga Normal B]]+cadangan[[#This Row],[Harga Normal C]]</f>
        <v>1250000</v>
      </c>
      <c r="AF521" s="73">
        <f>cadangan[[#This Row],[Harga Diskon A]]+cadangan[[#This Row],[Harga Diskon B]]+cadangan[[#This Row],[Harga Diskon C]]</f>
        <v>1125000</v>
      </c>
      <c r="AG521" s="73">
        <f>(cadangan[[#This Row],[Profit Normal A]]+cadangan[[#This Row],[Profit Normal B]]+cadangan[[#This Row],[Profit Normal C]])</f>
        <v>500000</v>
      </c>
      <c r="AH521" s="73">
        <f>cadangan[[#This Row],[Profit Diskon A]]+cadangan[[#This Row],[Profit Diskon B]]+cadangan[[#This Row],[Profit Diskon C]]</f>
        <v>375000</v>
      </c>
      <c r="AI521" s="23" t="s">
        <v>6</v>
      </c>
      <c r="AJ521" s="37">
        <f>IFERROR(INDEX('Kode Diskon'!$D$3:$D$9,MATCH(cadangan[[#This Row],[Kode diskon]],'Kode Diskon'!$C$3:$C$9,0)),"-")</f>
        <v>0.1</v>
      </c>
      <c r="AK521" s="23" t="s">
        <v>29</v>
      </c>
      <c r="AL521" s="23" t="s">
        <v>7</v>
      </c>
      <c r="AM521" s="23" t="s">
        <v>75</v>
      </c>
      <c r="AN521" s="55">
        <v>45019</v>
      </c>
      <c r="AO521" s="53">
        <f>DAY(cadangan[[#This Row],[Tanggal terjual]])</f>
        <v>3</v>
      </c>
      <c r="AP521" s="21" t="str">
        <f>TEXT(cadangan[[#This Row],[Tanggal terjual]],"dddd")</f>
        <v>Monday</v>
      </c>
      <c r="AQ521" s="23" t="str" cm="1">
        <f t="array" ref="AQ5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21" s="61">
        <f>AVERAGE(cadangan[[#This Row],[Rating A]],cadangan[[#This Row],[Rating B]],cadangan[[#This Row],[Rating C]])</f>
        <v>2</v>
      </c>
    </row>
    <row r="522" spans="1:44" x14ac:dyDescent="0.2">
      <c r="A522" s="20">
        <v>521</v>
      </c>
      <c r="B522" s="21" t="str">
        <f>_xlfn.CONCAT("ORD-",INDEX(Helper!$B$2:$B$5,MATCH(cadangan[[#This Row],[Marketplace]],Helper!$A$2:$A$5,0)),TEXT(cadangan[[#This Row],[No]],"0000"),"-",TEXT(cadangan[[#This Row],[Tanggal terjual]],"dd/mm/yy"))</f>
        <v>ORD-SP0521-06/04/23</v>
      </c>
      <c r="C522" s="39" t="s">
        <v>66</v>
      </c>
      <c r="D522" s="39" t="str">
        <f>IFERROR(INDEX(Katalog!$A$3:$A$12,MATCH(cadangan[[#This Row],[ItemID A]],Katalog!$C$3:$C$12,0)),"-")</f>
        <v>Sepatu Pria</v>
      </c>
      <c r="E522" s="39" t="str">
        <f>IFERROR(INDEX(Katalog!$B$3:$B$12,MATCH(cadangan[[#This Row],[ItemID A]],Katalog!$C$3:$C$12,0)),"-")</f>
        <v>Sandal Slip On</v>
      </c>
      <c r="F522" s="50">
        <v>2</v>
      </c>
      <c r="G522" s="50">
        <v>3</v>
      </c>
      <c r="H522" s="73">
        <f>IFERROR(INDEX(Katalog!$D$3:$D$12,MATCH(cadangan[[#This Row],[ItemID A]],Katalog!$C$3:$C$12,0))*cadangan[[#This Row],[Qty A]],0)</f>
        <v>300000</v>
      </c>
      <c r="I522" s="73">
        <f>IFERROR(cadangan[[#This Row],[Harga Normal A]]-(cadangan[[#This Row],[Harga Normal A]]*cadangan[[#This Row],[Diskon]]),cadangan[[#This Row],[Harga Normal A]])</f>
        <v>270000</v>
      </c>
      <c r="J522" s="73">
        <f>INDEX(Katalog!$F$3:$F$12,MATCH(cadangan[[#This Row],[ItemID A]],Katalog!$C$3:$C$12,0))*cadangan[[#This Row],[Qty A]]</f>
        <v>120000</v>
      </c>
      <c r="K522" s="73">
        <f>IFERROR(cadangan[[#This Row],[Harga Diskon A]]-INDEX(Katalog!$E$3:$E$12,MATCH(cadangan[[#This Row],[ItemID A]],Katalog!$C$3:$C$12,0))*cadangan[[#This Row],[Qty A]],0)</f>
        <v>90000</v>
      </c>
      <c r="L522" s="39" t="s">
        <v>59</v>
      </c>
      <c r="M522" s="39" t="str">
        <f>IFERROR(INDEX(Katalog!$A$3:$A$12,MATCH(cadangan[[#This Row],[ItemID B]],Katalog!$C$3:$C$12,0)),"-")</f>
        <v>Pakaian Wanita</v>
      </c>
      <c r="N522" s="39" t="str">
        <f>IFERROR(INDEX(Katalog!$B$3:$B$12,MATCH(cadangan[[#This Row],[ItemID B]],Katalog!$C$3:$C$12,0)),"-")</f>
        <v>Blouse</v>
      </c>
      <c r="O522" s="50">
        <v>1</v>
      </c>
      <c r="P522" s="50">
        <v>5</v>
      </c>
      <c r="Q522" s="73">
        <f>IFERROR(INDEX(Katalog!$D$3:$D$12,MATCH(cadangan[[#This Row],[ItemID B]],Katalog!$C$3:$C$12,0))*cadangan[[#This Row],[Qty B]],0)</f>
        <v>150000</v>
      </c>
      <c r="R522" s="73">
        <f>IFERROR(cadangan[[#This Row],[Harga Normal B]]-(cadangan[[#This Row],[Harga Normal B]]*cadangan[[#This Row],[Diskon]]),cadangan[[#This Row],[Harga Normal B]])</f>
        <v>135000</v>
      </c>
      <c r="S522" s="73">
        <f>IFERROR(INDEX(Katalog!$F$3:$F$12,MATCH(cadangan[[#This Row],[ItemID B]],Katalog!$C$3:$C$12,0))*cadangan[[#This Row],[Qty B]],0)</f>
        <v>50000</v>
      </c>
      <c r="T522" s="73">
        <f>IFERROR(cadangan[[#This Row],[Harga Diskon B]]-INDEX(Katalog!$E$3:$E$12,MATCH(cadangan[[#This Row],[ItemID B]],Katalog!$C$3:$C$12,0))*cadangan[[#This Row],[Qty B]],0)</f>
        <v>35000</v>
      </c>
      <c r="V522" s="39" t="str">
        <f>IFERROR(INDEX(Katalog!$A$3:$A$12,MATCH(cadangan[[#This Row],[ItemID C]],Katalog!$C$3:$C$12,0)),"-")</f>
        <v>-</v>
      </c>
      <c r="W522" s="39" t="str">
        <f>IFERROR(INDEX(Katalog!$B$3:$B$12,MATCH(cadangan[[#This Row],[ItemID C]],Katalog!$C$3:$C$12,0)),"-")</f>
        <v>-</v>
      </c>
      <c r="Z522" s="73">
        <f>IFERROR(INDEX(Katalog!$D$3:$D$12,MATCH(cadangan[[#This Row],[ItemID C]],Katalog!$C$3:$C$12,0))*cadangan[[#This Row],[Qty C]],0)</f>
        <v>0</v>
      </c>
      <c r="AA522" s="73">
        <f>IFERROR(cadangan[[#This Row],[Harga Normal C]]-(cadangan[[#This Row],[Harga Normal C]]*cadangan[[#This Row],[Diskon]]),cadangan[[#This Row],[Harga Normal C]])</f>
        <v>0</v>
      </c>
      <c r="AB522" s="73">
        <f>IFERROR(INDEX(Katalog!$F$3:$F$12,MATCH(cadangan[[#This Row],[ItemID C]],Katalog!$C$3:$C$12,0))*cadangan[[#This Row],[Qty C]],0)</f>
        <v>0</v>
      </c>
      <c r="AC522" s="73">
        <f>IFERROR(cadangan[[#This Row],[Harga Diskon C]]-INDEX(Katalog!$E$3:$E$12,MATCH(cadangan[[#This Row],[ItemID C]],Katalog!$C$3:$C$12,0))*cadangan[[#This Row],[Qty C]],0)</f>
        <v>0</v>
      </c>
      <c r="AD522" s="53">
        <f>cadangan[[#This Row],[Qty A]]+cadangan[[#This Row],[Qty B]]+cadangan[[#This Row],[Qty C]]</f>
        <v>3</v>
      </c>
      <c r="AE522" s="73">
        <f>cadangan[[#This Row],[Harga Normal A]]+cadangan[[#This Row],[Harga Normal B]]+cadangan[[#This Row],[Harga Normal C]]</f>
        <v>450000</v>
      </c>
      <c r="AF522" s="73">
        <f>cadangan[[#This Row],[Harga Diskon A]]+cadangan[[#This Row],[Harga Diskon B]]+cadangan[[#This Row],[Harga Diskon C]]</f>
        <v>405000</v>
      </c>
      <c r="AG522" s="73">
        <f>(cadangan[[#This Row],[Profit Normal A]]+cadangan[[#This Row],[Profit Normal B]]+cadangan[[#This Row],[Profit Normal C]])</f>
        <v>170000</v>
      </c>
      <c r="AH522" s="73">
        <f>cadangan[[#This Row],[Profit Diskon A]]+cadangan[[#This Row],[Profit Diskon B]]+cadangan[[#This Row],[Profit Diskon C]]</f>
        <v>125000</v>
      </c>
      <c r="AI522" s="23" t="s">
        <v>6</v>
      </c>
      <c r="AJ522" s="37">
        <f>IFERROR(INDEX('Kode Diskon'!$D$3:$D$9,MATCH(cadangan[[#This Row],[Kode diskon]],'Kode Diskon'!$C$3:$C$9,0)),"-")</f>
        <v>0.1</v>
      </c>
      <c r="AK522" s="23" t="s">
        <v>29</v>
      </c>
      <c r="AL522" s="23" t="s">
        <v>7</v>
      </c>
      <c r="AM522" s="23" t="s">
        <v>79</v>
      </c>
      <c r="AN522" s="55">
        <v>45022</v>
      </c>
      <c r="AO522" s="53">
        <f>DAY(cadangan[[#This Row],[Tanggal terjual]])</f>
        <v>6</v>
      </c>
      <c r="AP522" s="21" t="str">
        <f>TEXT(cadangan[[#This Row],[Tanggal terjual]],"dddd")</f>
        <v>Thursday</v>
      </c>
      <c r="AQ522" s="23" t="str" cm="1">
        <f t="array" ref="AQ5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22" s="61">
        <f>AVERAGE(cadangan[[#This Row],[Rating A]],cadangan[[#This Row],[Rating B]],cadangan[[#This Row],[Rating C]])</f>
        <v>4</v>
      </c>
    </row>
    <row r="523" spans="1:44" x14ac:dyDescent="0.2">
      <c r="A523" s="20">
        <v>522</v>
      </c>
      <c r="B523" s="21" t="str">
        <f>_xlfn.CONCAT("ORD-",INDEX(Helper!$B$2:$B$5,MATCH(cadangan[[#This Row],[Marketplace]],Helper!$A$2:$A$5,0)),TEXT(cadangan[[#This Row],[No]],"0000"),"-",TEXT(cadangan[[#This Row],[Tanggal terjual]],"dd/mm/yy"))</f>
        <v>ORD-SP0522-06/04/23</v>
      </c>
      <c r="C523" s="39" t="s">
        <v>61</v>
      </c>
      <c r="D523" s="39" t="str">
        <f>IFERROR(INDEX(Katalog!$A$3:$A$12,MATCH(cadangan[[#This Row],[ItemID A]],Katalog!$C$3:$C$12,0)),"-")</f>
        <v>Pakaian Pria</v>
      </c>
      <c r="E523" s="39" t="str">
        <f>IFERROR(INDEX(Katalog!$B$3:$B$12,MATCH(cadangan[[#This Row],[ItemID A]],Katalog!$C$3:$C$12,0)),"-")</f>
        <v>Kaos Polo</v>
      </c>
      <c r="F523" s="50">
        <v>3</v>
      </c>
      <c r="G523" s="50">
        <v>4</v>
      </c>
      <c r="H523" s="73">
        <f>IFERROR(INDEX(Katalog!$D$3:$D$12,MATCH(cadangan[[#This Row],[ItemID A]],Katalog!$C$3:$C$12,0))*cadangan[[#This Row],[Qty A]],0)</f>
        <v>600000</v>
      </c>
      <c r="I523" s="73">
        <f>IFERROR(cadangan[[#This Row],[Harga Normal A]]-(cadangan[[#This Row],[Harga Normal A]]*cadangan[[#This Row],[Diskon]]),cadangan[[#This Row],[Harga Normal A]])</f>
        <v>540000</v>
      </c>
      <c r="J523" s="73">
        <f>INDEX(Katalog!$F$3:$F$12,MATCH(cadangan[[#This Row],[ItemID A]],Katalog!$C$3:$C$12,0))*cadangan[[#This Row],[Qty A]]</f>
        <v>240000</v>
      </c>
      <c r="K523" s="73">
        <f>IFERROR(cadangan[[#This Row],[Harga Diskon A]]-INDEX(Katalog!$E$3:$E$12,MATCH(cadangan[[#This Row],[ItemID A]],Katalog!$C$3:$C$12,0))*cadangan[[#This Row],[Qty A]],0)</f>
        <v>180000</v>
      </c>
      <c r="L523" s="39" t="s">
        <v>58</v>
      </c>
      <c r="M523" s="39" t="str">
        <f>IFERROR(INDEX(Katalog!$A$3:$A$12,MATCH(cadangan[[#This Row],[ItemID B]],Katalog!$C$3:$C$12,0)),"-")</f>
        <v>Pakaian Wanita</v>
      </c>
      <c r="N523" s="39" t="str">
        <f>IFERROR(INDEX(Katalog!$B$3:$B$12,MATCH(cadangan[[#This Row],[ItemID B]],Katalog!$C$3:$C$12,0)),"-")</f>
        <v>Dress</v>
      </c>
      <c r="O523" s="50">
        <v>1</v>
      </c>
      <c r="P523" s="50">
        <v>4</v>
      </c>
      <c r="Q523" s="73">
        <f>IFERROR(INDEX(Katalog!$D$3:$D$12,MATCH(cadangan[[#This Row],[ItemID B]],Katalog!$C$3:$C$12,0))*cadangan[[#This Row],[Qty B]],0)</f>
        <v>300000</v>
      </c>
      <c r="R523" s="73">
        <f>IFERROR(cadangan[[#This Row],[Harga Normal B]]-(cadangan[[#This Row],[Harga Normal B]]*cadangan[[#This Row],[Diskon]]),cadangan[[#This Row],[Harga Normal B]])</f>
        <v>270000</v>
      </c>
      <c r="S523" s="73">
        <f>IFERROR(INDEX(Katalog!$F$3:$F$12,MATCH(cadangan[[#This Row],[ItemID B]],Katalog!$C$3:$C$12,0))*cadangan[[#This Row],[Qty B]],0)</f>
        <v>100000</v>
      </c>
      <c r="T523" s="73">
        <f>IFERROR(cadangan[[#This Row],[Harga Diskon B]]-INDEX(Katalog!$E$3:$E$12,MATCH(cadangan[[#This Row],[ItemID B]],Katalog!$C$3:$C$12,0))*cadangan[[#This Row],[Qty B]],0)</f>
        <v>70000</v>
      </c>
      <c r="V523" s="39" t="str">
        <f>IFERROR(INDEX(Katalog!$A$3:$A$12,MATCH(cadangan[[#This Row],[ItemID C]],Katalog!$C$3:$C$12,0)),"-")</f>
        <v>-</v>
      </c>
      <c r="W523" s="39" t="str">
        <f>IFERROR(INDEX(Katalog!$B$3:$B$12,MATCH(cadangan[[#This Row],[ItemID C]],Katalog!$C$3:$C$12,0)),"-")</f>
        <v>-</v>
      </c>
      <c r="Z523" s="73">
        <f>IFERROR(INDEX(Katalog!$D$3:$D$12,MATCH(cadangan[[#This Row],[ItemID C]],Katalog!$C$3:$C$12,0))*cadangan[[#This Row],[Qty C]],0)</f>
        <v>0</v>
      </c>
      <c r="AA523" s="73">
        <f>IFERROR(cadangan[[#This Row],[Harga Normal C]]-(cadangan[[#This Row],[Harga Normal C]]*cadangan[[#This Row],[Diskon]]),cadangan[[#This Row],[Harga Normal C]])</f>
        <v>0</v>
      </c>
      <c r="AB523" s="73">
        <f>IFERROR(INDEX(Katalog!$F$3:$F$12,MATCH(cadangan[[#This Row],[ItemID C]],Katalog!$C$3:$C$12,0))*cadangan[[#This Row],[Qty C]],0)</f>
        <v>0</v>
      </c>
      <c r="AC523" s="73">
        <f>IFERROR(cadangan[[#This Row],[Harga Diskon C]]-INDEX(Katalog!$E$3:$E$12,MATCH(cadangan[[#This Row],[ItemID C]],Katalog!$C$3:$C$12,0))*cadangan[[#This Row],[Qty C]],0)</f>
        <v>0</v>
      </c>
      <c r="AD523" s="53">
        <f>cadangan[[#This Row],[Qty A]]+cadangan[[#This Row],[Qty B]]+cadangan[[#This Row],[Qty C]]</f>
        <v>4</v>
      </c>
      <c r="AE523" s="73">
        <f>cadangan[[#This Row],[Harga Normal A]]+cadangan[[#This Row],[Harga Normal B]]+cadangan[[#This Row],[Harga Normal C]]</f>
        <v>900000</v>
      </c>
      <c r="AF523" s="73">
        <f>cadangan[[#This Row],[Harga Diskon A]]+cadangan[[#This Row],[Harga Diskon B]]+cadangan[[#This Row],[Harga Diskon C]]</f>
        <v>810000</v>
      </c>
      <c r="AG523" s="73">
        <f>(cadangan[[#This Row],[Profit Normal A]]+cadangan[[#This Row],[Profit Normal B]]+cadangan[[#This Row],[Profit Normal C]])</f>
        <v>340000</v>
      </c>
      <c r="AH523" s="73">
        <f>cadangan[[#This Row],[Profit Diskon A]]+cadangan[[#This Row],[Profit Diskon B]]+cadangan[[#This Row],[Profit Diskon C]]</f>
        <v>250000</v>
      </c>
      <c r="AI523" s="23" t="s">
        <v>6</v>
      </c>
      <c r="AJ523" s="37">
        <f>IFERROR(INDEX('Kode Diskon'!$D$3:$D$9,MATCH(cadangan[[#This Row],[Kode diskon]],'Kode Diskon'!$C$3:$C$9,0)),"-")</f>
        <v>0.1</v>
      </c>
      <c r="AK523" s="23" t="s">
        <v>29</v>
      </c>
      <c r="AL523" s="23" t="s">
        <v>7</v>
      </c>
      <c r="AM523" s="23" t="s">
        <v>79</v>
      </c>
      <c r="AN523" s="55">
        <v>45022</v>
      </c>
      <c r="AO523" s="53">
        <f>DAY(cadangan[[#This Row],[Tanggal terjual]])</f>
        <v>6</v>
      </c>
      <c r="AP523" s="21" t="str">
        <f>TEXT(cadangan[[#This Row],[Tanggal terjual]],"dddd")</f>
        <v>Thursday</v>
      </c>
      <c r="AQ523" s="23" t="str" cm="1">
        <f t="array" ref="AQ5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23" s="61">
        <f>AVERAGE(cadangan[[#This Row],[Rating A]],cadangan[[#This Row],[Rating B]],cadangan[[#This Row],[Rating C]])</f>
        <v>4</v>
      </c>
    </row>
    <row r="524" spans="1:44" x14ac:dyDescent="0.2">
      <c r="A524" s="20">
        <v>523</v>
      </c>
      <c r="B524" s="21" t="str">
        <f>_xlfn.CONCAT("ORD-",INDEX(Helper!$B$2:$B$5,MATCH(cadangan[[#This Row],[Marketplace]],Helper!$A$2:$A$5,0)),TEXT(cadangan[[#This Row],[No]],"0000"),"-",TEXT(cadangan[[#This Row],[Tanggal terjual]],"dd/mm/yy"))</f>
        <v>ORD-SP0523-08/04/23</v>
      </c>
      <c r="C524" s="39" t="s">
        <v>62</v>
      </c>
      <c r="D524" s="39" t="str">
        <f>IFERROR(INDEX(Katalog!$A$3:$A$12,MATCH(cadangan[[#This Row],[ItemID A]],Katalog!$C$3:$C$12,0)),"-")</f>
        <v>Pakaian Pria</v>
      </c>
      <c r="E524" s="39" t="str">
        <f>IFERROR(INDEX(Katalog!$B$3:$B$12,MATCH(cadangan[[#This Row],[ItemID A]],Katalog!$C$3:$C$12,0)),"-")</f>
        <v>Celana Pendek</v>
      </c>
      <c r="F524" s="50">
        <v>1</v>
      </c>
      <c r="G524" s="50">
        <v>4</v>
      </c>
      <c r="H524" s="73">
        <f>IFERROR(INDEX(Katalog!$D$3:$D$12,MATCH(cadangan[[#This Row],[ItemID A]],Katalog!$C$3:$C$12,0))*cadangan[[#This Row],[Qty A]],0)</f>
        <v>180000</v>
      </c>
      <c r="I524" s="73">
        <f>IFERROR(cadangan[[#This Row],[Harga Normal A]]-(cadangan[[#This Row],[Harga Normal A]]*cadangan[[#This Row],[Diskon]]),cadangan[[#This Row],[Harga Normal A]])</f>
        <v>180000</v>
      </c>
      <c r="J524" s="73">
        <f>INDEX(Katalog!$F$3:$F$12,MATCH(cadangan[[#This Row],[ItemID A]],Katalog!$C$3:$C$12,0))*cadangan[[#This Row],[Qty A]]</f>
        <v>70000</v>
      </c>
      <c r="K524" s="73">
        <f>IFERROR(cadangan[[#This Row],[Harga Diskon A]]-INDEX(Katalog!$E$3:$E$12,MATCH(cadangan[[#This Row],[ItemID A]],Katalog!$C$3:$C$12,0))*cadangan[[#This Row],[Qty A]],0)</f>
        <v>70000</v>
      </c>
      <c r="L524" s="39" t="s">
        <v>58</v>
      </c>
      <c r="M524" s="39" t="str">
        <f>IFERROR(INDEX(Katalog!$A$3:$A$12,MATCH(cadangan[[#This Row],[ItemID B]],Katalog!$C$3:$C$12,0)),"-")</f>
        <v>Pakaian Wanita</v>
      </c>
      <c r="N524" s="39" t="str">
        <f>IFERROR(INDEX(Katalog!$B$3:$B$12,MATCH(cadangan[[#This Row],[ItemID B]],Katalog!$C$3:$C$12,0)),"-")</f>
        <v>Dress</v>
      </c>
      <c r="O524" s="50">
        <v>1</v>
      </c>
      <c r="P524" s="50">
        <v>3</v>
      </c>
      <c r="Q524" s="73">
        <f>IFERROR(INDEX(Katalog!$D$3:$D$12,MATCH(cadangan[[#This Row],[ItemID B]],Katalog!$C$3:$C$12,0))*cadangan[[#This Row],[Qty B]],0)</f>
        <v>300000</v>
      </c>
      <c r="R524" s="73">
        <f>IFERROR(cadangan[[#This Row],[Harga Normal B]]-(cadangan[[#This Row],[Harga Normal B]]*cadangan[[#This Row],[Diskon]]),cadangan[[#This Row],[Harga Normal B]])</f>
        <v>300000</v>
      </c>
      <c r="S524" s="73">
        <f>IFERROR(INDEX(Katalog!$F$3:$F$12,MATCH(cadangan[[#This Row],[ItemID B]],Katalog!$C$3:$C$12,0))*cadangan[[#This Row],[Qty B]],0)</f>
        <v>100000</v>
      </c>
      <c r="T524" s="73">
        <f>IFERROR(cadangan[[#This Row],[Harga Diskon B]]-INDEX(Katalog!$E$3:$E$12,MATCH(cadangan[[#This Row],[ItemID B]],Katalog!$C$3:$C$12,0))*cadangan[[#This Row],[Qty B]],0)</f>
        <v>100000</v>
      </c>
      <c r="V524" s="39" t="str">
        <f>IFERROR(INDEX(Katalog!$A$3:$A$12,MATCH(cadangan[[#This Row],[ItemID C]],Katalog!$C$3:$C$12,0)),"-")</f>
        <v>-</v>
      </c>
      <c r="W524" s="39" t="str">
        <f>IFERROR(INDEX(Katalog!$B$3:$B$12,MATCH(cadangan[[#This Row],[ItemID C]],Katalog!$C$3:$C$12,0)),"-")</f>
        <v>-</v>
      </c>
      <c r="Z524" s="73">
        <f>IFERROR(INDEX(Katalog!$D$3:$D$12,MATCH(cadangan[[#This Row],[ItemID C]],Katalog!$C$3:$C$12,0))*cadangan[[#This Row],[Qty C]],0)</f>
        <v>0</v>
      </c>
      <c r="AA524" s="73">
        <f>IFERROR(cadangan[[#This Row],[Harga Normal C]]-(cadangan[[#This Row],[Harga Normal C]]*cadangan[[#This Row],[Diskon]]),cadangan[[#This Row],[Harga Normal C]])</f>
        <v>0</v>
      </c>
      <c r="AB524" s="73">
        <f>IFERROR(INDEX(Katalog!$F$3:$F$12,MATCH(cadangan[[#This Row],[ItemID C]],Katalog!$C$3:$C$12,0))*cadangan[[#This Row],[Qty C]],0)</f>
        <v>0</v>
      </c>
      <c r="AC524" s="73">
        <f>IFERROR(cadangan[[#This Row],[Harga Diskon C]]-INDEX(Katalog!$E$3:$E$12,MATCH(cadangan[[#This Row],[ItemID C]],Katalog!$C$3:$C$12,0))*cadangan[[#This Row],[Qty C]],0)</f>
        <v>0</v>
      </c>
      <c r="AD524" s="53">
        <f>cadangan[[#This Row],[Qty A]]+cadangan[[#This Row],[Qty B]]+cadangan[[#This Row],[Qty C]]</f>
        <v>2</v>
      </c>
      <c r="AE524" s="73">
        <f>cadangan[[#This Row],[Harga Normal A]]+cadangan[[#This Row],[Harga Normal B]]+cadangan[[#This Row],[Harga Normal C]]</f>
        <v>480000</v>
      </c>
      <c r="AF524" s="73">
        <f>cadangan[[#This Row],[Harga Diskon A]]+cadangan[[#This Row],[Harga Diskon B]]+cadangan[[#This Row],[Harga Diskon C]]</f>
        <v>480000</v>
      </c>
      <c r="AG524" s="73">
        <f>(cadangan[[#This Row],[Profit Normal A]]+cadangan[[#This Row],[Profit Normal B]]+cadangan[[#This Row],[Profit Normal C]])</f>
        <v>170000</v>
      </c>
      <c r="AH524" s="73">
        <f>cadangan[[#This Row],[Profit Diskon A]]+cadangan[[#This Row],[Profit Diskon B]]+cadangan[[#This Row],[Profit Diskon C]]</f>
        <v>170000</v>
      </c>
      <c r="AI524" s="23" t="s">
        <v>290</v>
      </c>
      <c r="AJ524" s="37" t="str">
        <f>IFERROR(INDEX('Kode Diskon'!$D$3:$D$9,MATCH(cadangan[[#This Row],[Kode diskon]],'Kode Diskon'!$C$3:$C$9,0)),"-")</f>
        <v>-</v>
      </c>
      <c r="AK524" s="23" t="s">
        <v>290</v>
      </c>
      <c r="AL524" s="23" t="s">
        <v>7</v>
      </c>
      <c r="AM524" s="23" t="s">
        <v>77</v>
      </c>
      <c r="AN524" s="55">
        <v>45024</v>
      </c>
      <c r="AO524" s="53">
        <f>DAY(cadangan[[#This Row],[Tanggal terjual]])</f>
        <v>8</v>
      </c>
      <c r="AP524" s="21" t="str">
        <f>TEXT(cadangan[[#This Row],[Tanggal terjual]],"dddd")</f>
        <v>Saturday</v>
      </c>
      <c r="AQ524" s="23" t="str" cm="1">
        <f t="array" ref="AQ5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524" s="61">
        <f>AVERAGE(cadangan[[#This Row],[Rating A]],cadangan[[#This Row],[Rating B]],cadangan[[#This Row],[Rating C]])</f>
        <v>3.5</v>
      </c>
    </row>
    <row r="525" spans="1:44" x14ac:dyDescent="0.2">
      <c r="A525" s="20">
        <v>524</v>
      </c>
      <c r="B525" s="21" t="str">
        <f>_xlfn.CONCAT("ORD-",INDEX(Helper!$B$2:$B$5,MATCH(cadangan[[#This Row],[Marketplace]],Helper!$A$2:$A$5,0)),TEXT(cadangan[[#This Row],[No]],"0000"),"-",TEXT(cadangan[[#This Row],[Tanggal terjual]],"dd/mm/yy"))</f>
        <v>ORD-BL0524-17/04/23</v>
      </c>
      <c r="C525" s="39" t="s">
        <v>67</v>
      </c>
      <c r="D525" s="39" t="str">
        <f>IFERROR(INDEX(Katalog!$A$3:$A$12,MATCH(cadangan[[#This Row],[ItemID A]],Katalog!$C$3:$C$12,0)),"-")</f>
        <v>Sepatu Wanita</v>
      </c>
      <c r="E525" s="39" t="str">
        <f>IFERROR(INDEX(Katalog!$B$3:$B$12,MATCH(cadangan[[#This Row],[ItemID A]],Katalog!$C$3:$C$12,0)),"-")</f>
        <v>Flat Shoes</v>
      </c>
      <c r="F525" s="50">
        <v>4</v>
      </c>
      <c r="G525" s="50">
        <v>2</v>
      </c>
      <c r="H525" s="73">
        <f>IFERROR(INDEX(Katalog!$D$3:$D$12,MATCH(cadangan[[#This Row],[ItemID A]],Katalog!$C$3:$C$12,0))*cadangan[[#This Row],[Qty A]],0)</f>
        <v>1000000</v>
      </c>
      <c r="I525" s="73">
        <f>IFERROR(cadangan[[#This Row],[Harga Normal A]]-(cadangan[[#This Row],[Harga Normal A]]*cadangan[[#This Row],[Diskon]]),cadangan[[#This Row],[Harga Normal A]])</f>
        <v>850000</v>
      </c>
      <c r="J525" s="73">
        <f>INDEX(Katalog!$F$3:$F$12,MATCH(cadangan[[#This Row],[ItemID A]],Katalog!$C$3:$C$12,0))*cadangan[[#This Row],[Qty A]]</f>
        <v>400000</v>
      </c>
      <c r="K525" s="73">
        <f>IFERROR(cadangan[[#This Row],[Harga Diskon A]]-INDEX(Katalog!$E$3:$E$12,MATCH(cadangan[[#This Row],[ItemID A]],Katalog!$C$3:$C$12,0))*cadangan[[#This Row],[Qty A]],0)</f>
        <v>250000</v>
      </c>
      <c r="L525" s="39" t="s">
        <v>58</v>
      </c>
      <c r="M525" s="39" t="str">
        <f>IFERROR(INDEX(Katalog!$A$3:$A$12,MATCH(cadangan[[#This Row],[ItemID B]],Katalog!$C$3:$C$12,0)),"-")</f>
        <v>Pakaian Wanita</v>
      </c>
      <c r="N525" s="39" t="str">
        <f>IFERROR(INDEX(Katalog!$B$3:$B$12,MATCH(cadangan[[#This Row],[ItemID B]],Katalog!$C$3:$C$12,0)),"-")</f>
        <v>Dress</v>
      </c>
      <c r="O525" s="50">
        <v>1</v>
      </c>
      <c r="P525" s="50">
        <v>3</v>
      </c>
      <c r="Q525" s="73">
        <f>IFERROR(INDEX(Katalog!$D$3:$D$12,MATCH(cadangan[[#This Row],[ItemID B]],Katalog!$C$3:$C$12,0))*cadangan[[#This Row],[Qty B]],0)</f>
        <v>300000</v>
      </c>
      <c r="R525" s="73">
        <f>IFERROR(cadangan[[#This Row],[Harga Normal B]]-(cadangan[[#This Row],[Harga Normal B]]*cadangan[[#This Row],[Diskon]]),cadangan[[#This Row],[Harga Normal B]])</f>
        <v>255000</v>
      </c>
      <c r="S525" s="73">
        <f>IFERROR(INDEX(Katalog!$F$3:$F$12,MATCH(cadangan[[#This Row],[ItemID B]],Katalog!$C$3:$C$12,0))*cadangan[[#This Row],[Qty B]],0)</f>
        <v>100000</v>
      </c>
      <c r="T525" s="73">
        <f>IFERROR(cadangan[[#This Row],[Harga Diskon B]]-INDEX(Katalog!$E$3:$E$12,MATCH(cadangan[[#This Row],[ItemID B]],Katalog!$C$3:$C$12,0))*cadangan[[#This Row],[Qty B]],0)</f>
        <v>55000</v>
      </c>
      <c r="V525" s="39" t="str">
        <f>IFERROR(INDEX(Katalog!$A$3:$A$12,MATCH(cadangan[[#This Row],[ItemID C]],Katalog!$C$3:$C$12,0)),"-")</f>
        <v>-</v>
      </c>
      <c r="W525" s="39" t="str">
        <f>IFERROR(INDEX(Katalog!$B$3:$B$12,MATCH(cadangan[[#This Row],[ItemID C]],Katalog!$C$3:$C$12,0)),"-")</f>
        <v>-</v>
      </c>
      <c r="Z525" s="73">
        <f>IFERROR(INDEX(Katalog!$D$3:$D$12,MATCH(cadangan[[#This Row],[ItemID C]],Katalog!$C$3:$C$12,0))*cadangan[[#This Row],[Qty C]],0)</f>
        <v>0</v>
      </c>
      <c r="AA525" s="73">
        <f>IFERROR(cadangan[[#This Row],[Harga Normal C]]-(cadangan[[#This Row],[Harga Normal C]]*cadangan[[#This Row],[Diskon]]),cadangan[[#This Row],[Harga Normal C]])</f>
        <v>0</v>
      </c>
      <c r="AB525" s="73">
        <f>IFERROR(INDEX(Katalog!$F$3:$F$12,MATCH(cadangan[[#This Row],[ItemID C]],Katalog!$C$3:$C$12,0))*cadangan[[#This Row],[Qty C]],0)</f>
        <v>0</v>
      </c>
      <c r="AC525" s="73">
        <f>IFERROR(cadangan[[#This Row],[Harga Diskon C]]-INDEX(Katalog!$E$3:$E$12,MATCH(cadangan[[#This Row],[ItemID C]],Katalog!$C$3:$C$12,0))*cadangan[[#This Row],[Qty C]],0)</f>
        <v>0</v>
      </c>
      <c r="AD525" s="53">
        <f>cadangan[[#This Row],[Qty A]]+cadangan[[#This Row],[Qty B]]+cadangan[[#This Row],[Qty C]]</f>
        <v>5</v>
      </c>
      <c r="AE525" s="73">
        <f>cadangan[[#This Row],[Harga Normal A]]+cadangan[[#This Row],[Harga Normal B]]+cadangan[[#This Row],[Harga Normal C]]</f>
        <v>1300000</v>
      </c>
      <c r="AF525" s="73">
        <f>cadangan[[#This Row],[Harga Diskon A]]+cadangan[[#This Row],[Harga Diskon B]]+cadangan[[#This Row],[Harga Diskon C]]</f>
        <v>1105000</v>
      </c>
      <c r="AG525" s="73">
        <f>(cadangan[[#This Row],[Profit Normal A]]+cadangan[[#This Row],[Profit Normal B]]+cadangan[[#This Row],[Profit Normal C]])</f>
        <v>500000</v>
      </c>
      <c r="AH525" s="73">
        <f>cadangan[[#This Row],[Profit Diskon A]]+cadangan[[#This Row],[Profit Diskon B]]+cadangan[[#This Row],[Profit Diskon C]]</f>
        <v>305000</v>
      </c>
      <c r="AI525" s="23" t="s">
        <v>32</v>
      </c>
      <c r="AJ525" s="37">
        <f>IFERROR(INDEX('Kode Diskon'!$D$3:$D$9,MATCH(cadangan[[#This Row],[Kode diskon]],'Kode Diskon'!$C$3:$C$9,0)),"-")</f>
        <v>0.15</v>
      </c>
      <c r="AK525" s="23" t="s">
        <v>9</v>
      </c>
      <c r="AL525" s="23" t="s">
        <v>12</v>
      </c>
      <c r="AM525" s="23" t="s">
        <v>76</v>
      </c>
      <c r="AN525" s="55">
        <v>45033</v>
      </c>
      <c r="AO525" s="53">
        <f>DAY(cadangan[[#This Row],[Tanggal terjual]])</f>
        <v>17</v>
      </c>
      <c r="AP525" s="21" t="str">
        <f>TEXT(cadangan[[#This Row],[Tanggal terjual]],"dddd")</f>
        <v>Monday</v>
      </c>
      <c r="AQ525" s="23" t="str" cm="1">
        <f t="array" ref="AQ5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25" s="61">
        <f>AVERAGE(cadangan[[#This Row],[Rating A]],cadangan[[#This Row],[Rating B]],cadangan[[#This Row],[Rating C]])</f>
        <v>2.5</v>
      </c>
    </row>
    <row r="526" spans="1:44" x14ac:dyDescent="0.2">
      <c r="A526" s="20">
        <v>525</v>
      </c>
      <c r="B526" s="21" t="str">
        <f>_xlfn.CONCAT("ORD-",INDEX(Helper!$B$2:$B$5,MATCH(cadangan[[#This Row],[Marketplace]],Helper!$A$2:$A$5,0)),TEXT(cadangan[[#This Row],[No]],"0000"),"-",TEXT(cadangan[[#This Row],[Tanggal terjual]],"dd/mm/yy"))</f>
        <v>ORD-BB0525-04/04/23</v>
      </c>
      <c r="C526" s="39" t="s">
        <v>62</v>
      </c>
      <c r="D526" s="39" t="str">
        <f>IFERROR(INDEX(Katalog!$A$3:$A$12,MATCH(cadangan[[#This Row],[ItemID A]],Katalog!$C$3:$C$12,0)),"-")</f>
        <v>Pakaian Pria</v>
      </c>
      <c r="E526" s="39" t="str">
        <f>IFERROR(INDEX(Katalog!$B$3:$B$12,MATCH(cadangan[[#This Row],[ItemID A]],Katalog!$C$3:$C$12,0)),"-")</f>
        <v>Celana Pendek</v>
      </c>
      <c r="F526" s="50">
        <v>4</v>
      </c>
      <c r="G526" s="50">
        <v>4</v>
      </c>
      <c r="H526" s="73">
        <f>IFERROR(INDEX(Katalog!$D$3:$D$12,MATCH(cadangan[[#This Row],[ItemID A]],Katalog!$C$3:$C$12,0))*cadangan[[#This Row],[Qty A]],0)</f>
        <v>720000</v>
      </c>
      <c r="I526" s="73">
        <f>IFERROR(cadangan[[#This Row],[Harga Normal A]]-(cadangan[[#This Row],[Harga Normal A]]*cadangan[[#This Row],[Diskon]]),cadangan[[#This Row],[Harga Normal A]])</f>
        <v>612000</v>
      </c>
      <c r="J526" s="73">
        <f>INDEX(Katalog!$F$3:$F$12,MATCH(cadangan[[#This Row],[ItemID A]],Katalog!$C$3:$C$12,0))*cadangan[[#This Row],[Qty A]]</f>
        <v>280000</v>
      </c>
      <c r="K526" s="73">
        <f>IFERROR(cadangan[[#This Row],[Harga Diskon A]]-INDEX(Katalog!$E$3:$E$12,MATCH(cadangan[[#This Row],[ItemID A]],Katalog!$C$3:$C$12,0))*cadangan[[#This Row],[Qty A]],0)</f>
        <v>172000</v>
      </c>
      <c r="L526" s="39" t="s">
        <v>67</v>
      </c>
      <c r="M526" s="39" t="str">
        <f>IFERROR(INDEX(Katalog!$A$3:$A$12,MATCH(cadangan[[#This Row],[ItemID B]],Katalog!$C$3:$C$12,0)),"-")</f>
        <v>Sepatu Wanita</v>
      </c>
      <c r="N526" s="39" t="str">
        <f>IFERROR(INDEX(Katalog!$B$3:$B$12,MATCH(cadangan[[#This Row],[ItemID B]],Katalog!$C$3:$C$12,0)),"-")</f>
        <v>Flat Shoes</v>
      </c>
      <c r="O526" s="50">
        <v>1</v>
      </c>
      <c r="P526" s="50">
        <v>4</v>
      </c>
      <c r="Q526" s="73">
        <f>IFERROR(INDEX(Katalog!$D$3:$D$12,MATCH(cadangan[[#This Row],[ItemID B]],Katalog!$C$3:$C$12,0))*cadangan[[#This Row],[Qty B]],0)</f>
        <v>250000</v>
      </c>
      <c r="R526" s="73">
        <f>IFERROR(cadangan[[#This Row],[Harga Normal B]]-(cadangan[[#This Row],[Harga Normal B]]*cadangan[[#This Row],[Diskon]]),cadangan[[#This Row],[Harga Normal B]])</f>
        <v>212500</v>
      </c>
      <c r="S526" s="73">
        <f>IFERROR(INDEX(Katalog!$F$3:$F$12,MATCH(cadangan[[#This Row],[ItemID B]],Katalog!$C$3:$C$12,0))*cadangan[[#This Row],[Qty B]],0)</f>
        <v>100000</v>
      </c>
      <c r="T526" s="73">
        <f>IFERROR(cadangan[[#This Row],[Harga Diskon B]]-INDEX(Katalog!$E$3:$E$12,MATCH(cadangan[[#This Row],[ItemID B]],Katalog!$C$3:$C$12,0))*cadangan[[#This Row],[Qty B]],0)</f>
        <v>62500</v>
      </c>
      <c r="V526" s="39" t="str">
        <f>IFERROR(INDEX(Katalog!$A$3:$A$12,MATCH(cadangan[[#This Row],[ItemID C]],Katalog!$C$3:$C$12,0)),"-")</f>
        <v>-</v>
      </c>
      <c r="W526" s="39" t="str">
        <f>IFERROR(INDEX(Katalog!$B$3:$B$12,MATCH(cadangan[[#This Row],[ItemID C]],Katalog!$C$3:$C$12,0)),"-")</f>
        <v>-</v>
      </c>
      <c r="Z526" s="73">
        <f>IFERROR(INDEX(Katalog!$D$3:$D$12,MATCH(cadangan[[#This Row],[ItemID C]],Katalog!$C$3:$C$12,0))*cadangan[[#This Row],[Qty C]],0)</f>
        <v>0</v>
      </c>
      <c r="AA526" s="73">
        <f>IFERROR(cadangan[[#This Row],[Harga Normal C]]-(cadangan[[#This Row],[Harga Normal C]]*cadangan[[#This Row],[Diskon]]),cadangan[[#This Row],[Harga Normal C]])</f>
        <v>0</v>
      </c>
      <c r="AB526" s="73">
        <f>IFERROR(INDEX(Katalog!$F$3:$F$12,MATCH(cadangan[[#This Row],[ItemID C]],Katalog!$C$3:$C$12,0))*cadangan[[#This Row],[Qty C]],0)</f>
        <v>0</v>
      </c>
      <c r="AC526" s="73">
        <f>IFERROR(cadangan[[#This Row],[Harga Diskon C]]-INDEX(Katalog!$E$3:$E$12,MATCH(cadangan[[#This Row],[ItemID C]],Katalog!$C$3:$C$12,0))*cadangan[[#This Row],[Qty C]],0)</f>
        <v>0</v>
      </c>
      <c r="AD526" s="53">
        <f>cadangan[[#This Row],[Qty A]]+cadangan[[#This Row],[Qty B]]+cadangan[[#This Row],[Qty C]]</f>
        <v>5</v>
      </c>
      <c r="AE526" s="73">
        <f>cadangan[[#This Row],[Harga Normal A]]+cadangan[[#This Row],[Harga Normal B]]+cadangan[[#This Row],[Harga Normal C]]</f>
        <v>970000</v>
      </c>
      <c r="AF526" s="73">
        <f>cadangan[[#This Row],[Harga Diskon A]]+cadangan[[#This Row],[Harga Diskon B]]+cadangan[[#This Row],[Harga Diskon C]]</f>
        <v>824500</v>
      </c>
      <c r="AG526" s="73">
        <f>(cadangan[[#This Row],[Profit Normal A]]+cadangan[[#This Row],[Profit Normal B]]+cadangan[[#This Row],[Profit Normal C]])</f>
        <v>380000</v>
      </c>
      <c r="AH526" s="73">
        <f>cadangan[[#This Row],[Profit Diskon A]]+cadangan[[#This Row],[Profit Diskon B]]+cadangan[[#This Row],[Profit Diskon C]]</f>
        <v>234500</v>
      </c>
      <c r="AI526" s="23" t="s">
        <v>28</v>
      </c>
      <c r="AJ526" s="37">
        <f>IFERROR(INDEX('Kode Diskon'!$D$3:$D$9,MATCH(cadangan[[#This Row],[Kode diskon]],'Kode Diskon'!$C$3:$C$9,0)),"-")</f>
        <v>0.15</v>
      </c>
      <c r="AK526" s="23" t="s">
        <v>29</v>
      </c>
      <c r="AL526" s="23" t="s">
        <v>14</v>
      </c>
      <c r="AM526" s="23" t="s">
        <v>79</v>
      </c>
      <c r="AN526" s="55">
        <v>45020</v>
      </c>
      <c r="AO526" s="53">
        <f>DAY(cadangan[[#This Row],[Tanggal terjual]])</f>
        <v>4</v>
      </c>
      <c r="AP526" s="21" t="str">
        <f>TEXT(cadangan[[#This Row],[Tanggal terjual]],"dddd")</f>
        <v>Tuesday</v>
      </c>
      <c r="AQ526" s="23" t="str" cm="1">
        <f t="array" ref="AQ5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26" s="61">
        <f>AVERAGE(cadangan[[#This Row],[Rating A]],cadangan[[#This Row],[Rating B]],cadangan[[#This Row],[Rating C]])</f>
        <v>4</v>
      </c>
    </row>
    <row r="527" spans="1:44" x14ac:dyDescent="0.2">
      <c r="A527" s="20">
        <v>526</v>
      </c>
      <c r="B527" s="21" t="str">
        <f>_xlfn.CONCAT("ORD-",INDEX(Helper!$B$2:$B$5,MATCH(cadangan[[#This Row],[Marketplace]],Helper!$A$2:$A$5,0)),TEXT(cadangan[[#This Row],[No]],"0000"),"-",TEXT(cadangan[[#This Row],[Tanggal terjual]],"dd/mm/yy"))</f>
        <v>ORD-TK0526-26/04/23</v>
      </c>
      <c r="C527" s="39" t="s">
        <v>62</v>
      </c>
      <c r="D527" s="39" t="str">
        <f>IFERROR(INDEX(Katalog!$A$3:$A$12,MATCH(cadangan[[#This Row],[ItemID A]],Katalog!$C$3:$C$12,0)),"-")</f>
        <v>Pakaian Pria</v>
      </c>
      <c r="E527" s="39" t="str">
        <f>IFERROR(INDEX(Katalog!$B$3:$B$12,MATCH(cadangan[[#This Row],[ItemID A]],Katalog!$C$3:$C$12,0)),"-")</f>
        <v>Celana Pendek</v>
      </c>
      <c r="F527" s="50">
        <v>1</v>
      </c>
      <c r="G527" s="50">
        <v>5</v>
      </c>
      <c r="H527" s="73">
        <f>IFERROR(INDEX(Katalog!$D$3:$D$12,MATCH(cadangan[[#This Row],[ItemID A]],Katalog!$C$3:$C$12,0))*cadangan[[#This Row],[Qty A]],0)</f>
        <v>180000</v>
      </c>
      <c r="I527" s="73">
        <f>IFERROR(cadangan[[#This Row],[Harga Normal A]]-(cadangan[[#This Row],[Harga Normal A]]*cadangan[[#This Row],[Diskon]]),cadangan[[#This Row],[Harga Normal A]])</f>
        <v>162000</v>
      </c>
      <c r="J527" s="73">
        <f>INDEX(Katalog!$F$3:$F$12,MATCH(cadangan[[#This Row],[ItemID A]],Katalog!$C$3:$C$12,0))*cadangan[[#This Row],[Qty A]]</f>
        <v>70000</v>
      </c>
      <c r="K527" s="73">
        <f>IFERROR(cadangan[[#This Row],[Harga Diskon A]]-INDEX(Katalog!$E$3:$E$12,MATCH(cadangan[[#This Row],[ItemID A]],Katalog!$C$3:$C$12,0))*cadangan[[#This Row],[Qty A]],0)</f>
        <v>52000</v>
      </c>
      <c r="L527" s="39" t="s">
        <v>66</v>
      </c>
      <c r="M527" s="39" t="str">
        <f>IFERROR(INDEX(Katalog!$A$3:$A$12,MATCH(cadangan[[#This Row],[ItemID B]],Katalog!$C$3:$C$12,0)),"-")</f>
        <v>Sepatu Pria</v>
      </c>
      <c r="N527" s="39" t="str">
        <f>IFERROR(INDEX(Katalog!$B$3:$B$12,MATCH(cadangan[[#This Row],[ItemID B]],Katalog!$C$3:$C$12,0)),"-")</f>
        <v>Sandal Slip On</v>
      </c>
      <c r="O527" s="50">
        <v>4</v>
      </c>
      <c r="P527" s="50">
        <v>4</v>
      </c>
      <c r="Q527" s="73">
        <f>IFERROR(INDEX(Katalog!$D$3:$D$12,MATCH(cadangan[[#This Row],[ItemID B]],Katalog!$C$3:$C$12,0))*cadangan[[#This Row],[Qty B]],0)</f>
        <v>600000</v>
      </c>
      <c r="R527" s="73">
        <f>IFERROR(cadangan[[#This Row],[Harga Normal B]]-(cadangan[[#This Row],[Harga Normal B]]*cadangan[[#This Row],[Diskon]]),cadangan[[#This Row],[Harga Normal B]])</f>
        <v>540000</v>
      </c>
      <c r="S527" s="73">
        <f>IFERROR(INDEX(Katalog!$F$3:$F$12,MATCH(cadangan[[#This Row],[ItemID B]],Katalog!$C$3:$C$12,0))*cadangan[[#This Row],[Qty B]],0)</f>
        <v>240000</v>
      </c>
      <c r="T527" s="73">
        <f>IFERROR(cadangan[[#This Row],[Harga Diskon B]]-INDEX(Katalog!$E$3:$E$12,MATCH(cadangan[[#This Row],[ItemID B]],Katalog!$C$3:$C$12,0))*cadangan[[#This Row],[Qty B]],0)</f>
        <v>180000</v>
      </c>
      <c r="U527" s="39" t="s">
        <v>59</v>
      </c>
      <c r="V527" s="39" t="str">
        <f>IFERROR(INDEX(Katalog!$A$3:$A$12,MATCH(cadangan[[#This Row],[ItemID C]],Katalog!$C$3:$C$12,0)),"-")</f>
        <v>Pakaian Wanita</v>
      </c>
      <c r="W527" s="39" t="str">
        <f>IFERROR(INDEX(Katalog!$B$3:$B$12,MATCH(cadangan[[#This Row],[ItemID C]],Katalog!$C$3:$C$12,0)),"-")</f>
        <v>Blouse</v>
      </c>
      <c r="X527" s="50">
        <v>1</v>
      </c>
      <c r="Y527" s="50">
        <v>5</v>
      </c>
      <c r="Z527" s="73">
        <f>IFERROR(INDEX(Katalog!$D$3:$D$12,MATCH(cadangan[[#This Row],[ItemID C]],Katalog!$C$3:$C$12,0))*cadangan[[#This Row],[Qty C]],0)</f>
        <v>150000</v>
      </c>
      <c r="AA527" s="73">
        <f>IFERROR(cadangan[[#This Row],[Harga Normal C]]-(cadangan[[#This Row],[Harga Normal C]]*cadangan[[#This Row],[Diskon]]),cadangan[[#This Row],[Harga Normal C]])</f>
        <v>135000</v>
      </c>
      <c r="AB527" s="73">
        <f>IFERROR(INDEX(Katalog!$F$3:$F$12,MATCH(cadangan[[#This Row],[ItemID C]],Katalog!$C$3:$C$12,0))*cadangan[[#This Row],[Qty C]],0)</f>
        <v>50000</v>
      </c>
      <c r="AC527" s="73">
        <f>IFERROR(cadangan[[#This Row],[Harga Diskon C]]-INDEX(Katalog!$E$3:$E$12,MATCH(cadangan[[#This Row],[ItemID C]],Katalog!$C$3:$C$12,0))*cadangan[[#This Row],[Qty C]],0)</f>
        <v>35000</v>
      </c>
      <c r="AD527" s="53">
        <f>cadangan[[#This Row],[Qty A]]+cadangan[[#This Row],[Qty B]]+cadangan[[#This Row],[Qty C]]</f>
        <v>6</v>
      </c>
      <c r="AE527" s="73">
        <f>cadangan[[#This Row],[Harga Normal A]]+cadangan[[#This Row],[Harga Normal B]]+cadangan[[#This Row],[Harga Normal C]]</f>
        <v>930000</v>
      </c>
      <c r="AF527" s="73">
        <f>cadangan[[#This Row],[Harga Diskon A]]+cadangan[[#This Row],[Harga Diskon B]]+cadangan[[#This Row],[Harga Diskon C]]</f>
        <v>837000</v>
      </c>
      <c r="AG527" s="73">
        <f>(cadangan[[#This Row],[Profit Normal A]]+cadangan[[#This Row],[Profit Normal B]]+cadangan[[#This Row],[Profit Normal C]])</f>
        <v>360000</v>
      </c>
      <c r="AH527" s="73">
        <f>cadangan[[#This Row],[Profit Diskon A]]+cadangan[[#This Row],[Profit Diskon B]]+cadangan[[#This Row],[Profit Diskon C]]</f>
        <v>267000</v>
      </c>
      <c r="AI527" s="23" t="s">
        <v>31</v>
      </c>
      <c r="AJ527" s="37">
        <f>IFERROR(INDEX('Kode Diskon'!$D$3:$D$9,MATCH(cadangan[[#This Row],[Kode diskon]],'Kode Diskon'!$C$3:$C$9,0)),"-")</f>
        <v>0.1</v>
      </c>
      <c r="AK527" s="23" t="s">
        <v>9</v>
      </c>
      <c r="AL527" s="23" t="s">
        <v>10</v>
      </c>
      <c r="AM527" s="23" t="s">
        <v>77</v>
      </c>
      <c r="AN527" s="55">
        <v>45042</v>
      </c>
      <c r="AO527" s="53">
        <f>DAY(cadangan[[#This Row],[Tanggal terjual]])</f>
        <v>26</v>
      </c>
      <c r="AP527" s="21" t="str">
        <f>TEXT(cadangan[[#This Row],[Tanggal terjual]],"dddd")</f>
        <v>Wednesday</v>
      </c>
      <c r="AQ527" s="23" t="str" cm="1">
        <f t="array" ref="AQ5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27" s="61">
        <f>AVERAGE(cadangan[[#This Row],[Rating A]],cadangan[[#This Row],[Rating B]],cadangan[[#This Row],[Rating C]])</f>
        <v>4.666666666666667</v>
      </c>
    </row>
    <row r="528" spans="1:44" x14ac:dyDescent="0.2">
      <c r="A528" s="20">
        <v>527</v>
      </c>
      <c r="B528" s="21" t="str">
        <f>_xlfn.CONCAT("ORD-",INDEX(Helper!$B$2:$B$5,MATCH(cadangan[[#This Row],[Marketplace]],Helper!$A$2:$A$5,0)),TEXT(cadangan[[#This Row],[No]],"0000"),"-",TEXT(cadangan[[#This Row],[Tanggal terjual]],"dd/mm/yy"))</f>
        <v>ORD-SP0527-23/04/23</v>
      </c>
      <c r="C528" s="39" t="s">
        <v>64</v>
      </c>
      <c r="D528" s="39" t="str">
        <f>IFERROR(INDEX(Katalog!$A$3:$A$12,MATCH(cadangan[[#This Row],[ItemID A]],Katalog!$C$3:$C$12,0)),"-")</f>
        <v>Pakaian Unisex</v>
      </c>
      <c r="E528" s="39" t="str">
        <f>IFERROR(INDEX(Katalog!$B$3:$B$12,MATCH(cadangan[[#This Row],[ItemID A]],Katalog!$C$3:$C$12,0)),"-")</f>
        <v>Jaket Hoodie</v>
      </c>
      <c r="F528" s="50">
        <v>6</v>
      </c>
      <c r="G528" s="50">
        <v>4</v>
      </c>
      <c r="H528" s="73">
        <f>IFERROR(INDEX(Katalog!$D$3:$D$12,MATCH(cadangan[[#This Row],[ItemID A]],Katalog!$C$3:$C$12,0))*cadangan[[#This Row],[Qty A]],0)</f>
        <v>2100000</v>
      </c>
      <c r="I528" s="73">
        <f>IFERROR(cadangan[[#This Row],[Harga Normal A]]-(cadangan[[#This Row],[Harga Normal A]]*cadangan[[#This Row],[Diskon]]),cadangan[[#This Row],[Harga Normal A]])</f>
        <v>1680000</v>
      </c>
      <c r="J528" s="73">
        <f>INDEX(Katalog!$F$3:$F$12,MATCH(cadangan[[#This Row],[ItemID A]],Katalog!$C$3:$C$12,0))*cadangan[[#This Row],[Qty A]]</f>
        <v>780000</v>
      </c>
      <c r="K528" s="73">
        <f>IFERROR(cadangan[[#This Row],[Harga Diskon A]]-INDEX(Katalog!$E$3:$E$12,MATCH(cadangan[[#This Row],[ItemID A]],Katalog!$C$3:$C$12,0))*cadangan[[#This Row],[Qty A]],0)</f>
        <v>360000</v>
      </c>
      <c r="L528" s="39" t="s">
        <v>60</v>
      </c>
      <c r="M528" s="39" t="str">
        <f>IFERROR(INDEX(Katalog!$A$3:$A$12,MATCH(cadangan[[#This Row],[ItemID B]],Katalog!$C$3:$C$12,0)),"-")</f>
        <v>Pakaian Wanita</v>
      </c>
      <c r="N528" s="39" t="str">
        <f>IFERROR(INDEX(Katalog!$B$3:$B$12,MATCH(cadangan[[#This Row],[ItemID B]],Katalog!$C$3:$C$12,0)),"-")</f>
        <v>Kaftan</v>
      </c>
      <c r="O528" s="50">
        <v>1</v>
      </c>
      <c r="P528" s="50">
        <v>4</v>
      </c>
      <c r="Q528" s="73">
        <f>IFERROR(INDEX(Katalog!$D$3:$D$12,MATCH(cadangan[[#This Row],[ItemID B]],Katalog!$C$3:$C$12,0))*cadangan[[#This Row],[Qty B]],0)</f>
        <v>250000</v>
      </c>
      <c r="R528" s="73">
        <f>IFERROR(cadangan[[#This Row],[Harga Normal B]]-(cadangan[[#This Row],[Harga Normal B]]*cadangan[[#This Row],[Diskon]]),cadangan[[#This Row],[Harga Normal B]])</f>
        <v>200000</v>
      </c>
      <c r="S528" s="73">
        <f>IFERROR(INDEX(Katalog!$F$3:$F$12,MATCH(cadangan[[#This Row],[ItemID B]],Katalog!$C$3:$C$12,0))*cadangan[[#This Row],[Qty B]],0)</f>
        <v>100000</v>
      </c>
      <c r="T528" s="73">
        <f>IFERROR(cadangan[[#This Row],[Harga Diskon B]]-INDEX(Katalog!$E$3:$E$12,MATCH(cadangan[[#This Row],[ItemID B]],Katalog!$C$3:$C$12,0))*cadangan[[#This Row],[Qty B]],0)</f>
        <v>50000</v>
      </c>
      <c r="V528" s="39" t="str">
        <f>IFERROR(INDEX(Katalog!$A$3:$A$12,MATCH(cadangan[[#This Row],[ItemID C]],Katalog!$C$3:$C$12,0)),"-")</f>
        <v>-</v>
      </c>
      <c r="W528" s="39" t="str">
        <f>IFERROR(INDEX(Katalog!$B$3:$B$12,MATCH(cadangan[[#This Row],[ItemID C]],Katalog!$C$3:$C$12,0)),"-")</f>
        <v>-</v>
      </c>
      <c r="Z528" s="73">
        <f>IFERROR(INDEX(Katalog!$D$3:$D$12,MATCH(cadangan[[#This Row],[ItemID C]],Katalog!$C$3:$C$12,0))*cadangan[[#This Row],[Qty C]],0)</f>
        <v>0</v>
      </c>
      <c r="AA528" s="73">
        <f>IFERROR(cadangan[[#This Row],[Harga Normal C]]-(cadangan[[#This Row],[Harga Normal C]]*cadangan[[#This Row],[Diskon]]),cadangan[[#This Row],[Harga Normal C]])</f>
        <v>0</v>
      </c>
      <c r="AB528" s="73">
        <f>IFERROR(INDEX(Katalog!$F$3:$F$12,MATCH(cadangan[[#This Row],[ItemID C]],Katalog!$C$3:$C$12,0))*cadangan[[#This Row],[Qty C]],0)</f>
        <v>0</v>
      </c>
      <c r="AC528" s="73">
        <f>IFERROR(cadangan[[#This Row],[Harga Diskon C]]-INDEX(Katalog!$E$3:$E$12,MATCH(cadangan[[#This Row],[ItemID C]],Katalog!$C$3:$C$12,0))*cadangan[[#This Row],[Qty C]],0)</f>
        <v>0</v>
      </c>
      <c r="AD528" s="53">
        <f>cadangan[[#This Row],[Qty A]]+cadangan[[#This Row],[Qty B]]+cadangan[[#This Row],[Qty C]]</f>
        <v>7</v>
      </c>
      <c r="AE528" s="73">
        <f>cadangan[[#This Row],[Harga Normal A]]+cadangan[[#This Row],[Harga Normal B]]+cadangan[[#This Row],[Harga Normal C]]</f>
        <v>2350000</v>
      </c>
      <c r="AF528" s="73">
        <f>cadangan[[#This Row],[Harga Diskon A]]+cadangan[[#This Row],[Harga Diskon B]]+cadangan[[#This Row],[Harga Diskon C]]</f>
        <v>1880000</v>
      </c>
      <c r="AG528" s="73">
        <f>(cadangan[[#This Row],[Profit Normal A]]+cadangan[[#This Row],[Profit Normal B]]+cadangan[[#This Row],[Profit Normal C]])</f>
        <v>880000</v>
      </c>
      <c r="AH528" s="73">
        <f>cadangan[[#This Row],[Profit Diskon A]]+cadangan[[#This Row],[Profit Diskon B]]+cadangan[[#This Row],[Profit Diskon C]]</f>
        <v>410000</v>
      </c>
      <c r="AI528" s="23" t="s">
        <v>8</v>
      </c>
      <c r="AJ528" s="37">
        <f>IFERROR(INDEX('Kode Diskon'!$D$3:$D$9,MATCH(cadangan[[#This Row],[Kode diskon]],'Kode Diskon'!$C$3:$C$9,0)),"-")</f>
        <v>0.2</v>
      </c>
      <c r="AK528" s="23" t="s">
        <v>9</v>
      </c>
      <c r="AL528" s="23" t="s">
        <v>7</v>
      </c>
      <c r="AM528" s="23" t="s">
        <v>77</v>
      </c>
      <c r="AN528" s="55">
        <v>45039</v>
      </c>
      <c r="AO528" s="53">
        <f>DAY(cadangan[[#This Row],[Tanggal terjual]])</f>
        <v>23</v>
      </c>
      <c r="AP528" s="21" t="str">
        <f>TEXT(cadangan[[#This Row],[Tanggal terjual]],"dddd")</f>
        <v>Sunday</v>
      </c>
      <c r="AQ528" s="23" t="str" cm="1">
        <f t="array" ref="AQ5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28" s="61">
        <f>AVERAGE(cadangan[[#This Row],[Rating A]],cadangan[[#This Row],[Rating B]],cadangan[[#This Row],[Rating C]])</f>
        <v>4</v>
      </c>
    </row>
    <row r="529" spans="1:44" x14ac:dyDescent="0.2">
      <c r="A529" s="20">
        <v>528</v>
      </c>
      <c r="B529" s="21" t="str">
        <f>_xlfn.CONCAT("ORD-",INDEX(Helper!$B$2:$B$5,MATCH(cadangan[[#This Row],[Marketplace]],Helper!$A$2:$A$5,0)),TEXT(cadangan[[#This Row],[No]],"0000"),"-",TEXT(cadangan[[#This Row],[Tanggal terjual]],"dd/mm/yy"))</f>
        <v>ORD-SP0528-21/04/23</v>
      </c>
      <c r="C529" s="39" t="s">
        <v>60</v>
      </c>
      <c r="D529" s="39" t="str">
        <f>IFERROR(INDEX(Katalog!$A$3:$A$12,MATCH(cadangan[[#This Row],[ItemID A]],Katalog!$C$3:$C$12,0)),"-")</f>
        <v>Pakaian Wanita</v>
      </c>
      <c r="E529" s="39" t="str">
        <f>IFERROR(INDEX(Katalog!$B$3:$B$12,MATCH(cadangan[[#This Row],[ItemID A]],Katalog!$C$3:$C$12,0)),"-")</f>
        <v>Kaftan</v>
      </c>
      <c r="F529" s="50">
        <v>1</v>
      </c>
      <c r="G529" s="50">
        <v>4</v>
      </c>
      <c r="H529" s="73">
        <f>IFERROR(INDEX(Katalog!$D$3:$D$12,MATCH(cadangan[[#This Row],[ItemID A]],Katalog!$C$3:$C$12,0))*cadangan[[#This Row],[Qty A]],0)</f>
        <v>250000</v>
      </c>
      <c r="I529" s="73">
        <f>IFERROR(cadangan[[#This Row],[Harga Normal A]]-(cadangan[[#This Row],[Harga Normal A]]*cadangan[[#This Row],[Diskon]]),cadangan[[#This Row],[Harga Normal A]])</f>
        <v>200000</v>
      </c>
      <c r="J529" s="73">
        <f>INDEX(Katalog!$F$3:$F$12,MATCH(cadangan[[#This Row],[ItemID A]],Katalog!$C$3:$C$12,0))*cadangan[[#This Row],[Qty A]]</f>
        <v>100000</v>
      </c>
      <c r="K529" s="73">
        <f>IFERROR(cadangan[[#This Row],[Harga Diskon A]]-INDEX(Katalog!$E$3:$E$12,MATCH(cadangan[[#This Row],[ItemID A]],Katalog!$C$3:$C$12,0))*cadangan[[#This Row],[Qty A]],0)</f>
        <v>50000</v>
      </c>
      <c r="L529" s="39" t="s">
        <v>62</v>
      </c>
      <c r="M529" s="39" t="str">
        <f>IFERROR(INDEX(Katalog!$A$3:$A$12,MATCH(cadangan[[#This Row],[ItemID B]],Katalog!$C$3:$C$12,0)),"-")</f>
        <v>Pakaian Pria</v>
      </c>
      <c r="N529" s="39" t="str">
        <f>IFERROR(INDEX(Katalog!$B$3:$B$12,MATCH(cadangan[[#This Row],[ItemID B]],Katalog!$C$3:$C$12,0)),"-")</f>
        <v>Celana Pendek</v>
      </c>
      <c r="O529" s="50">
        <v>3</v>
      </c>
      <c r="P529" s="50">
        <v>2</v>
      </c>
      <c r="Q529" s="73">
        <f>IFERROR(INDEX(Katalog!$D$3:$D$12,MATCH(cadangan[[#This Row],[ItemID B]],Katalog!$C$3:$C$12,0))*cadangan[[#This Row],[Qty B]],0)</f>
        <v>540000</v>
      </c>
      <c r="R529" s="73">
        <f>IFERROR(cadangan[[#This Row],[Harga Normal B]]-(cadangan[[#This Row],[Harga Normal B]]*cadangan[[#This Row],[Diskon]]),cadangan[[#This Row],[Harga Normal B]])</f>
        <v>432000</v>
      </c>
      <c r="S529" s="73">
        <f>IFERROR(INDEX(Katalog!$F$3:$F$12,MATCH(cadangan[[#This Row],[ItemID B]],Katalog!$C$3:$C$12,0))*cadangan[[#This Row],[Qty B]],0)</f>
        <v>210000</v>
      </c>
      <c r="T529" s="73">
        <f>IFERROR(cadangan[[#This Row],[Harga Diskon B]]-INDEX(Katalog!$E$3:$E$12,MATCH(cadangan[[#This Row],[ItemID B]],Katalog!$C$3:$C$12,0))*cadangan[[#This Row],[Qty B]],0)</f>
        <v>102000</v>
      </c>
      <c r="U529" s="39" t="s">
        <v>62</v>
      </c>
      <c r="V529" s="39" t="str">
        <f>IFERROR(INDEX(Katalog!$A$3:$A$12,MATCH(cadangan[[#This Row],[ItemID C]],Katalog!$C$3:$C$12,0)),"-")</f>
        <v>Pakaian Pria</v>
      </c>
      <c r="W529" s="39" t="str">
        <f>IFERROR(INDEX(Katalog!$B$3:$B$12,MATCH(cadangan[[#This Row],[ItemID C]],Katalog!$C$3:$C$12,0)),"-")</f>
        <v>Celana Pendek</v>
      </c>
      <c r="X529" s="50">
        <v>1</v>
      </c>
      <c r="Y529" s="50">
        <v>2</v>
      </c>
      <c r="Z529" s="73">
        <f>IFERROR(INDEX(Katalog!$D$3:$D$12,MATCH(cadangan[[#This Row],[ItemID C]],Katalog!$C$3:$C$12,0))*cadangan[[#This Row],[Qty C]],0)</f>
        <v>180000</v>
      </c>
      <c r="AA529" s="73">
        <f>IFERROR(cadangan[[#This Row],[Harga Normal C]]-(cadangan[[#This Row],[Harga Normal C]]*cadangan[[#This Row],[Diskon]]),cadangan[[#This Row],[Harga Normal C]])</f>
        <v>144000</v>
      </c>
      <c r="AB529" s="73">
        <f>IFERROR(INDEX(Katalog!$F$3:$F$12,MATCH(cadangan[[#This Row],[ItemID C]],Katalog!$C$3:$C$12,0))*cadangan[[#This Row],[Qty C]],0)</f>
        <v>70000</v>
      </c>
      <c r="AC529" s="73">
        <f>IFERROR(cadangan[[#This Row],[Harga Diskon C]]-INDEX(Katalog!$E$3:$E$12,MATCH(cadangan[[#This Row],[ItemID C]],Katalog!$C$3:$C$12,0))*cadangan[[#This Row],[Qty C]],0)</f>
        <v>34000</v>
      </c>
      <c r="AD529" s="53">
        <f>cadangan[[#This Row],[Qty A]]+cadangan[[#This Row],[Qty B]]+cadangan[[#This Row],[Qty C]]</f>
        <v>5</v>
      </c>
      <c r="AE529" s="73">
        <f>cadangan[[#This Row],[Harga Normal A]]+cadangan[[#This Row],[Harga Normal B]]+cadangan[[#This Row],[Harga Normal C]]</f>
        <v>970000</v>
      </c>
      <c r="AF529" s="73">
        <f>cadangan[[#This Row],[Harga Diskon A]]+cadangan[[#This Row],[Harga Diskon B]]+cadangan[[#This Row],[Harga Diskon C]]</f>
        <v>776000</v>
      </c>
      <c r="AG529" s="73">
        <f>(cadangan[[#This Row],[Profit Normal A]]+cadangan[[#This Row],[Profit Normal B]]+cadangan[[#This Row],[Profit Normal C]])</f>
        <v>380000</v>
      </c>
      <c r="AH529" s="73">
        <f>cadangan[[#This Row],[Profit Diskon A]]+cadangan[[#This Row],[Profit Diskon B]]+cadangan[[#This Row],[Profit Diskon C]]</f>
        <v>186000</v>
      </c>
      <c r="AI529" s="23" t="s">
        <v>8</v>
      </c>
      <c r="AJ529" s="37">
        <f>IFERROR(INDEX('Kode Diskon'!$D$3:$D$9,MATCH(cadangan[[#This Row],[Kode diskon]],'Kode Diskon'!$C$3:$C$9,0)),"-")</f>
        <v>0.2</v>
      </c>
      <c r="AK529" s="23" t="s">
        <v>9</v>
      </c>
      <c r="AL529" s="23" t="s">
        <v>7</v>
      </c>
      <c r="AM529" s="23" t="s">
        <v>75</v>
      </c>
      <c r="AN529" s="55">
        <v>45037</v>
      </c>
      <c r="AO529" s="53">
        <f>DAY(cadangan[[#This Row],[Tanggal terjual]])</f>
        <v>21</v>
      </c>
      <c r="AP529" s="21" t="str">
        <f>TEXT(cadangan[[#This Row],[Tanggal terjual]],"dddd")</f>
        <v>Friday</v>
      </c>
      <c r="AQ529" s="23" t="str" cm="1">
        <f t="array" ref="AQ5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29" s="61">
        <f>AVERAGE(cadangan[[#This Row],[Rating A]],cadangan[[#This Row],[Rating B]],cadangan[[#This Row],[Rating C]])</f>
        <v>2.6666666666666665</v>
      </c>
    </row>
    <row r="530" spans="1:44" x14ac:dyDescent="0.2">
      <c r="A530" s="20">
        <v>529</v>
      </c>
      <c r="B530" s="21" t="str">
        <f>_xlfn.CONCAT("ORD-",INDEX(Helper!$B$2:$B$5,MATCH(cadangan[[#This Row],[Marketplace]],Helper!$A$2:$A$5,0)),TEXT(cadangan[[#This Row],[No]],"0000"),"-",TEXT(cadangan[[#This Row],[Tanggal terjual]],"dd/mm/yy"))</f>
        <v>ORD-SP0529-02/04/23</v>
      </c>
      <c r="C530" s="39" t="s">
        <v>63</v>
      </c>
      <c r="D530" s="39" t="str">
        <f>IFERROR(INDEX(Katalog!$A$3:$A$12,MATCH(cadangan[[#This Row],[ItemID A]],Katalog!$C$3:$C$12,0)),"-")</f>
        <v>Pakaian Pria</v>
      </c>
      <c r="E530" s="39" t="str">
        <f>IFERROR(INDEX(Katalog!$B$3:$B$12,MATCH(cadangan[[#This Row],[ItemID A]],Katalog!$C$3:$C$12,0)),"-")</f>
        <v>Jaket Jeans</v>
      </c>
      <c r="F530" s="50">
        <v>2</v>
      </c>
      <c r="G530" s="50">
        <v>4</v>
      </c>
      <c r="H530" s="73">
        <f>IFERROR(INDEX(Katalog!$D$3:$D$12,MATCH(cadangan[[#This Row],[ItemID A]],Katalog!$C$3:$C$12,0))*cadangan[[#This Row],[Qty A]],0)</f>
        <v>800000</v>
      </c>
      <c r="I530" s="73">
        <f>IFERROR(cadangan[[#This Row],[Harga Normal A]]-(cadangan[[#This Row],[Harga Normal A]]*cadangan[[#This Row],[Diskon]]),cadangan[[#This Row],[Harga Normal A]])</f>
        <v>680000</v>
      </c>
      <c r="J530" s="73">
        <f>INDEX(Katalog!$F$3:$F$12,MATCH(cadangan[[#This Row],[ItemID A]],Katalog!$C$3:$C$12,0))*cadangan[[#This Row],[Qty A]]</f>
        <v>300000</v>
      </c>
      <c r="K530" s="73">
        <f>IFERROR(cadangan[[#This Row],[Harga Diskon A]]-INDEX(Katalog!$E$3:$E$12,MATCH(cadangan[[#This Row],[ItemID A]],Katalog!$C$3:$C$12,0))*cadangan[[#This Row],[Qty A]],0)</f>
        <v>180000</v>
      </c>
      <c r="M530" s="39" t="str">
        <f>IFERROR(INDEX(Katalog!$A$3:$A$12,MATCH(cadangan[[#This Row],[ItemID B]],Katalog!$C$3:$C$12,0)),"-")</f>
        <v>-</v>
      </c>
      <c r="N530" s="39" t="str">
        <f>IFERROR(INDEX(Katalog!$B$3:$B$12,MATCH(cadangan[[#This Row],[ItemID B]],Katalog!$C$3:$C$12,0)),"-")</f>
        <v>-</v>
      </c>
      <c r="Q530" s="73">
        <f>IFERROR(INDEX(Katalog!$D$3:$D$12,MATCH(cadangan[[#This Row],[ItemID B]],Katalog!$C$3:$C$12,0))*cadangan[[#This Row],[Qty B]],0)</f>
        <v>0</v>
      </c>
      <c r="R530" s="73">
        <f>IFERROR(cadangan[[#This Row],[Harga Normal B]]-(cadangan[[#This Row],[Harga Normal B]]*cadangan[[#This Row],[Diskon]]),cadangan[[#This Row],[Harga Normal B]])</f>
        <v>0</v>
      </c>
      <c r="S530" s="73">
        <f>IFERROR(INDEX(Katalog!$F$3:$F$12,MATCH(cadangan[[#This Row],[ItemID B]],Katalog!$C$3:$C$12,0))*cadangan[[#This Row],[Qty B]],0)</f>
        <v>0</v>
      </c>
      <c r="T530" s="73">
        <f>IFERROR(cadangan[[#This Row],[Harga Diskon B]]-INDEX(Katalog!$E$3:$E$12,MATCH(cadangan[[#This Row],[ItemID B]],Katalog!$C$3:$C$12,0))*cadangan[[#This Row],[Qty B]],0)</f>
        <v>0</v>
      </c>
      <c r="V530" s="39" t="str">
        <f>IFERROR(INDEX(Katalog!$A$3:$A$12,MATCH(cadangan[[#This Row],[ItemID C]],Katalog!$C$3:$C$12,0)),"-")</f>
        <v>-</v>
      </c>
      <c r="W530" s="39" t="str">
        <f>IFERROR(INDEX(Katalog!$B$3:$B$12,MATCH(cadangan[[#This Row],[ItemID C]],Katalog!$C$3:$C$12,0)),"-")</f>
        <v>-</v>
      </c>
      <c r="Z530" s="73">
        <f>IFERROR(INDEX(Katalog!$D$3:$D$12,MATCH(cadangan[[#This Row],[ItemID C]],Katalog!$C$3:$C$12,0))*cadangan[[#This Row],[Qty C]],0)</f>
        <v>0</v>
      </c>
      <c r="AA530" s="73">
        <f>IFERROR(cadangan[[#This Row],[Harga Normal C]]-(cadangan[[#This Row],[Harga Normal C]]*cadangan[[#This Row],[Diskon]]),cadangan[[#This Row],[Harga Normal C]])</f>
        <v>0</v>
      </c>
      <c r="AB530" s="73">
        <f>IFERROR(INDEX(Katalog!$F$3:$F$12,MATCH(cadangan[[#This Row],[ItemID C]],Katalog!$C$3:$C$12,0))*cadangan[[#This Row],[Qty C]],0)</f>
        <v>0</v>
      </c>
      <c r="AC530" s="73">
        <f>IFERROR(cadangan[[#This Row],[Harga Diskon C]]-INDEX(Katalog!$E$3:$E$12,MATCH(cadangan[[#This Row],[ItemID C]],Katalog!$C$3:$C$12,0))*cadangan[[#This Row],[Qty C]],0)</f>
        <v>0</v>
      </c>
      <c r="AD530" s="53">
        <f>cadangan[[#This Row],[Qty A]]+cadangan[[#This Row],[Qty B]]+cadangan[[#This Row],[Qty C]]</f>
        <v>2</v>
      </c>
      <c r="AE530" s="73">
        <f>cadangan[[#This Row],[Harga Normal A]]+cadangan[[#This Row],[Harga Normal B]]+cadangan[[#This Row],[Harga Normal C]]</f>
        <v>800000</v>
      </c>
      <c r="AF530" s="73">
        <f>cadangan[[#This Row],[Harga Diskon A]]+cadangan[[#This Row],[Harga Diskon B]]+cadangan[[#This Row],[Harga Diskon C]]</f>
        <v>680000</v>
      </c>
      <c r="AG530" s="73">
        <f>(cadangan[[#This Row],[Profit Normal A]]+cadangan[[#This Row],[Profit Normal B]]+cadangan[[#This Row],[Profit Normal C]])</f>
        <v>300000</v>
      </c>
      <c r="AH530" s="73">
        <f>cadangan[[#This Row],[Profit Diskon A]]+cadangan[[#This Row],[Profit Diskon B]]+cadangan[[#This Row],[Profit Diskon C]]</f>
        <v>180000</v>
      </c>
      <c r="AI530" s="23" t="s">
        <v>13</v>
      </c>
      <c r="AJ530" s="37">
        <f>IFERROR(INDEX('Kode Diskon'!$D$3:$D$9,MATCH(cadangan[[#This Row],[Kode diskon]],'Kode Diskon'!$C$3:$C$9,0)),"-")</f>
        <v>0.15</v>
      </c>
      <c r="AK530" s="23" t="s">
        <v>29</v>
      </c>
      <c r="AL530" s="23" t="s">
        <v>7</v>
      </c>
      <c r="AM530" s="23" t="s">
        <v>77</v>
      </c>
      <c r="AN530" s="55">
        <v>45018</v>
      </c>
      <c r="AO530" s="53">
        <f>DAY(cadangan[[#This Row],[Tanggal terjual]])</f>
        <v>2</v>
      </c>
      <c r="AP530" s="21" t="str">
        <f>TEXT(cadangan[[#This Row],[Tanggal terjual]],"dddd")</f>
        <v>Sunday</v>
      </c>
      <c r="AQ530" s="23" t="str" cm="1">
        <f t="array" ref="AQ5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0" s="61">
        <f>AVERAGE(cadangan[[#This Row],[Rating A]],cadangan[[#This Row],[Rating B]],cadangan[[#This Row],[Rating C]])</f>
        <v>4</v>
      </c>
    </row>
    <row r="531" spans="1:44" x14ac:dyDescent="0.2">
      <c r="A531" s="20">
        <v>530</v>
      </c>
      <c r="B531" s="21" t="str">
        <f>_xlfn.CONCAT("ORD-",INDEX(Helper!$B$2:$B$5,MATCH(cadangan[[#This Row],[Marketplace]],Helper!$A$2:$A$5,0)),TEXT(cadangan[[#This Row],[No]],"0000"),"-",TEXT(cadangan[[#This Row],[Tanggal terjual]],"dd/mm/yy"))</f>
        <v>ORD-SP0530-02/04/23</v>
      </c>
      <c r="C531" s="39" t="s">
        <v>65</v>
      </c>
      <c r="D531" s="39" t="str">
        <f>IFERROR(INDEX(Katalog!$A$3:$A$12,MATCH(cadangan[[#This Row],[ItemID A]],Katalog!$C$3:$C$12,0)),"-")</f>
        <v>Sepatu Pria</v>
      </c>
      <c r="E531" s="39" t="str">
        <f>IFERROR(INDEX(Katalog!$B$3:$B$12,MATCH(cadangan[[#This Row],[ItemID A]],Katalog!$C$3:$C$12,0)),"-")</f>
        <v>Sneakers</v>
      </c>
      <c r="F531" s="50">
        <v>2</v>
      </c>
      <c r="G531" s="50">
        <v>4</v>
      </c>
      <c r="H531" s="73">
        <f>IFERROR(INDEX(Katalog!$D$3:$D$12,MATCH(cadangan[[#This Row],[ItemID A]],Katalog!$C$3:$C$12,0))*cadangan[[#This Row],[Qty A]],0)</f>
        <v>1000000</v>
      </c>
      <c r="I531" s="73">
        <f>IFERROR(cadangan[[#This Row],[Harga Normal A]]-(cadangan[[#This Row],[Harga Normal A]]*cadangan[[#This Row],[Diskon]]),cadangan[[#This Row],[Harga Normal A]])</f>
        <v>850000</v>
      </c>
      <c r="J531" s="73">
        <f>INDEX(Katalog!$F$3:$F$12,MATCH(cadangan[[#This Row],[ItemID A]],Katalog!$C$3:$C$12,0))*cadangan[[#This Row],[Qty A]]</f>
        <v>400000</v>
      </c>
      <c r="K531" s="73">
        <f>IFERROR(cadangan[[#This Row],[Harga Diskon A]]-INDEX(Katalog!$E$3:$E$12,MATCH(cadangan[[#This Row],[ItemID A]],Katalog!$C$3:$C$12,0))*cadangan[[#This Row],[Qty A]],0)</f>
        <v>250000</v>
      </c>
      <c r="L531" s="39" t="s">
        <v>64</v>
      </c>
      <c r="M531" s="39" t="str">
        <f>IFERROR(INDEX(Katalog!$A$3:$A$12,MATCH(cadangan[[#This Row],[ItemID B]],Katalog!$C$3:$C$12,0)),"-")</f>
        <v>Pakaian Unisex</v>
      </c>
      <c r="N531" s="39" t="str">
        <f>IFERROR(INDEX(Katalog!$B$3:$B$12,MATCH(cadangan[[#This Row],[ItemID B]],Katalog!$C$3:$C$12,0)),"-")</f>
        <v>Jaket Hoodie</v>
      </c>
      <c r="O531" s="50">
        <v>1</v>
      </c>
      <c r="P531" s="50">
        <v>3</v>
      </c>
      <c r="Q531" s="73">
        <f>IFERROR(INDEX(Katalog!$D$3:$D$12,MATCH(cadangan[[#This Row],[ItemID B]],Katalog!$C$3:$C$12,0))*cadangan[[#This Row],[Qty B]],0)</f>
        <v>350000</v>
      </c>
      <c r="R531" s="73">
        <f>IFERROR(cadangan[[#This Row],[Harga Normal B]]-(cadangan[[#This Row],[Harga Normal B]]*cadangan[[#This Row],[Diskon]]),cadangan[[#This Row],[Harga Normal B]])</f>
        <v>297500</v>
      </c>
      <c r="S531" s="73">
        <f>IFERROR(INDEX(Katalog!$F$3:$F$12,MATCH(cadangan[[#This Row],[ItemID B]],Katalog!$C$3:$C$12,0))*cadangan[[#This Row],[Qty B]],0)</f>
        <v>130000</v>
      </c>
      <c r="T531" s="73">
        <f>IFERROR(cadangan[[#This Row],[Harga Diskon B]]-INDEX(Katalog!$E$3:$E$12,MATCH(cadangan[[#This Row],[ItemID B]],Katalog!$C$3:$C$12,0))*cadangan[[#This Row],[Qty B]],0)</f>
        <v>77500</v>
      </c>
      <c r="U531" s="39" t="s">
        <v>62</v>
      </c>
      <c r="V531" s="39" t="str">
        <f>IFERROR(INDEX(Katalog!$A$3:$A$12,MATCH(cadangan[[#This Row],[ItemID C]],Katalog!$C$3:$C$12,0)),"-")</f>
        <v>Pakaian Pria</v>
      </c>
      <c r="W531" s="39" t="str">
        <f>IFERROR(INDEX(Katalog!$B$3:$B$12,MATCH(cadangan[[#This Row],[ItemID C]],Katalog!$C$3:$C$12,0)),"-")</f>
        <v>Celana Pendek</v>
      </c>
      <c r="X531" s="50">
        <v>4</v>
      </c>
      <c r="Y531" s="50">
        <v>5</v>
      </c>
      <c r="Z531" s="73">
        <f>IFERROR(INDEX(Katalog!$D$3:$D$12,MATCH(cadangan[[#This Row],[ItemID C]],Katalog!$C$3:$C$12,0))*cadangan[[#This Row],[Qty C]],0)</f>
        <v>720000</v>
      </c>
      <c r="AA531" s="73">
        <f>IFERROR(cadangan[[#This Row],[Harga Normal C]]-(cadangan[[#This Row],[Harga Normal C]]*cadangan[[#This Row],[Diskon]]),cadangan[[#This Row],[Harga Normal C]])</f>
        <v>612000</v>
      </c>
      <c r="AB531" s="73">
        <f>IFERROR(INDEX(Katalog!$F$3:$F$12,MATCH(cadangan[[#This Row],[ItemID C]],Katalog!$C$3:$C$12,0))*cadangan[[#This Row],[Qty C]],0)</f>
        <v>280000</v>
      </c>
      <c r="AC531" s="73">
        <f>IFERROR(cadangan[[#This Row],[Harga Diskon C]]-INDEX(Katalog!$E$3:$E$12,MATCH(cadangan[[#This Row],[ItemID C]],Katalog!$C$3:$C$12,0))*cadangan[[#This Row],[Qty C]],0)</f>
        <v>172000</v>
      </c>
      <c r="AD531" s="53">
        <f>cadangan[[#This Row],[Qty A]]+cadangan[[#This Row],[Qty B]]+cadangan[[#This Row],[Qty C]]</f>
        <v>7</v>
      </c>
      <c r="AE531" s="73">
        <f>cadangan[[#This Row],[Harga Normal A]]+cadangan[[#This Row],[Harga Normal B]]+cadangan[[#This Row],[Harga Normal C]]</f>
        <v>2070000</v>
      </c>
      <c r="AF531" s="73">
        <f>cadangan[[#This Row],[Harga Diskon A]]+cadangan[[#This Row],[Harga Diskon B]]+cadangan[[#This Row],[Harga Diskon C]]</f>
        <v>1759500</v>
      </c>
      <c r="AG531" s="73">
        <f>(cadangan[[#This Row],[Profit Normal A]]+cadangan[[#This Row],[Profit Normal B]]+cadangan[[#This Row],[Profit Normal C]])</f>
        <v>810000</v>
      </c>
      <c r="AH531" s="73">
        <f>cadangan[[#This Row],[Profit Diskon A]]+cadangan[[#This Row],[Profit Diskon B]]+cadangan[[#This Row],[Profit Diskon C]]</f>
        <v>499500</v>
      </c>
      <c r="AI531" s="23" t="s">
        <v>13</v>
      </c>
      <c r="AJ531" s="37">
        <f>IFERROR(INDEX('Kode Diskon'!$D$3:$D$9,MATCH(cadangan[[#This Row],[Kode diskon]],'Kode Diskon'!$C$3:$C$9,0)),"-")</f>
        <v>0.15</v>
      </c>
      <c r="AK531" s="23" t="s">
        <v>29</v>
      </c>
      <c r="AL531" s="23" t="s">
        <v>7</v>
      </c>
      <c r="AM531" s="23" t="s">
        <v>79</v>
      </c>
      <c r="AN531" s="55">
        <v>45018</v>
      </c>
      <c r="AO531" s="53">
        <f>DAY(cadangan[[#This Row],[Tanggal terjual]])</f>
        <v>2</v>
      </c>
      <c r="AP531" s="21" t="str">
        <f>TEXT(cadangan[[#This Row],[Tanggal terjual]],"dddd")</f>
        <v>Sunday</v>
      </c>
      <c r="AQ531" s="23" t="str" cm="1">
        <f t="array" ref="AQ5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1" s="61">
        <f>AVERAGE(cadangan[[#This Row],[Rating A]],cadangan[[#This Row],[Rating B]],cadangan[[#This Row],[Rating C]])</f>
        <v>4</v>
      </c>
    </row>
    <row r="532" spans="1:44" x14ac:dyDescent="0.2">
      <c r="A532" s="20">
        <v>531</v>
      </c>
      <c r="B532" s="21" t="str">
        <f>_xlfn.CONCAT("ORD-",INDEX(Helper!$B$2:$B$5,MATCH(cadangan[[#This Row],[Marketplace]],Helper!$A$2:$A$5,0)),TEXT(cadangan[[#This Row],[No]],"0000"),"-",TEXT(cadangan[[#This Row],[Tanggal terjual]],"dd/mm/yy"))</f>
        <v>ORD-TK0531-15/04/23</v>
      </c>
      <c r="C532" s="39" t="s">
        <v>65</v>
      </c>
      <c r="D532" s="39" t="str">
        <f>IFERROR(INDEX(Katalog!$A$3:$A$12,MATCH(cadangan[[#This Row],[ItemID A]],Katalog!$C$3:$C$12,0)),"-")</f>
        <v>Sepatu Pria</v>
      </c>
      <c r="E532" s="39" t="str">
        <f>IFERROR(INDEX(Katalog!$B$3:$B$12,MATCH(cadangan[[#This Row],[ItemID A]],Katalog!$C$3:$C$12,0)),"-")</f>
        <v>Sneakers</v>
      </c>
      <c r="F532" s="50">
        <v>6</v>
      </c>
      <c r="G532" s="50">
        <v>4</v>
      </c>
      <c r="H532" s="73">
        <f>IFERROR(INDEX(Katalog!$D$3:$D$12,MATCH(cadangan[[#This Row],[ItemID A]],Katalog!$C$3:$C$12,0))*cadangan[[#This Row],[Qty A]],0)</f>
        <v>3000000</v>
      </c>
      <c r="I532" s="73">
        <f>IFERROR(cadangan[[#This Row],[Harga Normal A]]-(cadangan[[#This Row],[Harga Normal A]]*cadangan[[#This Row],[Diskon]]),cadangan[[#This Row],[Harga Normal A]])</f>
        <v>3000000</v>
      </c>
      <c r="J532" s="73">
        <f>INDEX(Katalog!$F$3:$F$12,MATCH(cadangan[[#This Row],[ItemID A]],Katalog!$C$3:$C$12,0))*cadangan[[#This Row],[Qty A]]</f>
        <v>1200000</v>
      </c>
      <c r="K532" s="73">
        <f>IFERROR(cadangan[[#This Row],[Harga Diskon A]]-INDEX(Katalog!$E$3:$E$12,MATCH(cadangan[[#This Row],[ItemID A]],Katalog!$C$3:$C$12,0))*cadangan[[#This Row],[Qty A]],0)</f>
        <v>1200000</v>
      </c>
      <c r="M532" s="39" t="str">
        <f>IFERROR(INDEX(Katalog!$A$3:$A$12,MATCH(cadangan[[#This Row],[ItemID B]],Katalog!$C$3:$C$12,0)),"-")</f>
        <v>-</v>
      </c>
      <c r="N532" s="39" t="str">
        <f>IFERROR(INDEX(Katalog!$B$3:$B$12,MATCH(cadangan[[#This Row],[ItemID B]],Katalog!$C$3:$C$12,0)),"-")</f>
        <v>-</v>
      </c>
      <c r="Q532" s="73">
        <f>IFERROR(INDEX(Katalog!$D$3:$D$12,MATCH(cadangan[[#This Row],[ItemID B]],Katalog!$C$3:$C$12,0))*cadangan[[#This Row],[Qty B]],0)</f>
        <v>0</v>
      </c>
      <c r="R532" s="73">
        <f>IFERROR(cadangan[[#This Row],[Harga Normal B]]-(cadangan[[#This Row],[Harga Normal B]]*cadangan[[#This Row],[Diskon]]),cadangan[[#This Row],[Harga Normal B]])</f>
        <v>0</v>
      </c>
      <c r="S532" s="73">
        <f>IFERROR(INDEX(Katalog!$F$3:$F$12,MATCH(cadangan[[#This Row],[ItemID B]],Katalog!$C$3:$C$12,0))*cadangan[[#This Row],[Qty B]],0)</f>
        <v>0</v>
      </c>
      <c r="T532" s="73">
        <f>IFERROR(cadangan[[#This Row],[Harga Diskon B]]-INDEX(Katalog!$E$3:$E$12,MATCH(cadangan[[#This Row],[ItemID B]],Katalog!$C$3:$C$12,0))*cadangan[[#This Row],[Qty B]],0)</f>
        <v>0</v>
      </c>
      <c r="V532" s="39" t="str">
        <f>IFERROR(INDEX(Katalog!$A$3:$A$12,MATCH(cadangan[[#This Row],[ItemID C]],Katalog!$C$3:$C$12,0)),"-")</f>
        <v>-</v>
      </c>
      <c r="W532" s="39" t="str">
        <f>IFERROR(INDEX(Katalog!$B$3:$B$12,MATCH(cadangan[[#This Row],[ItemID C]],Katalog!$C$3:$C$12,0)),"-")</f>
        <v>-</v>
      </c>
      <c r="Z532" s="73">
        <f>IFERROR(INDEX(Katalog!$D$3:$D$12,MATCH(cadangan[[#This Row],[ItemID C]],Katalog!$C$3:$C$12,0))*cadangan[[#This Row],[Qty C]],0)</f>
        <v>0</v>
      </c>
      <c r="AA532" s="73">
        <f>IFERROR(cadangan[[#This Row],[Harga Normal C]]-(cadangan[[#This Row],[Harga Normal C]]*cadangan[[#This Row],[Diskon]]),cadangan[[#This Row],[Harga Normal C]])</f>
        <v>0</v>
      </c>
      <c r="AB532" s="73">
        <f>IFERROR(INDEX(Katalog!$F$3:$F$12,MATCH(cadangan[[#This Row],[ItemID C]],Katalog!$C$3:$C$12,0))*cadangan[[#This Row],[Qty C]],0)</f>
        <v>0</v>
      </c>
      <c r="AC532" s="73">
        <f>IFERROR(cadangan[[#This Row],[Harga Diskon C]]-INDEX(Katalog!$E$3:$E$12,MATCH(cadangan[[#This Row],[ItemID C]],Katalog!$C$3:$C$12,0))*cadangan[[#This Row],[Qty C]],0)</f>
        <v>0</v>
      </c>
      <c r="AD532" s="53">
        <f>cadangan[[#This Row],[Qty A]]+cadangan[[#This Row],[Qty B]]+cadangan[[#This Row],[Qty C]]</f>
        <v>6</v>
      </c>
      <c r="AE532" s="73">
        <f>cadangan[[#This Row],[Harga Normal A]]+cadangan[[#This Row],[Harga Normal B]]+cadangan[[#This Row],[Harga Normal C]]</f>
        <v>3000000</v>
      </c>
      <c r="AF532" s="73">
        <f>cadangan[[#This Row],[Harga Diskon A]]+cadangan[[#This Row],[Harga Diskon B]]+cadangan[[#This Row],[Harga Diskon C]]</f>
        <v>3000000</v>
      </c>
      <c r="AG532" s="73">
        <f>(cadangan[[#This Row],[Profit Normal A]]+cadangan[[#This Row],[Profit Normal B]]+cadangan[[#This Row],[Profit Normal C]])</f>
        <v>1200000</v>
      </c>
      <c r="AH532" s="73">
        <f>cadangan[[#This Row],[Profit Diskon A]]+cadangan[[#This Row],[Profit Diskon B]]+cadangan[[#This Row],[Profit Diskon C]]</f>
        <v>1200000</v>
      </c>
      <c r="AI532" s="23" t="s">
        <v>290</v>
      </c>
      <c r="AJ532" s="37" t="str">
        <f>IFERROR(INDEX('Kode Diskon'!$D$3:$D$9,MATCH(cadangan[[#This Row],[Kode diskon]],'Kode Diskon'!$C$3:$C$9,0)),"-")</f>
        <v>-</v>
      </c>
      <c r="AK532" s="23" t="s">
        <v>290</v>
      </c>
      <c r="AL532" s="23" t="s">
        <v>10</v>
      </c>
      <c r="AM532" s="23" t="s">
        <v>80</v>
      </c>
      <c r="AN532" s="55">
        <v>45031</v>
      </c>
      <c r="AO532" s="53">
        <f>DAY(cadangan[[#This Row],[Tanggal terjual]])</f>
        <v>15</v>
      </c>
      <c r="AP532" s="21" t="str">
        <f>TEXT(cadangan[[#This Row],[Tanggal terjual]],"dddd")</f>
        <v>Saturday</v>
      </c>
      <c r="AQ532" s="23" t="str" cm="1">
        <f t="array" ref="AQ5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32" s="61">
        <f>AVERAGE(cadangan[[#This Row],[Rating A]],cadangan[[#This Row],[Rating B]],cadangan[[#This Row],[Rating C]])</f>
        <v>4</v>
      </c>
    </row>
    <row r="533" spans="1:44" x14ac:dyDescent="0.2">
      <c r="A533" s="20">
        <v>532</v>
      </c>
      <c r="B533" s="21" t="str">
        <f>_xlfn.CONCAT("ORD-",INDEX(Helper!$B$2:$B$5,MATCH(cadangan[[#This Row],[Marketplace]],Helper!$A$2:$A$5,0)),TEXT(cadangan[[#This Row],[No]],"0000"),"-",TEXT(cadangan[[#This Row],[Tanggal terjual]],"dd/mm/yy"))</f>
        <v>ORD-SP0532-04/04/23</v>
      </c>
      <c r="C533" s="39" t="s">
        <v>66</v>
      </c>
      <c r="D533" s="39" t="str">
        <f>IFERROR(INDEX(Katalog!$A$3:$A$12,MATCH(cadangan[[#This Row],[ItemID A]],Katalog!$C$3:$C$12,0)),"-")</f>
        <v>Sepatu Pria</v>
      </c>
      <c r="E533" s="39" t="str">
        <f>IFERROR(INDEX(Katalog!$B$3:$B$12,MATCH(cadangan[[#This Row],[ItemID A]],Katalog!$C$3:$C$12,0)),"-")</f>
        <v>Sandal Slip On</v>
      </c>
      <c r="F533" s="50">
        <v>1</v>
      </c>
      <c r="G533" s="50">
        <v>1</v>
      </c>
      <c r="H533" s="73">
        <f>IFERROR(INDEX(Katalog!$D$3:$D$12,MATCH(cadangan[[#This Row],[ItemID A]],Katalog!$C$3:$C$12,0))*cadangan[[#This Row],[Qty A]],0)</f>
        <v>150000</v>
      </c>
      <c r="I533" s="73">
        <f>IFERROR(cadangan[[#This Row],[Harga Normal A]]-(cadangan[[#This Row],[Harga Normal A]]*cadangan[[#This Row],[Diskon]]),cadangan[[#This Row],[Harga Normal A]])</f>
        <v>127500</v>
      </c>
      <c r="J533" s="73">
        <f>INDEX(Katalog!$F$3:$F$12,MATCH(cadangan[[#This Row],[ItemID A]],Katalog!$C$3:$C$12,0))*cadangan[[#This Row],[Qty A]]</f>
        <v>60000</v>
      </c>
      <c r="K533" s="73">
        <f>IFERROR(cadangan[[#This Row],[Harga Diskon A]]-INDEX(Katalog!$E$3:$E$12,MATCH(cadangan[[#This Row],[ItemID A]],Katalog!$C$3:$C$12,0))*cadangan[[#This Row],[Qty A]],0)</f>
        <v>37500</v>
      </c>
      <c r="L533" s="39" t="s">
        <v>59</v>
      </c>
      <c r="M533" s="39" t="str">
        <f>IFERROR(INDEX(Katalog!$A$3:$A$12,MATCH(cadangan[[#This Row],[ItemID B]],Katalog!$C$3:$C$12,0)),"-")</f>
        <v>Pakaian Wanita</v>
      </c>
      <c r="N533" s="39" t="str">
        <f>IFERROR(INDEX(Katalog!$B$3:$B$12,MATCH(cadangan[[#This Row],[ItemID B]],Katalog!$C$3:$C$12,0)),"-")</f>
        <v>Blouse</v>
      </c>
      <c r="O533" s="50">
        <v>2</v>
      </c>
      <c r="P533" s="50">
        <v>2</v>
      </c>
      <c r="Q533" s="73">
        <f>IFERROR(INDEX(Katalog!$D$3:$D$12,MATCH(cadangan[[#This Row],[ItemID B]],Katalog!$C$3:$C$12,0))*cadangan[[#This Row],[Qty B]],0)</f>
        <v>300000</v>
      </c>
      <c r="R533" s="73">
        <f>IFERROR(cadangan[[#This Row],[Harga Normal B]]-(cadangan[[#This Row],[Harga Normal B]]*cadangan[[#This Row],[Diskon]]),cadangan[[#This Row],[Harga Normal B]])</f>
        <v>255000</v>
      </c>
      <c r="S533" s="73">
        <f>IFERROR(INDEX(Katalog!$F$3:$F$12,MATCH(cadangan[[#This Row],[ItemID B]],Katalog!$C$3:$C$12,0))*cadangan[[#This Row],[Qty B]],0)</f>
        <v>100000</v>
      </c>
      <c r="T533" s="73">
        <f>IFERROR(cadangan[[#This Row],[Harga Diskon B]]-INDEX(Katalog!$E$3:$E$12,MATCH(cadangan[[#This Row],[ItemID B]],Katalog!$C$3:$C$12,0))*cadangan[[#This Row],[Qty B]],0)</f>
        <v>55000</v>
      </c>
      <c r="V533" s="39" t="str">
        <f>IFERROR(INDEX(Katalog!$A$3:$A$12,MATCH(cadangan[[#This Row],[ItemID C]],Katalog!$C$3:$C$12,0)),"-")</f>
        <v>-</v>
      </c>
      <c r="W533" s="39" t="str">
        <f>IFERROR(INDEX(Katalog!$B$3:$B$12,MATCH(cadangan[[#This Row],[ItemID C]],Katalog!$C$3:$C$12,0)),"-")</f>
        <v>-</v>
      </c>
      <c r="Z533" s="73">
        <f>IFERROR(INDEX(Katalog!$D$3:$D$12,MATCH(cadangan[[#This Row],[ItemID C]],Katalog!$C$3:$C$12,0))*cadangan[[#This Row],[Qty C]],0)</f>
        <v>0</v>
      </c>
      <c r="AA533" s="73">
        <f>IFERROR(cadangan[[#This Row],[Harga Normal C]]-(cadangan[[#This Row],[Harga Normal C]]*cadangan[[#This Row],[Diskon]]),cadangan[[#This Row],[Harga Normal C]])</f>
        <v>0</v>
      </c>
      <c r="AB533" s="73">
        <f>IFERROR(INDEX(Katalog!$F$3:$F$12,MATCH(cadangan[[#This Row],[ItemID C]],Katalog!$C$3:$C$12,0))*cadangan[[#This Row],[Qty C]],0)</f>
        <v>0</v>
      </c>
      <c r="AC533" s="73">
        <f>IFERROR(cadangan[[#This Row],[Harga Diskon C]]-INDEX(Katalog!$E$3:$E$12,MATCH(cadangan[[#This Row],[ItemID C]],Katalog!$C$3:$C$12,0))*cadangan[[#This Row],[Qty C]],0)</f>
        <v>0</v>
      </c>
      <c r="AD533" s="53">
        <f>cadangan[[#This Row],[Qty A]]+cadangan[[#This Row],[Qty B]]+cadangan[[#This Row],[Qty C]]</f>
        <v>3</v>
      </c>
      <c r="AE533" s="73">
        <f>cadangan[[#This Row],[Harga Normal A]]+cadangan[[#This Row],[Harga Normal B]]+cadangan[[#This Row],[Harga Normal C]]</f>
        <v>450000</v>
      </c>
      <c r="AF533" s="73">
        <f>cadangan[[#This Row],[Harga Diskon A]]+cadangan[[#This Row],[Harga Diskon B]]+cadangan[[#This Row],[Harga Diskon C]]</f>
        <v>382500</v>
      </c>
      <c r="AG533" s="73">
        <f>(cadangan[[#This Row],[Profit Normal A]]+cadangan[[#This Row],[Profit Normal B]]+cadangan[[#This Row],[Profit Normal C]])</f>
        <v>160000</v>
      </c>
      <c r="AH533" s="73">
        <f>cadangan[[#This Row],[Profit Diskon A]]+cadangan[[#This Row],[Profit Diskon B]]+cadangan[[#This Row],[Profit Diskon C]]</f>
        <v>92500</v>
      </c>
      <c r="AI533" s="23" t="s">
        <v>13</v>
      </c>
      <c r="AJ533" s="37">
        <f>IFERROR(INDEX('Kode Diskon'!$D$3:$D$9,MATCH(cadangan[[#This Row],[Kode diskon]],'Kode Diskon'!$C$3:$C$9,0)),"-")</f>
        <v>0.15</v>
      </c>
      <c r="AK533" s="23" t="s">
        <v>29</v>
      </c>
      <c r="AL533" s="23" t="s">
        <v>7</v>
      </c>
      <c r="AM533" s="23" t="s">
        <v>80</v>
      </c>
      <c r="AN533" s="55">
        <v>45020</v>
      </c>
      <c r="AO533" s="53">
        <f>DAY(cadangan[[#This Row],[Tanggal terjual]])</f>
        <v>4</v>
      </c>
      <c r="AP533" s="21" t="str">
        <f>TEXT(cadangan[[#This Row],[Tanggal terjual]],"dddd")</f>
        <v>Tuesday</v>
      </c>
      <c r="AQ533" s="23" t="str" cm="1">
        <f t="array" ref="AQ5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3" s="61">
        <f>AVERAGE(cadangan[[#This Row],[Rating A]],cadangan[[#This Row],[Rating B]],cadangan[[#This Row],[Rating C]])</f>
        <v>1.5</v>
      </c>
    </row>
    <row r="534" spans="1:44" x14ac:dyDescent="0.2">
      <c r="A534" s="20">
        <v>533</v>
      </c>
      <c r="B534" s="21" t="str">
        <f>_xlfn.CONCAT("ORD-",INDEX(Helper!$B$2:$B$5,MATCH(cadangan[[#This Row],[Marketplace]],Helper!$A$2:$A$5,0)),TEXT(cadangan[[#This Row],[No]],"0000"),"-",TEXT(cadangan[[#This Row],[Tanggal terjual]],"dd/mm/yy"))</f>
        <v>ORD-BB0533-03/04/23</v>
      </c>
      <c r="C534" s="39" t="s">
        <v>59</v>
      </c>
      <c r="D534" s="39" t="str">
        <f>IFERROR(INDEX(Katalog!$A$3:$A$12,MATCH(cadangan[[#This Row],[ItemID A]],Katalog!$C$3:$C$12,0)),"-")</f>
        <v>Pakaian Wanita</v>
      </c>
      <c r="E534" s="39" t="str">
        <f>IFERROR(INDEX(Katalog!$B$3:$B$12,MATCH(cadangan[[#This Row],[ItemID A]],Katalog!$C$3:$C$12,0)),"-")</f>
        <v>Blouse</v>
      </c>
      <c r="F534" s="50">
        <v>5</v>
      </c>
      <c r="G534" s="50">
        <v>1</v>
      </c>
      <c r="H534" s="73">
        <f>IFERROR(INDEX(Katalog!$D$3:$D$12,MATCH(cadangan[[#This Row],[ItemID A]],Katalog!$C$3:$C$12,0))*cadangan[[#This Row],[Qty A]],0)</f>
        <v>750000</v>
      </c>
      <c r="I534" s="73">
        <f>IFERROR(cadangan[[#This Row],[Harga Normal A]]-(cadangan[[#This Row],[Harga Normal A]]*cadangan[[#This Row],[Diskon]]),cadangan[[#This Row],[Harga Normal A]])</f>
        <v>637500</v>
      </c>
      <c r="J534" s="73">
        <f>INDEX(Katalog!$F$3:$F$12,MATCH(cadangan[[#This Row],[ItemID A]],Katalog!$C$3:$C$12,0))*cadangan[[#This Row],[Qty A]]</f>
        <v>250000</v>
      </c>
      <c r="K534" s="73">
        <f>IFERROR(cadangan[[#This Row],[Harga Diskon A]]-INDEX(Katalog!$E$3:$E$12,MATCH(cadangan[[#This Row],[ItemID A]],Katalog!$C$3:$C$12,0))*cadangan[[#This Row],[Qty A]],0)</f>
        <v>137500</v>
      </c>
      <c r="L534" s="39" t="s">
        <v>61</v>
      </c>
      <c r="M534" s="39" t="str">
        <f>IFERROR(INDEX(Katalog!$A$3:$A$12,MATCH(cadangan[[#This Row],[ItemID B]],Katalog!$C$3:$C$12,0)),"-")</f>
        <v>Pakaian Pria</v>
      </c>
      <c r="N534" s="39" t="str">
        <f>IFERROR(INDEX(Katalog!$B$3:$B$12,MATCH(cadangan[[#This Row],[ItemID B]],Katalog!$C$3:$C$12,0)),"-")</f>
        <v>Kaos Polo</v>
      </c>
      <c r="O534" s="50">
        <v>2</v>
      </c>
      <c r="P534" s="50">
        <v>2</v>
      </c>
      <c r="Q534" s="73">
        <f>IFERROR(INDEX(Katalog!$D$3:$D$12,MATCH(cadangan[[#This Row],[ItemID B]],Katalog!$C$3:$C$12,0))*cadangan[[#This Row],[Qty B]],0)</f>
        <v>400000</v>
      </c>
      <c r="R534" s="73">
        <f>IFERROR(cadangan[[#This Row],[Harga Normal B]]-(cadangan[[#This Row],[Harga Normal B]]*cadangan[[#This Row],[Diskon]]),cadangan[[#This Row],[Harga Normal B]])</f>
        <v>340000</v>
      </c>
      <c r="S534" s="73">
        <f>IFERROR(INDEX(Katalog!$F$3:$F$12,MATCH(cadangan[[#This Row],[ItemID B]],Katalog!$C$3:$C$12,0))*cadangan[[#This Row],[Qty B]],0)</f>
        <v>160000</v>
      </c>
      <c r="T534" s="73">
        <f>IFERROR(cadangan[[#This Row],[Harga Diskon B]]-INDEX(Katalog!$E$3:$E$12,MATCH(cadangan[[#This Row],[ItemID B]],Katalog!$C$3:$C$12,0))*cadangan[[#This Row],[Qty B]],0)</f>
        <v>100000</v>
      </c>
      <c r="V534" s="39" t="str">
        <f>IFERROR(INDEX(Katalog!$A$3:$A$12,MATCH(cadangan[[#This Row],[ItemID C]],Katalog!$C$3:$C$12,0)),"-")</f>
        <v>-</v>
      </c>
      <c r="W534" s="39" t="str">
        <f>IFERROR(INDEX(Katalog!$B$3:$B$12,MATCH(cadangan[[#This Row],[ItemID C]],Katalog!$C$3:$C$12,0)),"-")</f>
        <v>-</v>
      </c>
      <c r="Z534" s="73">
        <f>IFERROR(INDEX(Katalog!$D$3:$D$12,MATCH(cadangan[[#This Row],[ItemID C]],Katalog!$C$3:$C$12,0))*cadangan[[#This Row],[Qty C]],0)</f>
        <v>0</v>
      </c>
      <c r="AA534" s="73">
        <f>IFERROR(cadangan[[#This Row],[Harga Normal C]]-(cadangan[[#This Row],[Harga Normal C]]*cadangan[[#This Row],[Diskon]]),cadangan[[#This Row],[Harga Normal C]])</f>
        <v>0</v>
      </c>
      <c r="AB534" s="73">
        <f>IFERROR(INDEX(Katalog!$F$3:$F$12,MATCH(cadangan[[#This Row],[ItemID C]],Katalog!$C$3:$C$12,0))*cadangan[[#This Row],[Qty C]],0)</f>
        <v>0</v>
      </c>
      <c r="AC534" s="73">
        <f>IFERROR(cadangan[[#This Row],[Harga Diskon C]]-INDEX(Katalog!$E$3:$E$12,MATCH(cadangan[[#This Row],[ItemID C]],Katalog!$C$3:$C$12,0))*cadangan[[#This Row],[Qty C]],0)</f>
        <v>0</v>
      </c>
      <c r="AD534" s="53">
        <f>cadangan[[#This Row],[Qty A]]+cadangan[[#This Row],[Qty B]]+cadangan[[#This Row],[Qty C]]</f>
        <v>7</v>
      </c>
      <c r="AE534" s="73">
        <f>cadangan[[#This Row],[Harga Normal A]]+cadangan[[#This Row],[Harga Normal B]]+cadangan[[#This Row],[Harga Normal C]]</f>
        <v>1150000</v>
      </c>
      <c r="AF534" s="73">
        <f>cadangan[[#This Row],[Harga Diskon A]]+cadangan[[#This Row],[Harga Diskon B]]+cadangan[[#This Row],[Harga Diskon C]]</f>
        <v>977500</v>
      </c>
      <c r="AG534" s="73">
        <f>(cadangan[[#This Row],[Profit Normal A]]+cadangan[[#This Row],[Profit Normal B]]+cadangan[[#This Row],[Profit Normal C]])</f>
        <v>410000</v>
      </c>
      <c r="AH534" s="73">
        <f>cadangan[[#This Row],[Profit Diskon A]]+cadangan[[#This Row],[Profit Diskon B]]+cadangan[[#This Row],[Profit Diskon C]]</f>
        <v>237500</v>
      </c>
      <c r="AI534" s="23" t="s">
        <v>28</v>
      </c>
      <c r="AJ534" s="37">
        <f>IFERROR(INDEX('Kode Diskon'!$D$3:$D$9,MATCH(cadangan[[#This Row],[Kode diskon]],'Kode Diskon'!$C$3:$C$9,0)),"-")</f>
        <v>0.15</v>
      </c>
      <c r="AK534" s="23" t="s">
        <v>29</v>
      </c>
      <c r="AL534" s="23" t="s">
        <v>14</v>
      </c>
      <c r="AM534" s="23" t="s">
        <v>80</v>
      </c>
      <c r="AN534" s="55">
        <v>45019</v>
      </c>
      <c r="AO534" s="53">
        <f>DAY(cadangan[[#This Row],[Tanggal terjual]])</f>
        <v>3</v>
      </c>
      <c r="AP534" s="21" t="str">
        <f>TEXT(cadangan[[#This Row],[Tanggal terjual]],"dddd")</f>
        <v>Monday</v>
      </c>
      <c r="AQ534" s="23" t="str" cm="1">
        <f t="array" ref="AQ5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4" s="61">
        <f>AVERAGE(cadangan[[#This Row],[Rating A]],cadangan[[#This Row],[Rating B]],cadangan[[#This Row],[Rating C]])</f>
        <v>1.5</v>
      </c>
    </row>
    <row r="535" spans="1:44" x14ac:dyDescent="0.2">
      <c r="A535" s="20">
        <v>534</v>
      </c>
      <c r="B535" s="21" t="str">
        <f>_xlfn.CONCAT("ORD-",INDEX(Helper!$B$2:$B$5,MATCH(cadangan[[#This Row],[Marketplace]],Helper!$A$2:$A$5,0)),TEXT(cadangan[[#This Row],[No]],"0000"),"-",TEXT(cadangan[[#This Row],[Tanggal terjual]],"dd/mm/yy"))</f>
        <v>ORD-TK0534-04/04/23</v>
      </c>
      <c r="C535" s="39" t="s">
        <v>64</v>
      </c>
      <c r="D535" s="39" t="str">
        <f>IFERROR(INDEX(Katalog!$A$3:$A$12,MATCH(cadangan[[#This Row],[ItemID A]],Katalog!$C$3:$C$12,0)),"-")</f>
        <v>Pakaian Unisex</v>
      </c>
      <c r="E535" s="39" t="str">
        <f>IFERROR(INDEX(Katalog!$B$3:$B$12,MATCH(cadangan[[#This Row],[ItemID A]],Katalog!$C$3:$C$12,0)),"-")</f>
        <v>Jaket Hoodie</v>
      </c>
      <c r="F535" s="50">
        <v>1</v>
      </c>
      <c r="G535" s="50">
        <v>5</v>
      </c>
      <c r="H535" s="73">
        <f>IFERROR(INDEX(Katalog!$D$3:$D$12,MATCH(cadangan[[#This Row],[ItemID A]],Katalog!$C$3:$C$12,0))*cadangan[[#This Row],[Qty A]],0)</f>
        <v>350000</v>
      </c>
      <c r="I535" s="73">
        <f>IFERROR(cadangan[[#This Row],[Harga Normal A]]-(cadangan[[#This Row],[Harga Normal A]]*cadangan[[#This Row],[Diskon]]),cadangan[[#This Row],[Harga Normal A]])</f>
        <v>315000</v>
      </c>
      <c r="J535" s="73">
        <f>INDEX(Katalog!$F$3:$F$12,MATCH(cadangan[[#This Row],[ItemID A]],Katalog!$C$3:$C$12,0))*cadangan[[#This Row],[Qty A]]</f>
        <v>130000</v>
      </c>
      <c r="K535" s="73">
        <f>IFERROR(cadangan[[#This Row],[Harga Diskon A]]-INDEX(Katalog!$E$3:$E$12,MATCH(cadangan[[#This Row],[ItemID A]],Katalog!$C$3:$C$12,0))*cadangan[[#This Row],[Qty A]],0)</f>
        <v>95000</v>
      </c>
      <c r="M535" s="39" t="str">
        <f>IFERROR(INDEX(Katalog!$A$3:$A$12,MATCH(cadangan[[#This Row],[ItemID B]],Katalog!$C$3:$C$12,0)),"-")</f>
        <v>-</v>
      </c>
      <c r="N535" s="39" t="str">
        <f>IFERROR(INDEX(Katalog!$B$3:$B$12,MATCH(cadangan[[#This Row],[ItemID B]],Katalog!$C$3:$C$12,0)),"-")</f>
        <v>-</v>
      </c>
      <c r="Q535" s="73">
        <f>IFERROR(INDEX(Katalog!$D$3:$D$12,MATCH(cadangan[[#This Row],[ItemID B]],Katalog!$C$3:$C$12,0))*cadangan[[#This Row],[Qty B]],0)</f>
        <v>0</v>
      </c>
      <c r="R535" s="73">
        <f>IFERROR(cadangan[[#This Row],[Harga Normal B]]-(cadangan[[#This Row],[Harga Normal B]]*cadangan[[#This Row],[Diskon]]),cadangan[[#This Row],[Harga Normal B]])</f>
        <v>0</v>
      </c>
      <c r="S535" s="73">
        <f>IFERROR(INDEX(Katalog!$F$3:$F$12,MATCH(cadangan[[#This Row],[ItemID B]],Katalog!$C$3:$C$12,0))*cadangan[[#This Row],[Qty B]],0)</f>
        <v>0</v>
      </c>
      <c r="T535" s="73">
        <f>IFERROR(cadangan[[#This Row],[Harga Diskon B]]-INDEX(Katalog!$E$3:$E$12,MATCH(cadangan[[#This Row],[ItemID B]],Katalog!$C$3:$C$12,0))*cadangan[[#This Row],[Qty B]],0)</f>
        <v>0</v>
      </c>
      <c r="V535" s="39" t="str">
        <f>IFERROR(INDEX(Katalog!$A$3:$A$12,MATCH(cadangan[[#This Row],[ItemID C]],Katalog!$C$3:$C$12,0)),"-")</f>
        <v>-</v>
      </c>
      <c r="W535" s="39" t="str">
        <f>IFERROR(INDEX(Katalog!$B$3:$B$12,MATCH(cadangan[[#This Row],[ItemID C]],Katalog!$C$3:$C$12,0)),"-")</f>
        <v>-</v>
      </c>
      <c r="Z535" s="73">
        <f>IFERROR(INDEX(Katalog!$D$3:$D$12,MATCH(cadangan[[#This Row],[ItemID C]],Katalog!$C$3:$C$12,0))*cadangan[[#This Row],[Qty C]],0)</f>
        <v>0</v>
      </c>
      <c r="AA535" s="73">
        <f>IFERROR(cadangan[[#This Row],[Harga Normal C]]-(cadangan[[#This Row],[Harga Normal C]]*cadangan[[#This Row],[Diskon]]),cadangan[[#This Row],[Harga Normal C]])</f>
        <v>0</v>
      </c>
      <c r="AB535" s="73">
        <f>IFERROR(INDEX(Katalog!$F$3:$F$12,MATCH(cadangan[[#This Row],[ItemID C]],Katalog!$C$3:$C$12,0))*cadangan[[#This Row],[Qty C]],0)</f>
        <v>0</v>
      </c>
      <c r="AC535" s="73">
        <f>IFERROR(cadangan[[#This Row],[Harga Diskon C]]-INDEX(Katalog!$E$3:$E$12,MATCH(cadangan[[#This Row],[ItemID C]],Katalog!$C$3:$C$12,0))*cadangan[[#This Row],[Qty C]],0)</f>
        <v>0</v>
      </c>
      <c r="AD535" s="53">
        <f>cadangan[[#This Row],[Qty A]]+cadangan[[#This Row],[Qty B]]+cadangan[[#This Row],[Qty C]]</f>
        <v>1</v>
      </c>
      <c r="AE535" s="73">
        <f>cadangan[[#This Row],[Harga Normal A]]+cadangan[[#This Row],[Harga Normal B]]+cadangan[[#This Row],[Harga Normal C]]</f>
        <v>350000</v>
      </c>
      <c r="AF535" s="73">
        <f>cadangan[[#This Row],[Harga Diskon A]]+cadangan[[#This Row],[Harga Diskon B]]+cadangan[[#This Row],[Harga Diskon C]]</f>
        <v>315000</v>
      </c>
      <c r="AG535" s="73">
        <f>(cadangan[[#This Row],[Profit Normal A]]+cadangan[[#This Row],[Profit Normal B]]+cadangan[[#This Row],[Profit Normal C]])</f>
        <v>130000</v>
      </c>
      <c r="AH535" s="73">
        <f>cadangan[[#This Row],[Profit Diskon A]]+cadangan[[#This Row],[Profit Diskon B]]+cadangan[[#This Row],[Profit Diskon C]]</f>
        <v>95000</v>
      </c>
      <c r="AI535" s="23" t="s">
        <v>30</v>
      </c>
      <c r="AJ535" s="37">
        <f>IFERROR(INDEX('Kode Diskon'!$D$3:$D$9,MATCH(cadangan[[#This Row],[Kode diskon]],'Kode Diskon'!$C$3:$C$9,0)),"-")</f>
        <v>0.1</v>
      </c>
      <c r="AK535" s="23" t="s">
        <v>29</v>
      </c>
      <c r="AL535" s="23" t="s">
        <v>10</v>
      </c>
      <c r="AM535" s="23" t="s">
        <v>80</v>
      </c>
      <c r="AN535" s="55">
        <v>45020</v>
      </c>
      <c r="AO535" s="53">
        <f>DAY(cadangan[[#This Row],[Tanggal terjual]])</f>
        <v>4</v>
      </c>
      <c r="AP535" s="21" t="str">
        <f>TEXT(cadangan[[#This Row],[Tanggal terjual]],"dddd")</f>
        <v>Tuesday</v>
      </c>
      <c r="AQ535" s="23" t="str" cm="1">
        <f t="array" ref="AQ5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5" s="61">
        <f>AVERAGE(cadangan[[#This Row],[Rating A]],cadangan[[#This Row],[Rating B]],cadangan[[#This Row],[Rating C]])</f>
        <v>5</v>
      </c>
    </row>
    <row r="536" spans="1:44" x14ac:dyDescent="0.2">
      <c r="A536" s="20">
        <v>535</v>
      </c>
      <c r="B536" s="21" t="str">
        <f>_xlfn.CONCAT("ORD-",INDEX(Helper!$B$2:$B$5,MATCH(cadangan[[#This Row],[Marketplace]],Helper!$A$2:$A$5,0)),TEXT(cadangan[[#This Row],[No]],"0000"),"-",TEXT(cadangan[[#This Row],[Tanggal terjual]],"dd/mm/yy"))</f>
        <v>ORD-SP0535-02/04/23</v>
      </c>
      <c r="C536" s="39" t="s">
        <v>61</v>
      </c>
      <c r="D536" s="39" t="str">
        <f>IFERROR(INDEX(Katalog!$A$3:$A$12,MATCH(cadangan[[#This Row],[ItemID A]],Katalog!$C$3:$C$12,0)),"-")</f>
        <v>Pakaian Pria</v>
      </c>
      <c r="E536" s="39" t="str">
        <f>IFERROR(INDEX(Katalog!$B$3:$B$12,MATCH(cadangan[[#This Row],[ItemID A]],Katalog!$C$3:$C$12,0)),"-")</f>
        <v>Kaos Polo</v>
      </c>
      <c r="F536" s="50">
        <v>4</v>
      </c>
      <c r="G536" s="50">
        <v>4</v>
      </c>
      <c r="H536" s="73">
        <f>IFERROR(INDEX(Katalog!$D$3:$D$12,MATCH(cadangan[[#This Row],[ItemID A]],Katalog!$C$3:$C$12,0))*cadangan[[#This Row],[Qty A]],0)</f>
        <v>800000</v>
      </c>
      <c r="I536" s="73">
        <f>IFERROR(cadangan[[#This Row],[Harga Normal A]]-(cadangan[[#This Row],[Harga Normal A]]*cadangan[[#This Row],[Diskon]]),cadangan[[#This Row],[Harga Normal A]])</f>
        <v>720000</v>
      </c>
      <c r="J536" s="73">
        <f>INDEX(Katalog!$F$3:$F$12,MATCH(cadangan[[#This Row],[ItemID A]],Katalog!$C$3:$C$12,0))*cadangan[[#This Row],[Qty A]]</f>
        <v>320000</v>
      </c>
      <c r="K536" s="73">
        <f>IFERROR(cadangan[[#This Row],[Harga Diskon A]]-INDEX(Katalog!$E$3:$E$12,MATCH(cadangan[[#This Row],[ItemID A]],Katalog!$C$3:$C$12,0))*cadangan[[#This Row],[Qty A]],0)</f>
        <v>240000</v>
      </c>
      <c r="M536" s="39" t="str">
        <f>IFERROR(INDEX(Katalog!$A$3:$A$12,MATCH(cadangan[[#This Row],[ItemID B]],Katalog!$C$3:$C$12,0)),"-")</f>
        <v>-</v>
      </c>
      <c r="N536" s="39" t="str">
        <f>IFERROR(INDEX(Katalog!$B$3:$B$12,MATCH(cadangan[[#This Row],[ItemID B]],Katalog!$C$3:$C$12,0)),"-")</f>
        <v>-</v>
      </c>
      <c r="Q536" s="73">
        <f>IFERROR(INDEX(Katalog!$D$3:$D$12,MATCH(cadangan[[#This Row],[ItemID B]],Katalog!$C$3:$C$12,0))*cadangan[[#This Row],[Qty B]],0)</f>
        <v>0</v>
      </c>
      <c r="R536" s="73">
        <f>IFERROR(cadangan[[#This Row],[Harga Normal B]]-(cadangan[[#This Row],[Harga Normal B]]*cadangan[[#This Row],[Diskon]]),cadangan[[#This Row],[Harga Normal B]])</f>
        <v>0</v>
      </c>
      <c r="S536" s="73">
        <f>IFERROR(INDEX(Katalog!$F$3:$F$12,MATCH(cadangan[[#This Row],[ItemID B]],Katalog!$C$3:$C$12,0))*cadangan[[#This Row],[Qty B]],0)</f>
        <v>0</v>
      </c>
      <c r="T536" s="73">
        <f>IFERROR(cadangan[[#This Row],[Harga Diskon B]]-INDEX(Katalog!$E$3:$E$12,MATCH(cadangan[[#This Row],[ItemID B]],Katalog!$C$3:$C$12,0))*cadangan[[#This Row],[Qty B]],0)</f>
        <v>0</v>
      </c>
      <c r="V536" s="39" t="str">
        <f>IFERROR(INDEX(Katalog!$A$3:$A$12,MATCH(cadangan[[#This Row],[ItemID C]],Katalog!$C$3:$C$12,0)),"-")</f>
        <v>-</v>
      </c>
      <c r="W536" s="39" t="str">
        <f>IFERROR(INDEX(Katalog!$B$3:$B$12,MATCH(cadangan[[#This Row],[ItemID C]],Katalog!$C$3:$C$12,0)),"-")</f>
        <v>-</v>
      </c>
      <c r="Z536" s="73">
        <f>IFERROR(INDEX(Katalog!$D$3:$D$12,MATCH(cadangan[[#This Row],[ItemID C]],Katalog!$C$3:$C$12,0))*cadangan[[#This Row],[Qty C]],0)</f>
        <v>0</v>
      </c>
      <c r="AA536" s="73">
        <f>IFERROR(cadangan[[#This Row],[Harga Normal C]]-(cadangan[[#This Row],[Harga Normal C]]*cadangan[[#This Row],[Diskon]]),cadangan[[#This Row],[Harga Normal C]])</f>
        <v>0</v>
      </c>
      <c r="AB536" s="73">
        <f>IFERROR(INDEX(Katalog!$F$3:$F$12,MATCH(cadangan[[#This Row],[ItemID C]],Katalog!$C$3:$C$12,0))*cadangan[[#This Row],[Qty C]],0)</f>
        <v>0</v>
      </c>
      <c r="AC536" s="73">
        <f>IFERROR(cadangan[[#This Row],[Harga Diskon C]]-INDEX(Katalog!$E$3:$E$12,MATCH(cadangan[[#This Row],[ItemID C]],Katalog!$C$3:$C$12,0))*cadangan[[#This Row],[Qty C]],0)</f>
        <v>0</v>
      </c>
      <c r="AD536" s="53">
        <f>cadangan[[#This Row],[Qty A]]+cadangan[[#This Row],[Qty B]]+cadangan[[#This Row],[Qty C]]</f>
        <v>4</v>
      </c>
      <c r="AE536" s="73">
        <f>cadangan[[#This Row],[Harga Normal A]]+cadangan[[#This Row],[Harga Normal B]]+cadangan[[#This Row],[Harga Normal C]]</f>
        <v>800000</v>
      </c>
      <c r="AF536" s="73">
        <f>cadangan[[#This Row],[Harga Diskon A]]+cadangan[[#This Row],[Harga Diskon B]]+cadangan[[#This Row],[Harga Diskon C]]</f>
        <v>720000</v>
      </c>
      <c r="AG536" s="73">
        <f>(cadangan[[#This Row],[Profit Normal A]]+cadangan[[#This Row],[Profit Normal B]]+cadangan[[#This Row],[Profit Normal C]])</f>
        <v>320000</v>
      </c>
      <c r="AH536" s="73">
        <f>cadangan[[#This Row],[Profit Diskon A]]+cadangan[[#This Row],[Profit Diskon B]]+cadangan[[#This Row],[Profit Diskon C]]</f>
        <v>240000</v>
      </c>
      <c r="AI536" s="23" t="s">
        <v>6</v>
      </c>
      <c r="AJ536" s="37">
        <f>IFERROR(INDEX('Kode Diskon'!$D$3:$D$9,MATCH(cadangan[[#This Row],[Kode diskon]],'Kode Diskon'!$C$3:$C$9,0)),"-")</f>
        <v>0.1</v>
      </c>
      <c r="AK536" s="23" t="s">
        <v>29</v>
      </c>
      <c r="AL536" s="23" t="s">
        <v>7</v>
      </c>
      <c r="AM536" s="23" t="s">
        <v>80</v>
      </c>
      <c r="AN536" s="55">
        <v>45018</v>
      </c>
      <c r="AO536" s="53">
        <f>DAY(cadangan[[#This Row],[Tanggal terjual]])</f>
        <v>2</v>
      </c>
      <c r="AP536" s="21" t="str">
        <f>TEXT(cadangan[[#This Row],[Tanggal terjual]],"dddd")</f>
        <v>Sunday</v>
      </c>
      <c r="AQ536" s="23" t="str" cm="1">
        <f t="array" ref="AQ5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6" s="61">
        <f>AVERAGE(cadangan[[#This Row],[Rating A]],cadangan[[#This Row],[Rating B]],cadangan[[#This Row],[Rating C]])</f>
        <v>4</v>
      </c>
    </row>
    <row r="537" spans="1:44" x14ac:dyDescent="0.2">
      <c r="A537" s="20">
        <v>536</v>
      </c>
      <c r="B537" s="21" t="str">
        <f>_xlfn.CONCAT("ORD-",INDEX(Helper!$B$2:$B$5,MATCH(cadangan[[#This Row],[Marketplace]],Helper!$A$2:$A$5,0)),TEXT(cadangan[[#This Row],[No]],"0000"),"-",TEXT(cadangan[[#This Row],[Tanggal terjual]],"dd/mm/yy"))</f>
        <v>ORD-BB0536-03/04/23</v>
      </c>
      <c r="C537" s="39" t="s">
        <v>64</v>
      </c>
      <c r="D537" s="39" t="str">
        <f>IFERROR(INDEX(Katalog!$A$3:$A$12,MATCH(cadangan[[#This Row],[ItemID A]],Katalog!$C$3:$C$12,0)),"-")</f>
        <v>Pakaian Unisex</v>
      </c>
      <c r="E537" s="39" t="str">
        <f>IFERROR(INDEX(Katalog!$B$3:$B$12,MATCH(cadangan[[#This Row],[ItemID A]],Katalog!$C$3:$C$12,0)),"-")</f>
        <v>Jaket Hoodie</v>
      </c>
      <c r="F537" s="50">
        <v>6</v>
      </c>
      <c r="G537" s="50">
        <v>5</v>
      </c>
      <c r="H537" s="73">
        <f>IFERROR(INDEX(Katalog!$D$3:$D$12,MATCH(cadangan[[#This Row],[ItemID A]],Katalog!$C$3:$C$12,0))*cadangan[[#This Row],[Qty A]],0)</f>
        <v>2100000</v>
      </c>
      <c r="I537" s="73">
        <f>IFERROR(cadangan[[#This Row],[Harga Normal A]]-(cadangan[[#This Row],[Harga Normal A]]*cadangan[[#This Row],[Diskon]]),cadangan[[#This Row],[Harga Normal A]])</f>
        <v>1785000</v>
      </c>
      <c r="J537" s="73">
        <f>INDEX(Katalog!$F$3:$F$12,MATCH(cadangan[[#This Row],[ItemID A]],Katalog!$C$3:$C$12,0))*cadangan[[#This Row],[Qty A]]</f>
        <v>780000</v>
      </c>
      <c r="K537" s="73">
        <f>IFERROR(cadangan[[#This Row],[Harga Diskon A]]-INDEX(Katalog!$E$3:$E$12,MATCH(cadangan[[#This Row],[ItemID A]],Katalog!$C$3:$C$12,0))*cadangan[[#This Row],[Qty A]],0)</f>
        <v>465000</v>
      </c>
      <c r="L537" s="39" t="s">
        <v>59</v>
      </c>
      <c r="M537" s="39" t="str">
        <f>IFERROR(INDEX(Katalog!$A$3:$A$12,MATCH(cadangan[[#This Row],[ItemID B]],Katalog!$C$3:$C$12,0)),"-")</f>
        <v>Pakaian Wanita</v>
      </c>
      <c r="N537" s="39" t="str">
        <f>IFERROR(INDEX(Katalog!$B$3:$B$12,MATCH(cadangan[[#This Row],[ItemID B]],Katalog!$C$3:$C$12,0)),"-")</f>
        <v>Blouse</v>
      </c>
      <c r="O537" s="50">
        <v>1</v>
      </c>
      <c r="P537" s="50">
        <v>3</v>
      </c>
      <c r="Q537" s="73">
        <f>IFERROR(INDEX(Katalog!$D$3:$D$12,MATCH(cadangan[[#This Row],[ItemID B]],Katalog!$C$3:$C$12,0))*cadangan[[#This Row],[Qty B]],0)</f>
        <v>150000</v>
      </c>
      <c r="R537" s="73">
        <f>IFERROR(cadangan[[#This Row],[Harga Normal B]]-(cadangan[[#This Row],[Harga Normal B]]*cadangan[[#This Row],[Diskon]]),cadangan[[#This Row],[Harga Normal B]])</f>
        <v>127500</v>
      </c>
      <c r="S537" s="73">
        <f>IFERROR(INDEX(Katalog!$F$3:$F$12,MATCH(cadangan[[#This Row],[ItemID B]],Katalog!$C$3:$C$12,0))*cadangan[[#This Row],[Qty B]],0)</f>
        <v>50000</v>
      </c>
      <c r="T537" s="73">
        <f>IFERROR(cadangan[[#This Row],[Harga Diskon B]]-INDEX(Katalog!$E$3:$E$12,MATCH(cadangan[[#This Row],[ItemID B]],Katalog!$C$3:$C$12,0))*cadangan[[#This Row],[Qty B]],0)</f>
        <v>27500</v>
      </c>
      <c r="V537" s="39" t="str">
        <f>IFERROR(INDEX(Katalog!$A$3:$A$12,MATCH(cadangan[[#This Row],[ItemID C]],Katalog!$C$3:$C$12,0)),"-")</f>
        <v>-</v>
      </c>
      <c r="W537" s="39" t="str">
        <f>IFERROR(INDEX(Katalog!$B$3:$B$12,MATCH(cadangan[[#This Row],[ItemID C]],Katalog!$C$3:$C$12,0)),"-")</f>
        <v>-</v>
      </c>
      <c r="Z537" s="73">
        <f>IFERROR(INDEX(Katalog!$D$3:$D$12,MATCH(cadangan[[#This Row],[ItemID C]],Katalog!$C$3:$C$12,0))*cadangan[[#This Row],[Qty C]],0)</f>
        <v>0</v>
      </c>
      <c r="AA537" s="73">
        <f>IFERROR(cadangan[[#This Row],[Harga Normal C]]-(cadangan[[#This Row],[Harga Normal C]]*cadangan[[#This Row],[Diskon]]),cadangan[[#This Row],[Harga Normal C]])</f>
        <v>0</v>
      </c>
      <c r="AB537" s="73">
        <f>IFERROR(INDEX(Katalog!$F$3:$F$12,MATCH(cadangan[[#This Row],[ItemID C]],Katalog!$C$3:$C$12,0))*cadangan[[#This Row],[Qty C]],0)</f>
        <v>0</v>
      </c>
      <c r="AC537" s="73">
        <f>IFERROR(cadangan[[#This Row],[Harga Diskon C]]-INDEX(Katalog!$E$3:$E$12,MATCH(cadangan[[#This Row],[ItemID C]],Katalog!$C$3:$C$12,0))*cadangan[[#This Row],[Qty C]],0)</f>
        <v>0</v>
      </c>
      <c r="AD537" s="53">
        <f>cadangan[[#This Row],[Qty A]]+cadangan[[#This Row],[Qty B]]+cadangan[[#This Row],[Qty C]]</f>
        <v>7</v>
      </c>
      <c r="AE537" s="73">
        <f>cadangan[[#This Row],[Harga Normal A]]+cadangan[[#This Row],[Harga Normal B]]+cadangan[[#This Row],[Harga Normal C]]</f>
        <v>2250000</v>
      </c>
      <c r="AF537" s="73">
        <f>cadangan[[#This Row],[Harga Diskon A]]+cadangan[[#This Row],[Harga Diskon B]]+cadangan[[#This Row],[Harga Diskon C]]</f>
        <v>1912500</v>
      </c>
      <c r="AG537" s="73">
        <f>(cadangan[[#This Row],[Profit Normal A]]+cadangan[[#This Row],[Profit Normal B]]+cadangan[[#This Row],[Profit Normal C]])</f>
        <v>830000</v>
      </c>
      <c r="AH537" s="73">
        <f>cadangan[[#This Row],[Profit Diskon A]]+cadangan[[#This Row],[Profit Diskon B]]+cadangan[[#This Row],[Profit Diskon C]]</f>
        <v>492500</v>
      </c>
      <c r="AI537" s="23" t="s">
        <v>28</v>
      </c>
      <c r="AJ537" s="37">
        <f>IFERROR(INDEX('Kode Diskon'!$D$3:$D$9,MATCH(cadangan[[#This Row],[Kode diskon]],'Kode Diskon'!$C$3:$C$9,0)),"-")</f>
        <v>0.15</v>
      </c>
      <c r="AK537" s="23" t="s">
        <v>29</v>
      </c>
      <c r="AL537" s="23" t="s">
        <v>14</v>
      </c>
      <c r="AM537" s="23" t="s">
        <v>75</v>
      </c>
      <c r="AN537" s="55">
        <v>45019</v>
      </c>
      <c r="AO537" s="53">
        <f>DAY(cadangan[[#This Row],[Tanggal terjual]])</f>
        <v>3</v>
      </c>
      <c r="AP537" s="21" t="str">
        <f>TEXT(cadangan[[#This Row],[Tanggal terjual]],"dddd")</f>
        <v>Monday</v>
      </c>
      <c r="AQ537" s="23" t="str" cm="1">
        <f t="array" ref="AQ5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7" s="61">
        <f>AVERAGE(cadangan[[#This Row],[Rating A]],cadangan[[#This Row],[Rating B]],cadangan[[#This Row],[Rating C]])</f>
        <v>4</v>
      </c>
    </row>
    <row r="538" spans="1:44" x14ac:dyDescent="0.2">
      <c r="A538" s="20">
        <v>537</v>
      </c>
      <c r="B538" s="21" t="str">
        <f>_xlfn.CONCAT("ORD-",INDEX(Helper!$B$2:$B$5,MATCH(cadangan[[#This Row],[Marketplace]],Helper!$A$2:$A$5,0)),TEXT(cadangan[[#This Row],[No]],"0000"),"-",TEXT(cadangan[[#This Row],[Tanggal terjual]],"dd/mm/yy"))</f>
        <v>ORD-SP0537-07/04/23</v>
      </c>
      <c r="C538" s="39" t="s">
        <v>61</v>
      </c>
      <c r="D538" s="39" t="str">
        <f>IFERROR(INDEX(Katalog!$A$3:$A$12,MATCH(cadangan[[#This Row],[ItemID A]],Katalog!$C$3:$C$12,0)),"-")</f>
        <v>Pakaian Pria</v>
      </c>
      <c r="E538" s="39" t="str">
        <f>IFERROR(INDEX(Katalog!$B$3:$B$12,MATCH(cadangan[[#This Row],[ItemID A]],Katalog!$C$3:$C$12,0)),"-")</f>
        <v>Kaos Polo</v>
      </c>
      <c r="F538" s="50">
        <v>3</v>
      </c>
      <c r="G538" s="50">
        <v>2</v>
      </c>
      <c r="H538" s="73">
        <f>IFERROR(INDEX(Katalog!$D$3:$D$12,MATCH(cadangan[[#This Row],[ItemID A]],Katalog!$C$3:$C$12,0))*cadangan[[#This Row],[Qty A]],0)</f>
        <v>600000</v>
      </c>
      <c r="I538" s="73">
        <f>IFERROR(cadangan[[#This Row],[Harga Normal A]]-(cadangan[[#This Row],[Harga Normal A]]*cadangan[[#This Row],[Diskon]]),cadangan[[#This Row],[Harga Normal A]])</f>
        <v>600000</v>
      </c>
      <c r="J538" s="73">
        <f>INDEX(Katalog!$F$3:$F$12,MATCH(cadangan[[#This Row],[ItemID A]],Katalog!$C$3:$C$12,0))*cadangan[[#This Row],[Qty A]]</f>
        <v>240000</v>
      </c>
      <c r="K538" s="73">
        <f>IFERROR(cadangan[[#This Row],[Harga Diskon A]]-INDEX(Katalog!$E$3:$E$12,MATCH(cadangan[[#This Row],[ItemID A]],Katalog!$C$3:$C$12,0))*cadangan[[#This Row],[Qty A]],0)</f>
        <v>240000</v>
      </c>
      <c r="L538" s="39" t="s">
        <v>65</v>
      </c>
      <c r="M538" s="39" t="str">
        <f>IFERROR(INDEX(Katalog!$A$3:$A$12,MATCH(cadangan[[#This Row],[ItemID B]],Katalog!$C$3:$C$12,0)),"-")</f>
        <v>Sepatu Pria</v>
      </c>
      <c r="N538" s="39" t="str">
        <f>IFERROR(INDEX(Katalog!$B$3:$B$12,MATCH(cadangan[[#This Row],[ItemID B]],Katalog!$C$3:$C$12,0)),"-")</f>
        <v>Sneakers</v>
      </c>
      <c r="O538" s="50">
        <v>1</v>
      </c>
      <c r="P538" s="50">
        <v>4</v>
      </c>
      <c r="Q538" s="73">
        <f>IFERROR(INDEX(Katalog!$D$3:$D$12,MATCH(cadangan[[#This Row],[ItemID B]],Katalog!$C$3:$C$12,0))*cadangan[[#This Row],[Qty B]],0)</f>
        <v>500000</v>
      </c>
      <c r="R538" s="73">
        <f>IFERROR(cadangan[[#This Row],[Harga Normal B]]-(cadangan[[#This Row],[Harga Normal B]]*cadangan[[#This Row],[Diskon]]),cadangan[[#This Row],[Harga Normal B]])</f>
        <v>500000</v>
      </c>
      <c r="S538" s="73">
        <f>IFERROR(INDEX(Katalog!$F$3:$F$12,MATCH(cadangan[[#This Row],[ItemID B]],Katalog!$C$3:$C$12,0))*cadangan[[#This Row],[Qty B]],0)</f>
        <v>200000</v>
      </c>
      <c r="T538" s="73">
        <f>IFERROR(cadangan[[#This Row],[Harga Diskon B]]-INDEX(Katalog!$E$3:$E$12,MATCH(cadangan[[#This Row],[ItemID B]],Katalog!$C$3:$C$12,0))*cadangan[[#This Row],[Qty B]],0)</f>
        <v>200000</v>
      </c>
      <c r="V538" s="39" t="str">
        <f>IFERROR(INDEX(Katalog!$A$3:$A$12,MATCH(cadangan[[#This Row],[ItemID C]],Katalog!$C$3:$C$12,0)),"-")</f>
        <v>-</v>
      </c>
      <c r="W538" s="39" t="str">
        <f>IFERROR(INDEX(Katalog!$B$3:$B$12,MATCH(cadangan[[#This Row],[ItemID C]],Katalog!$C$3:$C$12,0)),"-")</f>
        <v>-</v>
      </c>
      <c r="Z538" s="73">
        <f>IFERROR(INDEX(Katalog!$D$3:$D$12,MATCH(cadangan[[#This Row],[ItemID C]],Katalog!$C$3:$C$12,0))*cadangan[[#This Row],[Qty C]],0)</f>
        <v>0</v>
      </c>
      <c r="AA538" s="73">
        <f>IFERROR(cadangan[[#This Row],[Harga Normal C]]-(cadangan[[#This Row],[Harga Normal C]]*cadangan[[#This Row],[Diskon]]),cadangan[[#This Row],[Harga Normal C]])</f>
        <v>0</v>
      </c>
      <c r="AB538" s="73">
        <f>IFERROR(INDEX(Katalog!$F$3:$F$12,MATCH(cadangan[[#This Row],[ItemID C]],Katalog!$C$3:$C$12,0))*cadangan[[#This Row],[Qty C]],0)</f>
        <v>0</v>
      </c>
      <c r="AC538" s="73">
        <f>IFERROR(cadangan[[#This Row],[Harga Diskon C]]-INDEX(Katalog!$E$3:$E$12,MATCH(cadangan[[#This Row],[ItemID C]],Katalog!$C$3:$C$12,0))*cadangan[[#This Row],[Qty C]],0)</f>
        <v>0</v>
      </c>
      <c r="AD538" s="53">
        <f>cadangan[[#This Row],[Qty A]]+cadangan[[#This Row],[Qty B]]+cadangan[[#This Row],[Qty C]]</f>
        <v>4</v>
      </c>
      <c r="AE538" s="73">
        <f>cadangan[[#This Row],[Harga Normal A]]+cadangan[[#This Row],[Harga Normal B]]+cadangan[[#This Row],[Harga Normal C]]</f>
        <v>1100000</v>
      </c>
      <c r="AF538" s="73">
        <f>cadangan[[#This Row],[Harga Diskon A]]+cadangan[[#This Row],[Harga Diskon B]]+cadangan[[#This Row],[Harga Diskon C]]</f>
        <v>1100000</v>
      </c>
      <c r="AG538" s="73">
        <f>(cadangan[[#This Row],[Profit Normal A]]+cadangan[[#This Row],[Profit Normal B]]+cadangan[[#This Row],[Profit Normal C]])</f>
        <v>440000</v>
      </c>
      <c r="AH538" s="73">
        <f>cadangan[[#This Row],[Profit Diskon A]]+cadangan[[#This Row],[Profit Diskon B]]+cadangan[[#This Row],[Profit Diskon C]]</f>
        <v>440000</v>
      </c>
      <c r="AI538" s="23" t="s">
        <v>290</v>
      </c>
      <c r="AJ538" s="37" t="str">
        <f>IFERROR(INDEX('Kode Diskon'!$D$3:$D$9,MATCH(cadangan[[#This Row],[Kode diskon]],'Kode Diskon'!$C$3:$C$9,0)),"-")</f>
        <v>-</v>
      </c>
      <c r="AK538" s="23" t="s">
        <v>290</v>
      </c>
      <c r="AL538" s="23" t="s">
        <v>7</v>
      </c>
      <c r="AM538" s="23" t="s">
        <v>80</v>
      </c>
      <c r="AN538" s="55">
        <v>45023</v>
      </c>
      <c r="AO538" s="53">
        <f>DAY(cadangan[[#This Row],[Tanggal terjual]])</f>
        <v>7</v>
      </c>
      <c r="AP538" s="21" t="str">
        <f>TEXT(cadangan[[#This Row],[Tanggal terjual]],"dddd")</f>
        <v>Friday</v>
      </c>
      <c r="AQ538" s="23" t="str" cm="1">
        <f t="array" ref="AQ5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8" s="61">
        <f>AVERAGE(cadangan[[#This Row],[Rating A]],cadangan[[#This Row],[Rating B]],cadangan[[#This Row],[Rating C]])</f>
        <v>3</v>
      </c>
    </row>
    <row r="539" spans="1:44" x14ac:dyDescent="0.2">
      <c r="A539" s="20">
        <v>538</v>
      </c>
      <c r="B539" s="21" t="str">
        <f>_xlfn.CONCAT("ORD-",INDEX(Helper!$B$2:$B$5,MATCH(cadangan[[#This Row],[Marketplace]],Helper!$A$2:$A$5,0)),TEXT(cadangan[[#This Row],[No]],"0000"),"-",TEXT(cadangan[[#This Row],[Tanggal terjual]],"dd/mm/yy"))</f>
        <v>ORD-BB0538-01/04/23</v>
      </c>
      <c r="C539" s="39" t="s">
        <v>67</v>
      </c>
      <c r="D539" s="39" t="str">
        <f>IFERROR(INDEX(Katalog!$A$3:$A$12,MATCH(cadangan[[#This Row],[ItemID A]],Katalog!$C$3:$C$12,0)),"-")</f>
        <v>Sepatu Wanita</v>
      </c>
      <c r="E539" s="39" t="str">
        <f>IFERROR(INDEX(Katalog!$B$3:$B$12,MATCH(cadangan[[#This Row],[ItemID A]],Katalog!$C$3:$C$12,0)),"-")</f>
        <v>Flat Shoes</v>
      </c>
      <c r="F539" s="50">
        <v>2</v>
      </c>
      <c r="G539" s="50">
        <v>2</v>
      </c>
      <c r="H539" s="73">
        <f>IFERROR(INDEX(Katalog!$D$3:$D$12,MATCH(cadangan[[#This Row],[ItemID A]],Katalog!$C$3:$C$12,0))*cadangan[[#This Row],[Qty A]],0)</f>
        <v>500000</v>
      </c>
      <c r="I539" s="73">
        <f>IFERROR(cadangan[[#This Row],[Harga Normal A]]-(cadangan[[#This Row],[Harga Normal A]]*cadangan[[#This Row],[Diskon]]),cadangan[[#This Row],[Harga Normal A]])</f>
        <v>425000</v>
      </c>
      <c r="J539" s="73">
        <f>INDEX(Katalog!$F$3:$F$12,MATCH(cadangan[[#This Row],[ItemID A]],Katalog!$C$3:$C$12,0))*cadangan[[#This Row],[Qty A]]</f>
        <v>200000</v>
      </c>
      <c r="K539" s="73">
        <f>IFERROR(cadangan[[#This Row],[Harga Diskon A]]-INDEX(Katalog!$E$3:$E$12,MATCH(cadangan[[#This Row],[ItemID A]],Katalog!$C$3:$C$12,0))*cadangan[[#This Row],[Qty A]],0)</f>
        <v>125000</v>
      </c>
      <c r="M539" s="39" t="str">
        <f>IFERROR(INDEX(Katalog!$A$3:$A$12,MATCH(cadangan[[#This Row],[ItemID B]],Katalog!$C$3:$C$12,0)),"-")</f>
        <v>-</v>
      </c>
      <c r="N539" s="39" t="str">
        <f>IFERROR(INDEX(Katalog!$B$3:$B$12,MATCH(cadangan[[#This Row],[ItemID B]],Katalog!$C$3:$C$12,0)),"-")</f>
        <v>-</v>
      </c>
      <c r="Q539" s="73">
        <f>IFERROR(INDEX(Katalog!$D$3:$D$12,MATCH(cadangan[[#This Row],[ItemID B]],Katalog!$C$3:$C$12,0))*cadangan[[#This Row],[Qty B]],0)</f>
        <v>0</v>
      </c>
      <c r="R539" s="73">
        <f>IFERROR(cadangan[[#This Row],[Harga Normal B]]-(cadangan[[#This Row],[Harga Normal B]]*cadangan[[#This Row],[Diskon]]),cadangan[[#This Row],[Harga Normal B]])</f>
        <v>0</v>
      </c>
      <c r="S539" s="73">
        <f>IFERROR(INDEX(Katalog!$F$3:$F$12,MATCH(cadangan[[#This Row],[ItemID B]],Katalog!$C$3:$C$12,0))*cadangan[[#This Row],[Qty B]],0)</f>
        <v>0</v>
      </c>
      <c r="T539" s="73">
        <f>IFERROR(cadangan[[#This Row],[Harga Diskon B]]-INDEX(Katalog!$E$3:$E$12,MATCH(cadangan[[#This Row],[ItemID B]],Katalog!$C$3:$C$12,0))*cadangan[[#This Row],[Qty B]],0)</f>
        <v>0</v>
      </c>
      <c r="V539" s="39" t="str">
        <f>IFERROR(INDEX(Katalog!$A$3:$A$12,MATCH(cadangan[[#This Row],[ItemID C]],Katalog!$C$3:$C$12,0)),"-")</f>
        <v>-</v>
      </c>
      <c r="W539" s="39" t="str">
        <f>IFERROR(INDEX(Katalog!$B$3:$B$12,MATCH(cadangan[[#This Row],[ItemID C]],Katalog!$C$3:$C$12,0)),"-")</f>
        <v>-</v>
      </c>
      <c r="Z539" s="73">
        <f>IFERROR(INDEX(Katalog!$D$3:$D$12,MATCH(cadangan[[#This Row],[ItemID C]],Katalog!$C$3:$C$12,0))*cadangan[[#This Row],[Qty C]],0)</f>
        <v>0</v>
      </c>
      <c r="AA539" s="73">
        <f>IFERROR(cadangan[[#This Row],[Harga Normal C]]-(cadangan[[#This Row],[Harga Normal C]]*cadangan[[#This Row],[Diskon]]),cadangan[[#This Row],[Harga Normal C]])</f>
        <v>0</v>
      </c>
      <c r="AB539" s="73">
        <f>IFERROR(INDEX(Katalog!$F$3:$F$12,MATCH(cadangan[[#This Row],[ItemID C]],Katalog!$C$3:$C$12,0))*cadangan[[#This Row],[Qty C]],0)</f>
        <v>0</v>
      </c>
      <c r="AC539" s="73">
        <f>IFERROR(cadangan[[#This Row],[Harga Diskon C]]-INDEX(Katalog!$E$3:$E$12,MATCH(cadangan[[#This Row],[ItemID C]],Katalog!$C$3:$C$12,0))*cadangan[[#This Row],[Qty C]],0)</f>
        <v>0</v>
      </c>
      <c r="AD539" s="53">
        <f>cadangan[[#This Row],[Qty A]]+cadangan[[#This Row],[Qty B]]+cadangan[[#This Row],[Qty C]]</f>
        <v>2</v>
      </c>
      <c r="AE539" s="73">
        <f>cadangan[[#This Row],[Harga Normal A]]+cadangan[[#This Row],[Harga Normal B]]+cadangan[[#This Row],[Harga Normal C]]</f>
        <v>500000</v>
      </c>
      <c r="AF539" s="73">
        <f>cadangan[[#This Row],[Harga Diskon A]]+cadangan[[#This Row],[Harga Diskon B]]+cadangan[[#This Row],[Harga Diskon C]]</f>
        <v>425000</v>
      </c>
      <c r="AG539" s="73">
        <f>(cadangan[[#This Row],[Profit Normal A]]+cadangan[[#This Row],[Profit Normal B]]+cadangan[[#This Row],[Profit Normal C]])</f>
        <v>200000</v>
      </c>
      <c r="AH539" s="73">
        <f>cadangan[[#This Row],[Profit Diskon A]]+cadangan[[#This Row],[Profit Diskon B]]+cadangan[[#This Row],[Profit Diskon C]]</f>
        <v>125000</v>
      </c>
      <c r="AI539" s="23" t="s">
        <v>28</v>
      </c>
      <c r="AJ539" s="37">
        <f>IFERROR(INDEX('Kode Diskon'!$D$3:$D$9,MATCH(cadangan[[#This Row],[Kode diskon]],'Kode Diskon'!$C$3:$C$9,0)),"-")</f>
        <v>0.15</v>
      </c>
      <c r="AK539" s="23" t="s">
        <v>29</v>
      </c>
      <c r="AL539" s="23" t="s">
        <v>14</v>
      </c>
      <c r="AM539" s="23" t="s">
        <v>77</v>
      </c>
      <c r="AN539" s="55">
        <v>45017</v>
      </c>
      <c r="AO539" s="53">
        <f>DAY(cadangan[[#This Row],[Tanggal terjual]])</f>
        <v>1</v>
      </c>
      <c r="AP539" s="21" t="str">
        <f>TEXT(cadangan[[#This Row],[Tanggal terjual]],"dddd")</f>
        <v>Saturday</v>
      </c>
      <c r="AQ539" s="23" t="str" cm="1">
        <f t="array" ref="AQ5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39" s="61">
        <f>AVERAGE(cadangan[[#This Row],[Rating A]],cadangan[[#This Row],[Rating B]],cadangan[[#This Row],[Rating C]])</f>
        <v>2</v>
      </c>
    </row>
    <row r="540" spans="1:44" x14ac:dyDescent="0.2">
      <c r="A540" s="20">
        <v>539</v>
      </c>
      <c r="B540" s="21" t="str">
        <f>_xlfn.CONCAT("ORD-",INDEX(Helper!$B$2:$B$5,MATCH(cadangan[[#This Row],[Marketplace]],Helper!$A$2:$A$5,0)),TEXT(cadangan[[#This Row],[No]],"0000"),"-",TEXT(cadangan[[#This Row],[Tanggal terjual]],"dd/mm/yy"))</f>
        <v>ORD-SP0539-01/04/23</v>
      </c>
      <c r="C540" s="39" t="s">
        <v>65</v>
      </c>
      <c r="D540" s="39" t="str">
        <f>IFERROR(INDEX(Katalog!$A$3:$A$12,MATCH(cadangan[[#This Row],[ItemID A]],Katalog!$C$3:$C$12,0)),"-")</f>
        <v>Sepatu Pria</v>
      </c>
      <c r="E540" s="39" t="str">
        <f>IFERROR(INDEX(Katalog!$B$3:$B$12,MATCH(cadangan[[#This Row],[ItemID A]],Katalog!$C$3:$C$12,0)),"-")</f>
        <v>Sneakers</v>
      </c>
      <c r="F540" s="50">
        <v>3</v>
      </c>
      <c r="G540" s="50">
        <v>5</v>
      </c>
      <c r="H540" s="73">
        <f>IFERROR(INDEX(Katalog!$D$3:$D$12,MATCH(cadangan[[#This Row],[ItemID A]],Katalog!$C$3:$C$12,0))*cadangan[[#This Row],[Qty A]],0)</f>
        <v>1500000</v>
      </c>
      <c r="I540" s="73">
        <f>IFERROR(cadangan[[#This Row],[Harga Normal A]]-(cadangan[[#This Row],[Harga Normal A]]*cadangan[[#This Row],[Diskon]]),cadangan[[#This Row],[Harga Normal A]])</f>
        <v>1350000</v>
      </c>
      <c r="J540" s="73">
        <f>INDEX(Katalog!$F$3:$F$12,MATCH(cadangan[[#This Row],[ItemID A]],Katalog!$C$3:$C$12,0))*cadangan[[#This Row],[Qty A]]</f>
        <v>600000</v>
      </c>
      <c r="K540" s="73">
        <f>IFERROR(cadangan[[#This Row],[Harga Diskon A]]-INDEX(Katalog!$E$3:$E$12,MATCH(cadangan[[#This Row],[ItemID A]],Katalog!$C$3:$C$12,0))*cadangan[[#This Row],[Qty A]],0)</f>
        <v>450000</v>
      </c>
      <c r="L540" s="39" t="s">
        <v>67</v>
      </c>
      <c r="M540" s="39" t="str">
        <f>IFERROR(INDEX(Katalog!$A$3:$A$12,MATCH(cadangan[[#This Row],[ItemID B]],Katalog!$C$3:$C$12,0)),"-")</f>
        <v>Sepatu Wanita</v>
      </c>
      <c r="N540" s="39" t="str">
        <f>IFERROR(INDEX(Katalog!$B$3:$B$12,MATCH(cadangan[[#This Row],[ItemID B]],Katalog!$C$3:$C$12,0)),"-")</f>
        <v>Flat Shoes</v>
      </c>
      <c r="O540" s="50">
        <v>1</v>
      </c>
      <c r="P540" s="50">
        <v>2</v>
      </c>
      <c r="Q540" s="73">
        <f>IFERROR(INDEX(Katalog!$D$3:$D$12,MATCH(cadangan[[#This Row],[ItemID B]],Katalog!$C$3:$C$12,0))*cadangan[[#This Row],[Qty B]],0)</f>
        <v>250000</v>
      </c>
      <c r="R540" s="73">
        <f>IFERROR(cadangan[[#This Row],[Harga Normal B]]-(cadangan[[#This Row],[Harga Normal B]]*cadangan[[#This Row],[Diskon]]),cadangan[[#This Row],[Harga Normal B]])</f>
        <v>225000</v>
      </c>
      <c r="S540" s="73">
        <f>IFERROR(INDEX(Katalog!$F$3:$F$12,MATCH(cadangan[[#This Row],[ItemID B]],Katalog!$C$3:$C$12,0))*cadangan[[#This Row],[Qty B]],0)</f>
        <v>100000</v>
      </c>
      <c r="T540" s="73">
        <f>IFERROR(cadangan[[#This Row],[Harga Diskon B]]-INDEX(Katalog!$E$3:$E$12,MATCH(cadangan[[#This Row],[ItemID B]],Katalog!$C$3:$C$12,0))*cadangan[[#This Row],[Qty B]],0)</f>
        <v>75000</v>
      </c>
      <c r="V540" s="39" t="str">
        <f>IFERROR(INDEX(Katalog!$A$3:$A$12,MATCH(cadangan[[#This Row],[ItemID C]],Katalog!$C$3:$C$12,0)),"-")</f>
        <v>-</v>
      </c>
      <c r="W540" s="39" t="str">
        <f>IFERROR(INDEX(Katalog!$B$3:$B$12,MATCH(cadangan[[#This Row],[ItemID C]],Katalog!$C$3:$C$12,0)),"-")</f>
        <v>-</v>
      </c>
      <c r="Z540" s="73">
        <f>IFERROR(INDEX(Katalog!$D$3:$D$12,MATCH(cadangan[[#This Row],[ItemID C]],Katalog!$C$3:$C$12,0))*cadangan[[#This Row],[Qty C]],0)</f>
        <v>0</v>
      </c>
      <c r="AA540" s="73">
        <f>IFERROR(cadangan[[#This Row],[Harga Normal C]]-(cadangan[[#This Row],[Harga Normal C]]*cadangan[[#This Row],[Diskon]]),cadangan[[#This Row],[Harga Normal C]])</f>
        <v>0</v>
      </c>
      <c r="AB540" s="73">
        <f>IFERROR(INDEX(Katalog!$F$3:$F$12,MATCH(cadangan[[#This Row],[ItemID C]],Katalog!$C$3:$C$12,0))*cadangan[[#This Row],[Qty C]],0)</f>
        <v>0</v>
      </c>
      <c r="AC540" s="73">
        <f>IFERROR(cadangan[[#This Row],[Harga Diskon C]]-INDEX(Katalog!$E$3:$E$12,MATCH(cadangan[[#This Row],[ItemID C]],Katalog!$C$3:$C$12,0))*cadangan[[#This Row],[Qty C]],0)</f>
        <v>0</v>
      </c>
      <c r="AD540" s="53">
        <f>cadangan[[#This Row],[Qty A]]+cadangan[[#This Row],[Qty B]]+cadangan[[#This Row],[Qty C]]</f>
        <v>4</v>
      </c>
      <c r="AE540" s="73">
        <f>cadangan[[#This Row],[Harga Normal A]]+cadangan[[#This Row],[Harga Normal B]]+cadangan[[#This Row],[Harga Normal C]]</f>
        <v>1750000</v>
      </c>
      <c r="AF540" s="73">
        <f>cadangan[[#This Row],[Harga Diskon A]]+cadangan[[#This Row],[Harga Diskon B]]+cadangan[[#This Row],[Harga Diskon C]]</f>
        <v>1575000</v>
      </c>
      <c r="AG540" s="73">
        <f>(cadangan[[#This Row],[Profit Normal A]]+cadangan[[#This Row],[Profit Normal B]]+cadangan[[#This Row],[Profit Normal C]])</f>
        <v>700000</v>
      </c>
      <c r="AH540" s="73">
        <f>cadangan[[#This Row],[Profit Diskon A]]+cadangan[[#This Row],[Profit Diskon B]]+cadangan[[#This Row],[Profit Diskon C]]</f>
        <v>525000</v>
      </c>
      <c r="AI540" s="23" t="s">
        <v>6</v>
      </c>
      <c r="AJ540" s="37">
        <f>IFERROR(INDEX('Kode Diskon'!$D$3:$D$9,MATCH(cadangan[[#This Row],[Kode diskon]],'Kode Diskon'!$C$3:$C$9,0)),"-")</f>
        <v>0.1</v>
      </c>
      <c r="AK540" s="23" t="s">
        <v>29</v>
      </c>
      <c r="AL540" s="23" t="s">
        <v>7</v>
      </c>
      <c r="AM540" s="23" t="s">
        <v>76</v>
      </c>
      <c r="AN540" s="55">
        <v>45017</v>
      </c>
      <c r="AO540" s="53">
        <f>DAY(cadangan[[#This Row],[Tanggal terjual]])</f>
        <v>1</v>
      </c>
      <c r="AP540" s="21" t="str">
        <f>TEXT(cadangan[[#This Row],[Tanggal terjual]],"dddd")</f>
        <v>Saturday</v>
      </c>
      <c r="AQ540" s="23" t="str" cm="1">
        <f t="array" ref="AQ5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0" s="61">
        <f>AVERAGE(cadangan[[#This Row],[Rating A]],cadangan[[#This Row],[Rating B]],cadangan[[#This Row],[Rating C]])</f>
        <v>3.5</v>
      </c>
    </row>
    <row r="541" spans="1:44" x14ac:dyDescent="0.2">
      <c r="A541" s="20">
        <v>540</v>
      </c>
      <c r="B541" s="21" t="str">
        <f>_xlfn.CONCAT("ORD-",INDEX(Helper!$B$2:$B$5,MATCH(cadangan[[#This Row],[Marketplace]],Helper!$A$2:$A$5,0)),TEXT(cadangan[[#This Row],[No]],"0000"),"-",TEXT(cadangan[[#This Row],[Tanggal terjual]],"dd/mm/yy"))</f>
        <v>ORD-BL0540-29/04/23</v>
      </c>
      <c r="C541" s="39" t="s">
        <v>58</v>
      </c>
      <c r="D541" s="39" t="str">
        <f>IFERROR(INDEX(Katalog!$A$3:$A$12,MATCH(cadangan[[#This Row],[ItemID A]],Katalog!$C$3:$C$12,0)),"-")</f>
        <v>Pakaian Wanita</v>
      </c>
      <c r="E541" s="39" t="str">
        <f>IFERROR(INDEX(Katalog!$B$3:$B$12,MATCH(cadangan[[#This Row],[ItemID A]],Katalog!$C$3:$C$12,0)),"-")</f>
        <v>Dress</v>
      </c>
      <c r="F541" s="50">
        <v>3</v>
      </c>
      <c r="G541" s="50">
        <v>4</v>
      </c>
      <c r="H541" s="73">
        <f>IFERROR(INDEX(Katalog!$D$3:$D$12,MATCH(cadangan[[#This Row],[ItemID A]],Katalog!$C$3:$C$12,0))*cadangan[[#This Row],[Qty A]],0)</f>
        <v>900000</v>
      </c>
      <c r="I541" s="73">
        <f>IFERROR(cadangan[[#This Row],[Harga Normal A]]-(cadangan[[#This Row],[Harga Normal A]]*cadangan[[#This Row],[Diskon]]),cadangan[[#This Row],[Harga Normal A]])</f>
        <v>765000</v>
      </c>
      <c r="J541" s="73">
        <f>INDEX(Katalog!$F$3:$F$12,MATCH(cadangan[[#This Row],[ItemID A]],Katalog!$C$3:$C$12,0))*cadangan[[#This Row],[Qty A]]</f>
        <v>300000</v>
      </c>
      <c r="K541" s="73">
        <f>IFERROR(cadangan[[#This Row],[Harga Diskon A]]-INDEX(Katalog!$E$3:$E$12,MATCH(cadangan[[#This Row],[ItemID A]],Katalog!$C$3:$C$12,0))*cadangan[[#This Row],[Qty A]],0)</f>
        <v>165000</v>
      </c>
      <c r="L541" s="39" t="s">
        <v>59</v>
      </c>
      <c r="M541" s="39" t="str">
        <f>IFERROR(INDEX(Katalog!$A$3:$A$12,MATCH(cadangan[[#This Row],[ItemID B]],Katalog!$C$3:$C$12,0)),"-")</f>
        <v>Pakaian Wanita</v>
      </c>
      <c r="N541" s="39" t="str">
        <f>IFERROR(INDEX(Katalog!$B$3:$B$12,MATCH(cadangan[[#This Row],[ItemID B]],Katalog!$C$3:$C$12,0)),"-")</f>
        <v>Blouse</v>
      </c>
      <c r="O541" s="50">
        <v>2</v>
      </c>
      <c r="P541" s="50">
        <v>4</v>
      </c>
      <c r="Q541" s="73">
        <f>IFERROR(INDEX(Katalog!$D$3:$D$12,MATCH(cadangan[[#This Row],[ItemID B]],Katalog!$C$3:$C$12,0))*cadangan[[#This Row],[Qty B]],0)</f>
        <v>300000</v>
      </c>
      <c r="R541" s="73">
        <f>IFERROR(cadangan[[#This Row],[Harga Normal B]]-(cadangan[[#This Row],[Harga Normal B]]*cadangan[[#This Row],[Diskon]]),cadangan[[#This Row],[Harga Normal B]])</f>
        <v>255000</v>
      </c>
      <c r="S541" s="73">
        <f>IFERROR(INDEX(Katalog!$F$3:$F$12,MATCH(cadangan[[#This Row],[ItemID B]],Katalog!$C$3:$C$12,0))*cadangan[[#This Row],[Qty B]],0)</f>
        <v>100000</v>
      </c>
      <c r="T541" s="73">
        <f>IFERROR(cadangan[[#This Row],[Harga Diskon B]]-INDEX(Katalog!$E$3:$E$12,MATCH(cadangan[[#This Row],[ItemID B]],Katalog!$C$3:$C$12,0))*cadangan[[#This Row],[Qty B]],0)</f>
        <v>55000</v>
      </c>
      <c r="U541" s="39" t="s">
        <v>62</v>
      </c>
      <c r="V541" s="39" t="str">
        <f>IFERROR(INDEX(Katalog!$A$3:$A$12,MATCH(cadangan[[#This Row],[ItemID C]],Katalog!$C$3:$C$12,0)),"-")</f>
        <v>Pakaian Pria</v>
      </c>
      <c r="W541" s="39" t="str">
        <f>IFERROR(INDEX(Katalog!$B$3:$B$12,MATCH(cadangan[[#This Row],[ItemID C]],Katalog!$C$3:$C$12,0)),"-")</f>
        <v>Celana Pendek</v>
      </c>
      <c r="X541" s="50">
        <v>1</v>
      </c>
      <c r="Y541" s="50">
        <v>1</v>
      </c>
      <c r="Z541" s="73">
        <f>IFERROR(INDEX(Katalog!$D$3:$D$12,MATCH(cadangan[[#This Row],[ItemID C]],Katalog!$C$3:$C$12,0))*cadangan[[#This Row],[Qty C]],0)</f>
        <v>180000</v>
      </c>
      <c r="AA541" s="73">
        <f>IFERROR(cadangan[[#This Row],[Harga Normal C]]-(cadangan[[#This Row],[Harga Normal C]]*cadangan[[#This Row],[Diskon]]),cadangan[[#This Row],[Harga Normal C]])</f>
        <v>153000</v>
      </c>
      <c r="AB541" s="73">
        <f>IFERROR(INDEX(Katalog!$F$3:$F$12,MATCH(cadangan[[#This Row],[ItemID C]],Katalog!$C$3:$C$12,0))*cadangan[[#This Row],[Qty C]],0)</f>
        <v>70000</v>
      </c>
      <c r="AC541" s="73">
        <f>IFERROR(cadangan[[#This Row],[Harga Diskon C]]-INDEX(Katalog!$E$3:$E$12,MATCH(cadangan[[#This Row],[ItemID C]],Katalog!$C$3:$C$12,0))*cadangan[[#This Row],[Qty C]],0)</f>
        <v>43000</v>
      </c>
      <c r="AD541" s="53">
        <f>cadangan[[#This Row],[Qty A]]+cadangan[[#This Row],[Qty B]]+cadangan[[#This Row],[Qty C]]</f>
        <v>6</v>
      </c>
      <c r="AE541" s="73">
        <f>cadangan[[#This Row],[Harga Normal A]]+cadangan[[#This Row],[Harga Normal B]]+cadangan[[#This Row],[Harga Normal C]]</f>
        <v>1380000</v>
      </c>
      <c r="AF541" s="73">
        <f>cadangan[[#This Row],[Harga Diskon A]]+cadangan[[#This Row],[Harga Diskon B]]+cadangan[[#This Row],[Harga Diskon C]]</f>
        <v>1173000</v>
      </c>
      <c r="AG541" s="73">
        <f>(cadangan[[#This Row],[Profit Normal A]]+cadangan[[#This Row],[Profit Normal B]]+cadangan[[#This Row],[Profit Normal C]])</f>
        <v>470000</v>
      </c>
      <c r="AH541" s="73">
        <f>cadangan[[#This Row],[Profit Diskon A]]+cadangan[[#This Row],[Profit Diskon B]]+cadangan[[#This Row],[Profit Diskon C]]</f>
        <v>263000</v>
      </c>
      <c r="AI541" s="23" t="s">
        <v>32</v>
      </c>
      <c r="AJ541" s="37">
        <f>IFERROR(INDEX('Kode Diskon'!$D$3:$D$9,MATCH(cadangan[[#This Row],[Kode diskon]],'Kode Diskon'!$C$3:$C$9,0)),"-")</f>
        <v>0.15</v>
      </c>
      <c r="AK541" s="23" t="s">
        <v>9</v>
      </c>
      <c r="AL541" s="23" t="s">
        <v>12</v>
      </c>
      <c r="AM541" s="23" t="s">
        <v>76</v>
      </c>
      <c r="AN541" s="55">
        <v>45045</v>
      </c>
      <c r="AO541" s="53">
        <f>DAY(cadangan[[#This Row],[Tanggal terjual]])</f>
        <v>29</v>
      </c>
      <c r="AP541" s="21" t="str">
        <f>TEXT(cadangan[[#This Row],[Tanggal terjual]],"dddd")</f>
        <v>Saturday</v>
      </c>
      <c r="AQ541" s="23" t="str" cm="1">
        <f t="array" ref="AQ5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41" s="61">
        <f>AVERAGE(cadangan[[#This Row],[Rating A]],cadangan[[#This Row],[Rating B]],cadangan[[#This Row],[Rating C]])</f>
        <v>3</v>
      </c>
    </row>
    <row r="542" spans="1:44" x14ac:dyDescent="0.2">
      <c r="A542" s="20">
        <v>541</v>
      </c>
      <c r="B542" s="21" t="str">
        <f>_xlfn.CONCAT("ORD-",INDEX(Helper!$B$2:$B$5,MATCH(cadangan[[#This Row],[Marketplace]],Helper!$A$2:$A$5,0)),TEXT(cadangan[[#This Row],[No]],"0000"),"-",TEXT(cadangan[[#This Row],[Tanggal terjual]],"dd/mm/yy"))</f>
        <v>ORD-TK0541-05/04/23</v>
      </c>
      <c r="C542" s="39" t="s">
        <v>58</v>
      </c>
      <c r="D542" s="39" t="str">
        <f>IFERROR(INDEX(Katalog!$A$3:$A$12,MATCH(cadangan[[#This Row],[ItemID A]],Katalog!$C$3:$C$12,0)),"-")</f>
        <v>Pakaian Wanita</v>
      </c>
      <c r="E542" s="39" t="str">
        <f>IFERROR(INDEX(Katalog!$B$3:$B$12,MATCH(cadangan[[#This Row],[ItemID A]],Katalog!$C$3:$C$12,0)),"-")</f>
        <v>Dress</v>
      </c>
      <c r="F542" s="50">
        <v>1</v>
      </c>
      <c r="G542" s="50">
        <v>2</v>
      </c>
      <c r="H542" s="73">
        <f>IFERROR(INDEX(Katalog!$D$3:$D$12,MATCH(cadangan[[#This Row],[ItemID A]],Katalog!$C$3:$C$12,0))*cadangan[[#This Row],[Qty A]],0)</f>
        <v>300000</v>
      </c>
      <c r="I542" s="73">
        <f>IFERROR(cadangan[[#This Row],[Harga Normal A]]-(cadangan[[#This Row],[Harga Normal A]]*cadangan[[#This Row],[Diskon]]),cadangan[[#This Row],[Harga Normal A]])</f>
        <v>270000</v>
      </c>
      <c r="J542" s="73">
        <f>INDEX(Katalog!$F$3:$F$12,MATCH(cadangan[[#This Row],[ItemID A]],Katalog!$C$3:$C$12,0))*cadangan[[#This Row],[Qty A]]</f>
        <v>100000</v>
      </c>
      <c r="K542" s="73">
        <f>IFERROR(cadangan[[#This Row],[Harga Diskon A]]-INDEX(Katalog!$E$3:$E$12,MATCH(cadangan[[#This Row],[ItemID A]],Katalog!$C$3:$C$12,0))*cadangan[[#This Row],[Qty A]],0)</f>
        <v>70000</v>
      </c>
      <c r="L542" s="39" t="s">
        <v>63</v>
      </c>
      <c r="M542" s="39" t="str">
        <f>IFERROR(INDEX(Katalog!$A$3:$A$12,MATCH(cadangan[[#This Row],[ItemID B]],Katalog!$C$3:$C$12,0)),"-")</f>
        <v>Pakaian Pria</v>
      </c>
      <c r="N542" s="39" t="str">
        <f>IFERROR(INDEX(Katalog!$B$3:$B$12,MATCH(cadangan[[#This Row],[ItemID B]],Katalog!$C$3:$C$12,0)),"-")</f>
        <v>Jaket Jeans</v>
      </c>
      <c r="O542" s="50">
        <v>1</v>
      </c>
      <c r="P542" s="50">
        <v>4</v>
      </c>
      <c r="Q542" s="73">
        <f>IFERROR(INDEX(Katalog!$D$3:$D$12,MATCH(cadangan[[#This Row],[ItemID B]],Katalog!$C$3:$C$12,0))*cadangan[[#This Row],[Qty B]],0)</f>
        <v>400000</v>
      </c>
      <c r="R542" s="73">
        <f>IFERROR(cadangan[[#This Row],[Harga Normal B]]-(cadangan[[#This Row],[Harga Normal B]]*cadangan[[#This Row],[Diskon]]),cadangan[[#This Row],[Harga Normal B]])</f>
        <v>360000</v>
      </c>
      <c r="S542" s="73">
        <f>IFERROR(INDEX(Katalog!$F$3:$F$12,MATCH(cadangan[[#This Row],[ItemID B]],Katalog!$C$3:$C$12,0))*cadangan[[#This Row],[Qty B]],0)</f>
        <v>150000</v>
      </c>
      <c r="T542" s="73">
        <f>IFERROR(cadangan[[#This Row],[Harga Diskon B]]-INDEX(Katalog!$E$3:$E$12,MATCH(cadangan[[#This Row],[ItemID B]],Katalog!$C$3:$C$12,0))*cadangan[[#This Row],[Qty B]],0)</f>
        <v>110000</v>
      </c>
      <c r="V542" s="39" t="str">
        <f>IFERROR(INDEX(Katalog!$A$3:$A$12,MATCH(cadangan[[#This Row],[ItemID C]],Katalog!$C$3:$C$12,0)),"-")</f>
        <v>-</v>
      </c>
      <c r="W542" s="39" t="str">
        <f>IFERROR(INDEX(Katalog!$B$3:$B$12,MATCH(cadangan[[#This Row],[ItemID C]],Katalog!$C$3:$C$12,0)),"-")</f>
        <v>-</v>
      </c>
      <c r="Z542" s="73">
        <f>IFERROR(INDEX(Katalog!$D$3:$D$12,MATCH(cadangan[[#This Row],[ItemID C]],Katalog!$C$3:$C$12,0))*cadangan[[#This Row],[Qty C]],0)</f>
        <v>0</v>
      </c>
      <c r="AA542" s="73">
        <f>IFERROR(cadangan[[#This Row],[Harga Normal C]]-(cadangan[[#This Row],[Harga Normal C]]*cadangan[[#This Row],[Diskon]]),cadangan[[#This Row],[Harga Normal C]])</f>
        <v>0</v>
      </c>
      <c r="AB542" s="73">
        <f>IFERROR(INDEX(Katalog!$F$3:$F$12,MATCH(cadangan[[#This Row],[ItemID C]],Katalog!$C$3:$C$12,0))*cadangan[[#This Row],[Qty C]],0)</f>
        <v>0</v>
      </c>
      <c r="AC542" s="73">
        <f>IFERROR(cadangan[[#This Row],[Harga Diskon C]]-INDEX(Katalog!$E$3:$E$12,MATCH(cadangan[[#This Row],[ItemID C]],Katalog!$C$3:$C$12,0))*cadangan[[#This Row],[Qty C]],0)</f>
        <v>0</v>
      </c>
      <c r="AD542" s="53">
        <f>cadangan[[#This Row],[Qty A]]+cadangan[[#This Row],[Qty B]]+cadangan[[#This Row],[Qty C]]</f>
        <v>2</v>
      </c>
      <c r="AE542" s="73">
        <f>cadangan[[#This Row],[Harga Normal A]]+cadangan[[#This Row],[Harga Normal B]]+cadangan[[#This Row],[Harga Normal C]]</f>
        <v>700000</v>
      </c>
      <c r="AF542" s="73">
        <f>cadangan[[#This Row],[Harga Diskon A]]+cadangan[[#This Row],[Harga Diskon B]]+cadangan[[#This Row],[Harga Diskon C]]</f>
        <v>630000</v>
      </c>
      <c r="AG542" s="73">
        <f>(cadangan[[#This Row],[Profit Normal A]]+cadangan[[#This Row],[Profit Normal B]]+cadangan[[#This Row],[Profit Normal C]])</f>
        <v>250000</v>
      </c>
      <c r="AH542" s="73">
        <f>cadangan[[#This Row],[Profit Diskon A]]+cadangan[[#This Row],[Profit Diskon B]]+cadangan[[#This Row],[Profit Diskon C]]</f>
        <v>180000</v>
      </c>
      <c r="AI542" s="23" t="s">
        <v>30</v>
      </c>
      <c r="AJ542" s="37">
        <f>IFERROR(INDEX('Kode Diskon'!$D$3:$D$9,MATCH(cadangan[[#This Row],[Kode diskon]],'Kode Diskon'!$C$3:$C$9,0)),"-")</f>
        <v>0.1</v>
      </c>
      <c r="AK542" s="23" t="s">
        <v>29</v>
      </c>
      <c r="AL542" s="23" t="s">
        <v>10</v>
      </c>
      <c r="AM542" s="23" t="s">
        <v>80</v>
      </c>
      <c r="AN542" s="55">
        <v>45021</v>
      </c>
      <c r="AO542" s="53">
        <f>DAY(cadangan[[#This Row],[Tanggal terjual]])</f>
        <v>5</v>
      </c>
      <c r="AP542" s="21" t="str">
        <f>TEXT(cadangan[[#This Row],[Tanggal terjual]],"dddd")</f>
        <v>Wednesday</v>
      </c>
      <c r="AQ542" s="23" t="str" cm="1">
        <f t="array" ref="AQ5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2" s="61">
        <f>AVERAGE(cadangan[[#This Row],[Rating A]],cadangan[[#This Row],[Rating B]],cadangan[[#This Row],[Rating C]])</f>
        <v>3</v>
      </c>
    </row>
    <row r="543" spans="1:44" x14ac:dyDescent="0.2">
      <c r="A543" s="20">
        <v>542</v>
      </c>
      <c r="B543" s="21" t="str">
        <f>_xlfn.CONCAT("ORD-",INDEX(Helper!$B$2:$B$5,MATCH(cadangan[[#This Row],[Marketplace]],Helper!$A$2:$A$5,0)),TEXT(cadangan[[#This Row],[No]],"0000"),"-",TEXT(cadangan[[#This Row],[Tanggal terjual]],"dd/mm/yy"))</f>
        <v>ORD-SP0542-04/04/23</v>
      </c>
      <c r="C543" s="39" t="s">
        <v>62</v>
      </c>
      <c r="D543" s="39" t="str">
        <f>IFERROR(INDEX(Katalog!$A$3:$A$12,MATCH(cadangan[[#This Row],[ItemID A]],Katalog!$C$3:$C$12,0)),"-")</f>
        <v>Pakaian Pria</v>
      </c>
      <c r="E543" s="39" t="str">
        <f>IFERROR(INDEX(Katalog!$B$3:$B$12,MATCH(cadangan[[#This Row],[ItemID A]],Katalog!$C$3:$C$12,0)),"-")</f>
        <v>Celana Pendek</v>
      </c>
      <c r="F543" s="50">
        <v>1</v>
      </c>
      <c r="G543" s="50">
        <v>4</v>
      </c>
      <c r="H543" s="73">
        <f>IFERROR(INDEX(Katalog!$D$3:$D$12,MATCH(cadangan[[#This Row],[ItemID A]],Katalog!$C$3:$C$12,0))*cadangan[[#This Row],[Qty A]],0)</f>
        <v>180000</v>
      </c>
      <c r="I543" s="73">
        <f>IFERROR(cadangan[[#This Row],[Harga Normal A]]-(cadangan[[#This Row],[Harga Normal A]]*cadangan[[#This Row],[Diskon]]),cadangan[[#This Row],[Harga Normal A]])</f>
        <v>162000</v>
      </c>
      <c r="J543" s="73">
        <f>INDEX(Katalog!$F$3:$F$12,MATCH(cadangan[[#This Row],[ItemID A]],Katalog!$C$3:$C$12,0))*cadangan[[#This Row],[Qty A]]</f>
        <v>70000</v>
      </c>
      <c r="K543" s="73">
        <f>IFERROR(cadangan[[#This Row],[Harga Diskon A]]-INDEX(Katalog!$E$3:$E$12,MATCH(cadangan[[#This Row],[ItemID A]],Katalog!$C$3:$C$12,0))*cadangan[[#This Row],[Qty A]],0)</f>
        <v>52000</v>
      </c>
      <c r="L543" s="39" t="s">
        <v>58</v>
      </c>
      <c r="M543" s="39" t="str">
        <f>IFERROR(INDEX(Katalog!$A$3:$A$12,MATCH(cadangan[[#This Row],[ItemID B]],Katalog!$C$3:$C$12,0)),"-")</f>
        <v>Pakaian Wanita</v>
      </c>
      <c r="N543" s="39" t="str">
        <f>IFERROR(INDEX(Katalog!$B$3:$B$12,MATCH(cadangan[[#This Row],[ItemID B]],Katalog!$C$3:$C$12,0)),"-")</f>
        <v>Dress</v>
      </c>
      <c r="O543" s="50">
        <v>2</v>
      </c>
      <c r="P543" s="50">
        <v>2</v>
      </c>
      <c r="Q543" s="73">
        <f>IFERROR(INDEX(Katalog!$D$3:$D$12,MATCH(cadangan[[#This Row],[ItemID B]],Katalog!$C$3:$C$12,0))*cadangan[[#This Row],[Qty B]],0)</f>
        <v>600000</v>
      </c>
      <c r="R543" s="73">
        <f>IFERROR(cadangan[[#This Row],[Harga Normal B]]-(cadangan[[#This Row],[Harga Normal B]]*cadangan[[#This Row],[Diskon]]),cadangan[[#This Row],[Harga Normal B]])</f>
        <v>540000</v>
      </c>
      <c r="S543" s="73">
        <f>IFERROR(INDEX(Katalog!$F$3:$F$12,MATCH(cadangan[[#This Row],[ItemID B]],Katalog!$C$3:$C$12,0))*cadangan[[#This Row],[Qty B]],0)</f>
        <v>200000</v>
      </c>
      <c r="T543" s="73">
        <f>IFERROR(cadangan[[#This Row],[Harga Diskon B]]-INDEX(Katalog!$E$3:$E$12,MATCH(cadangan[[#This Row],[ItemID B]],Katalog!$C$3:$C$12,0))*cadangan[[#This Row],[Qty B]],0)</f>
        <v>140000</v>
      </c>
      <c r="U543" s="39" t="s">
        <v>64</v>
      </c>
      <c r="V543" s="39" t="str">
        <f>IFERROR(INDEX(Katalog!$A$3:$A$12,MATCH(cadangan[[#This Row],[ItemID C]],Katalog!$C$3:$C$12,0)),"-")</f>
        <v>Pakaian Unisex</v>
      </c>
      <c r="W543" s="39" t="str">
        <f>IFERROR(INDEX(Katalog!$B$3:$B$12,MATCH(cadangan[[#This Row],[ItemID C]],Katalog!$C$3:$C$12,0)),"-")</f>
        <v>Jaket Hoodie</v>
      </c>
      <c r="X543" s="50">
        <v>2</v>
      </c>
      <c r="Y543" s="50">
        <v>4</v>
      </c>
      <c r="Z543" s="73">
        <f>IFERROR(INDEX(Katalog!$D$3:$D$12,MATCH(cadangan[[#This Row],[ItemID C]],Katalog!$C$3:$C$12,0))*cadangan[[#This Row],[Qty C]],0)</f>
        <v>700000</v>
      </c>
      <c r="AA543" s="73">
        <f>IFERROR(cadangan[[#This Row],[Harga Normal C]]-(cadangan[[#This Row],[Harga Normal C]]*cadangan[[#This Row],[Diskon]]),cadangan[[#This Row],[Harga Normal C]])</f>
        <v>630000</v>
      </c>
      <c r="AB543" s="73">
        <f>IFERROR(INDEX(Katalog!$F$3:$F$12,MATCH(cadangan[[#This Row],[ItemID C]],Katalog!$C$3:$C$12,0))*cadangan[[#This Row],[Qty C]],0)</f>
        <v>260000</v>
      </c>
      <c r="AC543" s="73">
        <f>IFERROR(cadangan[[#This Row],[Harga Diskon C]]-INDEX(Katalog!$E$3:$E$12,MATCH(cadangan[[#This Row],[ItemID C]],Katalog!$C$3:$C$12,0))*cadangan[[#This Row],[Qty C]],0)</f>
        <v>190000</v>
      </c>
      <c r="AD543" s="53">
        <f>cadangan[[#This Row],[Qty A]]+cadangan[[#This Row],[Qty B]]+cadangan[[#This Row],[Qty C]]</f>
        <v>5</v>
      </c>
      <c r="AE543" s="73">
        <f>cadangan[[#This Row],[Harga Normal A]]+cadangan[[#This Row],[Harga Normal B]]+cadangan[[#This Row],[Harga Normal C]]</f>
        <v>1480000</v>
      </c>
      <c r="AF543" s="73">
        <f>cadangan[[#This Row],[Harga Diskon A]]+cadangan[[#This Row],[Harga Diskon B]]+cadangan[[#This Row],[Harga Diskon C]]</f>
        <v>1332000</v>
      </c>
      <c r="AG543" s="73">
        <f>(cadangan[[#This Row],[Profit Normal A]]+cadangan[[#This Row],[Profit Normal B]]+cadangan[[#This Row],[Profit Normal C]])</f>
        <v>530000</v>
      </c>
      <c r="AH543" s="73">
        <f>cadangan[[#This Row],[Profit Diskon A]]+cadangan[[#This Row],[Profit Diskon B]]+cadangan[[#This Row],[Profit Diskon C]]</f>
        <v>382000</v>
      </c>
      <c r="AI543" s="23" t="s">
        <v>6</v>
      </c>
      <c r="AJ543" s="37">
        <f>IFERROR(INDEX('Kode Diskon'!$D$3:$D$9,MATCH(cadangan[[#This Row],[Kode diskon]],'Kode Diskon'!$C$3:$C$9,0)),"-")</f>
        <v>0.1</v>
      </c>
      <c r="AK543" s="23" t="s">
        <v>29</v>
      </c>
      <c r="AL543" s="23" t="s">
        <v>7</v>
      </c>
      <c r="AM543" s="23" t="s">
        <v>76</v>
      </c>
      <c r="AN543" s="55">
        <v>45020</v>
      </c>
      <c r="AO543" s="53">
        <f>DAY(cadangan[[#This Row],[Tanggal terjual]])</f>
        <v>4</v>
      </c>
      <c r="AP543" s="21" t="str">
        <f>TEXT(cadangan[[#This Row],[Tanggal terjual]],"dddd")</f>
        <v>Tuesday</v>
      </c>
      <c r="AQ543" s="23" t="str" cm="1">
        <f t="array" ref="AQ5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3" s="61">
        <f>AVERAGE(cadangan[[#This Row],[Rating A]],cadangan[[#This Row],[Rating B]],cadangan[[#This Row],[Rating C]])</f>
        <v>3.3333333333333335</v>
      </c>
    </row>
    <row r="544" spans="1:44" x14ac:dyDescent="0.2">
      <c r="A544" s="20">
        <v>543</v>
      </c>
      <c r="B544" s="21" t="str">
        <f>_xlfn.CONCAT("ORD-",INDEX(Helper!$B$2:$B$5,MATCH(cadangan[[#This Row],[Marketplace]],Helper!$A$2:$A$5,0)),TEXT(cadangan[[#This Row],[No]],"0000"),"-",TEXT(cadangan[[#This Row],[Tanggal terjual]],"dd/mm/yy"))</f>
        <v>ORD-SP0543-01/04/23</v>
      </c>
      <c r="C544" s="39" t="s">
        <v>58</v>
      </c>
      <c r="D544" s="39" t="str">
        <f>IFERROR(INDEX(Katalog!$A$3:$A$12,MATCH(cadangan[[#This Row],[ItemID A]],Katalog!$C$3:$C$12,0)),"-")</f>
        <v>Pakaian Wanita</v>
      </c>
      <c r="E544" s="39" t="str">
        <f>IFERROR(INDEX(Katalog!$B$3:$B$12,MATCH(cadangan[[#This Row],[ItemID A]],Katalog!$C$3:$C$12,0)),"-")</f>
        <v>Dress</v>
      </c>
      <c r="F544" s="50">
        <v>1</v>
      </c>
      <c r="G544" s="50">
        <v>5</v>
      </c>
      <c r="H544" s="73">
        <f>IFERROR(INDEX(Katalog!$D$3:$D$12,MATCH(cadangan[[#This Row],[ItemID A]],Katalog!$C$3:$C$12,0))*cadangan[[#This Row],[Qty A]],0)</f>
        <v>300000</v>
      </c>
      <c r="I544" s="73">
        <f>IFERROR(cadangan[[#This Row],[Harga Normal A]]-(cadangan[[#This Row],[Harga Normal A]]*cadangan[[#This Row],[Diskon]]),cadangan[[#This Row],[Harga Normal A]])</f>
        <v>255000</v>
      </c>
      <c r="J544" s="73">
        <f>INDEX(Katalog!$F$3:$F$12,MATCH(cadangan[[#This Row],[ItemID A]],Katalog!$C$3:$C$12,0))*cadangan[[#This Row],[Qty A]]</f>
        <v>100000</v>
      </c>
      <c r="K544" s="73">
        <f>IFERROR(cadangan[[#This Row],[Harga Diskon A]]-INDEX(Katalog!$E$3:$E$12,MATCH(cadangan[[#This Row],[ItemID A]],Katalog!$C$3:$C$12,0))*cadangan[[#This Row],[Qty A]],0)</f>
        <v>55000</v>
      </c>
      <c r="L544" s="39" t="s">
        <v>63</v>
      </c>
      <c r="M544" s="39" t="str">
        <f>IFERROR(INDEX(Katalog!$A$3:$A$12,MATCH(cadangan[[#This Row],[ItemID B]],Katalog!$C$3:$C$12,0)),"-")</f>
        <v>Pakaian Pria</v>
      </c>
      <c r="N544" s="39" t="str">
        <f>IFERROR(INDEX(Katalog!$B$3:$B$12,MATCH(cadangan[[#This Row],[ItemID B]],Katalog!$C$3:$C$12,0)),"-")</f>
        <v>Jaket Jeans</v>
      </c>
      <c r="O544" s="50">
        <v>1</v>
      </c>
      <c r="P544" s="50">
        <v>2</v>
      </c>
      <c r="Q544" s="73">
        <f>IFERROR(INDEX(Katalog!$D$3:$D$12,MATCH(cadangan[[#This Row],[ItemID B]],Katalog!$C$3:$C$12,0))*cadangan[[#This Row],[Qty B]],0)</f>
        <v>400000</v>
      </c>
      <c r="R544" s="73">
        <f>IFERROR(cadangan[[#This Row],[Harga Normal B]]-(cadangan[[#This Row],[Harga Normal B]]*cadangan[[#This Row],[Diskon]]),cadangan[[#This Row],[Harga Normal B]])</f>
        <v>340000</v>
      </c>
      <c r="S544" s="73">
        <f>IFERROR(INDEX(Katalog!$F$3:$F$12,MATCH(cadangan[[#This Row],[ItemID B]],Katalog!$C$3:$C$12,0))*cadangan[[#This Row],[Qty B]],0)</f>
        <v>150000</v>
      </c>
      <c r="T544" s="73">
        <f>IFERROR(cadangan[[#This Row],[Harga Diskon B]]-INDEX(Katalog!$E$3:$E$12,MATCH(cadangan[[#This Row],[ItemID B]],Katalog!$C$3:$C$12,0))*cadangan[[#This Row],[Qty B]],0)</f>
        <v>90000</v>
      </c>
      <c r="V544" s="39" t="str">
        <f>IFERROR(INDEX(Katalog!$A$3:$A$12,MATCH(cadangan[[#This Row],[ItemID C]],Katalog!$C$3:$C$12,0)),"-")</f>
        <v>-</v>
      </c>
      <c r="W544" s="39" t="str">
        <f>IFERROR(INDEX(Katalog!$B$3:$B$12,MATCH(cadangan[[#This Row],[ItemID C]],Katalog!$C$3:$C$12,0)),"-")</f>
        <v>-</v>
      </c>
      <c r="Z544" s="73">
        <f>IFERROR(INDEX(Katalog!$D$3:$D$12,MATCH(cadangan[[#This Row],[ItemID C]],Katalog!$C$3:$C$12,0))*cadangan[[#This Row],[Qty C]],0)</f>
        <v>0</v>
      </c>
      <c r="AA544" s="73">
        <f>IFERROR(cadangan[[#This Row],[Harga Normal C]]-(cadangan[[#This Row],[Harga Normal C]]*cadangan[[#This Row],[Diskon]]),cadangan[[#This Row],[Harga Normal C]])</f>
        <v>0</v>
      </c>
      <c r="AB544" s="73">
        <f>IFERROR(INDEX(Katalog!$F$3:$F$12,MATCH(cadangan[[#This Row],[ItemID C]],Katalog!$C$3:$C$12,0))*cadangan[[#This Row],[Qty C]],0)</f>
        <v>0</v>
      </c>
      <c r="AC544" s="73">
        <f>IFERROR(cadangan[[#This Row],[Harga Diskon C]]-INDEX(Katalog!$E$3:$E$12,MATCH(cadangan[[#This Row],[ItemID C]],Katalog!$C$3:$C$12,0))*cadangan[[#This Row],[Qty C]],0)</f>
        <v>0</v>
      </c>
      <c r="AD544" s="53">
        <f>cadangan[[#This Row],[Qty A]]+cadangan[[#This Row],[Qty B]]+cadangan[[#This Row],[Qty C]]</f>
        <v>2</v>
      </c>
      <c r="AE544" s="73">
        <f>cadangan[[#This Row],[Harga Normal A]]+cadangan[[#This Row],[Harga Normal B]]+cadangan[[#This Row],[Harga Normal C]]</f>
        <v>700000</v>
      </c>
      <c r="AF544" s="73">
        <f>cadangan[[#This Row],[Harga Diskon A]]+cadangan[[#This Row],[Harga Diskon B]]+cadangan[[#This Row],[Harga Diskon C]]</f>
        <v>595000</v>
      </c>
      <c r="AG544" s="73">
        <f>(cadangan[[#This Row],[Profit Normal A]]+cadangan[[#This Row],[Profit Normal B]]+cadangan[[#This Row],[Profit Normal C]])</f>
        <v>250000</v>
      </c>
      <c r="AH544" s="73">
        <f>cadangan[[#This Row],[Profit Diskon A]]+cadangan[[#This Row],[Profit Diskon B]]+cadangan[[#This Row],[Profit Diskon C]]</f>
        <v>145000</v>
      </c>
      <c r="AI544" s="23" t="s">
        <v>13</v>
      </c>
      <c r="AJ544" s="37">
        <f>IFERROR(INDEX('Kode Diskon'!$D$3:$D$9,MATCH(cadangan[[#This Row],[Kode diskon]],'Kode Diskon'!$C$3:$C$9,0)),"-")</f>
        <v>0.15</v>
      </c>
      <c r="AK544" s="23" t="s">
        <v>29</v>
      </c>
      <c r="AL544" s="23" t="s">
        <v>7</v>
      </c>
      <c r="AM544" s="23" t="s">
        <v>80</v>
      </c>
      <c r="AN544" s="55">
        <v>45017</v>
      </c>
      <c r="AO544" s="53">
        <f>DAY(cadangan[[#This Row],[Tanggal terjual]])</f>
        <v>1</v>
      </c>
      <c r="AP544" s="21" t="str">
        <f>TEXT(cadangan[[#This Row],[Tanggal terjual]],"dddd")</f>
        <v>Saturday</v>
      </c>
      <c r="AQ544" s="23" t="str" cm="1">
        <f t="array" ref="AQ5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4" s="61">
        <f>AVERAGE(cadangan[[#This Row],[Rating A]],cadangan[[#This Row],[Rating B]],cadangan[[#This Row],[Rating C]])</f>
        <v>3.5</v>
      </c>
    </row>
    <row r="545" spans="1:44" x14ac:dyDescent="0.2">
      <c r="A545" s="20">
        <v>544</v>
      </c>
      <c r="B545" s="21" t="str">
        <f>_xlfn.CONCAT("ORD-",INDEX(Helper!$B$2:$B$5,MATCH(cadangan[[#This Row],[Marketplace]],Helper!$A$2:$A$5,0)),TEXT(cadangan[[#This Row],[No]],"0000"),"-",TEXT(cadangan[[#This Row],[Tanggal terjual]],"dd/mm/yy"))</f>
        <v>ORD-BL0544-26/04/23</v>
      </c>
      <c r="C545" s="39" t="s">
        <v>63</v>
      </c>
      <c r="D545" s="39" t="str">
        <f>IFERROR(INDEX(Katalog!$A$3:$A$12,MATCH(cadangan[[#This Row],[ItemID A]],Katalog!$C$3:$C$12,0)),"-")</f>
        <v>Pakaian Pria</v>
      </c>
      <c r="E545" s="39" t="str">
        <f>IFERROR(INDEX(Katalog!$B$3:$B$12,MATCH(cadangan[[#This Row],[ItemID A]],Katalog!$C$3:$C$12,0)),"-")</f>
        <v>Jaket Jeans</v>
      </c>
      <c r="F545" s="50">
        <v>2</v>
      </c>
      <c r="G545" s="50">
        <v>2</v>
      </c>
      <c r="H545" s="73">
        <f>IFERROR(INDEX(Katalog!$D$3:$D$12,MATCH(cadangan[[#This Row],[ItemID A]],Katalog!$C$3:$C$12,0))*cadangan[[#This Row],[Qty A]],0)</f>
        <v>800000</v>
      </c>
      <c r="I545" s="73">
        <f>IFERROR(cadangan[[#This Row],[Harga Normal A]]-(cadangan[[#This Row],[Harga Normal A]]*cadangan[[#This Row],[Diskon]]),cadangan[[#This Row],[Harga Normal A]])</f>
        <v>680000</v>
      </c>
      <c r="J545" s="73">
        <f>INDEX(Katalog!$F$3:$F$12,MATCH(cadangan[[#This Row],[ItemID A]],Katalog!$C$3:$C$12,0))*cadangan[[#This Row],[Qty A]]</f>
        <v>300000</v>
      </c>
      <c r="K545" s="73">
        <f>IFERROR(cadangan[[#This Row],[Harga Diskon A]]-INDEX(Katalog!$E$3:$E$12,MATCH(cadangan[[#This Row],[ItemID A]],Katalog!$C$3:$C$12,0))*cadangan[[#This Row],[Qty A]],0)</f>
        <v>180000</v>
      </c>
      <c r="L545" s="39" t="s">
        <v>62</v>
      </c>
      <c r="M545" s="39" t="str">
        <f>IFERROR(INDEX(Katalog!$A$3:$A$12,MATCH(cadangan[[#This Row],[ItemID B]],Katalog!$C$3:$C$12,0)),"-")</f>
        <v>Pakaian Pria</v>
      </c>
      <c r="N545" s="39" t="str">
        <f>IFERROR(INDEX(Katalog!$B$3:$B$12,MATCH(cadangan[[#This Row],[ItemID B]],Katalog!$C$3:$C$12,0)),"-")</f>
        <v>Celana Pendek</v>
      </c>
      <c r="O545" s="50">
        <v>1</v>
      </c>
      <c r="P545" s="50">
        <v>3</v>
      </c>
      <c r="Q545" s="73">
        <f>IFERROR(INDEX(Katalog!$D$3:$D$12,MATCH(cadangan[[#This Row],[ItemID B]],Katalog!$C$3:$C$12,0))*cadangan[[#This Row],[Qty B]],0)</f>
        <v>180000</v>
      </c>
      <c r="R545" s="73">
        <f>IFERROR(cadangan[[#This Row],[Harga Normal B]]-(cadangan[[#This Row],[Harga Normal B]]*cadangan[[#This Row],[Diskon]]),cadangan[[#This Row],[Harga Normal B]])</f>
        <v>153000</v>
      </c>
      <c r="S545" s="73">
        <f>IFERROR(INDEX(Katalog!$F$3:$F$12,MATCH(cadangan[[#This Row],[ItemID B]],Katalog!$C$3:$C$12,0))*cadangan[[#This Row],[Qty B]],0)</f>
        <v>70000</v>
      </c>
      <c r="T545" s="73">
        <f>IFERROR(cadangan[[#This Row],[Harga Diskon B]]-INDEX(Katalog!$E$3:$E$12,MATCH(cadangan[[#This Row],[ItemID B]],Katalog!$C$3:$C$12,0))*cadangan[[#This Row],[Qty B]],0)</f>
        <v>43000</v>
      </c>
      <c r="V545" s="39" t="str">
        <f>IFERROR(INDEX(Katalog!$A$3:$A$12,MATCH(cadangan[[#This Row],[ItemID C]],Katalog!$C$3:$C$12,0)),"-")</f>
        <v>-</v>
      </c>
      <c r="W545" s="39" t="str">
        <f>IFERROR(INDEX(Katalog!$B$3:$B$12,MATCH(cadangan[[#This Row],[ItemID C]],Katalog!$C$3:$C$12,0)),"-")</f>
        <v>-</v>
      </c>
      <c r="Z545" s="73">
        <f>IFERROR(INDEX(Katalog!$D$3:$D$12,MATCH(cadangan[[#This Row],[ItemID C]],Katalog!$C$3:$C$12,0))*cadangan[[#This Row],[Qty C]],0)</f>
        <v>0</v>
      </c>
      <c r="AA545" s="73">
        <f>IFERROR(cadangan[[#This Row],[Harga Normal C]]-(cadangan[[#This Row],[Harga Normal C]]*cadangan[[#This Row],[Diskon]]),cadangan[[#This Row],[Harga Normal C]])</f>
        <v>0</v>
      </c>
      <c r="AB545" s="73">
        <f>IFERROR(INDEX(Katalog!$F$3:$F$12,MATCH(cadangan[[#This Row],[ItemID C]],Katalog!$C$3:$C$12,0))*cadangan[[#This Row],[Qty C]],0)</f>
        <v>0</v>
      </c>
      <c r="AC545" s="73">
        <f>IFERROR(cadangan[[#This Row],[Harga Diskon C]]-INDEX(Katalog!$E$3:$E$12,MATCH(cadangan[[#This Row],[ItemID C]],Katalog!$C$3:$C$12,0))*cadangan[[#This Row],[Qty C]],0)</f>
        <v>0</v>
      </c>
      <c r="AD545" s="53">
        <f>cadangan[[#This Row],[Qty A]]+cadangan[[#This Row],[Qty B]]+cadangan[[#This Row],[Qty C]]</f>
        <v>3</v>
      </c>
      <c r="AE545" s="73">
        <f>cadangan[[#This Row],[Harga Normal A]]+cadangan[[#This Row],[Harga Normal B]]+cadangan[[#This Row],[Harga Normal C]]</f>
        <v>980000</v>
      </c>
      <c r="AF545" s="73">
        <f>cadangan[[#This Row],[Harga Diskon A]]+cadangan[[#This Row],[Harga Diskon B]]+cadangan[[#This Row],[Harga Diskon C]]</f>
        <v>833000</v>
      </c>
      <c r="AG545" s="73">
        <f>(cadangan[[#This Row],[Profit Normal A]]+cadangan[[#This Row],[Profit Normal B]]+cadangan[[#This Row],[Profit Normal C]])</f>
        <v>370000</v>
      </c>
      <c r="AH545" s="73">
        <f>cadangan[[#This Row],[Profit Diskon A]]+cadangan[[#This Row],[Profit Diskon B]]+cadangan[[#This Row],[Profit Diskon C]]</f>
        <v>223000</v>
      </c>
      <c r="AI545" s="23" t="s">
        <v>32</v>
      </c>
      <c r="AJ545" s="37">
        <f>IFERROR(INDEX('Kode Diskon'!$D$3:$D$9,MATCH(cadangan[[#This Row],[Kode diskon]],'Kode Diskon'!$C$3:$C$9,0)),"-")</f>
        <v>0.15</v>
      </c>
      <c r="AK545" s="23" t="s">
        <v>9</v>
      </c>
      <c r="AL545" s="23" t="s">
        <v>12</v>
      </c>
      <c r="AM545" s="23" t="s">
        <v>75</v>
      </c>
      <c r="AN545" s="55">
        <v>45042</v>
      </c>
      <c r="AO545" s="53">
        <f>DAY(cadangan[[#This Row],[Tanggal terjual]])</f>
        <v>26</v>
      </c>
      <c r="AP545" s="21" t="str">
        <f>TEXT(cadangan[[#This Row],[Tanggal terjual]],"dddd")</f>
        <v>Wednesday</v>
      </c>
      <c r="AQ545" s="23" t="str" cm="1">
        <f t="array" ref="AQ5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45" s="61">
        <f>AVERAGE(cadangan[[#This Row],[Rating A]],cadangan[[#This Row],[Rating B]],cadangan[[#This Row],[Rating C]])</f>
        <v>2.5</v>
      </c>
    </row>
    <row r="546" spans="1:44" x14ac:dyDescent="0.2">
      <c r="A546" s="20">
        <v>545</v>
      </c>
      <c r="B546" s="21" t="str">
        <f>_xlfn.CONCAT("ORD-",INDEX(Helper!$B$2:$B$5,MATCH(cadangan[[#This Row],[Marketplace]],Helper!$A$2:$A$5,0)),TEXT(cadangan[[#This Row],[No]],"0000"),"-",TEXT(cadangan[[#This Row],[Tanggal terjual]],"dd/mm/yy"))</f>
        <v>ORD-TK0545-06/04/23</v>
      </c>
      <c r="C546" s="39" t="s">
        <v>60</v>
      </c>
      <c r="D546" s="39" t="str">
        <f>IFERROR(INDEX(Katalog!$A$3:$A$12,MATCH(cadangan[[#This Row],[ItemID A]],Katalog!$C$3:$C$12,0)),"-")</f>
        <v>Pakaian Wanita</v>
      </c>
      <c r="E546" s="39" t="str">
        <f>IFERROR(INDEX(Katalog!$B$3:$B$12,MATCH(cadangan[[#This Row],[ItemID A]],Katalog!$C$3:$C$12,0)),"-")</f>
        <v>Kaftan</v>
      </c>
      <c r="F546" s="50">
        <v>7</v>
      </c>
      <c r="G546" s="50">
        <v>3</v>
      </c>
      <c r="H546" s="73">
        <f>IFERROR(INDEX(Katalog!$D$3:$D$12,MATCH(cadangan[[#This Row],[ItemID A]],Katalog!$C$3:$C$12,0))*cadangan[[#This Row],[Qty A]],0)</f>
        <v>1750000</v>
      </c>
      <c r="I546" s="73">
        <f>IFERROR(cadangan[[#This Row],[Harga Normal A]]-(cadangan[[#This Row],[Harga Normal A]]*cadangan[[#This Row],[Diskon]]),cadangan[[#This Row],[Harga Normal A]])</f>
        <v>1575000</v>
      </c>
      <c r="J546" s="73">
        <f>INDEX(Katalog!$F$3:$F$12,MATCH(cadangan[[#This Row],[ItemID A]],Katalog!$C$3:$C$12,0))*cadangan[[#This Row],[Qty A]]</f>
        <v>700000</v>
      </c>
      <c r="K546" s="73">
        <f>IFERROR(cadangan[[#This Row],[Harga Diskon A]]-INDEX(Katalog!$E$3:$E$12,MATCH(cadangan[[#This Row],[ItemID A]],Katalog!$C$3:$C$12,0))*cadangan[[#This Row],[Qty A]],0)</f>
        <v>525000</v>
      </c>
      <c r="M546" s="39" t="str">
        <f>IFERROR(INDEX(Katalog!$A$3:$A$12,MATCH(cadangan[[#This Row],[ItemID B]],Katalog!$C$3:$C$12,0)),"-")</f>
        <v>-</v>
      </c>
      <c r="N546" s="39" t="str">
        <f>IFERROR(INDEX(Katalog!$B$3:$B$12,MATCH(cadangan[[#This Row],[ItemID B]],Katalog!$C$3:$C$12,0)),"-")</f>
        <v>-</v>
      </c>
      <c r="Q546" s="73">
        <f>IFERROR(INDEX(Katalog!$D$3:$D$12,MATCH(cadangan[[#This Row],[ItemID B]],Katalog!$C$3:$C$12,0))*cadangan[[#This Row],[Qty B]],0)</f>
        <v>0</v>
      </c>
      <c r="R546" s="73">
        <f>IFERROR(cadangan[[#This Row],[Harga Normal B]]-(cadangan[[#This Row],[Harga Normal B]]*cadangan[[#This Row],[Diskon]]),cadangan[[#This Row],[Harga Normal B]])</f>
        <v>0</v>
      </c>
      <c r="S546" s="73">
        <f>IFERROR(INDEX(Katalog!$F$3:$F$12,MATCH(cadangan[[#This Row],[ItemID B]],Katalog!$C$3:$C$12,0))*cadangan[[#This Row],[Qty B]],0)</f>
        <v>0</v>
      </c>
      <c r="T546" s="73">
        <f>IFERROR(cadangan[[#This Row],[Harga Diskon B]]-INDEX(Katalog!$E$3:$E$12,MATCH(cadangan[[#This Row],[ItemID B]],Katalog!$C$3:$C$12,0))*cadangan[[#This Row],[Qty B]],0)</f>
        <v>0</v>
      </c>
      <c r="V546" s="39" t="str">
        <f>IFERROR(INDEX(Katalog!$A$3:$A$12,MATCH(cadangan[[#This Row],[ItemID C]],Katalog!$C$3:$C$12,0)),"-")</f>
        <v>-</v>
      </c>
      <c r="W546" s="39" t="str">
        <f>IFERROR(INDEX(Katalog!$B$3:$B$12,MATCH(cadangan[[#This Row],[ItemID C]],Katalog!$C$3:$C$12,0)),"-")</f>
        <v>-</v>
      </c>
      <c r="Z546" s="73">
        <f>IFERROR(INDEX(Katalog!$D$3:$D$12,MATCH(cadangan[[#This Row],[ItemID C]],Katalog!$C$3:$C$12,0))*cadangan[[#This Row],[Qty C]],0)</f>
        <v>0</v>
      </c>
      <c r="AA546" s="73">
        <f>IFERROR(cadangan[[#This Row],[Harga Normal C]]-(cadangan[[#This Row],[Harga Normal C]]*cadangan[[#This Row],[Diskon]]),cadangan[[#This Row],[Harga Normal C]])</f>
        <v>0</v>
      </c>
      <c r="AB546" s="73">
        <f>IFERROR(INDEX(Katalog!$F$3:$F$12,MATCH(cadangan[[#This Row],[ItemID C]],Katalog!$C$3:$C$12,0))*cadangan[[#This Row],[Qty C]],0)</f>
        <v>0</v>
      </c>
      <c r="AC546" s="73">
        <f>IFERROR(cadangan[[#This Row],[Harga Diskon C]]-INDEX(Katalog!$E$3:$E$12,MATCH(cadangan[[#This Row],[ItemID C]],Katalog!$C$3:$C$12,0))*cadangan[[#This Row],[Qty C]],0)</f>
        <v>0</v>
      </c>
      <c r="AD546" s="53">
        <f>cadangan[[#This Row],[Qty A]]+cadangan[[#This Row],[Qty B]]+cadangan[[#This Row],[Qty C]]</f>
        <v>7</v>
      </c>
      <c r="AE546" s="73">
        <f>cadangan[[#This Row],[Harga Normal A]]+cadangan[[#This Row],[Harga Normal B]]+cadangan[[#This Row],[Harga Normal C]]</f>
        <v>1750000</v>
      </c>
      <c r="AF546" s="73">
        <f>cadangan[[#This Row],[Harga Diskon A]]+cadangan[[#This Row],[Harga Diskon B]]+cadangan[[#This Row],[Harga Diskon C]]</f>
        <v>1575000</v>
      </c>
      <c r="AG546" s="73">
        <f>(cadangan[[#This Row],[Profit Normal A]]+cadangan[[#This Row],[Profit Normal B]]+cadangan[[#This Row],[Profit Normal C]])</f>
        <v>700000</v>
      </c>
      <c r="AH546" s="73">
        <f>cadangan[[#This Row],[Profit Diskon A]]+cadangan[[#This Row],[Profit Diskon B]]+cadangan[[#This Row],[Profit Diskon C]]</f>
        <v>525000</v>
      </c>
      <c r="AI546" s="23" t="s">
        <v>30</v>
      </c>
      <c r="AJ546" s="37">
        <f>IFERROR(INDEX('Kode Diskon'!$D$3:$D$9,MATCH(cadangan[[#This Row],[Kode diskon]],'Kode Diskon'!$C$3:$C$9,0)),"-")</f>
        <v>0.1</v>
      </c>
      <c r="AK546" s="23" t="s">
        <v>29</v>
      </c>
      <c r="AL546" s="23" t="s">
        <v>10</v>
      </c>
      <c r="AM546" s="23" t="s">
        <v>80</v>
      </c>
      <c r="AN546" s="55">
        <v>45022</v>
      </c>
      <c r="AO546" s="53">
        <f>DAY(cadangan[[#This Row],[Tanggal terjual]])</f>
        <v>6</v>
      </c>
      <c r="AP546" s="21" t="str">
        <f>TEXT(cadangan[[#This Row],[Tanggal terjual]],"dddd")</f>
        <v>Thursday</v>
      </c>
      <c r="AQ546" s="23" t="str" cm="1">
        <f t="array" ref="AQ5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6" s="61">
        <f>AVERAGE(cadangan[[#This Row],[Rating A]],cadangan[[#This Row],[Rating B]],cadangan[[#This Row],[Rating C]])</f>
        <v>3</v>
      </c>
    </row>
    <row r="547" spans="1:44" x14ac:dyDescent="0.2">
      <c r="A547" s="20">
        <v>546</v>
      </c>
      <c r="B547" s="21" t="str">
        <f>_xlfn.CONCAT("ORD-",INDEX(Helper!$B$2:$B$5,MATCH(cadangan[[#This Row],[Marketplace]],Helper!$A$2:$A$5,0)),TEXT(cadangan[[#This Row],[No]],"0000"),"-",TEXT(cadangan[[#This Row],[Tanggal terjual]],"dd/mm/yy"))</f>
        <v>ORD-BL0546-14/04/23</v>
      </c>
      <c r="C547" s="39" t="s">
        <v>64</v>
      </c>
      <c r="D547" s="39" t="str">
        <f>IFERROR(INDEX(Katalog!$A$3:$A$12,MATCH(cadangan[[#This Row],[ItemID A]],Katalog!$C$3:$C$12,0)),"-")</f>
        <v>Pakaian Unisex</v>
      </c>
      <c r="E547" s="39" t="str">
        <f>IFERROR(INDEX(Katalog!$B$3:$B$12,MATCH(cadangan[[#This Row],[ItemID A]],Katalog!$C$3:$C$12,0)),"-")</f>
        <v>Jaket Hoodie</v>
      </c>
      <c r="F547" s="50">
        <v>1</v>
      </c>
      <c r="G547" s="50">
        <v>4</v>
      </c>
      <c r="H547" s="73">
        <f>IFERROR(INDEX(Katalog!$D$3:$D$12,MATCH(cadangan[[#This Row],[ItemID A]],Katalog!$C$3:$C$12,0))*cadangan[[#This Row],[Qty A]],0)</f>
        <v>350000</v>
      </c>
      <c r="I547" s="73">
        <f>IFERROR(cadangan[[#This Row],[Harga Normal A]]-(cadangan[[#This Row],[Harga Normal A]]*cadangan[[#This Row],[Diskon]]),cadangan[[#This Row],[Harga Normal A]])</f>
        <v>350000</v>
      </c>
      <c r="J547" s="73">
        <f>INDEX(Katalog!$F$3:$F$12,MATCH(cadangan[[#This Row],[ItemID A]],Katalog!$C$3:$C$12,0))*cadangan[[#This Row],[Qty A]]</f>
        <v>130000</v>
      </c>
      <c r="K547" s="73">
        <f>IFERROR(cadangan[[#This Row],[Harga Diskon A]]-INDEX(Katalog!$E$3:$E$12,MATCH(cadangan[[#This Row],[ItemID A]],Katalog!$C$3:$C$12,0))*cadangan[[#This Row],[Qty A]],0)</f>
        <v>130000</v>
      </c>
      <c r="L547" s="39" t="s">
        <v>62</v>
      </c>
      <c r="M547" s="39" t="str">
        <f>IFERROR(INDEX(Katalog!$A$3:$A$12,MATCH(cadangan[[#This Row],[ItemID B]],Katalog!$C$3:$C$12,0)),"-")</f>
        <v>Pakaian Pria</v>
      </c>
      <c r="N547" s="39" t="str">
        <f>IFERROR(INDEX(Katalog!$B$3:$B$12,MATCH(cadangan[[#This Row],[ItemID B]],Katalog!$C$3:$C$12,0)),"-")</f>
        <v>Celana Pendek</v>
      </c>
      <c r="O547" s="50">
        <v>2</v>
      </c>
      <c r="P547" s="50">
        <v>3</v>
      </c>
      <c r="Q547" s="73">
        <f>IFERROR(INDEX(Katalog!$D$3:$D$12,MATCH(cadangan[[#This Row],[ItemID B]],Katalog!$C$3:$C$12,0))*cadangan[[#This Row],[Qty B]],0)</f>
        <v>360000</v>
      </c>
      <c r="R547" s="73">
        <f>IFERROR(cadangan[[#This Row],[Harga Normal B]]-(cadangan[[#This Row],[Harga Normal B]]*cadangan[[#This Row],[Diskon]]),cadangan[[#This Row],[Harga Normal B]])</f>
        <v>360000</v>
      </c>
      <c r="S547" s="73">
        <f>IFERROR(INDEX(Katalog!$F$3:$F$12,MATCH(cadangan[[#This Row],[ItemID B]],Katalog!$C$3:$C$12,0))*cadangan[[#This Row],[Qty B]],0)</f>
        <v>140000</v>
      </c>
      <c r="T547" s="73">
        <f>IFERROR(cadangan[[#This Row],[Harga Diskon B]]-INDEX(Katalog!$E$3:$E$12,MATCH(cadangan[[#This Row],[ItemID B]],Katalog!$C$3:$C$12,0))*cadangan[[#This Row],[Qty B]],0)</f>
        <v>140000</v>
      </c>
      <c r="V547" s="39" t="str">
        <f>IFERROR(INDEX(Katalog!$A$3:$A$12,MATCH(cadangan[[#This Row],[ItemID C]],Katalog!$C$3:$C$12,0)),"-")</f>
        <v>-</v>
      </c>
      <c r="W547" s="39" t="str">
        <f>IFERROR(INDEX(Katalog!$B$3:$B$12,MATCH(cadangan[[#This Row],[ItemID C]],Katalog!$C$3:$C$12,0)),"-")</f>
        <v>-</v>
      </c>
      <c r="Z547" s="73">
        <f>IFERROR(INDEX(Katalog!$D$3:$D$12,MATCH(cadangan[[#This Row],[ItemID C]],Katalog!$C$3:$C$12,0))*cadangan[[#This Row],[Qty C]],0)</f>
        <v>0</v>
      </c>
      <c r="AA547" s="73">
        <f>IFERROR(cadangan[[#This Row],[Harga Normal C]]-(cadangan[[#This Row],[Harga Normal C]]*cadangan[[#This Row],[Diskon]]),cadangan[[#This Row],[Harga Normal C]])</f>
        <v>0</v>
      </c>
      <c r="AB547" s="73">
        <f>IFERROR(INDEX(Katalog!$F$3:$F$12,MATCH(cadangan[[#This Row],[ItemID C]],Katalog!$C$3:$C$12,0))*cadangan[[#This Row],[Qty C]],0)</f>
        <v>0</v>
      </c>
      <c r="AC547" s="73">
        <f>IFERROR(cadangan[[#This Row],[Harga Diskon C]]-INDEX(Katalog!$E$3:$E$12,MATCH(cadangan[[#This Row],[ItemID C]],Katalog!$C$3:$C$12,0))*cadangan[[#This Row],[Qty C]],0)</f>
        <v>0</v>
      </c>
      <c r="AD547" s="53">
        <f>cadangan[[#This Row],[Qty A]]+cadangan[[#This Row],[Qty B]]+cadangan[[#This Row],[Qty C]]</f>
        <v>3</v>
      </c>
      <c r="AE547" s="73">
        <f>cadangan[[#This Row],[Harga Normal A]]+cadangan[[#This Row],[Harga Normal B]]+cadangan[[#This Row],[Harga Normal C]]</f>
        <v>710000</v>
      </c>
      <c r="AF547" s="73">
        <f>cadangan[[#This Row],[Harga Diskon A]]+cadangan[[#This Row],[Harga Diskon B]]+cadangan[[#This Row],[Harga Diskon C]]</f>
        <v>710000</v>
      </c>
      <c r="AG547" s="73">
        <f>(cadangan[[#This Row],[Profit Normal A]]+cadangan[[#This Row],[Profit Normal B]]+cadangan[[#This Row],[Profit Normal C]])</f>
        <v>270000</v>
      </c>
      <c r="AH547" s="73">
        <f>cadangan[[#This Row],[Profit Diskon A]]+cadangan[[#This Row],[Profit Diskon B]]+cadangan[[#This Row],[Profit Diskon C]]</f>
        <v>270000</v>
      </c>
      <c r="AI547" s="23" t="s">
        <v>290</v>
      </c>
      <c r="AJ547" s="37" t="str">
        <f>IFERROR(INDEX('Kode Diskon'!$D$3:$D$9,MATCH(cadangan[[#This Row],[Kode diskon]],'Kode Diskon'!$C$3:$C$9,0)),"-")</f>
        <v>-</v>
      </c>
      <c r="AK547" s="23" t="s">
        <v>290</v>
      </c>
      <c r="AL547" s="23" t="s">
        <v>12</v>
      </c>
      <c r="AM547" s="23" t="s">
        <v>76</v>
      </c>
      <c r="AN547" s="55">
        <v>45030</v>
      </c>
      <c r="AO547" s="53">
        <f>DAY(cadangan[[#This Row],[Tanggal terjual]])</f>
        <v>14</v>
      </c>
      <c r="AP547" s="21" t="str">
        <f>TEXT(cadangan[[#This Row],[Tanggal terjual]],"dddd")</f>
        <v>Friday</v>
      </c>
      <c r="AQ547" s="23" t="str" cm="1">
        <f t="array" ref="AQ5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547" s="61">
        <f>AVERAGE(cadangan[[#This Row],[Rating A]],cadangan[[#This Row],[Rating B]],cadangan[[#This Row],[Rating C]])</f>
        <v>3.5</v>
      </c>
    </row>
    <row r="548" spans="1:44" x14ac:dyDescent="0.2">
      <c r="A548" s="20">
        <v>547</v>
      </c>
      <c r="B548" s="21" t="str">
        <f>_xlfn.CONCAT("ORD-",INDEX(Helper!$B$2:$B$5,MATCH(cadangan[[#This Row],[Marketplace]],Helper!$A$2:$A$5,0)),TEXT(cadangan[[#This Row],[No]],"0000"),"-",TEXT(cadangan[[#This Row],[Tanggal terjual]],"dd/mm/yy"))</f>
        <v>ORD-BL0547-18/04/23</v>
      </c>
      <c r="C548" s="39" t="s">
        <v>60</v>
      </c>
      <c r="D548" s="39" t="str">
        <f>IFERROR(INDEX(Katalog!$A$3:$A$12,MATCH(cadangan[[#This Row],[ItemID A]],Katalog!$C$3:$C$12,0)),"-")</f>
        <v>Pakaian Wanita</v>
      </c>
      <c r="E548" s="39" t="str">
        <f>IFERROR(INDEX(Katalog!$B$3:$B$12,MATCH(cadangan[[#This Row],[ItemID A]],Katalog!$C$3:$C$12,0)),"-")</f>
        <v>Kaftan</v>
      </c>
      <c r="F548" s="50">
        <v>1</v>
      </c>
      <c r="G548" s="50">
        <v>1</v>
      </c>
      <c r="H548" s="73">
        <f>IFERROR(INDEX(Katalog!$D$3:$D$12,MATCH(cadangan[[#This Row],[ItemID A]],Katalog!$C$3:$C$12,0))*cadangan[[#This Row],[Qty A]],0)</f>
        <v>250000</v>
      </c>
      <c r="I548" s="73">
        <f>IFERROR(cadangan[[#This Row],[Harga Normal A]]-(cadangan[[#This Row],[Harga Normal A]]*cadangan[[#This Row],[Diskon]]),cadangan[[#This Row],[Harga Normal A]])</f>
        <v>212500</v>
      </c>
      <c r="J548" s="73">
        <f>INDEX(Katalog!$F$3:$F$12,MATCH(cadangan[[#This Row],[ItemID A]],Katalog!$C$3:$C$12,0))*cadangan[[#This Row],[Qty A]]</f>
        <v>100000</v>
      </c>
      <c r="K548" s="73">
        <f>IFERROR(cadangan[[#This Row],[Harga Diskon A]]-INDEX(Katalog!$E$3:$E$12,MATCH(cadangan[[#This Row],[ItemID A]],Katalog!$C$3:$C$12,0))*cadangan[[#This Row],[Qty A]],0)</f>
        <v>62500</v>
      </c>
      <c r="L548" s="39" t="s">
        <v>66</v>
      </c>
      <c r="M548" s="39" t="str">
        <f>IFERROR(INDEX(Katalog!$A$3:$A$12,MATCH(cadangan[[#This Row],[ItemID B]],Katalog!$C$3:$C$12,0)),"-")</f>
        <v>Sepatu Pria</v>
      </c>
      <c r="N548" s="39" t="str">
        <f>IFERROR(INDEX(Katalog!$B$3:$B$12,MATCH(cadangan[[#This Row],[ItemID B]],Katalog!$C$3:$C$12,0)),"-")</f>
        <v>Sandal Slip On</v>
      </c>
      <c r="O548" s="50">
        <v>1</v>
      </c>
      <c r="P548" s="50">
        <v>1</v>
      </c>
      <c r="Q548" s="73">
        <f>IFERROR(INDEX(Katalog!$D$3:$D$12,MATCH(cadangan[[#This Row],[ItemID B]],Katalog!$C$3:$C$12,0))*cadangan[[#This Row],[Qty B]],0)</f>
        <v>150000</v>
      </c>
      <c r="R548" s="73">
        <f>IFERROR(cadangan[[#This Row],[Harga Normal B]]-(cadangan[[#This Row],[Harga Normal B]]*cadangan[[#This Row],[Diskon]]),cadangan[[#This Row],[Harga Normal B]])</f>
        <v>127500</v>
      </c>
      <c r="S548" s="73">
        <f>IFERROR(INDEX(Katalog!$F$3:$F$12,MATCH(cadangan[[#This Row],[ItemID B]],Katalog!$C$3:$C$12,0))*cadangan[[#This Row],[Qty B]],0)</f>
        <v>60000</v>
      </c>
      <c r="T548" s="73">
        <f>IFERROR(cadangan[[#This Row],[Harga Diskon B]]-INDEX(Katalog!$E$3:$E$12,MATCH(cadangan[[#This Row],[ItemID B]],Katalog!$C$3:$C$12,0))*cadangan[[#This Row],[Qty B]],0)</f>
        <v>37500</v>
      </c>
      <c r="U548" s="39" t="s">
        <v>62</v>
      </c>
      <c r="V548" s="39" t="str">
        <f>IFERROR(INDEX(Katalog!$A$3:$A$12,MATCH(cadangan[[#This Row],[ItemID C]],Katalog!$C$3:$C$12,0)),"-")</f>
        <v>Pakaian Pria</v>
      </c>
      <c r="W548" s="39" t="str">
        <f>IFERROR(INDEX(Katalog!$B$3:$B$12,MATCH(cadangan[[#This Row],[ItemID C]],Katalog!$C$3:$C$12,0)),"-")</f>
        <v>Celana Pendek</v>
      </c>
      <c r="X548" s="50">
        <v>1</v>
      </c>
      <c r="Y548" s="50">
        <v>1</v>
      </c>
      <c r="Z548" s="73">
        <f>IFERROR(INDEX(Katalog!$D$3:$D$12,MATCH(cadangan[[#This Row],[ItemID C]],Katalog!$C$3:$C$12,0))*cadangan[[#This Row],[Qty C]],0)</f>
        <v>180000</v>
      </c>
      <c r="AA548" s="73">
        <f>IFERROR(cadangan[[#This Row],[Harga Normal C]]-(cadangan[[#This Row],[Harga Normal C]]*cadangan[[#This Row],[Diskon]]),cadangan[[#This Row],[Harga Normal C]])</f>
        <v>153000</v>
      </c>
      <c r="AB548" s="73">
        <f>IFERROR(INDEX(Katalog!$F$3:$F$12,MATCH(cadangan[[#This Row],[ItemID C]],Katalog!$C$3:$C$12,0))*cadangan[[#This Row],[Qty C]],0)</f>
        <v>70000</v>
      </c>
      <c r="AC548" s="73">
        <f>IFERROR(cadangan[[#This Row],[Harga Diskon C]]-INDEX(Katalog!$E$3:$E$12,MATCH(cadangan[[#This Row],[ItemID C]],Katalog!$C$3:$C$12,0))*cadangan[[#This Row],[Qty C]],0)</f>
        <v>43000</v>
      </c>
      <c r="AD548" s="53">
        <f>cadangan[[#This Row],[Qty A]]+cadangan[[#This Row],[Qty B]]+cadangan[[#This Row],[Qty C]]</f>
        <v>3</v>
      </c>
      <c r="AE548" s="73">
        <f>cadangan[[#This Row],[Harga Normal A]]+cadangan[[#This Row],[Harga Normal B]]+cadangan[[#This Row],[Harga Normal C]]</f>
        <v>580000</v>
      </c>
      <c r="AF548" s="73">
        <f>cadangan[[#This Row],[Harga Diskon A]]+cadangan[[#This Row],[Harga Diskon B]]+cadangan[[#This Row],[Harga Diskon C]]</f>
        <v>493000</v>
      </c>
      <c r="AG548" s="73">
        <f>(cadangan[[#This Row],[Profit Normal A]]+cadangan[[#This Row],[Profit Normal B]]+cadangan[[#This Row],[Profit Normal C]])</f>
        <v>230000</v>
      </c>
      <c r="AH548" s="73">
        <f>cadangan[[#This Row],[Profit Diskon A]]+cadangan[[#This Row],[Profit Diskon B]]+cadangan[[#This Row],[Profit Diskon C]]</f>
        <v>143000</v>
      </c>
      <c r="AI548" s="23" t="s">
        <v>32</v>
      </c>
      <c r="AJ548" s="37">
        <f>IFERROR(INDEX('Kode Diskon'!$D$3:$D$9,MATCH(cadangan[[#This Row],[Kode diskon]],'Kode Diskon'!$C$3:$C$9,0)),"-")</f>
        <v>0.15</v>
      </c>
      <c r="AK548" s="23" t="s">
        <v>9</v>
      </c>
      <c r="AL548" s="23" t="s">
        <v>12</v>
      </c>
      <c r="AM548" s="23" t="s">
        <v>75</v>
      </c>
      <c r="AN548" s="55">
        <v>45034</v>
      </c>
      <c r="AO548" s="53">
        <f>DAY(cadangan[[#This Row],[Tanggal terjual]])</f>
        <v>18</v>
      </c>
      <c r="AP548" s="21" t="str">
        <f>TEXT(cadangan[[#This Row],[Tanggal terjual]],"dddd")</f>
        <v>Tuesday</v>
      </c>
      <c r="AQ548" s="23" t="str" cm="1">
        <f t="array" ref="AQ5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48" s="61">
        <f>AVERAGE(cadangan[[#This Row],[Rating A]],cadangan[[#This Row],[Rating B]],cadangan[[#This Row],[Rating C]])</f>
        <v>1</v>
      </c>
    </row>
    <row r="549" spans="1:44" x14ac:dyDescent="0.2">
      <c r="A549" s="20">
        <v>548</v>
      </c>
      <c r="B549" s="21" t="str">
        <f>_xlfn.CONCAT("ORD-",INDEX(Helper!$B$2:$B$5,MATCH(cadangan[[#This Row],[Marketplace]],Helper!$A$2:$A$5,0)),TEXT(cadangan[[#This Row],[No]],"0000"),"-",TEXT(cadangan[[#This Row],[Tanggal terjual]],"dd/mm/yy"))</f>
        <v>ORD-TK0548-05/04/23</v>
      </c>
      <c r="C549" s="39" t="s">
        <v>64</v>
      </c>
      <c r="D549" s="39" t="str">
        <f>IFERROR(INDEX(Katalog!$A$3:$A$12,MATCH(cadangan[[#This Row],[ItemID A]],Katalog!$C$3:$C$12,0)),"-")</f>
        <v>Pakaian Unisex</v>
      </c>
      <c r="E549" s="39" t="str">
        <f>IFERROR(INDEX(Katalog!$B$3:$B$12,MATCH(cadangan[[#This Row],[ItemID A]],Katalog!$C$3:$C$12,0)),"-")</f>
        <v>Jaket Hoodie</v>
      </c>
      <c r="F549" s="50">
        <v>6</v>
      </c>
      <c r="G549" s="50">
        <v>3</v>
      </c>
      <c r="H549" s="73">
        <f>IFERROR(INDEX(Katalog!$D$3:$D$12,MATCH(cadangan[[#This Row],[ItemID A]],Katalog!$C$3:$C$12,0))*cadangan[[#This Row],[Qty A]],0)</f>
        <v>2100000</v>
      </c>
      <c r="I549" s="73">
        <f>IFERROR(cadangan[[#This Row],[Harga Normal A]]-(cadangan[[#This Row],[Harga Normal A]]*cadangan[[#This Row],[Diskon]]),cadangan[[#This Row],[Harga Normal A]])</f>
        <v>1890000</v>
      </c>
      <c r="J549" s="73">
        <f>INDEX(Katalog!$F$3:$F$12,MATCH(cadangan[[#This Row],[ItemID A]],Katalog!$C$3:$C$12,0))*cadangan[[#This Row],[Qty A]]</f>
        <v>780000</v>
      </c>
      <c r="K549" s="73">
        <f>IFERROR(cadangan[[#This Row],[Harga Diskon A]]-INDEX(Katalog!$E$3:$E$12,MATCH(cadangan[[#This Row],[ItemID A]],Katalog!$C$3:$C$12,0))*cadangan[[#This Row],[Qty A]],0)</f>
        <v>570000</v>
      </c>
      <c r="M549" s="39" t="str">
        <f>IFERROR(INDEX(Katalog!$A$3:$A$12,MATCH(cadangan[[#This Row],[ItemID B]],Katalog!$C$3:$C$12,0)),"-")</f>
        <v>-</v>
      </c>
      <c r="N549" s="39" t="str">
        <f>IFERROR(INDEX(Katalog!$B$3:$B$12,MATCH(cadangan[[#This Row],[ItemID B]],Katalog!$C$3:$C$12,0)),"-")</f>
        <v>-</v>
      </c>
      <c r="Q549" s="73">
        <f>IFERROR(INDEX(Katalog!$D$3:$D$12,MATCH(cadangan[[#This Row],[ItemID B]],Katalog!$C$3:$C$12,0))*cadangan[[#This Row],[Qty B]],0)</f>
        <v>0</v>
      </c>
      <c r="R549" s="73">
        <f>IFERROR(cadangan[[#This Row],[Harga Normal B]]-(cadangan[[#This Row],[Harga Normal B]]*cadangan[[#This Row],[Diskon]]),cadangan[[#This Row],[Harga Normal B]])</f>
        <v>0</v>
      </c>
      <c r="S549" s="73">
        <f>IFERROR(INDEX(Katalog!$F$3:$F$12,MATCH(cadangan[[#This Row],[ItemID B]],Katalog!$C$3:$C$12,0))*cadangan[[#This Row],[Qty B]],0)</f>
        <v>0</v>
      </c>
      <c r="T549" s="73">
        <f>IFERROR(cadangan[[#This Row],[Harga Diskon B]]-INDEX(Katalog!$E$3:$E$12,MATCH(cadangan[[#This Row],[ItemID B]],Katalog!$C$3:$C$12,0))*cadangan[[#This Row],[Qty B]],0)</f>
        <v>0</v>
      </c>
      <c r="V549" s="39" t="str">
        <f>IFERROR(INDEX(Katalog!$A$3:$A$12,MATCH(cadangan[[#This Row],[ItemID C]],Katalog!$C$3:$C$12,0)),"-")</f>
        <v>-</v>
      </c>
      <c r="W549" s="39" t="str">
        <f>IFERROR(INDEX(Katalog!$B$3:$B$12,MATCH(cadangan[[#This Row],[ItemID C]],Katalog!$C$3:$C$12,0)),"-")</f>
        <v>-</v>
      </c>
      <c r="Z549" s="73">
        <f>IFERROR(INDEX(Katalog!$D$3:$D$12,MATCH(cadangan[[#This Row],[ItemID C]],Katalog!$C$3:$C$12,0))*cadangan[[#This Row],[Qty C]],0)</f>
        <v>0</v>
      </c>
      <c r="AA549" s="73">
        <f>IFERROR(cadangan[[#This Row],[Harga Normal C]]-(cadangan[[#This Row],[Harga Normal C]]*cadangan[[#This Row],[Diskon]]),cadangan[[#This Row],[Harga Normal C]])</f>
        <v>0</v>
      </c>
      <c r="AB549" s="73">
        <f>IFERROR(INDEX(Katalog!$F$3:$F$12,MATCH(cadangan[[#This Row],[ItemID C]],Katalog!$C$3:$C$12,0))*cadangan[[#This Row],[Qty C]],0)</f>
        <v>0</v>
      </c>
      <c r="AC549" s="73">
        <f>IFERROR(cadangan[[#This Row],[Harga Diskon C]]-INDEX(Katalog!$E$3:$E$12,MATCH(cadangan[[#This Row],[ItemID C]],Katalog!$C$3:$C$12,0))*cadangan[[#This Row],[Qty C]],0)</f>
        <v>0</v>
      </c>
      <c r="AD549" s="53">
        <f>cadangan[[#This Row],[Qty A]]+cadangan[[#This Row],[Qty B]]+cadangan[[#This Row],[Qty C]]</f>
        <v>6</v>
      </c>
      <c r="AE549" s="73">
        <f>cadangan[[#This Row],[Harga Normal A]]+cadangan[[#This Row],[Harga Normal B]]+cadangan[[#This Row],[Harga Normal C]]</f>
        <v>2100000</v>
      </c>
      <c r="AF549" s="73">
        <f>cadangan[[#This Row],[Harga Diskon A]]+cadangan[[#This Row],[Harga Diskon B]]+cadangan[[#This Row],[Harga Diskon C]]</f>
        <v>1890000</v>
      </c>
      <c r="AG549" s="73">
        <f>(cadangan[[#This Row],[Profit Normal A]]+cadangan[[#This Row],[Profit Normal B]]+cadangan[[#This Row],[Profit Normal C]])</f>
        <v>780000</v>
      </c>
      <c r="AH549" s="73">
        <f>cadangan[[#This Row],[Profit Diskon A]]+cadangan[[#This Row],[Profit Diskon B]]+cadangan[[#This Row],[Profit Diskon C]]</f>
        <v>570000</v>
      </c>
      <c r="AI549" s="23" t="s">
        <v>30</v>
      </c>
      <c r="AJ549" s="37">
        <f>IFERROR(INDEX('Kode Diskon'!$D$3:$D$9,MATCH(cadangan[[#This Row],[Kode diskon]],'Kode Diskon'!$C$3:$C$9,0)),"-")</f>
        <v>0.1</v>
      </c>
      <c r="AK549" s="23" t="s">
        <v>29</v>
      </c>
      <c r="AL549" s="23" t="s">
        <v>10</v>
      </c>
      <c r="AM549" s="23" t="s">
        <v>75</v>
      </c>
      <c r="AN549" s="55">
        <v>45021</v>
      </c>
      <c r="AO549" s="53">
        <f>DAY(cadangan[[#This Row],[Tanggal terjual]])</f>
        <v>5</v>
      </c>
      <c r="AP549" s="21" t="str">
        <f>TEXT(cadangan[[#This Row],[Tanggal terjual]],"dddd")</f>
        <v>Wednesday</v>
      </c>
      <c r="AQ549" s="23" t="str" cm="1">
        <f t="array" ref="AQ5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49" s="61">
        <f>AVERAGE(cadangan[[#This Row],[Rating A]],cadangan[[#This Row],[Rating B]],cadangan[[#This Row],[Rating C]])</f>
        <v>3</v>
      </c>
    </row>
    <row r="550" spans="1:44" x14ac:dyDescent="0.2">
      <c r="A550" s="20">
        <v>549</v>
      </c>
      <c r="B550" s="21" t="str">
        <f>_xlfn.CONCAT("ORD-",INDEX(Helper!$B$2:$B$5,MATCH(cadangan[[#This Row],[Marketplace]],Helper!$A$2:$A$5,0)),TEXT(cadangan[[#This Row],[No]],"0000"),"-",TEXT(cadangan[[#This Row],[Tanggal terjual]],"dd/mm/yy"))</f>
        <v>ORD-SP0549-02/04/23</v>
      </c>
      <c r="C550" s="39" t="s">
        <v>59</v>
      </c>
      <c r="D550" s="39" t="str">
        <f>IFERROR(INDEX(Katalog!$A$3:$A$12,MATCH(cadangan[[#This Row],[ItemID A]],Katalog!$C$3:$C$12,0)),"-")</f>
        <v>Pakaian Wanita</v>
      </c>
      <c r="E550" s="39" t="str">
        <f>IFERROR(INDEX(Katalog!$B$3:$B$12,MATCH(cadangan[[#This Row],[ItemID A]],Katalog!$C$3:$C$12,0)),"-")</f>
        <v>Blouse</v>
      </c>
      <c r="F550" s="50">
        <v>3</v>
      </c>
      <c r="G550" s="50">
        <v>1</v>
      </c>
      <c r="H550" s="73">
        <f>IFERROR(INDEX(Katalog!$D$3:$D$12,MATCH(cadangan[[#This Row],[ItemID A]],Katalog!$C$3:$C$12,0))*cadangan[[#This Row],[Qty A]],0)</f>
        <v>450000</v>
      </c>
      <c r="I550" s="73">
        <f>IFERROR(cadangan[[#This Row],[Harga Normal A]]-(cadangan[[#This Row],[Harga Normal A]]*cadangan[[#This Row],[Diskon]]),cadangan[[#This Row],[Harga Normal A]])</f>
        <v>382500</v>
      </c>
      <c r="J550" s="73">
        <f>INDEX(Katalog!$F$3:$F$12,MATCH(cadangan[[#This Row],[ItemID A]],Katalog!$C$3:$C$12,0))*cadangan[[#This Row],[Qty A]]</f>
        <v>150000</v>
      </c>
      <c r="K550" s="73">
        <f>IFERROR(cadangan[[#This Row],[Harga Diskon A]]-INDEX(Katalog!$E$3:$E$12,MATCH(cadangan[[#This Row],[ItemID A]],Katalog!$C$3:$C$12,0))*cadangan[[#This Row],[Qty A]],0)</f>
        <v>82500</v>
      </c>
      <c r="L550" s="39" t="s">
        <v>63</v>
      </c>
      <c r="M550" s="39" t="str">
        <f>IFERROR(INDEX(Katalog!$A$3:$A$12,MATCH(cadangan[[#This Row],[ItemID B]],Katalog!$C$3:$C$12,0)),"-")</f>
        <v>Pakaian Pria</v>
      </c>
      <c r="N550" s="39" t="str">
        <f>IFERROR(INDEX(Katalog!$B$3:$B$12,MATCH(cadangan[[#This Row],[ItemID B]],Katalog!$C$3:$C$12,0)),"-")</f>
        <v>Jaket Jeans</v>
      </c>
      <c r="O550" s="50">
        <v>2</v>
      </c>
      <c r="P550" s="50">
        <v>5</v>
      </c>
      <c r="Q550" s="73">
        <f>IFERROR(INDEX(Katalog!$D$3:$D$12,MATCH(cadangan[[#This Row],[ItemID B]],Katalog!$C$3:$C$12,0))*cadangan[[#This Row],[Qty B]],0)</f>
        <v>800000</v>
      </c>
      <c r="R550" s="73">
        <f>IFERROR(cadangan[[#This Row],[Harga Normal B]]-(cadangan[[#This Row],[Harga Normal B]]*cadangan[[#This Row],[Diskon]]),cadangan[[#This Row],[Harga Normal B]])</f>
        <v>680000</v>
      </c>
      <c r="S550" s="73">
        <f>IFERROR(INDEX(Katalog!$F$3:$F$12,MATCH(cadangan[[#This Row],[ItemID B]],Katalog!$C$3:$C$12,0))*cadangan[[#This Row],[Qty B]],0)</f>
        <v>300000</v>
      </c>
      <c r="T550" s="73">
        <f>IFERROR(cadangan[[#This Row],[Harga Diskon B]]-INDEX(Katalog!$E$3:$E$12,MATCH(cadangan[[#This Row],[ItemID B]],Katalog!$C$3:$C$12,0))*cadangan[[#This Row],[Qty B]],0)</f>
        <v>180000</v>
      </c>
      <c r="V550" s="39" t="str">
        <f>IFERROR(INDEX(Katalog!$A$3:$A$12,MATCH(cadangan[[#This Row],[ItemID C]],Katalog!$C$3:$C$12,0)),"-")</f>
        <v>-</v>
      </c>
      <c r="W550" s="39" t="str">
        <f>IFERROR(INDEX(Katalog!$B$3:$B$12,MATCH(cadangan[[#This Row],[ItemID C]],Katalog!$C$3:$C$12,0)),"-")</f>
        <v>-</v>
      </c>
      <c r="Z550" s="73">
        <f>IFERROR(INDEX(Katalog!$D$3:$D$12,MATCH(cadangan[[#This Row],[ItemID C]],Katalog!$C$3:$C$12,0))*cadangan[[#This Row],[Qty C]],0)</f>
        <v>0</v>
      </c>
      <c r="AA550" s="73">
        <f>IFERROR(cadangan[[#This Row],[Harga Normal C]]-(cadangan[[#This Row],[Harga Normal C]]*cadangan[[#This Row],[Diskon]]),cadangan[[#This Row],[Harga Normal C]])</f>
        <v>0</v>
      </c>
      <c r="AB550" s="73">
        <f>IFERROR(INDEX(Katalog!$F$3:$F$12,MATCH(cadangan[[#This Row],[ItemID C]],Katalog!$C$3:$C$12,0))*cadangan[[#This Row],[Qty C]],0)</f>
        <v>0</v>
      </c>
      <c r="AC550" s="73">
        <f>IFERROR(cadangan[[#This Row],[Harga Diskon C]]-INDEX(Katalog!$E$3:$E$12,MATCH(cadangan[[#This Row],[ItemID C]],Katalog!$C$3:$C$12,0))*cadangan[[#This Row],[Qty C]],0)</f>
        <v>0</v>
      </c>
      <c r="AD550" s="53">
        <f>cadangan[[#This Row],[Qty A]]+cadangan[[#This Row],[Qty B]]+cadangan[[#This Row],[Qty C]]</f>
        <v>5</v>
      </c>
      <c r="AE550" s="73">
        <f>cadangan[[#This Row],[Harga Normal A]]+cadangan[[#This Row],[Harga Normal B]]+cadangan[[#This Row],[Harga Normal C]]</f>
        <v>1250000</v>
      </c>
      <c r="AF550" s="73">
        <f>cadangan[[#This Row],[Harga Diskon A]]+cadangan[[#This Row],[Harga Diskon B]]+cadangan[[#This Row],[Harga Diskon C]]</f>
        <v>1062500</v>
      </c>
      <c r="AG550" s="73">
        <f>(cadangan[[#This Row],[Profit Normal A]]+cadangan[[#This Row],[Profit Normal B]]+cadangan[[#This Row],[Profit Normal C]])</f>
        <v>450000</v>
      </c>
      <c r="AH550" s="73">
        <f>cadangan[[#This Row],[Profit Diskon A]]+cadangan[[#This Row],[Profit Diskon B]]+cadangan[[#This Row],[Profit Diskon C]]</f>
        <v>262500</v>
      </c>
      <c r="AI550" s="23" t="s">
        <v>13</v>
      </c>
      <c r="AJ550" s="37">
        <f>IFERROR(INDEX('Kode Diskon'!$D$3:$D$9,MATCH(cadangan[[#This Row],[Kode diskon]],'Kode Diskon'!$C$3:$C$9,0)),"-")</f>
        <v>0.15</v>
      </c>
      <c r="AK550" s="23" t="s">
        <v>29</v>
      </c>
      <c r="AL550" s="23" t="s">
        <v>7</v>
      </c>
      <c r="AM550" s="23" t="s">
        <v>80</v>
      </c>
      <c r="AN550" s="55">
        <v>45018</v>
      </c>
      <c r="AO550" s="53">
        <f>DAY(cadangan[[#This Row],[Tanggal terjual]])</f>
        <v>2</v>
      </c>
      <c r="AP550" s="21" t="str">
        <f>TEXT(cadangan[[#This Row],[Tanggal terjual]],"dddd")</f>
        <v>Sunday</v>
      </c>
      <c r="AQ550" s="23" t="str" cm="1">
        <f t="array" ref="AQ5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0" s="61">
        <f>AVERAGE(cadangan[[#This Row],[Rating A]],cadangan[[#This Row],[Rating B]],cadangan[[#This Row],[Rating C]])</f>
        <v>3</v>
      </c>
    </row>
    <row r="551" spans="1:44" x14ac:dyDescent="0.2">
      <c r="A551" s="20">
        <v>550</v>
      </c>
      <c r="B551" s="21" t="str">
        <f>_xlfn.CONCAT("ORD-",INDEX(Helper!$B$2:$B$5,MATCH(cadangan[[#This Row],[Marketplace]],Helper!$A$2:$A$5,0)),TEXT(cadangan[[#This Row],[No]],"0000"),"-",TEXT(cadangan[[#This Row],[Tanggal terjual]],"dd/mm/yy"))</f>
        <v>ORD-SP0550-04/04/23</v>
      </c>
      <c r="C551" s="39" t="s">
        <v>61</v>
      </c>
      <c r="D551" s="39" t="str">
        <f>IFERROR(INDEX(Katalog!$A$3:$A$12,MATCH(cadangan[[#This Row],[ItemID A]],Katalog!$C$3:$C$12,0)),"-")</f>
        <v>Pakaian Pria</v>
      </c>
      <c r="E551" s="39" t="str">
        <f>IFERROR(INDEX(Katalog!$B$3:$B$12,MATCH(cadangan[[#This Row],[ItemID A]],Katalog!$C$3:$C$12,0)),"-")</f>
        <v>Kaos Polo</v>
      </c>
      <c r="F551" s="50">
        <v>1</v>
      </c>
      <c r="G551" s="50">
        <v>1</v>
      </c>
      <c r="H551" s="73">
        <f>IFERROR(INDEX(Katalog!$D$3:$D$12,MATCH(cadangan[[#This Row],[ItemID A]],Katalog!$C$3:$C$12,0))*cadangan[[#This Row],[Qty A]],0)</f>
        <v>200000</v>
      </c>
      <c r="I551" s="73">
        <f>IFERROR(cadangan[[#This Row],[Harga Normal A]]-(cadangan[[#This Row],[Harga Normal A]]*cadangan[[#This Row],[Diskon]]),cadangan[[#This Row],[Harga Normal A]])</f>
        <v>170000</v>
      </c>
      <c r="J551" s="73">
        <f>INDEX(Katalog!$F$3:$F$12,MATCH(cadangan[[#This Row],[ItemID A]],Katalog!$C$3:$C$12,0))*cadangan[[#This Row],[Qty A]]</f>
        <v>80000</v>
      </c>
      <c r="K551" s="73">
        <f>IFERROR(cadangan[[#This Row],[Harga Diskon A]]-INDEX(Katalog!$E$3:$E$12,MATCH(cadangan[[#This Row],[ItemID A]],Katalog!$C$3:$C$12,0))*cadangan[[#This Row],[Qty A]],0)</f>
        <v>50000</v>
      </c>
      <c r="M551" s="39" t="str">
        <f>IFERROR(INDEX(Katalog!$A$3:$A$12,MATCH(cadangan[[#This Row],[ItemID B]],Katalog!$C$3:$C$12,0)),"-")</f>
        <v>-</v>
      </c>
      <c r="N551" s="39" t="str">
        <f>IFERROR(INDEX(Katalog!$B$3:$B$12,MATCH(cadangan[[#This Row],[ItemID B]],Katalog!$C$3:$C$12,0)),"-")</f>
        <v>-</v>
      </c>
      <c r="Q551" s="73">
        <f>IFERROR(INDEX(Katalog!$D$3:$D$12,MATCH(cadangan[[#This Row],[ItemID B]],Katalog!$C$3:$C$12,0))*cadangan[[#This Row],[Qty B]],0)</f>
        <v>0</v>
      </c>
      <c r="R551" s="73">
        <f>IFERROR(cadangan[[#This Row],[Harga Normal B]]-(cadangan[[#This Row],[Harga Normal B]]*cadangan[[#This Row],[Diskon]]),cadangan[[#This Row],[Harga Normal B]])</f>
        <v>0</v>
      </c>
      <c r="S551" s="73">
        <f>IFERROR(INDEX(Katalog!$F$3:$F$12,MATCH(cadangan[[#This Row],[ItemID B]],Katalog!$C$3:$C$12,0))*cadangan[[#This Row],[Qty B]],0)</f>
        <v>0</v>
      </c>
      <c r="T551" s="73">
        <f>IFERROR(cadangan[[#This Row],[Harga Diskon B]]-INDEX(Katalog!$E$3:$E$12,MATCH(cadangan[[#This Row],[ItemID B]],Katalog!$C$3:$C$12,0))*cadangan[[#This Row],[Qty B]],0)</f>
        <v>0</v>
      </c>
      <c r="V551" s="39" t="str">
        <f>IFERROR(INDEX(Katalog!$A$3:$A$12,MATCH(cadangan[[#This Row],[ItemID C]],Katalog!$C$3:$C$12,0)),"-")</f>
        <v>-</v>
      </c>
      <c r="W551" s="39" t="str">
        <f>IFERROR(INDEX(Katalog!$B$3:$B$12,MATCH(cadangan[[#This Row],[ItemID C]],Katalog!$C$3:$C$12,0)),"-")</f>
        <v>-</v>
      </c>
      <c r="Z551" s="73">
        <f>IFERROR(INDEX(Katalog!$D$3:$D$12,MATCH(cadangan[[#This Row],[ItemID C]],Katalog!$C$3:$C$12,0))*cadangan[[#This Row],[Qty C]],0)</f>
        <v>0</v>
      </c>
      <c r="AA551" s="73">
        <f>IFERROR(cadangan[[#This Row],[Harga Normal C]]-(cadangan[[#This Row],[Harga Normal C]]*cadangan[[#This Row],[Diskon]]),cadangan[[#This Row],[Harga Normal C]])</f>
        <v>0</v>
      </c>
      <c r="AB551" s="73">
        <f>IFERROR(INDEX(Katalog!$F$3:$F$12,MATCH(cadangan[[#This Row],[ItemID C]],Katalog!$C$3:$C$12,0))*cadangan[[#This Row],[Qty C]],0)</f>
        <v>0</v>
      </c>
      <c r="AC551" s="73">
        <f>IFERROR(cadangan[[#This Row],[Harga Diskon C]]-INDEX(Katalog!$E$3:$E$12,MATCH(cadangan[[#This Row],[ItemID C]],Katalog!$C$3:$C$12,0))*cadangan[[#This Row],[Qty C]],0)</f>
        <v>0</v>
      </c>
      <c r="AD551" s="53">
        <f>cadangan[[#This Row],[Qty A]]+cadangan[[#This Row],[Qty B]]+cadangan[[#This Row],[Qty C]]</f>
        <v>1</v>
      </c>
      <c r="AE551" s="73">
        <f>cadangan[[#This Row],[Harga Normal A]]+cadangan[[#This Row],[Harga Normal B]]+cadangan[[#This Row],[Harga Normal C]]</f>
        <v>200000</v>
      </c>
      <c r="AF551" s="73">
        <f>cadangan[[#This Row],[Harga Diskon A]]+cadangan[[#This Row],[Harga Diskon B]]+cadangan[[#This Row],[Harga Diskon C]]</f>
        <v>170000</v>
      </c>
      <c r="AG551" s="73">
        <f>(cadangan[[#This Row],[Profit Normal A]]+cadangan[[#This Row],[Profit Normal B]]+cadangan[[#This Row],[Profit Normal C]])</f>
        <v>80000</v>
      </c>
      <c r="AH551" s="73">
        <f>cadangan[[#This Row],[Profit Diskon A]]+cadangan[[#This Row],[Profit Diskon B]]+cadangan[[#This Row],[Profit Diskon C]]</f>
        <v>50000</v>
      </c>
      <c r="AI551" s="23" t="s">
        <v>13</v>
      </c>
      <c r="AJ551" s="37">
        <f>IFERROR(INDEX('Kode Diskon'!$D$3:$D$9,MATCH(cadangan[[#This Row],[Kode diskon]],'Kode Diskon'!$C$3:$C$9,0)),"-")</f>
        <v>0.15</v>
      </c>
      <c r="AK551" s="23" t="s">
        <v>29</v>
      </c>
      <c r="AL551" s="23" t="s">
        <v>7</v>
      </c>
      <c r="AM551" s="23" t="s">
        <v>78</v>
      </c>
      <c r="AN551" s="55">
        <v>45020</v>
      </c>
      <c r="AO551" s="53">
        <f>DAY(cadangan[[#This Row],[Tanggal terjual]])</f>
        <v>4</v>
      </c>
      <c r="AP551" s="21" t="str">
        <f>TEXT(cadangan[[#This Row],[Tanggal terjual]],"dddd")</f>
        <v>Tuesday</v>
      </c>
      <c r="AQ551" s="23" t="str" cm="1">
        <f t="array" ref="AQ5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1" s="61">
        <f>AVERAGE(cadangan[[#This Row],[Rating A]],cadangan[[#This Row],[Rating B]],cadangan[[#This Row],[Rating C]])</f>
        <v>1</v>
      </c>
    </row>
    <row r="552" spans="1:44" x14ac:dyDescent="0.2">
      <c r="A552" s="20">
        <v>551</v>
      </c>
      <c r="B552" s="21" t="str">
        <f>_xlfn.CONCAT("ORD-",INDEX(Helper!$B$2:$B$5,MATCH(cadangan[[#This Row],[Marketplace]],Helper!$A$2:$A$5,0)),TEXT(cadangan[[#This Row],[No]],"0000"),"-",TEXT(cadangan[[#This Row],[Tanggal terjual]],"dd/mm/yy"))</f>
        <v>ORD-SP0551-24/04/23</v>
      </c>
      <c r="C552" s="39" t="s">
        <v>61</v>
      </c>
      <c r="D552" s="39" t="str">
        <f>IFERROR(INDEX(Katalog!$A$3:$A$12,MATCH(cadangan[[#This Row],[ItemID A]],Katalog!$C$3:$C$12,0)),"-")</f>
        <v>Pakaian Pria</v>
      </c>
      <c r="E552" s="39" t="str">
        <f>IFERROR(INDEX(Katalog!$B$3:$B$12,MATCH(cadangan[[#This Row],[ItemID A]],Katalog!$C$3:$C$12,0)),"-")</f>
        <v>Kaos Polo</v>
      </c>
      <c r="F552" s="50">
        <v>3</v>
      </c>
      <c r="G552" s="50">
        <v>3</v>
      </c>
      <c r="H552" s="73">
        <f>IFERROR(INDEX(Katalog!$D$3:$D$12,MATCH(cadangan[[#This Row],[ItemID A]],Katalog!$C$3:$C$12,0))*cadangan[[#This Row],[Qty A]],0)</f>
        <v>600000</v>
      </c>
      <c r="I552" s="73">
        <f>IFERROR(cadangan[[#This Row],[Harga Normal A]]-(cadangan[[#This Row],[Harga Normal A]]*cadangan[[#This Row],[Diskon]]),cadangan[[#This Row],[Harga Normal A]])</f>
        <v>480000</v>
      </c>
      <c r="J552" s="73">
        <f>INDEX(Katalog!$F$3:$F$12,MATCH(cadangan[[#This Row],[ItemID A]],Katalog!$C$3:$C$12,0))*cadangan[[#This Row],[Qty A]]</f>
        <v>240000</v>
      </c>
      <c r="K552" s="73">
        <f>IFERROR(cadangan[[#This Row],[Harga Diskon A]]-INDEX(Katalog!$E$3:$E$12,MATCH(cadangan[[#This Row],[ItemID A]],Katalog!$C$3:$C$12,0))*cadangan[[#This Row],[Qty A]],0)</f>
        <v>120000</v>
      </c>
      <c r="L552" s="39" t="s">
        <v>60</v>
      </c>
      <c r="M552" s="39" t="str">
        <f>IFERROR(INDEX(Katalog!$A$3:$A$12,MATCH(cadangan[[#This Row],[ItemID B]],Katalog!$C$3:$C$12,0)),"-")</f>
        <v>Pakaian Wanita</v>
      </c>
      <c r="N552" s="39" t="str">
        <f>IFERROR(INDEX(Katalog!$B$3:$B$12,MATCH(cadangan[[#This Row],[ItemID B]],Katalog!$C$3:$C$12,0)),"-")</f>
        <v>Kaftan</v>
      </c>
      <c r="O552" s="50">
        <v>1</v>
      </c>
      <c r="P552" s="50">
        <v>2</v>
      </c>
      <c r="Q552" s="73">
        <f>IFERROR(INDEX(Katalog!$D$3:$D$12,MATCH(cadangan[[#This Row],[ItemID B]],Katalog!$C$3:$C$12,0))*cadangan[[#This Row],[Qty B]],0)</f>
        <v>250000</v>
      </c>
      <c r="R552" s="73">
        <f>IFERROR(cadangan[[#This Row],[Harga Normal B]]-(cadangan[[#This Row],[Harga Normal B]]*cadangan[[#This Row],[Diskon]]),cadangan[[#This Row],[Harga Normal B]])</f>
        <v>200000</v>
      </c>
      <c r="S552" s="73">
        <f>IFERROR(INDEX(Katalog!$F$3:$F$12,MATCH(cadangan[[#This Row],[ItemID B]],Katalog!$C$3:$C$12,0))*cadangan[[#This Row],[Qty B]],0)</f>
        <v>100000</v>
      </c>
      <c r="T552" s="73">
        <f>IFERROR(cadangan[[#This Row],[Harga Diskon B]]-INDEX(Katalog!$E$3:$E$12,MATCH(cadangan[[#This Row],[ItemID B]],Katalog!$C$3:$C$12,0))*cadangan[[#This Row],[Qty B]],0)</f>
        <v>50000</v>
      </c>
      <c r="U552" s="39" t="s">
        <v>59</v>
      </c>
      <c r="V552" s="39" t="str">
        <f>IFERROR(INDEX(Katalog!$A$3:$A$12,MATCH(cadangan[[#This Row],[ItemID C]],Katalog!$C$3:$C$12,0)),"-")</f>
        <v>Pakaian Wanita</v>
      </c>
      <c r="W552" s="39" t="str">
        <f>IFERROR(INDEX(Katalog!$B$3:$B$12,MATCH(cadangan[[#This Row],[ItemID C]],Katalog!$C$3:$C$12,0)),"-")</f>
        <v>Blouse</v>
      </c>
      <c r="X552" s="50">
        <v>1</v>
      </c>
      <c r="Y552" s="50">
        <v>5</v>
      </c>
      <c r="Z552" s="73">
        <f>IFERROR(INDEX(Katalog!$D$3:$D$12,MATCH(cadangan[[#This Row],[ItemID C]],Katalog!$C$3:$C$12,0))*cadangan[[#This Row],[Qty C]],0)</f>
        <v>150000</v>
      </c>
      <c r="AA552" s="73">
        <f>IFERROR(cadangan[[#This Row],[Harga Normal C]]-(cadangan[[#This Row],[Harga Normal C]]*cadangan[[#This Row],[Diskon]]),cadangan[[#This Row],[Harga Normal C]])</f>
        <v>120000</v>
      </c>
      <c r="AB552" s="73">
        <f>IFERROR(INDEX(Katalog!$F$3:$F$12,MATCH(cadangan[[#This Row],[ItemID C]],Katalog!$C$3:$C$12,0))*cadangan[[#This Row],[Qty C]],0)</f>
        <v>50000</v>
      </c>
      <c r="AC552" s="73">
        <f>IFERROR(cadangan[[#This Row],[Harga Diskon C]]-INDEX(Katalog!$E$3:$E$12,MATCH(cadangan[[#This Row],[ItemID C]],Katalog!$C$3:$C$12,0))*cadangan[[#This Row],[Qty C]],0)</f>
        <v>20000</v>
      </c>
      <c r="AD552" s="53">
        <f>cadangan[[#This Row],[Qty A]]+cadangan[[#This Row],[Qty B]]+cadangan[[#This Row],[Qty C]]</f>
        <v>5</v>
      </c>
      <c r="AE552" s="73">
        <f>cadangan[[#This Row],[Harga Normal A]]+cadangan[[#This Row],[Harga Normal B]]+cadangan[[#This Row],[Harga Normal C]]</f>
        <v>1000000</v>
      </c>
      <c r="AF552" s="73">
        <f>cadangan[[#This Row],[Harga Diskon A]]+cadangan[[#This Row],[Harga Diskon B]]+cadangan[[#This Row],[Harga Diskon C]]</f>
        <v>800000</v>
      </c>
      <c r="AG552" s="73">
        <f>(cadangan[[#This Row],[Profit Normal A]]+cadangan[[#This Row],[Profit Normal B]]+cadangan[[#This Row],[Profit Normal C]])</f>
        <v>390000</v>
      </c>
      <c r="AH552" s="73">
        <f>cadangan[[#This Row],[Profit Diskon A]]+cadangan[[#This Row],[Profit Diskon B]]+cadangan[[#This Row],[Profit Diskon C]]</f>
        <v>190000</v>
      </c>
      <c r="AI552" s="23" t="s">
        <v>8</v>
      </c>
      <c r="AJ552" s="37">
        <f>IFERROR(INDEX('Kode Diskon'!$D$3:$D$9,MATCH(cadangan[[#This Row],[Kode diskon]],'Kode Diskon'!$C$3:$C$9,0)),"-")</f>
        <v>0.2</v>
      </c>
      <c r="AK552" s="23" t="s">
        <v>9</v>
      </c>
      <c r="AL552" s="23" t="s">
        <v>7</v>
      </c>
      <c r="AM552" s="23" t="s">
        <v>77</v>
      </c>
      <c r="AN552" s="55">
        <v>45040</v>
      </c>
      <c r="AO552" s="53">
        <f>DAY(cadangan[[#This Row],[Tanggal terjual]])</f>
        <v>24</v>
      </c>
      <c r="AP552" s="21" t="str">
        <f>TEXT(cadangan[[#This Row],[Tanggal terjual]],"dddd")</f>
        <v>Monday</v>
      </c>
      <c r="AQ552" s="23" t="str" cm="1">
        <f t="array" ref="AQ5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52" s="61">
        <f>AVERAGE(cadangan[[#This Row],[Rating A]],cadangan[[#This Row],[Rating B]],cadangan[[#This Row],[Rating C]])</f>
        <v>3.3333333333333335</v>
      </c>
    </row>
    <row r="553" spans="1:44" x14ac:dyDescent="0.2">
      <c r="A553" s="20">
        <v>552</v>
      </c>
      <c r="B553" s="21" t="str">
        <f>_xlfn.CONCAT("ORD-",INDEX(Helper!$B$2:$B$5,MATCH(cadangan[[#This Row],[Marketplace]],Helper!$A$2:$A$5,0)),TEXT(cadangan[[#This Row],[No]],"0000"),"-",TEXT(cadangan[[#This Row],[Tanggal terjual]],"dd/mm/yy"))</f>
        <v>ORD-TK0552-01/04/23</v>
      </c>
      <c r="C553" s="39" t="s">
        <v>66</v>
      </c>
      <c r="D553" s="39" t="str">
        <f>IFERROR(INDEX(Katalog!$A$3:$A$12,MATCH(cadangan[[#This Row],[ItemID A]],Katalog!$C$3:$C$12,0)),"-")</f>
        <v>Sepatu Pria</v>
      </c>
      <c r="E553" s="39" t="str">
        <f>IFERROR(INDEX(Katalog!$B$3:$B$12,MATCH(cadangan[[#This Row],[ItemID A]],Katalog!$C$3:$C$12,0)),"-")</f>
        <v>Sandal Slip On</v>
      </c>
      <c r="F553" s="50">
        <v>1</v>
      </c>
      <c r="G553" s="50">
        <v>3</v>
      </c>
      <c r="H553" s="73">
        <f>IFERROR(INDEX(Katalog!$D$3:$D$12,MATCH(cadangan[[#This Row],[ItemID A]],Katalog!$C$3:$C$12,0))*cadangan[[#This Row],[Qty A]],0)</f>
        <v>150000</v>
      </c>
      <c r="I553" s="73">
        <f>IFERROR(cadangan[[#This Row],[Harga Normal A]]-(cadangan[[#This Row],[Harga Normal A]]*cadangan[[#This Row],[Diskon]]),cadangan[[#This Row],[Harga Normal A]])</f>
        <v>135000</v>
      </c>
      <c r="J553" s="73">
        <f>INDEX(Katalog!$F$3:$F$12,MATCH(cadangan[[#This Row],[ItemID A]],Katalog!$C$3:$C$12,0))*cadangan[[#This Row],[Qty A]]</f>
        <v>60000</v>
      </c>
      <c r="K553" s="73">
        <f>IFERROR(cadangan[[#This Row],[Harga Diskon A]]-INDEX(Katalog!$E$3:$E$12,MATCH(cadangan[[#This Row],[ItemID A]],Katalog!$C$3:$C$12,0))*cadangan[[#This Row],[Qty A]],0)</f>
        <v>45000</v>
      </c>
      <c r="M553" s="39" t="str">
        <f>IFERROR(INDEX(Katalog!$A$3:$A$12,MATCH(cadangan[[#This Row],[ItemID B]],Katalog!$C$3:$C$12,0)),"-")</f>
        <v>-</v>
      </c>
      <c r="N553" s="39" t="str">
        <f>IFERROR(INDEX(Katalog!$B$3:$B$12,MATCH(cadangan[[#This Row],[ItemID B]],Katalog!$C$3:$C$12,0)),"-")</f>
        <v>-</v>
      </c>
      <c r="Q553" s="73">
        <f>IFERROR(INDEX(Katalog!$D$3:$D$12,MATCH(cadangan[[#This Row],[ItemID B]],Katalog!$C$3:$C$12,0))*cadangan[[#This Row],[Qty B]],0)</f>
        <v>0</v>
      </c>
      <c r="R553" s="73">
        <f>IFERROR(cadangan[[#This Row],[Harga Normal B]]-(cadangan[[#This Row],[Harga Normal B]]*cadangan[[#This Row],[Diskon]]),cadangan[[#This Row],[Harga Normal B]])</f>
        <v>0</v>
      </c>
      <c r="S553" s="73">
        <f>IFERROR(INDEX(Katalog!$F$3:$F$12,MATCH(cadangan[[#This Row],[ItemID B]],Katalog!$C$3:$C$12,0))*cadangan[[#This Row],[Qty B]],0)</f>
        <v>0</v>
      </c>
      <c r="T553" s="73">
        <f>IFERROR(cadangan[[#This Row],[Harga Diskon B]]-INDEX(Katalog!$E$3:$E$12,MATCH(cadangan[[#This Row],[ItemID B]],Katalog!$C$3:$C$12,0))*cadangan[[#This Row],[Qty B]],0)</f>
        <v>0</v>
      </c>
      <c r="V553" s="39" t="str">
        <f>IFERROR(INDEX(Katalog!$A$3:$A$12,MATCH(cadangan[[#This Row],[ItemID C]],Katalog!$C$3:$C$12,0)),"-")</f>
        <v>-</v>
      </c>
      <c r="W553" s="39" t="str">
        <f>IFERROR(INDEX(Katalog!$B$3:$B$12,MATCH(cadangan[[#This Row],[ItemID C]],Katalog!$C$3:$C$12,0)),"-")</f>
        <v>-</v>
      </c>
      <c r="Z553" s="73">
        <f>IFERROR(INDEX(Katalog!$D$3:$D$12,MATCH(cadangan[[#This Row],[ItemID C]],Katalog!$C$3:$C$12,0))*cadangan[[#This Row],[Qty C]],0)</f>
        <v>0</v>
      </c>
      <c r="AA553" s="73">
        <f>IFERROR(cadangan[[#This Row],[Harga Normal C]]-(cadangan[[#This Row],[Harga Normal C]]*cadangan[[#This Row],[Diskon]]),cadangan[[#This Row],[Harga Normal C]])</f>
        <v>0</v>
      </c>
      <c r="AB553" s="73">
        <f>IFERROR(INDEX(Katalog!$F$3:$F$12,MATCH(cadangan[[#This Row],[ItemID C]],Katalog!$C$3:$C$12,0))*cadangan[[#This Row],[Qty C]],0)</f>
        <v>0</v>
      </c>
      <c r="AC553" s="73">
        <f>IFERROR(cadangan[[#This Row],[Harga Diskon C]]-INDEX(Katalog!$E$3:$E$12,MATCH(cadangan[[#This Row],[ItemID C]],Katalog!$C$3:$C$12,0))*cadangan[[#This Row],[Qty C]],0)</f>
        <v>0</v>
      </c>
      <c r="AD553" s="53">
        <f>cadangan[[#This Row],[Qty A]]+cadangan[[#This Row],[Qty B]]+cadangan[[#This Row],[Qty C]]</f>
        <v>1</v>
      </c>
      <c r="AE553" s="73">
        <f>cadangan[[#This Row],[Harga Normal A]]+cadangan[[#This Row],[Harga Normal B]]+cadangan[[#This Row],[Harga Normal C]]</f>
        <v>150000</v>
      </c>
      <c r="AF553" s="73">
        <f>cadangan[[#This Row],[Harga Diskon A]]+cadangan[[#This Row],[Harga Diskon B]]+cadangan[[#This Row],[Harga Diskon C]]</f>
        <v>135000</v>
      </c>
      <c r="AG553" s="73">
        <f>(cadangan[[#This Row],[Profit Normal A]]+cadangan[[#This Row],[Profit Normal B]]+cadangan[[#This Row],[Profit Normal C]])</f>
        <v>60000</v>
      </c>
      <c r="AH553" s="73">
        <f>cadangan[[#This Row],[Profit Diskon A]]+cadangan[[#This Row],[Profit Diskon B]]+cadangan[[#This Row],[Profit Diskon C]]</f>
        <v>45000</v>
      </c>
      <c r="AI553" s="23" t="s">
        <v>30</v>
      </c>
      <c r="AJ553" s="37">
        <f>IFERROR(INDEX('Kode Diskon'!$D$3:$D$9,MATCH(cadangan[[#This Row],[Kode diskon]],'Kode Diskon'!$C$3:$C$9,0)),"-")</f>
        <v>0.1</v>
      </c>
      <c r="AK553" s="23" t="s">
        <v>29</v>
      </c>
      <c r="AL553" s="23" t="s">
        <v>10</v>
      </c>
      <c r="AM553" s="23" t="s">
        <v>80</v>
      </c>
      <c r="AN553" s="55">
        <v>45017</v>
      </c>
      <c r="AO553" s="53">
        <f>DAY(cadangan[[#This Row],[Tanggal terjual]])</f>
        <v>1</v>
      </c>
      <c r="AP553" s="21" t="str">
        <f>TEXT(cadangan[[#This Row],[Tanggal terjual]],"dddd")</f>
        <v>Saturday</v>
      </c>
      <c r="AQ553" s="23" t="str" cm="1">
        <f t="array" ref="AQ5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3" s="61">
        <f>AVERAGE(cadangan[[#This Row],[Rating A]],cadangan[[#This Row],[Rating B]],cadangan[[#This Row],[Rating C]])</f>
        <v>3</v>
      </c>
    </row>
    <row r="554" spans="1:44" x14ac:dyDescent="0.2">
      <c r="A554" s="20">
        <v>553</v>
      </c>
      <c r="B554" s="21" t="str">
        <f>_xlfn.CONCAT("ORD-",INDEX(Helper!$B$2:$B$5,MATCH(cadangan[[#This Row],[Marketplace]],Helper!$A$2:$A$5,0)),TEXT(cadangan[[#This Row],[No]],"0000"),"-",TEXT(cadangan[[#This Row],[Tanggal terjual]],"dd/mm/yy"))</f>
        <v>ORD-BL0553-29/04/23</v>
      </c>
      <c r="C554" s="39" t="s">
        <v>66</v>
      </c>
      <c r="D554" s="39" t="str">
        <f>IFERROR(INDEX(Katalog!$A$3:$A$12,MATCH(cadangan[[#This Row],[ItemID A]],Katalog!$C$3:$C$12,0)),"-")</f>
        <v>Sepatu Pria</v>
      </c>
      <c r="E554" s="39" t="str">
        <f>IFERROR(INDEX(Katalog!$B$3:$B$12,MATCH(cadangan[[#This Row],[ItemID A]],Katalog!$C$3:$C$12,0)),"-")</f>
        <v>Sandal Slip On</v>
      </c>
      <c r="F554" s="50">
        <v>1</v>
      </c>
      <c r="G554" s="50">
        <v>4</v>
      </c>
      <c r="H554" s="73">
        <f>IFERROR(INDEX(Katalog!$D$3:$D$12,MATCH(cadangan[[#This Row],[ItemID A]],Katalog!$C$3:$C$12,0))*cadangan[[#This Row],[Qty A]],0)</f>
        <v>150000</v>
      </c>
      <c r="I554" s="73">
        <f>IFERROR(cadangan[[#This Row],[Harga Normal A]]-(cadangan[[#This Row],[Harga Normal A]]*cadangan[[#This Row],[Diskon]]),cadangan[[#This Row],[Harga Normal A]])</f>
        <v>127500</v>
      </c>
      <c r="J554" s="73">
        <f>INDEX(Katalog!$F$3:$F$12,MATCH(cadangan[[#This Row],[ItemID A]],Katalog!$C$3:$C$12,0))*cadangan[[#This Row],[Qty A]]</f>
        <v>60000</v>
      </c>
      <c r="K554" s="73">
        <f>IFERROR(cadangan[[#This Row],[Harga Diskon A]]-INDEX(Katalog!$E$3:$E$12,MATCH(cadangan[[#This Row],[ItemID A]],Katalog!$C$3:$C$12,0))*cadangan[[#This Row],[Qty A]],0)</f>
        <v>37500</v>
      </c>
      <c r="L554" s="39" t="s">
        <v>62</v>
      </c>
      <c r="M554" s="39" t="str">
        <f>IFERROR(INDEX(Katalog!$A$3:$A$12,MATCH(cadangan[[#This Row],[ItemID B]],Katalog!$C$3:$C$12,0)),"-")</f>
        <v>Pakaian Pria</v>
      </c>
      <c r="N554" s="39" t="str">
        <f>IFERROR(INDEX(Katalog!$B$3:$B$12,MATCH(cadangan[[#This Row],[ItemID B]],Katalog!$C$3:$C$12,0)),"-")</f>
        <v>Celana Pendek</v>
      </c>
      <c r="O554" s="50">
        <v>1</v>
      </c>
      <c r="P554" s="50">
        <v>4</v>
      </c>
      <c r="Q554" s="73">
        <f>IFERROR(INDEX(Katalog!$D$3:$D$12,MATCH(cadangan[[#This Row],[ItemID B]],Katalog!$C$3:$C$12,0))*cadangan[[#This Row],[Qty B]],0)</f>
        <v>180000</v>
      </c>
      <c r="R554" s="73">
        <f>IFERROR(cadangan[[#This Row],[Harga Normal B]]-(cadangan[[#This Row],[Harga Normal B]]*cadangan[[#This Row],[Diskon]]),cadangan[[#This Row],[Harga Normal B]])</f>
        <v>153000</v>
      </c>
      <c r="S554" s="73">
        <f>IFERROR(INDEX(Katalog!$F$3:$F$12,MATCH(cadangan[[#This Row],[ItemID B]],Katalog!$C$3:$C$12,0))*cadangan[[#This Row],[Qty B]],0)</f>
        <v>70000</v>
      </c>
      <c r="T554" s="73">
        <f>IFERROR(cadangan[[#This Row],[Harga Diskon B]]-INDEX(Katalog!$E$3:$E$12,MATCH(cadangan[[#This Row],[ItemID B]],Katalog!$C$3:$C$12,0))*cadangan[[#This Row],[Qty B]],0)</f>
        <v>43000</v>
      </c>
      <c r="V554" s="39" t="str">
        <f>IFERROR(INDEX(Katalog!$A$3:$A$12,MATCH(cadangan[[#This Row],[ItemID C]],Katalog!$C$3:$C$12,0)),"-")</f>
        <v>-</v>
      </c>
      <c r="W554" s="39" t="str">
        <f>IFERROR(INDEX(Katalog!$B$3:$B$12,MATCH(cadangan[[#This Row],[ItemID C]],Katalog!$C$3:$C$12,0)),"-")</f>
        <v>-</v>
      </c>
      <c r="Z554" s="73">
        <f>IFERROR(INDEX(Katalog!$D$3:$D$12,MATCH(cadangan[[#This Row],[ItemID C]],Katalog!$C$3:$C$12,0))*cadangan[[#This Row],[Qty C]],0)</f>
        <v>0</v>
      </c>
      <c r="AA554" s="73">
        <f>IFERROR(cadangan[[#This Row],[Harga Normal C]]-(cadangan[[#This Row],[Harga Normal C]]*cadangan[[#This Row],[Diskon]]),cadangan[[#This Row],[Harga Normal C]])</f>
        <v>0</v>
      </c>
      <c r="AB554" s="73">
        <f>IFERROR(INDEX(Katalog!$F$3:$F$12,MATCH(cadangan[[#This Row],[ItemID C]],Katalog!$C$3:$C$12,0))*cadangan[[#This Row],[Qty C]],0)</f>
        <v>0</v>
      </c>
      <c r="AC554" s="73">
        <f>IFERROR(cadangan[[#This Row],[Harga Diskon C]]-INDEX(Katalog!$E$3:$E$12,MATCH(cadangan[[#This Row],[ItemID C]],Katalog!$C$3:$C$12,0))*cadangan[[#This Row],[Qty C]],0)</f>
        <v>0</v>
      </c>
      <c r="AD554" s="53">
        <f>cadangan[[#This Row],[Qty A]]+cadangan[[#This Row],[Qty B]]+cadangan[[#This Row],[Qty C]]</f>
        <v>2</v>
      </c>
      <c r="AE554" s="73">
        <f>cadangan[[#This Row],[Harga Normal A]]+cadangan[[#This Row],[Harga Normal B]]+cadangan[[#This Row],[Harga Normal C]]</f>
        <v>330000</v>
      </c>
      <c r="AF554" s="73">
        <f>cadangan[[#This Row],[Harga Diskon A]]+cadangan[[#This Row],[Harga Diskon B]]+cadangan[[#This Row],[Harga Diskon C]]</f>
        <v>280500</v>
      </c>
      <c r="AG554" s="73">
        <f>(cadangan[[#This Row],[Profit Normal A]]+cadangan[[#This Row],[Profit Normal B]]+cadangan[[#This Row],[Profit Normal C]])</f>
        <v>130000</v>
      </c>
      <c r="AH554" s="73">
        <f>cadangan[[#This Row],[Profit Diskon A]]+cadangan[[#This Row],[Profit Diskon B]]+cadangan[[#This Row],[Profit Diskon C]]</f>
        <v>80500</v>
      </c>
      <c r="AI554" s="23" t="s">
        <v>32</v>
      </c>
      <c r="AJ554" s="37">
        <f>IFERROR(INDEX('Kode Diskon'!$D$3:$D$9,MATCH(cadangan[[#This Row],[Kode diskon]],'Kode Diskon'!$C$3:$C$9,0)),"-")</f>
        <v>0.15</v>
      </c>
      <c r="AK554" s="23" t="s">
        <v>9</v>
      </c>
      <c r="AL554" s="23" t="s">
        <v>12</v>
      </c>
      <c r="AM554" s="23" t="s">
        <v>80</v>
      </c>
      <c r="AN554" s="55">
        <v>45045</v>
      </c>
      <c r="AO554" s="53">
        <f>DAY(cadangan[[#This Row],[Tanggal terjual]])</f>
        <v>29</v>
      </c>
      <c r="AP554" s="21" t="str">
        <f>TEXT(cadangan[[#This Row],[Tanggal terjual]],"dddd")</f>
        <v>Saturday</v>
      </c>
      <c r="AQ554" s="23" t="str" cm="1">
        <f t="array" ref="AQ5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54" s="61">
        <f>AVERAGE(cadangan[[#This Row],[Rating A]],cadangan[[#This Row],[Rating B]],cadangan[[#This Row],[Rating C]])</f>
        <v>4</v>
      </c>
    </row>
    <row r="555" spans="1:44" x14ac:dyDescent="0.2">
      <c r="A555" s="20">
        <v>554</v>
      </c>
      <c r="B555" s="21" t="str">
        <f>_xlfn.CONCAT("ORD-",INDEX(Helper!$B$2:$B$5,MATCH(cadangan[[#This Row],[Marketplace]],Helper!$A$2:$A$5,0)),TEXT(cadangan[[#This Row],[No]],"0000"),"-",TEXT(cadangan[[#This Row],[Tanggal terjual]],"dd/mm/yy"))</f>
        <v>ORD-SP0554-01/04/23</v>
      </c>
      <c r="C555" s="39" t="s">
        <v>63</v>
      </c>
      <c r="D555" s="39" t="str">
        <f>IFERROR(INDEX(Katalog!$A$3:$A$12,MATCH(cadangan[[#This Row],[ItemID A]],Katalog!$C$3:$C$12,0)),"-")</f>
        <v>Pakaian Pria</v>
      </c>
      <c r="E555" s="39" t="str">
        <f>IFERROR(INDEX(Katalog!$B$3:$B$12,MATCH(cadangan[[#This Row],[ItemID A]],Katalog!$C$3:$C$12,0)),"-")</f>
        <v>Jaket Jeans</v>
      </c>
      <c r="F555" s="50">
        <v>2</v>
      </c>
      <c r="G555" s="50">
        <v>1</v>
      </c>
      <c r="H555" s="73">
        <f>IFERROR(INDEX(Katalog!$D$3:$D$12,MATCH(cadangan[[#This Row],[ItemID A]],Katalog!$C$3:$C$12,0))*cadangan[[#This Row],[Qty A]],0)</f>
        <v>800000</v>
      </c>
      <c r="I555" s="73">
        <f>IFERROR(cadangan[[#This Row],[Harga Normal A]]-(cadangan[[#This Row],[Harga Normal A]]*cadangan[[#This Row],[Diskon]]),cadangan[[#This Row],[Harga Normal A]])</f>
        <v>680000</v>
      </c>
      <c r="J555" s="73">
        <f>INDEX(Katalog!$F$3:$F$12,MATCH(cadangan[[#This Row],[ItemID A]],Katalog!$C$3:$C$12,0))*cadangan[[#This Row],[Qty A]]</f>
        <v>300000</v>
      </c>
      <c r="K555" s="73">
        <f>IFERROR(cadangan[[#This Row],[Harga Diskon A]]-INDEX(Katalog!$E$3:$E$12,MATCH(cadangan[[#This Row],[ItemID A]],Katalog!$C$3:$C$12,0))*cadangan[[#This Row],[Qty A]],0)</f>
        <v>180000</v>
      </c>
      <c r="L555" s="39" t="s">
        <v>64</v>
      </c>
      <c r="M555" s="39" t="str">
        <f>IFERROR(INDEX(Katalog!$A$3:$A$12,MATCH(cadangan[[#This Row],[ItemID B]],Katalog!$C$3:$C$12,0)),"-")</f>
        <v>Pakaian Unisex</v>
      </c>
      <c r="N555" s="39" t="str">
        <f>IFERROR(INDEX(Katalog!$B$3:$B$12,MATCH(cadangan[[#This Row],[ItemID B]],Katalog!$C$3:$C$12,0)),"-")</f>
        <v>Jaket Hoodie</v>
      </c>
      <c r="O555" s="50">
        <v>4</v>
      </c>
      <c r="P555" s="50">
        <v>4</v>
      </c>
      <c r="Q555" s="73">
        <f>IFERROR(INDEX(Katalog!$D$3:$D$12,MATCH(cadangan[[#This Row],[ItemID B]],Katalog!$C$3:$C$12,0))*cadangan[[#This Row],[Qty B]],0)</f>
        <v>1400000</v>
      </c>
      <c r="R555" s="73">
        <f>IFERROR(cadangan[[#This Row],[Harga Normal B]]-(cadangan[[#This Row],[Harga Normal B]]*cadangan[[#This Row],[Diskon]]),cadangan[[#This Row],[Harga Normal B]])</f>
        <v>1190000</v>
      </c>
      <c r="S555" s="73">
        <f>IFERROR(INDEX(Katalog!$F$3:$F$12,MATCH(cadangan[[#This Row],[ItemID B]],Katalog!$C$3:$C$12,0))*cadangan[[#This Row],[Qty B]],0)</f>
        <v>520000</v>
      </c>
      <c r="T555" s="73">
        <f>IFERROR(cadangan[[#This Row],[Harga Diskon B]]-INDEX(Katalog!$E$3:$E$12,MATCH(cadangan[[#This Row],[ItemID B]],Katalog!$C$3:$C$12,0))*cadangan[[#This Row],[Qty B]],0)</f>
        <v>310000</v>
      </c>
      <c r="V555" s="39" t="str">
        <f>IFERROR(INDEX(Katalog!$A$3:$A$12,MATCH(cadangan[[#This Row],[ItemID C]],Katalog!$C$3:$C$12,0)),"-")</f>
        <v>-</v>
      </c>
      <c r="W555" s="39" t="str">
        <f>IFERROR(INDEX(Katalog!$B$3:$B$12,MATCH(cadangan[[#This Row],[ItemID C]],Katalog!$C$3:$C$12,0)),"-")</f>
        <v>-</v>
      </c>
      <c r="Z555" s="73">
        <f>IFERROR(INDEX(Katalog!$D$3:$D$12,MATCH(cadangan[[#This Row],[ItemID C]],Katalog!$C$3:$C$12,0))*cadangan[[#This Row],[Qty C]],0)</f>
        <v>0</v>
      </c>
      <c r="AA555" s="73">
        <f>IFERROR(cadangan[[#This Row],[Harga Normal C]]-(cadangan[[#This Row],[Harga Normal C]]*cadangan[[#This Row],[Diskon]]),cadangan[[#This Row],[Harga Normal C]])</f>
        <v>0</v>
      </c>
      <c r="AB555" s="73">
        <f>IFERROR(INDEX(Katalog!$F$3:$F$12,MATCH(cadangan[[#This Row],[ItemID C]],Katalog!$C$3:$C$12,0))*cadangan[[#This Row],[Qty C]],0)</f>
        <v>0</v>
      </c>
      <c r="AC555" s="73">
        <f>IFERROR(cadangan[[#This Row],[Harga Diskon C]]-INDEX(Katalog!$E$3:$E$12,MATCH(cadangan[[#This Row],[ItemID C]],Katalog!$C$3:$C$12,0))*cadangan[[#This Row],[Qty C]],0)</f>
        <v>0</v>
      </c>
      <c r="AD555" s="53">
        <f>cadangan[[#This Row],[Qty A]]+cadangan[[#This Row],[Qty B]]+cadangan[[#This Row],[Qty C]]</f>
        <v>6</v>
      </c>
      <c r="AE555" s="73">
        <f>cadangan[[#This Row],[Harga Normal A]]+cadangan[[#This Row],[Harga Normal B]]+cadangan[[#This Row],[Harga Normal C]]</f>
        <v>2200000</v>
      </c>
      <c r="AF555" s="73">
        <f>cadangan[[#This Row],[Harga Diskon A]]+cadangan[[#This Row],[Harga Diskon B]]+cadangan[[#This Row],[Harga Diskon C]]</f>
        <v>1870000</v>
      </c>
      <c r="AG555" s="73">
        <f>(cadangan[[#This Row],[Profit Normal A]]+cadangan[[#This Row],[Profit Normal B]]+cadangan[[#This Row],[Profit Normal C]])</f>
        <v>820000</v>
      </c>
      <c r="AH555" s="73">
        <f>cadangan[[#This Row],[Profit Diskon A]]+cadangan[[#This Row],[Profit Diskon B]]+cadangan[[#This Row],[Profit Diskon C]]</f>
        <v>490000</v>
      </c>
      <c r="AI555" s="23" t="s">
        <v>13</v>
      </c>
      <c r="AJ555" s="37">
        <f>IFERROR(INDEX('Kode Diskon'!$D$3:$D$9,MATCH(cadangan[[#This Row],[Kode diskon]],'Kode Diskon'!$C$3:$C$9,0)),"-")</f>
        <v>0.15</v>
      </c>
      <c r="AK555" s="23" t="s">
        <v>29</v>
      </c>
      <c r="AL555" s="23" t="s">
        <v>7</v>
      </c>
      <c r="AM555" s="23" t="s">
        <v>80</v>
      </c>
      <c r="AN555" s="55">
        <v>45017</v>
      </c>
      <c r="AO555" s="53">
        <f>DAY(cadangan[[#This Row],[Tanggal terjual]])</f>
        <v>1</v>
      </c>
      <c r="AP555" s="21" t="str">
        <f>TEXT(cadangan[[#This Row],[Tanggal terjual]],"dddd")</f>
        <v>Saturday</v>
      </c>
      <c r="AQ555" s="23" t="str" cm="1">
        <f t="array" ref="AQ5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5" s="61">
        <f>AVERAGE(cadangan[[#This Row],[Rating A]],cadangan[[#This Row],[Rating B]],cadangan[[#This Row],[Rating C]])</f>
        <v>2.5</v>
      </c>
    </row>
    <row r="556" spans="1:44" x14ac:dyDescent="0.2">
      <c r="A556" s="20">
        <v>555</v>
      </c>
      <c r="B556" s="21" t="str">
        <f>_xlfn.CONCAT("ORD-",INDEX(Helper!$B$2:$B$5,MATCH(cadangan[[#This Row],[Marketplace]],Helper!$A$2:$A$5,0)),TEXT(cadangan[[#This Row],[No]],"0000"),"-",TEXT(cadangan[[#This Row],[Tanggal terjual]],"dd/mm/yy"))</f>
        <v>ORD-SP0555-04/04/23</v>
      </c>
      <c r="C556" s="39" t="s">
        <v>65</v>
      </c>
      <c r="D556" s="39" t="str">
        <f>IFERROR(INDEX(Katalog!$A$3:$A$12,MATCH(cadangan[[#This Row],[ItemID A]],Katalog!$C$3:$C$12,0)),"-")</f>
        <v>Sepatu Pria</v>
      </c>
      <c r="E556" s="39" t="str">
        <f>IFERROR(INDEX(Katalog!$B$3:$B$12,MATCH(cadangan[[#This Row],[ItemID A]],Katalog!$C$3:$C$12,0)),"-")</f>
        <v>Sneakers</v>
      </c>
      <c r="F556" s="50">
        <v>3</v>
      </c>
      <c r="G556" s="50">
        <v>4</v>
      </c>
      <c r="H556" s="73">
        <f>IFERROR(INDEX(Katalog!$D$3:$D$12,MATCH(cadangan[[#This Row],[ItemID A]],Katalog!$C$3:$C$12,0))*cadangan[[#This Row],[Qty A]],0)</f>
        <v>1500000</v>
      </c>
      <c r="I556" s="73">
        <f>IFERROR(cadangan[[#This Row],[Harga Normal A]]-(cadangan[[#This Row],[Harga Normal A]]*cadangan[[#This Row],[Diskon]]),cadangan[[#This Row],[Harga Normal A]])</f>
        <v>1350000</v>
      </c>
      <c r="J556" s="73">
        <f>INDEX(Katalog!$F$3:$F$12,MATCH(cadangan[[#This Row],[ItemID A]],Katalog!$C$3:$C$12,0))*cadangan[[#This Row],[Qty A]]</f>
        <v>600000</v>
      </c>
      <c r="K556" s="73">
        <f>IFERROR(cadangan[[#This Row],[Harga Diskon A]]-INDEX(Katalog!$E$3:$E$12,MATCH(cadangan[[#This Row],[ItemID A]],Katalog!$C$3:$C$12,0))*cadangan[[#This Row],[Qty A]],0)</f>
        <v>450000</v>
      </c>
      <c r="L556" s="39" t="s">
        <v>63</v>
      </c>
      <c r="M556" s="39" t="str">
        <f>IFERROR(INDEX(Katalog!$A$3:$A$12,MATCH(cadangan[[#This Row],[ItemID B]],Katalog!$C$3:$C$12,0)),"-")</f>
        <v>Pakaian Pria</v>
      </c>
      <c r="N556" s="39" t="str">
        <f>IFERROR(INDEX(Katalog!$B$3:$B$12,MATCH(cadangan[[#This Row],[ItemID B]],Katalog!$C$3:$C$12,0)),"-")</f>
        <v>Jaket Jeans</v>
      </c>
      <c r="O556" s="50">
        <v>1</v>
      </c>
      <c r="P556" s="50">
        <v>2</v>
      </c>
      <c r="Q556" s="73">
        <f>IFERROR(INDEX(Katalog!$D$3:$D$12,MATCH(cadangan[[#This Row],[ItemID B]],Katalog!$C$3:$C$12,0))*cadangan[[#This Row],[Qty B]],0)</f>
        <v>400000</v>
      </c>
      <c r="R556" s="73">
        <f>IFERROR(cadangan[[#This Row],[Harga Normal B]]-(cadangan[[#This Row],[Harga Normal B]]*cadangan[[#This Row],[Diskon]]),cadangan[[#This Row],[Harga Normal B]])</f>
        <v>360000</v>
      </c>
      <c r="S556" s="73">
        <f>IFERROR(INDEX(Katalog!$F$3:$F$12,MATCH(cadangan[[#This Row],[ItemID B]],Katalog!$C$3:$C$12,0))*cadangan[[#This Row],[Qty B]],0)</f>
        <v>150000</v>
      </c>
      <c r="T556" s="73">
        <f>IFERROR(cadangan[[#This Row],[Harga Diskon B]]-INDEX(Katalog!$E$3:$E$12,MATCH(cadangan[[#This Row],[ItemID B]],Katalog!$C$3:$C$12,0))*cadangan[[#This Row],[Qty B]],0)</f>
        <v>110000</v>
      </c>
      <c r="U556" s="39" t="s">
        <v>65</v>
      </c>
      <c r="V556" s="39" t="str">
        <f>IFERROR(INDEX(Katalog!$A$3:$A$12,MATCH(cadangan[[#This Row],[ItemID C]],Katalog!$C$3:$C$12,0)),"-")</f>
        <v>Sepatu Pria</v>
      </c>
      <c r="W556" s="39" t="str">
        <f>IFERROR(INDEX(Katalog!$B$3:$B$12,MATCH(cadangan[[#This Row],[ItemID C]],Katalog!$C$3:$C$12,0)),"-")</f>
        <v>Sneakers</v>
      </c>
      <c r="X556" s="50">
        <v>2</v>
      </c>
      <c r="Y556" s="50">
        <v>2</v>
      </c>
      <c r="Z556" s="73">
        <f>IFERROR(INDEX(Katalog!$D$3:$D$12,MATCH(cadangan[[#This Row],[ItemID C]],Katalog!$C$3:$C$12,0))*cadangan[[#This Row],[Qty C]],0)</f>
        <v>1000000</v>
      </c>
      <c r="AA556" s="73">
        <f>IFERROR(cadangan[[#This Row],[Harga Normal C]]-(cadangan[[#This Row],[Harga Normal C]]*cadangan[[#This Row],[Diskon]]),cadangan[[#This Row],[Harga Normal C]])</f>
        <v>900000</v>
      </c>
      <c r="AB556" s="73">
        <f>IFERROR(INDEX(Katalog!$F$3:$F$12,MATCH(cadangan[[#This Row],[ItemID C]],Katalog!$C$3:$C$12,0))*cadangan[[#This Row],[Qty C]],0)</f>
        <v>400000</v>
      </c>
      <c r="AC556" s="73">
        <f>IFERROR(cadangan[[#This Row],[Harga Diskon C]]-INDEX(Katalog!$E$3:$E$12,MATCH(cadangan[[#This Row],[ItemID C]],Katalog!$C$3:$C$12,0))*cadangan[[#This Row],[Qty C]],0)</f>
        <v>300000</v>
      </c>
      <c r="AD556" s="53">
        <f>cadangan[[#This Row],[Qty A]]+cadangan[[#This Row],[Qty B]]+cadangan[[#This Row],[Qty C]]</f>
        <v>6</v>
      </c>
      <c r="AE556" s="73">
        <f>cadangan[[#This Row],[Harga Normal A]]+cadangan[[#This Row],[Harga Normal B]]+cadangan[[#This Row],[Harga Normal C]]</f>
        <v>2900000</v>
      </c>
      <c r="AF556" s="73">
        <f>cadangan[[#This Row],[Harga Diskon A]]+cadangan[[#This Row],[Harga Diskon B]]+cadangan[[#This Row],[Harga Diskon C]]</f>
        <v>2610000</v>
      </c>
      <c r="AG556" s="73">
        <f>(cadangan[[#This Row],[Profit Normal A]]+cadangan[[#This Row],[Profit Normal B]]+cadangan[[#This Row],[Profit Normal C]])</f>
        <v>1150000</v>
      </c>
      <c r="AH556" s="73">
        <f>cadangan[[#This Row],[Profit Diskon A]]+cadangan[[#This Row],[Profit Diskon B]]+cadangan[[#This Row],[Profit Diskon C]]</f>
        <v>860000</v>
      </c>
      <c r="AI556" s="23" t="s">
        <v>6</v>
      </c>
      <c r="AJ556" s="37">
        <f>IFERROR(INDEX('Kode Diskon'!$D$3:$D$9,MATCH(cadangan[[#This Row],[Kode diskon]],'Kode Diskon'!$C$3:$C$9,0)),"-")</f>
        <v>0.1</v>
      </c>
      <c r="AK556" s="23" t="s">
        <v>29</v>
      </c>
      <c r="AL556" s="23" t="s">
        <v>7</v>
      </c>
      <c r="AM556" s="23" t="s">
        <v>79</v>
      </c>
      <c r="AN556" s="55">
        <v>45020</v>
      </c>
      <c r="AO556" s="53">
        <f>DAY(cadangan[[#This Row],[Tanggal terjual]])</f>
        <v>4</v>
      </c>
      <c r="AP556" s="21" t="str">
        <f>TEXT(cadangan[[#This Row],[Tanggal terjual]],"dddd")</f>
        <v>Tuesday</v>
      </c>
      <c r="AQ556" s="23" t="str" cm="1">
        <f t="array" ref="AQ5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6" s="61">
        <f>AVERAGE(cadangan[[#This Row],[Rating A]],cadangan[[#This Row],[Rating B]],cadangan[[#This Row],[Rating C]])</f>
        <v>2.6666666666666665</v>
      </c>
    </row>
    <row r="557" spans="1:44" x14ac:dyDescent="0.2">
      <c r="A557" s="20">
        <v>556</v>
      </c>
      <c r="B557" s="21" t="str">
        <f>_xlfn.CONCAT("ORD-",INDEX(Helper!$B$2:$B$5,MATCH(cadangan[[#This Row],[Marketplace]],Helper!$A$2:$A$5,0)),TEXT(cadangan[[#This Row],[No]],"0000"),"-",TEXT(cadangan[[#This Row],[Tanggal terjual]],"dd/mm/yy"))</f>
        <v>ORD-BB0556-03/04/23</v>
      </c>
      <c r="C557" s="39" t="s">
        <v>65</v>
      </c>
      <c r="D557" s="39" t="str">
        <f>IFERROR(INDEX(Katalog!$A$3:$A$12,MATCH(cadangan[[#This Row],[ItemID A]],Katalog!$C$3:$C$12,0)),"-")</f>
        <v>Sepatu Pria</v>
      </c>
      <c r="E557" s="39" t="str">
        <f>IFERROR(INDEX(Katalog!$B$3:$B$12,MATCH(cadangan[[#This Row],[ItemID A]],Katalog!$C$3:$C$12,0)),"-")</f>
        <v>Sneakers</v>
      </c>
      <c r="F557" s="50">
        <v>5</v>
      </c>
      <c r="G557" s="50">
        <v>2</v>
      </c>
      <c r="H557" s="73">
        <f>IFERROR(INDEX(Katalog!$D$3:$D$12,MATCH(cadangan[[#This Row],[ItemID A]],Katalog!$C$3:$C$12,0))*cadangan[[#This Row],[Qty A]],0)</f>
        <v>2500000</v>
      </c>
      <c r="I557" s="73">
        <f>IFERROR(cadangan[[#This Row],[Harga Normal A]]-(cadangan[[#This Row],[Harga Normal A]]*cadangan[[#This Row],[Diskon]]),cadangan[[#This Row],[Harga Normal A]])</f>
        <v>2125000</v>
      </c>
      <c r="J557" s="73">
        <f>INDEX(Katalog!$F$3:$F$12,MATCH(cadangan[[#This Row],[ItemID A]],Katalog!$C$3:$C$12,0))*cadangan[[#This Row],[Qty A]]</f>
        <v>1000000</v>
      </c>
      <c r="K557" s="73">
        <f>IFERROR(cadangan[[#This Row],[Harga Diskon A]]-INDEX(Katalog!$E$3:$E$12,MATCH(cadangan[[#This Row],[ItemID A]],Katalog!$C$3:$C$12,0))*cadangan[[#This Row],[Qty A]],0)</f>
        <v>625000</v>
      </c>
      <c r="L557" s="39" t="s">
        <v>66</v>
      </c>
      <c r="M557" s="39" t="str">
        <f>IFERROR(INDEX(Katalog!$A$3:$A$12,MATCH(cadangan[[#This Row],[ItemID B]],Katalog!$C$3:$C$12,0)),"-")</f>
        <v>Sepatu Pria</v>
      </c>
      <c r="N557" s="39" t="str">
        <f>IFERROR(INDEX(Katalog!$B$3:$B$12,MATCH(cadangan[[#This Row],[ItemID B]],Katalog!$C$3:$C$12,0)),"-")</f>
        <v>Sandal Slip On</v>
      </c>
      <c r="O557" s="50">
        <v>2</v>
      </c>
      <c r="P557" s="50">
        <v>5</v>
      </c>
      <c r="Q557" s="73">
        <f>IFERROR(INDEX(Katalog!$D$3:$D$12,MATCH(cadangan[[#This Row],[ItemID B]],Katalog!$C$3:$C$12,0))*cadangan[[#This Row],[Qty B]],0)</f>
        <v>300000</v>
      </c>
      <c r="R557" s="73">
        <f>IFERROR(cadangan[[#This Row],[Harga Normal B]]-(cadangan[[#This Row],[Harga Normal B]]*cadangan[[#This Row],[Diskon]]),cadangan[[#This Row],[Harga Normal B]])</f>
        <v>255000</v>
      </c>
      <c r="S557" s="73">
        <f>IFERROR(INDEX(Katalog!$F$3:$F$12,MATCH(cadangan[[#This Row],[ItemID B]],Katalog!$C$3:$C$12,0))*cadangan[[#This Row],[Qty B]],0)</f>
        <v>120000</v>
      </c>
      <c r="T557" s="73">
        <f>IFERROR(cadangan[[#This Row],[Harga Diskon B]]-INDEX(Katalog!$E$3:$E$12,MATCH(cadangan[[#This Row],[ItemID B]],Katalog!$C$3:$C$12,0))*cadangan[[#This Row],[Qty B]],0)</f>
        <v>75000</v>
      </c>
      <c r="V557" s="39" t="str">
        <f>IFERROR(INDEX(Katalog!$A$3:$A$12,MATCH(cadangan[[#This Row],[ItemID C]],Katalog!$C$3:$C$12,0)),"-")</f>
        <v>-</v>
      </c>
      <c r="W557" s="39" t="str">
        <f>IFERROR(INDEX(Katalog!$B$3:$B$12,MATCH(cadangan[[#This Row],[ItemID C]],Katalog!$C$3:$C$12,0)),"-")</f>
        <v>-</v>
      </c>
      <c r="Z557" s="73">
        <f>IFERROR(INDEX(Katalog!$D$3:$D$12,MATCH(cadangan[[#This Row],[ItemID C]],Katalog!$C$3:$C$12,0))*cadangan[[#This Row],[Qty C]],0)</f>
        <v>0</v>
      </c>
      <c r="AA557" s="73">
        <f>IFERROR(cadangan[[#This Row],[Harga Normal C]]-(cadangan[[#This Row],[Harga Normal C]]*cadangan[[#This Row],[Diskon]]),cadangan[[#This Row],[Harga Normal C]])</f>
        <v>0</v>
      </c>
      <c r="AB557" s="73">
        <f>IFERROR(INDEX(Katalog!$F$3:$F$12,MATCH(cadangan[[#This Row],[ItemID C]],Katalog!$C$3:$C$12,0))*cadangan[[#This Row],[Qty C]],0)</f>
        <v>0</v>
      </c>
      <c r="AC557" s="73">
        <f>IFERROR(cadangan[[#This Row],[Harga Diskon C]]-INDEX(Katalog!$E$3:$E$12,MATCH(cadangan[[#This Row],[ItemID C]],Katalog!$C$3:$C$12,0))*cadangan[[#This Row],[Qty C]],0)</f>
        <v>0</v>
      </c>
      <c r="AD557" s="53">
        <f>cadangan[[#This Row],[Qty A]]+cadangan[[#This Row],[Qty B]]+cadangan[[#This Row],[Qty C]]</f>
        <v>7</v>
      </c>
      <c r="AE557" s="73">
        <f>cadangan[[#This Row],[Harga Normal A]]+cadangan[[#This Row],[Harga Normal B]]+cadangan[[#This Row],[Harga Normal C]]</f>
        <v>2800000</v>
      </c>
      <c r="AF557" s="73">
        <f>cadangan[[#This Row],[Harga Diskon A]]+cadangan[[#This Row],[Harga Diskon B]]+cadangan[[#This Row],[Harga Diskon C]]</f>
        <v>2380000</v>
      </c>
      <c r="AG557" s="73">
        <f>(cadangan[[#This Row],[Profit Normal A]]+cadangan[[#This Row],[Profit Normal B]]+cadangan[[#This Row],[Profit Normal C]])</f>
        <v>1120000</v>
      </c>
      <c r="AH557" s="73">
        <f>cadangan[[#This Row],[Profit Diskon A]]+cadangan[[#This Row],[Profit Diskon B]]+cadangan[[#This Row],[Profit Diskon C]]</f>
        <v>700000</v>
      </c>
      <c r="AI557" s="23" t="s">
        <v>28</v>
      </c>
      <c r="AJ557" s="37">
        <f>IFERROR(INDEX('Kode Diskon'!$D$3:$D$9,MATCH(cadangan[[#This Row],[Kode diskon]],'Kode Diskon'!$C$3:$C$9,0)),"-")</f>
        <v>0.15</v>
      </c>
      <c r="AK557" s="23" t="s">
        <v>29</v>
      </c>
      <c r="AL557" s="23" t="s">
        <v>14</v>
      </c>
      <c r="AM557" s="23" t="s">
        <v>77</v>
      </c>
      <c r="AN557" s="55">
        <v>45019</v>
      </c>
      <c r="AO557" s="53">
        <f>DAY(cadangan[[#This Row],[Tanggal terjual]])</f>
        <v>3</v>
      </c>
      <c r="AP557" s="21" t="str">
        <f>TEXT(cadangan[[#This Row],[Tanggal terjual]],"dddd")</f>
        <v>Monday</v>
      </c>
      <c r="AQ557" s="23" t="str" cm="1">
        <f t="array" ref="AQ5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7" s="61">
        <f>AVERAGE(cadangan[[#This Row],[Rating A]],cadangan[[#This Row],[Rating B]],cadangan[[#This Row],[Rating C]])</f>
        <v>3.5</v>
      </c>
    </row>
    <row r="558" spans="1:44" x14ac:dyDescent="0.2">
      <c r="A558" s="20">
        <v>557</v>
      </c>
      <c r="B558" s="21" t="str">
        <f>_xlfn.CONCAT("ORD-",INDEX(Helper!$B$2:$B$5,MATCH(cadangan[[#This Row],[Marketplace]],Helper!$A$2:$A$5,0)),TEXT(cadangan[[#This Row],[No]],"0000"),"-",TEXT(cadangan[[#This Row],[Tanggal terjual]],"dd/mm/yy"))</f>
        <v>ORD-SP0557-01/04/23</v>
      </c>
      <c r="C558" s="39" t="s">
        <v>59</v>
      </c>
      <c r="D558" s="39" t="str">
        <f>IFERROR(INDEX(Katalog!$A$3:$A$12,MATCH(cadangan[[#This Row],[ItemID A]],Katalog!$C$3:$C$12,0)),"-")</f>
        <v>Pakaian Wanita</v>
      </c>
      <c r="E558" s="39" t="str">
        <f>IFERROR(INDEX(Katalog!$B$3:$B$12,MATCH(cadangan[[#This Row],[ItemID A]],Katalog!$C$3:$C$12,0)),"-")</f>
        <v>Blouse</v>
      </c>
      <c r="F558" s="50">
        <v>1</v>
      </c>
      <c r="G558" s="50">
        <v>4</v>
      </c>
      <c r="H558" s="73">
        <f>IFERROR(INDEX(Katalog!$D$3:$D$12,MATCH(cadangan[[#This Row],[ItemID A]],Katalog!$C$3:$C$12,0))*cadangan[[#This Row],[Qty A]],0)</f>
        <v>150000</v>
      </c>
      <c r="I558" s="73">
        <f>IFERROR(cadangan[[#This Row],[Harga Normal A]]-(cadangan[[#This Row],[Harga Normal A]]*cadangan[[#This Row],[Diskon]]),cadangan[[#This Row],[Harga Normal A]])</f>
        <v>127500</v>
      </c>
      <c r="J558" s="73">
        <f>INDEX(Katalog!$F$3:$F$12,MATCH(cadangan[[#This Row],[ItemID A]],Katalog!$C$3:$C$12,0))*cadangan[[#This Row],[Qty A]]</f>
        <v>50000</v>
      </c>
      <c r="K558" s="73">
        <f>IFERROR(cadangan[[#This Row],[Harga Diskon A]]-INDEX(Katalog!$E$3:$E$12,MATCH(cadangan[[#This Row],[ItemID A]],Katalog!$C$3:$C$12,0))*cadangan[[#This Row],[Qty A]],0)</f>
        <v>27500</v>
      </c>
      <c r="L558" s="39" t="s">
        <v>61</v>
      </c>
      <c r="M558" s="39" t="str">
        <f>IFERROR(INDEX(Katalog!$A$3:$A$12,MATCH(cadangan[[#This Row],[ItemID B]],Katalog!$C$3:$C$12,0)),"-")</f>
        <v>Pakaian Pria</v>
      </c>
      <c r="N558" s="39" t="str">
        <f>IFERROR(INDEX(Katalog!$B$3:$B$12,MATCH(cadangan[[#This Row],[ItemID B]],Katalog!$C$3:$C$12,0)),"-")</f>
        <v>Kaos Polo</v>
      </c>
      <c r="O558" s="50">
        <v>1</v>
      </c>
      <c r="P558" s="50">
        <v>3</v>
      </c>
      <c r="Q558" s="73">
        <f>IFERROR(INDEX(Katalog!$D$3:$D$12,MATCH(cadangan[[#This Row],[ItemID B]],Katalog!$C$3:$C$12,0))*cadangan[[#This Row],[Qty B]],0)</f>
        <v>200000</v>
      </c>
      <c r="R558" s="73">
        <f>IFERROR(cadangan[[#This Row],[Harga Normal B]]-(cadangan[[#This Row],[Harga Normal B]]*cadangan[[#This Row],[Diskon]]),cadangan[[#This Row],[Harga Normal B]])</f>
        <v>170000</v>
      </c>
      <c r="S558" s="73">
        <f>IFERROR(INDEX(Katalog!$F$3:$F$12,MATCH(cadangan[[#This Row],[ItemID B]],Katalog!$C$3:$C$12,0))*cadangan[[#This Row],[Qty B]],0)</f>
        <v>80000</v>
      </c>
      <c r="T558" s="73">
        <f>IFERROR(cadangan[[#This Row],[Harga Diskon B]]-INDEX(Katalog!$E$3:$E$12,MATCH(cadangan[[#This Row],[ItemID B]],Katalog!$C$3:$C$12,0))*cadangan[[#This Row],[Qty B]],0)</f>
        <v>50000</v>
      </c>
      <c r="V558" s="39" t="str">
        <f>IFERROR(INDEX(Katalog!$A$3:$A$12,MATCH(cadangan[[#This Row],[ItemID C]],Katalog!$C$3:$C$12,0)),"-")</f>
        <v>-</v>
      </c>
      <c r="W558" s="39" t="str">
        <f>IFERROR(INDEX(Katalog!$B$3:$B$12,MATCH(cadangan[[#This Row],[ItemID C]],Katalog!$C$3:$C$12,0)),"-")</f>
        <v>-</v>
      </c>
      <c r="Z558" s="73">
        <f>IFERROR(INDEX(Katalog!$D$3:$D$12,MATCH(cadangan[[#This Row],[ItemID C]],Katalog!$C$3:$C$12,0))*cadangan[[#This Row],[Qty C]],0)</f>
        <v>0</v>
      </c>
      <c r="AA558" s="73">
        <f>IFERROR(cadangan[[#This Row],[Harga Normal C]]-(cadangan[[#This Row],[Harga Normal C]]*cadangan[[#This Row],[Diskon]]),cadangan[[#This Row],[Harga Normal C]])</f>
        <v>0</v>
      </c>
      <c r="AB558" s="73">
        <f>IFERROR(INDEX(Katalog!$F$3:$F$12,MATCH(cadangan[[#This Row],[ItemID C]],Katalog!$C$3:$C$12,0))*cadangan[[#This Row],[Qty C]],0)</f>
        <v>0</v>
      </c>
      <c r="AC558" s="73">
        <f>IFERROR(cadangan[[#This Row],[Harga Diskon C]]-INDEX(Katalog!$E$3:$E$12,MATCH(cadangan[[#This Row],[ItemID C]],Katalog!$C$3:$C$12,0))*cadangan[[#This Row],[Qty C]],0)</f>
        <v>0</v>
      </c>
      <c r="AD558" s="53">
        <f>cadangan[[#This Row],[Qty A]]+cadangan[[#This Row],[Qty B]]+cadangan[[#This Row],[Qty C]]</f>
        <v>2</v>
      </c>
      <c r="AE558" s="73">
        <f>cadangan[[#This Row],[Harga Normal A]]+cadangan[[#This Row],[Harga Normal B]]+cadangan[[#This Row],[Harga Normal C]]</f>
        <v>350000</v>
      </c>
      <c r="AF558" s="73">
        <f>cadangan[[#This Row],[Harga Diskon A]]+cadangan[[#This Row],[Harga Diskon B]]+cadangan[[#This Row],[Harga Diskon C]]</f>
        <v>297500</v>
      </c>
      <c r="AG558" s="73">
        <f>(cadangan[[#This Row],[Profit Normal A]]+cadangan[[#This Row],[Profit Normal B]]+cadangan[[#This Row],[Profit Normal C]])</f>
        <v>130000</v>
      </c>
      <c r="AH558" s="73">
        <f>cadangan[[#This Row],[Profit Diskon A]]+cadangan[[#This Row],[Profit Diskon B]]+cadangan[[#This Row],[Profit Diskon C]]</f>
        <v>77500</v>
      </c>
      <c r="AI558" s="23" t="s">
        <v>13</v>
      </c>
      <c r="AJ558" s="37">
        <f>IFERROR(INDEX('Kode Diskon'!$D$3:$D$9,MATCH(cadangan[[#This Row],[Kode diskon]],'Kode Diskon'!$C$3:$C$9,0)),"-")</f>
        <v>0.15</v>
      </c>
      <c r="AK558" s="23" t="s">
        <v>29</v>
      </c>
      <c r="AL558" s="23" t="s">
        <v>7</v>
      </c>
      <c r="AM558" s="23" t="s">
        <v>76</v>
      </c>
      <c r="AN558" s="55">
        <v>45017</v>
      </c>
      <c r="AO558" s="53">
        <f>DAY(cadangan[[#This Row],[Tanggal terjual]])</f>
        <v>1</v>
      </c>
      <c r="AP558" s="21" t="str">
        <f>TEXT(cadangan[[#This Row],[Tanggal terjual]],"dddd")</f>
        <v>Saturday</v>
      </c>
      <c r="AQ558" s="23" t="str" cm="1">
        <f t="array" ref="AQ5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58" s="61">
        <f>AVERAGE(cadangan[[#This Row],[Rating A]],cadangan[[#This Row],[Rating B]],cadangan[[#This Row],[Rating C]])</f>
        <v>3.5</v>
      </c>
    </row>
    <row r="559" spans="1:44" x14ac:dyDescent="0.2">
      <c r="A559" s="20">
        <v>558</v>
      </c>
      <c r="B559" s="21" t="str">
        <f>_xlfn.CONCAT("ORD-",INDEX(Helper!$B$2:$B$5,MATCH(cadangan[[#This Row],[Marketplace]],Helper!$A$2:$A$5,0)),TEXT(cadangan[[#This Row],[No]],"0000"),"-",TEXT(cadangan[[#This Row],[Tanggal terjual]],"dd/mm/yy"))</f>
        <v>ORD-SP0558-24/04/23</v>
      </c>
      <c r="C559" s="39" t="s">
        <v>63</v>
      </c>
      <c r="D559" s="39" t="str">
        <f>IFERROR(INDEX(Katalog!$A$3:$A$12,MATCH(cadangan[[#This Row],[ItemID A]],Katalog!$C$3:$C$12,0)),"-")</f>
        <v>Pakaian Pria</v>
      </c>
      <c r="E559" s="39" t="str">
        <f>IFERROR(INDEX(Katalog!$B$3:$B$12,MATCH(cadangan[[#This Row],[ItemID A]],Katalog!$C$3:$C$12,0)),"-")</f>
        <v>Jaket Jeans</v>
      </c>
      <c r="F559" s="50">
        <v>5</v>
      </c>
      <c r="G559" s="50">
        <v>4</v>
      </c>
      <c r="H559" s="73">
        <f>IFERROR(INDEX(Katalog!$D$3:$D$12,MATCH(cadangan[[#This Row],[ItemID A]],Katalog!$C$3:$C$12,0))*cadangan[[#This Row],[Qty A]],0)</f>
        <v>2000000</v>
      </c>
      <c r="I559" s="73">
        <f>IFERROR(cadangan[[#This Row],[Harga Normal A]]-(cadangan[[#This Row],[Harga Normal A]]*cadangan[[#This Row],[Diskon]]),cadangan[[#This Row],[Harga Normal A]])</f>
        <v>1600000</v>
      </c>
      <c r="J559" s="73">
        <f>INDEX(Katalog!$F$3:$F$12,MATCH(cadangan[[#This Row],[ItemID A]],Katalog!$C$3:$C$12,0))*cadangan[[#This Row],[Qty A]]</f>
        <v>750000</v>
      </c>
      <c r="K559" s="73">
        <f>IFERROR(cadangan[[#This Row],[Harga Diskon A]]-INDEX(Katalog!$E$3:$E$12,MATCH(cadangan[[#This Row],[ItemID A]],Katalog!$C$3:$C$12,0))*cadangan[[#This Row],[Qty A]],0)</f>
        <v>350000</v>
      </c>
      <c r="L559" s="39" t="s">
        <v>60</v>
      </c>
      <c r="M559" s="39" t="str">
        <f>IFERROR(INDEX(Katalog!$A$3:$A$12,MATCH(cadangan[[#This Row],[ItemID B]],Katalog!$C$3:$C$12,0)),"-")</f>
        <v>Pakaian Wanita</v>
      </c>
      <c r="N559" s="39" t="str">
        <f>IFERROR(INDEX(Katalog!$B$3:$B$12,MATCH(cadangan[[#This Row],[ItemID B]],Katalog!$C$3:$C$12,0)),"-")</f>
        <v>Kaftan</v>
      </c>
      <c r="O559" s="50">
        <v>1</v>
      </c>
      <c r="P559" s="50">
        <v>2</v>
      </c>
      <c r="Q559" s="73">
        <f>IFERROR(INDEX(Katalog!$D$3:$D$12,MATCH(cadangan[[#This Row],[ItemID B]],Katalog!$C$3:$C$12,0))*cadangan[[#This Row],[Qty B]],0)</f>
        <v>250000</v>
      </c>
      <c r="R559" s="73">
        <f>IFERROR(cadangan[[#This Row],[Harga Normal B]]-(cadangan[[#This Row],[Harga Normal B]]*cadangan[[#This Row],[Diskon]]),cadangan[[#This Row],[Harga Normal B]])</f>
        <v>200000</v>
      </c>
      <c r="S559" s="73">
        <f>IFERROR(INDEX(Katalog!$F$3:$F$12,MATCH(cadangan[[#This Row],[ItemID B]],Katalog!$C$3:$C$12,0))*cadangan[[#This Row],[Qty B]],0)</f>
        <v>100000</v>
      </c>
      <c r="T559" s="73">
        <f>IFERROR(cadangan[[#This Row],[Harga Diskon B]]-INDEX(Katalog!$E$3:$E$12,MATCH(cadangan[[#This Row],[ItemID B]],Katalog!$C$3:$C$12,0))*cadangan[[#This Row],[Qty B]],0)</f>
        <v>50000</v>
      </c>
      <c r="V559" s="39" t="str">
        <f>IFERROR(INDEX(Katalog!$A$3:$A$12,MATCH(cadangan[[#This Row],[ItemID C]],Katalog!$C$3:$C$12,0)),"-")</f>
        <v>-</v>
      </c>
      <c r="W559" s="39" t="str">
        <f>IFERROR(INDEX(Katalog!$B$3:$B$12,MATCH(cadangan[[#This Row],[ItemID C]],Katalog!$C$3:$C$12,0)),"-")</f>
        <v>-</v>
      </c>
      <c r="Z559" s="73">
        <f>IFERROR(INDEX(Katalog!$D$3:$D$12,MATCH(cadangan[[#This Row],[ItemID C]],Katalog!$C$3:$C$12,0))*cadangan[[#This Row],[Qty C]],0)</f>
        <v>0</v>
      </c>
      <c r="AA559" s="73">
        <f>IFERROR(cadangan[[#This Row],[Harga Normal C]]-(cadangan[[#This Row],[Harga Normal C]]*cadangan[[#This Row],[Diskon]]),cadangan[[#This Row],[Harga Normal C]])</f>
        <v>0</v>
      </c>
      <c r="AB559" s="73">
        <f>IFERROR(INDEX(Katalog!$F$3:$F$12,MATCH(cadangan[[#This Row],[ItemID C]],Katalog!$C$3:$C$12,0))*cadangan[[#This Row],[Qty C]],0)</f>
        <v>0</v>
      </c>
      <c r="AC559" s="73">
        <f>IFERROR(cadangan[[#This Row],[Harga Diskon C]]-INDEX(Katalog!$E$3:$E$12,MATCH(cadangan[[#This Row],[ItemID C]],Katalog!$C$3:$C$12,0))*cadangan[[#This Row],[Qty C]],0)</f>
        <v>0</v>
      </c>
      <c r="AD559" s="53">
        <f>cadangan[[#This Row],[Qty A]]+cadangan[[#This Row],[Qty B]]+cadangan[[#This Row],[Qty C]]</f>
        <v>6</v>
      </c>
      <c r="AE559" s="73">
        <f>cadangan[[#This Row],[Harga Normal A]]+cadangan[[#This Row],[Harga Normal B]]+cadangan[[#This Row],[Harga Normal C]]</f>
        <v>2250000</v>
      </c>
      <c r="AF559" s="73">
        <f>cadangan[[#This Row],[Harga Diskon A]]+cadangan[[#This Row],[Harga Diskon B]]+cadangan[[#This Row],[Harga Diskon C]]</f>
        <v>1800000</v>
      </c>
      <c r="AG559" s="73">
        <f>(cadangan[[#This Row],[Profit Normal A]]+cadangan[[#This Row],[Profit Normal B]]+cadangan[[#This Row],[Profit Normal C]])</f>
        <v>850000</v>
      </c>
      <c r="AH559" s="73">
        <f>cadangan[[#This Row],[Profit Diskon A]]+cadangan[[#This Row],[Profit Diskon B]]+cadangan[[#This Row],[Profit Diskon C]]</f>
        <v>400000</v>
      </c>
      <c r="AI559" s="23" t="s">
        <v>8</v>
      </c>
      <c r="AJ559" s="37">
        <f>IFERROR(INDEX('Kode Diskon'!$D$3:$D$9,MATCH(cadangan[[#This Row],[Kode diskon]],'Kode Diskon'!$C$3:$C$9,0)),"-")</f>
        <v>0.2</v>
      </c>
      <c r="AK559" s="23" t="s">
        <v>9</v>
      </c>
      <c r="AL559" s="23" t="s">
        <v>7</v>
      </c>
      <c r="AM559" s="23" t="s">
        <v>77</v>
      </c>
      <c r="AN559" s="55">
        <v>45040</v>
      </c>
      <c r="AO559" s="53">
        <f>DAY(cadangan[[#This Row],[Tanggal terjual]])</f>
        <v>24</v>
      </c>
      <c r="AP559" s="21" t="str">
        <f>TEXT(cadangan[[#This Row],[Tanggal terjual]],"dddd")</f>
        <v>Monday</v>
      </c>
      <c r="AQ559" s="23" t="str" cm="1">
        <f t="array" ref="AQ5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59" s="61">
        <f>AVERAGE(cadangan[[#This Row],[Rating A]],cadangan[[#This Row],[Rating B]],cadangan[[#This Row],[Rating C]])</f>
        <v>3</v>
      </c>
    </row>
    <row r="560" spans="1:44" x14ac:dyDescent="0.2">
      <c r="A560" s="20">
        <v>559</v>
      </c>
      <c r="B560" s="21" t="str">
        <f>_xlfn.CONCAT("ORD-",INDEX(Helper!$B$2:$B$5,MATCH(cadangan[[#This Row],[Marketplace]],Helper!$A$2:$A$5,0)),TEXT(cadangan[[#This Row],[No]],"0000"),"-",TEXT(cadangan[[#This Row],[Tanggal terjual]],"dd/mm/yy"))</f>
        <v>ORD-BL0559-25/04/23</v>
      </c>
      <c r="C560" s="39" t="s">
        <v>60</v>
      </c>
      <c r="D560" s="39" t="str">
        <f>IFERROR(INDEX(Katalog!$A$3:$A$12,MATCH(cadangan[[#This Row],[ItemID A]],Katalog!$C$3:$C$12,0)),"-")</f>
        <v>Pakaian Wanita</v>
      </c>
      <c r="E560" s="39" t="str">
        <f>IFERROR(INDEX(Katalog!$B$3:$B$12,MATCH(cadangan[[#This Row],[ItemID A]],Katalog!$C$3:$C$12,0)),"-")</f>
        <v>Kaftan</v>
      </c>
      <c r="F560" s="50">
        <v>1</v>
      </c>
      <c r="G560" s="50">
        <v>3</v>
      </c>
      <c r="H560" s="73">
        <f>IFERROR(INDEX(Katalog!$D$3:$D$12,MATCH(cadangan[[#This Row],[ItemID A]],Katalog!$C$3:$C$12,0))*cadangan[[#This Row],[Qty A]],0)</f>
        <v>250000</v>
      </c>
      <c r="I560" s="73">
        <f>IFERROR(cadangan[[#This Row],[Harga Normal A]]-(cadangan[[#This Row],[Harga Normal A]]*cadangan[[#This Row],[Diskon]]),cadangan[[#This Row],[Harga Normal A]])</f>
        <v>212500</v>
      </c>
      <c r="J560" s="73">
        <f>INDEX(Katalog!$F$3:$F$12,MATCH(cadangan[[#This Row],[ItemID A]],Katalog!$C$3:$C$12,0))*cadangan[[#This Row],[Qty A]]</f>
        <v>100000</v>
      </c>
      <c r="K560" s="73">
        <f>IFERROR(cadangan[[#This Row],[Harga Diskon A]]-INDEX(Katalog!$E$3:$E$12,MATCH(cadangan[[#This Row],[ItemID A]],Katalog!$C$3:$C$12,0))*cadangan[[#This Row],[Qty A]],0)</f>
        <v>62500</v>
      </c>
      <c r="L560" s="39" t="s">
        <v>58</v>
      </c>
      <c r="M560" s="39" t="str">
        <f>IFERROR(INDEX(Katalog!$A$3:$A$12,MATCH(cadangan[[#This Row],[ItemID B]],Katalog!$C$3:$C$12,0)),"-")</f>
        <v>Pakaian Wanita</v>
      </c>
      <c r="N560" s="39" t="str">
        <f>IFERROR(INDEX(Katalog!$B$3:$B$12,MATCH(cadangan[[#This Row],[ItemID B]],Katalog!$C$3:$C$12,0)),"-")</f>
        <v>Dress</v>
      </c>
      <c r="O560" s="50">
        <v>4</v>
      </c>
      <c r="P560" s="50">
        <v>4</v>
      </c>
      <c r="Q560" s="73">
        <f>IFERROR(INDEX(Katalog!$D$3:$D$12,MATCH(cadangan[[#This Row],[ItemID B]],Katalog!$C$3:$C$12,0))*cadangan[[#This Row],[Qty B]],0)</f>
        <v>1200000</v>
      </c>
      <c r="R560" s="73">
        <f>IFERROR(cadangan[[#This Row],[Harga Normal B]]-(cadangan[[#This Row],[Harga Normal B]]*cadangan[[#This Row],[Diskon]]),cadangan[[#This Row],[Harga Normal B]])</f>
        <v>1020000</v>
      </c>
      <c r="S560" s="73">
        <f>IFERROR(INDEX(Katalog!$F$3:$F$12,MATCH(cadangan[[#This Row],[ItemID B]],Katalog!$C$3:$C$12,0))*cadangan[[#This Row],[Qty B]],0)</f>
        <v>400000</v>
      </c>
      <c r="T560" s="73">
        <f>IFERROR(cadangan[[#This Row],[Harga Diskon B]]-INDEX(Katalog!$E$3:$E$12,MATCH(cadangan[[#This Row],[ItemID B]],Katalog!$C$3:$C$12,0))*cadangan[[#This Row],[Qty B]],0)</f>
        <v>220000</v>
      </c>
      <c r="U560" s="39" t="s">
        <v>59</v>
      </c>
      <c r="V560" s="39" t="str">
        <f>IFERROR(INDEX(Katalog!$A$3:$A$12,MATCH(cadangan[[#This Row],[ItemID C]],Katalog!$C$3:$C$12,0)),"-")</f>
        <v>Pakaian Wanita</v>
      </c>
      <c r="W560" s="39" t="str">
        <f>IFERROR(INDEX(Katalog!$B$3:$B$12,MATCH(cadangan[[#This Row],[ItemID C]],Katalog!$C$3:$C$12,0)),"-")</f>
        <v>Blouse</v>
      </c>
      <c r="X560" s="50">
        <v>1</v>
      </c>
      <c r="Y560" s="50">
        <v>1</v>
      </c>
      <c r="Z560" s="73">
        <f>IFERROR(INDEX(Katalog!$D$3:$D$12,MATCH(cadangan[[#This Row],[ItemID C]],Katalog!$C$3:$C$12,0))*cadangan[[#This Row],[Qty C]],0)</f>
        <v>150000</v>
      </c>
      <c r="AA560" s="73">
        <f>IFERROR(cadangan[[#This Row],[Harga Normal C]]-(cadangan[[#This Row],[Harga Normal C]]*cadangan[[#This Row],[Diskon]]),cadangan[[#This Row],[Harga Normal C]])</f>
        <v>127500</v>
      </c>
      <c r="AB560" s="73">
        <f>IFERROR(INDEX(Katalog!$F$3:$F$12,MATCH(cadangan[[#This Row],[ItemID C]],Katalog!$C$3:$C$12,0))*cadangan[[#This Row],[Qty C]],0)</f>
        <v>50000</v>
      </c>
      <c r="AC560" s="73">
        <f>IFERROR(cadangan[[#This Row],[Harga Diskon C]]-INDEX(Katalog!$E$3:$E$12,MATCH(cadangan[[#This Row],[ItemID C]],Katalog!$C$3:$C$12,0))*cadangan[[#This Row],[Qty C]],0)</f>
        <v>27500</v>
      </c>
      <c r="AD560" s="53">
        <f>cadangan[[#This Row],[Qty A]]+cadangan[[#This Row],[Qty B]]+cadangan[[#This Row],[Qty C]]</f>
        <v>6</v>
      </c>
      <c r="AE560" s="73">
        <f>cadangan[[#This Row],[Harga Normal A]]+cadangan[[#This Row],[Harga Normal B]]+cadangan[[#This Row],[Harga Normal C]]</f>
        <v>1600000</v>
      </c>
      <c r="AF560" s="73">
        <f>cadangan[[#This Row],[Harga Diskon A]]+cadangan[[#This Row],[Harga Diskon B]]+cadangan[[#This Row],[Harga Diskon C]]</f>
        <v>1360000</v>
      </c>
      <c r="AG560" s="73">
        <f>(cadangan[[#This Row],[Profit Normal A]]+cadangan[[#This Row],[Profit Normal B]]+cadangan[[#This Row],[Profit Normal C]])</f>
        <v>550000</v>
      </c>
      <c r="AH560" s="73">
        <f>cadangan[[#This Row],[Profit Diskon A]]+cadangan[[#This Row],[Profit Diskon B]]+cadangan[[#This Row],[Profit Diskon C]]</f>
        <v>310000</v>
      </c>
      <c r="AI560" s="23" t="s">
        <v>32</v>
      </c>
      <c r="AJ560" s="37">
        <f>IFERROR(INDEX('Kode Diskon'!$D$3:$D$9,MATCH(cadangan[[#This Row],[Kode diskon]],'Kode Diskon'!$C$3:$C$9,0)),"-")</f>
        <v>0.15</v>
      </c>
      <c r="AK560" s="23" t="s">
        <v>9</v>
      </c>
      <c r="AL560" s="23" t="s">
        <v>12</v>
      </c>
      <c r="AM560" s="23" t="s">
        <v>79</v>
      </c>
      <c r="AN560" s="55">
        <v>45041</v>
      </c>
      <c r="AO560" s="53">
        <f>DAY(cadangan[[#This Row],[Tanggal terjual]])</f>
        <v>25</v>
      </c>
      <c r="AP560" s="21" t="str">
        <f>TEXT(cadangan[[#This Row],[Tanggal terjual]],"dddd")</f>
        <v>Tuesday</v>
      </c>
      <c r="AQ560" s="23" t="str" cm="1">
        <f t="array" ref="AQ5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60" s="61">
        <f>AVERAGE(cadangan[[#This Row],[Rating A]],cadangan[[#This Row],[Rating B]],cadangan[[#This Row],[Rating C]])</f>
        <v>2.6666666666666665</v>
      </c>
    </row>
    <row r="561" spans="1:44" x14ac:dyDescent="0.2">
      <c r="A561" s="20">
        <v>560</v>
      </c>
      <c r="B561" s="21" t="str">
        <f>_xlfn.CONCAT("ORD-",INDEX(Helper!$B$2:$B$5,MATCH(cadangan[[#This Row],[Marketplace]],Helper!$A$2:$A$5,0)),TEXT(cadangan[[#This Row],[No]],"0000"),"-",TEXT(cadangan[[#This Row],[Tanggal terjual]],"dd/mm/yy"))</f>
        <v>ORD-SP0560-05/04/23</v>
      </c>
      <c r="C561" s="39" t="s">
        <v>62</v>
      </c>
      <c r="D561" s="39" t="str">
        <f>IFERROR(INDEX(Katalog!$A$3:$A$12,MATCH(cadangan[[#This Row],[ItemID A]],Katalog!$C$3:$C$12,0)),"-")</f>
        <v>Pakaian Pria</v>
      </c>
      <c r="E561" s="39" t="str">
        <f>IFERROR(INDEX(Katalog!$B$3:$B$12,MATCH(cadangan[[#This Row],[ItemID A]],Katalog!$C$3:$C$12,0)),"-")</f>
        <v>Celana Pendek</v>
      </c>
      <c r="F561" s="50">
        <v>3</v>
      </c>
      <c r="G561" s="50">
        <v>2</v>
      </c>
      <c r="H561" s="73">
        <f>IFERROR(INDEX(Katalog!$D$3:$D$12,MATCH(cadangan[[#This Row],[ItemID A]],Katalog!$C$3:$C$12,0))*cadangan[[#This Row],[Qty A]],0)</f>
        <v>540000</v>
      </c>
      <c r="I561" s="73">
        <f>IFERROR(cadangan[[#This Row],[Harga Normal A]]-(cadangan[[#This Row],[Harga Normal A]]*cadangan[[#This Row],[Diskon]]),cadangan[[#This Row],[Harga Normal A]])</f>
        <v>459000</v>
      </c>
      <c r="J561" s="73">
        <f>INDEX(Katalog!$F$3:$F$12,MATCH(cadangan[[#This Row],[ItemID A]],Katalog!$C$3:$C$12,0))*cadangan[[#This Row],[Qty A]]</f>
        <v>210000</v>
      </c>
      <c r="K561" s="73">
        <f>IFERROR(cadangan[[#This Row],[Harga Diskon A]]-INDEX(Katalog!$E$3:$E$12,MATCH(cadangan[[#This Row],[ItemID A]],Katalog!$C$3:$C$12,0))*cadangan[[#This Row],[Qty A]],0)</f>
        <v>129000</v>
      </c>
      <c r="L561" s="39" t="s">
        <v>60</v>
      </c>
      <c r="M561" s="39" t="str">
        <f>IFERROR(INDEX(Katalog!$A$3:$A$12,MATCH(cadangan[[#This Row],[ItemID B]],Katalog!$C$3:$C$12,0)),"-")</f>
        <v>Pakaian Wanita</v>
      </c>
      <c r="N561" s="39" t="str">
        <f>IFERROR(INDEX(Katalog!$B$3:$B$12,MATCH(cadangan[[#This Row],[ItemID B]],Katalog!$C$3:$C$12,0)),"-")</f>
        <v>Kaftan</v>
      </c>
      <c r="O561" s="50">
        <v>1</v>
      </c>
      <c r="P561" s="50">
        <v>3</v>
      </c>
      <c r="Q561" s="73">
        <f>IFERROR(INDEX(Katalog!$D$3:$D$12,MATCH(cadangan[[#This Row],[ItemID B]],Katalog!$C$3:$C$12,0))*cadangan[[#This Row],[Qty B]],0)</f>
        <v>250000</v>
      </c>
      <c r="R561" s="73">
        <f>IFERROR(cadangan[[#This Row],[Harga Normal B]]-(cadangan[[#This Row],[Harga Normal B]]*cadangan[[#This Row],[Diskon]]),cadangan[[#This Row],[Harga Normal B]])</f>
        <v>212500</v>
      </c>
      <c r="S561" s="73">
        <f>IFERROR(INDEX(Katalog!$F$3:$F$12,MATCH(cadangan[[#This Row],[ItemID B]],Katalog!$C$3:$C$12,0))*cadangan[[#This Row],[Qty B]],0)</f>
        <v>100000</v>
      </c>
      <c r="T561" s="73">
        <f>IFERROR(cadangan[[#This Row],[Harga Diskon B]]-INDEX(Katalog!$E$3:$E$12,MATCH(cadangan[[#This Row],[ItemID B]],Katalog!$C$3:$C$12,0))*cadangan[[#This Row],[Qty B]],0)</f>
        <v>62500</v>
      </c>
      <c r="V561" s="39" t="str">
        <f>IFERROR(INDEX(Katalog!$A$3:$A$12,MATCH(cadangan[[#This Row],[ItemID C]],Katalog!$C$3:$C$12,0)),"-")</f>
        <v>-</v>
      </c>
      <c r="W561" s="39" t="str">
        <f>IFERROR(INDEX(Katalog!$B$3:$B$12,MATCH(cadangan[[#This Row],[ItemID C]],Katalog!$C$3:$C$12,0)),"-")</f>
        <v>-</v>
      </c>
      <c r="Z561" s="73">
        <f>IFERROR(INDEX(Katalog!$D$3:$D$12,MATCH(cadangan[[#This Row],[ItemID C]],Katalog!$C$3:$C$12,0))*cadangan[[#This Row],[Qty C]],0)</f>
        <v>0</v>
      </c>
      <c r="AA561" s="73">
        <f>IFERROR(cadangan[[#This Row],[Harga Normal C]]-(cadangan[[#This Row],[Harga Normal C]]*cadangan[[#This Row],[Diskon]]),cadangan[[#This Row],[Harga Normal C]])</f>
        <v>0</v>
      </c>
      <c r="AB561" s="73">
        <f>IFERROR(INDEX(Katalog!$F$3:$F$12,MATCH(cadangan[[#This Row],[ItemID C]],Katalog!$C$3:$C$12,0))*cadangan[[#This Row],[Qty C]],0)</f>
        <v>0</v>
      </c>
      <c r="AC561" s="73">
        <f>IFERROR(cadangan[[#This Row],[Harga Diskon C]]-INDEX(Katalog!$E$3:$E$12,MATCH(cadangan[[#This Row],[ItemID C]],Katalog!$C$3:$C$12,0))*cadangan[[#This Row],[Qty C]],0)</f>
        <v>0</v>
      </c>
      <c r="AD561" s="53">
        <f>cadangan[[#This Row],[Qty A]]+cadangan[[#This Row],[Qty B]]+cadangan[[#This Row],[Qty C]]</f>
        <v>4</v>
      </c>
      <c r="AE561" s="73">
        <f>cadangan[[#This Row],[Harga Normal A]]+cadangan[[#This Row],[Harga Normal B]]+cadangan[[#This Row],[Harga Normal C]]</f>
        <v>790000</v>
      </c>
      <c r="AF561" s="73">
        <f>cadangan[[#This Row],[Harga Diskon A]]+cadangan[[#This Row],[Harga Diskon B]]+cadangan[[#This Row],[Harga Diskon C]]</f>
        <v>671500</v>
      </c>
      <c r="AG561" s="73">
        <f>(cadangan[[#This Row],[Profit Normal A]]+cadangan[[#This Row],[Profit Normal B]]+cadangan[[#This Row],[Profit Normal C]])</f>
        <v>310000</v>
      </c>
      <c r="AH561" s="73">
        <f>cadangan[[#This Row],[Profit Diskon A]]+cadangan[[#This Row],[Profit Diskon B]]+cadangan[[#This Row],[Profit Diskon C]]</f>
        <v>191500</v>
      </c>
      <c r="AI561" s="23" t="s">
        <v>13</v>
      </c>
      <c r="AJ561" s="37">
        <f>IFERROR(INDEX('Kode Diskon'!$D$3:$D$9,MATCH(cadangan[[#This Row],[Kode diskon]],'Kode Diskon'!$C$3:$C$9,0)),"-")</f>
        <v>0.15</v>
      </c>
      <c r="AK561" s="23" t="s">
        <v>29</v>
      </c>
      <c r="AL561" s="23" t="s">
        <v>7</v>
      </c>
      <c r="AM561" s="23" t="s">
        <v>80</v>
      </c>
      <c r="AN561" s="55">
        <v>45021</v>
      </c>
      <c r="AO561" s="53">
        <f>DAY(cadangan[[#This Row],[Tanggal terjual]])</f>
        <v>5</v>
      </c>
      <c r="AP561" s="21" t="str">
        <f>TEXT(cadangan[[#This Row],[Tanggal terjual]],"dddd")</f>
        <v>Wednesday</v>
      </c>
      <c r="AQ561" s="23" t="str" cm="1">
        <f t="array" ref="AQ5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1" s="61">
        <f>AVERAGE(cadangan[[#This Row],[Rating A]],cadangan[[#This Row],[Rating B]],cadangan[[#This Row],[Rating C]])</f>
        <v>2.5</v>
      </c>
    </row>
    <row r="562" spans="1:44" x14ac:dyDescent="0.2">
      <c r="A562" s="20">
        <v>561</v>
      </c>
      <c r="B562" s="21" t="str">
        <f>_xlfn.CONCAT("ORD-",INDEX(Helper!$B$2:$B$5,MATCH(cadangan[[#This Row],[Marketplace]],Helper!$A$2:$A$5,0)),TEXT(cadangan[[#This Row],[No]],"0000"),"-",TEXT(cadangan[[#This Row],[Tanggal terjual]],"dd/mm/yy"))</f>
        <v>ORD-SP0561-06/04/23</v>
      </c>
      <c r="C562" s="39" t="s">
        <v>58</v>
      </c>
      <c r="D562" s="39" t="str">
        <f>IFERROR(INDEX(Katalog!$A$3:$A$12,MATCH(cadangan[[#This Row],[ItemID A]],Katalog!$C$3:$C$12,0)),"-")</f>
        <v>Pakaian Wanita</v>
      </c>
      <c r="E562" s="39" t="str">
        <f>IFERROR(INDEX(Katalog!$B$3:$B$12,MATCH(cadangan[[#This Row],[ItemID A]],Katalog!$C$3:$C$12,0)),"-")</f>
        <v>Dress</v>
      </c>
      <c r="F562" s="50">
        <v>3</v>
      </c>
      <c r="G562" s="50">
        <v>4</v>
      </c>
      <c r="H562" s="73">
        <f>IFERROR(INDEX(Katalog!$D$3:$D$12,MATCH(cadangan[[#This Row],[ItemID A]],Katalog!$C$3:$C$12,0))*cadangan[[#This Row],[Qty A]],0)</f>
        <v>900000</v>
      </c>
      <c r="I562" s="73">
        <f>IFERROR(cadangan[[#This Row],[Harga Normal A]]-(cadangan[[#This Row],[Harga Normal A]]*cadangan[[#This Row],[Diskon]]),cadangan[[#This Row],[Harga Normal A]])</f>
        <v>765000</v>
      </c>
      <c r="J562" s="73">
        <f>INDEX(Katalog!$F$3:$F$12,MATCH(cadangan[[#This Row],[ItemID A]],Katalog!$C$3:$C$12,0))*cadangan[[#This Row],[Qty A]]</f>
        <v>300000</v>
      </c>
      <c r="K562" s="73">
        <f>IFERROR(cadangan[[#This Row],[Harga Diskon A]]-INDEX(Katalog!$E$3:$E$12,MATCH(cadangan[[#This Row],[ItemID A]],Katalog!$C$3:$C$12,0))*cadangan[[#This Row],[Qty A]],0)</f>
        <v>165000</v>
      </c>
      <c r="L562" s="39" t="s">
        <v>59</v>
      </c>
      <c r="M562" s="39" t="str">
        <f>IFERROR(INDEX(Katalog!$A$3:$A$12,MATCH(cadangan[[#This Row],[ItemID B]],Katalog!$C$3:$C$12,0)),"-")</f>
        <v>Pakaian Wanita</v>
      </c>
      <c r="N562" s="39" t="str">
        <f>IFERROR(INDEX(Katalog!$B$3:$B$12,MATCH(cadangan[[#This Row],[ItemID B]],Katalog!$C$3:$C$12,0)),"-")</f>
        <v>Blouse</v>
      </c>
      <c r="O562" s="50">
        <v>2</v>
      </c>
      <c r="P562" s="50">
        <v>4</v>
      </c>
      <c r="Q562" s="73">
        <f>IFERROR(INDEX(Katalog!$D$3:$D$12,MATCH(cadangan[[#This Row],[ItemID B]],Katalog!$C$3:$C$12,0))*cadangan[[#This Row],[Qty B]],0)</f>
        <v>300000</v>
      </c>
      <c r="R562" s="73">
        <f>IFERROR(cadangan[[#This Row],[Harga Normal B]]-(cadangan[[#This Row],[Harga Normal B]]*cadangan[[#This Row],[Diskon]]),cadangan[[#This Row],[Harga Normal B]])</f>
        <v>255000</v>
      </c>
      <c r="S562" s="73">
        <f>IFERROR(INDEX(Katalog!$F$3:$F$12,MATCH(cadangan[[#This Row],[ItemID B]],Katalog!$C$3:$C$12,0))*cadangan[[#This Row],[Qty B]],0)</f>
        <v>100000</v>
      </c>
      <c r="T562" s="73">
        <f>IFERROR(cadangan[[#This Row],[Harga Diskon B]]-INDEX(Katalog!$E$3:$E$12,MATCH(cadangan[[#This Row],[ItemID B]],Katalog!$C$3:$C$12,0))*cadangan[[#This Row],[Qty B]],0)</f>
        <v>55000</v>
      </c>
      <c r="V562" s="39" t="str">
        <f>IFERROR(INDEX(Katalog!$A$3:$A$12,MATCH(cadangan[[#This Row],[ItemID C]],Katalog!$C$3:$C$12,0)),"-")</f>
        <v>-</v>
      </c>
      <c r="W562" s="39" t="str">
        <f>IFERROR(INDEX(Katalog!$B$3:$B$12,MATCH(cadangan[[#This Row],[ItemID C]],Katalog!$C$3:$C$12,0)),"-")</f>
        <v>-</v>
      </c>
      <c r="Z562" s="73">
        <f>IFERROR(INDEX(Katalog!$D$3:$D$12,MATCH(cadangan[[#This Row],[ItemID C]],Katalog!$C$3:$C$12,0))*cadangan[[#This Row],[Qty C]],0)</f>
        <v>0</v>
      </c>
      <c r="AA562" s="73">
        <f>IFERROR(cadangan[[#This Row],[Harga Normal C]]-(cadangan[[#This Row],[Harga Normal C]]*cadangan[[#This Row],[Diskon]]),cadangan[[#This Row],[Harga Normal C]])</f>
        <v>0</v>
      </c>
      <c r="AB562" s="73">
        <f>IFERROR(INDEX(Katalog!$F$3:$F$12,MATCH(cadangan[[#This Row],[ItemID C]],Katalog!$C$3:$C$12,0))*cadangan[[#This Row],[Qty C]],0)</f>
        <v>0</v>
      </c>
      <c r="AC562" s="73">
        <f>IFERROR(cadangan[[#This Row],[Harga Diskon C]]-INDEX(Katalog!$E$3:$E$12,MATCH(cadangan[[#This Row],[ItemID C]],Katalog!$C$3:$C$12,0))*cadangan[[#This Row],[Qty C]],0)</f>
        <v>0</v>
      </c>
      <c r="AD562" s="53">
        <f>cadangan[[#This Row],[Qty A]]+cadangan[[#This Row],[Qty B]]+cadangan[[#This Row],[Qty C]]</f>
        <v>5</v>
      </c>
      <c r="AE562" s="73">
        <f>cadangan[[#This Row],[Harga Normal A]]+cadangan[[#This Row],[Harga Normal B]]+cadangan[[#This Row],[Harga Normal C]]</f>
        <v>1200000</v>
      </c>
      <c r="AF562" s="73">
        <f>cadangan[[#This Row],[Harga Diskon A]]+cadangan[[#This Row],[Harga Diskon B]]+cadangan[[#This Row],[Harga Diskon C]]</f>
        <v>1020000</v>
      </c>
      <c r="AG562" s="73">
        <f>(cadangan[[#This Row],[Profit Normal A]]+cadangan[[#This Row],[Profit Normal B]]+cadangan[[#This Row],[Profit Normal C]])</f>
        <v>400000</v>
      </c>
      <c r="AH562" s="73">
        <f>cadangan[[#This Row],[Profit Diskon A]]+cadangan[[#This Row],[Profit Diskon B]]+cadangan[[#This Row],[Profit Diskon C]]</f>
        <v>220000</v>
      </c>
      <c r="AI562" s="23" t="s">
        <v>13</v>
      </c>
      <c r="AJ562" s="37">
        <f>IFERROR(INDEX('Kode Diskon'!$D$3:$D$9,MATCH(cadangan[[#This Row],[Kode diskon]],'Kode Diskon'!$C$3:$C$9,0)),"-")</f>
        <v>0.15</v>
      </c>
      <c r="AK562" s="23" t="s">
        <v>29</v>
      </c>
      <c r="AL562" s="23" t="s">
        <v>7</v>
      </c>
      <c r="AM562" s="23" t="s">
        <v>80</v>
      </c>
      <c r="AN562" s="55">
        <v>45022</v>
      </c>
      <c r="AO562" s="53">
        <f>DAY(cadangan[[#This Row],[Tanggal terjual]])</f>
        <v>6</v>
      </c>
      <c r="AP562" s="21" t="str">
        <f>TEXT(cadangan[[#This Row],[Tanggal terjual]],"dddd")</f>
        <v>Thursday</v>
      </c>
      <c r="AQ562" s="23" t="str" cm="1">
        <f t="array" ref="AQ5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2" s="61">
        <f>AVERAGE(cadangan[[#This Row],[Rating A]],cadangan[[#This Row],[Rating B]],cadangan[[#This Row],[Rating C]])</f>
        <v>4</v>
      </c>
    </row>
    <row r="563" spans="1:44" x14ac:dyDescent="0.2">
      <c r="A563" s="20">
        <v>562</v>
      </c>
      <c r="B563" s="21" t="str">
        <f>_xlfn.CONCAT("ORD-",INDEX(Helper!$B$2:$B$5,MATCH(cadangan[[#This Row],[Marketplace]],Helper!$A$2:$A$5,0)),TEXT(cadangan[[#This Row],[No]],"0000"),"-",TEXT(cadangan[[#This Row],[Tanggal terjual]],"dd/mm/yy"))</f>
        <v>ORD-SP0562-06/04/23</v>
      </c>
      <c r="C563" s="39" t="s">
        <v>63</v>
      </c>
      <c r="D563" s="39" t="str">
        <f>IFERROR(INDEX(Katalog!$A$3:$A$12,MATCH(cadangan[[#This Row],[ItemID A]],Katalog!$C$3:$C$12,0)),"-")</f>
        <v>Pakaian Pria</v>
      </c>
      <c r="E563" s="39" t="str">
        <f>IFERROR(INDEX(Katalog!$B$3:$B$12,MATCH(cadangan[[#This Row],[ItemID A]],Katalog!$C$3:$C$12,0)),"-")</f>
        <v>Jaket Jeans</v>
      </c>
      <c r="F563" s="50">
        <v>1</v>
      </c>
      <c r="G563" s="50">
        <v>3</v>
      </c>
      <c r="H563" s="73">
        <f>IFERROR(INDEX(Katalog!$D$3:$D$12,MATCH(cadangan[[#This Row],[ItemID A]],Katalog!$C$3:$C$12,0))*cadangan[[#This Row],[Qty A]],0)</f>
        <v>400000</v>
      </c>
      <c r="I563" s="73">
        <f>IFERROR(cadangan[[#This Row],[Harga Normal A]]-(cadangan[[#This Row],[Harga Normal A]]*cadangan[[#This Row],[Diskon]]),cadangan[[#This Row],[Harga Normal A]])</f>
        <v>360000</v>
      </c>
      <c r="J563" s="73">
        <f>INDEX(Katalog!$F$3:$F$12,MATCH(cadangan[[#This Row],[ItemID A]],Katalog!$C$3:$C$12,0))*cadangan[[#This Row],[Qty A]]</f>
        <v>150000</v>
      </c>
      <c r="K563" s="73">
        <f>IFERROR(cadangan[[#This Row],[Harga Diskon A]]-INDEX(Katalog!$E$3:$E$12,MATCH(cadangan[[#This Row],[ItemID A]],Katalog!$C$3:$C$12,0))*cadangan[[#This Row],[Qty A]],0)</f>
        <v>110000</v>
      </c>
      <c r="L563" s="39" t="s">
        <v>66</v>
      </c>
      <c r="M563" s="39" t="str">
        <f>IFERROR(INDEX(Katalog!$A$3:$A$12,MATCH(cadangan[[#This Row],[ItemID B]],Katalog!$C$3:$C$12,0)),"-")</f>
        <v>Sepatu Pria</v>
      </c>
      <c r="N563" s="39" t="str">
        <f>IFERROR(INDEX(Katalog!$B$3:$B$12,MATCH(cadangan[[#This Row],[ItemID B]],Katalog!$C$3:$C$12,0)),"-")</f>
        <v>Sandal Slip On</v>
      </c>
      <c r="O563" s="50">
        <v>6</v>
      </c>
      <c r="P563" s="50">
        <v>5</v>
      </c>
      <c r="Q563" s="73">
        <f>IFERROR(INDEX(Katalog!$D$3:$D$12,MATCH(cadangan[[#This Row],[ItemID B]],Katalog!$C$3:$C$12,0))*cadangan[[#This Row],[Qty B]],0)</f>
        <v>900000</v>
      </c>
      <c r="R563" s="73">
        <f>IFERROR(cadangan[[#This Row],[Harga Normal B]]-(cadangan[[#This Row],[Harga Normal B]]*cadangan[[#This Row],[Diskon]]),cadangan[[#This Row],[Harga Normal B]])</f>
        <v>810000</v>
      </c>
      <c r="S563" s="73">
        <f>IFERROR(INDEX(Katalog!$F$3:$F$12,MATCH(cadangan[[#This Row],[ItemID B]],Katalog!$C$3:$C$12,0))*cadangan[[#This Row],[Qty B]],0)</f>
        <v>360000</v>
      </c>
      <c r="T563" s="73">
        <f>IFERROR(cadangan[[#This Row],[Harga Diskon B]]-INDEX(Katalog!$E$3:$E$12,MATCH(cadangan[[#This Row],[ItemID B]],Katalog!$C$3:$C$12,0))*cadangan[[#This Row],[Qty B]],0)</f>
        <v>270000</v>
      </c>
      <c r="V563" s="39" t="str">
        <f>IFERROR(INDEX(Katalog!$A$3:$A$12,MATCH(cadangan[[#This Row],[ItemID C]],Katalog!$C$3:$C$12,0)),"-")</f>
        <v>-</v>
      </c>
      <c r="W563" s="39" t="str">
        <f>IFERROR(INDEX(Katalog!$B$3:$B$12,MATCH(cadangan[[#This Row],[ItemID C]],Katalog!$C$3:$C$12,0)),"-")</f>
        <v>-</v>
      </c>
      <c r="Z563" s="73">
        <f>IFERROR(INDEX(Katalog!$D$3:$D$12,MATCH(cadangan[[#This Row],[ItemID C]],Katalog!$C$3:$C$12,0))*cadangan[[#This Row],[Qty C]],0)</f>
        <v>0</v>
      </c>
      <c r="AA563" s="73">
        <f>IFERROR(cadangan[[#This Row],[Harga Normal C]]-(cadangan[[#This Row],[Harga Normal C]]*cadangan[[#This Row],[Diskon]]),cadangan[[#This Row],[Harga Normal C]])</f>
        <v>0</v>
      </c>
      <c r="AB563" s="73">
        <f>IFERROR(INDEX(Katalog!$F$3:$F$12,MATCH(cadangan[[#This Row],[ItemID C]],Katalog!$C$3:$C$12,0))*cadangan[[#This Row],[Qty C]],0)</f>
        <v>0</v>
      </c>
      <c r="AC563" s="73">
        <f>IFERROR(cadangan[[#This Row],[Harga Diskon C]]-INDEX(Katalog!$E$3:$E$12,MATCH(cadangan[[#This Row],[ItemID C]],Katalog!$C$3:$C$12,0))*cadangan[[#This Row],[Qty C]],0)</f>
        <v>0</v>
      </c>
      <c r="AD563" s="53">
        <f>cadangan[[#This Row],[Qty A]]+cadangan[[#This Row],[Qty B]]+cadangan[[#This Row],[Qty C]]</f>
        <v>7</v>
      </c>
      <c r="AE563" s="73">
        <f>cadangan[[#This Row],[Harga Normal A]]+cadangan[[#This Row],[Harga Normal B]]+cadangan[[#This Row],[Harga Normal C]]</f>
        <v>1300000</v>
      </c>
      <c r="AF563" s="73">
        <f>cadangan[[#This Row],[Harga Diskon A]]+cadangan[[#This Row],[Harga Diskon B]]+cadangan[[#This Row],[Harga Diskon C]]</f>
        <v>1170000</v>
      </c>
      <c r="AG563" s="73">
        <f>(cadangan[[#This Row],[Profit Normal A]]+cadangan[[#This Row],[Profit Normal B]]+cadangan[[#This Row],[Profit Normal C]])</f>
        <v>510000</v>
      </c>
      <c r="AH563" s="73">
        <f>cadangan[[#This Row],[Profit Diskon A]]+cadangan[[#This Row],[Profit Diskon B]]+cadangan[[#This Row],[Profit Diskon C]]</f>
        <v>380000</v>
      </c>
      <c r="AI563" s="23" t="s">
        <v>6</v>
      </c>
      <c r="AJ563" s="37">
        <f>IFERROR(INDEX('Kode Diskon'!$D$3:$D$9,MATCH(cadangan[[#This Row],[Kode diskon]],'Kode Diskon'!$C$3:$C$9,0)),"-")</f>
        <v>0.1</v>
      </c>
      <c r="AK563" s="23" t="s">
        <v>29</v>
      </c>
      <c r="AL563" s="23" t="s">
        <v>7</v>
      </c>
      <c r="AM563" s="23" t="s">
        <v>78</v>
      </c>
      <c r="AN563" s="55">
        <v>45022</v>
      </c>
      <c r="AO563" s="53">
        <f>DAY(cadangan[[#This Row],[Tanggal terjual]])</f>
        <v>6</v>
      </c>
      <c r="AP563" s="21" t="str">
        <f>TEXT(cadangan[[#This Row],[Tanggal terjual]],"dddd")</f>
        <v>Thursday</v>
      </c>
      <c r="AQ563" s="23" t="str" cm="1">
        <f t="array" ref="AQ5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3" s="61">
        <f>AVERAGE(cadangan[[#This Row],[Rating A]],cadangan[[#This Row],[Rating B]],cadangan[[#This Row],[Rating C]])</f>
        <v>4</v>
      </c>
    </row>
    <row r="564" spans="1:44" x14ac:dyDescent="0.2">
      <c r="A564" s="20">
        <v>563</v>
      </c>
      <c r="B564" s="21" t="str">
        <f>_xlfn.CONCAT("ORD-",INDEX(Helper!$B$2:$B$5,MATCH(cadangan[[#This Row],[Marketplace]],Helper!$A$2:$A$5,0)),TEXT(cadangan[[#This Row],[No]],"0000"),"-",TEXT(cadangan[[#This Row],[Tanggal terjual]],"dd/mm/yy"))</f>
        <v>ORD-TK0563-03/04/23</v>
      </c>
      <c r="C564" s="39" t="s">
        <v>61</v>
      </c>
      <c r="D564" s="39" t="str">
        <f>IFERROR(INDEX(Katalog!$A$3:$A$12,MATCH(cadangan[[#This Row],[ItemID A]],Katalog!$C$3:$C$12,0)),"-")</f>
        <v>Pakaian Pria</v>
      </c>
      <c r="E564" s="39" t="str">
        <f>IFERROR(INDEX(Katalog!$B$3:$B$12,MATCH(cadangan[[#This Row],[ItemID A]],Katalog!$C$3:$C$12,0)),"-")</f>
        <v>Kaos Polo</v>
      </c>
      <c r="F564" s="50">
        <v>4</v>
      </c>
      <c r="G564" s="50">
        <v>4</v>
      </c>
      <c r="H564" s="73">
        <f>IFERROR(INDEX(Katalog!$D$3:$D$12,MATCH(cadangan[[#This Row],[ItemID A]],Katalog!$C$3:$C$12,0))*cadangan[[#This Row],[Qty A]],0)</f>
        <v>800000</v>
      </c>
      <c r="I564" s="73">
        <f>IFERROR(cadangan[[#This Row],[Harga Normal A]]-(cadangan[[#This Row],[Harga Normal A]]*cadangan[[#This Row],[Diskon]]),cadangan[[#This Row],[Harga Normal A]])</f>
        <v>720000</v>
      </c>
      <c r="J564" s="73">
        <f>INDEX(Katalog!$F$3:$F$12,MATCH(cadangan[[#This Row],[ItemID A]],Katalog!$C$3:$C$12,0))*cadangan[[#This Row],[Qty A]]</f>
        <v>320000</v>
      </c>
      <c r="K564" s="73">
        <f>IFERROR(cadangan[[#This Row],[Harga Diskon A]]-INDEX(Katalog!$E$3:$E$12,MATCH(cadangan[[#This Row],[ItemID A]],Katalog!$C$3:$C$12,0))*cadangan[[#This Row],[Qty A]],0)</f>
        <v>240000</v>
      </c>
      <c r="M564" s="39" t="str">
        <f>IFERROR(INDEX(Katalog!$A$3:$A$12,MATCH(cadangan[[#This Row],[ItemID B]],Katalog!$C$3:$C$12,0)),"-")</f>
        <v>-</v>
      </c>
      <c r="N564" s="39" t="str">
        <f>IFERROR(INDEX(Katalog!$B$3:$B$12,MATCH(cadangan[[#This Row],[ItemID B]],Katalog!$C$3:$C$12,0)),"-")</f>
        <v>-</v>
      </c>
      <c r="Q564" s="73">
        <f>IFERROR(INDEX(Katalog!$D$3:$D$12,MATCH(cadangan[[#This Row],[ItemID B]],Katalog!$C$3:$C$12,0))*cadangan[[#This Row],[Qty B]],0)</f>
        <v>0</v>
      </c>
      <c r="R564" s="73">
        <f>IFERROR(cadangan[[#This Row],[Harga Normal B]]-(cadangan[[#This Row],[Harga Normal B]]*cadangan[[#This Row],[Diskon]]),cadangan[[#This Row],[Harga Normal B]])</f>
        <v>0</v>
      </c>
      <c r="S564" s="73">
        <f>IFERROR(INDEX(Katalog!$F$3:$F$12,MATCH(cadangan[[#This Row],[ItemID B]],Katalog!$C$3:$C$12,0))*cadangan[[#This Row],[Qty B]],0)</f>
        <v>0</v>
      </c>
      <c r="T564" s="73">
        <f>IFERROR(cadangan[[#This Row],[Harga Diskon B]]-INDEX(Katalog!$E$3:$E$12,MATCH(cadangan[[#This Row],[ItemID B]],Katalog!$C$3:$C$12,0))*cadangan[[#This Row],[Qty B]],0)</f>
        <v>0</v>
      </c>
      <c r="V564" s="39" t="str">
        <f>IFERROR(INDEX(Katalog!$A$3:$A$12,MATCH(cadangan[[#This Row],[ItemID C]],Katalog!$C$3:$C$12,0)),"-")</f>
        <v>-</v>
      </c>
      <c r="W564" s="39" t="str">
        <f>IFERROR(INDEX(Katalog!$B$3:$B$12,MATCH(cadangan[[#This Row],[ItemID C]],Katalog!$C$3:$C$12,0)),"-")</f>
        <v>-</v>
      </c>
      <c r="Z564" s="73">
        <f>IFERROR(INDEX(Katalog!$D$3:$D$12,MATCH(cadangan[[#This Row],[ItemID C]],Katalog!$C$3:$C$12,0))*cadangan[[#This Row],[Qty C]],0)</f>
        <v>0</v>
      </c>
      <c r="AA564" s="73">
        <f>IFERROR(cadangan[[#This Row],[Harga Normal C]]-(cadangan[[#This Row],[Harga Normal C]]*cadangan[[#This Row],[Diskon]]),cadangan[[#This Row],[Harga Normal C]])</f>
        <v>0</v>
      </c>
      <c r="AB564" s="73">
        <f>IFERROR(INDEX(Katalog!$F$3:$F$12,MATCH(cadangan[[#This Row],[ItemID C]],Katalog!$C$3:$C$12,0))*cadangan[[#This Row],[Qty C]],0)</f>
        <v>0</v>
      </c>
      <c r="AC564" s="73">
        <f>IFERROR(cadangan[[#This Row],[Harga Diskon C]]-INDEX(Katalog!$E$3:$E$12,MATCH(cadangan[[#This Row],[ItemID C]],Katalog!$C$3:$C$12,0))*cadangan[[#This Row],[Qty C]],0)</f>
        <v>0</v>
      </c>
      <c r="AD564" s="53">
        <f>cadangan[[#This Row],[Qty A]]+cadangan[[#This Row],[Qty B]]+cadangan[[#This Row],[Qty C]]</f>
        <v>4</v>
      </c>
      <c r="AE564" s="73">
        <f>cadangan[[#This Row],[Harga Normal A]]+cadangan[[#This Row],[Harga Normal B]]+cadangan[[#This Row],[Harga Normal C]]</f>
        <v>800000</v>
      </c>
      <c r="AF564" s="73">
        <f>cadangan[[#This Row],[Harga Diskon A]]+cadangan[[#This Row],[Harga Diskon B]]+cadangan[[#This Row],[Harga Diskon C]]</f>
        <v>720000</v>
      </c>
      <c r="AG564" s="73">
        <f>(cadangan[[#This Row],[Profit Normal A]]+cadangan[[#This Row],[Profit Normal B]]+cadangan[[#This Row],[Profit Normal C]])</f>
        <v>320000</v>
      </c>
      <c r="AH564" s="73">
        <f>cadangan[[#This Row],[Profit Diskon A]]+cadangan[[#This Row],[Profit Diskon B]]+cadangan[[#This Row],[Profit Diskon C]]</f>
        <v>240000</v>
      </c>
      <c r="AI564" s="23" t="s">
        <v>30</v>
      </c>
      <c r="AJ564" s="37">
        <f>IFERROR(INDEX('Kode Diskon'!$D$3:$D$9,MATCH(cadangan[[#This Row],[Kode diskon]],'Kode Diskon'!$C$3:$C$9,0)),"-")</f>
        <v>0.1</v>
      </c>
      <c r="AK564" s="23" t="s">
        <v>29</v>
      </c>
      <c r="AL564" s="23" t="s">
        <v>10</v>
      </c>
      <c r="AM564" s="23" t="s">
        <v>80</v>
      </c>
      <c r="AN564" s="55">
        <v>45019</v>
      </c>
      <c r="AO564" s="53">
        <f>DAY(cadangan[[#This Row],[Tanggal terjual]])</f>
        <v>3</v>
      </c>
      <c r="AP564" s="21" t="str">
        <f>TEXT(cadangan[[#This Row],[Tanggal terjual]],"dddd")</f>
        <v>Monday</v>
      </c>
      <c r="AQ564" s="23" t="str" cm="1">
        <f t="array" ref="AQ5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4" s="61">
        <f>AVERAGE(cadangan[[#This Row],[Rating A]],cadangan[[#This Row],[Rating B]],cadangan[[#This Row],[Rating C]])</f>
        <v>4</v>
      </c>
    </row>
    <row r="565" spans="1:44" x14ac:dyDescent="0.2">
      <c r="A565" s="20">
        <v>564</v>
      </c>
      <c r="B565" s="21" t="str">
        <f>_xlfn.CONCAT("ORD-",INDEX(Helper!$B$2:$B$5,MATCH(cadangan[[#This Row],[Marketplace]],Helper!$A$2:$A$5,0)),TEXT(cadangan[[#This Row],[No]],"0000"),"-",TEXT(cadangan[[#This Row],[Tanggal terjual]],"dd/mm/yy"))</f>
        <v>ORD-BB0564-06/04/23</v>
      </c>
      <c r="C565" s="39" t="s">
        <v>63</v>
      </c>
      <c r="D565" s="39" t="str">
        <f>IFERROR(INDEX(Katalog!$A$3:$A$12,MATCH(cadangan[[#This Row],[ItemID A]],Katalog!$C$3:$C$12,0)),"-")</f>
        <v>Pakaian Pria</v>
      </c>
      <c r="E565" s="39" t="str">
        <f>IFERROR(INDEX(Katalog!$B$3:$B$12,MATCH(cadangan[[#This Row],[ItemID A]],Katalog!$C$3:$C$12,0)),"-")</f>
        <v>Jaket Jeans</v>
      </c>
      <c r="F565" s="50">
        <v>2</v>
      </c>
      <c r="G565" s="50">
        <v>1</v>
      </c>
      <c r="H565" s="73">
        <f>IFERROR(INDEX(Katalog!$D$3:$D$12,MATCH(cadangan[[#This Row],[ItemID A]],Katalog!$C$3:$C$12,0))*cadangan[[#This Row],[Qty A]],0)</f>
        <v>800000</v>
      </c>
      <c r="I565" s="73">
        <f>IFERROR(cadangan[[#This Row],[Harga Normal A]]-(cadangan[[#This Row],[Harga Normal A]]*cadangan[[#This Row],[Diskon]]),cadangan[[#This Row],[Harga Normal A]])</f>
        <v>680000</v>
      </c>
      <c r="J565" s="73">
        <f>INDEX(Katalog!$F$3:$F$12,MATCH(cadangan[[#This Row],[ItemID A]],Katalog!$C$3:$C$12,0))*cadangan[[#This Row],[Qty A]]</f>
        <v>300000</v>
      </c>
      <c r="K565" s="73">
        <f>IFERROR(cadangan[[#This Row],[Harga Diskon A]]-INDEX(Katalog!$E$3:$E$12,MATCH(cadangan[[#This Row],[ItemID A]],Katalog!$C$3:$C$12,0))*cadangan[[#This Row],[Qty A]],0)</f>
        <v>180000</v>
      </c>
      <c r="M565" s="39" t="str">
        <f>IFERROR(INDEX(Katalog!$A$3:$A$12,MATCH(cadangan[[#This Row],[ItemID B]],Katalog!$C$3:$C$12,0)),"-")</f>
        <v>-</v>
      </c>
      <c r="N565" s="39" t="str">
        <f>IFERROR(INDEX(Katalog!$B$3:$B$12,MATCH(cadangan[[#This Row],[ItemID B]],Katalog!$C$3:$C$12,0)),"-")</f>
        <v>-</v>
      </c>
      <c r="Q565" s="73">
        <f>IFERROR(INDEX(Katalog!$D$3:$D$12,MATCH(cadangan[[#This Row],[ItemID B]],Katalog!$C$3:$C$12,0))*cadangan[[#This Row],[Qty B]],0)</f>
        <v>0</v>
      </c>
      <c r="R565" s="73">
        <f>IFERROR(cadangan[[#This Row],[Harga Normal B]]-(cadangan[[#This Row],[Harga Normal B]]*cadangan[[#This Row],[Diskon]]),cadangan[[#This Row],[Harga Normal B]])</f>
        <v>0</v>
      </c>
      <c r="S565" s="73">
        <f>IFERROR(INDEX(Katalog!$F$3:$F$12,MATCH(cadangan[[#This Row],[ItemID B]],Katalog!$C$3:$C$12,0))*cadangan[[#This Row],[Qty B]],0)</f>
        <v>0</v>
      </c>
      <c r="T565" s="73">
        <f>IFERROR(cadangan[[#This Row],[Harga Diskon B]]-INDEX(Katalog!$E$3:$E$12,MATCH(cadangan[[#This Row],[ItemID B]],Katalog!$C$3:$C$12,0))*cadangan[[#This Row],[Qty B]],0)</f>
        <v>0</v>
      </c>
      <c r="V565" s="39" t="str">
        <f>IFERROR(INDEX(Katalog!$A$3:$A$12,MATCH(cadangan[[#This Row],[ItemID C]],Katalog!$C$3:$C$12,0)),"-")</f>
        <v>-</v>
      </c>
      <c r="W565" s="39" t="str">
        <f>IFERROR(INDEX(Katalog!$B$3:$B$12,MATCH(cadangan[[#This Row],[ItemID C]],Katalog!$C$3:$C$12,0)),"-")</f>
        <v>-</v>
      </c>
      <c r="Z565" s="73">
        <f>IFERROR(INDEX(Katalog!$D$3:$D$12,MATCH(cadangan[[#This Row],[ItemID C]],Katalog!$C$3:$C$12,0))*cadangan[[#This Row],[Qty C]],0)</f>
        <v>0</v>
      </c>
      <c r="AA565" s="73">
        <f>IFERROR(cadangan[[#This Row],[Harga Normal C]]-(cadangan[[#This Row],[Harga Normal C]]*cadangan[[#This Row],[Diskon]]),cadangan[[#This Row],[Harga Normal C]])</f>
        <v>0</v>
      </c>
      <c r="AB565" s="73">
        <f>IFERROR(INDEX(Katalog!$F$3:$F$12,MATCH(cadangan[[#This Row],[ItemID C]],Katalog!$C$3:$C$12,0))*cadangan[[#This Row],[Qty C]],0)</f>
        <v>0</v>
      </c>
      <c r="AC565" s="73">
        <f>IFERROR(cadangan[[#This Row],[Harga Diskon C]]-INDEX(Katalog!$E$3:$E$12,MATCH(cadangan[[#This Row],[ItemID C]],Katalog!$C$3:$C$12,0))*cadangan[[#This Row],[Qty C]],0)</f>
        <v>0</v>
      </c>
      <c r="AD565" s="53">
        <f>cadangan[[#This Row],[Qty A]]+cadangan[[#This Row],[Qty B]]+cadangan[[#This Row],[Qty C]]</f>
        <v>2</v>
      </c>
      <c r="AE565" s="73">
        <f>cadangan[[#This Row],[Harga Normal A]]+cadangan[[#This Row],[Harga Normal B]]+cadangan[[#This Row],[Harga Normal C]]</f>
        <v>800000</v>
      </c>
      <c r="AF565" s="73">
        <f>cadangan[[#This Row],[Harga Diskon A]]+cadangan[[#This Row],[Harga Diskon B]]+cadangan[[#This Row],[Harga Diskon C]]</f>
        <v>680000</v>
      </c>
      <c r="AG565" s="73">
        <f>(cadangan[[#This Row],[Profit Normal A]]+cadangan[[#This Row],[Profit Normal B]]+cadangan[[#This Row],[Profit Normal C]])</f>
        <v>300000</v>
      </c>
      <c r="AH565" s="73">
        <f>cadangan[[#This Row],[Profit Diskon A]]+cadangan[[#This Row],[Profit Diskon B]]+cadangan[[#This Row],[Profit Diskon C]]</f>
        <v>180000</v>
      </c>
      <c r="AI565" s="23" t="s">
        <v>28</v>
      </c>
      <c r="AJ565" s="37">
        <f>IFERROR(INDEX('Kode Diskon'!$D$3:$D$9,MATCH(cadangan[[#This Row],[Kode diskon]],'Kode Diskon'!$C$3:$C$9,0)),"-")</f>
        <v>0.15</v>
      </c>
      <c r="AK565" s="23" t="s">
        <v>29</v>
      </c>
      <c r="AL565" s="23" t="s">
        <v>14</v>
      </c>
      <c r="AM565" s="23" t="s">
        <v>76</v>
      </c>
      <c r="AN565" s="55">
        <v>45022</v>
      </c>
      <c r="AO565" s="53">
        <f>DAY(cadangan[[#This Row],[Tanggal terjual]])</f>
        <v>6</v>
      </c>
      <c r="AP565" s="21" t="str">
        <f>TEXT(cadangan[[#This Row],[Tanggal terjual]],"dddd")</f>
        <v>Thursday</v>
      </c>
      <c r="AQ565" s="23" t="str" cm="1">
        <f t="array" ref="AQ5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5" s="61">
        <f>AVERAGE(cadangan[[#This Row],[Rating A]],cadangan[[#This Row],[Rating B]],cadangan[[#This Row],[Rating C]])</f>
        <v>1</v>
      </c>
    </row>
    <row r="566" spans="1:44" x14ac:dyDescent="0.2">
      <c r="A566" s="20">
        <v>565</v>
      </c>
      <c r="B566" s="21" t="str">
        <f>_xlfn.CONCAT("ORD-",INDEX(Helper!$B$2:$B$5,MATCH(cadangan[[#This Row],[Marketplace]],Helper!$A$2:$A$5,0)),TEXT(cadangan[[#This Row],[No]],"0000"),"-",TEXT(cadangan[[#This Row],[Tanggal terjual]],"dd/mm/yy"))</f>
        <v>ORD-TK0565-05/04/23</v>
      </c>
      <c r="C566" s="39" t="s">
        <v>63</v>
      </c>
      <c r="D566" s="39" t="str">
        <f>IFERROR(INDEX(Katalog!$A$3:$A$12,MATCH(cadangan[[#This Row],[ItemID A]],Katalog!$C$3:$C$12,0)),"-")</f>
        <v>Pakaian Pria</v>
      </c>
      <c r="E566" s="39" t="str">
        <f>IFERROR(INDEX(Katalog!$B$3:$B$12,MATCH(cadangan[[#This Row],[ItemID A]],Katalog!$C$3:$C$12,0)),"-")</f>
        <v>Jaket Jeans</v>
      </c>
      <c r="F566" s="50">
        <v>3</v>
      </c>
      <c r="G566" s="50">
        <v>2</v>
      </c>
      <c r="H566" s="73">
        <f>IFERROR(INDEX(Katalog!$D$3:$D$12,MATCH(cadangan[[#This Row],[ItemID A]],Katalog!$C$3:$C$12,0))*cadangan[[#This Row],[Qty A]],0)</f>
        <v>1200000</v>
      </c>
      <c r="I566" s="73">
        <f>IFERROR(cadangan[[#This Row],[Harga Normal A]]-(cadangan[[#This Row],[Harga Normal A]]*cadangan[[#This Row],[Diskon]]),cadangan[[#This Row],[Harga Normal A]])</f>
        <v>1080000</v>
      </c>
      <c r="J566" s="73">
        <f>INDEX(Katalog!$F$3:$F$12,MATCH(cadangan[[#This Row],[ItemID A]],Katalog!$C$3:$C$12,0))*cadangan[[#This Row],[Qty A]]</f>
        <v>450000</v>
      </c>
      <c r="K566" s="73">
        <f>IFERROR(cadangan[[#This Row],[Harga Diskon A]]-INDEX(Katalog!$E$3:$E$12,MATCH(cadangan[[#This Row],[ItemID A]],Katalog!$C$3:$C$12,0))*cadangan[[#This Row],[Qty A]],0)</f>
        <v>330000</v>
      </c>
      <c r="L566" s="39" t="s">
        <v>59</v>
      </c>
      <c r="M566" s="39" t="str">
        <f>IFERROR(INDEX(Katalog!$A$3:$A$12,MATCH(cadangan[[#This Row],[ItemID B]],Katalog!$C$3:$C$12,0)),"-")</f>
        <v>Pakaian Wanita</v>
      </c>
      <c r="N566" s="39" t="str">
        <f>IFERROR(INDEX(Katalog!$B$3:$B$12,MATCH(cadangan[[#This Row],[ItemID B]],Katalog!$C$3:$C$12,0)),"-")</f>
        <v>Blouse</v>
      </c>
      <c r="O566" s="50">
        <v>2</v>
      </c>
      <c r="P566" s="50">
        <v>4</v>
      </c>
      <c r="Q566" s="73">
        <f>IFERROR(INDEX(Katalog!$D$3:$D$12,MATCH(cadangan[[#This Row],[ItemID B]],Katalog!$C$3:$C$12,0))*cadangan[[#This Row],[Qty B]],0)</f>
        <v>300000</v>
      </c>
      <c r="R566" s="73">
        <f>IFERROR(cadangan[[#This Row],[Harga Normal B]]-(cadangan[[#This Row],[Harga Normal B]]*cadangan[[#This Row],[Diskon]]),cadangan[[#This Row],[Harga Normal B]])</f>
        <v>270000</v>
      </c>
      <c r="S566" s="73">
        <f>IFERROR(INDEX(Katalog!$F$3:$F$12,MATCH(cadangan[[#This Row],[ItemID B]],Katalog!$C$3:$C$12,0))*cadangan[[#This Row],[Qty B]],0)</f>
        <v>100000</v>
      </c>
      <c r="T566" s="73">
        <f>IFERROR(cadangan[[#This Row],[Harga Diskon B]]-INDEX(Katalog!$E$3:$E$12,MATCH(cadangan[[#This Row],[ItemID B]],Katalog!$C$3:$C$12,0))*cadangan[[#This Row],[Qty B]],0)</f>
        <v>70000</v>
      </c>
      <c r="U566" s="39" t="s">
        <v>58</v>
      </c>
      <c r="V566" s="39" t="str">
        <f>IFERROR(INDEX(Katalog!$A$3:$A$12,MATCH(cadangan[[#This Row],[ItemID C]],Katalog!$C$3:$C$12,0)),"-")</f>
        <v>Pakaian Wanita</v>
      </c>
      <c r="W566" s="39" t="str">
        <f>IFERROR(INDEX(Katalog!$B$3:$B$12,MATCH(cadangan[[#This Row],[ItemID C]],Katalog!$C$3:$C$12,0)),"-")</f>
        <v>Dress</v>
      </c>
      <c r="X566" s="50">
        <v>1</v>
      </c>
      <c r="Y566" s="50">
        <v>5</v>
      </c>
      <c r="Z566" s="73">
        <f>IFERROR(INDEX(Katalog!$D$3:$D$12,MATCH(cadangan[[#This Row],[ItemID C]],Katalog!$C$3:$C$12,0))*cadangan[[#This Row],[Qty C]],0)</f>
        <v>300000</v>
      </c>
      <c r="AA566" s="73">
        <f>IFERROR(cadangan[[#This Row],[Harga Normal C]]-(cadangan[[#This Row],[Harga Normal C]]*cadangan[[#This Row],[Diskon]]),cadangan[[#This Row],[Harga Normal C]])</f>
        <v>270000</v>
      </c>
      <c r="AB566" s="73">
        <f>IFERROR(INDEX(Katalog!$F$3:$F$12,MATCH(cadangan[[#This Row],[ItemID C]],Katalog!$C$3:$C$12,0))*cadangan[[#This Row],[Qty C]],0)</f>
        <v>100000</v>
      </c>
      <c r="AC566" s="73">
        <f>IFERROR(cadangan[[#This Row],[Harga Diskon C]]-INDEX(Katalog!$E$3:$E$12,MATCH(cadangan[[#This Row],[ItemID C]],Katalog!$C$3:$C$12,0))*cadangan[[#This Row],[Qty C]],0)</f>
        <v>70000</v>
      </c>
      <c r="AD566" s="53">
        <f>cadangan[[#This Row],[Qty A]]+cadangan[[#This Row],[Qty B]]+cadangan[[#This Row],[Qty C]]</f>
        <v>6</v>
      </c>
      <c r="AE566" s="73">
        <f>cadangan[[#This Row],[Harga Normal A]]+cadangan[[#This Row],[Harga Normal B]]+cadangan[[#This Row],[Harga Normal C]]</f>
        <v>1800000</v>
      </c>
      <c r="AF566" s="73">
        <f>cadangan[[#This Row],[Harga Diskon A]]+cadangan[[#This Row],[Harga Diskon B]]+cadangan[[#This Row],[Harga Diskon C]]</f>
        <v>1620000</v>
      </c>
      <c r="AG566" s="73">
        <f>(cadangan[[#This Row],[Profit Normal A]]+cadangan[[#This Row],[Profit Normal B]]+cadangan[[#This Row],[Profit Normal C]])</f>
        <v>650000</v>
      </c>
      <c r="AH566" s="73">
        <f>cadangan[[#This Row],[Profit Diskon A]]+cadangan[[#This Row],[Profit Diskon B]]+cadangan[[#This Row],[Profit Diskon C]]</f>
        <v>470000</v>
      </c>
      <c r="AI566" s="23" t="s">
        <v>30</v>
      </c>
      <c r="AJ566" s="37">
        <f>IFERROR(INDEX('Kode Diskon'!$D$3:$D$9,MATCH(cadangan[[#This Row],[Kode diskon]],'Kode Diskon'!$C$3:$C$9,0)),"-")</f>
        <v>0.1</v>
      </c>
      <c r="AK566" s="23" t="s">
        <v>29</v>
      </c>
      <c r="AL566" s="23" t="s">
        <v>10</v>
      </c>
      <c r="AM566" s="23" t="s">
        <v>75</v>
      </c>
      <c r="AN566" s="55">
        <v>45021</v>
      </c>
      <c r="AO566" s="53">
        <f>DAY(cadangan[[#This Row],[Tanggal terjual]])</f>
        <v>5</v>
      </c>
      <c r="AP566" s="21" t="str">
        <f>TEXT(cadangan[[#This Row],[Tanggal terjual]],"dddd")</f>
        <v>Wednesday</v>
      </c>
      <c r="AQ566" s="23" t="str" cm="1">
        <f t="array" ref="AQ5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6" s="61">
        <f>AVERAGE(cadangan[[#This Row],[Rating A]],cadangan[[#This Row],[Rating B]],cadangan[[#This Row],[Rating C]])</f>
        <v>3.6666666666666665</v>
      </c>
    </row>
    <row r="567" spans="1:44" x14ac:dyDescent="0.2">
      <c r="A567" s="20">
        <v>566</v>
      </c>
      <c r="B567" s="21" t="str">
        <f>_xlfn.CONCAT("ORD-",INDEX(Helper!$B$2:$B$5,MATCH(cadangan[[#This Row],[Marketplace]],Helper!$A$2:$A$5,0)),TEXT(cadangan[[#This Row],[No]],"0000"),"-",TEXT(cadangan[[#This Row],[Tanggal terjual]],"dd/mm/yy"))</f>
        <v>ORD-SP0566-05/04/23</v>
      </c>
      <c r="C567" s="39" t="s">
        <v>61</v>
      </c>
      <c r="D567" s="39" t="str">
        <f>IFERROR(INDEX(Katalog!$A$3:$A$12,MATCH(cadangan[[#This Row],[ItemID A]],Katalog!$C$3:$C$12,0)),"-")</f>
        <v>Pakaian Pria</v>
      </c>
      <c r="E567" s="39" t="str">
        <f>IFERROR(INDEX(Katalog!$B$3:$B$12,MATCH(cadangan[[#This Row],[ItemID A]],Katalog!$C$3:$C$12,0)),"-")</f>
        <v>Kaos Polo</v>
      </c>
      <c r="F567" s="50">
        <v>1</v>
      </c>
      <c r="G567" s="50">
        <v>4</v>
      </c>
      <c r="H567" s="73">
        <f>IFERROR(INDEX(Katalog!$D$3:$D$12,MATCH(cadangan[[#This Row],[ItemID A]],Katalog!$C$3:$C$12,0))*cadangan[[#This Row],[Qty A]],0)</f>
        <v>200000</v>
      </c>
      <c r="I567" s="73">
        <f>IFERROR(cadangan[[#This Row],[Harga Normal A]]-(cadangan[[#This Row],[Harga Normal A]]*cadangan[[#This Row],[Diskon]]),cadangan[[#This Row],[Harga Normal A]])</f>
        <v>170000</v>
      </c>
      <c r="J567" s="73">
        <f>INDEX(Katalog!$F$3:$F$12,MATCH(cadangan[[#This Row],[ItemID A]],Katalog!$C$3:$C$12,0))*cadangan[[#This Row],[Qty A]]</f>
        <v>80000</v>
      </c>
      <c r="K567" s="73">
        <f>IFERROR(cadangan[[#This Row],[Harga Diskon A]]-INDEX(Katalog!$E$3:$E$12,MATCH(cadangan[[#This Row],[ItemID A]],Katalog!$C$3:$C$12,0))*cadangan[[#This Row],[Qty A]],0)</f>
        <v>50000</v>
      </c>
      <c r="M567" s="39" t="str">
        <f>IFERROR(INDEX(Katalog!$A$3:$A$12,MATCH(cadangan[[#This Row],[ItemID B]],Katalog!$C$3:$C$12,0)),"-")</f>
        <v>-</v>
      </c>
      <c r="N567" s="39" t="str">
        <f>IFERROR(INDEX(Katalog!$B$3:$B$12,MATCH(cadangan[[#This Row],[ItemID B]],Katalog!$C$3:$C$12,0)),"-")</f>
        <v>-</v>
      </c>
      <c r="Q567" s="73">
        <f>IFERROR(INDEX(Katalog!$D$3:$D$12,MATCH(cadangan[[#This Row],[ItemID B]],Katalog!$C$3:$C$12,0))*cadangan[[#This Row],[Qty B]],0)</f>
        <v>0</v>
      </c>
      <c r="R567" s="73">
        <f>IFERROR(cadangan[[#This Row],[Harga Normal B]]-(cadangan[[#This Row],[Harga Normal B]]*cadangan[[#This Row],[Diskon]]),cadangan[[#This Row],[Harga Normal B]])</f>
        <v>0</v>
      </c>
      <c r="S567" s="73">
        <f>IFERROR(INDEX(Katalog!$F$3:$F$12,MATCH(cadangan[[#This Row],[ItemID B]],Katalog!$C$3:$C$12,0))*cadangan[[#This Row],[Qty B]],0)</f>
        <v>0</v>
      </c>
      <c r="T567" s="73">
        <f>IFERROR(cadangan[[#This Row],[Harga Diskon B]]-INDEX(Katalog!$E$3:$E$12,MATCH(cadangan[[#This Row],[ItemID B]],Katalog!$C$3:$C$12,0))*cadangan[[#This Row],[Qty B]],0)</f>
        <v>0</v>
      </c>
      <c r="V567" s="39" t="str">
        <f>IFERROR(INDEX(Katalog!$A$3:$A$12,MATCH(cadangan[[#This Row],[ItemID C]],Katalog!$C$3:$C$12,0)),"-")</f>
        <v>-</v>
      </c>
      <c r="W567" s="39" t="str">
        <f>IFERROR(INDEX(Katalog!$B$3:$B$12,MATCH(cadangan[[#This Row],[ItemID C]],Katalog!$C$3:$C$12,0)),"-")</f>
        <v>-</v>
      </c>
      <c r="Z567" s="73">
        <f>IFERROR(INDEX(Katalog!$D$3:$D$12,MATCH(cadangan[[#This Row],[ItemID C]],Katalog!$C$3:$C$12,0))*cadangan[[#This Row],[Qty C]],0)</f>
        <v>0</v>
      </c>
      <c r="AA567" s="73">
        <f>IFERROR(cadangan[[#This Row],[Harga Normal C]]-(cadangan[[#This Row],[Harga Normal C]]*cadangan[[#This Row],[Diskon]]),cadangan[[#This Row],[Harga Normal C]])</f>
        <v>0</v>
      </c>
      <c r="AB567" s="73">
        <f>IFERROR(INDEX(Katalog!$F$3:$F$12,MATCH(cadangan[[#This Row],[ItemID C]],Katalog!$C$3:$C$12,0))*cadangan[[#This Row],[Qty C]],0)</f>
        <v>0</v>
      </c>
      <c r="AC567" s="73">
        <f>IFERROR(cadangan[[#This Row],[Harga Diskon C]]-INDEX(Katalog!$E$3:$E$12,MATCH(cadangan[[#This Row],[ItemID C]],Katalog!$C$3:$C$12,0))*cadangan[[#This Row],[Qty C]],0)</f>
        <v>0</v>
      </c>
      <c r="AD567" s="53">
        <f>cadangan[[#This Row],[Qty A]]+cadangan[[#This Row],[Qty B]]+cadangan[[#This Row],[Qty C]]</f>
        <v>1</v>
      </c>
      <c r="AE567" s="73">
        <f>cadangan[[#This Row],[Harga Normal A]]+cadangan[[#This Row],[Harga Normal B]]+cadangan[[#This Row],[Harga Normal C]]</f>
        <v>200000</v>
      </c>
      <c r="AF567" s="73">
        <f>cadangan[[#This Row],[Harga Diskon A]]+cadangan[[#This Row],[Harga Diskon B]]+cadangan[[#This Row],[Harga Diskon C]]</f>
        <v>170000</v>
      </c>
      <c r="AG567" s="73">
        <f>(cadangan[[#This Row],[Profit Normal A]]+cadangan[[#This Row],[Profit Normal B]]+cadangan[[#This Row],[Profit Normal C]])</f>
        <v>80000</v>
      </c>
      <c r="AH567" s="73">
        <f>cadangan[[#This Row],[Profit Diskon A]]+cadangan[[#This Row],[Profit Diskon B]]+cadangan[[#This Row],[Profit Diskon C]]</f>
        <v>50000</v>
      </c>
      <c r="AI567" s="23" t="s">
        <v>13</v>
      </c>
      <c r="AJ567" s="37">
        <f>IFERROR(INDEX('Kode Diskon'!$D$3:$D$9,MATCH(cadangan[[#This Row],[Kode diskon]],'Kode Diskon'!$C$3:$C$9,0)),"-")</f>
        <v>0.15</v>
      </c>
      <c r="AK567" s="23" t="s">
        <v>29</v>
      </c>
      <c r="AL567" s="23" t="s">
        <v>7</v>
      </c>
      <c r="AM567" s="23" t="s">
        <v>79</v>
      </c>
      <c r="AN567" s="55">
        <v>45021</v>
      </c>
      <c r="AO567" s="53">
        <f>DAY(cadangan[[#This Row],[Tanggal terjual]])</f>
        <v>5</v>
      </c>
      <c r="AP567" s="21" t="str">
        <f>TEXT(cadangan[[#This Row],[Tanggal terjual]],"dddd")</f>
        <v>Wednesday</v>
      </c>
      <c r="AQ567" s="23" t="str" cm="1">
        <f t="array" ref="AQ5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7" s="61">
        <f>AVERAGE(cadangan[[#This Row],[Rating A]],cadangan[[#This Row],[Rating B]],cadangan[[#This Row],[Rating C]])</f>
        <v>4</v>
      </c>
    </row>
    <row r="568" spans="1:44" x14ac:dyDescent="0.2">
      <c r="A568" s="20">
        <v>567</v>
      </c>
      <c r="B568" s="21" t="str">
        <f>_xlfn.CONCAT("ORD-",INDEX(Helper!$B$2:$B$5,MATCH(cadangan[[#This Row],[Marketplace]],Helper!$A$2:$A$5,0)),TEXT(cadangan[[#This Row],[No]],"0000"),"-",TEXT(cadangan[[#This Row],[Tanggal terjual]],"dd/mm/yy"))</f>
        <v>ORD-BB0567-05/04/23</v>
      </c>
      <c r="C568" s="39" t="s">
        <v>65</v>
      </c>
      <c r="D568" s="39" t="str">
        <f>IFERROR(INDEX(Katalog!$A$3:$A$12,MATCH(cadangan[[#This Row],[ItemID A]],Katalog!$C$3:$C$12,0)),"-")</f>
        <v>Sepatu Pria</v>
      </c>
      <c r="E568" s="39" t="str">
        <f>IFERROR(INDEX(Katalog!$B$3:$B$12,MATCH(cadangan[[#This Row],[ItemID A]],Katalog!$C$3:$C$12,0)),"-")</f>
        <v>Sneakers</v>
      </c>
      <c r="F568" s="50">
        <v>3</v>
      </c>
      <c r="G568" s="50">
        <v>4</v>
      </c>
      <c r="H568" s="73">
        <f>IFERROR(INDEX(Katalog!$D$3:$D$12,MATCH(cadangan[[#This Row],[ItemID A]],Katalog!$C$3:$C$12,0))*cadangan[[#This Row],[Qty A]],0)</f>
        <v>1500000</v>
      </c>
      <c r="I568" s="73">
        <f>IFERROR(cadangan[[#This Row],[Harga Normal A]]-(cadangan[[#This Row],[Harga Normal A]]*cadangan[[#This Row],[Diskon]]),cadangan[[#This Row],[Harga Normal A]])</f>
        <v>1275000</v>
      </c>
      <c r="J568" s="73">
        <f>INDEX(Katalog!$F$3:$F$12,MATCH(cadangan[[#This Row],[ItemID A]],Katalog!$C$3:$C$12,0))*cadangan[[#This Row],[Qty A]]</f>
        <v>600000</v>
      </c>
      <c r="K568" s="73">
        <f>IFERROR(cadangan[[#This Row],[Harga Diskon A]]-INDEX(Katalog!$E$3:$E$12,MATCH(cadangan[[#This Row],[ItemID A]],Katalog!$C$3:$C$12,0))*cadangan[[#This Row],[Qty A]],0)</f>
        <v>375000</v>
      </c>
      <c r="M568" s="39" t="str">
        <f>IFERROR(INDEX(Katalog!$A$3:$A$12,MATCH(cadangan[[#This Row],[ItemID B]],Katalog!$C$3:$C$12,0)),"-")</f>
        <v>-</v>
      </c>
      <c r="N568" s="39" t="str">
        <f>IFERROR(INDEX(Katalog!$B$3:$B$12,MATCH(cadangan[[#This Row],[ItemID B]],Katalog!$C$3:$C$12,0)),"-")</f>
        <v>-</v>
      </c>
      <c r="Q568" s="73">
        <f>IFERROR(INDEX(Katalog!$D$3:$D$12,MATCH(cadangan[[#This Row],[ItemID B]],Katalog!$C$3:$C$12,0))*cadangan[[#This Row],[Qty B]],0)</f>
        <v>0</v>
      </c>
      <c r="R568" s="73">
        <f>IFERROR(cadangan[[#This Row],[Harga Normal B]]-(cadangan[[#This Row],[Harga Normal B]]*cadangan[[#This Row],[Diskon]]),cadangan[[#This Row],[Harga Normal B]])</f>
        <v>0</v>
      </c>
      <c r="S568" s="73">
        <f>IFERROR(INDEX(Katalog!$F$3:$F$12,MATCH(cadangan[[#This Row],[ItemID B]],Katalog!$C$3:$C$12,0))*cadangan[[#This Row],[Qty B]],0)</f>
        <v>0</v>
      </c>
      <c r="T568" s="73">
        <f>IFERROR(cadangan[[#This Row],[Harga Diskon B]]-INDEX(Katalog!$E$3:$E$12,MATCH(cadangan[[#This Row],[ItemID B]],Katalog!$C$3:$C$12,0))*cadangan[[#This Row],[Qty B]],0)</f>
        <v>0</v>
      </c>
      <c r="V568" s="39" t="str">
        <f>IFERROR(INDEX(Katalog!$A$3:$A$12,MATCH(cadangan[[#This Row],[ItemID C]],Katalog!$C$3:$C$12,0)),"-")</f>
        <v>-</v>
      </c>
      <c r="W568" s="39" t="str">
        <f>IFERROR(INDEX(Katalog!$B$3:$B$12,MATCH(cadangan[[#This Row],[ItemID C]],Katalog!$C$3:$C$12,0)),"-")</f>
        <v>-</v>
      </c>
      <c r="Z568" s="73">
        <f>IFERROR(INDEX(Katalog!$D$3:$D$12,MATCH(cadangan[[#This Row],[ItemID C]],Katalog!$C$3:$C$12,0))*cadangan[[#This Row],[Qty C]],0)</f>
        <v>0</v>
      </c>
      <c r="AA568" s="73">
        <f>IFERROR(cadangan[[#This Row],[Harga Normal C]]-(cadangan[[#This Row],[Harga Normal C]]*cadangan[[#This Row],[Diskon]]),cadangan[[#This Row],[Harga Normal C]])</f>
        <v>0</v>
      </c>
      <c r="AB568" s="73">
        <f>IFERROR(INDEX(Katalog!$F$3:$F$12,MATCH(cadangan[[#This Row],[ItemID C]],Katalog!$C$3:$C$12,0))*cadangan[[#This Row],[Qty C]],0)</f>
        <v>0</v>
      </c>
      <c r="AC568" s="73">
        <f>IFERROR(cadangan[[#This Row],[Harga Diskon C]]-INDEX(Katalog!$E$3:$E$12,MATCH(cadangan[[#This Row],[ItemID C]],Katalog!$C$3:$C$12,0))*cadangan[[#This Row],[Qty C]],0)</f>
        <v>0</v>
      </c>
      <c r="AD568" s="53">
        <f>cadangan[[#This Row],[Qty A]]+cadangan[[#This Row],[Qty B]]+cadangan[[#This Row],[Qty C]]</f>
        <v>3</v>
      </c>
      <c r="AE568" s="73">
        <f>cadangan[[#This Row],[Harga Normal A]]+cadangan[[#This Row],[Harga Normal B]]+cadangan[[#This Row],[Harga Normal C]]</f>
        <v>1500000</v>
      </c>
      <c r="AF568" s="73">
        <f>cadangan[[#This Row],[Harga Diskon A]]+cadangan[[#This Row],[Harga Diskon B]]+cadangan[[#This Row],[Harga Diskon C]]</f>
        <v>1275000</v>
      </c>
      <c r="AG568" s="73">
        <f>(cadangan[[#This Row],[Profit Normal A]]+cadangan[[#This Row],[Profit Normal B]]+cadangan[[#This Row],[Profit Normal C]])</f>
        <v>600000</v>
      </c>
      <c r="AH568" s="73">
        <f>cadangan[[#This Row],[Profit Diskon A]]+cadangan[[#This Row],[Profit Diskon B]]+cadangan[[#This Row],[Profit Diskon C]]</f>
        <v>375000</v>
      </c>
      <c r="AI568" s="23" t="s">
        <v>28</v>
      </c>
      <c r="AJ568" s="37">
        <f>IFERROR(INDEX('Kode Diskon'!$D$3:$D$9,MATCH(cadangan[[#This Row],[Kode diskon]],'Kode Diskon'!$C$3:$C$9,0)),"-")</f>
        <v>0.15</v>
      </c>
      <c r="AK568" s="23" t="s">
        <v>29</v>
      </c>
      <c r="AL568" s="23" t="s">
        <v>14</v>
      </c>
      <c r="AM568" s="23" t="s">
        <v>80</v>
      </c>
      <c r="AN568" s="55">
        <v>45021</v>
      </c>
      <c r="AO568" s="53">
        <f>DAY(cadangan[[#This Row],[Tanggal terjual]])</f>
        <v>5</v>
      </c>
      <c r="AP568" s="21" t="str">
        <f>TEXT(cadangan[[#This Row],[Tanggal terjual]],"dddd")</f>
        <v>Wednesday</v>
      </c>
      <c r="AQ568" s="23" t="str" cm="1">
        <f t="array" ref="AQ5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68" s="61">
        <f>AVERAGE(cadangan[[#This Row],[Rating A]],cadangan[[#This Row],[Rating B]],cadangan[[#This Row],[Rating C]])</f>
        <v>4</v>
      </c>
    </row>
    <row r="569" spans="1:44" x14ac:dyDescent="0.2">
      <c r="A569" s="20">
        <v>568</v>
      </c>
      <c r="B569" s="21" t="str">
        <f>_xlfn.CONCAT("ORD-",INDEX(Helper!$B$2:$B$5,MATCH(cadangan[[#This Row],[Marketplace]],Helper!$A$2:$A$5,0)),TEXT(cadangan[[#This Row],[No]],"0000"),"-",TEXT(cadangan[[#This Row],[Tanggal terjual]],"dd/mm/yy"))</f>
        <v>ORD-TK0568-19/04/23</v>
      </c>
      <c r="C569" s="39" t="s">
        <v>66</v>
      </c>
      <c r="D569" s="39" t="str">
        <f>IFERROR(INDEX(Katalog!$A$3:$A$12,MATCH(cadangan[[#This Row],[ItemID A]],Katalog!$C$3:$C$12,0)),"-")</f>
        <v>Sepatu Pria</v>
      </c>
      <c r="E569" s="39" t="str">
        <f>IFERROR(INDEX(Katalog!$B$3:$B$12,MATCH(cadangan[[#This Row],[ItemID A]],Katalog!$C$3:$C$12,0)),"-")</f>
        <v>Sandal Slip On</v>
      </c>
      <c r="F569" s="50">
        <v>5</v>
      </c>
      <c r="G569" s="50">
        <v>2</v>
      </c>
      <c r="H569" s="73">
        <f>IFERROR(INDEX(Katalog!$D$3:$D$12,MATCH(cadangan[[#This Row],[ItemID A]],Katalog!$C$3:$C$12,0))*cadangan[[#This Row],[Qty A]],0)</f>
        <v>750000</v>
      </c>
      <c r="I569" s="73">
        <f>IFERROR(cadangan[[#This Row],[Harga Normal A]]-(cadangan[[#This Row],[Harga Normal A]]*cadangan[[#This Row],[Diskon]]),cadangan[[#This Row],[Harga Normal A]])</f>
        <v>675000</v>
      </c>
      <c r="J569" s="73">
        <f>INDEX(Katalog!$F$3:$F$12,MATCH(cadangan[[#This Row],[ItemID A]],Katalog!$C$3:$C$12,0))*cadangan[[#This Row],[Qty A]]</f>
        <v>300000</v>
      </c>
      <c r="K569" s="73">
        <f>IFERROR(cadangan[[#This Row],[Harga Diskon A]]-INDEX(Katalog!$E$3:$E$12,MATCH(cadangan[[#This Row],[ItemID A]],Katalog!$C$3:$C$12,0))*cadangan[[#This Row],[Qty A]],0)</f>
        <v>225000</v>
      </c>
      <c r="L569" s="39" t="s">
        <v>62</v>
      </c>
      <c r="M569" s="39" t="str">
        <f>IFERROR(INDEX(Katalog!$A$3:$A$12,MATCH(cadangan[[#This Row],[ItemID B]],Katalog!$C$3:$C$12,0)),"-")</f>
        <v>Pakaian Pria</v>
      </c>
      <c r="N569" s="39" t="str">
        <f>IFERROR(INDEX(Katalog!$B$3:$B$12,MATCH(cadangan[[#This Row],[ItemID B]],Katalog!$C$3:$C$12,0)),"-")</f>
        <v>Celana Pendek</v>
      </c>
      <c r="O569" s="50">
        <v>1</v>
      </c>
      <c r="P569" s="50">
        <v>1</v>
      </c>
      <c r="Q569" s="73">
        <f>IFERROR(INDEX(Katalog!$D$3:$D$12,MATCH(cadangan[[#This Row],[ItemID B]],Katalog!$C$3:$C$12,0))*cadangan[[#This Row],[Qty B]],0)</f>
        <v>180000</v>
      </c>
      <c r="R569" s="73">
        <f>IFERROR(cadangan[[#This Row],[Harga Normal B]]-(cadangan[[#This Row],[Harga Normal B]]*cadangan[[#This Row],[Diskon]]),cadangan[[#This Row],[Harga Normal B]])</f>
        <v>162000</v>
      </c>
      <c r="S569" s="73">
        <f>IFERROR(INDEX(Katalog!$F$3:$F$12,MATCH(cadangan[[#This Row],[ItemID B]],Katalog!$C$3:$C$12,0))*cadangan[[#This Row],[Qty B]],0)</f>
        <v>70000</v>
      </c>
      <c r="T569" s="73">
        <f>IFERROR(cadangan[[#This Row],[Harga Diskon B]]-INDEX(Katalog!$E$3:$E$12,MATCH(cadangan[[#This Row],[ItemID B]],Katalog!$C$3:$C$12,0))*cadangan[[#This Row],[Qty B]],0)</f>
        <v>52000</v>
      </c>
      <c r="V569" s="39" t="str">
        <f>IFERROR(INDEX(Katalog!$A$3:$A$12,MATCH(cadangan[[#This Row],[ItemID C]],Katalog!$C$3:$C$12,0)),"-")</f>
        <v>-</v>
      </c>
      <c r="W569" s="39" t="str">
        <f>IFERROR(INDEX(Katalog!$B$3:$B$12,MATCH(cadangan[[#This Row],[ItemID C]],Katalog!$C$3:$C$12,0)),"-")</f>
        <v>-</v>
      </c>
      <c r="Z569" s="73">
        <f>IFERROR(INDEX(Katalog!$D$3:$D$12,MATCH(cadangan[[#This Row],[ItemID C]],Katalog!$C$3:$C$12,0))*cadangan[[#This Row],[Qty C]],0)</f>
        <v>0</v>
      </c>
      <c r="AA569" s="73">
        <f>IFERROR(cadangan[[#This Row],[Harga Normal C]]-(cadangan[[#This Row],[Harga Normal C]]*cadangan[[#This Row],[Diskon]]),cadangan[[#This Row],[Harga Normal C]])</f>
        <v>0</v>
      </c>
      <c r="AB569" s="73">
        <f>IFERROR(INDEX(Katalog!$F$3:$F$12,MATCH(cadangan[[#This Row],[ItemID C]],Katalog!$C$3:$C$12,0))*cadangan[[#This Row],[Qty C]],0)</f>
        <v>0</v>
      </c>
      <c r="AC569" s="73">
        <f>IFERROR(cadangan[[#This Row],[Harga Diskon C]]-INDEX(Katalog!$E$3:$E$12,MATCH(cadangan[[#This Row],[ItemID C]],Katalog!$C$3:$C$12,0))*cadangan[[#This Row],[Qty C]],0)</f>
        <v>0</v>
      </c>
      <c r="AD569" s="53">
        <f>cadangan[[#This Row],[Qty A]]+cadangan[[#This Row],[Qty B]]+cadangan[[#This Row],[Qty C]]</f>
        <v>6</v>
      </c>
      <c r="AE569" s="73">
        <f>cadangan[[#This Row],[Harga Normal A]]+cadangan[[#This Row],[Harga Normal B]]+cadangan[[#This Row],[Harga Normal C]]</f>
        <v>930000</v>
      </c>
      <c r="AF569" s="73">
        <f>cadangan[[#This Row],[Harga Diskon A]]+cadangan[[#This Row],[Harga Diskon B]]+cadangan[[#This Row],[Harga Diskon C]]</f>
        <v>837000</v>
      </c>
      <c r="AG569" s="73">
        <f>(cadangan[[#This Row],[Profit Normal A]]+cadangan[[#This Row],[Profit Normal B]]+cadangan[[#This Row],[Profit Normal C]])</f>
        <v>370000</v>
      </c>
      <c r="AH569" s="73">
        <f>cadangan[[#This Row],[Profit Diskon A]]+cadangan[[#This Row],[Profit Diskon B]]+cadangan[[#This Row],[Profit Diskon C]]</f>
        <v>277000</v>
      </c>
      <c r="AI569" s="23" t="s">
        <v>31</v>
      </c>
      <c r="AJ569" s="37">
        <f>IFERROR(INDEX('Kode Diskon'!$D$3:$D$9,MATCH(cadangan[[#This Row],[Kode diskon]],'Kode Diskon'!$C$3:$C$9,0)),"-")</f>
        <v>0.1</v>
      </c>
      <c r="AK569" s="23" t="s">
        <v>9</v>
      </c>
      <c r="AL569" s="23" t="s">
        <v>10</v>
      </c>
      <c r="AM569" s="23" t="s">
        <v>77</v>
      </c>
      <c r="AN569" s="55">
        <v>45035</v>
      </c>
      <c r="AO569" s="53">
        <f>DAY(cadangan[[#This Row],[Tanggal terjual]])</f>
        <v>19</v>
      </c>
      <c r="AP569" s="21" t="str">
        <f>TEXT(cadangan[[#This Row],[Tanggal terjual]],"dddd")</f>
        <v>Wednesday</v>
      </c>
      <c r="AQ569" s="23" t="str" cm="1">
        <f t="array" ref="AQ5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69" s="61">
        <f>AVERAGE(cadangan[[#This Row],[Rating A]],cadangan[[#This Row],[Rating B]],cadangan[[#This Row],[Rating C]])</f>
        <v>1.5</v>
      </c>
    </row>
    <row r="570" spans="1:44" x14ac:dyDescent="0.2">
      <c r="A570" s="20">
        <v>569</v>
      </c>
      <c r="B570" s="21" t="str">
        <f>_xlfn.CONCAT("ORD-",INDEX(Helper!$B$2:$B$5,MATCH(cadangan[[#This Row],[Marketplace]],Helper!$A$2:$A$5,0)),TEXT(cadangan[[#This Row],[No]],"0000"),"-",TEXT(cadangan[[#This Row],[Tanggal terjual]],"dd/mm/yy"))</f>
        <v>ORD-SP0569-02/04/23</v>
      </c>
      <c r="C570" s="39" t="s">
        <v>63</v>
      </c>
      <c r="D570" s="39" t="str">
        <f>IFERROR(INDEX(Katalog!$A$3:$A$12,MATCH(cadangan[[#This Row],[ItemID A]],Katalog!$C$3:$C$12,0)),"-")</f>
        <v>Pakaian Pria</v>
      </c>
      <c r="E570" s="39" t="str">
        <f>IFERROR(INDEX(Katalog!$B$3:$B$12,MATCH(cadangan[[#This Row],[ItemID A]],Katalog!$C$3:$C$12,0)),"-")</f>
        <v>Jaket Jeans</v>
      </c>
      <c r="F570" s="50">
        <v>2</v>
      </c>
      <c r="G570" s="50">
        <v>4</v>
      </c>
      <c r="H570" s="73">
        <f>IFERROR(INDEX(Katalog!$D$3:$D$12,MATCH(cadangan[[#This Row],[ItemID A]],Katalog!$C$3:$C$12,0))*cadangan[[#This Row],[Qty A]],0)</f>
        <v>800000</v>
      </c>
      <c r="I570" s="73">
        <f>IFERROR(cadangan[[#This Row],[Harga Normal A]]-(cadangan[[#This Row],[Harga Normal A]]*cadangan[[#This Row],[Diskon]]),cadangan[[#This Row],[Harga Normal A]])</f>
        <v>680000</v>
      </c>
      <c r="J570" s="73">
        <f>INDEX(Katalog!$F$3:$F$12,MATCH(cadangan[[#This Row],[ItemID A]],Katalog!$C$3:$C$12,0))*cadangan[[#This Row],[Qty A]]</f>
        <v>300000</v>
      </c>
      <c r="K570" s="73">
        <f>IFERROR(cadangan[[#This Row],[Harga Diskon A]]-INDEX(Katalog!$E$3:$E$12,MATCH(cadangan[[#This Row],[ItemID A]],Katalog!$C$3:$C$12,0))*cadangan[[#This Row],[Qty A]],0)</f>
        <v>180000</v>
      </c>
      <c r="M570" s="39" t="str">
        <f>IFERROR(INDEX(Katalog!$A$3:$A$12,MATCH(cadangan[[#This Row],[ItemID B]],Katalog!$C$3:$C$12,0)),"-")</f>
        <v>-</v>
      </c>
      <c r="N570" s="39" t="str">
        <f>IFERROR(INDEX(Katalog!$B$3:$B$12,MATCH(cadangan[[#This Row],[ItemID B]],Katalog!$C$3:$C$12,0)),"-")</f>
        <v>-</v>
      </c>
      <c r="Q570" s="73">
        <f>IFERROR(INDEX(Katalog!$D$3:$D$12,MATCH(cadangan[[#This Row],[ItemID B]],Katalog!$C$3:$C$12,0))*cadangan[[#This Row],[Qty B]],0)</f>
        <v>0</v>
      </c>
      <c r="R570" s="73">
        <f>IFERROR(cadangan[[#This Row],[Harga Normal B]]-(cadangan[[#This Row],[Harga Normal B]]*cadangan[[#This Row],[Diskon]]),cadangan[[#This Row],[Harga Normal B]])</f>
        <v>0</v>
      </c>
      <c r="S570" s="73">
        <f>IFERROR(INDEX(Katalog!$F$3:$F$12,MATCH(cadangan[[#This Row],[ItemID B]],Katalog!$C$3:$C$12,0))*cadangan[[#This Row],[Qty B]],0)</f>
        <v>0</v>
      </c>
      <c r="T570" s="73">
        <f>IFERROR(cadangan[[#This Row],[Harga Diskon B]]-INDEX(Katalog!$E$3:$E$12,MATCH(cadangan[[#This Row],[ItemID B]],Katalog!$C$3:$C$12,0))*cadangan[[#This Row],[Qty B]],0)</f>
        <v>0</v>
      </c>
      <c r="V570" s="39" t="str">
        <f>IFERROR(INDEX(Katalog!$A$3:$A$12,MATCH(cadangan[[#This Row],[ItemID C]],Katalog!$C$3:$C$12,0)),"-")</f>
        <v>-</v>
      </c>
      <c r="W570" s="39" t="str">
        <f>IFERROR(INDEX(Katalog!$B$3:$B$12,MATCH(cadangan[[#This Row],[ItemID C]],Katalog!$C$3:$C$12,0)),"-")</f>
        <v>-</v>
      </c>
      <c r="Z570" s="73">
        <f>IFERROR(INDEX(Katalog!$D$3:$D$12,MATCH(cadangan[[#This Row],[ItemID C]],Katalog!$C$3:$C$12,0))*cadangan[[#This Row],[Qty C]],0)</f>
        <v>0</v>
      </c>
      <c r="AA570" s="73">
        <f>IFERROR(cadangan[[#This Row],[Harga Normal C]]-(cadangan[[#This Row],[Harga Normal C]]*cadangan[[#This Row],[Diskon]]),cadangan[[#This Row],[Harga Normal C]])</f>
        <v>0</v>
      </c>
      <c r="AB570" s="73">
        <f>IFERROR(INDEX(Katalog!$F$3:$F$12,MATCH(cadangan[[#This Row],[ItemID C]],Katalog!$C$3:$C$12,0))*cadangan[[#This Row],[Qty C]],0)</f>
        <v>0</v>
      </c>
      <c r="AC570" s="73">
        <f>IFERROR(cadangan[[#This Row],[Harga Diskon C]]-INDEX(Katalog!$E$3:$E$12,MATCH(cadangan[[#This Row],[ItemID C]],Katalog!$C$3:$C$12,0))*cadangan[[#This Row],[Qty C]],0)</f>
        <v>0</v>
      </c>
      <c r="AD570" s="53">
        <f>cadangan[[#This Row],[Qty A]]+cadangan[[#This Row],[Qty B]]+cadangan[[#This Row],[Qty C]]</f>
        <v>2</v>
      </c>
      <c r="AE570" s="73">
        <f>cadangan[[#This Row],[Harga Normal A]]+cadangan[[#This Row],[Harga Normal B]]+cadangan[[#This Row],[Harga Normal C]]</f>
        <v>800000</v>
      </c>
      <c r="AF570" s="73">
        <f>cadangan[[#This Row],[Harga Diskon A]]+cadangan[[#This Row],[Harga Diskon B]]+cadangan[[#This Row],[Harga Diskon C]]</f>
        <v>680000</v>
      </c>
      <c r="AG570" s="73">
        <f>(cadangan[[#This Row],[Profit Normal A]]+cadangan[[#This Row],[Profit Normal B]]+cadangan[[#This Row],[Profit Normal C]])</f>
        <v>300000</v>
      </c>
      <c r="AH570" s="73">
        <f>cadangan[[#This Row],[Profit Diskon A]]+cadangan[[#This Row],[Profit Diskon B]]+cadangan[[#This Row],[Profit Diskon C]]</f>
        <v>180000</v>
      </c>
      <c r="AI570" s="23" t="s">
        <v>13</v>
      </c>
      <c r="AJ570" s="37">
        <f>IFERROR(INDEX('Kode Diskon'!$D$3:$D$9,MATCH(cadangan[[#This Row],[Kode diskon]],'Kode Diskon'!$C$3:$C$9,0)),"-")</f>
        <v>0.15</v>
      </c>
      <c r="AK570" s="23" t="s">
        <v>29</v>
      </c>
      <c r="AL570" s="23" t="s">
        <v>7</v>
      </c>
      <c r="AM570" s="23" t="s">
        <v>78</v>
      </c>
      <c r="AN570" s="55">
        <v>45018</v>
      </c>
      <c r="AO570" s="53">
        <f>DAY(cadangan[[#This Row],[Tanggal terjual]])</f>
        <v>2</v>
      </c>
      <c r="AP570" s="21" t="str">
        <f>TEXT(cadangan[[#This Row],[Tanggal terjual]],"dddd")</f>
        <v>Sunday</v>
      </c>
      <c r="AQ570" s="23" t="str" cm="1">
        <f t="array" ref="AQ5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0" s="61">
        <f>AVERAGE(cadangan[[#This Row],[Rating A]],cadangan[[#This Row],[Rating B]],cadangan[[#This Row],[Rating C]])</f>
        <v>4</v>
      </c>
    </row>
    <row r="571" spans="1:44" x14ac:dyDescent="0.2">
      <c r="A571" s="20">
        <v>570</v>
      </c>
      <c r="B571" s="21" t="str">
        <f>_xlfn.CONCAT("ORD-",INDEX(Helper!$B$2:$B$5,MATCH(cadangan[[#This Row],[Marketplace]],Helper!$A$2:$A$5,0)),TEXT(cadangan[[#This Row],[No]],"0000"),"-",TEXT(cadangan[[#This Row],[Tanggal terjual]],"dd/mm/yy"))</f>
        <v>ORD-BB0570-05/04/23</v>
      </c>
      <c r="C571" s="39" t="s">
        <v>66</v>
      </c>
      <c r="D571" s="39" t="str">
        <f>IFERROR(INDEX(Katalog!$A$3:$A$12,MATCH(cadangan[[#This Row],[ItemID A]],Katalog!$C$3:$C$12,0)),"-")</f>
        <v>Sepatu Pria</v>
      </c>
      <c r="E571" s="39" t="str">
        <f>IFERROR(INDEX(Katalog!$B$3:$B$12,MATCH(cadangan[[#This Row],[ItemID A]],Katalog!$C$3:$C$12,0)),"-")</f>
        <v>Sandal Slip On</v>
      </c>
      <c r="F571" s="50">
        <v>5</v>
      </c>
      <c r="G571" s="50">
        <v>3</v>
      </c>
      <c r="H571" s="73">
        <f>IFERROR(INDEX(Katalog!$D$3:$D$12,MATCH(cadangan[[#This Row],[ItemID A]],Katalog!$C$3:$C$12,0))*cadangan[[#This Row],[Qty A]],0)</f>
        <v>750000</v>
      </c>
      <c r="I571" s="73">
        <f>IFERROR(cadangan[[#This Row],[Harga Normal A]]-(cadangan[[#This Row],[Harga Normal A]]*cadangan[[#This Row],[Diskon]]),cadangan[[#This Row],[Harga Normal A]])</f>
        <v>637500</v>
      </c>
      <c r="J571" s="73">
        <f>INDEX(Katalog!$F$3:$F$12,MATCH(cadangan[[#This Row],[ItemID A]],Katalog!$C$3:$C$12,0))*cadangan[[#This Row],[Qty A]]</f>
        <v>300000</v>
      </c>
      <c r="K571" s="73">
        <f>IFERROR(cadangan[[#This Row],[Harga Diskon A]]-INDEX(Katalog!$E$3:$E$12,MATCH(cadangan[[#This Row],[ItemID A]],Katalog!$C$3:$C$12,0))*cadangan[[#This Row],[Qty A]],0)</f>
        <v>187500</v>
      </c>
      <c r="L571" s="39" t="s">
        <v>58</v>
      </c>
      <c r="M571" s="39" t="str">
        <f>IFERROR(INDEX(Katalog!$A$3:$A$12,MATCH(cadangan[[#This Row],[ItemID B]],Katalog!$C$3:$C$12,0)),"-")</f>
        <v>Pakaian Wanita</v>
      </c>
      <c r="N571" s="39" t="str">
        <f>IFERROR(INDEX(Katalog!$B$3:$B$12,MATCH(cadangan[[#This Row],[ItemID B]],Katalog!$C$3:$C$12,0)),"-")</f>
        <v>Dress</v>
      </c>
      <c r="O571" s="50">
        <v>1</v>
      </c>
      <c r="P571" s="50">
        <v>1</v>
      </c>
      <c r="Q571" s="73">
        <f>IFERROR(INDEX(Katalog!$D$3:$D$12,MATCH(cadangan[[#This Row],[ItemID B]],Katalog!$C$3:$C$12,0))*cadangan[[#This Row],[Qty B]],0)</f>
        <v>300000</v>
      </c>
      <c r="R571" s="73">
        <f>IFERROR(cadangan[[#This Row],[Harga Normal B]]-(cadangan[[#This Row],[Harga Normal B]]*cadangan[[#This Row],[Diskon]]),cadangan[[#This Row],[Harga Normal B]])</f>
        <v>255000</v>
      </c>
      <c r="S571" s="73">
        <f>IFERROR(INDEX(Katalog!$F$3:$F$12,MATCH(cadangan[[#This Row],[ItemID B]],Katalog!$C$3:$C$12,0))*cadangan[[#This Row],[Qty B]],0)</f>
        <v>100000</v>
      </c>
      <c r="T571" s="73">
        <f>IFERROR(cadangan[[#This Row],[Harga Diskon B]]-INDEX(Katalog!$E$3:$E$12,MATCH(cadangan[[#This Row],[ItemID B]],Katalog!$C$3:$C$12,0))*cadangan[[#This Row],[Qty B]],0)</f>
        <v>55000</v>
      </c>
      <c r="U571" s="39" t="s">
        <v>65</v>
      </c>
      <c r="V571" s="39" t="str">
        <f>IFERROR(INDEX(Katalog!$A$3:$A$12,MATCH(cadangan[[#This Row],[ItemID C]],Katalog!$C$3:$C$12,0)),"-")</f>
        <v>Sepatu Pria</v>
      </c>
      <c r="W571" s="39" t="str">
        <f>IFERROR(INDEX(Katalog!$B$3:$B$12,MATCH(cadangan[[#This Row],[ItemID C]],Katalog!$C$3:$C$12,0)),"-")</f>
        <v>Sneakers</v>
      </c>
      <c r="X571" s="50">
        <v>1</v>
      </c>
      <c r="Y571" s="50">
        <v>5</v>
      </c>
      <c r="Z571" s="73">
        <f>IFERROR(INDEX(Katalog!$D$3:$D$12,MATCH(cadangan[[#This Row],[ItemID C]],Katalog!$C$3:$C$12,0))*cadangan[[#This Row],[Qty C]],0)</f>
        <v>500000</v>
      </c>
      <c r="AA571" s="73">
        <f>IFERROR(cadangan[[#This Row],[Harga Normal C]]-(cadangan[[#This Row],[Harga Normal C]]*cadangan[[#This Row],[Diskon]]),cadangan[[#This Row],[Harga Normal C]])</f>
        <v>425000</v>
      </c>
      <c r="AB571" s="73">
        <f>IFERROR(INDEX(Katalog!$F$3:$F$12,MATCH(cadangan[[#This Row],[ItemID C]],Katalog!$C$3:$C$12,0))*cadangan[[#This Row],[Qty C]],0)</f>
        <v>200000</v>
      </c>
      <c r="AC571" s="73">
        <f>IFERROR(cadangan[[#This Row],[Harga Diskon C]]-INDEX(Katalog!$E$3:$E$12,MATCH(cadangan[[#This Row],[ItemID C]],Katalog!$C$3:$C$12,0))*cadangan[[#This Row],[Qty C]],0)</f>
        <v>125000</v>
      </c>
      <c r="AD571" s="53">
        <f>cadangan[[#This Row],[Qty A]]+cadangan[[#This Row],[Qty B]]+cadangan[[#This Row],[Qty C]]</f>
        <v>7</v>
      </c>
      <c r="AE571" s="73">
        <f>cadangan[[#This Row],[Harga Normal A]]+cadangan[[#This Row],[Harga Normal B]]+cadangan[[#This Row],[Harga Normal C]]</f>
        <v>1550000</v>
      </c>
      <c r="AF571" s="73">
        <f>cadangan[[#This Row],[Harga Diskon A]]+cadangan[[#This Row],[Harga Diskon B]]+cadangan[[#This Row],[Harga Diskon C]]</f>
        <v>1317500</v>
      </c>
      <c r="AG571" s="73">
        <f>(cadangan[[#This Row],[Profit Normal A]]+cadangan[[#This Row],[Profit Normal B]]+cadangan[[#This Row],[Profit Normal C]])</f>
        <v>600000</v>
      </c>
      <c r="AH571" s="73">
        <f>cadangan[[#This Row],[Profit Diskon A]]+cadangan[[#This Row],[Profit Diskon B]]+cadangan[[#This Row],[Profit Diskon C]]</f>
        <v>367500</v>
      </c>
      <c r="AI571" s="23" t="s">
        <v>28</v>
      </c>
      <c r="AJ571" s="37">
        <f>IFERROR(INDEX('Kode Diskon'!$D$3:$D$9,MATCH(cadangan[[#This Row],[Kode diskon]],'Kode Diskon'!$C$3:$C$9,0)),"-")</f>
        <v>0.15</v>
      </c>
      <c r="AK571" s="23" t="s">
        <v>29</v>
      </c>
      <c r="AL571" s="23" t="s">
        <v>14</v>
      </c>
      <c r="AM571" s="23" t="s">
        <v>80</v>
      </c>
      <c r="AN571" s="55">
        <v>45021</v>
      </c>
      <c r="AO571" s="53">
        <f>DAY(cadangan[[#This Row],[Tanggal terjual]])</f>
        <v>5</v>
      </c>
      <c r="AP571" s="21" t="str">
        <f>TEXT(cadangan[[#This Row],[Tanggal terjual]],"dddd")</f>
        <v>Wednesday</v>
      </c>
      <c r="AQ571" s="23" t="str" cm="1">
        <f t="array" ref="AQ5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1" s="61">
        <f>AVERAGE(cadangan[[#This Row],[Rating A]],cadangan[[#This Row],[Rating B]],cadangan[[#This Row],[Rating C]])</f>
        <v>3</v>
      </c>
    </row>
    <row r="572" spans="1:44" x14ac:dyDescent="0.2">
      <c r="A572" s="20">
        <v>571</v>
      </c>
      <c r="B572" s="21" t="str">
        <f>_xlfn.CONCAT("ORD-",INDEX(Helper!$B$2:$B$5,MATCH(cadangan[[#This Row],[Marketplace]],Helper!$A$2:$A$5,0)),TEXT(cadangan[[#This Row],[No]],"0000"),"-",TEXT(cadangan[[#This Row],[Tanggal terjual]],"dd/mm/yy"))</f>
        <v>ORD-BB0571-02/04/23</v>
      </c>
      <c r="C572" s="39" t="s">
        <v>61</v>
      </c>
      <c r="D572" s="39" t="str">
        <f>IFERROR(INDEX(Katalog!$A$3:$A$12,MATCH(cadangan[[#This Row],[ItemID A]],Katalog!$C$3:$C$12,0)),"-")</f>
        <v>Pakaian Pria</v>
      </c>
      <c r="E572" s="39" t="str">
        <f>IFERROR(INDEX(Katalog!$B$3:$B$12,MATCH(cadangan[[#This Row],[ItemID A]],Katalog!$C$3:$C$12,0)),"-")</f>
        <v>Kaos Polo</v>
      </c>
      <c r="F572" s="50">
        <v>2</v>
      </c>
      <c r="G572" s="50">
        <v>3</v>
      </c>
      <c r="H572" s="73">
        <f>IFERROR(INDEX(Katalog!$D$3:$D$12,MATCH(cadangan[[#This Row],[ItemID A]],Katalog!$C$3:$C$12,0))*cadangan[[#This Row],[Qty A]],0)</f>
        <v>400000</v>
      </c>
      <c r="I572" s="73">
        <f>IFERROR(cadangan[[#This Row],[Harga Normal A]]-(cadangan[[#This Row],[Harga Normal A]]*cadangan[[#This Row],[Diskon]]),cadangan[[#This Row],[Harga Normal A]])</f>
        <v>340000</v>
      </c>
      <c r="J572" s="73">
        <f>INDEX(Katalog!$F$3:$F$12,MATCH(cadangan[[#This Row],[ItemID A]],Katalog!$C$3:$C$12,0))*cadangan[[#This Row],[Qty A]]</f>
        <v>160000</v>
      </c>
      <c r="K572" s="73">
        <f>IFERROR(cadangan[[#This Row],[Harga Diskon A]]-INDEX(Katalog!$E$3:$E$12,MATCH(cadangan[[#This Row],[ItemID A]],Katalog!$C$3:$C$12,0))*cadangan[[#This Row],[Qty A]],0)</f>
        <v>100000</v>
      </c>
      <c r="L572" s="39" t="s">
        <v>62</v>
      </c>
      <c r="M572" s="39" t="str">
        <f>IFERROR(INDEX(Katalog!$A$3:$A$12,MATCH(cadangan[[#This Row],[ItemID B]],Katalog!$C$3:$C$12,0)),"-")</f>
        <v>Pakaian Pria</v>
      </c>
      <c r="N572" s="39" t="str">
        <f>IFERROR(INDEX(Katalog!$B$3:$B$12,MATCH(cadangan[[#This Row],[ItemID B]],Katalog!$C$3:$C$12,0)),"-")</f>
        <v>Celana Pendek</v>
      </c>
      <c r="O572" s="50">
        <v>2</v>
      </c>
      <c r="P572" s="50">
        <v>4</v>
      </c>
      <c r="Q572" s="73">
        <f>IFERROR(INDEX(Katalog!$D$3:$D$12,MATCH(cadangan[[#This Row],[ItemID B]],Katalog!$C$3:$C$12,0))*cadangan[[#This Row],[Qty B]],0)</f>
        <v>360000</v>
      </c>
      <c r="R572" s="73">
        <f>IFERROR(cadangan[[#This Row],[Harga Normal B]]-(cadangan[[#This Row],[Harga Normal B]]*cadangan[[#This Row],[Diskon]]),cadangan[[#This Row],[Harga Normal B]])</f>
        <v>306000</v>
      </c>
      <c r="S572" s="73">
        <f>IFERROR(INDEX(Katalog!$F$3:$F$12,MATCH(cadangan[[#This Row],[ItemID B]],Katalog!$C$3:$C$12,0))*cadangan[[#This Row],[Qty B]],0)</f>
        <v>140000</v>
      </c>
      <c r="T572" s="73">
        <f>IFERROR(cadangan[[#This Row],[Harga Diskon B]]-INDEX(Katalog!$E$3:$E$12,MATCH(cadangan[[#This Row],[ItemID B]],Katalog!$C$3:$C$12,0))*cadangan[[#This Row],[Qty B]],0)</f>
        <v>86000</v>
      </c>
      <c r="U572" s="39" t="s">
        <v>65</v>
      </c>
      <c r="V572" s="39" t="str">
        <f>IFERROR(INDEX(Katalog!$A$3:$A$12,MATCH(cadangan[[#This Row],[ItemID C]],Katalog!$C$3:$C$12,0)),"-")</f>
        <v>Sepatu Pria</v>
      </c>
      <c r="W572" s="39" t="str">
        <f>IFERROR(INDEX(Katalog!$B$3:$B$12,MATCH(cadangan[[#This Row],[ItemID C]],Katalog!$C$3:$C$12,0)),"-")</f>
        <v>Sneakers</v>
      </c>
      <c r="X572" s="50">
        <v>3</v>
      </c>
      <c r="Y572" s="50">
        <v>3</v>
      </c>
      <c r="Z572" s="73">
        <f>IFERROR(INDEX(Katalog!$D$3:$D$12,MATCH(cadangan[[#This Row],[ItemID C]],Katalog!$C$3:$C$12,0))*cadangan[[#This Row],[Qty C]],0)</f>
        <v>1500000</v>
      </c>
      <c r="AA572" s="73">
        <f>IFERROR(cadangan[[#This Row],[Harga Normal C]]-(cadangan[[#This Row],[Harga Normal C]]*cadangan[[#This Row],[Diskon]]),cadangan[[#This Row],[Harga Normal C]])</f>
        <v>1275000</v>
      </c>
      <c r="AB572" s="73">
        <f>IFERROR(INDEX(Katalog!$F$3:$F$12,MATCH(cadangan[[#This Row],[ItemID C]],Katalog!$C$3:$C$12,0))*cadangan[[#This Row],[Qty C]],0)</f>
        <v>600000</v>
      </c>
      <c r="AC572" s="73">
        <f>IFERROR(cadangan[[#This Row],[Harga Diskon C]]-INDEX(Katalog!$E$3:$E$12,MATCH(cadangan[[#This Row],[ItemID C]],Katalog!$C$3:$C$12,0))*cadangan[[#This Row],[Qty C]],0)</f>
        <v>375000</v>
      </c>
      <c r="AD572" s="53">
        <f>cadangan[[#This Row],[Qty A]]+cadangan[[#This Row],[Qty B]]+cadangan[[#This Row],[Qty C]]</f>
        <v>7</v>
      </c>
      <c r="AE572" s="73">
        <f>cadangan[[#This Row],[Harga Normal A]]+cadangan[[#This Row],[Harga Normal B]]+cadangan[[#This Row],[Harga Normal C]]</f>
        <v>2260000</v>
      </c>
      <c r="AF572" s="73">
        <f>cadangan[[#This Row],[Harga Diskon A]]+cadangan[[#This Row],[Harga Diskon B]]+cadangan[[#This Row],[Harga Diskon C]]</f>
        <v>1921000</v>
      </c>
      <c r="AG572" s="73">
        <f>(cadangan[[#This Row],[Profit Normal A]]+cadangan[[#This Row],[Profit Normal B]]+cadangan[[#This Row],[Profit Normal C]])</f>
        <v>900000</v>
      </c>
      <c r="AH572" s="73">
        <f>cadangan[[#This Row],[Profit Diskon A]]+cadangan[[#This Row],[Profit Diskon B]]+cadangan[[#This Row],[Profit Diskon C]]</f>
        <v>561000</v>
      </c>
      <c r="AI572" s="23" t="s">
        <v>28</v>
      </c>
      <c r="AJ572" s="37">
        <f>IFERROR(INDEX('Kode Diskon'!$D$3:$D$9,MATCH(cadangan[[#This Row],[Kode diskon]],'Kode Diskon'!$C$3:$C$9,0)),"-")</f>
        <v>0.15</v>
      </c>
      <c r="AK572" s="23" t="s">
        <v>29</v>
      </c>
      <c r="AL572" s="23" t="s">
        <v>14</v>
      </c>
      <c r="AM572" s="23" t="s">
        <v>77</v>
      </c>
      <c r="AN572" s="55">
        <v>45018</v>
      </c>
      <c r="AO572" s="53">
        <f>DAY(cadangan[[#This Row],[Tanggal terjual]])</f>
        <v>2</v>
      </c>
      <c r="AP572" s="21" t="str">
        <f>TEXT(cadangan[[#This Row],[Tanggal terjual]],"dddd")</f>
        <v>Sunday</v>
      </c>
      <c r="AQ572" s="23" t="str" cm="1">
        <f t="array" ref="AQ5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2" s="61">
        <f>AVERAGE(cadangan[[#This Row],[Rating A]],cadangan[[#This Row],[Rating B]],cadangan[[#This Row],[Rating C]])</f>
        <v>3.3333333333333335</v>
      </c>
    </row>
    <row r="573" spans="1:44" x14ac:dyDescent="0.2">
      <c r="A573" s="20">
        <v>572</v>
      </c>
      <c r="B573" s="21" t="str">
        <f>_xlfn.CONCAT("ORD-",INDEX(Helper!$B$2:$B$5,MATCH(cadangan[[#This Row],[Marketplace]],Helper!$A$2:$A$5,0)),TEXT(cadangan[[#This Row],[No]],"0000"),"-",TEXT(cadangan[[#This Row],[Tanggal terjual]],"dd/mm/yy"))</f>
        <v>ORD-TK0572-04/04/23</v>
      </c>
      <c r="C573" s="39" t="s">
        <v>59</v>
      </c>
      <c r="D573" s="39" t="str">
        <f>IFERROR(INDEX(Katalog!$A$3:$A$12,MATCH(cadangan[[#This Row],[ItemID A]],Katalog!$C$3:$C$12,0)),"-")</f>
        <v>Pakaian Wanita</v>
      </c>
      <c r="E573" s="39" t="str">
        <f>IFERROR(INDEX(Katalog!$B$3:$B$12,MATCH(cadangan[[#This Row],[ItemID A]],Katalog!$C$3:$C$12,0)),"-")</f>
        <v>Blouse</v>
      </c>
      <c r="F573" s="50">
        <v>1</v>
      </c>
      <c r="G573" s="50">
        <v>2</v>
      </c>
      <c r="H573" s="73">
        <f>IFERROR(INDEX(Katalog!$D$3:$D$12,MATCH(cadangan[[#This Row],[ItemID A]],Katalog!$C$3:$C$12,0))*cadangan[[#This Row],[Qty A]],0)</f>
        <v>150000</v>
      </c>
      <c r="I573" s="73">
        <f>IFERROR(cadangan[[#This Row],[Harga Normal A]]-(cadangan[[#This Row],[Harga Normal A]]*cadangan[[#This Row],[Diskon]]),cadangan[[#This Row],[Harga Normal A]])</f>
        <v>135000</v>
      </c>
      <c r="J573" s="73">
        <f>INDEX(Katalog!$F$3:$F$12,MATCH(cadangan[[#This Row],[ItemID A]],Katalog!$C$3:$C$12,0))*cadangan[[#This Row],[Qty A]]</f>
        <v>50000</v>
      </c>
      <c r="K573" s="73">
        <f>IFERROR(cadangan[[#This Row],[Harga Diskon A]]-INDEX(Katalog!$E$3:$E$12,MATCH(cadangan[[#This Row],[ItemID A]],Katalog!$C$3:$C$12,0))*cadangan[[#This Row],[Qty A]],0)</f>
        <v>35000</v>
      </c>
      <c r="M573" s="39" t="str">
        <f>IFERROR(INDEX(Katalog!$A$3:$A$12,MATCH(cadangan[[#This Row],[ItemID B]],Katalog!$C$3:$C$12,0)),"-")</f>
        <v>-</v>
      </c>
      <c r="N573" s="39" t="str">
        <f>IFERROR(INDEX(Katalog!$B$3:$B$12,MATCH(cadangan[[#This Row],[ItemID B]],Katalog!$C$3:$C$12,0)),"-")</f>
        <v>-</v>
      </c>
      <c r="Q573" s="73">
        <f>IFERROR(INDEX(Katalog!$D$3:$D$12,MATCH(cadangan[[#This Row],[ItemID B]],Katalog!$C$3:$C$12,0))*cadangan[[#This Row],[Qty B]],0)</f>
        <v>0</v>
      </c>
      <c r="R573" s="73">
        <f>IFERROR(cadangan[[#This Row],[Harga Normal B]]-(cadangan[[#This Row],[Harga Normal B]]*cadangan[[#This Row],[Diskon]]),cadangan[[#This Row],[Harga Normal B]])</f>
        <v>0</v>
      </c>
      <c r="S573" s="73">
        <f>IFERROR(INDEX(Katalog!$F$3:$F$12,MATCH(cadangan[[#This Row],[ItemID B]],Katalog!$C$3:$C$12,0))*cadangan[[#This Row],[Qty B]],0)</f>
        <v>0</v>
      </c>
      <c r="T573" s="73">
        <f>IFERROR(cadangan[[#This Row],[Harga Diskon B]]-INDEX(Katalog!$E$3:$E$12,MATCH(cadangan[[#This Row],[ItemID B]],Katalog!$C$3:$C$12,0))*cadangan[[#This Row],[Qty B]],0)</f>
        <v>0</v>
      </c>
      <c r="V573" s="39" t="str">
        <f>IFERROR(INDEX(Katalog!$A$3:$A$12,MATCH(cadangan[[#This Row],[ItemID C]],Katalog!$C$3:$C$12,0)),"-")</f>
        <v>-</v>
      </c>
      <c r="W573" s="39" t="str">
        <f>IFERROR(INDEX(Katalog!$B$3:$B$12,MATCH(cadangan[[#This Row],[ItemID C]],Katalog!$C$3:$C$12,0)),"-")</f>
        <v>-</v>
      </c>
      <c r="Z573" s="73">
        <f>IFERROR(INDEX(Katalog!$D$3:$D$12,MATCH(cadangan[[#This Row],[ItemID C]],Katalog!$C$3:$C$12,0))*cadangan[[#This Row],[Qty C]],0)</f>
        <v>0</v>
      </c>
      <c r="AA573" s="73">
        <f>IFERROR(cadangan[[#This Row],[Harga Normal C]]-(cadangan[[#This Row],[Harga Normal C]]*cadangan[[#This Row],[Diskon]]),cadangan[[#This Row],[Harga Normal C]])</f>
        <v>0</v>
      </c>
      <c r="AB573" s="73">
        <f>IFERROR(INDEX(Katalog!$F$3:$F$12,MATCH(cadangan[[#This Row],[ItemID C]],Katalog!$C$3:$C$12,0))*cadangan[[#This Row],[Qty C]],0)</f>
        <v>0</v>
      </c>
      <c r="AC573" s="73">
        <f>IFERROR(cadangan[[#This Row],[Harga Diskon C]]-INDEX(Katalog!$E$3:$E$12,MATCH(cadangan[[#This Row],[ItemID C]],Katalog!$C$3:$C$12,0))*cadangan[[#This Row],[Qty C]],0)</f>
        <v>0</v>
      </c>
      <c r="AD573" s="53">
        <f>cadangan[[#This Row],[Qty A]]+cadangan[[#This Row],[Qty B]]+cadangan[[#This Row],[Qty C]]</f>
        <v>1</v>
      </c>
      <c r="AE573" s="73">
        <f>cadangan[[#This Row],[Harga Normal A]]+cadangan[[#This Row],[Harga Normal B]]+cadangan[[#This Row],[Harga Normal C]]</f>
        <v>150000</v>
      </c>
      <c r="AF573" s="73">
        <f>cadangan[[#This Row],[Harga Diskon A]]+cadangan[[#This Row],[Harga Diskon B]]+cadangan[[#This Row],[Harga Diskon C]]</f>
        <v>135000</v>
      </c>
      <c r="AG573" s="73">
        <f>(cadangan[[#This Row],[Profit Normal A]]+cadangan[[#This Row],[Profit Normal B]]+cadangan[[#This Row],[Profit Normal C]])</f>
        <v>50000</v>
      </c>
      <c r="AH573" s="73">
        <f>cadangan[[#This Row],[Profit Diskon A]]+cadangan[[#This Row],[Profit Diskon B]]+cadangan[[#This Row],[Profit Diskon C]]</f>
        <v>35000</v>
      </c>
      <c r="AI573" s="23" t="s">
        <v>30</v>
      </c>
      <c r="AJ573" s="37">
        <f>IFERROR(INDEX('Kode Diskon'!$D$3:$D$9,MATCH(cadangan[[#This Row],[Kode diskon]],'Kode Diskon'!$C$3:$C$9,0)),"-")</f>
        <v>0.1</v>
      </c>
      <c r="AK573" s="23" t="s">
        <v>29</v>
      </c>
      <c r="AL573" s="23" t="s">
        <v>10</v>
      </c>
      <c r="AM573" s="23" t="s">
        <v>76</v>
      </c>
      <c r="AN573" s="55">
        <v>45020</v>
      </c>
      <c r="AO573" s="53">
        <f>DAY(cadangan[[#This Row],[Tanggal terjual]])</f>
        <v>4</v>
      </c>
      <c r="AP573" s="21" t="str">
        <f>TEXT(cadangan[[#This Row],[Tanggal terjual]],"dddd")</f>
        <v>Tuesday</v>
      </c>
      <c r="AQ573" s="23" t="str" cm="1">
        <f t="array" ref="AQ5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3" s="61">
        <f>AVERAGE(cadangan[[#This Row],[Rating A]],cadangan[[#This Row],[Rating B]],cadangan[[#This Row],[Rating C]])</f>
        <v>2</v>
      </c>
    </row>
    <row r="574" spans="1:44" x14ac:dyDescent="0.2">
      <c r="A574" s="20">
        <v>573</v>
      </c>
      <c r="B574" s="21" t="str">
        <f>_xlfn.CONCAT("ORD-",INDEX(Helper!$B$2:$B$5,MATCH(cadangan[[#This Row],[Marketplace]],Helper!$A$2:$A$5,0)),TEXT(cadangan[[#This Row],[No]],"0000"),"-",TEXT(cadangan[[#This Row],[Tanggal terjual]],"dd/mm/yy"))</f>
        <v>ORD-SP0573-03/04/23</v>
      </c>
      <c r="C574" s="39" t="s">
        <v>59</v>
      </c>
      <c r="D574" s="39" t="str">
        <f>IFERROR(INDEX(Katalog!$A$3:$A$12,MATCH(cadangan[[#This Row],[ItemID A]],Katalog!$C$3:$C$12,0)),"-")</f>
        <v>Pakaian Wanita</v>
      </c>
      <c r="E574" s="39" t="str">
        <f>IFERROR(INDEX(Katalog!$B$3:$B$12,MATCH(cadangan[[#This Row],[ItemID A]],Katalog!$C$3:$C$12,0)),"-")</f>
        <v>Blouse</v>
      </c>
      <c r="F574" s="50">
        <v>2</v>
      </c>
      <c r="G574" s="50">
        <v>1</v>
      </c>
      <c r="H574" s="73">
        <f>IFERROR(INDEX(Katalog!$D$3:$D$12,MATCH(cadangan[[#This Row],[ItemID A]],Katalog!$C$3:$C$12,0))*cadangan[[#This Row],[Qty A]],0)</f>
        <v>300000</v>
      </c>
      <c r="I574" s="73">
        <f>IFERROR(cadangan[[#This Row],[Harga Normal A]]-(cadangan[[#This Row],[Harga Normal A]]*cadangan[[#This Row],[Diskon]]),cadangan[[#This Row],[Harga Normal A]])</f>
        <v>255000</v>
      </c>
      <c r="J574" s="73">
        <f>INDEX(Katalog!$F$3:$F$12,MATCH(cadangan[[#This Row],[ItemID A]],Katalog!$C$3:$C$12,0))*cadangan[[#This Row],[Qty A]]</f>
        <v>100000</v>
      </c>
      <c r="K574" s="73">
        <f>IFERROR(cadangan[[#This Row],[Harga Diskon A]]-INDEX(Katalog!$E$3:$E$12,MATCH(cadangan[[#This Row],[ItemID A]],Katalog!$C$3:$C$12,0))*cadangan[[#This Row],[Qty A]],0)</f>
        <v>55000</v>
      </c>
      <c r="L574" s="39" t="s">
        <v>67</v>
      </c>
      <c r="M574" s="39" t="str">
        <f>IFERROR(INDEX(Katalog!$A$3:$A$12,MATCH(cadangan[[#This Row],[ItemID B]],Katalog!$C$3:$C$12,0)),"-")</f>
        <v>Sepatu Wanita</v>
      </c>
      <c r="N574" s="39" t="str">
        <f>IFERROR(INDEX(Katalog!$B$3:$B$12,MATCH(cadangan[[#This Row],[ItemID B]],Katalog!$C$3:$C$12,0)),"-")</f>
        <v>Flat Shoes</v>
      </c>
      <c r="O574" s="50">
        <v>1</v>
      </c>
      <c r="P574" s="50">
        <v>5</v>
      </c>
      <c r="Q574" s="73">
        <f>IFERROR(INDEX(Katalog!$D$3:$D$12,MATCH(cadangan[[#This Row],[ItemID B]],Katalog!$C$3:$C$12,0))*cadangan[[#This Row],[Qty B]],0)</f>
        <v>250000</v>
      </c>
      <c r="R574" s="73">
        <f>IFERROR(cadangan[[#This Row],[Harga Normal B]]-(cadangan[[#This Row],[Harga Normal B]]*cadangan[[#This Row],[Diskon]]),cadangan[[#This Row],[Harga Normal B]])</f>
        <v>212500</v>
      </c>
      <c r="S574" s="73">
        <f>IFERROR(INDEX(Katalog!$F$3:$F$12,MATCH(cadangan[[#This Row],[ItemID B]],Katalog!$C$3:$C$12,0))*cadangan[[#This Row],[Qty B]],0)</f>
        <v>100000</v>
      </c>
      <c r="T574" s="73">
        <f>IFERROR(cadangan[[#This Row],[Harga Diskon B]]-INDEX(Katalog!$E$3:$E$12,MATCH(cadangan[[#This Row],[ItemID B]],Katalog!$C$3:$C$12,0))*cadangan[[#This Row],[Qty B]],0)</f>
        <v>62500</v>
      </c>
      <c r="U574" s="39" t="s">
        <v>65</v>
      </c>
      <c r="V574" s="39" t="str">
        <f>IFERROR(INDEX(Katalog!$A$3:$A$12,MATCH(cadangan[[#This Row],[ItemID C]],Katalog!$C$3:$C$12,0)),"-")</f>
        <v>Sepatu Pria</v>
      </c>
      <c r="W574" s="39" t="str">
        <f>IFERROR(INDEX(Katalog!$B$3:$B$12,MATCH(cadangan[[#This Row],[ItemID C]],Katalog!$C$3:$C$12,0)),"-")</f>
        <v>Sneakers</v>
      </c>
      <c r="X574" s="50">
        <v>1</v>
      </c>
      <c r="Y574" s="50">
        <v>4</v>
      </c>
      <c r="Z574" s="73">
        <f>IFERROR(INDEX(Katalog!$D$3:$D$12,MATCH(cadangan[[#This Row],[ItemID C]],Katalog!$C$3:$C$12,0))*cadangan[[#This Row],[Qty C]],0)</f>
        <v>500000</v>
      </c>
      <c r="AA574" s="73">
        <f>IFERROR(cadangan[[#This Row],[Harga Normal C]]-(cadangan[[#This Row],[Harga Normal C]]*cadangan[[#This Row],[Diskon]]),cadangan[[#This Row],[Harga Normal C]])</f>
        <v>425000</v>
      </c>
      <c r="AB574" s="73">
        <f>IFERROR(INDEX(Katalog!$F$3:$F$12,MATCH(cadangan[[#This Row],[ItemID C]],Katalog!$C$3:$C$12,0))*cadangan[[#This Row],[Qty C]],0)</f>
        <v>200000</v>
      </c>
      <c r="AC574" s="73">
        <f>IFERROR(cadangan[[#This Row],[Harga Diskon C]]-INDEX(Katalog!$E$3:$E$12,MATCH(cadangan[[#This Row],[ItemID C]],Katalog!$C$3:$C$12,0))*cadangan[[#This Row],[Qty C]],0)</f>
        <v>125000</v>
      </c>
      <c r="AD574" s="53">
        <f>cadangan[[#This Row],[Qty A]]+cadangan[[#This Row],[Qty B]]+cadangan[[#This Row],[Qty C]]</f>
        <v>4</v>
      </c>
      <c r="AE574" s="73">
        <f>cadangan[[#This Row],[Harga Normal A]]+cadangan[[#This Row],[Harga Normal B]]+cadangan[[#This Row],[Harga Normal C]]</f>
        <v>1050000</v>
      </c>
      <c r="AF574" s="73">
        <f>cadangan[[#This Row],[Harga Diskon A]]+cadangan[[#This Row],[Harga Diskon B]]+cadangan[[#This Row],[Harga Diskon C]]</f>
        <v>892500</v>
      </c>
      <c r="AG574" s="73">
        <f>(cadangan[[#This Row],[Profit Normal A]]+cadangan[[#This Row],[Profit Normal B]]+cadangan[[#This Row],[Profit Normal C]])</f>
        <v>400000</v>
      </c>
      <c r="AH574" s="73">
        <f>cadangan[[#This Row],[Profit Diskon A]]+cadangan[[#This Row],[Profit Diskon B]]+cadangan[[#This Row],[Profit Diskon C]]</f>
        <v>242500</v>
      </c>
      <c r="AI574" s="23" t="s">
        <v>13</v>
      </c>
      <c r="AJ574" s="37">
        <f>IFERROR(INDEX('Kode Diskon'!$D$3:$D$9,MATCH(cadangan[[#This Row],[Kode diskon]],'Kode Diskon'!$C$3:$C$9,0)),"-")</f>
        <v>0.15</v>
      </c>
      <c r="AK574" s="23" t="s">
        <v>29</v>
      </c>
      <c r="AL574" s="23" t="s">
        <v>7</v>
      </c>
      <c r="AM574" s="23" t="s">
        <v>78</v>
      </c>
      <c r="AN574" s="55">
        <v>45019</v>
      </c>
      <c r="AO574" s="53">
        <f>DAY(cadangan[[#This Row],[Tanggal terjual]])</f>
        <v>3</v>
      </c>
      <c r="AP574" s="21" t="str">
        <f>TEXT(cadangan[[#This Row],[Tanggal terjual]],"dddd")</f>
        <v>Monday</v>
      </c>
      <c r="AQ574" s="23" t="str" cm="1">
        <f t="array" ref="AQ5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4" s="61">
        <f>AVERAGE(cadangan[[#This Row],[Rating A]],cadangan[[#This Row],[Rating B]],cadangan[[#This Row],[Rating C]])</f>
        <v>3.3333333333333335</v>
      </c>
    </row>
    <row r="575" spans="1:44" x14ac:dyDescent="0.2">
      <c r="A575" s="20">
        <v>574</v>
      </c>
      <c r="B575" s="21" t="str">
        <f>_xlfn.CONCAT("ORD-",INDEX(Helper!$B$2:$B$5,MATCH(cadangan[[#This Row],[Marketplace]],Helper!$A$2:$A$5,0)),TEXT(cadangan[[#This Row],[No]],"0000"),"-",TEXT(cadangan[[#This Row],[Tanggal terjual]],"dd/mm/yy"))</f>
        <v>ORD-BB0574-03/04/23</v>
      </c>
      <c r="C575" s="39" t="s">
        <v>63</v>
      </c>
      <c r="D575" s="39" t="str">
        <f>IFERROR(INDEX(Katalog!$A$3:$A$12,MATCH(cadangan[[#This Row],[ItemID A]],Katalog!$C$3:$C$12,0)),"-")</f>
        <v>Pakaian Pria</v>
      </c>
      <c r="E575" s="39" t="str">
        <f>IFERROR(INDEX(Katalog!$B$3:$B$12,MATCH(cadangan[[#This Row],[ItemID A]],Katalog!$C$3:$C$12,0)),"-")</f>
        <v>Jaket Jeans</v>
      </c>
      <c r="F575" s="50">
        <v>2</v>
      </c>
      <c r="G575" s="50">
        <v>5</v>
      </c>
      <c r="H575" s="73">
        <f>IFERROR(INDEX(Katalog!$D$3:$D$12,MATCH(cadangan[[#This Row],[ItemID A]],Katalog!$C$3:$C$12,0))*cadangan[[#This Row],[Qty A]],0)</f>
        <v>800000</v>
      </c>
      <c r="I575" s="73">
        <f>IFERROR(cadangan[[#This Row],[Harga Normal A]]-(cadangan[[#This Row],[Harga Normal A]]*cadangan[[#This Row],[Diskon]]),cadangan[[#This Row],[Harga Normal A]])</f>
        <v>680000</v>
      </c>
      <c r="J575" s="73">
        <f>INDEX(Katalog!$F$3:$F$12,MATCH(cadangan[[#This Row],[ItemID A]],Katalog!$C$3:$C$12,0))*cadangan[[#This Row],[Qty A]]</f>
        <v>300000</v>
      </c>
      <c r="K575" s="73">
        <f>IFERROR(cadangan[[#This Row],[Harga Diskon A]]-INDEX(Katalog!$E$3:$E$12,MATCH(cadangan[[#This Row],[ItemID A]],Katalog!$C$3:$C$12,0))*cadangan[[#This Row],[Qty A]],0)</f>
        <v>180000</v>
      </c>
      <c r="M575" s="39" t="str">
        <f>IFERROR(INDEX(Katalog!$A$3:$A$12,MATCH(cadangan[[#This Row],[ItemID B]],Katalog!$C$3:$C$12,0)),"-")</f>
        <v>-</v>
      </c>
      <c r="N575" s="39" t="str">
        <f>IFERROR(INDEX(Katalog!$B$3:$B$12,MATCH(cadangan[[#This Row],[ItemID B]],Katalog!$C$3:$C$12,0)),"-")</f>
        <v>-</v>
      </c>
      <c r="Q575" s="73">
        <f>IFERROR(INDEX(Katalog!$D$3:$D$12,MATCH(cadangan[[#This Row],[ItemID B]],Katalog!$C$3:$C$12,0))*cadangan[[#This Row],[Qty B]],0)</f>
        <v>0</v>
      </c>
      <c r="R575" s="73">
        <f>IFERROR(cadangan[[#This Row],[Harga Normal B]]-(cadangan[[#This Row],[Harga Normal B]]*cadangan[[#This Row],[Diskon]]),cadangan[[#This Row],[Harga Normal B]])</f>
        <v>0</v>
      </c>
      <c r="S575" s="73">
        <f>IFERROR(INDEX(Katalog!$F$3:$F$12,MATCH(cadangan[[#This Row],[ItemID B]],Katalog!$C$3:$C$12,0))*cadangan[[#This Row],[Qty B]],0)</f>
        <v>0</v>
      </c>
      <c r="T575" s="73">
        <f>IFERROR(cadangan[[#This Row],[Harga Diskon B]]-INDEX(Katalog!$E$3:$E$12,MATCH(cadangan[[#This Row],[ItemID B]],Katalog!$C$3:$C$12,0))*cadangan[[#This Row],[Qty B]],0)</f>
        <v>0</v>
      </c>
      <c r="V575" s="39" t="str">
        <f>IFERROR(INDEX(Katalog!$A$3:$A$12,MATCH(cadangan[[#This Row],[ItemID C]],Katalog!$C$3:$C$12,0)),"-")</f>
        <v>-</v>
      </c>
      <c r="W575" s="39" t="str">
        <f>IFERROR(INDEX(Katalog!$B$3:$B$12,MATCH(cadangan[[#This Row],[ItemID C]],Katalog!$C$3:$C$12,0)),"-")</f>
        <v>-</v>
      </c>
      <c r="Z575" s="73">
        <f>IFERROR(INDEX(Katalog!$D$3:$D$12,MATCH(cadangan[[#This Row],[ItemID C]],Katalog!$C$3:$C$12,0))*cadangan[[#This Row],[Qty C]],0)</f>
        <v>0</v>
      </c>
      <c r="AA575" s="73">
        <f>IFERROR(cadangan[[#This Row],[Harga Normal C]]-(cadangan[[#This Row],[Harga Normal C]]*cadangan[[#This Row],[Diskon]]),cadangan[[#This Row],[Harga Normal C]])</f>
        <v>0</v>
      </c>
      <c r="AB575" s="73">
        <f>IFERROR(INDEX(Katalog!$F$3:$F$12,MATCH(cadangan[[#This Row],[ItemID C]],Katalog!$C$3:$C$12,0))*cadangan[[#This Row],[Qty C]],0)</f>
        <v>0</v>
      </c>
      <c r="AC575" s="73">
        <f>IFERROR(cadangan[[#This Row],[Harga Diskon C]]-INDEX(Katalog!$E$3:$E$12,MATCH(cadangan[[#This Row],[ItemID C]],Katalog!$C$3:$C$12,0))*cadangan[[#This Row],[Qty C]],0)</f>
        <v>0</v>
      </c>
      <c r="AD575" s="53">
        <f>cadangan[[#This Row],[Qty A]]+cadangan[[#This Row],[Qty B]]+cadangan[[#This Row],[Qty C]]</f>
        <v>2</v>
      </c>
      <c r="AE575" s="73">
        <f>cadangan[[#This Row],[Harga Normal A]]+cadangan[[#This Row],[Harga Normal B]]+cadangan[[#This Row],[Harga Normal C]]</f>
        <v>800000</v>
      </c>
      <c r="AF575" s="73">
        <f>cadangan[[#This Row],[Harga Diskon A]]+cadangan[[#This Row],[Harga Diskon B]]+cadangan[[#This Row],[Harga Diskon C]]</f>
        <v>680000</v>
      </c>
      <c r="AG575" s="73">
        <f>(cadangan[[#This Row],[Profit Normal A]]+cadangan[[#This Row],[Profit Normal B]]+cadangan[[#This Row],[Profit Normal C]])</f>
        <v>300000</v>
      </c>
      <c r="AH575" s="73">
        <f>cadangan[[#This Row],[Profit Diskon A]]+cadangan[[#This Row],[Profit Diskon B]]+cadangan[[#This Row],[Profit Diskon C]]</f>
        <v>180000</v>
      </c>
      <c r="AI575" s="23" t="s">
        <v>28</v>
      </c>
      <c r="AJ575" s="37">
        <f>IFERROR(INDEX('Kode Diskon'!$D$3:$D$9,MATCH(cadangan[[#This Row],[Kode diskon]],'Kode Diskon'!$C$3:$C$9,0)),"-")</f>
        <v>0.15</v>
      </c>
      <c r="AK575" s="23" t="s">
        <v>29</v>
      </c>
      <c r="AL575" s="23" t="s">
        <v>14</v>
      </c>
      <c r="AM575" s="23" t="s">
        <v>77</v>
      </c>
      <c r="AN575" s="55">
        <v>45019</v>
      </c>
      <c r="AO575" s="53">
        <f>DAY(cadangan[[#This Row],[Tanggal terjual]])</f>
        <v>3</v>
      </c>
      <c r="AP575" s="21" t="str">
        <f>TEXT(cadangan[[#This Row],[Tanggal terjual]],"dddd")</f>
        <v>Monday</v>
      </c>
      <c r="AQ575" s="23" t="str" cm="1">
        <f t="array" ref="AQ5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5" s="61">
        <f>AVERAGE(cadangan[[#This Row],[Rating A]],cadangan[[#This Row],[Rating B]],cadangan[[#This Row],[Rating C]])</f>
        <v>5</v>
      </c>
    </row>
    <row r="576" spans="1:44" x14ac:dyDescent="0.2">
      <c r="A576" s="20">
        <v>575</v>
      </c>
      <c r="B576" s="21" t="str">
        <f>_xlfn.CONCAT("ORD-",INDEX(Helper!$B$2:$B$5,MATCH(cadangan[[#This Row],[Marketplace]],Helper!$A$2:$A$5,0)),TEXT(cadangan[[#This Row],[No]],"0000"),"-",TEXT(cadangan[[#This Row],[Tanggal terjual]],"dd/mm/yy"))</f>
        <v>ORD-BB0575-04/04/23</v>
      </c>
      <c r="C576" s="39" t="s">
        <v>58</v>
      </c>
      <c r="D576" s="39" t="str">
        <f>IFERROR(INDEX(Katalog!$A$3:$A$12,MATCH(cadangan[[#This Row],[ItemID A]],Katalog!$C$3:$C$12,0)),"-")</f>
        <v>Pakaian Wanita</v>
      </c>
      <c r="E576" s="39" t="str">
        <f>IFERROR(INDEX(Katalog!$B$3:$B$12,MATCH(cadangan[[#This Row],[ItemID A]],Katalog!$C$3:$C$12,0)),"-")</f>
        <v>Dress</v>
      </c>
      <c r="F576" s="50">
        <v>1</v>
      </c>
      <c r="G576" s="50">
        <v>2</v>
      </c>
      <c r="H576" s="73">
        <f>IFERROR(INDEX(Katalog!$D$3:$D$12,MATCH(cadangan[[#This Row],[ItemID A]],Katalog!$C$3:$C$12,0))*cadangan[[#This Row],[Qty A]],0)</f>
        <v>300000</v>
      </c>
      <c r="I576" s="73">
        <f>IFERROR(cadangan[[#This Row],[Harga Normal A]]-(cadangan[[#This Row],[Harga Normal A]]*cadangan[[#This Row],[Diskon]]),cadangan[[#This Row],[Harga Normal A]])</f>
        <v>255000</v>
      </c>
      <c r="J576" s="73">
        <f>INDEX(Katalog!$F$3:$F$12,MATCH(cadangan[[#This Row],[ItemID A]],Katalog!$C$3:$C$12,0))*cadangan[[#This Row],[Qty A]]</f>
        <v>100000</v>
      </c>
      <c r="K576" s="73">
        <f>IFERROR(cadangan[[#This Row],[Harga Diskon A]]-INDEX(Katalog!$E$3:$E$12,MATCH(cadangan[[#This Row],[ItemID A]],Katalog!$C$3:$C$12,0))*cadangan[[#This Row],[Qty A]],0)</f>
        <v>55000</v>
      </c>
      <c r="M576" s="39" t="str">
        <f>IFERROR(INDEX(Katalog!$A$3:$A$12,MATCH(cadangan[[#This Row],[ItemID B]],Katalog!$C$3:$C$12,0)),"-")</f>
        <v>-</v>
      </c>
      <c r="N576" s="39" t="str">
        <f>IFERROR(INDEX(Katalog!$B$3:$B$12,MATCH(cadangan[[#This Row],[ItemID B]],Katalog!$C$3:$C$12,0)),"-")</f>
        <v>-</v>
      </c>
      <c r="Q576" s="73">
        <f>IFERROR(INDEX(Katalog!$D$3:$D$12,MATCH(cadangan[[#This Row],[ItemID B]],Katalog!$C$3:$C$12,0))*cadangan[[#This Row],[Qty B]],0)</f>
        <v>0</v>
      </c>
      <c r="R576" s="73">
        <f>IFERROR(cadangan[[#This Row],[Harga Normal B]]-(cadangan[[#This Row],[Harga Normal B]]*cadangan[[#This Row],[Diskon]]),cadangan[[#This Row],[Harga Normal B]])</f>
        <v>0</v>
      </c>
      <c r="S576" s="73">
        <f>IFERROR(INDEX(Katalog!$F$3:$F$12,MATCH(cadangan[[#This Row],[ItemID B]],Katalog!$C$3:$C$12,0))*cadangan[[#This Row],[Qty B]],0)</f>
        <v>0</v>
      </c>
      <c r="T576" s="73">
        <f>IFERROR(cadangan[[#This Row],[Harga Diskon B]]-INDEX(Katalog!$E$3:$E$12,MATCH(cadangan[[#This Row],[ItemID B]],Katalog!$C$3:$C$12,0))*cadangan[[#This Row],[Qty B]],0)</f>
        <v>0</v>
      </c>
      <c r="V576" s="39" t="str">
        <f>IFERROR(INDEX(Katalog!$A$3:$A$12,MATCH(cadangan[[#This Row],[ItemID C]],Katalog!$C$3:$C$12,0)),"-")</f>
        <v>-</v>
      </c>
      <c r="W576" s="39" t="str">
        <f>IFERROR(INDEX(Katalog!$B$3:$B$12,MATCH(cadangan[[#This Row],[ItemID C]],Katalog!$C$3:$C$12,0)),"-")</f>
        <v>-</v>
      </c>
      <c r="Z576" s="73">
        <f>IFERROR(INDEX(Katalog!$D$3:$D$12,MATCH(cadangan[[#This Row],[ItemID C]],Katalog!$C$3:$C$12,0))*cadangan[[#This Row],[Qty C]],0)</f>
        <v>0</v>
      </c>
      <c r="AA576" s="73">
        <f>IFERROR(cadangan[[#This Row],[Harga Normal C]]-(cadangan[[#This Row],[Harga Normal C]]*cadangan[[#This Row],[Diskon]]),cadangan[[#This Row],[Harga Normal C]])</f>
        <v>0</v>
      </c>
      <c r="AB576" s="73">
        <f>IFERROR(INDEX(Katalog!$F$3:$F$12,MATCH(cadangan[[#This Row],[ItemID C]],Katalog!$C$3:$C$12,0))*cadangan[[#This Row],[Qty C]],0)</f>
        <v>0</v>
      </c>
      <c r="AC576" s="73">
        <f>IFERROR(cadangan[[#This Row],[Harga Diskon C]]-INDEX(Katalog!$E$3:$E$12,MATCH(cadangan[[#This Row],[ItemID C]],Katalog!$C$3:$C$12,0))*cadangan[[#This Row],[Qty C]],0)</f>
        <v>0</v>
      </c>
      <c r="AD576" s="53">
        <f>cadangan[[#This Row],[Qty A]]+cadangan[[#This Row],[Qty B]]+cadangan[[#This Row],[Qty C]]</f>
        <v>1</v>
      </c>
      <c r="AE576" s="73">
        <f>cadangan[[#This Row],[Harga Normal A]]+cadangan[[#This Row],[Harga Normal B]]+cadangan[[#This Row],[Harga Normal C]]</f>
        <v>300000</v>
      </c>
      <c r="AF576" s="73">
        <f>cadangan[[#This Row],[Harga Diskon A]]+cadangan[[#This Row],[Harga Diskon B]]+cadangan[[#This Row],[Harga Diskon C]]</f>
        <v>255000</v>
      </c>
      <c r="AG576" s="73">
        <f>(cadangan[[#This Row],[Profit Normal A]]+cadangan[[#This Row],[Profit Normal B]]+cadangan[[#This Row],[Profit Normal C]])</f>
        <v>100000</v>
      </c>
      <c r="AH576" s="73">
        <f>cadangan[[#This Row],[Profit Diskon A]]+cadangan[[#This Row],[Profit Diskon B]]+cadangan[[#This Row],[Profit Diskon C]]</f>
        <v>55000</v>
      </c>
      <c r="AI576" s="23" t="s">
        <v>28</v>
      </c>
      <c r="AJ576" s="37">
        <f>IFERROR(INDEX('Kode Diskon'!$D$3:$D$9,MATCH(cadangan[[#This Row],[Kode diskon]],'Kode Diskon'!$C$3:$C$9,0)),"-")</f>
        <v>0.15</v>
      </c>
      <c r="AK576" s="23" t="s">
        <v>29</v>
      </c>
      <c r="AL576" s="23" t="s">
        <v>14</v>
      </c>
      <c r="AM576" s="23" t="s">
        <v>80</v>
      </c>
      <c r="AN576" s="55">
        <v>45020</v>
      </c>
      <c r="AO576" s="53">
        <f>DAY(cadangan[[#This Row],[Tanggal terjual]])</f>
        <v>4</v>
      </c>
      <c r="AP576" s="21" t="str">
        <f>TEXT(cadangan[[#This Row],[Tanggal terjual]],"dddd")</f>
        <v>Tuesday</v>
      </c>
      <c r="AQ576" s="23" t="str" cm="1">
        <f t="array" ref="AQ5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6" s="61">
        <f>AVERAGE(cadangan[[#This Row],[Rating A]],cadangan[[#This Row],[Rating B]],cadangan[[#This Row],[Rating C]])</f>
        <v>2</v>
      </c>
    </row>
    <row r="577" spans="1:44" x14ac:dyDescent="0.2">
      <c r="A577" s="20">
        <v>576</v>
      </c>
      <c r="B577" s="21" t="str">
        <f>_xlfn.CONCAT("ORD-",INDEX(Helper!$B$2:$B$5,MATCH(cadangan[[#This Row],[Marketplace]],Helper!$A$2:$A$5,0)),TEXT(cadangan[[#This Row],[No]],"0000"),"-",TEXT(cadangan[[#This Row],[Tanggal terjual]],"dd/mm/yy"))</f>
        <v>ORD-BL0576-16/04/23</v>
      </c>
      <c r="C577" s="39" t="s">
        <v>62</v>
      </c>
      <c r="D577" s="39" t="str">
        <f>IFERROR(INDEX(Katalog!$A$3:$A$12,MATCH(cadangan[[#This Row],[ItemID A]],Katalog!$C$3:$C$12,0)),"-")</f>
        <v>Pakaian Pria</v>
      </c>
      <c r="E577" s="39" t="str">
        <f>IFERROR(INDEX(Katalog!$B$3:$B$12,MATCH(cadangan[[#This Row],[ItemID A]],Katalog!$C$3:$C$12,0)),"-")</f>
        <v>Celana Pendek</v>
      </c>
      <c r="F577" s="50">
        <v>4</v>
      </c>
      <c r="G577" s="50">
        <v>1</v>
      </c>
      <c r="H577" s="73">
        <f>IFERROR(INDEX(Katalog!$D$3:$D$12,MATCH(cadangan[[#This Row],[ItemID A]],Katalog!$C$3:$C$12,0))*cadangan[[#This Row],[Qty A]],0)</f>
        <v>720000</v>
      </c>
      <c r="I577" s="73">
        <f>IFERROR(cadangan[[#This Row],[Harga Normal A]]-(cadangan[[#This Row],[Harga Normal A]]*cadangan[[#This Row],[Diskon]]),cadangan[[#This Row],[Harga Normal A]])</f>
        <v>612000</v>
      </c>
      <c r="J577" s="73">
        <f>INDEX(Katalog!$F$3:$F$12,MATCH(cadangan[[#This Row],[ItemID A]],Katalog!$C$3:$C$12,0))*cadangan[[#This Row],[Qty A]]</f>
        <v>280000</v>
      </c>
      <c r="K577" s="73">
        <f>IFERROR(cadangan[[#This Row],[Harga Diskon A]]-INDEX(Katalog!$E$3:$E$12,MATCH(cadangan[[#This Row],[ItemID A]],Katalog!$C$3:$C$12,0))*cadangan[[#This Row],[Qty A]],0)</f>
        <v>172000</v>
      </c>
      <c r="L577" s="39" t="s">
        <v>58</v>
      </c>
      <c r="M577" s="39" t="str">
        <f>IFERROR(INDEX(Katalog!$A$3:$A$12,MATCH(cadangan[[#This Row],[ItemID B]],Katalog!$C$3:$C$12,0)),"-")</f>
        <v>Pakaian Wanita</v>
      </c>
      <c r="N577" s="39" t="str">
        <f>IFERROR(INDEX(Katalog!$B$3:$B$12,MATCH(cadangan[[#This Row],[ItemID B]],Katalog!$C$3:$C$12,0)),"-")</f>
        <v>Dress</v>
      </c>
      <c r="O577" s="50">
        <v>2</v>
      </c>
      <c r="P577" s="50">
        <v>5</v>
      </c>
      <c r="Q577" s="73">
        <f>IFERROR(INDEX(Katalog!$D$3:$D$12,MATCH(cadangan[[#This Row],[ItemID B]],Katalog!$C$3:$C$12,0))*cadangan[[#This Row],[Qty B]],0)</f>
        <v>600000</v>
      </c>
      <c r="R577" s="73">
        <f>IFERROR(cadangan[[#This Row],[Harga Normal B]]-(cadangan[[#This Row],[Harga Normal B]]*cadangan[[#This Row],[Diskon]]),cadangan[[#This Row],[Harga Normal B]])</f>
        <v>510000</v>
      </c>
      <c r="S577" s="73">
        <f>IFERROR(INDEX(Katalog!$F$3:$F$12,MATCH(cadangan[[#This Row],[ItemID B]],Katalog!$C$3:$C$12,0))*cadangan[[#This Row],[Qty B]],0)</f>
        <v>200000</v>
      </c>
      <c r="T577" s="73">
        <f>IFERROR(cadangan[[#This Row],[Harga Diskon B]]-INDEX(Katalog!$E$3:$E$12,MATCH(cadangan[[#This Row],[ItemID B]],Katalog!$C$3:$C$12,0))*cadangan[[#This Row],[Qty B]],0)</f>
        <v>110000</v>
      </c>
      <c r="V577" s="39" t="str">
        <f>IFERROR(INDEX(Katalog!$A$3:$A$12,MATCH(cadangan[[#This Row],[ItemID C]],Katalog!$C$3:$C$12,0)),"-")</f>
        <v>-</v>
      </c>
      <c r="W577" s="39" t="str">
        <f>IFERROR(INDEX(Katalog!$B$3:$B$12,MATCH(cadangan[[#This Row],[ItemID C]],Katalog!$C$3:$C$12,0)),"-")</f>
        <v>-</v>
      </c>
      <c r="Z577" s="73">
        <f>IFERROR(INDEX(Katalog!$D$3:$D$12,MATCH(cadangan[[#This Row],[ItemID C]],Katalog!$C$3:$C$12,0))*cadangan[[#This Row],[Qty C]],0)</f>
        <v>0</v>
      </c>
      <c r="AA577" s="73">
        <f>IFERROR(cadangan[[#This Row],[Harga Normal C]]-(cadangan[[#This Row],[Harga Normal C]]*cadangan[[#This Row],[Diskon]]),cadangan[[#This Row],[Harga Normal C]])</f>
        <v>0</v>
      </c>
      <c r="AB577" s="73">
        <f>IFERROR(INDEX(Katalog!$F$3:$F$12,MATCH(cadangan[[#This Row],[ItemID C]],Katalog!$C$3:$C$12,0))*cadangan[[#This Row],[Qty C]],0)</f>
        <v>0</v>
      </c>
      <c r="AC577" s="73">
        <f>IFERROR(cadangan[[#This Row],[Harga Diskon C]]-INDEX(Katalog!$E$3:$E$12,MATCH(cadangan[[#This Row],[ItemID C]],Katalog!$C$3:$C$12,0))*cadangan[[#This Row],[Qty C]],0)</f>
        <v>0</v>
      </c>
      <c r="AD577" s="53">
        <f>cadangan[[#This Row],[Qty A]]+cadangan[[#This Row],[Qty B]]+cadangan[[#This Row],[Qty C]]</f>
        <v>6</v>
      </c>
      <c r="AE577" s="73">
        <f>cadangan[[#This Row],[Harga Normal A]]+cadangan[[#This Row],[Harga Normal B]]+cadangan[[#This Row],[Harga Normal C]]</f>
        <v>1320000</v>
      </c>
      <c r="AF577" s="73">
        <f>cadangan[[#This Row],[Harga Diskon A]]+cadangan[[#This Row],[Harga Diskon B]]+cadangan[[#This Row],[Harga Diskon C]]</f>
        <v>1122000</v>
      </c>
      <c r="AG577" s="73">
        <f>(cadangan[[#This Row],[Profit Normal A]]+cadangan[[#This Row],[Profit Normal B]]+cadangan[[#This Row],[Profit Normal C]])</f>
        <v>480000</v>
      </c>
      <c r="AH577" s="73">
        <f>cadangan[[#This Row],[Profit Diskon A]]+cadangan[[#This Row],[Profit Diskon B]]+cadangan[[#This Row],[Profit Diskon C]]</f>
        <v>282000</v>
      </c>
      <c r="AI577" s="23" t="s">
        <v>32</v>
      </c>
      <c r="AJ577" s="37">
        <f>IFERROR(INDEX('Kode Diskon'!$D$3:$D$9,MATCH(cadangan[[#This Row],[Kode diskon]],'Kode Diskon'!$C$3:$C$9,0)),"-")</f>
        <v>0.15</v>
      </c>
      <c r="AK577" s="23" t="s">
        <v>9</v>
      </c>
      <c r="AL577" s="23" t="s">
        <v>12</v>
      </c>
      <c r="AM577" s="23" t="s">
        <v>75</v>
      </c>
      <c r="AN577" s="55">
        <v>45032</v>
      </c>
      <c r="AO577" s="53">
        <f>DAY(cadangan[[#This Row],[Tanggal terjual]])</f>
        <v>16</v>
      </c>
      <c r="AP577" s="21" t="str">
        <f>TEXT(cadangan[[#This Row],[Tanggal terjual]],"dddd")</f>
        <v>Sunday</v>
      </c>
      <c r="AQ577" s="23" t="str" cm="1">
        <f t="array" ref="AQ5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77" s="61">
        <f>AVERAGE(cadangan[[#This Row],[Rating A]],cadangan[[#This Row],[Rating B]],cadangan[[#This Row],[Rating C]])</f>
        <v>3</v>
      </c>
    </row>
    <row r="578" spans="1:44" x14ac:dyDescent="0.2">
      <c r="A578" s="20">
        <v>577</v>
      </c>
      <c r="B578" s="21" t="str">
        <f>_xlfn.CONCAT("ORD-",INDEX(Helper!$B$2:$B$5,MATCH(cadangan[[#This Row],[Marketplace]],Helper!$A$2:$A$5,0)),TEXT(cadangan[[#This Row],[No]],"0000"),"-",TEXT(cadangan[[#This Row],[Tanggal terjual]],"dd/mm/yy"))</f>
        <v>ORD-SP0577-06/04/23</v>
      </c>
      <c r="C578" s="39" t="s">
        <v>58</v>
      </c>
      <c r="D578" s="39" t="str">
        <f>IFERROR(INDEX(Katalog!$A$3:$A$12,MATCH(cadangan[[#This Row],[ItemID A]],Katalog!$C$3:$C$12,0)),"-")</f>
        <v>Pakaian Wanita</v>
      </c>
      <c r="E578" s="39" t="str">
        <f>IFERROR(INDEX(Katalog!$B$3:$B$12,MATCH(cadangan[[#This Row],[ItemID A]],Katalog!$C$3:$C$12,0)),"-")</f>
        <v>Dress</v>
      </c>
      <c r="F578" s="50">
        <v>1</v>
      </c>
      <c r="G578" s="50">
        <v>1</v>
      </c>
      <c r="H578" s="73">
        <f>IFERROR(INDEX(Katalog!$D$3:$D$12,MATCH(cadangan[[#This Row],[ItemID A]],Katalog!$C$3:$C$12,0))*cadangan[[#This Row],[Qty A]],0)</f>
        <v>300000</v>
      </c>
      <c r="I578" s="73">
        <f>IFERROR(cadangan[[#This Row],[Harga Normal A]]-(cadangan[[#This Row],[Harga Normal A]]*cadangan[[#This Row],[Diskon]]),cadangan[[#This Row],[Harga Normal A]])</f>
        <v>255000</v>
      </c>
      <c r="J578" s="73">
        <f>INDEX(Katalog!$F$3:$F$12,MATCH(cadangan[[#This Row],[ItemID A]],Katalog!$C$3:$C$12,0))*cadangan[[#This Row],[Qty A]]</f>
        <v>100000</v>
      </c>
      <c r="K578" s="73">
        <f>IFERROR(cadangan[[#This Row],[Harga Diskon A]]-INDEX(Katalog!$E$3:$E$12,MATCH(cadangan[[#This Row],[ItemID A]],Katalog!$C$3:$C$12,0))*cadangan[[#This Row],[Qty A]],0)</f>
        <v>55000</v>
      </c>
      <c r="L578" s="39" t="s">
        <v>64</v>
      </c>
      <c r="M578" s="39" t="str">
        <f>IFERROR(INDEX(Katalog!$A$3:$A$12,MATCH(cadangan[[#This Row],[ItemID B]],Katalog!$C$3:$C$12,0)),"-")</f>
        <v>Pakaian Unisex</v>
      </c>
      <c r="N578" s="39" t="str">
        <f>IFERROR(INDEX(Katalog!$B$3:$B$12,MATCH(cadangan[[#This Row],[ItemID B]],Katalog!$C$3:$C$12,0)),"-")</f>
        <v>Jaket Hoodie</v>
      </c>
      <c r="O578" s="50">
        <v>3</v>
      </c>
      <c r="P578" s="50">
        <v>1</v>
      </c>
      <c r="Q578" s="73">
        <f>IFERROR(INDEX(Katalog!$D$3:$D$12,MATCH(cadangan[[#This Row],[ItemID B]],Katalog!$C$3:$C$12,0))*cadangan[[#This Row],[Qty B]],0)</f>
        <v>1050000</v>
      </c>
      <c r="R578" s="73">
        <f>IFERROR(cadangan[[#This Row],[Harga Normal B]]-(cadangan[[#This Row],[Harga Normal B]]*cadangan[[#This Row],[Diskon]]),cadangan[[#This Row],[Harga Normal B]])</f>
        <v>892500</v>
      </c>
      <c r="S578" s="73">
        <f>IFERROR(INDEX(Katalog!$F$3:$F$12,MATCH(cadangan[[#This Row],[ItemID B]],Katalog!$C$3:$C$12,0))*cadangan[[#This Row],[Qty B]],0)</f>
        <v>390000</v>
      </c>
      <c r="T578" s="73">
        <f>IFERROR(cadangan[[#This Row],[Harga Diskon B]]-INDEX(Katalog!$E$3:$E$12,MATCH(cadangan[[#This Row],[ItemID B]],Katalog!$C$3:$C$12,0))*cadangan[[#This Row],[Qty B]],0)</f>
        <v>232500</v>
      </c>
      <c r="U578" s="39" t="s">
        <v>58</v>
      </c>
      <c r="V578" s="39" t="str">
        <f>IFERROR(INDEX(Katalog!$A$3:$A$12,MATCH(cadangan[[#This Row],[ItemID C]],Katalog!$C$3:$C$12,0)),"-")</f>
        <v>Pakaian Wanita</v>
      </c>
      <c r="W578" s="39" t="str">
        <f>IFERROR(INDEX(Katalog!$B$3:$B$12,MATCH(cadangan[[#This Row],[ItemID C]],Katalog!$C$3:$C$12,0)),"-")</f>
        <v>Dress</v>
      </c>
      <c r="X578" s="50">
        <v>1</v>
      </c>
      <c r="Y578" s="50">
        <v>4</v>
      </c>
      <c r="Z578" s="73">
        <f>IFERROR(INDEX(Katalog!$D$3:$D$12,MATCH(cadangan[[#This Row],[ItemID C]],Katalog!$C$3:$C$12,0))*cadangan[[#This Row],[Qty C]],0)</f>
        <v>300000</v>
      </c>
      <c r="AA578" s="73">
        <f>IFERROR(cadangan[[#This Row],[Harga Normal C]]-(cadangan[[#This Row],[Harga Normal C]]*cadangan[[#This Row],[Diskon]]),cadangan[[#This Row],[Harga Normal C]])</f>
        <v>255000</v>
      </c>
      <c r="AB578" s="73">
        <f>IFERROR(INDEX(Katalog!$F$3:$F$12,MATCH(cadangan[[#This Row],[ItemID C]],Katalog!$C$3:$C$12,0))*cadangan[[#This Row],[Qty C]],0)</f>
        <v>100000</v>
      </c>
      <c r="AC578" s="73">
        <f>IFERROR(cadangan[[#This Row],[Harga Diskon C]]-INDEX(Katalog!$E$3:$E$12,MATCH(cadangan[[#This Row],[ItemID C]],Katalog!$C$3:$C$12,0))*cadangan[[#This Row],[Qty C]],0)</f>
        <v>55000</v>
      </c>
      <c r="AD578" s="53">
        <f>cadangan[[#This Row],[Qty A]]+cadangan[[#This Row],[Qty B]]+cadangan[[#This Row],[Qty C]]</f>
        <v>5</v>
      </c>
      <c r="AE578" s="73">
        <f>cadangan[[#This Row],[Harga Normal A]]+cadangan[[#This Row],[Harga Normal B]]+cadangan[[#This Row],[Harga Normal C]]</f>
        <v>1650000</v>
      </c>
      <c r="AF578" s="73">
        <f>cadangan[[#This Row],[Harga Diskon A]]+cadangan[[#This Row],[Harga Diskon B]]+cadangan[[#This Row],[Harga Diskon C]]</f>
        <v>1402500</v>
      </c>
      <c r="AG578" s="73">
        <f>(cadangan[[#This Row],[Profit Normal A]]+cadangan[[#This Row],[Profit Normal B]]+cadangan[[#This Row],[Profit Normal C]])</f>
        <v>590000</v>
      </c>
      <c r="AH578" s="73">
        <f>cadangan[[#This Row],[Profit Diskon A]]+cadangan[[#This Row],[Profit Diskon B]]+cadangan[[#This Row],[Profit Diskon C]]</f>
        <v>342500</v>
      </c>
      <c r="AI578" s="23" t="s">
        <v>13</v>
      </c>
      <c r="AJ578" s="37">
        <f>IFERROR(INDEX('Kode Diskon'!$D$3:$D$9,MATCH(cadangan[[#This Row],[Kode diskon]],'Kode Diskon'!$C$3:$C$9,0)),"-")</f>
        <v>0.15</v>
      </c>
      <c r="AK578" s="23" t="s">
        <v>29</v>
      </c>
      <c r="AL578" s="23" t="s">
        <v>7</v>
      </c>
      <c r="AM578" s="23" t="s">
        <v>75</v>
      </c>
      <c r="AN578" s="55">
        <v>45022</v>
      </c>
      <c r="AO578" s="53">
        <f>DAY(cadangan[[#This Row],[Tanggal terjual]])</f>
        <v>6</v>
      </c>
      <c r="AP578" s="21" t="str">
        <f>TEXT(cadangan[[#This Row],[Tanggal terjual]],"dddd")</f>
        <v>Thursday</v>
      </c>
      <c r="AQ578" s="23" t="str" cm="1">
        <f t="array" ref="AQ5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78" s="61">
        <f>AVERAGE(cadangan[[#This Row],[Rating A]],cadangan[[#This Row],[Rating B]],cadangan[[#This Row],[Rating C]])</f>
        <v>2</v>
      </c>
    </row>
    <row r="579" spans="1:44" x14ac:dyDescent="0.2">
      <c r="A579" s="20">
        <v>578</v>
      </c>
      <c r="B579" s="21" t="str">
        <f>_xlfn.CONCAT("ORD-",INDEX(Helper!$B$2:$B$5,MATCH(cadangan[[#This Row],[Marketplace]],Helper!$A$2:$A$5,0)),TEXT(cadangan[[#This Row],[No]],"0000"),"-",TEXT(cadangan[[#This Row],[Tanggal terjual]],"dd/mm/yy"))</f>
        <v>ORD-BB0578-13/04/23</v>
      </c>
      <c r="C579" s="39" t="s">
        <v>63</v>
      </c>
      <c r="D579" s="39" t="str">
        <f>IFERROR(INDEX(Katalog!$A$3:$A$12,MATCH(cadangan[[#This Row],[ItemID A]],Katalog!$C$3:$C$12,0)),"-")</f>
        <v>Pakaian Pria</v>
      </c>
      <c r="E579" s="39" t="str">
        <f>IFERROR(INDEX(Katalog!$B$3:$B$12,MATCH(cadangan[[#This Row],[ItemID A]],Katalog!$C$3:$C$12,0)),"-")</f>
        <v>Jaket Jeans</v>
      </c>
      <c r="F579" s="50">
        <v>2</v>
      </c>
      <c r="G579" s="50">
        <v>2</v>
      </c>
      <c r="H579" s="73">
        <f>IFERROR(INDEX(Katalog!$D$3:$D$12,MATCH(cadangan[[#This Row],[ItemID A]],Katalog!$C$3:$C$12,0))*cadangan[[#This Row],[Qty A]],0)</f>
        <v>800000</v>
      </c>
      <c r="I579" s="73">
        <f>IFERROR(cadangan[[#This Row],[Harga Normal A]]-(cadangan[[#This Row],[Harga Normal A]]*cadangan[[#This Row],[Diskon]]),cadangan[[#This Row],[Harga Normal A]])</f>
        <v>800000</v>
      </c>
      <c r="J579" s="73">
        <f>INDEX(Katalog!$F$3:$F$12,MATCH(cadangan[[#This Row],[ItemID A]],Katalog!$C$3:$C$12,0))*cadangan[[#This Row],[Qty A]]</f>
        <v>300000</v>
      </c>
      <c r="K579" s="73">
        <f>IFERROR(cadangan[[#This Row],[Harga Diskon A]]-INDEX(Katalog!$E$3:$E$12,MATCH(cadangan[[#This Row],[ItemID A]],Katalog!$C$3:$C$12,0))*cadangan[[#This Row],[Qty A]],0)</f>
        <v>300000</v>
      </c>
      <c r="L579" s="39" t="s">
        <v>58</v>
      </c>
      <c r="M579" s="39" t="str">
        <f>IFERROR(INDEX(Katalog!$A$3:$A$12,MATCH(cadangan[[#This Row],[ItemID B]],Katalog!$C$3:$C$12,0)),"-")</f>
        <v>Pakaian Wanita</v>
      </c>
      <c r="N579" s="39" t="str">
        <f>IFERROR(INDEX(Katalog!$B$3:$B$12,MATCH(cadangan[[#This Row],[ItemID B]],Katalog!$C$3:$C$12,0)),"-")</f>
        <v>Dress</v>
      </c>
      <c r="O579" s="50">
        <v>2</v>
      </c>
      <c r="P579" s="50">
        <v>2</v>
      </c>
      <c r="Q579" s="73">
        <f>IFERROR(INDEX(Katalog!$D$3:$D$12,MATCH(cadangan[[#This Row],[ItemID B]],Katalog!$C$3:$C$12,0))*cadangan[[#This Row],[Qty B]],0)</f>
        <v>600000</v>
      </c>
      <c r="R579" s="73">
        <f>IFERROR(cadangan[[#This Row],[Harga Normal B]]-(cadangan[[#This Row],[Harga Normal B]]*cadangan[[#This Row],[Diskon]]),cadangan[[#This Row],[Harga Normal B]])</f>
        <v>600000</v>
      </c>
      <c r="S579" s="73">
        <f>IFERROR(INDEX(Katalog!$F$3:$F$12,MATCH(cadangan[[#This Row],[ItemID B]],Katalog!$C$3:$C$12,0))*cadangan[[#This Row],[Qty B]],0)</f>
        <v>200000</v>
      </c>
      <c r="T579" s="73">
        <f>IFERROR(cadangan[[#This Row],[Harga Diskon B]]-INDEX(Katalog!$E$3:$E$12,MATCH(cadangan[[#This Row],[ItemID B]],Katalog!$C$3:$C$12,0))*cadangan[[#This Row],[Qty B]],0)</f>
        <v>200000</v>
      </c>
      <c r="V579" s="39" t="str">
        <f>IFERROR(INDEX(Katalog!$A$3:$A$12,MATCH(cadangan[[#This Row],[ItemID C]],Katalog!$C$3:$C$12,0)),"-")</f>
        <v>-</v>
      </c>
      <c r="W579" s="39" t="str">
        <f>IFERROR(INDEX(Katalog!$B$3:$B$12,MATCH(cadangan[[#This Row],[ItemID C]],Katalog!$C$3:$C$12,0)),"-")</f>
        <v>-</v>
      </c>
      <c r="Z579" s="73">
        <f>IFERROR(INDEX(Katalog!$D$3:$D$12,MATCH(cadangan[[#This Row],[ItemID C]],Katalog!$C$3:$C$12,0))*cadangan[[#This Row],[Qty C]],0)</f>
        <v>0</v>
      </c>
      <c r="AA579" s="73">
        <f>IFERROR(cadangan[[#This Row],[Harga Normal C]]-(cadangan[[#This Row],[Harga Normal C]]*cadangan[[#This Row],[Diskon]]),cadangan[[#This Row],[Harga Normal C]])</f>
        <v>0</v>
      </c>
      <c r="AB579" s="73">
        <f>IFERROR(INDEX(Katalog!$F$3:$F$12,MATCH(cadangan[[#This Row],[ItemID C]],Katalog!$C$3:$C$12,0))*cadangan[[#This Row],[Qty C]],0)</f>
        <v>0</v>
      </c>
      <c r="AC579" s="73">
        <f>IFERROR(cadangan[[#This Row],[Harga Diskon C]]-INDEX(Katalog!$E$3:$E$12,MATCH(cadangan[[#This Row],[ItemID C]],Katalog!$C$3:$C$12,0))*cadangan[[#This Row],[Qty C]],0)</f>
        <v>0</v>
      </c>
      <c r="AD579" s="53">
        <f>cadangan[[#This Row],[Qty A]]+cadangan[[#This Row],[Qty B]]+cadangan[[#This Row],[Qty C]]</f>
        <v>4</v>
      </c>
      <c r="AE579" s="73">
        <f>cadangan[[#This Row],[Harga Normal A]]+cadangan[[#This Row],[Harga Normal B]]+cadangan[[#This Row],[Harga Normal C]]</f>
        <v>1400000</v>
      </c>
      <c r="AF579" s="73">
        <f>cadangan[[#This Row],[Harga Diskon A]]+cadangan[[#This Row],[Harga Diskon B]]+cadangan[[#This Row],[Harga Diskon C]]</f>
        <v>1400000</v>
      </c>
      <c r="AG579" s="73">
        <f>(cadangan[[#This Row],[Profit Normal A]]+cadangan[[#This Row],[Profit Normal B]]+cadangan[[#This Row],[Profit Normal C]])</f>
        <v>500000</v>
      </c>
      <c r="AH579" s="73">
        <f>cadangan[[#This Row],[Profit Diskon A]]+cadangan[[#This Row],[Profit Diskon B]]+cadangan[[#This Row],[Profit Diskon C]]</f>
        <v>500000</v>
      </c>
      <c r="AI579" s="23" t="s">
        <v>290</v>
      </c>
      <c r="AJ579" s="37" t="str">
        <f>IFERROR(INDEX('Kode Diskon'!$D$3:$D$9,MATCH(cadangan[[#This Row],[Kode diskon]],'Kode Diskon'!$C$3:$C$9,0)),"-")</f>
        <v>-</v>
      </c>
      <c r="AK579" s="23" t="s">
        <v>290</v>
      </c>
      <c r="AL579" s="23" t="s">
        <v>14</v>
      </c>
      <c r="AM579" s="23" t="s">
        <v>76</v>
      </c>
      <c r="AN579" s="55">
        <v>45029</v>
      </c>
      <c r="AO579" s="53">
        <f>DAY(cadangan[[#This Row],[Tanggal terjual]])</f>
        <v>13</v>
      </c>
      <c r="AP579" s="21" t="str">
        <f>TEXT(cadangan[[#This Row],[Tanggal terjual]],"dddd")</f>
        <v>Thursday</v>
      </c>
      <c r="AQ579" s="23" t="str" cm="1">
        <f t="array" ref="AQ5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579" s="61">
        <f>AVERAGE(cadangan[[#This Row],[Rating A]],cadangan[[#This Row],[Rating B]],cadangan[[#This Row],[Rating C]])</f>
        <v>2</v>
      </c>
    </row>
    <row r="580" spans="1:44" x14ac:dyDescent="0.2">
      <c r="A580" s="20">
        <v>579</v>
      </c>
      <c r="B580" s="21" t="str">
        <f>_xlfn.CONCAT("ORD-",INDEX(Helper!$B$2:$B$5,MATCH(cadangan[[#This Row],[Marketplace]],Helper!$A$2:$A$5,0)),TEXT(cadangan[[#This Row],[No]],"0000"),"-",TEXT(cadangan[[#This Row],[Tanggal terjual]],"dd/mm/yy"))</f>
        <v>ORD-BL0579-23/04/23</v>
      </c>
      <c r="C580" s="39" t="s">
        <v>62</v>
      </c>
      <c r="D580" s="39" t="str">
        <f>IFERROR(INDEX(Katalog!$A$3:$A$12,MATCH(cadangan[[#This Row],[ItemID A]],Katalog!$C$3:$C$12,0)),"-")</f>
        <v>Pakaian Pria</v>
      </c>
      <c r="E580" s="39" t="str">
        <f>IFERROR(INDEX(Katalog!$B$3:$B$12,MATCH(cadangan[[#This Row],[ItemID A]],Katalog!$C$3:$C$12,0)),"-")</f>
        <v>Celana Pendek</v>
      </c>
      <c r="F580" s="50">
        <v>1</v>
      </c>
      <c r="G580" s="50">
        <v>1</v>
      </c>
      <c r="H580" s="73">
        <f>IFERROR(INDEX(Katalog!$D$3:$D$12,MATCH(cadangan[[#This Row],[ItemID A]],Katalog!$C$3:$C$12,0))*cadangan[[#This Row],[Qty A]],0)</f>
        <v>180000</v>
      </c>
      <c r="I580" s="73">
        <f>IFERROR(cadangan[[#This Row],[Harga Normal A]]-(cadangan[[#This Row],[Harga Normal A]]*cadangan[[#This Row],[Diskon]]),cadangan[[#This Row],[Harga Normal A]])</f>
        <v>153000</v>
      </c>
      <c r="J580" s="73">
        <f>INDEX(Katalog!$F$3:$F$12,MATCH(cadangan[[#This Row],[ItemID A]],Katalog!$C$3:$C$12,0))*cadangan[[#This Row],[Qty A]]</f>
        <v>70000</v>
      </c>
      <c r="K580" s="73">
        <f>IFERROR(cadangan[[#This Row],[Harga Diskon A]]-INDEX(Katalog!$E$3:$E$12,MATCH(cadangan[[#This Row],[ItemID A]],Katalog!$C$3:$C$12,0))*cadangan[[#This Row],[Qty A]],0)</f>
        <v>43000</v>
      </c>
      <c r="M580" s="39" t="str">
        <f>IFERROR(INDEX(Katalog!$A$3:$A$12,MATCH(cadangan[[#This Row],[ItemID B]],Katalog!$C$3:$C$12,0)),"-")</f>
        <v>-</v>
      </c>
      <c r="N580" s="39" t="str">
        <f>IFERROR(INDEX(Katalog!$B$3:$B$12,MATCH(cadangan[[#This Row],[ItemID B]],Katalog!$C$3:$C$12,0)),"-")</f>
        <v>-</v>
      </c>
      <c r="Q580" s="73">
        <f>IFERROR(INDEX(Katalog!$D$3:$D$12,MATCH(cadangan[[#This Row],[ItemID B]],Katalog!$C$3:$C$12,0))*cadangan[[#This Row],[Qty B]],0)</f>
        <v>0</v>
      </c>
      <c r="R580" s="73">
        <f>IFERROR(cadangan[[#This Row],[Harga Normal B]]-(cadangan[[#This Row],[Harga Normal B]]*cadangan[[#This Row],[Diskon]]),cadangan[[#This Row],[Harga Normal B]])</f>
        <v>0</v>
      </c>
      <c r="S580" s="73">
        <f>IFERROR(INDEX(Katalog!$F$3:$F$12,MATCH(cadangan[[#This Row],[ItemID B]],Katalog!$C$3:$C$12,0))*cadangan[[#This Row],[Qty B]],0)</f>
        <v>0</v>
      </c>
      <c r="T580" s="73">
        <f>IFERROR(cadangan[[#This Row],[Harga Diskon B]]-INDEX(Katalog!$E$3:$E$12,MATCH(cadangan[[#This Row],[ItemID B]],Katalog!$C$3:$C$12,0))*cadangan[[#This Row],[Qty B]],0)</f>
        <v>0</v>
      </c>
      <c r="V580" s="39" t="str">
        <f>IFERROR(INDEX(Katalog!$A$3:$A$12,MATCH(cadangan[[#This Row],[ItemID C]],Katalog!$C$3:$C$12,0)),"-")</f>
        <v>-</v>
      </c>
      <c r="W580" s="39" t="str">
        <f>IFERROR(INDEX(Katalog!$B$3:$B$12,MATCH(cadangan[[#This Row],[ItemID C]],Katalog!$C$3:$C$12,0)),"-")</f>
        <v>-</v>
      </c>
      <c r="Z580" s="73">
        <f>IFERROR(INDEX(Katalog!$D$3:$D$12,MATCH(cadangan[[#This Row],[ItemID C]],Katalog!$C$3:$C$12,0))*cadangan[[#This Row],[Qty C]],0)</f>
        <v>0</v>
      </c>
      <c r="AA580" s="73">
        <f>IFERROR(cadangan[[#This Row],[Harga Normal C]]-(cadangan[[#This Row],[Harga Normal C]]*cadangan[[#This Row],[Diskon]]),cadangan[[#This Row],[Harga Normal C]])</f>
        <v>0</v>
      </c>
      <c r="AB580" s="73">
        <f>IFERROR(INDEX(Katalog!$F$3:$F$12,MATCH(cadangan[[#This Row],[ItemID C]],Katalog!$C$3:$C$12,0))*cadangan[[#This Row],[Qty C]],0)</f>
        <v>0</v>
      </c>
      <c r="AC580" s="73">
        <f>IFERROR(cadangan[[#This Row],[Harga Diskon C]]-INDEX(Katalog!$E$3:$E$12,MATCH(cadangan[[#This Row],[ItemID C]],Katalog!$C$3:$C$12,0))*cadangan[[#This Row],[Qty C]],0)</f>
        <v>0</v>
      </c>
      <c r="AD580" s="53">
        <f>cadangan[[#This Row],[Qty A]]+cadangan[[#This Row],[Qty B]]+cadangan[[#This Row],[Qty C]]</f>
        <v>1</v>
      </c>
      <c r="AE580" s="73">
        <f>cadangan[[#This Row],[Harga Normal A]]+cadangan[[#This Row],[Harga Normal B]]+cadangan[[#This Row],[Harga Normal C]]</f>
        <v>180000</v>
      </c>
      <c r="AF580" s="73">
        <f>cadangan[[#This Row],[Harga Diskon A]]+cadangan[[#This Row],[Harga Diskon B]]+cadangan[[#This Row],[Harga Diskon C]]</f>
        <v>153000</v>
      </c>
      <c r="AG580" s="73">
        <f>(cadangan[[#This Row],[Profit Normal A]]+cadangan[[#This Row],[Profit Normal B]]+cadangan[[#This Row],[Profit Normal C]])</f>
        <v>70000</v>
      </c>
      <c r="AH580" s="73">
        <f>cadangan[[#This Row],[Profit Diskon A]]+cadangan[[#This Row],[Profit Diskon B]]+cadangan[[#This Row],[Profit Diskon C]]</f>
        <v>43000</v>
      </c>
      <c r="AI580" s="23" t="s">
        <v>32</v>
      </c>
      <c r="AJ580" s="37">
        <f>IFERROR(INDEX('Kode Diskon'!$D$3:$D$9,MATCH(cadangan[[#This Row],[Kode diskon]],'Kode Diskon'!$C$3:$C$9,0)),"-")</f>
        <v>0.15</v>
      </c>
      <c r="AK580" s="23" t="s">
        <v>9</v>
      </c>
      <c r="AL580" s="23" t="s">
        <v>12</v>
      </c>
      <c r="AM580" s="23" t="s">
        <v>76</v>
      </c>
      <c r="AN580" s="55">
        <v>45039</v>
      </c>
      <c r="AO580" s="53">
        <f>DAY(cadangan[[#This Row],[Tanggal terjual]])</f>
        <v>23</v>
      </c>
      <c r="AP580" s="21" t="str">
        <f>TEXT(cadangan[[#This Row],[Tanggal terjual]],"dddd")</f>
        <v>Sunday</v>
      </c>
      <c r="AQ580" s="23" t="str" cm="1">
        <f t="array" ref="AQ5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80" s="61">
        <f>AVERAGE(cadangan[[#This Row],[Rating A]],cadangan[[#This Row],[Rating B]],cadangan[[#This Row],[Rating C]])</f>
        <v>1</v>
      </c>
    </row>
    <row r="581" spans="1:44" x14ac:dyDescent="0.2">
      <c r="A581" s="20">
        <v>580</v>
      </c>
      <c r="B581" s="21" t="str">
        <f>_xlfn.CONCAT("ORD-",INDEX(Helper!$B$2:$B$5,MATCH(cadangan[[#This Row],[Marketplace]],Helper!$A$2:$A$5,0)),TEXT(cadangan[[#This Row],[No]],"0000"),"-",TEXT(cadangan[[#This Row],[Tanggal terjual]],"dd/mm/yy"))</f>
        <v>ORD-BB0580-04/04/23</v>
      </c>
      <c r="C581" s="39" t="s">
        <v>67</v>
      </c>
      <c r="D581" s="39" t="str">
        <f>IFERROR(INDEX(Katalog!$A$3:$A$12,MATCH(cadangan[[#This Row],[ItemID A]],Katalog!$C$3:$C$12,0)),"-")</f>
        <v>Sepatu Wanita</v>
      </c>
      <c r="E581" s="39" t="str">
        <f>IFERROR(INDEX(Katalog!$B$3:$B$12,MATCH(cadangan[[#This Row],[ItemID A]],Katalog!$C$3:$C$12,0)),"-")</f>
        <v>Flat Shoes</v>
      </c>
      <c r="F581" s="50">
        <v>1</v>
      </c>
      <c r="G581" s="50">
        <v>5</v>
      </c>
      <c r="H581" s="73">
        <f>IFERROR(INDEX(Katalog!$D$3:$D$12,MATCH(cadangan[[#This Row],[ItemID A]],Katalog!$C$3:$C$12,0))*cadangan[[#This Row],[Qty A]],0)</f>
        <v>250000</v>
      </c>
      <c r="I581" s="73">
        <f>IFERROR(cadangan[[#This Row],[Harga Normal A]]-(cadangan[[#This Row],[Harga Normal A]]*cadangan[[#This Row],[Diskon]]),cadangan[[#This Row],[Harga Normal A]])</f>
        <v>212500</v>
      </c>
      <c r="J581" s="73">
        <f>INDEX(Katalog!$F$3:$F$12,MATCH(cadangan[[#This Row],[ItemID A]],Katalog!$C$3:$C$12,0))*cadangan[[#This Row],[Qty A]]</f>
        <v>100000</v>
      </c>
      <c r="K581" s="73">
        <f>IFERROR(cadangan[[#This Row],[Harga Diskon A]]-INDEX(Katalog!$E$3:$E$12,MATCH(cadangan[[#This Row],[ItemID A]],Katalog!$C$3:$C$12,0))*cadangan[[#This Row],[Qty A]],0)</f>
        <v>62500</v>
      </c>
      <c r="L581" s="39" t="s">
        <v>65</v>
      </c>
      <c r="M581" s="39" t="str">
        <f>IFERROR(INDEX(Katalog!$A$3:$A$12,MATCH(cadangan[[#This Row],[ItemID B]],Katalog!$C$3:$C$12,0)),"-")</f>
        <v>Sepatu Pria</v>
      </c>
      <c r="N581" s="39" t="str">
        <f>IFERROR(INDEX(Katalog!$B$3:$B$12,MATCH(cadangan[[#This Row],[ItemID B]],Katalog!$C$3:$C$12,0)),"-")</f>
        <v>Sneakers</v>
      </c>
      <c r="O581" s="50">
        <v>1</v>
      </c>
      <c r="P581" s="50">
        <v>4</v>
      </c>
      <c r="Q581" s="73">
        <f>IFERROR(INDEX(Katalog!$D$3:$D$12,MATCH(cadangan[[#This Row],[ItemID B]],Katalog!$C$3:$C$12,0))*cadangan[[#This Row],[Qty B]],0)</f>
        <v>500000</v>
      </c>
      <c r="R581" s="73">
        <f>IFERROR(cadangan[[#This Row],[Harga Normal B]]-(cadangan[[#This Row],[Harga Normal B]]*cadangan[[#This Row],[Diskon]]),cadangan[[#This Row],[Harga Normal B]])</f>
        <v>425000</v>
      </c>
      <c r="S581" s="73">
        <f>IFERROR(INDEX(Katalog!$F$3:$F$12,MATCH(cadangan[[#This Row],[ItemID B]],Katalog!$C$3:$C$12,0))*cadangan[[#This Row],[Qty B]],0)</f>
        <v>200000</v>
      </c>
      <c r="T581" s="73">
        <f>IFERROR(cadangan[[#This Row],[Harga Diskon B]]-INDEX(Katalog!$E$3:$E$12,MATCH(cadangan[[#This Row],[ItemID B]],Katalog!$C$3:$C$12,0))*cadangan[[#This Row],[Qty B]],0)</f>
        <v>125000</v>
      </c>
      <c r="U581" s="39" t="s">
        <v>58</v>
      </c>
      <c r="V581" s="39" t="str">
        <f>IFERROR(INDEX(Katalog!$A$3:$A$12,MATCH(cadangan[[#This Row],[ItemID C]],Katalog!$C$3:$C$12,0)),"-")</f>
        <v>Pakaian Wanita</v>
      </c>
      <c r="W581" s="39" t="str">
        <f>IFERROR(INDEX(Katalog!$B$3:$B$12,MATCH(cadangan[[#This Row],[ItemID C]],Katalog!$C$3:$C$12,0)),"-")</f>
        <v>Dress</v>
      </c>
      <c r="X581" s="50">
        <v>1</v>
      </c>
      <c r="Y581" s="50">
        <v>5</v>
      </c>
      <c r="Z581" s="73">
        <f>IFERROR(INDEX(Katalog!$D$3:$D$12,MATCH(cadangan[[#This Row],[ItemID C]],Katalog!$C$3:$C$12,0))*cadangan[[#This Row],[Qty C]],0)</f>
        <v>300000</v>
      </c>
      <c r="AA581" s="73">
        <f>IFERROR(cadangan[[#This Row],[Harga Normal C]]-(cadangan[[#This Row],[Harga Normal C]]*cadangan[[#This Row],[Diskon]]),cadangan[[#This Row],[Harga Normal C]])</f>
        <v>255000</v>
      </c>
      <c r="AB581" s="73">
        <f>IFERROR(INDEX(Katalog!$F$3:$F$12,MATCH(cadangan[[#This Row],[ItemID C]],Katalog!$C$3:$C$12,0))*cadangan[[#This Row],[Qty C]],0)</f>
        <v>100000</v>
      </c>
      <c r="AC581" s="73">
        <f>IFERROR(cadangan[[#This Row],[Harga Diskon C]]-INDEX(Katalog!$E$3:$E$12,MATCH(cadangan[[#This Row],[ItemID C]],Katalog!$C$3:$C$12,0))*cadangan[[#This Row],[Qty C]],0)</f>
        <v>55000</v>
      </c>
      <c r="AD581" s="53">
        <f>cadangan[[#This Row],[Qty A]]+cadangan[[#This Row],[Qty B]]+cadangan[[#This Row],[Qty C]]</f>
        <v>3</v>
      </c>
      <c r="AE581" s="73">
        <f>cadangan[[#This Row],[Harga Normal A]]+cadangan[[#This Row],[Harga Normal B]]+cadangan[[#This Row],[Harga Normal C]]</f>
        <v>1050000</v>
      </c>
      <c r="AF581" s="73">
        <f>cadangan[[#This Row],[Harga Diskon A]]+cadangan[[#This Row],[Harga Diskon B]]+cadangan[[#This Row],[Harga Diskon C]]</f>
        <v>892500</v>
      </c>
      <c r="AG581" s="73">
        <f>(cadangan[[#This Row],[Profit Normal A]]+cadangan[[#This Row],[Profit Normal B]]+cadangan[[#This Row],[Profit Normal C]])</f>
        <v>400000</v>
      </c>
      <c r="AH581" s="73">
        <f>cadangan[[#This Row],[Profit Diskon A]]+cadangan[[#This Row],[Profit Diskon B]]+cadangan[[#This Row],[Profit Diskon C]]</f>
        <v>242500</v>
      </c>
      <c r="AI581" s="23" t="s">
        <v>28</v>
      </c>
      <c r="AJ581" s="37">
        <f>IFERROR(INDEX('Kode Diskon'!$D$3:$D$9,MATCH(cadangan[[#This Row],[Kode diskon]],'Kode Diskon'!$C$3:$C$9,0)),"-")</f>
        <v>0.15</v>
      </c>
      <c r="AK581" s="23" t="s">
        <v>29</v>
      </c>
      <c r="AL581" s="23" t="s">
        <v>14</v>
      </c>
      <c r="AM581" s="23" t="s">
        <v>77</v>
      </c>
      <c r="AN581" s="55">
        <v>45020</v>
      </c>
      <c r="AO581" s="53">
        <f>DAY(cadangan[[#This Row],[Tanggal terjual]])</f>
        <v>4</v>
      </c>
      <c r="AP581" s="21" t="str">
        <f>TEXT(cadangan[[#This Row],[Tanggal terjual]],"dddd")</f>
        <v>Tuesday</v>
      </c>
      <c r="AQ581" s="23" t="str" cm="1">
        <f t="array" ref="AQ5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1" s="61">
        <f>AVERAGE(cadangan[[#This Row],[Rating A]],cadangan[[#This Row],[Rating B]],cadangan[[#This Row],[Rating C]])</f>
        <v>4.666666666666667</v>
      </c>
    </row>
    <row r="582" spans="1:44" x14ac:dyDescent="0.2">
      <c r="A582" s="20">
        <v>581</v>
      </c>
      <c r="B582" s="21" t="str">
        <f>_xlfn.CONCAT("ORD-",INDEX(Helper!$B$2:$B$5,MATCH(cadangan[[#This Row],[Marketplace]],Helper!$A$2:$A$5,0)),TEXT(cadangan[[#This Row],[No]],"0000"),"-",TEXT(cadangan[[#This Row],[Tanggal terjual]],"dd/mm/yy"))</f>
        <v>ORD-SP0581-01/04/23</v>
      </c>
      <c r="C582" s="39" t="s">
        <v>66</v>
      </c>
      <c r="D582" s="39" t="str">
        <f>IFERROR(INDEX(Katalog!$A$3:$A$12,MATCH(cadangan[[#This Row],[ItemID A]],Katalog!$C$3:$C$12,0)),"-")</f>
        <v>Sepatu Pria</v>
      </c>
      <c r="E582" s="39" t="str">
        <f>IFERROR(INDEX(Katalog!$B$3:$B$12,MATCH(cadangan[[#This Row],[ItemID A]],Katalog!$C$3:$C$12,0)),"-")</f>
        <v>Sandal Slip On</v>
      </c>
      <c r="F582" s="50">
        <v>7</v>
      </c>
      <c r="G582" s="50">
        <v>2</v>
      </c>
      <c r="H582" s="73">
        <f>IFERROR(INDEX(Katalog!$D$3:$D$12,MATCH(cadangan[[#This Row],[ItemID A]],Katalog!$C$3:$C$12,0))*cadangan[[#This Row],[Qty A]],0)</f>
        <v>1050000</v>
      </c>
      <c r="I582" s="73">
        <f>IFERROR(cadangan[[#This Row],[Harga Normal A]]-(cadangan[[#This Row],[Harga Normal A]]*cadangan[[#This Row],[Diskon]]),cadangan[[#This Row],[Harga Normal A]])</f>
        <v>892500</v>
      </c>
      <c r="J582" s="73">
        <f>INDEX(Katalog!$F$3:$F$12,MATCH(cadangan[[#This Row],[ItemID A]],Katalog!$C$3:$C$12,0))*cadangan[[#This Row],[Qty A]]</f>
        <v>420000</v>
      </c>
      <c r="K582" s="73">
        <f>IFERROR(cadangan[[#This Row],[Harga Diskon A]]-INDEX(Katalog!$E$3:$E$12,MATCH(cadangan[[#This Row],[ItemID A]],Katalog!$C$3:$C$12,0))*cadangan[[#This Row],[Qty A]],0)</f>
        <v>262500</v>
      </c>
      <c r="M582" s="39" t="str">
        <f>IFERROR(INDEX(Katalog!$A$3:$A$12,MATCH(cadangan[[#This Row],[ItemID B]],Katalog!$C$3:$C$12,0)),"-")</f>
        <v>-</v>
      </c>
      <c r="N582" s="39" t="str">
        <f>IFERROR(INDEX(Katalog!$B$3:$B$12,MATCH(cadangan[[#This Row],[ItemID B]],Katalog!$C$3:$C$12,0)),"-")</f>
        <v>-</v>
      </c>
      <c r="Q582" s="73">
        <f>IFERROR(INDEX(Katalog!$D$3:$D$12,MATCH(cadangan[[#This Row],[ItemID B]],Katalog!$C$3:$C$12,0))*cadangan[[#This Row],[Qty B]],0)</f>
        <v>0</v>
      </c>
      <c r="R582" s="73">
        <f>IFERROR(cadangan[[#This Row],[Harga Normal B]]-(cadangan[[#This Row],[Harga Normal B]]*cadangan[[#This Row],[Diskon]]),cadangan[[#This Row],[Harga Normal B]])</f>
        <v>0</v>
      </c>
      <c r="S582" s="73">
        <f>IFERROR(INDEX(Katalog!$F$3:$F$12,MATCH(cadangan[[#This Row],[ItemID B]],Katalog!$C$3:$C$12,0))*cadangan[[#This Row],[Qty B]],0)</f>
        <v>0</v>
      </c>
      <c r="T582" s="73">
        <f>IFERROR(cadangan[[#This Row],[Harga Diskon B]]-INDEX(Katalog!$E$3:$E$12,MATCH(cadangan[[#This Row],[ItemID B]],Katalog!$C$3:$C$12,0))*cadangan[[#This Row],[Qty B]],0)</f>
        <v>0</v>
      </c>
      <c r="V582" s="39" t="str">
        <f>IFERROR(INDEX(Katalog!$A$3:$A$12,MATCH(cadangan[[#This Row],[ItemID C]],Katalog!$C$3:$C$12,0)),"-")</f>
        <v>-</v>
      </c>
      <c r="W582" s="39" t="str">
        <f>IFERROR(INDEX(Katalog!$B$3:$B$12,MATCH(cadangan[[#This Row],[ItemID C]],Katalog!$C$3:$C$12,0)),"-")</f>
        <v>-</v>
      </c>
      <c r="Z582" s="73">
        <f>IFERROR(INDEX(Katalog!$D$3:$D$12,MATCH(cadangan[[#This Row],[ItemID C]],Katalog!$C$3:$C$12,0))*cadangan[[#This Row],[Qty C]],0)</f>
        <v>0</v>
      </c>
      <c r="AA582" s="73">
        <f>IFERROR(cadangan[[#This Row],[Harga Normal C]]-(cadangan[[#This Row],[Harga Normal C]]*cadangan[[#This Row],[Diskon]]),cadangan[[#This Row],[Harga Normal C]])</f>
        <v>0</v>
      </c>
      <c r="AB582" s="73">
        <f>IFERROR(INDEX(Katalog!$F$3:$F$12,MATCH(cadangan[[#This Row],[ItemID C]],Katalog!$C$3:$C$12,0))*cadangan[[#This Row],[Qty C]],0)</f>
        <v>0</v>
      </c>
      <c r="AC582" s="73">
        <f>IFERROR(cadangan[[#This Row],[Harga Diskon C]]-INDEX(Katalog!$E$3:$E$12,MATCH(cadangan[[#This Row],[ItemID C]],Katalog!$C$3:$C$12,0))*cadangan[[#This Row],[Qty C]],0)</f>
        <v>0</v>
      </c>
      <c r="AD582" s="53">
        <f>cadangan[[#This Row],[Qty A]]+cadangan[[#This Row],[Qty B]]+cadangan[[#This Row],[Qty C]]</f>
        <v>7</v>
      </c>
      <c r="AE582" s="73">
        <f>cadangan[[#This Row],[Harga Normal A]]+cadangan[[#This Row],[Harga Normal B]]+cadangan[[#This Row],[Harga Normal C]]</f>
        <v>1050000</v>
      </c>
      <c r="AF582" s="73">
        <f>cadangan[[#This Row],[Harga Diskon A]]+cadangan[[#This Row],[Harga Diskon B]]+cadangan[[#This Row],[Harga Diskon C]]</f>
        <v>892500</v>
      </c>
      <c r="AG582" s="73">
        <f>(cadangan[[#This Row],[Profit Normal A]]+cadangan[[#This Row],[Profit Normal B]]+cadangan[[#This Row],[Profit Normal C]])</f>
        <v>420000</v>
      </c>
      <c r="AH582" s="73">
        <f>cadangan[[#This Row],[Profit Diskon A]]+cadangan[[#This Row],[Profit Diskon B]]+cadangan[[#This Row],[Profit Diskon C]]</f>
        <v>262500</v>
      </c>
      <c r="AI582" s="23" t="s">
        <v>13</v>
      </c>
      <c r="AJ582" s="37">
        <f>IFERROR(INDEX('Kode Diskon'!$D$3:$D$9,MATCH(cadangan[[#This Row],[Kode diskon]],'Kode Diskon'!$C$3:$C$9,0)),"-")</f>
        <v>0.15</v>
      </c>
      <c r="AK582" s="23" t="s">
        <v>29</v>
      </c>
      <c r="AL582" s="23" t="s">
        <v>7</v>
      </c>
      <c r="AM582" s="23" t="s">
        <v>78</v>
      </c>
      <c r="AN582" s="55">
        <v>45017</v>
      </c>
      <c r="AO582" s="53">
        <f>DAY(cadangan[[#This Row],[Tanggal terjual]])</f>
        <v>1</v>
      </c>
      <c r="AP582" s="21" t="str">
        <f>TEXT(cadangan[[#This Row],[Tanggal terjual]],"dddd")</f>
        <v>Saturday</v>
      </c>
      <c r="AQ582" s="23" t="str" cm="1">
        <f t="array" ref="AQ5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2" s="61">
        <f>AVERAGE(cadangan[[#This Row],[Rating A]],cadangan[[#This Row],[Rating B]],cadangan[[#This Row],[Rating C]])</f>
        <v>2</v>
      </c>
    </row>
    <row r="583" spans="1:44" x14ac:dyDescent="0.2">
      <c r="A583" s="20">
        <v>582</v>
      </c>
      <c r="B583" s="21" t="str">
        <f>_xlfn.CONCAT("ORD-",INDEX(Helper!$B$2:$B$5,MATCH(cadangan[[#This Row],[Marketplace]],Helper!$A$2:$A$5,0)),TEXT(cadangan[[#This Row],[No]],"0000"),"-",TEXT(cadangan[[#This Row],[Tanggal terjual]],"dd/mm/yy"))</f>
        <v>ORD-BB0582-01/04/23</v>
      </c>
      <c r="C583" s="39" t="s">
        <v>64</v>
      </c>
      <c r="D583" s="39" t="str">
        <f>IFERROR(INDEX(Katalog!$A$3:$A$12,MATCH(cadangan[[#This Row],[ItemID A]],Katalog!$C$3:$C$12,0)),"-")</f>
        <v>Pakaian Unisex</v>
      </c>
      <c r="E583" s="39" t="str">
        <f>IFERROR(INDEX(Katalog!$B$3:$B$12,MATCH(cadangan[[#This Row],[ItemID A]],Katalog!$C$3:$C$12,0)),"-")</f>
        <v>Jaket Hoodie</v>
      </c>
      <c r="F583" s="50">
        <v>4</v>
      </c>
      <c r="G583" s="50">
        <v>1</v>
      </c>
      <c r="H583" s="73">
        <f>IFERROR(INDEX(Katalog!$D$3:$D$12,MATCH(cadangan[[#This Row],[ItemID A]],Katalog!$C$3:$C$12,0))*cadangan[[#This Row],[Qty A]],0)</f>
        <v>1400000</v>
      </c>
      <c r="I583" s="73">
        <f>IFERROR(cadangan[[#This Row],[Harga Normal A]]-(cadangan[[#This Row],[Harga Normal A]]*cadangan[[#This Row],[Diskon]]),cadangan[[#This Row],[Harga Normal A]])</f>
        <v>1190000</v>
      </c>
      <c r="J583" s="73">
        <f>INDEX(Katalog!$F$3:$F$12,MATCH(cadangan[[#This Row],[ItemID A]],Katalog!$C$3:$C$12,0))*cadangan[[#This Row],[Qty A]]</f>
        <v>520000</v>
      </c>
      <c r="K583" s="73">
        <f>IFERROR(cadangan[[#This Row],[Harga Diskon A]]-INDEX(Katalog!$E$3:$E$12,MATCH(cadangan[[#This Row],[ItemID A]],Katalog!$C$3:$C$12,0))*cadangan[[#This Row],[Qty A]],0)</f>
        <v>310000</v>
      </c>
      <c r="L583" s="39" t="s">
        <v>60</v>
      </c>
      <c r="M583" s="39" t="str">
        <f>IFERROR(INDEX(Katalog!$A$3:$A$12,MATCH(cadangan[[#This Row],[ItemID B]],Katalog!$C$3:$C$12,0)),"-")</f>
        <v>Pakaian Wanita</v>
      </c>
      <c r="N583" s="39" t="str">
        <f>IFERROR(INDEX(Katalog!$B$3:$B$12,MATCH(cadangan[[#This Row],[ItemID B]],Katalog!$C$3:$C$12,0)),"-")</f>
        <v>Kaftan</v>
      </c>
      <c r="O583" s="50">
        <v>1</v>
      </c>
      <c r="P583" s="50">
        <v>3</v>
      </c>
      <c r="Q583" s="73">
        <f>IFERROR(INDEX(Katalog!$D$3:$D$12,MATCH(cadangan[[#This Row],[ItemID B]],Katalog!$C$3:$C$12,0))*cadangan[[#This Row],[Qty B]],0)</f>
        <v>250000</v>
      </c>
      <c r="R583" s="73">
        <f>IFERROR(cadangan[[#This Row],[Harga Normal B]]-(cadangan[[#This Row],[Harga Normal B]]*cadangan[[#This Row],[Diskon]]),cadangan[[#This Row],[Harga Normal B]])</f>
        <v>212500</v>
      </c>
      <c r="S583" s="73">
        <f>IFERROR(INDEX(Katalog!$F$3:$F$12,MATCH(cadangan[[#This Row],[ItemID B]],Katalog!$C$3:$C$12,0))*cadangan[[#This Row],[Qty B]],0)</f>
        <v>100000</v>
      </c>
      <c r="T583" s="73">
        <f>IFERROR(cadangan[[#This Row],[Harga Diskon B]]-INDEX(Katalog!$E$3:$E$12,MATCH(cadangan[[#This Row],[ItemID B]],Katalog!$C$3:$C$12,0))*cadangan[[#This Row],[Qty B]],0)</f>
        <v>62500</v>
      </c>
      <c r="V583" s="39" t="str">
        <f>IFERROR(INDEX(Katalog!$A$3:$A$12,MATCH(cadangan[[#This Row],[ItemID C]],Katalog!$C$3:$C$12,0)),"-")</f>
        <v>-</v>
      </c>
      <c r="W583" s="39" t="str">
        <f>IFERROR(INDEX(Katalog!$B$3:$B$12,MATCH(cadangan[[#This Row],[ItemID C]],Katalog!$C$3:$C$12,0)),"-")</f>
        <v>-</v>
      </c>
      <c r="Z583" s="73">
        <f>IFERROR(INDEX(Katalog!$D$3:$D$12,MATCH(cadangan[[#This Row],[ItemID C]],Katalog!$C$3:$C$12,0))*cadangan[[#This Row],[Qty C]],0)</f>
        <v>0</v>
      </c>
      <c r="AA583" s="73">
        <f>IFERROR(cadangan[[#This Row],[Harga Normal C]]-(cadangan[[#This Row],[Harga Normal C]]*cadangan[[#This Row],[Diskon]]),cadangan[[#This Row],[Harga Normal C]])</f>
        <v>0</v>
      </c>
      <c r="AB583" s="73">
        <f>IFERROR(INDEX(Katalog!$F$3:$F$12,MATCH(cadangan[[#This Row],[ItemID C]],Katalog!$C$3:$C$12,0))*cadangan[[#This Row],[Qty C]],0)</f>
        <v>0</v>
      </c>
      <c r="AC583" s="73">
        <f>IFERROR(cadangan[[#This Row],[Harga Diskon C]]-INDEX(Katalog!$E$3:$E$12,MATCH(cadangan[[#This Row],[ItemID C]],Katalog!$C$3:$C$12,0))*cadangan[[#This Row],[Qty C]],0)</f>
        <v>0</v>
      </c>
      <c r="AD583" s="53">
        <f>cadangan[[#This Row],[Qty A]]+cadangan[[#This Row],[Qty B]]+cadangan[[#This Row],[Qty C]]</f>
        <v>5</v>
      </c>
      <c r="AE583" s="73">
        <f>cadangan[[#This Row],[Harga Normal A]]+cadangan[[#This Row],[Harga Normal B]]+cadangan[[#This Row],[Harga Normal C]]</f>
        <v>1650000</v>
      </c>
      <c r="AF583" s="73">
        <f>cadangan[[#This Row],[Harga Diskon A]]+cadangan[[#This Row],[Harga Diskon B]]+cadangan[[#This Row],[Harga Diskon C]]</f>
        <v>1402500</v>
      </c>
      <c r="AG583" s="73">
        <f>(cadangan[[#This Row],[Profit Normal A]]+cadangan[[#This Row],[Profit Normal B]]+cadangan[[#This Row],[Profit Normal C]])</f>
        <v>620000</v>
      </c>
      <c r="AH583" s="73">
        <f>cadangan[[#This Row],[Profit Diskon A]]+cadangan[[#This Row],[Profit Diskon B]]+cadangan[[#This Row],[Profit Diskon C]]</f>
        <v>372500</v>
      </c>
      <c r="AI583" s="23" t="s">
        <v>28</v>
      </c>
      <c r="AJ583" s="37">
        <f>IFERROR(INDEX('Kode Diskon'!$D$3:$D$9,MATCH(cadangan[[#This Row],[Kode diskon]],'Kode Diskon'!$C$3:$C$9,0)),"-")</f>
        <v>0.15</v>
      </c>
      <c r="AK583" s="23" t="s">
        <v>29</v>
      </c>
      <c r="AL583" s="23" t="s">
        <v>14</v>
      </c>
      <c r="AM583" s="23" t="s">
        <v>78</v>
      </c>
      <c r="AN583" s="55">
        <v>45017</v>
      </c>
      <c r="AO583" s="53">
        <f>DAY(cadangan[[#This Row],[Tanggal terjual]])</f>
        <v>1</v>
      </c>
      <c r="AP583" s="21" t="str">
        <f>TEXT(cadangan[[#This Row],[Tanggal terjual]],"dddd")</f>
        <v>Saturday</v>
      </c>
      <c r="AQ583" s="23" t="str" cm="1">
        <f t="array" ref="AQ5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3" s="61">
        <f>AVERAGE(cadangan[[#This Row],[Rating A]],cadangan[[#This Row],[Rating B]],cadangan[[#This Row],[Rating C]])</f>
        <v>2</v>
      </c>
    </row>
    <row r="584" spans="1:44" x14ac:dyDescent="0.2">
      <c r="A584" s="20">
        <v>583</v>
      </c>
      <c r="B584" s="21" t="str">
        <f>_xlfn.CONCAT("ORD-",INDEX(Helper!$B$2:$B$5,MATCH(cadangan[[#This Row],[Marketplace]],Helper!$A$2:$A$5,0)),TEXT(cadangan[[#This Row],[No]],"0000"),"-",TEXT(cadangan[[#This Row],[Tanggal terjual]],"dd/mm/yy"))</f>
        <v>ORD-BL0583-17/04/23</v>
      </c>
      <c r="C584" s="39" t="s">
        <v>58</v>
      </c>
      <c r="D584" s="39" t="str">
        <f>IFERROR(INDEX(Katalog!$A$3:$A$12,MATCH(cadangan[[#This Row],[ItemID A]],Katalog!$C$3:$C$12,0)),"-")</f>
        <v>Pakaian Wanita</v>
      </c>
      <c r="E584" s="39" t="str">
        <f>IFERROR(INDEX(Katalog!$B$3:$B$12,MATCH(cadangan[[#This Row],[ItemID A]],Katalog!$C$3:$C$12,0)),"-")</f>
        <v>Dress</v>
      </c>
      <c r="F584" s="50">
        <v>2</v>
      </c>
      <c r="G584" s="50">
        <v>2</v>
      </c>
      <c r="H584" s="73">
        <f>IFERROR(INDEX(Katalog!$D$3:$D$12,MATCH(cadangan[[#This Row],[ItemID A]],Katalog!$C$3:$C$12,0))*cadangan[[#This Row],[Qty A]],0)</f>
        <v>600000</v>
      </c>
      <c r="I584" s="73">
        <f>IFERROR(cadangan[[#This Row],[Harga Normal A]]-(cadangan[[#This Row],[Harga Normal A]]*cadangan[[#This Row],[Diskon]]),cadangan[[#This Row],[Harga Normal A]])</f>
        <v>510000</v>
      </c>
      <c r="J584" s="73">
        <f>INDEX(Katalog!$F$3:$F$12,MATCH(cadangan[[#This Row],[ItemID A]],Katalog!$C$3:$C$12,0))*cadangan[[#This Row],[Qty A]]</f>
        <v>200000</v>
      </c>
      <c r="K584" s="73">
        <f>IFERROR(cadangan[[#This Row],[Harga Diskon A]]-INDEX(Katalog!$E$3:$E$12,MATCH(cadangan[[#This Row],[ItemID A]],Katalog!$C$3:$C$12,0))*cadangan[[#This Row],[Qty A]],0)</f>
        <v>110000</v>
      </c>
      <c r="M584" s="39" t="str">
        <f>IFERROR(INDEX(Katalog!$A$3:$A$12,MATCH(cadangan[[#This Row],[ItemID B]],Katalog!$C$3:$C$12,0)),"-")</f>
        <v>-</v>
      </c>
      <c r="N584" s="39" t="str">
        <f>IFERROR(INDEX(Katalog!$B$3:$B$12,MATCH(cadangan[[#This Row],[ItemID B]],Katalog!$C$3:$C$12,0)),"-")</f>
        <v>-</v>
      </c>
      <c r="Q584" s="73">
        <f>IFERROR(INDEX(Katalog!$D$3:$D$12,MATCH(cadangan[[#This Row],[ItemID B]],Katalog!$C$3:$C$12,0))*cadangan[[#This Row],[Qty B]],0)</f>
        <v>0</v>
      </c>
      <c r="R584" s="73">
        <f>IFERROR(cadangan[[#This Row],[Harga Normal B]]-(cadangan[[#This Row],[Harga Normal B]]*cadangan[[#This Row],[Diskon]]),cadangan[[#This Row],[Harga Normal B]])</f>
        <v>0</v>
      </c>
      <c r="S584" s="73">
        <f>IFERROR(INDEX(Katalog!$F$3:$F$12,MATCH(cadangan[[#This Row],[ItemID B]],Katalog!$C$3:$C$12,0))*cadangan[[#This Row],[Qty B]],0)</f>
        <v>0</v>
      </c>
      <c r="T584" s="73">
        <f>IFERROR(cadangan[[#This Row],[Harga Diskon B]]-INDEX(Katalog!$E$3:$E$12,MATCH(cadangan[[#This Row],[ItemID B]],Katalog!$C$3:$C$12,0))*cadangan[[#This Row],[Qty B]],0)</f>
        <v>0</v>
      </c>
      <c r="V584" s="39" t="str">
        <f>IFERROR(INDEX(Katalog!$A$3:$A$12,MATCH(cadangan[[#This Row],[ItemID C]],Katalog!$C$3:$C$12,0)),"-")</f>
        <v>-</v>
      </c>
      <c r="W584" s="39" t="str">
        <f>IFERROR(INDEX(Katalog!$B$3:$B$12,MATCH(cadangan[[#This Row],[ItemID C]],Katalog!$C$3:$C$12,0)),"-")</f>
        <v>-</v>
      </c>
      <c r="Z584" s="73">
        <f>IFERROR(INDEX(Katalog!$D$3:$D$12,MATCH(cadangan[[#This Row],[ItemID C]],Katalog!$C$3:$C$12,0))*cadangan[[#This Row],[Qty C]],0)</f>
        <v>0</v>
      </c>
      <c r="AA584" s="73">
        <f>IFERROR(cadangan[[#This Row],[Harga Normal C]]-(cadangan[[#This Row],[Harga Normal C]]*cadangan[[#This Row],[Diskon]]),cadangan[[#This Row],[Harga Normal C]])</f>
        <v>0</v>
      </c>
      <c r="AB584" s="73">
        <f>IFERROR(INDEX(Katalog!$F$3:$F$12,MATCH(cadangan[[#This Row],[ItemID C]],Katalog!$C$3:$C$12,0))*cadangan[[#This Row],[Qty C]],0)</f>
        <v>0</v>
      </c>
      <c r="AC584" s="73">
        <f>IFERROR(cadangan[[#This Row],[Harga Diskon C]]-INDEX(Katalog!$E$3:$E$12,MATCH(cadangan[[#This Row],[ItemID C]],Katalog!$C$3:$C$12,0))*cadangan[[#This Row],[Qty C]],0)</f>
        <v>0</v>
      </c>
      <c r="AD584" s="53">
        <f>cadangan[[#This Row],[Qty A]]+cadangan[[#This Row],[Qty B]]+cadangan[[#This Row],[Qty C]]</f>
        <v>2</v>
      </c>
      <c r="AE584" s="73">
        <f>cadangan[[#This Row],[Harga Normal A]]+cadangan[[#This Row],[Harga Normal B]]+cadangan[[#This Row],[Harga Normal C]]</f>
        <v>600000</v>
      </c>
      <c r="AF584" s="73">
        <f>cadangan[[#This Row],[Harga Diskon A]]+cadangan[[#This Row],[Harga Diskon B]]+cadangan[[#This Row],[Harga Diskon C]]</f>
        <v>510000</v>
      </c>
      <c r="AG584" s="73">
        <f>(cadangan[[#This Row],[Profit Normal A]]+cadangan[[#This Row],[Profit Normal B]]+cadangan[[#This Row],[Profit Normal C]])</f>
        <v>200000</v>
      </c>
      <c r="AH584" s="73">
        <f>cadangan[[#This Row],[Profit Diskon A]]+cadangan[[#This Row],[Profit Diskon B]]+cadangan[[#This Row],[Profit Diskon C]]</f>
        <v>110000</v>
      </c>
      <c r="AI584" s="23" t="s">
        <v>32</v>
      </c>
      <c r="AJ584" s="37">
        <f>IFERROR(INDEX('Kode Diskon'!$D$3:$D$9,MATCH(cadangan[[#This Row],[Kode diskon]],'Kode Diskon'!$C$3:$C$9,0)),"-")</f>
        <v>0.15</v>
      </c>
      <c r="AK584" s="23" t="s">
        <v>9</v>
      </c>
      <c r="AL584" s="23" t="s">
        <v>12</v>
      </c>
      <c r="AM584" s="23" t="s">
        <v>75</v>
      </c>
      <c r="AN584" s="55">
        <v>45033</v>
      </c>
      <c r="AO584" s="53">
        <f>DAY(cadangan[[#This Row],[Tanggal terjual]])</f>
        <v>17</v>
      </c>
      <c r="AP584" s="21" t="str">
        <f>TEXT(cadangan[[#This Row],[Tanggal terjual]],"dddd")</f>
        <v>Monday</v>
      </c>
      <c r="AQ584" s="23" t="str" cm="1">
        <f t="array" ref="AQ5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84" s="61">
        <f>AVERAGE(cadangan[[#This Row],[Rating A]],cadangan[[#This Row],[Rating B]],cadangan[[#This Row],[Rating C]])</f>
        <v>2</v>
      </c>
    </row>
    <row r="585" spans="1:44" x14ac:dyDescent="0.2">
      <c r="A585" s="20">
        <v>584</v>
      </c>
      <c r="B585" s="21" t="str">
        <f>_xlfn.CONCAT("ORD-",INDEX(Helper!$B$2:$B$5,MATCH(cadangan[[#This Row],[Marketplace]],Helper!$A$2:$A$5,0)),TEXT(cadangan[[#This Row],[No]],"0000"),"-",TEXT(cadangan[[#This Row],[Tanggal terjual]],"dd/mm/yy"))</f>
        <v>ORD-SP0584-02/04/23</v>
      </c>
      <c r="C585" s="39" t="s">
        <v>64</v>
      </c>
      <c r="D585" s="39" t="str">
        <f>IFERROR(INDEX(Katalog!$A$3:$A$12,MATCH(cadangan[[#This Row],[ItemID A]],Katalog!$C$3:$C$12,0)),"-")</f>
        <v>Pakaian Unisex</v>
      </c>
      <c r="E585" s="39" t="str">
        <f>IFERROR(INDEX(Katalog!$B$3:$B$12,MATCH(cadangan[[#This Row],[ItemID A]],Katalog!$C$3:$C$12,0)),"-")</f>
        <v>Jaket Hoodie</v>
      </c>
      <c r="F585" s="50">
        <v>4</v>
      </c>
      <c r="G585" s="50">
        <v>4</v>
      </c>
      <c r="H585" s="73">
        <f>IFERROR(INDEX(Katalog!$D$3:$D$12,MATCH(cadangan[[#This Row],[ItemID A]],Katalog!$C$3:$C$12,0))*cadangan[[#This Row],[Qty A]],0)</f>
        <v>1400000</v>
      </c>
      <c r="I585" s="73">
        <f>IFERROR(cadangan[[#This Row],[Harga Normal A]]-(cadangan[[#This Row],[Harga Normal A]]*cadangan[[#This Row],[Diskon]]),cadangan[[#This Row],[Harga Normal A]])</f>
        <v>1260000</v>
      </c>
      <c r="J585" s="73">
        <f>INDEX(Katalog!$F$3:$F$12,MATCH(cadangan[[#This Row],[ItemID A]],Katalog!$C$3:$C$12,0))*cadangan[[#This Row],[Qty A]]</f>
        <v>520000</v>
      </c>
      <c r="K585" s="73">
        <f>IFERROR(cadangan[[#This Row],[Harga Diskon A]]-INDEX(Katalog!$E$3:$E$12,MATCH(cadangan[[#This Row],[ItemID A]],Katalog!$C$3:$C$12,0))*cadangan[[#This Row],[Qty A]],0)</f>
        <v>380000</v>
      </c>
      <c r="L585" s="39" t="s">
        <v>66</v>
      </c>
      <c r="M585" s="39" t="str">
        <f>IFERROR(INDEX(Katalog!$A$3:$A$12,MATCH(cadangan[[#This Row],[ItemID B]],Katalog!$C$3:$C$12,0)),"-")</f>
        <v>Sepatu Pria</v>
      </c>
      <c r="N585" s="39" t="str">
        <f>IFERROR(INDEX(Katalog!$B$3:$B$12,MATCH(cadangan[[#This Row],[ItemID B]],Katalog!$C$3:$C$12,0)),"-")</f>
        <v>Sandal Slip On</v>
      </c>
      <c r="O585" s="50">
        <v>1</v>
      </c>
      <c r="P585" s="50">
        <v>4</v>
      </c>
      <c r="Q585" s="73">
        <f>IFERROR(INDEX(Katalog!$D$3:$D$12,MATCH(cadangan[[#This Row],[ItemID B]],Katalog!$C$3:$C$12,0))*cadangan[[#This Row],[Qty B]],0)</f>
        <v>150000</v>
      </c>
      <c r="R585" s="73">
        <f>IFERROR(cadangan[[#This Row],[Harga Normal B]]-(cadangan[[#This Row],[Harga Normal B]]*cadangan[[#This Row],[Diskon]]),cadangan[[#This Row],[Harga Normal B]])</f>
        <v>135000</v>
      </c>
      <c r="S585" s="73">
        <f>IFERROR(INDEX(Katalog!$F$3:$F$12,MATCH(cadangan[[#This Row],[ItemID B]],Katalog!$C$3:$C$12,0))*cadangan[[#This Row],[Qty B]],0)</f>
        <v>60000</v>
      </c>
      <c r="T585" s="73">
        <f>IFERROR(cadangan[[#This Row],[Harga Diskon B]]-INDEX(Katalog!$E$3:$E$12,MATCH(cadangan[[#This Row],[ItemID B]],Katalog!$C$3:$C$12,0))*cadangan[[#This Row],[Qty B]],0)</f>
        <v>45000</v>
      </c>
      <c r="U585" s="39" t="s">
        <v>63</v>
      </c>
      <c r="V585" s="39" t="str">
        <f>IFERROR(INDEX(Katalog!$A$3:$A$12,MATCH(cadangan[[#This Row],[ItemID C]],Katalog!$C$3:$C$12,0)),"-")</f>
        <v>Pakaian Pria</v>
      </c>
      <c r="W585" s="39" t="str">
        <f>IFERROR(INDEX(Katalog!$B$3:$B$12,MATCH(cadangan[[#This Row],[ItemID C]],Katalog!$C$3:$C$12,0)),"-")</f>
        <v>Jaket Jeans</v>
      </c>
      <c r="X585" s="50">
        <v>1</v>
      </c>
      <c r="Y585" s="50">
        <v>2</v>
      </c>
      <c r="Z585" s="73">
        <f>IFERROR(INDEX(Katalog!$D$3:$D$12,MATCH(cadangan[[#This Row],[ItemID C]],Katalog!$C$3:$C$12,0))*cadangan[[#This Row],[Qty C]],0)</f>
        <v>400000</v>
      </c>
      <c r="AA585" s="73">
        <f>IFERROR(cadangan[[#This Row],[Harga Normal C]]-(cadangan[[#This Row],[Harga Normal C]]*cadangan[[#This Row],[Diskon]]),cadangan[[#This Row],[Harga Normal C]])</f>
        <v>360000</v>
      </c>
      <c r="AB585" s="73">
        <f>IFERROR(INDEX(Katalog!$F$3:$F$12,MATCH(cadangan[[#This Row],[ItemID C]],Katalog!$C$3:$C$12,0))*cadangan[[#This Row],[Qty C]],0)</f>
        <v>150000</v>
      </c>
      <c r="AC585" s="73">
        <f>IFERROR(cadangan[[#This Row],[Harga Diskon C]]-INDEX(Katalog!$E$3:$E$12,MATCH(cadangan[[#This Row],[ItemID C]],Katalog!$C$3:$C$12,0))*cadangan[[#This Row],[Qty C]],0)</f>
        <v>110000</v>
      </c>
      <c r="AD585" s="53">
        <f>cadangan[[#This Row],[Qty A]]+cadangan[[#This Row],[Qty B]]+cadangan[[#This Row],[Qty C]]</f>
        <v>6</v>
      </c>
      <c r="AE585" s="73">
        <f>cadangan[[#This Row],[Harga Normal A]]+cadangan[[#This Row],[Harga Normal B]]+cadangan[[#This Row],[Harga Normal C]]</f>
        <v>1950000</v>
      </c>
      <c r="AF585" s="73">
        <f>cadangan[[#This Row],[Harga Diskon A]]+cadangan[[#This Row],[Harga Diskon B]]+cadangan[[#This Row],[Harga Diskon C]]</f>
        <v>1755000</v>
      </c>
      <c r="AG585" s="73">
        <f>(cadangan[[#This Row],[Profit Normal A]]+cadangan[[#This Row],[Profit Normal B]]+cadangan[[#This Row],[Profit Normal C]])</f>
        <v>730000</v>
      </c>
      <c r="AH585" s="73">
        <f>cadangan[[#This Row],[Profit Diskon A]]+cadangan[[#This Row],[Profit Diskon B]]+cadangan[[#This Row],[Profit Diskon C]]</f>
        <v>535000</v>
      </c>
      <c r="AI585" s="23" t="s">
        <v>6</v>
      </c>
      <c r="AJ585" s="37">
        <f>IFERROR(INDEX('Kode Diskon'!$D$3:$D$9,MATCH(cadangan[[#This Row],[Kode diskon]],'Kode Diskon'!$C$3:$C$9,0)),"-")</f>
        <v>0.1</v>
      </c>
      <c r="AK585" s="23" t="s">
        <v>29</v>
      </c>
      <c r="AL585" s="23" t="s">
        <v>7</v>
      </c>
      <c r="AM585" s="23" t="s">
        <v>79</v>
      </c>
      <c r="AN585" s="55">
        <v>45018</v>
      </c>
      <c r="AO585" s="53">
        <f>DAY(cadangan[[#This Row],[Tanggal terjual]])</f>
        <v>2</v>
      </c>
      <c r="AP585" s="21" t="str">
        <f>TEXT(cadangan[[#This Row],[Tanggal terjual]],"dddd")</f>
        <v>Sunday</v>
      </c>
      <c r="AQ585" s="23" t="str" cm="1">
        <f t="array" ref="AQ5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5" s="61">
        <f>AVERAGE(cadangan[[#This Row],[Rating A]],cadangan[[#This Row],[Rating B]],cadangan[[#This Row],[Rating C]])</f>
        <v>3.3333333333333335</v>
      </c>
    </row>
    <row r="586" spans="1:44" x14ac:dyDescent="0.2">
      <c r="A586" s="20">
        <v>585</v>
      </c>
      <c r="B586" s="21" t="str">
        <f>_xlfn.CONCAT("ORD-",INDEX(Helper!$B$2:$B$5,MATCH(cadangan[[#This Row],[Marketplace]],Helper!$A$2:$A$5,0)),TEXT(cadangan[[#This Row],[No]],"0000"),"-",TEXT(cadangan[[#This Row],[Tanggal terjual]],"dd/mm/yy"))</f>
        <v>ORD-TK0585-24/04/23</v>
      </c>
      <c r="C586" s="39" t="s">
        <v>63</v>
      </c>
      <c r="D586" s="39" t="str">
        <f>IFERROR(INDEX(Katalog!$A$3:$A$12,MATCH(cadangan[[#This Row],[ItemID A]],Katalog!$C$3:$C$12,0)),"-")</f>
        <v>Pakaian Pria</v>
      </c>
      <c r="E586" s="39" t="str">
        <f>IFERROR(INDEX(Katalog!$B$3:$B$12,MATCH(cadangan[[#This Row],[ItemID A]],Katalog!$C$3:$C$12,0)),"-")</f>
        <v>Jaket Jeans</v>
      </c>
      <c r="F586" s="50">
        <v>1</v>
      </c>
      <c r="G586" s="50">
        <v>3</v>
      </c>
      <c r="H586" s="73">
        <f>IFERROR(INDEX(Katalog!$D$3:$D$12,MATCH(cadangan[[#This Row],[ItemID A]],Katalog!$C$3:$C$12,0))*cadangan[[#This Row],[Qty A]],0)</f>
        <v>400000</v>
      </c>
      <c r="I586" s="73">
        <f>IFERROR(cadangan[[#This Row],[Harga Normal A]]-(cadangan[[#This Row],[Harga Normal A]]*cadangan[[#This Row],[Diskon]]),cadangan[[#This Row],[Harga Normal A]])</f>
        <v>360000</v>
      </c>
      <c r="J586" s="73">
        <f>INDEX(Katalog!$F$3:$F$12,MATCH(cadangan[[#This Row],[ItemID A]],Katalog!$C$3:$C$12,0))*cadangan[[#This Row],[Qty A]]</f>
        <v>150000</v>
      </c>
      <c r="K586" s="73">
        <f>IFERROR(cadangan[[#This Row],[Harga Diskon A]]-INDEX(Katalog!$E$3:$E$12,MATCH(cadangan[[#This Row],[ItemID A]],Katalog!$C$3:$C$12,0))*cadangan[[#This Row],[Qty A]],0)</f>
        <v>110000</v>
      </c>
      <c r="M586" s="39" t="str">
        <f>IFERROR(INDEX(Katalog!$A$3:$A$12,MATCH(cadangan[[#This Row],[ItemID B]],Katalog!$C$3:$C$12,0)),"-")</f>
        <v>-</v>
      </c>
      <c r="N586" s="39" t="str">
        <f>IFERROR(INDEX(Katalog!$B$3:$B$12,MATCH(cadangan[[#This Row],[ItemID B]],Katalog!$C$3:$C$12,0)),"-")</f>
        <v>-</v>
      </c>
      <c r="Q586" s="73">
        <f>IFERROR(INDEX(Katalog!$D$3:$D$12,MATCH(cadangan[[#This Row],[ItemID B]],Katalog!$C$3:$C$12,0))*cadangan[[#This Row],[Qty B]],0)</f>
        <v>0</v>
      </c>
      <c r="R586" s="73">
        <f>IFERROR(cadangan[[#This Row],[Harga Normal B]]-(cadangan[[#This Row],[Harga Normal B]]*cadangan[[#This Row],[Diskon]]),cadangan[[#This Row],[Harga Normal B]])</f>
        <v>0</v>
      </c>
      <c r="S586" s="73">
        <f>IFERROR(INDEX(Katalog!$F$3:$F$12,MATCH(cadangan[[#This Row],[ItemID B]],Katalog!$C$3:$C$12,0))*cadangan[[#This Row],[Qty B]],0)</f>
        <v>0</v>
      </c>
      <c r="T586" s="73">
        <f>IFERROR(cadangan[[#This Row],[Harga Diskon B]]-INDEX(Katalog!$E$3:$E$12,MATCH(cadangan[[#This Row],[ItemID B]],Katalog!$C$3:$C$12,0))*cadangan[[#This Row],[Qty B]],0)</f>
        <v>0</v>
      </c>
      <c r="V586" s="39" t="str">
        <f>IFERROR(INDEX(Katalog!$A$3:$A$12,MATCH(cadangan[[#This Row],[ItemID C]],Katalog!$C$3:$C$12,0)),"-")</f>
        <v>-</v>
      </c>
      <c r="W586" s="39" t="str">
        <f>IFERROR(INDEX(Katalog!$B$3:$B$12,MATCH(cadangan[[#This Row],[ItemID C]],Katalog!$C$3:$C$12,0)),"-")</f>
        <v>-</v>
      </c>
      <c r="Z586" s="73">
        <f>IFERROR(INDEX(Katalog!$D$3:$D$12,MATCH(cadangan[[#This Row],[ItemID C]],Katalog!$C$3:$C$12,0))*cadangan[[#This Row],[Qty C]],0)</f>
        <v>0</v>
      </c>
      <c r="AA586" s="73">
        <f>IFERROR(cadangan[[#This Row],[Harga Normal C]]-(cadangan[[#This Row],[Harga Normal C]]*cadangan[[#This Row],[Diskon]]),cadangan[[#This Row],[Harga Normal C]])</f>
        <v>0</v>
      </c>
      <c r="AB586" s="73">
        <f>IFERROR(INDEX(Katalog!$F$3:$F$12,MATCH(cadangan[[#This Row],[ItemID C]],Katalog!$C$3:$C$12,0))*cadangan[[#This Row],[Qty C]],0)</f>
        <v>0</v>
      </c>
      <c r="AC586" s="73">
        <f>IFERROR(cadangan[[#This Row],[Harga Diskon C]]-INDEX(Katalog!$E$3:$E$12,MATCH(cadangan[[#This Row],[ItemID C]],Katalog!$C$3:$C$12,0))*cadangan[[#This Row],[Qty C]],0)</f>
        <v>0</v>
      </c>
      <c r="AD586" s="53">
        <f>cadangan[[#This Row],[Qty A]]+cadangan[[#This Row],[Qty B]]+cadangan[[#This Row],[Qty C]]</f>
        <v>1</v>
      </c>
      <c r="AE586" s="73">
        <f>cadangan[[#This Row],[Harga Normal A]]+cadangan[[#This Row],[Harga Normal B]]+cadangan[[#This Row],[Harga Normal C]]</f>
        <v>400000</v>
      </c>
      <c r="AF586" s="73">
        <f>cadangan[[#This Row],[Harga Diskon A]]+cadangan[[#This Row],[Harga Diskon B]]+cadangan[[#This Row],[Harga Diskon C]]</f>
        <v>360000</v>
      </c>
      <c r="AG586" s="73">
        <f>(cadangan[[#This Row],[Profit Normal A]]+cadangan[[#This Row],[Profit Normal B]]+cadangan[[#This Row],[Profit Normal C]])</f>
        <v>150000</v>
      </c>
      <c r="AH586" s="73">
        <f>cadangan[[#This Row],[Profit Diskon A]]+cadangan[[#This Row],[Profit Diskon B]]+cadangan[[#This Row],[Profit Diskon C]]</f>
        <v>110000</v>
      </c>
      <c r="AI586" s="23" t="s">
        <v>31</v>
      </c>
      <c r="AJ586" s="37">
        <f>IFERROR(INDEX('Kode Diskon'!$D$3:$D$9,MATCH(cadangan[[#This Row],[Kode diskon]],'Kode Diskon'!$C$3:$C$9,0)),"-")</f>
        <v>0.1</v>
      </c>
      <c r="AK586" s="23" t="s">
        <v>9</v>
      </c>
      <c r="AL586" s="23" t="s">
        <v>10</v>
      </c>
      <c r="AM586" s="23" t="s">
        <v>76</v>
      </c>
      <c r="AN586" s="55">
        <v>45040</v>
      </c>
      <c r="AO586" s="53">
        <f>DAY(cadangan[[#This Row],[Tanggal terjual]])</f>
        <v>24</v>
      </c>
      <c r="AP586" s="21" t="str">
        <f>TEXT(cadangan[[#This Row],[Tanggal terjual]],"dddd")</f>
        <v>Monday</v>
      </c>
      <c r="AQ586" s="23" t="str" cm="1">
        <f t="array" ref="AQ5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86" s="61">
        <f>AVERAGE(cadangan[[#This Row],[Rating A]],cadangan[[#This Row],[Rating B]],cadangan[[#This Row],[Rating C]])</f>
        <v>3</v>
      </c>
    </row>
    <row r="587" spans="1:44" x14ac:dyDescent="0.2">
      <c r="A587" s="20">
        <v>586</v>
      </c>
      <c r="B587" s="21" t="str">
        <f>_xlfn.CONCAT("ORD-",INDEX(Helper!$B$2:$B$5,MATCH(cadangan[[#This Row],[Marketplace]],Helper!$A$2:$A$5,0)),TEXT(cadangan[[#This Row],[No]],"0000"),"-",TEXT(cadangan[[#This Row],[Tanggal terjual]],"dd/mm/yy"))</f>
        <v>ORD-SP0586-04/04/23</v>
      </c>
      <c r="C587" s="39" t="s">
        <v>60</v>
      </c>
      <c r="D587" s="39" t="str">
        <f>IFERROR(INDEX(Katalog!$A$3:$A$12,MATCH(cadangan[[#This Row],[ItemID A]],Katalog!$C$3:$C$12,0)),"-")</f>
        <v>Pakaian Wanita</v>
      </c>
      <c r="E587" s="39" t="str">
        <f>IFERROR(INDEX(Katalog!$B$3:$B$12,MATCH(cadangan[[#This Row],[ItemID A]],Katalog!$C$3:$C$12,0)),"-")</f>
        <v>Kaftan</v>
      </c>
      <c r="F587" s="50">
        <v>3</v>
      </c>
      <c r="G587" s="50">
        <v>4</v>
      </c>
      <c r="H587" s="73">
        <f>IFERROR(INDEX(Katalog!$D$3:$D$12,MATCH(cadangan[[#This Row],[ItemID A]],Katalog!$C$3:$C$12,0))*cadangan[[#This Row],[Qty A]],0)</f>
        <v>750000</v>
      </c>
      <c r="I587" s="73">
        <f>IFERROR(cadangan[[#This Row],[Harga Normal A]]-(cadangan[[#This Row],[Harga Normal A]]*cadangan[[#This Row],[Diskon]]),cadangan[[#This Row],[Harga Normal A]])</f>
        <v>675000</v>
      </c>
      <c r="J587" s="73">
        <f>INDEX(Katalog!$F$3:$F$12,MATCH(cadangan[[#This Row],[ItemID A]],Katalog!$C$3:$C$12,0))*cadangan[[#This Row],[Qty A]]</f>
        <v>300000</v>
      </c>
      <c r="K587" s="73">
        <f>IFERROR(cadangan[[#This Row],[Harga Diskon A]]-INDEX(Katalog!$E$3:$E$12,MATCH(cadangan[[#This Row],[ItemID A]],Katalog!$C$3:$C$12,0))*cadangan[[#This Row],[Qty A]],0)</f>
        <v>225000</v>
      </c>
      <c r="L587" s="39" t="s">
        <v>59</v>
      </c>
      <c r="M587" s="39" t="str">
        <f>IFERROR(INDEX(Katalog!$A$3:$A$12,MATCH(cadangan[[#This Row],[ItemID B]],Katalog!$C$3:$C$12,0)),"-")</f>
        <v>Pakaian Wanita</v>
      </c>
      <c r="N587" s="39" t="str">
        <f>IFERROR(INDEX(Katalog!$B$3:$B$12,MATCH(cadangan[[#This Row],[ItemID B]],Katalog!$C$3:$C$12,0)),"-")</f>
        <v>Blouse</v>
      </c>
      <c r="O587" s="50">
        <v>4</v>
      </c>
      <c r="P587" s="50">
        <v>3</v>
      </c>
      <c r="Q587" s="73">
        <f>IFERROR(INDEX(Katalog!$D$3:$D$12,MATCH(cadangan[[#This Row],[ItemID B]],Katalog!$C$3:$C$12,0))*cadangan[[#This Row],[Qty B]],0)</f>
        <v>600000</v>
      </c>
      <c r="R587" s="73">
        <f>IFERROR(cadangan[[#This Row],[Harga Normal B]]-(cadangan[[#This Row],[Harga Normal B]]*cadangan[[#This Row],[Diskon]]),cadangan[[#This Row],[Harga Normal B]])</f>
        <v>540000</v>
      </c>
      <c r="S587" s="73">
        <f>IFERROR(INDEX(Katalog!$F$3:$F$12,MATCH(cadangan[[#This Row],[ItemID B]],Katalog!$C$3:$C$12,0))*cadangan[[#This Row],[Qty B]],0)</f>
        <v>200000</v>
      </c>
      <c r="T587" s="73">
        <f>IFERROR(cadangan[[#This Row],[Harga Diskon B]]-INDEX(Katalog!$E$3:$E$12,MATCH(cadangan[[#This Row],[ItemID B]],Katalog!$C$3:$C$12,0))*cadangan[[#This Row],[Qty B]],0)</f>
        <v>140000</v>
      </c>
      <c r="V587" s="39" t="str">
        <f>IFERROR(INDEX(Katalog!$A$3:$A$12,MATCH(cadangan[[#This Row],[ItemID C]],Katalog!$C$3:$C$12,0)),"-")</f>
        <v>-</v>
      </c>
      <c r="W587" s="39" t="str">
        <f>IFERROR(INDEX(Katalog!$B$3:$B$12,MATCH(cadangan[[#This Row],[ItemID C]],Katalog!$C$3:$C$12,0)),"-")</f>
        <v>-</v>
      </c>
      <c r="Z587" s="73">
        <f>IFERROR(INDEX(Katalog!$D$3:$D$12,MATCH(cadangan[[#This Row],[ItemID C]],Katalog!$C$3:$C$12,0))*cadangan[[#This Row],[Qty C]],0)</f>
        <v>0</v>
      </c>
      <c r="AA587" s="73">
        <f>IFERROR(cadangan[[#This Row],[Harga Normal C]]-(cadangan[[#This Row],[Harga Normal C]]*cadangan[[#This Row],[Diskon]]),cadangan[[#This Row],[Harga Normal C]])</f>
        <v>0</v>
      </c>
      <c r="AB587" s="73">
        <f>IFERROR(INDEX(Katalog!$F$3:$F$12,MATCH(cadangan[[#This Row],[ItemID C]],Katalog!$C$3:$C$12,0))*cadangan[[#This Row],[Qty C]],0)</f>
        <v>0</v>
      </c>
      <c r="AC587" s="73">
        <f>IFERROR(cadangan[[#This Row],[Harga Diskon C]]-INDEX(Katalog!$E$3:$E$12,MATCH(cadangan[[#This Row],[ItemID C]],Katalog!$C$3:$C$12,0))*cadangan[[#This Row],[Qty C]],0)</f>
        <v>0</v>
      </c>
      <c r="AD587" s="53">
        <f>cadangan[[#This Row],[Qty A]]+cadangan[[#This Row],[Qty B]]+cadangan[[#This Row],[Qty C]]</f>
        <v>7</v>
      </c>
      <c r="AE587" s="73">
        <f>cadangan[[#This Row],[Harga Normal A]]+cadangan[[#This Row],[Harga Normal B]]+cadangan[[#This Row],[Harga Normal C]]</f>
        <v>1350000</v>
      </c>
      <c r="AF587" s="73">
        <f>cadangan[[#This Row],[Harga Diskon A]]+cadangan[[#This Row],[Harga Diskon B]]+cadangan[[#This Row],[Harga Diskon C]]</f>
        <v>1215000</v>
      </c>
      <c r="AG587" s="73">
        <f>(cadangan[[#This Row],[Profit Normal A]]+cadangan[[#This Row],[Profit Normal B]]+cadangan[[#This Row],[Profit Normal C]])</f>
        <v>500000</v>
      </c>
      <c r="AH587" s="73">
        <f>cadangan[[#This Row],[Profit Diskon A]]+cadangan[[#This Row],[Profit Diskon B]]+cadangan[[#This Row],[Profit Diskon C]]</f>
        <v>365000</v>
      </c>
      <c r="AI587" s="23" t="s">
        <v>6</v>
      </c>
      <c r="AJ587" s="37">
        <f>IFERROR(INDEX('Kode Diskon'!$D$3:$D$9,MATCH(cadangan[[#This Row],[Kode diskon]],'Kode Diskon'!$C$3:$C$9,0)),"-")</f>
        <v>0.1</v>
      </c>
      <c r="AK587" s="23" t="s">
        <v>29</v>
      </c>
      <c r="AL587" s="23" t="s">
        <v>7</v>
      </c>
      <c r="AM587" s="23" t="s">
        <v>80</v>
      </c>
      <c r="AN587" s="55">
        <v>45020</v>
      </c>
      <c r="AO587" s="53">
        <f>DAY(cadangan[[#This Row],[Tanggal terjual]])</f>
        <v>4</v>
      </c>
      <c r="AP587" s="21" t="str">
        <f>TEXT(cadangan[[#This Row],[Tanggal terjual]],"dddd")</f>
        <v>Tuesday</v>
      </c>
      <c r="AQ587" s="23" t="str" cm="1">
        <f t="array" ref="AQ5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7" s="61">
        <f>AVERAGE(cadangan[[#This Row],[Rating A]],cadangan[[#This Row],[Rating B]],cadangan[[#This Row],[Rating C]])</f>
        <v>3.5</v>
      </c>
    </row>
    <row r="588" spans="1:44" x14ac:dyDescent="0.2">
      <c r="A588" s="20">
        <v>587</v>
      </c>
      <c r="B588" s="21" t="str">
        <f>_xlfn.CONCAT("ORD-",INDEX(Helper!$B$2:$B$5,MATCH(cadangan[[#This Row],[Marketplace]],Helper!$A$2:$A$5,0)),TEXT(cadangan[[#This Row],[No]],"0000"),"-",TEXT(cadangan[[#This Row],[Tanggal terjual]],"dd/mm/yy"))</f>
        <v>ORD-SP0587-05/04/23</v>
      </c>
      <c r="C588" s="39" t="s">
        <v>60</v>
      </c>
      <c r="D588" s="39" t="str">
        <f>IFERROR(INDEX(Katalog!$A$3:$A$12,MATCH(cadangan[[#This Row],[ItemID A]],Katalog!$C$3:$C$12,0)),"-")</f>
        <v>Pakaian Wanita</v>
      </c>
      <c r="E588" s="39" t="str">
        <f>IFERROR(INDEX(Katalog!$B$3:$B$12,MATCH(cadangan[[#This Row],[ItemID A]],Katalog!$C$3:$C$12,0)),"-")</f>
        <v>Kaftan</v>
      </c>
      <c r="F588" s="50">
        <v>1</v>
      </c>
      <c r="G588" s="50">
        <v>3</v>
      </c>
      <c r="H588" s="73">
        <f>IFERROR(INDEX(Katalog!$D$3:$D$12,MATCH(cadangan[[#This Row],[ItemID A]],Katalog!$C$3:$C$12,0))*cadangan[[#This Row],[Qty A]],0)</f>
        <v>250000</v>
      </c>
      <c r="I588" s="73">
        <f>IFERROR(cadangan[[#This Row],[Harga Normal A]]-(cadangan[[#This Row],[Harga Normal A]]*cadangan[[#This Row],[Diskon]]),cadangan[[#This Row],[Harga Normal A]])</f>
        <v>225000</v>
      </c>
      <c r="J588" s="73">
        <f>INDEX(Katalog!$F$3:$F$12,MATCH(cadangan[[#This Row],[ItemID A]],Katalog!$C$3:$C$12,0))*cadangan[[#This Row],[Qty A]]</f>
        <v>100000</v>
      </c>
      <c r="K588" s="73">
        <f>IFERROR(cadangan[[#This Row],[Harga Diskon A]]-INDEX(Katalog!$E$3:$E$12,MATCH(cadangan[[#This Row],[ItemID A]],Katalog!$C$3:$C$12,0))*cadangan[[#This Row],[Qty A]],0)</f>
        <v>75000</v>
      </c>
      <c r="M588" s="39" t="str">
        <f>IFERROR(INDEX(Katalog!$A$3:$A$12,MATCH(cadangan[[#This Row],[ItemID B]],Katalog!$C$3:$C$12,0)),"-")</f>
        <v>-</v>
      </c>
      <c r="N588" s="39" t="str">
        <f>IFERROR(INDEX(Katalog!$B$3:$B$12,MATCH(cadangan[[#This Row],[ItemID B]],Katalog!$C$3:$C$12,0)),"-")</f>
        <v>-</v>
      </c>
      <c r="Q588" s="73">
        <f>IFERROR(INDEX(Katalog!$D$3:$D$12,MATCH(cadangan[[#This Row],[ItemID B]],Katalog!$C$3:$C$12,0))*cadangan[[#This Row],[Qty B]],0)</f>
        <v>0</v>
      </c>
      <c r="R588" s="73">
        <f>IFERROR(cadangan[[#This Row],[Harga Normal B]]-(cadangan[[#This Row],[Harga Normal B]]*cadangan[[#This Row],[Diskon]]),cadangan[[#This Row],[Harga Normal B]])</f>
        <v>0</v>
      </c>
      <c r="S588" s="73">
        <f>IFERROR(INDEX(Katalog!$F$3:$F$12,MATCH(cadangan[[#This Row],[ItemID B]],Katalog!$C$3:$C$12,0))*cadangan[[#This Row],[Qty B]],0)</f>
        <v>0</v>
      </c>
      <c r="T588" s="73">
        <f>IFERROR(cadangan[[#This Row],[Harga Diskon B]]-INDEX(Katalog!$E$3:$E$12,MATCH(cadangan[[#This Row],[ItemID B]],Katalog!$C$3:$C$12,0))*cadangan[[#This Row],[Qty B]],0)</f>
        <v>0</v>
      </c>
      <c r="V588" s="39" t="str">
        <f>IFERROR(INDEX(Katalog!$A$3:$A$12,MATCH(cadangan[[#This Row],[ItemID C]],Katalog!$C$3:$C$12,0)),"-")</f>
        <v>-</v>
      </c>
      <c r="W588" s="39" t="str">
        <f>IFERROR(INDEX(Katalog!$B$3:$B$12,MATCH(cadangan[[#This Row],[ItemID C]],Katalog!$C$3:$C$12,0)),"-")</f>
        <v>-</v>
      </c>
      <c r="Z588" s="73">
        <f>IFERROR(INDEX(Katalog!$D$3:$D$12,MATCH(cadangan[[#This Row],[ItemID C]],Katalog!$C$3:$C$12,0))*cadangan[[#This Row],[Qty C]],0)</f>
        <v>0</v>
      </c>
      <c r="AA588" s="73">
        <f>IFERROR(cadangan[[#This Row],[Harga Normal C]]-(cadangan[[#This Row],[Harga Normal C]]*cadangan[[#This Row],[Diskon]]),cadangan[[#This Row],[Harga Normal C]])</f>
        <v>0</v>
      </c>
      <c r="AB588" s="73">
        <f>IFERROR(INDEX(Katalog!$F$3:$F$12,MATCH(cadangan[[#This Row],[ItemID C]],Katalog!$C$3:$C$12,0))*cadangan[[#This Row],[Qty C]],0)</f>
        <v>0</v>
      </c>
      <c r="AC588" s="73">
        <f>IFERROR(cadangan[[#This Row],[Harga Diskon C]]-INDEX(Katalog!$E$3:$E$12,MATCH(cadangan[[#This Row],[ItemID C]],Katalog!$C$3:$C$12,0))*cadangan[[#This Row],[Qty C]],0)</f>
        <v>0</v>
      </c>
      <c r="AD588" s="53">
        <f>cadangan[[#This Row],[Qty A]]+cadangan[[#This Row],[Qty B]]+cadangan[[#This Row],[Qty C]]</f>
        <v>1</v>
      </c>
      <c r="AE588" s="73">
        <f>cadangan[[#This Row],[Harga Normal A]]+cadangan[[#This Row],[Harga Normal B]]+cadangan[[#This Row],[Harga Normal C]]</f>
        <v>250000</v>
      </c>
      <c r="AF588" s="73">
        <f>cadangan[[#This Row],[Harga Diskon A]]+cadangan[[#This Row],[Harga Diskon B]]+cadangan[[#This Row],[Harga Diskon C]]</f>
        <v>225000</v>
      </c>
      <c r="AG588" s="73">
        <f>(cadangan[[#This Row],[Profit Normal A]]+cadangan[[#This Row],[Profit Normal B]]+cadangan[[#This Row],[Profit Normal C]])</f>
        <v>100000</v>
      </c>
      <c r="AH588" s="73">
        <f>cadangan[[#This Row],[Profit Diskon A]]+cadangan[[#This Row],[Profit Diskon B]]+cadangan[[#This Row],[Profit Diskon C]]</f>
        <v>75000</v>
      </c>
      <c r="AI588" s="23" t="s">
        <v>6</v>
      </c>
      <c r="AJ588" s="37">
        <f>IFERROR(INDEX('Kode Diskon'!$D$3:$D$9,MATCH(cadangan[[#This Row],[Kode diskon]],'Kode Diskon'!$C$3:$C$9,0)),"-")</f>
        <v>0.1</v>
      </c>
      <c r="AK588" s="23" t="s">
        <v>29</v>
      </c>
      <c r="AL588" s="23" t="s">
        <v>7</v>
      </c>
      <c r="AM588" s="23" t="s">
        <v>77</v>
      </c>
      <c r="AN588" s="55">
        <v>45021</v>
      </c>
      <c r="AO588" s="53">
        <f>DAY(cadangan[[#This Row],[Tanggal terjual]])</f>
        <v>5</v>
      </c>
      <c r="AP588" s="21" t="str">
        <f>TEXT(cadangan[[#This Row],[Tanggal terjual]],"dddd")</f>
        <v>Wednesday</v>
      </c>
      <c r="AQ588" s="23" t="str" cm="1">
        <f t="array" ref="AQ5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8" s="61">
        <f>AVERAGE(cadangan[[#This Row],[Rating A]],cadangan[[#This Row],[Rating B]],cadangan[[#This Row],[Rating C]])</f>
        <v>3</v>
      </c>
    </row>
    <row r="589" spans="1:44" x14ac:dyDescent="0.2">
      <c r="A589" s="20">
        <v>588</v>
      </c>
      <c r="B589" s="21" t="str">
        <f>_xlfn.CONCAT("ORD-",INDEX(Helper!$B$2:$B$5,MATCH(cadangan[[#This Row],[Marketplace]],Helper!$A$2:$A$5,0)),TEXT(cadangan[[#This Row],[No]],"0000"),"-",TEXT(cadangan[[#This Row],[Tanggal terjual]],"dd/mm/yy"))</f>
        <v>ORD-BB0588-06/04/23</v>
      </c>
      <c r="C589" s="39" t="s">
        <v>67</v>
      </c>
      <c r="D589" s="39" t="str">
        <f>IFERROR(INDEX(Katalog!$A$3:$A$12,MATCH(cadangan[[#This Row],[ItemID A]],Katalog!$C$3:$C$12,0)),"-")</f>
        <v>Sepatu Wanita</v>
      </c>
      <c r="E589" s="39" t="str">
        <f>IFERROR(INDEX(Katalog!$B$3:$B$12,MATCH(cadangan[[#This Row],[ItemID A]],Katalog!$C$3:$C$12,0)),"-")</f>
        <v>Flat Shoes</v>
      </c>
      <c r="F589" s="50">
        <v>4</v>
      </c>
      <c r="G589" s="50">
        <v>4</v>
      </c>
      <c r="H589" s="73">
        <f>IFERROR(INDEX(Katalog!$D$3:$D$12,MATCH(cadangan[[#This Row],[ItemID A]],Katalog!$C$3:$C$12,0))*cadangan[[#This Row],[Qty A]],0)</f>
        <v>1000000</v>
      </c>
      <c r="I589" s="73">
        <f>IFERROR(cadangan[[#This Row],[Harga Normal A]]-(cadangan[[#This Row],[Harga Normal A]]*cadangan[[#This Row],[Diskon]]),cadangan[[#This Row],[Harga Normal A]])</f>
        <v>850000</v>
      </c>
      <c r="J589" s="73">
        <f>INDEX(Katalog!$F$3:$F$12,MATCH(cadangan[[#This Row],[ItemID A]],Katalog!$C$3:$C$12,0))*cadangan[[#This Row],[Qty A]]</f>
        <v>400000</v>
      </c>
      <c r="K589" s="73">
        <f>IFERROR(cadangan[[#This Row],[Harga Diskon A]]-INDEX(Katalog!$E$3:$E$12,MATCH(cadangan[[#This Row],[ItemID A]],Katalog!$C$3:$C$12,0))*cadangan[[#This Row],[Qty A]],0)</f>
        <v>250000</v>
      </c>
      <c r="M589" s="39" t="str">
        <f>IFERROR(INDEX(Katalog!$A$3:$A$12,MATCH(cadangan[[#This Row],[ItemID B]],Katalog!$C$3:$C$12,0)),"-")</f>
        <v>-</v>
      </c>
      <c r="N589" s="39" t="str">
        <f>IFERROR(INDEX(Katalog!$B$3:$B$12,MATCH(cadangan[[#This Row],[ItemID B]],Katalog!$C$3:$C$12,0)),"-")</f>
        <v>-</v>
      </c>
      <c r="Q589" s="73">
        <f>IFERROR(INDEX(Katalog!$D$3:$D$12,MATCH(cadangan[[#This Row],[ItemID B]],Katalog!$C$3:$C$12,0))*cadangan[[#This Row],[Qty B]],0)</f>
        <v>0</v>
      </c>
      <c r="R589" s="73">
        <f>IFERROR(cadangan[[#This Row],[Harga Normal B]]-(cadangan[[#This Row],[Harga Normal B]]*cadangan[[#This Row],[Diskon]]),cadangan[[#This Row],[Harga Normal B]])</f>
        <v>0</v>
      </c>
      <c r="S589" s="73">
        <f>IFERROR(INDEX(Katalog!$F$3:$F$12,MATCH(cadangan[[#This Row],[ItemID B]],Katalog!$C$3:$C$12,0))*cadangan[[#This Row],[Qty B]],0)</f>
        <v>0</v>
      </c>
      <c r="T589" s="73">
        <f>IFERROR(cadangan[[#This Row],[Harga Diskon B]]-INDEX(Katalog!$E$3:$E$12,MATCH(cadangan[[#This Row],[ItemID B]],Katalog!$C$3:$C$12,0))*cadangan[[#This Row],[Qty B]],0)</f>
        <v>0</v>
      </c>
      <c r="V589" s="39" t="str">
        <f>IFERROR(INDEX(Katalog!$A$3:$A$12,MATCH(cadangan[[#This Row],[ItemID C]],Katalog!$C$3:$C$12,0)),"-")</f>
        <v>-</v>
      </c>
      <c r="W589" s="39" t="str">
        <f>IFERROR(INDEX(Katalog!$B$3:$B$12,MATCH(cadangan[[#This Row],[ItemID C]],Katalog!$C$3:$C$12,0)),"-")</f>
        <v>-</v>
      </c>
      <c r="Z589" s="73">
        <f>IFERROR(INDEX(Katalog!$D$3:$D$12,MATCH(cadangan[[#This Row],[ItemID C]],Katalog!$C$3:$C$12,0))*cadangan[[#This Row],[Qty C]],0)</f>
        <v>0</v>
      </c>
      <c r="AA589" s="73">
        <f>IFERROR(cadangan[[#This Row],[Harga Normal C]]-(cadangan[[#This Row],[Harga Normal C]]*cadangan[[#This Row],[Diskon]]),cadangan[[#This Row],[Harga Normal C]])</f>
        <v>0</v>
      </c>
      <c r="AB589" s="73">
        <f>IFERROR(INDEX(Katalog!$F$3:$F$12,MATCH(cadangan[[#This Row],[ItemID C]],Katalog!$C$3:$C$12,0))*cadangan[[#This Row],[Qty C]],0)</f>
        <v>0</v>
      </c>
      <c r="AC589" s="73">
        <f>IFERROR(cadangan[[#This Row],[Harga Diskon C]]-INDEX(Katalog!$E$3:$E$12,MATCH(cadangan[[#This Row],[ItemID C]],Katalog!$C$3:$C$12,0))*cadangan[[#This Row],[Qty C]],0)</f>
        <v>0</v>
      </c>
      <c r="AD589" s="53">
        <f>cadangan[[#This Row],[Qty A]]+cadangan[[#This Row],[Qty B]]+cadangan[[#This Row],[Qty C]]</f>
        <v>4</v>
      </c>
      <c r="AE589" s="73">
        <f>cadangan[[#This Row],[Harga Normal A]]+cadangan[[#This Row],[Harga Normal B]]+cadangan[[#This Row],[Harga Normal C]]</f>
        <v>1000000</v>
      </c>
      <c r="AF589" s="73">
        <f>cadangan[[#This Row],[Harga Diskon A]]+cadangan[[#This Row],[Harga Diskon B]]+cadangan[[#This Row],[Harga Diskon C]]</f>
        <v>850000</v>
      </c>
      <c r="AG589" s="73">
        <f>(cadangan[[#This Row],[Profit Normal A]]+cadangan[[#This Row],[Profit Normal B]]+cadangan[[#This Row],[Profit Normal C]])</f>
        <v>400000</v>
      </c>
      <c r="AH589" s="73">
        <f>cadangan[[#This Row],[Profit Diskon A]]+cadangan[[#This Row],[Profit Diskon B]]+cadangan[[#This Row],[Profit Diskon C]]</f>
        <v>250000</v>
      </c>
      <c r="AI589" s="23" t="s">
        <v>28</v>
      </c>
      <c r="AJ589" s="37">
        <f>IFERROR(INDEX('Kode Diskon'!$D$3:$D$9,MATCH(cadangan[[#This Row],[Kode diskon]],'Kode Diskon'!$C$3:$C$9,0)),"-")</f>
        <v>0.15</v>
      </c>
      <c r="AK589" s="23" t="s">
        <v>29</v>
      </c>
      <c r="AL589" s="23" t="s">
        <v>14</v>
      </c>
      <c r="AM589" s="23" t="s">
        <v>78</v>
      </c>
      <c r="AN589" s="55">
        <v>45022</v>
      </c>
      <c r="AO589" s="53">
        <f>DAY(cadangan[[#This Row],[Tanggal terjual]])</f>
        <v>6</v>
      </c>
      <c r="AP589" s="21" t="str">
        <f>TEXT(cadangan[[#This Row],[Tanggal terjual]],"dddd")</f>
        <v>Thursday</v>
      </c>
      <c r="AQ589" s="23" t="str" cm="1">
        <f t="array" ref="AQ5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89" s="61">
        <f>AVERAGE(cadangan[[#This Row],[Rating A]],cadangan[[#This Row],[Rating B]],cadangan[[#This Row],[Rating C]])</f>
        <v>4</v>
      </c>
    </row>
    <row r="590" spans="1:44" x14ac:dyDescent="0.2">
      <c r="A590" s="20">
        <v>589</v>
      </c>
      <c r="B590" s="21" t="str">
        <f>_xlfn.CONCAT("ORD-",INDEX(Helper!$B$2:$B$5,MATCH(cadangan[[#This Row],[Marketplace]],Helper!$A$2:$A$5,0)),TEXT(cadangan[[#This Row],[No]],"0000"),"-",TEXT(cadangan[[#This Row],[Tanggal terjual]],"dd/mm/yy"))</f>
        <v>ORD-SP0589-03/04/23</v>
      </c>
      <c r="C590" s="39" t="s">
        <v>63</v>
      </c>
      <c r="D590" s="39" t="str">
        <f>IFERROR(INDEX(Katalog!$A$3:$A$12,MATCH(cadangan[[#This Row],[ItemID A]],Katalog!$C$3:$C$12,0)),"-")</f>
        <v>Pakaian Pria</v>
      </c>
      <c r="E590" s="39" t="str">
        <f>IFERROR(INDEX(Katalog!$B$3:$B$12,MATCH(cadangan[[#This Row],[ItemID A]],Katalog!$C$3:$C$12,0)),"-")</f>
        <v>Jaket Jeans</v>
      </c>
      <c r="F590" s="50">
        <v>2</v>
      </c>
      <c r="G590" s="50">
        <v>4</v>
      </c>
      <c r="H590" s="73">
        <f>IFERROR(INDEX(Katalog!$D$3:$D$12,MATCH(cadangan[[#This Row],[ItemID A]],Katalog!$C$3:$C$12,0))*cadangan[[#This Row],[Qty A]],0)</f>
        <v>800000</v>
      </c>
      <c r="I590" s="73">
        <f>IFERROR(cadangan[[#This Row],[Harga Normal A]]-(cadangan[[#This Row],[Harga Normal A]]*cadangan[[#This Row],[Diskon]]),cadangan[[#This Row],[Harga Normal A]])</f>
        <v>720000</v>
      </c>
      <c r="J590" s="73">
        <f>INDEX(Katalog!$F$3:$F$12,MATCH(cadangan[[#This Row],[ItemID A]],Katalog!$C$3:$C$12,0))*cadangan[[#This Row],[Qty A]]</f>
        <v>300000</v>
      </c>
      <c r="K590" s="73">
        <f>IFERROR(cadangan[[#This Row],[Harga Diskon A]]-INDEX(Katalog!$E$3:$E$12,MATCH(cadangan[[#This Row],[ItemID A]],Katalog!$C$3:$C$12,0))*cadangan[[#This Row],[Qty A]],0)</f>
        <v>220000</v>
      </c>
      <c r="L590" s="39" t="s">
        <v>59</v>
      </c>
      <c r="M590" s="39" t="str">
        <f>IFERROR(INDEX(Katalog!$A$3:$A$12,MATCH(cadangan[[#This Row],[ItemID B]],Katalog!$C$3:$C$12,0)),"-")</f>
        <v>Pakaian Wanita</v>
      </c>
      <c r="N590" s="39" t="str">
        <f>IFERROR(INDEX(Katalog!$B$3:$B$12,MATCH(cadangan[[#This Row],[ItemID B]],Katalog!$C$3:$C$12,0)),"-")</f>
        <v>Blouse</v>
      </c>
      <c r="O590" s="50">
        <v>3</v>
      </c>
      <c r="P590" s="50">
        <v>3</v>
      </c>
      <c r="Q590" s="73">
        <f>IFERROR(INDEX(Katalog!$D$3:$D$12,MATCH(cadangan[[#This Row],[ItemID B]],Katalog!$C$3:$C$12,0))*cadangan[[#This Row],[Qty B]],0)</f>
        <v>450000</v>
      </c>
      <c r="R590" s="73">
        <f>IFERROR(cadangan[[#This Row],[Harga Normal B]]-(cadangan[[#This Row],[Harga Normal B]]*cadangan[[#This Row],[Diskon]]),cadangan[[#This Row],[Harga Normal B]])</f>
        <v>405000</v>
      </c>
      <c r="S590" s="73">
        <f>IFERROR(INDEX(Katalog!$F$3:$F$12,MATCH(cadangan[[#This Row],[ItemID B]],Katalog!$C$3:$C$12,0))*cadangan[[#This Row],[Qty B]],0)</f>
        <v>150000</v>
      </c>
      <c r="T590" s="73">
        <f>IFERROR(cadangan[[#This Row],[Harga Diskon B]]-INDEX(Katalog!$E$3:$E$12,MATCH(cadangan[[#This Row],[ItemID B]],Katalog!$C$3:$C$12,0))*cadangan[[#This Row],[Qty B]],0)</f>
        <v>105000</v>
      </c>
      <c r="V590" s="39" t="str">
        <f>IFERROR(INDEX(Katalog!$A$3:$A$12,MATCH(cadangan[[#This Row],[ItemID C]],Katalog!$C$3:$C$12,0)),"-")</f>
        <v>-</v>
      </c>
      <c r="W590" s="39" t="str">
        <f>IFERROR(INDEX(Katalog!$B$3:$B$12,MATCH(cadangan[[#This Row],[ItemID C]],Katalog!$C$3:$C$12,0)),"-")</f>
        <v>-</v>
      </c>
      <c r="Z590" s="73">
        <f>IFERROR(INDEX(Katalog!$D$3:$D$12,MATCH(cadangan[[#This Row],[ItemID C]],Katalog!$C$3:$C$12,0))*cadangan[[#This Row],[Qty C]],0)</f>
        <v>0</v>
      </c>
      <c r="AA590" s="73">
        <f>IFERROR(cadangan[[#This Row],[Harga Normal C]]-(cadangan[[#This Row],[Harga Normal C]]*cadangan[[#This Row],[Diskon]]),cadangan[[#This Row],[Harga Normal C]])</f>
        <v>0</v>
      </c>
      <c r="AB590" s="73">
        <f>IFERROR(INDEX(Katalog!$F$3:$F$12,MATCH(cadangan[[#This Row],[ItemID C]],Katalog!$C$3:$C$12,0))*cadangan[[#This Row],[Qty C]],0)</f>
        <v>0</v>
      </c>
      <c r="AC590" s="73">
        <f>IFERROR(cadangan[[#This Row],[Harga Diskon C]]-INDEX(Katalog!$E$3:$E$12,MATCH(cadangan[[#This Row],[ItemID C]],Katalog!$C$3:$C$12,0))*cadangan[[#This Row],[Qty C]],0)</f>
        <v>0</v>
      </c>
      <c r="AD590" s="53">
        <f>cadangan[[#This Row],[Qty A]]+cadangan[[#This Row],[Qty B]]+cadangan[[#This Row],[Qty C]]</f>
        <v>5</v>
      </c>
      <c r="AE590" s="73">
        <f>cadangan[[#This Row],[Harga Normal A]]+cadangan[[#This Row],[Harga Normal B]]+cadangan[[#This Row],[Harga Normal C]]</f>
        <v>1250000</v>
      </c>
      <c r="AF590" s="73">
        <f>cadangan[[#This Row],[Harga Diskon A]]+cadangan[[#This Row],[Harga Diskon B]]+cadangan[[#This Row],[Harga Diskon C]]</f>
        <v>1125000</v>
      </c>
      <c r="AG590" s="73">
        <f>(cadangan[[#This Row],[Profit Normal A]]+cadangan[[#This Row],[Profit Normal B]]+cadangan[[#This Row],[Profit Normal C]])</f>
        <v>450000</v>
      </c>
      <c r="AH590" s="73">
        <f>cadangan[[#This Row],[Profit Diskon A]]+cadangan[[#This Row],[Profit Diskon B]]+cadangan[[#This Row],[Profit Diskon C]]</f>
        <v>325000</v>
      </c>
      <c r="AI590" s="23" t="s">
        <v>6</v>
      </c>
      <c r="AJ590" s="37">
        <f>IFERROR(INDEX('Kode Diskon'!$D$3:$D$9,MATCH(cadangan[[#This Row],[Kode diskon]],'Kode Diskon'!$C$3:$C$9,0)),"-")</f>
        <v>0.1</v>
      </c>
      <c r="AK590" s="23" t="s">
        <v>29</v>
      </c>
      <c r="AL590" s="23" t="s">
        <v>7</v>
      </c>
      <c r="AM590" s="23" t="s">
        <v>76</v>
      </c>
      <c r="AN590" s="55">
        <v>45019</v>
      </c>
      <c r="AO590" s="53">
        <f>DAY(cadangan[[#This Row],[Tanggal terjual]])</f>
        <v>3</v>
      </c>
      <c r="AP590" s="21" t="str">
        <f>TEXT(cadangan[[#This Row],[Tanggal terjual]],"dddd")</f>
        <v>Monday</v>
      </c>
      <c r="AQ590" s="23" t="str" cm="1">
        <f t="array" ref="AQ5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90" s="61">
        <f>AVERAGE(cadangan[[#This Row],[Rating A]],cadangan[[#This Row],[Rating B]],cadangan[[#This Row],[Rating C]])</f>
        <v>3.5</v>
      </c>
    </row>
    <row r="591" spans="1:44" x14ac:dyDescent="0.2">
      <c r="A591" s="20">
        <v>590</v>
      </c>
      <c r="B591" s="21" t="str">
        <f>_xlfn.CONCAT("ORD-",INDEX(Helper!$B$2:$B$5,MATCH(cadangan[[#This Row],[Marketplace]],Helper!$A$2:$A$5,0)),TEXT(cadangan[[#This Row],[No]],"0000"),"-",TEXT(cadangan[[#This Row],[Tanggal terjual]],"dd/mm/yy"))</f>
        <v>ORD-SP0590-25/04/23</v>
      </c>
      <c r="C591" s="39" t="s">
        <v>62</v>
      </c>
      <c r="D591" s="39" t="str">
        <f>IFERROR(INDEX(Katalog!$A$3:$A$12,MATCH(cadangan[[#This Row],[ItemID A]],Katalog!$C$3:$C$12,0)),"-")</f>
        <v>Pakaian Pria</v>
      </c>
      <c r="E591" s="39" t="str">
        <f>IFERROR(INDEX(Katalog!$B$3:$B$12,MATCH(cadangan[[#This Row],[ItemID A]],Katalog!$C$3:$C$12,0)),"-")</f>
        <v>Celana Pendek</v>
      </c>
      <c r="F591" s="50">
        <v>1</v>
      </c>
      <c r="G591" s="50">
        <v>4</v>
      </c>
      <c r="H591" s="73">
        <f>IFERROR(INDEX(Katalog!$D$3:$D$12,MATCH(cadangan[[#This Row],[ItemID A]],Katalog!$C$3:$C$12,0))*cadangan[[#This Row],[Qty A]],0)</f>
        <v>180000</v>
      </c>
      <c r="I591" s="73">
        <f>IFERROR(cadangan[[#This Row],[Harga Normal A]]-(cadangan[[#This Row],[Harga Normal A]]*cadangan[[#This Row],[Diskon]]),cadangan[[#This Row],[Harga Normal A]])</f>
        <v>144000</v>
      </c>
      <c r="J591" s="73">
        <f>INDEX(Katalog!$F$3:$F$12,MATCH(cadangan[[#This Row],[ItemID A]],Katalog!$C$3:$C$12,0))*cadangan[[#This Row],[Qty A]]</f>
        <v>70000</v>
      </c>
      <c r="K591" s="73">
        <f>IFERROR(cadangan[[#This Row],[Harga Diskon A]]-INDEX(Katalog!$E$3:$E$12,MATCH(cadangan[[#This Row],[ItemID A]],Katalog!$C$3:$C$12,0))*cadangan[[#This Row],[Qty A]],0)</f>
        <v>34000</v>
      </c>
      <c r="L591" s="39" t="s">
        <v>65</v>
      </c>
      <c r="M591" s="39" t="str">
        <f>IFERROR(INDEX(Katalog!$A$3:$A$12,MATCH(cadangan[[#This Row],[ItemID B]],Katalog!$C$3:$C$12,0)),"-")</f>
        <v>Sepatu Pria</v>
      </c>
      <c r="N591" s="39" t="str">
        <f>IFERROR(INDEX(Katalog!$B$3:$B$12,MATCH(cadangan[[#This Row],[ItemID B]],Katalog!$C$3:$C$12,0)),"-")</f>
        <v>Sneakers</v>
      </c>
      <c r="O591" s="50">
        <v>2</v>
      </c>
      <c r="P591" s="50">
        <v>5</v>
      </c>
      <c r="Q591" s="73">
        <f>IFERROR(INDEX(Katalog!$D$3:$D$12,MATCH(cadangan[[#This Row],[ItemID B]],Katalog!$C$3:$C$12,0))*cadangan[[#This Row],[Qty B]],0)</f>
        <v>1000000</v>
      </c>
      <c r="R591" s="73">
        <f>IFERROR(cadangan[[#This Row],[Harga Normal B]]-(cadangan[[#This Row],[Harga Normal B]]*cadangan[[#This Row],[Diskon]]),cadangan[[#This Row],[Harga Normal B]])</f>
        <v>800000</v>
      </c>
      <c r="S591" s="73">
        <f>IFERROR(INDEX(Katalog!$F$3:$F$12,MATCH(cadangan[[#This Row],[ItemID B]],Katalog!$C$3:$C$12,0))*cadangan[[#This Row],[Qty B]],0)</f>
        <v>400000</v>
      </c>
      <c r="T591" s="73">
        <f>IFERROR(cadangan[[#This Row],[Harga Diskon B]]-INDEX(Katalog!$E$3:$E$12,MATCH(cadangan[[#This Row],[ItemID B]],Katalog!$C$3:$C$12,0))*cadangan[[#This Row],[Qty B]],0)</f>
        <v>200000</v>
      </c>
      <c r="U591" s="39" t="s">
        <v>66</v>
      </c>
      <c r="V591" s="39" t="str">
        <f>IFERROR(INDEX(Katalog!$A$3:$A$12,MATCH(cadangan[[#This Row],[ItemID C]],Katalog!$C$3:$C$12,0)),"-")</f>
        <v>Sepatu Pria</v>
      </c>
      <c r="W591" s="39" t="str">
        <f>IFERROR(INDEX(Katalog!$B$3:$B$12,MATCH(cadangan[[#This Row],[ItemID C]],Katalog!$C$3:$C$12,0)),"-")</f>
        <v>Sandal Slip On</v>
      </c>
      <c r="X591" s="50">
        <v>3</v>
      </c>
      <c r="Y591" s="50">
        <v>5</v>
      </c>
      <c r="Z591" s="73">
        <f>IFERROR(INDEX(Katalog!$D$3:$D$12,MATCH(cadangan[[#This Row],[ItemID C]],Katalog!$C$3:$C$12,0))*cadangan[[#This Row],[Qty C]],0)</f>
        <v>450000</v>
      </c>
      <c r="AA591" s="73">
        <f>IFERROR(cadangan[[#This Row],[Harga Normal C]]-(cadangan[[#This Row],[Harga Normal C]]*cadangan[[#This Row],[Diskon]]),cadangan[[#This Row],[Harga Normal C]])</f>
        <v>360000</v>
      </c>
      <c r="AB591" s="73">
        <f>IFERROR(INDEX(Katalog!$F$3:$F$12,MATCH(cadangan[[#This Row],[ItemID C]],Katalog!$C$3:$C$12,0))*cadangan[[#This Row],[Qty C]],0)</f>
        <v>180000</v>
      </c>
      <c r="AC591" s="73">
        <f>IFERROR(cadangan[[#This Row],[Harga Diskon C]]-INDEX(Katalog!$E$3:$E$12,MATCH(cadangan[[#This Row],[ItemID C]],Katalog!$C$3:$C$12,0))*cadangan[[#This Row],[Qty C]],0)</f>
        <v>90000</v>
      </c>
      <c r="AD591" s="53">
        <f>cadangan[[#This Row],[Qty A]]+cadangan[[#This Row],[Qty B]]+cadangan[[#This Row],[Qty C]]</f>
        <v>6</v>
      </c>
      <c r="AE591" s="73">
        <f>cadangan[[#This Row],[Harga Normal A]]+cadangan[[#This Row],[Harga Normal B]]+cadangan[[#This Row],[Harga Normal C]]</f>
        <v>1630000</v>
      </c>
      <c r="AF591" s="73">
        <f>cadangan[[#This Row],[Harga Diskon A]]+cadangan[[#This Row],[Harga Diskon B]]+cadangan[[#This Row],[Harga Diskon C]]</f>
        <v>1304000</v>
      </c>
      <c r="AG591" s="73">
        <f>(cadangan[[#This Row],[Profit Normal A]]+cadangan[[#This Row],[Profit Normal B]]+cadangan[[#This Row],[Profit Normal C]])</f>
        <v>650000</v>
      </c>
      <c r="AH591" s="73">
        <f>cadangan[[#This Row],[Profit Diskon A]]+cadangan[[#This Row],[Profit Diskon B]]+cadangan[[#This Row],[Profit Diskon C]]</f>
        <v>324000</v>
      </c>
      <c r="AI591" s="23" t="s">
        <v>8</v>
      </c>
      <c r="AJ591" s="37">
        <f>IFERROR(INDEX('Kode Diskon'!$D$3:$D$9,MATCH(cadangan[[#This Row],[Kode diskon]],'Kode Diskon'!$C$3:$C$9,0)),"-")</f>
        <v>0.2</v>
      </c>
      <c r="AK591" s="23" t="s">
        <v>9</v>
      </c>
      <c r="AL591" s="23" t="s">
        <v>7</v>
      </c>
      <c r="AM591" s="23" t="s">
        <v>75</v>
      </c>
      <c r="AN591" s="55">
        <v>45041</v>
      </c>
      <c r="AO591" s="53">
        <f>DAY(cadangan[[#This Row],[Tanggal terjual]])</f>
        <v>25</v>
      </c>
      <c r="AP591" s="21" t="str">
        <f>TEXT(cadangan[[#This Row],[Tanggal terjual]],"dddd")</f>
        <v>Tuesday</v>
      </c>
      <c r="AQ591" s="23" t="str" cm="1">
        <f t="array" ref="AQ5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91" s="61">
        <f>AVERAGE(cadangan[[#This Row],[Rating A]],cadangan[[#This Row],[Rating B]],cadangan[[#This Row],[Rating C]])</f>
        <v>4.666666666666667</v>
      </c>
    </row>
    <row r="592" spans="1:44" x14ac:dyDescent="0.2">
      <c r="A592" s="20">
        <v>591</v>
      </c>
      <c r="B592" s="21" t="str">
        <f>_xlfn.CONCAT("ORD-",INDEX(Helper!$B$2:$B$5,MATCH(cadangan[[#This Row],[Marketplace]],Helper!$A$2:$A$5,0)),TEXT(cadangan[[#This Row],[No]],"0000"),"-",TEXT(cadangan[[#This Row],[Tanggal terjual]],"dd/mm/yy"))</f>
        <v>ORD-BL0591-11/04/23</v>
      </c>
      <c r="C592" s="39" t="s">
        <v>67</v>
      </c>
      <c r="D592" s="39" t="str">
        <f>IFERROR(INDEX(Katalog!$A$3:$A$12,MATCH(cadangan[[#This Row],[ItemID A]],Katalog!$C$3:$C$12,0)),"-")</f>
        <v>Sepatu Wanita</v>
      </c>
      <c r="E592" s="39" t="str">
        <f>IFERROR(INDEX(Katalog!$B$3:$B$12,MATCH(cadangan[[#This Row],[ItemID A]],Katalog!$C$3:$C$12,0)),"-")</f>
        <v>Flat Shoes</v>
      </c>
      <c r="F592" s="50">
        <v>1</v>
      </c>
      <c r="G592" s="50">
        <v>4</v>
      </c>
      <c r="H592" s="73">
        <f>IFERROR(INDEX(Katalog!$D$3:$D$12,MATCH(cadangan[[#This Row],[ItemID A]],Katalog!$C$3:$C$12,0))*cadangan[[#This Row],[Qty A]],0)</f>
        <v>250000</v>
      </c>
      <c r="I592" s="73">
        <f>IFERROR(cadangan[[#This Row],[Harga Normal A]]-(cadangan[[#This Row],[Harga Normal A]]*cadangan[[#This Row],[Diskon]]),cadangan[[#This Row],[Harga Normal A]])</f>
        <v>250000</v>
      </c>
      <c r="J592" s="73">
        <f>INDEX(Katalog!$F$3:$F$12,MATCH(cadangan[[#This Row],[ItemID A]],Katalog!$C$3:$C$12,0))*cadangan[[#This Row],[Qty A]]</f>
        <v>100000</v>
      </c>
      <c r="K592" s="73">
        <f>IFERROR(cadangan[[#This Row],[Harga Diskon A]]-INDEX(Katalog!$E$3:$E$12,MATCH(cadangan[[#This Row],[ItemID A]],Katalog!$C$3:$C$12,0))*cadangan[[#This Row],[Qty A]],0)</f>
        <v>100000</v>
      </c>
      <c r="L592" s="39" t="s">
        <v>62</v>
      </c>
      <c r="M592" s="39" t="str">
        <f>IFERROR(INDEX(Katalog!$A$3:$A$12,MATCH(cadangan[[#This Row],[ItemID B]],Katalog!$C$3:$C$12,0)),"-")</f>
        <v>Pakaian Pria</v>
      </c>
      <c r="N592" s="39" t="str">
        <f>IFERROR(INDEX(Katalog!$B$3:$B$12,MATCH(cadangan[[#This Row],[ItemID B]],Katalog!$C$3:$C$12,0)),"-")</f>
        <v>Celana Pendek</v>
      </c>
      <c r="O592" s="50">
        <v>1</v>
      </c>
      <c r="P592" s="50">
        <v>4</v>
      </c>
      <c r="Q592" s="73">
        <f>IFERROR(INDEX(Katalog!$D$3:$D$12,MATCH(cadangan[[#This Row],[ItemID B]],Katalog!$C$3:$C$12,0))*cadangan[[#This Row],[Qty B]],0)</f>
        <v>180000</v>
      </c>
      <c r="R592" s="73">
        <f>IFERROR(cadangan[[#This Row],[Harga Normal B]]-(cadangan[[#This Row],[Harga Normal B]]*cadangan[[#This Row],[Diskon]]),cadangan[[#This Row],[Harga Normal B]])</f>
        <v>180000</v>
      </c>
      <c r="S592" s="73">
        <f>IFERROR(INDEX(Katalog!$F$3:$F$12,MATCH(cadangan[[#This Row],[ItemID B]],Katalog!$C$3:$C$12,0))*cadangan[[#This Row],[Qty B]],0)</f>
        <v>70000</v>
      </c>
      <c r="T592" s="73">
        <f>IFERROR(cadangan[[#This Row],[Harga Diskon B]]-INDEX(Katalog!$E$3:$E$12,MATCH(cadangan[[#This Row],[ItemID B]],Katalog!$C$3:$C$12,0))*cadangan[[#This Row],[Qty B]],0)</f>
        <v>70000</v>
      </c>
      <c r="V592" s="39" t="str">
        <f>IFERROR(INDEX(Katalog!$A$3:$A$12,MATCH(cadangan[[#This Row],[ItemID C]],Katalog!$C$3:$C$12,0)),"-")</f>
        <v>-</v>
      </c>
      <c r="W592" s="39" t="str">
        <f>IFERROR(INDEX(Katalog!$B$3:$B$12,MATCH(cadangan[[#This Row],[ItemID C]],Katalog!$C$3:$C$12,0)),"-")</f>
        <v>-</v>
      </c>
      <c r="Z592" s="73">
        <f>IFERROR(INDEX(Katalog!$D$3:$D$12,MATCH(cadangan[[#This Row],[ItemID C]],Katalog!$C$3:$C$12,0))*cadangan[[#This Row],[Qty C]],0)</f>
        <v>0</v>
      </c>
      <c r="AA592" s="73">
        <f>IFERROR(cadangan[[#This Row],[Harga Normal C]]-(cadangan[[#This Row],[Harga Normal C]]*cadangan[[#This Row],[Diskon]]),cadangan[[#This Row],[Harga Normal C]])</f>
        <v>0</v>
      </c>
      <c r="AB592" s="73">
        <f>IFERROR(INDEX(Katalog!$F$3:$F$12,MATCH(cadangan[[#This Row],[ItemID C]],Katalog!$C$3:$C$12,0))*cadangan[[#This Row],[Qty C]],0)</f>
        <v>0</v>
      </c>
      <c r="AC592" s="73">
        <f>IFERROR(cadangan[[#This Row],[Harga Diskon C]]-INDEX(Katalog!$E$3:$E$12,MATCH(cadangan[[#This Row],[ItemID C]],Katalog!$C$3:$C$12,0))*cadangan[[#This Row],[Qty C]],0)</f>
        <v>0</v>
      </c>
      <c r="AD592" s="53">
        <f>cadangan[[#This Row],[Qty A]]+cadangan[[#This Row],[Qty B]]+cadangan[[#This Row],[Qty C]]</f>
        <v>2</v>
      </c>
      <c r="AE592" s="73">
        <f>cadangan[[#This Row],[Harga Normal A]]+cadangan[[#This Row],[Harga Normal B]]+cadangan[[#This Row],[Harga Normal C]]</f>
        <v>430000</v>
      </c>
      <c r="AF592" s="73">
        <f>cadangan[[#This Row],[Harga Diskon A]]+cadangan[[#This Row],[Harga Diskon B]]+cadangan[[#This Row],[Harga Diskon C]]</f>
        <v>430000</v>
      </c>
      <c r="AG592" s="73">
        <f>(cadangan[[#This Row],[Profit Normal A]]+cadangan[[#This Row],[Profit Normal B]]+cadangan[[#This Row],[Profit Normal C]])</f>
        <v>170000</v>
      </c>
      <c r="AH592" s="73">
        <f>cadangan[[#This Row],[Profit Diskon A]]+cadangan[[#This Row],[Profit Diskon B]]+cadangan[[#This Row],[Profit Diskon C]]</f>
        <v>170000</v>
      </c>
      <c r="AI592" s="23" t="s">
        <v>290</v>
      </c>
      <c r="AJ592" s="37" t="str">
        <f>IFERROR(INDEX('Kode Diskon'!$D$3:$D$9,MATCH(cadangan[[#This Row],[Kode diskon]],'Kode Diskon'!$C$3:$C$9,0)),"-")</f>
        <v>-</v>
      </c>
      <c r="AK592" s="23" t="s">
        <v>290</v>
      </c>
      <c r="AL592" s="23" t="s">
        <v>12</v>
      </c>
      <c r="AM592" s="23" t="s">
        <v>78</v>
      </c>
      <c r="AN592" s="55">
        <v>45027</v>
      </c>
      <c r="AO592" s="53">
        <f>DAY(cadangan[[#This Row],[Tanggal terjual]])</f>
        <v>11</v>
      </c>
      <c r="AP592" s="21" t="str">
        <f>TEXT(cadangan[[#This Row],[Tanggal terjual]],"dddd")</f>
        <v>Tuesday</v>
      </c>
      <c r="AQ592" s="23" t="str" cm="1">
        <f t="array" ref="AQ5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592" s="61">
        <f>AVERAGE(cadangan[[#This Row],[Rating A]],cadangan[[#This Row],[Rating B]],cadangan[[#This Row],[Rating C]])</f>
        <v>4</v>
      </c>
    </row>
    <row r="593" spans="1:44" x14ac:dyDescent="0.2">
      <c r="A593" s="20">
        <v>592</v>
      </c>
      <c r="B593" s="21" t="str">
        <f>_xlfn.CONCAT("ORD-",INDEX(Helper!$B$2:$B$5,MATCH(cadangan[[#This Row],[Marketplace]],Helper!$A$2:$A$5,0)),TEXT(cadangan[[#This Row],[No]],"0000"),"-",TEXT(cadangan[[#This Row],[Tanggal terjual]],"dd/mm/yy"))</f>
        <v>ORD-BL0592-30/04/23</v>
      </c>
      <c r="C593" s="39" t="s">
        <v>61</v>
      </c>
      <c r="D593" s="39" t="str">
        <f>IFERROR(INDEX(Katalog!$A$3:$A$12,MATCH(cadangan[[#This Row],[ItemID A]],Katalog!$C$3:$C$12,0)),"-")</f>
        <v>Pakaian Pria</v>
      </c>
      <c r="E593" s="39" t="str">
        <f>IFERROR(INDEX(Katalog!$B$3:$B$12,MATCH(cadangan[[#This Row],[ItemID A]],Katalog!$C$3:$C$12,0)),"-")</f>
        <v>Kaos Polo</v>
      </c>
      <c r="F593" s="50">
        <v>1</v>
      </c>
      <c r="G593" s="50">
        <v>1</v>
      </c>
      <c r="H593" s="73">
        <f>IFERROR(INDEX(Katalog!$D$3:$D$12,MATCH(cadangan[[#This Row],[ItemID A]],Katalog!$C$3:$C$12,0))*cadangan[[#This Row],[Qty A]],0)</f>
        <v>200000</v>
      </c>
      <c r="I593" s="73">
        <f>IFERROR(cadangan[[#This Row],[Harga Normal A]]-(cadangan[[#This Row],[Harga Normal A]]*cadangan[[#This Row],[Diskon]]),cadangan[[#This Row],[Harga Normal A]])</f>
        <v>170000</v>
      </c>
      <c r="J593" s="73">
        <f>INDEX(Katalog!$F$3:$F$12,MATCH(cadangan[[#This Row],[ItemID A]],Katalog!$C$3:$C$12,0))*cadangan[[#This Row],[Qty A]]</f>
        <v>80000</v>
      </c>
      <c r="K593" s="73">
        <f>IFERROR(cadangan[[#This Row],[Harga Diskon A]]-INDEX(Katalog!$E$3:$E$12,MATCH(cadangan[[#This Row],[ItemID A]],Katalog!$C$3:$C$12,0))*cadangan[[#This Row],[Qty A]],0)</f>
        <v>50000</v>
      </c>
      <c r="M593" s="39" t="str">
        <f>IFERROR(INDEX(Katalog!$A$3:$A$12,MATCH(cadangan[[#This Row],[ItemID B]],Katalog!$C$3:$C$12,0)),"-")</f>
        <v>-</v>
      </c>
      <c r="N593" s="39" t="str">
        <f>IFERROR(INDEX(Katalog!$B$3:$B$12,MATCH(cadangan[[#This Row],[ItemID B]],Katalog!$C$3:$C$12,0)),"-")</f>
        <v>-</v>
      </c>
      <c r="Q593" s="73">
        <f>IFERROR(INDEX(Katalog!$D$3:$D$12,MATCH(cadangan[[#This Row],[ItemID B]],Katalog!$C$3:$C$12,0))*cadangan[[#This Row],[Qty B]],0)</f>
        <v>0</v>
      </c>
      <c r="R593" s="73">
        <f>IFERROR(cadangan[[#This Row],[Harga Normal B]]-(cadangan[[#This Row],[Harga Normal B]]*cadangan[[#This Row],[Diskon]]),cadangan[[#This Row],[Harga Normal B]])</f>
        <v>0</v>
      </c>
      <c r="S593" s="73">
        <f>IFERROR(INDEX(Katalog!$F$3:$F$12,MATCH(cadangan[[#This Row],[ItemID B]],Katalog!$C$3:$C$12,0))*cadangan[[#This Row],[Qty B]],0)</f>
        <v>0</v>
      </c>
      <c r="T593" s="73">
        <f>IFERROR(cadangan[[#This Row],[Harga Diskon B]]-INDEX(Katalog!$E$3:$E$12,MATCH(cadangan[[#This Row],[ItemID B]],Katalog!$C$3:$C$12,0))*cadangan[[#This Row],[Qty B]],0)</f>
        <v>0</v>
      </c>
      <c r="V593" s="39" t="str">
        <f>IFERROR(INDEX(Katalog!$A$3:$A$12,MATCH(cadangan[[#This Row],[ItemID C]],Katalog!$C$3:$C$12,0)),"-")</f>
        <v>-</v>
      </c>
      <c r="W593" s="39" t="str">
        <f>IFERROR(INDEX(Katalog!$B$3:$B$12,MATCH(cadangan[[#This Row],[ItemID C]],Katalog!$C$3:$C$12,0)),"-")</f>
        <v>-</v>
      </c>
      <c r="Z593" s="73">
        <f>IFERROR(INDEX(Katalog!$D$3:$D$12,MATCH(cadangan[[#This Row],[ItemID C]],Katalog!$C$3:$C$12,0))*cadangan[[#This Row],[Qty C]],0)</f>
        <v>0</v>
      </c>
      <c r="AA593" s="73">
        <f>IFERROR(cadangan[[#This Row],[Harga Normal C]]-(cadangan[[#This Row],[Harga Normal C]]*cadangan[[#This Row],[Diskon]]),cadangan[[#This Row],[Harga Normal C]])</f>
        <v>0</v>
      </c>
      <c r="AB593" s="73">
        <f>IFERROR(INDEX(Katalog!$F$3:$F$12,MATCH(cadangan[[#This Row],[ItemID C]],Katalog!$C$3:$C$12,0))*cadangan[[#This Row],[Qty C]],0)</f>
        <v>0</v>
      </c>
      <c r="AC593" s="73">
        <f>IFERROR(cadangan[[#This Row],[Harga Diskon C]]-INDEX(Katalog!$E$3:$E$12,MATCH(cadangan[[#This Row],[ItemID C]],Katalog!$C$3:$C$12,0))*cadangan[[#This Row],[Qty C]],0)</f>
        <v>0</v>
      </c>
      <c r="AD593" s="53">
        <f>cadangan[[#This Row],[Qty A]]+cadangan[[#This Row],[Qty B]]+cadangan[[#This Row],[Qty C]]</f>
        <v>1</v>
      </c>
      <c r="AE593" s="73">
        <f>cadangan[[#This Row],[Harga Normal A]]+cadangan[[#This Row],[Harga Normal B]]+cadangan[[#This Row],[Harga Normal C]]</f>
        <v>200000</v>
      </c>
      <c r="AF593" s="73">
        <f>cadangan[[#This Row],[Harga Diskon A]]+cadangan[[#This Row],[Harga Diskon B]]+cadangan[[#This Row],[Harga Diskon C]]</f>
        <v>170000</v>
      </c>
      <c r="AG593" s="73">
        <f>(cadangan[[#This Row],[Profit Normal A]]+cadangan[[#This Row],[Profit Normal B]]+cadangan[[#This Row],[Profit Normal C]])</f>
        <v>80000</v>
      </c>
      <c r="AH593" s="73">
        <f>cadangan[[#This Row],[Profit Diskon A]]+cadangan[[#This Row],[Profit Diskon B]]+cadangan[[#This Row],[Profit Diskon C]]</f>
        <v>50000</v>
      </c>
      <c r="AI593" s="23" t="s">
        <v>32</v>
      </c>
      <c r="AJ593" s="37">
        <f>IFERROR(INDEX('Kode Diskon'!$D$3:$D$9,MATCH(cadangan[[#This Row],[Kode diskon]],'Kode Diskon'!$C$3:$C$9,0)),"-")</f>
        <v>0.15</v>
      </c>
      <c r="AK593" s="23" t="s">
        <v>9</v>
      </c>
      <c r="AL593" s="23" t="s">
        <v>12</v>
      </c>
      <c r="AM593" s="23" t="s">
        <v>75</v>
      </c>
      <c r="AN593" s="55">
        <v>45046</v>
      </c>
      <c r="AO593" s="53">
        <f>DAY(cadangan[[#This Row],[Tanggal terjual]])</f>
        <v>30</v>
      </c>
      <c r="AP593" s="21" t="str">
        <f>TEXT(cadangan[[#This Row],[Tanggal terjual]],"dddd")</f>
        <v>Sunday</v>
      </c>
      <c r="AQ593" s="23" t="str" cm="1">
        <f t="array" ref="AQ5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93" s="61">
        <f>AVERAGE(cadangan[[#This Row],[Rating A]],cadangan[[#This Row],[Rating B]],cadangan[[#This Row],[Rating C]])</f>
        <v>1</v>
      </c>
    </row>
    <row r="594" spans="1:44" x14ac:dyDescent="0.2">
      <c r="A594" s="20">
        <v>593</v>
      </c>
      <c r="B594" s="21" t="str">
        <f>_xlfn.CONCAT("ORD-",INDEX(Helper!$B$2:$B$5,MATCH(cadangan[[#This Row],[Marketplace]],Helper!$A$2:$A$5,0)),TEXT(cadangan[[#This Row],[No]],"0000"),"-",TEXT(cadangan[[#This Row],[Tanggal terjual]],"dd/mm/yy"))</f>
        <v>ORD-BL0593-30/04/23</v>
      </c>
      <c r="C594" s="39" t="s">
        <v>65</v>
      </c>
      <c r="D594" s="39" t="str">
        <f>IFERROR(INDEX(Katalog!$A$3:$A$12,MATCH(cadangan[[#This Row],[ItemID A]],Katalog!$C$3:$C$12,0)),"-")</f>
        <v>Sepatu Pria</v>
      </c>
      <c r="E594" s="39" t="str">
        <f>IFERROR(INDEX(Katalog!$B$3:$B$12,MATCH(cadangan[[#This Row],[ItemID A]],Katalog!$C$3:$C$12,0)),"-")</f>
        <v>Sneakers</v>
      </c>
      <c r="F594" s="50">
        <v>1</v>
      </c>
      <c r="G594" s="50">
        <v>3</v>
      </c>
      <c r="H594" s="73">
        <f>IFERROR(INDEX(Katalog!$D$3:$D$12,MATCH(cadangan[[#This Row],[ItemID A]],Katalog!$C$3:$C$12,0))*cadangan[[#This Row],[Qty A]],0)</f>
        <v>500000</v>
      </c>
      <c r="I594" s="73">
        <f>IFERROR(cadangan[[#This Row],[Harga Normal A]]-(cadangan[[#This Row],[Harga Normal A]]*cadangan[[#This Row],[Diskon]]),cadangan[[#This Row],[Harga Normal A]])</f>
        <v>425000</v>
      </c>
      <c r="J594" s="73">
        <f>INDEX(Katalog!$F$3:$F$12,MATCH(cadangan[[#This Row],[ItemID A]],Katalog!$C$3:$C$12,0))*cadangan[[#This Row],[Qty A]]</f>
        <v>200000</v>
      </c>
      <c r="K594" s="73">
        <f>IFERROR(cadangan[[#This Row],[Harga Diskon A]]-INDEX(Katalog!$E$3:$E$12,MATCH(cadangan[[#This Row],[ItemID A]],Katalog!$C$3:$C$12,0))*cadangan[[#This Row],[Qty A]],0)</f>
        <v>125000</v>
      </c>
      <c r="L594" s="39" t="s">
        <v>66</v>
      </c>
      <c r="M594" s="39" t="str">
        <f>IFERROR(INDEX(Katalog!$A$3:$A$12,MATCH(cadangan[[#This Row],[ItemID B]],Katalog!$C$3:$C$12,0)),"-")</f>
        <v>Sepatu Pria</v>
      </c>
      <c r="N594" s="39" t="str">
        <f>IFERROR(INDEX(Katalog!$B$3:$B$12,MATCH(cadangan[[#This Row],[ItemID B]],Katalog!$C$3:$C$12,0)),"-")</f>
        <v>Sandal Slip On</v>
      </c>
      <c r="O594" s="50">
        <v>1</v>
      </c>
      <c r="P594" s="50">
        <v>3</v>
      </c>
      <c r="Q594" s="73">
        <f>IFERROR(INDEX(Katalog!$D$3:$D$12,MATCH(cadangan[[#This Row],[ItemID B]],Katalog!$C$3:$C$12,0))*cadangan[[#This Row],[Qty B]],0)</f>
        <v>150000</v>
      </c>
      <c r="R594" s="73">
        <f>IFERROR(cadangan[[#This Row],[Harga Normal B]]-(cadangan[[#This Row],[Harga Normal B]]*cadangan[[#This Row],[Diskon]]),cadangan[[#This Row],[Harga Normal B]])</f>
        <v>127500</v>
      </c>
      <c r="S594" s="73">
        <f>IFERROR(INDEX(Katalog!$F$3:$F$12,MATCH(cadangan[[#This Row],[ItemID B]],Katalog!$C$3:$C$12,0))*cadangan[[#This Row],[Qty B]],0)</f>
        <v>60000</v>
      </c>
      <c r="T594" s="73">
        <f>IFERROR(cadangan[[#This Row],[Harga Diskon B]]-INDEX(Katalog!$E$3:$E$12,MATCH(cadangan[[#This Row],[ItemID B]],Katalog!$C$3:$C$12,0))*cadangan[[#This Row],[Qty B]],0)</f>
        <v>37500</v>
      </c>
      <c r="V594" s="39" t="str">
        <f>IFERROR(INDEX(Katalog!$A$3:$A$12,MATCH(cadangan[[#This Row],[ItemID C]],Katalog!$C$3:$C$12,0)),"-")</f>
        <v>-</v>
      </c>
      <c r="W594" s="39" t="str">
        <f>IFERROR(INDEX(Katalog!$B$3:$B$12,MATCH(cadangan[[#This Row],[ItemID C]],Katalog!$C$3:$C$12,0)),"-")</f>
        <v>-</v>
      </c>
      <c r="Z594" s="73">
        <f>IFERROR(INDEX(Katalog!$D$3:$D$12,MATCH(cadangan[[#This Row],[ItemID C]],Katalog!$C$3:$C$12,0))*cadangan[[#This Row],[Qty C]],0)</f>
        <v>0</v>
      </c>
      <c r="AA594" s="73">
        <f>IFERROR(cadangan[[#This Row],[Harga Normal C]]-(cadangan[[#This Row],[Harga Normal C]]*cadangan[[#This Row],[Diskon]]),cadangan[[#This Row],[Harga Normal C]])</f>
        <v>0</v>
      </c>
      <c r="AB594" s="73">
        <f>IFERROR(INDEX(Katalog!$F$3:$F$12,MATCH(cadangan[[#This Row],[ItemID C]],Katalog!$C$3:$C$12,0))*cadangan[[#This Row],[Qty C]],0)</f>
        <v>0</v>
      </c>
      <c r="AC594" s="73">
        <f>IFERROR(cadangan[[#This Row],[Harga Diskon C]]-INDEX(Katalog!$E$3:$E$12,MATCH(cadangan[[#This Row],[ItemID C]],Katalog!$C$3:$C$12,0))*cadangan[[#This Row],[Qty C]],0)</f>
        <v>0</v>
      </c>
      <c r="AD594" s="53">
        <f>cadangan[[#This Row],[Qty A]]+cadangan[[#This Row],[Qty B]]+cadangan[[#This Row],[Qty C]]</f>
        <v>2</v>
      </c>
      <c r="AE594" s="73">
        <f>cadangan[[#This Row],[Harga Normal A]]+cadangan[[#This Row],[Harga Normal B]]+cadangan[[#This Row],[Harga Normal C]]</f>
        <v>650000</v>
      </c>
      <c r="AF594" s="73">
        <f>cadangan[[#This Row],[Harga Diskon A]]+cadangan[[#This Row],[Harga Diskon B]]+cadangan[[#This Row],[Harga Diskon C]]</f>
        <v>552500</v>
      </c>
      <c r="AG594" s="73">
        <f>(cadangan[[#This Row],[Profit Normal A]]+cadangan[[#This Row],[Profit Normal B]]+cadangan[[#This Row],[Profit Normal C]])</f>
        <v>260000</v>
      </c>
      <c r="AH594" s="73">
        <f>cadangan[[#This Row],[Profit Diskon A]]+cadangan[[#This Row],[Profit Diskon B]]+cadangan[[#This Row],[Profit Diskon C]]</f>
        <v>162500</v>
      </c>
      <c r="AI594" s="23" t="s">
        <v>32</v>
      </c>
      <c r="AJ594" s="37">
        <f>IFERROR(INDEX('Kode Diskon'!$D$3:$D$9,MATCH(cadangan[[#This Row],[Kode diskon]],'Kode Diskon'!$C$3:$C$9,0)),"-")</f>
        <v>0.15</v>
      </c>
      <c r="AK594" s="23" t="s">
        <v>9</v>
      </c>
      <c r="AL594" s="23" t="s">
        <v>12</v>
      </c>
      <c r="AM594" s="23" t="s">
        <v>76</v>
      </c>
      <c r="AN594" s="55">
        <v>45046</v>
      </c>
      <c r="AO594" s="53">
        <f>DAY(cadangan[[#This Row],[Tanggal terjual]])</f>
        <v>30</v>
      </c>
      <c r="AP594" s="21" t="str">
        <f>TEXT(cadangan[[#This Row],[Tanggal terjual]],"dddd")</f>
        <v>Sunday</v>
      </c>
      <c r="AQ594" s="23" t="str" cm="1">
        <f t="array" ref="AQ5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594" s="61">
        <f>AVERAGE(cadangan[[#This Row],[Rating A]],cadangan[[#This Row],[Rating B]],cadangan[[#This Row],[Rating C]])</f>
        <v>3</v>
      </c>
    </row>
    <row r="595" spans="1:44" x14ac:dyDescent="0.2">
      <c r="A595" s="20">
        <v>594</v>
      </c>
      <c r="B595" s="21" t="str">
        <f>_xlfn.CONCAT("ORD-",INDEX(Helper!$B$2:$B$5,MATCH(cadangan[[#This Row],[Marketplace]],Helper!$A$2:$A$5,0)),TEXT(cadangan[[#This Row],[No]],"0000"),"-",TEXT(cadangan[[#This Row],[Tanggal terjual]],"dd/mm/yy"))</f>
        <v>ORD-BB0594-04/04/23</v>
      </c>
      <c r="C595" s="39" t="s">
        <v>65</v>
      </c>
      <c r="D595" s="39" t="str">
        <f>IFERROR(INDEX(Katalog!$A$3:$A$12,MATCH(cadangan[[#This Row],[ItemID A]],Katalog!$C$3:$C$12,0)),"-")</f>
        <v>Sepatu Pria</v>
      </c>
      <c r="E595" s="39" t="str">
        <f>IFERROR(INDEX(Katalog!$B$3:$B$12,MATCH(cadangan[[#This Row],[ItemID A]],Katalog!$C$3:$C$12,0)),"-")</f>
        <v>Sneakers</v>
      </c>
      <c r="F595" s="50">
        <v>3</v>
      </c>
      <c r="G595" s="50">
        <v>5</v>
      </c>
      <c r="H595" s="73">
        <f>IFERROR(INDEX(Katalog!$D$3:$D$12,MATCH(cadangan[[#This Row],[ItemID A]],Katalog!$C$3:$C$12,0))*cadangan[[#This Row],[Qty A]],0)</f>
        <v>1500000</v>
      </c>
      <c r="I595" s="73">
        <f>IFERROR(cadangan[[#This Row],[Harga Normal A]]-(cadangan[[#This Row],[Harga Normal A]]*cadangan[[#This Row],[Diskon]]),cadangan[[#This Row],[Harga Normal A]])</f>
        <v>1275000</v>
      </c>
      <c r="J595" s="73">
        <f>INDEX(Katalog!$F$3:$F$12,MATCH(cadangan[[#This Row],[ItemID A]],Katalog!$C$3:$C$12,0))*cadangan[[#This Row],[Qty A]]</f>
        <v>600000</v>
      </c>
      <c r="K595" s="73">
        <f>IFERROR(cadangan[[#This Row],[Harga Diskon A]]-INDEX(Katalog!$E$3:$E$12,MATCH(cadangan[[#This Row],[ItemID A]],Katalog!$C$3:$C$12,0))*cadangan[[#This Row],[Qty A]],0)</f>
        <v>375000</v>
      </c>
      <c r="L595" s="39" t="s">
        <v>64</v>
      </c>
      <c r="M595" s="39" t="str">
        <f>IFERROR(INDEX(Katalog!$A$3:$A$12,MATCH(cadangan[[#This Row],[ItemID B]],Katalog!$C$3:$C$12,0)),"-")</f>
        <v>Pakaian Unisex</v>
      </c>
      <c r="N595" s="39" t="str">
        <f>IFERROR(INDEX(Katalog!$B$3:$B$12,MATCH(cadangan[[#This Row],[ItemID B]],Katalog!$C$3:$C$12,0)),"-")</f>
        <v>Jaket Hoodie</v>
      </c>
      <c r="O595" s="50">
        <v>3</v>
      </c>
      <c r="P595" s="50">
        <v>5</v>
      </c>
      <c r="Q595" s="73">
        <f>IFERROR(INDEX(Katalog!$D$3:$D$12,MATCH(cadangan[[#This Row],[ItemID B]],Katalog!$C$3:$C$12,0))*cadangan[[#This Row],[Qty B]],0)</f>
        <v>1050000</v>
      </c>
      <c r="R595" s="73">
        <f>IFERROR(cadangan[[#This Row],[Harga Normal B]]-(cadangan[[#This Row],[Harga Normal B]]*cadangan[[#This Row],[Diskon]]),cadangan[[#This Row],[Harga Normal B]])</f>
        <v>892500</v>
      </c>
      <c r="S595" s="73">
        <f>IFERROR(INDEX(Katalog!$F$3:$F$12,MATCH(cadangan[[#This Row],[ItemID B]],Katalog!$C$3:$C$12,0))*cadangan[[#This Row],[Qty B]],0)</f>
        <v>390000</v>
      </c>
      <c r="T595" s="73">
        <f>IFERROR(cadangan[[#This Row],[Harga Diskon B]]-INDEX(Katalog!$E$3:$E$12,MATCH(cadangan[[#This Row],[ItemID B]],Katalog!$C$3:$C$12,0))*cadangan[[#This Row],[Qty B]],0)</f>
        <v>232500</v>
      </c>
      <c r="V595" s="39" t="str">
        <f>IFERROR(INDEX(Katalog!$A$3:$A$12,MATCH(cadangan[[#This Row],[ItemID C]],Katalog!$C$3:$C$12,0)),"-")</f>
        <v>-</v>
      </c>
      <c r="W595" s="39" t="str">
        <f>IFERROR(INDEX(Katalog!$B$3:$B$12,MATCH(cadangan[[#This Row],[ItemID C]],Katalog!$C$3:$C$12,0)),"-")</f>
        <v>-</v>
      </c>
      <c r="Z595" s="73">
        <f>IFERROR(INDEX(Katalog!$D$3:$D$12,MATCH(cadangan[[#This Row],[ItemID C]],Katalog!$C$3:$C$12,0))*cadangan[[#This Row],[Qty C]],0)</f>
        <v>0</v>
      </c>
      <c r="AA595" s="73">
        <f>IFERROR(cadangan[[#This Row],[Harga Normal C]]-(cadangan[[#This Row],[Harga Normal C]]*cadangan[[#This Row],[Diskon]]),cadangan[[#This Row],[Harga Normal C]])</f>
        <v>0</v>
      </c>
      <c r="AB595" s="73">
        <f>IFERROR(INDEX(Katalog!$F$3:$F$12,MATCH(cadangan[[#This Row],[ItemID C]],Katalog!$C$3:$C$12,0))*cadangan[[#This Row],[Qty C]],0)</f>
        <v>0</v>
      </c>
      <c r="AC595" s="73">
        <f>IFERROR(cadangan[[#This Row],[Harga Diskon C]]-INDEX(Katalog!$E$3:$E$12,MATCH(cadangan[[#This Row],[ItemID C]],Katalog!$C$3:$C$12,0))*cadangan[[#This Row],[Qty C]],0)</f>
        <v>0</v>
      </c>
      <c r="AD595" s="53">
        <f>cadangan[[#This Row],[Qty A]]+cadangan[[#This Row],[Qty B]]+cadangan[[#This Row],[Qty C]]</f>
        <v>6</v>
      </c>
      <c r="AE595" s="73">
        <f>cadangan[[#This Row],[Harga Normal A]]+cadangan[[#This Row],[Harga Normal B]]+cadangan[[#This Row],[Harga Normal C]]</f>
        <v>2550000</v>
      </c>
      <c r="AF595" s="73">
        <f>cadangan[[#This Row],[Harga Diskon A]]+cadangan[[#This Row],[Harga Diskon B]]+cadangan[[#This Row],[Harga Diskon C]]</f>
        <v>2167500</v>
      </c>
      <c r="AG595" s="73">
        <f>(cadangan[[#This Row],[Profit Normal A]]+cadangan[[#This Row],[Profit Normal B]]+cadangan[[#This Row],[Profit Normal C]])</f>
        <v>990000</v>
      </c>
      <c r="AH595" s="73">
        <f>cadangan[[#This Row],[Profit Diskon A]]+cadangan[[#This Row],[Profit Diskon B]]+cadangan[[#This Row],[Profit Diskon C]]</f>
        <v>607500</v>
      </c>
      <c r="AI595" s="23" t="s">
        <v>28</v>
      </c>
      <c r="AJ595" s="37">
        <f>IFERROR(INDEX('Kode Diskon'!$D$3:$D$9,MATCH(cadangan[[#This Row],[Kode diskon]],'Kode Diskon'!$C$3:$C$9,0)),"-")</f>
        <v>0.15</v>
      </c>
      <c r="AK595" s="23" t="s">
        <v>29</v>
      </c>
      <c r="AL595" s="23" t="s">
        <v>14</v>
      </c>
      <c r="AM595" s="23" t="s">
        <v>79</v>
      </c>
      <c r="AN595" s="55">
        <v>45020</v>
      </c>
      <c r="AO595" s="53">
        <f>DAY(cadangan[[#This Row],[Tanggal terjual]])</f>
        <v>4</v>
      </c>
      <c r="AP595" s="21" t="str">
        <f>TEXT(cadangan[[#This Row],[Tanggal terjual]],"dddd")</f>
        <v>Tuesday</v>
      </c>
      <c r="AQ595" s="23" t="str" cm="1">
        <f t="array" ref="AQ5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95" s="61">
        <f>AVERAGE(cadangan[[#This Row],[Rating A]],cadangan[[#This Row],[Rating B]],cadangan[[#This Row],[Rating C]])</f>
        <v>5</v>
      </c>
    </row>
    <row r="596" spans="1:44" x14ac:dyDescent="0.2">
      <c r="A596" s="20">
        <v>595</v>
      </c>
      <c r="B596" s="21" t="str">
        <f>_xlfn.CONCAT("ORD-",INDEX(Helper!$B$2:$B$5,MATCH(cadangan[[#This Row],[Marketplace]],Helper!$A$2:$A$5,0)),TEXT(cadangan[[#This Row],[No]],"0000"),"-",TEXT(cadangan[[#This Row],[Tanggal terjual]],"dd/mm/yy"))</f>
        <v>ORD-BL0595-16/04/23</v>
      </c>
      <c r="C596" s="39" t="s">
        <v>59</v>
      </c>
      <c r="D596" s="39" t="str">
        <f>IFERROR(INDEX(Katalog!$A$3:$A$12,MATCH(cadangan[[#This Row],[ItemID A]],Katalog!$C$3:$C$12,0)),"-")</f>
        <v>Pakaian Wanita</v>
      </c>
      <c r="E596" s="39" t="str">
        <f>IFERROR(INDEX(Katalog!$B$3:$B$12,MATCH(cadangan[[#This Row],[ItemID A]],Katalog!$C$3:$C$12,0)),"-")</f>
        <v>Blouse</v>
      </c>
      <c r="F596" s="50">
        <v>2</v>
      </c>
      <c r="G596" s="50">
        <v>3</v>
      </c>
      <c r="H596" s="73">
        <f>IFERROR(INDEX(Katalog!$D$3:$D$12,MATCH(cadangan[[#This Row],[ItemID A]],Katalog!$C$3:$C$12,0))*cadangan[[#This Row],[Qty A]],0)</f>
        <v>300000</v>
      </c>
      <c r="I596" s="73">
        <f>IFERROR(cadangan[[#This Row],[Harga Normal A]]-(cadangan[[#This Row],[Harga Normal A]]*cadangan[[#This Row],[Diskon]]),cadangan[[#This Row],[Harga Normal A]])</f>
        <v>255000</v>
      </c>
      <c r="J596" s="73">
        <f>INDEX(Katalog!$F$3:$F$12,MATCH(cadangan[[#This Row],[ItemID A]],Katalog!$C$3:$C$12,0))*cadangan[[#This Row],[Qty A]]</f>
        <v>100000</v>
      </c>
      <c r="K596" s="73">
        <f>IFERROR(cadangan[[#This Row],[Harga Diskon A]]-INDEX(Katalog!$E$3:$E$12,MATCH(cadangan[[#This Row],[ItemID A]],Katalog!$C$3:$C$12,0))*cadangan[[#This Row],[Qty A]],0)</f>
        <v>55000</v>
      </c>
      <c r="L596" s="39" t="s">
        <v>58</v>
      </c>
      <c r="M596" s="39" t="str">
        <f>IFERROR(INDEX(Katalog!$A$3:$A$12,MATCH(cadangan[[#This Row],[ItemID B]],Katalog!$C$3:$C$12,0)),"-")</f>
        <v>Pakaian Wanita</v>
      </c>
      <c r="N596" s="39" t="str">
        <f>IFERROR(INDEX(Katalog!$B$3:$B$12,MATCH(cadangan[[#This Row],[ItemID B]],Katalog!$C$3:$C$12,0)),"-")</f>
        <v>Dress</v>
      </c>
      <c r="O596" s="50">
        <v>2</v>
      </c>
      <c r="P596" s="50">
        <v>2</v>
      </c>
      <c r="Q596" s="73">
        <f>IFERROR(INDEX(Katalog!$D$3:$D$12,MATCH(cadangan[[#This Row],[ItemID B]],Katalog!$C$3:$C$12,0))*cadangan[[#This Row],[Qty B]],0)</f>
        <v>600000</v>
      </c>
      <c r="R596" s="73">
        <f>IFERROR(cadangan[[#This Row],[Harga Normal B]]-(cadangan[[#This Row],[Harga Normal B]]*cadangan[[#This Row],[Diskon]]),cadangan[[#This Row],[Harga Normal B]])</f>
        <v>510000</v>
      </c>
      <c r="S596" s="73">
        <f>IFERROR(INDEX(Katalog!$F$3:$F$12,MATCH(cadangan[[#This Row],[ItemID B]],Katalog!$C$3:$C$12,0))*cadangan[[#This Row],[Qty B]],0)</f>
        <v>200000</v>
      </c>
      <c r="T596" s="73">
        <f>IFERROR(cadangan[[#This Row],[Harga Diskon B]]-INDEX(Katalog!$E$3:$E$12,MATCH(cadangan[[#This Row],[ItemID B]],Katalog!$C$3:$C$12,0))*cadangan[[#This Row],[Qty B]],0)</f>
        <v>110000</v>
      </c>
      <c r="U596" s="39" t="s">
        <v>65</v>
      </c>
      <c r="V596" s="39" t="str">
        <f>IFERROR(INDEX(Katalog!$A$3:$A$12,MATCH(cadangan[[#This Row],[ItemID C]],Katalog!$C$3:$C$12,0)),"-")</f>
        <v>Sepatu Pria</v>
      </c>
      <c r="W596" s="39" t="str">
        <f>IFERROR(INDEX(Katalog!$B$3:$B$12,MATCH(cadangan[[#This Row],[ItemID C]],Katalog!$C$3:$C$12,0)),"-")</f>
        <v>Sneakers</v>
      </c>
      <c r="X596" s="50">
        <v>2</v>
      </c>
      <c r="Y596" s="50">
        <v>2</v>
      </c>
      <c r="Z596" s="73">
        <f>IFERROR(INDEX(Katalog!$D$3:$D$12,MATCH(cadangan[[#This Row],[ItemID C]],Katalog!$C$3:$C$12,0))*cadangan[[#This Row],[Qty C]],0)</f>
        <v>1000000</v>
      </c>
      <c r="AA596" s="73">
        <f>IFERROR(cadangan[[#This Row],[Harga Normal C]]-(cadangan[[#This Row],[Harga Normal C]]*cadangan[[#This Row],[Diskon]]),cadangan[[#This Row],[Harga Normal C]])</f>
        <v>850000</v>
      </c>
      <c r="AB596" s="73">
        <f>IFERROR(INDEX(Katalog!$F$3:$F$12,MATCH(cadangan[[#This Row],[ItemID C]],Katalog!$C$3:$C$12,0))*cadangan[[#This Row],[Qty C]],0)</f>
        <v>400000</v>
      </c>
      <c r="AC596" s="73">
        <f>IFERROR(cadangan[[#This Row],[Harga Diskon C]]-INDEX(Katalog!$E$3:$E$12,MATCH(cadangan[[#This Row],[ItemID C]],Katalog!$C$3:$C$12,0))*cadangan[[#This Row],[Qty C]],0)</f>
        <v>250000</v>
      </c>
      <c r="AD596" s="53">
        <f>cadangan[[#This Row],[Qty A]]+cadangan[[#This Row],[Qty B]]+cadangan[[#This Row],[Qty C]]</f>
        <v>6</v>
      </c>
      <c r="AE596" s="73">
        <f>cadangan[[#This Row],[Harga Normal A]]+cadangan[[#This Row],[Harga Normal B]]+cadangan[[#This Row],[Harga Normal C]]</f>
        <v>1900000</v>
      </c>
      <c r="AF596" s="73">
        <f>cadangan[[#This Row],[Harga Diskon A]]+cadangan[[#This Row],[Harga Diskon B]]+cadangan[[#This Row],[Harga Diskon C]]</f>
        <v>1615000</v>
      </c>
      <c r="AG596" s="73">
        <f>(cadangan[[#This Row],[Profit Normal A]]+cadangan[[#This Row],[Profit Normal B]]+cadangan[[#This Row],[Profit Normal C]])</f>
        <v>700000</v>
      </c>
      <c r="AH596" s="73">
        <f>cadangan[[#This Row],[Profit Diskon A]]+cadangan[[#This Row],[Profit Diskon B]]+cadangan[[#This Row],[Profit Diskon C]]</f>
        <v>415000</v>
      </c>
      <c r="AI596" s="23" t="s">
        <v>32</v>
      </c>
      <c r="AJ596" s="37">
        <f>IFERROR(INDEX('Kode Diskon'!$D$3:$D$9,MATCH(cadangan[[#This Row],[Kode diskon]],'Kode Diskon'!$C$3:$C$9,0)),"-")</f>
        <v>0.15</v>
      </c>
      <c r="AK596" s="23" t="s">
        <v>9</v>
      </c>
      <c r="AL596" s="23" t="s">
        <v>12</v>
      </c>
      <c r="AM596" s="23" t="s">
        <v>75</v>
      </c>
      <c r="AN596" s="55">
        <v>45032</v>
      </c>
      <c r="AO596" s="53">
        <f>DAY(cadangan[[#This Row],[Tanggal terjual]])</f>
        <v>16</v>
      </c>
      <c r="AP596" s="21" t="str">
        <f>TEXT(cadangan[[#This Row],[Tanggal terjual]],"dddd")</f>
        <v>Sunday</v>
      </c>
      <c r="AQ596" s="23" t="str" cm="1">
        <f t="array" ref="AQ5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96" s="61">
        <f>AVERAGE(cadangan[[#This Row],[Rating A]],cadangan[[#This Row],[Rating B]],cadangan[[#This Row],[Rating C]])</f>
        <v>2.3333333333333335</v>
      </c>
    </row>
    <row r="597" spans="1:44" x14ac:dyDescent="0.2">
      <c r="A597" s="20">
        <v>596</v>
      </c>
      <c r="B597" s="21" t="str">
        <f>_xlfn.CONCAT("ORD-",INDEX(Helper!$B$2:$B$5,MATCH(cadangan[[#This Row],[Marketplace]],Helper!$A$2:$A$5,0)),TEXT(cadangan[[#This Row],[No]],"0000"),"-",TEXT(cadangan[[#This Row],[Tanggal terjual]],"dd/mm/yy"))</f>
        <v>ORD-SP0596-04/04/23</v>
      </c>
      <c r="C597" s="39" t="s">
        <v>60</v>
      </c>
      <c r="D597" s="39" t="str">
        <f>IFERROR(INDEX(Katalog!$A$3:$A$12,MATCH(cadangan[[#This Row],[ItemID A]],Katalog!$C$3:$C$12,0)),"-")</f>
        <v>Pakaian Wanita</v>
      </c>
      <c r="E597" s="39" t="str">
        <f>IFERROR(INDEX(Katalog!$B$3:$B$12,MATCH(cadangan[[#This Row],[ItemID A]],Katalog!$C$3:$C$12,0)),"-")</f>
        <v>Kaftan</v>
      </c>
      <c r="F597" s="50">
        <v>1</v>
      </c>
      <c r="G597" s="50">
        <v>3</v>
      </c>
      <c r="H597" s="73">
        <f>IFERROR(INDEX(Katalog!$D$3:$D$12,MATCH(cadangan[[#This Row],[ItemID A]],Katalog!$C$3:$C$12,0))*cadangan[[#This Row],[Qty A]],0)</f>
        <v>250000</v>
      </c>
      <c r="I597" s="73">
        <f>IFERROR(cadangan[[#This Row],[Harga Normal A]]-(cadangan[[#This Row],[Harga Normal A]]*cadangan[[#This Row],[Diskon]]),cadangan[[#This Row],[Harga Normal A]])</f>
        <v>212500</v>
      </c>
      <c r="J597" s="73">
        <f>INDEX(Katalog!$F$3:$F$12,MATCH(cadangan[[#This Row],[ItemID A]],Katalog!$C$3:$C$12,0))*cadangan[[#This Row],[Qty A]]</f>
        <v>100000</v>
      </c>
      <c r="K597" s="73">
        <f>IFERROR(cadangan[[#This Row],[Harga Diskon A]]-INDEX(Katalog!$E$3:$E$12,MATCH(cadangan[[#This Row],[ItemID A]],Katalog!$C$3:$C$12,0))*cadangan[[#This Row],[Qty A]],0)</f>
        <v>62500</v>
      </c>
      <c r="L597" s="39" t="s">
        <v>62</v>
      </c>
      <c r="M597" s="39" t="str">
        <f>IFERROR(INDEX(Katalog!$A$3:$A$12,MATCH(cadangan[[#This Row],[ItemID B]],Katalog!$C$3:$C$12,0)),"-")</f>
        <v>Pakaian Pria</v>
      </c>
      <c r="N597" s="39" t="str">
        <f>IFERROR(INDEX(Katalog!$B$3:$B$12,MATCH(cadangan[[#This Row],[ItemID B]],Katalog!$C$3:$C$12,0)),"-")</f>
        <v>Celana Pendek</v>
      </c>
      <c r="O597" s="50">
        <v>5</v>
      </c>
      <c r="P597" s="50">
        <v>2</v>
      </c>
      <c r="Q597" s="73">
        <f>IFERROR(INDEX(Katalog!$D$3:$D$12,MATCH(cadangan[[#This Row],[ItemID B]],Katalog!$C$3:$C$12,0))*cadangan[[#This Row],[Qty B]],0)</f>
        <v>900000</v>
      </c>
      <c r="R597" s="73">
        <f>IFERROR(cadangan[[#This Row],[Harga Normal B]]-(cadangan[[#This Row],[Harga Normal B]]*cadangan[[#This Row],[Diskon]]),cadangan[[#This Row],[Harga Normal B]])</f>
        <v>765000</v>
      </c>
      <c r="S597" s="73">
        <f>IFERROR(INDEX(Katalog!$F$3:$F$12,MATCH(cadangan[[#This Row],[ItemID B]],Katalog!$C$3:$C$12,0))*cadangan[[#This Row],[Qty B]],0)</f>
        <v>350000</v>
      </c>
      <c r="T597" s="73">
        <f>IFERROR(cadangan[[#This Row],[Harga Diskon B]]-INDEX(Katalog!$E$3:$E$12,MATCH(cadangan[[#This Row],[ItemID B]],Katalog!$C$3:$C$12,0))*cadangan[[#This Row],[Qty B]],0)</f>
        <v>215000</v>
      </c>
      <c r="V597" s="39" t="str">
        <f>IFERROR(INDEX(Katalog!$A$3:$A$12,MATCH(cadangan[[#This Row],[ItemID C]],Katalog!$C$3:$C$12,0)),"-")</f>
        <v>-</v>
      </c>
      <c r="W597" s="39" t="str">
        <f>IFERROR(INDEX(Katalog!$B$3:$B$12,MATCH(cadangan[[#This Row],[ItemID C]],Katalog!$C$3:$C$12,0)),"-")</f>
        <v>-</v>
      </c>
      <c r="Z597" s="73">
        <f>IFERROR(INDEX(Katalog!$D$3:$D$12,MATCH(cadangan[[#This Row],[ItemID C]],Katalog!$C$3:$C$12,0))*cadangan[[#This Row],[Qty C]],0)</f>
        <v>0</v>
      </c>
      <c r="AA597" s="73">
        <f>IFERROR(cadangan[[#This Row],[Harga Normal C]]-(cadangan[[#This Row],[Harga Normal C]]*cadangan[[#This Row],[Diskon]]),cadangan[[#This Row],[Harga Normal C]])</f>
        <v>0</v>
      </c>
      <c r="AB597" s="73">
        <f>IFERROR(INDEX(Katalog!$F$3:$F$12,MATCH(cadangan[[#This Row],[ItemID C]],Katalog!$C$3:$C$12,0))*cadangan[[#This Row],[Qty C]],0)</f>
        <v>0</v>
      </c>
      <c r="AC597" s="73">
        <f>IFERROR(cadangan[[#This Row],[Harga Diskon C]]-INDEX(Katalog!$E$3:$E$12,MATCH(cadangan[[#This Row],[ItemID C]],Katalog!$C$3:$C$12,0))*cadangan[[#This Row],[Qty C]],0)</f>
        <v>0</v>
      </c>
      <c r="AD597" s="53">
        <f>cadangan[[#This Row],[Qty A]]+cadangan[[#This Row],[Qty B]]+cadangan[[#This Row],[Qty C]]</f>
        <v>6</v>
      </c>
      <c r="AE597" s="73">
        <f>cadangan[[#This Row],[Harga Normal A]]+cadangan[[#This Row],[Harga Normal B]]+cadangan[[#This Row],[Harga Normal C]]</f>
        <v>1150000</v>
      </c>
      <c r="AF597" s="73">
        <f>cadangan[[#This Row],[Harga Diskon A]]+cadangan[[#This Row],[Harga Diskon B]]+cadangan[[#This Row],[Harga Diskon C]]</f>
        <v>977500</v>
      </c>
      <c r="AG597" s="73">
        <f>(cadangan[[#This Row],[Profit Normal A]]+cadangan[[#This Row],[Profit Normal B]]+cadangan[[#This Row],[Profit Normal C]])</f>
        <v>450000</v>
      </c>
      <c r="AH597" s="73">
        <f>cadangan[[#This Row],[Profit Diskon A]]+cadangan[[#This Row],[Profit Diskon B]]+cadangan[[#This Row],[Profit Diskon C]]</f>
        <v>277500</v>
      </c>
      <c r="AI597" s="23" t="s">
        <v>13</v>
      </c>
      <c r="AJ597" s="37">
        <f>IFERROR(INDEX('Kode Diskon'!$D$3:$D$9,MATCH(cadangan[[#This Row],[Kode diskon]],'Kode Diskon'!$C$3:$C$9,0)),"-")</f>
        <v>0.15</v>
      </c>
      <c r="AK597" s="23" t="s">
        <v>29</v>
      </c>
      <c r="AL597" s="23" t="s">
        <v>7</v>
      </c>
      <c r="AM597" s="23" t="s">
        <v>77</v>
      </c>
      <c r="AN597" s="55">
        <v>45020</v>
      </c>
      <c r="AO597" s="53">
        <f>DAY(cadangan[[#This Row],[Tanggal terjual]])</f>
        <v>4</v>
      </c>
      <c r="AP597" s="21" t="str">
        <f>TEXT(cadangan[[#This Row],[Tanggal terjual]],"dddd")</f>
        <v>Tuesday</v>
      </c>
      <c r="AQ597" s="23" t="str" cm="1">
        <f t="array" ref="AQ5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97" s="61">
        <f>AVERAGE(cadangan[[#This Row],[Rating A]],cadangan[[#This Row],[Rating B]],cadangan[[#This Row],[Rating C]])</f>
        <v>2.5</v>
      </c>
    </row>
    <row r="598" spans="1:44" x14ac:dyDescent="0.2">
      <c r="A598" s="20">
        <v>597</v>
      </c>
      <c r="B598" s="21" t="str">
        <f>_xlfn.CONCAT("ORD-",INDEX(Helper!$B$2:$B$5,MATCH(cadangan[[#This Row],[Marketplace]],Helper!$A$2:$A$5,0)),TEXT(cadangan[[#This Row],[No]],"0000"),"-",TEXT(cadangan[[#This Row],[Tanggal terjual]],"dd/mm/yy"))</f>
        <v>ORD-BL0597-17/04/23</v>
      </c>
      <c r="C598" s="39" t="s">
        <v>59</v>
      </c>
      <c r="D598" s="39" t="str">
        <f>IFERROR(INDEX(Katalog!$A$3:$A$12,MATCH(cadangan[[#This Row],[ItemID A]],Katalog!$C$3:$C$12,0)),"-")</f>
        <v>Pakaian Wanita</v>
      </c>
      <c r="E598" s="39" t="str">
        <f>IFERROR(INDEX(Katalog!$B$3:$B$12,MATCH(cadangan[[#This Row],[ItemID A]],Katalog!$C$3:$C$12,0)),"-")</f>
        <v>Blouse</v>
      </c>
      <c r="F598" s="50">
        <v>1</v>
      </c>
      <c r="G598" s="50">
        <v>5</v>
      </c>
      <c r="H598" s="73">
        <f>IFERROR(INDEX(Katalog!$D$3:$D$12,MATCH(cadangan[[#This Row],[ItemID A]],Katalog!$C$3:$C$12,0))*cadangan[[#This Row],[Qty A]],0)</f>
        <v>150000</v>
      </c>
      <c r="I598" s="73">
        <f>IFERROR(cadangan[[#This Row],[Harga Normal A]]-(cadangan[[#This Row],[Harga Normal A]]*cadangan[[#This Row],[Diskon]]),cadangan[[#This Row],[Harga Normal A]])</f>
        <v>127500</v>
      </c>
      <c r="J598" s="73">
        <f>INDEX(Katalog!$F$3:$F$12,MATCH(cadangan[[#This Row],[ItemID A]],Katalog!$C$3:$C$12,0))*cadangan[[#This Row],[Qty A]]</f>
        <v>50000</v>
      </c>
      <c r="K598" s="73">
        <f>IFERROR(cadangan[[#This Row],[Harga Diskon A]]-INDEX(Katalog!$E$3:$E$12,MATCH(cadangan[[#This Row],[ItemID A]],Katalog!$C$3:$C$12,0))*cadangan[[#This Row],[Qty A]],0)</f>
        <v>27500</v>
      </c>
      <c r="M598" s="39" t="str">
        <f>IFERROR(INDEX(Katalog!$A$3:$A$12,MATCH(cadangan[[#This Row],[ItemID B]],Katalog!$C$3:$C$12,0)),"-")</f>
        <v>-</v>
      </c>
      <c r="N598" s="39" t="str">
        <f>IFERROR(INDEX(Katalog!$B$3:$B$12,MATCH(cadangan[[#This Row],[ItemID B]],Katalog!$C$3:$C$12,0)),"-")</f>
        <v>-</v>
      </c>
      <c r="Q598" s="73">
        <f>IFERROR(INDEX(Katalog!$D$3:$D$12,MATCH(cadangan[[#This Row],[ItemID B]],Katalog!$C$3:$C$12,0))*cadangan[[#This Row],[Qty B]],0)</f>
        <v>0</v>
      </c>
      <c r="R598" s="73">
        <f>IFERROR(cadangan[[#This Row],[Harga Normal B]]-(cadangan[[#This Row],[Harga Normal B]]*cadangan[[#This Row],[Diskon]]),cadangan[[#This Row],[Harga Normal B]])</f>
        <v>0</v>
      </c>
      <c r="S598" s="73">
        <f>IFERROR(INDEX(Katalog!$F$3:$F$12,MATCH(cadangan[[#This Row],[ItemID B]],Katalog!$C$3:$C$12,0))*cadangan[[#This Row],[Qty B]],0)</f>
        <v>0</v>
      </c>
      <c r="T598" s="73">
        <f>IFERROR(cadangan[[#This Row],[Harga Diskon B]]-INDEX(Katalog!$E$3:$E$12,MATCH(cadangan[[#This Row],[ItemID B]],Katalog!$C$3:$C$12,0))*cadangan[[#This Row],[Qty B]],0)</f>
        <v>0</v>
      </c>
      <c r="V598" s="39" t="str">
        <f>IFERROR(INDEX(Katalog!$A$3:$A$12,MATCH(cadangan[[#This Row],[ItemID C]],Katalog!$C$3:$C$12,0)),"-")</f>
        <v>-</v>
      </c>
      <c r="W598" s="39" t="str">
        <f>IFERROR(INDEX(Katalog!$B$3:$B$12,MATCH(cadangan[[#This Row],[ItemID C]],Katalog!$C$3:$C$12,0)),"-")</f>
        <v>-</v>
      </c>
      <c r="Z598" s="73">
        <f>IFERROR(INDEX(Katalog!$D$3:$D$12,MATCH(cadangan[[#This Row],[ItemID C]],Katalog!$C$3:$C$12,0))*cadangan[[#This Row],[Qty C]],0)</f>
        <v>0</v>
      </c>
      <c r="AA598" s="73">
        <f>IFERROR(cadangan[[#This Row],[Harga Normal C]]-(cadangan[[#This Row],[Harga Normal C]]*cadangan[[#This Row],[Diskon]]),cadangan[[#This Row],[Harga Normal C]])</f>
        <v>0</v>
      </c>
      <c r="AB598" s="73">
        <f>IFERROR(INDEX(Katalog!$F$3:$F$12,MATCH(cadangan[[#This Row],[ItemID C]],Katalog!$C$3:$C$12,0))*cadangan[[#This Row],[Qty C]],0)</f>
        <v>0</v>
      </c>
      <c r="AC598" s="73">
        <f>IFERROR(cadangan[[#This Row],[Harga Diskon C]]-INDEX(Katalog!$E$3:$E$12,MATCH(cadangan[[#This Row],[ItemID C]],Katalog!$C$3:$C$12,0))*cadangan[[#This Row],[Qty C]],0)</f>
        <v>0</v>
      </c>
      <c r="AD598" s="53">
        <f>cadangan[[#This Row],[Qty A]]+cadangan[[#This Row],[Qty B]]+cadangan[[#This Row],[Qty C]]</f>
        <v>1</v>
      </c>
      <c r="AE598" s="73">
        <f>cadangan[[#This Row],[Harga Normal A]]+cadangan[[#This Row],[Harga Normal B]]+cadangan[[#This Row],[Harga Normal C]]</f>
        <v>150000</v>
      </c>
      <c r="AF598" s="73">
        <f>cadangan[[#This Row],[Harga Diskon A]]+cadangan[[#This Row],[Harga Diskon B]]+cadangan[[#This Row],[Harga Diskon C]]</f>
        <v>127500</v>
      </c>
      <c r="AG598" s="73">
        <f>(cadangan[[#This Row],[Profit Normal A]]+cadangan[[#This Row],[Profit Normal B]]+cadangan[[#This Row],[Profit Normal C]])</f>
        <v>50000</v>
      </c>
      <c r="AH598" s="73">
        <f>cadangan[[#This Row],[Profit Diskon A]]+cadangan[[#This Row],[Profit Diskon B]]+cadangan[[#This Row],[Profit Diskon C]]</f>
        <v>27500</v>
      </c>
      <c r="AI598" s="23" t="s">
        <v>32</v>
      </c>
      <c r="AJ598" s="37">
        <f>IFERROR(INDEX('Kode Diskon'!$D$3:$D$9,MATCH(cadangan[[#This Row],[Kode diskon]],'Kode Diskon'!$C$3:$C$9,0)),"-")</f>
        <v>0.15</v>
      </c>
      <c r="AK598" s="23" t="s">
        <v>9</v>
      </c>
      <c r="AL598" s="23" t="s">
        <v>12</v>
      </c>
      <c r="AM598" s="23" t="s">
        <v>75</v>
      </c>
      <c r="AN598" s="55">
        <v>45033</v>
      </c>
      <c r="AO598" s="53">
        <f>DAY(cadangan[[#This Row],[Tanggal terjual]])</f>
        <v>17</v>
      </c>
      <c r="AP598" s="21" t="str">
        <f>TEXT(cadangan[[#This Row],[Tanggal terjual]],"dddd")</f>
        <v>Monday</v>
      </c>
      <c r="AQ598" s="23" t="str" cm="1">
        <f t="array" ref="AQ5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598" s="61">
        <f>AVERAGE(cadangan[[#This Row],[Rating A]],cadangan[[#This Row],[Rating B]],cadangan[[#This Row],[Rating C]])</f>
        <v>5</v>
      </c>
    </row>
    <row r="599" spans="1:44" x14ac:dyDescent="0.2">
      <c r="A599" s="20">
        <v>598</v>
      </c>
      <c r="B599" s="21" t="str">
        <f>_xlfn.CONCAT("ORD-",INDEX(Helper!$B$2:$B$5,MATCH(cadangan[[#This Row],[Marketplace]],Helper!$A$2:$A$5,0)),TEXT(cadangan[[#This Row],[No]],"0000"),"-",TEXT(cadangan[[#This Row],[Tanggal terjual]],"dd/mm/yy"))</f>
        <v>ORD-BB0598-01/04/23</v>
      </c>
      <c r="C599" s="39" t="s">
        <v>63</v>
      </c>
      <c r="D599" s="39" t="str">
        <f>IFERROR(INDEX(Katalog!$A$3:$A$12,MATCH(cadangan[[#This Row],[ItemID A]],Katalog!$C$3:$C$12,0)),"-")</f>
        <v>Pakaian Pria</v>
      </c>
      <c r="E599" s="39" t="str">
        <f>IFERROR(INDEX(Katalog!$B$3:$B$12,MATCH(cadangan[[#This Row],[ItemID A]],Katalog!$C$3:$C$12,0)),"-")</f>
        <v>Jaket Jeans</v>
      </c>
      <c r="F599" s="50">
        <v>4</v>
      </c>
      <c r="G599" s="50">
        <v>3</v>
      </c>
      <c r="H599" s="73">
        <f>IFERROR(INDEX(Katalog!$D$3:$D$12,MATCH(cadangan[[#This Row],[ItemID A]],Katalog!$C$3:$C$12,0))*cadangan[[#This Row],[Qty A]],0)</f>
        <v>1600000</v>
      </c>
      <c r="I599" s="73">
        <f>IFERROR(cadangan[[#This Row],[Harga Normal A]]-(cadangan[[#This Row],[Harga Normal A]]*cadangan[[#This Row],[Diskon]]),cadangan[[#This Row],[Harga Normal A]])</f>
        <v>1360000</v>
      </c>
      <c r="J599" s="73">
        <f>INDEX(Katalog!$F$3:$F$12,MATCH(cadangan[[#This Row],[ItemID A]],Katalog!$C$3:$C$12,0))*cadangan[[#This Row],[Qty A]]</f>
        <v>600000</v>
      </c>
      <c r="K599" s="73">
        <f>IFERROR(cadangan[[#This Row],[Harga Diskon A]]-INDEX(Katalog!$E$3:$E$12,MATCH(cadangan[[#This Row],[ItemID A]],Katalog!$C$3:$C$12,0))*cadangan[[#This Row],[Qty A]],0)</f>
        <v>360000</v>
      </c>
      <c r="M599" s="39" t="str">
        <f>IFERROR(INDEX(Katalog!$A$3:$A$12,MATCH(cadangan[[#This Row],[ItemID B]],Katalog!$C$3:$C$12,0)),"-")</f>
        <v>-</v>
      </c>
      <c r="N599" s="39" t="str">
        <f>IFERROR(INDEX(Katalog!$B$3:$B$12,MATCH(cadangan[[#This Row],[ItemID B]],Katalog!$C$3:$C$12,0)),"-")</f>
        <v>-</v>
      </c>
      <c r="Q599" s="73">
        <f>IFERROR(INDEX(Katalog!$D$3:$D$12,MATCH(cadangan[[#This Row],[ItemID B]],Katalog!$C$3:$C$12,0))*cadangan[[#This Row],[Qty B]],0)</f>
        <v>0</v>
      </c>
      <c r="R599" s="73">
        <f>IFERROR(cadangan[[#This Row],[Harga Normal B]]-(cadangan[[#This Row],[Harga Normal B]]*cadangan[[#This Row],[Diskon]]),cadangan[[#This Row],[Harga Normal B]])</f>
        <v>0</v>
      </c>
      <c r="S599" s="73">
        <f>IFERROR(INDEX(Katalog!$F$3:$F$12,MATCH(cadangan[[#This Row],[ItemID B]],Katalog!$C$3:$C$12,0))*cadangan[[#This Row],[Qty B]],0)</f>
        <v>0</v>
      </c>
      <c r="T599" s="73">
        <f>IFERROR(cadangan[[#This Row],[Harga Diskon B]]-INDEX(Katalog!$E$3:$E$12,MATCH(cadangan[[#This Row],[ItemID B]],Katalog!$C$3:$C$12,0))*cadangan[[#This Row],[Qty B]],0)</f>
        <v>0</v>
      </c>
      <c r="V599" s="39" t="str">
        <f>IFERROR(INDEX(Katalog!$A$3:$A$12,MATCH(cadangan[[#This Row],[ItemID C]],Katalog!$C$3:$C$12,0)),"-")</f>
        <v>-</v>
      </c>
      <c r="W599" s="39" t="str">
        <f>IFERROR(INDEX(Katalog!$B$3:$B$12,MATCH(cadangan[[#This Row],[ItemID C]],Katalog!$C$3:$C$12,0)),"-")</f>
        <v>-</v>
      </c>
      <c r="Z599" s="73">
        <f>IFERROR(INDEX(Katalog!$D$3:$D$12,MATCH(cadangan[[#This Row],[ItemID C]],Katalog!$C$3:$C$12,0))*cadangan[[#This Row],[Qty C]],0)</f>
        <v>0</v>
      </c>
      <c r="AA599" s="73">
        <f>IFERROR(cadangan[[#This Row],[Harga Normal C]]-(cadangan[[#This Row],[Harga Normal C]]*cadangan[[#This Row],[Diskon]]),cadangan[[#This Row],[Harga Normal C]])</f>
        <v>0</v>
      </c>
      <c r="AB599" s="73">
        <f>IFERROR(INDEX(Katalog!$F$3:$F$12,MATCH(cadangan[[#This Row],[ItemID C]],Katalog!$C$3:$C$12,0))*cadangan[[#This Row],[Qty C]],0)</f>
        <v>0</v>
      </c>
      <c r="AC599" s="73">
        <f>IFERROR(cadangan[[#This Row],[Harga Diskon C]]-INDEX(Katalog!$E$3:$E$12,MATCH(cadangan[[#This Row],[ItemID C]],Katalog!$C$3:$C$12,0))*cadangan[[#This Row],[Qty C]],0)</f>
        <v>0</v>
      </c>
      <c r="AD599" s="53">
        <f>cadangan[[#This Row],[Qty A]]+cadangan[[#This Row],[Qty B]]+cadangan[[#This Row],[Qty C]]</f>
        <v>4</v>
      </c>
      <c r="AE599" s="73">
        <f>cadangan[[#This Row],[Harga Normal A]]+cadangan[[#This Row],[Harga Normal B]]+cadangan[[#This Row],[Harga Normal C]]</f>
        <v>1600000</v>
      </c>
      <c r="AF599" s="73">
        <f>cadangan[[#This Row],[Harga Diskon A]]+cadangan[[#This Row],[Harga Diskon B]]+cadangan[[#This Row],[Harga Diskon C]]</f>
        <v>1360000</v>
      </c>
      <c r="AG599" s="73">
        <f>(cadangan[[#This Row],[Profit Normal A]]+cadangan[[#This Row],[Profit Normal B]]+cadangan[[#This Row],[Profit Normal C]])</f>
        <v>600000</v>
      </c>
      <c r="AH599" s="73">
        <f>cadangan[[#This Row],[Profit Diskon A]]+cadangan[[#This Row],[Profit Diskon B]]+cadangan[[#This Row],[Profit Diskon C]]</f>
        <v>360000</v>
      </c>
      <c r="AI599" s="23" t="s">
        <v>28</v>
      </c>
      <c r="AJ599" s="37">
        <f>IFERROR(INDEX('Kode Diskon'!$D$3:$D$9,MATCH(cadangan[[#This Row],[Kode diskon]],'Kode Diskon'!$C$3:$C$9,0)),"-")</f>
        <v>0.15</v>
      </c>
      <c r="AK599" s="23" t="s">
        <v>29</v>
      </c>
      <c r="AL599" s="23" t="s">
        <v>14</v>
      </c>
      <c r="AM599" s="23" t="s">
        <v>80</v>
      </c>
      <c r="AN599" s="55">
        <v>45017</v>
      </c>
      <c r="AO599" s="53">
        <f>DAY(cadangan[[#This Row],[Tanggal terjual]])</f>
        <v>1</v>
      </c>
      <c r="AP599" s="21" t="str">
        <f>TEXT(cadangan[[#This Row],[Tanggal terjual]],"dddd")</f>
        <v>Saturday</v>
      </c>
      <c r="AQ599" s="23" t="str" cm="1">
        <f t="array" ref="AQ5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599" s="61">
        <f>AVERAGE(cadangan[[#This Row],[Rating A]],cadangan[[#This Row],[Rating B]],cadangan[[#This Row],[Rating C]])</f>
        <v>3</v>
      </c>
    </row>
    <row r="600" spans="1:44" x14ac:dyDescent="0.2">
      <c r="A600" s="20">
        <v>599</v>
      </c>
      <c r="B600" s="21" t="str">
        <f>_xlfn.CONCAT("ORD-",INDEX(Helper!$B$2:$B$5,MATCH(cadangan[[#This Row],[Marketplace]],Helper!$A$2:$A$5,0)),TEXT(cadangan[[#This Row],[No]],"0000"),"-",TEXT(cadangan[[#This Row],[Tanggal terjual]],"dd/mm/yy"))</f>
        <v>ORD-SP0599-14/04/23</v>
      </c>
      <c r="C600" s="39" t="s">
        <v>62</v>
      </c>
      <c r="D600" s="39" t="str">
        <f>IFERROR(INDEX(Katalog!$A$3:$A$12,MATCH(cadangan[[#This Row],[ItemID A]],Katalog!$C$3:$C$12,0)),"-")</f>
        <v>Pakaian Pria</v>
      </c>
      <c r="E600" s="39" t="str">
        <f>IFERROR(INDEX(Katalog!$B$3:$B$12,MATCH(cadangan[[#This Row],[ItemID A]],Katalog!$C$3:$C$12,0)),"-")</f>
        <v>Celana Pendek</v>
      </c>
      <c r="F600" s="50">
        <v>3</v>
      </c>
      <c r="G600" s="50">
        <v>5</v>
      </c>
      <c r="H600" s="73">
        <f>IFERROR(INDEX(Katalog!$D$3:$D$12,MATCH(cadangan[[#This Row],[ItemID A]],Katalog!$C$3:$C$12,0))*cadangan[[#This Row],[Qty A]],0)</f>
        <v>540000</v>
      </c>
      <c r="I600" s="73">
        <f>IFERROR(cadangan[[#This Row],[Harga Normal A]]-(cadangan[[#This Row],[Harga Normal A]]*cadangan[[#This Row],[Diskon]]),cadangan[[#This Row],[Harga Normal A]])</f>
        <v>540000</v>
      </c>
      <c r="J600" s="73">
        <f>INDEX(Katalog!$F$3:$F$12,MATCH(cadangan[[#This Row],[ItemID A]],Katalog!$C$3:$C$12,0))*cadangan[[#This Row],[Qty A]]</f>
        <v>210000</v>
      </c>
      <c r="K600" s="73">
        <f>IFERROR(cadangan[[#This Row],[Harga Diskon A]]-INDEX(Katalog!$E$3:$E$12,MATCH(cadangan[[#This Row],[ItemID A]],Katalog!$C$3:$C$12,0))*cadangan[[#This Row],[Qty A]],0)</f>
        <v>210000</v>
      </c>
      <c r="L600" s="39" t="s">
        <v>66</v>
      </c>
      <c r="M600" s="39" t="str">
        <f>IFERROR(INDEX(Katalog!$A$3:$A$12,MATCH(cadangan[[#This Row],[ItemID B]],Katalog!$C$3:$C$12,0)),"-")</f>
        <v>Sepatu Pria</v>
      </c>
      <c r="N600" s="39" t="str">
        <f>IFERROR(INDEX(Katalog!$B$3:$B$12,MATCH(cadangan[[#This Row],[ItemID B]],Katalog!$C$3:$C$12,0)),"-")</f>
        <v>Sandal Slip On</v>
      </c>
      <c r="O600" s="50">
        <v>4</v>
      </c>
      <c r="P600" s="50">
        <v>4</v>
      </c>
      <c r="Q600" s="73">
        <f>IFERROR(INDEX(Katalog!$D$3:$D$12,MATCH(cadangan[[#This Row],[ItemID B]],Katalog!$C$3:$C$12,0))*cadangan[[#This Row],[Qty B]],0)</f>
        <v>600000</v>
      </c>
      <c r="R600" s="73">
        <f>IFERROR(cadangan[[#This Row],[Harga Normal B]]-(cadangan[[#This Row],[Harga Normal B]]*cadangan[[#This Row],[Diskon]]),cadangan[[#This Row],[Harga Normal B]])</f>
        <v>600000</v>
      </c>
      <c r="S600" s="73">
        <f>IFERROR(INDEX(Katalog!$F$3:$F$12,MATCH(cadangan[[#This Row],[ItemID B]],Katalog!$C$3:$C$12,0))*cadangan[[#This Row],[Qty B]],0)</f>
        <v>240000</v>
      </c>
      <c r="T600" s="73">
        <f>IFERROR(cadangan[[#This Row],[Harga Diskon B]]-INDEX(Katalog!$E$3:$E$12,MATCH(cadangan[[#This Row],[ItemID B]],Katalog!$C$3:$C$12,0))*cadangan[[#This Row],[Qty B]],0)</f>
        <v>240000</v>
      </c>
      <c r="V600" s="39" t="str">
        <f>IFERROR(INDEX(Katalog!$A$3:$A$12,MATCH(cadangan[[#This Row],[ItemID C]],Katalog!$C$3:$C$12,0)),"-")</f>
        <v>-</v>
      </c>
      <c r="W600" s="39" t="str">
        <f>IFERROR(INDEX(Katalog!$B$3:$B$12,MATCH(cadangan[[#This Row],[ItemID C]],Katalog!$C$3:$C$12,0)),"-")</f>
        <v>-</v>
      </c>
      <c r="Z600" s="73">
        <f>IFERROR(INDEX(Katalog!$D$3:$D$12,MATCH(cadangan[[#This Row],[ItemID C]],Katalog!$C$3:$C$12,0))*cadangan[[#This Row],[Qty C]],0)</f>
        <v>0</v>
      </c>
      <c r="AA600" s="73">
        <f>IFERROR(cadangan[[#This Row],[Harga Normal C]]-(cadangan[[#This Row],[Harga Normal C]]*cadangan[[#This Row],[Diskon]]),cadangan[[#This Row],[Harga Normal C]])</f>
        <v>0</v>
      </c>
      <c r="AB600" s="73">
        <f>IFERROR(INDEX(Katalog!$F$3:$F$12,MATCH(cadangan[[#This Row],[ItemID C]],Katalog!$C$3:$C$12,0))*cadangan[[#This Row],[Qty C]],0)</f>
        <v>0</v>
      </c>
      <c r="AC600" s="73">
        <f>IFERROR(cadangan[[#This Row],[Harga Diskon C]]-INDEX(Katalog!$E$3:$E$12,MATCH(cadangan[[#This Row],[ItemID C]],Katalog!$C$3:$C$12,0))*cadangan[[#This Row],[Qty C]],0)</f>
        <v>0</v>
      </c>
      <c r="AD600" s="53">
        <f>cadangan[[#This Row],[Qty A]]+cadangan[[#This Row],[Qty B]]+cadangan[[#This Row],[Qty C]]</f>
        <v>7</v>
      </c>
      <c r="AE600" s="73">
        <f>cadangan[[#This Row],[Harga Normal A]]+cadangan[[#This Row],[Harga Normal B]]+cadangan[[#This Row],[Harga Normal C]]</f>
        <v>1140000</v>
      </c>
      <c r="AF600" s="73">
        <f>cadangan[[#This Row],[Harga Diskon A]]+cadangan[[#This Row],[Harga Diskon B]]+cadangan[[#This Row],[Harga Diskon C]]</f>
        <v>1140000</v>
      </c>
      <c r="AG600" s="73">
        <f>(cadangan[[#This Row],[Profit Normal A]]+cadangan[[#This Row],[Profit Normal B]]+cadangan[[#This Row],[Profit Normal C]])</f>
        <v>450000</v>
      </c>
      <c r="AH600" s="73">
        <f>cadangan[[#This Row],[Profit Diskon A]]+cadangan[[#This Row],[Profit Diskon B]]+cadangan[[#This Row],[Profit Diskon C]]</f>
        <v>450000</v>
      </c>
      <c r="AI600" s="23" t="s">
        <v>290</v>
      </c>
      <c r="AJ600" s="37" t="str">
        <f>IFERROR(INDEX('Kode Diskon'!$D$3:$D$9,MATCH(cadangan[[#This Row],[Kode diskon]],'Kode Diskon'!$C$3:$C$9,0)),"-")</f>
        <v>-</v>
      </c>
      <c r="AK600" s="23" t="s">
        <v>290</v>
      </c>
      <c r="AL600" s="23" t="s">
        <v>7</v>
      </c>
      <c r="AM600" s="23" t="s">
        <v>79</v>
      </c>
      <c r="AN600" s="55">
        <v>45030</v>
      </c>
      <c r="AO600" s="53">
        <f>DAY(cadangan[[#This Row],[Tanggal terjual]])</f>
        <v>14</v>
      </c>
      <c r="AP600" s="21" t="str">
        <f>TEXT(cadangan[[#This Row],[Tanggal terjual]],"dddd")</f>
        <v>Friday</v>
      </c>
      <c r="AQ600" s="23" t="str" cm="1">
        <f t="array" ref="AQ6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00" s="61">
        <f>AVERAGE(cadangan[[#This Row],[Rating A]],cadangan[[#This Row],[Rating B]],cadangan[[#This Row],[Rating C]])</f>
        <v>4.5</v>
      </c>
    </row>
    <row r="601" spans="1:44" x14ac:dyDescent="0.2">
      <c r="A601" s="20">
        <v>600</v>
      </c>
      <c r="B601" s="21" t="str">
        <f>_xlfn.CONCAT("ORD-",INDEX(Helper!$B$2:$B$5,MATCH(cadangan[[#This Row],[Marketplace]],Helper!$A$2:$A$5,0)),TEXT(cadangan[[#This Row],[No]],"0000"),"-",TEXT(cadangan[[#This Row],[Tanggal terjual]],"dd/mm/yy"))</f>
        <v>ORD-TK0600-05/04/23</v>
      </c>
      <c r="C601" s="39" t="s">
        <v>62</v>
      </c>
      <c r="D601" s="39" t="str">
        <f>IFERROR(INDEX(Katalog!$A$3:$A$12,MATCH(cadangan[[#This Row],[ItemID A]],Katalog!$C$3:$C$12,0)),"-")</f>
        <v>Pakaian Pria</v>
      </c>
      <c r="E601" s="39" t="str">
        <f>IFERROR(INDEX(Katalog!$B$3:$B$12,MATCH(cadangan[[#This Row],[ItemID A]],Katalog!$C$3:$C$12,0)),"-")</f>
        <v>Celana Pendek</v>
      </c>
      <c r="F601" s="50">
        <v>1</v>
      </c>
      <c r="G601" s="50">
        <v>1</v>
      </c>
      <c r="H601" s="73">
        <f>IFERROR(INDEX(Katalog!$D$3:$D$12,MATCH(cadangan[[#This Row],[ItemID A]],Katalog!$C$3:$C$12,0))*cadangan[[#This Row],[Qty A]],0)</f>
        <v>180000</v>
      </c>
      <c r="I601" s="73">
        <f>IFERROR(cadangan[[#This Row],[Harga Normal A]]-(cadangan[[#This Row],[Harga Normal A]]*cadangan[[#This Row],[Diskon]]),cadangan[[#This Row],[Harga Normal A]])</f>
        <v>162000</v>
      </c>
      <c r="J601" s="73">
        <f>INDEX(Katalog!$F$3:$F$12,MATCH(cadangan[[#This Row],[ItemID A]],Katalog!$C$3:$C$12,0))*cadangan[[#This Row],[Qty A]]</f>
        <v>70000</v>
      </c>
      <c r="K601" s="73">
        <f>IFERROR(cadangan[[#This Row],[Harga Diskon A]]-INDEX(Katalog!$E$3:$E$12,MATCH(cadangan[[#This Row],[ItemID A]],Katalog!$C$3:$C$12,0))*cadangan[[#This Row],[Qty A]],0)</f>
        <v>52000</v>
      </c>
      <c r="M601" s="39" t="str">
        <f>IFERROR(INDEX(Katalog!$A$3:$A$12,MATCH(cadangan[[#This Row],[ItemID B]],Katalog!$C$3:$C$12,0)),"-")</f>
        <v>-</v>
      </c>
      <c r="N601" s="39" t="str">
        <f>IFERROR(INDEX(Katalog!$B$3:$B$12,MATCH(cadangan[[#This Row],[ItemID B]],Katalog!$C$3:$C$12,0)),"-")</f>
        <v>-</v>
      </c>
      <c r="Q601" s="73">
        <f>IFERROR(INDEX(Katalog!$D$3:$D$12,MATCH(cadangan[[#This Row],[ItemID B]],Katalog!$C$3:$C$12,0))*cadangan[[#This Row],[Qty B]],0)</f>
        <v>0</v>
      </c>
      <c r="R601" s="73">
        <f>IFERROR(cadangan[[#This Row],[Harga Normal B]]-(cadangan[[#This Row],[Harga Normal B]]*cadangan[[#This Row],[Diskon]]),cadangan[[#This Row],[Harga Normal B]])</f>
        <v>0</v>
      </c>
      <c r="S601" s="73">
        <f>IFERROR(INDEX(Katalog!$F$3:$F$12,MATCH(cadangan[[#This Row],[ItemID B]],Katalog!$C$3:$C$12,0))*cadangan[[#This Row],[Qty B]],0)</f>
        <v>0</v>
      </c>
      <c r="T601" s="73">
        <f>IFERROR(cadangan[[#This Row],[Harga Diskon B]]-INDEX(Katalog!$E$3:$E$12,MATCH(cadangan[[#This Row],[ItemID B]],Katalog!$C$3:$C$12,0))*cadangan[[#This Row],[Qty B]],0)</f>
        <v>0</v>
      </c>
      <c r="V601" s="39" t="str">
        <f>IFERROR(INDEX(Katalog!$A$3:$A$12,MATCH(cadangan[[#This Row],[ItemID C]],Katalog!$C$3:$C$12,0)),"-")</f>
        <v>-</v>
      </c>
      <c r="W601" s="39" t="str">
        <f>IFERROR(INDEX(Katalog!$B$3:$B$12,MATCH(cadangan[[#This Row],[ItemID C]],Katalog!$C$3:$C$12,0)),"-")</f>
        <v>-</v>
      </c>
      <c r="Z601" s="73">
        <f>IFERROR(INDEX(Katalog!$D$3:$D$12,MATCH(cadangan[[#This Row],[ItemID C]],Katalog!$C$3:$C$12,0))*cadangan[[#This Row],[Qty C]],0)</f>
        <v>0</v>
      </c>
      <c r="AA601" s="73">
        <f>IFERROR(cadangan[[#This Row],[Harga Normal C]]-(cadangan[[#This Row],[Harga Normal C]]*cadangan[[#This Row],[Diskon]]),cadangan[[#This Row],[Harga Normal C]])</f>
        <v>0</v>
      </c>
      <c r="AB601" s="73">
        <f>IFERROR(INDEX(Katalog!$F$3:$F$12,MATCH(cadangan[[#This Row],[ItemID C]],Katalog!$C$3:$C$12,0))*cadangan[[#This Row],[Qty C]],0)</f>
        <v>0</v>
      </c>
      <c r="AC601" s="73">
        <f>IFERROR(cadangan[[#This Row],[Harga Diskon C]]-INDEX(Katalog!$E$3:$E$12,MATCH(cadangan[[#This Row],[ItemID C]],Katalog!$C$3:$C$12,0))*cadangan[[#This Row],[Qty C]],0)</f>
        <v>0</v>
      </c>
      <c r="AD601" s="53">
        <f>cadangan[[#This Row],[Qty A]]+cadangan[[#This Row],[Qty B]]+cadangan[[#This Row],[Qty C]]</f>
        <v>1</v>
      </c>
      <c r="AE601" s="73">
        <f>cadangan[[#This Row],[Harga Normal A]]+cadangan[[#This Row],[Harga Normal B]]+cadangan[[#This Row],[Harga Normal C]]</f>
        <v>180000</v>
      </c>
      <c r="AF601" s="73">
        <f>cadangan[[#This Row],[Harga Diskon A]]+cadangan[[#This Row],[Harga Diskon B]]+cadangan[[#This Row],[Harga Diskon C]]</f>
        <v>162000</v>
      </c>
      <c r="AG601" s="73">
        <f>(cadangan[[#This Row],[Profit Normal A]]+cadangan[[#This Row],[Profit Normal B]]+cadangan[[#This Row],[Profit Normal C]])</f>
        <v>70000</v>
      </c>
      <c r="AH601" s="73">
        <f>cadangan[[#This Row],[Profit Diskon A]]+cadangan[[#This Row],[Profit Diskon B]]+cadangan[[#This Row],[Profit Diskon C]]</f>
        <v>52000</v>
      </c>
      <c r="AI601" s="23" t="s">
        <v>30</v>
      </c>
      <c r="AJ601" s="37">
        <f>IFERROR(INDEX('Kode Diskon'!$D$3:$D$9,MATCH(cadangan[[#This Row],[Kode diskon]],'Kode Diskon'!$C$3:$C$9,0)),"-")</f>
        <v>0.1</v>
      </c>
      <c r="AK601" s="23" t="s">
        <v>29</v>
      </c>
      <c r="AL601" s="23" t="s">
        <v>10</v>
      </c>
      <c r="AM601" s="23" t="s">
        <v>80</v>
      </c>
      <c r="AN601" s="55">
        <v>45021</v>
      </c>
      <c r="AO601" s="53">
        <f>DAY(cadangan[[#This Row],[Tanggal terjual]])</f>
        <v>5</v>
      </c>
      <c r="AP601" s="21" t="str">
        <f>TEXT(cadangan[[#This Row],[Tanggal terjual]],"dddd")</f>
        <v>Wednesday</v>
      </c>
      <c r="AQ601" s="23" t="str" cm="1">
        <f t="array" ref="AQ6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01" s="61">
        <f>AVERAGE(cadangan[[#This Row],[Rating A]],cadangan[[#This Row],[Rating B]],cadangan[[#This Row],[Rating C]])</f>
        <v>1</v>
      </c>
    </row>
    <row r="602" spans="1:44" x14ac:dyDescent="0.2">
      <c r="A602" s="20">
        <v>601</v>
      </c>
      <c r="B602" s="21" t="str">
        <f>_xlfn.CONCAT("ORD-",INDEX(Helper!$B$2:$B$5,MATCH(cadangan[[#This Row],[Marketplace]],Helper!$A$2:$A$5,0)),TEXT(cadangan[[#This Row],[No]],"0000"),"-",TEXT(cadangan[[#This Row],[Tanggal terjual]],"dd/mm/yy"))</f>
        <v>ORD-SP0601-27/04/23</v>
      </c>
      <c r="C602" s="39" t="s">
        <v>60</v>
      </c>
      <c r="D602" s="39" t="str">
        <f>IFERROR(INDEX(Katalog!$A$3:$A$12,MATCH(cadangan[[#This Row],[ItemID A]],Katalog!$C$3:$C$12,0)),"-")</f>
        <v>Pakaian Wanita</v>
      </c>
      <c r="E602" s="39" t="str">
        <f>IFERROR(INDEX(Katalog!$B$3:$B$12,MATCH(cadangan[[#This Row],[ItemID A]],Katalog!$C$3:$C$12,0)),"-")</f>
        <v>Kaftan</v>
      </c>
      <c r="F602" s="50">
        <v>1</v>
      </c>
      <c r="G602" s="50">
        <v>1</v>
      </c>
      <c r="H602" s="73">
        <f>IFERROR(INDEX(Katalog!$D$3:$D$12,MATCH(cadangan[[#This Row],[ItemID A]],Katalog!$C$3:$C$12,0))*cadangan[[#This Row],[Qty A]],0)</f>
        <v>250000</v>
      </c>
      <c r="I602" s="73">
        <f>IFERROR(cadangan[[#This Row],[Harga Normal A]]-(cadangan[[#This Row],[Harga Normal A]]*cadangan[[#This Row],[Diskon]]),cadangan[[#This Row],[Harga Normal A]])</f>
        <v>200000</v>
      </c>
      <c r="J602" s="73">
        <f>INDEX(Katalog!$F$3:$F$12,MATCH(cadangan[[#This Row],[ItemID A]],Katalog!$C$3:$C$12,0))*cadangan[[#This Row],[Qty A]]</f>
        <v>100000</v>
      </c>
      <c r="K602" s="73">
        <f>IFERROR(cadangan[[#This Row],[Harga Diskon A]]-INDEX(Katalog!$E$3:$E$12,MATCH(cadangan[[#This Row],[ItemID A]],Katalog!$C$3:$C$12,0))*cadangan[[#This Row],[Qty A]],0)</f>
        <v>50000</v>
      </c>
      <c r="L602" s="39" t="s">
        <v>58</v>
      </c>
      <c r="M602" s="39" t="str">
        <f>IFERROR(INDEX(Katalog!$A$3:$A$12,MATCH(cadangan[[#This Row],[ItemID B]],Katalog!$C$3:$C$12,0)),"-")</f>
        <v>Pakaian Wanita</v>
      </c>
      <c r="N602" s="39" t="str">
        <f>IFERROR(INDEX(Katalog!$B$3:$B$12,MATCH(cadangan[[#This Row],[ItemID B]],Katalog!$C$3:$C$12,0)),"-")</f>
        <v>Dress</v>
      </c>
      <c r="O602" s="50">
        <v>2</v>
      </c>
      <c r="P602" s="50">
        <v>3</v>
      </c>
      <c r="Q602" s="73">
        <f>IFERROR(INDEX(Katalog!$D$3:$D$12,MATCH(cadangan[[#This Row],[ItemID B]],Katalog!$C$3:$C$12,0))*cadangan[[#This Row],[Qty B]],0)</f>
        <v>600000</v>
      </c>
      <c r="R602" s="73">
        <f>IFERROR(cadangan[[#This Row],[Harga Normal B]]-(cadangan[[#This Row],[Harga Normal B]]*cadangan[[#This Row],[Diskon]]),cadangan[[#This Row],[Harga Normal B]])</f>
        <v>480000</v>
      </c>
      <c r="S602" s="73">
        <f>IFERROR(INDEX(Katalog!$F$3:$F$12,MATCH(cadangan[[#This Row],[ItemID B]],Katalog!$C$3:$C$12,0))*cadangan[[#This Row],[Qty B]],0)</f>
        <v>200000</v>
      </c>
      <c r="T602" s="73">
        <f>IFERROR(cadangan[[#This Row],[Harga Diskon B]]-INDEX(Katalog!$E$3:$E$12,MATCH(cadangan[[#This Row],[ItemID B]],Katalog!$C$3:$C$12,0))*cadangan[[#This Row],[Qty B]],0)</f>
        <v>80000</v>
      </c>
      <c r="U602" s="39" t="s">
        <v>61</v>
      </c>
      <c r="V602" s="39" t="str">
        <f>IFERROR(INDEX(Katalog!$A$3:$A$12,MATCH(cadangan[[#This Row],[ItemID C]],Katalog!$C$3:$C$12,0)),"-")</f>
        <v>Pakaian Pria</v>
      </c>
      <c r="W602" s="39" t="str">
        <f>IFERROR(INDEX(Katalog!$B$3:$B$12,MATCH(cadangan[[#This Row],[ItemID C]],Katalog!$C$3:$C$12,0)),"-")</f>
        <v>Kaos Polo</v>
      </c>
      <c r="X602" s="50">
        <v>3</v>
      </c>
      <c r="Y602" s="50">
        <v>4</v>
      </c>
      <c r="Z602" s="73">
        <f>IFERROR(INDEX(Katalog!$D$3:$D$12,MATCH(cadangan[[#This Row],[ItemID C]],Katalog!$C$3:$C$12,0))*cadangan[[#This Row],[Qty C]],0)</f>
        <v>600000</v>
      </c>
      <c r="AA602" s="73">
        <f>IFERROR(cadangan[[#This Row],[Harga Normal C]]-(cadangan[[#This Row],[Harga Normal C]]*cadangan[[#This Row],[Diskon]]),cadangan[[#This Row],[Harga Normal C]])</f>
        <v>480000</v>
      </c>
      <c r="AB602" s="73">
        <f>IFERROR(INDEX(Katalog!$F$3:$F$12,MATCH(cadangan[[#This Row],[ItemID C]],Katalog!$C$3:$C$12,0))*cadangan[[#This Row],[Qty C]],0)</f>
        <v>240000</v>
      </c>
      <c r="AC602" s="73">
        <f>IFERROR(cadangan[[#This Row],[Harga Diskon C]]-INDEX(Katalog!$E$3:$E$12,MATCH(cadangan[[#This Row],[ItemID C]],Katalog!$C$3:$C$12,0))*cadangan[[#This Row],[Qty C]],0)</f>
        <v>120000</v>
      </c>
      <c r="AD602" s="53">
        <f>cadangan[[#This Row],[Qty A]]+cadangan[[#This Row],[Qty B]]+cadangan[[#This Row],[Qty C]]</f>
        <v>6</v>
      </c>
      <c r="AE602" s="73">
        <f>cadangan[[#This Row],[Harga Normal A]]+cadangan[[#This Row],[Harga Normal B]]+cadangan[[#This Row],[Harga Normal C]]</f>
        <v>1450000</v>
      </c>
      <c r="AF602" s="73">
        <f>cadangan[[#This Row],[Harga Diskon A]]+cadangan[[#This Row],[Harga Diskon B]]+cadangan[[#This Row],[Harga Diskon C]]</f>
        <v>1160000</v>
      </c>
      <c r="AG602" s="73">
        <f>(cadangan[[#This Row],[Profit Normal A]]+cadangan[[#This Row],[Profit Normal B]]+cadangan[[#This Row],[Profit Normal C]])</f>
        <v>540000</v>
      </c>
      <c r="AH602" s="73">
        <f>cadangan[[#This Row],[Profit Diskon A]]+cadangan[[#This Row],[Profit Diskon B]]+cadangan[[#This Row],[Profit Diskon C]]</f>
        <v>250000</v>
      </c>
      <c r="AI602" s="23" t="s">
        <v>8</v>
      </c>
      <c r="AJ602" s="37">
        <f>IFERROR(INDEX('Kode Diskon'!$D$3:$D$9,MATCH(cadangan[[#This Row],[Kode diskon]],'Kode Diskon'!$C$3:$C$9,0)),"-")</f>
        <v>0.2</v>
      </c>
      <c r="AK602" s="23" t="s">
        <v>9</v>
      </c>
      <c r="AL602" s="23" t="s">
        <v>7</v>
      </c>
      <c r="AM602" s="23" t="s">
        <v>80</v>
      </c>
      <c r="AN602" s="55">
        <v>45043</v>
      </c>
      <c r="AO602" s="53">
        <f>DAY(cadangan[[#This Row],[Tanggal terjual]])</f>
        <v>27</v>
      </c>
      <c r="AP602" s="21" t="str">
        <f>TEXT(cadangan[[#This Row],[Tanggal terjual]],"dddd")</f>
        <v>Thursday</v>
      </c>
      <c r="AQ602" s="23" t="str" cm="1">
        <f t="array" ref="AQ6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02" s="61">
        <f>AVERAGE(cadangan[[#This Row],[Rating A]],cadangan[[#This Row],[Rating B]],cadangan[[#This Row],[Rating C]])</f>
        <v>2.6666666666666665</v>
      </c>
    </row>
    <row r="603" spans="1:44" x14ac:dyDescent="0.2">
      <c r="A603" s="20">
        <v>602</v>
      </c>
      <c r="B603" s="21" t="str">
        <f>_xlfn.CONCAT("ORD-",INDEX(Helper!$B$2:$B$5,MATCH(cadangan[[#This Row],[Marketplace]],Helper!$A$2:$A$5,0)),TEXT(cadangan[[#This Row],[No]],"0000"),"-",TEXT(cadangan[[#This Row],[Tanggal terjual]],"dd/mm/yy"))</f>
        <v>ORD-SP0602-13/04/23</v>
      </c>
      <c r="C603" s="39" t="s">
        <v>63</v>
      </c>
      <c r="D603" s="39" t="str">
        <f>IFERROR(INDEX(Katalog!$A$3:$A$12,MATCH(cadangan[[#This Row],[ItemID A]],Katalog!$C$3:$C$12,0)),"-")</f>
        <v>Pakaian Pria</v>
      </c>
      <c r="E603" s="39" t="str">
        <f>IFERROR(INDEX(Katalog!$B$3:$B$12,MATCH(cadangan[[#This Row],[ItemID A]],Katalog!$C$3:$C$12,0)),"-")</f>
        <v>Jaket Jeans</v>
      </c>
      <c r="F603" s="50">
        <v>5</v>
      </c>
      <c r="G603" s="50">
        <v>3</v>
      </c>
      <c r="H603" s="73">
        <f>IFERROR(INDEX(Katalog!$D$3:$D$12,MATCH(cadangan[[#This Row],[ItemID A]],Katalog!$C$3:$C$12,0))*cadangan[[#This Row],[Qty A]],0)</f>
        <v>2000000</v>
      </c>
      <c r="I603" s="73">
        <f>IFERROR(cadangan[[#This Row],[Harga Normal A]]-(cadangan[[#This Row],[Harga Normal A]]*cadangan[[#This Row],[Diskon]]),cadangan[[#This Row],[Harga Normal A]])</f>
        <v>2000000</v>
      </c>
      <c r="J603" s="73">
        <f>INDEX(Katalog!$F$3:$F$12,MATCH(cadangan[[#This Row],[ItemID A]],Katalog!$C$3:$C$12,0))*cadangan[[#This Row],[Qty A]]</f>
        <v>750000</v>
      </c>
      <c r="K603" s="73">
        <f>IFERROR(cadangan[[#This Row],[Harga Diskon A]]-INDEX(Katalog!$E$3:$E$12,MATCH(cadangan[[#This Row],[ItemID A]],Katalog!$C$3:$C$12,0))*cadangan[[#This Row],[Qty A]],0)</f>
        <v>750000</v>
      </c>
      <c r="L603" s="39" t="s">
        <v>67</v>
      </c>
      <c r="M603" s="39" t="str">
        <f>IFERROR(INDEX(Katalog!$A$3:$A$12,MATCH(cadangan[[#This Row],[ItemID B]],Katalog!$C$3:$C$12,0)),"-")</f>
        <v>Sepatu Wanita</v>
      </c>
      <c r="N603" s="39" t="str">
        <f>IFERROR(INDEX(Katalog!$B$3:$B$12,MATCH(cadangan[[#This Row],[ItemID B]],Katalog!$C$3:$C$12,0)),"-")</f>
        <v>Flat Shoes</v>
      </c>
      <c r="O603" s="50">
        <v>1</v>
      </c>
      <c r="P603" s="50">
        <v>3</v>
      </c>
      <c r="Q603" s="73">
        <f>IFERROR(INDEX(Katalog!$D$3:$D$12,MATCH(cadangan[[#This Row],[ItemID B]],Katalog!$C$3:$C$12,0))*cadangan[[#This Row],[Qty B]],0)</f>
        <v>250000</v>
      </c>
      <c r="R603" s="73">
        <f>IFERROR(cadangan[[#This Row],[Harga Normal B]]-(cadangan[[#This Row],[Harga Normal B]]*cadangan[[#This Row],[Diskon]]),cadangan[[#This Row],[Harga Normal B]])</f>
        <v>250000</v>
      </c>
      <c r="S603" s="73">
        <f>IFERROR(INDEX(Katalog!$F$3:$F$12,MATCH(cadangan[[#This Row],[ItemID B]],Katalog!$C$3:$C$12,0))*cadangan[[#This Row],[Qty B]],0)</f>
        <v>100000</v>
      </c>
      <c r="T603" s="73">
        <f>IFERROR(cadangan[[#This Row],[Harga Diskon B]]-INDEX(Katalog!$E$3:$E$12,MATCH(cadangan[[#This Row],[ItemID B]],Katalog!$C$3:$C$12,0))*cadangan[[#This Row],[Qty B]],0)</f>
        <v>100000</v>
      </c>
      <c r="V603" s="39" t="str">
        <f>IFERROR(INDEX(Katalog!$A$3:$A$12,MATCH(cadangan[[#This Row],[ItemID C]],Katalog!$C$3:$C$12,0)),"-")</f>
        <v>-</v>
      </c>
      <c r="W603" s="39" t="str">
        <f>IFERROR(INDEX(Katalog!$B$3:$B$12,MATCH(cadangan[[#This Row],[ItemID C]],Katalog!$C$3:$C$12,0)),"-")</f>
        <v>-</v>
      </c>
      <c r="Z603" s="73">
        <f>IFERROR(INDEX(Katalog!$D$3:$D$12,MATCH(cadangan[[#This Row],[ItemID C]],Katalog!$C$3:$C$12,0))*cadangan[[#This Row],[Qty C]],0)</f>
        <v>0</v>
      </c>
      <c r="AA603" s="73">
        <f>IFERROR(cadangan[[#This Row],[Harga Normal C]]-(cadangan[[#This Row],[Harga Normal C]]*cadangan[[#This Row],[Diskon]]),cadangan[[#This Row],[Harga Normal C]])</f>
        <v>0</v>
      </c>
      <c r="AB603" s="73">
        <f>IFERROR(INDEX(Katalog!$F$3:$F$12,MATCH(cadangan[[#This Row],[ItemID C]],Katalog!$C$3:$C$12,0))*cadangan[[#This Row],[Qty C]],0)</f>
        <v>0</v>
      </c>
      <c r="AC603" s="73">
        <f>IFERROR(cadangan[[#This Row],[Harga Diskon C]]-INDEX(Katalog!$E$3:$E$12,MATCH(cadangan[[#This Row],[ItemID C]],Katalog!$C$3:$C$12,0))*cadangan[[#This Row],[Qty C]],0)</f>
        <v>0</v>
      </c>
      <c r="AD603" s="53">
        <f>cadangan[[#This Row],[Qty A]]+cadangan[[#This Row],[Qty B]]+cadangan[[#This Row],[Qty C]]</f>
        <v>6</v>
      </c>
      <c r="AE603" s="73">
        <f>cadangan[[#This Row],[Harga Normal A]]+cadangan[[#This Row],[Harga Normal B]]+cadangan[[#This Row],[Harga Normal C]]</f>
        <v>2250000</v>
      </c>
      <c r="AF603" s="73">
        <f>cadangan[[#This Row],[Harga Diskon A]]+cadangan[[#This Row],[Harga Diskon B]]+cadangan[[#This Row],[Harga Diskon C]]</f>
        <v>2250000</v>
      </c>
      <c r="AG603" s="73">
        <f>(cadangan[[#This Row],[Profit Normal A]]+cadangan[[#This Row],[Profit Normal B]]+cadangan[[#This Row],[Profit Normal C]])</f>
        <v>850000</v>
      </c>
      <c r="AH603" s="73">
        <f>cadangan[[#This Row],[Profit Diskon A]]+cadangan[[#This Row],[Profit Diskon B]]+cadangan[[#This Row],[Profit Diskon C]]</f>
        <v>850000</v>
      </c>
      <c r="AI603" s="23" t="s">
        <v>290</v>
      </c>
      <c r="AJ603" s="37" t="str">
        <f>IFERROR(INDEX('Kode Diskon'!$D$3:$D$9,MATCH(cadangan[[#This Row],[Kode diskon]],'Kode Diskon'!$C$3:$C$9,0)),"-")</f>
        <v>-</v>
      </c>
      <c r="AK603" s="23" t="s">
        <v>290</v>
      </c>
      <c r="AL603" s="23" t="s">
        <v>7</v>
      </c>
      <c r="AM603" s="23" t="s">
        <v>77</v>
      </c>
      <c r="AN603" s="55">
        <v>45029</v>
      </c>
      <c r="AO603" s="53">
        <f>DAY(cadangan[[#This Row],[Tanggal terjual]])</f>
        <v>13</v>
      </c>
      <c r="AP603" s="21" t="str">
        <f>TEXT(cadangan[[#This Row],[Tanggal terjual]],"dddd")</f>
        <v>Thursday</v>
      </c>
      <c r="AQ603" s="23" t="str" cm="1">
        <f t="array" ref="AQ6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03" s="61">
        <f>AVERAGE(cadangan[[#This Row],[Rating A]],cadangan[[#This Row],[Rating B]],cadangan[[#This Row],[Rating C]])</f>
        <v>3</v>
      </c>
    </row>
    <row r="604" spans="1:44" x14ac:dyDescent="0.2">
      <c r="A604" s="20">
        <v>603</v>
      </c>
      <c r="B604" s="21" t="str">
        <f>_xlfn.CONCAT("ORD-",INDEX(Helper!$B$2:$B$5,MATCH(cadangan[[#This Row],[Marketplace]],Helper!$A$2:$A$5,0)),TEXT(cadangan[[#This Row],[No]],"0000"),"-",TEXT(cadangan[[#This Row],[Tanggal terjual]],"dd/mm/yy"))</f>
        <v>ORD-BB0603-02/04/23</v>
      </c>
      <c r="C604" s="39" t="s">
        <v>61</v>
      </c>
      <c r="D604" s="39" t="str">
        <f>IFERROR(INDEX(Katalog!$A$3:$A$12,MATCH(cadangan[[#This Row],[ItemID A]],Katalog!$C$3:$C$12,0)),"-")</f>
        <v>Pakaian Pria</v>
      </c>
      <c r="E604" s="39" t="str">
        <f>IFERROR(INDEX(Katalog!$B$3:$B$12,MATCH(cadangan[[#This Row],[ItemID A]],Katalog!$C$3:$C$12,0)),"-")</f>
        <v>Kaos Polo</v>
      </c>
      <c r="F604" s="50">
        <v>4</v>
      </c>
      <c r="G604" s="50">
        <v>2</v>
      </c>
      <c r="H604" s="73">
        <f>IFERROR(INDEX(Katalog!$D$3:$D$12,MATCH(cadangan[[#This Row],[ItemID A]],Katalog!$C$3:$C$12,0))*cadangan[[#This Row],[Qty A]],0)</f>
        <v>800000</v>
      </c>
      <c r="I604" s="73">
        <f>IFERROR(cadangan[[#This Row],[Harga Normal A]]-(cadangan[[#This Row],[Harga Normal A]]*cadangan[[#This Row],[Diskon]]),cadangan[[#This Row],[Harga Normal A]])</f>
        <v>680000</v>
      </c>
      <c r="J604" s="73">
        <f>INDEX(Katalog!$F$3:$F$12,MATCH(cadangan[[#This Row],[ItemID A]],Katalog!$C$3:$C$12,0))*cadangan[[#This Row],[Qty A]]</f>
        <v>320000</v>
      </c>
      <c r="K604" s="73">
        <f>IFERROR(cadangan[[#This Row],[Harga Diskon A]]-INDEX(Katalog!$E$3:$E$12,MATCH(cadangan[[#This Row],[ItemID A]],Katalog!$C$3:$C$12,0))*cadangan[[#This Row],[Qty A]],0)</f>
        <v>200000</v>
      </c>
      <c r="L604" s="39" t="s">
        <v>66</v>
      </c>
      <c r="M604" s="39" t="str">
        <f>IFERROR(INDEX(Katalog!$A$3:$A$12,MATCH(cadangan[[#This Row],[ItemID B]],Katalog!$C$3:$C$12,0)),"-")</f>
        <v>Sepatu Pria</v>
      </c>
      <c r="N604" s="39" t="str">
        <f>IFERROR(INDEX(Katalog!$B$3:$B$12,MATCH(cadangan[[#This Row],[ItemID B]],Katalog!$C$3:$C$12,0)),"-")</f>
        <v>Sandal Slip On</v>
      </c>
      <c r="O604" s="50">
        <v>1</v>
      </c>
      <c r="P604" s="50">
        <v>1</v>
      </c>
      <c r="Q604" s="73">
        <f>IFERROR(INDEX(Katalog!$D$3:$D$12,MATCH(cadangan[[#This Row],[ItemID B]],Katalog!$C$3:$C$12,0))*cadangan[[#This Row],[Qty B]],0)</f>
        <v>150000</v>
      </c>
      <c r="R604" s="73">
        <f>IFERROR(cadangan[[#This Row],[Harga Normal B]]-(cadangan[[#This Row],[Harga Normal B]]*cadangan[[#This Row],[Diskon]]),cadangan[[#This Row],[Harga Normal B]])</f>
        <v>127500</v>
      </c>
      <c r="S604" s="73">
        <f>IFERROR(INDEX(Katalog!$F$3:$F$12,MATCH(cadangan[[#This Row],[ItemID B]],Katalog!$C$3:$C$12,0))*cadangan[[#This Row],[Qty B]],0)</f>
        <v>60000</v>
      </c>
      <c r="T604" s="73">
        <f>IFERROR(cadangan[[#This Row],[Harga Diskon B]]-INDEX(Katalog!$E$3:$E$12,MATCH(cadangan[[#This Row],[ItemID B]],Katalog!$C$3:$C$12,0))*cadangan[[#This Row],[Qty B]],0)</f>
        <v>37500</v>
      </c>
      <c r="U604" s="39" t="s">
        <v>67</v>
      </c>
      <c r="V604" s="39" t="str">
        <f>IFERROR(INDEX(Katalog!$A$3:$A$12,MATCH(cadangan[[#This Row],[ItemID C]],Katalog!$C$3:$C$12,0)),"-")</f>
        <v>Sepatu Wanita</v>
      </c>
      <c r="W604" s="39" t="str">
        <f>IFERROR(INDEX(Katalog!$B$3:$B$12,MATCH(cadangan[[#This Row],[ItemID C]],Katalog!$C$3:$C$12,0)),"-")</f>
        <v>Flat Shoes</v>
      </c>
      <c r="X604" s="50">
        <v>2</v>
      </c>
      <c r="Y604" s="50">
        <v>2</v>
      </c>
      <c r="Z604" s="73">
        <f>IFERROR(INDEX(Katalog!$D$3:$D$12,MATCH(cadangan[[#This Row],[ItemID C]],Katalog!$C$3:$C$12,0))*cadangan[[#This Row],[Qty C]],0)</f>
        <v>500000</v>
      </c>
      <c r="AA604" s="73">
        <f>IFERROR(cadangan[[#This Row],[Harga Normal C]]-(cadangan[[#This Row],[Harga Normal C]]*cadangan[[#This Row],[Diskon]]),cadangan[[#This Row],[Harga Normal C]])</f>
        <v>425000</v>
      </c>
      <c r="AB604" s="73">
        <f>IFERROR(INDEX(Katalog!$F$3:$F$12,MATCH(cadangan[[#This Row],[ItemID C]],Katalog!$C$3:$C$12,0))*cadangan[[#This Row],[Qty C]],0)</f>
        <v>200000</v>
      </c>
      <c r="AC604" s="73">
        <f>IFERROR(cadangan[[#This Row],[Harga Diskon C]]-INDEX(Katalog!$E$3:$E$12,MATCH(cadangan[[#This Row],[ItemID C]],Katalog!$C$3:$C$12,0))*cadangan[[#This Row],[Qty C]],0)</f>
        <v>125000</v>
      </c>
      <c r="AD604" s="53">
        <f>cadangan[[#This Row],[Qty A]]+cadangan[[#This Row],[Qty B]]+cadangan[[#This Row],[Qty C]]</f>
        <v>7</v>
      </c>
      <c r="AE604" s="73">
        <f>cadangan[[#This Row],[Harga Normal A]]+cadangan[[#This Row],[Harga Normal B]]+cadangan[[#This Row],[Harga Normal C]]</f>
        <v>1450000</v>
      </c>
      <c r="AF604" s="73">
        <f>cadangan[[#This Row],[Harga Diskon A]]+cadangan[[#This Row],[Harga Diskon B]]+cadangan[[#This Row],[Harga Diskon C]]</f>
        <v>1232500</v>
      </c>
      <c r="AG604" s="73">
        <f>(cadangan[[#This Row],[Profit Normal A]]+cadangan[[#This Row],[Profit Normal B]]+cadangan[[#This Row],[Profit Normal C]])</f>
        <v>580000</v>
      </c>
      <c r="AH604" s="73">
        <f>cadangan[[#This Row],[Profit Diskon A]]+cadangan[[#This Row],[Profit Diskon B]]+cadangan[[#This Row],[Profit Diskon C]]</f>
        <v>362500</v>
      </c>
      <c r="AI604" s="23" t="s">
        <v>28</v>
      </c>
      <c r="AJ604" s="37">
        <f>IFERROR(INDEX('Kode Diskon'!$D$3:$D$9,MATCH(cadangan[[#This Row],[Kode diskon]],'Kode Diskon'!$C$3:$C$9,0)),"-")</f>
        <v>0.15</v>
      </c>
      <c r="AK604" s="23" t="s">
        <v>29</v>
      </c>
      <c r="AL604" s="23" t="s">
        <v>14</v>
      </c>
      <c r="AM604" s="23" t="s">
        <v>75</v>
      </c>
      <c r="AN604" s="55">
        <v>45018</v>
      </c>
      <c r="AO604" s="53">
        <f>DAY(cadangan[[#This Row],[Tanggal terjual]])</f>
        <v>2</v>
      </c>
      <c r="AP604" s="21" t="str">
        <f>TEXT(cadangan[[#This Row],[Tanggal terjual]],"dddd")</f>
        <v>Sunday</v>
      </c>
      <c r="AQ604" s="23" t="str" cm="1">
        <f t="array" ref="AQ6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04" s="61">
        <f>AVERAGE(cadangan[[#This Row],[Rating A]],cadangan[[#This Row],[Rating B]],cadangan[[#This Row],[Rating C]])</f>
        <v>1.6666666666666667</v>
      </c>
    </row>
    <row r="605" spans="1:44" x14ac:dyDescent="0.2">
      <c r="A605" s="20">
        <v>604</v>
      </c>
      <c r="B605" s="21" t="str">
        <f>_xlfn.CONCAT("ORD-",INDEX(Helper!$B$2:$B$5,MATCH(cadangan[[#This Row],[Marketplace]],Helper!$A$2:$A$5,0)),TEXT(cadangan[[#This Row],[No]],"0000"),"-",TEXT(cadangan[[#This Row],[Tanggal terjual]],"dd/mm/yy"))</f>
        <v>ORD-TK0604-08/04/23</v>
      </c>
      <c r="C605" s="39" t="s">
        <v>58</v>
      </c>
      <c r="D605" s="39" t="str">
        <f>IFERROR(INDEX(Katalog!$A$3:$A$12,MATCH(cadangan[[#This Row],[ItemID A]],Katalog!$C$3:$C$12,0)),"-")</f>
        <v>Pakaian Wanita</v>
      </c>
      <c r="E605" s="39" t="str">
        <f>IFERROR(INDEX(Katalog!$B$3:$B$12,MATCH(cadangan[[#This Row],[ItemID A]],Katalog!$C$3:$C$12,0)),"-")</f>
        <v>Dress</v>
      </c>
      <c r="F605" s="50">
        <v>3</v>
      </c>
      <c r="G605" s="50">
        <v>2</v>
      </c>
      <c r="H605" s="73">
        <f>IFERROR(INDEX(Katalog!$D$3:$D$12,MATCH(cadangan[[#This Row],[ItemID A]],Katalog!$C$3:$C$12,0))*cadangan[[#This Row],[Qty A]],0)</f>
        <v>900000</v>
      </c>
      <c r="I605" s="73">
        <f>IFERROR(cadangan[[#This Row],[Harga Normal A]]-(cadangan[[#This Row],[Harga Normal A]]*cadangan[[#This Row],[Diskon]]),cadangan[[#This Row],[Harga Normal A]])</f>
        <v>900000</v>
      </c>
      <c r="J605" s="73">
        <f>INDEX(Katalog!$F$3:$F$12,MATCH(cadangan[[#This Row],[ItemID A]],Katalog!$C$3:$C$12,0))*cadangan[[#This Row],[Qty A]]</f>
        <v>300000</v>
      </c>
      <c r="K605" s="73">
        <f>IFERROR(cadangan[[#This Row],[Harga Diskon A]]-INDEX(Katalog!$E$3:$E$12,MATCH(cadangan[[#This Row],[ItemID A]],Katalog!$C$3:$C$12,0))*cadangan[[#This Row],[Qty A]],0)</f>
        <v>300000</v>
      </c>
      <c r="L605" s="39" t="s">
        <v>60</v>
      </c>
      <c r="M605" s="39" t="str">
        <f>IFERROR(INDEX(Katalog!$A$3:$A$12,MATCH(cadangan[[#This Row],[ItemID B]],Katalog!$C$3:$C$12,0)),"-")</f>
        <v>Pakaian Wanita</v>
      </c>
      <c r="N605" s="39" t="str">
        <f>IFERROR(INDEX(Katalog!$B$3:$B$12,MATCH(cadangan[[#This Row],[ItemID B]],Katalog!$C$3:$C$12,0)),"-")</f>
        <v>Kaftan</v>
      </c>
      <c r="O605" s="50">
        <v>1</v>
      </c>
      <c r="P605" s="50">
        <v>1</v>
      </c>
      <c r="Q605" s="73">
        <f>IFERROR(INDEX(Katalog!$D$3:$D$12,MATCH(cadangan[[#This Row],[ItemID B]],Katalog!$C$3:$C$12,0))*cadangan[[#This Row],[Qty B]],0)</f>
        <v>250000</v>
      </c>
      <c r="R605" s="73">
        <f>IFERROR(cadangan[[#This Row],[Harga Normal B]]-(cadangan[[#This Row],[Harga Normal B]]*cadangan[[#This Row],[Diskon]]),cadangan[[#This Row],[Harga Normal B]])</f>
        <v>250000</v>
      </c>
      <c r="S605" s="73">
        <f>IFERROR(INDEX(Katalog!$F$3:$F$12,MATCH(cadangan[[#This Row],[ItemID B]],Katalog!$C$3:$C$12,0))*cadangan[[#This Row],[Qty B]],0)</f>
        <v>100000</v>
      </c>
      <c r="T605" s="73">
        <f>IFERROR(cadangan[[#This Row],[Harga Diskon B]]-INDEX(Katalog!$E$3:$E$12,MATCH(cadangan[[#This Row],[ItemID B]],Katalog!$C$3:$C$12,0))*cadangan[[#This Row],[Qty B]],0)</f>
        <v>100000</v>
      </c>
      <c r="V605" s="39" t="str">
        <f>IFERROR(INDEX(Katalog!$A$3:$A$12,MATCH(cadangan[[#This Row],[ItemID C]],Katalog!$C$3:$C$12,0)),"-")</f>
        <v>-</v>
      </c>
      <c r="W605" s="39" t="str">
        <f>IFERROR(INDEX(Katalog!$B$3:$B$12,MATCH(cadangan[[#This Row],[ItemID C]],Katalog!$C$3:$C$12,0)),"-")</f>
        <v>-</v>
      </c>
      <c r="Z605" s="73">
        <f>IFERROR(INDEX(Katalog!$D$3:$D$12,MATCH(cadangan[[#This Row],[ItemID C]],Katalog!$C$3:$C$12,0))*cadangan[[#This Row],[Qty C]],0)</f>
        <v>0</v>
      </c>
      <c r="AA605" s="73">
        <f>IFERROR(cadangan[[#This Row],[Harga Normal C]]-(cadangan[[#This Row],[Harga Normal C]]*cadangan[[#This Row],[Diskon]]),cadangan[[#This Row],[Harga Normal C]])</f>
        <v>0</v>
      </c>
      <c r="AB605" s="73">
        <f>IFERROR(INDEX(Katalog!$F$3:$F$12,MATCH(cadangan[[#This Row],[ItemID C]],Katalog!$C$3:$C$12,0))*cadangan[[#This Row],[Qty C]],0)</f>
        <v>0</v>
      </c>
      <c r="AC605" s="73">
        <f>IFERROR(cadangan[[#This Row],[Harga Diskon C]]-INDEX(Katalog!$E$3:$E$12,MATCH(cadangan[[#This Row],[ItemID C]],Katalog!$C$3:$C$12,0))*cadangan[[#This Row],[Qty C]],0)</f>
        <v>0</v>
      </c>
      <c r="AD605" s="53">
        <f>cadangan[[#This Row],[Qty A]]+cadangan[[#This Row],[Qty B]]+cadangan[[#This Row],[Qty C]]</f>
        <v>4</v>
      </c>
      <c r="AE605" s="73">
        <f>cadangan[[#This Row],[Harga Normal A]]+cadangan[[#This Row],[Harga Normal B]]+cadangan[[#This Row],[Harga Normal C]]</f>
        <v>1150000</v>
      </c>
      <c r="AF605" s="73">
        <f>cadangan[[#This Row],[Harga Diskon A]]+cadangan[[#This Row],[Harga Diskon B]]+cadangan[[#This Row],[Harga Diskon C]]</f>
        <v>1150000</v>
      </c>
      <c r="AG605" s="73">
        <f>(cadangan[[#This Row],[Profit Normal A]]+cadangan[[#This Row],[Profit Normal B]]+cadangan[[#This Row],[Profit Normal C]])</f>
        <v>400000</v>
      </c>
      <c r="AH605" s="73">
        <f>cadangan[[#This Row],[Profit Diskon A]]+cadangan[[#This Row],[Profit Diskon B]]+cadangan[[#This Row],[Profit Diskon C]]</f>
        <v>400000</v>
      </c>
      <c r="AI605" s="23" t="s">
        <v>290</v>
      </c>
      <c r="AJ605" s="37" t="str">
        <f>IFERROR(INDEX('Kode Diskon'!$D$3:$D$9,MATCH(cadangan[[#This Row],[Kode diskon]],'Kode Diskon'!$C$3:$C$9,0)),"-")</f>
        <v>-</v>
      </c>
      <c r="AK605" s="23" t="s">
        <v>290</v>
      </c>
      <c r="AL605" s="23" t="s">
        <v>10</v>
      </c>
      <c r="AM605" s="23" t="s">
        <v>76</v>
      </c>
      <c r="AN605" s="55">
        <v>45024</v>
      </c>
      <c r="AO605" s="53">
        <f>DAY(cadangan[[#This Row],[Tanggal terjual]])</f>
        <v>8</v>
      </c>
      <c r="AP605" s="21" t="str">
        <f>TEXT(cadangan[[#This Row],[Tanggal terjual]],"dddd")</f>
        <v>Saturday</v>
      </c>
      <c r="AQ605" s="23" t="str" cm="1">
        <f t="array" ref="AQ6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05" s="61">
        <f>AVERAGE(cadangan[[#This Row],[Rating A]],cadangan[[#This Row],[Rating B]],cadangan[[#This Row],[Rating C]])</f>
        <v>1.5</v>
      </c>
    </row>
    <row r="606" spans="1:44" x14ac:dyDescent="0.2">
      <c r="A606" s="20">
        <v>605</v>
      </c>
      <c r="B606" s="21" t="str">
        <f>_xlfn.CONCAT("ORD-",INDEX(Helper!$B$2:$B$5,MATCH(cadangan[[#This Row],[Marketplace]],Helper!$A$2:$A$5,0)),TEXT(cadangan[[#This Row],[No]],"0000"),"-",TEXT(cadangan[[#This Row],[Tanggal terjual]],"dd/mm/yy"))</f>
        <v>ORD-BL0605-17/04/23</v>
      </c>
      <c r="C606" s="39" t="s">
        <v>59</v>
      </c>
      <c r="D606" s="39" t="str">
        <f>IFERROR(INDEX(Katalog!$A$3:$A$12,MATCH(cadangan[[#This Row],[ItemID A]],Katalog!$C$3:$C$12,0)),"-")</f>
        <v>Pakaian Wanita</v>
      </c>
      <c r="E606" s="39" t="str">
        <f>IFERROR(INDEX(Katalog!$B$3:$B$12,MATCH(cadangan[[#This Row],[ItemID A]],Katalog!$C$3:$C$12,0)),"-")</f>
        <v>Blouse</v>
      </c>
      <c r="F606" s="50">
        <v>7</v>
      </c>
      <c r="G606" s="50">
        <v>3</v>
      </c>
      <c r="H606" s="73">
        <f>IFERROR(INDEX(Katalog!$D$3:$D$12,MATCH(cadangan[[#This Row],[ItemID A]],Katalog!$C$3:$C$12,0))*cadangan[[#This Row],[Qty A]],0)</f>
        <v>1050000</v>
      </c>
      <c r="I606" s="73">
        <f>IFERROR(cadangan[[#This Row],[Harga Normal A]]-(cadangan[[#This Row],[Harga Normal A]]*cadangan[[#This Row],[Diskon]]),cadangan[[#This Row],[Harga Normal A]])</f>
        <v>892500</v>
      </c>
      <c r="J606" s="73">
        <f>INDEX(Katalog!$F$3:$F$12,MATCH(cadangan[[#This Row],[ItemID A]],Katalog!$C$3:$C$12,0))*cadangan[[#This Row],[Qty A]]</f>
        <v>350000</v>
      </c>
      <c r="K606" s="73">
        <f>IFERROR(cadangan[[#This Row],[Harga Diskon A]]-INDEX(Katalog!$E$3:$E$12,MATCH(cadangan[[#This Row],[ItemID A]],Katalog!$C$3:$C$12,0))*cadangan[[#This Row],[Qty A]],0)</f>
        <v>192500</v>
      </c>
      <c r="M606" s="39" t="str">
        <f>IFERROR(INDEX(Katalog!$A$3:$A$12,MATCH(cadangan[[#This Row],[ItemID B]],Katalog!$C$3:$C$12,0)),"-")</f>
        <v>-</v>
      </c>
      <c r="N606" s="39" t="str">
        <f>IFERROR(INDEX(Katalog!$B$3:$B$12,MATCH(cadangan[[#This Row],[ItemID B]],Katalog!$C$3:$C$12,0)),"-")</f>
        <v>-</v>
      </c>
      <c r="Q606" s="73">
        <f>IFERROR(INDEX(Katalog!$D$3:$D$12,MATCH(cadangan[[#This Row],[ItemID B]],Katalog!$C$3:$C$12,0))*cadangan[[#This Row],[Qty B]],0)</f>
        <v>0</v>
      </c>
      <c r="R606" s="73">
        <f>IFERROR(cadangan[[#This Row],[Harga Normal B]]-(cadangan[[#This Row],[Harga Normal B]]*cadangan[[#This Row],[Diskon]]),cadangan[[#This Row],[Harga Normal B]])</f>
        <v>0</v>
      </c>
      <c r="S606" s="73">
        <f>IFERROR(INDEX(Katalog!$F$3:$F$12,MATCH(cadangan[[#This Row],[ItemID B]],Katalog!$C$3:$C$12,0))*cadangan[[#This Row],[Qty B]],0)</f>
        <v>0</v>
      </c>
      <c r="T606" s="73">
        <f>IFERROR(cadangan[[#This Row],[Harga Diskon B]]-INDEX(Katalog!$E$3:$E$12,MATCH(cadangan[[#This Row],[ItemID B]],Katalog!$C$3:$C$12,0))*cadangan[[#This Row],[Qty B]],0)</f>
        <v>0</v>
      </c>
      <c r="V606" s="39" t="str">
        <f>IFERROR(INDEX(Katalog!$A$3:$A$12,MATCH(cadangan[[#This Row],[ItemID C]],Katalog!$C$3:$C$12,0)),"-")</f>
        <v>-</v>
      </c>
      <c r="W606" s="39" t="str">
        <f>IFERROR(INDEX(Katalog!$B$3:$B$12,MATCH(cadangan[[#This Row],[ItemID C]],Katalog!$C$3:$C$12,0)),"-")</f>
        <v>-</v>
      </c>
      <c r="Z606" s="73">
        <f>IFERROR(INDEX(Katalog!$D$3:$D$12,MATCH(cadangan[[#This Row],[ItemID C]],Katalog!$C$3:$C$12,0))*cadangan[[#This Row],[Qty C]],0)</f>
        <v>0</v>
      </c>
      <c r="AA606" s="73">
        <f>IFERROR(cadangan[[#This Row],[Harga Normal C]]-(cadangan[[#This Row],[Harga Normal C]]*cadangan[[#This Row],[Diskon]]),cadangan[[#This Row],[Harga Normal C]])</f>
        <v>0</v>
      </c>
      <c r="AB606" s="73">
        <f>IFERROR(INDEX(Katalog!$F$3:$F$12,MATCH(cadangan[[#This Row],[ItemID C]],Katalog!$C$3:$C$12,0))*cadangan[[#This Row],[Qty C]],0)</f>
        <v>0</v>
      </c>
      <c r="AC606" s="73">
        <f>IFERROR(cadangan[[#This Row],[Harga Diskon C]]-INDEX(Katalog!$E$3:$E$12,MATCH(cadangan[[#This Row],[ItemID C]],Katalog!$C$3:$C$12,0))*cadangan[[#This Row],[Qty C]],0)</f>
        <v>0</v>
      </c>
      <c r="AD606" s="53">
        <f>cadangan[[#This Row],[Qty A]]+cadangan[[#This Row],[Qty B]]+cadangan[[#This Row],[Qty C]]</f>
        <v>7</v>
      </c>
      <c r="AE606" s="73">
        <f>cadangan[[#This Row],[Harga Normal A]]+cadangan[[#This Row],[Harga Normal B]]+cadangan[[#This Row],[Harga Normal C]]</f>
        <v>1050000</v>
      </c>
      <c r="AF606" s="73">
        <f>cadangan[[#This Row],[Harga Diskon A]]+cadangan[[#This Row],[Harga Diskon B]]+cadangan[[#This Row],[Harga Diskon C]]</f>
        <v>892500</v>
      </c>
      <c r="AG606" s="73">
        <f>(cadangan[[#This Row],[Profit Normal A]]+cadangan[[#This Row],[Profit Normal B]]+cadangan[[#This Row],[Profit Normal C]])</f>
        <v>350000</v>
      </c>
      <c r="AH606" s="73">
        <f>cadangan[[#This Row],[Profit Diskon A]]+cadangan[[#This Row],[Profit Diskon B]]+cadangan[[#This Row],[Profit Diskon C]]</f>
        <v>192500</v>
      </c>
      <c r="AI606" s="23" t="s">
        <v>32</v>
      </c>
      <c r="AJ606" s="37">
        <f>IFERROR(INDEX('Kode Diskon'!$D$3:$D$9,MATCH(cadangan[[#This Row],[Kode diskon]],'Kode Diskon'!$C$3:$C$9,0)),"-")</f>
        <v>0.15</v>
      </c>
      <c r="AK606" s="23" t="s">
        <v>9</v>
      </c>
      <c r="AL606" s="23" t="s">
        <v>12</v>
      </c>
      <c r="AM606" s="23" t="s">
        <v>79</v>
      </c>
      <c r="AN606" s="55">
        <v>45033</v>
      </c>
      <c r="AO606" s="53">
        <f>DAY(cadangan[[#This Row],[Tanggal terjual]])</f>
        <v>17</v>
      </c>
      <c r="AP606" s="21" t="str">
        <f>TEXT(cadangan[[#This Row],[Tanggal terjual]],"dddd")</f>
        <v>Monday</v>
      </c>
      <c r="AQ606" s="23" t="str" cm="1">
        <f t="array" ref="AQ6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06" s="61">
        <f>AVERAGE(cadangan[[#This Row],[Rating A]],cadangan[[#This Row],[Rating B]],cadangan[[#This Row],[Rating C]])</f>
        <v>3</v>
      </c>
    </row>
    <row r="607" spans="1:44" x14ac:dyDescent="0.2">
      <c r="A607" s="20">
        <v>606</v>
      </c>
      <c r="B607" s="21" t="str">
        <f>_xlfn.CONCAT("ORD-",INDEX(Helper!$B$2:$B$5,MATCH(cadangan[[#This Row],[Marketplace]],Helper!$A$2:$A$5,0)),TEXT(cadangan[[#This Row],[No]],"0000"),"-",TEXT(cadangan[[#This Row],[Tanggal terjual]],"dd/mm/yy"))</f>
        <v>ORD-BL0606-11/04/23</v>
      </c>
      <c r="C607" s="39" t="s">
        <v>66</v>
      </c>
      <c r="D607" s="39" t="str">
        <f>IFERROR(INDEX(Katalog!$A$3:$A$12,MATCH(cadangan[[#This Row],[ItemID A]],Katalog!$C$3:$C$12,0)),"-")</f>
        <v>Sepatu Pria</v>
      </c>
      <c r="E607" s="39" t="str">
        <f>IFERROR(INDEX(Katalog!$B$3:$B$12,MATCH(cadangan[[#This Row],[ItemID A]],Katalog!$C$3:$C$12,0)),"-")</f>
        <v>Sandal Slip On</v>
      </c>
      <c r="F607" s="50">
        <v>4</v>
      </c>
      <c r="G607" s="50">
        <v>5</v>
      </c>
      <c r="H607" s="73">
        <f>IFERROR(INDEX(Katalog!$D$3:$D$12,MATCH(cadangan[[#This Row],[ItemID A]],Katalog!$C$3:$C$12,0))*cadangan[[#This Row],[Qty A]],0)</f>
        <v>600000</v>
      </c>
      <c r="I607" s="73">
        <f>IFERROR(cadangan[[#This Row],[Harga Normal A]]-(cadangan[[#This Row],[Harga Normal A]]*cadangan[[#This Row],[Diskon]]),cadangan[[#This Row],[Harga Normal A]])</f>
        <v>600000</v>
      </c>
      <c r="J607" s="73">
        <f>INDEX(Katalog!$F$3:$F$12,MATCH(cadangan[[#This Row],[ItemID A]],Katalog!$C$3:$C$12,0))*cadangan[[#This Row],[Qty A]]</f>
        <v>240000</v>
      </c>
      <c r="K607" s="73">
        <f>IFERROR(cadangan[[#This Row],[Harga Diskon A]]-INDEX(Katalog!$E$3:$E$12,MATCH(cadangan[[#This Row],[ItemID A]],Katalog!$C$3:$C$12,0))*cadangan[[#This Row],[Qty A]],0)</f>
        <v>240000</v>
      </c>
      <c r="L607" s="39" t="s">
        <v>62</v>
      </c>
      <c r="M607" s="39" t="str">
        <f>IFERROR(INDEX(Katalog!$A$3:$A$12,MATCH(cadangan[[#This Row],[ItemID B]],Katalog!$C$3:$C$12,0)),"-")</f>
        <v>Pakaian Pria</v>
      </c>
      <c r="N607" s="39" t="str">
        <f>IFERROR(INDEX(Katalog!$B$3:$B$12,MATCH(cadangan[[#This Row],[ItemID B]],Katalog!$C$3:$C$12,0)),"-")</f>
        <v>Celana Pendek</v>
      </c>
      <c r="O607" s="50">
        <v>3</v>
      </c>
      <c r="P607" s="50">
        <v>1</v>
      </c>
      <c r="Q607" s="73">
        <f>IFERROR(INDEX(Katalog!$D$3:$D$12,MATCH(cadangan[[#This Row],[ItemID B]],Katalog!$C$3:$C$12,0))*cadangan[[#This Row],[Qty B]],0)</f>
        <v>540000</v>
      </c>
      <c r="R607" s="73">
        <f>IFERROR(cadangan[[#This Row],[Harga Normal B]]-(cadangan[[#This Row],[Harga Normal B]]*cadangan[[#This Row],[Diskon]]),cadangan[[#This Row],[Harga Normal B]])</f>
        <v>540000</v>
      </c>
      <c r="S607" s="73">
        <f>IFERROR(INDEX(Katalog!$F$3:$F$12,MATCH(cadangan[[#This Row],[ItemID B]],Katalog!$C$3:$C$12,0))*cadangan[[#This Row],[Qty B]],0)</f>
        <v>210000</v>
      </c>
      <c r="T607" s="73">
        <f>IFERROR(cadangan[[#This Row],[Harga Diskon B]]-INDEX(Katalog!$E$3:$E$12,MATCH(cadangan[[#This Row],[ItemID B]],Katalog!$C$3:$C$12,0))*cadangan[[#This Row],[Qty B]],0)</f>
        <v>210000</v>
      </c>
      <c r="V607" s="39" t="str">
        <f>IFERROR(INDEX(Katalog!$A$3:$A$12,MATCH(cadangan[[#This Row],[ItemID C]],Katalog!$C$3:$C$12,0)),"-")</f>
        <v>-</v>
      </c>
      <c r="W607" s="39" t="str">
        <f>IFERROR(INDEX(Katalog!$B$3:$B$12,MATCH(cadangan[[#This Row],[ItemID C]],Katalog!$C$3:$C$12,0)),"-")</f>
        <v>-</v>
      </c>
      <c r="Z607" s="73">
        <f>IFERROR(INDEX(Katalog!$D$3:$D$12,MATCH(cadangan[[#This Row],[ItemID C]],Katalog!$C$3:$C$12,0))*cadangan[[#This Row],[Qty C]],0)</f>
        <v>0</v>
      </c>
      <c r="AA607" s="73">
        <f>IFERROR(cadangan[[#This Row],[Harga Normal C]]-(cadangan[[#This Row],[Harga Normal C]]*cadangan[[#This Row],[Diskon]]),cadangan[[#This Row],[Harga Normal C]])</f>
        <v>0</v>
      </c>
      <c r="AB607" s="73">
        <f>IFERROR(INDEX(Katalog!$F$3:$F$12,MATCH(cadangan[[#This Row],[ItemID C]],Katalog!$C$3:$C$12,0))*cadangan[[#This Row],[Qty C]],0)</f>
        <v>0</v>
      </c>
      <c r="AC607" s="73">
        <f>IFERROR(cadangan[[#This Row],[Harga Diskon C]]-INDEX(Katalog!$E$3:$E$12,MATCH(cadangan[[#This Row],[ItemID C]],Katalog!$C$3:$C$12,0))*cadangan[[#This Row],[Qty C]],0)</f>
        <v>0</v>
      </c>
      <c r="AD607" s="53">
        <f>cadangan[[#This Row],[Qty A]]+cadangan[[#This Row],[Qty B]]+cadangan[[#This Row],[Qty C]]</f>
        <v>7</v>
      </c>
      <c r="AE607" s="73">
        <f>cadangan[[#This Row],[Harga Normal A]]+cadangan[[#This Row],[Harga Normal B]]+cadangan[[#This Row],[Harga Normal C]]</f>
        <v>1140000</v>
      </c>
      <c r="AF607" s="73">
        <f>cadangan[[#This Row],[Harga Diskon A]]+cadangan[[#This Row],[Harga Diskon B]]+cadangan[[#This Row],[Harga Diskon C]]</f>
        <v>1140000</v>
      </c>
      <c r="AG607" s="73">
        <f>(cadangan[[#This Row],[Profit Normal A]]+cadangan[[#This Row],[Profit Normal B]]+cadangan[[#This Row],[Profit Normal C]])</f>
        <v>450000</v>
      </c>
      <c r="AH607" s="73">
        <f>cadangan[[#This Row],[Profit Diskon A]]+cadangan[[#This Row],[Profit Diskon B]]+cadangan[[#This Row],[Profit Diskon C]]</f>
        <v>450000</v>
      </c>
      <c r="AI607" s="23" t="s">
        <v>290</v>
      </c>
      <c r="AJ607" s="37" t="str">
        <f>IFERROR(INDEX('Kode Diskon'!$D$3:$D$9,MATCH(cadangan[[#This Row],[Kode diskon]],'Kode Diskon'!$C$3:$C$9,0)),"-")</f>
        <v>-</v>
      </c>
      <c r="AK607" s="23" t="s">
        <v>290</v>
      </c>
      <c r="AL607" s="23" t="s">
        <v>12</v>
      </c>
      <c r="AM607" s="23" t="s">
        <v>77</v>
      </c>
      <c r="AN607" s="55">
        <v>45027</v>
      </c>
      <c r="AO607" s="53">
        <f>DAY(cadangan[[#This Row],[Tanggal terjual]])</f>
        <v>11</v>
      </c>
      <c r="AP607" s="21" t="str">
        <f>TEXT(cadangan[[#This Row],[Tanggal terjual]],"dddd")</f>
        <v>Tuesday</v>
      </c>
      <c r="AQ607" s="23" t="str" cm="1">
        <f t="array" ref="AQ6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07" s="61">
        <f>AVERAGE(cadangan[[#This Row],[Rating A]],cadangan[[#This Row],[Rating B]],cadangan[[#This Row],[Rating C]])</f>
        <v>3</v>
      </c>
    </row>
    <row r="608" spans="1:44" x14ac:dyDescent="0.2">
      <c r="A608" s="20">
        <v>607</v>
      </c>
      <c r="B608" s="21" t="str">
        <f>_xlfn.CONCAT("ORD-",INDEX(Helper!$B$2:$B$5,MATCH(cadangan[[#This Row],[Marketplace]],Helper!$A$2:$A$5,0)),TEXT(cadangan[[#This Row],[No]],"0000"),"-",TEXT(cadangan[[#This Row],[Tanggal terjual]],"dd/mm/yy"))</f>
        <v>ORD-SP0607-02/04/23</v>
      </c>
      <c r="C608" s="39" t="s">
        <v>67</v>
      </c>
      <c r="D608" s="39" t="str">
        <f>IFERROR(INDEX(Katalog!$A$3:$A$12,MATCH(cadangan[[#This Row],[ItemID A]],Katalog!$C$3:$C$12,0)),"-")</f>
        <v>Sepatu Wanita</v>
      </c>
      <c r="E608" s="39" t="str">
        <f>IFERROR(INDEX(Katalog!$B$3:$B$12,MATCH(cadangan[[#This Row],[ItemID A]],Katalog!$C$3:$C$12,0)),"-")</f>
        <v>Flat Shoes</v>
      </c>
      <c r="F608" s="50">
        <v>3</v>
      </c>
      <c r="G608" s="50">
        <v>3</v>
      </c>
      <c r="H608" s="73">
        <f>IFERROR(INDEX(Katalog!$D$3:$D$12,MATCH(cadangan[[#This Row],[ItemID A]],Katalog!$C$3:$C$12,0))*cadangan[[#This Row],[Qty A]],0)</f>
        <v>750000</v>
      </c>
      <c r="I608" s="73">
        <f>IFERROR(cadangan[[#This Row],[Harga Normal A]]-(cadangan[[#This Row],[Harga Normal A]]*cadangan[[#This Row],[Diskon]]),cadangan[[#This Row],[Harga Normal A]])</f>
        <v>675000</v>
      </c>
      <c r="J608" s="73">
        <f>INDEX(Katalog!$F$3:$F$12,MATCH(cadangan[[#This Row],[ItemID A]],Katalog!$C$3:$C$12,0))*cadangan[[#This Row],[Qty A]]</f>
        <v>300000</v>
      </c>
      <c r="K608" s="73">
        <f>IFERROR(cadangan[[#This Row],[Harga Diskon A]]-INDEX(Katalog!$E$3:$E$12,MATCH(cadangan[[#This Row],[ItemID A]],Katalog!$C$3:$C$12,0))*cadangan[[#This Row],[Qty A]],0)</f>
        <v>225000</v>
      </c>
      <c r="L608" s="39" t="s">
        <v>66</v>
      </c>
      <c r="M608" s="39" t="str">
        <f>IFERROR(INDEX(Katalog!$A$3:$A$12,MATCH(cadangan[[#This Row],[ItemID B]],Katalog!$C$3:$C$12,0)),"-")</f>
        <v>Sepatu Pria</v>
      </c>
      <c r="N608" s="39" t="str">
        <f>IFERROR(INDEX(Katalog!$B$3:$B$12,MATCH(cadangan[[#This Row],[ItemID B]],Katalog!$C$3:$C$12,0)),"-")</f>
        <v>Sandal Slip On</v>
      </c>
      <c r="O608" s="50">
        <v>1</v>
      </c>
      <c r="P608" s="50">
        <v>3</v>
      </c>
      <c r="Q608" s="73">
        <f>IFERROR(INDEX(Katalog!$D$3:$D$12,MATCH(cadangan[[#This Row],[ItemID B]],Katalog!$C$3:$C$12,0))*cadangan[[#This Row],[Qty B]],0)</f>
        <v>150000</v>
      </c>
      <c r="R608" s="73">
        <f>IFERROR(cadangan[[#This Row],[Harga Normal B]]-(cadangan[[#This Row],[Harga Normal B]]*cadangan[[#This Row],[Diskon]]),cadangan[[#This Row],[Harga Normal B]])</f>
        <v>135000</v>
      </c>
      <c r="S608" s="73">
        <f>IFERROR(INDEX(Katalog!$F$3:$F$12,MATCH(cadangan[[#This Row],[ItemID B]],Katalog!$C$3:$C$12,0))*cadangan[[#This Row],[Qty B]],0)</f>
        <v>60000</v>
      </c>
      <c r="T608" s="73">
        <f>IFERROR(cadangan[[#This Row],[Harga Diskon B]]-INDEX(Katalog!$E$3:$E$12,MATCH(cadangan[[#This Row],[ItemID B]],Katalog!$C$3:$C$12,0))*cadangan[[#This Row],[Qty B]],0)</f>
        <v>45000</v>
      </c>
      <c r="V608" s="39" t="str">
        <f>IFERROR(INDEX(Katalog!$A$3:$A$12,MATCH(cadangan[[#This Row],[ItemID C]],Katalog!$C$3:$C$12,0)),"-")</f>
        <v>-</v>
      </c>
      <c r="W608" s="39" t="str">
        <f>IFERROR(INDEX(Katalog!$B$3:$B$12,MATCH(cadangan[[#This Row],[ItemID C]],Katalog!$C$3:$C$12,0)),"-")</f>
        <v>-</v>
      </c>
      <c r="Z608" s="73">
        <f>IFERROR(INDEX(Katalog!$D$3:$D$12,MATCH(cadangan[[#This Row],[ItemID C]],Katalog!$C$3:$C$12,0))*cadangan[[#This Row],[Qty C]],0)</f>
        <v>0</v>
      </c>
      <c r="AA608" s="73">
        <f>IFERROR(cadangan[[#This Row],[Harga Normal C]]-(cadangan[[#This Row],[Harga Normal C]]*cadangan[[#This Row],[Diskon]]),cadangan[[#This Row],[Harga Normal C]])</f>
        <v>0</v>
      </c>
      <c r="AB608" s="73">
        <f>IFERROR(INDEX(Katalog!$F$3:$F$12,MATCH(cadangan[[#This Row],[ItemID C]],Katalog!$C$3:$C$12,0))*cadangan[[#This Row],[Qty C]],0)</f>
        <v>0</v>
      </c>
      <c r="AC608" s="73">
        <f>IFERROR(cadangan[[#This Row],[Harga Diskon C]]-INDEX(Katalog!$E$3:$E$12,MATCH(cadangan[[#This Row],[ItemID C]],Katalog!$C$3:$C$12,0))*cadangan[[#This Row],[Qty C]],0)</f>
        <v>0</v>
      </c>
      <c r="AD608" s="53">
        <f>cadangan[[#This Row],[Qty A]]+cadangan[[#This Row],[Qty B]]+cadangan[[#This Row],[Qty C]]</f>
        <v>4</v>
      </c>
      <c r="AE608" s="73">
        <f>cadangan[[#This Row],[Harga Normal A]]+cadangan[[#This Row],[Harga Normal B]]+cadangan[[#This Row],[Harga Normal C]]</f>
        <v>900000</v>
      </c>
      <c r="AF608" s="73">
        <f>cadangan[[#This Row],[Harga Diskon A]]+cadangan[[#This Row],[Harga Diskon B]]+cadangan[[#This Row],[Harga Diskon C]]</f>
        <v>810000</v>
      </c>
      <c r="AG608" s="73">
        <f>(cadangan[[#This Row],[Profit Normal A]]+cadangan[[#This Row],[Profit Normal B]]+cadangan[[#This Row],[Profit Normal C]])</f>
        <v>360000</v>
      </c>
      <c r="AH608" s="73">
        <f>cadangan[[#This Row],[Profit Diskon A]]+cadangan[[#This Row],[Profit Diskon B]]+cadangan[[#This Row],[Profit Diskon C]]</f>
        <v>270000</v>
      </c>
      <c r="AI608" s="23" t="s">
        <v>6</v>
      </c>
      <c r="AJ608" s="37">
        <f>IFERROR(INDEX('Kode Diskon'!$D$3:$D$9,MATCH(cadangan[[#This Row],[Kode diskon]],'Kode Diskon'!$C$3:$C$9,0)),"-")</f>
        <v>0.1</v>
      </c>
      <c r="AK608" s="23" t="s">
        <v>29</v>
      </c>
      <c r="AL608" s="23" t="s">
        <v>7</v>
      </c>
      <c r="AM608" s="23" t="s">
        <v>80</v>
      </c>
      <c r="AN608" s="55">
        <v>45018</v>
      </c>
      <c r="AO608" s="53">
        <f>DAY(cadangan[[#This Row],[Tanggal terjual]])</f>
        <v>2</v>
      </c>
      <c r="AP608" s="21" t="str">
        <f>TEXT(cadangan[[#This Row],[Tanggal terjual]],"dddd")</f>
        <v>Sunday</v>
      </c>
      <c r="AQ608" s="23" t="str" cm="1">
        <f t="array" ref="AQ6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08" s="61">
        <f>AVERAGE(cadangan[[#This Row],[Rating A]],cadangan[[#This Row],[Rating B]],cadangan[[#This Row],[Rating C]])</f>
        <v>3</v>
      </c>
    </row>
    <row r="609" spans="1:44" x14ac:dyDescent="0.2">
      <c r="A609" s="20">
        <v>608</v>
      </c>
      <c r="B609" s="21" t="str">
        <f>_xlfn.CONCAT("ORD-",INDEX(Helper!$B$2:$B$5,MATCH(cadangan[[#This Row],[Marketplace]],Helper!$A$2:$A$5,0)),TEXT(cadangan[[#This Row],[No]],"0000"),"-",TEXT(cadangan[[#This Row],[Tanggal terjual]],"dd/mm/yy"))</f>
        <v>ORD-BL0608-29/04/23</v>
      </c>
      <c r="C609" s="39" t="s">
        <v>62</v>
      </c>
      <c r="D609" s="39" t="str">
        <f>IFERROR(INDEX(Katalog!$A$3:$A$12,MATCH(cadangan[[#This Row],[ItemID A]],Katalog!$C$3:$C$12,0)),"-")</f>
        <v>Pakaian Pria</v>
      </c>
      <c r="E609" s="39" t="str">
        <f>IFERROR(INDEX(Katalog!$B$3:$B$12,MATCH(cadangan[[#This Row],[ItemID A]],Katalog!$C$3:$C$12,0)),"-")</f>
        <v>Celana Pendek</v>
      </c>
      <c r="F609" s="50">
        <v>1</v>
      </c>
      <c r="G609" s="50">
        <v>5</v>
      </c>
      <c r="H609" s="73">
        <f>IFERROR(INDEX(Katalog!$D$3:$D$12,MATCH(cadangan[[#This Row],[ItemID A]],Katalog!$C$3:$C$12,0))*cadangan[[#This Row],[Qty A]],0)</f>
        <v>180000</v>
      </c>
      <c r="I609" s="73">
        <f>IFERROR(cadangan[[#This Row],[Harga Normal A]]-(cadangan[[#This Row],[Harga Normal A]]*cadangan[[#This Row],[Diskon]]),cadangan[[#This Row],[Harga Normal A]])</f>
        <v>153000</v>
      </c>
      <c r="J609" s="73">
        <f>INDEX(Katalog!$F$3:$F$12,MATCH(cadangan[[#This Row],[ItemID A]],Katalog!$C$3:$C$12,0))*cadangan[[#This Row],[Qty A]]</f>
        <v>70000</v>
      </c>
      <c r="K609" s="73">
        <f>IFERROR(cadangan[[#This Row],[Harga Diskon A]]-INDEX(Katalog!$E$3:$E$12,MATCH(cadangan[[#This Row],[ItemID A]],Katalog!$C$3:$C$12,0))*cadangan[[#This Row],[Qty A]],0)</f>
        <v>43000</v>
      </c>
      <c r="L609" s="39" t="s">
        <v>61</v>
      </c>
      <c r="M609" s="39" t="str">
        <f>IFERROR(INDEX(Katalog!$A$3:$A$12,MATCH(cadangan[[#This Row],[ItemID B]],Katalog!$C$3:$C$12,0)),"-")</f>
        <v>Pakaian Pria</v>
      </c>
      <c r="N609" s="39" t="str">
        <f>IFERROR(INDEX(Katalog!$B$3:$B$12,MATCH(cadangan[[#This Row],[ItemID B]],Katalog!$C$3:$C$12,0)),"-")</f>
        <v>Kaos Polo</v>
      </c>
      <c r="O609" s="50">
        <v>1</v>
      </c>
      <c r="P609" s="50">
        <v>2</v>
      </c>
      <c r="Q609" s="73">
        <f>IFERROR(INDEX(Katalog!$D$3:$D$12,MATCH(cadangan[[#This Row],[ItemID B]],Katalog!$C$3:$C$12,0))*cadangan[[#This Row],[Qty B]],0)</f>
        <v>200000</v>
      </c>
      <c r="R609" s="73">
        <f>IFERROR(cadangan[[#This Row],[Harga Normal B]]-(cadangan[[#This Row],[Harga Normal B]]*cadangan[[#This Row],[Diskon]]),cadangan[[#This Row],[Harga Normal B]])</f>
        <v>170000</v>
      </c>
      <c r="S609" s="73">
        <f>IFERROR(INDEX(Katalog!$F$3:$F$12,MATCH(cadangan[[#This Row],[ItemID B]],Katalog!$C$3:$C$12,0))*cadangan[[#This Row],[Qty B]],0)</f>
        <v>80000</v>
      </c>
      <c r="T609" s="73">
        <f>IFERROR(cadangan[[#This Row],[Harga Diskon B]]-INDEX(Katalog!$E$3:$E$12,MATCH(cadangan[[#This Row],[ItemID B]],Katalog!$C$3:$C$12,0))*cadangan[[#This Row],[Qty B]],0)</f>
        <v>50000</v>
      </c>
      <c r="U609" s="39" t="s">
        <v>62</v>
      </c>
      <c r="V609" s="39" t="str">
        <f>IFERROR(INDEX(Katalog!$A$3:$A$12,MATCH(cadangan[[#This Row],[ItemID C]],Katalog!$C$3:$C$12,0)),"-")</f>
        <v>Pakaian Pria</v>
      </c>
      <c r="W609" s="39" t="str">
        <f>IFERROR(INDEX(Katalog!$B$3:$B$12,MATCH(cadangan[[#This Row],[ItemID C]],Katalog!$C$3:$C$12,0)),"-")</f>
        <v>Celana Pendek</v>
      </c>
      <c r="X609" s="50">
        <v>1</v>
      </c>
      <c r="Y609" s="50">
        <v>4</v>
      </c>
      <c r="Z609" s="73">
        <f>IFERROR(INDEX(Katalog!$D$3:$D$12,MATCH(cadangan[[#This Row],[ItemID C]],Katalog!$C$3:$C$12,0))*cadangan[[#This Row],[Qty C]],0)</f>
        <v>180000</v>
      </c>
      <c r="AA609" s="73">
        <f>IFERROR(cadangan[[#This Row],[Harga Normal C]]-(cadangan[[#This Row],[Harga Normal C]]*cadangan[[#This Row],[Diskon]]),cadangan[[#This Row],[Harga Normal C]])</f>
        <v>153000</v>
      </c>
      <c r="AB609" s="73">
        <f>IFERROR(INDEX(Katalog!$F$3:$F$12,MATCH(cadangan[[#This Row],[ItemID C]],Katalog!$C$3:$C$12,0))*cadangan[[#This Row],[Qty C]],0)</f>
        <v>70000</v>
      </c>
      <c r="AC609" s="73">
        <f>IFERROR(cadangan[[#This Row],[Harga Diskon C]]-INDEX(Katalog!$E$3:$E$12,MATCH(cadangan[[#This Row],[ItemID C]],Katalog!$C$3:$C$12,0))*cadangan[[#This Row],[Qty C]],0)</f>
        <v>43000</v>
      </c>
      <c r="AD609" s="53">
        <f>cadangan[[#This Row],[Qty A]]+cadangan[[#This Row],[Qty B]]+cadangan[[#This Row],[Qty C]]</f>
        <v>3</v>
      </c>
      <c r="AE609" s="73">
        <f>cadangan[[#This Row],[Harga Normal A]]+cadangan[[#This Row],[Harga Normal B]]+cadangan[[#This Row],[Harga Normal C]]</f>
        <v>560000</v>
      </c>
      <c r="AF609" s="73">
        <f>cadangan[[#This Row],[Harga Diskon A]]+cadangan[[#This Row],[Harga Diskon B]]+cadangan[[#This Row],[Harga Diskon C]]</f>
        <v>476000</v>
      </c>
      <c r="AG609" s="73">
        <f>(cadangan[[#This Row],[Profit Normal A]]+cadangan[[#This Row],[Profit Normal B]]+cadangan[[#This Row],[Profit Normal C]])</f>
        <v>220000</v>
      </c>
      <c r="AH609" s="73">
        <f>cadangan[[#This Row],[Profit Diskon A]]+cadangan[[#This Row],[Profit Diskon B]]+cadangan[[#This Row],[Profit Diskon C]]</f>
        <v>136000</v>
      </c>
      <c r="AI609" s="23" t="s">
        <v>32</v>
      </c>
      <c r="AJ609" s="37">
        <f>IFERROR(INDEX('Kode Diskon'!$D$3:$D$9,MATCH(cadangan[[#This Row],[Kode diskon]],'Kode Diskon'!$C$3:$C$9,0)),"-")</f>
        <v>0.15</v>
      </c>
      <c r="AK609" s="23" t="s">
        <v>9</v>
      </c>
      <c r="AL609" s="23" t="s">
        <v>12</v>
      </c>
      <c r="AM609" s="23" t="s">
        <v>79</v>
      </c>
      <c r="AN609" s="55">
        <v>45045</v>
      </c>
      <c r="AO609" s="53">
        <f>DAY(cadangan[[#This Row],[Tanggal terjual]])</f>
        <v>29</v>
      </c>
      <c r="AP609" s="21" t="str">
        <f>TEXT(cadangan[[#This Row],[Tanggal terjual]],"dddd")</f>
        <v>Saturday</v>
      </c>
      <c r="AQ609" s="23" t="str" cm="1">
        <f t="array" ref="AQ6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09" s="61">
        <f>AVERAGE(cadangan[[#This Row],[Rating A]],cadangan[[#This Row],[Rating B]],cadangan[[#This Row],[Rating C]])</f>
        <v>3.6666666666666665</v>
      </c>
    </row>
    <row r="610" spans="1:44" x14ac:dyDescent="0.2">
      <c r="A610" s="20">
        <v>609</v>
      </c>
      <c r="B610" s="21" t="str">
        <f>_xlfn.CONCAT("ORD-",INDEX(Helper!$B$2:$B$5,MATCH(cadangan[[#This Row],[Marketplace]],Helper!$A$2:$A$5,0)),TEXT(cadangan[[#This Row],[No]],"0000"),"-",TEXT(cadangan[[#This Row],[Tanggal terjual]],"dd/mm/yy"))</f>
        <v>ORD-TK0609-01/04/23</v>
      </c>
      <c r="C610" s="39" t="s">
        <v>64</v>
      </c>
      <c r="D610" s="39" t="str">
        <f>IFERROR(INDEX(Katalog!$A$3:$A$12,MATCH(cadangan[[#This Row],[ItemID A]],Katalog!$C$3:$C$12,0)),"-")</f>
        <v>Pakaian Unisex</v>
      </c>
      <c r="E610" s="39" t="str">
        <f>IFERROR(INDEX(Katalog!$B$3:$B$12,MATCH(cadangan[[#This Row],[ItemID A]],Katalog!$C$3:$C$12,0)),"-")</f>
        <v>Jaket Hoodie</v>
      </c>
      <c r="F610" s="50">
        <v>3</v>
      </c>
      <c r="G610" s="50">
        <v>4</v>
      </c>
      <c r="H610" s="73">
        <f>IFERROR(INDEX(Katalog!$D$3:$D$12,MATCH(cadangan[[#This Row],[ItemID A]],Katalog!$C$3:$C$12,0))*cadangan[[#This Row],[Qty A]],0)</f>
        <v>1050000</v>
      </c>
      <c r="I610" s="73">
        <f>IFERROR(cadangan[[#This Row],[Harga Normal A]]-(cadangan[[#This Row],[Harga Normal A]]*cadangan[[#This Row],[Diskon]]),cadangan[[#This Row],[Harga Normal A]])</f>
        <v>945000</v>
      </c>
      <c r="J610" s="73">
        <f>INDEX(Katalog!$F$3:$F$12,MATCH(cadangan[[#This Row],[ItemID A]],Katalog!$C$3:$C$12,0))*cadangan[[#This Row],[Qty A]]</f>
        <v>390000</v>
      </c>
      <c r="K610" s="73">
        <f>IFERROR(cadangan[[#This Row],[Harga Diskon A]]-INDEX(Katalog!$E$3:$E$12,MATCH(cadangan[[#This Row],[ItemID A]],Katalog!$C$3:$C$12,0))*cadangan[[#This Row],[Qty A]],0)</f>
        <v>285000</v>
      </c>
      <c r="L610" s="39" t="s">
        <v>63</v>
      </c>
      <c r="M610" s="39" t="str">
        <f>IFERROR(INDEX(Katalog!$A$3:$A$12,MATCH(cadangan[[#This Row],[ItemID B]],Katalog!$C$3:$C$12,0)),"-")</f>
        <v>Pakaian Pria</v>
      </c>
      <c r="N610" s="39" t="str">
        <f>IFERROR(INDEX(Katalog!$B$3:$B$12,MATCH(cadangan[[#This Row],[ItemID B]],Katalog!$C$3:$C$12,0)),"-")</f>
        <v>Jaket Jeans</v>
      </c>
      <c r="O610" s="50">
        <v>1</v>
      </c>
      <c r="P610" s="50">
        <v>5</v>
      </c>
      <c r="Q610" s="73">
        <f>IFERROR(INDEX(Katalog!$D$3:$D$12,MATCH(cadangan[[#This Row],[ItemID B]],Katalog!$C$3:$C$12,0))*cadangan[[#This Row],[Qty B]],0)</f>
        <v>400000</v>
      </c>
      <c r="R610" s="73">
        <f>IFERROR(cadangan[[#This Row],[Harga Normal B]]-(cadangan[[#This Row],[Harga Normal B]]*cadangan[[#This Row],[Diskon]]),cadangan[[#This Row],[Harga Normal B]])</f>
        <v>360000</v>
      </c>
      <c r="S610" s="73">
        <f>IFERROR(INDEX(Katalog!$F$3:$F$12,MATCH(cadangan[[#This Row],[ItemID B]],Katalog!$C$3:$C$12,0))*cadangan[[#This Row],[Qty B]],0)</f>
        <v>150000</v>
      </c>
      <c r="T610" s="73">
        <f>IFERROR(cadangan[[#This Row],[Harga Diskon B]]-INDEX(Katalog!$E$3:$E$12,MATCH(cadangan[[#This Row],[ItemID B]],Katalog!$C$3:$C$12,0))*cadangan[[#This Row],[Qty B]],0)</f>
        <v>110000</v>
      </c>
      <c r="V610" s="39" t="str">
        <f>IFERROR(INDEX(Katalog!$A$3:$A$12,MATCH(cadangan[[#This Row],[ItemID C]],Katalog!$C$3:$C$12,0)),"-")</f>
        <v>-</v>
      </c>
      <c r="W610" s="39" t="str">
        <f>IFERROR(INDEX(Katalog!$B$3:$B$12,MATCH(cadangan[[#This Row],[ItemID C]],Katalog!$C$3:$C$12,0)),"-")</f>
        <v>-</v>
      </c>
      <c r="Z610" s="73">
        <f>IFERROR(INDEX(Katalog!$D$3:$D$12,MATCH(cadangan[[#This Row],[ItemID C]],Katalog!$C$3:$C$12,0))*cadangan[[#This Row],[Qty C]],0)</f>
        <v>0</v>
      </c>
      <c r="AA610" s="73">
        <f>IFERROR(cadangan[[#This Row],[Harga Normal C]]-(cadangan[[#This Row],[Harga Normal C]]*cadangan[[#This Row],[Diskon]]),cadangan[[#This Row],[Harga Normal C]])</f>
        <v>0</v>
      </c>
      <c r="AB610" s="73">
        <f>IFERROR(INDEX(Katalog!$F$3:$F$12,MATCH(cadangan[[#This Row],[ItemID C]],Katalog!$C$3:$C$12,0))*cadangan[[#This Row],[Qty C]],0)</f>
        <v>0</v>
      </c>
      <c r="AC610" s="73">
        <f>IFERROR(cadangan[[#This Row],[Harga Diskon C]]-INDEX(Katalog!$E$3:$E$12,MATCH(cadangan[[#This Row],[ItemID C]],Katalog!$C$3:$C$12,0))*cadangan[[#This Row],[Qty C]],0)</f>
        <v>0</v>
      </c>
      <c r="AD610" s="53">
        <f>cadangan[[#This Row],[Qty A]]+cadangan[[#This Row],[Qty B]]+cadangan[[#This Row],[Qty C]]</f>
        <v>4</v>
      </c>
      <c r="AE610" s="73">
        <f>cadangan[[#This Row],[Harga Normal A]]+cadangan[[#This Row],[Harga Normal B]]+cadangan[[#This Row],[Harga Normal C]]</f>
        <v>1450000</v>
      </c>
      <c r="AF610" s="73">
        <f>cadangan[[#This Row],[Harga Diskon A]]+cadangan[[#This Row],[Harga Diskon B]]+cadangan[[#This Row],[Harga Diskon C]]</f>
        <v>1305000</v>
      </c>
      <c r="AG610" s="73">
        <f>(cadangan[[#This Row],[Profit Normal A]]+cadangan[[#This Row],[Profit Normal B]]+cadangan[[#This Row],[Profit Normal C]])</f>
        <v>540000</v>
      </c>
      <c r="AH610" s="73">
        <f>cadangan[[#This Row],[Profit Diskon A]]+cadangan[[#This Row],[Profit Diskon B]]+cadangan[[#This Row],[Profit Diskon C]]</f>
        <v>395000</v>
      </c>
      <c r="AI610" s="23" t="s">
        <v>30</v>
      </c>
      <c r="AJ610" s="37">
        <f>IFERROR(INDEX('Kode Diskon'!$D$3:$D$9,MATCH(cadangan[[#This Row],[Kode diskon]],'Kode Diskon'!$C$3:$C$9,0)),"-")</f>
        <v>0.1</v>
      </c>
      <c r="AK610" s="23" t="s">
        <v>29</v>
      </c>
      <c r="AL610" s="23" t="s">
        <v>10</v>
      </c>
      <c r="AM610" s="23" t="s">
        <v>80</v>
      </c>
      <c r="AN610" s="55">
        <v>45017</v>
      </c>
      <c r="AO610" s="53">
        <f>DAY(cadangan[[#This Row],[Tanggal terjual]])</f>
        <v>1</v>
      </c>
      <c r="AP610" s="21" t="str">
        <f>TEXT(cadangan[[#This Row],[Tanggal terjual]],"dddd")</f>
        <v>Saturday</v>
      </c>
      <c r="AQ610" s="23" t="str" cm="1">
        <f t="array" ref="AQ6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10" s="61">
        <f>AVERAGE(cadangan[[#This Row],[Rating A]],cadangan[[#This Row],[Rating B]],cadangan[[#This Row],[Rating C]])</f>
        <v>4.5</v>
      </c>
    </row>
    <row r="611" spans="1:44" x14ac:dyDescent="0.2">
      <c r="A611" s="20">
        <v>610</v>
      </c>
      <c r="B611" s="21" t="str">
        <f>_xlfn.CONCAT("ORD-",INDEX(Helper!$B$2:$B$5,MATCH(cadangan[[#This Row],[Marketplace]],Helper!$A$2:$A$5,0)),TEXT(cadangan[[#This Row],[No]],"0000"),"-",TEXT(cadangan[[#This Row],[Tanggal terjual]],"dd/mm/yy"))</f>
        <v>ORD-TK0610-12/04/23</v>
      </c>
      <c r="C611" s="39" t="s">
        <v>61</v>
      </c>
      <c r="D611" s="39" t="str">
        <f>IFERROR(INDEX(Katalog!$A$3:$A$12,MATCH(cadangan[[#This Row],[ItemID A]],Katalog!$C$3:$C$12,0)),"-")</f>
        <v>Pakaian Pria</v>
      </c>
      <c r="E611" s="39" t="str">
        <f>IFERROR(INDEX(Katalog!$B$3:$B$12,MATCH(cadangan[[#This Row],[ItemID A]],Katalog!$C$3:$C$12,0)),"-")</f>
        <v>Kaos Polo</v>
      </c>
      <c r="F611" s="50">
        <v>6</v>
      </c>
      <c r="G611" s="50">
        <v>1</v>
      </c>
      <c r="H611" s="73">
        <f>IFERROR(INDEX(Katalog!$D$3:$D$12,MATCH(cadangan[[#This Row],[ItemID A]],Katalog!$C$3:$C$12,0))*cadangan[[#This Row],[Qty A]],0)</f>
        <v>1200000</v>
      </c>
      <c r="I611" s="73">
        <f>IFERROR(cadangan[[#This Row],[Harga Normal A]]-(cadangan[[#This Row],[Harga Normal A]]*cadangan[[#This Row],[Diskon]]),cadangan[[#This Row],[Harga Normal A]])</f>
        <v>1200000</v>
      </c>
      <c r="J611" s="73">
        <f>INDEX(Katalog!$F$3:$F$12,MATCH(cadangan[[#This Row],[ItemID A]],Katalog!$C$3:$C$12,0))*cadangan[[#This Row],[Qty A]]</f>
        <v>480000</v>
      </c>
      <c r="K611" s="73">
        <f>IFERROR(cadangan[[#This Row],[Harga Diskon A]]-INDEX(Katalog!$E$3:$E$12,MATCH(cadangan[[#This Row],[ItemID A]],Katalog!$C$3:$C$12,0))*cadangan[[#This Row],[Qty A]],0)</f>
        <v>480000</v>
      </c>
      <c r="L611" s="39" t="s">
        <v>60</v>
      </c>
      <c r="M611" s="39" t="str">
        <f>IFERROR(INDEX(Katalog!$A$3:$A$12,MATCH(cadangan[[#This Row],[ItemID B]],Katalog!$C$3:$C$12,0)),"-")</f>
        <v>Pakaian Wanita</v>
      </c>
      <c r="N611" s="39" t="str">
        <f>IFERROR(INDEX(Katalog!$B$3:$B$12,MATCH(cadangan[[#This Row],[ItemID B]],Katalog!$C$3:$C$12,0)),"-")</f>
        <v>Kaftan</v>
      </c>
      <c r="O611" s="50">
        <v>1</v>
      </c>
      <c r="P611" s="50">
        <v>2</v>
      </c>
      <c r="Q611" s="73">
        <f>IFERROR(INDEX(Katalog!$D$3:$D$12,MATCH(cadangan[[#This Row],[ItemID B]],Katalog!$C$3:$C$12,0))*cadangan[[#This Row],[Qty B]],0)</f>
        <v>250000</v>
      </c>
      <c r="R611" s="73">
        <f>IFERROR(cadangan[[#This Row],[Harga Normal B]]-(cadangan[[#This Row],[Harga Normal B]]*cadangan[[#This Row],[Diskon]]),cadangan[[#This Row],[Harga Normal B]])</f>
        <v>250000</v>
      </c>
      <c r="S611" s="73">
        <f>IFERROR(INDEX(Katalog!$F$3:$F$12,MATCH(cadangan[[#This Row],[ItemID B]],Katalog!$C$3:$C$12,0))*cadangan[[#This Row],[Qty B]],0)</f>
        <v>100000</v>
      </c>
      <c r="T611" s="73">
        <f>IFERROR(cadangan[[#This Row],[Harga Diskon B]]-INDEX(Katalog!$E$3:$E$12,MATCH(cadangan[[#This Row],[ItemID B]],Katalog!$C$3:$C$12,0))*cadangan[[#This Row],[Qty B]],0)</f>
        <v>100000</v>
      </c>
      <c r="V611" s="39" t="str">
        <f>IFERROR(INDEX(Katalog!$A$3:$A$12,MATCH(cadangan[[#This Row],[ItemID C]],Katalog!$C$3:$C$12,0)),"-")</f>
        <v>-</v>
      </c>
      <c r="W611" s="39" t="str">
        <f>IFERROR(INDEX(Katalog!$B$3:$B$12,MATCH(cadangan[[#This Row],[ItemID C]],Katalog!$C$3:$C$12,0)),"-")</f>
        <v>-</v>
      </c>
      <c r="Z611" s="73">
        <f>IFERROR(INDEX(Katalog!$D$3:$D$12,MATCH(cadangan[[#This Row],[ItemID C]],Katalog!$C$3:$C$12,0))*cadangan[[#This Row],[Qty C]],0)</f>
        <v>0</v>
      </c>
      <c r="AA611" s="73">
        <f>IFERROR(cadangan[[#This Row],[Harga Normal C]]-(cadangan[[#This Row],[Harga Normal C]]*cadangan[[#This Row],[Diskon]]),cadangan[[#This Row],[Harga Normal C]])</f>
        <v>0</v>
      </c>
      <c r="AB611" s="73">
        <f>IFERROR(INDEX(Katalog!$F$3:$F$12,MATCH(cadangan[[#This Row],[ItemID C]],Katalog!$C$3:$C$12,0))*cadangan[[#This Row],[Qty C]],0)</f>
        <v>0</v>
      </c>
      <c r="AC611" s="73">
        <f>IFERROR(cadangan[[#This Row],[Harga Diskon C]]-INDEX(Katalog!$E$3:$E$12,MATCH(cadangan[[#This Row],[ItemID C]],Katalog!$C$3:$C$12,0))*cadangan[[#This Row],[Qty C]],0)</f>
        <v>0</v>
      </c>
      <c r="AD611" s="53">
        <f>cadangan[[#This Row],[Qty A]]+cadangan[[#This Row],[Qty B]]+cadangan[[#This Row],[Qty C]]</f>
        <v>7</v>
      </c>
      <c r="AE611" s="73">
        <f>cadangan[[#This Row],[Harga Normal A]]+cadangan[[#This Row],[Harga Normal B]]+cadangan[[#This Row],[Harga Normal C]]</f>
        <v>1450000</v>
      </c>
      <c r="AF611" s="73">
        <f>cadangan[[#This Row],[Harga Diskon A]]+cadangan[[#This Row],[Harga Diskon B]]+cadangan[[#This Row],[Harga Diskon C]]</f>
        <v>1450000</v>
      </c>
      <c r="AG611" s="73">
        <f>(cadangan[[#This Row],[Profit Normal A]]+cadangan[[#This Row],[Profit Normal B]]+cadangan[[#This Row],[Profit Normal C]])</f>
        <v>580000</v>
      </c>
      <c r="AH611" s="73">
        <f>cadangan[[#This Row],[Profit Diskon A]]+cadangan[[#This Row],[Profit Diskon B]]+cadangan[[#This Row],[Profit Diskon C]]</f>
        <v>580000</v>
      </c>
      <c r="AI611" s="23" t="s">
        <v>290</v>
      </c>
      <c r="AJ611" s="37" t="str">
        <f>IFERROR(INDEX('Kode Diskon'!$D$3:$D$9,MATCH(cadangan[[#This Row],[Kode diskon]],'Kode Diskon'!$C$3:$C$9,0)),"-")</f>
        <v>-</v>
      </c>
      <c r="AK611" s="23" t="s">
        <v>290</v>
      </c>
      <c r="AL611" s="23" t="s">
        <v>10</v>
      </c>
      <c r="AM611" s="23" t="s">
        <v>79</v>
      </c>
      <c r="AN611" s="55">
        <v>45028</v>
      </c>
      <c r="AO611" s="53">
        <f>DAY(cadangan[[#This Row],[Tanggal terjual]])</f>
        <v>12</v>
      </c>
      <c r="AP611" s="21" t="str">
        <f>TEXT(cadangan[[#This Row],[Tanggal terjual]],"dddd")</f>
        <v>Wednesday</v>
      </c>
      <c r="AQ611" s="23" t="str" cm="1">
        <f t="array" ref="AQ6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11" s="61">
        <f>AVERAGE(cadangan[[#This Row],[Rating A]],cadangan[[#This Row],[Rating B]],cadangan[[#This Row],[Rating C]])</f>
        <v>1.5</v>
      </c>
    </row>
    <row r="612" spans="1:44" x14ac:dyDescent="0.2">
      <c r="A612" s="20">
        <v>611</v>
      </c>
      <c r="B612" s="21" t="str">
        <f>_xlfn.CONCAT("ORD-",INDEX(Helper!$B$2:$B$5,MATCH(cadangan[[#This Row],[Marketplace]],Helper!$A$2:$A$5,0)),TEXT(cadangan[[#This Row],[No]],"0000"),"-",TEXT(cadangan[[#This Row],[Tanggal terjual]],"dd/mm/yy"))</f>
        <v>ORD-TK0611-01/04/23</v>
      </c>
      <c r="C612" s="39" t="s">
        <v>64</v>
      </c>
      <c r="D612" s="39" t="str">
        <f>IFERROR(INDEX(Katalog!$A$3:$A$12,MATCH(cadangan[[#This Row],[ItemID A]],Katalog!$C$3:$C$12,0)),"-")</f>
        <v>Pakaian Unisex</v>
      </c>
      <c r="E612" s="39" t="str">
        <f>IFERROR(INDEX(Katalog!$B$3:$B$12,MATCH(cadangan[[#This Row],[ItemID A]],Katalog!$C$3:$C$12,0)),"-")</f>
        <v>Jaket Hoodie</v>
      </c>
      <c r="F612" s="50">
        <v>2</v>
      </c>
      <c r="G612" s="50">
        <v>1</v>
      </c>
      <c r="H612" s="73">
        <f>IFERROR(INDEX(Katalog!$D$3:$D$12,MATCH(cadangan[[#This Row],[ItemID A]],Katalog!$C$3:$C$12,0))*cadangan[[#This Row],[Qty A]],0)</f>
        <v>700000</v>
      </c>
      <c r="I612" s="73">
        <f>IFERROR(cadangan[[#This Row],[Harga Normal A]]-(cadangan[[#This Row],[Harga Normal A]]*cadangan[[#This Row],[Diskon]]),cadangan[[#This Row],[Harga Normal A]])</f>
        <v>630000</v>
      </c>
      <c r="J612" s="73">
        <f>INDEX(Katalog!$F$3:$F$12,MATCH(cadangan[[#This Row],[ItemID A]],Katalog!$C$3:$C$12,0))*cadangan[[#This Row],[Qty A]]</f>
        <v>260000</v>
      </c>
      <c r="K612" s="73">
        <f>IFERROR(cadangan[[#This Row],[Harga Diskon A]]-INDEX(Katalog!$E$3:$E$12,MATCH(cadangan[[#This Row],[ItemID A]],Katalog!$C$3:$C$12,0))*cadangan[[#This Row],[Qty A]],0)</f>
        <v>190000</v>
      </c>
      <c r="L612" s="39" t="s">
        <v>59</v>
      </c>
      <c r="M612" s="39" t="str">
        <f>IFERROR(INDEX(Katalog!$A$3:$A$12,MATCH(cadangan[[#This Row],[ItemID B]],Katalog!$C$3:$C$12,0)),"-")</f>
        <v>Pakaian Wanita</v>
      </c>
      <c r="N612" s="39" t="str">
        <f>IFERROR(INDEX(Katalog!$B$3:$B$12,MATCH(cadangan[[#This Row],[ItemID B]],Katalog!$C$3:$C$12,0)),"-")</f>
        <v>Blouse</v>
      </c>
      <c r="O612" s="50">
        <v>3</v>
      </c>
      <c r="P612" s="50">
        <v>4</v>
      </c>
      <c r="Q612" s="73">
        <f>IFERROR(INDEX(Katalog!$D$3:$D$12,MATCH(cadangan[[#This Row],[ItemID B]],Katalog!$C$3:$C$12,0))*cadangan[[#This Row],[Qty B]],0)</f>
        <v>450000</v>
      </c>
      <c r="R612" s="73">
        <f>IFERROR(cadangan[[#This Row],[Harga Normal B]]-(cadangan[[#This Row],[Harga Normal B]]*cadangan[[#This Row],[Diskon]]),cadangan[[#This Row],[Harga Normal B]])</f>
        <v>405000</v>
      </c>
      <c r="S612" s="73">
        <f>IFERROR(INDEX(Katalog!$F$3:$F$12,MATCH(cadangan[[#This Row],[ItemID B]],Katalog!$C$3:$C$12,0))*cadangan[[#This Row],[Qty B]],0)</f>
        <v>150000</v>
      </c>
      <c r="T612" s="73">
        <f>IFERROR(cadangan[[#This Row],[Harga Diskon B]]-INDEX(Katalog!$E$3:$E$12,MATCH(cadangan[[#This Row],[ItemID B]],Katalog!$C$3:$C$12,0))*cadangan[[#This Row],[Qty B]],0)</f>
        <v>105000</v>
      </c>
      <c r="V612" s="39" t="str">
        <f>IFERROR(INDEX(Katalog!$A$3:$A$12,MATCH(cadangan[[#This Row],[ItemID C]],Katalog!$C$3:$C$12,0)),"-")</f>
        <v>-</v>
      </c>
      <c r="W612" s="39" t="str">
        <f>IFERROR(INDEX(Katalog!$B$3:$B$12,MATCH(cadangan[[#This Row],[ItemID C]],Katalog!$C$3:$C$12,0)),"-")</f>
        <v>-</v>
      </c>
      <c r="Z612" s="73">
        <f>IFERROR(INDEX(Katalog!$D$3:$D$12,MATCH(cadangan[[#This Row],[ItemID C]],Katalog!$C$3:$C$12,0))*cadangan[[#This Row],[Qty C]],0)</f>
        <v>0</v>
      </c>
      <c r="AA612" s="73">
        <f>IFERROR(cadangan[[#This Row],[Harga Normal C]]-(cadangan[[#This Row],[Harga Normal C]]*cadangan[[#This Row],[Diskon]]),cadangan[[#This Row],[Harga Normal C]])</f>
        <v>0</v>
      </c>
      <c r="AB612" s="73">
        <f>IFERROR(INDEX(Katalog!$F$3:$F$12,MATCH(cadangan[[#This Row],[ItemID C]],Katalog!$C$3:$C$12,0))*cadangan[[#This Row],[Qty C]],0)</f>
        <v>0</v>
      </c>
      <c r="AC612" s="73">
        <f>IFERROR(cadangan[[#This Row],[Harga Diskon C]]-INDEX(Katalog!$E$3:$E$12,MATCH(cadangan[[#This Row],[ItemID C]],Katalog!$C$3:$C$12,0))*cadangan[[#This Row],[Qty C]],0)</f>
        <v>0</v>
      </c>
      <c r="AD612" s="53">
        <f>cadangan[[#This Row],[Qty A]]+cadangan[[#This Row],[Qty B]]+cadangan[[#This Row],[Qty C]]</f>
        <v>5</v>
      </c>
      <c r="AE612" s="73">
        <f>cadangan[[#This Row],[Harga Normal A]]+cadangan[[#This Row],[Harga Normal B]]+cadangan[[#This Row],[Harga Normal C]]</f>
        <v>1150000</v>
      </c>
      <c r="AF612" s="73">
        <f>cadangan[[#This Row],[Harga Diskon A]]+cadangan[[#This Row],[Harga Diskon B]]+cadangan[[#This Row],[Harga Diskon C]]</f>
        <v>1035000</v>
      </c>
      <c r="AG612" s="73">
        <f>(cadangan[[#This Row],[Profit Normal A]]+cadangan[[#This Row],[Profit Normal B]]+cadangan[[#This Row],[Profit Normal C]])</f>
        <v>410000</v>
      </c>
      <c r="AH612" s="73">
        <f>cadangan[[#This Row],[Profit Diskon A]]+cadangan[[#This Row],[Profit Diskon B]]+cadangan[[#This Row],[Profit Diskon C]]</f>
        <v>295000</v>
      </c>
      <c r="AI612" s="23" t="s">
        <v>30</v>
      </c>
      <c r="AJ612" s="37">
        <f>IFERROR(INDEX('Kode Diskon'!$D$3:$D$9,MATCH(cadangan[[#This Row],[Kode diskon]],'Kode Diskon'!$C$3:$C$9,0)),"-")</f>
        <v>0.1</v>
      </c>
      <c r="AK612" s="23" t="s">
        <v>29</v>
      </c>
      <c r="AL612" s="23" t="s">
        <v>10</v>
      </c>
      <c r="AM612" s="23" t="s">
        <v>75</v>
      </c>
      <c r="AN612" s="55">
        <v>45017</v>
      </c>
      <c r="AO612" s="53">
        <f>DAY(cadangan[[#This Row],[Tanggal terjual]])</f>
        <v>1</v>
      </c>
      <c r="AP612" s="21" t="str">
        <f>TEXT(cadangan[[#This Row],[Tanggal terjual]],"dddd")</f>
        <v>Saturday</v>
      </c>
      <c r="AQ612" s="23" t="str" cm="1">
        <f t="array" ref="AQ6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12" s="61">
        <f>AVERAGE(cadangan[[#This Row],[Rating A]],cadangan[[#This Row],[Rating B]],cadangan[[#This Row],[Rating C]])</f>
        <v>2.5</v>
      </c>
    </row>
    <row r="613" spans="1:44" x14ac:dyDescent="0.2">
      <c r="A613" s="20">
        <v>612</v>
      </c>
      <c r="B613" s="21" t="str">
        <f>_xlfn.CONCAT("ORD-",INDEX(Helper!$B$2:$B$5,MATCH(cadangan[[#This Row],[Marketplace]],Helper!$A$2:$A$5,0)),TEXT(cadangan[[#This Row],[No]],"0000"),"-",TEXT(cadangan[[#This Row],[Tanggal terjual]],"dd/mm/yy"))</f>
        <v>ORD-BL0612-17/04/23</v>
      </c>
      <c r="C613" s="39" t="s">
        <v>61</v>
      </c>
      <c r="D613" s="39" t="str">
        <f>IFERROR(INDEX(Katalog!$A$3:$A$12,MATCH(cadangan[[#This Row],[ItemID A]],Katalog!$C$3:$C$12,0)),"-")</f>
        <v>Pakaian Pria</v>
      </c>
      <c r="E613" s="39" t="str">
        <f>IFERROR(INDEX(Katalog!$B$3:$B$12,MATCH(cadangan[[#This Row],[ItemID A]],Katalog!$C$3:$C$12,0)),"-")</f>
        <v>Kaos Polo</v>
      </c>
      <c r="F613" s="50">
        <v>4</v>
      </c>
      <c r="G613" s="50">
        <v>2</v>
      </c>
      <c r="H613" s="73">
        <f>IFERROR(INDEX(Katalog!$D$3:$D$12,MATCH(cadangan[[#This Row],[ItemID A]],Katalog!$C$3:$C$12,0))*cadangan[[#This Row],[Qty A]],0)</f>
        <v>800000</v>
      </c>
      <c r="I613" s="73">
        <f>IFERROR(cadangan[[#This Row],[Harga Normal A]]-(cadangan[[#This Row],[Harga Normal A]]*cadangan[[#This Row],[Diskon]]),cadangan[[#This Row],[Harga Normal A]])</f>
        <v>680000</v>
      </c>
      <c r="J613" s="73">
        <f>INDEX(Katalog!$F$3:$F$12,MATCH(cadangan[[#This Row],[ItemID A]],Katalog!$C$3:$C$12,0))*cadangan[[#This Row],[Qty A]]</f>
        <v>320000</v>
      </c>
      <c r="K613" s="73">
        <f>IFERROR(cadangan[[#This Row],[Harga Diskon A]]-INDEX(Katalog!$E$3:$E$12,MATCH(cadangan[[#This Row],[ItemID A]],Katalog!$C$3:$C$12,0))*cadangan[[#This Row],[Qty A]],0)</f>
        <v>200000</v>
      </c>
      <c r="M613" s="39" t="str">
        <f>IFERROR(INDEX(Katalog!$A$3:$A$12,MATCH(cadangan[[#This Row],[ItemID B]],Katalog!$C$3:$C$12,0)),"-")</f>
        <v>-</v>
      </c>
      <c r="N613" s="39" t="str">
        <f>IFERROR(INDEX(Katalog!$B$3:$B$12,MATCH(cadangan[[#This Row],[ItemID B]],Katalog!$C$3:$C$12,0)),"-")</f>
        <v>-</v>
      </c>
      <c r="Q613" s="73">
        <f>IFERROR(INDEX(Katalog!$D$3:$D$12,MATCH(cadangan[[#This Row],[ItemID B]],Katalog!$C$3:$C$12,0))*cadangan[[#This Row],[Qty B]],0)</f>
        <v>0</v>
      </c>
      <c r="R613" s="73">
        <f>IFERROR(cadangan[[#This Row],[Harga Normal B]]-(cadangan[[#This Row],[Harga Normal B]]*cadangan[[#This Row],[Diskon]]),cadangan[[#This Row],[Harga Normal B]])</f>
        <v>0</v>
      </c>
      <c r="S613" s="73">
        <f>IFERROR(INDEX(Katalog!$F$3:$F$12,MATCH(cadangan[[#This Row],[ItemID B]],Katalog!$C$3:$C$12,0))*cadangan[[#This Row],[Qty B]],0)</f>
        <v>0</v>
      </c>
      <c r="T613" s="73">
        <f>IFERROR(cadangan[[#This Row],[Harga Diskon B]]-INDEX(Katalog!$E$3:$E$12,MATCH(cadangan[[#This Row],[ItemID B]],Katalog!$C$3:$C$12,0))*cadangan[[#This Row],[Qty B]],0)</f>
        <v>0</v>
      </c>
      <c r="V613" s="39" t="str">
        <f>IFERROR(INDEX(Katalog!$A$3:$A$12,MATCH(cadangan[[#This Row],[ItemID C]],Katalog!$C$3:$C$12,0)),"-")</f>
        <v>-</v>
      </c>
      <c r="W613" s="39" t="str">
        <f>IFERROR(INDEX(Katalog!$B$3:$B$12,MATCH(cadangan[[#This Row],[ItemID C]],Katalog!$C$3:$C$12,0)),"-")</f>
        <v>-</v>
      </c>
      <c r="Z613" s="73">
        <f>IFERROR(INDEX(Katalog!$D$3:$D$12,MATCH(cadangan[[#This Row],[ItemID C]],Katalog!$C$3:$C$12,0))*cadangan[[#This Row],[Qty C]],0)</f>
        <v>0</v>
      </c>
      <c r="AA613" s="73">
        <f>IFERROR(cadangan[[#This Row],[Harga Normal C]]-(cadangan[[#This Row],[Harga Normal C]]*cadangan[[#This Row],[Diskon]]),cadangan[[#This Row],[Harga Normal C]])</f>
        <v>0</v>
      </c>
      <c r="AB613" s="73">
        <f>IFERROR(INDEX(Katalog!$F$3:$F$12,MATCH(cadangan[[#This Row],[ItemID C]],Katalog!$C$3:$C$12,0))*cadangan[[#This Row],[Qty C]],0)</f>
        <v>0</v>
      </c>
      <c r="AC613" s="73">
        <f>IFERROR(cadangan[[#This Row],[Harga Diskon C]]-INDEX(Katalog!$E$3:$E$12,MATCH(cadangan[[#This Row],[ItemID C]],Katalog!$C$3:$C$12,0))*cadangan[[#This Row],[Qty C]],0)</f>
        <v>0</v>
      </c>
      <c r="AD613" s="53">
        <f>cadangan[[#This Row],[Qty A]]+cadangan[[#This Row],[Qty B]]+cadangan[[#This Row],[Qty C]]</f>
        <v>4</v>
      </c>
      <c r="AE613" s="73">
        <f>cadangan[[#This Row],[Harga Normal A]]+cadangan[[#This Row],[Harga Normal B]]+cadangan[[#This Row],[Harga Normal C]]</f>
        <v>800000</v>
      </c>
      <c r="AF613" s="73">
        <f>cadangan[[#This Row],[Harga Diskon A]]+cadangan[[#This Row],[Harga Diskon B]]+cadangan[[#This Row],[Harga Diskon C]]</f>
        <v>680000</v>
      </c>
      <c r="AG613" s="73">
        <f>(cadangan[[#This Row],[Profit Normal A]]+cadangan[[#This Row],[Profit Normal B]]+cadangan[[#This Row],[Profit Normal C]])</f>
        <v>320000</v>
      </c>
      <c r="AH613" s="73">
        <f>cadangan[[#This Row],[Profit Diskon A]]+cadangan[[#This Row],[Profit Diskon B]]+cadangan[[#This Row],[Profit Diskon C]]</f>
        <v>200000</v>
      </c>
      <c r="AI613" s="23" t="s">
        <v>32</v>
      </c>
      <c r="AJ613" s="37">
        <f>IFERROR(INDEX('Kode Diskon'!$D$3:$D$9,MATCH(cadangan[[#This Row],[Kode diskon]],'Kode Diskon'!$C$3:$C$9,0)),"-")</f>
        <v>0.15</v>
      </c>
      <c r="AK613" s="23" t="s">
        <v>9</v>
      </c>
      <c r="AL613" s="23" t="s">
        <v>12</v>
      </c>
      <c r="AM613" s="23" t="s">
        <v>75</v>
      </c>
      <c r="AN613" s="55">
        <v>45033</v>
      </c>
      <c r="AO613" s="53">
        <f>DAY(cadangan[[#This Row],[Tanggal terjual]])</f>
        <v>17</v>
      </c>
      <c r="AP613" s="21" t="str">
        <f>TEXT(cadangan[[#This Row],[Tanggal terjual]],"dddd")</f>
        <v>Monday</v>
      </c>
      <c r="AQ613" s="23" t="str" cm="1">
        <f t="array" ref="AQ6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13" s="61">
        <f>AVERAGE(cadangan[[#This Row],[Rating A]],cadangan[[#This Row],[Rating B]],cadangan[[#This Row],[Rating C]])</f>
        <v>2</v>
      </c>
    </row>
    <row r="614" spans="1:44" x14ac:dyDescent="0.2">
      <c r="A614" s="20">
        <v>613</v>
      </c>
      <c r="B614" s="21" t="str">
        <f>_xlfn.CONCAT("ORD-",INDEX(Helper!$B$2:$B$5,MATCH(cadangan[[#This Row],[Marketplace]],Helper!$A$2:$A$5,0)),TEXT(cadangan[[#This Row],[No]],"0000"),"-",TEXT(cadangan[[#This Row],[Tanggal terjual]],"dd/mm/yy"))</f>
        <v>ORD-BL0613-20/04/23</v>
      </c>
      <c r="C614" s="39" t="s">
        <v>61</v>
      </c>
      <c r="D614" s="39" t="str">
        <f>IFERROR(INDEX(Katalog!$A$3:$A$12,MATCH(cadangan[[#This Row],[ItemID A]],Katalog!$C$3:$C$12,0)),"-")</f>
        <v>Pakaian Pria</v>
      </c>
      <c r="E614" s="39" t="str">
        <f>IFERROR(INDEX(Katalog!$B$3:$B$12,MATCH(cadangan[[#This Row],[ItemID A]],Katalog!$C$3:$C$12,0)),"-")</f>
        <v>Kaos Polo</v>
      </c>
      <c r="F614" s="50">
        <v>3</v>
      </c>
      <c r="G614" s="50">
        <v>4</v>
      </c>
      <c r="H614" s="73">
        <f>IFERROR(INDEX(Katalog!$D$3:$D$12,MATCH(cadangan[[#This Row],[ItemID A]],Katalog!$C$3:$C$12,0))*cadangan[[#This Row],[Qty A]],0)</f>
        <v>600000</v>
      </c>
      <c r="I614" s="73">
        <f>IFERROR(cadangan[[#This Row],[Harga Normal A]]-(cadangan[[#This Row],[Harga Normal A]]*cadangan[[#This Row],[Diskon]]),cadangan[[#This Row],[Harga Normal A]])</f>
        <v>510000</v>
      </c>
      <c r="J614" s="73">
        <f>INDEX(Katalog!$F$3:$F$12,MATCH(cadangan[[#This Row],[ItemID A]],Katalog!$C$3:$C$12,0))*cadangan[[#This Row],[Qty A]]</f>
        <v>240000</v>
      </c>
      <c r="K614" s="73">
        <f>IFERROR(cadangan[[#This Row],[Harga Diskon A]]-INDEX(Katalog!$E$3:$E$12,MATCH(cadangan[[#This Row],[ItemID A]],Katalog!$C$3:$C$12,0))*cadangan[[#This Row],[Qty A]],0)</f>
        <v>150000</v>
      </c>
      <c r="M614" s="39" t="str">
        <f>IFERROR(INDEX(Katalog!$A$3:$A$12,MATCH(cadangan[[#This Row],[ItemID B]],Katalog!$C$3:$C$12,0)),"-")</f>
        <v>-</v>
      </c>
      <c r="N614" s="39" t="str">
        <f>IFERROR(INDEX(Katalog!$B$3:$B$12,MATCH(cadangan[[#This Row],[ItemID B]],Katalog!$C$3:$C$12,0)),"-")</f>
        <v>-</v>
      </c>
      <c r="Q614" s="73">
        <f>IFERROR(INDEX(Katalog!$D$3:$D$12,MATCH(cadangan[[#This Row],[ItemID B]],Katalog!$C$3:$C$12,0))*cadangan[[#This Row],[Qty B]],0)</f>
        <v>0</v>
      </c>
      <c r="R614" s="73">
        <f>IFERROR(cadangan[[#This Row],[Harga Normal B]]-(cadangan[[#This Row],[Harga Normal B]]*cadangan[[#This Row],[Diskon]]),cadangan[[#This Row],[Harga Normal B]])</f>
        <v>0</v>
      </c>
      <c r="S614" s="73">
        <f>IFERROR(INDEX(Katalog!$F$3:$F$12,MATCH(cadangan[[#This Row],[ItemID B]],Katalog!$C$3:$C$12,0))*cadangan[[#This Row],[Qty B]],0)</f>
        <v>0</v>
      </c>
      <c r="T614" s="73">
        <f>IFERROR(cadangan[[#This Row],[Harga Diskon B]]-INDEX(Katalog!$E$3:$E$12,MATCH(cadangan[[#This Row],[ItemID B]],Katalog!$C$3:$C$12,0))*cadangan[[#This Row],[Qty B]],0)</f>
        <v>0</v>
      </c>
      <c r="V614" s="39" t="str">
        <f>IFERROR(INDEX(Katalog!$A$3:$A$12,MATCH(cadangan[[#This Row],[ItemID C]],Katalog!$C$3:$C$12,0)),"-")</f>
        <v>-</v>
      </c>
      <c r="W614" s="39" t="str">
        <f>IFERROR(INDEX(Katalog!$B$3:$B$12,MATCH(cadangan[[#This Row],[ItemID C]],Katalog!$C$3:$C$12,0)),"-")</f>
        <v>-</v>
      </c>
      <c r="Z614" s="73">
        <f>IFERROR(INDEX(Katalog!$D$3:$D$12,MATCH(cadangan[[#This Row],[ItemID C]],Katalog!$C$3:$C$12,0))*cadangan[[#This Row],[Qty C]],0)</f>
        <v>0</v>
      </c>
      <c r="AA614" s="73">
        <f>IFERROR(cadangan[[#This Row],[Harga Normal C]]-(cadangan[[#This Row],[Harga Normal C]]*cadangan[[#This Row],[Diskon]]),cadangan[[#This Row],[Harga Normal C]])</f>
        <v>0</v>
      </c>
      <c r="AB614" s="73">
        <f>IFERROR(INDEX(Katalog!$F$3:$F$12,MATCH(cadangan[[#This Row],[ItemID C]],Katalog!$C$3:$C$12,0))*cadangan[[#This Row],[Qty C]],0)</f>
        <v>0</v>
      </c>
      <c r="AC614" s="73">
        <f>IFERROR(cadangan[[#This Row],[Harga Diskon C]]-INDEX(Katalog!$E$3:$E$12,MATCH(cadangan[[#This Row],[ItemID C]],Katalog!$C$3:$C$12,0))*cadangan[[#This Row],[Qty C]],0)</f>
        <v>0</v>
      </c>
      <c r="AD614" s="53">
        <f>cadangan[[#This Row],[Qty A]]+cadangan[[#This Row],[Qty B]]+cadangan[[#This Row],[Qty C]]</f>
        <v>3</v>
      </c>
      <c r="AE614" s="73">
        <f>cadangan[[#This Row],[Harga Normal A]]+cadangan[[#This Row],[Harga Normal B]]+cadangan[[#This Row],[Harga Normal C]]</f>
        <v>600000</v>
      </c>
      <c r="AF614" s="73">
        <f>cadangan[[#This Row],[Harga Diskon A]]+cadangan[[#This Row],[Harga Diskon B]]+cadangan[[#This Row],[Harga Diskon C]]</f>
        <v>510000</v>
      </c>
      <c r="AG614" s="73">
        <f>(cadangan[[#This Row],[Profit Normal A]]+cadangan[[#This Row],[Profit Normal B]]+cadangan[[#This Row],[Profit Normal C]])</f>
        <v>240000</v>
      </c>
      <c r="AH614" s="73">
        <f>cadangan[[#This Row],[Profit Diskon A]]+cadangan[[#This Row],[Profit Diskon B]]+cadangan[[#This Row],[Profit Diskon C]]</f>
        <v>150000</v>
      </c>
      <c r="AI614" s="23" t="s">
        <v>32</v>
      </c>
      <c r="AJ614" s="37">
        <f>IFERROR(INDEX('Kode Diskon'!$D$3:$D$9,MATCH(cadangan[[#This Row],[Kode diskon]],'Kode Diskon'!$C$3:$C$9,0)),"-")</f>
        <v>0.15</v>
      </c>
      <c r="AK614" s="23" t="s">
        <v>9</v>
      </c>
      <c r="AL614" s="23" t="s">
        <v>12</v>
      </c>
      <c r="AM614" s="23" t="s">
        <v>80</v>
      </c>
      <c r="AN614" s="55">
        <v>45036</v>
      </c>
      <c r="AO614" s="53">
        <f>DAY(cadangan[[#This Row],[Tanggal terjual]])</f>
        <v>20</v>
      </c>
      <c r="AP614" s="21" t="str">
        <f>TEXT(cadangan[[#This Row],[Tanggal terjual]],"dddd")</f>
        <v>Thursday</v>
      </c>
      <c r="AQ614" s="23" t="str" cm="1">
        <f t="array" ref="AQ6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14" s="61">
        <f>AVERAGE(cadangan[[#This Row],[Rating A]],cadangan[[#This Row],[Rating B]],cadangan[[#This Row],[Rating C]])</f>
        <v>4</v>
      </c>
    </row>
    <row r="615" spans="1:44" x14ac:dyDescent="0.2">
      <c r="A615" s="20">
        <v>614</v>
      </c>
      <c r="B615" s="21" t="str">
        <f>_xlfn.CONCAT("ORD-",INDEX(Helper!$B$2:$B$5,MATCH(cadangan[[#This Row],[Marketplace]],Helper!$A$2:$A$5,0)),TEXT(cadangan[[#This Row],[No]],"0000"),"-",TEXT(cadangan[[#This Row],[Tanggal terjual]],"dd/mm/yy"))</f>
        <v>ORD-SP0614-30/04/23</v>
      </c>
      <c r="C615" s="39" t="s">
        <v>62</v>
      </c>
      <c r="D615" s="39" t="str">
        <f>IFERROR(INDEX(Katalog!$A$3:$A$12,MATCH(cadangan[[#This Row],[ItemID A]],Katalog!$C$3:$C$12,0)),"-")</f>
        <v>Pakaian Pria</v>
      </c>
      <c r="E615" s="39" t="str">
        <f>IFERROR(INDEX(Katalog!$B$3:$B$12,MATCH(cadangan[[#This Row],[ItemID A]],Katalog!$C$3:$C$12,0)),"-")</f>
        <v>Celana Pendek</v>
      </c>
      <c r="F615" s="50">
        <v>1</v>
      </c>
      <c r="G615" s="50">
        <v>5</v>
      </c>
      <c r="H615" s="73">
        <f>IFERROR(INDEX(Katalog!$D$3:$D$12,MATCH(cadangan[[#This Row],[ItemID A]],Katalog!$C$3:$C$12,0))*cadangan[[#This Row],[Qty A]],0)</f>
        <v>180000</v>
      </c>
      <c r="I615" s="73">
        <f>IFERROR(cadangan[[#This Row],[Harga Normal A]]-(cadangan[[#This Row],[Harga Normal A]]*cadangan[[#This Row],[Diskon]]),cadangan[[#This Row],[Harga Normal A]])</f>
        <v>144000</v>
      </c>
      <c r="J615" s="73">
        <f>INDEX(Katalog!$F$3:$F$12,MATCH(cadangan[[#This Row],[ItemID A]],Katalog!$C$3:$C$12,0))*cadangan[[#This Row],[Qty A]]</f>
        <v>70000</v>
      </c>
      <c r="K615" s="73">
        <f>IFERROR(cadangan[[#This Row],[Harga Diskon A]]-INDEX(Katalog!$E$3:$E$12,MATCH(cadangan[[#This Row],[ItemID A]],Katalog!$C$3:$C$12,0))*cadangan[[#This Row],[Qty A]],0)</f>
        <v>34000</v>
      </c>
      <c r="L615" s="39" t="s">
        <v>66</v>
      </c>
      <c r="M615" s="39" t="str">
        <f>IFERROR(INDEX(Katalog!$A$3:$A$12,MATCH(cadangan[[#This Row],[ItemID B]],Katalog!$C$3:$C$12,0)),"-")</f>
        <v>Sepatu Pria</v>
      </c>
      <c r="N615" s="39" t="str">
        <f>IFERROR(INDEX(Katalog!$B$3:$B$12,MATCH(cadangan[[#This Row],[ItemID B]],Katalog!$C$3:$C$12,0)),"-")</f>
        <v>Sandal Slip On</v>
      </c>
      <c r="O615" s="50">
        <v>1</v>
      </c>
      <c r="P615" s="50">
        <v>3</v>
      </c>
      <c r="Q615" s="73">
        <f>IFERROR(INDEX(Katalog!$D$3:$D$12,MATCH(cadangan[[#This Row],[ItemID B]],Katalog!$C$3:$C$12,0))*cadangan[[#This Row],[Qty B]],0)</f>
        <v>150000</v>
      </c>
      <c r="R615" s="73">
        <f>IFERROR(cadangan[[#This Row],[Harga Normal B]]-(cadangan[[#This Row],[Harga Normal B]]*cadangan[[#This Row],[Diskon]]),cadangan[[#This Row],[Harga Normal B]])</f>
        <v>120000</v>
      </c>
      <c r="S615" s="73">
        <f>IFERROR(INDEX(Katalog!$F$3:$F$12,MATCH(cadangan[[#This Row],[ItemID B]],Katalog!$C$3:$C$12,0))*cadangan[[#This Row],[Qty B]],0)</f>
        <v>60000</v>
      </c>
      <c r="T615" s="73">
        <f>IFERROR(cadangan[[#This Row],[Harga Diskon B]]-INDEX(Katalog!$E$3:$E$12,MATCH(cadangan[[#This Row],[ItemID B]],Katalog!$C$3:$C$12,0))*cadangan[[#This Row],[Qty B]],0)</f>
        <v>30000</v>
      </c>
      <c r="V615" s="39" t="str">
        <f>IFERROR(INDEX(Katalog!$A$3:$A$12,MATCH(cadangan[[#This Row],[ItemID C]],Katalog!$C$3:$C$12,0)),"-")</f>
        <v>-</v>
      </c>
      <c r="W615" s="39" t="str">
        <f>IFERROR(INDEX(Katalog!$B$3:$B$12,MATCH(cadangan[[#This Row],[ItemID C]],Katalog!$C$3:$C$12,0)),"-")</f>
        <v>-</v>
      </c>
      <c r="Z615" s="73">
        <f>IFERROR(INDEX(Katalog!$D$3:$D$12,MATCH(cadangan[[#This Row],[ItemID C]],Katalog!$C$3:$C$12,0))*cadangan[[#This Row],[Qty C]],0)</f>
        <v>0</v>
      </c>
      <c r="AA615" s="73">
        <f>IFERROR(cadangan[[#This Row],[Harga Normal C]]-(cadangan[[#This Row],[Harga Normal C]]*cadangan[[#This Row],[Diskon]]),cadangan[[#This Row],[Harga Normal C]])</f>
        <v>0</v>
      </c>
      <c r="AB615" s="73">
        <f>IFERROR(INDEX(Katalog!$F$3:$F$12,MATCH(cadangan[[#This Row],[ItemID C]],Katalog!$C$3:$C$12,0))*cadangan[[#This Row],[Qty C]],0)</f>
        <v>0</v>
      </c>
      <c r="AC615" s="73">
        <f>IFERROR(cadangan[[#This Row],[Harga Diskon C]]-INDEX(Katalog!$E$3:$E$12,MATCH(cadangan[[#This Row],[ItemID C]],Katalog!$C$3:$C$12,0))*cadangan[[#This Row],[Qty C]],0)</f>
        <v>0</v>
      </c>
      <c r="AD615" s="53">
        <f>cadangan[[#This Row],[Qty A]]+cadangan[[#This Row],[Qty B]]+cadangan[[#This Row],[Qty C]]</f>
        <v>2</v>
      </c>
      <c r="AE615" s="73">
        <f>cadangan[[#This Row],[Harga Normal A]]+cadangan[[#This Row],[Harga Normal B]]+cadangan[[#This Row],[Harga Normal C]]</f>
        <v>330000</v>
      </c>
      <c r="AF615" s="73">
        <f>cadangan[[#This Row],[Harga Diskon A]]+cadangan[[#This Row],[Harga Diskon B]]+cadangan[[#This Row],[Harga Diskon C]]</f>
        <v>264000</v>
      </c>
      <c r="AG615" s="73">
        <f>(cadangan[[#This Row],[Profit Normal A]]+cadangan[[#This Row],[Profit Normal B]]+cadangan[[#This Row],[Profit Normal C]])</f>
        <v>130000</v>
      </c>
      <c r="AH615" s="73">
        <f>cadangan[[#This Row],[Profit Diskon A]]+cadangan[[#This Row],[Profit Diskon B]]+cadangan[[#This Row],[Profit Diskon C]]</f>
        <v>64000</v>
      </c>
      <c r="AI615" s="23" t="s">
        <v>8</v>
      </c>
      <c r="AJ615" s="37">
        <f>IFERROR(INDEX('Kode Diskon'!$D$3:$D$9,MATCH(cadangan[[#This Row],[Kode diskon]],'Kode Diskon'!$C$3:$C$9,0)),"-")</f>
        <v>0.2</v>
      </c>
      <c r="AK615" s="23" t="s">
        <v>9</v>
      </c>
      <c r="AL615" s="23" t="s">
        <v>7</v>
      </c>
      <c r="AM615" s="23" t="s">
        <v>80</v>
      </c>
      <c r="AN615" s="55">
        <v>45046</v>
      </c>
      <c r="AO615" s="53">
        <f>DAY(cadangan[[#This Row],[Tanggal terjual]])</f>
        <v>30</v>
      </c>
      <c r="AP615" s="21" t="str">
        <f>TEXT(cadangan[[#This Row],[Tanggal terjual]],"dddd")</f>
        <v>Sunday</v>
      </c>
      <c r="AQ615" s="23" t="str" cm="1">
        <f t="array" ref="AQ6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15" s="61">
        <f>AVERAGE(cadangan[[#This Row],[Rating A]],cadangan[[#This Row],[Rating B]],cadangan[[#This Row],[Rating C]])</f>
        <v>4</v>
      </c>
    </row>
    <row r="616" spans="1:44" x14ac:dyDescent="0.2">
      <c r="A616" s="20">
        <v>615</v>
      </c>
      <c r="B616" s="21" t="str">
        <f>_xlfn.CONCAT("ORD-",INDEX(Helper!$B$2:$B$5,MATCH(cadangan[[#This Row],[Marketplace]],Helper!$A$2:$A$5,0)),TEXT(cadangan[[#This Row],[No]],"0000"),"-",TEXT(cadangan[[#This Row],[Tanggal terjual]],"dd/mm/yy"))</f>
        <v>ORD-BL0615-25/04/23</v>
      </c>
      <c r="C616" s="39" t="s">
        <v>64</v>
      </c>
      <c r="D616" s="39" t="str">
        <f>IFERROR(INDEX(Katalog!$A$3:$A$12,MATCH(cadangan[[#This Row],[ItemID A]],Katalog!$C$3:$C$12,0)),"-")</f>
        <v>Pakaian Unisex</v>
      </c>
      <c r="E616" s="39" t="str">
        <f>IFERROR(INDEX(Katalog!$B$3:$B$12,MATCH(cadangan[[#This Row],[ItemID A]],Katalog!$C$3:$C$12,0)),"-")</f>
        <v>Jaket Hoodie</v>
      </c>
      <c r="F616" s="50">
        <v>4</v>
      </c>
      <c r="G616" s="50">
        <v>1</v>
      </c>
      <c r="H616" s="73">
        <f>IFERROR(INDEX(Katalog!$D$3:$D$12,MATCH(cadangan[[#This Row],[ItemID A]],Katalog!$C$3:$C$12,0))*cadangan[[#This Row],[Qty A]],0)</f>
        <v>1400000</v>
      </c>
      <c r="I616" s="73">
        <f>IFERROR(cadangan[[#This Row],[Harga Normal A]]-(cadangan[[#This Row],[Harga Normal A]]*cadangan[[#This Row],[Diskon]]),cadangan[[#This Row],[Harga Normal A]])</f>
        <v>1190000</v>
      </c>
      <c r="J616" s="73">
        <f>INDEX(Katalog!$F$3:$F$12,MATCH(cadangan[[#This Row],[ItemID A]],Katalog!$C$3:$C$12,0))*cadangan[[#This Row],[Qty A]]</f>
        <v>520000</v>
      </c>
      <c r="K616" s="73">
        <f>IFERROR(cadangan[[#This Row],[Harga Diskon A]]-INDEX(Katalog!$E$3:$E$12,MATCH(cadangan[[#This Row],[ItemID A]],Katalog!$C$3:$C$12,0))*cadangan[[#This Row],[Qty A]],0)</f>
        <v>310000</v>
      </c>
      <c r="L616" s="39" t="s">
        <v>66</v>
      </c>
      <c r="M616" s="39" t="str">
        <f>IFERROR(INDEX(Katalog!$A$3:$A$12,MATCH(cadangan[[#This Row],[ItemID B]],Katalog!$C$3:$C$12,0)),"-")</f>
        <v>Sepatu Pria</v>
      </c>
      <c r="N616" s="39" t="str">
        <f>IFERROR(INDEX(Katalog!$B$3:$B$12,MATCH(cadangan[[#This Row],[ItemID B]],Katalog!$C$3:$C$12,0)),"-")</f>
        <v>Sandal Slip On</v>
      </c>
      <c r="O616" s="50">
        <v>2</v>
      </c>
      <c r="P616" s="50">
        <v>5</v>
      </c>
      <c r="Q616" s="73">
        <f>IFERROR(INDEX(Katalog!$D$3:$D$12,MATCH(cadangan[[#This Row],[ItemID B]],Katalog!$C$3:$C$12,0))*cadangan[[#This Row],[Qty B]],0)</f>
        <v>300000</v>
      </c>
      <c r="R616" s="73">
        <f>IFERROR(cadangan[[#This Row],[Harga Normal B]]-(cadangan[[#This Row],[Harga Normal B]]*cadangan[[#This Row],[Diskon]]),cadangan[[#This Row],[Harga Normal B]])</f>
        <v>255000</v>
      </c>
      <c r="S616" s="73">
        <f>IFERROR(INDEX(Katalog!$F$3:$F$12,MATCH(cadangan[[#This Row],[ItemID B]],Katalog!$C$3:$C$12,0))*cadangan[[#This Row],[Qty B]],0)</f>
        <v>120000</v>
      </c>
      <c r="T616" s="73">
        <f>IFERROR(cadangan[[#This Row],[Harga Diskon B]]-INDEX(Katalog!$E$3:$E$12,MATCH(cadangan[[#This Row],[ItemID B]],Katalog!$C$3:$C$12,0))*cadangan[[#This Row],[Qty B]],0)</f>
        <v>75000</v>
      </c>
      <c r="U616" s="39" t="s">
        <v>63</v>
      </c>
      <c r="V616" s="39" t="str">
        <f>IFERROR(INDEX(Katalog!$A$3:$A$12,MATCH(cadangan[[#This Row],[ItemID C]],Katalog!$C$3:$C$12,0)),"-")</f>
        <v>Pakaian Pria</v>
      </c>
      <c r="W616" s="39" t="str">
        <f>IFERROR(INDEX(Katalog!$B$3:$B$12,MATCH(cadangan[[#This Row],[ItemID C]],Katalog!$C$3:$C$12,0)),"-")</f>
        <v>Jaket Jeans</v>
      </c>
      <c r="X616" s="50">
        <v>1</v>
      </c>
      <c r="Y616" s="50">
        <v>3</v>
      </c>
      <c r="Z616" s="73">
        <f>IFERROR(INDEX(Katalog!$D$3:$D$12,MATCH(cadangan[[#This Row],[ItemID C]],Katalog!$C$3:$C$12,0))*cadangan[[#This Row],[Qty C]],0)</f>
        <v>400000</v>
      </c>
      <c r="AA616" s="73">
        <f>IFERROR(cadangan[[#This Row],[Harga Normal C]]-(cadangan[[#This Row],[Harga Normal C]]*cadangan[[#This Row],[Diskon]]),cadangan[[#This Row],[Harga Normal C]])</f>
        <v>340000</v>
      </c>
      <c r="AB616" s="73">
        <f>IFERROR(INDEX(Katalog!$F$3:$F$12,MATCH(cadangan[[#This Row],[ItemID C]],Katalog!$C$3:$C$12,0))*cadangan[[#This Row],[Qty C]],0)</f>
        <v>150000</v>
      </c>
      <c r="AC616" s="73">
        <f>IFERROR(cadangan[[#This Row],[Harga Diskon C]]-INDEX(Katalog!$E$3:$E$12,MATCH(cadangan[[#This Row],[ItemID C]],Katalog!$C$3:$C$12,0))*cadangan[[#This Row],[Qty C]],0)</f>
        <v>90000</v>
      </c>
      <c r="AD616" s="53">
        <f>cadangan[[#This Row],[Qty A]]+cadangan[[#This Row],[Qty B]]+cadangan[[#This Row],[Qty C]]</f>
        <v>7</v>
      </c>
      <c r="AE616" s="73">
        <f>cadangan[[#This Row],[Harga Normal A]]+cadangan[[#This Row],[Harga Normal B]]+cadangan[[#This Row],[Harga Normal C]]</f>
        <v>2100000</v>
      </c>
      <c r="AF616" s="73">
        <f>cadangan[[#This Row],[Harga Diskon A]]+cadangan[[#This Row],[Harga Diskon B]]+cadangan[[#This Row],[Harga Diskon C]]</f>
        <v>1785000</v>
      </c>
      <c r="AG616" s="73">
        <f>(cadangan[[#This Row],[Profit Normal A]]+cadangan[[#This Row],[Profit Normal B]]+cadangan[[#This Row],[Profit Normal C]])</f>
        <v>790000</v>
      </c>
      <c r="AH616" s="73">
        <f>cadangan[[#This Row],[Profit Diskon A]]+cadangan[[#This Row],[Profit Diskon B]]+cadangan[[#This Row],[Profit Diskon C]]</f>
        <v>475000</v>
      </c>
      <c r="AI616" s="23" t="s">
        <v>32</v>
      </c>
      <c r="AJ616" s="37">
        <f>IFERROR(INDEX('Kode Diskon'!$D$3:$D$9,MATCH(cadangan[[#This Row],[Kode diskon]],'Kode Diskon'!$C$3:$C$9,0)),"-")</f>
        <v>0.15</v>
      </c>
      <c r="AK616" s="23" t="s">
        <v>9</v>
      </c>
      <c r="AL616" s="23" t="s">
        <v>12</v>
      </c>
      <c r="AM616" s="23" t="s">
        <v>76</v>
      </c>
      <c r="AN616" s="55">
        <v>45041</v>
      </c>
      <c r="AO616" s="53">
        <f>DAY(cadangan[[#This Row],[Tanggal terjual]])</f>
        <v>25</v>
      </c>
      <c r="AP616" s="21" t="str">
        <f>TEXT(cadangan[[#This Row],[Tanggal terjual]],"dddd")</f>
        <v>Tuesday</v>
      </c>
      <c r="AQ616" s="23" t="str" cm="1">
        <f t="array" ref="AQ6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16" s="61">
        <f>AVERAGE(cadangan[[#This Row],[Rating A]],cadangan[[#This Row],[Rating B]],cadangan[[#This Row],[Rating C]])</f>
        <v>3</v>
      </c>
    </row>
    <row r="617" spans="1:44" x14ac:dyDescent="0.2">
      <c r="A617" s="20">
        <v>616</v>
      </c>
      <c r="B617" s="21" t="str">
        <f>_xlfn.CONCAT("ORD-",INDEX(Helper!$B$2:$B$5,MATCH(cadangan[[#This Row],[Marketplace]],Helper!$A$2:$A$5,0)),TEXT(cadangan[[#This Row],[No]],"0000"),"-",TEXT(cadangan[[#This Row],[Tanggal terjual]],"dd/mm/yy"))</f>
        <v>ORD-SP0616-04/04/23</v>
      </c>
      <c r="C617" s="39" t="s">
        <v>58</v>
      </c>
      <c r="D617" s="39" t="str">
        <f>IFERROR(INDEX(Katalog!$A$3:$A$12,MATCH(cadangan[[#This Row],[ItemID A]],Katalog!$C$3:$C$12,0)),"-")</f>
        <v>Pakaian Wanita</v>
      </c>
      <c r="E617" s="39" t="str">
        <f>IFERROR(INDEX(Katalog!$B$3:$B$12,MATCH(cadangan[[#This Row],[ItemID A]],Katalog!$C$3:$C$12,0)),"-")</f>
        <v>Dress</v>
      </c>
      <c r="F617" s="50">
        <v>1</v>
      </c>
      <c r="G617" s="50">
        <v>2</v>
      </c>
      <c r="H617" s="73">
        <f>IFERROR(INDEX(Katalog!$D$3:$D$12,MATCH(cadangan[[#This Row],[ItemID A]],Katalog!$C$3:$C$12,0))*cadangan[[#This Row],[Qty A]],0)</f>
        <v>300000</v>
      </c>
      <c r="I617" s="73">
        <f>IFERROR(cadangan[[#This Row],[Harga Normal A]]-(cadangan[[#This Row],[Harga Normal A]]*cadangan[[#This Row],[Diskon]]),cadangan[[#This Row],[Harga Normal A]])</f>
        <v>255000</v>
      </c>
      <c r="J617" s="73">
        <f>INDEX(Katalog!$F$3:$F$12,MATCH(cadangan[[#This Row],[ItemID A]],Katalog!$C$3:$C$12,0))*cadangan[[#This Row],[Qty A]]</f>
        <v>100000</v>
      </c>
      <c r="K617" s="73">
        <f>IFERROR(cadangan[[#This Row],[Harga Diskon A]]-INDEX(Katalog!$E$3:$E$12,MATCH(cadangan[[#This Row],[ItemID A]],Katalog!$C$3:$C$12,0))*cadangan[[#This Row],[Qty A]],0)</f>
        <v>55000</v>
      </c>
      <c r="M617" s="39" t="str">
        <f>IFERROR(INDEX(Katalog!$A$3:$A$12,MATCH(cadangan[[#This Row],[ItemID B]],Katalog!$C$3:$C$12,0)),"-")</f>
        <v>-</v>
      </c>
      <c r="N617" s="39" t="str">
        <f>IFERROR(INDEX(Katalog!$B$3:$B$12,MATCH(cadangan[[#This Row],[ItemID B]],Katalog!$C$3:$C$12,0)),"-")</f>
        <v>-</v>
      </c>
      <c r="Q617" s="73">
        <f>IFERROR(INDEX(Katalog!$D$3:$D$12,MATCH(cadangan[[#This Row],[ItemID B]],Katalog!$C$3:$C$12,0))*cadangan[[#This Row],[Qty B]],0)</f>
        <v>0</v>
      </c>
      <c r="R617" s="73">
        <f>IFERROR(cadangan[[#This Row],[Harga Normal B]]-(cadangan[[#This Row],[Harga Normal B]]*cadangan[[#This Row],[Diskon]]),cadangan[[#This Row],[Harga Normal B]])</f>
        <v>0</v>
      </c>
      <c r="S617" s="73">
        <f>IFERROR(INDEX(Katalog!$F$3:$F$12,MATCH(cadangan[[#This Row],[ItemID B]],Katalog!$C$3:$C$12,0))*cadangan[[#This Row],[Qty B]],0)</f>
        <v>0</v>
      </c>
      <c r="T617" s="73">
        <f>IFERROR(cadangan[[#This Row],[Harga Diskon B]]-INDEX(Katalog!$E$3:$E$12,MATCH(cadangan[[#This Row],[ItemID B]],Katalog!$C$3:$C$12,0))*cadangan[[#This Row],[Qty B]],0)</f>
        <v>0</v>
      </c>
      <c r="V617" s="39" t="str">
        <f>IFERROR(INDEX(Katalog!$A$3:$A$12,MATCH(cadangan[[#This Row],[ItemID C]],Katalog!$C$3:$C$12,0)),"-")</f>
        <v>-</v>
      </c>
      <c r="W617" s="39" t="str">
        <f>IFERROR(INDEX(Katalog!$B$3:$B$12,MATCH(cadangan[[#This Row],[ItemID C]],Katalog!$C$3:$C$12,0)),"-")</f>
        <v>-</v>
      </c>
      <c r="Z617" s="73">
        <f>IFERROR(INDEX(Katalog!$D$3:$D$12,MATCH(cadangan[[#This Row],[ItemID C]],Katalog!$C$3:$C$12,0))*cadangan[[#This Row],[Qty C]],0)</f>
        <v>0</v>
      </c>
      <c r="AA617" s="73">
        <f>IFERROR(cadangan[[#This Row],[Harga Normal C]]-(cadangan[[#This Row],[Harga Normal C]]*cadangan[[#This Row],[Diskon]]),cadangan[[#This Row],[Harga Normal C]])</f>
        <v>0</v>
      </c>
      <c r="AB617" s="73">
        <f>IFERROR(INDEX(Katalog!$F$3:$F$12,MATCH(cadangan[[#This Row],[ItemID C]],Katalog!$C$3:$C$12,0))*cadangan[[#This Row],[Qty C]],0)</f>
        <v>0</v>
      </c>
      <c r="AC617" s="73">
        <f>IFERROR(cadangan[[#This Row],[Harga Diskon C]]-INDEX(Katalog!$E$3:$E$12,MATCH(cadangan[[#This Row],[ItemID C]],Katalog!$C$3:$C$12,0))*cadangan[[#This Row],[Qty C]],0)</f>
        <v>0</v>
      </c>
      <c r="AD617" s="53">
        <f>cadangan[[#This Row],[Qty A]]+cadangan[[#This Row],[Qty B]]+cadangan[[#This Row],[Qty C]]</f>
        <v>1</v>
      </c>
      <c r="AE617" s="73">
        <f>cadangan[[#This Row],[Harga Normal A]]+cadangan[[#This Row],[Harga Normal B]]+cadangan[[#This Row],[Harga Normal C]]</f>
        <v>300000</v>
      </c>
      <c r="AF617" s="73">
        <f>cadangan[[#This Row],[Harga Diskon A]]+cadangan[[#This Row],[Harga Diskon B]]+cadangan[[#This Row],[Harga Diskon C]]</f>
        <v>255000</v>
      </c>
      <c r="AG617" s="73">
        <f>(cadangan[[#This Row],[Profit Normal A]]+cadangan[[#This Row],[Profit Normal B]]+cadangan[[#This Row],[Profit Normal C]])</f>
        <v>100000</v>
      </c>
      <c r="AH617" s="73">
        <f>cadangan[[#This Row],[Profit Diskon A]]+cadangan[[#This Row],[Profit Diskon B]]+cadangan[[#This Row],[Profit Diskon C]]</f>
        <v>55000</v>
      </c>
      <c r="AI617" s="23" t="s">
        <v>13</v>
      </c>
      <c r="AJ617" s="37">
        <f>IFERROR(INDEX('Kode Diskon'!$D$3:$D$9,MATCH(cadangan[[#This Row],[Kode diskon]],'Kode Diskon'!$C$3:$C$9,0)),"-")</f>
        <v>0.15</v>
      </c>
      <c r="AK617" s="23" t="s">
        <v>29</v>
      </c>
      <c r="AL617" s="23" t="s">
        <v>7</v>
      </c>
      <c r="AM617" s="23" t="s">
        <v>76</v>
      </c>
      <c r="AN617" s="55">
        <v>45020</v>
      </c>
      <c r="AO617" s="53">
        <f>DAY(cadangan[[#This Row],[Tanggal terjual]])</f>
        <v>4</v>
      </c>
      <c r="AP617" s="21" t="str">
        <f>TEXT(cadangan[[#This Row],[Tanggal terjual]],"dddd")</f>
        <v>Tuesday</v>
      </c>
      <c r="AQ617" s="23" t="str" cm="1">
        <f t="array" ref="AQ6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17" s="61">
        <f>AVERAGE(cadangan[[#This Row],[Rating A]],cadangan[[#This Row],[Rating B]],cadangan[[#This Row],[Rating C]])</f>
        <v>2</v>
      </c>
    </row>
    <row r="618" spans="1:44" x14ac:dyDescent="0.2">
      <c r="A618" s="20">
        <v>617</v>
      </c>
      <c r="B618" s="21" t="str">
        <f>_xlfn.CONCAT("ORD-",INDEX(Helper!$B$2:$B$5,MATCH(cadangan[[#This Row],[Marketplace]],Helper!$A$2:$A$5,0)),TEXT(cadangan[[#This Row],[No]],"0000"),"-",TEXT(cadangan[[#This Row],[Tanggal terjual]],"dd/mm/yy"))</f>
        <v>ORD-TK0617-12/04/23</v>
      </c>
      <c r="C618" s="39" t="s">
        <v>60</v>
      </c>
      <c r="D618" s="39" t="str">
        <f>IFERROR(INDEX(Katalog!$A$3:$A$12,MATCH(cadangan[[#This Row],[ItemID A]],Katalog!$C$3:$C$12,0)),"-")</f>
        <v>Pakaian Wanita</v>
      </c>
      <c r="E618" s="39" t="str">
        <f>IFERROR(INDEX(Katalog!$B$3:$B$12,MATCH(cadangan[[#This Row],[ItemID A]],Katalog!$C$3:$C$12,0)),"-")</f>
        <v>Kaftan</v>
      </c>
      <c r="F618" s="50">
        <v>2</v>
      </c>
      <c r="G618" s="50">
        <v>4</v>
      </c>
      <c r="H618" s="73">
        <f>IFERROR(INDEX(Katalog!$D$3:$D$12,MATCH(cadangan[[#This Row],[ItemID A]],Katalog!$C$3:$C$12,0))*cadangan[[#This Row],[Qty A]],0)</f>
        <v>500000</v>
      </c>
      <c r="I618" s="73">
        <f>IFERROR(cadangan[[#This Row],[Harga Normal A]]-(cadangan[[#This Row],[Harga Normal A]]*cadangan[[#This Row],[Diskon]]),cadangan[[#This Row],[Harga Normal A]])</f>
        <v>500000</v>
      </c>
      <c r="J618" s="73">
        <f>INDEX(Katalog!$F$3:$F$12,MATCH(cadangan[[#This Row],[ItemID A]],Katalog!$C$3:$C$12,0))*cadangan[[#This Row],[Qty A]]</f>
        <v>200000</v>
      </c>
      <c r="K618" s="73">
        <f>IFERROR(cadangan[[#This Row],[Harga Diskon A]]-INDEX(Katalog!$E$3:$E$12,MATCH(cadangan[[#This Row],[ItemID A]],Katalog!$C$3:$C$12,0))*cadangan[[#This Row],[Qty A]],0)</f>
        <v>200000</v>
      </c>
      <c r="M618" s="39" t="str">
        <f>IFERROR(INDEX(Katalog!$A$3:$A$12,MATCH(cadangan[[#This Row],[ItemID B]],Katalog!$C$3:$C$12,0)),"-")</f>
        <v>-</v>
      </c>
      <c r="N618" s="39" t="str">
        <f>IFERROR(INDEX(Katalog!$B$3:$B$12,MATCH(cadangan[[#This Row],[ItemID B]],Katalog!$C$3:$C$12,0)),"-")</f>
        <v>-</v>
      </c>
      <c r="Q618" s="73">
        <f>IFERROR(INDEX(Katalog!$D$3:$D$12,MATCH(cadangan[[#This Row],[ItemID B]],Katalog!$C$3:$C$12,0))*cadangan[[#This Row],[Qty B]],0)</f>
        <v>0</v>
      </c>
      <c r="R618" s="73">
        <f>IFERROR(cadangan[[#This Row],[Harga Normal B]]-(cadangan[[#This Row],[Harga Normal B]]*cadangan[[#This Row],[Diskon]]),cadangan[[#This Row],[Harga Normal B]])</f>
        <v>0</v>
      </c>
      <c r="S618" s="73">
        <f>IFERROR(INDEX(Katalog!$F$3:$F$12,MATCH(cadangan[[#This Row],[ItemID B]],Katalog!$C$3:$C$12,0))*cadangan[[#This Row],[Qty B]],0)</f>
        <v>0</v>
      </c>
      <c r="T618" s="73">
        <f>IFERROR(cadangan[[#This Row],[Harga Diskon B]]-INDEX(Katalog!$E$3:$E$12,MATCH(cadangan[[#This Row],[ItemID B]],Katalog!$C$3:$C$12,0))*cadangan[[#This Row],[Qty B]],0)</f>
        <v>0</v>
      </c>
      <c r="V618" s="39" t="str">
        <f>IFERROR(INDEX(Katalog!$A$3:$A$12,MATCH(cadangan[[#This Row],[ItemID C]],Katalog!$C$3:$C$12,0)),"-")</f>
        <v>-</v>
      </c>
      <c r="W618" s="39" t="str">
        <f>IFERROR(INDEX(Katalog!$B$3:$B$12,MATCH(cadangan[[#This Row],[ItemID C]],Katalog!$C$3:$C$12,0)),"-")</f>
        <v>-</v>
      </c>
      <c r="Z618" s="73">
        <f>IFERROR(INDEX(Katalog!$D$3:$D$12,MATCH(cadangan[[#This Row],[ItemID C]],Katalog!$C$3:$C$12,0))*cadangan[[#This Row],[Qty C]],0)</f>
        <v>0</v>
      </c>
      <c r="AA618" s="73">
        <f>IFERROR(cadangan[[#This Row],[Harga Normal C]]-(cadangan[[#This Row],[Harga Normal C]]*cadangan[[#This Row],[Diskon]]),cadangan[[#This Row],[Harga Normal C]])</f>
        <v>0</v>
      </c>
      <c r="AB618" s="73">
        <f>IFERROR(INDEX(Katalog!$F$3:$F$12,MATCH(cadangan[[#This Row],[ItemID C]],Katalog!$C$3:$C$12,0))*cadangan[[#This Row],[Qty C]],0)</f>
        <v>0</v>
      </c>
      <c r="AC618" s="73">
        <f>IFERROR(cadangan[[#This Row],[Harga Diskon C]]-INDEX(Katalog!$E$3:$E$12,MATCH(cadangan[[#This Row],[ItemID C]],Katalog!$C$3:$C$12,0))*cadangan[[#This Row],[Qty C]],0)</f>
        <v>0</v>
      </c>
      <c r="AD618" s="53">
        <f>cadangan[[#This Row],[Qty A]]+cadangan[[#This Row],[Qty B]]+cadangan[[#This Row],[Qty C]]</f>
        <v>2</v>
      </c>
      <c r="AE618" s="73">
        <f>cadangan[[#This Row],[Harga Normal A]]+cadangan[[#This Row],[Harga Normal B]]+cadangan[[#This Row],[Harga Normal C]]</f>
        <v>500000</v>
      </c>
      <c r="AF618" s="73">
        <f>cadangan[[#This Row],[Harga Diskon A]]+cadangan[[#This Row],[Harga Diskon B]]+cadangan[[#This Row],[Harga Diskon C]]</f>
        <v>500000</v>
      </c>
      <c r="AG618" s="73">
        <f>(cadangan[[#This Row],[Profit Normal A]]+cadangan[[#This Row],[Profit Normal B]]+cadangan[[#This Row],[Profit Normal C]])</f>
        <v>200000</v>
      </c>
      <c r="AH618" s="73">
        <f>cadangan[[#This Row],[Profit Diskon A]]+cadangan[[#This Row],[Profit Diskon B]]+cadangan[[#This Row],[Profit Diskon C]]</f>
        <v>200000</v>
      </c>
      <c r="AI618" s="23" t="s">
        <v>290</v>
      </c>
      <c r="AJ618" s="37" t="str">
        <f>IFERROR(INDEX('Kode Diskon'!$D$3:$D$9,MATCH(cadangan[[#This Row],[Kode diskon]],'Kode Diskon'!$C$3:$C$9,0)),"-")</f>
        <v>-</v>
      </c>
      <c r="AK618" s="23" t="s">
        <v>290</v>
      </c>
      <c r="AL618" s="23" t="s">
        <v>10</v>
      </c>
      <c r="AM618" s="23" t="s">
        <v>76</v>
      </c>
      <c r="AN618" s="55">
        <v>45028</v>
      </c>
      <c r="AO618" s="53">
        <f>DAY(cadangan[[#This Row],[Tanggal terjual]])</f>
        <v>12</v>
      </c>
      <c r="AP618" s="21" t="str">
        <f>TEXT(cadangan[[#This Row],[Tanggal terjual]],"dddd")</f>
        <v>Wednesday</v>
      </c>
      <c r="AQ618" s="23" t="str" cm="1">
        <f t="array" ref="AQ6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18" s="61">
        <f>AVERAGE(cadangan[[#This Row],[Rating A]],cadangan[[#This Row],[Rating B]],cadangan[[#This Row],[Rating C]])</f>
        <v>4</v>
      </c>
    </row>
    <row r="619" spans="1:44" x14ac:dyDescent="0.2">
      <c r="A619" s="20">
        <v>618</v>
      </c>
      <c r="B619" s="21" t="str">
        <f>_xlfn.CONCAT("ORD-",INDEX(Helper!$B$2:$B$5,MATCH(cadangan[[#This Row],[Marketplace]],Helper!$A$2:$A$5,0)),TEXT(cadangan[[#This Row],[No]],"0000"),"-",TEXT(cadangan[[#This Row],[Tanggal terjual]],"dd/mm/yy"))</f>
        <v>ORD-BL0618-12/04/23</v>
      </c>
      <c r="C619" s="39" t="s">
        <v>66</v>
      </c>
      <c r="D619" s="39" t="str">
        <f>IFERROR(INDEX(Katalog!$A$3:$A$12,MATCH(cadangan[[#This Row],[ItemID A]],Katalog!$C$3:$C$12,0)),"-")</f>
        <v>Sepatu Pria</v>
      </c>
      <c r="E619" s="39" t="str">
        <f>IFERROR(INDEX(Katalog!$B$3:$B$12,MATCH(cadangan[[#This Row],[ItemID A]],Katalog!$C$3:$C$12,0)),"-")</f>
        <v>Sandal Slip On</v>
      </c>
      <c r="F619" s="50">
        <v>1</v>
      </c>
      <c r="G619" s="50">
        <v>5</v>
      </c>
      <c r="H619" s="73">
        <f>IFERROR(INDEX(Katalog!$D$3:$D$12,MATCH(cadangan[[#This Row],[ItemID A]],Katalog!$C$3:$C$12,0))*cadangan[[#This Row],[Qty A]],0)</f>
        <v>150000</v>
      </c>
      <c r="I619" s="73">
        <f>IFERROR(cadangan[[#This Row],[Harga Normal A]]-(cadangan[[#This Row],[Harga Normal A]]*cadangan[[#This Row],[Diskon]]),cadangan[[#This Row],[Harga Normal A]])</f>
        <v>150000</v>
      </c>
      <c r="J619" s="73">
        <f>INDEX(Katalog!$F$3:$F$12,MATCH(cadangan[[#This Row],[ItemID A]],Katalog!$C$3:$C$12,0))*cadangan[[#This Row],[Qty A]]</f>
        <v>60000</v>
      </c>
      <c r="K619" s="73">
        <f>IFERROR(cadangan[[#This Row],[Harga Diskon A]]-INDEX(Katalog!$E$3:$E$12,MATCH(cadangan[[#This Row],[ItemID A]],Katalog!$C$3:$C$12,0))*cadangan[[#This Row],[Qty A]],0)</f>
        <v>60000</v>
      </c>
      <c r="L619" s="39" t="s">
        <v>63</v>
      </c>
      <c r="M619" s="39" t="str">
        <f>IFERROR(INDEX(Katalog!$A$3:$A$12,MATCH(cadangan[[#This Row],[ItemID B]],Katalog!$C$3:$C$12,0)),"-")</f>
        <v>Pakaian Pria</v>
      </c>
      <c r="N619" s="39" t="str">
        <f>IFERROR(INDEX(Katalog!$B$3:$B$12,MATCH(cadangan[[#This Row],[ItemID B]],Katalog!$C$3:$C$12,0)),"-")</f>
        <v>Jaket Jeans</v>
      </c>
      <c r="O619" s="50">
        <v>1</v>
      </c>
      <c r="P619" s="50">
        <v>2</v>
      </c>
      <c r="Q619" s="73">
        <f>IFERROR(INDEX(Katalog!$D$3:$D$12,MATCH(cadangan[[#This Row],[ItemID B]],Katalog!$C$3:$C$12,0))*cadangan[[#This Row],[Qty B]],0)</f>
        <v>400000</v>
      </c>
      <c r="R619" s="73">
        <f>IFERROR(cadangan[[#This Row],[Harga Normal B]]-(cadangan[[#This Row],[Harga Normal B]]*cadangan[[#This Row],[Diskon]]),cadangan[[#This Row],[Harga Normal B]])</f>
        <v>400000</v>
      </c>
      <c r="S619" s="73">
        <f>IFERROR(INDEX(Katalog!$F$3:$F$12,MATCH(cadangan[[#This Row],[ItemID B]],Katalog!$C$3:$C$12,0))*cadangan[[#This Row],[Qty B]],0)</f>
        <v>150000</v>
      </c>
      <c r="T619" s="73">
        <f>IFERROR(cadangan[[#This Row],[Harga Diskon B]]-INDEX(Katalog!$E$3:$E$12,MATCH(cadangan[[#This Row],[ItemID B]],Katalog!$C$3:$C$12,0))*cadangan[[#This Row],[Qty B]],0)</f>
        <v>150000</v>
      </c>
      <c r="U619" s="39" t="s">
        <v>58</v>
      </c>
      <c r="V619" s="39" t="str">
        <f>IFERROR(INDEX(Katalog!$A$3:$A$12,MATCH(cadangan[[#This Row],[ItemID C]],Katalog!$C$3:$C$12,0)),"-")</f>
        <v>Pakaian Wanita</v>
      </c>
      <c r="W619" s="39" t="str">
        <f>IFERROR(INDEX(Katalog!$B$3:$B$12,MATCH(cadangan[[#This Row],[ItemID C]],Katalog!$C$3:$C$12,0)),"-")</f>
        <v>Dress</v>
      </c>
      <c r="X619" s="50">
        <v>4</v>
      </c>
      <c r="Y619" s="50">
        <v>5</v>
      </c>
      <c r="Z619" s="73">
        <f>IFERROR(INDEX(Katalog!$D$3:$D$12,MATCH(cadangan[[#This Row],[ItemID C]],Katalog!$C$3:$C$12,0))*cadangan[[#This Row],[Qty C]],0)</f>
        <v>1200000</v>
      </c>
      <c r="AA619" s="73">
        <f>IFERROR(cadangan[[#This Row],[Harga Normal C]]-(cadangan[[#This Row],[Harga Normal C]]*cadangan[[#This Row],[Diskon]]),cadangan[[#This Row],[Harga Normal C]])</f>
        <v>1200000</v>
      </c>
      <c r="AB619" s="73">
        <f>IFERROR(INDEX(Katalog!$F$3:$F$12,MATCH(cadangan[[#This Row],[ItemID C]],Katalog!$C$3:$C$12,0))*cadangan[[#This Row],[Qty C]],0)</f>
        <v>400000</v>
      </c>
      <c r="AC619" s="73">
        <f>IFERROR(cadangan[[#This Row],[Harga Diskon C]]-INDEX(Katalog!$E$3:$E$12,MATCH(cadangan[[#This Row],[ItemID C]],Katalog!$C$3:$C$12,0))*cadangan[[#This Row],[Qty C]],0)</f>
        <v>400000</v>
      </c>
      <c r="AD619" s="53">
        <f>cadangan[[#This Row],[Qty A]]+cadangan[[#This Row],[Qty B]]+cadangan[[#This Row],[Qty C]]</f>
        <v>6</v>
      </c>
      <c r="AE619" s="73">
        <f>cadangan[[#This Row],[Harga Normal A]]+cadangan[[#This Row],[Harga Normal B]]+cadangan[[#This Row],[Harga Normal C]]</f>
        <v>1750000</v>
      </c>
      <c r="AF619" s="73">
        <f>cadangan[[#This Row],[Harga Diskon A]]+cadangan[[#This Row],[Harga Diskon B]]+cadangan[[#This Row],[Harga Diskon C]]</f>
        <v>1750000</v>
      </c>
      <c r="AG619" s="73">
        <f>(cadangan[[#This Row],[Profit Normal A]]+cadangan[[#This Row],[Profit Normal B]]+cadangan[[#This Row],[Profit Normal C]])</f>
        <v>610000</v>
      </c>
      <c r="AH619" s="73">
        <f>cadangan[[#This Row],[Profit Diskon A]]+cadangan[[#This Row],[Profit Diskon B]]+cadangan[[#This Row],[Profit Diskon C]]</f>
        <v>610000</v>
      </c>
      <c r="AI619" s="23" t="s">
        <v>290</v>
      </c>
      <c r="AJ619" s="37" t="str">
        <f>IFERROR(INDEX('Kode Diskon'!$D$3:$D$9,MATCH(cadangan[[#This Row],[Kode diskon]],'Kode Diskon'!$C$3:$C$9,0)),"-")</f>
        <v>-</v>
      </c>
      <c r="AK619" s="23" t="s">
        <v>290</v>
      </c>
      <c r="AL619" s="23" t="s">
        <v>12</v>
      </c>
      <c r="AM619" s="23" t="s">
        <v>80</v>
      </c>
      <c r="AN619" s="55">
        <v>45028</v>
      </c>
      <c r="AO619" s="53">
        <f>DAY(cadangan[[#This Row],[Tanggal terjual]])</f>
        <v>12</v>
      </c>
      <c r="AP619" s="21" t="str">
        <f>TEXT(cadangan[[#This Row],[Tanggal terjual]],"dddd")</f>
        <v>Wednesday</v>
      </c>
      <c r="AQ619" s="23" t="str" cm="1">
        <f t="array" ref="AQ6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19" s="61">
        <f>AVERAGE(cadangan[[#This Row],[Rating A]],cadangan[[#This Row],[Rating B]],cadangan[[#This Row],[Rating C]])</f>
        <v>4</v>
      </c>
    </row>
    <row r="620" spans="1:44" x14ac:dyDescent="0.2">
      <c r="A620" s="20">
        <v>619</v>
      </c>
      <c r="B620" s="21" t="str">
        <f>_xlfn.CONCAT("ORD-",INDEX(Helper!$B$2:$B$5,MATCH(cadangan[[#This Row],[Marketplace]],Helper!$A$2:$A$5,0)),TEXT(cadangan[[#This Row],[No]],"0000"),"-",TEXT(cadangan[[#This Row],[Tanggal terjual]],"dd/mm/yy"))</f>
        <v>ORD-TK0619-12/04/23</v>
      </c>
      <c r="C620" s="39" t="s">
        <v>59</v>
      </c>
      <c r="D620" s="39" t="str">
        <f>IFERROR(INDEX(Katalog!$A$3:$A$12,MATCH(cadangan[[#This Row],[ItemID A]],Katalog!$C$3:$C$12,0)),"-")</f>
        <v>Pakaian Wanita</v>
      </c>
      <c r="E620" s="39" t="str">
        <f>IFERROR(INDEX(Katalog!$B$3:$B$12,MATCH(cadangan[[#This Row],[ItemID A]],Katalog!$C$3:$C$12,0)),"-")</f>
        <v>Blouse</v>
      </c>
      <c r="F620" s="50">
        <v>5</v>
      </c>
      <c r="G620" s="50">
        <v>4</v>
      </c>
      <c r="H620" s="73">
        <f>IFERROR(INDEX(Katalog!$D$3:$D$12,MATCH(cadangan[[#This Row],[ItemID A]],Katalog!$C$3:$C$12,0))*cadangan[[#This Row],[Qty A]],0)</f>
        <v>750000</v>
      </c>
      <c r="I620" s="73">
        <f>IFERROR(cadangan[[#This Row],[Harga Normal A]]-(cadangan[[#This Row],[Harga Normal A]]*cadangan[[#This Row],[Diskon]]),cadangan[[#This Row],[Harga Normal A]])</f>
        <v>750000</v>
      </c>
      <c r="J620" s="73">
        <f>INDEX(Katalog!$F$3:$F$12,MATCH(cadangan[[#This Row],[ItemID A]],Katalog!$C$3:$C$12,0))*cadangan[[#This Row],[Qty A]]</f>
        <v>250000</v>
      </c>
      <c r="K620" s="73">
        <f>IFERROR(cadangan[[#This Row],[Harga Diskon A]]-INDEX(Katalog!$E$3:$E$12,MATCH(cadangan[[#This Row],[ItemID A]],Katalog!$C$3:$C$12,0))*cadangan[[#This Row],[Qty A]],0)</f>
        <v>250000</v>
      </c>
      <c r="L620" s="39" t="s">
        <v>63</v>
      </c>
      <c r="M620" s="39" t="str">
        <f>IFERROR(INDEX(Katalog!$A$3:$A$12,MATCH(cadangan[[#This Row],[ItemID B]],Katalog!$C$3:$C$12,0)),"-")</f>
        <v>Pakaian Pria</v>
      </c>
      <c r="N620" s="39" t="str">
        <f>IFERROR(INDEX(Katalog!$B$3:$B$12,MATCH(cadangan[[#This Row],[ItemID B]],Katalog!$C$3:$C$12,0)),"-")</f>
        <v>Jaket Jeans</v>
      </c>
      <c r="O620" s="50">
        <v>1</v>
      </c>
      <c r="P620" s="50">
        <v>1</v>
      </c>
      <c r="Q620" s="73">
        <f>IFERROR(INDEX(Katalog!$D$3:$D$12,MATCH(cadangan[[#This Row],[ItemID B]],Katalog!$C$3:$C$12,0))*cadangan[[#This Row],[Qty B]],0)</f>
        <v>400000</v>
      </c>
      <c r="R620" s="73">
        <f>IFERROR(cadangan[[#This Row],[Harga Normal B]]-(cadangan[[#This Row],[Harga Normal B]]*cadangan[[#This Row],[Diskon]]),cadangan[[#This Row],[Harga Normal B]])</f>
        <v>400000</v>
      </c>
      <c r="S620" s="73">
        <f>IFERROR(INDEX(Katalog!$F$3:$F$12,MATCH(cadangan[[#This Row],[ItemID B]],Katalog!$C$3:$C$12,0))*cadangan[[#This Row],[Qty B]],0)</f>
        <v>150000</v>
      </c>
      <c r="T620" s="73">
        <f>IFERROR(cadangan[[#This Row],[Harga Diskon B]]-INDEX(Katalog!$E$3:$E$12,MATCH(cadangan[[#This Row],[ItemID B]],Katalog!$C$3:$C$12,0))*cadangan[[#This Row],[Qty B]],0)</f>
        <v>150000</v>
      </c>
      <c r="V620" s="39" t="str">
        <f>IFERROR(INDEX(Katalog!$A$3:$A$12,MATCH(cadangan[[#This Row],[ItemID C]],Katalog!$C$3:$C$12,0)),"-")</f>
        <v>-</v>
      </c>
      <c r="W620" s="39" t="str">
        <f>IFERROR(INDEX(Katalog!$B$3:$B$12,MATCH(cadangan[[#This Row],[ItemID C]],Katalog!$C$3:$C$12,0)),"-")</f>
        <v>-</v>
      </c>
      <c r="Z620" s="73">
        <f>IFERROR(INDEX(Katalog!$D$3:$D$12,MATCH(cadangan[[#This Row],[ItemID C]],Katalog!$C$3:$C$12,0))*cadangan[[#This Row],[Qty C]],0)</f>
        <v>0</v>
      </c>
      <c r="AA620" s="73">
        <f>IFERROR(cadangan[[#This Row],[Harga Normal C]]-(cadangan[[#This Row],[Harga Normal C]]*cadangan[[#This Row],[Diskon]]),cadangan[[#This Row],[Harga Normal C]])</f>
        <v>0</v>
      </c>
      <c r="AB620" s="73">
        <f>IFERROR(INDEX(Katalog!$F$3:$F$12,MATCH(cadangan[[#This Row],[ItemID C]],Katalog!$C$3:$C$12,0))*cadangan[[#This Row],[Qty C]],0)</f>
        <v>0</v>
      </c>
      <c r="AC620" s="73">
        <f>IFERROR(cadangan[[#This Row],[Harga Diskon C]]-INDEX(Katalog!$E$3:$E$12,MATCH(cadangan[[#This Row],[ItemID C]],Katalog!$C$3:$C$12,0))*cadangan[[#This Row],[Qty C]],0)</f>
        <v>0</v>
      </c>
      <c r="AD620" s="53">
        <f>cadangan[[#This Row],[Qty A]]+cadangan[[#This Row],[Qty B]]+cadangan[[#This Row],[Qty C]]</f>
        <v>6</v>
      </c>
      <c r="AE620" s="73">
        <f>cadangan[[#This Row],[Harga Normal A]]+cadangan[[#This Row],[Harga Normal B]]+cadangan[[#This Row],[Harga Normal C]]</f>
        <v>1150000</v>
      </c>
      <c r="AF620" s="73">
        <f>cadangan[[#This Row],[Harga Diskon A]]+cadangan[[#This Row],[Harga Diskon B]]+cadangan[[#This Row],[Harga Diskon C]]</f>
        <v>1150000</v>
      </c>
      <c r="AG620" s="73">
        <f>(cadangan[[#This Row],[Profit Normal A]]+cadangan[[#This Row],[Profit Normal B]]+cadangan[[#This Row],[Profit Normal C]])</f>
        <v>400000</v>
      </c>
      <c r="AH620" s="73">
        <f>cadangan[[#This Row],[Profit Diskon A]]+cadangan[[#This Row],[Profit Diskon B]]+cadangan[[#This Row],[Profit Diskon C]]</f>
        <v>400000</v>
      </c>
      <c r="AI620" s="23" t="s">
        <v>290</v>
      </c>
      <c r="AJ620" s="37" t="str">
        <f>IFERROR(INDEX('Kode Diskon'!$D$3:$D$9,MATCH(cadangan[[#This Row],[Kode diskon]],'Kode Diskon'!$C$3:$C$9,0)),"-")</f>
        <v>-</v>
      </c>
      <c r="AK620" s="23" t="s">
        <v>290</v>
      </c>
      <c r="AL620" s="23" t="s">
        <v>10</v>
      </c>
      <c r="AM620" s="23" t="s">
        <v>80</v>
      </c>
      <c r="AN620" s="55">
        <v>45028</v>
      </c>
      <c r="AO620" s="53">
        <f>DAY(cadangan[[#This Row],[Tanggal terjual]])</f>
        <v>12</v>
      </c>
      <c r="AP620" s="21" t="str">
        <f>TEXT(cadangan[[#This Row],[Tanggal terjual]],"dddd")</f>
        <v>Wednesday</v>
      </c>
      <c r="AQ620" s="23" t="str" cm="1">
        <f t="array" ref="AQ6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20" s="61">
        <f>AVERAGE(cadangan[[#This Row],[Rating A]],cadangan[[#This Row],[Rating B]],cadangan[[#This Row],[Rating C]])</f>
        <v>2.5</v>
      </c>
    </row>
    <row r="621" spans="1:44" x14ac:dyDescent="0.2">
      <c r="A621" s="20">
        <v>620</v>
      </c>
      <c r="B621" s="21" t="str">
        <f>_xlfn.CONCAT("ORD-",INDEX(Helper!$B$2:$B$5,MATCH(cadangan[[#This Row],[Marketplace]],Helper!$A$2:$A$5,0)),TEXT(cadangan[[#This Row],[No]],"0000"),"-",TEXT(cadangan[[#This Row],[Tanggal terjual]],"dd/mm/yy"))</f>
        <v>ORD-TK0620-16/04/23</v>
      </c>
      <c r="C621" s="39" t="s">
        <v>61</v>
      </c>
      <c r="D621" s="39" t="str">
        <f>IFERROR(INDEX(Katalog!$A$3:$A$12,MATCH(cadangan[[#This Row],[ItemID A]],Katalog!$C$3:$C$12,0)),"-")</f>
        <v>Pakaian Pria</v>
      </c>
      <c r="E621" s="39" t="str">
        <f>IFERROR(INDEX(Katalog!$B$3:$B$12,MATCH(cadangan[[#This Row],[ItemID A]],Katalog!$C$3:$C$12,0)),"-")</f>
        <v>Kaos Polo</v>
      </c>
      <c r="F621" s="50">
        <v>5</v>
      </c>
      <c r="G621" s="50">
        <v>2</v>
      </c>
      <c r="H621" s="73">
        <f>IFERROR(INDEX(Katalog!$D$3:$D$12,MATCH(cadangan[[#This Row],[ItemID A]],Katalog!$C$3:$C$12,0))*cadangan[[#This Row],[Qty A]],0)</f>
        <v>1000000</v>
      </c>
      <c r="I621" s="73">
        <f>IFERROR(cadangan[[#This Row],[Harga Normal A]]-(cadangan[[#This Row],[Harga Normal A]]*cadangan[[#This Row],[Diskon]]),cadangan[[#This Row],[Harga Normal A]])</f>
        <v>900000</v>
      </c>
      <c r="J621" s="73">
        <f>INDEX(Katalog!$F$3:$F$12,MATCH(cadangan[[#This Row],[ItemID A]],Katalog!$C$3:$C$12,0))*cadangan[[#This Row],[Qty A]]</f>
        <v>400000</v>
      </c>
      <c r="K621" s="73">
        <f>IFERROR(cadangan[[#This Row],[Harga Diskon A]]-INDEX(Katalog!$E$3:$E$12,MATCH(cadangan[[#This Row],[ItemID A]],Katalog!$C$3:$C$12,0))*cadangan[[#This Row],[Qty A]],0)</f>
        <v>300000</v>
      </c>
      <c r="M621" s="39" t="str">
        <f>IFERROR(INDEX(Katalog!$A$3:$A$12,MATCH(cadangan[[#This Row],[ItemID B]],Katalog!$C$3:$C$12,0)),"-")</f>
        <v>-</v>
      </c>
      <c r="N621" s="39" t="str">
        <f>IFERROR(INDEX(Katalog!$B$3:$B$12,MATCH(cadangan[[#This Row],[ItemID B]],Katalog!$C$3:$C$12,0)),"-")</f>
        <v>-</v>
      </c>
      <c r="Q621" s="73">
        <f>IFERROR(INDEX(Katalog!$D$3:$D$12,MATCH(cadangan[[#This Row],[ItemID B]],Katalog!$C$3:$C$12,0))*cadangan[[#This Row],[Qty B]],0)</f>
        <v>0</v>
      </c>
      <c r="R621" s="73">
        <f>IFERROR(cadangan[[#This Row],[Harga Normal B]]-(cadangan[[#This Row],[Harga Normal B]]*cadangan[[#This Row],[Diskon]]),cadangan[[#This Row],[Harga Normal B]])</f>
        <v>0</v>
      </c>
      <c r="S621" s="73">
        <f>IFERROR(INDEX(Katalog!$F$3:$F$12,MATCH(cadangan[[#This Row],[ItemID B]],Katalog!$C$3:$C$12,0))*cadangan[[#This Row],[Qty B]],0)</f>
        <v>0</v>
      </c>
      <c r="T621" s="73">
        <f>IFERROR(cadangan[[#This Row],[Harga Diskon B]]-INDEX(Katalog!$E$3:$E$12,MATCH(cadangan[[#This Row],[ItemID B]],Katalog!$C$3:$C$12,0))*cadangan[[#This Row],[Qty B]],0)</f>
        <v>0</v>
      </c>
      <c r="V621" s="39" t="str">
        <f>IFERROR(INDEX(Katalog!$A$3:$A$12,MATCH(cadangan[[#This Row],[ItemID C]],Katalog!$C$3:$C$12,0)),"-")</f>
        <v>-</v>
      </c>
      <c r="W621" s="39" t="str">
        <f>IFERROR(INDEX(Katalog!$B$3:$B$12,MATCH(cadangan[[#This Row],[ItemID C]],Katalog!$C$3:$C$12,0)),"-")</f>
        <v>-</v>
      </c>
      <c r="Z621" s="73">
        <f>IFERROR(INDEX(Katalog!$D$3:$D$12,MATCH(cadangan[[#This Row],[ItemID C]],Katalog!$C$3:$C$12,0))*cadangan[[#This Row],[Qty C]],0)</f>
        <v>0</v>
      </c>
      <c r="AA621" s="73">
        <f>IFERROR(cadangan[[#This Row],[Harga Normal C]]-(cadangan[[#This Row],[Harga Normal C]]*cadangan[[#This Row],[Diskon]]),cadangan[[#This Row],[Harga Normal C]])</f>
        <v>0</v>
      </c>
      <c r="AB621" s="73">
        <f>IFERROR(INDEX(Katalog!$F$3:$F$12,MATCH(cadangan[[#This Row],[ItemID C]],Katalog!$C$3:$C$12,0))*cadangan[[#This Row],[Qty C]],0)</f>
        <v>0</v>
      </c>
      <c r="AC621" s="73">
        <f>IFERROR(cadangan[[#This Row],[Harga Diskon C]]-INDEX(Katalog!$E$3:$E$12,MATCH(cadangan[[#This Row],[ItemID C]],Katalog!$C$3:$C$12,0))*cadangan[[#This Row],[Qty C]],0)</f>
        <v>0</v>
      </c>
      <c r="AD621" s="53">
        <f>cadangan[[#This Row],[Qty A]]+cadangan[[#This Row],[Qty B]]+cadangan[[#This Row],[Qty C]]</f>
        <v>5</v>
      </c>
      <c r="AE621" s="73">
        <f>cadangan[[#This Row],[Harga Normal A]]+cadangan[[#This Row],[Harga Normal B]]+cadangan[[#This Row],[Harga Normal C]]</f>
        <v>1000000</v>
      </c>
      <c r="AF621" s="73">
        <f>cadangan[[#This Row],[Harga Diskon A]]+cadangan[[#This Row],[Harga Diskon B]]+cadangan[[#This Row],[Harga Diskon C]]</f>
        <v>900000</v>
      </c>
      <c r="AG621" s="73">
        <f>(cadangan[[#This Row],[Profit Normal A]]+cadangan[[#This Row],[Profit Normal B]]+cadangan[[#This Row],[Profit Normal C]])</f>
        <v>400000</v>
      </c>
      <c r="AH621" s="73">
        <f>cadangan[[#This Row],[Profit Diskon A]]+cadangan[[#This Row],[Profit Diskon B]]+cadangan[[#This Row],[Profit Diskon C]]</f>
        <v>300000</v>
      </c>
      <c r="AI621" s="23" t="s">
        <v>31</v>
      </c>
      <c r="AJ621" s="37">
        <f>IFERROR(INDEX('Kode Diskon'!$D$3:$D$9,MATCH(cadangan[[#This Row],[Kode diskon]],'Kode Diskon'!$C$3:$C$9,0)),"-")</f>
        <v>0.1</v>
      </c>
      <c r="AK621" s="23" t="s">
        <v>9</v>
      </c>
      <c r="AL621" s="23" t="s">
        <v>10</v>
      </c>
      <c r="AM621" s="23" t="s">
        <v>75</v>
      </c>
      <c r="AN621" s="55">
        <v>45032</v>
      </c>
      <c r="AO621" s="53">
        <f>DAY(cadangan[[#This Row],[Tanggal terjual]])</f>
        <v>16</v>
      </c>
      <c r="AP621" s="21" t="str">
        <f>TEXT(cadangan[[#This Row],[Tanggal terjual]],"dddd")</f>
        <v>Sunday</v>
      </c>
      <c r="AQ621" s="23" t="str" cm="1">
        <f t="array" ref="AQ6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21" s="61">
        <f>AVERAGE(cadangan[[#This Row],[Rating A]],cadangan[[#This Row],[Rating B]],cadangan[[#This Row],[Rating C]])</f>
        <v>2</v>
      </c>
    </row>
    <row r="622" spans="1:44" x14ac:dyDescent="0.2">
      <c r="A622" s="20">
        <v>621</v>
      </c>
      <c r="B622" s="21" t="str">
        <f>_xlfn.CONCAT("ORD-",INDEX(Helper!$B$2:$B$5,MATCH(cadangan[[#This Row],[Marketplace]],Helper!$A$2:$A$5,0)),TEXT(cadangan[[#This Row],[No]],"0000"),"-",TEXT(cadangan[[#This Row],[Tanggal terjual]],"dd/mm/yy"))</f>
        <v>ORD-SP0621-05/04/23</v>
      </c>
      <c r="C622" s="39" t="s">
        <v>67</v>
      </c>
      <c r="D622" s="39" t="str">
        <f>IFERROR(INDEX(Katalog!$A$3:$A$12,MATCH(cadangan[[#This Row],[ItemID A]],Katalog!$C$3:$C$12,0)),"-")</f>
        <v>Sepatu Wanita</v>
      </c>
      <c r="E622" s="39" t="str">
        <f>IFERROR(INDEX(Katalog!$B$3:$B$12,MATCH(cadangan[[#This Row],[ItemID A]],Katalog!$C$3:$C$12,0)),"-")</f>
        <v>Flat Shoes</v>
      </c>
      <c r="F622" s="50">
        <v>7</v>
      </c>
      <c r="G622" s="50">
        <v>4</v>
      </c>
      <c r="H622" s="73">
        <f>IFERROR(INDEX(Katalog!$D$3:$D$12,MATCH(cadangan[[#This Row],[ItemID A]],Katalog!$C$3:$C$12,0))*cadangan[[#This Row],[Qty A]],0)</f>
        <v>1750000</v>
      </c>
      <c r="I622" s="73">
        <f>IFERROR(cadangan[[#This Row],[Harga Normal A]]-(cadangan[[#This Row],[Harga Normal A]]*cadangan[[#This Row],[Diskon]]),cadangan[[#This Row],[Harga Normal A]])</f>
        <v>1487500</v>
      </c>
      <c r="J622" s="73">
        <f>INDEX(Katalog!$F$3:$F$12,MATCH(cadangan[[#This Row],[ItemID A]],Katalog!$C$3:$C$12,0))*cadangan[[#This Row],[Qty A]]</f>
        <v>700000</v>
      </c>
      <c r="K622" s="73">
        <f>IFERROR(cadangan[[#This Row],[Harga Diskon A]]-INDEX(Katalog!$E$3:$E$12,MATCH(cadangan[[#This Row],[ItemID A]],Katalog!$C$3:$C$12,0))*cadangan[[#This Row],[Qty A]],0)</f>
        <v>437500</v>
      </c>
      <c r="M622" s="39" t="str">
        <f>IFERROR(INDEX(Katalog!$A$3:$A$12,MATCH(cadangan[[#This Row],[ItemID B]],Katalog!$C$3:$C$12,0)),"-")</f>
        <v>-</v>
      </c>
      <c r="N622" s="39" t="str">
        <f>IFERROR(INDEX(Katalog!$B$3:$B$12,MATCH(cadangan[[#This Row],[ItemID B]],Katalog!$C$3:$C$12,0)),"-")</f>
        <v>-</v>
      </c>
      <c r="Q622" s="73">
        <f>IFERROR(INDEX(Katalog!$D$3:$D$12,MATCH(cadangan[[#This Row],[ItemID B]],Katalog!$C$3:$C$12,0))*cadangan[[#This Row],[Qty B]],0)</f>
        <v>0</v>
      </c>
      <c r="R622" s="73">
        <f>IFERROR(cadangan[[#This Row],[Harga Normal B]]-(cadangan[[#This Row],[Harga Normal B]]*cadangan[[#This Row],[Diskon]]),cadangan[[#This Row],[Harga Normal B]])</f>
        <v>0</v>
      </c>
      <c r="S622" s="73">
        <f>IFERROR(INDEX(Katalog!$F$3:$F$12,MATCH(cadangan[[#This Row],[ItemID B]],Katalog!$C$3:$C$12,0))*cadangan[[#This Row],[Qty B]],0)</f>
        <v>0</v>
      </c>
      <c r="T622" s="73">
        <f>IFERROR(cadangan[[#This Row],[Harga Diskon B]]-INDEX(Katalog!$E$3:$E$12,MATCH(cadangan[[#This Row],[ItemID B]],Katalog!$C$3:$C$12,0))*cadangan[[#This Row],[Qty B]],0)</f>
        <v>0</v>
      </c>
      <c r="V622" s="39" t="str">
        <f>IFERROR(INDEX(Katalog!$A$3:$A$12,MATCH(cadangan[[#This Row],[ItemID C]],Katalog!$C$3:$C$12,0)),"-")</f>
        <v>-</v>
      </c>
      <c r="W622" s="39" t="str">
        <f>IFERROR(INDEX(Katalog!$B$3:$B$12,MATCH(cadangan[[#This Row],[ItemID C]],Katalog!$C$3:$C$12,0)),"-")</f>
        <v>-</v>
      </c>
      <c r="Z622" s="73">
        <f>IFERROR(INDEX(Katalog!$D$3:$D$12,MATCH(cadangan[[#This Row],[ItemID C]],Katalog!$C$3:$C$12,0))*cadangan[[#This Row],[Qty C]],0)</f>
        <v>0</v>
      </c>
      <c r="AA622" s="73">
        <f>IFERROR(cadangan[[#This Row],[Harga Normal C]]-(cadangan[[#This Row],[Harga Normal C]]*cadangan[[#This Row],[Diskon]]),cadangan[[#This Row],[Harga Normal C]])</f>
        <v>0</v>
      </c>
      <c r="AB622" s="73">
        <f>IFERROR(INDEX(Katalog!$F$3:$F$12,MATCH(cadangan[[#This Row],[ItemID C]],Katalog!$C$3:$C$12,0))*cadangan[[#This Row],[Qty C]],0)</f>
        <v>0</v>
      </c>
      <c r="AC622" s="73">
        <f>IFERROR(cadangan[[#This Row],[Harga Diskon C]]-INDEX(Katalog!$E$3:$E$12,MATCH(cadangan[[#This Row],[ItemID C]],Katalog!$C$3:$C$12,0))*cadangan[[#This Row],[Qty C]],0)</f>
        <v>0</v>
      </c>
      <c r="AD622" s="53">
        <f>cadangan[[#This Row],[Qty A]]+cadangan[[#This Row],[Qty B]]+cadangan[[#This Row],[Qty C]]</f>
        <v>7</v>
      </c>
      <c r="AE622" s="73">
        <f>cadangan[[#This Row],[Harga Normal A]]+cadangan[[#This Row],[Harga Normal B]]+cadangan[[#This Row],[Harga Normal C]]</f>
        <v>1750000</v>
      </c>
      <c r="AF622" s="73">
        <f>cadangan[[#This Row],[Harga Diskon A]]+cadangan[[#This Row],[Harga Diskon B]]+cadangan[[#This Row],[Harga Diskon C]]</f>
        <v>1487500</v>
      </c>
      <c r="AG622" s="73">
        <f>(cadangan[[#This Row],[Profit Normal A]]+cadangan[[#This Row],[Profit Normal B]]+cadangan[[#This Row],[Profit Normal C]])</f>
        <v>700000</v>
      </c>
      <c r="AH622" s="73">
        <f>cadangan[[#This Row],[Profit Diskon A]]+cadangan[[#This Row],[Profit Diskon B]]+cadangan[[#This Row],[Profit Diskon C]]</f>
        <v>437500</v>
      </c>
      <c r="AI622" s="23" t="s">
        <v>13</v>
      </c>
      <c r="AJ622" s="37">
        <f>IFERROR(INDEX('Kode Diskon'!$D$3:$D$9,MATCH(cadangan[[#This Row],[Kode diskon]],'Kode Diskon'!$C$3:$C$9,0)),"-")</f>
        <v>0.15</v>
      </c>
      <c r="AK622" s="23" t="s">
        <v>29</v>
      </c>
      <c r="AL622" s="23" t="s">
        <v>7</v>
      </c>
      <c r="AM622" s="23" t="s">
        <v>75</v>
      </c>
      <c r="AN622" s="55">
        <v>45021</v>
      </c>
      <c r="AO622" s="53">
        <f>DAY(cadangan[[#This Row],[Tanggal terjual]])</f>
        <v>5</v>
      </c>
      <c r="AP622" s="21" t="str">
        <f>TEXT(cadangan[[#This Row],[Tanggal terjual]],"dddd")</f>
        <v>Wednesday</v>
      </c>
      <c r="AQ622" s="23" t="str" cm="1">
        <f t="array" ref="AQ6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22" s="61">
        <f>AVERAGE(cadangan[[#This Row],[Rating A]],cadangan[[#This Row],[Rating B]],cadangan[[#This Row],[Rating C]])</f>
        <v>4</v>
      </c>
    </row>
    <row r="623" spans="1:44" x14ac:dyDescent="0.2">
      <c r="A623" s="20">
        <v>622</v>
      </c>
      <c r="B623" s="21" t="str">
        <f>_xlfn.CONCAT("ORD-",INDEX(Helper!$B$2:$B$5,MATCH(cadangan[[#This Row],[Marketplace]],Helper!$A$2:$A$5,0)),TEXT(cadangan[[#This Row],[No]],"0000"),"-",TEXT(cadangan[[#This Row],[Tanggal terjual]],"dd/mm/yy"))</f>
        <v>ORD-BL0622-25/04/23</v>
      </c>
      <c r="C623" s="39" t="s">
        <v>67</v>
      </c>
      <c r="D623" s="39" t="str">
        <f>IFERROR(INDEX(Katalog!$A$3:$A$12,MATCH(cadangan[[#This Row],[ItemID A]],Katalog!$C$3:$C$12,0)),"-")</f>
        <v>Sepatu Wanita</v>
      </c>
      <c r="E623" s="39" t="str">
        <f>IFERROR(INDEX(Katalog!$B$3:$B$12,MATCH(cadangan[[#This Row],[ItemID A]],Katalog!$C$3:$C$12,0)),"-")</f>
        <v>Flat Shoes</v>
      </c>
      <c r="F623" s="50">
        <v>3</v>
      </c>
      <c r="G623" s="50">
        <v>4</v>
      </c>
      <c r="H623" s="73">
        <f>IFERROR(INDEX(Katalog!$D$3:$D$12,MATCH(cadangan[[#This Row],[ItemID A]],Katalog!$C$3:$C$12,0))*cadangan[[#This Row],[Qty A]],0)</f>
        <v>750000</v>
      </c>
      <c r="I623" s="73">
        <f>IFERROR(cadangan[[#This Row],[Harga Normal A]]-(cadangan[[#This Row],[Harga Normal A]]*cadangan[[#This Row],[Diskon]]),cadangan[[#This Row],[Harga Normal A]])</f>
        <v>637500</v>
      </c>
      <c r="J623" s="73">
        <f>INDEX(Katalog!$F$3:$F$12,MATCH(cadangan[[#This Row],[ItemID A]],Katalog!$C$3:$C$12,0))*cadangan[[#This Row],[Qty A]]</f>
        <v>300000</v>
      </c>
      <c r="K623" s="73">
        <f>IFERROR(cadangan[[#This Row],[Harga Diskon A]]-INDEX(Katalog!$E$3:$E$12,MATCH(cadangan[[#This Row],[ItemID A]],Katalog!$C$3:$C$12,0))*cadangan[[#This Row],[Qty A]],0)</f>
        <v>187500</v>
      </c>
      <c r="L623" s="39" t="s">
        <v>64</v>
      </c>
      <c r="M623" s="39" t="str">
        <f>IFERROR(INDEX(Katalog!$A$3:$A$12,MATCH(cadangan[[#This Row],[ItemID B]],Katalog!$C$3:$C$12,0)),"-")</f>
        <v>Pakaian Unisex</v>
      </c>
      <c r="N623" s="39" t="str">
        <f>IFERROR(INDEX(Katalog!$B$3:$B$12,MATCH(cadangan[[#This Row],[ItemID B]],Katalog!$C$3:$C$12,0)),"-")</f>
        <v>Jaket Hoodie</v>
      </c>
      <c r="O623" s="50">
        <v>1</v>
      </c>
      <c r="P623" s="50">
        <v>1</v>
      </c>
      <c r="Q623" s="73">
        <f>IFERROR(INDEX(Katalog!$D$3:$D$12,MATCH(cadangan[[#This Row],[ItemID B]],Katalog!$C$3:$C$12,0))*cadangan[[#This Row],[Qty B]],0)</f>
        <v>350000</v>
      </c>
      <c r="R623" s="73">
        <f>IFERROR(cadangan[[#This Row],[Harga Normal B]]-(cadangan[[#This Row],[Harga Normal B]]*cadangan[[#This Row],[Diskon]]),cadangan[[#This Row],[Harga Normal B]])</f>
        <v>297500</v>
      </c>
      <c r="S623" s="73">
        <f>IFERROR(INDEX(Katalog!$F$3:$F$12,MATCH(cadangan[[#This Row],[ItemID B]],Katalog!$C$3:$C$12,0))*cadangan[[#This Row],[Qty B]],0)</f>
        <v>130000</v>
      </c>
      <c r="T623" s="73">
        <f>IFERROR(cadangan[[#This Row],[Harga Diskon B]]-INDEX(Katalog!$E$3:$E$12,MATCH(cadangan[[#This Row],[ItemID B]],Katalog!$C$3:$C$12,0))*cadangan[[#This Row],[Qty B]],0)</f>
        <v>77500</v>
      </c>
      <c r="V623" s="39" t="str">
        <f>IFERROR(INDEX(Katalog!$A$3:$A$12,MATCH(cadangan[[#This Row],[ItemID C]],Katalog!$C$3:$C$12,0)),"-")</f>
        <v>-</v>
      </c>
      <c r="W623" s="39" t="str">
        <f>IFERROR(INDEX(Katalog!$B$3:$B$12,MATCH(cadangan[[#This Row],[ItemID C]],Katalog!$C$3:$C$12,0)),"-")</f>
        <v>-</v>
      </c>
      <c r="Z623" s="73">
        <f>IFERROR(INDEX(Katalog!$D$3:$D$12,MATCH(cadangan[[#This Row],[ItemID C]],Katalog!$C$3:$C$12,0))*cadangan[[#This Row],[Qty C]],0)</f>
        <v>0</v>
      </c>
      <c r="AA623" s="73">
        <f>IFERROR(cadangan[[#This Row],[Harga Normal C]]-(cadangan[[#This Row],[Harga Normal C]]*cadangan[[#This Row],[Diskon]]),cadangan[[#This Row],[Harga Normal C]])</f>
        <v>0</v>
      </c>
      <c r="AB623" s="73">
        <f>IFERROR(INDEX(Katalog!$F$3:$F$12,MATCH(cadangan[[#This Row],[ItemID C]],Katalog!$C$3:$C$12,0))*cadangan[[#This Row],[Qty C]],0)</f>
        <v>0</v>
      </c>
      <c r="AC623" s="73">
        <f>IFERROR(cadangan[[#This Row],[Harga Diskon C]]-INDEX(Katalog!$E$3:$E$12,MATCH(cadangan[[#This Row],[ItemID C]],Katalog!$C$3:$C$12,0))*cadangan[[#This Row],[Qty C]],0)</f>
        <v>0</v>
      </c>
      <c r="AD623" s="53">
        <f>cadangan[[#This Row],[Qty A]]+cadangan[[#This Row],[Qty B]]+cadangan[[#This Row],[Qty C]]</f>
        <v>4</v>
      </c>
      <c r="AE623" s="73">
        <f>cadangan[[#This Row],[Harga Normal A]]+cadangan[[#This Row],[Harga Normal B]]+cadangan[[#This Row],[Harga Normal C]]</f>
        <v>1100000</v>
      </c>
      <c r="AF623" s="73">
        <f>cadangan[[#This Row],[Harga Diskon A]]+cadangan[[#This Row],[Harga Diskon B]]+cadangan[[#This Row],[Harga Diskon C]]</f>
        <v>935000</v>
      </c>
      <c r="AG623" s="73">
        <f>(cadangan[[#This Row],[Profit Normal A]]+cadangan[[#This Row],[Profit Normal B]]+cadangan[[#This Row],[Profit Normal C]])</f>
        <v>430000</v>
      </c>
      <c r="AH623" s="73">
        <f>cadangan[[#This Row],[Profit Diskon A]]+cadangan[[#This Row],[Profit Diskon B]]+cadangan[[#This Row],[Profit Diskon C]]</f>
        <v>265000</v>
      </c>
      <c r="AI623" s="23" t="s">
        <v>32</v>
      </c>
      <c r="AJ623" s="37">
        <f>IFERROR(INDEX('Kode Diskon'!$D$3:$D$9,MATCH(cadangan[[#This Row],[Kode diskon]],'Kode Diskon'!$C$3:$C$9,0)),"-")</f>
        <v>0.15</v>
      </c>
      <c r="AK623" s="23" t="s">
        <v>9</v>
      </c>
      <c r="AL623" s="23" t="s">
        <v>12</v>
      </c>
      <c r="AM623" s="23" t="s">
        <v>77</v>
      </c>
      <c r="AN623" s="55">
        <v>45041</v>
      </c>
      <c r="AO623" s="53">
        <f>DAY(cadangan[[#This Row],[Tanggal terjual]])</f>
        <v>25</v>
      </c>
      <c r="AP623" s="21" t="str">
        <f>TEXT(cadangan[[#This Row],[Tanggal terjual]],"dddd")</f>
        <v>Tuesday</v>
      </c>
      <c r="AQ623" s="23" t="str" cm="1">
        <f t="array" ref="AQ6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23" s="61">
        <f>AVERAGE(cadangan[[#This Row],[Rating A]],cadangan[[#This Row],[Rating B]],cadangan[[#This Row],[Rating C]])</f>
        <v>2.5</v>
      </c>
    </row>
    <row r="624" spans="1:44" x14ac:dyDescent="0.2">
      <c r="A624" s="20">
        <v>623</v>
      </c>
      <c r="B624" s="21" t="str">
        <f>_xlfn.CONCAT("ORD-",INDEX(Helper!$B$2:$B$5,MATCH(cadangan[[#This Row],[Marketplace]],Helper!$A$2:$A$5,0)),TEXT(cadangan[[#This Row],[No]],"0000"),"-",TEXT(cadangan[[#This Row],[Tanggal terjual]],"dd/mm/yy"))</f>
        <v>ORD-SP0623-03/04/23</v>
      </c>
      <c r="C624" s="39" t="s">
        <v>60</v>
      </c>
      <c r="D624" s="39" t="str">
        <f>IFERROR(INDEX(Katalog!$A$3:$A$12,MATCH(cadangan[[#This Row],[ItemID A]],Katalog!$C$3:$C$12,0)),"-")</f>
        <v>Pakaian Wanita</v>
      </c>
      <c r="E624" s="39" t="str">
        <f>IFERROR(INDEX(Katalog!$B$3:$B$12,MATCH(cadangan[[#This Row],[ItemID A]],Katalog!$C$3:$C$12,0)),"-")</f>
        <v>Kaftan</v>
      </c>
      <c r="F624" s="50">
        <v>6</v>
      </c>
      <c r="G624" s="50">
        <v>1</v>
      </c>
      <c r="H624" s="73">
        <f>IFERROR(INDEX(Katalog!$D$3:$D$12,MATCH(cadangan[[#This Row],[ItemID A]],Katalog!$C$3:$C$12,0))*cadangan[[#This Row],[Qty A]],0)</f>
        <v>1500000</v>
      </c>
      <c r="I624" s="73">
        <f>IFERROR(cadangan[[#This Row],[Harga Normal A]]-(cadangan[[#This Row],[Harga Normal A]]*cadangan[[#This Row],[Diskon]]),cadangan[[#This Row],[Harga Normal A]])</f>
        <v>1275000</v>
      </c>
      <c r="J624" s="73">
        <f>INDEX(Katalog!$F$3:$F$12,MATCH(cadangan[[#This Row],[ItemID A]],Katalog!$C$3:$C$12,0))*cadangan[[#This Row],[Qty A]]</f>
        <v>600000</v>
      </c>
      <c r="K624" s="73">
        <f>IFERROR(cadangan[[#This Row],[Harga Diskon A]]-INDEX(Katalog!$E$3:$E$12,MATCH(cadangan[[#This Row],[ItemID A]],Katalog!$C$3:$C$12,0))*cadangan[[#This Row],[Qty A]],0)</f>
        <v>375000</v>
      </c>
      <c r="L624" s="39" t="s">
        <v>65</v>
      </c>
      <c r="M624" s="39" t="str">
        <f>IFERROR(INDEX(Katalog!$A$3:$A$12,MATCH(cadangan[[#This Row],[ItemID B]],Katalog!$C$3:$C$12,0)),"-")</f>
        <v>Sepatu Pria</v>
      </c>
      <c r="N624" s="39" t="str">
        <f>IFERROR(INDEX(Katalog!$B$3:$B$12,MATCH(cadangan[[#This Row],[ItemID B]],Katalog!$C$3:$C$12,0)),"-")</f>
        <v>Sneakers</v>
      </c>
      <c r="O624" s="50">
        <v>1</v>
      </c>
      <c r="P624" s="50">
        <v>5</v>
      </c>
      <c r="Q624" s="73">
        <f>IFERROR(INDEX(Katalog!$D$3:$D$12,MATCH(cadangan[[#This Row],[ItemID B]],Katalog!$C$3:$C$12,0))*cadangan[[#This Row],[Qty B]],0)</f>
        <v>500000</v>
      </c>
      <c r="R624" s="73">
        <f>IFERROR(cadangan[[#This Row],[Harga Normal B]]-(cadangan[[#This Row],[Harga Normal B]]*cadangan[[#This Row],[Diskon]]),cadangan[[#This Row],[Harga Normal B]])</f>
        <v>425000</v>
      </c>
      <c r="S624" s="73">
        <f>IFERROR(INDEX(Katalog!$F$3:$F$12,MATCH(cadangan[[#This Row],[ItemID B]],Katalog!$C$3:$C$12,0))*cadangan[[#This Row],[Qty B]],0)</f>
        <v>200000</v>
      </c>
      <c r="T624" s="73">
        <f>IFERROR(cadangan[[#This Row],[Harga Diskon B]]-INDEX(Katalog!$E$3:$E$12,MATCH(cadangan[[#This Row],[ItemID B]],Katalog!$C$3:$C$12,0))*cadangan[[#This Row],[Qty B]],0)</f>
        <v>125000</v>
      </c>
      <c r="V624" s="39" t="str">
        <f>IFERROR(INDEX(Katalog!$A$3:$A$12,MATCH(cadangan[[#This Row],[ItemID C]],Katalog!$C$3:$C$12,0)),"-")</f>
        <v>-</v>
      </c>
      <c r="W624" s="39" t="str">
        <f>IFERROR(INDEX(Katalog!$B$3:$B$12,MATCH(cadangan[[#This Row],[ItemID C]],Katalog!$C$3:$C$12,0)),"-")</f>
        <v>-</v>
      </c>
      <c r="Z624" s="73">
        <f>IFERROR(INDEX(Katalog!$D$3:$D$12,MATCH(cadangan[[#This Row],[ItemID C]],Katalog!$C$3:$C$12,0))*cadangan[[#This Row],[Qty C]],0)</f>
        <v>0</v>
      </c>
      <c r="AA624" s="73">
        <f>IFERROR(cadangan[[#This Row],[Harga Normal C]]-(cadangan[[#This Row],[Harga Normal C]]*cadangan[[#This Row],[Diskon]]),cadangan[[#This Row],[Harga Normal C]])</f>
        <v>0</v>
      </c>
      <c r="AB624" s="73">
        <f>IFERROR(INDEX(Katalog!$F$3:$F$12,MATCH(cadangan[[#This Row],[ItemID C]],Katalog!$C$3:$C$12,0))*cadangan[[#This Row],[Qty C]],0)</f>
        <v>0</v>
      </c>
      <c r="AC624" s="73">
        <f>IFERROR(cadangan[[#This Row],[Harga Diskon C]]-INDEX(Katalog!$E$3:$E$12,MATCH(cadangan[[#This Row],[ItemID C]],Katalog!$C$3:$C$12,0))*cadangan[[#This Row],[Qty C]],0)</f>
        <v>0</v>
      </c>
      <c r="AD624" s="53">
        <f>cadangan[[#This Row],[Qty A]]+cadangan[[#This Row],[Qty B]]+cadangan[[#This Row],[Qty C]]</f>
        <v>7</v>
      </c>
      <c r="AE624" s="73">
        <f>cadangan[[#This Row],[Harga Normal A]]+cadangan[[#This Row],[Harga Normal B]]+cadangan[[#This Row],[Harga Normal C]]</f>
        <v>2000000</v>
      </c>
      <c r="AF624" s="73">
        <f>cadangan[[#This Row],[Harga Diskon A]]+cadangan[[#This Row],[Harga Diskon B]]+cadangan[[#This Row],[Harga Diskon C]]</f>
        <v>1700000</v>
      </c>
      <c r="AG624" s="73">
        <f>(cadangan[[#This Row],[Profit Normal A]]+cadangan[[#This Row],[Profit Normal B]]+cadangan[[#This Row],[Profit Normal C]])</f>
        <v>800000</v>
      </c>
      <c r="AH624" s="73">
        <f>cadangan[[#This Row],[Profit Diskon A]]+cadangan[[#This Row],[Profit Diskon B]]+cadangan[[#This Row],[Profit Diskon C]]</f>
        <v>500000</v>
      </c>
      <c r="AI624" s="23" t="s">
        <v>13</v>
      </c>
      <c r="AJ624" s="37">
        <f>IFERROR(INDEX('Kode Diskon'!$D$3:$D$9,MATCH(cadangan[[#This Row],[Kode diskon]],'Kode Diskon'!$C$3:$C$9,0)),"-")</f>
        <v>0.15</v>
      </c>
      <c r="AK624" s="23" t="s">
        <v>29</v>
      </c>
      <c r="AL624" s="23" t="s">
        <v>7</v>
      </c>
      <c r="AM624" s="23" t="s">
        <v>80</v>
      </c>
      <c r="AN624" s="55">
        <v>45019</v>
      </c>
      <c r="AO624" s="53">
        <f>DAY(cadangan[[#This Row],[Tanggal terjual]])</f>
        <v>3</v>
      </c>
      <c r="AP624" s="21" t="str">
        <f>TEXT(cadangan[[#This Row],[Tanggal terjual]],"dddd")</f>
        <v>Monday</v>
      </c>
      <c r="AQ624" s="23" t="str" cm="1">
        <f t="array" ref="AQ6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24" s="61">
        <f>AVERAGE(cadangan[[#This Row],[Rating A]],cadangan[[#This Row],[Rating B]],cadangan[[#This Row],[Rating C]])</f>
        <v>3</v>
      </c>
    </row>
    <row r="625" spans="1:44" x14ac:dyDescent="0.2">
      <c r="A625" s="20">
        <v>624</v>
      </c>
      <c r="B625" s="21" t="str">
        <f>_xlfn.CONCAT("ORD-",INDEX(Helper!$B$2:$B$5,MATCH(cadangan[[#This Row],[Marketplace]],Helper!$A$2:$A$5,0)),TEXT(cadangan[[#This Row],[No]],"0000"),"-",TEXT(cadangan[[#This Row],[Tanggal terjual]],"dd/mm/yy"))</f>
        <v>ORD-TK0624-26/04/23</v>
      </c>
      <c r="C625" s="39" t="s">
        <v>62</v>
      </c>
      <c r="D625" s="39" t="str">
        <f>IFERROR(INDEX(Katalog!$A$3:$A$12,MATCH(cadangan[[#This Row],[ItemID A]],Katalog!$C$3:$C$12,0)),"-")</f>
        <v>Pakaian Pria</v>
      </c>
      <c r="E625" s="39" t="str">
        <f>IFERROR(INDEX(Katalog!$B$3:$B$12,MATCH(cadangan[[#This Row],[ItemID A]],Katalog!$C$3:$C$12,0)),"-")</f>
        <v>Celana Pendek</v>
      </c>
      <c r="F625" s="50">
        <v>2</v>
      </c>
      <c r="G625" s="50">
        <v>1</v>
      </c>
      <c r="H625" s="73">
        <f>IFERROR(INDEX(Katalog!$D$3:$D$12,MATCH(cadangan[[#This Row],[ItemID A]],Katalog!$C$3:$C$12,0))*cadangan[[#This Row],[Qty A]],0)</f>
        <v>360000</v>
      </c>
      <c r="I625" s="73">
        <f>IFERROR(cadangan[[#This Row],[Harga Normal A]]-(cadangan[[#This Row],[Harga Normal A]]*cadangan[[#This Row],[Diskon]]),cadangan[[#This Row],[Harga Normal A]])</f>
        <v>324000</v>
      </c>
      <c r="J625" s="73">
        <f>INDEX(Katalog!$F$3:$F$12,MATCH(cadangan[[#This Row],[ItemID A]],Katalog!$C$3:$C$12,0))*cadangan[[#This Row],[Qty A]]</f>
        <v>140000</v>
      </c>
      <c r="K625" s="73">
        <f>IFERROR(cadangan[[#This Row],[Harga Diskon A]]-INDEX(Katalog!$E$3:$E$12,MATCH(cadangan[[#This Row],[ItemID A]],Katalog!$C$3:$C$12,0))*cadangan[[#This Row],[Qty A]],0)</f>
        <v>104000</v>
      </c>
      <c r="L625" s="39" t="s">
        <v>65</v>
      </c>
      <c r="M625" s="39" t="str">
        <f>IFERROR(INDEX(Katalog!$A$3:$A$12,MATCH(cadangan[[#This Row],[ItemID B]],Katalog!$C$3:$C$12,0)),"-")</f>
        <v>Sepatu Pria</v>
      </c>
      <c r="N625" s="39" t="str">
        <f>IFERROR(INDEX(Katalog!$B$3:$B$12,MATCH(cadangan[[#This Row],[ItemID B]],Katalog!$C$3:$C$12,0)),"-")</f>
        <v>Sneakers</v>
      </c>
      <c r="O625" s="50">
        <v>3</v>
      </c>
      <c r="P625" s="50">
        <v>2</v>
      </c>
      <c r="Q625" s="73">
        <f>IFERROR(INDEX(Katalog!$D$3:$D$12,MATCH(cadangan[[#This Row],[ItemID B]],Katalog!$C$3:$C$12,0))*cadangan[[#This Row],[Qty B]],0)</f>
        <v>1500000</v>
      </c>
      <c r="R625" s="73">
        <f>IFERROR(cadangan[[#This Row],[Harga Normal B]]-(cadangan[[#This Row],[Harga Normal B]]*cadangan[[#This Row],[Diskon]]),cadangan[[#This Row],[Harga Normal B]])</f>
        <v>1350000</v>
      </c>
      <c r="S625" s="73">
        <f>IFERROR(INDEX(Katalog!$F$3:$F$12,MATCH(cadangan[[#This Row],[ItemID B]],Katalog!$C$3:$C$12,0))*cadangan[[#This Row],[Qty B]],0)</f>
        <v>600000</v>
      </c>
      <c r="T625" s="73">
        <f>IFERROR(cadangan[[#This Row],[Harga Diskon B]]-INDEX(Katalog!$E$3:$E$12,MATCH(cadangan[[#This Row],[ItemID B]],Katalog!$C$3:$C$12,0))*cadangan[[#This Row],[Qty B]],0)</f>
        <v>450000</v>
      </c>
      <c r="V625" s="39" t="str">
        <f>IFERROR(INDEX(Katalog!$A$3:$A$12,MATCH(cadangan[[#This Row],[ItemID C]],Katalog!$C$3:$C$12,0)),"-")</f>
        <v>-</v>
      </c>
      <c r="W625" s="39" t="str">
        <f>IFERROR(INDEX(Katalog!$B$3:$B$12,MATCH(cadangan[[#This Row],[ItemID C]],Katalog!$C$3:$C$12,0)),"-")</f>
        <v>-</v>
      </c>
      <c r="Z625" s="73">
        <f>IFERROR(INDEX(Katalog!$D$3:$D$12,MATCH(cadangan[[#This Row],[ItemID C]],Katalog!$C$3:$C$12,0))*cadangan[[#This Row],[Qty C]],0)</f>
        <v>0</v>
      </c>
      <c r="AA625" s="73">
        <f>IFERROR(cadangan[[#This Row],[Harga Normal C]]-(cadangan[[#This Row],[Harga Normal C]]*cadangan[[#This Row],[Diskon]]),cadangan[[#This Row],[Harga Normal C]])</f>
        <v>0</v>
      </c>
      <c r="AB625" s="73">
        <f>IFERROR(INDEX(Katalog!$F$3:$F$12,MATCH(cadangan[[#This Row],[ItemID C]],Katalog!$C$3:$C$12,0))*cadangan[[#This Row],[Qty C]],0)</f>
        <v>0</v>
      </c>
      <c r="AC625" s="73">
        <f>IFERROR(cadangan[[#This Row],[Harga Diskon C]]-INDEX(Katalog!$E$3:$E$12,MATCH(cadangan[[#This Row],[ItemID C]],Katalog!$C$3:$C$12,0))*cadangan[[#This Row],[Qty C]],0)</f>
        <v>0</v>
      </c>
      <c r="AD625" s="53">
        <f>cadangan[[#This Row],[Qty A]]+cadangan[[#This Row],[Qty B]]+cadangan[[#This Row],[Qty C]]</f>
        <v>5</v>
      </c>
      <c r="AE625" s="73">
        <f>cadangan[[#This Row],[Harga Normal A]]+cadangan[[#This Row],[Harga Normal B]]+cadangan[[#This Row],[Harga Normal C]]</f>
        <v>1860000</v>
      </c>
      <c r="AF625" s="73">
        <f>cadangan[[#This Row],[Harga Diskon A]]+cadangan[[#This Row],[Harga Diskon B]]+cadangan[[#This Row],[Harga Diskon C]]</f>
        <v>1674000</v>
      </c>
      <c r="AG625" s="73">
        <f>(cadangan[[#This Row],[Profit Normal A]]+cadangan[[#This Row],[Profit Normal B]]+cadangan[[#This Row],[Profit Normal C]])</f>
        <v>740000</v>
      </c>
      <c r="AH625" s="73">
        <f>cadangan[[#This Row],[Profit Diskon A]]+cadangan[[#This Row],[Profit Diskon B]]+cadangan[[#This Row],[Profit Diskon C]]</f>
        <v>554000</v>
      </c>
      <c r="AI625" s="23" t="s">
        <v>31</v>
      </c>
      <c r="AJ625" s="37">
        <f>IFERROR(INDEX('Kode Diskon'!$D$3:$D$9,MATCH(cadangan[[#This Row],[Kode diskon]],'Kode Diskon'!$C$3:$C$9,0)),"-")</f>
        <v>0.1</v>
      </c>
      <c r="AK625" s="23" t="s">
        <v>9</v>
      </c>
      <c r="AL625" s="23" t="s">
        <v>10</v>
      </c>
      <c r="AM625" s="23" t="s">
        <v>80</v>
      </c>
      <c r="AN625" s="55">
        <v>45042</v>
      </c>
      <c r="AO625" s="53">
        <f>DAY(cadangan[[#This Row],[Tanggal terjual]])</f>
        <v>26</v>
      </c>
      <c r="AP625" s="21" t="str">
        <f>TEXT(cadangan[[#This Row],[Tanggal terjual]],"dddd")</f>
        <v>Wednesday</v>
      </c>
      <c r="AQ625" s="23" t="str" cm="1">
        <f t="array" ref="AQ6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25" s="61">
        <f>AVERAGE(cadangan[[#This Row],[Rating A]],cadangan[[#This Row],[Rating B]],cadangan[[#This Row],[Rating C]])</f>
        <v>1.5</v>
      </c>
    </row>
    <row r="626" spans="1:44" x14ac:dyDescent="0.2">
      <c r="A626" s="20">
        <v>625</v>
      </c>
      <c r="B626" s="21" t="str">
        <f>_xlfn.CONCAT("ORD-",INDEX(Helper!$B$2:$B$5,MATCH(cadangan[[#This Row],[Marketplace]],Helper!$A$2:$A$5,0)),TEXT(cadangan[[#This Row],[No]],"0000"),"-",TEXT(cadangan[[#This Row],[Tanggal terjual]],"dd/mm/yy"))</f>
        <v>ORD-SP0625-03/04/23</v>
      </c>
      <c r="C626" s="39" t="s">
        <v>67</v>
      </c>
      <c r="D626" s="39" t="str">
        <f>IFERROR(INDEX(Katalog!$A$3:$A$12,MATCH(cadangan[[#This Row],[ItemID A]],Katalog!$C$3:$C$12,0)),"-")</f>
        <v>Sepatu Wanita</v>
      </c>
      <c r="E626" s="39" t="str">
        <f>IFERROR(INDEX(Katalog!$B$3:$B$12,MATCH(cadangan[[#This Row],[ItemID A]],Katalog!$C$3:$C$12,0)),"-")</f>
        <v>Flat Shoes</v>
      </c>
      <c r="F626" s="50">
        <v>3</v>
      </c>
      <c r="G626" s="50">
        <v>1</v>
      </c>
      <c r="H626" s="73">
        <f>IFERROR(INDEX(Katalog!$D$3:$D$12,MATCH(cadangan[[#This Row],[ItemID A]],Katalog!$C$3:$C$12,0))*cadangan[[#This Row],[Qty A]],0)</f>
        <v>750000</v>
      </c>
      <c r="I626" s="73">
        <f>IFERROR(cadangan[[#This Row],[Harga Normal A]]-(cadangan[[#This Row],[Harga Normal A]]*cadangan[[#This Row],[Diskon]]),cadangan[[#This Row],[Harga Normal A]])</f>
        <v>637500</v>
      </c>
      <c r="J626" s="73">
        <f>INDEX(Katalog!$F$3:$F$12,MATCH(cadangan[[#This Row],[ItemID A]],Katalog!$C$3:$C$12,0))*cadangan[[#This Row],[Qty A]]</f>
        <v>300000</v>
      </c>
      <c r="K626" s="73">
        <f>IFERROR(cadangan[[#This Row],[Harga Diskon A]]-INDEX(Katalog!$E$3:$E$12,MATCH(cadangan[[#This Row],[ItemID A]],Katalog!$C$3:$C$12,0))*cadangan[[#This Row],[Qty A]],0)</f>
        <v>187500</v>
      </c>
      <c r="L626" s="39" t="s">
        <v>60</v>
      </c>
      <c r="M626" s="39" t="str">
        <f>IFERROR(INDEX(Katalog!$A$3:$A$12,MATCH(cadangan[[#This Row],[ItemID B]],Katalog!$C$3:$C$12,0)),"-")</f>
        <v>Pakaian Wanita</v>
      </c>
      <c r="N626" s="39" t="str">
        <f>IFERROR(INDEX(Katalog!$B$3:$B$12,MATCH(cadangan[[#This Row],[ItemID B]],Katalog!$C$3:$C$12,0)),"-")</f>
        <v>Kaftan</v>
      </c>
      <c r="O626" s="50">
        <v>1</v>
      </c>
      <c r="P626" s="50">
        <v>4</v>
      </c>
      <c r="Q626" s="73">
        <f>IFERROR(INDEX(Katalog!$D$3:$D$12,MATCH(cadangan[[#This Row],[ItemID B]],Katalog!$C$3:$C$12,0))*cadangan[[#This Row],[Qty B]],0)</f>
        <v>250000</v>
      </c>
      <c r="R626" s="73">
        <f>IFERROR(cadangan[[#This Row],[Harga Normal B]]-(cadangan[[#This Row],[Harga Normal B]]*cadangan[[#This Row],[Diskon]]),cadangan[[#This Row],[Harga Normal B]])</f>
        <v>212500</v>
      </c>
      <c r="S626" s="73">
        <f>IFERROR(INDEX(Katalog!$F$3:$F$12,MATCH(cadangan[[#This Row],[ItemID B]],Katalog!$C$3:$C$12,0))*cadangan[[#This Row],[Qty B]],0)</f>
        <v>100000</v>
      </c>
      <c r="T626" s="73">
        <f>IFERROR(cadangan[[#This Row],[Harga Diskon B]]-INDEX(Katalog!$E$3:$E$12,MATCH(cadangan[[#This Row],[ItemID B]],Katalog!$C$3:$C$12,0))*cadangan[[#This Row],[Qty B]],0)</f>
        <v>62500</v>
      </c>
      <c r="U626" s="39" t="s">
        <v>64</v>
      </c>
      <c r="V626" s="39" t="str">
        <f>IFERROR(INDEX(Katalog!$A$3:$A$12,MATCH(cadangan[[#This Row],[ItemID C]],Katalog!$C$3:$C$12,0)),"-")</f>
        <v>Pakaian Unisex</v>
      </c>
      <c r="W626" s="39" t="str">
        <f>IFERROR(INDEX(Katalog!$B$3:$B$12,MATCH(cadangan[[#This Row],[ItemID C]],Katalog!$C$3:$C$12,0)),"-")</f>
        <v>Jaket Hoodie</v>
      </c>
      <c r="X626" s="50">
        <v>1</v>
      </c>
      <c r="Y626" s="50">
        <v>2</v>
      </c>
      <c r="Z626" s="73">
        <f>IFERROR(INDEX(Katalog!$D$3:$D$12,MATCH(cadangan[[#This Row],[ItemID C]],Katalog!$C$3:$C$12,0))*cadangan[[#This Row],[Qty C]],0)</f>
        <v>350000</v>
      </c>
      <c r="AA626" s="73">
        <f>IFERROR(cadangan[[#This Row],[Harga Normal C]]-(cadangan[[#This Row],[Harga Normal C]]*cadangan[[#This Row],[Diskon]]),cadangan[[#This Row],[Harga Normal C]])</f>
        <v>297500</v>
      </c>
      <c r="AB626" s="73">
        <f>IFERROR(INDEX(Katalog!$F$3:$F$12,MATCH(cadangan[[#This Row],[ItemID C]],Katalog!$C$3:$C$12,0))*cadangan[[#This Row],[Qty C]],0)</f>
        <v>130000</v>
      </c>
      <c r="AC626" s="73">
        <f>IFERROR(cadangan[[#This Row],[Harga Diskon C]]-INDEX(Katalog!$E$3:$E$12,MATCH(cadangan[[#This Row],[ItemID C]],Katalog!$C$3:$C$12,0))*cadangan[[#This Row],[Qty C]],0)</f>
        <v>77500</v>
      </c>
      <c r="AD626" s="53">
        <f>cadangan[[#This Row],[Qty A]]+cadangan[[#This Row],[Qty B]]+cadangan[[#This Row],[Qty C]]</f>
        <v>5</v>
      </c>
      <c r="AE626" s="73">
        <f>cadangan[[#This Row],[Harga Normal A]]+cadangan[[#This Row],[Harga Normal B]]+cadangan[[#This Row],[Harga Normal C]]</f>
        <v>1350000</v>
      </c>
      <c r="AF626" s="73">
        <f>cadangan[[#This Row],[Harga Diskon A]]+cadangan[[#This Row],[Harga Diskon B]]+cadangan[[#This Row],[Harga Diskon C]]</f>
        <v>1147500</v>
      </c>
      <c r="AG626" s="73">
        <f>(cadangan[[#This Row],[Profit Normal A]]+cadangan[[#This Row],[Profit Normal B]]+cadangan[[#This Row],[Profit Normal C]])</f>
        <v>530000</v>
      </c>
      <c r="AH626" s="73">
        <f>cadangan[[#This Row],[Profit Diskon A]]+cadangan[[#This Row],[Profit Diskon B]]+cadangan[[#This Row],[Profit Diskon C]]</f>
        <v>327500</v>
      </c>
      <c r="AI626" s="23" t="s">
        <v>13</v>
      </c>
      <c r="AJ626" s="37">
        <f>IFERROR(INDEX('Kode Diskon'!$D$3:$D$9,MATCH(cadangan[[#This Row],[Kode diskon]],'Kode Diskon'!$C$3:$C$9,0)),"-")</f>
        <v>0.15</v>
      </c>
      <c r="AK626" s="23" t="s">
        <v>29</v>
      </c>
      <c r="AL626" s="23" t="s">
        <v>7</v>
      </c>
      <c r="AM626" s="23" t="s">
        <v>76</v>
      </c>
      <c r="AN626" s="55">
        <v>45019</v>
      </c>
      <c r="AO626" s="53">
        <f>DAY(cadangan[[#This Row],[Tanggal terjual]])</f>
        <v>3</v>
      </c>
      <c r="AP626" s="21" t="str">
        <f>TEXT(cadangan[[#This Row],[Tanggal terjual]],"dddd")</f>
        <v>Monday</v>
      </c>
      <c r="AQ626" s="23" t="str" cm="1">
        <f t="array" ref="AQ6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26" s="61">
        <f>AVERAGE(cadangan[[#This Row],[Rating A]],cadangan[[#This Row],[Rating B]],cadangan[[#This Row],[Rating C]])</f>
        <v>2.3333333333333335</v>
      </c>
    </row>
    <row r="627" spans="1:44" x14ac:dyDescent="0.2">
      <c r="A627" s="20">
        <v>626</v>
      </c>
      <c r="B627" s="21" t="str">
        <f>_xlfn.CONCAT("ORD-",INDEX(Helper!$B$2:$B$5,MATCH(cadangan[[#This Row],[Marketplace]],Helper!$A$2:$A$5,0)),TEXT(cadangan[[#This Row],[No]],"0000"),"-",TEXT(cadangan[[#This Row],[Tanggal terjual]],"dd/mm/yy"))</f>
        <v>ORD-TK0626-01/04/23</v>
      </c>
      <c r="C627" s="39" t="s">
        <v>64</v>
      </c>
      <c r="D627" s="39" t="str">
        <f>IFERROR(INDEX(Katalog!$A$3:$A$12,MATCH(cadangan[[#This Row],[ItemID A]],Katalog!$C$3:$C$12,0)),"-")</f>
        <v>Pakaian Unisex</v>
      </c>
      <c r="E627" s="39" t="str">
        <f>IFERROR(INDEX(Katalog!$B$3:$B$12,MATCH(cadangan[[#This Row],[ItemID A]],Katalog!$C$3:$C$12,0)),"-")</f>
        <v>Jaket Hoodie</v>
      </c>
      <c r="F627" s="50">
        <v>1</v>
      </c>
      <c r="G627" s="50">
        <v>5</v>
      </c>
      <c r="H627" s="73">
        <f>IFERROR(INDEX(Katalog!$D$3:$D$12,MATCH(cadangan[[#This Row],[ItemID A]],Katalog!$C$3:$C$12,0))*cadangan[[#This Row],[Qty A]],0)</f>
        <v>350000</v>
      </c>
      <c r="I627" s="73">
        <f>IFERROR(cadangan[[#This Row],[Harga Normal A]]-(cadangan[[#This Row],[Harga Normal A]]*cadangan[[#This Row],[Diskon]]),cadangan[[#This Row],[Harga Normal A]])</f>
        <v>315000</v>
      </c>
      <c r="J627" s="73">
        <f>INDEX(Katalog!$F$3:$F$12,MATCH(cadangan[[#This Row],[ItemID A]],Katalog!$C$3:$C$12,0))*cadangan[[#This Row],[Qty A]]</f>
        <v>130000</v>
      </c>
      <c r="K627" s="73">
        <f>IFERROR(cadangan[[#This Row],[Harga Diskon A]]-INDEX(Katalog!$E$3:$E$12,MATCH(cadangan[[#This Row],[ItemID A]],Katalog!$C$3:$C$12,0))*cadangan[[#This Row],[Qty A]],0)</f>
        <v>95000</v>
      </c>
      <c r="L627" s="39" t="s">
        <v>67</v>
      </c>
      <c r="M627" s="39" t="str">
        <f>IFERROR(INDEX(Katalog!$A$3:$A$12,MATCH(cadangan[[#This Row],[ItemID B]],Katalog!$C$3:$C$12,0)),"-")</f>
        <v>Sepatu Wanita</v>
      </c>
      <c r="N627" s="39" t="str">
        <f>IFERROR(INDEX(Katalog!$B$3:$B$12,MATCH(cadangan[[#This Row],[ItemID B]],Katalog!$C$3:$C$12,0)),"-")</f>
        <v>Flat Shoes</v>
      </c>
      <c r="O627" s="50">
        <v>1</v>
      </c>
      <c r="P627" s="50">
        <v>1</v>
      </c>
      <c r="Q627" s="73">
        <f>IFERROR(INDEX(Katalog!$D$3:$D$12,MATCH(cadangan[[#This Row],[ItemID B]],Katalog!$C$3:$C$12,0))*cadangan[[#This Row],[Qty B]],0)</f>
        <v>250000</v>
      </c>
      <c r="R627" s="73">
        <f>IFERROR(cadangan[[#This Row],[Harga Normal B]]-(cadangan[[#This Row],[Harga Normal B]]*cadangan[[#This Row],[Diskon]]),cadangan[[#This Row],[Harga Normal B]])</f>
        <v>225000</v>
      </c>
      <c r="S627" s="73">
        <f>IFERROR(INDEX(Katalog!$F$3:$F$12,MATCH(cadangan[[#This Row],[ItemID B]],Katalog!$C$3:$C$12,0))*cadangan[[#This Row],[Qty B]],0)</f>
        <v>100000</v>
      </c>
      <c r="T627" s="73">
        <f>IFERROR(cadangan[[#This Row],[Harga Diskon B]]-INDEX(Katalog!$E$3:$E$12,MATCH(cadangan[[#This Row],[ItemID B]],Katalog!$C$3:$C$12,0))*cadangan[[#This Row],[Qty B]],0)</f>
        <v>75000</v>
      </c>
      <c r="U627" s="39" t="s">
        <v>63</v>
      </c>
      <c r="V627" s="39" t="str">
        <f>IFERROR(INDEX(Katalog!$A$3:$A$12,MATCH(cadangan[[#This Row],[ItemID C]],Katalog!$C$3:$C$12,0)),"-")</f>
        <v>Pakaian Pria</v>
      </c>
      <c r="W627" s="39" t="str">
        <f>IFERROR(INDEX(Katalog!$B$3:$B$12,MATCH(cadangan[[#This Row],[ItemID C]],Katalog!$C$3:$C$12,0)),"-")</f>
        <v>Jaket Jeans</v>
      </c>
      <c r="X627" s="50">
        <v>2</v>
      </c>
      <c r="Y627" s="50">
        <v>1</v>
      </c>
      <c r="Z627" s="73">
        <f>IFERROR(INDEX(Katalog!$D$3:$D$12,MATCH(cadangan[[#This Row],[ItemID C]],Katalog!$C$3:$C$12,0))*cadangan[[#This Row],[Qty C]],0)</f>
        <v>800000</v>
      </c>
      <c r="AA627" s="73">
        <f>IFERROR(cadangan[[#This Row],[Harga Normal C]]-(cadangan[[#This Row],[Harga Normal C]]*cadangan[[#This Row],[Diskon]]),cadangan[[#This Row],[Harga Normal C]])</f>
        <v>720000</v>
      </c>
      <c r="AB627" s="73">
        <f>IFERROR(INDEX(Katalog!$F$3:$F$12,MATCH(cadangan[[#This Row],[ItemID C]],Katalog!$C$3:$C$12,0))*cadangan[[#This Row],[Qty C]],0)</f>
        <v>300000</v>
      </c>
      <c r="AC627" s="73">
        <f>IFERROR(cadangan[[#This Row],[Harga Diskon C]]-INDEX(Katalog!$E$3:$E$12,MATCH(cadangan[[#This Row],[ItemID C]],Katalog!$C$3:$C$12,0))*cadangan[[#This Row],[Qty C]],0)</f>
        <v>220000</v>
      </c>
      <c r="AD627" s="53">
        <f>cadangan[[#This Row],[Qty A]]+cadangan[[#This Row],[Qty B]]+cadangan[[#This Row],[Qty C]]</f>
        <v>4</v>
      </c>
      <c r="AE627" s="73">
        <f>cadangan[[#This Row],[Harga Normal A]]+cadangan[[#This Row],[Harga Normal B]]+cadangan[[#This Row],[Harga Normal C]]</f>
        <v>1400000</v>
      </c>
      <c r="AF627" s="73">
        <f>cadangan[[#This Row],[Harga Diskon A]]+cadangan[[#This Row],[Harga Diskon B]]+cadangan[[#This Row],[Harga Diskon C]]</f>
        <v>1260000</v>
      </c>
      <c r="AG627" s="73">
        <f>(cadangan[[#This Row],[Profit Normal A]]+cadangan[[#This Row],[Profit Normal B]]+cadangan[[#This Row],[Profit Normal C]])</f>
        <v>530000</v>
      </c>
      <c r="AH627" s="73">
        <f>cadangan[[#This Row],[Profit Diskon A]]+cadangan[[#This Row],[Profit Diskon B]]+cadangan[[#This Row],[Profit Diskon C]]</f>
        <v>390000</v>
      </c>
      <c r="AI627" s="23" t="s">
        <v>30</v>
      </c>
      <c r="AJ627" s="37">
        <f>IFERROR(INDEX('Kode Diskon'!$D$3:$D$9,MATCH(cadangan[[#This Row],[Kode diskon]],'Kode Diskon'!$C$3:$C$9,0)),"-")</f>
        <v>0.1</v>
      </c>
      <c r="AK627" s="23" t="s">
        <v>29</v>
      </c>
      <c r="AL627" s="23" t="s">
        <v>10</v>
      </c>
      <c r="AM627" s="23" t="s">
        <v>76</v>
      </c>
      <c r="AN627" s="55">
        <v>45017</v>
      </c>
      <c r="AO627" s="53">
        <f>DAY(cadangan[[#This Row],[Tanggal terjual]])</f>
        <v>1</v>
      </c>
      <c r="AP627" s="21" t="str">
        <f>TEXT(cadangan[[#This Row],[Tanggal terjual]],"dddd")</f>
        <v>Saturday</v>
      </c>
      <c r="AQ627" s="23" t="str" cm="1">
        <f t="array" ref="AQ6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27" s="61">
        <f>AVERAGE(cadangan[[#This Row],[Rating A]],cadangan[[#This Row],[Rating B]],cadangan[[#This Row],[Rating C]])</f>
        <v>2.3333333333333335</v>
      </c>
    </row>
    <row r="628" spans="1:44" x14ac:dyDescent="0.2">
      <c r="A628" s="20">
        <v>627</v>
      </c>
      <c r="B628" s="21" t="str">
        <f>_xlfn.CONCAT("ORD-",INDEX(Helper!$B$2:$B$5,MATCH(cadangan[[#This Row],[Marketplace]],Helper!$A$2:$A$5,0)),TEXT(cadangan[[#This Row],[No]],"0000"),"-",TEXT(cadangan[[#This Row],[Tanggal terjual]],"dd/mm/yy"))</f>
        <v>ORD-SP0627-21/04/23</v>
      </c>
      <c r="C628" s="39" t="s">
        <v>66</v>
      </c>
      <c r="D628" s="39" t="str">
        <f>IFERROR(INDEX(Katalog!$A$3:$A$12,MATCH(cadangan[[#This Row],[ItemID A]],Katalog!$C$3:$C$12,0)),"-")</f>
        <v>Sepatu Pria</v>
      </c>
      <c r="E628" s="39" t="str">
        <f>IFERROR(INDEX(Katalog!$B$3:$B$12,MATCH(cadangan[[#This Row],[ItemID A]],Katalog!$C$3:$C$12,0)),"-")</f>
        <v>Sandal Slip On</v>
      </c>
      <c r="F628" s="50">
        <v>7</v>
      </c>
      <c r="G628" s="50">
        <v>5</v>
      </c>
      <c r="H628" s="73">
        <f>IFERROR(INDEX(Katalog!$D$3:$D$12,MATCH(cadangan[[#This Row],[ItemID A]],Katalog!$C$3:$C$12,0))*cadangan[[#This Row],[Qty A]],0)</f>
        <v>1050000</v>
      </c>
      <c r="I628" s="73">
        <f>IFERROR(cadangan[[#This Row],[Harga Normal A]]-(cadangan[[#This Row],[Harga Normal A]]*cadangan[[#This Row],[Diskon]]),cadangan[[#This Row],[Harga Normal A]])</f>
        <v>840000</v>
      </c>
      <c r="J628" s="73">
        <f>INDEX(Katalog!$F$3:$F$12,MATCH(cadangan[[#This Row],[ItemID A]],Katalog!$C$3:$C$12,0))*cadangan[[#This Row],[Qty A]]</f>
        <v>420000</v>
      </c>
      <c r="K628" s="73">
        <f>IFERROR(cadangan[[#This Row],[Harga Diskon A]]-INDEX(Katalog!$E$3:$E$12,MATCH(cadangan[[#This Row],[ItemID A]],Katalog!$C$3:$C$12,0))*cadangan[[#This Row],[Qty A]],0)</f>
        <v>210000</v>
      </c>
      <c r="M628" s="39" t="str">
        <f>IFERROR(INDEX(Katalog!$A$3:$A$12,MATCH(cadangan[[#This Row],[ItemID B]],Katalog!$C$3:$C$12,0)),"-")</f>
        <v>-</v>
      </c>
      <c r="N628" s="39" t="str">
        <f>IFERROR(INDEX(Katalog!$B$3:$B$12,MATCH(cadangan[[#This Row],[ItemID B]],Katalog!$C$3:$C$12,0)),"-")</f>
        <v>-</v>
      </c>
      <c r="Q628" s="73">
        <f>IFERROR(INDEX(Katalog!$D$3:$D$12,MATCH(cadangan[[#This Row],[ItemID B]],Katalog!$C$3:$C$12,0))*cadangan[[#This Row],[Qty B]],0)</f>
        <v>0</v>
      </c>
      <c r="R628" s="73">
        <f>IFERROR(cadangan[[#This Row],[Harga Normal B]]-(cadangan[[#This Row],[Harga Normal B]]*cadangan[[#This Row],[Diskon]]),cadangan[[#This Row],[Harga Normal B]])</f>
        <v>0</v>
      </c>
      <c r="S628" s="73">
        <f>IFERROR(INDEX(Katalog!$F$3:$F$12,MATCH(cadangan[[#This Row],[ItemID B]],Katalog!$C$3:$C$12,0))*cadangan[[#This Row],[Qty B]],0)</f>
        <v>0</v>
      </c>
      <c r="T628" s="73">
        <f>IFERROR(cadangan[[#This Row],[Harga Diskon B]]-INDEX(Katalog!$E$3:$E$12,MATCH(cadangan[[#This Row],[ItemID B]],Katalog!$C$3:$C$12,0))*cadangan[[#This Row],[Qty B]],0)</f>
        <v>0</v>
      </c>
      <c r="V628" s="39" t="str">
        <f>IFERROR(INDEX(Katalog!$A$3:$A$12,MATCH(cadangan[[#This Row],[ItemID C]],Katalog!$C$3:$C$12,0)),"-")</f>
        <v>-</v>
      </c>
      <c r="W628" s="39" t="str">
        <f>IFERROR(INDEX(Katalog!$B$3:$B$12,MATCH(cadangan[[#This Row],[ItemID C]],Katalog!$C$3:$C$12,0)),"-")</f>
        <v>-</v>
      </c>
      <c r="Z628" s="73">
        <f>IFERROR(INDEX(Katalog!$D$3:$D$12,MATCH(cadangan[[#This Row],[ItemID C]],Katalog!$C$3:$C$12,0))*cadangan[[#This Row],[Qty C]],0)</f>
        <v>0</v>
      </c>
      <c r="AA628" s="73">
        <f>IFERROR(cadangan[[#This Row],[Harga Normal C]]-(cadangan[[#This Row],[Harga Normal C]]*cadangan[[#This Row],[Diskon]]),cadangan[[#This Row],[Harga Normal C]])</f>
        <v>0</v>
      </c>
      <c r="AB628" s="73">
        <f>IFERROR(INDEX(Katalog!$F$3:$F$12,MATCH(cadangan[[#This Row],[ItemID C]],Katalog!$C$3:$C$12,0))*cadangan[[#This Row],[Qty C]],0)</f>
        <v>0</v>
      </c>
      <c r="AC628" s="73">
        <f>IFERROR(cadangan[[#This Row],[Harga Diskon C]]-INDEX(Katalog!$E$3:$E$12,MATCH(cadangan[[#This Row],[ItemID C]],Katalog!$C$3:$C$12,0))*cadangan[[#This Row],[Qty C]],0)</f>
        <v>0</v>
      </c>
      <c r="AD628" s="53">
        <f>cadangan[[#This Row],[Qty A]]+cadangan[[#This Row],[Qty B]]+cadangan[[#This Row],[Qty C]]</f>
        <v>7</v>
      </c>
      <c r="AE628" s="73">
        <f>cadangan[[#This Row],[Harga Normal A]]+cadangan[[#This Row],[Harga Normal B]]+cadangan[[#This Row],[Harga Normal C]]</f>
        <v>1050000</v>
      </c>
      <c r="AF628" s="73">
        <f>cadangan[[#This Row],[Harga Diskon A]]+cadangan[[#This Row],[Harga Diskon B]]+cadangan[[#This Row],[Harga Diskon C]]</f>
        <v>840000</v>
      </c>
      <c r="AG628" s="73">
        <f>(cadangan[[#This Row],[Profit Normal A]]+cadangan[[#This Row],[Profit Normal B]]+cadangan[[#This Row],[Profit Normal C]])</f>
        <v>420000</v>
      </c>
      <c r="AH628" s="73">
        <f>cadangan[[#This Row],[Profit Diskon A]]+cadangan[[#This Row],[Profit Diskon B]]+cadangan[[#This Row],[Profit Diskon C]]</f>
        <v>210000</v>
      </c>
      <c r="AI628" s="23" t="s">
        <v>8</v>
      </c>
      <c r="AJ628" s="37">
        <f>IFERROR(INDEX('Kode Diskon'!$D$3:$D$9,MATCH(cadangan[[#This Row],[Kode diskon]],'Kode Diskon'!$C$3:$C$9,0)),"-")</f>
        <v>0.2</v>
      </c>
      <c r="AK628" s="23" t="s">
        <v>9</v>
      </c>
      <c r="AL628" s="23" t="s">
        <v>7</v>
      </c>
      <c r="AM628" s="23" t="s">
        <v>78</v>
      </c>
      <c r="AN628" s="55">
        <v>45037</v>
      </c>
      <c r="AO628" s="53">
        <f>DAY(cadangan[[#This Row],[Tanggal terjual]])</f>
        <v>21</v>
      </c>
      <c r="AP628" s="21" t="str">
        <f>TEXT(cadangan[[#This Row],[Tanggal terjual]],"dddd")</f>
        <v>Friday</v>
      </c>
      <c r="AQ628" s="23" t="str" cm="1">
        <f t="array" ref="AQ6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28" s="61">
        <f>AVERAGE(cadangan[[#This Row],[Rating A]],cadangan[[#This Row],[Rating B]],cadangan[[#This Row],[Rating C]])</f>
        <v>5</v>
      </c>
    </row>
    <row r="629" spans="1:44" x14ac:dyDescent="0.2">
      <c r="A629" s="20">
        <v>628</v>
      </c>
      <c r="B629" s="21" t="str">
        <f>_xlfn.CONCAT("ORD-",INDEX(Helper!$B$2:$B$5,MATCH(cadangan[[#This Row],[Marketplace]],Helper!$A$2:$A$5,0)),TEXT(cadangan[[#This Row],[No]],"0000"),"-",TEXT(cadangan[[#This Row],[Tanggal terjual]],"dd/mm/yy"))</f>
        <v>ORD-SP0628-25/04/23</v>
      </c>
      <c r="C629" s="39" t="s">
        <v>65</v>
      </c>
      <c r="D629" s="39" t="str">
        <f>IFERROR(INDEX(Katalog!$A$3:$A$12,MATCH(cadangan[[#This Row],[ItemID A]],Katalog!$C$3:$C$12,0)),"-")</f>
        <v>Sepatu Pria</v>
      </c>
      <c r="E629" s="39" t="str">
        <f>IFERROR(INDEX(Katalog!$B$3:$B$12,MATCH(cadangan[[#This Row],[ItemID A]],Katalog!$C$3:$C$12,0)),"-")</f>
        <v>Sneakers</v>
      </c>
      <c r="F629" s="50">
        <v>1</v>
      </c>
      <c r="G629" s="50">
        <v>1</v>
      </c>
      <c r="H629" s="73">
        <f>IFERROR(INDEX(Katalog!$D$3:$D$12,MATCH(cadangan[[#This Row],[ItemID A]],Katalog!$C$3:$C$12,0))*cadangan[[#This Row],[Qty A]],0)</f>
        <v>500000</v>
      </c>
      <c r="I629" s="73">
        <f>IFERROR(cadangan[[#This Row],[Harga Normal A]]-(cadangan[[#This Row],[Harga Normal A]]*cadangan[[#This Row],[Diskon]]),cadangan[[#This Row],[Harga Normal A]])</f>
        <v>400000</v>
      </c>
      <c r="J629" s="73">
        <f>INDEX(Katalog!$F$3:$F$12,MATCH(cadangan[[#This Row],[ItemID A]],Katalog!$C$3:$C$12,0))*cadangan[[#This Row],[Qty A]]</f>
        <v>200000</v>
      </c>
      <c r="K629" s="73">
        <f>IFERROR(cadangan[[#This Row],[Harga Diskon A]]-INDEX(Katalog!$E$3:$E$12,MATCH(cadangan[[#This Row],[ItemID A]],Katalog!$C$3:$C$12,0))*cadangan[[#This Row],[Qty A]],0)</f>
        <v>100000</v>
      </c>
      <c r="L629" s="39" t="s">
        <v>60</v>
      </c>
      <c r="M629" s="39" t="str">
        <f>IFERROR(INDEX(Katalog!$A$3:$A$12,MATCH(cadangan[[#This Row],[ItemID B]],Katalog!$C$3:$C$12,0)),"-")</f>
        <v>Pakaian Wanita</v>
      </c>
      <c r="N629" s="39" t="str">
        <f>IFERROR(INDEX(Katalog!$B$3:$B$12,MATCH(cadangan[[#This Row],[ItemID B]],Katalog!$C$3:$C$12,0)),"-")</f>
        <v>Kaftan</v>
      </c>
      <c r="O629" s="50">
        <v>1</v>
      </c>
      <c r="P629" s="50">
        <v>2</v>
      </c>
      <c r="Q629" s="73">
        <f>IFERROR(INDEX(Katalog!$D$3:$D$12,MATCH(cadangan[[#This Row],[ItemID B]],Katalog!$C$3:$C$12,0))*cadangan[[#This Row],[Qty B]],0)</f>
        <v>250000</v>
      </c>
      <c r="R629" s="73">
        <f>IFERROR(cadangan[[#This Row],[Harga Normal B]]-(cadangan[[#This Row],[Harga Normal B]]*cadangan[[#This Row],[Diskon]]),cadangan[[#This Row],[Harga Normal B]])</f>
        <v>200000</v>
      </c>
      <c r="S629" s="73">
        <f>IFERROR(INDEX(Katalog!$F$3:$F$12,MATCH(cadangan[[#This Row],[ItemID B]],Katalog!$C$3:$C$12,0))*cadangan[[#This Row],[Qty B]],0)</f>
        <v>100000</v>
      </c>
      <c r="T629" s="73">
        <f>IFERROR(cadangan[[#This Row],[Harga Diskon B]]-INDEX(Katalog!$E$3:$E$12,MATCH(cadangan[[#This Row],[ItemID B]],Katalog!$C$3:$C$12,0))*cadangan[[#This Row],[Qty B]],0)</f>
        <v>50000</v>
      </c>
      <c r="U629" s="39" t="s">
        <v>62</v>
      </c>
      <c r="V629" s="39" t="str">
        <f>IFERROR(INDEX(Katalog!$A$3:$A$12,MATCH(cadangan[[#This Row],[ItemID C]],Katalog!$C$3:$C$12,0)),"-")</f>
        <v>Pakaian Pria</v>
      </c>
      <c r="W629" s="39" t="str">
        <f>IFERROR(INDEX(Katalog!$B$3:$B$12,MATCH(cadangan[[#This Row],[ItemID C]],Katalog!$C$3:$C$12,0)),"-")</f>
        <v>Celana Pendek</v>
      </c>
      <c r="X629" s="50">
        <v>4</v>
      </c>
      <c r="Y629" s="50">
        <v>4</v>
      </c>
      <c r="Z629" s="73">
        <f>IFERROR(INDEX(Katalog!$D$3:$D$12,MATCH(cadangan[[#This Row],[ItemID C]],Katalog!$C$3:$C$12,0))*cadangan[[#This Row],[Qty C]],0)</f>
        <v>720000</v>
      </c>
      <c r="AA629" s="73">
        <f>IFERROR(cadangan[[#This Row],[Harga Normal C]]-(cadangan[[#This Row],[Harga Normal C]]*cadangan[[#This Row],[Diskon]]),cadangan[[#This Row],[Harga Normal C]])</f>
        <v>576000</v>
      </c>
      <c r="AB629" s="73">
        <f>IFERROR(INDEX(Katalog!$F$3:$F$12,MATCH(cadangan[[#This Row],[ItemID C]],Katalog!$C$3:$C$12,0))*cadangan[[#This Row],[Qty C]],0)</f>
        <v>280000</v>
      </c>
      <c r="AC629" s="73">
        <f>IFERROR(cadangan[[#This Row],[Harga Diskon C]]-INDEX(Katalog!$E$3:$E$12,MATCH(cadangan[[#This Row],[ItemID C]],Katalog!$C$3:$C$12,0))*cadangan[[#This Row],[Qty C]],0)</f>
        <v>136000</v>
      </c>
      <c r="AD629" s="53">
        <f>cadangan[[#This Row],[Qty A]]+cadangan[[#This Row],[Qty B]]+cadangan[[#This Row],[Qty C]]</f>
        <v>6</v>
      </c>
      <c r="AE629" s="73">
        <f>cadangan[[#This Row],[Harga Normal A]]+cadangan[[#This Row],[Harga Normal B]]+cadangan[[#This Row],[Harga Normal C]]</f>
        <v>1470000</v>
      </c>
      <c r="AF629" s="73">
        <f>cadangan[[#This Row],[Harga Diskon A]]+cadangan[[#This Row],[Harga Diskon B]]+cadangan[[#This Row],[Harga Diskon C]]</f>
        <v>1176000</v>
      </c>
      <c r="AG629" s="73">
        <f>(cadangan[[#This Row],[Profit Normal A]]+cadangan[[#This Row],[Profit Normal B]]+cadangan[[#This Row],[Profit Normal C]])</f>
        <v>580000</v>
      </c>
      <c r="AH629" s="73">
        <f>cadangan[[#This Row],[Profit Diskon A]]+cadangan[[#This Row],[Profit Diskon B]]+cadangan[[#This Row],[Profit Diskon C]]</f>
        <v>286000</v>
      </c>
      <c r="AI629" s="23" t="s">
        <v>8</v>
      </c>
      <c r="AJ629" s="37">
        <f>IFERROR(INDEX('Kode Diskon'!$D$3:$D$9,MATCH(cadangan[[#This Row],[Kode diskon]],'Kode Diskon'!$C$3:$C$9,0)),"-")</f>
        <v>0.2</v>
      </c>
      <c r="AK629" s="23" t="s">
        <v>9</v>
      </c>
      <c r="AL629" s="23" t="s">
        <v>7</v>
      </c>
      <c r="AM629" s="23" t="s">
        <v>80</v>
      </c>
      <c r="AN629" s="55">
        <v>45041</v>
      </c>
      <c r="AO629" s="53">
        <f>DAY(cadangan[[#This Row],[Tanggal terjual]])</f>
        <v>25</v>
      </c>
      <c r="AP629" s="21" t="str">
        <f>TEXT(cadangan[[#This Row],[Tanggal terjual]],"dddd")</f>
        <v>Tuesday</v>
      </c>
      <c r="AQ629" s="23" t="str" cm="1">
        <f t="array" ref="AQ6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29" s="61">
        <f>AVERAGE(cadangan[[#This Row],[Rating A]],cadangan[[#This Row],[Rating B]],cadangan[[#This Row],[Rating C]])</f>
        <v>2.3333333333333335</v>
      </c>
    </row>
    <row r="630" spans="1:44" x14ac:dyDescent="0.2">
      <c r="A630" s="20">
        <v>629</v>
      </c>
      <c r="B630" s="21" t="str">
        <f>_xlfn.CONCAT("ORD-",INDEX(Helper!$B$2:$B$5,MATCH(cadangan[[#This Row],[Marketplace]],Helper!$A$2:$A$5,0)),TEXT(cadangan[[#This Row],[No]],"0000"),"-",TEXT(cadangan[[#This Row],[Tanggal terjual]],"dd/mm/yy"))</f>
        <v>ORD-TK0629-23/04/23</v>
      </c>
      <c r="C630" s="39" t="s">
        <v>66</v>
      </c>
      <c r="D630" s="39" t="str">
        <f>IFERROR(INDEX(Katalog!$A$3:$A$12,MATCH(cadangan[[#This Row],[ItemID A]],Katalog!$C$3:$C$12,0)),"-")</f>
        <v>Sepatu Pria</v>
      </c>
      <c r="E630" s="39" t="str">
        <f>IFERROR(INDEX(Katalog!$B$3:$B$12,MATCH(cadangan[[#This Row],[ItemID A]],Katalog!$C$3:$C$12,0)),"-")</f>
        <v>Sandal Slip On</v>
      </c>
      <c r="F630" s="50">
        <v>3</v>
      </c>
      <c r="G630" s="50">
        <v>5</v>
      </c>
      <c r="H630" s="73">
        <f>IFERROR(INDEX(Katalog!$D$3:$D$12,MATCH(cadangan[[#This Row],[ItemID A]],Katalog!$C$3:$C$12,0))*cadangan[[#This Row],[Qty A]],0)</f>
        <v>450000</v>
      </c>
      <c r="I630" s="73">
        <f>IFERROR(cadangan[[#This Row],[Harga Normal A]]-(cadangan[[#This Row],[Harga Normal A]]*cadangan[[#This Row],[Diskon]]),cadangan[[#This Row],[Harga Normal A]])</f>
        <v>405000</v>
      </c>
      <c r="J630" s="73">
        <f>INDEX(Katalog!$F$3:$F$12,MATCH(cadangan[[#This Row],[ItemID A]],Katalog!$C$3:$C$12,0))*cadangan[[#This Row],[Qty A]]</f>
        <v>180000</v>
      </c>
      <c r="K630" s="73">
        <f>IFERROR(cadangan[[#This Row],[Harga Diskon A]]-INDEX(Katalog!$E$3:$E$12,MATCH(cadangan[[#This Row],[ItemID A]],Katalog!$C$3:$C$12,0))*cadangan[[#This Row],[Qty A]],0)</f>
        <v>135000</v>
      </c>
      <c r="L630" s="39" t="s">
        <v>65</v>
      </c>
      <c r="M630" s="39" t="str">
        <f>IFERROR(INDEX(Katalog!$A$3:$A$12,MATCH(cadangan[[#This Row],[ItemID B]],Katalog!$C$3:$C$12,0)),"-")</f>
        <v>Sepatu Pria</v>
      </c>
      <c r="N630" s="39" t="str">
        <f>IFERROR(INDEX(Katalog!$B$3:$B$12,MATCH(cadangan[[#This Row],[ItemID B]],Katalog!$C$3:$C$12,0)),"-")</f>
        <v>Sneakers</v>
      </c>
      <c r="O630" s="50">
        <v>2</v>
      </c>
      <c r="P630" s="50">
        <v>3</v>
      </c>
      <c r="Q630" s="73">
        <f>IFERROR(INDEX(Katalog!$D$3:$D$12,MATCH(cadangan[[#This Row],[ItemID B]],Katalog!$C$3:$C$12,0))*cadangan[[#This Row],[Qty B]],0)</f>
        <v>1000000</v>
      </c>
      <c r="R630" s="73">
        <f>IFERROR(cadangan[[#This Row],[Harga Normal B]]-(cadangan[[#This Row],[Harga Normal B]]*cadangan[[#This Row],[Diskon]]),cadangan[[#This Row],[Harga Normal B]])</f>
        <v>900000</v>
      </c>
      <c r="S630" s="73">
        <f>IFERROR(INDEX(Katalog!$F$3:$F$12,MATCH(cadangan[[#This Row],[ItemID B]],Katalog!$C$3:$C$12,0))*cadangan[[#This Row],[Qty B]],0)</f>
        <v>400000</v>
      </c>
      <c r="T630" s="73">
        <f>IFERROR(cadangan[[#This Row],[Harga Diskon B]]-INDEX(Katalog!$E$3:$E$12,MATCH(cadangan[[#This Row],[ItemID B]],Katalog!$C$3:$C$12,0))*cadangan[[#This Row],[Qty B]],0)</f>
        <v>300000</v>
      </c>
      <c r="V630" s="39" t="str">
        <f>IFERROR(INDEX(Katalog!$A$3:$A$12,MATCH(cadangan[[#This Row],[ItemID C]],Katalog!$C$3:$C$12,0)),"-")</f>
        <v>-</v>
      </c>
      <c r="W630" s="39" t="str">
        <f>IFERROR(INDEX(Katalog!$B$3:$B$12,MATCH(cadangan[[#This Row],[ItemID C]],Katalog!$C$3:$C$12,0)),"-")</f>
        <v>-</v>
      </c>
      <c r="Z630" s="73">
        <f>IFERROR(INDEX(Katalog!$D$3:$D$12,MATCH(cadangan[[#This Row],[ItemID C]],Katalog!$C$3:$C$12,0))*cadangan[[#This Row],[Qty C]],0)</f>
        <v>0</v>
      </c>
      <c r="AA630" s="73">
        <f>IFERROR(cadangan[[#This Row],[Harga Normal C]]-(cadangan[[#This Row],[Harga Normal C]]*cadangan[[#This Row],[Diskon]]),cadangan[[#This Row],[Harga Normal C]])</f>
        <v>0</v>
      </c>
      <c r="AB630" s="73">
        <f>IFERROR(INDEX(Katalog!$F$3:$F$12,MATCH(cadangan[[#This Row],[ItemID C]],Katalog!$C$3:$C$12,0))*cadangan[[#This Row],[Qty C]],0)</f>
        <v>0</v>
      </c>
      <c r="AC630" s="73">
        <f>IFERROR(cadangan[[#This Row],[Harga Diskon C]]-INDEX(Katalog!$E$3:$E$12,MATCH(cadangan[[#This Row],[ItemID C]],Katalog!$C$3:$C$12,0))*cadangan[[#This Row],[Qty C]],0)</f>
        <v>0</v>
      </c>
      <c r="AD630" s="53">
        <f>cadangan[[#This Row],[Qty A]]+cadangan[[#This Row],[Qty B]]+cadangan[[#This Row],[Qty C]]</f>
        <v>5</v>
      </c>
      <c r="AE630" s="73">
        <f>cadangan[[#This Row],[Harga Normal A]]+cadangan[[#This Row],[Harga Normal B]]+cadangan[[#This Row],[Harga Normal C]]</f>
        <v>1450000</v>
      </c>
      <c r="AF630" s="73">
        <f>cadangan[[#This Row],[Harga Diskon A]]+cadangan[[#This Row],[Harga Diskon B]]+cadangan[[#This Row],[Harga Diskon C]]</f>
        <v>1305000</v>
      </c>
      <c r="AG630" s="73">
        <f>(cadangan[[#This Row],[Profit Normal A]]+cadangan[[#This Row],[Profit Normal B]]+cadangan[[#This Row],[Profit Normal C]])</f>
        <v>580000</v>
      </c>
      <c r="AH630" s="73">
        <f>cadangan[[#This Row],[Profit Diskon A]]+cadangan[[#This Row],[Profit Diskon B]]+cadangan[[#This Row],[Profit Diskon C]]</f>
        <v>435000</v>
      </c>
      <c r="AI630" s="23" t="s">
        <v>31</v>
      </c>
      <c r="AJ630" s="37">
        <f>IFERROR(INDEX('Kode Diskon'!$D$3:$D$9,MATCH(cadangan[[#This Row],[Kode diskon]],'Kode Diskon'!$C$3:$C$9,0)),"-")</f>
        <v>0.1</v>
      </c>
      <c r="AK630" s="23" t="s">
        <v>9</v>
      </c>
      <c r="AL630" s="23" t="s">
        <v>10</v>
      </c>
      <c r="AM630" s="23" t="s">
        <v>78</v>
      </c>
      <c r="AN630" s="55">
        <v>45039</v>
      </c>
      <c r="AO630" s="53">
        <f>DAY(cadangan[[#This Row],[Tanggal terjual]])</f>
        <v>23</v>
      </c>
      <c r="AP630" s="21" t="str">
        <f>TEXT(cadangan[[#This Row],[Tanggal terjual]],"dddd")</f>
        <v>Sunday</v>
      </c>
      <c r="AQ630" s="23" t="str" cm="1">
        <f t="array" ref="AQ6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30" s="61">
        <f>AVERAGE(cadangan[[#This Row],[Rating A]],cadangan[[#This Row],[Rating B]],cadangan[[#This Row],[Rating C]])</f>
        <v>4</v>
      </c>
    </row>
    <row r="631" spans="1:44" x14ac:dyDescent="0.2">
      <c r="A631" s="20">
        <v>630</v>
      </c>
      <c r="B631" s="21" t="str">
        <f>_xlfn.CONCAT("ORD-",INDEX(Helper!$B$2:$B$5,MATCH(cadangan[[#This Row],[Marketplace]],Helper!$A$2:$A$5,0)),TEXT(cadangan[[#This Row],[No]],"0000"),"-",TEXT(cadangan[[#This Row],[Tanggal terjual]],"dd/mm/yy"))</f>
        <v>ORD-SP0630-24/04/23</v>
      </c>
      <c r="C631" s="39" t="s">
        <v>66</v>
      </c>
      <c r="D631" s="39" t="str">
        <f>IFERROR(INDEX(Katalog!$A$3:$A$12,MATCH(cadangan[[#This Row],[ItemID A]],Katalog!$C$3:$C$12,0)),"-")</f>
        <v>Sepatu Pria</v>
      </c>
      <c r="E631" s="39" t="str">
        <f>IFERROR(INDEX(Katalog!$B$3:$B$12,MATCH(cadangan[[#This Row],[ItemID A]],Katalog!$C$3:$C$12,0)),"-")</f>
        <v>Sandal Slip On</v>
      </c>
      <c r="F631" s="50">
        <v>3</v>
      </c>
      <c r="G631" s="50">
        <v>2</v>
      </c>
      <c r="H631" s="73">
        <f>IFERROR(INDEX(Katalog!$D$3:$D$12,MATCH(cadangan[[#This Row],[ItemID A]],Katalog!$C$3:$C$12,0))*cadangan[[#This Row],[Qty A]],0)</f>
        <v>450000</v>
      </c>
      <c r="I631" s="73">
        <f>IFERROR(cadangan[[#This Row],[Harga Normal A]]-(cadangan[[#This Row],[Harga Normal A]]*cadangan[[#This Row],[Diskon]]),cadangan[[#This Row],[Harga Normal A]])</f>
        <v>360000</v>
      </c>
      <c r="J631" s="73">
        <f>INDEX(Katalog!$F$3:$F$12,MATCH(cadangan[[#This Row],[ItemID A]],Katalog!$C$3:$C$12,0))*cadangan[[#This Row],[Qty A]]</f>
        <v>180000</v>
      </c>
      <c r="K631" s="73">
        <f>IFERROR(cadangan[[#This Row],[Harga Diskon A]]-INDEX(Katalog!$E$3:$E$12,MATCH(cadangan[[#This Row],[ItemID A]],Katalog!$C$3:$C$12,0))*cadangan[[#This Row],[Qty A]],0)</f>
        <v>90000</v>
      </c>
      <c r="L631" s="39" t="s">
        <v>67</v>
      </c>
      <c r="M631" s="39" t="str">
        <f>IFERROR(INDEX(Katalog!$A$3:$A$12,MATCH(cadangan[[#This Row],[ItemID B]],Katalog!$C$3:$C$12,0)),"-")</f>
        <v>Sepatu Wanita</v>
      </c>
      <c r="N631" s="39" t="str">
        <f>IFERROR(INDEX(Katalog!$B$3:$B$12,MATCH(cadangan[[#This Row],[ItemID B]],Katalog!$C$3:$C$12,0)),"-")</f>
        <v>Flat Shoes</v>
      </c>
      <c r="O631" s="50">
        <v>1</v>
      </c>
      <c r="P631" s="50">
        <v>2</v>
      </c>
      <c r="Q631" s="73">
        <f>IFERROR(INDEX(Katalog!$D$3:$D$12,MATCH(cadangan[[#This Row],[ItemID B]],Katalog!$C$3:$C$12,0))*cadangan[[#This Row],[Qty B]],0)</f>
        <v>250000</v>
      </c>
      <c r="R631" s="73">
        <f>IFERROR(cadangan[[#This Row],[Harga Normal B]]-(cadangan[[#This Row],[Harga Normal B]]*cadangan[[#This Row],[Diskon]]),cadangan[[#This Row],[Harga Normal B]])</f>
        <v>200000</v>
      </c>
      <c r="S631" s="73">
        <f>IFERROR(INDEX(Katalog!$F$3:$F$12,MATCH(cadangan[[#This Row],[ItemID B]],Katalog!$C$3:$C$12,0))*cadangan[[#This Row],[Qty B]],0)</f>
        <v>100000</v>
      </c>
      <c r="T631" s="73">
        <f>IFERROR(cadangan[[#This Row],[Harga Diskon B]]-INDEX(Katalog!$E$3:$E$12,MATCH(cadangan[[#This Row],[ItemID B]],Katalog!$C$3:$C$12,0))*cadangan[[#This Row],[Qty B]],0)</f>
        <v>50000</v>
      </c>
      <c r="U631" s="39" t="s">
        <v>67</v>
      </c>
      <c r="V631" s="39" t="str">
        <f>IFERROR(INDEX(Katalog!$A$3:$A$12,MATCH(cadangan[[#This Row],[ItemID C]],Katalog!$C$3:$C$12,0)),"-")</f>
        <v>Sepatu Wanita</v>
      </c>
      <c r="W631" s="39" t="str">
        <f>IFERROR(INDEX(Katalog!$B$3:$B$12,MATCH(cadangan[[#This Row],[ItemID C]],Katalog!$C$3:$C$12,0)),"-")</f>
        <v>Flat Shoes</v>
      </c>
      <c r="X631" s="50">
        <v>2</v>
      </c>
      <c r="Y631" s="50">
        <v>2</v>
      </c>
      <c r="Z631" s="73">
        <f>IFERROR(INDEX(Katalog!$D$3:$D$12,MATCH(cadangan[[#This Row],[ItemID C]],Katalog!$C$3:$C$12,0))*cadangan[[#This Row],[Qty C]],0)</f>
        <v>500000</v>
      </c>
      <c r="AA631" s="73">
        <f>IFERROR(cadangan[[#This Row],[Harga Normal C]]-(cadangan[[#This Row],[Harga Normal C]]*cadangan[[#This Row],[Diskon]]),cadangan[[#This Row],[Harga Normal C]])</f>
        <v>400000</v>
      </c>
      <c r="AB631" s="73">
        <f>IFERROR(INDEX(Katalog!$F$3:$F$12,MATCH(cadangan[[#This Row],[ItemID C]],Katalog!$C$3:$C$12,0))*cadangan[[#This Row],[Qty C]],0)</f>
        <v>200000</v>
      </c>
      <c r="AC631" s="73">
        <f>IFERROR(cadangan[[#This Row],[Harga Diskon C]]-INDEX(Katalog!$E$3:$E$12,MATCH(cadangan[[#This Row],[ItemID C]],Katalog!$C$3:$C$12,0))*cadangan[[#This Row],[Qty C]],0)</f>
        <v>100000</v>
      </c>
      <c r="AD631" s="53">
        <f>cadangan[[#This Row],[Qty A]]+cadangan[[#This Row],[Qty B]]+cadangan[[#This Row],[Qty C]]</f>
        <v>6</v>
      </c>
      <c r="AE631" s="73">
        <f>cadangan[[#This Row],[Harga Normal A]]+cadangan[[#This Row],[Harga Normal B]]+cadangan[[#This Row],[Harga Normal C]]</f>
        <v>1200000</v>
      </c>
      <c r="AF631" s="73">
        <f>cadangan[[#This Row],[Harga Diskon A]]+cadangan[[#This Row],[Harga Diskon B]]+cadangan[[#This Row],[Harga Diskon C]]</f>
        <v>960000</v>
      </c>
      <c r="AG631" s="73">
        <f>(cadangan[[#This Row],[Profit Normal A]]+cadangan[[#This Row],[Profit Normal B]]+cadangan[[#This Row],[Profit Normal C]])</f>
        <v>480000</v>
      </c>
      <c r="AH631" s="73">
        <f>cadangan[[#This Row],[Profit Diskon A]]+cadangan[[#This Row],[Profit Diskon B]]+cadangan[[#This Row],[Profit Diskon C]]</f>
        <v>240000</v>
      </c>
      <c r="AI631" s="23" t="s">
        <v>8</v>
      </c>
      <c r="AJ631" s="37">
        <f>IFERROR(INDEX('Kode Diskon'!$D$3:$D$9,MATCH(cadangan[[#This Row],[Kode diskon]],'Kode Diskon'!$C$3:$C$9,0)),"-")</f>
        <v>0.2</v>
      </c>
      <c r="AK631" s="23" t="s">
        <v>9</v>
      </c>
      <c r="AL631" s="23" t="s">
        <v>7</v>
      </c>
      <c r="AM631" s="23" t="s">
        <v>80</v>
      </c>
      <c r="AN631" s="55">
        <v>45040</v>
      </c>
      <c r="AO631" s="53">
        <f>DAY(cadangan[[#This Row],[Tanggal terjual]])</f>
        <v>24</v>
      </c>
      <c r="AP631" s="21" t="str">
        <f>TEXT(cadangan[[#This Row],[Tanggal terjual]],"dddd")</f>
        <v>Monday</v>
      </c>
      <c r="AQ631" s="23" t="str" cm="1">
        <f t="array" ref="AQ6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31" s="61">
        <f>AVERAGE(cadangan[[#This Row],[Rating A]],cadangan[[#This Row],[Rating B]],cadangan[[#This Row],[Rating C]])</f>
        <v>2</v>
      </c>
    </row>
    <row r="632" spans="1:44" x14ac:dyDescent="0.2">
      <c r="A632" s="20">
        <v>631</v>
      </c>
      <c r="B632" s="21" t="str">
        <f>_xlfn.CONCAT("ORD-",INDEX(Helper!$B$2:$B$5,MATCH(cadangan[[#This Row],[Marketplace]],Helper!$A$2:$A$5,0)),TEXT(cadangan[[#This Row],[No]],"0000"),"-",TEXT(cadangan[[#This Row],[Tanggal terjual]],"dd/mm/yy"))</f>
        <v>ORD-TK0631-05/04/23</v>
      </c>
      <c r="C632" s="39" t="s">
        <v>67</v>
      </c>
      <c r="D632" s="39" t="str">
        <f>IFERROR(INDEX(Katalog!$A$3:$A$12,MATCH(cadangan[[#This Row],[ItemID A]],Katalog!$C$3:$C$12,0)),"-")</f>
        <v>Sepatu Wanita</v>
      </c>
      <c r="E632" s="39" t="str">
        <f>IFERROR(INDEX(Katalog!$B$3:$B$12,MATCH(cadangan[[#This Row],[ItemID A]],Katalog!$C$3:$C$12,0)),"-")</f>
        <v>Flat Shoes</v>
      </c>
      <c r="F632" s="50">
        <v>1</v>
      </c>
      <c r="G632" s="50">
        <v>4</v>
      </c>
      <c r="H632" s="73">
        <f>IFERROR(INDEX(Katalog!$D$3:$D$12,MATCH(cadangan[[#This Row],[ItemID A]],Katalog!$C$3:$C$12,0))*cadangan[[#This Row],[Qty A]],0)</f>
        <v>250000</v>
      </c>
      <c r="I632" s="73">
        <f>IFERROR(cadangan[[#This Row],[Harga Normal A]]-(cadangan[[#This Row],[Harga Normal A]]*cadangan[[#This Row],[Diskon]]),cadangan[[#This Row],[Harga Normal A]])</f>
        <v>225000</v>
      </c>
      <c r="J632" s="73">
        <f>INDEX(Katalog!$F$3:$F$12,MATCH(cadangan[[#This Row],[ItemID A]],Katalog!$C$3:$C$12,0))*cadangan[[#This Row],[Qty A]]</f>
        <v>100000</v>
      </c>
      <c r="K632" s="73">
        <f>IFERROR(cadangan[[#This Row],[Harga Diskon A]]-INDEX(Katalog!$E$3:$E$12,MATCH(cadangan[[#This Row],[ItemID A]],Katalog!$C$3:$C$12,0))*cadangan[[#This Row],[Qty A]],0)</f>
        <v>75000</v>
      </c>
      <c r="L632" s="39" t="s">
        <v>58</v>
      </c>
      <c r="M632" s="39" t="str">
        <f>IFERROR(INDEX(Katalog!$A$3:$A$12,MATCH(cadangan[[#This Row],[ItemID B]],Katalog!$C$3:$C$12,0)),"-")</f>
        <v>Pakaian Wanita</v>
      </c>
      <c r="N632" s="39" t="str">
        <f>IFERROR(INDEX(Katalog!$B$3:$B$12,MATCH(cadangan[[#This Row],[ItemID B]],Katalog!$C$3:$C$12,0)),"-")</f>
        <v>Dress</v>
      </c>
      <c r="O632" s="50">
        <v>1</v>
      </c>
      <c r="P632" s="50">
        <v>1</v>
      </c>
      <c r="Q632" s="73">
        <f>IFERROR(INDEX(Katalog!$D$3:$D$12,MATCH(cadangan[[#This Row],[ItemID B]],Katalog!$C$3:$C$12,0))*cadangan[[#This Row],[Qty B]],0)</f>
        <v>300000</v>
      </c>
      <c r="R632" s="73">
        <f>IFERROR(cadangan[[#This Row],[Harga Normal B]]-(cadangan[[#This Row],[Harga Normal B]]*cadangan[[#This Row],[Diskon]]),cadangan[[#This Row],[Harga Normal B]])</f>
        <v>270000</v>
      </c>
      <c r="S632" s="73">
        <f>IFERROR(INDEX(Katalog!$F$3:$F$12,MATCH(cadangan[[#This Row],[ItemID B]],Katalog!$C$3:$C$12,0))*cadangan[[#This Row],[Qty B]],0)</f>
        <v>100000</v>
      </c>
      <c r="T632" s="73">
        <f>IFERROR(cadangan[[#This Row],[Harga Diskon B]]-INDEX(Katalog!$E$3:$E$12,MATCH(cadangan[[#This Row],[ItemID B]],Katalog!$C$3:$C$12,0))*cadangan[[#This Row],[Qty B]],0)</f>
        <v>70000</v>
      </c>
      <c r="V632" s="39" t="str">
        <f>IFERROR(INDEX(Katalog!$A$3:$A$12,MATCH(cadangan[[#This Row],[ItemID C]],Katalog!$C$3:$C$12,0)),"-")</f>
        <v>-</v>
      </c>
      <c r="W632" s="39" t="str">
        <f>IFERROR(INDEX(Katalog!$B$3:$B$12,MATCH(cadangan[[#This Row],[ItemID C]],Katalog!$C$3:$C$12,0)),"-")</f>
        <v>-</v>
      </c>
      <c r="Z632" s="73">
        <f>IFERROR(INDEX(Katalog!$D$3:$D$12,MATCH(cadangan[[#This Row],[ItemID C]],Katalog!$C$3:$C$12,0))*cadangan[[#This Row],[Qty C]],0)</f>
        <v>0</v>
      </c>
      <c r="AA632" s="73">
        <f>IFERROR(cadangan[[#This Row],[Harga Normal C]]-(cadangan[[#This Row],[Harga Normal C]]*cadangan[[#This Row],[Diskon]]),cadangan[[#This Row],[Harga Normal C]])</f>
        <v>0</v>
      </c>
      <c r="AB632" s="73">
        <f>IFERROR(INDEX(Katalog!$F$3:$F$12,MATCH(cadangan[[#This Row],[ItemID C]],Katalog!$C$3:$C$12,0))*cadangan[[#This Row],[Qty C]],0)</f>
        <v>0</v>
      </c>
      <c r="AC632" s="73">
        <f>IFERROR(cadangan[[#This Row],[Harga Diskon C]]-INDEX(Katalog!$E$3:$E$12,MATCH(cadangan[[#This Row],[ItemID C]],Katalog!$C$3:$C$12,0))*cadangan[[#This Row],[Qty C]],0)</f>
        <v>0</v>
      </c>
      <c r="AD632" s="53">
        <f>cadangan[[#This Row],[Qty A]]+cadangan[[#This Row],[Qty B]]+cadangan[[#This Row],[Qty C]]</f>
        <v>2</v>
      </c>
      <c r="AE632" s="73">
        <f>cadangan[[#This Row],[Harga Normal A]]+cadangan[[#This Row],[Harga Normal B]]+cadangan[[#This Row],[Harga Normal C]]</f>
        <v>550000</v>
      </c>
      <c r="AF632" s="73">
        <f>cadangan[[#This Row],[Harga Diskon A]]+cadangan[[#This Row],[Harga Diskon B]]+cadangan[[#This Row],[Harga Diskon C]]</f>
        <v>495000</v>
      </c>
      <c r="AG632" s="73">
        <f>(cadangan[[#This Row],[Profit Normal A]]+cadangan[[#This Row],[Profit Normal B]]+cadangan[[#This Row],[Profit Normal C]])</f>
        <v>200000</v>
      </c>
      <c r="AH632" s="73">
        <f>cadangan[[#This Row],[Profit Diskon A]]+cadangan[[#This Row],[Profit Diskon B]]+cadangan[[#This Row],[Profit Diskon C]]</f>
        <v>145000</v>
      </c>
      <c r="AI632" s="23" t="s">
        <v>30</v>
      </c>
      <c r="AJ632" s="37">
        <f>IFERROR(INDEX('Kode Diskon'!$D$3:$D$9,MATCH(cadangan[[#This Row],[Kode diskon]],'Kode Diskon'!$C$3:$C$9,0)),"-")</f>
        <v>0.1</v>
      </c>
      <c r="AK632" s="23" t="s">
        <v>29</v>
      </c>
      <c r="AL632" s="23" t="s">
        <v>10</v>
      </c>
      <c r="AM632" s="23" t="s">
        <v>78</v>
      </c>
      <c r="AN632" s="55">
        <v>45021</v>
      </c>
      <c r="AO632" s="53">
        <f>DAY(cadangan[[#This Row],[Tanggal terjual]])</f>
        <v>5</v>
      </c>
      <c r="AP632" s="21" t="str">
        <f>TEXT(cadangan[[#This Row],[Tanggal terjual]],"dddd")</f>
        <v>Wednesday</v>
      </c>
      <c r="AQ632" s="23" t="str" cm="1">
        <f t="array" ref="AQ6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32" s="61">
        <f>AVERAGE(cadangan[[#This Row],[Rating A]],cadangan[[#This Row],[Rating B]],cadangan[[#This Row],[Rating C]])</f>
        <v>2.5</v>
      </c>
    </row>
    <row r="633" spans="1:44" x14ac:dyDescent="0.2">
      <c r="A633" s="20">
        <v>632</v>
      </c>
      <c r="B633" s="21" t="str">
        <f>_xlfn.CONCAT("ORD-",INDEX(Helper!$B$2:$B$5,MATCH(cadangan[[#This Row],[Marketplace]],Helper!$A$2:$A$5,0)),TEXT(cadangan[[#This Row],[No]],"0000"),"-",TEXT(cadangan[[#This Row],[Tanggal terjual]],"dd/mm/yy"))</f>
        <v>ORD-SP0632-26/04/23</v>
      </c>
      <c r="C633" s="39" t="s">
        <v>60</v>
      </c>
      <c r="D633" s="39" t="str">
        <f>IFERROR(INDEX(Katalog!$A$3:$A$12,MATCH(cadangan[[#This Row],[ItemID A]],Katalog!$C$3:$C$12,0)),"-")</f>
        <v>Pakaian Wanita</v>
      </c>
      <c r="E633" s="39" t="str">
        <f>IFERROR(INDEX(Katalog!$B$3:$B$12,MATCH(cadangan[[#This Row],[ItemID A]],Katalog!$C$3:$C$12,0)),"-")</f>
        <v>Kaftan</v>
      </c>
      <c r="F633" s="50">
        <v>1</v>
      </c>
      <c r="G633" s="50">
        <v>4</v>
      </c>
      <c r="H633" s="73">
        <f>IFERROR(INDEX(Katalog!$D$3:$D$12,MATCH(cadangan[[#This Row],[ItemID A]],Katalog!$C$3:$C$12,0))*cadangan[[#This Row],[Qty A]],0)</f>
        <v>250000</v>
      </c>
      <c r="I633" s="73">
        <f>IFERROR(cadangan[[#This Row],[Harga Normal A]]-(cadangan[[#This Row],[Harga Normal A]]*cadangan[[#This Row],[Diskon]]),cadangan[[#This Row],[Harga Normal A]])</f>
        <v>200000</v>
      </c>
      <c r="J633" s="73">
        <f>INDEX(Katalog!$F$3:$F$12,MATCH(cadangan[[#This Row],[ItemID A]],Katalog!$C$3:$C$12,0))*cadangan[[#This Row],[Qty A]]</f>
        <v>100000</v>
      </c>
      <c r="K633" s="73">
        <f>IFERROR(cadangan[[#This Row],[Harga Diskon A]]-INDEX(Katalog!$E$3:$E$12,MATCH(cadangan[[#This Row],[ItemID A]],Katalog!$C$3:$C$12,0))*cadangan[[#This Row],[Qty A]],0)</f>
        <v>50000</v>
      </c>
      <c r="L633" s="39" t="s">
        <v>58</v>
      </c>
      <c r="M633" s="39" t="str">
        <f>IFERROR(INDEX(Katalog!$A$3:$A$12,MATCH(cadangan[[#This Row],[ItemID B]],Katalog!$C$3:$C$12,0)),"-")</f>
        <v>Pakaian Wanita</v>
      </c>
      <c r="N633" s="39" t="str">
        <f>IFERROR(INDEX(Katalog!$B$3:$B$12,MATCH(cadangan[[#This Row],[ItemID B]],Katalog!$C$3:$C$12,0)),"-")</f>
        <v>Dress</v>
      </c>
      <c r="O633" s="50">
        <v>3</v>
      </c>
      <c r="P633" s="50">
        <v>2</v>
      </c>
      <c r="Q633" s="73">
        <f>IFERROR(INDEX(Katalog!$D$3:$D$12,MATCH(cadangan[[#This Row],[ItemID B]],Katalog!$C$3:$C$12,0))*cadangan[[#This Row],[Qty B]],0)</f>
        <v>900000</v>
      </c>
      <c r="R633" s="73">
        <f>IFERROR(cadangan[[#This Row],[Harga Normal B]]-(cadangan[[#This Row],[Harga Normal B]]*cadangan[[#This Row],[Diskon]]),cadangan[[#This Row],[Harga Normal B]])</f>
        <v>720000</v>
      </c>
      <c r="S633" s="73">
        <f>IFERROR(INDEX(Katalog!$F$3:$F$12,MATCH(cadangan[[#This Row],[ItemID B]],Katalog!$C$3:$C$12,0))*cadangan[[#This Row],[Qty B]],0)</f>
        <v>300000</v>
      </c>
      <c r="T633" s="73">
        <f>IFERROR(cadangan[[#This Row],[Harga Diskon B]]-INDEX(Katalog!$E$3:$E$12,MATCH(cadangan[[#This Row],[ItemID B]],Katalog!$C$3:$C$12,0))*cadangan[[#This Row],[Qty B]],0)</f>
        <v>120000</v>
      </c>
      <c r="V633" s="39" t="str">
        <f>IFERROR(INDEX(Katalog!$A$3:$A$12,MATCH(cadangan[[#This Row],[ItemID C]],Katalog!$C$3:$C$12,0)),"-")</f>
        <v>-</v>
      </c>
      <c r="W633" s="39" t="str">
        <f>IFERROR(INDEX(Katalog!$B$3:$B$12,MATCH(cadangan[[#This Row],[ItemID C]],Katalog!$C$3:$C$12,0)),"-")</f>
        <v>-</v>
      </c>
      <c r="Z633" s="73">
        <f>IFERROR(INDEX(Katalog!$D$3:$D$12,MATCH(cadangan[[#This Row],[ItemID C]],Katalog!$C$3:$C$12,0))*cadangan[[#This Row],[Qty C]],0)</f>
        <v>0</v>
      </c>
      <c r="AA633" s="73">
        <f>IFERROR(cadangan[[#This Row],[Harga Normal C]]-(cadangan[[#This Row],[Harga Normal C]]*cadangan[[#This Row],[Diskon]]),cadangan[[#This Row],[Harga Normal C]])</f>
        <v>0</v>
      </c>
      <c r="AB633" s="73">
        <f>IFERROR(INDEX(Katalog!$F$3:$F$12,MATCH(cadangan[[#This Row],[ItemID C]],Katalog!$C$3:$C$12,0))*cadangan[[#This Row],[Qty C]],0)</f>
        <v>0</v>
      </c>
      <c r="AC633" s="73">
        <f>IFERROR(cadangan[[#This Row],[Harga Diskon C]]-INDEX(Katalog!$E$3:$E$12,MATCH(cadangan[[#This Row],[ItemID C]],Katalog!$C$3:$C$12,0))*cadangan[[#This Row],[Qty C]],0)</f>
        <v>0</v>
      </c>
      <c r="AD633" s="53">
        <f>cadangan[[#This Row],[Qty A]]+cadangan[[#This Row],[Qty B]]+cadangan[[#This Row],[Qty C]]</f>
        <v>4</v>
      </c>
      <c r="AE633" s="73">
        <f>cadangan[[#This Row],[Harga Normal A]]+cadangan[[#This Row],[Harga Normal B]]+cadangan[[#This Row],[Harga Normal C]]</f>
        <v>1150000</v>
      </c>
      <c r="AF633" s="73">
        <f>cadangan[[#This Row],[Harga Diskon A]]+cadangan[[#This Row],[Harga Diskon B]]+cadangan[[#This Row],[Harga Diskon C]]</f>
        <v>920000</v>
      </c>
      <c r="AG633" s="73">
        <f>(cadangan[[#This Row],[Profit Normal A]]+cadangan[[#This Row],[Profit Normal B]]+cadangan[[#This Row],[Profit Normal C]])</f>
        <v>400000</v>
      </c>
      <c r="AH633" s="73">
        <f>cadangan[[#This Row],[Profit Diskon A]]+cadangan[[#This Row],[Profit Diskon B]]+cadangan[[#This Row],[Profit Diskon C]]</f>
        <v>170000</v>
      </c>
      <c r="AI633" s="23" t="s">
        <v>8</v>
      </c>
      <c r="AJ633" s="37">
        <f>IFERROR(INDEX('Kode Diskon'!$D$3:$D$9,MATCH(cadangan[[#This Row],[Kode diskon]],'Kode Diskon'!$C$3:$C$9,0)),"-")</f>
        <v>0.2</v>
      </c>
      <c r="AK633" s="23" t="s">
        <v>9</v>
      </c>
      <c r="AL633" s="23" t="s">
        <v>7</v>
      </c>
      <c r="AM633" s="23" t="s">
        <v>80</v>
      </c>
      <c r="AN633" s="55">
        <v>45042</v>
      </c>
      <c r="AO633" s="53">
        <f>DAY(cadangan[[#This Row],[Tanggal terjual]])</f>
        <v>26</v>
      </c>
      <c r="AP633" s="21" t="str">
        <f>TEXT(cadangan[[#This Row],[Tanggal terjual]],"dddd")</f>
        <v>Wednesday</v>
      </c>
      <c r="AQ633" s="23" t="str" cm="1">
        <f t="array" ref="AQ6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33" s="61">
        <f>AVERAGE(cadangan[[#This Row],[Rating A]],cadangan[[#This Row],[Rating B]],cadangan[[#This Row],[Rating C]])</f>
        <v>3</v>
      </c>
    </row>
    <row r="634" spans="1:44" x14ac:dyDescent="0.2">
      <c r="A634" s="20">
        <v>633</v>
      </c>
      <c r="B634" s="21" t="str">
        <f>_xlfn.CONCAT("ORD-",INDEX(Helper!$B$2:$B$5,MATCH(cadangan[[#This Row],[Marketplace]],Helper!$A$2:$A$5,0)),TEXT(cadangan[[#This Row],[No]],"0000"),"-",TEXT(cadangan[[#This Row],[Tanggal terjual]],"dd/mm/yy"))</f>
        <v>ORD-BL0633-15/04/23</v>
      </c>
      <c r="C634" s="39" t="s">
        <v>59</v>
      </c>
      <c r="D634" s="39" t="str">
        <f>IFERROR(INDEX(Katalog!$A$3:$A$12,MATCH(cadangan[[#This Row],[ItemID A]],Katalog!$C$3:$C$12,0)),"-")</f>
        <v>Pakaian Wanita</v>
      </c>
      <c r="E634" s="39" t="str">
        <f>IFERROR(INDEX(Katalog!$B$3:$B$12,MATCH(cadangan[[#This Row],[ItemID A]],Katalog!$C$3:$C$12,0)),"-")</f>
        <v>Blouse</v>
      </c>
      <c r="F634" s="50">
        <v>1</v>
      </c>
      <c r="G634" s="50">
        <v>5</v>
      </c>
      <c r="H634" s="73">
        <f>IFERROR(INDEX(Katalog!$D$3:$D$12,MATCH(cadangan[[#This Row],[ItemID A]],Katalog!$C$3:$C$12,0))*cadangan[[#This Row],[Qty A]],0)</f>
        <v>150000</v>
      </c>
      <c r="I634" s="73">
        <f>IFERROR(cadangan[[#This Row],[Harga Normal A]]-(cadangan[[#This Row],[Harga Normal A]]*cadangan[[#This Row],[Diskon]]),cadangan[[#This Row],[Harga Normal A]])</f>
        <v>150000</v>
      </c>
      <c r="J634" s="73">
        <f>INDEX(Katalog!$F$3:$F$12,MATCH(cadangan[[#This Row],[ItemID A]],Katalog!$C$3:$C$12,0))*cadangan[[#This Row],[Qty A]]</f>
        <v>50000</v>
      </c>
      <c r="K634" s="73">
        <f>IFERROR(cadangan[[#This Row],[Harga Diskon A]]-INDEX(Katalog!$E$3:$E$12,MATCH(cadangan[[#This Row],[ItemID A]],Katalog!$C$3:$C$12,0))*cadangan[[#This Row],[Qty A]],0)</f>
        <v>50000</v>
      </c>
      <c r="L634" s="39" t="s">
        <v>63</v>
      </c>
      <c r="M634" s="39" t="str">
        <f>IFERROR(INDEX(Katalog!$A$3:$A$12,MATCH(cadangan[[#This Row],[ItemID B]],Katalog!$C$3:$C$12,0)),"-")</f>
        <v>Pakaian Pria</v>
      </c>
      <c r="N634" s="39" t="str">
        <f>IFERROR(INDEX(Katalog!$B$3:$B$12,MATCH(cadangan[[#This Row],[ItemID B]],Katalog!$C$3:$C$12,0)),"-")</f>
        <v>Jaket Jeans</v>
      </c>
      <c r="O634" s="50">
        <v>1</v>
      </c>
      <c r="P634" s="50">
        <v>5</v>
      </c>
      <c r="Q634" s="73">
        <f>IFERROR(INDEX(Katalog!$D$3:$D$12,MATCH(cadangan[[#This Row],[ItemID B]],Katalog!$C$3:$C$12,0))*cadangan[[#This Row],[Qty B]],0)</f>
        <v>400000</v>
      </c>
      <c r="R634" s="73">
        <f>IFERROR(cadangan[[#This Row],[Harga Normal B]]-(cadangan[[#This Row],[Harga Normal B]]*cadangan[[#This Row],[Diskon]]),cadangan[[#This Row],[Harga Normal B]])</f>
        <v>400000</v>
      </c>
      <c r="S634" s="73">
        <f>IFERROR(INDEX(Katalog!$F$3:$F$12,MATCH(cadangan[[#This Row],[ItemID B]],Katalog!$C$3:$C$12,0))*cadangan[[#This Row],[Qty B]],0)</f>
        <v>150000</v>
      </c>
      <c r="T634" s="73">
        <f>IFERROR(cadangan[[#This Row],[Harga Diskon B]]-INDEX(Katalog!$E$3:$E$12,MATCH(cadangan[[#This Row],[ItemID B]],Katalog!$C$3:$C$12,0))*cadangan[[#This Row],[Qty B]],0)</f>
        <v>150000</v>
      </c>
      <c r="V634" s="39" t="str">
        <f>IFERROR(INDEX(Katalog!$A$3:$A$12,MATCH(cadangan[[#This Row],[ItemID C]],Katalog!$C$3:$C$12,0)),"-")</f>
        <v>-</v>
      </c>
      <c r="W634" s="39" t="str">
        <f>IFERROR(INDEX(Katalog!$B$3:$B$12,MATCH(cadangan[[#This Row],[ItemID C]],Katalog!$C$3:$C$12,0)),"-")</f>
        <v>-</v>
      </c>
      <c r="Z634" s="73">
        <f>IFERROR(INDEX(Katalog!$D$3:$D$12,MATCH(cadangan[[#This Row],[ItemID C]],Katalog!$C$3:$C$12,0))*cadangan[[#This Row],[Qty C]],0)</f>
        <v>0</v>
      </c>
      <c r="AA634" s="73">
        <f>IFERROR(cadangan[[#This Row],[Harga Normal C]]-(cadangan[[#This Row],[Harga Normal C]]*cadangan[[#This Row],[Diskon]]),cadangan[[#This Row],[Harga Normal C]])</f>
        <v>0</v>
      </c>
      <c r="AB634" s="73">
        <f>IFERROR(INDEX(Katalog!$F$3:$F$12,MATCH(cadangan[[#This Row],[ItemID C]],Katalog!$C$3:$C$12,0))*cadangan[[#This Row],[Qty C]],0)</f>
        <v>0</v>
      </c>
      <c r="AC634" s="73">
        <f>IFERROR(cadangan[[#This Row],[Harga Diskon C]]-INDEX(Katalog!$E$3:$E$12,MATCH(cadangan[[#This Row],[ItemID C]],Katalog!$C$3:$C$12,0))*cadangan[[#This Row],[Qty C]],0)</f>
        <v>0</v>
      </c>
      <c r="AD634" s="53">
        <f>cadangan[[#This Row],[Qty A]]+cadangan[[#This Row],[Qty B]]+cadangan[[#This Row],[Qty C]]</f>
        <v>2</v>
      </c>
      <c r="AE634" s="73">
        <f>cadangan[[#This Row],[Harga Normal A]]+cadangan[[#This Row],[Harga Normal B]]+cadangan[[#This Row],[Harga Normal C]]</f>
        <v>550000</v>
      </c>
      <c r="AF634" s="73">
        <f>cadangan[[#This Row],[Harga Diskon A]]+cadangan[[#This Row],[Harga Diskon B]]+cadangan[[#This Row],[Harga Diskon C]]</f>
        <v>550000</v>
      </c>
      <c r="AG634" s="73">
        <f>(cadangan[[#This Row],[Profit Normal A]]+cadangan[[#This Row],[Profit Normal B]]+cadangan[[#This Row],[Profit Normal C]])</f>
        <v>200000</v>
      </c>
      <c r="AH634" s="73">
        <f>cadangan[[#This Row],[Profit Diskon A]]+cadangan[[#This Row],[Profit Diskon B]]+cadangan[[#This Row],[Profit Diskon C]]</f>
        <v>200000</v>
      </c>
      <c r="AI634" s="23" t="s">
        <v>290</v>
      </c>
      <c r="AJ634" s="37" t="str">
        <f>IFERROR(INDEX('Kode Diskon'!$D$3:$D$9,MATCH(cadangan[[#This Row],[Kode diskon]],'Kode Diskon'!$C$3:$C$9,0)),"-")</f>
        <v>-</v>
      </c>
      <c r="AK634" s="23" t="s">
        <v>290</v>
      </c>
      <c r="AL634" s="23" t="s">
        <v>12</v>
      </c>
      <c r="AM634" s="23" t="s">
        <v>79</v>
      </c>
      <c r="AN634" s="55">
        <v>45031</v>
      </c>
      <c r="AO634" s="53">
        <f>DAY(cadangan[[#This Row],[Tanggal terjual]])</f>
        <v>15</v>
      </c>
      <c r="AP634" s="21" t="str">
        <f>TEXT(cadangan[[#This Row],[Tanggal terjual]],"dddd")</f>
        <v>Saturday</v>
      </c>
      <c r="AQ634" s="23" t="str" cm="1">
        <f t="array" ref="AQ6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34" s="61">
        <f>AVERAGE(cadangan[[#This Row],[Rating A]],cadangan[[#This Row],[Rating B]],cadangan[[#This Row],[Rating C]])</f>
        <v>5</v>
      </c>
    </row>
    <row r="635" spans="1:44" x14ac:dyDescent="0.2">
      <c r="A635" s="20">
        <v>634</v>
      </c>
      <c r="B635" s="21" t="str">
        <f>_xlfn.CONCAT("ORD-",INDEX(Helper!$B$2:$B$5,MATCH(cadangan[[#This Row],[Marketplace]],Helper!$A$2:$A$5,0)),TEXT(cadangan[[#This Row],[No]],"0000"),"-",TEXT(cadangan[[#This Row],[Tanggal terjual]],"dd/mm/yy"))</f>
        <v>ORD-TK0634-01/04/23</v>
      </c>
      <c r="C635" s="39" t="s">
        <v>66</v>
      </c>
      <c r="D635" s="39" t="str">
        <f>IFERROR(INDEX(Katalog!$A$3:$A$12,MATCH(cadangan[[#This Row],[ItemID A]],Katalog!$C$3:$C$12,0)),"-")</f>
        <v>Sepatu Pria</v>
      </c>
      <c r="E635" s="39" t="str">
        <f>IFERROR(INDEX(Katalog!$B$3:$B$12,MATCH(cadangan[[#This Row],[ItemID A]],Katalog!$C$3:$C$12,0)),"-")</f>
        <v>Sandal Slip On</v>
      </c>
      <c r="F635" s="50">
        <v>1</v>
      </c>
      <c r="G635" s="50">
        <v>5</v>
      </c>
      <c r="H635" s="73">
        <f>IFERROR(INDEX(Katalog!$D$3:$D$12,MATCH(cadangan[[#This Row],[ItemID A]],Katalog!$C$3:$C$12,0))*cadangan[[#This Row],[Qty A]],0)</f>
        <v>150000</v>
      </c>
      <c r="I635" s="73">
        <f>IFERROR(cadangan[[#This Row],[Harga Normal A]]-(cadangan[[#This Row],[Harga Normal A]]*cadangan[[#This Row],[Diskon]]),cadangan[[#This Row],[Harga Normal A]])</f>
        <v>135000</v>
      </c>
      <c r="J635" s="73">
        <f>INDEX(Katalog!$F$3:$F$12,MATCH(cadangan[[#This Row],[ItemID A]],Katalog!$C$3:$C$12,0))*cadangan[[#This Row],[Qty A]]</f>
        <v>60000</v>
      </c>
      <c r="K635" s="73">
        <f>IFERROR(cadangan[[#This Row],[Harga Diskon A]]-INDEX(Katalog!$E$3:$E$12,MATCH(cadangan[[#This Row],[ItemID A]],Katalog!$C$3:$C$12,0))*cadangan[[#This Row],[Qty A]],0)</f>
        <v>45000</v>
      </c>
      <c r="M635" s="39" t="str">
        <f>IFERROR(INDEX(Katalog!$A$3:$A$12,MATCH(cadangan[[#This Row],[ItemID B]],Katalog!$C$3:$C$12,0)),"-")</f>
        <v>-</v>
      </c>
      <c r="N635" s="39" t="str">
        <f>IFERROR(INDEX(Katalog!$B$3:$B$12,MATCH(cadangan[[#This Row],[ItemID B]],Katalog!$C$3:$C$12,0)),"-")</f>
        <v>-</v>
      </c>
      <c r="Q635" s="73">
        <f>IFERROR(INDEX(Katalog!$D$3:$D$12,MATCH(cadangan[[#This Row],[ItemID B]],Katalog!$C$3:$C$12,0))*cadangan[[#This Row],[Qty B]],0)</f>
        <v>0</v>
      </c>
      <c r="R635" s="73">
        <f>IFERROR(cadangan[[#This Row],[Harga Normal B]]-(cadangan[[#This Row],[Harga Normal B]]*cadangan[[#This Row],[Diskon]]),cadangan[[#This Row],[Harga Normal B]])</f>
        <v>0</v>
      </c>
      <c r="S635" s="73">
        <f>IFERROR(INDEX(Katalog!$F$3:$F$12,MATCH(cadangan[[#This Row],[ItemID B]],Katalog!$C$3:$C$12,0))*cadangan[[#This Row],[Qty B]],0)</f>
        <v>0</v>
      </c>
      <c r="T635" s="73">
        <f>IFERROR(cadangan[[#This Row],[Harga Diskon B]]-INDEX(Katalog!$E$3:$E$12,MATCH(cadangan[[#This Row],[ItemID B]],Katalog!$C$3:$C$12,0))*cadangan[[#This Row],[Qty B]],0)</f>
        <v>0</v>
      </c>
      <c r="V635" s="39" t="str">
        <f>IFERROR(INDEX(Katalog!$A$3:$A$12,MATCH(cadangan[[#This Row],[ItemID C]],Katalog!$C$3:$C$12,0)),"-")</f>
        <v>-</v>
      </c>
      <c r="W635" s="39" t="str">
        <f>IFERROR(INDEX(Katalog!$B$3:$B$12,MATCH(cadangan[[#This Row],[ItemID C]],Katalog!$C$3:$C$12,0)),"-")</f>
        <v>-</v>
      </c>
      <c r="Z635" s="73">
        <f>IFERROR(INDEX(Katalog!$D$3:$D$12,MATCH(cadangan[[#This Row],[ItemID C]],Katalog!$C$3:$C$12,0))*cadangan[[#This Row],[Qty C]],0)</f>
        <v>0</v>
      </c>
      <c r="AA635" s="73">
        <f>IFERROR(cadangan[[#This Row],[Harga Normal C]]-(cadangan[[#This Row],[Harga Normal C]]*cadangan[[#This Row],[Diskon]]),cadangan[[#This Row],[Harga Normal C]])</f>
        <v>0</v>
      </c>
      <c r="AB635" s="73">
        <f>IFERROR(INDEX(Katalog!$F$3:$F$12,MATCH(cadangan[[#This Row],[ItemID C]],Katalog!$C$3:$C$12,0))*cadangan[[#This Row],[Qty C]],0)</f>
        <v>0</v>
      </c>
      <c r="AC635" s="73">
        <f>IFERROR(cadangan[[#This Row],[Harga Diskon C]]-INDEX(Katalog!$E$3:$E$12,MATCH(cadangan[[#This Row],[ItemID C]],Katalog!$C$3:$C$12,0))*cadangan[[#This Row],[Qty C]],0)</f>
        <v>0</v>
      </c>
      <c r="AD635" s="53">
        <f>cadangan[[#This Row],[Qty A]]+cadangan[[#This Row],[Qty B]]+cadangan[[#This Row],[Qty C]]</f>
        <v>1</v>
      </c>
      <c r="AE635" s="73">
        <f>cadangan[[#This Row],[Harga Normal A]]+cadangan[[#This Row],[Harga Normal B]]+cadangan[[#This Row],[Harga Normal C]]</f>
        <v>150000</v>
      </c>
      <c r="AF635" s="73">
        <f>cadangan[[#This Row],[Harga Diskon A]]+cadangan[[#This Row],[Harga Diskon B]]+cadangan[[#This Row],[Harga Diskon C]]</f>
        <v>135000</v>
      </c>
      <c r="AG635" s="73">
        <f>(cadangan[[#This Row],[Profit Normal A]]+cadangan[[#This Row],[Profit Normal B]]+cadangan[[#This Row],[Profit Normal C]])</f>
        <v>60000</v>
      </c>
      <c r="AH635" s="73">
        <f>cadangan[[#This Row],[Profit Diskon A]]+cadangan[[#This Row],[Profit Diskon B]]+cadangan[[#This Row],[Profit Diskon C]]</f>
        <v>45000</v>
      </c>
      <c r="AI635" s="23" t="s">
        <v>30</v>
      </c>
      <c r="AJ635" s="37">
        <f>IFERROR(INDEX('Kode Diskon'!$D$3:$D$9,MATCH(cadangan[[#This Row],[Kode diskon]],'Kode Diskon'!$C$3:$C$9,0)),"-")</f>
        <v>0.1</v>
      </c>
      <c r="AK635" s="23" t="s">
        <v>29</v>
      </c>
      <c r="AL635" s="23" t="s">
        <v>10</v>
      </c>
      <c r="AM635" s="23" t="s">
        <v>75</v>
      </c>
      <c r="AN635" s="55">
        <v>45017</v>
      </c>
      <c r="AO635" s="53">
        <f>DAY(cadangan[[#This Row],[Tanggal terjual]])</f>
        <v>1</v>
      </c>
      <c r="AP635" s="21" t="str">
        <f>TEXT(cadangan[[#This Row],[Tanggal terjual]],"dddd")</f>
        <v>Saturday</v>
      </c>
      <c r="AQ635" s="23" t="str" cm="1">
        <f t="array" ref="AQ6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35" s="61">
        <f>AVERAGE(cadangan[[#This Row],[Rating A]],cadangan[[#This Row],[Rating B]],cadangan[[#This Row],[Rating C]])</f>
        <v>5</v>
      </c>
    </row>
    <row r="636" spans="1:44" x14ac:dyDescent="0.2">
      <c r="A636" s="20">
        <v>635</v>
      </c>
      <c r="B636" s="21" t="str">
        <f>_xlfn.CONCAT("ORD-",INDEX(Helper!$B$2:$B$5,MATCH(cadangan[[#This Row],[Marketplace]],Helper!$A$2:$A$5,0)),TEXT(cadangan[[#This Row],[No]],"0000"),"-",TEXT(cadangan[[#This Row],[Tanggal terjual]],"dd/mm/yy"))</f>
        <v>ORD-TK0635-06/04/23</v>
      </c>
      <c r="C636" s="39" t="s">
        <v>62</v>
      </c>
      <c r="D636" s="39" t="str">
        <f>IFERROR(INDEX(Katalog!$A$3:$A$12,MATCH(cadangan[[#This Row],[ItemID A]],Katalog!$C$3:$C$12,0)),"-")</f>
        <v>Pakaian Pria</v>
      </c>
      <c r="E636" s="39" t="str">
        <f>IFERROR(INDEX(Katalog!$B$3:$B$12,MATCH(cadangan[[#This Row],[ItemID A]],Katalog!$C$3:$C$12,0)),"-")</f>
        <v>Celana Pendek</v>
      </c>
      <c r="F636" s="50">
        <v>3</v>
      </c>
      <c r="G636" s="50">
        <v>2</v>
      </c>
      <c r="H636" s="73">
        <f>IFERROR(INDEX(Katalog!$D$3:$D$12,MATCH(cadangan[[#This Row],[ItemID A]],Katalog!$C$3:$C$12,0))*cadangan[[#This Row],[Qty A]],0)</f>
        <v>540000</v>
      </c>
      <c r="I636" s="73">
        <f>IFERROR(cadangan[[#This Row],[Harga Normal A]]-(cadangan[[#This Row],[Harga Normal A]]*cadangan[[#This Row],[Diskon]]),cadangan[[#This Row],[Harga Normal A]])</f>
        <v>486000</v>
      </c>
      <c r="J636" s="73">
        <f>INDEX(Katalog!$F$3:$F$12,MATCH(cadangan[[#This Row],[ItemID A]],Katalog!$C$3:$C$12,0))*cadangan[[#This Row],[Qty A]]</f>
        <v>210000</v>
      </c>
      <c r="K636" s="73">
        <f>IFERROR(cadangan[[#This Row],[Harga Diskon A]]-INDEX(Katalog!$E$3:$E$12,MATCH(cadangan[[#This Row],[ItemID A]],Katalog!$C$3:$C$12,0))*cadangan[[#This Row],[Qty A]],0)</f>
        <v>156000</v>
      </c>
      <c r="L636" s="39" t="s">
        <v>65</v>
      </c>
      <c r="M636" s="39" t="str">
        <f>IFERROR(INDEX(Katalog!$A$3:$A$12,MATCH(cadangan[[#This Row],[ItemID B]],Katalog!$C$3:$C$12,0)),"-")</f>
        <v>Sepatu Pria</v>
      </c>
      <c r="N636" s="39" t="str">
        <f>IFERROR(INDEX(Katalog!$B$3:$B$12,MATCH(cadangan[[#This Row],[ItemID B]],Katalog!$C$3:$C$12,0)),"-")</f>
        <v>Sneakers</v>
      </c>
      <c r="O636" s="50">
        <v>1</v>
      </c>
      <c r="P636" s="50">
        <v>3</v>
      </c>
      <c r="Q636" s="73">
        <f>IFERROR(INDEX(Katalog!$D$3:$D$12,MATCH(cadangan[[#This Row],[ItemID B]],Katalog!$C$3:$C$12,0))*cadangan[[#This Row],[Qty B]],0)</f>
        <v>500000</v>
      </c>
      <c r="R636" s="73">
        <f>IFERROR(cadangan[[#This Row],[Harga Normal B]]-(cadangan[[#This Row],[Harga Normal B]]*cadangan[[#This Row],[Diskon]]),cadangan[[#This Row],[Harga Normal B]])</f>
        <v>450000</v>
      </c>
      <c r="S636" s="73">
        <f>IFERROR(INDEX(Katalog!$F$3:$F$12,MATCH(cadangan[[#This Row],[ItemID B]],Katalog!$C$3:$C$12,0))*cadangan[[#This Row],[Qty B]],0)</f>
        <v>200000</v>
      </c>
      <c r="T636" s="73">
        <f>IFERROR(cadangan[[#This Row],[Harga Diskon B]]-INDEX(Katalog!$E$3:$E$12,MATCH(cadangan[[#This Row],[ItemID B]],Katalog!$C$3:$C$12,0))*cadangan[[#This Row],[Qty B]],0)</f>
        <v>150000</v>
      </c>
      <c r="V636" s="39" t="str">
        <f>IFERROR(INDEX(Katalog!$A$3:$A$12,MATCH(cadangan[[#This Row],[ItemID C]],Katalog!$C$3:$C$12,0)),"-")</f>
        <v>-</v>
      </c>
      <c r="W636" s="39" t="str">
        <f>IFERROR(INDEX(Katalog!$B$3:$B$12,MATCH(cadangan[[#This Row],[ItemID C]],Katalog!$C$3:$C$12,0)),"-")</f>
        <v>-</v>
      </c>
      <c r="Z636" s="73">
        <f>IFERROR(INDEX(Katalog!$D$3:$D$12,MATCH(cadangan[[#This Row],[ItemID C]],Katalog!$C$3:$C$12,0))*cadangan[[#This Row],[Qty C]],0)</f>
        <v>0</v>
      </c>
      <c r="AA636" s="73">
        <f>IFERROR(cadangan[[#This Row],[Harga Normal C]]-(cadangan[[#This Row],[Harga Normal C]]*cadangan[[#This Row],[Diskon]]),cadangan[[#This Row],[Harga Normal C]])</f>
        <v>0</v>
      </c>
      <c r="AB636" s="73">
        <f>IFERROR(INDEX(Katalog!$F$3:$F$12,MATCH(cadangan[[#This Row],[ItemID C]],Katalog!$C$3:$C$12,0))*cadangan[[#This Row],[Qty C]],0)</f>
        <v>0</v>
      </c>
      <c r="AC636" s="73">
        <f>IFERROR(cadangan[[#This Row],[Harga Diskon C]]-INDEX(Katalog!$E$3:$E$12,MATCH(cadangan[[#This Row],[ItemID C]],Katalog!$C$3:$C$12,0))*cadangan[[#This Row],[Qty C]],0)</f>
        <v>0</v>
      </c>
      <c r="AD636" s="53">
        <f>cadangan[[#This Row],[Qty A]]+cadangan[[#This Row],[Qty B]]+cadangan[[#This Row],[Qty C]]</f>
        <v>4</v>
      </c>
      <c r="AE636" s="73">
        <f>cadangan[[#This Row],[Harga Normal A]]+cadangan[[#This Row],[Harga Normal B]]+cadangan[[#This Row],[Harga Normal C]]</f>
        <v>1040000</v>
      </c>
      <c r="AF636" s="73">
        <f>cadangan[[#This Row],[Harga Diskon A]]+cadangan[[#This Row],[Harga Diskon B]]+cadangan[[#This Row],[Harga Diskon C]]</f>
        <v>936000</v>
      </c>
      <c r="AG636" s="73">
        <f>(cadangan[[#This Row],[Profit Normal A]]+cadangan[[#This Row],[Profit Normal B]]+cadangan[[#This Row],[Profit Normal C]])</f>
        <v>410000</v>
      </c>
      <c r="AH636" s="73">
        <f>cadangan[[#This Row],[Profit Diskon A]]+cadangan[[#This Row],[Profit Diskon B]]+cadangan[[#This Row],[Profit Diskon C]]</f>
        <v>306000</v>
      </c>
      <c r="AI636" s="23" t="s">
        <v>30</v>
      </c>
      <c r="AJ636" s="37">
        <f>IFERROR(INDEX('Kode Diskon'!$D$3:$D$9,MATCH(cadangan[[#This Row],[Kode diskon]],'Kode Diskon'!$C$3:$C$9,0)),"-")</f>
        <v>0.1</v>
      </c>
      <c r="AK636" s="23" t="s">
        <v>29</v>
      </c>
      <c r="AL636" s="23" t="s">
        <v>10</v>
      </c>
      <c r="AM636" s="23" t="s">
        <v>80</v>
      </c>
      <c r="AN636" s="55">
        <v>45022</v>
      </c>
      <c r="AO636" s="53">
        <f>DAY(cadangan[[#This Row],[Tanggal terjual]])</f>
        <v>6</v>
      </c>
      <c r="AP636" s="21" t="str">
        <f>TEXT(cadangan[[#This Row],[Tanggal terjual]],"dddd")</f>
        <v>Thursday</v>
      </c>
      <c r="AQ636" s="23" t="str" cm="1">
        <f t="array" ref="AQ6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36" s="61">
        <f>AVERAGE(cadangan[[#This Row],[Rating A]],cadangan[[#This Row],[Rating B]],cadangan[[#This Row],[Rating C]])</f>
        <v>2.5</v>
      </c>
    </row>
    <row r="637" spans="1:44" x14ac:dyDescent="0.2">
      <c r="A637" s="20">
        <v>636</v>
      </c>
      <c r="B637" s="21" t="str">
        <f>_xlfn.CONCAT("ORD-",INDEX(Helper!$B$2:$B$5,MATCH(cadangan[[#This Row],[Marketplace]],Helper!$A$2:$A$5,0)),TEXT(cadangan[[#This Row],[No]],"0000"),"-",TEXT(cadangan[[#This Row],[Tanggal terjual]],"dd/mm/yy"))</f>
        <v>ORD-TK0636-08/04/23</v>
      </c>
      <c r="C637" s="39" t="s">
        <v>58</v>
      </c>
      <c r="D637" s="39" t="str">
        <f>IFERROR(INDEX(Katalog!$A$3:$A$12,MATCH(cadangan[[#This Row],[ItemID A]],Katalog!$C$3:$C$12,0)),"-")</f>
        <v>Pakaian Wanita</v>
      </c>
      <c r="E637" s="39" t="str">
        <f>IFERROR(INDEX(Katalog!$B$3:$B$12,MATCH(cadangan[[#This Row],[ItemID A]],Katalog!$C$3:$C$12,0)),"-")</f>
        <v>Dress</v>
      </c>
      <c r="F637" s="50">
        <v>1</v>
      </c>
      <c r="G637" s="50">
        <v>5</v>
      </c>
      <c r="H637" s="73">
        <f>IFERROR(INDEX(Katalog!$D$3:$D$12,MATCH(cadangan[[#This Row],[ItemID A]],Katalog!$C$3:$C$12,0))*cadangan[[#This Row],[Qty A]],0)</f>
        <v>300000</v>
      </c>
      <c r="I637" s="73">
        <f>IFERROR(cadangan[[#This Row],[Harga Normal A]]-(cadangan[[#This Row],[Harga Normal A]]*cadangan[[#This Row],[Diskon]]),cadangan[[#This Row],[Harga Normal A]])</f>
        <v>300000</v>
      </c>
      <c r="J637" s="73">
        <f>INDEX(Katalog!$F$3:$F$12,MATCH(cadangan[[#This Row],[ItemID A]],Katalog!$C$3:$C$12,0))*cadangan[[#This Row],[Qty A]]</f>
        <v>100000</v>
      </c>
      <c r="K637" s="73">
        <f>IFERROR(cadangan[[#This Row],[Harga Diskon A]]-INDEX(Katalog!$E$3:$E$12,MATCH(cadangan[[#This Row],[ItemID A]],Katalog!$C$3:$C$12,0))*cadangan[[#This Row],[Qty A]],0)</f>
        <v>100000</v>
      </c>
      <c r="M637" s="39" t="str">
        <f>IFERROR(INDEX(Katalog!$A$3:$A$12,MATCH(cadangan[[#This Row],[ItemID B]],Katalog!$C$3:$C$12,0)),"-")</f>
        <v>-</v>
      </c>
      <c r="N637" s="39" t="str">
        <f>IFERROR(INDEX(Katalog!$B$3:$B$12,MATCH(cadangan[[#This Row],[ItemID B]],Katalog!$C$3:$C$12,0)),"-")</f>
        <v>-</v>
      </c>
      <c r="Q637" s="73">
        <f>IFERROR(INDEX(Katalog!$D$3:$D$12,MATCH(cadangan[[#This Row],[ItemID B]],Katalog!$C$3:$C$12,0))*cadangan[[#This Row],[Qty B]],0)</f>
        <v>0</v>
      </c>
      <c r="R637" s="73">
        <f>IFERROR(cadangan[[#This Row],[Harga Normal B]]-(cadangan[[#This Row],[Harga Normal B]]*cadangan[[#This Row],[Diskon]]),cadangan[[#This Row],[Harga Normal B]])</f>
        <v>0</v>
      </c>
      <c r="S637" s="73">
        <f>IFERROR(INDEX(Katalog!$F$3:$F$12,MATCH(cadangan[[#This Row],[ItemID B]],Katalog!$C$3:$C$12,0))*cadangan[[#This Row],[Qty B]],0)</f>
        <v>0</v>
      </c>
      <c r="T637" s="73">
        <f>IFERROR(cadangan[[#This Row],[Harga Diskon B]]-INDEX(Katalog!$E$3:$E$12,MATCH(cadangan[[#This Row],[ItemID B]],Katalog!$C$3:$C$12,0))*cadangan[[#This Row],[Qty B]],0)</f>
        <v>0</v>
      </c>
      <c r="V637" s="39" t="str">
        <f>IFERROR(INDEX(Katalog!$A$3:$A$12,MATCH(cadangan[[#This Row],[ItemID C]],Katalog!$C$3:$C$12,0)),"-")</f>
        <v>-</v>
      </c>
      <c r="W637" s="39" t="str">
        <f>IFERROR(INDEX(Katalog!$B$3:$B$12,MATCH(cadangan[[#This Row],[ItemID C]],Katalog!$C$3:$C$12,0)),"-")</f>
        <v>-</v>
      </c>
      <c r="Z637" s="73">
        <f>IFERROR(INDEX(Katalog!$D$3:$D$12,MATCH(cadangan[[#This Row],[ItemID C]],Katalog!$C$3:$C$12,0))*cadangan[[#This Row],[Qty C]],0)</f>
        <v>0</v>
      </c>
      <c r="AA637" s="73">
        <f>IFERROR(cadangan[[#This Row],[Harga Normal C]]-(cadangan[[#This Row],[Harga Normal C]]*cadangan[[#This Row],[Diskon]]),cadangan[[#This Row],[Harga Normal C]])</f>
        <v>0</v>
      </c>
      <c r="AB637" s="73">
        <f>IFERROR(INDEX(Katalog!$F$3:$F$12,MATCH(cadangan[[#This Row],[ItemID C]],Katalog!$C$3:$C$12,0))*cadangan[[#This Row],[Qty C]],0)</f>
        <v>0</v>
      </c>
      <c r="AC637" s="73">
        <f>IFERROR(cadangan[[#This Row],[Harga Diskon C]]-INDEX(Katalog!$E$3:$E$12,MATCH(cadangan[[#This Row],[ItemID C]],Katalog!$C$3:$C$12,0))*cadangan[[#This Row],[Qty C]],0)</f>
        <v>0</v>
      </c>
      <c r="AD637" s="53">
        <f>cadangan[[#This Row],[Qty A]]+cadangan[[#This Row],[Qty B]]+cadangan[[#This Row],[Qty C]]</f>
        <v>1</v>
      </c>
      <c r="AE637" s="73">
        <f>cadangan[[#This Row],[Harga Normal A]]+cadangan[[#This Row],[Harga Normal B]]+cadangan[[#This Row],[Harga Normal C]]</f>
        <v>300000</v>
      </c>
      <c r="AF637" s="73">
        <f>cadangan[[#This Row],[Harga Diskon A]]+cadangan[[#This Row],[Harga Diskon B]]+cadangan[[#This Row],[Harga Diskon C]]</f>
        <v>300000</v>
      </c>
      <c r="AG637" s="73">
        <f>(cadangan[[#This Row],[Profit Normal A]]+cadangan[[#This Row],[Profit Normal B]]+cadangan[[#This Row],[Profit Normal C]])</f>
        <v>100000</v>
      </c>
      <c r="AH637" s="73">
        <f>cadangan[[#This Row],[Profit Diskon A]]+cadangan[[#This Row],[Profit Diskon B]]+cadangan[[#This Row],[Profit Diskon C]]</f>
        <v>100000</v>
      </c>
      <c r="AI637" s="23" t="s">
        <v>290</v>
      </c>
      <c r="AJ637" s="37" t="str">
        <f>IFERROR(INDEX('Kode Diskon'!$D$3:$D$9,MATCH(cadangan[[#This Row],[Kode diskon]],'Kode Diskon'!$C$3:$C$9,0)),"-")</f>
        <v>-</v>
      </c>
      <c r="AK637" s="23" t="s">
        <v>290</v>
      </c>
      <c r="AL637" s="23" t="s">
        <v>10</v>
      </c>
      <c r="AM637" s="23" t="s">
        <v>77</v>
      </c>
      <c r="AN637" s="55">
        <v>45024</v>
      </c>
      <c r="AO637" s="53">
        <f>DAY(cadangan[[#This Row],[Tanggal terjual]])</f>
        <v>8</v>
      </c>
      <c r="AP637" s="21" t="str">
        <f>TEXT(cadangan[[#This Row],[Tanggal terjual]],"dddd")</f>
        <v>Saturday</v>
      </c>
      <c r="AQ637" s="23" t="str" cm="1">
        <f t="array" ref="AQ6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37" s="61">
        <f>AVERAGE(cadangan[[#This Row],[Rating A]],cadangan[[#This Row],[Rating B]],cadangan[[#This Row],[Rating C]])</f>
        <v>5</v>
      </c>
    </row>
    <row r="638" spans="1:44" x14ac:dyDescent="0.2">
      <c r="A638" s="20">
        <v>637</v>
      </c>
      <c r="B638" s="21" t="str">
        <f>_xlfn.CONCAT("ORD-",INDEX(Helper!$B$2:$B$5,MATCH(cadangan[[#This Row],[Marketplace]],Helper!$A$2:$A$5,0)),TEXT(cadangan[[#This Row],[No]],"0000"),"-",TEXT(cadangan[[#This Row],[Tanggal terjual]],"dd/mm/yy"))</f>
        <v>ORD-BB0637-01/04/23</v>
      </c>
      <c r="C638" s="39" t="s">
        <v>64</v>
      </c>
      <c r="D638" s="39" t="str">
        <f>IFERROR(INDEX(Katalog!$A$3:$A$12,MATCH(cadangan[[#This Row],[ItemID A]],Katalog!$C$3:$C$12,0)),"-")</f>
        <v>Pakaian Unisex</v>
      </c>
      <c r="E638" s="39" t="str">
        <f>IFERROR(INDEX(Katalog!$B$3:$B$12,MATCH(cadangan[[#This Row],[ItemID A]],Katalog!$C$3:$C$12,0)),"-")</f>
        <v>Jaket Hoodie</v>
      </c>
      <c r="F638" s="50">
        <v>1</v>
      </c>
      <c r="G638" s="50">
        <v>5</v>
      </c>
      <c r="H638" s="73">
        <f>IFERROR(INDEX(Katalog!$D$3:$D$12,MATCH(cadangan[[#This Row],[ItemID A]],Katalog!$C$3:$C$12,0))*cadangan[[#This Row],[Qty A]],0)</f>
        <v>350000</v>
      </c>
      <c r="I638" s="73">
        <f>IFERROR(cadangan[[#This Row],[Harga Normal A]]-(cadangan[[#This Row],[Harga Normal A]]*cadangan[[#This Row],[Diskon]]),cadangan[[#This Row],[Harga Normal A]])</f>
        <v>297500</v>
      </c>
      <c r="J638" s="73">
        <f>INDEX(Katalog!$F$3:$F$12,MATCH(cadangan[[#This Row],[ItemID A]],Katalog!$C$3:$C$12,0))*cadangan[[#This Row],[Qty A]]</f>
        <v>130000</v>
      </c>
      <c r="K638" s="73">
        <f>IFERROR(cadangan[[#This Row],[Harga Diskon A]]-INDEX(Katalog!$E$3:$E$12,MATCH(cadangan[[#This Row],[ItemID A]],Katalog!$C$3:$C$12,0))*cadangan[[#This Row],[Qty A]],0)</f>
        <v>77500</v>
      </c>
      <c r="L638" s="39" t="s">
        <v>61</v>
      </c>
      <c r="M638" s="39" t="str">
        <f>IFERROR(INDEX(Katalog!$A$3:$A$12,MATCH(cadangan[[#This Row],[ItemID B]],Katalog!$C$3:$C$12,0)),"-")</f>
        <v>Pakaian Pria</v>
      </c>
      <c r="N638" s="39" t="str">
        <f>IFERROR(INDEX(Katalog!$B$3:$B$12,MATCH(cadangan[[#This Row],[ItemID B]],Katalog!$C$3:$C$12,0)),"-")</f>
        <v>Kaos Polo</v>
      </c>
      <c r="O638" s="50">
        <v>2</v>
      </c>
      <c r="P638" s="50">
        <v>3</v>
      </c>
      <c r="Q638" s="73">
        <f>IFERROR(INDEX(Katalog!$D$3:$D$12,MATCH(cadangan[[#This Row],[ItemID B]],Katalog!$C$3:$C$12,0))*cadangan[[#This Row],[Qty B]],0)</f>
        <v>400000</v>
      </c>
      <c r="R638" s="73">
        <f>IFERROR(cadangan[[#This Row],[Harga Normal B]]-(cadangan[[#This Row],[Harga Normal B]]*cadangan[[#This Row],[Diskon]]),cadangan[[#This Row],[Harga Normal B]])</f>
        <v>340000</v>
      </c>
      <c r="S638" s="73">
        <f>IFERROR(INDEX(Katalog!$F$3:$F$12,MATCH(cadangan[[#This Row],[ItemID B]],Katalog!$C$3:$C$12,0))*cadangan[[#This Row],[Qty B]],0)</f>
        <v>160000</v>
      </c>
      <c r="T638" s="73">
        <f>IFERROR(cadangan[[#This Row],[Harga Diskon B]]-INDEX(Katalog!$E$3:$E$12,MATCH(cadangan[[#This Row],[ItemID B]],Katalog!$C$3:$C$12,0))*cadangan[[#This Row],[Qty B]],0)</f>
        <v>100000</v>
      </c>
      <c r="U638" s="39" t="s">
        <v>62</v>
      </c>
      <c r="V638" s="39" t="str">
        <f>IFERROR(INDEX(Katalog!$A$3:$A$12,MATCH(cadangan[[#This Row],[ItemID C]],Katalog!$C$3:$C$12,0)),"-")</f>
        <v>Pakaian Pria</v>
      </c>
      <c r="W638" s="39" t="str">
        <f>IFERROR(INDEX(Katalog!$B$3:$B$12,MATCH(cadangan[[#This Row],[ItemID C]],Katalog!$C$3:$C$12,0)),"-")</f>
        <v>Celana Pendek</v>
      </c>
      <c r="X638" s="50">
        <v>3</v>
      </c>
      <c r="Y638" s="50">
        <v>1</v>
      </c>
      <c r="Z638" s="73">
        <f>IFERROR(INDEX(Katalog!$D$3:$D$12,MATCH(cadangan[[#This Row],[ItemID C]],Katalog!$C$3:$C$12,0))*cadangan[[#This Row],[Qty C]],0)</f>
        <v>540000</v>
      </c>
      <c r="AA638" s="73">
        <f>IFERROR(cadangan[[#This Row],[Harga Normal C]]-(cadangan[[#This Row],[Harga Normal C]]*cadangan[[#This Row],[Diskon]]),cadangan[[#This Row],[Harga Normal C]])</f>
        <v>459000</v>
      </c>
      <c r="AB638" s="73">
        <f>IFERROR(INDEX(Katalog!$F$3:$F$12,MATCH(cadangan[[#This Row],[ItemID C]],Katalog!$C$3:$C$12,0))*cadangan[[#This Row],[Qty C]],0)</f>
        <v>210000</v>
      </c>
      <c r="AC638" s="73">
        <f>IFERROR(cadangan[[#This Row],[Harga Diskon C]]-INDEX(Katalog!$E$3:$E$12,MATCH(cadangan[[#This Row],[ItemID C]],Katalog!$C$3:$C$12,0))*cadangan[[#This Row],[Qty C]],0)</f>
        <v>129000</v>
      </c>
      <c r="AD638" s="53">
        <f>cadangan[[#This Row],[Qty A]]+cadangan[[#This Row],[Qty B]]+cadangan[[#This Row],[Qty C]]</f>
        <v>6</v>
      </c>
      <c r="AE638" s="73">
        <f>cadangan[[#This Row],[Harga Normal A]]+cadangan[[#This Row],[Harga Normal B]]+cadangan[[#This Row],[Harga Normal C]]</f>
        <v>1290000</v>
      </c>
      <c r="AF638" s="73">
        <f>cadangan[[#This Row],[Harga Diskon A]]+cadangan[[#This Row],[Harga Diskon B]]+cadangan[[#This Row],[Harga Diskon C]]</f>
        <v>1096500</v>
      </c>
      <c r="AG638" s="73">
        <f>(cadangan[[#This Row],[Profit Normal A]]+cadangan[[#This Row],[Profit Normal B]]+cadangan[[#This Row],[Profit Normal C]])</f>
        <v>500000</v>
      </c>
      <c r="AH638" s="73">
        <f>cadangan[[#This Row],[Profit Diskon A]]+cadangan[[#This Row],[Profit Diskon B]]+cadangan[[#This Row],[Profit Diskon C]]</f>
        <v>306500</v>
      </c>
      <c r="AI638" s="23" t="s">
        <v>28</v>
      </c>
      <c r="AJ638" s="37">
        <f>IFERROR(INDEX('Kode Diskon'!$D$3:$D$9,MATCH(cadangan[[#This Row],[Kode diskon]],'Kode Diskon'!$C$3:$C$9,0)),"-")</f>
        <v>0.15</v>
      </c>
      <c r="AK638" s="23" t="s">
        <v>29</v>
      </c>
      <c r="AL638" s="23" t="s">
        <v>14</v>
      </c>
      <c r="AM638" s="23" t="s">
        <v>76</v>
      </c>
      <c r="AN638" s="55">
        <v>45017</v>
      </c>
      <c r="AO638" s="53">
        <f>DAY(cadangan[[#This Row],[Tanggal terjual]])</f>
        <v>1</v>
      </c>
      <c r="AP638" s="21" t="str">
        <f>TEXT(cadangan[[#This Row],[Tanggal terjual]],"dddd")</f>
        <v>Saturday</v>
      </c>
      <c r="AQ638" s="23" t="str" cm="1">
        <f t="array" ref="AQ6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38" s="61">
        <f>AVERAGE(cadangan[[#This Row],[Rating A]],cadangan[[#This Row],[Rating B]],cadangan[[#This Row],[Rating C]])</f>
        <v>3</v>
      </c>
    </row>
    <row r="639" spans="1:44" x14ac:dyDescent="0.2">
      <c r="A639" s="20">
        <v>638</v>
      </c>
      <c r="B639" s="21" t="str">
        <f>_xlfn.CONCAT("ORD-",INDEX(Helper!$B$2:$B$5,MATCH(cadangan[[#This Row],[Marketplace]],Helper!$A$2:$A$5,0)),TEXT(cadangan[[#This Row],[No]],"0000"),"-",TEXT(cadangan[[#This Row],[Tanggal terjual]],"dd/mm/yy"))</f>
        <v>ORD-BB0638-04/04/23</v>
      </c>
      <c r="C639" s="39" t="s">
        <v>58</v>
      </c>
      <c r="D639" s="39" t="str">
        <f>IFERROR(INDEX(Katalog!$A$3:$A$12,MATCH(cadangan[[#This Row],[ItemID A]],Katalog!$C$3:$C$12,0)),"-")</f>
        <v>Pakaian Wanita</v>
      </c>
      <c r="E639" s="39" t="str">
        <f>IFERROR(INDEX(Katalog!$B$3:$B$12,MATCH(cadangan[[#This Row],[ItemID A]],Katalog!$C$3:$C$12,0)),"-")</f>
        <v>Dress</v>
      </c>
      <c r="F639" s="50">
        <v>4</v>
      </c>
      <c r="G639" s="50">
        <v>4</v>
      </c>
      <c r="H639" s="73">
        <f>IFERROR(INDEX(Katalog!$D$3:$D$12,MATCH(cadangan[[#This Row],[ItemID A]],Katalog!$C$3:$C$12,0))*cadangan[[#This Row],[Qty A]],0)</f>
        <v>1200000</v>
      </c>
      <c r="I639" s="73">
        <f>IFERROR(cadangan[[#This Row],[Harga Normal A]]-(cadangan[[#This Row],[Harga Normal A]]*cadangan[[#This Row],[Diskon]]),cadangan[[#This Row],[Harga Normal A]])</f>
        <v>1020000</v>
      </c>
      <c r="J639" s="73">
        <f>INDEX(Katalog!$F$3:$F$12,MATCH(cadangan[[#This Row],[ItemID A]],Katalog!$C$3:$C$12,0))*cadangan[[#This Row],[Qty A]]</f>
        <v>400000</v>
      </c>
      <c r="K639" s="73">
        <f>IFERROR(cadangan[[#This Row],[Harga Diskon A]]-INDEX(Katalog!$E$3:$E$12,MATCH(cadangan[[#This Row],[ItemID A]],Katalog!$C$3:$C$12,0))*cadangan[[#This Row],[Qty A]],0)</f>
        <v>220000</v>
      </c>
      <c r="M639" s="39" t="str">
        <f>IFERROR(INDEX(Katalog!$A$3:$A$12,MATCH(cadangan[[#This Row],[ItemID B]],Katalog!$C$3:$C$12,0)),"-")</f>
        <v>-</v>
      </c>
      <c r="N639" s="39" t="str">
        <f>IFERROR(INDEX(Katalog!$B$3:$B$12,MATCH(cadangan[[#This Row],[ItemID B]],Katalog!$C$3:$C$12,0)),"-")</f>
        <v>-</v>
      </c>
      <c r="Q639" s="73">
        <f>IFERROR(INDEX(Katalog!$D$3:$D$12,MATCH(cadangan[[#This Row],[ItemID B]],Katalog!$C$3:$C$12,0))*cadangan[[#This Row],[Qty B]],0)</f>
        <v>0</v>
      </c>
      <c r="R639" s="73">
        <f>IFERROR(cadangan[[#This Row],[Harga Normal B]]-(cadangan[[#This Row],[Harga Normal B]]*cadangan[[#This Row],[Diskon]]),cadangan[[#This Row],[Harga Normal B]])</f>
        <v>0</v>
      </c>
      <c r="S639" s="73">
        <f>IFERROR(INDEX(Katalog!$F$3:$F$12,MATCH(cadangan[[#This Row],[ItemID B]],Katalog!$C$3:$C$12,0))*cadangan[[#This Row],[Qty B]],0)</f>
        <v>0</v>
      </c>
      <c r="T639" s="73">
        <f>IFERROR(cadangan[[#This Row],[Harga Diskon B]]-INDEX(Katalog!$E$3:$E$12,MATCH(cadangan[[#This Row],[ItemID B]],Katalog!$C$3:$C$12,0))*cadangan[[#This Row],[Qty B]],0)</f>
        <v>0</v>
      </c>
      <c r="V639" s="39" t="str">
        <f>IFERROR(INDEX(Katalog!$A$3:$A$12,MATCH(cadangan[[#This Row],[ItemID C]],Katalog!$C$3:$C$12,0)),"-")</f>
        <v>-</v>
      </c>
      <c r="W639" s="39" t="str">
        <f>IFERROR(INDEX(Katalog!$B$3:$B$12,MATCH(cadangan[[#This Row],[ItemID C]],Katalog!$C$3:$C$12,0)),"-")</f>
        <v>-</v>
      </c>
      <c r="Z639" s="73">
        <f>IFERROR(INDEX(Katalog!$D$3:$D$12,MATCH(cadangan[[#This Row],[ItemID C]],Katalog!$C$3:$C$12,0))*cadangan[[#This Row],[Qty C]],0)</f>
        <v>0</v>
      </c>
      <c r="AA639" s="73">
        <f>IFERROR(cadangan[[#This Row],[Harga Normal C]]-(cadangan[[#This Row],[Harga Normal C]]*cadangan[[#This Row],[Diskon]]),cadangan[[#This Row],[Harga Normal C]])</f>
        <v>0</v>
      </c>
      <c r="AB639" s="73">
        <f>IFERROR(INDEX(Katalog!$F$3:$F$12,MATCH(cadangan[[#This Row],[ItemID C]],Katalog!$C$3:$C$12,0))*cadangan[[#This Row],[Qty C]],0)</f>
        <v>0</v>
      </c>
      <c r="AC639" s="73">
        <f>IFERROR(cadangan[[#This Row],[Harga Diskon C]]-INDEX(Katalog!$E$3:$E$12,MATCH(cadangan[[#This Row],[ItemID C]],Katalog!$C$3:$C$12,0))*cadangan[[#This Row],[Qty C]],0)</f>
        <v>0</v>
      </c>
      <c r="AD639" s="53">
        <f>cadangan[[#This Row],[Qty A]]+cadangan[[#This Row],[Qty B]]+cadangan[[#This Row],[Qty C]]</f>
        <v>4</v>
      </c>
      <c r="AE639" s="73">
        <f>cadangan[[#This Row],[Harga Normal A]]+cadangan[[#This Row],[Harga Normal B]]+cadangan[[#This Row],[Harga Normal C]]</f>
        <v>1200000</v>
      </c>
      <c r="AF639" s="73">
        <f>cadangan[[#This Row],[Harga Diskon A]]+cadangan[[#This Row],[Harga Diskon B]]+cadangan[[#This Row],[Harga Diskon C]]</f>
        <v>1020000</v>
      </c>
      <c r="AG639" s="73">
        <f>(cadangan[[#This Row],[Profit Normal A]]+cadangan[[#This Row],[Profit Normal B]]+cadangan[[#This Row],[Profit Normal C]])</f>
        <v>400000</v>
      </c>
      <c r="AH639" s="73">
        <f>cadangan[[#This Row],[Profit Diskon A]]+cadangan[[#This Row],[Profit Diskon B]]+cadangan[[#This Row],[Profit Diskon C]]</f>
        <v>220000</v>
      </c>
      <c r="AI639" s="23" t="s">
        <v>28</v>
      </c>
      <c r="AJ639" s="37">
        <f>IFERROR(INDEX('Kode Diskon'!$D$3:$D$9,MATCH(cadangan[[#This Row],[Kode diskon]],'Kode Diskon'!$C$3:$C$9,0)),"-")</f>
        <v>0.15</v>
      </c>
      <c r="AK639" s="23" t="s">
        <v>29</v>
      </c>
      <c r="AL639" s="23" t="s">
        <v>14</v>
      </c>
      <c r="AM639" s="23" t="s">
        <v>80</v>
      </c>
      <c r="AN639" s="55">
        <v>45020</v>
      </c>
      <c r="AO639" s="53">
        <f>DAY(cadangan[[#This Row],[Tanggal terjual]])</f>
        <v>4</v>
      </c>
      <c r="AP639" s="21" t="str">
        <f>TEXT(cadangan[[#This Row],[Tanggal terjual]],"dddd")</f>
        <v>Tuesday</v>
      </c>
      <c r="AQ639" s="23" t="str" cm="1">
        <f t="array" ref="AQ6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39" s="61">
        <f>AVERAGE(cadangan[[#This Row],[Rating A]],cadangan[[#This Row],[Rating B]],cadangan[[#This Row],[Rating C]])</f>
        <v>4</v>
      </c>
    </row>
    <row r="640" spans="1:44" x14ac:dyDescent="0.2">
      <c r="A640" s="20">
        <v>639</v>
      </c>
      <c r="B640" s="21" t="str">
        <f>_xlfn.CONCAT("ORD-",INDEX(Helper!$B$2:$B$5,MATCH(cadangan[[#This Row],[Marketplace]],Helper!$A$2:$A$5,0)),TEXT(cadangan[[#This Row],[No]],"0000"),"-",TEXT(cadangan[[#This Row],[Tanggal terjual]],"dd/mm/yy"))</f>
        <v>ORD-TK0639-28/04/23</v>
      </c>
      <c r="C640" s="39" t="s">
        <v>59</v>
      </c>
      <c r="D640" s="39" t="str">
        <f>IFERROR(INDEX(Katalog!$A$3:$A$12,MATCH(cadangan[[#This Row],[ItemID A]],Katalog!$C$3:$C$12,0)),"-")</f>
        <v>Pakaian Wanita</v>
      </c>
      <c r="E640" s="39" t="str">
        <f>IFERROR(INDEX(Katalog!$B$3:$B$12,MATCH(cadangan[[#This Row],[ItemID A]],Katalog!$C$3:$C$12,0)),"-")</f>
        <v>Blouse</v>
      </c>
      <c r="F640" s="50">
        <v>1</v>
      </c>
      <c r="G640" s="50">
        <v>1</v>
      </c>
      <c r="H640" s="73">
        <f>IFERROR(INDEX(Katalog!$D$3:$D$12,MATCH(cadangan[[#This Row],[ItemID A]],Katalog!$C$3:$C$12,0))*cadangan[[#This Row],[Qty A]],0)</f>
        <v>150000</v>
      </c>
      <c r="I640" s="73">
        <f>IFERROR(cadangan[[#This Row],[Harga Normal A]]-(cadangan[[#This Row],[Harga Normal A]]*cadangan[[#This Row],[Diskon]]),cadangan[[#This Row],[Harga Normal A]])</f>
        <v>135000</v>
      </c>
      <c r="J640" s="73">
        <f>INDEX(Katalog!$F$3:$F$12,MATCH(cadangan[[#This Row],[ItemID A]],Katalog!$C$3:$C$12,0))*cadangan[[#This Row],[Qty A]]</f>
        <v>50000</v>
      </c>
      <c r="K640" s="73">
        <f>IFERROR(cadangan[[#This Row],[Harga Diskon A]]-INDEX(Katalog!$E$3:$E$12,MATCH(cadangan[[#This Row],[ItemID A]],Katalog!$C$3:$C$12,0))*cadangan[[#This Row],[Qty A]],0)</f>
        <v>35000</v>
      </c>
      <c r="M640" s="39" t="str">
        <f>IFERROR(INDEX(Katalog!$A$3:$A$12,MATCH(cadangan[[#This Row],[ItemID B]],Katalog!$C$3:$C$12,0)),"-")</f>
        <v>-</v>
      </c>
      <c r="N640" s="39" t="str">
        <f>IFERROR(INDEX(Katalog!$B$3:$B$12,MATCH(cadangan[[#This Row],[ItemID B]],Katalog!$C$3:$C$12,0)),"-")</f>
        <v>-</v>
      </c>
      <c r="Q640" s="73">
        <f>IFERROR(INDEX(Katalog!$D$3:$D$12,MATCH(cadangan[[#This Row],[ItemID B]],Katalog!$C$3:$C$12,0))*cadangan[[#This Row],[Qty B]],0)</f>
        <v>0</v>
      </c>
      <c r="R640" s="73">
        <f>IFERROR(cadangan[[#This Row],[Harga Normal B]]-(cadangan[[#This Row],[Harga Normal B]]*cadangan[[#This Row],[Diskon]]),cadangan[[#This Row],[Harga Normal B]])</f>
        <v>0</v>
      </c>
      <c r="S640" s="73">
        <f>IFERROR(INDEX(Katalog!$F$3:$F$12,MATCH(cadangan[[#This Row],[ItemID B]],Katalog!$C$3:$C$12,0))*cadangan[[#This Row],[Qty B]],0)</f>
        <v>0</v>
      </c>
      <c r="T640" s="73">
        <f>IFERROR(cadangan[[#This Row],[Harga Diskon B]]-INDEX(Katalog!$E$3:$E$12,MATCH(cadangan[[#This Row],[ItemID B]],Katalog!$C$3:$C$12,0))*cadangan[[#This Row],[Qty B]],0)</f>
        <v>0</v>
      </c>
      <c r="V640" s="39" t="str">
        <f>IFERROR(INDEX(Katalog!$A$3:$A$12,MATCH(cadangan[[#This Row],[ItemID C]],Katalog!$C$3:$C$12,0)),"-")</f>
        <v>-</v>
      </c>
      <c r="W640" s="39" t="str">
        <f>IFERROR(INDEX(Katalog!$B$3:$B$12,MATCH(cadangan[[#This Row],[ItemID C]],Katalog!$C$3:$C$12,0)),"-")</f>
        <v>-</v>
      </c>
      <c r="Z640" s="73">
        <f>IFERROR(INDEX(Katalog!$D$3:$D$12,MATCH(cadangan[[#This Row],[ItemID C]],Katalog!$C$3:$C$12,0))*cadangan[[#This Row],[Qty C]],0)</f>
        <v>0</v>
      </c>
      <c r="AA640" s="73">
        <f>IFERROR(cadangan[[#This Row],[Harga Normal C]]-(cadangan[[#This Row],[Harga Normal C]]*cadangan[[#This Row],[Diskon]]),cadangan[[#This Row],[Harga Normal C]])</f>
        <v>0</v>
      </c>
      <c r="AB640" s="73">
        <f>IFERROR(INDEX(Katalog!$F$3:$F$12,MATCH(cadangan[[#This Row],[ItemID C]],Katalog!$C$3:$C$12,0))*cadangan[[#This Row],[Qty C]],0)</f>
        <v>0</v>
      </c>
      <c r="AC640" s="73">
        <f>IFERROR(cadangan[[#This Row],[Harga Diskon C]]-INDEX(Katalog!$E$3:$E$12,MATCH(cadangan[[#This Row],[ItemID C]],Katalog!$C$3:$C$12,0))*cadangan[[#This Row],[Qty C]],0)</f>
        <v>0</v>
      </c>
      <c r="AD640" s="53">
        <f>cadangan[[#This Row],[Qty A]]+cadangan[[#This Row],[Qty B]]+cadangan[[#This Row],[Qty C]]</f>
        <v>1</v>
      </c>
      <c r="AE640" s="73">
        <f>cadangan[[#This Row],[Harga Normal A]]+cadangan[[#This Row],[Harga Normal B]]+cadangan[[#This Row],[Harga Normal C]]</f>
        <v>150000</v>
      </c>
      <c r="AF640" s="73">
        <f>cadangan[[#This Row],[Harga Diskon A]]+cadangan[[#This Row],[Harga Diskon B]]+cadangan[[#This Row],[Harga Diskon C]]</f>
        <v>135000</v>
      </c>
      <c r="AG640" s="73">
        <f>(cadangan[[#This Row],[Profit Normal A]]+cadangan[[#This Row],[Profit Normal B]]+cadangan[[#This Row],[Profit Normal C]])</f>
        <v>50000</v>
      </c>
      <c r="AH640" s="73">
        <f>cadangan[[#This Row],[Profit Diskon A]]+cadangan[[#This Row],[Profit Diskon B]]+cadangan[[#This Row],[Profit Diskon C]]</f>
        <v>35000</v>
      </c>
      <c r="AI640" s="23" t="s">
        <v>31</v>
      </c>
      <c r="AJ640" s="37">
        <f>IFERROR(INDEX('Kode Diskon'!$D$3:$D$9,MATCH(cadangan[[#This Row],[Kode diskon]],'Kode Diskon'!$C$3:$C$9,0)),"-")</f>
        <v>0.1</v>
      </c>
      <c r="AK640" s="23" t="s">
        <v>9</v>
      </c>
      <c r="AL640" s="23" t="s">
        <v>10</v>
      </c>
      <c r="AM640" s="23" t="s">
        <v>80</v>
      </c>
      <c r="AN640" s="55">
        <v>45044</v>
      </c>
      <c r="AO640" s="53">
        <f>DAY(cadangan[[#This Row],[Tanggal terjual]])</f>
        <v>28</v>
      </c>
      <c r="AP640" s="21" t="str">
        <f>TEXT(cadangan[[#This Row],[Tanggal terjual]],"dddd")</f>
        <v>Friday</v>
      </c>
      <c r="AQ640" s="23" t="str" cm="1">
        <f t="array" ref="AQ6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40" s="61">
        <f>AVERAGE(cadangan[[#This Row],[Rating A]],cadangan[[#This Row],[Rating B]],cadangan[[#This Row],[Rating C]])</f>
        <v>1</v>
      </c>
    </row>
    <row r="641" spans="1:44" x14ac:dyDescent="0.2">
      <c r="A641" s="20">
        <v>640</v>
      </c>
      <c r="B641" s="21" t="str">
        <f>_xlfn.CONCAT("ORD-",INDEX(Helper!$B$2:$B$5,MATCH(cadangan[[#This Row],[Marketplace]],Helper!$A$2:$A$5,0)),TEXT(cadangan[[#This Row],[No]],"0000"),"-",TEXT(cadangan[[#This Row],[Tanggal terjual]],"dd/mm/yy"))</f>
        <v>ORD-SP0640-05/04/23</v>
      </c>
      <c r="C641" s="39" t="s">
        <v>63</v>
      </c>
      <c r="D641" s="39" t="str">
        <f>IFERROR(INDEX(Katalog!$A$3:$A$12,MATCH(cadangan[[#This Row],[ItemID A]],Katalog!$C$3:$C$12,0)),"-")</f>
        <v>Pakaian Pria</v>
      </c>
      <c r="E641" s="39" t="str">
        <f>IFERROR(INDEX(Katalog!$B$3:$B$12,MATCH(cadangan[[#This Row],[ItemID A]],Katalog!$C$3:$C$12,0)),"-")</f>
        <v>Jaket Jeans</v>
      </c>
      <c r="F641" s="50">
        <v>6</v>
      </c>
      <c r="G641" s="50">
        <v>3</v>
      </c>
      <c r="H641" s="73">
        <f>IFERROR(INDEX(Katalog!$D$3:$D$12,MATCH(cadangan[[#This Row],[ItemID A]],Katalog!$C$3:$C$12,0))*cadangan[[#This Row],[Qty A]],0)</f>
        <v>2400000</v>
      </c>
      <c r="I641" s="73">
        <f>IFERROR(cadangan[[#This Row],[Harga Normal A]]-(cadangan[[#This Row],[Harga Normal A]]*cadangan[[#This Row],[Diskon]]),cadangan[[#This Row],[Harga Normal A]])</f>
        <v>2040000</v>
      </c>
      <c r="J641" s="73">
        <f>INDEX(Katalog!$F$3:$F$12,MATCH(cadangan[[#This Row],[ItemID A]],Katalog!$C$3:$C$12,0))*cadangan[[#This Row],[Qty A]]</f>
        <v>900000</v>
      </c>
      <c r="K641" s="73">
        <f>IFERROR(cadangan[[#This Row],[Harga Diskon A]]-INDEX(Katalog!$E$3:$E$12,MATCH(cadangan[[#This Row],[ItemID A]],Katalog!$C$3:$C$12,0))*cadangan[[#This Row],[Qty A]],0)</f>
        <v>540000</v>
      </c>
      <c r="M641" s="39" t="str">
        <f>IFERROR(INDEX(Katalog!$A$3:$A$12,MATCH(cadangan[[#This Row],[ItemID B]],Katalog!$C$3:$C$12,0)),"-")</f>
        <v>-</v>
      </c>
      <c r="N641" s="39" t="str">
        <f>IFERROR(INDEX(Katalog!$B$3:$B$12,MATCH(cadangan[[#This Row],[ItemID B]],Katalog!$C$3:$C$12,0)),"-")</f>
        <v>-</v>
      </c>
      <c r="Q641" s="73">
        <f>IFERROR(INDEX(Katalog!$D$3:$D$12,MATCH(cadangan[[#This Row],[ItemID B]],Katalog!$C$3:$C$12,0))*cadangan[[#This Row],[Qty B]],0)</f>
        <v>0</v>
      </c>
      <c r="R641" s="73">
        <f>IFERROR(cadangan[[#This Row],[Harga Normal B]]-(cadangan[[#This Row],[Harga Normal B]]*cadangan[[#This Row],[Diskon]]),cadangan[[#This Row],[Harga Normal B]])</f>
        <v>0</v>
      </c>
      <c r="S641" s="73">
        <f>IFERROR(INDEX(Katalog!$F$3:$F$12,MATCH(cadangan[[#This Row],[ItemID B]],Katalog!$C$3:$C$12,0))*cadangan[[#This Row],[Qty B]],0)</f>
        <v>0</v>
      </c>
      <c r="T641" s="73">
        <f>IFERROR(cadangan[[#This Row],[Harga Diskon B]]-INDEX(Katalog!$E$3:$E$12,MATCH(cadangan[[#This Row],[ItemID B]],Katalog!$C$3:$C$12,0))*cadangan[[#This Row],[Qty B]],0)</f>
        <v>0</v>
      </c>
      <c r="V641" s="39" t="str">
        <f>IFERROR(INDEX(Katalog!$A$3:$A$12,MATCH(cadangan[[#This Row],[ItemID C]],Katalog!$C$3:$C$12,0)),"-")</f>
        <v>-</v>
      </c>
      <c r="W641" s="39" t="str">
        <f>IFERROR(INDEX(Katalog!$B$3:$B$12,MATCH(cadangan[[#This Row],[ItemID C]],Katalog!$C$3:$C$12,0)),"-")</f>
        <v>-</v>
      </c>
      <c r="Z641" s="73">
        <f>IFERROR(INDEX(Katalog!$D$3:$D$12,MATCH(cadangan[[#This Row],[ItemID C]],Katalog!$C$3:$C$12,0))*cadangan[[#This Row],[Qty C]],0)</f>
        <v>0</v>
      </c>
      <c r="AA641" s="73">
        <f>IFERROR(cadangan[[#This Row],[Harga Normal C]]-(cadangan[[#This Row],[Harga Normal C]]*cadangan[[#This Row],[Diskon]]),cadangan[[#This Row],[Harga Normal C]])</f>
        <v>0</v>
      </c>
      <c r="AB641" s="73">
        <f>IFERROR(INDEX(Katalog!$F$3:$F$12,MATCH(cadangan[[#This Row],[ItemID C]],Katalog!$C$3:$C$12,0))*cadangan[[#This Row],[Qty C]],0)</f>
        <v>0</v>
      </c>
      <c r="AC641" s="73">
        <f>IFERROR(cadangan[[#This Row],[Harga Diskon C]]-INDEX(Katalog!$E$3:$E$12,MATCH(cadangan[[#This Row],[ItemID C]],Katalog!$C$3:$C$12,0))*cadangan[[#This Row],[Qty C]],0)</f>
        <v>0</v>
      </c>
      <c r="AD641" s="53">
        <f>cadangan[[#This Row],[Qty A]]+cadangan[[#This Row],[Qty B]]+cadangan[[#This Row],[Qty C]]</f>
        <v>6</v>
      </c>
      <c r="AE641" s="73">
        <f>cadangan[[#This Row],[Harga Normal A]]+cadangan[[#This Row],[Harga Normal B]]+cadangan[[#This Row],[Harga Normal C]]</f>
        <v>2400000</v>
      </c>
      <c r="AF641" s="73">
        <f>cadangan[[#This Row],[Harga Diskon A]]+cadangan[[#This Row],[Harga Diskon B]]+cadangan[[#This Row],[Harga Diskon C]]</f>
        <v>2040000</v>
      </c>
      <c r="AG641" s="73">
        <f>(cadangan[[#This Row],[Profit Normal A]]+cadangan[[#This Row],[Profit Normal B]]+cadangan[[#This Row],[Profit Normal C]])</f>
        <v>900000</v>
      </c>
      <c r="AH641" s="73">
        <f>cadangan[[#This Row],[Profit Diskon A]]+cadangan[[#This Row],[Profit Diskon B]]+cadangan[[#This Row],[Profit Diskon C]]</f>
        <v>540000</v>
      </c>
      <c r="AI641" s="23" t="s">
        <v>13</v>
      </c>
      <c r="AJ641" s="37">
        <f>IFERROR(INDEX('Kode Diskon'!$D$3:$D$9,MATCH(cadangan[[#This Row],[Kode diskon]],'Kode Diskon'!$C$3:$C$9,0)),"-")</f>
        <v>0.15</v>
      </c>
      <c r="AK641" s="23" t="s">
        <v>29</v>
      </c>
      <c r="AL641" s="23" t="s">
        <v>7</v>
      </c>
      <c r="AM641" s="23" t="s">
        <v>76</v>
      </c>
      <c r="AN641" s="55">
        <v>45021</v>
      </c>
      <c r="AO641" s="53">
        <f>DAY(cadangan[[#This Row],[Tanggal terjual]])</f>
        <v>5</v>
      </c>
      <c r="AP641" s="21" t="str">
        <f>TEXT(cadangan[[#This Row],[Tanggal terjual]],"dddd")</f>
        <v>Wednesday</v>
      </c>
      <c r="AQ641" s="23" t="str" cm="1">
        <f t="array" ref="AQ6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41" s="61">
        <f>AVERAGE(cadangan[[#This Row],[Rating A]],cadangan[[#This Row],[Rating B]],cadangan[[#This Row],[Rating C]])</f>
        <v>3</v>
      </c>
    </row>
    <row r="642" spans="1:44" x14ac:dyDescent="0.2">
      <c r="A642" s="20">
        <v>641</v>
      </c>
      <c r="B642" s="21" t="str">
        <f>_xlfn.CONCAT("ORD-",INDEX(Helper!$B$2:$B$5,MATCH(cadangan[[#This Row],[Marketplace]],Helper!$A$2:$A$5,0)),TEXT(cadangan[[#This Row],[No]],"0000"),"-",TEXT(cadangan[[#This Row],[Tanggal terjual]],"dd/mm/yy"))</f>
        <v>ORD-TK0641-01/04/23</v>
      </c>
      <c r="C642" s="39" t="s">
        <v>64</v>
      </c>
      <c r="D642" s="39" t="str">
        <f>IFERROR(INDEX(Katalog!$A$3:$A$12,MATCH(cadangan[[#This Row],[ItemID A]],Katalog!$C$3:$C$12,0)),"-")</f>
        <v>Pakaian Unisex</v>
      </c>
      <c r="E642" s="39" t="str">
        <f>IFERROR(INDEX(Katalog!$B$3:$B$12,MATCH(cadangan[[#This Row],[ItemID A]],Katalog!$C$3:$C$12,0)),"-")</f>
        <v>Jaket Hoodie</v>
      </c>
      <c r="F642" s="50">
        <v>2</v>
      </c>
      <c r="G642" s="50">
        <v>2</v>
      </c>
      <c r="H642" s="73">
        <f>IFERROR(INDEX(Katalog!$D$3:$D$12,MATCH(cadangan[[#This Row],[ItemID A]],Katalog!$C$3:$C$12,0))*cadangan[[#This Row],[Qty A]],0)</f>
        <v>700000</v>
      </c>
      <c r="I642" s="73">
        <f>IFERROR(cadangan[[#This Row],[Harga Normal A]]-(cadangan[[#This Row],[Harga Normal A]]*cadangan[[#This Row],[Diskon]]),cadangan[[#This Row],[Harga Normal A]])</f>
        <v>630000</v>
      </c>
      <c r="J642" s="73">
        <f>INDEX(Katalog!$F$3:$F$12,MATCH(cadangan[[#This Row],[ItemID A]],Katalog!$C$3:$C$12,0))*cadangan[[#This Row],[Qty A]]</f>
        <v>260000</v>
      </c>
      <c r="K642" s="73">
        <f>IFERROR(cadangan[[#This Row],[Harga Diskon A]]-INDEX(Katalog!$E$3:$E$12,MATCH(cadangan[[#This Row],[ItemID A]],Katalog!$C$3:$C$12,0))*cadangan[[#This Row],[Qty A]],0)</f>
        <v>190000</v>
      </c>
      <c r="M642" s="39" t="str">
        <f>IFERROR(INDEX(Katalog!$A$3:$A$12,MATCH(cadangan[[#This Row],[ItemID B]],Katalog!$C$3:$C$12,0)),"-")</f>
        <v>-</v>
      </c>
      <c r="N642" s="39" t="str">
        <f>IFERROR(INDEX(Katalog!$B$3:$B$12,MATCH(cadangan[[#This Row],[ItemID B]],Katalog!$C$3:$C$12,0)),"-")</f>
        <v>-</v>
      </c>
      <c r="Q642" s="73">
        <f>IFERROR(INDEX(Katalog!$D$3:$D$12,MATCH(cadangan[[#This Row],[ItemID B]],Katalog!$C$3:$C$12,0))*cadangan[[#This Row],[Qty B]],0)</f>
        <v>0</v>
      </c>
      <c r="R642" s="73">
        <f>IFERROR(cadangan[[#This Row],[Harga Normal B]]-(cadangan[[#This Row],[Harga Normal B]]*cadangan[[#This Row],[Diskon]]),cadangan[[#This Row],[Harga Normal B]])</f>
        <v>0</v>
      </c>
      <c r="S642" s="73">
        <f>IFERROR(INDEX(Katalog!$F$3:$F$12,MATCH(cadangan[[#This Row],[ItemID B]],Katalog!$C$3:$C$12,0))*cadangan[[#This Row],[Qty B]],0)</f>
        <v>0</v>
      </c>
      <c r="T642" s="73">
        <f>IFERROR(cadangan[[#This Row],[Harga Diskon B]]-INDEX(Katalog!$E$3:$E$12,MATCH(cadangan[[#This Row],[ItemID B]],Katalog!$C$3:$C$12,0))*cadangan[[#This Row],[Qty B]],0)</f>
        <v>0</v>
      </c>
      <c r="V642" s="39" t="str">
        <f>IFERROR(INDEX(Katalog!$A$3:$A$12,MATCH(cadangan[[#This Row],[ItemID C]],Katalog!$C$3:$C$12,0)),"-")</f>
        <v>-</v>
      </c>
      <c r="W642" s="39" t="str">
        <f>IFERROR(INDEX(Katalog!$B$3:$B$12,MATCH(cadangan[[#This Row],[ItemID C]],Katalog!$C$3:$C$12,0)),"-")</f>
        <v>-</v>
      </c>
      <c r="Z642" s="73">
        <f>IFERROR(INDEX(Katalog!$D$3:$D$12,MATCH(cadangan[[#This Row],[ItemID C]],Katalog!$C$3:$C$12,0))*cadangan[[#This Row],[Qty C]],0)</f>
        <v>0</v>
      </c>
      <c r="AA642" s="73">
        <f>IFERROR(cadangan[[#This Row],[Harga Normal C]]-(cadangan[[#This Row],[Harga Normal C]]*cadangan[[#This Row],[Diskon]]),cadangan[[#This Row],[Harga Normal C]])</f>
        <v>0</v>
      </c>
      <c r="AB642" s="73">
        <f>IFERROR(INDEX(Katalog!$F$3:$F$12,MATCH(cadangan[[#This Row],[ItemID C]],Katalog!$C$3:$C$12,0))*cadangan[[#This Row],[Qty C]],0)</f>
        <v>0</v>
      </c>
      <c r="AC642" s="73">
        <f>IFERROR(cadangan[[#This Row],[Harga Diskon C]]-INDEX(Katalog!$E$3:$E$12,MATCH(cadangan[[#This Row],[ItemID C]],Katalog!$C$3:$C$12,0))*cadangan[[#This Row],[Qty C]],0)</f>
        <v>0</v>
      </c>
      <c r="AD642" s="53">
        <f>cadangan[[#This Row],[Qty A]]+cadangan[[#This Row],[Qty B]]+cadangan[[#This Row],[Qty C]]</f>
        <v>2</v>
      </c>
      <c r="AE642" s="73">
        <f>cadangan[[#This Row],[Harga Normal A]]+cadangan[[#This Row],[Harga Normal B]]+cadangan[[#This Row],[Harga Normal C]]</f>
        <v>700000</v>
      </c>
      <c r="AF642" s="73">
        <f>cadangan[[#This Row],[Harga Diskon A]]+cadangan[[#This Row],[Harga Diskon B]]+cadangan[[#This Row],[Harga Diskon C]]</f>
        <v>630000</v>
      </c>
      <c r="AG642" s="73">
        <f>(cadangan[[#This Row],[Profit Normal A]]+cadangan[[#This Row],[Profit Normal B]]+cadangan[[#This Row],[Profit Normal C]])</f>
        <v>260000</v>
      </c>
      <c r="AH642" s="73">
        <f>cadangan[[#This Row],[Profit Diskon A]]+cadangan[[#This Row],[Profit Diskon B]]+cadangan[[#This Row],[Profit Diskon C]]</f>
        <v>190000</v>
      </c>
      <c r="AI642" s="23" t="s">
        <v>30</v>
      </c>
      <c r="AJ642" s="37">
        <f>IFERROR(INDEX('Kode Diskon'!$D$3:$D$9,MATCH(cadangan[[#This Row],[Kode diskon]],'Kode Diskon'!$C$3:$C$9,0)),"-")</f>
        <v>0.1</v>
      </c>
      <c r="AK642" s="23" t="s">
        <v>29</v>
      </c>
      <c r="AL642" s="23" t="s">
        <v>10</v>
      </c>
      <c r="AM642" s="23" t="s">
        <v>75</v>
      </c>
      <c r="AN642" s="55">
        <v>45017</v>
      </c>
      <c r="AO642" s="53">
        <f>DAY(cadangan[[#This Row],[Tanggal terjual]])</f>
        <v>1</v>
      </c>
      <c r="AP642" s="21" t="str">
        <f>TEXT(cadangan[[#This Row],[Tanggal terjual]],"dddd")</f>
        <v>Saturday</v>
      </c>
      <c r="AQ642" s="23" t="str" cm="1">
        <f t="array" ref="AQ6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42" s="61">
        <f>AVERAGE(cadangan[[#This Row],[Rating A]],cadangan[[#This Row],[Rating B]],cadangan[[#This Row],[Rating C]])</f>
        <v>2</v>
      </c>
    </row>
    <row r="643" spans="1:44" x14ac:dyDescent="0.2">
      <c r="A643" s="20">
        <v>642</v>
      </c>
      <c r="B643" s="21" t="str">
        <f>_xlfn.CONCAT("ORD-",INDEX(Helper!$B$2:$B$5,MATCH(cadangan[[#This Row],[Marketplace]],Helper!$A$2:$A$5,0)),TEXT(cadangan[[#This Row],[No]],"0000"),"-",TEXT(cadangan[[#This Row],[Tanggal terjual]],"dd/mm/yy"))</f>
        <v>ORD-SP0642-06/04/23</v>
      </c>
      <c r="C643" s="39" t="s">
        <v>67</v>
      </c>
      <c r="D643" s="39" t="str">
        <f>IFERROR(INDEX(Katalog!$A$3:$A$12,MATCH(cadangan[[#This Row],[ItemID A]],Katalog!$C$3:$C$12,0)),"-")</f>
        <v>Sepatu Wanita</v>
      </c>
      <c r="E643" s="39" t="str">
        <f>IFERROR(INDEX(Katalog!$B$3:$B$12,MATCH(cadangan[[#This Row],[ItemID A]],Katalog!$C$3:$C$12,0)),"-")</f>
        <v>Flat Shoes</v>
      </c>
      <c r="F643" s="50">
        <v>1</v>
      </c>
      <c r="G643" s="50">
        <v>3</v>
      </c>
      <c r="H643" s="73">
        <f>IFERROR(INDEX(Katalog!$D$3:$D$12,MATCH(cadangan[[#This Row],[ItemID A]],Katalog!$C$3:$C$12,0))*cadangan[[#This Row],[Qty A]],0)</f>
        <v>250000</v>
      </c>
      <c r="I643" s="73">
        <f>IFERROR(cadangan[[#This Row],[Harga Normal A]]-(cadangan[[#This Row],[Harga Normal A]]*cadangan[[#This Row],[Diskon]]),cadangan[[#This Row],[Harga Normal A]])</f>
        <v>225000</v>
      </c>
      <c r="J643" s="73">
        <f>INDEX(Katalog!$F$3:$F$12,MATCH(cadangan[[#This Row],[ItemID A]],Katalog!$C$3:$C$12,0))*cadangan[[#This Row],[Qty A]]</f>
        <v>100000</v>
      </c>
      <c r="K643" s="73">
        <f>IFERROR(cadangan[[#This Row],[Harga Diskon A]]-INDEX(Katalog!$E$3:$E$12,MATCH(cadangan[[#This Row],[ItemID A]],Katalog!$C$3:$C$12,0))*cadangan[[#This Row],[Qty A]],0)</f>
        <v>75000</v>
      </c>
      <c r="M643" s="39" t="str">
        <f>IFERROR(INDEX(Katalog!$A$3:$A$12,MATCH(cadangan[[#This Row],[ItemID B]],Katalog!$C$3:$C$12,0)),"-")</f>
        <v>-</v>
      </c>
      <c r="N643" s="39" t="str">
        <f>IFERROR(INDEX(Katalog!$B$3:$B$12,MATCH(cadangan[[#This Row],[ItemID B]],Katalog!$C$3:$C$12,0)),"-")</f>
        <v>-</v>
      </c>
      <c r="Q643" s="73">
        <f>IFERROR(INDEX(Katalog!$D$3:$D$12,MATCH(cadangan[[#This Row],[ItemID B]],Katalog!$C$3:$C$12,0))*cadangan[[#This Row],[Qty B]],0)</f>
        <v>0</v>
      </c>
      <c r="R643" s="73">
        <f>IFERROR(cadangan[[#This Row],[Harga Normal B]]-(cadangan[[#This Row],[Harga Normal B]]*cadangan[[#This Row],[Diskon]]),cadangan[[#This Row],[Harga Normal B]])</f>
        <v>0</v>
      </c>
      <c r="S643" s="73">
        <f>IFERROR(INDEX(Katalog!$F$3:$F$12,MATCH(cadangan[[#This Row],[ItemID B]],Katalog!$C$3:$C$12,0))*cadangan[[#This Row],[Qty B]],0)</f>
        <v>0</v>
      </c>
      <c r="T643" s="73">
        <f>IFERROR(cadangan[[#This Row],[Harga Diskon B]]-INDEX(Katalog!$E$3:$E$12,MATCH(cadangan[[#This Row],[ItemID B]],Katalog!$C$3:$C$12,0))*cadangan[[#This Row],[Qty B]],0)</f>
        <v>0</v>
      </c>
      <c r="V643" s="39" t="str">
        <f>IFERROR(INDEX(Katalog!$A$3:$A$12,MATCH(cadangan[[#This Row],[ItemID C]],Katalog!$C$3:$C$12,0)),"-")</f>
        <v>-</v>
      </c>
      <c r="W643" s="39" t="str">
        <f>IFERROR(INDEX(Katalog!$B$3:$B$12,MATCH(cadangan[[#This Row],[ItemID C]],Katalog!$C$3:$C$12,0)),"-")</f>
        <v>-</v>
      </c>
      <c r="Z643" s="73">
        <f>IFERROR(INDEX(Katalog!$D$3:$D$12,MATCH(cadangan[[#This Row],[ItemID C]],Katalog!$C$3:$C$12,0))*cadangan[[#This Row],[Qty C]],0)</f>
        <v>0</v>
      </c>
      <c r="AA643" s="73">
        <f>IFERROR(cadangan[[#This Row],[Harga Normal C]]-(cadangan[[#This Row],[Harga Normal C]]*cadangan[[#This Row],[Diskon]]),cadangan[[#This Row],[Harga Normal C]])</f>
        <v>0</v>
      </c>
      <c r="AB643" s="73">
        <f>IFERROR(INDEX(Katalog!$F$3:$F$12,MATCH(cadangan[[#This Row],[ItemID C]],Katalog!$C$3:$C$12,0))*cadangan[[#This Row],[Qty C]],0)</f>
        <v>0</v>
      </c>
      <c r="AC643" s="73">
        <f>IFERROR(cadangan[[#This Row],[Harga Diskon C]]-INDEX(Katalog!$E$3:$E$12,MATCH(cadangan[[#This Row],[ItemID C]],Katalog!$C$3:$C$12,0))*cadangan[[#This Row],[Qty C]],0)</f>
        <v>0</v>
      </c>
      <c r="AD643" s="53">
        <f>cadangan[[#This Row],[Qty A]]+cadangan[[#This Row],[Qty B]]+cadangan[[#This Row],[Qty C]]</f>
        <v>1</v>
      </c>
      <c r="AE643" s="73">
        <f>cadangan[[#This Row],[Harga Normal A]]+cadangan[[#This Row],[Harga Normal B]]+cadangan[[#This Row],[Harga Normal C]]</f>
        <v>250000</v>
      </c>
      <c r="AF643" s="73">
        <f>cadangan[[#This Row],[Harga Diskon A]]+cadangan[[#This Row],[Harga Diskon B]]+cadangan[[#This Row],[Harga Diskon C]]</f>
        <v>225000</v>
      </c>
      <c r="AG643" s="73">
        <f>(cadangan[[#This Row],[Profit Normal A]]+cadangan[[#This Row],[Profit Normal B]]+cadangan[[#This Row],[Profit Normal C]])</f>
        <v>100000</v>
      </c>
      <c r="AH643" s="73">
        <f>cadangan[[#This Row],[Profit Diskon A]]+cadangan[[#This Row],[Profit Diskon B]]+cadangan[[#This Row],[Profit Diskon C]]</f>
        <v>75000</v>
      </c>
      <c r="AI643" s="23" t="s">
        <v>6</v>
      </c>
      <c r="AJ643" s="37">
        <f>IFERROR(INDEX('Kode Diskon'!$D$3:$D$9,MATCH(cadangan[[#This Row],[Kode diskon]],'Kode Diskon'!$C$3:$C$9,0)),"-")</f>
        <v>0.1</v>
      </c>
      <c r="AK643" s="23" t="s">
        <v>29</v>
      </c>
      <c r="AL643" s="23" t="s">
        <v>7</v>
      </c>
      <c r="AM643" s="23" t="s">
        <v>77</v>
      </c>
      <c r="AN643" s="55">
        <v>45022</v>
      </c>
      <c r="AO643" s="53">
        <f>DAY(cadangan[[#This Row],[Tanggal terjual]])</f>
        <v>6</v>
      </c>
      <c r="AP643" s="21" t="str">
        <f>TEXT(cadangan[[#This Row],[Tanggal terjual]],"dddd")</f>
        <v>Thursday</v>
      </c>
      <c r="AQ643" s="23" t="str" cm="1">
        <f t="array" ref="AQ6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43" s="61">
        <f>AVERAGE(cadangan[[#This Row],[Rating A]],cadangan[[#This Row],[Rating B]],cadangan[[#This Row],[Rating C]])</f>
        <v>3</v>
      </c>
    </row>
    <row r="644" spans="1:44" x14ac:dyDescent="0.2">
      <c r="A644" s="20">
        <v>643</v>
      </c>
      <c r="B644" s="21" t="str">
        <f>_xlfn.CONCAT("ORD-",INDEX(Helper!$B$2:$B$5,MATCH(cadangan[[#This Row],[Marketplace]],Helper!$A$2:$A$5,0)),TEXT(cadangan[[#This Row],[No]],"0000"),"-",TEXT(cadangan[[#This Row],[Tanggal terjual]],"dd/mm/yy"))</f>
        <v>ORD-SP0643-16/04/23</v>
      </c>
      <c r="C644" s="39" t="s">
        <v>62</v>
      </c>
      <c r="D644" s="39" t="str">
        <f>IFERROR(INDEX(Katalog!$A$3:$A$12,MATCH(cadangan[[#This Row],[ItemID A]],Katalog!$C$3:$C$12,0)),"-")</f>
        <v>Pakaian Pria</v>
      </c>
      <c r="E644" s="39" t="str">
        <f>IFERROR(INDEX(Katalog!$B$3:$B$12,MATCH(cadangan[[#This Row],[ItemID A]],Katalog!$C$3:$C$12,0)),"-")</f>
        <v>Celana Pendek</v>
      </c>
      <c r="F644" s="50">
        <v>1</v>
      </c>
      <c r="G644" s="50">
        <v>3</v>
      </c>
      <c r="H644" s="73">
        <f>IFERROR(INDEX(Katalog!$D$3:$D$12,MATCH(cadangan[[#This Row],[ItemID A]],Katalog!$C$3:$C$12,0))*cadangan[[#This Row],[Qty A]],0)</f>
        <v>180000</v>
      </c>
      <c r="I644" s="73">
        <f>IFERROR(cadangan[[#This Row],[Harga Normal A]]-(cadangan[[#This Row],[Harga Normal A]]*cadangan[[#This Row],[Diskon]]),cadangan[[#This Row],[Harga Normal A]])</f>
        <v>144000</v>
      </c>
      <c r="J644" s="73">
        <f>INDEX(Katalog!$F$3:$F$12,MATCH(cadangan[[#This Row],[ItemID A]],Katalog!$C$3:$C$12,0))*cadangan[[#This Row],[Qty A]]</f>
        <v>70000</v>
      </c>
      <c r="K644" s="73">
        <f>IFERROR(cadangan[[#This Row],[Harga Diskon A]]-INDEX(Katalog!$E$3:$E$12,MATCH(cadangan[[#This Row],[ItemID A]],Katalog!$C$3:$C$12,0))*cadangan[[#This Row],[Qty A]],0)</f>
        <v>34000</v>
      </c>
      <c r="M644" s="39" t="str">
        <f>IFERROR(INDEX(Katalog!$A$3:$A$12,MATCH(cadangan[[#This Row],[ItemID B]],Katalog!$C$3:$C$12,0)),"-")</f>
        <v>-</v>
      </c>
      <c r="N644" s="39" t="str">
        <f>IFERROR(INDEX(Katalog!$B$3:$B$12,MATCH(cadangan[[#This Row],[ItemID B]],Katalog!$C$3:$C$12,0)),"-")</f>
        <v>-</v>
      </c>
      <c r="Q644" s="73">
        <f>IFERROR(INDEX(Katalog!$D$3:$D$12,MATCH(cadangan[[#This Row],[ItemID B]],Katalog!$C$3:$C$12,0))*cadangan[[#This Row],[Qty B]],0)</f>
        <v>0</v>
      </c>
      <c r="R644" s="73">
        <f>IFERROR(cadangan[[#This Row],[Harga Normal B]]-(cadangan[[#This Row],[Harga Normal B]]*cadangan[[#This Row],[Diskon]]),cadangan[[#This Row],[Harga Normal B]])</f>
        <v>0</v>
      </c>
      <c r="S644" s="73">
        <f>IFERROR(INDEX(Katalog!$F$3:$F$12,MATCH(cadangan[[#This Row],[ItemID B]],Katalog!$C$3:$C$12,0))*cadangan[[#This Row],[Qty B]],0)</f>
        <v>0</v>
      </c>
      <c r="T644" s="73">
        <f>IFERROR(cadangan[[#This Row],[Harga Diskon B]]-INDEX(Katalog!$E$3:$E$12,MATCH(cadangan[[#This Row],[ItemID B]],Katalog!$C$3:$C$12,0))*cadangan[[#This Row],[Qty B]],0)</f>
        <v>0</v>
      </c>
      <c r="V644" s="39" t="str">
        <f>IFERROR(INDEX(Katalog!$A$3:$A$12,MATCH(cadangan[[#This Row],[ItemID C]],Katalog!$C$3:$C$12,0)),"-")</f>
        <v>-</v>
      </c>
      <c r="W644" s="39" t="str">
        <f>IFERROR(INDEX(Katalog!$B$3:$B$12,MATCH(cadangan[[#This Row],[ItemID C]],Katalog!$C$3:$C$12,0)),"-")</f>
        <v>-</v>
      </c>
      <c r="Z644" s="73">
        <f>IFERROR(INDEX(Katalog!$D$3:$D$12,MATCH(cadangan[[#This Row],[ItemID C]],Katalog!$C$3:$C$12,0))*cadangan[[#This Row],[Qty C]],0)</f>
        <v>0</v>
      </c>
      <c r="AA644" s="73">
        <f>IFERROR(cadangan[[#This Row],[Harga Normal C]]-(cadangan[[#This Row],[Harga Normal C]]*cadangan[[#This Row],[Diskon]]),cadangan[[#This Row],[Harga Normal C]])</f>
        <v>0</v>
      </c>
      <c r="AB644" s="73">
        <f>IFERROR(INDEX(Katalog!$F$3:$F$12,MATCH(cadangan[[#This Row],[ItemID C]],Katalog!$C$3:$C$12,0))*cadangan[[#This Row],[Qty C]],0)</f>
        <v>0</v>
      </c>
      <c r="AC644" s="73">
        <f>IFERROR(cadangan[[#This Row],[Harga Diskon C]]-INDEX(Katalog!$E$3:$E$12,MATCH(cadangan[[#This Row],[ItemID C]],Katalog!$C$3:$C$12,0))*cadangan[[#This Row],[Qty C]],0)</f>
        <v>0</v>
      </c>
      <c r="AD644" s="53">
        <f>cadangan[[#This Row],[Qty A]]+cadangan[[#This Row],[Qty B]]+cadangan[[#This Row],[Qty C]]</f>
        <v>1</v>
      </c>
      <c r="AE644" s="73">
        <f>cadangan[[#This Row],[Harga Normal A]]+cadangan[[#This Row],[Harga Normal B]]+cadangan[[#This Row],[Harga Normal C]]</f>
        <v>180000</v>
      </c>
      <c r="AF644" s="73">
        <f>cadangan[[#This Row],[Harga Diskon A]]+cadangan[[#This Row],[Harga Diskon B]]+cadangan[[#This Row],[Harga Diskon C]]</f>
        <v>144000</v>
      </c>
      <c r="AG644" s="73">
        <f>(cadangan[[#This Row],[Profit Normal A]]+cadangan[[#This Row],[Profit Normal B]]+cadangan[[#This Row],[Profit Normal C]])</f>
        <v>70000</v>
      </c>
      <c r="AH644" s="73">
        <f>cadangan[[#This Row],[Profit Diskon A]]+cadangan[[#This Row],[Profit Diskon B]]+cadangan[[#This Row],[Profit Diskon C]]</f>
        <v>34000</v>
      </c>
      <c r="AI644" s="23" t="s">
        <v>8</v>
      </c>
      <c r="AJ644" s="37">
        <f>IFERROR(INDEX('Kode Diskon'!$D$3:$D$9,MATCH(cadangan[[#This Row],[Kode diskon]],'Kode Diskon'!$C$3:$C$9,0)),"-")</f>
        <v>0.2</v>
      </c>
      <c r="AK644" s="23" t="s">
        <v>9</v>
      </c>
      <c r="AL644" s="23" t="s">
        <v>7</v>
      </c>
      <c r="AM644" s="23" t="s">
        <v>80</v>
      </c>
      <c r="AN644" s="55">
        <v>45032</v>
      </c>
      <c r="AO644" s="53">
        <f>DAY(cadangan[[#This Row],[Tanggal terjual]])</f>
        <v>16</v>
      </c>
      <c r="AP644" s="21" t="str">
        <f>TEXT(cadangan[[#This Row],[Tanggal terjual]],"dddd")</f>
        <v>Sunday</v>
      </c>
      <c r="AQ644" s="23" t="str" cm="1">
        <f t="array" ref="AQ6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44" s="61">
        <f>AVERAGE(cadangan[[#This Row],[Rating A]],cadangan[[#This Row],[Rating B]],cadangan[[#This Row],[Rating C]])</f>
        <v>3</v>
      </c>
    </row>
    <row r="645" spans="1:44" x14ac:dyDescent="0.2">
      <c r="A645" s="20">
        <v>644</v>
      </c>
      <c r="B645" s="21" t="str">
        <f>_xlfn.CONCAT("ORD-",INDEX(Helper!$B$2:$B$5,MATCH(cadangan[[#This Row],[Marketplace]],Helper!$A$2:$A$5,0)),TEXT(cadangan[[#This Row],[No]],"0000"),"-",TEXT(cadangan[[#This Row],[Tanggal terjual]],"dd/mm/yy"))</f>
        <v>ORD-TK0644-20/04/23</v>
      </c>
      <c r="C645" s="39" t="s">
        <v>65</v>
      </c>
      <c r="D645" s="39" t="str">
        <f>IFERROR(INDEX(Katalog!$A$3:$A$12,MATCH(cadangan[[#This Row],[ItemID A]],Katalog!$C$3:$C$12,0)),"-")</f>
        <v>Sepatu Pria</v>
      </c>
      <c r="E645" s="39" t="str">
        <f>IFERROR(INDEX(Katalog!$B$3:$B$12,MATCH(cadangan[[#This Row],[ItemID A]],Katalog!$C$3:$C$12,0)),"-")</f>
        <v>Sneakers</v>
      </c>
      <c r="F645" s="50">
        <v>4</v>
      </c>
      <c r="G645" s="50">
        <v>2</v>
      </c>
      <c r="H645" s="73">
        <f>IFERROR(INDEX(Katalog!$D$3:$D$12,MATCH(cadangan[[#This Row],[ItemID A]],Katalog!$C$3:$C$12,0))*cadangan[[#This Row],[Qty A]],0)</f>
        <v>2000000</v>
      </c>
      <c r="I645" s="73">
        <f>IFERROR(cadangan[[#This Row],[Harga Normal A]]-(cadangan[[#This Row],[Harga Normal A]]*cadangan[[#This Row],[Diskon]]),cadangan[[#This Row],[Harga Normal A]])</f>
        <v>1800000</v>
      </c>
      <c r="J645" s="73">
        <f>INDEX(Katalog!$F$3:$F$12,MATCH(cadangan[[#This Row],[ItemID A]],Katalog!$C$3:$C$12,0))*cadangan[[#This Row],[Qty A]]</f>
        <v>800000</v>
      </c>
      <c r="K645" s="73">
        <f>IFERROR(cadangan[[#This Row],[Harga Diskon A]]-INDEX(Katalog!$E$3:$E$12,MATCH(cadangan[[#This Row],[ItemID A]],Katalog!$C$3:$C$12,0))*cadangan[[#This Row],[Qty A]],0)</f>
        <v>600000</v>
      </c>
      <c r="L645" s="39" t="s">
        <v>64</v>
      </c>
      <c r="M645" s="39" t="str">
        <f>IFERROR(INDEX(Katalog!$A$3:$A$12,MATCH(cadangan[[#This Row],[ItemID B]],Katalog!$C$3:$C$12,0)),"-")</f>
        <v>Pakaian Unisex</v>
      </c>
      <c r="N645" s="39" t="str">
        <f>IFERROR(INDEX(Katalog!$B$3:$B$12,MATCH(cadangan[[#This Row],[ItemID B]],Katalog!$C$3:$C$12,0)),"-")</f>
        <v>Jaket Hoodie</v>
      </c>
      <c r="O645" s="50">
        <v>2</v>
      </c>
      <c r="P645" s="50">
        <v>1</v>
      </c>
      <c r="Q645" s="73">
        <f>IFERROR(INDEX(Katalog!$D$3:$D$12,MATCH(cadangan[[#This Row],[ItemID B]],Katalog!$C$3:$C$12,0))*cadangan[[#This Row],[Qty B]],0)</f>
        <v>700000</v>
      </c>
      <c r="R645" s="73">
        <f>IFERROR(cadangan[[#This Row],[Harga Normal B]]-(cadangan[[#This Row],[Harga Normal B]]*cadangan[[#This Row],[Diskon]]),cadangan[[#This Row],[Harga Normal B]])</f>
        <v>630000</v>
      </c>
      <c r="S645" s="73">
        <f>IFERROR(INDEX(Katalog!$F$3:$F$12,MATCH(cadangan[[#This Row],[ItemID B]],Katalog!$C$3:$C$12,0))*cadangan[[#This Row],[Qty B]],0)</f>
        <v>260000</v>
      </c>
      <c r="T645" s="73">
        <f>IFERROR(cadangan[[#This Row],[Harga Diskon B]]-INDEX(Katalog!$E$3:$E$12,MATCH(cadangan[[#This Row],[ItemID B]],Katalog!$C$3:$C$12,0))*cadangan[[#This Row],[Qty B]],0)</f>
        <v>190000</v>
      </c>
      <c r="V645" s="39" t="str">
        <f>IFERROR(INDEX(Katalog!$A$3:$A$12,MATCH(cadangan[[#This Row],[ItemID C]],Katalog!$C$3:$C$12,0)),"-")</f>
        <v>-</v>
      </c>
      <c r="W645" s="39" t="str">
        <f>IFERROR(INDEX(Katalog!$B$3:$B$12,MATCH(cadangan[[#This Row],[ItemID C]],Katalog!$C$3:$C$12,0)),"-")</f>
        <v>-</v>
      </c>
      <c r="Z645" s="73">
        <f>IFERROR(INDEX(Katalog!$D$3:$D$12,MATCH(cadangan[[#This Row],[ItemID C]],Katalog!$C$3:$C$12,0))*cadangan[[#This Row],[Qty C]],0)</f>
        <v>0</v>
      </c>
      <c r="AA645" s="73">
        <f>IFERROR(cadangan[[#This Row],[Harga Normal C]]-(cadangan[[#This Row],[Harga Normal C]]*cadangan[[#This Row],[Diskon]]),cadangan[[#This Row],[Harga Normal C]])</f>
        <v>0</v>
      </c>
      <c r="AB645" s="73">
        <f>IFERROR(INDEX(Katalog!$F$3:$F$12,MATCH(cadangan[[#This Row],[ItemID C]],Katalog!$C$3:$C$12,0))*cadangan[[#This Row],[Qty C]],0)</f>
        <v>0</v>
      </c>
      <c r="AC645" s="73">
        <f>IFERROR(cadangan[[#This Row],[Harga Diskon C]]-INDEX(Katalog!$E$3:$E$12,MATCH(cadangan[[#This Row],[ItemID C]],Katalog!$C$3:$C$12,0))*cadangan[[#This Row],[Qty C]],0)</f>
        <v>0</v>
      </c>
      <c r="AD645" s="53">
        <f>cadangan[[#This Row],[Qty A]]+cadangan[[#This Row],[Qty B]]+cadangan[[#This Row],[Qty C]]</f>
        <v>6</v>
      </c>
      <c r="AE645" s="73">
        <f>cadangan[[#This Row],[Harga Normal A]]+cadangan[[#This Row],[Harga Normal B]]+cadangan[[#This Row],[Harga Normal C]]</f>
        <v>2700000</v>
      </c>
      <c r="AF645" s="73">
        <f>cadangan[[#This Row],[Harga Diskon A]]+cadangan[[#This Row],[Harga Diskon B]]+cadangan[[#This Row],[Harga Diskon C]]</f>
        <v>2430000</v>
      </c>
      <c r="AG645" s="73">
        <f>(cadangan[[#This Row],[Profit Normal A]]+cadangan[[#This Row],[Profit Normal B]]+cadangan[[#This Row],[Profit Normal C]])</f>
        <v>1060000</v>
      </c>
      <c r="AH645" s="73">
        <f>cadangan[[#This Row],[Profit Diskon A]]+cadangan[[#This Row],[Profit Diskon B]]+cadangan[[#This Row],[Profit Diskon C]]</f>
        <v>790000</v>
      </c>
      <c r="AI645" s="23" t="s">
        <v>31</v>
      </c>
      <c r="AJ645" s="37">
        <f>IFERROR(INDEX('Kode Diskon'!$D$3:$D$9,MATCH(cadangan[[#This Row],[Kode diskon]],'Kode Diskon'!$C$3:$C$9,0)),"-")</f>
        <v>0.1</v>
      </c>
      <c r="AK645" s="23" t="s">
        <v>9</v>
      </c>
      <c r="AL645" s="23" t="s">
        <v>10</v>
      </c>
      <c r="AM645" s="23" t="s">
        <v>75</v>
      </c>
      <c r="AN645" s="55">
        <v>45036</v>
      </c>
      <c r="AO645" s="53">
        <f>DAY(cadangan[[#This Row],[Tanggal terjual]])</f>
        <v>20</v>
      </c>
      <c r="AP645" s="21" t="str">
        <f>TEXT(cadangan[[#This Row],[Tanggal terjual]],"dddd")</f>
        <v>Thursday</v>
      </c>
      <c r="AQ645" s="23" t="str" cm="1">
        <f t="array" ref="AQ6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45" s="61">
        <f>AVERAGE(cadangan[[#This Row],[Rating A]],cadangan[[#This Row],[Rating B]],cadangan[[#This Row],[Rating C]])</f>
        <v>1.5</v>
      </c>
    </row>
    <row r="646" spans="1:44" x14ac:dyDescent="0.2">
      <c r="A646" s="20">
        <v>645</v>
      </c>
      <c r="B646" s="21" t="str">
        <f>_xlfn.CONCAT("ORD-",INDEX(Helper!$B$2:$B$5,MATCH(cadangan[[#This Row],[Marketplace]],Helper!$A$2:$A$5,0)),TEXT(cadangan[[#This Row],[No]],"0000"),"-",TEXT(cadangan[[#This Row],[Tanggal terjual]],"dd/mm/yy"))</f>
        <v>ORD-SP0645-05/04/23</v>
      </c>
      <c r="C646" s="39" t="s">
        <v>65</v>
      </c>
      <c r="D646" s="39" t="str">
        <f>IFERROR(INDEX(Katalog!$A$3:$A$12,MATCH(cadangan[[#This Row],[ItemID A]],Katalog!$C$3:$C$12,0)),"-")</f>
        <v>Sepatu Pria</v>
      </c>
      <c r="E646" s="39" t="str">
        <f>IFERROR(INDEX(Katalog!$B$3:$B$12,MATCH(cadangan[[#This Row],[ItemID A]],Katalog!$C$3:$C$12,0)),"-")</f>
        <v>Sneakers</v>
      </c>
      <c r="F646" s="50">
        <v>1</v>
      </c>
      <c r="G646" s="50">
        <v>1</v>
      </c>
      <c r="H646" s="73">
        <f>IFERROR(INDEX(Katalog!$D$3:$D$12,MATCH(cadangan[[#This Row],[ItemID A]],Katalog!$C$3:$C$12,0))*cadangan[[#This Row],[Qty A]],0)</f>
        <v>500000</v>
      </c>
      <c r="I646" s="73">
        <f>IFERROR(cadangan[[#This Row],[Harga Normal A]]-(cadangan[[#This Row],[Harga Normal A]]*cadangan[[#This Row],[Diskon]]),cadangan[[#This Row],[Harga Normal A]])</f>
        <v>450000</v>
      </c>
      <c r="J646" s="73">
        <f>INDEX(Katalog!$F$3:$F$12,MATCH(cadangan[[#This Row],[ItemID A]],Katalog!$C$3:$C$12,0))*cadangan[[#This Row],[Qty A]]</f>
        <v>200000</v>
      </c>
      <c r="K646" s="73">
        <f>IFERROR(cadangan[[#This Row],[Harga Diskon A]]-INDEX(Katalog!$E$3:$E$12,MATCH(cadangan[[#This Row],[ItemID A]],Katalog!$C$3:$C$12,0))*cadangan[[#This Row],[Qty A]],0)</f>
        <v>150000</v>
      </c>
      <c r="L646" s="39" t="s">
        <v>59</v>
      </c>
      <c r="M646" s="39" t="str">
        <f>IFERROR(INDEX(Katalog!$A$3:$A$12,MATCH(cadangan[[#This Row],[ItemID B]],Katalog!$C$3:$C$12,0)),"-")</f>
        <v>Pakaian Wanita</v>
      </c>
      <c r="N646" s="39" t="str">
        <f>IFERROR(INDEX(Katalog!$B$3:$B$12,MATCH(cadangan[[#This Row],[ItemID B]],Katalog!$C$3:$C$12,0)),"-")</f>
        <v>Blouse</v>
      </c>
      <c r="O646" s="50">
        <v>2</v>
      </c>
      <c r="P646" s="50">
        <v>1</v>
      </c>
      <c r="Q646" s="73">
        <f>IFERROR(INDEX(Katalog!$D$3:$D$12,MATCH(cadangan[[#This Row],[ItemID B]],Katalog!$C$3:$C$12,0))*cadangan[[#This Row],[Qty B]],0)</f>
        <v>300000</v>
      </c>
      <c r="R646" s="73">
        <f>IFERROR(cadangan[[#This Row],[Harga Normal B]]-(cadangan[[#This Row],[Harga Normal B]]*cadangan[[#This Row],[Diskon]]),cadangan[[#This Row],[Harga Normal B]])</f>
        <v>270000</v>
      </c>
      <c r="S646" s="73">
        <f>IFERROR(INDEX(Katalog!$F$3:$F$12,MATCH(cadangan[[#This Row],[ItemID B]],Katalog!$C$3:$C$12,0))*cadangan[[#This Row],[Qty B]],0)</f>
        <v>100000</v>
      </c>
      <c r="T646" s="73">
        <f>IFERROR(cadangan[[#This Row],[Harga Diskon B]]-INDEX(Katalog!$E$3:$E$12,MATCH(cadangan[[#This Row],[ItemID B]],Katalog!$C$3:$C$12,0))*cadangan[[#This Row],[Qty B]],0)</f>
        <v>70000</v>
      </c>
      <c r="U646" s="39" t="s">
        <v>61</v>
      </c>
      <c r="V646" s="39" t="str">
        <f>IFERROR(INDEX(Katalog!$A$3:$A$12,MATCH(cadangan[[#This Row],[ItemID C]],Katalog!$C$3:$C$12,0)),"-")</f>
        <v>Pakaian Pria</v>
      </c>
      <c r="W646" s="39" t="str">
        <f>IFERROR(INDEX(Katalog!$B$3:$B$12,MATCH(cadangan[[#This Row],[ItemID C]],Katalog!$C$3:$C$12,0)),"-")</f>
        <v>Kaos Polo</v>
      </c>
      <c r="X646" s="50">
        <v>1</v>
      </c>
      <c r="Y646" s="50">
        <v>2</v>
      </c>
      <c r="Z646" s="73">
        <f>IFERROR(INDEX(Katalog!$D$3:$D$12,MATCH(cadangan[[#This Row],[ItemID C]],Katalog!$C$3:$C$12,0))*cadangan[[#This Row],[Qty C]],0)</f>
        <v>200000</v>
      </c>
      <c r="AA646" s="73">
        <f>IFERROR(cadangan[[#This Row],[Harga Normal C]]-(cadangan[[#This Row],[Harga Normal C]]*cadangan[[#This Row],[Diskon]]),cadangan[[#This Row],[Harga Normal C]])</f>
        <v>180000</v>
      </c>
      <c r="AB646" s="73">
        <f>IFERROR(INDEX(Katalog!$F$3:$F$12,MATCH(cadangan[[#This Row],[ItemID C]],Katalog!$C$3:$C$12,0))*cadangan[[#This Row],[Qty C]],0)</f>
        <v>80000</v>
      </c>
      <c r="AC646" s="73">
        <f>IFERROR(cadangan[[#This Row],[Harga Diskon C]]-INDEX(Katalog!$E$3:$E$12,MATCH(cadangan[[#This Row],[ItemID C]],Katalog!$C$3:$C$12,0))*cadangan[[#This Row],[Qty C]],0)</f>
        <v>60000</v>
      </c>
      <c r="AD646" s="53">
        <f>cadangan[[#This Row],[Qty A]]+cadangan[[#This Row],[Qty B]]+cadangan[[#This Row],[Qty C]]</f>
        <v>4</v>
      </c>
      <c r="AE646" s="73">
        <f>cadangan[[#This Row],[Harga Normal A]]+cadangan[[#This Row],[Harga Normal B]]+cadangan[[#This Row],[Harga Normal C]]</f>
        <v>1000000</v>
      </c>
      <c r="AF646" s="73">
        <f>cadangan[[#This Row],[Harga Diskon A]]+cadangan[[#This Row],[Harga Diskon B]]+cadangan[[#This Row],[Harga Diskon C]]</f>
        <v>900000</v>
      </c>
      <c r="AG646" s="73">
        <f>(cadangan[[#This Row],[Profit Normal A]]+cadangan[[#This Row],[Profit Normal B]]+cadangan[[#This Row],[Profit Normal C]])</f>
        <v>380000</v>
      </c>
      <c r="AH646" s="73">
        <f>cadangan[[#This Row],[Profit Diskon A]]+cadangan[[#This Row],[Profit Diskon B]]+cadangan[[#This Row],[Profit Diskon C]]</f>
        <v>280000</v>
      </c>
      <c r="AI646" s="23" t="s">
        <v>6</v>
      </c>
      <c r="AJ646" s="37">
        <f>IFERROR(INDEX('Kode Diskon'!$D$3:$D$9,MATCH(cadangan[[#This Row],[Kode diskon]],'Kode Diskon'!$C$3:$C$9,0)),"-")</f>
        <v>0.1</v>
      </c>
      <c r="AK646" s="23" t="s">
        <v>29</v>
      </c>
      <c r="AL646" s="23" t="s">
        <v>7</v>
      </c>
      <c r="AM646" s="23" t="s">
        <v>75</v>
      </c>
      <c r="AN646" s="55">
        <v>45021</v>
      </c>
      <c r="AO646" s="53">
        <f>DAY(cadangan[[#This Row],[Tanggal terjual]])</f>
        <v>5</v>
      </c>
      <c r="AP646" s="21" t="str">
        <f>TEXT(cadangan[[#This Row],[Tanggal terjual]],"dddd")</f>
        <v>Wednesday</v>
      </c>
      <c r="AQ646" s="23" t="str" cm="1">
        <f t="array" ref="AQ6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46" s="61">
        <f>AVERAGE(cadangan[[#This Row],[Rating A]],cadangan[[#This Row],[Rating B]],cadangan[[#This Row],[Rating C]])</f>
        <v>1.3333333333333333</v>
      </c>
    </row>
    <row r="647" spans="1:44" x14ac:dyDescent="0.2">
      <c r="A647" s="20">
        <v>646</v>
      </c>
      <c r="B647" s="21" t="str">
        <f>_xlfn.CONCAT("ORD-",INDEX(Helper!$B$2:$B$5,MATCH(cadangan[[#This Row],[Marketplace]],Helper!$A$2:$A$5,0)),TEXT(cadangan[[#This Row],[No]],"0000"),"-",TEXT(cadangan[[#This Row],[Tanggal terjual]],"dd/mm/yy"))</f>
        <v>ORD-TK0646-03/04/23</v>
      </c>
      <c r="C647" s="39" t="s">
        <v>59</v>
      </c>
      <c r="D647" s="39" t="str">
        <f>IFERROR(INDEX(Katalog!$A$3:$A$12,MATCH(cadangan[[#This Row],[ItemID A]],Katalog!$C$3:$C$12,0)),"-")</f>
        <v>Pakaian Wanita</v>
      </c>
      <c r="E647" s="39" t="str">
        <f>IFERROR(INDEX(Katalog!$B$3:$B$12,MATCH(cadangan[[#This Row],[ItemID A]],Katalog!$C$3:$C$12,0)),"-")</f>
        <v>Blouse</v>
      </c>
      <c r="F647" s="50">
        <v>2</v>
      </c>
      <c r="G647" s="50">
        <v>2</v>
      </c>
      <c r="H647" s="73">
        <f>IFERROR(INDEX(Katalog!$D$3:$D$12,MATCH(cadangan[[#This Row],[ItemID A]],Katalog!$C$3:$C$12,0))*cadangan[[#This Row],[Qty A]],0)</f>
        <v>300000</v>
      </c>
      <c r="I647" s="73">
        <f>IFERROR(cadangan[[#This Row],[Harga Normal A]]-(cadangan[[#This Row],[Harga Normal A]]*cadangan[[#This Row],[Diskon]]),cadangan[[#This Row],[Harga Normal A]])</f>
        <v>270000</v>
      </c>
      <c r="J647" s="73">
        <f>INDEX(Katalog!$F$3:$F$12,MATCH(cadangan[[#This Row],[ItemID A]],Katalog!$C$3:$C$12,0))*cadangan[[#This Row],[Qty A]]</f>
        <v>100000</v>
      </c>
      <c r="K647" s="73">
        <f>IFERROR(cadangan[[#This Row],[Harga Diskon A]]-INDEX(Katalog!$E$3:$E$12,MATCH(cadangan[[#This Row],[ItemID A]],Katalog!$C$3:$C$12,0))*cadangan[[#This Row],[Qty A]],0)</f>
        <v>70000</v>
      </c>
      <c r="M647" s="39" t="str">
        <f>IFERROR(INDEX(Katalog!$A$3:$A$12,MATCH(cadangan[[#This Row],[ItemID B]],Katalog!$C$3:$C$12,0)),"-")</f>
        <v>-</v>
      </c>
      <c r="N647" s="39" t="str">
        <f>IFERROR(INDEX(Katalog!$B$3:$B$12,MATCH(cadangan[[#This Row],[ItemID B]],Katalog!$C$3:$C$12,0)),"-")</f>
        <v>-</v>
      </c>
      <c r="Q647" s="73">
        <f>IFERROR(INDEX(Katalog!$D$3:$D$12,MATCH(cadangan[[#This Row],[ItemID B]],Katalog!$C$3:$C$12,0))*cadangan[[#This Row],[Qty B]],0)</f>
        <v>0</v>
      </c>
      <c r="R647" s="73">
        <f>IFERROR(cadangan[[#This Row],[Harga Normal B]]-(cadangan[[#This Row],[Harga Normal B]]*cadangan[[#This Row],[Diskon]]),cadangan[[#This Row],[Harga Normal B]])</f>
        <v>0</v>
      </c>
      <c r="S647" s="73">
        <f>IFERROR(INDEX(Katalog!$F$3:$F$12,MATCH(cadangan[[#This Row],[ItemID B]],Katalog!$C$3:$C$12,0))*cadangan[[#This Row],[Qty B]],0)</f>
        <v>0</v>
      </c>
      <c r="T647" s="73">
        <f>IFERROR(cadangan[[#This Row],[Harga Diskon B]]-INDEX(Katalog!$E$3:$E$12,MATCH(cadangan[[#This Row],[ItemID B]],Katalog!$C$3:$C$12,0))*cadangan[[#This Row],[Qty B]],0)</f>
        <v>0</v>
      </c>
      <c r="V647" s="39" t="str">
        <f>IFERROR(INDEX(Katalog!$A$3:$A$12,MATCH(cadangan[[#This Row],[ItemID C]],Katalog!$C$3:$C$12,0)),"-")</f>
        <v>-</v>
      </c>
      <c r="W647" s="39" t="str">
        <f>IFERROR(INDEX(Katalog!$B$3:$B$12,MATCH(cadangan[[#This Row],[ItemID C]],Katalog!$C$3:$C$12,0)),"-")</f>
        <v>-</v>
      </c>
      <c r="Z647" s="73">
        <f>IFERROR(INDEX(Katalog!$D$3:$D$12,MATCH(cadangan[[#This Row],[ItemID C]],Katalog!$C$3:$C$12,0))*cadangan[[#This Row],[Qty C]],0)</f>
        <v>0</v>
      </c>
      <c r="AA647" s="73">
        <f>IFERROR(cadangan[[#This Row],[Harga Normal C]]-(cadangan[[#This Row],[Harga Normal C]]*cadangan[[#This Row],[Diskon]]),cadangan[[#This Row],[Harga Normal C]])</f>
        <v>0</v>
      </c>
      <c r="AB647" s="73">
        <f>IFERROR(INDEX(Katalog!$F$3:$F$12,MATCH(cadangan[[#This Row],[ItemID C]],Katalog!$C$3:$C$12,0))*cadangan[[#This Row],[Qty C]],0)</f>
        <v>0</v>
      </c>
      <c r="AC647" s="73">
        <f>IFERROR(cadangan[[#This Row],[Harga Diskon C]]-INDEX(Katalog!$E$3:$E$12,MATCH(cadangan[[#This Row],[ItemID C]],Katalog!$C$3:$C$12,0))*cadangan[[#This Row],[Qty C]],0)</f>
        <v>0</v>
      </c>
      <c r="AD647" s="53">
        <f>cadangan[[#This Row],[Qty A]]+cadangan[[#This Row],[Qty B]]+cadangan[[#This Row],[Qty C]]</f>
        <v>2</v>
      </c>
      <c r="AE647" s="73">
        <f>cadangan[[#This Row],[Harga Normal A]]+cadangan[[#This Row],[Harga Normal B]]+cadangan[[#This Row],[Harga Normal C]]</f>
        <v>300000</v>
      </c>
      <c r="AF647" s="73">
        <f>cadangan[[#This Row],[Harga Diskon A]]+cadangan[[#This Row],[Harga Diskon B]]+cadangan[[#This Row],[Harga Diskon C]]</f>
        <v>270000</v>
      </c>
      <c r="AG647" s="73">
        <f>(cadangan[[#This Row],[Profit Normal A]]+cadangan[[#This Row],[Profit Normal B]]+cadangan[[#This Row],[Profit Normal C]])</f>
        <v>100000</v>
      </c>
      <c r="AH647" s="73">
        <f>cadangan[[#This Row],[Profit Diskon A]]+cadangan[[#This Row],[Profit Diskon B]]+cadangan[[#This Row],[Profit Diskon C]]</f>
        <v>70000</v>
      </c>
      <c r="AI647" s="23" t="s">
        <v>30</v>
      </c>
      <c r="AJ647" s="37">
        <f>IFERROR(INDEX('Kode Diskon'!$D$3:$D$9,MATCH(cadangan[[#This Row],[Kode diskon]],'Kode Diskon'!$C$3:$C$9,0)),"-")</f>
        <v>0.1</v>
      </c>
      <c r="AK647" s="23" t="s">
        <v>29</v>
      </c>
      <c r="AL647" s="23" t="s">
        <v>10</v>
      </c>
      <c r="AM647" s="23" t="s">
        <v>75</v>
      </c>
      <c r="AN647" s="55">
        <v>45019</v>
      </c>
      <c r="AO647" s="53">
        <f>DAY(cadangan[[#This Row],[Tanggal terjual]])</f>
        <v>3</v>
      </c>
      <c r="AP647" s="21" t="str">
        <f>TEXT(cadangan[[#This Row],[Tanggal terjual]],"dddd")</f>
        <v>Monday</v>
      </c>
      <c r="AQ647" s="23" t="str" cm="1">
        <f t="array" ref="AQ6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47" s="61">
        <f>AVERAGE(cadangan[[#This Row],[Rating A]],cadangan[[#This Row],[Rating B]],cadangan[[#This Row],[Rating C]])</f>
        <v>2</v>
      </c>
    </row>
    <row r="648" spans="1:44" x14ac:dyDescent="0.2">
      <c r="A648" s="20">
        <v>647</v>
      </c>
      <c r="B648" s="21" t="str">
        <f>_xlfn.CONCAT("ORD-",INDEX(Helper!$B$2:$B$5,MATCH(cadangan[[#This Row],[Marketplace]],Helper!$A$2:$A$5,0)),TEXT(cadangan[[#This Row],[No]],"0000"),"-",TEXT(cadangan[[#This Row],[Tanggal terjual]],"dd/mm/yy"))</f>
        <v>ORD-BL0647-27/04/23</v>
      </c>
      <c r="C648" s="39" t="s">
        <v>59</v>
      </c>
      <c r="D648" s="39" t="str">
        <f>IFERROR(INDEX(Katalog!$A$3:$A$12,MATCH(cadangan[[#This Row],[ItemID A]],Katalog!$C$3:$C$12,0)),"-")</f>
        <v>Pakaian Wanita</v>
      </c>
      <c r="E648" s="39" t="str">
        <f>IFERROR(INDEX(Katalog!$B$3:$B$12,MATCH(cadangan[[#This Row],[ItemID A]],Katalog!$C$3:$C$12,0)),"-")</f>
        <v>Blouse</v>
      </c>
      <c r="F648" s="50">
        <v>1</v>
      </c>
      <c r="G648" s="50">
        <v>1</v>
      </c>
      <c r="H648" s="73">
        <f>IFERROR(INDEX(Katalog!$D$3:$D$12,MATCH(cadangan[[#This Row],[ItemID A]],Katalog!$C$3:$C$12,0))*cadangan[[#This Row],[Qty A]],0)</f>
        <v>150000</v>
      </c>
      <c r="I648" s="73">
        <f>IFERROR(cadangan[[#This Row],[Harga Normal A]]-(cadangan[[#This Row],[Harga Normal A]]*cadangan[[#This Row],[Diskon]]),cadangan[[#This Row],[Harga Normal A]])</f>
        <v>127500</v>
      </c>
      <c r="J648" s="73">
        <f>INDEX(Katalog!$F$3:$F$12,MATCH(cadangan[[#This Row],[ItemID A]],Katalog!$C$3:$C$12,0))*cadangan[[#This Row],[Qty A]]</f>
        <v>50000</v>
      </c>
      <c r="K648" s="73">
        <f>IFERROR(cadangan[[#This Row],[Harga Diskon A]]-INDEX(Katalog!$E$3:$E$12,MATCH(cadangan[[#This Row],[ItemID A]],Katalog!$C$3:$C$12,0))*cadangan[[#This Row],[Qty A]],0)</f>
        <v>27500</v>
      </c>
      <c r="L648" s="39" t="s">
        <v>66</v>
      </c>
      <c r="M648" s="39" t="str">
        <f>IFERROR(INDEX(Katalog!$A$3:$A$12,MATCH(cadangan[[#This Row],[ItemID B]],Katalog!$C$3:$C$12,0)),"-")</f>
        <v>Sepatu Pria</v>
      </c>
      <c r="N648" s="39" t="str">
        <f>IFERROR(INDEX(Katalog!$B$3:$B$12,MATCH(cadangan[[#This Row],[ItemID B]],Katalog!$C$3:$C$12,0)),"-")</f>
        <v>Sandal Slip On</v>
      </c>
      <c r="O648" s="50">
        <v>1</v>
      </c>
      <c r="P648" s="50">
        <v>1</v>
      </c>
      <c r="Q648" s="73">
        <f>IFERROR(INDEX(Katalog!$D$3:$D$12,MATCH(cadangan[[#This Row],[ItemID B]],Katalog!$C$3:$C$12,0))*cadangan[[#This Row],[Qty B]],0)</f>
        <v>150000</v>
      </c>
      <c r="R648" s="73">
        <f>IFERROR(cadangan[[#This Row],[Harga Normal B]]-(cadangan[[#This Row],[Harga Normal B]]*cadangan[[#This Row],[Diskon]]),cadangan[[#This Row],[Harga Normal B]])</f>
        <v>127500</v>
      </c>
      <c r="S648" s="73">
        <f>IFERROR(INDEX(Katalog!$F$3:$F$12,MATCH(cadangan[[#This Row],[ItemID B]],Katalog!$C$3:$C$12,0))*cadangan[[#This Row],[Qty B]],0)</f>
        <v>60000</v>
      </c>
      <c r="T648" s="73">
        <f>IFERROR(cadangan[[#This Row],[Harga Diskon B]]-INDEX(Katalog!$E$3:$E$12,MATCH(cadangan[[#This Row],[ItemID B]],Katalog!$C$3:$C$12,0))*cadangan[[#This Row],[Qty B]],0)</f>
        <v>37500</v>
      </c>
      <c r="V648" s="39" t="str">
        <f>IFERROR(INDEX(Katalog!$A$3:$A$12,MATCH(cadangan[[#This Row],[ItemID C]],Katalog!$C$3:$C$12,0)),"-")</f>
        <v>-</v>
      </c>
      <c r="W648" s="39" t="str">
        <f>IFERROR(INDEX(Katalog!$B$3:$B$12,MATCH(cadangan[[#This Row],[ItemID C]],Katalog!$C$3:$C$12,0)),"-")</f>
        <v>-</v>
      </c>
      <c r="Z648" s="73">
        <f>IFERROR(INDEX(Katalog!$D$3:$D$12,MATCH(cadangan[[#This Row],[ItemID C]],Katalog!$C$3:$C$12,0))*cadangan[[#This Row],[Qty C]],0)</f>
        <v>0</v>
      </c>
      <c r="AA648" s="73">
        <f>IFERROR(cadangan[[#This Row],[Harga Normal C]]-(cadangan[[#This Row],[Harga Normal C]]*cadangan[[#This Row],[Diskon]]),cadangan[[#This Row],[Harga Normal C]])</f>
        <v>0</v>
      </c>
      <c r="AB648" s="73">
        <f>IFERROR(INDEX(Katalog!$F$3:$F$12,MATCH(cadangan[[#This Row],[ItemID C]],Katalog!$C$3:$C$12,0))*cadangan[[#This Row],[Qty C]],0)</f>
        <v>0</v>
      </c>
      <c r="AC648" s="73">
        <f>IFERROR(cadangan[[#This Row],[Harga Diskon C]]-INDEX(Katalog!$E$3:$E$12,MATCH(cadangan[[#This Row],[ItemID C]],Katalog!$C$3:$C$12,0))*cadangan[[#This Row],[Qty C]],0)</f>
        <v>0</v>
      </c>
      <c r="AD648" s="53">
        <f>cadangan[[#This Row],[Qty A]]+cadangan[[#This Row],[Qty B]]+cadangan[[#This Row],[Qty C]]</f>
        <v>2</v>
      </c>
      <c r="AE648" s="73">
        <f>cadangan[[#This Row],[Harga Normal A]]+cadangan[[#This Row],[Harga Normal B]]+cadangan[[#This Row],[Harga Normal C]]</f>
        <v>300000</v>
      </c>
      <c r="AF648" s="73">
        <f>cadangan[[#This Row],[Harga Diskon A]]+cadangan[[#This Row],[Harga Diskon B]]+cadangan[[#This Row],[Harga Diskon C]]</f>
        <v>255000</v>
      </c>
      <c r="AG648" s="73">
        <f>(cadangan[[#This Row],[Profit Normal A]]+cadangan[[#This Row],[Profit Normal B]]+cadangan[[#This Row],[Profit Normal C]])</f>
        <v>110000</v>
      </c>
      <c r="AH648" s="73">
        <f>cadangan[[#This Row],[Profit Diskon A]]+cadangan[[#This Row],[Profit Diskon B]]+cadangan[[#This Row],[Profit Diskon C]]</f>
        <v>65000</v>
      </c>
      <c r="AI648" s="23" t="s">
        <v>32</v>
      </c>
      <c r="AJ648" s="37">
        <f>IFERROR(INDEX('Kode Diskon'!$D$3:$D$9,MATCH(cadangan[[#This Row],[Kode diskon]],'Kode Diskon'!$C$3:$C$9,0)),"-")</f>
        <v>0.15</v>
      </c>
      <c r="AK648" s="23" t="s">
        <v>9</v>
      </c>
      <c r="AL648" s="23" t="s">
        <v>12</v>
      </c>
      <c r="AM648" s="23" t="s">
        <v>76</v>
      </c>
      <c r="AN648" s="55">
        <v>45043</v>
      </c>
      <c r="AO648" s="53">
        <f>DAY(cadangan[[#This Row],[Tanggal terjual]])</f>
        <v>27</v>
      </c>
      <c r="AP648" s="21" t="str">
        <f>TEXT(cadangan[[#This Row],[Tanggal terjual]],"dddd")</f>
        <v>Thursday</v>
      </c>
      <c r="AQ648" s="23" t="str" cm="1">
        <f t="array" ref="AQ6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48" s="61">
        <f>AVERAGE(cadangan[[#This Row],[Rating A]],cadangan[[#This Row],[Rating B]],cadangan[[#This Row],[Rating C]])</f>
        <v>1</v>
      </c>
    </row>
    <row r="649" spans="1:44" x14ac:dyDescent="0.2">
      <c r="A649" s="20">
        <v>648</v>
      </c>
      <c r="B649" s="21" t="str">
        <f>_xlfn.CONCAT("ORD-",INDEX(Helper!$B$2:$B$5,MATCH(cadangan[[#This Row],[Marketplace]],Helper!$A$2:$A$5,0)),TEXT(cadangan[[#This Row],[No]],"0000"),"-",TEXT(cadangan[[#This Row],[Tanggal terjual]],"dd/mm/yy"))</f>
        <v>ORD-BL0648-29/04/23</v>
      </c>
      <c r="C649" s="39" t="s">
        <v>59</v>
      </c>
      <c r="D649" s="39" t="str">
        <f>IFERROR(INDEX(Katalog!$A$3:$A$12,MATCH(cadangan[[#This Row],[ItemID A]],Katalog!$C$3:$C$12,0)),"-")</f>
        <v>Pakaian Wanita</v>
      </c>
      <c r="E649" s="39" t="str">
        <f>IFERROR(INDEX(Katalog!$B$3:$B$12,MATCH(cadangan[[#This Row],[ItemID A]],Katalog!$C$3:$C$12,0)),"-")</f>
        <v>Blouse</v>
      </c>
      <c r="F649" s="50">
        <v>3</v>
      </c>
      <c r="G649" s="50">
        <v>5</v>
      </c>
      <c r="H649" s="73">
        <f>IFERROR(INDEX(Katalog!$D$3:$D$12,MATCH(cadangan[[#This Row],[ItemID A]],Katalog!$C$3:$C$12,0))*cadangan[[#This Row],[Qty A]],0)</f>
        <v>450000</v>
      </c>
      <c r="I649" s="73">
        <f>IFERROR(cadangan[[#This Row],[Harga Normal A]]-(cadangan[[#This Row],[Harga Normal A]]*cadangan[[#This Row],[Diskon]]),cadangan[[#This Row],[Harga Normal A]])</f>
        <v>382500</v>
      </c>
      <c r="J649" s="73">
        <f>INDEX(Katalog!$F$3:$F$12,MATCH(cadangan[[#This Row],[ItemID A]],Katalog!$C$3:$C$12,0))*cadangan[[#This Row],[Qty A]]</f>
        <v>150000</v>
      </c>
      <c r="K649" s="73">
        <f>IFERROR(cadangan[[#This Row],[Harga Diskon A]]-INDEX(Katalog!$E$3:$E$12,MATCH(cadangan[[#This Row],[ItemID A]],Katalog!$C$3:$C$12,0))*cadangan[[#This Row],[Qty A]],0)</f>
        <v>82500</v>
      </c>
      <c r="L649" s="39" t="s">
        <v>67</v>
      </c>
      <c r="M649" s="39" t="str">
        <f>IFERROR(INDEX(Katalog!$A$3:$A$12,MATCH(cadangan[[#This Row],[ItemID B]],Katalog!$C$3:$C$12,0)),"-")</f>
        <v>Sepatu Wanita</v>
      </c>
      <c r="N649" s="39" t="str">
        <f>IFERROR(INDEX(Katalog!$B$3:$B$12,MATCH(cadangan[[#This Row],[ItemID B]],Katalog!$C$3:$C$12,0)),"-")</f>
        <v>Flat Shoes</v>
      </c>
      <c r="O649" s="50">
        <v>3</v>
      </c>
      <c r="P649" s="50">
        <v>1</v>
      </c>
      <c r="Q649" s="73">
        <f>IFERROR(INDEX(Katalog!$D$3:$D$12,MATCH(cadangan[[#This Row],[ItemID B]],Katalog!$C$3:$C$12,0))*cadangan[[#This Row],[Qty B]],0)</f>
        <v>750000</v>
      </c>
      <c r="R649" s="73">
        <f>IFERROR(cadangan[[#This Row],[Harga Normal B]]-(cadangan[[#This Row],[Harga Normal B]]*cadangan[[#This Row],[Diskon]]),cadangan[[#This Row],[Harga Normal B]])</f>
        <v>637500</v>
      </c>
      <c r="S649" s="73">
        <f>IFERROR(INDEX(Katalog!$F$3:$F$12,MATCH(cadangan[[#This Row],[ItemID B]],Katalog!$C$3:$C$12,0))*cadangan[[#This Row],[Qty B]],0)</f>
        <v>300000</v>
      </c>
      <c r="T649" s="73">
        <f>IFERROR(cadangan[[#This Row],[Harga Diskon B]]-INDEX(Katalog!$E$3:$E$12,MATCH(cadangan[[#This Row],[ItemID B]],Katalog!$C$3:$C$12,0))*cadangan[[#This Row],[Qty B]],0)</f>
        <v>187500</v>
      </c>
      <c r="V649" s="39" t="str">
        <f>IFERROR(INDEX(Katalog!$A$3:$A$12,MATCH(cadangan[[#This Row],[ItemID C]],Katalog!$C$3:$C$12,0)),"-")</f>
        <v>-</v>
      </c>
      <c r="W649" s="39" t="str">
        <f>IFERROR(INDEX(Katalog!$B$3:$B$12,MATCH(cadangan[[#This Row],[ItemID C]],Katalog!$C$3:$C$12,0)),"-")</f>
        <v>-</v>
      </c>
      <c r="Z649" s="73">
        <f>IFERROR(INDEX(Katalog!$D$3:$D$12,MATCH(cadangan[[#This Row],[ItemID C]],Katalog!$C$3:$C$12,0))*cadangan[[#This Row],[Qty C]],0)</f>
        <v>0</v>
      </c>
      <c r="AA649" s="73">
        <f>IFERROR(cadangan[[#This Row],[Harga Normal C]]-(cadangan[[#This Row],[Harga Normal C]]*cadangan[[#This Row],[Diskon]]),cadangan[[#This Row],[Harga Normal C]])</f>
        <v>0</v>
      </c>
      <c r="AB649" s="73">
        <f>IFERROR(INDEX(Katalog!$F$3:$F$12,MATCH(cadangan[[#This Row],[ItemID C]],Katalog!$C$3:$C$12,0))*cadangan[[#This Row],[Qty C]],0)</f>
        <v>0</v>
      </c>
      <c r="AC649" s="73">
        <f>IFERROR(cadangan[[#This Row],[Harga Diskon C]]-INDEX(Katalog!$E$3:$E$12,MATCH(cadangan[[#This Row],[ItemID C]],Katalog!$C$3:$C$12,0))*cadangan[[#This Row],[Qty C]],0)</f>
        <v>0</v>
      </c>
      <c r="AD649" s="53">
        <f>cadangan[[#This Row],[Qty A]]+cadangan[[#This Row],[Qty B]]+cadangan[[#This Row],[Qty C]]</f>
        <v>6</v>
      </c>
      <c r="AE649" s="73">
        <f>cadangan[[#This Row],[Harga Normal A]]+cadangan[[#This Row],[Harga Normal B]]+cadangan[[#This Row],[Harga Normal C]]</f>
        <v>1200000</v>
      </c>
      <c r="AF649" s="73">
        <f>cadangan[[#This Row],[Harga Diskon A]]+cadangan[[#This Row],[Harga Diskon B]]+cadangan[[#This Row],[Harga Diskon C]]</f>
        <v>1020000</v>
      </c>
      <c r="AG649" s="73">
        <f>(cadangan[[#This Row],[Profit Normal A]]+cadangan[[#This Row],[Profit Normal B]]+cadangan[[#This Row],[Profit Normal C]])</f>
        <v>450000</v>
      </c>
      <c r="AH649" s="73">
        <f>cadangan[[#This Row],[Profit Diskon A]]+cadangan[[#This Row],[Profit Diskon B]]+cadangan[[#This Row],[Profit Diskon C]]</f>
        <v>270000</v>
      </c>
      <c r="AI649" s="23" t="s">
        <v>32</v>
      </c>
      <c r="AJ649" s="37">
        <f>IFERROR(INDEX('Kode Diskon'!$D$3:$D$9,MATCH(cadangan[[#This Row],[Kode diskon]],'Kode Diskon'!$C$3:$C$9,0)),"-")</f>
        <v>0.15</v>
      </c>
      <c r="AK649" s="23" t="s">
        <v>9</v>
      </c>
      <c r="AL649" s="23" t="s">
        <v>12</v>
      </c>
      <c r="AM649" s="23" t="s">
        <v>79</v>
      </c>
      <c r="AN649" s="55">
        <v>45045</v>
      </c>
      <c r="AO649" s="53">
        <f>DAY(cadangan[[#This Row],[Tanggal terjual]])</f>
        <v>29</v>
      </c>
      <c r="AP649" s="21" t="str">
        <f>TEXT(cadangan[[#This Row],[Tanggal terjual]],"dddd")</f>
        <v>Saturday</v>
      </c>
      <c r="AQ649" s="23" t="str" cm="1">
        <f t="array" ref="AQ6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49" s="61">
        <f>AVERAGE(cadangan[[#This Row],[Rating A]],cadangan[[#This Row],[Rating B]],cadangan[[#This Row],[Rating C]])</f>
        <v>3</v>
      </c>
    </row>
    <row r="650" spans="1:44" x14ac:dyDescent="0.2">
      <c r="A650" s="20">
        <v>649</v>
      </c>
      <c r="B650" s="21" t="str">
        <f>_xlfn.CONCAT("ORD-",INDEX(Helper!$B$2:$B$5,MATCH(cadangan[[#This Row],[Marketplace]],Helper!$A$2:$A$5,0)),TEXT(cadangan[[#This Row],[No]],"0000"),"-",TEXT(cadangan[[#This Row],[Tanggal terjual]],"dd/mm/yy"))</f>
        <v>ORD-SP0649-15/04/23</v>
      </c>
      <c r="C650" s="39" t="s">
        <v>64</v>
      </c>
      <c r="D650" s="39" t="str">
        <f>IFERROR(INDEX(Katalog!$A$3:$A$12,MATCH(cadangan[[#This Row],[ItemID A]],Katalog!$C$3:$C$12,0)),"-")</f>
        <v>Pakaian Unisex</v>
      </c>
      <c r="E650" s="39" t="str">
        <f>IFERROR(INDEX(Katalog!$B$3:$B$12,MATCH(cadangan[[#This Row],[ItemID A]],Katalog!$C$3:$C$12,0)),"-")</f>
        <v>Jaket Hoodie</v>
      </c>
      <c r="F650" s="50">
        <v>4</v>
      </c>
      <c r="G650" s="50">
        <v>2</v>
      </c>
      <c r="H650" s="73">
        <f>IFERROR(INDEX(Katalog!$D$3:$D$12,MATCH(cadangan[[#This Row],[ItemID A]],Katalog!$C$3:$C$12,0))*cadangan[[#This Row],[Qty A]],0)</f>
        <v>1400000</v>
      </c>
      <c r="I650" s="73">
        <f>IFERROR(cadangan[[#This Row],[Harga Normal A]]-(cadangan[[#This Row],[Harga Normal A]]*cadangan[[#This Row],[Diskon]]),cadangan[[#This Row],[Harga Normal A]])</f>
        <v>1400000</v>
      </c>
      <c r="J650" s="73">
        <f>INDEX(Katalog!$F$3:$F$12,MATCH(cadangan[[#This Row],[ItemID A]],Katalog!$C$3:$C$12,0))*cadangan[[#This Row],[Qty A]]</f>
        <v>520000</v>
      </c>
      <c r="K650" s="73">
        <f>IFERROR(cadangan[[#This Row],[Harga Diskon A]]-INDEX(Katalog!$E$3:$E$12,MATCH(cadangan[[#This Row],[ItemID A]],Katalog!$C$3:$C$12,0))*cadangan[[#This Row],[Qty A]],0)</f>
        <v>520000</v>
      </c>
      <c r="L650" s="39" t="s">
        <v>66</v>
      </c>
      <c r="M650" s="39" t="str">
        <f>IFERROR(INDEX(Katalog!$A$3:$A$12,MATCH(cadangan[[#This Row],[ItemID B]],Katalog!$C$3:$C$12,0)),"-")</f>
        <v>Sepatu Pria</v>
      </c>
      <c r="N650" s="39" t="str">
        <f>IFERROR(INDEX(Katalog!$B$3:$B$12,MATCH(cadangan[[#This Row],[ItemID B]],Katalog!$C$3:$C$12,0)),"-")</f>
        <v>Sandal Slip On</v>
      </c>
      <c r="O650" s="50">
        <v>1</v>
      </c>
      <c r="P650" s="50">
        <v>4</v>
      </c>
      <c r="Q650" s="73">
        <f>IFERROR(INDEX(Katalog!$D$3:$D$12,MATCH(cadangan[[#This Row],[ItemID B]],Katalog!$C$3:$C$12,0))*cadangan[[#This Row],[Qty B]],0)</f>
        <v>150000</v>
      </c>
      <c r="R650" s="73">
        <f>IFERROR(cadangan[[#This Row],[Harga Normal B]]-(cadangan[[#This Row],[Harga Normal B]]*cadangan[[#This Row],[Diskon]]),cadangan[[#This Row],[Harga Normal B]])</f>
        <v>150000</v>
      </c>
      <c r="S650" s="73">
        <f>IFERROR(INDEX(Katalog!$F$3:$F$12,MATCH(cadangan[[#This Row],[ItemID B]],Katalog!$C$3:$C$12,0))*cadangan[[#This Row],[Qty B]],0)</f>
        <v>60000</v>
      </c>
      <c r="T650" s="73">
        <f>IFERROR(cadangan[[#This Row],[Harga Diskon B]]-INDEX(Katalog!$E$3:$E$12,MATCH(cadangan[[#This Row],[ItemID B]],Katalog!$C$3:$C$12,0))*cadangan[[#This Row],[Qty B]],0)</f>
        <v>60000</v>
      </c>
      <c r="U650" s="39" t="s">
        <v>63</v>
      </c>
      <c r="V650" s="39" t="str">
        <f>IFERROR(INDEX(Katalog!$A$3:$A$12,MATCH(cadangan[[#This Row],[ItemID C]],Katalog!$C$3:$C$12,0)),"-")</f>
        <v>Pakaian Pria</v>
      </c>
      <c r="W650" s="39" t="str">
        <f>IFERROR(INDEX(Katalog!$B$3:$B$12,MATCH(cadangan[[#This Row],[ItemID C]],Katalog!$C$3:$C$12,0)),"-")</f>
        <v>Jaket Jeans</v>
      </c>
      <c r="X650" s="50">
        <v>2</v>
      </c>
      <c r="Y650" s="50">
        <v>3</v>
      </c>
      <c r="Z650" s="73">
        <f>IFERROR(INDEX(Katalog!$D$3:$D$12,MATCH(cadangan[[#This Row],[ItemID C]],Katalog!$C$3:$C$12,0))*cadangan[[#This Row],[Qty C]],0)</f>
        <v>800000</v>
      </c>
      <c r="AA650" s="73">
        <f>IFERROR(cadangan[[#This Row],[Harga Normal C]]-(cadangan[[#This Row],[Harga Normal C]]*cadangan[[#This Row],[Diskon]]),cadangan[[#This Row],[Harga Normal C]])</f>
        <v>800000</v>
      </c>
      <c r="AB650" s="73">
        <f>IFERROR(INDEX(Katalog!$F$3:$F$12,MATCH(cadangan[[#This Row],[ItemID C]],Katalog!$C$3:$C$12,0))*cadangan[[#This Row],[Qty C]],0)</f>
        <v>300000</v>
      </c>
      <c r="AC650" s="73">
        <f>IFERROR(cadangan[[#This Row],[Harga Diskon C]]-INDEX(Katalog!$E$3:$E$12,MATCH(cadangan[[#This Row],[ItemID C]],Katalog!$C$3:$C$12,0))*cadangan[[#This Row],[Qty C]],0)</f>
        <v>300000</v>
      </c>
      <c r="AD650" s="53">
        <f>cadangan[[#This Row],[Qty A]]+cadangan[[#This Row],[Qty B]]+cadangan[[#This Row],[Qty C]]</f>
        <v>7</v>
      </c>
      <c r="AE650" s="73">
        <f>cadangan[[#This Row],[Harga Normal A]]+cadangan[[#This Row],[Harga Normal B]]+cadangan[[#This Row],[Harga Normal C]]</f>
        <v>2350000</v>
      </c>
      <c r="AF650" s="73">
        <f>cadangan[[#This Row],[Harga Diskon A]]+cadangan[[#This Row],[Harga Diskon B]]+cadangan[[#This Row],[Harga Diskon C]]</f>
        <v>2350000</v>
      </c>
      <c r="AG650" s="73">
        <f>(cadangan[[#This Row],[Profit Normal A]]+cadangan[[#This Row],[Profit Normal B]]+cadangan[[#This Row],[Profit Normal C]])</f>
        <v>880000</v>
      </c>
      <c r="AH650" s="73">
        <f>cadangan[[#This Row],[Profit Diskon A]]+cadangan[[#This Row],[Profit Diskon B]]+cadangan[[#This Row],[Profit Diskon C]]</f>
        <v>880000</v>
      </c>
      <c r="AI650" s="23" t="s">
        <v>290</v>
      </c>
      <c r="AJ650" s="37" t="str">
        <f>IFERROR(INDEX('Kode Diskon'!$D$3:$D$9,MATCH(cadangan[[#This Row],[Kode diskon]],'Kode Diskon'!$C$3:$C$9,0)),"-")</f>
        <v>-</v>
      </c>
      <c r="AK650" s="23" t="s">
        <v>290</v>
      </c>
      <c r="AL650" s="23" t="s">
        <v>7</v>
      </c>
      <c r="AM650" s="23" t="s">
        <v>76</v>
      </c>
      <c r="AN650" s="55">
        <v>45031</v>
      </c>
      <c r="AO650" s="53">
        <f>DAY(cadangan[[#This Row],[Tanggal terjual]])</f>
        <v>15</v>
      </c>
      <c r="AP650" s="21" t="str">
        <f>TEXT(cadangan[[#This Row],[Tanggal terjual]],"dddd")</f>
        <v>Saturday</v>
      </c>
      <c r="AQ650" s="23" t="str" cm="1">
        <f t="array" ref="AQ6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50" s="61">
        <f>AVERAGE(cadangan[[#This Row],[Rating A]],cadangan[[#This Row],[Rating B]],cadangan[[#This Row],[Rating C]])</f>
        <v>3</v>
      </c>
    </row>
    <row r="651" spans="1:44" x14ac:dyDescent="0.2">
      <c r="A651" s="20">
        <v>650</v>
      </c>
      <c r="B651" s="21" t="str">
        <f>_xlfn.CONCAT("ORD-",INDEX(Helper!$B$2:$B$5,MATCH(cadangan[[#This Row],[Marketplace]],Helper!$A$2:$A$5,0)),TEXT(cadangan[[#This Row],[No]],"0000"),"-",TEXT(cadangan[[#This Row],[Tanggal terjual]],"dd/mm/yy"))</f>
        <v>ORD-SP0650-05/04/23</v>
      </c>
      <c r="C651" s="39" t="s">
        <v>63</v>
      </c>
      <c r="D651" s="39" t="str">
        <f>IFERROR(INDEX(Katalog!$A$3:$A$12,MATCH(cadangan[[#This Row],[ItemID A]],Katalog!$C$3:$C$12,0)),"-")</f>
        <v>Pakaian Pria</v>
      </c>
      <c r="E651" s="39" t="str">
        <f>IFERROR(INDEX(Katalog!$B$3:$B$12,MATCH(cadangan[[#This Row],[ItemID A]],Katalog!$C$3:$C$12,0)),"-")</f>
        <v>Jaket Jeans</v>
      </c>
      <c r="F651" s="50">
        <v>3</v>
      </c>
      <c r="G651" s="50">
        <v>1</v>
      </c>
      <c r="H651" s="73">
        <f>IFERROR(INDEX(Katalog!$D$3:$D$12,MATCH(cadangan[[#This Row],[ItemID A]],Katalog!$C$3:$C$12,0))*cadangan[[#This Row],[Qty A]],0)</f>
        <v>1200000</v>
      </c>
      <c r="I651" s="73">
        <f>IFERROR(cadangan[[#This Row],[Harga Normal A]]-(cadangan[[#This Row],[Harga Normal A]]*cadangan[[#This Row],[Diskon]]),cadangan[[#This Row],[Harga Normal A]])</f>
        <v>1080000</v>
      </c>
      <c r="J651" s="73">
        <f>INDEX(Katalog!$F$3:$F$12,MATCH(cadangan[[#This Row],[ItemID A]],Katalog!$C$3:$C$12,0))*cadangan[[#This Row],[Qty A]]</f>
        <v>450000</v>
      </c>
      <c r="K651" s="73">
        <f>IFERROR(cadangan[[#This Row],[Harga Diskon A]]-INDEX(Katalog!$E$3:$E$12,MATCH(cadangan[[#This Row],[ItemID A]],Katalog!$C$3:$C$12,0))*cadangan[[#This Row],[Qty A]],0)</f>
        <v>330000</v>
      </c>
      <c r="M651" s="39" t="str">
        <f>IFERROR(INDEX(Katalog!$A$3:$A$12,MATCH(cadangan[[#This Row],[ItemID B]],Katalog!$C$3:$C$12,0)),"-")</f>
        <v>-</v>
      </c>
      <c r="N651" s="39" t="str">
        <f>IFERROR(INDEX(Katalog!$B$3:$B$12,MATCH(cadangan[[#This Row],[ItemID B]],Katalog!$C$3:$C$12,0)),"-")</f>
        <v>-</v>
      </c>
      <c r="Q651" s="73">
        <f>IFERROR(INDEX(Katalog!$D$3:$D$12,MATCH(cadangan[[#This Row],[ItemID B]],Katalog!$C$3:$C$12,0))*cadangan[[#This Row],[Qty B]],0)</f>
        <v>0</v>
      </c>
      <c r="R651" s="73">
        <f>IFERROR(cadangan[[#This Row],[Harga Normal B]]-(cadangan[[#This Row],[Harga Normal B]]*cadangan[[#This Row],[Diskon]]),cadangan[[#This Row],[Harga Normal B]])</f>
        <v>0</v>
      </c>
      <c r="S651" s="73">
        <f>IFERROR(INDEX(Katalog!$F$3:$F$12,MATCH(cadangan[[#This Row],[ItemID B]],Katalog!$C$3:$C$12,0))*cadangan[[#This Row],[Qty B]],0)</f>
        <v>0</v>
      </c>
      <c r="T651" s="73">
        <f>IFERROR(cadangan[[#This Row],[Harga Diskon B]]-INDEX(Katalog!$E$3:$E$12,MATCH(cadangan[[#This Row],[ItemID B]],Katalog!$C$3:$C$12,0))*cadangan[[#This Row],[Qty B]],0)</f>
        <v>0</v>
      </c>
      <c r="V651" s="39" t="str">
        <f>IFERROR(INDEX(Katalog!$A$3:$A$12,MATCH(cadangan[[#This Row],[ItemID C]],Katalog!$C$3:$C$12,0)),"-")</f>
        <v>-</v>
      </c>
      <c r="W651" s="39" t="str">
        <f>IFERROR(INDEX(Katalog!$B$3:$B$12,MATCH(cadangan[[#This Row],[ItemID C]],Katalog!$C$3:$C$12,0)),"-")</f>
        <v>-</v>
      </c>
      <c r="Z651" s="73">
        <f>IFERROR(INDEX(Katalog!$D$3:$D$12,MATCH(cadangan[[#This Row],[ItemID C]],Katalog!$C$3:$C$12,0))*cadangan[[#This Row],[Qty C]],0)</f>
        <v>0</v>
      </c>
      <c r="AA651" s="73">
        <f>IFERROR(cadangan[[#This Row],[Harga Normal C]]-(cadangan[[#This Row],[Harga Normal C]]*cadangan[[#This Row],[Diskon]]),cadangan[[#This Row],[Harga Normal C]])</f>
        <v>0</v>
      </c>
      <c r="AB651" s="73">
        <f>IFERROR(INDEX(Katalog!$F$3:$F$12,MATCH(cadangan[[#This Row],[ItemID C]],Katalog!$C$3:$C$12,0))*cadangan[[#This Row],[Qty C]],0)</f>
        <v>0</v>
      </c>
      <c r="AC651" s="73">
        <f>IFERROR(cadangan[[#This Row],[Harga Diskon C]]-INDEX(Katalog!$E$3:$E$12,MATCH(cadangan[[#This Row],[ItemID C]],Katalog!$C$3:$C$12,0))*cadangan[[#This Row],[Qty C]],0)</f>
        <v>0</v>
      </c>
      <c r="AD651" s="53">
        <f>cadangan[[#This Row],[Qty A]]+cadangan[[#This Row],[Qty B]]+cadangan[[#This Row],[Qty C]]</f>
        <v>3</v>
      </c>
      <c r="AE651" s="73">
        <f>cadangan[[#This Row],[Harga Normal A]]+cadangan[[#This Row],[Harga Normal B]]+cadangan[[#This Row],[Harga Normal C]]</f>
        <v>1200000</v>
      </c>
      <c r="AF651" s="73">
        <f>cadangan[[#This Row],[Harga Diskon A]]+cadangan[[#This Row],[Harga Diskon B]]+cadangan[[#This Row],[Harga Diskon C]]</f>
        <v>1080000</v>
      </c>
      <c r="AG651" s="73">
        <f>(cadangan[[#This Row],[Profit Normal A]]+cadangan[[#This Row],[Profit Normal B]]+cadangan[[#This Row],[Profit Normal C]])</f>
        <v>450000</v>
      </c>
      <c r="AH651" s="73">
        <f>cadangan[[#This Row],[Profit Diskon A]]+cadangan[[#This Row],[Profit Diskon B]]+cadangan[[#This Row],[Profit Diskon C]]</f>
        <v>330000</v>
      </c>
      <c r="AI651" s="23" t="s">
        <v>6</v>
      </c>
      <c r="AJ651" s="37">
        <f>IFERROR(INDEX('Kode Diskon'!$D$3:$D$9,MATCH(cadangan[[#This Row],[Kode diskon]],'Kode Diskon'!$C$3:$C$9,0)),"-")</f>
        <v>0.1</v>
      </c>
      <c r="AK651" s="23" t="s">
        <v>29</v>
      </c>
      <c r="AL651" s="23" t="s">
        <v>7</v>
      </c>
      <c r="AM651" s="23" t="s">
        <v>79</v>
      </c>
      <c r="AN651" s="55">
        <v>45021</v>
      </c>
      <c r="AO651" s="53">
        <f>DAY(cadangan[[#This Row],[Tanggal terjual]])</f>
        <v>5</v>
      </c>
      <c r="AP651" s="21" t="str">
        <f>TEXT(cadangan[[#This Row],[Tanggal terjual]],"dddd")</f>
        <v>Wednesday</v>
      </c>
      <c r="AQ651" s="23" t="str" cm="1">
        <f t="array" ref="AQ6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51" s="61">
        <f>AVERAGE(cadangan[[#This Row],[Rating A]],cadangan[[#This Row],[Rating B]],cadangan[[#This Row],[Rating C]])</f>
        <v>1</v>
      </c>
    </row>
    <row r="652" spans="1:44" x14ac:dyDescent="0.2">
      <c r="A652" s="20">
        <v>651</v>
      </c>
      <c r="B652" s="21" t="str">
        <f>_xlfn.CONCAT("ORD-",INDEX(Helper!$B$2:$B$5,MATCH(cadangan[[#This Row],[Marketplace]],Helper!$A$2:$A$5,0)),TEXT(cadangan[[#This Row],[No]],"0000"),"-",TEXT(cadangan[[#This Row],[Tanggal terjual]],"dd/mm/yy"))</f>
        <v>ORD-BL0651-28/04/23</v>
      </c>
      <c r="C652" s="39" t="s">
        <v>66</v>
      </c>
      <c r="D652" s="39" t="str">
        <f>IFERROR(INDEX(Katalog!$A$3:$A$12,MATCH(cadangan[[#This Row],[ItemID A]],Katalog!$C$3:$C$12,0)),"-")</f>
        <v>Sepatu Pria</v>
      </c>
      <c r="E652" s="39" t="str">
        <f>IFERROR(INDEX(Katalog!$B$3:$B$12,MATCH(cadangan[[#This Row],[ItemID A]],Katalog!$C$3:$C$12,0)),"-")</f>
        <v>Sandal Slip On</v>
      </c>
      <c r="F652" s="50">
        <v>1</v>
      </c>
      <c r="G652" s="50">
        <v>5</v>
      </c>
      <c r="H652" s="73">
        <f>IFERROR(INDEX(Katalog!$D$3:$D$12,MATCH(cadangan[[#This Row],[ItemID A]],Katalog!$C$3:$C$12,0))*cadangan[[#This Row],[Qty A]],0)</f>
        <v>150000</v>
      </c>
      <c r="I652" s="73">
        <f>IFERROR(cadangan[[#This Row],[Harga Normal A]]-(cadangan[[#This Row],[Harga Normal A]]*cadangan[[#This Row],[Diskon]]),cadangan[[#This Row],[Harga Normal A]])</f>
        <v>127500</v>
      </c>
      <c r="J652" s="73">
        <f>INDEX(Katalog!$F$3:$F$12,MATCH(cadangan[[#This Row],[ItemID A]],Katalog!$C$3:$C$12,0))*cadangan[[#This Row],[Qty A]]</f>
        <v>60000</v>
      </c>
      <c r="K652" s="73">
        <f>IFERROR(cadangan[[#This Row],[Harga Diskon A]]-INDEX(Katalog!$E$3:$E$12,MATCH(cadangan[[#This Row],[ItemID A]],Katalog!$C$3:$C$12,0))*cadangan[[#This Row],[Qty A]],0)</f>
        <v>37500</v>
      </c>
      <c r="L652" s="39" t="s">
        <v>59</v>
      </c>
      <c r="M652" s="39" t="str">
        <f>IFERROR(INDEX(Katalog!$A$3:$A$12,MATCH(cadangan[[#This Row],[ItemID B]],Katalog!$C$3:$C$12,0)),"-")</f>
        <v>Pakaian Wanita</v>
      </c>
      <c r="N652" s="39" t="str">
        <f>IFERROR(INDEX(Katalog!$B$3:$B$12,MATCH(cadangan[[#This Row],[ItemID B]],Katalog!$C$3:$C$12,0)),"-")</f>
        <v>Blouse</v>
      </c>
      <c r="O652" s="50">
        <v>2</v>
      </c>
      <c r="P652" s="50">
        <v>2</v>
      </c>
      <c r="Q652" s="73">
        <f>IFERROR(INDEX(Katalog!$D$3:$D$12,MATCH(cadangan[[#This Row],[ItemID B]],Katalog!$C$3:$C$12,0))*cadangan[[#This Row],[Qty B]],0)</f>
        <v>300000</v>
      </c>
      <c r="R652" s="73">
        <f>IFERROR(cadangan[[#This Row],[Harga Normal B]]-(cadangan[[#This Row],[Harga Normal B]]*cadangan[[#This Row],[Diskon]]),cadangan[[#This Row],[Harga Normal B]])</f>
        <v>255000</v>
      </c>
      <c r="S652" s="73">
        <f>IFERROR(INDEX(Katalog!$F$3:$F$12,MATCH(cadangan[[#This Row],[ItemID B]],Katalog!$C$3:$C$12,0))*cadangan[[#This Row],[Qty B]],0)</f>
        <v>100000</v>
      </c>
      <c r="T652" s="73">
        <f>IFERROR(cadangan[[#This Row],[Harga Diskon B]]-INDEX(Katalog!$E$3:$E$12,MATCH(cadangan[[#This Row],[ItemID B]],Katalog!$C$3:$C$12,0))*cadangan[[#This Row],[Qty B]],0)</f>
        <v>55000</v>
      </c>
      <c r="V652" s="39" t="str">
        <f>IFERROR(INDEX(Katalog!$A$3:$A$12,MATCH(cadangan[[#This Row],[ItemID C]],Katalog!$C$3:$C$12,0)),"-")</f>
        <v>-</v>
      </c>
      <c r="W652" s="39" t="str">
        <f>IFERROR(INDEX(Katalog!$B$3:$B$12,MATCH(cadangan[[#This Row],[ItemID C]],Katalog!$C$3:$C$12,0)),"-")</f>
        <v>-</v>
      </c>
      <c r="Z652" s="73">
        <f>IFERROR(INDEX(Katalog!$D$3:$D$12,MATCH(cadangan[[#This Row],[ItemID C]],Katalog!$C$3:$C$12,0))*cadangan[[#This Row],[Qty C]],0)</f>
        <v>0</v>
      </c>
      <c r="AA652" s="73">
        <f>IFERROR(cadangan[[#This Row],[Harga Normal C]]-(cadangan[[#This Row],[Harga Normal C]]*cadangan[[#This Row],[Diskon]]),cadangan[[#This Row],[Harga Normal C]])</f>
        <v>0</v>
      </c>
      <c r="AB652" s="73">
        <f>IFERROR(INDEX(Katalog!$F$3:$F$12,MATCH(cadangan[[#This Row],[ItemID C]],Katalog!$C$3:$C$12,0))*cadangan[[#This Row],[Qty C]],0)</f>
        <v>0</v>
      </c>
      <c r="AC652" s="73">
        <f>IFERROR(cadangan[[#This Row],[Harga Diskon C]]-INDEX(Katalog!$E$3:$E$12,MATCH(cadangan[[#This Row],[ItemID C]],Katalog!$C$3:$C$12,0))*cadangan[[#This Row],[Qty C]],0)</f>
        <v>0</v>
      </c>
      <c r="AD652" s="53">
        <f>cadangan[[#This Row],[Qty A]]+cadangan[[#This Row],[Qty B]]+cadangan[[#This Row],[Qty C]]</f>
        <v>3</v>
      </c>
      <c r="AE652" s="73">
        <f>cadangan[[#This Row],[Harga Normal A]]+cadangan[[#This Row],[Harga Normal B]]+cadangan[[#This Row],[Harga Normal C]]</f>
        <v>450000</v>
      </c>
      <c r="AF652" s="73">
        <f>cadangan[[#This Row],[Harga Diskon A]]+cadangan[[#This Row],[Harga Diskon B]]+cadangan[[#This Row],[Harga Diskon C]]</f>
        <v>382500</v>
      </c>
      <c r="AG652" s="73">
        <f>(cadangan[[#This Row],[Profit Normal A]]+cadangan[[#This Row],[Profit Normal B]]+cadangan[[#This Row],[Profit Normal C]])</f>
        <v>160000</v>
      </c>
      <c r="AH652" s="73">
        <f>cadangan[[#This Row],[Profit Diskon A]]+cadangan[[#This Row],[Profit Diskon B]]+cadangan[[#This Row],[Profit Diskon C]]</f>
        <v>92500</v>
      </c>
      <c r="AI652" s="23" t="s">
        <v>32</v>
      </c>
      <c r="AJ652" s="37">
        <f>IFERROR(INDEX('Kode Diskon'!$D$3:$D$9,MATCH(cadangan[[#This Row],[Kode diskon]],'Kode Diskon'!$C$3:$C$9,0)),"-")</f>
        <v>0.15</v>
      </c>
      <c r="AK652" s="23" t="s">
        <v>9</v>
      </c>
      <c r="AL652" s="23" t="s">
        <v>12</v>
      </c>
      <c r="AM652" s="23" t="s">
        <v>76</v>
      </c>
      <c r="AN652" s="55">
        <v>45044</v>
      </c>
      <c r="AO652" s="53">
        <f>DAY(cadangan[[#This Row],[Tanggal terjual]])</f>
        <v>28</v>
      </c>
      <c r="AP652" s="21" t="str">
        <f>TEXT(cadangan[[#This Row],[Tanggal terjual]],"dddd")</f>
        <v>Friday</v>
      </c>
      <c r="AQ652" s="23" t="str" cm="1">
        <f t="array" ref="AQ6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52" s="61">
        <f>AVERAGE(cadangan[[#This Row],[Rating A]],cadangan[[#This Row],[Rating B]],cadangan[[#This Row],[Rating C]])</f>
        <v>3.5</v>
      </c>
    </row>
    <row r="653" spans="1:44" x14ac:dyDescent="0.2">
      <c r="A653" s="20">
        <v>652</v>
      </c>
      <c r="B653" s="21" t="str">
        <f>_xlfn.CONCAT("ORD-",INDEX(Helper!$B$2:$B$5,MATCH(cadangan[[#This Row],[Marketplace]],Helper!$A$2:$A$5,0)),TEXT(cadangan[[#This Row],[No]],"0000"),"-",TEXT(cadangan[[#This Row],[Tanggal terjual]],"dd/mm/yy"))</f>
        <v>ORD-BL0652-14/04/23</v>
      </c>
      <c r="C653" s="39" t="s">
        <v>59</v>
      </c>
      <c r="D653" s="39" t="str">
        <f>IFERROR(INDEX(Katalog!$A$3:$A$12,MATCH(cadangan[[#This Row],[ItemID A]],Katalog!$C$3:$C$12,0)),"-")</f>
        <v>Pakaian Wanita</v>
      </c>
      <c r="E653" s="39" t="str">
        <f>IFERROR(INDEX(Katalog!$B$3:$B$12,MATCH(cadangan[[#This Row],[ItemID A]],Katalog!$C$3:$C$12,0)),"-")</f>
        <v>Blouse</v>
      </c>
      <c r="F653" s="50">
        <v>2</v>
      </c>
      <c r="G653" s="50">
        <v>1</v>
      </c>
      <c r="H653" s="73">
        <f>IFERROR(INDEX(Katalog!$D$3:$D$12,MATCH(cadangan[[#This Row],[ItemID A]],Katalog!$C$3:$C$12,0))*cadangan[[#This Row],[Qty A]],0)</f>
        <v>300000</v>
      </c>
      <c r="I653" s="73">
        <f>IFERROR(cadangan[[#This Row],[Harga Normal A]]-(cadangan[[#This Row],[Harga Normal A]]*cadangan[[#This Row],[Diskon]]),cadangan[[#This Row],[Harga Normal A]])</f>
        <v>300000</v>
      </c>
      <c r="J653" s="73">
        <f>INDEX(Katalog!$F$3:$F$12,MATCH(cadangan[[#This Row],[ItemID A]],Katalog!$C$3:$C$12,0))*cadangan[[#This Row],[Qty A]]</f>
        <v>100000</v>
      </c>
      <c r="K653" s="73">
        <f>IFERROR(cadangan[[#This Row],[Harga Diskon A]]-INDEX(Katalog!$E$3:$E$12,MATCH(cadangan[[#This Row],[ItemID A]],Katalog!$C$3:$C$12,0))*cadangan[[#This Row],[Qty A]],0)</f>
        <v>100000</v>
      </c>
      <c r="L653" s="39" t="s">
        <v>63</v>
      </c>
      <c r="M653" s="39" t="str">
        <f>IFERROR(INDEX(Katalog!$A$3:$A$12,MATCH(cadangan[[#This Row],[ItemID B]],Katalog!$C$3:$C$12,0)),"-")</f>
        <v>Pakaian Pria</v>
      </c>
      <c r="N653" s="39" t="str">
        <f>IFERROR(INDEX(Katalog!$B$3:$B$12,MATCH(cadangan[[#This Row],[ItemID B]],Katalog!$C$3:$C$12,0)),"-")</f>
        <v>Jaket Jeans</v>
      </c>
      <c r="O653" s="50">
        <v>3</v>
      </c>
      <c r="P653" s="50">
        <v>3</v>
      </c>
      <c r="Q653" s="73">
        <f>IFERROR(INDEX(Katalog!$D$3:$D$12,MATCH(cadangan[[#This Row],[ItemID B]],Katalog!$C$3:$C$12,0))*cadangan[[#This Row],[Qty B]],0)</f>
        <v>1200000</v>
      </c>
      <c r="R653" s="73">
        <f>IFERROR(cadangan[[#This Row],[Harga Normal B]]-(cadangan[[#This Row],[Harga Normal B]]*cadangan[[#This Row],[Diskon]]),cadangan[[#This Row],[Harga Normal B]])</f>
        <v>1200000</v>
      </c>
      <c r="S653" s="73">
        <f>IFERROR(INDEX(Katalog!$F$3:$F$12,MATCH(cadangan[[#This Row],[ItemID B]],Katalog!$C$3:$C$12,0))*cadangan[[#This Row],[Qty B]],0)</f>
        <v>450000</v>
      </c>
      <c r="T653" s="73">
        <f>IFERROR(cadangan[[#This Row],[Harga Diskon B]]-INDEX(Katalog!$E$3:$E$12,MATCH(cadangan[[#This Row],[ItemID B]],Katalog!$C$3:$C$12,0))*cadangan[[#This Row],[Qty B]],0)</f>
        <v>450000</v>
      </c>
      <c r="U653" s="39" t="s">
        <v>58</v>
      </c>
      <c r="V653" s="39" t="str">
        <f>IFERROR(INDEX(Katalog!$A$3:$A$12,MATCH(cadangan[[#This Row],[ItemID C]],Katalog!$C$3:$C$12,0)),"-")</f>
        <v>Pakaian Wanita</v>
      </c>
      <c r="W653" s="39" t="str">
        <f>IFERROR(INDEX(Katalog!$B$3:$B$12,MATCH(cadangan[[#This Row],[ItemID C]],Katalog!$C$3:$C$12,0)),"-")</f>
        <v>Dress</v>
      </c>
      <c r="X653" s="50">
        <v>1</v>
      </c>
      <c r="Y653" s="50">
        <v>3</v>
      </c>
      <c r="Z653" s="73">
        <f>IFERROR(INDEX(Katalog!$D$3:$D$12,MATCH(cadangan[[#This Row],[ItemID C]],Katalog!$C$3:$C$12,0))*cadangan[[#This Row],[Qty C]],0)</f>
        <v>300000</v>
      </c>
      <c r="AA653" s="73">
        <f>IFERROR(cadangan[[#This Row],[Harga Normal C]]-(cadangan[[#This Row],[Harga Normal C]]*cadangan[[#This Row],[Diskon]]),cadangan[[#This Row],[Harga Normal C]])</f>
        <v>300000</v>
      </c>
      <c r="AB653" s="73">
        <f>IFERROR(INDEX(Katalog!$F$3:$F$12,MATCH(cadangan[[#This Row],[ItemID C]],Katalog!$C$3:$C$12,0))*cadangan[[#This Row],[Qty C]],0)</f>
        <v>100000</v>
      </c>
      <c r="AC653" s="73">
        <f>IFERROR(cadangan[[#This Row],[Harga Diskon C]]-INDEX(Katalog!$E$3:$E$12,MATCH(cadangan[[#This Row],[ItemID C]],Katalog!$C$3:$C$12,0))*cadangan[[#This Row],[Qty C]],0)</f>
        <v>100000</v>
      </c>
      <c r="AD653" s="53">
        <f>cadangan[[#This Row],[Qty A]]+cadangan[[#This Row],[Qty B]]+cadangan[[#This Row],[Qty C]]</f>
        <v>6</v>
      </c>
      <c r="AE653" s="73">
        <f>cadangan[[#This Row],[Harga Normal A]]+cadangan[[#This Row],[Harga Normal B]]+cadangan[[#This Row],[Harga Normal C]]</f>
        <v>1800000</v>
      </c>
      <c r="AF653" s="73">
        <f>cadangan[[#This Row],[Harga Diskon A]]+cadangan[[#This Row],[Harga Diskon B]]+cadangan[[#This Row],[Harga Diskon C]]</f>
        <v>1800000</v>
      </c>
      <c r="AG653" s="73">
        <f>(cadangan[[#This Row],[Profit Normal A]]+cadangan[[#This Row],[Profit Normal B]]+cadangan[[#This Row],[Profit Normal C]])</f>
        <v>650000</v>
      </c>
      <c r="AH653" s="73">
        <f>cadangan[[#This Row],[Profit Diskon A]]+cadangan[[#This Row],[Profit Diskon B]]+cadangan[[#This Row],[Profit Diskon C]]</f>
        <v>650000</v>
      </c>
      <c r="AI653" s="23" t="s">
        <v>290</v>
      </c>
      <c r="AJ653" s="37" t="str">
        <f>IFERROR(INDEX('Kode Diskon'!$D$3:$D$9,MATCH(cadangan[[#This Row],[Kode diskon]],'Kode Diskon'!$C$3:$C$9,0)),"-")</f>
        <v>-</v>
      </c>
      <c r="AK653" s="23" t="s">
        <v>290</v>
      </c>
      <c r="AL653" s="23" t="s">
        <v>12</v>
      </c>
      <c r="AM653" s="23" t="s">
        <v>78</v>
      </c>
      <c r="AN653" s="55">
        <v>45030</v>
      </c>
      <c r="AO653" s="53">
        <f>DAY(cadangan[[#This Row],[Tanggal terjual]])</f>
        <v>14</v>
      </c>
      <c r="AP653" s="21" t="str">
        <f>TEXT(cadangan[[#This Row],[Tanggal terjual]],"dddd")</f>
        <v>Friday</v>
      </c>
      <c r="AQ653" s="23" t="str" cm="1">
        <f t="array" ref="AQ6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53" s="61">
        <f>AVERAGE(cadangan[[#This Row],[Rating A]],cadangan[[#This Row],[Rating B]],cadangan[[#This Row],[Rating C]])</f>
        <v>2.3333333333333335</v>
      </c>
    </row>
    <row r="654" spans="1:44" x14ac:dyDescent="0.2">
      <c r="A654" s="20">
        <v>653</v>
      </c>
      <c r="B654" s="21" t="str">
        <f>_xlfn.CONCAT("ORD-",INDEX(Helper!$B$2:$B$5,MATCH(cadangan[[#This Row],[Marketplace]],Helper!$A$2:$A$5,0)),TEXT(cadangan[[#This Row],[No]],"0000"),"-",TEXT(cadangan[[#This Row],[Tanggal terjual]],"dd/mm/yy"))</f>
        <v>ORD-BL0653-27/04/23</v>
      </c>
      <c r="C654" s="39" t="s">
        <v>62</v>
      </c>
      <c r="D654" s="39" t="str">
        <f>IFERROR(INDEX(Katalog!$A$3:$A$12,MATCH(cadangan[[#This Row],[ItemID A]],Katalog!$C$3:$C$12,0)),"-")</f>
        <v>Pakaian Pria</v>
      </c>
      <c r="E654" s="39" t="str">
        <f>IFERROR(INDEX(Katalog!$B$3:$B$12,MATCH(cadangan[[#This Row],[ItemID A]],Katalog!$C$3:$C$12,0)),"-")</f>
        <v>Celana Pendek</v>
      </c>
      <c r="F654" s="50">
        <v>1</v>
      </c>
      <c r="G654" s="50">
        <v>5</v>
      </c>
      <c r="H654" s="73">
        <f>IFERROR(INDEX(Katalog!$D$3:$D$12,MATCH(cadangan[[#This Row],[ItemID A]],Katalog!$C$3:$C$12,0))*cadangan[[#This Row],[Qty A]],0)</f>
        <v>180000</v>
      </c>
      <c r="I654" s="73">
        <f>IFERROR(cadangan[[#This Row],[Harga Normal A]]-(cadangan[[#This Row],[Harga Normal A]]*cadangan[[#This Row],[Diskon]]),cadangan[[#This Row],[Harga Normal A]])</f>
        <v>153000</v>
      </c>
      <c r="J654" s="73">
        <f>INDEX(Katalog!$F$3:$F$12,MATCH(cadangan[[#This Row],[ItemID A]],Katalog!$C$3:$C$12,0))*cadangan[[#This Row],[Qty A]]</f>
        <v>70000</v>
      </c>
      <c r="K654" s="73">
        <f>IFERROR(cadangan[[#This Row],[Harga Diskon A]]-INDEX(Katalog!$E$3:$E$12,MATCH(cadangan[[#This Row],[ItemID A]],Katalog!$C$3:$C$12,0))*cadangan[[#This Row],[Qty A]],0)</f>
        <v>43000</v>
      </c>
      <c r="L654" s="39" t="s">
        <v>63</v>
      </c>
      <c r="M654" s="39" t="str">
        <f>IFERROR(INDEX(Katalog!$A$3:$A$12,MATCH(cadangan[[#This Row],[ItemID B]],Katalog!$C$3:$C$12,0)),"-")</f>
        <v>Pakaian Pria</v>
      </c>
      <c r="N654" s="39" t="str">
        <f>IFERROR(INDEX(Katalog!$B$3:$B$12,MATCH(cadangan[[#This Row],[ItemID B]],Katalog!$C$3:$C$12,0)),"-")</f>
        <v>Jaket Jeans</v>
      </c>
      <c r="O654" s="50">
        <v>3</v>
      </c>
      <c r="P654" s="50">
        <v>2</v>
      </c>
      <c r="Q654" s="73">
        <f>IFERROR(INDEX(Katalog!$D$3:$D$12,MATCH(cadangan[[#This Row],[ItemID B]],Katalog!$C$3:$C$12,0))*cadangan[[#This Row],[Qty B]],0)</f>
        <v>1200000</v>
      </c>
      <c r="R654" s="73">
        <f>IFERROR(cadangan[[#This Row],[Harga Normal B]]-(cadangan[[#This Row],[Harga Normal B]]*cadangan[[#This Row],[Diskon]]),cadangan[[#This Row],[Harga Normal B]])</f>
        <v>1020000</v>
      </c>
      <c r="S654" s="73">
        <f>IFERROR(INDEX(Katalog!$F$3:$F$12,MATCH(cadangan[[#This Row],[ItemID B]],Katalog!$C$3:$C$12,0))*cadangan[[#This Row],[Qty B]],0)</f>
        <v>450000</v>
      </c>
      <c r="T654" s="73">
        <f>IFERROR(cadangan[[#This Row],[Harga Diskon B]]-INDEX(Katalog!$E$3:$E$12,MATCH(cadangan[[#This Row],[ItemID B]],Katalog!$C$3:$C$12,0))*cadangan[[#This Row],[Qty B]],0)</f>
        <v>270000</v>
      </c>
      <c r="U654" s="39" t="s">
        <v>60</v>
      </c>
      <c r="V654" s="39" t="str">
        <f>IFERROR(INDEX(Katalog!$A$3:$A$12,MATCH(cadangan[[#This Row],[ItemID C]],Katalog!$C$3:$C$12,0)),"-")</f>
        <v>Pakaian Wanita</v>
      </c>
      <c r="W654" s="39" t="str">
        <f>IFERROR(INDEX(Katalog!$B$3:$B$12,MATCH(cadangan[[#This Row],[ItemID C]],Katalog!$C$3:$C$12,0)),"-")</f>
        <v>Kaftan</v>
      </c>
      <c r="X654" s="50">
        <v>1</v>
      </c>
      <c r="Y654" s="50">
        <v>3</v>
      </c>
      <c r="Z654" s="73">
        <f>IFERROR(INDEX(Katalog!$D$3:$D$12,MATCH(cadangan[[#This Row],[ItemID C]],Katalog!$C$3:$C$12,0))*cadangan[[#This Row],[Qty C]],0)</f>
        <v>250000</v>
      </c>
      <c r="AA654" s="73">
        <f>IFERROR(cadangan[[#This Row],[Harga Normal C]]-(cadangan[[#This Row],[Harga Normal C]]*cadangan[[#This Row],[Diskon]]),cadangan[[#This Row],[Harga Normal C]])</f>
        <v>212500</v>
      </c>
      <c r="AB654" s="73">
        <f>IFERROR(INDEX(Katalog!$F$3:$F$12,MATCH(cadangan[[#This Row],[ItemID C]],Katalog!$C$3:$C$12,0))*cadangan[[#This Row],[Qty C]],0)</f>
        <v>100000</v>
      </c>
      <c r="AC654" s="73">
        <f>IFERROR(cadangan[[#This Row],[Harga Diskon C]]-INDEX(Katalog!$E$3:$E$12,MATCH(cadangan[[#This Row],[ItemID C]],Katalog!$C$3:$C$12,0))*cadangan[[#This Row],[Qty C]],0)</f>
        <v>62500</v>
      </c>
      <c r="AD654" s="53">
        <f>cadangan[[#This Row],[Qty A]]+cadangan[[#This Row],[Qty B]]+cadangan[[#This Row],[Qty C]]</f>
        <v>5</v>
      </c>
      <c r="AE654" s="73">
        <f>cadangan[[#This Row],[Harga Normal A]]+cadangan[[#This Row],[Harga Normal B]]+cadangan[[#This Row],[Harga Normal C]]</f>
        <v>1630000</v>
      </c>
      <c r="AF654" s="73">
        <f>cadangan[[#This Row],[Harga Diskon A]]+cadangan[[#This Row],[Harga Diskon B]]+cadangan[[#This Row],[Harga Diskon C]]</f>
        <v>1385500</v>
      </c>
      <c r="AG654" s="73">
        <f>(cadangan[[#This Row],[Profit Normal A]]+cadangan[[#This Row],[Profit Normal B]]+cadangan[[#This Row],[Profit Normal C]])</f>
        <v>620000</v>
      </c>
      <c r="AH654" s="73">
        <f>cadangan[[#This Row],[Profit Diskon A]]+cadangan[[#This Row],[Profit Diskon B]]+cadangan[[#This Row],[Profit Diskon C]]</f>
        <v>375500</v>
      </c>
      <c r="AI654" s="23" t="s">
        <v>32</v>
      </c>
      <c r="AJ654" s="37">
        <f>IFERROR(INDEX('Kode Diskon'!$D$3:$D$9,MATCH(cadangan[[#This Row],[Kode diskon]],'Kode Diskon'!$C$3:$C$9,0)),"-")</f>
        <v>0.15</v>
      </c>
      <c r="AK654" s="23" t="s">
        <v>9</v>
      </c>
      <c r="AL654" s="23" t="s">
        <v>12</v>
      </c>
      <c r="AM654" s="23" t="s">
        <v>80</v>
      </c>
      <c r="AN654" s="55">
        <v>45043</v>
      </c>
      <c r="AO654" s="53">
        <f>DAY(cadangan[[#This Row],[Tanggal terjual]])</f>
        <v>27</v>
      </c>
      <c r="AP654" s="21" t="str">
        <f>TEXT(cadangan[[#This Row],[Tanggal terjual]],"dddd")</f>
        <v>Thursday</v>
      </c>
      <c r="AQ654" s="23" t="str" cm="1">
        <f t="array" ref="AQ6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54" s="61">
        <f>AVERAGE(cadangan[[#This Row],[Rating A]],cadangan[[#This Row],[Rating B]],cadangan[[#This Row],[Rating C]])</f>
        <v>3.3333333333333335</v>
      </c>
    </row>
    <row r="655" spans="1:44" x14ac:dyDescent="0.2">
      <c r="A655" s="20">
        <v>654</v>
      </c>
      <c r="B655" s="21" t="str">
        <f>_xlfn.CONCAT("ORD-",INDEX(Helper!$B$2:$B$5,MATCH(cadangan[[#This Row],[Marketplace]],Helper!$A$2:$A$5,0)),TEXT(cadangan[[#This Row],[No]],"0000"),"-",TEXT(cadangan[[#This Row],[Tanggal terjual]],"dd/mm/yy"))</f>
        <v>ORD-SP0654-30/04/23</v>
      </c>
      <c r="C655" s="39" t="s">
        <v>67</v>
      </c>
      <c r="D655" s="39" t="str">
        <f>IFERROR(INDEX(Katalog!$A$3:$A$12,MATCH(cadangan[[#This Row],[ItemID A]],Katalog!$C$3:$C$12,0)),"-")</f>
        <v>Sepatu Wanita</v>
      </c>
      <c r="E655" s="39" t="str">
        <f>IFERROR(INDEX(Katalog!$B$3:$B$12,MATCH(cadangan[[#This Row],[ItemID A]],Katalog!$C$3:$C$12,0)),"-")</f>
        <v>Flat Shoes</v>
      </c>
      <c r="F655" s="50">
        <v>1</v>
      </c>
      <c r="G655" s="50">
        <v>2</v>
      </c>
      <c r="H655" s="73">
        <f>IFERROR(INDEX(Katalog!$D$3:$D$12,MATCH(cadangan[[#This Row],[ItemID A]],Katalog!$C$3:$C$12,0))*cadangan[[#This Row],[Qty A]],0)</f>
        <v>250000</v>
      </c>
      <c r="I655" s="73">
        <f>IFERROR(cadangan[[#This Row],[Harga Normal A]]-(cadangan[[#This Row],[Harga Normal A]]*cadangan[[#This Row],[Diskon]]),cadangan[[#This Row],[Harga Normal A]])</f>
        <v>200000</v>
      </c>
      <c r="J655" s="73">
        <f>INDEX(Katalog!$F$3:$F$12,MATCH(cadangan[[#This Row],[ItemID A]],Katalog!$C$3:$C$12,0))*cadangan[[#This Row],[Qty A]]</f>
        <v>100000</v>
      </c>
      <c r="K655" s="73">
        <f>IFERROR(cadangan[[#This Row],[Harga Diskon A]]-INDEX(Katalog!$E$3:$E$12,MATCH(cadangan[[#This Row],[ItemID A]],Katalog!$C$3:$C$12,0))*cadangan[[#This Row],[Qty A]],0)</f>
        <v>50000</v>
      </c>
      <c r="M655" s="39" t="str">
        <f>IFERROR(INDEX(Katalog!$A$3:$A$12,MATCH(cadangan[[#This Row],[ItemID B]],Katalog!$C$3:$C$12,0)),"-")</f>
        <v>-</v>
      </c>
      <c r="N655" s="39" t="str">
        <f>IFERROR(INDEX(Katalog!$B$3:$B$12,MATCH(cadangan[[#This Row],[ItemID B]],Katalog!$C$3:$C$12,0)),"-")</f>
        <v>-</v>
      </c>
      <c r="Q655" s="73">
        <f>IFERROR(INDEX(Katalog!$D$3:$D$12,MATCH(cadangan[[#This Row],[ItemID B]],Katalog!$C$3:$C$12,0))*cadangan[[#This Row],[Qty B]],0)</f>
        <v>0</v>
      </c>
      <c r="R655" s="73">
        <f>IFERROR(cadangan[[#This Row],[Harga Normal B]]-(cadangan[[#This Row],[Harga Normal B]]*cadangan[[#This Row],[Diskon]]),cadangan[[#This Row],[Harga Normal B]])</f>
        <v>0</v>
      </c>
      <c r="S655" s="73">
        <f>IFERROR(INDEX(Katalog!$F$3:$F$12,MATCH(cadangan[[#This Row],[ItemID B]],Katalog!$C$3:$C$12,0))*cadangan[[#This Row],[Qty B]],0)</f>
        <v>0</v>
      </c>
      <c r="T655" s="73">
        <f>IFERROR(cadangan[[#This Row],[Harga Diskon B]]-INDEX(Katalog!$E$3:$E$12,MATCH(cadangan[[#This Row],[ItemID B]],Katalog!$C$3:$C$12,0))*cadangan[[#This Row],[Qty B]],0)</f>
        <v>0</v>
      </c>
      <c r="V655" s="39" t="str">
        <f>IFERROR(INDEX(Katalog!$A$3:$A$12,MATCH(cadangan[[#This Row],[ItemID C]],Katalog!$C$3:$C$12,0)),"-")</f>
        <v>-</v>
      </c>
      <c r="W655" s="39" t="str">
        <f>IFERROR(INDEX(Katalog!$B$3:$B$12,MATCH(cadangan[[#This Row],[ItemID C]],Katalog!$C$3:$C$12,0)),"-")</f>
        <v>-</v>
      </c>
      <c r="Z655" s="73">
        <f>IFERROR(INDEX(Katalog!$D$3:$D$12,MATCH(cadangan[[#This Row],[ItemID C]],Katalog!$C$3:$C$12,0))*cadangan[[#This Row],[Qty C]],0)</f>
        <v>0</v>
      </c>
      <c r="AA655" s="73">
        <f>IFERROR(cadangan[[#This Row],[Harga Normal C]]-(cadangan[[#This Row],[Harga Normal C]]*cadangan[[#This Row],[Diskon]]),cadangan[[#This Row],[Harga Normal C]])</f>
        <v>0</v>
      </c>
      <c r="AB655" s="73">
        <f>IFERROR(INDEX(Katalog!$F$3:$F$12,MATCH(cadangan[[#This Row],[ItemID C]],Katalog!$C$3:$C$12,0))*cadangan[[#This Row],[Qty C]],0)</f>
        <v>0</v>
      </c>
      <c r="AC655" s="73">
        <f>IFERROR(cadangan[[#This Row],[Harga Diskon C]]-INDEX(Katalog!$E$3:$E$12,MATCH(cadangan[[#This Row],[ItemID C]],Katalog!$C$3:$C$12,0))*cadangan[[#This Row],[Qty C]],0)</f>
        <v>0</v>
      </c>
      <c r="AD655" s="53">
        <f>cadangan[[#This Row],[Qty A]]+cadangan[[#This Row],[Qty B]]+cadangan[[#This Row],[Qty C]]</f>
        <v>1</v>
      </c>
      <c r="AE655" s="73">
        <f>cadangan[[#This Row],[Harga Normal A]]+cadangan[[#This Row],[Harga Normal B]]+cadangan[[#This Row],[Harga Normal C]]</f>
        <v>250000</v>
      </c>
      <c r="AF655" s="73">
        <f>cadangan[[#This Row],[Harga Diskon A]]+cadangan[[#This Row],[Harga Diskon B]]+cadangan[[#This Row],[Harga Diskon C]]</f>
        <v>200000</v>
      </c>
      <c r="AG655" s="73">
        <f>(cadangan[[#This Row],[Profit Normal A]]+cadangan[[#This Row],[Profit Normal B]]+cadangan[[#This Row],[Profit Normal C]])</f>
        <v>100000</v>
      </c>
      <c r="AH655" s="73">
        <f>cadangan[[#This Row],[Profit Diskon A]]+cadangan[[#This Row],[Profit Diskon B]]+cadangan[[#This Row],[Profit Diskon C]]</f>
        <v>50000</v>
      </c>
      <c r="AI655" s="23" t="s">
        <v>8</v>
      </c>
      <c r="AJ655" s="37">
        <f>IFERROR(INDEX('Kode Diskon'!$D$3:$D$9,MATCH(cadangan[[#This Row],[Kode diskon]],'Kode Diskon'!$C$3:$C$9,0)),"-")</f>
        <v>0.2</v>
      </c>
      <c r="AK655" s="23" t="s">
        <v>9</v>
      </c>
      <c r="AL655" s="23" t="s">
        <v>7</v>
      </c>
      <c r="AM655" s="23" t="s">
        <v>80</v>
      </c>
      <c r="AN655" s="55">
        <v>45046</v>
      </c>
      <c r="AO655" s="53">
        <f>DAY(cadangan[[#This Row],[Tanggal terjual]])</f>
        <v>30</v>
      </c>
      <c r="AP655" s="21" t="str">
        <f>TEXT(cadangan[[#This Row],[Tanggal terjual]],"dddd")</f>
        <v>Sunday</v>
      </c>
      <c r="AQ655" s="23" t="str" cm="1">
        <f t="array" ref="AQ6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55" s="61">
        <f>AVERAGE(cadangan[[#This Row],[Rating A]],cadangan[[#This Row],[Rating B]],cadangan[[#This Row],[Rating C]])</f>
        <v>2</v>
      </c>
    </row>
    <row r="656" spans="1:44" x14ac:dyDescent="0.2">
      <c r="A656" s="20">
        <v>655</v>
      </c>
      <c r="B656" s="21" t="str">
        <f>_xlfn.CONCAT("ORD-",INDEX(Helper!$B$2:$B$5,MATCH(cadangan[[#This Row],[Marketplace]],Helper!$A$2:$A$5,0)),TEXT(cadangan[[#This Row],[No]],"0000"),"-",TEXT(cadangan[[#This Row],[Tanggal terjual]],"dd/mm/yy"))</f>
        <v>ORD-SP0655-05/04/23</v>
      </c>
      <c r="C656" s="39" t="s">
        <v>58</v>
      </c>
      <c r="D656" s="39" t="str">
        <f>IFERROR(INDEX(Katalog!$A$3:$A$12,MATCH(cadangan[[#This Row],[ItemID A]],Katalog!$C$3:$C$12,0)),"-")</f>
        <v>Pakaian Wanita</v>
      </c>
      <c r="E656" s="39" t="str">
        <f>IFERROR(INDEX(Katalog!$B$3:$B$12,MATCH(cadangan[[#This Row],[ItemID A]],Katalog!$C$3:$C$12,0)),"-")</f>
        <v>Dress</v>
      </c>
      <c r="F656" s="50">
        <v>1</v>
      </c>
      <c r="G656" s="50">
        <v>2</v>
      </c>
      <c r="H656" s="73">
        <f>IFERROR(INDEX(Katalog!$D$3:$D$12,MATCH(cadangan[[#This Row],[ItemID A]],Katalog!$C$3:$C$12,0))*cadangan[[#This Row],[Qty A]],0)</f>
        <v>300000</v>
      </c>
      <c r="I656" s="73">
        <f>IFERROR(cadangan[[#This Row],[Harga Normal A]]-(cadangan[[#This Row],[Harga Normal A]]*cadangan[[#This Row],[Diskon]]),cadangan[[#This Row],[Harga Normal A]])</f>
        <v>255000</v>
      </c>
      <c r="J656" s="73">
        <f>INDEX(Katalog!$F$3:$F$12,MATCH(cadangan[[#This Row],[ItemID A]],Katalog!$C$3:$C$12,0))*cadangan[[#This Row],[Qty A]]</f>
        <v>100000</v>
      </c>
      <c r="K656" s="73">
        <f>IFERROR(cadangan[[#This Row],[Harga Diskon A]]-INDEX(Katalog!$E$3:$E$12,MATCH(cadangan[[#This Row],[ItemID A]],Katalog!$C$3:$C$12,0))*cadangan[[#This Row],[Qty A]],0)</f>
        <v>55000</v>
      </c>
      <c r="L656" s="39" t="s">
        <v>65</v>
      </c>
      <c r="M656" s="39" t="str">
        <f>IFERROR(INDEX(Katalog!$A$3:$A$12,MATCH(cadangan[[#This Row],[ItemID B]],Katalog!$C$3:$C$12,0)),"-")</f>
        <v>Sepatu Pria</v>
      </c>
      <c r="N656" s="39" t="str">
        <f>IFERROR(INDEX(Katalog!$B$3:$B$12,MATCH(cadangan[[#This Row],[ItemID B]],Katalog!$C$3:$C$12,0)),"-")</f>
        <v>Sneakers</v>
      </c>
      <c r="O656" s="50">
        <v>2</v>
      </c>
      <c r="P656" s="50">
        <v>1</v>
      </c>
      <c r="Q656" s="73">
        <f>IFERROR(INDEX(Katalog!$D$3:$D$12,MATCH(cadangan[[#This Row],[ItemID B]],Katalog!$C$3:$C$12,0))*cadangan[[#This Row],[Qty B]],0)</f>
        <v>1000000</v>
      </c>
      <c r="R656" s="73">
        <f>IFERROR(cadangan[[#This Row],[Harga Normal B]]-(cadangan[[#This Row],[Harga Normal B]]*cadangan[[#This Row],[Diskon]]),cadangan[[#This Row],[Harga Normal B]])</f>
        <v>850000</v>
      </c>
      <c r="S656" s="73">
        <f>IFERROR(INDEX(Katalog!$F$3:$F$12,MATCH(cadangan[[#This Row],[ItemID B]],Katalog!$C$3:$C$12,0))*cadangan[[#This Row],[Qty B]],0)</f>
        <v>400000</v>
      </c>
      <c r="T656" s="73">
        <f>IFERROR(cadangan[[#This Row],[Harga Diskon B]]-INDEX(Katalog!$E$3:$E$12,MATCH(cadangan[[#This Row],[ItemID B]],Katalog!$C$3:$C$12,0))*cadangan[[#This Row],[Qty B]],0)</f>
        <v>250000</v>
      </c>
      <c r="V656" s="39" t="str">
        <f>IFERROR(INDEX(Katalog!$A$3:$A$12,MATCH(cadangan[[#This Row],[ItemID C]],Katalog!$C$3:$C$12,0)),"-")</f>
        <v>-</v>
      </c>
      <c r="W656" s="39" t="str">
        <f>IFERROR(INDEX(Katalog!$B$3:$B$12,MATCH(cadangan[[#This Row],[ItemID C]],Katalog!$C$3:$C$12,0)),"-")</f>
        <v>-</v>
      </c>
      <c r="Z656" s="73">
        <f>IFERROR(INDEX(Katalog!$D$3:$D$12,MATCH(cadangan[[#This Row],[ItemID C]],Katalog!$C$3:$C$12,0))*cadangan[[#This Row],[Qty C]],0)</f>
        <v>0</v>
      </c>
      <c r="AA656" s="73">
        <f>IFERROR(cadangan[[#This Row],[Harga Normal C]]-(cadangan[[#This Row],[Harga Normal C]]*cadangan[[#This Row],[Diskon]]),cadangan[[#This Row],[Harga Normal C]])</f>
        <v>0</v>
      </c>
      <c r="AB656" s="73">
        <f>IFERROR(INDEX(Katalog!$F$3:$F$12,MATCH(cadangan[[#This Row],[ItemID C]],Katalog!$C$3:$C$12,0))*cadangan[[#This Row],[Qty C]],0)</f>
        <v>0</v>
      </c>
      <c r="AC656" s="73">
        <f>IFERROR(cadangan[[#This Row],[Harga Diskon C]]-INDEX(Katalog!$E$3:$E$12,MATCH(cadangan[[#This Row],[ItemID C]],Katalog!$C$3:$C$12,0))*cadangan[[#This Row],[Qty C]],0)</f>
        <v>0</v>
      </c>
      <c r="AD656" s="53">
        <f>cadangan[[#This Row],[Qty A]]+cadangan[[#This Row],[Qty B]]+cadangan[[#This Row],[Qty C]]</f>
        <v>3</v>
      </c>
      <c r="AE656" s="73">
        <f>cadangan[[#This Row],[Harga Normal A]]+cadangan[[#This Row],[Harga Normal B]]+cadangan[[#This Row],[Harga Normal C]]</f>
        <v>1300000</v>
      </c>
      <c r="AF656" s="73">
        <f>cadangan[[#This Row],[Harga Diskon A]]+cadangan[[#This Row],[Harga Diskon B]]+cadangan[[#This Row],[Harga Diskon C]]</f>
        <v>1105000</v>
      </c>
      <c r="AG656" s="73">
        <f>(cadangan[[#This Row],[Profit Normal A]]+cadangan[[#This Row],[Profit Normal B]]+cadangan[[#This Row],[Profit Normal C]])</f>
        <v>500000</v>
      </c>
      <c r="AH656" s="73">
        <f>cadangan[[#This Row],[Profit Diskon A]]+cadangan[[#This Row],[Profit Diskon B]]+cadangan[[#This Row],[Profit Diskon C]]</f>
        <v>305000</v>
      </c>
      <c r="AI656" s="23" t="s">
        <v>13</v>
      </c>
      <c r="AJ656" s="37">
        <f>IFERROR(INDEX('Kode Diskon'!$D$3:$D$9,MATCH(cadangan[[#This Row],[Kode diskon]],'Kode Diskon'!$C$3:$C$9,0)),"-")</f>
        <v>0.15</v>
      </c>
      <c r="AK656" s="23" t="s">
        <v>29</v>
      </c>
      <c r="AL656" s="23" t="s">
        <v>7</v>
      </c>
      <c r="AM656" s="23" t="s">
        <v>75</v>
      </c>
      <c r="AN656" s="55">
        <v>45021</v>
      </c>
      <c r="AO656" s="53">
        <f>DAY(cadangan[[#This Row],[Tanggal terjual]])</f>
        <v>5</v>
      </c>
      <c r="AP656" s="21" t="str">
        <f>TEXT(cadangan[[#This Row],[Tanggal terjual]],"dddd")</f>
        <v>Wednesday</v>
      </c>
      <c r="AQ656" s="23" t="str" cm="1">
        <f t="array" ref="AQ6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56" s="61">
        <f>AVERAGE(cadangan[[#This Row],[Rating A]],cadangan[[#This Row],[Rating B]],cadangan[[#This Row],[Rating C]])</f>
        <v>1.5</v>
      </c>
    </row>
    <row r="657" spans="1:44" x14ac:dyDescent="0.2">
      <c r="A657" s="20">
        <v>656</v>
      </c>
      <c r="B657" s="21" t="str">
        <f>_xlfn.CONCAT("ORD-",INDEX(Helper!$B$2:$B$5,MATCH(cadangan[[#This Row],[Marketplace]],Helper!$A$2:$A$5,0)),TEXT(cadangan[[#This Row],[No]],"0000"),"-",TEXT(cadangan[[#This Row],[Tanggal terjual]],"dd/mm/yy"))</f>
        <v>ORD-BB0656-04/04/23</v>
      </c>
      <c r="C657" s="39" t="s">
        <v>59</v>
      </c>
      <c r="D657" s="39" t="str">
        <f>IFERROR(INDEX(Katalog!$A$3:$A$12,MATCH(cadangan[[#This Row],[ItemID A]],Katalog!$C$3:$C$12,0)),"-")</f>
        <v>Pakaian Wanita</v>
      </c>
      <c r="E657" s="39" t="str">
        <f>IFERROR(INDEX(Katalog!$B$3:$B$12,MATCH(cadangan[[#This Row],[ItemID A]],Katalog!$C$3:$C$12,0)),"-")</f>
        <v>Blouse</v>
      </c>
      <c r="F657" s="50">
        <v>2</v>
      </c>
      <c r="G657" s="50">
        <v>5</v>
      </c>
      <c r="H657" s="73">
        <f>IFERROR(INDEX(Katalog!$D$3:$D$12,MATCH(cadangan[[#This Row],[ItemID A]],Katalog!$C$3:$C$12,0))*cadangan[[#This Row],[Qty A]],0)</f>
        <v>300000</v>
      </c>
      <c r="I657" s="73">
        <f>IFERROR(cadangan[[#This Row],[Harga Normal A]]-(cadangan[[#This Row],[Harga Normal A]]*cadangan[[#This Row],[Diskon]]),cadangan[[#This Row],[Harga Normal A]])</f>
        <v>255000</v>
      </c>
      <c r="J657" s="73">
        <f>INDEX(Katalog!$F$3:$F$12,MATCH(cadangan[[#This Row],[ItemID A]],Katalog!$C$3:$C$12,0))*cadangan[[#This Row],[Qty A]]</f>
        <v>100000</v>
      </c>
      <c r="K657" s="73">
        <f>IFERROR(cadangan[[#This Row],[Harga Diskon A]]-INDEX(Katalog!$E$3:$E$12,MATCH(cadangan[[#This Row],[ItemID A]],Katalog!$C$3:$C$12,0))*cadangan[[#This Row],[Qty A]],0)</f>
        <v>55000</v>
      </c>
      <c r="M657" s="39" t="str">
        <f>IFERROR(INDEX(Katalog!$A$3:$A$12,MATCH(cadangan[[#This Row],[ItemID B]],Katalog!$C$3:$C$12,0)),"-")</f>
        <v>-</v>
      </c>
      <c r="N657" s="39" t="str">
        <f>IFERROR(INDEX(Katalog!$B$3:$B$12,MATCH(cadangan[[#This Row],[ItemID B]],Katalog!$C$3:$C$12,0)),"-")</f>
        <v>-</v>
      </c>
      <c r="Q657" s="73">
        <f>IFERROR(INDEX(Katalog!$D$3:$D$12,MATCH(cadangan[[#This Row],[ItemID B]],Katalog!$C$3:$C$12,0))*cadangan[[#This Row],[Qty B]],0)</f>
        <v>0</v>
      </c>
      <c r="R657" s="73">
        <f>IFERROR(cadangan[[#This Row],[Harga Normal B]]-(cadangan[[#This Row],[Harga Normal B]]*cadangan[[#This Row],[Diskon]]),cadangan[[#This Row],[Harga Normal B]])</f>
        <v>0</v>
      </c>
      <c r="S657" s="73">
        <f>IFERROR(INDEX(Katalog!$F$3:$F$12,MATCH(cadangan[[#This Row],[ItemID B]],Katalog!$C$3:$C$12,0))*cadangan[[#This Row],[Qty B]],0)</f>
        <v>0</v>
      </c>
      <c r="T657" s="73">
        <f>IFERROR(cadangan[[#This Row],[Harga Diskon B]]-INDEX(Katalog!$E$3:$E$12,MATCH(cadangan[[#This Row],[ItemID B]],Katalog!$C$3:$C$12,0))*cadangan[[#This Row],[Qty B]],0)</f>
        <v>0</v>
      </c>
      <c r="V657" s="39" t="str">
        <f>IFERROR(INDEX(Katalog!$A$3:$A$12,MATCH(cadangan[[#This Row],[ItemID C]],Katalog!$C$3:$C$12,0)),"-")</f>
        <v>-</v>
      </c>
      <c r="W657" s="39" t="str">
        <f>IFERROR(INDEX(Katalog!$B$3:$B$12,MATCH(cadangan[[#This Row],[ItemID C]],Katalog!$C$3:$C$12,0)),"-")</f>
        <v>-</v>
      </c>
      <c r="Z657" s="73">
        <f>IFERROR(INDEX(Katalog!$D$3:$D$12,MATCH(cadangan[[#This Row],[ItemID C]],Katalog!$C$3:$C$12,0))*cadangan[[#This Row],[Qty C]],0)</f>
        <v>0</v>
      </c>
      <c r="AA657" s="73">
        <f>IFERROR(cadangan[[#This Row],[Harga Normal C]]-(cadangan[[#This Row],[Harga Normal C]]*cadangan[[#This Row],[Diskon]]),cadangan[[#This Row],[Harga Normal C]])</f>
        <v>0</v>
      </c>
      <c r="AB657" s="73">
        <f>IFERROR(INDEX(Katalog!$F$3:$F$12,MATCH(cadangan[[#This Row],[ItemID C]],Katalog!$C$3:$C$12,0))*cadangan[[#This Row],[Qty C]],0)</f>
        <v>0</v>
      </c>
      <c r="AC657" s="73">
        <f>IFERROR(cadangan[[#This Row],[Harga Diskon C]]-INDEX(Katalog!$E$3:$E$12,MATCH(cadangan[[#This Row],[ItemID C]],Katalog!$C$3:$C$12,0))*cadangan[[#This Row],[Qty C]],0)</f>
        <v>0</v>
      </c>
      <c r="AD657" s="53">
        <f>cadangan[[#This Row],[Qty A]]+cadangan[[#This Row],[Qty B]]+cadangan[[#This Row],[Qty C]]</f>
        <v>2</v>
      </c>
      <c r="AE657" s="73">
        <f>cadangan[[#This Row],[Harga Normal A]]+cadangan[[#This Row],[Harga Normal B]]+cadangan[[#This Row],[Harga Normal C]]</f>
        <v>300000</v>
      </c>
      <c r="AF657" s="73">
        <f>cadangan[[#This Row],[Harga Diskon A]]+cadangan[[#This Row],[Harga Diskon B]]+cadangan[[#This Row],[Harga Diskon C]]</f>
        <v>255000</v>
      </c>
      <c r="AG657" s="73">
        <f>(cadangan[[#This Row],[Profit Normal A]]+cadangan[[#This Row],[Profit Normal B]]+cadangan[[#This Row],[Profit Normal C]])</f>
        <v>100000</v>
      </c>
      <c r="AH657" s="73">
        <f>cadangan[[#This Row],[Profit Diskon A]]+cadangan[[#This Row],[Profit Diskon B]]+cadangan[[#This Row],[Profit Diskon C]]</f>
        <v>55000</v>
      </c>
      <c r="AI657" s="23" t="s">
        <v>28</v>
      </c>
      <c r="AJ657" s="37">
        <f>IFERROR(INDEX('Kode Diskon'!$D$3:$D$9,MATCH(cadangan[[#This Row],[Kode diskon]],'Kode Diskon'!$C$3:$C$9,0)),"-")</f>
        <v>0.15</v>
      </c>
      <c r="AK657" s="23" t="s">
        <v>29</v>
      </c>
      <c r="AL657" s="23" t="s">
        <v>14</v>
      </c>
      <c r="AM657" s="23" t="s">
        <v>80</v>
      </c>
      <c r="AN657" s="55">
        <v>45020</v>
      </c>
      <c r="AO657" s="53">
        <f>DAY(cadangan[[#This Row],[Tanggal terjual]])</f>
        <v>4</v>
      </c>
      <c r="AP657" s="21" t="str">
        <f>TEXT(cadangan[[#This Row],[Tanggal terjual]],"dddd")</f>
        <v>Tuesday</v>
      </c>
      <c r="AQ657" s="23" t="str" cm="1">
        <f t="array" ref="AQ6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57" s="61">
        <f>AVERAGE(cadangan[[#This Row],[Rating A]],cadangan[[#This Row],[Rating B]],cadangan[[#This Row],[Rating C]])</f>
        <v>5</v>
      </c>
    </row>
    <row r="658" spans="1:44" x14ac:dyDescent="0.2">
      <c r="A658" s="20">
        <v>657</v>
      </c>
      <c r="B658" s="21" t="str">
        <f>_xlfn.CONCAT("ORD-",INDEX(Helper!$B$2:$B$5,MATCH(cadangan[[#This Row],[Marketplace]],Helper!$A$2:$A$5,0)),TEXT(cadangan[[#This Row],[No]],"0000"),"-",TEXT(cadangan[[#This Row],[Tanggal terjual]],"dd/mm/yy"))</f>
        <v>ORD-TK0657-03/04/23</v>
      </c>
      <c r="C658" s="39" t="s">
        <v>66</v>
      </c>
      <c r="D658" s="39" t="str">
        <f>IFERROR(INDEX(Katalog!$A$3:$A$12,MATCH(cadangan[[#This Row],[ItemID A]],Katalog!$C$3:$C$12,0)),"-")</f>
        <v>Sepatu Pria</v>
      </c>
      <c r="E658" s="39" t="str">
        <f>IFERROR(INDEX(Katalog!$B$3:$B$12,MATCH(cadangan[[#This Row],[ItemID A]],Katalog!$C$3:$C$12,0)),"-")</f>
        <v>Sandal Slip On</v>
      </c>
      <c r="F658" s="50">
        <v>5</v>
      </c>
      <c r="G658" s="50">
        <v>2</v>
      </c>
      <c r="H658" s="73">
        <f>IFERROR(INDEX(Katalog!$D$3:$D$12,MATCH(cadangan[[#This Row],[ItemID A]],Katalog!$C$3:$C$12,0))*cadangan[[#This Row],[Qty A]],0)</f>
        <v>750000</v>
      </c>
      <c r="I658" s="73">
        <f>IFERROR(cadangan[[#This Row],[Harga Normal A]]-(cadangan[[#This Row],[Harga Normal A]]*cadangan[[#This Row],[Diskon]]),cadangan[[#This Row],[Harga Normal A]])</f>
        <v>675000</v>
      </c>
      <c r="J658" s="73">
        <f>INDEX(Katalog!$F$3:$F$12,MATCH(cadangan[[#This Row],[ItemID A]],Katalog!$C$3:$C$12,0))*cadangan[[#This Row],[Qty A]]</f>
        <v>300000</v>
      </c>
      <c r="K658" s="73">
        <f>IFERROR(cadangan[[#This Row],[Harga Diskon A]]-INDEX(Katalog!$E$3:$E$12,MATCH(cadangan[[#This Row],[ItemID A]],Katalog!$C$3:$C$12,0))*cadangan[[#This Row],[Qty A]],0)</f>
        <v>225000</v>
      </c>
      <c r="L658" s="39" t="s">
        <v>67</v>
      </c>
      <c r="M658" s="39" t="str">
        <f>IFERROR(INDEX(Katalog!$A$3:$A$12,MATCH(cadangan[[#This Row],[ItemID B]],Katalog!$C$3:$C$12,0)),"-")</f>
        <v>Sepatu Wanita</v>
      </c>
      <c r="N658" s="39" t="str">
        <f>IFERROR(INDEX(Katalog!$B$3:$B$12,MATCH(cadangan[[#This Row],[ItemID B]],Katalog!$C$3:$C$12,0)),"-")</f>
        <v>Flat Shoes</v>
      </c>
      <c r="O658" s="50">
        <v>1</v>
      </c>
      <c r="P658" s="50">
        <v>2</v>
      </c>
      <c r="Q658" s="73">
        <f>IFERROR(INDEX(Katalog!$D$3:$D$12,MATCH(cadangan[[#This Row],[ItemID B]],Katalog!$C$3:$C$12,0))*cadangan[[#This Row],[Qty B]],0)</f>
        <v>250000</v>
      </c>
      <c r="R658" s="73">
        <f>IFERROR(cadangan[[#This Row],[Harga Normal B]]-(cadangan[[#This Row],[Harga Normal B]]*cadangan[[#This Row],[Diskon]]),cadangan[[#This Row],[Harga Normal B]])</f>
        <v>225000</v>
      </c>
      <c r="S658" s="73">
        <f>IFERROR(INDEX(Katalog!$F$3:$F$12,MATCH(cadangan[[#This Row],[ItemID B]],Katalog!$C$3:$C$12,0))*cadangan[[#This Row],[Qty B]],0)</f>
        <v>100000</v>
      </c>
      <c r="T658" s="73">
        <f>IFERROR(cadangan[[#This Row],[Harga Diskon B]]-INDEX(Katalog!$E$3:$E$12,MATCH(cadangan[[#This Row],[ItemID B]],Katalog!$C$3:$C$12,0))*cadangan[[#This Row],[Qty B]],0)</f>
        <v>75000</v>
      </c>
      <c r="V658" s="39" t="str">
        <f>IFERROR(INDEX(Katalog!$A$3:$A$12,MATCH(cadangan[[#This Row],[ItemID C]],Katalog!$C$3:$C$12,0)),"-")</f>
        <v>-</v>
      </c>
      <c r="W658" s="39" t="str">
        <f>IFERROR(INDEX(Katalog!$B$3:$B$12,MATCH(cadangan[[#This Row],[ItemID C]],Katalog!$C$3:$C$12,0)),"-")</f>
        <v>-</v>
      </c>
      <c r="Z658" s="73">
        <f>IFERROR(INDEX(Katalog!$D$3:$D$12,MATCH(cadangan[[#This Row],[ItemID C]],Katalog!$C$3:$C$12,0))*cadangan[[#This Row],[Qty C]],0)</f>
        <v>0</v>
      </c>
      <c r="AA658" s="73">
        <f>IFERROR(cadangan[[#This Row],[Harga Normal C]]-(cadangan[[#This Row],[Harga Normal C]]*cadangan[[#This Row],[Diskon]]),cadangan[[#This Row],[Harga Normal C]])</f>
        <v>0</v>
      </c>
      <c r="AB658" s="73">
        <f>IFERROR(INDEX(Katalog!$F$3:$F$12,MATCH(cadangan[[#This Row],[ItemID C]],Katalog!$C$3:$C$12,0))*cadangan[[#This Row],[Qty C]],0)</f>
        <v>0</v>
      </c>
      <c r="AC658" s="73">
        <f>IFERROR(cadangan[[#This Row],[Harga Diskon C]]-INDEX(Katalog!$E$3:$E$12,MATCH(cadangan[[#This Row],[ItemID C]],Katalog!$C$3:$C$12,0))*cadangan[[#This Row],[Qty C]],0)</f>
        <v>0</v>
      </c>
      <c r="AD658" s="53">
        <f>cadangan[[#This Row],[Qty A]]+cadangan[[#This Row],[Qty B]]+cadangan[[#This Row],[Qty C]]</f>
        <v>6</v>
      </c>
      <c r="AE658" s="73">
        <f>cadangan[[#This Row],[Harga Normal A]]+cadangan[[#This Row],[Harga Normal B]]+cadangan[[#This Row],[Harga Normal C]]</f>
        <v>1000000</v>
      </c>
      <c r="AF658" s="73">
        <f>cadangan[[#This Row],[Harga Diskon A]]+cadangan[[#This Row],[Harga Diskon B]]+cadangan[[#This Row],[Harga Diskon C]]</f>
        <v>900000</v>
      </c>
      <c r="AG658" s="73">
        <f>(cadangan[[#This Row],[Profit Normal A]]+cadangan[[#This Row],[Profit Normal B]]+cadangan[[#This Row],[Profit Normal C]])</f>
        <v>400000</v>
      </c>
      <c r="AH658" s="73">
        <f>cadangan[[#This Row],[Profit Diskon A]]+cadangan[[#This Row],[Profit Diskon B]]+cadangan[[#This Row],[Profit Diskon C]]</f>
        <v>300000</v>
      </c>
      <c r="AI658" s="23" t="s">
        <v>30</v>
      </c>
      <c r="AJ658" s="37">
        <f>IFERROR(INDEX('Kode Diskon'!$D$3:$D$9,MATCH(cadangan[[#This Row],[Kode diskon]],'Kode Diskon'!$C$3:$C$9,0)),"-")</f>
        <v>0.1</v>
      </c>
      <c r="AK658" s="23" t="s">
        <v>29</v>
      </c>
      <c r="AL658" s="23" t="s">
        <v>10</v>
      </c>
      <c r="AM658" s="23" t="s">
        <v>75</v>
      </c>
      <c r="AN658" s="55">
        <v>45019</v>
      </c>
      <c r="AO658" s="53">
        <f>DAY(cadangan[[#This Row],[Tanggal terjual]])</f>
        <v>3</v>
      </c>
      <c r="AP658" s="21" t="str">
        <f>TEXT(cadangan[[#This Row],[Tanggal terjual]],"dddd")</f>
        <v>Monday</v>
      </c>
      <c r="AQ658" s="23" t="str" cm="1">
        <f t="array" ref="AQ6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58" s="61">
        <f>AVERAGE(cadangan[[#This Row],[Rating A]],cadangan[[#This Row],[Rating B]],cadangan[[#This Row],[Rating C]])</f>
        <v>2</v>
      </c>
    </row>
    <row r="659" spans="1:44" x14ac:dyDescent="0.2">
      <c r="A659" s="20">
        <v>658</v>
      </c>
      <c r="B659" s="21" t="str">
        <f>_xlfn.CONCAT("ORD-",INDEX(Helper!$B$2:$B$5,MATCH(cadangan[[#This Row],[Marketplace]],Helper!$A$2:$A$5,0)),TEXT(cadangan[[#This Row],[No]],"0000"),"-",TEXT(cadangan[[#This Row],[Tanggal terjual]],"dd/mm/yy"))</f>
        <v>ORD-BL0658-16/04/23</v>
      </c>
      <c r="C659" s="39" t="s">
        <v>63</v>
      </c>
      <c r="D659" s="39" t="str">
        <f>IFERROR(INDEX(Katalog!$A$3:$A$12,MATCH(cadangan[[#This Row],[ItemID A]],Katalog!$C$3:$C$12,0)),"-")</f>
        <v>Pakaian Pria</v>
      </c>
      <c r="E659" s="39" t="str">
        <f>IFERROR(INDEX(Katalog!$B$3:$B$12,MATCH(cadangan[[#This Row],[ItemID A]],Katalog!$C$3:$C$12,0)),"-")</f>
        <v>Jaket Jeans</v>
      </c>
      <c r="F659" s="50">
        <v>2</v>
      </c>
      <c r="G659" s="50">
        <v>3</v>
      </c>
      <c r="H659" s="73">
        <f>IFERROR(INDEX(Katalog!$D$3:$D$12,MATCH(cadangan[[#This Row],[ItemID A]],Katalog!$C$3:$C$12,0))*cadangan[[#This Row],[Qty A]],0)</f>
        <v>800000</v>
      </c>
      <c r="I659" s="73">
        <f>IFERROR(cadangan[[#This Row],[Harga Normal A]]-(cadangan[[#This Row],[Harga Normal A]]*cadangan[[#This Row],[Diskon]]),cadangan[[#This Row],[Harga Normal A]])</f>
        <v>680000</v>
      </c>
      <c r="J659" s="73">
        <f>INDEX(Katalog!$F$3:$F$12,MATCH(cadangan[[#This Row],[ItemID A]],Katalog!$C$3:$C$12,0))*cadangan[[#This Row],[Qty A]]</f>
        <v>300000</v>
      </c>
      <c r="K659" s="73">
        <f>IFERROR(cadangan[[#This Row],[Harga Diskon A]]-INDEX(Katalog!$E$3:$E$12,MATCH(cadangan[[#This Row],[ItemID A]],Katalog!$C$3:$C$12,0))*cadangan[[#This Row],[Qty A]],0)</f>
        <v>180000</v>
      </c>
      <c r="L659" s="39" t="s">
        <v>58</v>
      </c>
      <c r="M659" s="39" t="str">
        <f>IFERROR(INDEX(Katalog!$A$3:$A$12,MATCH(cadangan[[#This Row],[ItemID B]],Katalog!$C$3:$C$12,0)),"-")</f>
        <v>Pakaian Wanita</v>
      </c>
      <c r="N659" s="39" t="str">
        <f>IFERROR(INDEX(Katalog!$B$3:$B$12,MATCH(cadangan[[#This Row],[ItemID B]],Katalog!$C$3:$C$12,0)),"-")</f>
        <v>Dress</v>
      </c>
      <c r="O659" s="50">
        <v>2</v>
      </c>
      <c r="P659" s="50">
        <v>5</v>
      </c>
      <c r="Q659" s="73">
        <f>IFERROR(INDEX(Katalog!$D$3:$D$12,MATCH(cadangan[[#This Row],[ItemID B]],Katalog!$C$3:$C$12,0))*cadangan[[#This Row],[Qty B]],0)</f>
        <v>600000</v>
      </c>
      <c r="R659" s="73">
        <f>IFERROR(cadangan[[#This Row],[Harga Normal B]]-(cadangan[[#This Row],[Harga Normal B]]*cadangan[[#This Row],[Diskon]]),cadangan[[#This Row],[Harga Normal B]])</f>
        <v>510000</v>
      </c>
      <c r="S659" s="73">
        <f>IFERROR(INDEX(Katalog!$F$3:$F$12,MATCH(cadangan[[#This Row],[ItemID B]],Katalog!$C$3:$C$12,0))*cadangan[[#This Row],[Qty B]],0)</f>
        <v>200000</v>
      </c>
      <c r="T659" s="73">
        <f>IFERROR(cadangan[[#This Row],[Harga Diskon B]]-INDEX(Katalog!$E$3:$E$12,MATCH(cadangan[[#This Row],[ItemID B]],Katalog!$C$3:$C$12,0))*cadangan[[#This Row],[Qty B]],0)</f>
        <v>110000</v>
      </c>
      <c r="U659" s="39" t="s">
        <v>66</v>
      </c>
      <c r="V659" s="39" t="str">
        <f>IFERROR(INDEX(Katalog!$A$3:$A$12,MATCH(cadangan[[#This Row],[ItemID C]],Katalog!$C$3:$C$12,0)),"-")</f>
        <v>Sepatu Pria</v>
      </c>
      <c r="W659" s="39" t="str">
        <f>IFERROR(INDEX(Katalog!$B$3:$B$12,MATCH(cadangan[[#This Row],[ItemID C]],Katalog!$C$3:$C$12,0)),"-")</f>
        <v>Sandal Slip On</v>
      </c>
      <c r="X659" s="50">
        <v>1</v>
      </c>
      <c r="Y659" s="50">
        <v>4</v>
      </c>
      <c r="Z659" s="73">
        <f>IFERROR(INDEX(Katalog!$D$3:$D$12,MATCH(cadangan[[#This Row],[ItemID C]],Katalog!$C$3:$C$12,0))*cadangan[[#This Row],[Qty C]],0)</f>
        <v>150000</v>
      </c>
      <c r="AA659" s="73">
        <f>IFERROR(cadangan[[#This Row],[Harga Normal C]]-(cadangan[[#This Row],[Harga Normal C]]*cadangan[[#This Row],[Diskon]]),cadangan[[#This Row],[Harga Normal C]])</f>
        <v>127500</v>
      </c>
      <c r="AB659" s="73">
        <f>IFERROR(INDEX(Katalog!$F$3:$F$12,MATCH(cadangan[[#This Row],[ItemID C]],Katalog!$C$3:$C$12,0))*cadangan[[#This Row],[Qty C]],0)</f>
        <v>60000</v>
      </c>
      <c r="AC659" s="73">
        <f>IFERROR(cadangan[[#This Row],[Harga Diskon C]]-INDEX(Katalog!$E$3:$E$12,MATCH(cadangan[[#This Row],[ItemID C]],Katalog!$C$3:$C$12,0))*cadangan[[#This Row],[Qty C]],0)</f>
        <v>37500</v>
      </c>
      <c r="AD659" s="53">
        <f>cadangan[[#This Row],[Qty A]]+cadangan[[#This Row],[Qty B]]+cadangan[[#This Row],[Qty C]]</f>
        <v>5</v>
      </c>
      <c r="AE659" s="73">
        <f>cadangan[[#This Row],[Harga Normal A]]+cadangan[[#This Row],[Harga Normal B]]+cadangan[[#This Row],[Harga Normal C]]</f>
        <v>1550000</v>
      </c>
      <c r="AF659" s="73">
        <f>cadangan[[#This Row],[Harga Diskon A]]+cadangan[[#This Row],[Harga Diskon B]]+cadangan[[#This Row],[Harga Diskon C]]</f>
        <v>1317500</v>
      </c>
      <c r="AG659" s="73">
        <f>(cadangan[[#This Row],[Profit Normal A]]+cadangan[[#This Row],[Profit Normal B]]+cadangan[[#This Row],[Profit Normal C]])</f>
        <v>560000</v>
      </c>
      <c r="AH659" s="73">
        <f>cadangan[[#This Row],[Profit Diskon A]]+cadangan[[#This Row],[Profit Diskon B]]+cadangan[[#This Row],[Profit Diskon C]]</f>
        <v>327500</v>
      </c>
      <c r="AI659" s="23" t="s">
        <v>32</v>
      </c>
      <c r="AJ659" s="37">
        <f>IFERROR(INDEX('Kode Diskon'!$D$3:$D$9,MATCH(cadangan[[#This Row],[Kode diskon]],'Kode Diskon'!$C$3:$C$9,0)),"-")</f>
        <v>0.15</v>
      </c>
      <c r="AK659" s="23" t="s">
        <v>9</v>
      </c>
      <c r="AL659" s="23" t="s">
        <v>12</v>
      </c>
      <c r="AM659" s="23" t="s">
        <v>76</v>
      </c>
      <c r="AN659" s="55">
        <v>45032</v>
      </c>
      <c r="AO659" s="53">
        <f>DAY(cadangan[[#This Row],[Tanggal terjual]])</f>
        <v>16</v>
      </c>
      <c r="AP659" s="21" t="str">
        <f>TEXT(cadangan[[#This Row],[Tanggal terjual]],"dddd")</f>
        <v>Sunday</v>
      </c>
      <c r="AQ659" s="23" t="str" cm="1">
        <f t="array" ref="AQ6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59" s="61">
        <f>AVERAGE(cadangan[[#This Row],[Rating A]],cadangan[[#This Row],[Rating B]],cadangan[[#This Row],[Rating C]])</f>
        <v>4</v>
      </c>
    </row>
    <row r="660" spans="1:44" x14ac:dyDescent="0.2">
      <c r="A660" s="20">
        <v>659</v>
      </c>
      <c r="B660" s="21" t="str">
        <f>_xlfn.CONCAT("ORD-",INDEX(Helper!$B$2:$B$5,MATCH(cadangan[[#This Row],[Marketplace]],Helper!$A$2:$A$5,0)),TEXT(cadangan[[#This Row],[No]],"0000"),"-",TEXT(cadangan[[#This Row],[Tanggal terjual]],"dd/mm/yy"))</f>
        <v>ORD-TK0659-30/04/23</v>
      </c>
      <c r="C660" s="39" t="s">
        <v>59</v>
      </c>
      <c r="D660" s="39" t="str">
        <f>IFERROR(INDEX(Katalog!$A$3:$A$12,MATCH(cadangan[[#This Row],[ItemID A]],Katalog!$C$3:$C$12,0)),"-")</f>
        <v>Pakaian Wanita</v>
      </c>
      <c r="E660" s="39" t="str">
        <f>IFERROR(INDEX(Katalog!$B$3:$B$12,MATCH(cadangan[[#This Row],[ItemID A]],Katalog!$C$3:$C$12,0)),"-")</f>
        <v>Blouse</v>
      </c>
      <c r="F660" s="50">
        <v>2</v>
      </c>
      <c r="G660" s="50">
        <v>1</v>
      </c>
      <c r="H660" s="73">
        <f>IFERROR(INDEX(Katalog!$D$3:$D$12,MATCH(cadangan[[#This Row],[ItemID A]],Katalog!$C$3:$C$12,0))*cadangan[[#This Row],[Qty A]],0)</f>
        <v>300000</v>
      </c>
      <c r="I660" s="73">
        <f>IFERROR(cadangan[[#This Row],[Harga Normal A]]-(cadangan[[#This Row],[Harga Normal A]]*cadangan[[#This Row],[Diskon]]),cadangan[[#This Row],[Harga Normal A]])</f>
        <v>270000</v>
      </c>
      <c r="J660" s="73">
        <f>INDEX(Katalog!$F$3:$F$12,MATCH(cadangan[[#This Row],[ItemID A]],Katalog!$C$3:$C$12,0))*cadangan[[#This Row],[Qty A]]</f>
        <v>100000</v>
      </c>
      <c r="K660" s="73">
        <f>IFERROR(cadangan[[#This Row],[Harga Diskon A]]-INDEX(Katalog!$E$3:$E$12,MATCH(cadangan[[#This Row],[ItemID A]],Katalog!$C$3:$C$12,0))*cadangan[[#This Row],[Qty A]],0)</f>
        <v>70000</v>
      </c>
      <c r="L660" s="39" t="s">
        <v>63</v>
      </c>
      <c r="M660" s="39" t="str">
        <f>IFERROR(INDEX(Katalog!$A$3:$A$12,MATCH(cadangan[[#This Row],[ItemID B]],Katalog!$C$3:$C$12,0)),"-")</f>
        <v>Pakaian Pria</v>
      </c>
      <c r="N660" s="39" t="str">
        <f>IFERROR(INDEX(Katalog!$B$3:$B$12,MATCH(cadangan[[#This Row],[ItemID B]],Katalog!$C$3:$C$12,0)),"-")</f>
        <v>Jaket Jeans</v>
      </c>
      <c r="O660" s="50">
        <v>2</v>
      </c>
      <c r="P660" s="50">
        <v>2</v>
      </c>
      <c r="Q660" s="73">
        <f>IFERROR(INDEX(Katalog!$D$3:$D$12,MATCH(cadangan[[#This Row],[ItemID B]],Katalog!$C$3:$C$12,0))*cadangan[[#This Row],[Qty B]],0)</f>
        <v>800000</v>
      </c>
      <c r="R660" s="73">
        <f>IFERROR(cadangan[[#This Row],[Harga Normal B]]-(cadangan[[#This Row],[Harga Normal B]]*cadangan[[#This Row],[Diskon]]),cadangan[[#This Row],[Harga Normal B]])</f>
        <v>720000</v>
      </c>
      <c r="S660" s="73">
        <f>IFERROR(INDEX(Katalog!$F$3:$F$12,MATCH(cadangan[[#This Row],[ItemID B]],Katalog!$C$3:$C$12,0))*cadangan[[#This Row],[Qty B]],0)</f>
        <v>300000</v>
      </c>
      <c r="T660" s="73">
        <f>IFERROR(cadangan[[#This Row],[Harga Diskon B]]-INDEX(Katalog!$E$3:$E$12,MATCH(cadangan[[#This Row],[ItemID B]],Katalog!$C$3:$C$12,0))*cadangan[[#This Row],[Qty B]],0)</f>
        <v>220000</v>
      </c>
      <c r="U660" s="39" t="s">
        <v>65</v>
      </c>
      <c r="V660" s="39" t="str">
        <f>IFERROR(INDEX(Katalog!$A$3:$A$12,MATCH(cadangan[[#This Row],[ItemID C]],Katalog!$C$3:$C$12,0)),"-")</f>
        <v>Sepatu Pria</v>
      </c>
      <c r="W660" s="39" t="str">
        <f>IFERROR(INDEX(Katalog!$B$3:$B$12,MATCH(cadangan[[#This Row],[ItemID C]],Katalog!$C$3:$C$12,0)),"-")</f>
        <v>Sneakers</v>
      </c>
      <c r="X660" s="50">
        <v>2</v>
      </c>
      <c r="Y660" s="50">
        <v>3</v>
      </c>
      <c r="Z660" s="73">
        <f>IFERROR(INDEX(Katalog!$D$3:$D$12,MATCH(cadangan[[#This Row],[ItemID C]],Katalog!$C$3:$C$12,0))*cadangan[[#This Row],[Qty C]],0)</f>
        <v>1000000</v>
      </c>
      <c r="AA660" s="73">
        <f>IFERROR(cadangan[[#This Row],[Harga Normal C]]-(cadangan[[#This Row],[Harga Normal C]]*cadangan[[#This Row],[Diskon]]),cadangan[[#This Row],[Harga Normal C]])</f>
        <v>900000</v>
      </c>
      <c r="AB660" s="73">
        <f>IFERROR(INDEX(Katalog!$F$3:$F$12,MATCH(cadangan[[#This Row],[ItemID C]],Katalog!$C$3:$C$12,0))*cadangan[[#This Row],[Qty C]],0)</f>
        <v>400000</v>
      </c>
      <c r="AC660" s="73">
        <f>IFERROR(cadangan[[#This Row],[Harga Diskon C]]-INDEX(Katalog!$E$3:$E$12,MATCH(cadangan[[#This Row],[ItemID C]],Katalog!$C$3:$C$12,0))*cadangan[[#This Row],[Qty C]],0)</f>
        <v>300000</v>
      </c>
      <c r="AD660" s="53">
        <f>cadangan[[#This Row],[Qty A]]+cadangan[[#This Row],[Qty B]]+cadangan[[#This Row],[Qty C]]</f>
        <v>6</v>
      </c>
      <c r="AE660" s="73">
        <f>cadangan[[#This Row],[Harga Normal A]]+cadangan[[#This Row],[Harga Normal B]]+cadangan[[#This Row],[Harga Normal C]]</f>
        <v>2100000</v>
      </c>
      <c r="AF660" s="73">
        <f>cadangan[[#This Row],[Harga Diskon A]]+cadangan[[#This Row],[Harga Diskon B]]+cadangan[[#This Row],[Harga Diskon C]]</f>
        <v>1890000</v>
      </c>
      <c r="AG660" s="73">
        <f>(cadangan[[#This Row],[Profit Normal A]]+cadangan[[#This Row],[Profit Normal B]]+cadangan[[#This Row],[Profit Normal C]])</f>
        <v>800000</v>
      </c>
      <c r="AH660" s="73">
        <f>cadangan[[#This Row],[Profit Diskon A]]+cadangan[[#This Row],[Profit Diskon B]]+cadangan[[#This Row],[Profit Diskon C]]</f>
        <v>590000</v>
      </c>
      <c r="AI660" s="23" t="s">
        <v>31</v>
      </c>
      <c r="AJ660" s="37">
        <f>IFERROR(INDEX('Kode Diskon'!$D$3:$D$9,MATCH(cadangan[[#This Row],[Kode diskon]],'Kode Diskon'!$C$3:$C$9,0)),"-")</f>
        <v>0.1</v>
      </c>
      <c r="AK660" s="23" t="s">
        <v>9</v>
      </c>
      <c r="AL660" s="23" t="s">
        <v>10</v>
      </c>
      <c r="AM660" s="23" t="s">
        <v>77</v>
      </c>
      <c r="AN660" s="55">
        <v>45046</v>
      </c>
      <c r="AO660" s="53">
        <f>DAY(cadangan[[#This Row],[Tanggal terjual]])</f>
        <v>30</v>
      </c>
      <c r="AP660" s="21" t="str">
        <f>TEXT(cadangan[[#This Row],[Tanggal terjual]],"dddd")</f>
        <v>Sunday</v>
      </c>
      <c r="AQ660" s="23" t="str" cm="1">
        <f t="array" ref="AQ6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60" s="61">
        <f>AVERAGE(cadangan[[#This Row],[Rating A]],cadangan[[#This Row],[Rating B]],cadangan[[#This Row],[Rating C]])</f>
        <v>2</v>
      </c>
    </row>
    <row r="661" spans="1:44" x14ac:dyDescent="0.2">
      <c r="A661" s="20">
        <v>660</v>
      </c>
      <c r="B661" s="21" t="str">
        <f>_xlfn.CONCAT("ORD-",INDEX(Helper!$B$2:$B$5,MATCH(cadangan[[#This Row],[Marketplace]],Helper!$A$2:$A$5,0)),TEXT(cadangan[[#This Row],[No]],"0000"),"-",TEXT(cadangan[[#This Row],[Tanggal terjual]],"dd/mm/yy"))</f>
        <v>ORD-BL0660-14/04/23</v>
      </c>
      <c r="C661" s="39" t="s">
        <v>67</v>
      </c>
      <c r="D661" s="39" t="str">
        <f>IFERROR(INDEX(Katalog!$A$3:$A$12,MATCH(cadangan[[#This Row],[ItemID A]],Katalog!$C$3:$C$12,0)),"-")</f>
        <v>Sepatu Wanita</v>
      </c>
      <c r="E661" s="39" t="str">
        <f>IFERROR(INDEX(Katalog!$B$3:$B$12,MATCH(cadangan[[#This Row],[ItemID A]],Katalog!$C$3:$C$12,0)),"-")</f>
        <v>Flat Shoes</v>
      </c>
      <c r="F661" s="50">
        <v>3</v>
      </c>
      <c r="G661" s="50">
        <v>1</v>
      </c>
      <c r="H661" s="73">
        <f>IFERROR(INDEX(Katalog!$D$3:$D$12,MATCH(cadangan[[#This Row],[ItemID A]],Katalog!$C$3:$C$12,0))*cadangan[[#This Row],[Qty A]],0)</f>
        <v>750000</v>
      </c>
      <c r="I661" s="73">
        <f>IFERROR(cadangan[[#This Row],[Harga Normal A]]-(cadangan[[#This Row],[Harga Normal A]]*cadangan[[#This Row],[Diskon]]),cadangan[[#This Row],[Harga Normal A]])</f>
        <v>750000</v>
      </c>
      <c r="J661" s="73">
        <f>INDEX(Katalog!$F$3:$F$12,MATCH(cadangan[[#This Row],[ItemID A]],Katalog!$C$3:$C$12,0))*cadangan[[#This Row],[Qty A]]</f>
        <v>300000</v>
      </c>
      <c r="K661" s="73">
        <f>IFERROR(cadangan[[#This Row],[Harga Diskon A]]-INDEX(Katalog!$E$3:$E$12,MATCH(cadangan[[#This Row],[ItemID A]],Katalog!$C$3:$C$12,0))*cadangan[[#This Row],[Qty A]],0)</f>
        <v>300000</v>
      </c>
      <c r="L661" s="39" t="s">
        <v>60</v>
      </c>
      <c r="M661" s="39" t="str">
        <f>IFERROR(INDEX(Katalog!$A$3:$A$12,MATCH(cadangan[[#This Row],[ItemID B]],Katalog!$C$3:$C$12,0)),"-")</f>
        <v>Pakaian Wanita</v>
      </c>
      <c r="N661" s="39" t="str">
        <f>IFERROR(INDEX(Katalog!$B$3:$B$12,MATCH(cadangan[[#This Row],[ItemID B]],Katalog!$C$3:$C$12,0)),"-")</f>
        <v>Kaftan</v>
      </c>
      <c r="O661" s="50">
        <v>2</v>
      </c>
      <c r="P661" s="50">
        <v>1</v>
      </c>
      <c r="Q661" s="73">
        <f>IFERROR(INDEX(Katalog!$D$3:$D$12,MATCH(cadangan[[#This Row],[ItemID B]],Katalog!$C$3:$C$12,0))*cadangan[[#This Row],[Qty B]],0)</f>
        <v>500000</v>
      </c>
      <c r="R661" s="73">
        <f>IFERROR(cadangan[[#This Row],[Harga Normal B]]-(cadangan[[#This Row],[Harga Normal B]]*cadangan[[#This Row],[Diskon]]),cadangan[[#This Row],[Harga Normal B]])</f>
        <v>500000</v>
      </c>
      <c r="S661" s="73">
        <f>IFERROR(INDEX(Katalog!$F$3:$F$12,MATCH(cadangan[[#This Row],[ItemID B]],Katalog!$C$3:$C$12,0))*cadangan[[#This Row],[Qty B]],0)</f>
        <v>200000</v>
      </c>
      <c r="T661" s="73">
        <f>IFERROR(cadangan[[#This Row],[Harga Diskon B]]-INDEX(Katalog!$E$3:$E$12,MATCH(cadangan[[#This Row],[ItemID B]],Katalog!$C$3:$C$12,0))*cadangan[[#This Row],[Qty B]],0)</f>
        <v>200000</v>
      </c>
      <c r="U661" s="39" t="s">
        <v>59</v>
      </c>
      <c r="V661" s="39" t="str">
        <f>IFERROR(INDEX(Katalog!$A$3:$A$12,MATCH(cadangan[[#This Row],[ItemID C]],Katalog!$C$3:$C$12,0)),"-")</f>
        <v>Pakaian Wanita</v>
      </c>
      <c r="W661" s="39" t="str">
        <f>IFERROR(INDEX(Katalog!$B$3:$B$12,MATCH(cadangan[[#This Row],[ItemID C]],Katalog!$C$3:$C$12,0)),"-")</f>
        <v>Blouse</v>
      </c>
      <c r="X661" s="50">
        <v>1</v>
      </c>
      <c r="Y661" s="50">
        <v>2</v>
      </c>
      <c r="Z661" s="73">
        <f>IFERROR(INDEX(Katalog!$D$3:$D$12,MATCH(cadangan[[#This Row],[ItemID C]],Katalog!$C$3:$C$12,0))*cadangan[[#This Row],[Qty C]],0)</f>
        <v>150000</v>
      </c>
      <c r="AA661" s="73">
        <f>IFERROR(cadangan[[#This Row],[Harga Normal C]]-(cadangan[[#This Row],[Harga Normal C]]*cadangan[[#This Row],[Diskon]]),cadangan[[#This Row],[Harga Normal C]])</f>
        <v>150000</v>
      </c>
      <c r="AB661" s="73">
        <f>IFERROR(INDEX(Katalog!$F$3:$F$12,MATCH(cadangan[[#This Row],[ItemID C]],Katalog!$C$3:$C$12,0))*cadangan[[#This Row],[Qty C]],0)</f>
        <v>50000</v>
      </c>
      <c r="AC661" s="73">
        <f>IFERROR(cadangan[[#This Row],[Harga Diskon C]]-INDEX(Katalog!$E$3:$E$12,MATCH(cadangan[[#This Row],[ItemID C]],Katalog!$C$3:$C$12,0))*cadangan[[#This Row],[Qty C]],0)</f>
        <v>50000</v>
      </c>
      <c r="AD661" s="53">
        <f>cadangan[[#This Row],[Qty A]]+cadangan[[#This Row],[Qty B]]+cadangan[[#This Row],[Qty C]]</f>
        <v>6</v>
      </c>
      <c r="AE661" s="73">
        <f>cadangan[[#This Row],[Harga Normal A]]+cadangan[[#This Row],[Harga Normal B]]+cadangan[[#This Row],[Harga Normal C]]</f>
        <v>1400000</v>
      </c>
      <c r="AF661" s="73">
        <f>cadangan[[#This Row],[Harga Diskon A]]+cadangan[[#This Row],[Harga Diskon B]]+cadangan[[#This Row],[Harga Diskon C]]</f>
        <v>1400000</v>
      </c>
      <c r="AG661" s="73">
        <f>(cadangan[[#This Row],[Profit Normal A]]+cadangan[[#This Row],[Profit Normal B]]+cadangan[[#This Row],[Profit Normal C]])</f>
        <v>550000</v>
      </c>
      <c r="AH661" s="73">
        <f>cadangan[[#This Row],[Profit Diskon A]]+cadangan[[#This Row],[Profit Diskon B]]+cadangan[[#This Row],[Profit Diskon C]]</f>
        <v>550000</v>
      </c>
      <c r="AI661" s="23" t="s">
        <v>290</v>
      </c>
      <c r="AJ661" s="37" t="str">
        <f>IFERROR(INDEX('Kode Diskon'!$D$3:$D$9,MATCH(cadangan[[#This Row],[Kode diskon]],'Kode Diskon'!$C$3:$C$9,0)),"-")</f>
        <v>-</v>
      </c>
      <c r="AK661" s="23" t="s">
        <v>290</v>
      </c>
      <c r="AL661" s="23" t="s">
        <v>12</v>
      </c>
      <c r="AM661" s="23" t="s">
        <v>76</v>
      </c>
      <c r="AN661" s="55">
        <v>45030</v>
      </c>
      <c r="AO661" s="53">
        <f>DAY(cadangan[[#This Row],[Tanggal terjual]])</f>
        <v>14</v>
      </c>
      <c r="AP661" s="21" t="str">
        <f>TEXT(cadangan[[#This Row],[Tanggal terjual]],"dddd")</f>
        <v>Friday</v>
      </c>
      <c r="AQ661" s="23" t="str" cm="1">
        <f t="array" ref="AQ6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61" s="61">
        <f>AVERAGE(cadangan[[#This Row],[Rating A]],cadangan[[#This Row],[Rating B]],cadangan[[#This Row],[Rating C]])</f>
        <v>1.3333333333333333</v>
      </c>
    </row>
    <row r="662" spans="1:44" x14ac:dyDescent="0.2">
      <c r="A662" s="20">
        <v>661</v>
      </c>
      <c r="B662" s="21" t="str">
        <f>_xlfn.CONCAT("ORD-",INDEX(Helper!$B$2:$B$5,MATCH(cadangan[[#This Row],[Marketplace]],Helper!$A$2:$A$5,0)),TEXT(cadangan[[#This Row],[No]],"0000"),"-",TEXT(cadangan[[#This Row],[Tanggal terjual]],"dd/mm/yy"))</f>
        <v>ORD-SP0661-06/04/23</v>
      </c>
      <c r="C662" s="39" t="s">
        <v>66</v>
      </c>
      <c r="D662" s="39" t="str">
        <f>IFERROR(INDEX(Katalog!$A$3:$A$12,MATCH(cadangan[[#This Row],[ItemID A]],Katalog!$C$3:$C$12,0)),"-")</f>
        <v>Sepatu Pria</v>
      </c>
      <c r="E662" s="39" t="str">
        <f>IFERROR(INDEX(Katalog!$B$3:$B$12,MATCH(cadangan[[#This Row],[ItemID A]],Katalog!$C$3:$C$12,0)),"-")</f>
        <v>Sandal Slip On</v>
      </c>
      <c r="F662" s="50">
        <v>1</v>
      </c>
      <c r="G662" s="50">
        <v>4</v>
      </c>
      <c r="H662" s="73">
        <f>IFERROR(INDEX(Katalog!$D$3:$D$12,MATCH(cadangan[[#This Row],[ItemID A]],Katalog!$C$3:$C$12,0))*cadangan[[#This Row],[Qty A]],0)</f>
        <v>150000</v>
      </c>
      <c r="I662" s="73">
        <f>IFERROR(cadangan[[#This Row],[Harga Normal A]]-(cadangan[[#This Row],[Harga Normal A]]*cadangan[[#This Row],[Diskon]]),cadangan[[#This Row],[Harga Normal A]])</f>
        <v>135000</v>
      </c>
      <c r="J662" s="73">
        <f>INDEX(Katalog!$F$3:$F$12,MATCH(cadangan[[#This Row],[ItemID A]],Katalog!$C$3:$C$12,0))*cadangan[[#This Row],[Qty A]]</f>
        <v>60000</v>
      </c>
      <c r="K662" s="73">
        <f>IFERROR(cadangan[[#This Row],[Harga Diskon A]]-INDEX(Katalog!$E$3:$E$12,MATCH(cadangan[[#This Row],[ItemID A]],Katalog!$C$3:$C$12,0))*cadangan[[#This Row],[Qty A]],0)</f>
        <v>45000</v>
      </c>
      <c r="L662" s="39" t="s">
        <v>63</v>
      </c>
      <c r="M662" s="39" t="str">
        <f>IFERROR(INDEX(Katalog!$A$3:$A$12,MATCH(cadangan[[#This Row],[ItemID B]],Katalog!$C$3:$C$12,0)),"-")</f>
        <v>Pakaian Pria</v>
      </c>
      <c r="N662" s="39" t="str">
        <f>IFERROR(INDEX(Katalog!$B$3:$B$12,MATCH(cadangan[[#This Row],[ItemID B]],Katalog!$C$3:$C$12,0)),"-")</f>
        <v>Jaket Jeans</v>
      </c>
      <c r="O662" s="50">
        <v>2</v>
      </c>
      <c r="P662" s="50">
        <v>3</v>
      </c>
      <c r="Q662" s="73">
        <f>IFERROR(INDEX(Katalog!$D$3:$D$12,MATCH(cadangan[[#This Row],[ItemID B]],Katalog!$C$3:$C$12,0))*cadangan[[#This Row],[Qty B]],0)</f>
        <v>800000</v>
      </c>
      <c r="R662" s="73">
        <f>IFERROR(cadangan[[#This Row],[Harga Normal B]]-(cadangan[[#This Row],[Harga Normal B]]*cadangan[[#This Row],[Diskon]]),cadangan[[#This Row],[Harga Normal B]])</f>
        <v>720000</v>
      </c>
      <c r="S662" s="73">
        <f>IFERROR(INDEX(Katalog!$F$3:$F$12,MATCH(cadangan[[#This Row],[ItemID B]],Katalog!$C$3:$C$12,0))*cadangan[[#This Row],[Qty B]],0)</f>
        <v>300000</v>
      </c>
      <c r="T662" s="73">
        <f>IFERROR(cadangan[[#This Row],[Harga Diskon B]]-INDEX(Katalog!$E$3:$E$12,MATCH(cadangan[[#This Row],[ItemID B]],Katalog!$C$3:$C$12,0))*cadangan[[#This Row],[Qty B]],0)</f>
        <v>220000</v>
      </c>
      <c r="U662" s="39" t="s">
        <v>65</v>
      </c>
      <c r="V662" s="39" t="str">
        <f>IFERROR(INDEX(Katalog!$A$3:$A$12,MATCH(cadangan[[#This Row],[ItemID C]],Katalog!$C$3:$C$12,0)),"-")</f>
        <v>Sepatu Pria</v>
      </c>
      <c r="W662" s="39" t="str">
        <f>IFERROR(INDEX(Katalog!$B$3:$B$12,MATCH(cadangan[[#This Row],[ItemID C]],Katalog!$C$3:$C$12,0)),"-")</f>
        <v>Sneakers</v>
      </c>
      <c r="X662" s="50">
        <v>2</v>
      </c>
      <c r="Y662" s="50">
        <v>3</v>
      </c>
      <c r="Z662" s="73">
        <f>IFERROR(INDEX(Katalog!$D$3:$D$12,MATCH(cadangan[[#This Row],[ItemID C]],Katalog!$C$3:$C$12,0))*cadangan[[#This Row],[Qty C]],0)</f>
        <v>1000000</v>
      </c>
      <c r="AA662" s="73">
        <f>IFERROR(cadangan[[#This Row],[Harga Normal C]]-(cadangan[[#This Row],[Harga Normal C]]*cadangan[[#This Row],[Diskon]]),cadangan[[#This Row],[Harga Normal C]])</f>
        <v>900000</v>
      </c>
      <c r="AB662" s="73">
        <f>IFERROR(INDEX(Katalog!$F$3:$F$12,MATCH(cadangan[[#This Row],[ItemID C]],Katalog!$C$3:$C$12,0))*cadangan[[#This Row],[Qty C]],0)</f>
        <v>400000</v>
      </c>
      <c r="AC662" s="73">
        <f>IFERROR(cadangan[[#This Row],[Harga Diskon C]]-INDEX(Katalog!$E$3:$E$12,MATCH(cadangan[[#This Row],[ItemID C]],Katalog!$C$3:$C$12,0))*cadangan[[#This Row],[Qty C]],0)</f>
        <v>300000</v>
      </c>
      <c r="AD662" s="53">
        <f>cadangan[[#This Row],[Qty A]]+cadangan[[#This Row],[Qty B]]+cadangan[[#This Row],[Qty C]]</f>
        <v>5</v>
      </c>
      <c r="AE662" s="73">
        <f>cadangan[[#This Row],[Harga Normal A]]+cadangan[[#This Row],[Harga Normal B]]+cadangan[[#This Row],[Harga Normal C]]</f>
        <v>1950000</v>
      </c>
      <c r="AF662" s="73">
        <f>cadangan[[#This Row],[Harga Diskon A]]+cadangan[[#This Row],[Harga Diskon B]]+cadangan[[#This Row],[Harga Diskon C]]</f>
        <v>1755000</v>
      </c>
      <c r="AG662" s="73">
        <f>(cadangan[[#This Row],[Profit Normal A]]+cadangan[[#This Row],[Profit Normal B]]+cadangan[[#This Row],[Profit Normal C]])</f>
        <v>760000</v>
      </c>
      <c r="AH662" s="73">
        <f>cadangan[[#This Row],[Profit Diskon A]]+cadangan[[#This Row],[Profit Diskon B]]+cadangan[[#This Row],[Profit Diskon C]]</f>
        <v>565000</v>
      </c>
      <c r="AI662" s="23" t="s">
        <v>6</v>
      </c>
      <c r="AJ662" s="37">
        <f>IFERROR(INDEX('Kode Diskon'!$D$3:$D$9,MATCH(cadangan[[#This Row],[Kode diskon]],'Kode Diskon'!$C$3:$C$9,0)),"-")</f>
        <v>0.1</v>
      </c>
      <c r="AK662" s="23" t="s">
        <v>29</v>
      </c>
      <c r="AL662" s="23" t="s">
        <v>7</v>
      </c>
      <c r="AM662" s="23" t="s">
        <v>78</v>
      </c>
      <c r="AN662" s="55">
        <v>45022</v>
      </c>
      <c r="AO662" s="53">
        <f>DAY(cadangan[[#This Row],[Tanggal terjual]])</f>
        <v>6</v>
      </c>
      <c r="AP662" s="21" t="str">
        <f>TEXT(cadangan[[#This Row],[Tanggal terjual]],"dddd")</f>
        <v>Thursday</v>
      </c>
      <c r="AQ662" s="23" t="str" cm="1">
        <f t="array" ref="AQ6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62" s="61">
        <f>AVERAGE(cadangan[[#This Row],[Rating A]],cadangan[[#This Row],[Rating B]],cadangan[[#This Row],[Rating C]])</f>
        <v>3.3333333333333335</v>
      </c>
    </row>
    <row r="663" spans="1:44" x14ac:dyDescent="0.2">
      <c r="A663" s="20">
        <v>662</v>
      </c>
      <c r="B663" s="21" t="str">
        <f>_xlfn.CONCAT("ORD-",INDEX(Helper!$B$2:$B$5,MATCH(cadangan[[#This Row],[Marketplace]],Helper!$A$2:$A$5,0)),TEXT(cadangan[[#This Row],[No]],"0000"),"-",TEXT(cadangan[[#This Row],[Tanggal terjual]],"dd/mm/yy"))</f>
        <v>ORD-SP0662-01/04/23</v>
      </c>
      <c r="C663" s="39" t="s">
        <v>60</v>
      </c>
      <c r="D663" s="39" t="str">
        <f>IFERROR(INDEX(Katalog!$A$3:$A$12,MATCH(cadangan[[#This Row],[ItemID A]],Katalog!$C$3:$C$12,0)),"-")</f>
        <v>Pakaian Wanita</v>
      </c>
      <c r="E663" s="39" t="str">
        <f>IFERROR(INDEX(Katalog!$B$3:$B$12,MATCH(cadangan[[#This Row],[ItemID A]],Katalog!$C$3:$C$12,0)),"-")</f>
        <v>Kaftan</v>
      </c>
      <c r="F663" s="50">
        <v>1</v>
      </c>
      <c r="G663" s="50">
        <v>5</v>
      </c>
      <c r="H663" s="73">
        <f>IFERROR(INDEX(Katalog!$D$3:$D$12,MATCH(cadangan[[#This Row],[ItemID A]],Katalog!$C$3:$C$12,0))*cadangan[[#This Row],[Qty A]],0)</f>
        <v>250000</v>
      </c>
      <c r="I663" s="73">
        <f>IFERROR(cadangan[[#This Row],[Harga Normal A]]-(cadangan[[#This Row],[Harga Normal A]]*cadangan[[#This Row],[Diskon]]),cadangan[[#This Row],[Harga Normal A]])</f>
        <v>212500</v>
      </c>
      <c r="J663" s="73">
        <f>INDEX(Katalog!$F$3:$F$12,MATCH(cadangan[[#This Row],[ItemID A]],Katalog!$C$3:$C$12,0))*cadangan[[#This Row],[Qty A]]</f>
        <v>100000</v>
      </c>
      <c r="K663" s="73">
        <f>IFERROR(cadangan[[#This Row],[Harga Diskon A]]-INDEX(Katalog!$E$3:$E$12,MATCH(cadangan[[#This Row],[ItemID A]],Katalog!$C$3:$C$12,0))*cadangan[[#This Row],[Qty A]],0)</f>
        <v>62500</v>
      </c>
      <c r="L663" s="39" t="s">
        <v>64</v>
      </c>
      <c r="M663" s="39" t="str">
        <f>IFERROR(INDEX(Katalog!$A$3:$A$12,MATCH(cadangan[[#This Row],[ItemID B]],Katalog!$C$3:$C$12,0)),"-")</f>
        <v>Pakaian Unisex</v>
      </c>
      <c r="N663" s="39" t="str">
        <f>IFERROR(INDEX(Katalog!$B$3:$B$12,MATCH(cadangan[[#This Row],[ItemID B]],Katalog!$C$3:$C$12,0)),"-")</f>
        <v>Jaket Hoodie</v>
      </c>
      <c r="O663" s="50">
        <v>1</v>
      </c>
      <c r="P663" s="50">
        <v>4</v>
      </c>
      <c r="Q663" s="73">
        <f>IFERROR(INDEX(Katalog!$D$3:$D$12,MATCH(cadangan[[#This Row],[ItemID B]],Katalog!$C$3:$C$12,0))*cadangan[[#This Row],[Qty B]],0)</f>
        <v>350000</v>
      </c>
      <c r="R663" s="73">
        <f>IFERROR(cadangan[[#This Row],[Harga Normal B]]-(cadangan[[#This Row],[Harga Normal B]]*cadangan[[#This Row],[Diskon]]),cadangan[[#This Row],[Harga Normal B]])</f>
        <v>297500</v>
      </c>
      <c r="S663" s="73">
        <f>IFERROR(INDEX(Katalog!$F$3:$F$12,MATCH(cadangan[[#This Row],[ItemID B]],Katalog!$C$3:$C$12,0))*cadangan[[#This Row],[Qty B]],0)</f>
        <v>130000</v>
      </c>
      <c r="T663" s="73">
        <f>IFERROR(cadangan[[#This Row],[Harga Diskon B]]-INDEX(Katalog!$E$3:$E$12,MATCH(cadangan[[#This Row],[ItemID B]],Katalog!$C$3:$C$12,0))*cadangan[[#This Row],[Qty B]],0)</f>
        <v>77500</v>
      </c>
      <c r="V663" s="39" t="str">
        <f>IFERROR(INDEX(Katalog!$A$3:$A$12,MATCH(cadangan[[#This Row],[ItemID C]],Katalog!$C$3:$C$12,0)),"-")</f>
        <v>-</v>
      </c>
      <c r="W663" s="39" t="str">
        <f>IFERROR(INDEX(Katalog!$B$3:$B$12,MATCH(cadangan[[#This Row],[ItemID C]],Katalog!$C$3:$C$12,0)),"-")</f>
        <v>-</v>
      </c>
      <c r="Z663" s="73">
        <f>IFERROR(INDEX(Katalog!$D$3:$D$12,MATCH(cadangan[[#This Row],[ItemID C]],Katalog!$C$3:$C$12,0))*cadangan[[#This Row],[Qty C]],0)</f>
        <v>0</v>
      </c>
      <c r="AA663" s="73">
        <f>IFERROR(cadangan[[#This Row],[Harga Normal C]]-(cadangan[[#This Row],[Harga Normal C]]*cadangan[[#This Row],[Diskon]]),cadangan[[#This Row],[Harga Normal C]])</f>
        <v>0</v>
      </c>
      <c r="AB663" s="73">
        <f>IFERROR(INDEX(Katalog!$F$3:$F$12,MATCH(cadangan[[#This Row],[ItemID C]],Katalog!$C$3:$C$12,0))*cadangan[[#This Row],[Qty C]],0)</f>
        <v>0</v>
      </c>
      <c r="AC663" s="73">
        <f>IFERROR(cadangan[[#This Row],[Harga Diskon C]]-INDEX(Katalog!$E$3:$E$12,MATCH(cadangan[[#This Row],[ItemID C]],Katalog!$C$3:$C$12,0))*cadangan[[#This Row],[Qty C]],0)</f>
        <v>0</v>
      </c>
      <c r="AD663" s="53">
        <f>cadangan[[#This Row],[Qty A]]+cadangan[[#This Row],[Qty B]]+cadangan[[#This Row],[Qty C]]</f>
        <v>2</v>
      </c>
      <c r="AE663" s="73">
        <f>cadangan[[#This Row],[Harga Normal A]]+cadangan[[#This Row],[Harga Normal B]]+cadangan[[#This Row],[Harga Normal C]]</f>
        <v>600000</v>
      </c>
      <c r="AF663" s="73">
        <f>cadangan[[#This Row],[Harga Diskon A]]+cadangan[[#This Row],[Harga Diskon B]]+cadangan[[#This Row],[Harga Diskon C]]</f>
        <v>510000</v>
      </c>
      <c r="AG663" s="73">
        <f>(cadangan[[#This Row],[Profit Normal A]]+cadangan[[#This Row],[Profit Normal B]]+cadangan[[#This Row],[Profit Normal C]])</f>
        <v>230000</v>
      </c>
      <c r="AH663" s="73">
        <f>cadangan[[#This Row],[Profit Diskon A]]+cadangan[[#This Row],[Profit Diskon B]]+cadangan[[#This Row],[Profit Diskon C]]</f>
        <v>140000</v>
      </c>
      <c r="AI663" s="23" t="s">
        <v>13</v>
      </c>
      <c r="AJ663" s="37">
        <f>IFERROR(INDEX('Kode Diskon'!$D$3:$D$9,MATCH(cadangan[[#This Row],[Kode diskon]],'Kode Diskon'!$C$3:$C$9,0)),"-")</f>
        <v>0.15</v>
      </c>
      <c r="AK663" s="23" t="s">
        <v>29</v>
      </c>
      <c r="AL663" s="23" t="s">
        <v>7</v>
      </c>
      <c r="AM663" s="23" t="s">
        <v>75</v>
      </c>
      <c r="AN663" s="55">
        <v>45017</v>
      </c>
      <c r="AO663" s="53">
        <f>DAY(cadangan[[#This Row],[Tanggal terjual]])</f>
        <v>1</v>
      </c>
      <c r="AP663" s="21" t="str">
        <f>TEXT(cadangan[[#This Row],[Tanggal terjual]],"dddd")</f>
        <v>Saturday</v>
      </c>
      <c r="AQ663" s="23" t="str" cm="1">
        <f t="array" ref="AQ6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63" s="61">
        <f>AVERAGE(cadangan[[#This Row],[Rating A]],cadangan[[#This Row],[Rating B]],cadangan[[#This Row],[Rating C]])</f>
        <v>4.5</v>
      </c>
    </row>
    <row r="664" spans="1:44" x14ac:dyDescent="0.2">
      <c r="A664" s="20">
        <v>663</v>
      </c>
      <c r="B664" s="21" t="str">
        <f>_xlfn.CONCAT("ORD-",INDEX(Helper!$B$2:$B$5,MATCH(cadangan[[#This Row],[Marketplace]],Helper!$A$2:$A$5,0)),TEXT(cadangan[[#This Row],[No]],"0000"),"-",TEXT(cadangan[[#This Row],[Tanggal terjual]],"dd/mm/yy"))</f>
        <v>ORD-TK0663-21/04/23</v>
      </c>
      <c r="C664" s="39" t="s">
        <v>66</v>
      </c>
      <c r="D664" s="39" t="str">
        <f>IFERROR(INDEX(Katalog!$A$3:$A$12,MATCH(cadangan[[#This Row],[ItemID A]],Katalog!$C$3:$C$12,0)),"-")</f>
        <v>Sepatu Pria</v>
      </c>
      <c r="E664" s="39" t="str">
        <f>IFERROR(INDEX(Katalog!$B$3:$B$12,MATCH(cadangan[[#This Row],[ItemID A]],Katalog!$C$3:$C$12,0)),"-")</f>
        <v>Sandal Slip On</v>
      </c>
      <c r="F664" s="50">
        <v>3</v>
      </c>
      <c r="G664" s="50">
        <v>4</v>
      </c>
      <c r="H664" s="73">
        <f>IFERROR(INDEX(Katalog!$D$3:$D$12,MATCH(cadangan[[#This Row],[ItemID A]],Katalog!$C$3:$C$12,0))*cadangan[[#This Row],[Qty A]],0)</f>
        <v>450000</v>
      </c>
      <c r="I664" s="73">
        <f>IFERROR(cadangan[[#This Row],[Harga Normal A]]-(cadangan[[#This Row],[Harga Normal A]]*cadangan[[#This Row],[Diskon]]),cadangan[[#This Row],[Harga Normal A]])</f>
        <v>405000</v>
      </c>
      <c r="J664" s="73">
        <f>INDEX(Katalog!$F$3:$F$12,MATCH(cadangan[[#This Row],[ItemID A]],Katalog!$C$3:$C$12,0))*cadangan[[#This Row],[Qty A]]</f>
        <v>180000</v>
      </c>
      <c r="K664" s="73">
        <f>IFERROR(cadangan[[#This Row],[Harga Diskon A]]-INDEX(Katalog!$E$3:$E$12,MATCH(cadangan[[#This Row],[ItemID A]],Katalog!$C$3:$C$12,0))*cadangan[[#This Row],[Qty A]],0)</f>
        <v>135000</v>
      </c>
      <c r="L664" s="39" t="s">
        <v>63</v>
      </c>
      <c r="M664" s="39" t="str">
        <f>IFERROR(INDEX(Katalog!$A$3:$A$12,MATCH(cadangan[[#This Row],[ItemID B]],Katalog!$C$3:$C$12,0)),"-")</f>
        <v>Pakaian Pria</v>
      </c>
      <c r="N664" s="39" t="str">
        <f>IFERROR(INDEX(Katalog!$B$3:$B$12,MATCH(cadangan[[#This Row],[ItemID B]],Katalog!$C$3:$C$12,0)),"-")</f>
        <v>Jaket Jeans</v>
      </c>
      <c r="O664" s="50">
        <v>1</v>
      </c>
      <c r="P664" s="50">
        <v>2</v>
      </c>
      <c r="Q664" s="73">
        <f>IFERROR(INDEX(Katalog!$D$3:$D$12,MATCH(cadangan[[#This Row],[ItemID B]],Katalog!$C$3:$C$12,0))*cadangan[[#This Row],[Qty B]],0)</f>
        <v>400000</v>
      </c>
      <c r="R664" s="73">
        <f>IFERROR(cadangan[[#This Row],[Harga Normal B]]-(cadangan[[#This Row],[Harga Normal B]]*cadangan[[#This Row],[Diskon]]),cadangan[[#This Row],[Harga Normal B]])</f>
        <v>360000</v>
      </c>
      <c r="S664" s="73">
        <f>IFERROR(INDEX(Katalog!$F$3:$F$12,MATCH(cadangan[[#This Row],[ItemID B]],Katalog!$C$3:$C$12,0))*cadangan[[#This Row],[Qty B]],0)</f>
        <v>150000</v>
      </c>
      <c r="T664" s="73">
        <f>IFERROR(cadangan[[#This Row],[Harga Diskon B]]-INDEX(Katalog!$E$3:$E$12,MATCH(cadangan[[#This Row],[ItemID B]],Katalog!$C$3:$C$12,0))*cadangan[[#This Row],[Qty B]],0)</f>
        <v>110000</v>
      </c>
      <c r="V664" s="39" t="str">
        <f>IFERROR(INDEX(Katalog!$A$3:$A$12,MATCH(cadangan[[#This Row],[ItemID C]],Katalog!$C$3:$C$12,0)),"-")</f>
        <v>-</v>
      </c>
      <c r="W664" s="39" t="str">
        <f>IFERROR(INDEX(Katalog!$B$3:$B$12,MATCH(cadangan[[#This Row],[ItemID C]],Katalog!$C$3:$C$12,0)),"-")</f>
        <v>-</v>
      </c>
      <c r="Z664" s="73">
        <f>IFERROR(INDEX(Katalog!$D$3:$D$12,MATCH(cadangan[[#This Row],[ItemID C]],Katalog!$C$3:$C$12,0))*cadangan[[#This Row],[Qty C]],0)</f>
        <v>0</v>
      </c>
      <c r="AA664" s="73">
        <f>IFERROR(cadangan[[#This Row],[Harga Normal C]]-(cadangan[[#This Row],[Harga Normal C]]*cadangan[[#This Row],[Diskon]]),cadangan[[#This Row],[Harga Normal C]])</f>
        <v>0</v>
      </c>
      <c r="AB664" s="73">
        <f>IFERROR(INDEX(Katalog!$F$3:$F$12,MATCH(cadangan[[#This Row],[ItemID C]],Katalog!$C$3:$C$12,0))*cadangan[[#This Row],[Qty C]],0)</f>
        <v>0</v>
      </c>
      <c r="AC664" s="73">
        <f>IFERROR(cadangan[[#This Row],[Harga Diskon C]]-INDEX(Katalog!$E$3:$E$12,MATCH(cadangan[[#This Row],[ItemID C]],Katalog!$C$3:$C$12,0))*cadangan[[#This Row],[Qty C]],0)</f>
        <v>0</v>
      </c>
      <c r="AD664" s="53">
        <f>cadangan[[#This Row],[Qty A]]+cadangan[[#This Row],[Qty B]]+cadangan[[#This Row],[Qty C]]</f>
        <v>4</v>
      </c>
      <c r="AE664" s="73">
        <f>cadangan[[#This Row],[Harga Normal A]]+cadangan[[#This Row],[Harga Normal B]]+cadangan[[#This Row],[Harga Normal C]]</f>
        <v>850000</v>
      </c>
      <c r="AF664" s="73">
        <f>cadangan[[#This Row],[Harga Diskon A]]+cadangan[[#This Row],[Harga Diskon B]]+cadangan[[#This Row],[Harga Diskon C]]</f>
        <v>765000</v>
      </c>
      <c r="AG664" s="73">
        <f>(cadangan[[#This Row],[Profit Normal A]]+cadangan[[#This Row],[Profit Normal B]]+cadangan[[#This Row],[Profit Normal C]])</f>
        <v>330000</v>
      </c>
      <c r="AH664" s="73">
        <f>cadangan[[#This Row],[Profit Diskon A]]+cadangan[[#This Row],[Profit Diskon B]]+cadangan[[#This Row],[Profit Diskon C]]</f>
        <v>245000</v>
      </c>
      <c r="AI664" s="23" t="s">
        <v>31</v>
      </c>
      <c r="AJ664" s="37">
        <f>IFERROR(INDEX('Kode Diskon'!$D$3:$D$9,MATCH(cadangan[[#This Row],[Kode diskon]],'Kode Diskon'!$C$3:$C$9,0)),"-")</f>
        <v>0.1</v>
      </c>
      <c r="AK664" s="23" t="s">
        <v>9</v>
      </c>
      <c r="AL664" s="23" t="s">
        <v>10</v>
      </c>
      <c r="AM664" s="23" t="s">
        <v>80</v>
      </c>
      <c r="AN664" s="55">
        <v>45037</v>
      </c>
      <c r="AO664" s="53">
        <f>DAY(cadangan[[#This Row],[Tanggal terjual]])</f>
        <v>21</v>
      </c>
      <c r="AP664" s="21" t="str">
        <f>TEXT(cadangan[[#This Row],[Tanggal terjual]],"dddd")</f>
        <v>Friday</v>
      </c>
      <c r="AQ664" s="23" t="str" cm="1">
        <f t="array" ref="AQ6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64" s="61">
        <f>AVERAGE(cadangan[[#This Row],[Rating A]],cadangan[[#This Row],[Rating B]],cadangan[[#This Row],[Rating C]])</f>
        <v>3</v>
      </c>
    </row>
    <row r="665" spans="1:44" x14ac:dyDescent="0.2">
      <c r="A665" s="20">
        <v>664</v>
      </c>
      <c r="B665" s="21" t="str">
        <f>_xlfn.CONCAT("ORD-",INDEX(Helper!$B$2:$B$5,MATCH(cadangan[[#This Row],[Marketplace]],Helper!$A$2:$A$5,0)),TEXT(cadangan[[#This Row],[No]],"0000"),"-",TEXT(cadangan[[#This Row],[Tanggal terjual]],"dd/mm/yy"))</f>
        <v>ORD-TK0664-26/04/23</v>
      </c>
      <c r="C665" s="39" t="s">
        <v>63</v>
      </c>
      <c r="D665" s="39" t="str">
        <f>IFERROR(INDEX(Katalog!$A$3:$A$12,MATCH(cadangan[[#This Row],[ItemID A]],Katalog!$C$3:$C$12,0)),"-")</f>
        <v>Pakaian Pria</v>
      </c>
      <c r="E665" s="39" t="str">
        <f>IFERROR(INDEX(Katalog!$B$3:$B$12,MATCH(cadangan[[#This Row],[ItemID A]],Katalog!$C$3:$C$12,0)),"-")</f>
        <v>Jaket Jeans</v>
      </c>
      <c r="F665" s="50">
        <v>1</v>
      </c>
      <c r="G665" s="50">
        <v>1</v>
      </c>
      <c r="H665" s="73">
        <f>IFERROR(INDEX(Katalog!$D$3:$D$12,MATCH(cadangan[[#This Row],[ItemID A]],Katalog!$C$3:$C$12,0))*cadangan[[#This Row],[Qty A]],0)</f>
        <v>400000</v>
      </c>
      <c r="I665" s="73">
        <f>IFERROR(cadangan[[#This Row],[Harga Normal A]]-(cadangan[[#This Row],[Harga Normal A]]*cadangan[[#This Row],[Diskon]]),cadangan[[#This Row],[Harga Normal A]])</f>
        <v>360000</v>
      </c>
      <c r="J665" s="73">
        <f>INDEX(Katalog!$F$3:$F$12,MATCH(cadangan[[#This Row],[ItemID A]],Katalog!$C$3:$C$12,0))*cadangan[[#This Row],[Qty A]]</f>
        <v>150000</v>
      </c>
      <c r="K665" s="73">
        <f>IFERROR(cadangan[[#This Row],[Harga Diskon A]]-INDEX(Katalog!$E$3:$E$12,MATCH(cadangan[[#This Row],[ItemID A]],Katalog!$C$3:$C$12,0))*cadangan[[#This Row],[Qty A]],0)</f>
        <v>110000</v>
      </c>
      <c r="L665" s="39" t="s">
        <v>58</v>
      </c>
      <c r="M665" s="39" t="str">
        <f>IFERROR(INDEX(Katalog!$A$3:$A$12,MATCH(cadangan[[#This Row],[ItemID B]],Katalog!$C$3:$C$12,0)),"-")</f>
        <v>Pakaian Wanita</v>
      </c>
      <c r="N665" s="39" t="str">
        <f>IFERROR(INDEX(Katalog!$B$3:$B$12,MATCH(cadangan[[#This Row],[ItemID B]],Katalog!$C$3:$C$12,0)),"-")</f>
        <v>Dress</v>
      </c>
      <c r="O665" s="50">
        <v>3</v>
      </c>
      <c r="P665" s="50">
        <v>4</v>
      </c>
      <c r="Q665" s="73">
        <f>IFERROR(INDEX(Katalog!$D$3:$D$12,MATCH(cadangan[[#This Row],[ItemID B]],Katalog!$C$3:$C$12,0))*cadangan[[#This Row],[Qty B]],0)</f>
        <v>900000</v>
      </c>
      <c r="R665" s="73">
        <f>IFERROR(cadangan[[#This Row],[Harga Normal B]]-(cadangan[[#This Row],[Harga Normal B]]*cadangan[[#This Row],[Diskon]]),cadangan[[#This Row],[Harga Normal B]])</f>
        <v>810000</v>
      </c>
      <c r="S665" s="73">
        <f>IFERROR(INDEX(Katalog!$F$3:$F$12,MATCH(cadangan[[#This Row],[ItemID B]],Katalog!$C$3:$C$12,0))*cadangan[[#This Row],[Qty B]],0)</f>
        <v>300000</v>
      </c>
      <c r="T665" s="73">
        <f>IFERROR(cadangan[[#This Row],[Harga Diskon B]]-INDEX(Katalog!$E$3:$E$12,MATCH(cadangan[[#This Row],[ItemID B]],Katalog!$C$3:$C$12,0))*cadangan[[#This Row],[Qty B]],0)</f>
        <v>210000</v>
      </c>
      <c r="U665" s="39" t="s">
        <v>62</v>
      </c>
      <c r="V665" s="39" t="str">
        <f>IFERROR(INDEX(Katalog!$A$3:$A$12,MATCH(cadangan[[#This Row],[ItemID C]],Katalog!$C$3:$C$12,0)),"-")</f>
        <v>Pakaian Pria</v>
      </c>
      <c r="W665" s="39" t="str">
        <f>IFERROR(INDEX(Katalog!$B$3:$B$12,MATCH(cadangan[[#This Row],[ItemID C]],Katalog!$C$3:$C$12,0)),"-")</f>
        <v>Celana Pendek</v>
      </c>
      <c r="X665" s="50">
        <v>1</v>
      </c>
      <c r="Y665" s="50">
        <v>3</v>
      </c>
      <c r="Z665" s="73">
        <f>IFERROR(INDEX(Katalog!$D$3:$D$12,MATCH(cadangan[[#This Row],[ItemID C]],Katalog!$C$3:$C$12,0))*cadangan[[#This Row],[Qty C]],0)</f>
        <v>180000</v>
      </c>
      <c r="AA665" s="73">
        <f>IFERROR(cadangan[[#This Row],[Harga Normal C]]-(cadangan[[#This Row],[Harga Normal C]]*cadangan[[#This Row],[Diskon]]),cadangan[[#This Row],[Harga Normal C]])</f>
        <v>162000</v>
      </c>
      <c r="AB665" s="73">
        <f>IFERROR(INDEX(Katalog!$F$3:$F$12,MATCH(cadangan[[#This Row],[ItemID C]],Katalog!$C$3:$C$12,0))*cadangan[[#This Row],[Qty C]],0)</f>
        <v>70000</v>
      </c>
      <c r="AC665" s="73">
        <f>IFERROR(cadangan[[#This Row],[Harga Diskon C]]-INDEX(Katalog!$E$3:$E$12,MATCH(cadangan[[#This Row],[ItemID C]],Katalog!$C$3:$C$12,0))*cadangan[[#This Row],[Qty C]],0)</f>
        <v>52000</v>
      </c>
      <c r="AD665" s="53">
        <f>cadangan[[#This Row],[Qty A]]+cadangan[[#This Row],[Qty B]]+cadangan[[#This Row],[Qty C]]</f>
        <v>5</v>
      </c>
      <c r="AE665" s="73">
        <f>cadangan[[#This Row],[Harga Normal A]]+cadangan[[#This Row],[Harga Normal B]]+cadangan[[#This Row],[Harga Normal C]]</f>
        <v>1480000</v>
      </c>
      <c r="AF665" s="73">
        <f>cadangan[[#This Row],[Harga Diskon A]]+cadangan[[#This Row],[Harga Diskon B]]+cadangan[[#This Row],[Harga Diskon C]]</f>
        <v>1332000</v>
      </c>
      <c r="AG665" s="73">
        <f>(cadangan[[#This Row],[Profit Normal A]]+cadangan[[#This Row],[Profit Normal B]]+cadangan[[#This Row],[Profit Normal C]])</f>
        <v>520000</v>
      </c>
      <c r="AH665" s="73">
        <f>cadangan[[#This Row],[Profit Diskon A]]+cadangan[[#This Row],[Profit Diskon B]]+cadangan[[#This Row],[Profit Diskon C]]</f>
        <v>372000</v>
      </c>
      <c r="AI665" s="23" t="s">
        <v>31</v>
      </c>
      <c r="AJ665" s="37">
        <f>IFERROR(INDEX('Kode Diskon'!$D$3:$D$9,MATCH(cadangan[[#This Row],[Kode diskon]],'Kode Diskon'!$C$3:$C$9,0)),"-")</f>
        <v>0.1</v>
      </c>
      <c r="AK665" s="23" t="s">
        <v>9</v>
      </c>
      <c r="AL665" s="23" t="s">
        <v>10</v>
      </c>
      <c r="AM665" s="23" t="s">
        <v>76</v>
      </c>
      <c r="AN665" s="55">
        <v>45042</v>
      </c>
      <c r="AO665" s="53">
        <f>DAY(cadangan[[#This Row],[Tanggal terjual]])</f>
        <v>26</v>
      </c>
      <c r="AP665" s="21" t="str">
        <f>TEXT(cadangan[[#This Row],[Tanggal terjual]],"dddd")</f>
        <v>Wednesday</v>
      </c>
      <c r="AQ665" s="23" t="str" cm="1">
        <f t="array" ref="AQ6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65" s="61">
        <f>AVERAGE(cadangan[[#This Row],[Rating A]],cadangan[[#This Row],[Rating B]],cadangan[[#This Row],[Rating C]])</f>
        <v>2.6666666666666665</v>
      </c>
    </row>
    <row r="666" spans="1:44" x14ac:dyDescent="0.2">
      <c r="A666" s="20">
        <v>665</v>
      </c>
      <c r="B666" s="21" t="str">
        <f>_xlfn.CONCAT("ORD-",INDEX(Helper!$B$2:$B$5,MATCH(cadangan[[#This Row],[Marketplace]],Helper!$A$2:$A$5,0)),TEXT(cadangan[[#This Row],[No]],"0000"),"-",TEXT(cadangan[[#This Row],[Tanggal terjual]],"dd/mm/yy"))</f>
        <v>ORD-SP0665-02/04/23</v>
      </c>
      <c r="C666" s="39" t="s">
        <v>63</v>
      </c>
      <c r="D666" s="39" t="str">
        <f>IFERROR(INDEX(Katalog!$A$3:$A$12,MATCH(cadangan[[#This Row],[ItemID A]],Katalog!$C$3:$C$12,0)),"-")</f>
        <v>Pakaian Pria</v>
      </c>
      <c r="E666" s="39" t="str">
        <f>IFERROR(INDEX(Katalog!$B$3:$B$12,MATCH(cadangan[[#This Row],[ItemID A]],Katalog!$C$3:$C$12,0)),"-")</f>
        <v>Jaket Jeans</v>
      </c>
      <c r="F666" s="50">
        <v>2</v>
      </c>
      <c r="G666" s="50">
        <v>5</v>
      </c>
      <c r="H666" s="73">
        <f>IFERROR(INDEX(Katalog!$D$3:$D$12,MATCH(cadangan[[#This Row],[ItemID A]],Katalog!$C$3:$C$12,0))*cadangan[[#This Row],[Qty A]],0)</f>
        <v>800000</v>
      </c>
      <c r="I666" s="73">
        <f>IFERROR(cadangan[[#This Row],[Harga Normal A]]-(cadangan[[#This Row],[Harga Normal A]]*cadangan[[#This Row],[Diskon]]),cadangan[[#This Row],[Harga Normal A]])</f>
        <v>680000</v>
      </c>
      <c r="J666" s="73">
        <f>INDEX(Katalog!$F$3:$F$12,MATCH(cadangan[[#This Row],[ItemID A]],Katalog!$C$3:$C$12,0))*cadangan[[#This Row],[Qty A]]</f>
        <v>300000</v>
      </c>
      <c r="K666" s="73">
        <f>IFERROR(cadangan[[#This Row],[Harga Diskon A]]-INDEX(Katalog!$E$3:$E$12,MATCH(cadangan[[#This Row],[ItemID A]],Katalog!$C$3:$C$12,0))*cadangan[[#This Row],[Qty A]],0)</f>
        <v>180000</v>
      </c>
      <c r="L666" s="39" t="s">
        <v>62</v>
      </c>
      <c r="M666" s="39" t="str">
        <f>IFERROR(INDEX(Katalog!$A$3:$A$12,MATCH(cadangan[[#This Row],[ItemID B]],Katalog!$C$3:$C$12,0)),"-")</f>
        <v>Pakaian Pria</v>
      </c>
      <c r="N666" s="39" t="str">
        <f>IFERROR(INDEX(Katalog!$B$3:$B$12,MATCH(cadangan[[#This Row],[ItemID B]],Katalog!$C$3:$C$12,0)),"-")</f>
        <v>Celana Pendek</v>
      </c>
      <c r="O666" s="50">
        <v>2</v>
      </c>
      <c r="P666" s="50">
        <v>4</v>
      </c>
      <c r="Q666" s="73">
        <f>IFERROR(INDEX(Katalog!$D$3:$D$12,MATCH(cadangan[[#This Row],[ItemID B]],Katalog!$C$3:$C$12,0))*cadangan[[#This Row],[Qty B]],0)</f>
        <v>360000</v>
      </c>
      <c r="R666" s="73">
        <f>IFERROR(cadangan[[#This Row],[Harga Normal B]]-(cadangan[[#This Row],[Harga Normal B]]*cadangan[[#This Row],[Diskon]]),cadangan[[#This Row],[Harga Normal B]])</f>
        <v>306000</v>
      </c>
      <c r="S666" s="73">
        <f>IFERROR(INDEX(Katalog!$F$3:$F$12,MATCH(cadangan[[#This Row],[ItemID B]],Katalog!$C$3:$C$12,0))*cadangan[[#This Row],[Qty B]],0)</f>
        <v>140000</v>
      </c>
      <c r="T666" s="73">
        <f>IFERROR(cadangan[[#This Row],[Harga Diskon B]]-INDEX(Katalog!$E$3:$E$12,MATCH(cadangan[[#This Row],[ItemID B]],Katalog!$C$3:$C$12,0))*cadangan[[#This Row],[Qty B]],0)</f>
        <v>86000</v>
      </c>
      <c r="U666" s="39" t="s">
        <v>67</v>
      </c>
      <c r="V666" s="39" t="str">
        <f>IFERROR(INDEX(Katalog!$A$3:$A$12,MATCH(cadangan[[#This Row],[ItemID C]],Katalog!$C$3:$C$12,0)),"-")</f>
        <v>Sepatu Wanita</v>
      </c>
      <c r="W666" s="39" t="str">
        <f>IFERROR(INDEX(Katalog!$B$3:$B$12,MATCH(cadangan[[#This Row],[ItemID C]],Katalog!$C$3:$C$12,0)),"-")</f>
        <v>Flat Shoes</v>
      </c>
      <c r="X666" s="50">
        <v>1</v>
      </c>
      <c r="Y666" s="50">
        <v>5</v>
      </c>
      <c r="Z666" s="73">
        <f>IFERROR(INDEX(Katalog!$D$3:$D$12,MATCH(cadangan[[#This Row],[ItemID C]],Katalog!$C$3:$C$12,0))*cadangan[[#This Row],[Qty C]],0)</f>
        <v>250000</v>
      </c>
      <c r="AA666" s="73">
        <f>IFERROR(cadangan[[#This Row],[Harga Normal C]]-(cadangan[[#This Row],[Harga Normal C]]*cadangan[[#This Row],[Diskon]]),cadangan[[#This Row],[Harga Normal C]])</f>
        <v>212500</v>
      </c>
      <c r="AB666" s="73">
        <f>IFERROR(INDEX(Katalog!$F$3:$F$12,MATCH(cadangan[[#This Row],[ItemID C]],Katalog!$C$3:$C$12,0))*cadangan[[#This Row],[Qty C]],0)</f>
        <v>100000</v>
      </c>
      <c r="AC666" s="73">
        <f>IFERROR(cadangan[[#This Row],[Harga Diskon C]]-INDEX(Katalog!$E$3:$E$12,MATCH(cadangan[[#This Row],[ItemID C]],Katalog!$C$3:$C$12,0))*cadangan[[#This Row],[Qty C]],0)</f>
        <v>62500</v>
      </c>
      <c r="AD666" s="53">
        <f>cadangan[[#This Row],[Qty A]]+cadangan[[#This Row],[Qty B]]+cadangan[[#This Row],[Qty C]]</f>
        <v>5</v>
      </c>
      <c r="AE666" s="73">
        <f>cadangan[[#This Row],[Harga Normal A]]+cadangan[[#This Row],[Harga Normal B]]+cadangan[[#This Row],[Harga Normal C]]</f>
        <v>1410000</v>
      </c>
      <c r="AF666" s="73">
        <f>cadangan[[#This Row],[Harga Diskon A]]+cadangan[[#This Row],[Harga Diskon B]]+cadangan[[#This Row],[Harga Diskon C]]</f>
        <v>1198500</v>
      </c>
      <c r="AG666" s="73">
        <f>(cadangan[[#This Row],[Profit Normal A]]+cadangan[[#This Row],[Profit Normal B]]+cadangan[[#This Row],[Profit Normal C]])</f>
        <v>540000</v>
      </c>
      <c r="AH666" s="73">
        <f>cadangan[[#This Row],[Profit Diskon A]]+cadangan[[#This Row],[Profit Diskon B]]+cadangan[[#This Row],[Profit Diskon C]]</f>
        <v>328500</v>
      </c>
      <c r="AI666" s="23" t="s">
        <v>13</v>
      </c>
      <c r="AJ666" s="37">
        <f>IFERROR(INDEX('Kode Diskon'!$D$3:$D$9,MATCH(cadangan[[#This Row],[Kode diskon]],'Kode Diskon'!$C$3:$C$9,0)),"-")</f>
        <v>0.15</v>
      </c>
      <c r="AK666" s="23" t="s">
        <v>29</v>
      </c>
      <c r="AL666" s="23" t="s">
        <v>7</v>
      </c>
      <c r="AM666" s="23" t="s">
        <v>80</v>
      </c>
      <c r="AN666" s="55">
        <v>45018</v>
      </c>
      <c r="AO666" s="53">
        <f>DAY(cadangan[[#This Row],[Tanggal terjual]])</f>
        <v>2</v>
      </c>
      <c r="AP666" s="21" t="str">
        <f>TEXT(cadangan[[#This Row],[Tanggal terjual]],"dddd")</f>
        <v>Sunday</v>
      </c>
      <c r="AQ666" s="23" t="str" cm="1">
        <f t="array" ref="AQ6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66" s="61">
        <f>AVERAGE(cadangan[[#This Row],[Rating A]],cadangan[[#This Row],[Rating B]],cadangan[[#This Row],[Rating C]])</f>
        <v>4.666666666666667</v>
      </c>
    </row>
    <row r="667" spans="1:44" x14ac:dyDescent="0.2">
      <c r="A667" s="20">
        <v>666</v>
      </c>
      <c r="B667" s="21" t="str">
        <f>_xlfn.CONCAT("ORD-",INDEX(Helper!$B$2:$B$5,MATCH(cadangan[[#This Row],[Marketplace]],Helper!$A$2:$A$5,0)),TEXT(cadangan[[#This Row],[No]],"0000"),"-",TEXT(cadangan[[#This Row],[Tanggal terjual]],"dd/mm/yy"))</f>
        <v>ORD-SP0666-11/04/23</v>
      </c>
      <c r="C667" s="39" t="s">
        <v>66</v>
      </c>
      <c r="D667" s="39" t="str">
        <f>IFERROR(INDEX(Katalog!$A$3:$A$12,MATCH(cadangan[[#This Row],[ItemID A]],Katalog!$C$3:$C$12,0)),"-")</f>
        <v>Sepatu Pria</v>
      </c>
      <c r="E667" s="39" t="str">
        <f>IFERROR(INDEX(Katalog!$B$3:$B$12,MATCH(cadangan[[#This Row],[ItemID A]],Katalog!$C$3:$C$12,0)),"-")</f>
        <v>Sandal Slip On</v>
      </c>
      <c r="F667" s="50">
        <v>6</v>
      </c>
      <c r="G667" s="50">
        <v>1</v>
      </c>
      <c r="H667" s="73">
        <f>IFERROR(INDEX(Katalog!$D$3:$D$12,MATCH(cadangan[[#This Row],[ItemID A]],Katalog!$C$3:$C$12,0))*cadangan[[#This Row],[Qty A]],0)</f>
        <v>900000</v>
      </c>
      <c r="I667" s="73">
        <f>IFERROR(cadangan[[#This Row],[Harga Normal A]]-(cadangan[[#This Row],[Harga Normal A]]*cadangan[[#This Row],[Diskon]]),cadangan[[#This Row],[Harga Normal A]])</f>
        <v>900000</v>
      </c>
      <c r="J667" s="73">
        <f>INDEX(Katalog!$F$3:$F$12,MATCH(cadangan[[#This Row],[ItemID A]],Katalog!$C$3:$C$12,0))*cadangan[[#This Row],[Qty A]]</f>
        <v>360000</v>
      </c>
      <c r="K667" s="73">
        <f>IFERROR(cadangan[[#This Row],[Harga Diskon A]]-INDEX(Katalog!$E$3:$E$12,MATCH(cadangan[[#This Row],[ItemID A]],Katalog!$C$3:$C$12,0))*cadangan[[#This Row],[Qty A]],0)</f>
        <v>360000</v>
      </c>
      <c r="M667" s="39" t="str">
        <f>IFERROR(INDEX(Katalog!$A$3:$A$12,MATCH(cadangan[[#This Row],[ItemID B]],Katalog!$C$3:$C$12,0)),"-")</f>
        <v>-</v>
      </c>
      <c r="N667" s="39" t="str">
        <f>IFERROR(INDEX(Katalog!$B$3:$B$12,MATCH(cadangan[[#This Row],[ItemID B]],Katalog!$C$3:$C$12,0)),"-")</f>
        <v>-</v>
      </c>
      <c r="Q667" s="73">
        <f>IFERROR(INDEX(Katalog!$D$3:$D$12,MATCH(cadangan[[#This Row],[ItemID B]],Katalog!$C$3:$C$12,0))*cadangan[[#This Row],[Qty B]],0)</f>
        <v>0</v>
      </c>
      <c r="R667" s="73">
        <f>IFERROR(cadangan[[#This Row],[Harga Normal B]]-(cadangan[[#This Row],[Harga Normal B]]*cadangan[[#This Row],[Diskon]]),cadangan[[#This Row],[Harga Normal B]])</f>
        <v>0</v>
      </c>
      <c r="S667" s="73">
        <f>IFERROR(INDEX(Katalog!$F$3:$F$12,MATCH(cadangan[[#This Row],[ItemID B]],Katalog!$C$3:$C$12,0))*cadangan[[#This Row],[Qty B]],0)</f>
        <v>0</v>
      </c>
      <c r="T667" s="73">
        <f>IFERROR(cadangan[[#This Row],[Harga Diskon B]]-INDEX(Katalog!$E$3:$E$12,MATCH(cadangan[[#This Row],[ItemID B]],Katalog!$C$3:$C$12,0))*cadangan[[#This Row],[Qty B]],0)</f>
        <v>0</v>
      </c>
      <c r="V667" s="39" t="str">
        <f>IFERROR(INDEX(Katalog!$A$3:$A$12,MATCH(cadangan[[#This Row],[ItemID C]],Katalog!$C$3:$C$12,0)),"-")</f>
        <v>-</v>
      </c>
      <c r="W667" s="39" t="str">
        <f>IFERROR(INDEX(Katalog!$B$3:$B$12,MATCH(cadangan[[#This Row],[ItemID C]],Katalog!$C$3:$C$12,0)),"-")</f>
        <v>-</v>
      </c>
      <c r="Z667" s="73">
        <f>IFERROR(INDEX(Katalog!$D$3:$D$12,MATCH(cadangan[[#This Row],[ItemID C]],Katalog!$C$3:$C$12,0))*cadangan[[#This Row],[Qty C]],0)</f>
        <v>0</v>
      </c>
      <c r="AA667" s="73">
        <f>IFERROR(cadangan[[#This Row],[Harga Normal C]]-(cadangan[[#This Row],[Harga Normal C]]*cadangan[[#This Row],[Diskon]]),cadangan[[#This Row],[Harga Normal C]])</f>
        <v>0</v>
      </c>
      <c r="AB667" s="73">
        <f>IFERROR(INDEX(Katalog!$F$3:$F$12,MATCH(cadangan[[#This Row],[ItemID C]],Katalog!$C$3:$C$12,0))*cadangan[[#This Row],[Qty C]],0)</f>
        <v>0</v>
      </c>
      <c r="AC667" s="73">
        <f>IFERROR(cadangan[[#This Row],[Harga Diskon C]]-INDEX(Katalog!$E$3:$E$12,MATCH(cadangan[[#This Row],[ItemID C]],Katalog!$C$3:$C$12,0))*cadangan[[#This Row],[Qty C]],0)</f>
        <v>0</v>
      </c>
      <c r="AD667" s="53">
        <f>cadangan[[#This Row],[Qty A]]+cadangan[[#This Row],[Qty B]]+cadangan[[#This Row],[Qty C]]</f>
        <v>6</v>
      </c>
      <c r="AE667" s="73">
        <f>cadangan[[#This Row],[Harga Normal A]]+cadangan[[#This Row],[Harga Normal B]]+cadangan[[#This Row],[Harga Normal C]]</f>
        <v>900000</v>
      </c>
      <c r="AF667" s="73">
        <f>cadangan[[#This Row],[Harga Diskon A]]+cadangan[[#This Row],[Harga Diskon B]]+cadangan[[#This Row],[Harga Diskon C]]</f>
        <v>900000</v>
      </c>
      <c r="AG667" s="73">
        <f>(cadangan[[#This Row],[Profit Normal A]]+cadangan[[#This Row],[Profit Normal B]]+cadangan[[#This Row],[Profit Normal C]])</f>
        <v>360000</v>
      </c>
      <c r="AH667" s="73">
        <f>cadangan[[#This Row],[Profit Diskon A]]+cadangan[[#This Row],[Profit Diskon B]]+cadangan[[#This Row],[Profit Diskon C]]</f>
        <v>360000</v>
      </c>
      <c r="AI667" s="23" t="s">
        <v>290</v>
      </c>
      <c r="AJ667" s="37" t="str">
        <f>IFERROR(INDEX('Kode Diskon'!$D$3:$D$9,MATCH(cadangan[[#This Row],[Kode diskon]],'Kode Diskon'!$C$3:$C$9,0)),"-")</f>
        <v>-</v>
      </c>
      <c r="AK667" s="23" t="s">
        <v>290</v>
      </c>
      <c r="AL667" s="23" t="s">
        <v>7</v>
      </c>
      <c r="AM667" s="23" t="s">
        <v>80</v>
      </c>
      <c r="AN667" s="55">
        <v>45027</v>
      </c>
      <c r="AO667" s="53">
        <f>DAY(cadangan[[#This Row],[Tanggal terjual]])</f>
        <v>11</v>
      </c>
      <c r="AP667" s="21" t="str">
        <f>TEXT(cadangan[[#This Row],[Tanggal terjual]],"dddd")</f>
        <v>Tuesday</v>
      </c>
      <c r="AQ667" s="23" t="str" cm="1">
        <f t="array" ref="AQ6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67" s="61">
        <f>AVERAGE(cadangan[[#This Row],[Rating A]],cadangan[[#This Row],[Rating B]],cadangan[[#This Row],[Rating C]])</f>
        <v>1</v>
      </c>
    </row>
    <row r="668" spans="1:44" x14ac:dyDescent="0.2">
      <c r="A668" s="20">
        <v>667</v>
      </c>
      <c r="B668" s="21" t="str">
        <f>_xlfn.CONCAT("ORD-",INDEX(Helper!$B$2:$B$5,MATCH(cadangan[[#This Row],[Marketplace]],Helper!$A$2:$A$5,0)),TEXT(cadangan[[#This Row],[No]],"0000"),"-",TEXT(cadangan[[#This Row],[Tanggal terjual]],"dd/mm/yy"))</f>
        <v>ORD-BL0667-25/04/23</v>
      </c>
      <c r="C668" s="39" t="s">
        <v>59</v>
      </c>
      <c r="D668" s="39" t="str">
        <f>IFERROR(INDEX(Katalog!$A$3:$A$12,MATCH(cadangan[[#This Row],[ItemID A]],Katalog!$C$3:$C$12,0)),"-")</f>
        <v>Pakaian Wanita</v>
      </c>
      <c r="E668" s="39" t="str">
        <f>IFERROR(INDEX(Katalog!$B$3:$B$12,MATCH(cadangan[[#This Row],[ItemID A]],Katalog!$C$3:$C$12,0)),"-")</f>
        <v>Blouse</v>
      </c>
      <c r="F668" s="50">
        <v>5</v>
      </c>
      <c r="G668" s="50">
        <v>4</v>
      </c>
      <c r="H668" s="73">
        <f>IFERROR(INDEX(Katalog!$D$3:$D$12,MATCH(cadangan[[#This Row],[ItemID A]],Katalog!$C$3:$C$12,0))*cadangan[[#This Row],[Qty A]],0)</f>
        <v>750000</v>
      </c>
      <c r="I668" s="73">
        <f>IFERROR(cadangan[[#This Row],[Harga Normal A]]-(cadangan[[#This Row],[Harga Normal A]]*cadangan[[#This Row],[Diskon]]),cadangan[[#This Row],[Harga Normal A]])</f>
        <v>637500</v>
      </c>
      <c r="J668" s="73">
        <f>INDEX(Katalog!$F$3:$F$12,MATCH(cadangan[[#This Row],[ItemID A]],Katalog!$C$3:$C$12,0))*cadangan[[#This Row],[Qty A]]</f>
        <v>250000</v>
      </c>
      <c r="K668" s="73">
        <f>IFERROR(cadangan[[#This Row],[Harga Diskon A]]-INDEX(Katalog!$E$3:$E$12,MATCH(cadangan[[#This Row],[ItemID A]],Katalog!$C$3:$C$12,0))*cadangan[[#This Row],[Qty A]],0)</f>
        <v>137500</v>
      </c>
      <c r="M668" s="39" t="str">
        <f>IFERROR(INDEX(Katalog!$A$3:$A$12,MATCH(cadangan[[#This Row],[ItemID B]],Katalog!$C$3:$C$12,0)),"-")</f>
        <v>-</v>
      </c>
      <c r="N668" s="39" t="str">
        <f>IFERROR(INDEX(Katalog!$B$3:$B$12,MATCH(cadangan[[#This Row],[ItemID B]],Katalog!$C$3:$C$12,0)),"-")</f>
        <v>-</v>
      </c>
      <c r="Q668" s="73">
        <f>IFERROR(INDEX(Katalog!$D$3:$D$12,MATCH(cadangan[[#This Row],[ItemID B]],Katalog!$C$3:$C$12,0))*cadangan[[#This Row],[Qty B]],0)</f>
        <v>0</v>
      </c>
      <c r="R668" s="73">
        <f>IFERROR(cadangan[[#This Row],[Harga Normal B]]-(cadangan[[#This Row],[Harga Normal B]]*cadangan[[#This Row],[Diskon]]),cadangan[[#This Row],[Harga Normal B]])</f>
        <v>0</v>
      </c>
      <c r="S668" s="73">
        <f>IFERROR(INDEX(Katalog!$F$3:$F$12,MATCH(cadangan[[#This Row],[ItemID B]],Katalog!$C$3:$C$12,0))*cadangan[[#This Row],[Qty B]],0)</f>
        <v>0</v>
      </c>
      <c r="T668" s="73">
        <f>IFERROR(cadangan[[#This Row],[Harga Diskon B]]-INDEX(Katalog!$E$3:$E$12,MATCH(cadangan[[#This Row],[ItemID B]],Katalog!$C$3:$C$12,0))*cadangan[[#This Row],[Qty B]],0)</f>
        <v>0</v>
      </c>
      <c r="V668" s="39" t="str">
        <f>IFERROR(INDEX(Katalog!$A$3:$A$12,MATCH(cadangan[[#This Row],[ItemID C]],Katalog!$C$3:$C$12,0)),"-")</f>
        <v>-</v>
      </c>
      <c r="W668" s="39" t="str">
        <f>IFERROR(INDEX(Katalog!$B$3:$B$12,MATCH(cadangan[[#This Row],[ItemID C]],Katalog!$C$3:$C$12,0)),"-")</f>
        <v>-</v>
      </c>
      <c r="Z668" s="73">
        <f>IFERROR(INDEX(Katalog!$D$3:$D$12,MATCH(cadangan[[#This Row],[ItemID C]],Katalog!$C$3:$C$12,0))*cadangan[[#This Row],[Qty C]],0)</f>
        <v>0</v>
      </c>
      <c r="AA668" s="73">
        <f>IFERROR(cadangan[[#This Row],[Harga Normal C]]-(cadangan[[#This Row],[Harga Normal C]]*cadangan[[#This Row],[Diskon]]),cadangan[[#This Row],[Harga Normal C]])</f>
        <v>0</v>
      </c>
      <c r="AB668" s="73">
        <f>IFERROR(INDEX(Katalog!$F$3:$F$12,MATCH(cadangan[[#This Row],[ItemID C]],Katalog!$C$3:$C$12,0))*cadangan[[#This Row],[Qty C]],0)</f>
        <v>0</v>
      </c>
      <c r="AC668" s="73">
        <f>IFERROR(cadangan[[#This Row],[Harga Diskon C]]-INDEX(Katalog!$E$3:$E$12,MATCH(cadangan[[#This Row],[ItemID C]],Katalog!$C$3:$C$12,0))*cadangan[[#This Row],[Qty C]],0)</f>
        <v>0</v>
      </c>
      <c r="AD668" s="53">
        <f>cadangan[[#This Row],[Qty A]]+cadangan[[#This Row],[Qty B]]+cadangan[[#This Row],[Qty C]]</f>
        <v>5</v>
      </c>
      <c r="AE668" s="73">
        <f>cadangan[[#This Row],[Harga Normal A]]+cadangan[[#This Row],[Harga Normal B]]+cadangan[[#This Row],[Harga Normal C]]</f>
        <v>750000</v>
      </c>
      <c r="AF668" s="73">
        <f>cadangan[[#This Row],[Harga Diskon A]]+cadangan[[#This Row],[Harga Diskon B]]+cadangan[[#This Row],[Harga Diskon C]]</f>
        <v>637500</v>
      </c>
      <c r="AG668" s="73">
        <f>(cadangan[[#This Row],[Profit Normal A]]+cadangan[[#This Row],[Profit Normal B]]+cadangan[[#This Row],[Profit Normal C]])</f>
        <v>250000</v>
      </c>
      <c r="AH668" s="73">
        <f>cadangan[[#This Row],[Profit Diskon A]]+cadangan[[#This Row],[Profit Diskon B]]+cadangan[[#This Row],[Profit Diskon C]]</f>
        <v>137500</v>
      </c>
      <c r="AI668" s="23" t="s">
        <v>32</v>
      </c>
      <c r="AJ668" s="37">
        <f>IFERROR(INDEX('Kode Diskon'!$D$3:$D$9,MATCH(cadangan[[#This Row],[Kode diskon]],'Kode Diskon'!$C$3:$C$9,0)),"-")</f>
        <v>0.15</v>
      </c>
      <c r="AK668" s="23" t="s">
        <v>9</v>
      </c>
      <c r="AL668" s="23" t="s">
        <v>12</v>
      </c>
      <c r="AM668" s="23" t="s">
        <v>76</v>
      </c>
      <c r="AN668" s="55">
        <v>45041</v>
      </c>
      <c r="AO668" s="53">
        <f>DAY(cadangan[[#This Row],[Tanggal terjual]])</f>
        <v>25</v>
      </c>
      <c r="AP668" s="21" t="str">
        <f>TEXT(cadangan[[#This Row],[Tanggal terjual]],"dddd")</f>
        <v>Tuesday</v>
      </c>
      <c r="AQ668" s="23" t="str" cm="1">
        <f t="array" ref="AQ6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68" s="61">
        <f>AVERAGE(cadangan[[#This Row],[Rating A]],cadangan[[#This Row],[Rating B]],cadangan[[#This Row],[Rating C]])</f>
        <v>4</v>
      </c>
    </row>
    <row r="669" spans="1:44" x14ac:dyDescent="0.2">
      <c r="A669" s="20">
        <v>668</v>
      </c>
      <c r="B669" s="21" t="str">
        <f>_xlfn.CONCAT("ORD-",INDEX(Helper!$B$2:$B$5,MATCH(cadangan[[#This Row],[Marketplace]],Helper!$A$2:$A$5,0)),TEXT(cadangan[[#This Row],[No]],"0000"),"-",TEXT(cadangan[[#This Row],[Tanggal terjual]],"dd/mm/yy"))</f>
        <v>ORD-BL0668-20/04/23</v>
      </c>
      <c r="C669" s="39" t="s">
        <v>67</v>
      </c>
      <c r="D669" s="39" t="str">
        <f>IFERROR(INDEX(Katalog!$A$3:$A$12,MATCH(cadangan[[#This Row],[ItemID A]],Katalog!$C$3:$C$12,0)),"-")</f>
        <v>Sepatu Wanita</v>
      </c>
      <c r="E669" s="39" t="str">
        <f>IFERROR(INDEX(Katalog!$B$3:$B$12,MATCH(cadangan[[#This Row],[ItemID A]],Katalog!$C$3:$C$12,0)),"-")</f>
        <v>Flat Shoes</v>
      </c>
      <c r="F669" s="50">
        <v>3</v>
      </c>
      <c r="G669" s="50">
        <v>1</v>
      </c>
      <c r="H669" s="73">
        <f>IFERROR(INDEX(Katalog!$D$3:$D$12,MATCH(cadangan[[#This Row],[ItemID A]],Katalog!$C$3:$C$12,0))*cadangan[[#This Row],[Qty A]],0)</f>
        <v>750000</v>
      </c>
      <c r="I669" s="73">
        <f>IFERROR(cadangan[[#This Row],[Harga Normal A]]-(cadangan[[#This Row],[Harga Normal A]]*cadangan[[#This Row],[Diskon]]),cadangan[[#This Row],[Harga Normal A]])</f>
        <v>637500</v>
      </c>
      <c r="J669" s="73">
        <f>INDEX(Katalog!$F$3:$F$12,MATCH(cadangan[[#This Row],[ItemID A]],Katalog!$C$3:$C$12,0))*cadangan[[#This Row],[Qty A]]</f>
        <v>300000</v>
      </c>
      <c r="K669" s="73">
        <f>IFERROR(cadangan[[#This Row],[Harga Diskon A]]-INDEX(Katalog!$E$3:$E$12,MATCH(cadangan[[#This Row],[ItemID A]],Katalog!$C$3:$C$12,0))*cadangan[[#This Row],[Qty A]],0)</f>
        <v>187500</v>
      </c>
      <c r="L669" s="39" t="s">
        <v>66</v>
      </c>
      <c r="M669" s="39" t="str">
        <f>IFERROR(INDEX(Katalog!$A$3:$A$12,MATCH(cadangan[[#This Row],[ItemID B]],Katalog!$C$3:$C$12,0)),"-")</f>
        <v>Sepatu Pria</v>
      </c>
      <c r="N669" s="39" t="str">
        <f>IFERROR(INDEX(Katalog!$B$3:$B$12,MATCH(cadangan[[#This Row],[ItemID B]],Katalog!$C$3:$C$12,0)),"-")</f>
        <v>Sandal Slip On</v>
      </c>
      <c r="O669" s="50">
        <v>1</v>
      </c>
      <c r="P669" s="50">
        <v>2</v>
      </c>
      <c r="Q669" s="73">
        <f>IFERROR(INDEX(Katalog!$D$3:$D$12,MATCH(cadangan[[#This Row],[ItemID B]],Katalog!$C$3:$C$12,0))*cadangan[[#This Row],[Qty B]],0)</f>
        <v>150000</v>
      </c>
      <c r="R669" s="73">
        <f>IFERROR(cadangan[[#This Row],[Harga Normal B]]-(cadangan[[#This Row],[Harga Normal B]]*cadangan[[#This Row],[Diskon]]),cadangan[[#This Row],[Harga Normal B]])</f>
        <v>127500</v>
      </c>
      <c r="S669" s="73">
        <f>IFERROR(INDEX(Katalog!$F$3:$F$12,MATCH(cadangan[[#This Row],[ItemID B]],Katalog!$C$3:$C$12,0))*cadangan[[#This Row],[Qty B]],0)</f>
        <v>60000</v>
      </c>
      <c r="T669" s="73">
        <f>IFERROR(cadangan[[#This Row],[Harga Diskon B]]-INDEX(Katalog!$E$3:$E$12,MATCH(cadangan[[#This Row],[ItemID B]],Katalog!$C$3:$C$12,0))*cadangan[[#This Row],[Qty B]],0)</f>
        <v>37500</v>
      </c>
      <c r="V669" s="39" t="str">
        <f>IFERROR(INDEX(Katalog!$A$3:$A$12,MATCH(cadangan[[#This Row],[ItemID C]],Katalog!$C$3:$C$12,0)),"-")</f>
        <v>-</v>
      </c>
      <c r="W669" s="39" t="str">
        <f>IFERROR(INDEX(Katalog!$B$3:$B$12,MATCH(cadangan[[#This Row],[ItemID C]],Katalog!$C$3:$C$12,0)),"-")</f>
        <v>-</v>
      </c>
      <c r="Z669" s="73">
        <f>IFERROR(INDEX(Katalog!$D$3:$D$12,MATCH(cadangan[[#This Row],[ItemID C]],Katalog!$C$3:$C$12,0))*cadangan[[#This Row],[Qty C]],0)</f>
        <v>0</v>
      </c>
      <c r="AA669" s="73">
        <f>IFERROR(cadangan[[#This Row],[Harga Normal C]]-(cadangan[[#This Row],[Harga Normal C]]*cadangan[[#This Row],[Diskon]]),cadangan[[#This Row],[Harga Normal C]])</f>
        <v>0</v>
      </c>
      <c r="AB669" s="73">
        <f>IFERROR(INDEX(Katalog!$F$3:$F$12,MATCH(cadangan[[#This Row],[ItemID C]],Katalog!$C$3:$C$12,0))*cadangan[[#This Row],[Qty C]],0)</f>
        <v>0</v>
      </c>
      <c r="AC669" s="73">
        <f>IFERROR(cadangan[[#This Row],[Harga Diskon C]]-INDEX(Katalog!$E$3:$E$12,MATCH(cadangan[[#This Row],[ItemID C]],Katalog!$C$3:$C$12,0))*cadangan[[#This Row],[Qty C]],0)</f>
        <v>0</v>
      </c>
      <c r="AD669" s="53">
        <f>cadangan[[#This Row],[Qty A]]+cadangan[[#This Row],[Qty B]]+cadangan[[#This Row],[Qty C]]</f>
        <v>4</v>
      </c>
      <c r="AE669" s="73">
        <f>cadangan[[#This Row],[Harga Normal A]]+cadangan[[#This Row],[Harga Normal B]]+cadangan[[#This Row],[Harga Normal C]]</f>
        <v>900000</v>
      </c>
      <c r="AF669" s="73">
        <f>cadangan[[#This Row],[Harga Diskon A]]+cadangan[[#This Row],[Harga Diskon B]]+cadangan[[#This Row],[Harga Diskon C]]</f>
        <v>765000</v>
      </c>
      <c r="AG669" s="73">
        <f>(cadangan[[#This Row],[Profit Normal A]]+cadangan[[#This Row],[Profit Normal B]]+cadangan[[#This Row],[Profit Normal C]])</f>
        <v>360000</v>
      </c>
      <c r="AH669" s="73">
        <f>cadangan[[#This Row],[Profit Diskon A]]+cadangan[[#This Row],[Profit Diskon B]]+cadangan[[#This Row],[Profit Diskon C]]</f>
        <v>225000</v>
      </c>
      <c r="AI669" s="23" t="s">
        <v>32</v>
      </c>
      <c r="AJ669" s="37">
        <f>IFERROR(INDEX('Kode Diskon'!$D$3:$D$9,MATCH(cadangan[[#This Row],[Kode diskon]],'Kode Diskon'!$C$3:$C$9,0)),"-")</f>
        <v>0.15</v>
      </c>
      <c r="AK669" s="23" t="s">
        <v>9</v>
      </c>
      <c r="AL669" s="23" t="s">
        <v>12</v>
      </c>
      <c r="AM669" s="23" t="s">
        <v>76</v>
      </c>
      <c r="AN669" s="55">
        <v>45036</v>
      </c>
      <c r="AO669" s="53">
        <f>DAY(cadangan[[#This Row],[Tanggal terjual]])</f>
        <v>20</v>
      </c>
      <c r="AP669" s="21" t="str">
        <f>TEXT(cadangan[[#This Row],[Tanggal terjual]],"dddd")</f>
        <v>Thursday</v>
      </c>
      <c r="AQ669" s="23" t="str" cm="1">
        <f t="array" ref="AQ6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69" s="61">
        <f>AVERAGE(cadangan[[#This Row],[Rating A]],cadangan[[#This Row],[Rating B]],cadangan[[#This Row],[Rating C]])</f>
        <v>1.5</v>
      </c>
    </row>
    <row r="670" spans="1:44" x14ac:dyDescent="0.2">
      <c r="A670" s="20">
        <v>669</v>
      </c>
      <c r="B670" s="21" t="str">
        <f>_xlfn.CONCAT("ORD-",INDEX(Helper!$B$2:$B$5,MATCH(cadangan[[#This Row],[Marketplace]],Helper!$A$2:$A$5,0)),TEXT(cadangan[[#This Row],[No]],"0000"),"-",TEXT(cadangan[[#This Row],[Tanggal terjual]],"dd/mm/yy"))</f>
        <v>ORD-SP0669-26/04/23</v>
      </c>
      <c r="C670" s="39" t="s">
        <v>67</v>
      </c>
      <c r="D670" s="39" t="str">
        <f>IFERROR(INDEX(Katalog!$A$3:$A$12,MATCH(cadangan[[#This Row],[ItemID A]],Katalog!$C$3:$C$12,0)),"-")</f>
        <v>Sepatu Wanita</v>
      </c>
      <c r="E670" s="39" t="str">
        <f>IFERROR(INDEX(Katalog!$B$3:$B$12,MATCH(cadangan[[#This Row],[ItemID A]],Katalog!$C$3:$C$12,0)),"-")</f>
        <v>Flat Shoes</v>
      </c>
      <c r="F670" s="50">
        <v>2</v>
      </c>
      <c r="G670" s="50">
        <v>1</v>
      </c>
      <c r="H670" s="73">
        <f>IFERROR(INDEX(Katalog!$D$3:$D$12,MATCH(cadangan[[#This Row],[ItemID A]],Katalog!$C$3:$C$12,0))*cadangan[[#This Row],[Qty A]],0)</f>
        <v>500000</v>
      </c>
      <c r="I670" s="73">
        <f>IFERROR(cadangan[[#This Row],[Harga Normal A]]-(cadangan[[#This Row],[Harga Normal A]]*cadangan[[#This Row],[Diskon]]),cadangan[[#This Row],[Harga Normal A]])</f>
        <v>400000</v>
      </c>
      <c r="J670" s="73">
        <f>INDEX(Katalog!$F$3:$F$12,MATCH(cadangan[[#This Row],[ItemID A]],Katalog!$C$3:$C$12,0))*cadangan[[#This Row],[Qty A]]</f>
        <v>200000</v>
      </c>
      <c r="K670" s="73">
        <f>IFERROR(cadangan[[#This Row],[Harga Diskon A]]-INDEX(Katalog!$E$3:$E$12,MATCH(cadangan[[#This Row],[ItemID A]],Katalog!$C$3:$C$12,0))*cadangan[[#This Row],[Qty A]],0)</f>
        <v>100000</v>
      </c>
      <c r="M670" s="39" t="str">
        <f>IFERROR(INDEX(Katalog!$A$3:$A$12,MATCH(cadangan[[#This Row],[ItemID B]],Katalog!$C$3:$C$12,0)),"-")</f>
        <v>-</v>
      </c>
      <c r="N670" s="39" t="str">
        <f>IFERROR(INDEX(Katalog!$B$3:$B$12,MATCH(cadangan[[#This Row],[ItemID B]],Katalog!$C$3:$C$12,0)),"-")</f>
        <v>-</v>
      </c>
      <c r="Q670" s="73">
        <f>IFERROR(INDEX(Katalog!$D$3:$D$12,MATCH(cadangan[[#This Row],[ItemID B]],Katalog!$C$3:$C$12,0))*cadangan[[#This Row],[Qty B]],0)</f>
        <v>0</v>
      </c>
      <c r="R670" s="73">
        <f>IFERROR(cadangan[[#This Row],[Harga Normal B]]-(cadangan[[#This Row],[Harga Normal B]]*cadangan[[#This Row],[Diskon]]),cadangan[[#This Row],[Harga Normal B]])</f>
        <v>0</v>
      </c>
      <c r="S670" s="73">
        <f>IFERROR(INDEX(Katalog!$F$3:$F$12,MATCH(cadangan[[#This Row],[ItemID B]],Katalog!$C$3:$C$12,0))*cadangan[[#This Row],[Qty B]],0)</f>
        <v>0</v>
      </c>
      <c r="T670" s="73">
        <f>IFERROR(cadangan[[#This Row],[Harga Diskon B]]-INDEX(Katalog!$E$3:$E$12,MATCH(cadangan[[#This Row],[ItemID B]],Katalog!$C$3:$C$12,0))*cadangan[[#This Row],[Qty B]],0)</f>
        <v>0</v>
      </c>
      <c r="V670" s="39" t="str">
        <f>IFERROR(INDEX(Katalog!$A$3:$A$12,MATCH(cadangan[[#This Row],[ItemID C]],Katalog!$C$3:$C$12,0)),"-")</f>
        <v>-</v>
      </c>
      <c r="W670" s="39" t="str">
        <f>IFERROR(INDEX(Katalog!$B$3:$B$12,MATCH(cadangan[[#This Row],[ItemID C]],Katalog!$C$3:$C$12,0)),"-")</f>
        <v>-</v>
      </c>
      <c r="Z670" s="73">
        <f>IFERROR(INDEX(Katalog!$D$3:$D$12,MATCH(cadangan[[#This Row],[ItemID C]],Katalog!$C$3:$C$12,0))*cadangan[[#This Row],[Qty C]],0)</f>
        <v>0</v>
      </c>
      <c r="AA670" s="73">
        <f>IFERROR(cadangan[[#This Row],[Harga Normal C]]-(cadangan[[#This Row],[Harga Normal C]]*cadangan[[#This Row],[Diskon]]),cadangan[[#This Row],[Harga Normal C]])</f>
        <v>0</v>
      </c>
      <c r="AB670" s="73">
        <f>IFERROR(INDEX(Katalog!$F$3:$F$12,MATCH(cadangan[[#This Row],[ItemID C]],Katalog!$C$3:$C$12,0))*cadangan[[#This Row],[Qty C]],0)</f>
        <v>0</v>
      </c>
      <c r="AC670" s="73">
        <f>IFERROR(cadangan[[#This Row],[Harga Diskon C]]-INDEX(Katalog!$E$3:$E$12,MATCH(cadangan[[#This Row],[ItemID C]],Katalog!$C$3:$C$12,0))*cadangan[[#This Row],[Qty C]],0)</f>
        <v>0</v>
      </c>
      <c r="AD670" s="53">
        <f>cadangan[[#This Row],[Qty A]]+cadangan[[#This Row],[Qty B]]+cadangan[[#This Row],[Qty C]]</f>
        <v>2</v>
      </c>
      <c r="AE670" s="73">
        <f>cadangan[[#This Row],[Harga Normal A]]+cadangan[[#This Row],[Harga Normal B]]+cadangan[[#This Row],[Harga Normal C]]</f>
        <v>500000</v>
      </c>
      <c r="AF670" s="73">
        <f>cadangan[[#This Row],[Harga Diskon A]]+cadangan[[#This Row],[Harga Diskon B]]+cadangan[[#This Row],[Harga Diskon C]]</f>
        <v>400000</v>
      </c>
      <c r="AG670" s="73">
        <f>(cadangan[[#This Row],[Profit Normal A]]+cadangan[[#This Row],[Profit Normal B]]+cadangan[[#This Row],[Profit Normal C]])</f>
        <v>200000</v>
      </c>
      <c r="AH670" s="73">
        <f>cadangan[[#This Row],[Profit Diskon A]]+cadangan[[#This Row],[Profit Diskon B]]+cadangan[[#This Row],[Profit Diskon C]]</f>
        <v>100000</v>
      </c>
      <c r="AI670" s="23" t="s">
        <v>8</v>
      </c>
      <c r="AJ670" s="37">
        <f>IFERROR(INDEX('Kode Diskon'!$D$3:$D$9,MATCH(cadangan[[#This Row],[Kode diskon]],'Kode Diskon'!$C$3:$C$9,0)),"-")</f>
        <v>0.2</v>
      </c>
      <c r="AK670" s="23" t="s">
        <v>9</v>
      </c>
      <c r="AL670" s="23" t="s">
        <v>7</v>
      </c>
      <c r="AM670" s="23" t="s">
        <v>80</v>
      </c>
      <c r="AN670" s="55">
        <v>45042</v>
      </c>
      <c r="AO670" s="53">
        <f>DAY(cadangan[[#This Row],[Tanggal terjual]])</f>
        <v>26</v>
      </c>
      <c r="AP670" s="21" t="str">
        <f>TEXT(cadangan[[#This Row],[Tanggal terjual]],"dddd")</f>
        <v>Wednesday</v>
      </c>
      <c r="AQ670" s="23" t="str" cm="1">
        <f t="array" ref="AQ6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70" s="61">
        <f>AVERAGE(cadangan[[#This Row],[Rating A]],cadangan[[#This Row],[Rating B]],cadangan[[#This Row],[Rating C]])</f>
        <v>1</v>
      </c>
    </row>
    <row r="671" spans="1:44" x14ac:dyDescent="0.2">
      <c r="A671" s="20">
        <v>670</v>
      </c>
      <c r="B671" s="21" t="str">
        <f>_xlfn.CONCAT("ORD-",INDEX(Helper!$B$2:$B$5,MATCH(cadangan[[#This Row],[Marketplace]],Helper!$A$2:$A$5,0)),TEXT(cadangan[[#This Row],[No]],"0000"),"-",TEXT(cadangan[[#This Row],[Tanggal terjual]],"dd/mm/yy"))</f>
        <v>ORD-BB0670-04/04/23</v>
      </c>
      <c r="C671" s="39" t="s">
        <v>64</v>
      </c>
      <c r="D671" s="39" t="str">
        <f>IFERROR(INDEX(Katalog!$A$3:$A$12,MATCH(cadangan[[#This Row],[ItemID A]],Katalog!$C$3:$C$12,0)),"-")</f>
        <v>Pakaian Unisex</v>
      </c>
      <c r="E671" s="39" t="str">
        <f>IFERROR(INDEX(Katalog!$B$3:$B$12,MATCH(cadangan[[#This Row],[ItemID A]],Katalog!$C$3:$C$12,0)),"-")</f>
        <v>Jaket Hoodie</v>
      </c>
      <c r="F671" s="50">
        <v>4</v>
      </c>
      <c r="G671" s="50">
        <v>5</v>
      </c>
      <c r="H671" s="73">
        <f>IFERROR(INDEX(Katalog!$D$3:$D$12,MATCH(cadangan[[#This Row],[ItemID A]],Katalog!$C$3:$C$12,0))*cadangan[[#This Row],[Qty A]],0)</f>
        <v>1400000</v>
      </c>
      <c r="I671" s="73">
        <f>IFERROR(cadangan[[#This Row],[Harga Normal A]]-(cadangan[[#This Row],[Harga Normal A]]*cadangan[[#This Row],[Diskon]]),cadangan[[#This Row],[Harga Normal A]])</f>
        <v>1190000</v>
      </c>
      <c r="J671" s="73">
        <f>INDEX(Katalog!$F$3:$F$12,MATCH(cadangan[[#This Row],[ItemID A]],Katalog!$C$3:$C$12,0))*cadangan[[#This Row],[Qty A]]</f>
        <v>520000</v>
      </c>
      <c r="K671" s="73">
        <f>IFERROR(cadangan[[#This Row],[Harga Diskon A]]-INDEX(Katalog!$E$3:$E$12,MATCH(cadangan[[#This Row],[ItemID A]],Katalog!$C$3:$C$12,0))*cadangan[[#This Row],[Qty A]],0)</f>
        <v>310000</v>
      </c>
      <c r="L671" s="39" t="s">
        <v>65</v>
      </c>
      <c r="M671" s="39" t="str">
        <f>IFERROR(INDEX(Katalog!$A$3:$A$12,MATCH(cadangan[[#This Row],[ItemID B]],Katalog!$C$3:$C$12,0)),"-")</f>
        <v>Sepatu Pria</v>
      </c>
      <c r="N671" s="39" t="str">
        <f>IFERROR(INDEX(Katalog!$B$3:$B$12,MATCH(cadangan[[#This Row],[ItemID B]],Katalog!$C$3:$C$12,0)),"-")</f>
        <v>Sneakers</v>
      </c>
      <c r="O671" s="50">
        <v>1</v>
      </c>
      <c r="P671" s="50">
        <v>4</v>
      </c>
      <c r="Q671" s="73">
        <f>IFERROR(INDEX(Katalog!$D$3:$D$12,MATCH(cadangan[[#This Row],[ItemID B]],Katalog!$C$3:$C$12,0))*cadangan[[#This Row],[Qty B]],0)</f>
        <v>500000</v>
      </c>
      <c r="R671" s="73">
        <f>IFERROR(cadangan[[#This Row],[Harga Normal B]]-(cadangan[[#This Row],[Harga Normal B]]*cadangan[[#This Row],[Diskon]]),cadangan[[#This Row],[Harga Normal B]])</f>
        <v>425000</v>
      </c>
      <c r="S671" s="73">
        <f>IFERROR(INDEX(Katalog!$F$3:$F$12,MATCH(cadangan[[#This Row],[ItemID B]],Katalog!$C$3:$C$12,0))*cadangan[[#This Row],[Qty B]],0)</f>
        <v>200000</v>
      </c>
      <c r="T671" s="73">
        <f>IFERROR(cadangan[[#This Row],[Harga Diskon B]]-INDEX(Katalog!$E$3:$E$12,MATCH(cadangan[[#This Row],[ItemID B]],Katalog!$C$3:$C$12,0))*cadangan[[#This Row],[Qty B]],0)</f>
        <v>125000</v>
      </c>
      <c r="U671" s="39" t="s">
        <v>66</v>
      </c>
      <c r="V671" s="39" t="str">
        <f>IFERROR(INDEX(Katalog!$A$3:$A$12,MATCH(cadangan[[#This Row],[ItemID C]],Katalog!$C$3:$C$12,0)),"-")</f>
        <v>Sepatu Pria</v>
      </c>
      <c r="W671" s="39" t="str">
        <f>IFERROR(INDEX(Katalog!$B$3:$B$12,MATCH(cadangan[[#This Row],[ItemID C]],Katalog!$C$3:$C$12,0)),"-")</f>
        <v>Sandal Slip On</v>
      </c>
      <c r="X671" s="50">
        <v>1</v>
      </c>
      <c r="Y671" s="50">
        <v>2</v>
      </c>
      <c r="Z671" s="73">
        <f>IFERROR(INDEX(Katalog!$D$3:$D$12,MATCH(cadangan[[#This Row],[ItemID C]],Katalog!$C$3:$C$12,0))*cadangan[[#This Row],[Qty C]],0)</f>
        <v>150000</v>
      </c>
      <c r="AA671" s="73">
        <f>IFERROR(cadangan[[#This Row],[Harga Normal C]]-(cadangan[[#This Row],[Harga Normal C]]*cadangan[[#This Row],[Diskon]]),cadangan[[#This Row],[Harga Normal C]])</f>
        <v>127500</v>
      </c>
      <c r="AB671" s="73">
        <f>IFERROR(INDEX(Katalog!$F$3:$F$12,MATCH(cadangan[[#This Row],[ItemID C]],Katalog!$C$3:$C$12,0))*cadangan[[#This Row],[Qty C]],0)</f>
        <v>60000</v>
      </c>
      <c r="AC671" s="73">
        <f>IFERROR(cadangan[[#This Row],[Harga Diskon C]]-INDEX(Katalog!$E$3:$E$12,MATCH(cadangan[[#This Row],[ItemID C]],Katalog!$C$3:$C$12,0))*cadangan[[#This Row],[Qty C]],0)</f>
        <v>37500</v>
      </c>
      <c r="AD671" s="53">
        <f>cadangan[[#This Row],[Qty A]]+cadangan[[#This Row],[Qty B]]+cadangan[[#This Row],[Qty C]]</f>
        <v>6</v>
      </c>
      <c r="AE671" s="73">
        <f>cadangan[[#This Row],[Harga Normal A]]+cadangan[[#This Row],[Harga Normal B]]+cadangan[[#This Row],[Harga Normal C]]</f>
        <v>2050000</v>
      </c>
      <c r="AF671" s="73">
        <f>cadangan[[#This Row],[Harga Diskon A]]+cadangan[[#This Row],[Harga Diskon B]]+cadangan[[#This Row],[Harga Diskon C]]</f>
        <v>1742500</v>
      </c>
      <c r="AG671" s="73">
        <f>(cadangan[[#This Row],[Profit Normal A]]+cadangan[[#This Row],[Profit Normal B]]+cadangan[[#This Row],[Profit Normal C]])</f>
        <v>780000</v>
      </c>
      <c r="AH671" s="73">
        <f>cadangan[[#This Row],[Profit Diskon A]]+cadangan[[#This Row],[Profit Diskon B]]+cadangan[[#This Row],[Profit Diskon C]]</f>
        <v>472500</v>
      </c>
      <c r="AI671" s="23" t="s">
        <v>28</v>
      </c>
      <c r="AJ671" s="37">
        <f>IFERROR(INDEX('Kode Diskon'!$D$3:$D$9,MATCH(cadangan[[#This Row],[Kode diskon]],'Kode Diskon'!$C$3:$C$9,0)),"-")</f>
        <v>0.15</v>
      </c>
      <c r="AK671" s="23" t="s">
        <v>29</v>
      </c>
      <c r="AL671" s="23" t="s">
        <v>14</v>
      </c>
      <c r="AM671" s="23" t="s">
        <v>75</v>
      </c>
      <c r="AN671" s="55">
        <v>45020</v>
      </c>
      <c r="AO671" s="53">
        <f>DAY(cadangan[[#This Row],[Tanggal terjual]])</f>
        <v>4</v>
      </c>
      <c r="AP671" s="21" t="str">
        <f>TEXT(cadangan[[#This Row],[Tanggal terjual]],"dddd")</f>
        <v>Tuesday</v>
      </c>
      <c r="AQ671" s="23" t="str" cm="1">
        <f t="array" ref="AQ6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1" s="61">
        <f>AVERAGE(cadangan[[#This Row],[Rating A]],cadangan[[#This Row],[Rating B]],cadangan[[#This Row],[Rating C]])</f>
        <v>3.6666666666666665</v>
      </c>
    </row>
    <row r="672" spans="1:44" x14ac:dyDescent="0.2">
      <c r="A672" s="20">
        <v>671</v>
      </c>
      <c r="B672" s="21" t="str">
        <f>_xlfn.CONCAT("ORD-",INDEX(Helper!$B$2:$B$5,MATCH(cadangan[[#This Row],[Marketplace]],Helper!$A$2:$A$5,0)),TEXT(cadangan[[#This Row],[No]],"0000"),"-",TEXT(cadangan[[#This Row],[Tanggal terjual]],"dd/mm/yy"))</f>
        <v>ORD-TK0671-03/04/23</v>
      </c>
      <c r="C672" s="39" t="s">
        <v>63</v>
      </c>
      <c r="D672" s="39" t="str">
        <f>IFERROR(INDEX(Katalog!$A$3:$A$12,MATCH(cadangan[[#This Row],[ItemID A]],Katalog!$C$3:$C$12,0)),"-")</f>
        <v>Pakaian Pria</v>
      </c>
      <c r="E672" s="39" t="str">
        <f>IFERROR(INDEX(Katalog!$B$3:$B$12,MATCH(cadangan[[#This Row],[ItemID A]],Katalog!$C$3:$C$12,0)),"-")</f>
        <v>Jaket Jeans</v>
      </c>
      <c r="F672" s="50">
        <v>1</v>
      </c>
      <c r="G672" s="50">
        <v>1</v>
      </c>
      <c r="H672" s="73">
        <f>IFERROR(INDEX(Katalog!$D$3:$D$12,MATCH(cadangan[[#This Row],[ItemID A]],Katalog!$C$3:$C$12,0))*cadangan[[#This Row],[Qty A]],0)</f>
        <v>400000</v>
      </c>
      <c r="I672" s="73">
        <f>IFERROR(cadangan[[#This Row],[Harga Normal A]]-(cadangan[[#This Row],[Harga Normal A]]*cadangan[[#This Row],[Diskon]]),cadangan[[#This Row],[Harga Normal A]])</f>
        <v>360000</v>
      </c>
      <c r="J672" s="73">
        <f>INDEX(Katalog!$F$3:$F$12,MATCH(cadangan[[#This Row],[ItemID A]],Katalog!$C$3:$C$12,0))*cadangan[[#This Row],[Qty A]]</f>
        <v>150000</v>
      </c>
      <c r="K672" s="73">
        <f>IFERROR(cadangan[[#This Row],[Harga Diskon A]]-INDEX(Katalog!$E$3:$E$12,MATCH(cadangan[[#This Row],[ItemID A]],Katalog!$C$3:$C$12,0))*cadangan[[#This Row],[Qty A]],0)</f>
        <v>110000</v>
      </c>
      <c r="M672" s="39" t="str">
        <f>IFERROR(INDEX(Katalog!$A$3:$A$12,MATCH(cadangan[[#This Row],[ItemID B]],Katalog!$C$3:$C$12,0)),"-")</f>
        <v>-</v>
      </c>
      <c r="N672" s="39" t="str">
        <f>IFERROR(INDEX(Katalog!$B$3:$B$12,MATCH(cadangan[[#This Row],[ItemID B]],Katalog!$C$3:$C$12,0)),"-")</f>
        <v>-</v>
      </c>
      <c r="Q672" s="73">
        <f>IFERROR(INDEX(Katalog!$D$3:$D$12,MATCH(cadangan[[#This Row],[ItemID B]],Katalog!$C$3:$C$12,0))*cadangan[[#This Row],[Qty B]],0)</f>
        <v>0</v>
      </c>
      <c r="R672" s="73">
        <f>IFERROR(cadangan[[#This Row],[Harga Normal B]]-(cadangan[[#This Row],[Harga Normal B]]*cadangan[[#This Row],[Diskon]]),cadangan[[#This Row],[Harga Normal B]])</f>
        <v>0</v>
      </c>
      <c r="S672" s="73">
        <f>IFERROR(INDEX(Katalog!$F$3:$F$12,MATCH(cadangan[[#This Row],[ItemID B]],Katalog!$C$3:$C$12,0))*cadangan[[#This Row],[Qty B]],0)</f>
        <v>0</v>
      </c>
      <c r="T672" s="73">
        <f>IFERROR(cadangan[[#This Row],[Harga Diskon B]]-INDEX(Katalog!$E$3:$E$12,MATCH(cadangan[[#This Row],[ItemID B]],Katalog!$C$3:$C$12,0))*cadangan[[#This Row],[Qty B]],0)</f>
        <v>0</v>
      </c>
      <c r="V672" s="39" t="str">
        <f>IFERROR(INDEX(Katalog!$A$3:$A$12,MATCH(cadangan[[#This Row],[ItemID C]],Katalog!$C$3:$C$12,0)),"-")</f>
        <v>-</v>
      </c>
      <c r="W672" s="39" t="str">
        <f>IFERROR(INDEX(Katalog!$B$3:$B$12,MATCH(cadangan[[#This Row],[ItemID C]],Katalog!$C$3:$C$12,0)),"-")</f>
        <v>-</v>
      </c>
      <c r="Z672" s="73">
        <f>IFERROR(INDEX(Katalog!$D$3:$D$12,MATCH(cadangan[[#This Row],[ItemID C]],Katalog!$C$3:$C$12,0))*cadangan[[#This Row],[Qty C]],0)</f>
        <v>0</v>
      </c>
      <c r="AA672" s="73">
        <f>IFERROR(cadangan[[#This Row],[Harga Normal C]]-(cadangan[[#This Row],[Harga Normal C]]*cadangan[[#This Row],[Diskon]]),cadangan[[#This Row],[Harga Normal C]])</f>
        <v>0</v>
      </c>
      <c r="AB672" s="73">
        <f>IFERROR(INDEX(Katalog!$F$3:$F$12,MATCH(cadangan[[#This Row],[ItemID C]],Katalog!$C$3:$C$12,0))*cadangan[[#This Row],[Qty C]],0)</f>
        <v>0</v>
      </c>
      <c r="AC672" s="73">
        <f>IFERROR(cadangan[[#This Row],[Harga Diskon C]]-INDEX(Katalog!$E$3:$E$12,MATCH(cadangan[[#This Row],[ItemID C]],Katalog!$C$3:$C$12,0))*cadangan[[#This Row],[Qty C]],0)</f>
        <v>0</v>
      </c>
      <c r="AD672" s="53">
        <f>cadangan[[#This Row],[Qty A]]+cadangan[[#This Row],[Qty B]]+cadangan[[#This Row],[Qty C]]</f>
        <v>1</v>
      </c>
      <c r="AE672" s="73">
        <f>cadangan[[#This Row],[Harga Normal A]]+cadangan[[#This Row],[Harga Normal B]]+cadangan[[#This Row],[Harga Normal C]]</f>
        <v>400000</v>
      </c>
      <c r="AF672" s="73">
        <f>cadangan[[#This Row],[Harga Diskon A]]+cadangan[[#This Row],[Harga Diskon B]]+cadangan[[#This Row],[Harga Diskon C]]</f>
        <v>360000</v>
      </c>
      <c r="AG672" s="73">
        <f>(cadangan[[#This Row],[Profit Normal A]]+cadangan[[#This Row],[Profit Normal B]]+cadangan[[#This Row],[Profit Normal C]])</f>
        <v>150000</v>
      </c>
      <c r="AH672" s="73">
        <f>cadangan[[#This Row],[Profit Diskon A]]+cadangan[[#This Row],[Profit Diskon B]]+cadangan[[#This Row],[Profit Diskon C]]</f>
        <v>110000</v>
      </c>
      <c r="AI672" s="23" t="s">
        <v>30</v>
      </c>
      <c r="AJ672" s="37">
        <f>IFERROR(INDEX('Kode Diskon'!$D$3:$D$9,MATCH(cadangan[[#This Row],[Kode diskon]],'Kode Diskon'!$C$3:$C$9,0)),"-")</f>
        <v>0.1</v>
      </c>
      <c r="AK672" s="23" t="s">
        <v>29</v>
      </c>
      <c r="AL672" s="23" t="s">
        <v>10</v>
      </c>
      <c r="AM672" s="23" t="s">
        <v>79</v>
      </c>
      <c r="AN672" s="55">
        <v>45019</v>
      </c>
      <c r="AO672" s="53">
        <f>DAY(cadangan[[#This Row],[Tanggal terjual]])</f>
        <v>3</v>
      </c>
      <c r="AP672" s="21" t="str">
        <f>TEXT(cadangan[[#This Row],[Tanggal terjual]],"dddd")</f>
        <v>Monday</v>
      </c>
      <c r="AQ672" s="23" t="str" cm="1">
        <f t="array" ref="AQ6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2" s="61">
        <f>AVERAGE(cadangan[[#This Row],[Rating A]],cadangan[[#This Row],[Rating B]],cadangan[[#This Row],[Rating C]])</f>
        <v>1</v>
      </c>
    </row>
    <row r="673" spans="1:44" x14ac:dyDescent="0.2">
      <c r="A673" s="20">
        <v>672</v>
      </c>
      <c r="B673" s="21" t="str">
        <f>_xlfn.CONCAT("ORD-",INDEX(Helper!$B$2:$B$5,MATCH(cadangan[[#This Row],[Marketplace]],Helper!$A$2:$A$5,0)),TEXT(cadangan[[#This Row],[No]],"0000"),"-",TEXT(cadangan[[#This Row],[Tanggal terjual]],"dd/mm/yy"))</f>
        <v>ORD-TK0672-01/04/23</v>
      </c>
      <c r="C673" s="39" t="s">
        <v>61</v>
      </c>
      <c r="D673" s="39" t="str">
        <f>IFERROR(INDEX(Katalog!$A$3:$A$12,MATCH(cadangan[[#This Row],[ItemID A]],Katalog!$C$3:$C$12,0)),"-")</f>
        <v>Pakaian Pria</v>
      </c>
      <c r="E673" s="39" t="str">
        <f>IFERROR(INDEX(Katalog!$B$3:$B$12,MATCH(cadangan[[#This Row],[ItemID A]],Katalog!$C$3:$C$12,0)),"-")</f>
        <v>Kaos Polo</v>
      </c>
      <c r="F673" s="50">
        <v>1</v>
      </c>
      <c r="G673" s="50">
        <v>3</v>
      </c>
      <c r="H673" s="73">
        <f>IFERROR(INDEX(Katalog!$D$3:$D$12,MATCH(cadangan[[#This Row],[ItemID A]],Katalog!$C$3:$C$12,0))*cadangan[[#This Row],[Qty A]],0)</f>
        <v>200000</v>
      </c>
      <c r="I673" s="73">
        <f>IFERROR(cadangan[[#This Row],[Harga Normal A]]-(cadangan[[#This Row],[Harga Normal A]]*cadangan[[#This Row],[Diskon]]),cadangan[[#This Row],[Harga Normal A]])</f>
        <v>180000</v>
      </c>
      <c r="J673" s="73">
        <f>INDEX(Katalog!$F$3:$F$12,MATCH(cadangan[[#This Row],[ItemID A]],Katalog!$C$3:$C$12,0))*cadangan[[#This Row],[Qty A]]</f>
        <v>80000</v>
      </c>
      <c r="K673" s="73">
        <f>IFERROR(cadangan[[#This Row],[Harga Diskon A]]-INDEX(Katalog!$E$3:$E$12,MATCH(cadangan[[#This Row],[ItemID A]],Katalog!$C$3:$C$12,0))*cadangan[[#This Row],[Qty A]],0)</f>
        <v>60000</v>
      </c>
      <c r="M673" s="39" t="str">
        <f>IFERROR(INDEX(Katalog!$A$3:$A$12,MATCH(cadangan[[#This Row],[ItemID B]],Katalog!$C$3:$C$12,0)),"-")</f>
        <v>-</v>
      </c>
      <c r="N673" s="39" t="str">
        <f>IFERROR(INDEX(Katalog!$B$3:$B$12,MATCH(cadangan[[#This Row],[ItemID B]],Katalog!$C$3:$C$12,0)),"-")</f>
        <v>-</v>
      </c>
      <c r="Q673" s="73">
        <f>IFERROR(INDEX(Katalog!$D$3:$D$12,MATCH(cadangan[[#This Row],[ItemID B]],Katalog!$C$3:$C$12,0))*cadangan[[#This Row],[Qty B]],0)</f>
        <v>0</v>
      </c>
      <c r="R673" s="73">
        <f>IFERROR(cadangan[[#This Row],[Harga Normal B]]-(cadangan[[#This Row],[Harga Normal B]]*cadangan[[#This Row],[Diskon]]),cadangan[[#This Row],[Harga Normal B]])</f>
        <v>0</v>
      </c>
      <c r="S673" s="73">
        <f>IFERROR(INDEX(Katalog!$F$3:$F$12,MATCH(cadangan[[#This Row],[ItemID B]],Katalog!$C$3:$C$12,0))*cadangan[[#This Row],[Qty B]],0)</f>
        <v>0</v>
      </c>
      <c r="T673" s="73">
        <f>IFERROR(cadangan[[#This Row],[Harga Diskon B]]-INDEX(Katalog!$E$3:$E$12,MATCH(cadangan[[#This Row],[ItemID B]],Katalog!$C$3:$C$12,0))*cadangan[[#This Row],[Qty B]],0)</f>
        <v>0</v>
      </c>
      <c r="V673" s="39" t="str">
        <f>IFERROR(INDEX(Katalog!$A$3:$A$12,MATCH(cadangan[[#This Row],[ItemID C]],Katalog!$C$3:$C$12,0)),"-")</f>
        <v>-</v>
      </c>
      <c r="W673" s="39" t="str">
        <f>IFERROR(INDEX(Katalog!$B$3:$B$12,MATCH(cadangan[[#This Row],[ItemID C]],Katalog!$C$3:$C$12,0)),"-")</f>
        <v>-</v>
      </c>
      <c r="Z673" s="73">
        <f>IFERROR(INDEX(Katalog!$D$3:$D$12,MATCH(cadangan[[#This Row],[ItemID C]],Katalog!$C$3:$C$12,0))*cadangan[[#This Row],[Qty C]],0)</f>
        <v>0</v>
      </c>
      <c r="AA673" s="73">
        <f>IFERROR(cadangan[[#This Row],[Harga Normal C]]-(cadangan[[#This Row],[Harga Normal C]]*cadangan[[#This Row],[Diskon]]),cadangan[[#This Row],[Harga Normal C]])</f>
        <v>0</v>
      </c>
      <c r="AB673" s="73">
        <f>IFERROR(INDEX(Katalog!$F$3:$F$12,MATCH(cadangan[[#This Row],[ItemID C]],Katalog!$C$3:$C$12,0))*cadangan[[#This Row],[Qty C]],0)</f>
        <v>0</v>
      </c>
      <c r="AC673" s="73">
        <f>IFERROR(cadangan[[#This Row],[Harga Diskon C]]-INDEX(Katalog!$E$3:$E$12,MATCH(cadangan[[#This Row],[ItemID C]],Katalog!$C$3:$C$12,0))*cadangan[[#This Row],[Qty C]],0)</f>
        <v>0</v>
      </c>
      <c r="AD673" s="53">
        <f>cadangan[[#This Row],[Qty A]]+cadangan[[#This Row],[Qty B]]+cadangan[[#This Row],[Qty C]]</f>
        <v>1</v>
      </c>
      <c r="AE673" s="73">
        <f>cadangan[[#This Row],[Harga Normal A]]+cadangan[[#This Row],[Harga Normal B]]+cadangan[[#This Row],[Harga Normal C]]</f>
        <v>200000</v>
      </c>
      <c r="AF673" s="73">
        <f>cadangan[[#This Row],[Harga Diskon A]]+cadangan[[#This Row],[Harga Diskon B]]+cadangan[[#This Row],[Harga Diskon C]]</f>
        <v>180000</v>
      </c>
      <c r="AG673" s="73">
        <f>(cadangan[[#This Row],[Profit Normal A]]+cadangan[[#This Row],[Profit Normal B]]+cadangan[[#This Row],[Profit Normal C]])</f>
        <v>80000</v>
      </c>
      <c r="AH673" s="73">
        <f>cadangan[[#This Row],[Profit Diskon A]]+cadangan[[#This Row],[Profit Diskon B]]+cadangan[[#This Row],[Profit Diskon C]]</f>
        <v>60000</v>
      </c>
      <c r="AI673" s="23" t="s">
        <v>30</v>
      </c>
      <c r="AJ673" s="37">
        <f>IFERROR(INDEX('Kode Diskon'!$D$3:$D$9,MATCH(cadangan[[#This Row],[Kode diskon]],'Kode Diskon'!$C$3:$C$9,0)),"-")</f>
        <v>0.1</v>
      </c>
      <c r="AK673" s="23" t="s">
        <v>29</v>
      </c>
      <c r="AL673" s="23" t="s">
        <v>10</v>
      </c>
      <c r="AM673" s="23" t="s">
        <v>75</v>
      </c>
      <c r="AN673" s="55">
        <v>45017</v>
      </c>
      <c r="AO673" s="53">
        <f>DAY(cadangan[[#This Row],[Tanggal terjual]])</f>
        <v>1</v>
      </c>
      <c r="AP673" s="21" t="str">
        <f>TEXT(cadangan[[#This Row],[Tanggal terjual]],"dddd")</f>
        <v>Saturday</v>
      </c>
      <c r="AQ673" s="23" t="str" cm="1">
        <f t="array" ref="AQ6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3" s="61">
        <f>AVERAGE(cadangan[[#This Row],[Rating A]],cadangan[[#This Row],[Rating B]],cadangan[[#This Row],[Rating C]])</f>
        <v>3</v>
      </c>
    </row>
    <row r="674" spans="1:44" x14ac:dyDescent="0.2">
      <c r="A674" s="20">
        <v>673</v>
      </c>
      <c r="B674" s="21" t="str">
        <f>_xlfn.CONCAT("ORD-",INDEX(Helper!$B$2:$B$5,MATCH(cadangan[[#This Row],[Marketplace]],Helper!$A$2:$A$5,0)),TEXT(cadangan[[#This Row],[No]],"0000"),"-",TEXT(cadangan[[#This Row],[Tanggal terjual]],"dd/mm/yy"))</f>
        <v>ORD-TK0673-26/04/23</v>
      </c>
      <c r="C674" s="39" t="s">
        <v>60</v>
      </c>
      <c r="D674" s="39" t="str">
        <f>IFERROR(INDEX(Katalog!$A$3:$A$12,MATCH(cadangan[[#This Row],[ItemID A]],Katalog!$C$3:$C$12,0)),"-")</f>
        <v>Pakaian Wanita</v>
      </c>
      <c r="E674" s="39" t="str">
        <f>IFERROR(INDEX(Katalog!$B$3:$B$12,MATCH(cadangan[[#This Row],[ItemID A]],Katalog!$C$3:$C$12,0)),"-")</f>
        <v>Kaftan</v>
      </c>
      <c r="F674" s="50">
        <v>1</v>
      </c>
      <c r="G674" s="50">
        <v>2</v>
      </c>
      <c r="H674" s="73">
        <f>IFERROR(INDEX(Katalog!$D$3:$D$12,MATCH(cadangan[[#This Row],[ItemID A]],Katalog!$C$3:$C$12,0))*cadangan[[#This Row],[Qty A]],0)</f>
        <v>250000</v>
      </c>
      <c r="I674" s="73">
        <f>IFERROR(cadangan[[#This Row],[Harga Normal A]]-(cadangan[[#This Row],[Harga Normal A]]*cadangan[[#This Row],[Diskon]]),cadangan[[#This Row],[Harga Normal A]])</f>
        <v>225000</v>
      </c>
      <c r="J674" s="73">
        <f>INDEX(Katalog!$F$3:$F$12,MATCH(cadangan[[#This Row],[ItemID A]],Katalog!$C$3:$C$12,0))*cadangan[[#This Row],[Qty A]]</f>
        <v>100000</v>
      </c>
      <c r="K674" s="73">
        <f>IFERROR(cadangan[[#This Row],[Harga Diskon A]]-INDEX(Katalog!$E$3:$E$12,MATCH(cadangan[[#This Row],[ItemID A]],Katalog!$C$3:$C$12,0))*cadangan[[#This Row],[Qty A]],0)</f>
        <v>75000</v>
      </c>
      <c r="M674" s="39" t="str">
        <f>IFERROR(INDEX(Katalog!$A$3:$A$12,MATCH(cadangan[[#This Row],[ItemID B]],Katalog!$C$3:$C$12,0)),"-")</f>
        <v>-</v>
      </c>
      <c r="N674" s="39" t="str">
        <f>IFERROR(INDEX(Katalog!$B$3:$B$12,MATCH(cadangan[[#This Row],[ItemID B]],Katalog!$C$3:$C$12,0)),"-")</f>
        <v>-</v>
      </c>
      <c r="Q674" s="73">
        <f>IFERROR(INDEX(Katalog!$D$3:$D$12,MATCH(cadangan[[#This Row],[ItemID B]],Katalog!$C$3:$C$12,0))*cadangan[[#This Row],[Qty B]],0)</f>
        <v>0</v>
      </c>
      <c r="R674" s="73">
        <f>IFERROR(cadangan[[#This Row],[Harga Normal B]]-(cadangan[[#This Row],[Harga Normal B]]*cadangan[[#This Row],[Diskon]]),cadangan[[#This Row],[Harga Normal B]])</f>
        <v>0</v>
      </c>
      <c r="S674" s="73">
        <f>IFERROR(INDEX(Katalog!$F$3:$F$12,MATCH(cadangan[[#This Row],[ItemID B]],Katalog!$C$3:$C$12,0))*cadangan[[#This Row],[Qty B]],0)</f>
        <v>0</v>
      </c>
      <c r="T674" s="73">
        <f>IFERROR(cadangan[[#This Row],[Harga Diskon B]]-INDEX(Katalog!$E$3:$E$12,MATCH(cadangan[[#This Row],[ItemID B]],Katalog!$C$3:$C$12,0))*cadangan[[#This Row],[Qty B]],0)</f>
        <v>0</v>
      </c>
      <c r="V674" s="39" t="str">
        <f>IFERROR(INDEX(Katalog!$A$3:$A$12,MATCH(cadangan[[#This Row],[ItemID C]],Katalog!$C$3:$C$12,0)),"-")</f>
        <v>-</v>
      </c>
      <c r="W674" s="39" t="str">
        <f>IFERROR(INDEX(Katalog!$B$3:$B$12,MATCH(cadangan[[#This Row],[ItemID C]],Katalog!$C$3:$C$12,0)),"-")</f>
        <v>-</v>
      </c>
      <c r="Z674" s="73">
        <f>IFERROR(INDEX(Katalog!$D$3:$D$12,MATCH(cadangan[[#This Row],[ItemID C]],Katalog!$C$3:$C$12,0))*cadangan[[#This Row],[Qty C]],0)</f>
        <v>0</v>
      </c>
      <c r="AA674" s="73">
        <f>IFERROR(cadangan[[#This Row],[Harga Normal C]]-(cadangan[[#This Row],[Harga Normal C]]*cadangan[[#This Row],[Diskon]]),cadangan[[#This Row],[Harga Normal C]])</f>
        <v>0</v>
      </c>
      <c r="AB674" s="73">
        <f>IFERROR(INDEX(Katalog!$F$3:$F$12,MATCH(cadangan[[#This Row],[ItemID C]],Katalog!$C$3:$C$12,0))*cadangan[[#This Row],[Qty C]],0)</f>
        <v>0</v>
      </c>
      <c r="AC674" s="73">
        <f>IFERROR(cadangan[[#This Row],[Harga Diskon C]]-INDEX(Katalog!$E$3:$E$12,MATCH(cadangan[[#This Row],[ItemID C]],Katalog!$C$3:$C$12,0))*cadangan[[#This Row],[Qty C]],0)</f>
        <v>0</v>
      </c>
      <c r="AD674" s="53">
        <f>cadangan[[#This Row],[Qty A]]+cadangan[[#This Row],[Qty B]]+cadangan[[#This Row],[Qty C]]</f>
        <v>1</v>
      </c>
      <c r="AE674" s="73">
        <f>cadangan[[#This Row],[Harga Normal A]]+cadangan[[#This Row],[Harga Normal B]]+cadangan[[#This Row],[Harga Normal C]]</f>
        <v>250000</v>
      </c>
      <c r="AF674" s="73">
        <f>cadangan[[#This Row],[Harga Diskon A]]+cadangan[[#This Row],[Harga Diskon B]]+cadangan[[#This Row],[Harga Diskon C]]</f>
        <v>225000</v>
      </c>
      <c r="AG674" s="73">
        <f>(cadangan[[#This Row],[Profit Normal A]]+cadangan[[#This Row],[Profit Normal B]]+cadangan[[#This Row],[Profit Normal C]])</f>
        <v>100000</v>
      </c>
      <c r="AH674" s="73">
        <f>cadangan[[#This Row],[Profit Diskon A]]+cadangan[[#This Row],[Profit Diskon B]]+cadangan[[#This Row],[Profit Diskon C]]</f>
        <v>75000</v>
      </c>
      <c r="AI674" s="23" t="s">
        <v>31</v>
      </c>
      <c r="AJ674" s="37">
        <f>IFERROR(INDEX('Kode Diskon'!$D$3:$D$9,MATCH(cadangan[[#This Row],[Kode diskon]],'Kode Diskon'!$C$3:$C$9,0)),"-")</f>
        <v>0.1</v>
      </c>
      <c r="AK674" s="23" t="s">
        <v>9</v>
      </c>
      <c r="AL674" s="23" t="s">
        <v>10</v>
      </c>
      <c r="AM674" s="23" t="s">
        <v>78</v>
      </c>
      <c r="AN674" s="55">
        <v>45042</v>
      </c>
      <c r="AO674" s="53">
        <f>DAY(cadangan[[#This Row],[Tanggal terjual]])</f>
        <v>26</v>
      </c>
      <c r="AP674" s="21" t="str">
        <f>TEXT(cadangan[[#This Row],[Tanggal terjual]],"dddd")</f>
        <v>Wednesday</v>
      </c>
      <c r="AQ674" s="23" t="str" cm="1">
        <f t="array" ref="AQ6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74" s="61">
        <f>AVERAGE(cadangan[[#This Row],[Rating A]],cadangan[[#This Row],[Rating B]],cadangan[[#This Row],[Rating C]])</f>
        <v>2</v>
      </c>
    </row>
    <row r="675" spans="1:44" x14ac:dyDescent="0.2">
      <c r="A675" s="20">
        <v>674</v>
      </c>
      <c r="B675" s="21" t="str">
        <f>_xlfn.CONCAT("ORD-",INDEX(Helper!$B$2:$B$5,MATCH(cadangan[[#This Row],[Marketplace]],Helper!$A$2:$A$5,0)),TEXT(cadangan[[#This Row],[No]],"0000"),"-",TEXT(cadangan[[#This Row],[Tanggal terjual]],"dd/mm/yy"))</f>
        <v>ORD-SP0674-04/04/23</v>
      </c>
      <c r="C675" s="39" t="s">
        <v>64</v>
      </c>
      <c r="D675" s="39" t="str">
        <f>IFERROR(INDEX(Katalog!$A$3:$A$12,MATCH(cadangan[[#This Row],[ItemID A]],Katalog!$C$3:$C$12,0)),"-")</f>
        <v>Pakaian Unisex</v>
      </c>
      <c r="E675" s="39" t="str">
        <f>IFERROR(INDEX(Katalog!$B$3:$B$12,MATCH(cadangan[[#This Row],[ItemID A]],Katalog!$C$3:$C$12,0)),"-")</f>
        <v>Jaket Hoodie</v>
      </c>
      <c r="F675" s="50">
        <v>3</v>
      </c>
      <c r="G675" s="50">
        <v>4</v>
      </c>
      <c r="H675" s="73">
        <f>IFERROR(INDEX(Katalog!$D$3:$D$12,MATCH(cadangan[[#This Row],[ItemID A]],Katalog!$C$3:$C$12,0))*cadangan[[#This Row],[Qty A]],0)</f>
        <v>1050000</v>
      </c>
      <c r="I675" s="73">
        <f>IFERROR(cadangan[[#This Row],[Harga Normal A]]-(cadangan[[#This Row],[Harga Normal A]]*cadangan[[#This Row],[Diskon]]),cadangan[[#This Row],[Harga Normal A]])</f>
        <v>892500</v>
      </c>
      <c r="J675" s="73">
        <f>INDEX(Katalog!$F$3:$F$12,MATCH(cadangan[[#This Row],[ItemID A]],Katalog!$C$3:$C$12,0))*cadangan[[#This Row],[Qty A]]</f>
        <v>390000</v>
      </c>
      <c r="K675" s="73">
        <f>IFERROR(cadangan[[#This Row],[Harga Diskon A]]-INDEX(Katalog!$E$3:$E$12,MATCH(cadangan[[#This Row],[ItemID A]],Katalog!$C$3:$C$12,0))*cadangan[[#This Row],[Qty A]],0)</f>
        <v>232500</v>
      </c>
      <c r="M675" s="39" t="str">
        <f>IFERROR(INDEX(Katalog!$A$3:$A$12,MATCH(cadangan[[#This Row],[ItemID B]],Katalog!$C$3:$C$12,0)),"-")</f>
        <v>-</v>
      </c>
      <c r="N675" s="39" t="str">
        <f>IFERROR(INDEX(Katalog!$B$3:$B$12,MATCH(cadangan[[#This Row],[ItemID B]],Katalog!$C$3:$C$12,0)),"-")</f>
        <v>-</v>
      </c>
      <c r="Q675" s="73">
        <f>IFERROR(INDEX(Katalog!$D$3:$D$12,MATCH(cadangan[[#This Row],[ItemID B]],Katalog!$C$3:$C$12,0))*cadangan[[#This Row],[Qty B]],0)</f>
        <v>0</v>
      </c>
      <c r="R675" s="73">
        <f>IFERROR(cadangan[[#This Row],[Harga Normal B]]-(cadangan[[#This Row],[Harga Normal B]]*cadangan[[#This Row],[Diskon]]),cadangan[[#This Row],[Harga Normal B]])</f>
        <v>0</v>
      </c>
      <c r="S675" s="73">
        <f>IFERROR(INDEX(Katalog!$F$3:$F$12,MATCH(cadangan[[#This Row],[ItemID B]],Katalog!$C$3:$C$12,0))*cadangan[[#This Row],[Qty B]],0)</f>
        <v>0</v>
      </c>
      <c r="T675" s="73">
        <f>IFERROR(cadangan[[#This Row],[Harga Diskon B]]-INDEX(Katalog!$E$3:$E$12,MATCH(cadangan[[#This Row],[ItemID B]],Katalog!$C$3:$C$12,0))*cadangan[[#This Row],[Qty B]],0)</f>
        <v>0</v>
      </c>
      <c r="V675" s="39" t="str">
        <f>IFERROR(INDEX(Katalog!$A$3:$A$12,MATCH(cadangan[[#This Row],[ItemID C]],Katalog!$C$3:$C$12,0)),"-")</f>
        <v>-</v>
      </c>
      <c r="W675" s="39" t="str">
        <f>IFERROR(INDEX(Katalog!$B$3:$B$12,MATCH(cadangan[[#This Row],[ItemID C]],Katalog!$C$3:$C$12,0)),"-")</f>
        <v>-</v>
      </c>
      <c r="Z675" s="73">
        <f>IFERROR(INDEX(Katalog!$D$3:$D$12,MATCH(cadangan[[#This Row],[ItemID C]],Katalog!$C$3:$C$12,0))*cadangan[[#This Row],[Qty C]],0)</f>
        <v>0</v>
      </c>
      <c r="AA675" s="73">
        <f>IFERROR(cadangan[[#This Row],[Harga Normal C]]-(cadangan[[#This Row],[Harga Normal C]]*cadangan[[#This Row],[Diskon]]),cadangan[[#This Row],[Harga Normal C]])</f>
        <v>0</v>
      </c>
      <c r="AB675" s="73">
        <f>IFERROR(INDEX(Katalog!$F$3:$F$12,MATCH(cadangan[[#This Row],[ItemID C]],Katalog!$C$3:$C$12,0))*cadangan[[#This Row],[Qty C]],0)</f>
        <v>0</v>
      </c>
      <c r="AC675" s="73">
        <f>IFERROR(cadangan[[#This Row],[Harga Diskon C]]-INDEX(Katalog!$E$3:$E$12,MATCH(cadangan[[#This Row],[ItemID C]],Katalog!$C$3:$C$12,0))*cadangan[[#This Row],[Qty C]],0)</f>
        <v>0</v>
      </c>
      <c r="AD675" s="53">
        <f>cadangan[[#This Row],[Qty A]]+cadangan[[#This Row],[Qty B]]+cadangan[[#This Row],[Qty C]]</f>
        <v>3</v>
      </c>
      <c r="AE675" s="73">
        <f>cadangan[[#This Row],[Harga Normal A]]+cadangan[[#This Row],[Harga Normal B]]+cadangan[[#This Row],[Harga Normal C]]</f>
        <v>1050000</v>
      </c>
      <c r="AF675" s="73">
        <f>cadangan[[#This Row],[Harga Diskon A]]+cadangan[[#This Row],[Harga Diskon B]]+cadangan[[#This Row],[Harga Diskon C]]</f>
        <v>892500</v>
      </c>
      <c r="AG675" s="73">
        <f>(cadangan[[#This Row],[Profit Normal A]]+cadangan[[#This Row],[Profit Normal B]]+cadangan[[#This Row],[Profit Normal C]])</f>
        <v>390000</v>
      </c>
      <c r="AH675" s="73">
        <f>cadangan[[#This Row],[Profit Diskon A]]+cadangan[[#This Row],[Profit Diskon B]]+cadangan[[#This Row],[Profit Diskon C]]</f>
        <v>232500</v>
      </c>
      <c r="AI675" s="23" t="s">
        <v>13</v>
      </c>
      <c r="AJ675" s="37">
        <f>IFERROR(INDEX('Kode Diskon'!$D$3:$D$9,MATCH(cadangan[[#This Row],[Kode diskon]],'Kode Diskon'!$C$3:$C$9,0)),"-")</f>
        <v>0.15</v>
      </c>
      <c r="AK675" s="23" t="s">
        <v>29</v>
      </c>
      <c r="AL675" s="23" t="s">
        <v>7</v>
      </c>
      <c r="AM675" s="23" t="s">
        <v>78</v>
      </c>
      <c r="AN675" s="55">
        <v>45020</v>
      </c>
      <c r="AO675" s="53">
        <f>DAY(cadangan[[#This Row],[Tanggal terjual]])</f>
        <v>4</v>
      </c>
      <c r="AP675" s="21" t="str">
        <f>TEXT(cadangan[[#This Row],[Tanggal terjual]],"dddd")</f>
        <v>Tuesday</v>
      </c>
      <c r="AQ675" s="23" t="str" cm="1">
        <f t="array" ref="AQ6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5" s="61">
        <f>AVERAGE(cadangan[[#This Row],[Rating A]],cadangan[[#This Row],[Rating B]],cadangan[[#This Row],[Rating C]])</f>
        <v>4</v>
      </c>
    </row>
    <row r="676" spans="1:44" x14ac:dyDescent="0.2">
      <c r="A676" s="20">
        <v>675</v>
      </c>
      <c r="B676" s="21" t="str">
        <f>_xlfn.CONCAT("ORD-",INDEX(Helper!$B$2:$B$5,MATCH(cadangan[[#This Row],[Marketplace]],Helper!$A$2:$A$5,0)),TEXT(cadangan[[#This Row],[No]],"0000"),"-",TEXT(cadangan[[#This Row],[Tanggal terjual]],"dd/mm/yy"))</f>
        <v>ORD-TK0675-01/04/23</v>
      </c>
      <c r="C676" s="39" t="s">
        <v>59</v>
      </c>
      <c r="D676" s="39" t="str">
        <f>IFERROR(INDEX(Katalog!$A$3:$A$12,MATCH(cadangan[[#This Row],[ItemID A]],Katalog!$C$3:$C$12,0)),"-")</f>
        <v>Pakaian Wanita</v>
      </c>
      <c r="E676" s="39" t="str">
        <f>IFERROR(INDEX(Katalog!$B$3:$B$12,MATCH(cadangan[[#This Row],[ItemID A]],Katalog!$C$3:$C$12,0)),"-")</f>
        <v>Blouse</v>
      </c>
      <c r="F676" s="50">
        <v>1</v>
      </c>
      <c r="G676" s="50">
        <v>2</v>
      </c>
      <c r="H676" s="73">
        <f>IFERROR(INDEX(Katalog!$D$3:$D$12,MATCH(cadangan[[#This Row],[ItemID A]],Katalog!$C$3:$C$12,0))*cadangan[[#This Row],[Qty A]],0)</f>
        <v>150000</v>
      </c>
      <c r="I676" s="73">
        <f>IFERROR(cadangan[[#This Row],[Harga Normal A]]-(cadangan[[#This Row],[Harga Normal A]]*cadangan[[#This Row],[Diskon]]),cadangan[[#This Row],[Harga Normal A]])</f>
        <v>135000</v>
      </c>
      <c r="J676" s="73">
        <f>INDEX(Katalog!$F$3:$F$12,MATCH(cadangan[[#This Row],[ItemID A]],Katalog!$C$3:$C$12,0))*cadangan[[#This Row],[Qty A]]</f>
        <v>50000</v>
      </c>
      <c r="K676" s="73">
        <f>IFERROR(cadangan[[#This Row],[Harga Diskon A]]-INDEX(Katalog!$E$3:$E$12,MATCH(cadangan[[#This Row],[ItemID A]],Katalog!$C$3:$C$12,0))*cadangan[[#This Row],[Qty A]],0)</f>
        <v>35000</v>
      </c>
      <c r="L676" s="39" t="s">
        <v>67</v>
      </c>
      <c r="M676" s="39" t="str">
        <f>IFERROR(INDEX(Katalog!$A$3:$A$12,MATCH(cadangan[[#This Row],[ItemID B]],Katalog!$C$3:$C$12,0)),"-")</f>
        <v>Sepatu Wanita</v>
      </c>
      <c r="N676" s="39" t="str">
        <f>IFERROR(INDEX(Katalog!$B$3:$B$12,MATCH(cadangan[[#This Row],[ItemID B]],Katalog!$C$3:$C$12,0)),"-")</f>
        <v>Flat Shoes</v>
      </c>
      <c r="O676" s="50">
        <v>4</v>
      </c>
      <c r="P676" s="50">
        <v>5</v>
      </c>
      <c r="Q676" s="73">
        <f>IFERROR(INDEX(Katalog!$D$3:$D$12,MATCH(cadangan[[#This Row],[ItemID B]],Katalog!$C$3:$C$12,0))*cadangan[[#This Row],[Qty B]],0)</f>
        <v>1000000</v>
      </c>
      <c r="R676" s="73">
        <f>IFERROR(cadangan[[#This Row],[Harga Normal B]]-(cadangan[[#This Row],[Harga Normal B]]*cadangan[[#This Row],[Diskon]]),cadangan[[#This Row],[Harga Normal B]])</f>
        <v>900000</v>
      </c>
      <c r="S676" s="73">
        <f>IFERROR(INDEX(Katalog!$F$3:$F$12,MATCH(cadangan[[#This Row],[ItemID B]],Katalog!$C$3:$C$12,0))*cadangan[[#This Row],[Qty B]],0)</f>
        <v>400000</v>
      </c>
      <c r="T676" s="73">
        <f>IFERROR(cadangan[[#This Row],[Harga Diskon B]]-INDEX(Katalog!$E$3:$E$12,MATCH(cadangan[[#This Row],[ItemID B]],Katalog!$C$3:$C$12,0))*cadangan[[#This Row],[Qty B]],0)</f>
        <v>300000</v>
      </c>
      <c r="U676" s="39" t="s">
        <v>66</v>
      </c>
      <c r="V676" s="39" t="str">
        <f>IFERROR(INDEX(Katalog!$A$3:$A$12,MATCH(cadangan[[#This Row],[ItemID C]],Katalog!$C$3:$C$12,0)),"-")</f>
        <v>Sepatu Pria</v>
      </c>
      <c r="W676" s="39" t="str">
        <f>IFERROR(INDEX(Katalog!$B$3:$B$12,MATCH(cadangan[[#This Row],[ItemID C]],Katalog!$C$3:$C$12,0)),"-")</f>
        <v>Sandal Slip On</v>
      </c>
      <c r="X676" s="50">
        <v>1</v>
      </c>
      <c r="Y676" s="50">
        <v>4</v>
      </c>
      <c r="Z676" s="73">
        <f>IFERROR(INDEX(Katalog!$D$3:$D$12,MATCH(cadangan[[#This Row],[ItemID C]],Katalog!$C$3:$C$12,0))*cadangan[[#This Row],[Qty C]],0)</f>
        <v>150000</v>
      </c>
      <c r="AA676" s="73">
        <f>IFERROR(cadangan[[#This Row],[Harga Normal C]]-(cadangan[[#This Row],[Harga Normal C]]*cadangan[[#This Row],[Diskon]]),cadangan[[#This Row],[Harga Normal C]])</f>
        <v>135000</v>
      </c>
      <c r="AB676" s="73">
        <f>IFERROR(INDEX(Katalog!$F$3:$F$12,MATCH(cadangan[[#This Row],[ItemID C]],Katalog!$C$3:$C$12,0))*cadangan[[#This Row],[Qty C]],0)</f>
        <v>60000</v>
      </c>
      <c r="AC676" s="73">
        <f>IFERROR(cadangan[[#This Row],[Harga Diskon C]]-INDEX(Katalog!$E$3:$E$12,MATCH(cadangan[[#This Row],[ItemID C]],Katalog!$C$3:$C$12,0))*cadangan[[#This Row],[Qty C]],0)</f>
        <v>45000</v>
      </c>
      <c r="AD676" s="53">
        <f>cadangan[[#This Row],[Qty A]]+cadangan[[#This Row],[Qty B]]+cadangan[[#This Row],[Qty C]]</f>
        <v>6</v>
      </c>
      <c r="AE676" s="73">
        <f>cadangan[[#This Row],[Harga Normal A]]+cadangan[[#This Row],[Harga Normal B]]+cadangan[[#This Row],[Harga Normal C]]</f>
        <v>1300000</v>
      </c>
      <c r="AF676" s="73">
        <f>cadangan[[#This Row],[Harga Diskon A]]+cadangan[[#This Row],[Harga Diskon B]]+cadangan[[#This Row],[Harga Diskon C]]</f>
        <v>1170000</v>
      </c>
      <c r="AG676" s="73">
        <f>(cadangan[[#This Row],[Profit Normal A]]+cadangan[[#This Row],[Profit Normal B]]+cadangan[[#This Row],[Profit Normal C]])</f>
        <v>510000</v>
      </c>
      <c r="AH676" s="73">
        <f>cadangan[[#This Row],[Profit Diskon A]]+cadangan[[#This Row],[Profit Diskon B]]+cadangan[[#This Row],[Profit Diskon C]]</f>
        <v>380000</v>
      </c>
      <c r="AI676" s="23" t="s">
        <v>30</v>
      </c>
      <c r="AJ676" s="37">
        <f>IFERROR(INDEX('Kode Diskon'!$D$3:$D$9,MATCH(cadangan[[#This Row],[Kode diskon]],'Kode Diskon'!$C$3:$C$9,0)),"-")</f>
        <v>0.1</v>
      </c>
      <c r="AK676" s="23" t="s">
        <v>29</v>
      </c>
      <c r="AL676" s="23" t="s">
        <v>10</v>
      </c>
      <c r="AM676" s="23" t="s">
        <v>80</v>
      </c>
      <c r="AN676" s="55">
        <v>45017</v>
      </c>
      <c r="AO676" s="53">
        <f>DAY(cadangan[[#This Row],[Tanggal terjual]])</f>
        <v>1</v>
      </c>
      <c r="AP676" s="21" t="str">
        <f>TEXT(cadangan[[#This Row],[Tanggal terjual]],"dddd")</f>
        <v>Saturday</v>
      </c>
      <c r="AQ676" s="23" t="str" cm="1">
        <f t="array" ref="AQ6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6" s="61">
        <f>AVERAGE(cadangan[[#This Row],[Rating A]],cadangan[[#This Row],[Rating B]],cadangan[[#This Row],[Rating C]])</f>
        <v>3.6666666666666665</v>
      </c>
    </row>
    <row r="677" spans="1:44" x14ac:dyDescent="0.2">
      <c r="A677" s="20">
        <v>676</v>
      </c>
      <c r="B677" s="21" t="str">
        <f>_xlfn.CONCAT("ORD-",INDEX(Helper!$B$2:$B$5,MATCH(cadangan[[#This Row],[Marketplace]],Helper!$A$2:$A$5,0)),TEXT(cadangan[[#This Row],[No]],"0000"),"-",TEXT(cadangan[[#This Row],[Tanggal terjual]],"dd/mm/yy"))</f>
        <v>ORD-TK0676-30/04/23</v>
      </c>
      <c r="C677" s="39" t="s">
        <v>61</v>
      </c>
      <c r="D677" s="39" t="str">
        <f>IFERROR(INDEX(Katalog!$A$3:$A$12,MATCH(cadangan[[#This Row],[ItemID A]],Katalog!$C$3:$C$12,0)),"-")</f>
        <v>Pakaian Pria</v>
      </c>
      <c r="E677" s="39" t="str">
        <f>IFERROR(INDEX(Katalog!$B$3:$B$12,MATCH(cadangan[[#This Row],[ItemID A]],Katalog!$C$3:$C$12,0)),"-")</f>
        <v>Kaos Polo</v>
      </c>
      <c r="F677" s="50">
        <v>3</v>
      </c>
      <c r="G677" s="50">
        <v>4</v>
      </c>
      <c r="H677" s="73">
        <f>IFERROR(INDEX(Katalog!$D$3:$D$12,MATCH(cadangan[[#This Row],[ItemID A]],Katalog!$C$3:$C$12,0))*cadangan[[#This Row],[Qty A]],0)</f>
        <v>600000</v>
      </c>
      <c r="I677" s="73">
        <f>IFERROR(cadangan[[#This Row],[Harga Normal A]]-(cadangan[[#This Row],[Harga Normal A]]*cadangan[[#This Row],[Diskon]]),cadangan[[#This Row],[Harga Normal A]])</f>
        <v>540000</v>
      </c>
      <c r="J677" s="73">
        <f>INDEX(Katalog!$F$3:$F$12,MATCH(cadangan[[#This Row],[ItemID A]],Katalog!$C$3:$C$12,0))*cadangan[[#This Row],[Qty A]]</f>
        <v>240000</v>
      </c>
      <c r="K677" s="73">
        <f>IFERROR(cadangan[[#This Row],[Harga Diskon A]]-INDEX(Katalog!$E$3:$E$12,MATCH(cadangan[[#This Row],[ItemID A]],Katalog!$C$3:$C$12,0))*cadangan[[#This Row],[Qty A]],0)</f>
        <v>180000</v>
      </c>
      <c r="L677" s="39" t="s">
        <v>63</v>
      </c>
      <c r="M677" s="39" t="str">
        <f>IFERROR(INDEX(Katalog!$A$3:$A$12,MATCH(cadangan[[#This Row],[ItemID B]],Katalog!$C$3:$C$12,0)),"-")</f>
        <v>Pakaian Pria</v>
      </c>
      <c r="N677" s="39" t="str">
        <f>IFERROR(INDEX(Katalog!$B$3:$B$12,MATCH(cadangan[[#This Row],[ItemID B]],Katalog!$C$3:$C$12,0)),"-")</f>
        <v>Jaket Jeans</v>
      </c>
      <c r="O677" s="50">
        <v>2</v>
      </c>
      <c r="P677" s="50">
        <v>4</v>
      </c>
      <c r="Q677" s="73">
        <f>IFERROR(INDEX(Katalog!$D$3:$D$12,MATCH(cadangan[[#This Row],[ItemID B]],Katalog!$C$3:$C$12,0))*cadangan[[#This Row],[Qty B]],0)</f>
        <v>800000</v>
      </c>
      <c r="R677" s="73">
        <f>IFERROR(cadangan[[#This Row],[Harga Normal B]]-(cadangan[[#This Row],[Harga Normal B]]*cadangan[[#This Row],[Diskon]]),cadangan[[#This Row],[Harga Normal B]])</f>
        <v>720000</v>
      </c>
      <c r="S677" s="73">
        <f>IFERROR(INDEX(Katalog!$F$3:$F$12,MATCH(cadangan[[#This Row],[ItemID B]],Katalog!$C$3:$C$12,0))*cadangan[[#This Row],[Qty B]],0)</f>
        <v>300000</v>
      </c>
      <c r="T677" s="73">
        <f>IFERROR(cadangan[[#This Row],[Harga Diskon B]]-INDEX(Katalog!$E$3:$E$12,MATCH(cadangan[[#This Row],[ItemID B]],Katalog!$C$3:$C$12,0))*cadangan[[#This Row],[Qty B]],0)</f>
        <v>220000</v>
      </c>
      <c r="V677" s="39" t="str">
        <f>IFERROR(INDEX(Katalog!$A$3:$A$12,MATCH(cadangan[[#This Row],[ItemID C]],Katalog!$C$3:$C$12,0)),"-")</f>
        <v>-</v>
      </c>
      <c r="W677" s="39" t="str">
        <f>IFERROR(INDEX(Katalog!$B$3:$B$12,MATCH(cadangan[[#This Row],[ItemID C]],Katalog!$C$3:$C$12,0)),"-")</f>
        <v>-</v>
      </c>
      <c r="Z677" s="73">
        <f>IFERROR(INDEX(Katalog!$D$3:$D$12,MATCH(cadangan[[#This Row],[ItemID C]],Katalog!$C$3:$C$12,0))*cadangan[[#This Row],[Qty C]],0)</f>
        <v>0</v>
      </c>
      <c r="AA677" s="73">
        <f>IFERROR(cadangan[[#This Row],[Harga Normal C]]-(cadangan[[#This Row],[Harga Normal C]]*cadangan[[#This Row],[Diskon]]),cadangan[[#This Row],[Harga Normal C]])</f>
        <v>0</v>
      </c>
      <c r="AB677" s="73">
        <f>IFERROR(INDEX(Katalog!$F$3:$F$12,MATCH(cadangan[[#This Row],[ItemID C]],Katalog!$C$3:$C$12,0))*cadangan[[#This Row],[Qty C]],0)</f>
        <v>0</v>
      </c>
      <c r="AC677" s="73">
        <f>IFERROR(cadangan[[#This Row],[Harga Diskon C]]-INDEX(Katalog!$E$3:$E$12,MATCH(cadangan[[#This Row],[ItemID C]],Katalog!$C$3:$C$12,0))*cadangan[[#This Row],[Qty C]],0)</f>
        <v>0</v>
      </c>
      <c r="AD677" s="53">
        <f>cadangan[[#This Row],[Qty A]]+cadangan[[#This Row],[Qty B]]+cadangan[[#This Row],[Qty C]]</f>
        <v>5</v>
      </c>
      <c r="AE677" s="73">
        <f>cadangan[[#This Row],[Harga Normal A]]+cadangan[[#This Row],[Harga Normal B]]+cadangan[[#This Row],[Harga Normal C]]</f>
        <v>1400000</v>
      </c>
      <c r="AF677" s="73">
        <f>cadangan[[#This Row],[Harga Diskon A]]+cadangan[[#This Row],[Harga Diskon B]]+cadangan[[#This Row],[Harga Diskon C]]</f>
        <v>1260000</v>
      </c>
      <c r="AG677" s="73">
        <f>(cadangan[[#This Row],[Profit Normal A]]+cadangan[[#This Row],[Profit Normal B]]+cadangan[[#This Row],[Profit Normal C]])</f>
        <v>540000</v>
      </c>
      <c r="AH677" s="73">
        <f>cadangan[[#This Row],[Profit Diskon A]]+cadangan[[#This Row],[Profit Diskon B]]+cadangan[[#This Row],[Profit Diskon C]]</f>
        <v>400000</v>
      </c>
      <c r="AI677" s="23" t="s">
        <v>31</v>
      </c>
      <c r="AJ677" s="37">
        <f>IFERROR(INDEX('Kode Diskon'!$D$3:$D$9,MATCH(cadangan[[#This Row],[Kode diskon]],'Kode Diskon'!$C$3:$C$9,0)),"-")</f>
        <v>0.1</v>
      </c>
      <c r="AK677" s="23" t="s">
        <v>9</v>
      </c>
      <c r="AL677" s="23" t="s">
        <v>10</v>
      </c>
      <c r="AM677" s="23" t="s">
        <v>79</v>
      </c>
      <c r="AN677" s="55">
        <v>45046</v>
      </c>
      <c r="AO677" s="53">
        <f>DAY(cadangan[[#This Row],[Tanggal terjual]])</f>
        <v>30</v>
      </c>
      <c r="AP677" s="21" t="str">
        <f>TEXT(cadangan[[#This Row],[Tanggal terjual]],"dddd")</f>
        <v>Sunday</v>
      </c>
      <c r="AQ677" s="23" t="str" cm="1">
        <f t="array" ref="AQ6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77" s="61">
        <f>AVERAGE(cadangan[[#This Row],[Rating A]],cadangan[[#This Row],[Rating B]],cadangan[[#This Row],[Rating C]])</f>
        <v>4</v>
      </c>
    </row>
    <row r="678" spans="1:44" x14ac:dyDescent="0.2">
      <c r="A678" s="20">
        <v>677</v>
      </c>
      <c r="B678" s="21" t="str">
        <f>_xlfn.CONCAT("ORD-",INDEX(Helper!$B$2:$B$5,MATCH(cadangan[[#This Row],[Marketplace]],Helper!$A$2:$A$5,0)),TEXT(cadangan[[#This Row],[No]],"0000"),"-",TEXT(cadangan[[#This Row],[Tanggal terjual]],"dd/mm/yy"))</f>
        <v>ORD-TK0677-04/04/23</v>
      </c>
      <c r="C678" s="39" t="s">
        <v>62</v>
      </c>
      <c r="D678" s="39" t="str">
        <f>IFERROR(INDEX(Katalog!$A$3:$A$12,MATCH(cadangan[[#This Row],[ItemID A]],Katalog!$C$3:$C$12,0)),"-")</f>
        <v>Pakaian Pria</v>
      </c>
      <c r="E678" s="39" t="str">
        <f>IFERROR(INDEX(Katalog!$B$3:$B$12,MATCH(cadangan[[#This Row],[ItemID A]],Katalog!$C$3:$C$12,0)),"-")</f>
        <v>Celana Pendek</v>
      </c>
      <c r="F678" s="50">
        <v>1</v>
      </c>
      <c r="G678" s="50">
        <v>4</v>
      </c>
      <c r="H678" s="73">
        <f>IFERROR(INDEX(Katalog!$D$3:$D$12,MATCH(cadangan[[#This Row],[ItemID A]],Katalog!$C$3:$C$12,0))*cadangan[[#This Row],[Qty A]],0)</f>
        <v>180000</v>
      </c>
      <c r="I678" s="73">
        <f>IFERROR(cadangan[[#This Row],[Harga Normal A]]-(cadangan[[#This Row],[Harga Normal A]]*cadangan[[#This Row],[Diskon]]),cadangan[[#This Row],[Harga Normal A]])</f>
        <v>162000</v>
      </c>
      <c r="J678" s="73">
        <f>INDEX(Katalog!$F$3:$F$12,MATCH(cadangan[[#This Row],[ItemID A]],Katalog!$C$3:$C$12,0))*cadangan[[#This Row],[Qty A]]</f>
        <v>70000</v>
      </c>
      <c r="K678" s="73">
        <f>IFERROR(cadangan[[#This Row],[Harga Diskon A]]-INDEX(Katalog!$E$3:$E$12,MATCH(cadangan[[#This Row],[ItemID A]],Katalog!$C$3:$C$12,0))*cadangan[[#This Row],[Qty A]],0)</f>
        <v>52000</v>
      </c>
      <c r="M678" s="39" t="str">
        <f>IFERROR(INDEX(Katalog!$A$3:$A$12,MATCH(cadangan[[#This Row],[ItemID B]],Katalog!$C$3:$C$12,0)),"-")</f>
        <v>-</v>
      </c>
      <c r="N678" s="39" t="str">
        <f>IFERROR(INDEX(Katalog!$B$3:$B$12,MATCH(cadangan[[#This Row],[ItemID B]],Katalog!$C$3:$C$12,0)),"-")</f>
        <v>-</v>
      </c>
      <c r="Q678" s="73">
        <f>IFERROR(INDEX(Katalog!$D$3:$D$12,MATCH(cadangan[[#This Row],[ItemID B]],Katalog!$C$3:$C$12,0))*cadangan[[#This Row],[Qty B]],0)</f>
        <v>0</v>
      </c>
      <c r="R678" s="73">
        <f>IFERROR(cadangan[[#This Row],[Harga Normal B]]-(cadangan[[#This Row],[Harga Normal B]]*cadangan[[#This Row],[Diskon]]),cadangan[[#This Row],[Harga Normal B]])</f>
        <v>0</v>
      </c>
      <c r="S678" s="73">
        <f>IFERROR(INDEX(Katalog!$F$3:$F$12,MATCH(cadangan[[#This Row],[ItemID B]],Katalog!$C$3:$C$12,0))*cadangan[[#This Row],[Qty B]],0)</f>
        <v>0</v>
      </c>
      <c r="T678" s="73">
        <f>IFERROR(cadangan[[#This Row],[Harga Diskon B]]-INDEX(Katalog!$E$3:$E$12,MATCH(cadangan[[#This Row],[ItemID B]],Katalog!$C$3:$C$12,0))*cadangan[[#This Row],[Qty B]],0)</f>
        <v>0</v>
      </c>
      <c r="V678" s="39" t="str">
        <f>IFERROR(INDEX(Katalog!$A$3:$A$12,MATCH(cadangan[[#This Row],[ItemID C]],Katalog!$C$3:$C$12,0)),"-")</f>
        <v>-</v>
      </c>
      <c r="W678" s="39" t="str">
        <f>IFERROR(INDEX(Katalog!$B$3:$B$12,MATCH(cadangan[[#This Row],[ItemID C]],Katalog!$C$3:$C$12,0)),"-")</f>
        <v>-</v>
      </c>
      <c r="Z678" s="73">
        <f>IFERROR(INDEX(Katalog!$D$3:$D$12,MATCH(cadangan[[#This Row],[ItemID C]],Katalog!$C$3:$C$12,0))*cadangan[[#This Row],[Qty C]],0)</f>
        <v>0</v>
      </c>
      <c r="AA678" s="73">
        <f>IFERROR(cadangan[[#This Row],[Harga Normal C]]-(cadangan[[#This Row],[Harga Normal C]]*cadangan[[#This Row],[Diskon]]),cadangan[[#This Row],[Harga Normal C]])</f>
        <v>0</v>
      </c>
      <c r="AB678" s="73">
        <f>IFERROR(INDEX(Katalog!$F$3:$F$12,MATCH(cadangan[[#This Row],[ItemID C]],Katalog!$C$3:$C$12,0))*cadangan[[#This Row],[Qty C]],0)</f>
        <v>0</v>
      </c>
      <c r="AC678" s="73">
        <f>IFERROR(cadangan[[#This Row],[Harga Diskon C]]-INDEX(Katalog!$E$3:$E$12,MATCH(cadangan[[#This Row],[ItemID C]],Katalog!$C$3:$C$12,0))*cadangan[[#This Row],[Qty C]],0)</f>
        <v>0</v>
      </c>
      <c r="AD678" s="53">
        <f>cadangan[[#This Row],[Qty A]]+cadangan[[#This Row],[Qty B]]+cadangan[[#This Row],[Qty C]]</f>
        <v>1</v>
      </c>
      <c r="AE678" s="73">
        <f>cadangan[[#This Row],[Harga Normal A]]+cadangan[[#This Row],[Harga Normal B]]+cadangan[[#This Row],[Harga Normal C]]</f>
        <v>180000</v>
      </c>
      <c r="AF678" s="73">
        <f>cadangan[[#This Row],[Harga Diskon A]]+cadangan[[#This Row],[Harga Diskon B]]+cadangan[[#This Row],[Harga Diskon C]]</f>
        <v>162000</v>
      </c>
      <c r="AG678" s="73">
        <f>(cadangan[[#This Row],[Profit Normal A]]+cadangan[[#This Row],[Profit Normal B]]+cadangan[[#This Row],[Profit Normal C]])</f>
        <v>70000</v>
      </c>
      <c r="AH678" s="73">
        <f>cadangan[[#This Row],[Profit Diskon A]]+cadangan[[#This Row],[Profit Diskon B]]+cadangan[[#This Row],[Profit Diskon C]]</f>
        <v>52000</v>
      </c>
      <c r="AI678" s="23" t="s">
        <v>30</v>
      </c>
      <c r="AJ678" s="37">
        <f>IFERROR(INDEX('Kode Diskon'!$D$3:$D$9,MATCH(cadangan[[#This Row],[Kode diskon]],'Kode Diskon'!$C$3:$C$9,0)),"-")</f>
        <v>0.1</v>
      </c>
      <c r="AK678" s="23" t="s">
        <v>29</v>
      </c>
      <c r="AL678" s="23" t="s">
        <v>10</v>
      </c>
      <c r="AM678" s="23" t="s">
        <v>79</v>
      </c>
      <c r="AN678" s="55">
        <v>45020</v>
      </c>
      <c r="AO678" s="53">
        <f>DAY(cadangan[[#This Row],[Tanggal terjual]])</f>
        <v>4</v>
      </c>
      <c r="AP678" s="21" t="str">
        <f>TEXT(cadangan[[#This Row],[Tanggal terjual]],"dddd")</f>
        <v>Tuesday</v>
      </c>
      <c r="AQ678" s="23" t="str" cm="1">
        <f t="array" ref="AQ6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8" s="61">
        <f>AVERAGE(cadangan[[#This Row],[Rating A]],cadangan[[#This Row],[Rating B]],cadangan[[#This Row],[Rating C]])</f>
        <v>4</v>
      </c>
    </row>
    <row r="679" spans="1:44" x14ac:dyDescent="0.2">
      <c r="A679" s="20">
        <v>678</v>
      </c>
      <c r="B679" s="21" t="str">
        <f>_xlfn.CONCAT("ORD-",INDEX(Helper!$B$2:$B$5,MATCH(cadangan[[#This Row],[Marketplace]],Helper!$A$2:$A$5,0)),TEXT(cadangan[[#This Row],[No]],"0000"),"-",TEXT(cadangan[[#This Row],[Tanggal terjual]],"dd/mm/yy"))</f>
        <v>ORD-BB0678-04/04/23</v>
      </c>
      <c r="C679" s="39" t="s">
        <v>66</v>
      </c>
      <c r="D679" s="39" t="str">
        <f>IFERROR(INDEX(Katalog!$A$3:$A$12,MATCH(cadangan[[#This Row],[ItemID A]],Katalog!$C$3:$C$12,0)),"-")</f>
        <v>Sepatu Pria</v>
      </c>
      <c r="E679" s="39" t="str">
        <f>IFERROR(INDEX(Katalog!$B$3:$B$12,MATCH(cadangan[[#This Row],[ItemID A]],Katalog!$C$3:$C$12,0)),"-")</f>
        <v>Sandal Slip On</v>
      </c>
      <c r="F679" s="50">
        <v>3</v>
      </c>
      <c r="G679" s="50">
        <v>5</v>
      </c>
      <c r="H679" s="73">
        <f>IFERROR(INDEX(Katalog!$D$3:$D$12,MATCH(cadangan[[#This Row],[ItemID A]],Katalog!$C$3:$C$12,0))*cadangan[[#This Row],[Qty A]],0)</f>
        <v>450000</v>
      </c>
      <c r="I679" s="73">
        <f>IFERROR(cadangan[[#This Row],[Harga Normal A]]-(cadangan[[#This Row],[Harga Normal A]]*cadangan[[#This Row],[Diskon]]),cadangan[[#This Row],[Harga Normal A]])</f>
        <v>382500</v>
      </c>
      <c r="J679" s="73">
        <f>INDEX(Katalog!$F$3:$F$12,MATCH(cadangan[[#This Row],[ItemID A]],Katalog!$C$3:$C$12,0))*cadangan[[#This Row],[Qty A]]</f>
        <v>180000</v>
      </c>
      <c r="K679" s="73">
        <f>IFERROR(cadangan[[#This Row],[Harga Diskon A]]-INDEX(Katalog!$E$3:$E$12,MATCH(cadangan[[#This Row],[ItemID A]],Katalog!$C$3:$C$12,0))*cadangan[[#This Row],[Qty A]],0)</f>
        <v>112500</v>
      </c>
      <c r="L679" s="39" t="s">
        <v>63</v>
      </c>
      <c r="M679" s="39" t="str">
        <f>IFERROR(INDEX(Katalog!$A$3:$A$12,MATCH(cadangan[[#This Row],[ItemID B]],Katalog!$C$3:$C$12,0)),"-")</f>
        <v>Pakaian Pria</v>
      </c>
      <c r="N679" s="39" t="str">
        <f>IFERROR(INDEX(Katalog!$B$3:$B$12,MATCH(cadangan[[#This Row],[ItemID B]],Katalog!$C$3:$C$12,0)),"-")</f>
        <v>Jaket Jeans</v>
      </c>
      <c r="O679" s="50">
        <v>2</v>
      </c>
      <c r="P679" s="50">
        <v>2</v>
      </c>
      <c r="Q679" s="73">
        <f>IFERROR(INDEX(Katalog!$D$3:$D$12,MATCH(cadangan[[#This Row],[ItemID B]],Katalog!$C$3:$C$12,0))*cadangan[[#This Row],[Qty B]],0)</f>
        <v>800000</v>
      </c>
      <c r="R679" s="73">
        <f>IFERROR(cadangan[[#This Row],[Harga Normal B]]-(cadangan[[#This Row],[Harga Normal B]]*cadangan[[#This Row],[Diskon]]),cadangan[[#This Row],[Harga Normal B]])</f>
        <v>680000</v>
      </c>
      <c r="S679" s="73">
        <f>IFERROR(INDEX(Katalog!$F$3:$F$12,MATCH(cadangan[[#This Row],[ItemID B]],Katalog!$C$3:$C$12,0))*cadangan[[#This Row],[Qty B]],0)</f>
        <v>300000</v>
      </c>
      <c r="T679" s="73">
        <f>IFERROR(cadangan[[#This Row],[Harga Diskon B]]-INDEX(Katalog!$E$3:$E$12,MATCH(cadangan[[#This Row],[ItemID B]],Katalog!$C$3:$C$12,0))*cadangan[[#This Row],[Qty B]],0)</f>
        <v>180000</v>
      </c>
      <c r="U679" s="39" t="s">
        <v>65</v>
      </c>
      <c r="V679" s="39" t="str">
        <f>IFERROR(INDEX(Katalog!$A$3:$A$12,MATCH(cadangan[[#This Row],[ItemID C]],Katalog!$C$3:$C$12,0)),"-")</f>
        <v>Sepatu Pria</v>
      </c>
      <c r="W679" s="39" t="str">
        <f>IFERROR(INDEX(Katalog!$B$3:$B$12,MATCH(cadangan[[#This Row],[ItemID C]],Katalog!$C$3:$C$12,0)),"-")</f>
        <v>Sneakers</v>
      </c>
      <c r="X679" s="50">
        <v>1</v>
      </c>
      <c r="Y679" s="50">
        <v>1</v>
      </c>
      <c r="Z679" s="73">
        <f>IFERROR(INDEX(Katalog!$D$3:$D$12,MATCH(cadangan[[#This Row],[ItemID C]],Katalog!$C$3:$C$12,0))*cadangan[[#This Row],[Qty C]],0)</f>
        <v>500000</v>
      </c>
      <c r="AA679" s="73">
        <f>IFERROR(cadangan[[#This Row],[Harga Normal C]]-(cadangan[[#This Row],[Harga Normal C]]*cadangan[[#This Row],[Diskon]]),cadangan[[#This Row],[Harga Normal C]])</f>
        <v>425000</v>
      </c>
      <c r="AB679" s="73">
        <f>IFERROR(INDEX(Katalog!$F$3:$F$12,MATCH(cadangan[[#This Row],[ItemID C]],Katalog!$C$3:$C$12,0))*cadangan[[#This Row],[Qty C]],0)</f>
        <v>200000</v>
      </c>
      <c r="AC679" s="73">
        <f>IFERROR(cadangan[[#This Row],[Harga Diskon C]]-INDEX(Katalog!$E$3:$E$12,MATCH(cadangan[[#This Row],[ItemID C]],Katalog!$C$3:$C$12,0))*cadangan[[#This Row],[Qty C]],0)</f>
        <v>125000</v>
      </c>
      <c r="AD679" s="53">
        <f>cadangan[[#This Row],[Qty A]]+cadangan[[#This Row],[Qty B]]+cadangan[[#This Row],[Qty C]]</f>
        <v>6</v>
      </c>
      <c r="AE679" s="73">
        <f>cadangan[[#This Row],[Harga Normal A]]+cadangan[[#This Row],[Harga Normal B]]+cadangan[[#This Row],[Harga Normal C]]</f>
        <v>1750000</v>
      </c>
      <c r="AF679" s="73">
        <f>cadangan[[#This Row],[Harga Diskon A]]+cadangan[[#This Row],[Harga Diskon B]]+cadangan[[#This Row],[Harga Diskon C]]</f>
        <v>1487500</v>
      </c>
      <c r="AG679" s="73">
        <f>(cadangan[[#This Row],[Profit Normal A]]+cadangan[[#This Row],[Profit Normal B]]+cadangan[[#This Row],[Profit Normal C]])</f>
        <v>680000</v>
      </c>
      <c r="AH679" s="73">
        <f>cadangan[[#This Row],[Profit Diskon A]]+cadangan[[#This Row],[Profit Diskon B]]+cadangan[[#This Row],[Profit Diskon C]]</f>
        <v>417500</v>
      </c>
      <c r="AI679" s="23" t="s">
        <v>28</v>
      </c>
      <c r="AJ679" s="37">
        <f>IFERROR(INDEX('Kode Diskon'!$D$3:$D$9,MATCH(cadangan[[#This Row],[Kode diskon]],'Kode Diskon'!$C$3:$C$9,0)),"-")</f>
        <v>0.15</v>
      </c>
      <c r="AK679" s="23" t="s">
        <v>29</v>
      </c>
      <c r="AL679" s="23" t="s">
        <v>14</v>
      </c>
      <c r="AM679" s="23" t="s">
        <v>78</v>
      </c>
      <c r="AN679" s="55">
        <v>45020</v>
      </c>
      <c r="AO679" s="53">
        <f>DAY(cadangan[[#This Row],[Tanggal terjual]])</f>
        <v>4</v>
      </c>
      <c r="AP679" s="21" t="str">
        <f>TEXT(cadangan[[#This Row],[Tanggal terjual]],"dddd")</f>
        <v>Tuesday</v>
      </c>
      <c r="AQ679" s="23" t="str" cm="1">
        <f t="array" ref="AQ6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79" s="61">
        <f>AVERAGE(cadangan[[#This Row],[Rating A]],cadangan[[#This Row],[Rating B]],cadangan[[#This Row],[Rating C]])</f>
        <v>2.6666666666666665</v>
      </c>
    </row>
    <row r="680" spans="1:44" x14ac:dyDescent="0.2">
      <c r="A680" s="20">
        <v>679</v>
      </c>
      <c r="B680" s="21" t="str">
        <f>_xlfn.CONCAT("ORD-",INDEX(Helper!$B$2:$B$5,MATCH(cadangan[[#This Row],[Marketplace]],Helper!$A$2:$A$5,0)),TEXT(cadangan[[#This Row],[No]],"0000"),"-",TEXT(cadangan[[#This Row],[Tanggal terjual]],"dd/mm/yy"))</f>
        <v>ORD-BL0679-13/04/23</v>
      </c>
      <c r="C680" s="39" t="s">
        <v>66</v>
      </c>
      <c r="D680" s="39" t="str">
        <f>IFERROR(INDEX(Katalog!$A$3:$A$12,MATCH(cadangan[[#This Row],[ItemID A]],Katalog!$C$3:$C$12,0)),"-")</f>
        <v>Sepatu Pria</v>
      </c>
      <c r="E680" s="39" t="str">
        <f>IFERROR(INDEX(Katalog!$B$3:$B$12,MATCH(cadangan[[#This Row],[ItemID A]],Katalog!$C$3:$C$12,0)),"-")</f>
        <v>Sandal Slip On</v>
      </c>
      <c r="F680" s="50">
        <v>1</v>
      </c>
      <c r="G680" s="50">
        <v>3</v>
      </c>
      <c r="H680" s="73">
        <f>IFERROR(INDEX(Katalog!$D$3:$D$12,MATCH(cadangan[[#This Row],[ItemID A]],Katalog!$C$3:$C$12,0))*cadangan[[#This Row],[Qty A]],0)</f>
        <v>150000</v>
      </c>
      <c r="I680" s="73">
        <f>IFERROR(cadangan[[#This Row],[Harga Normal A]]-(cadangan[[#This Row],[Harga Normal A]]*cadangan[[#This Row],[Diskon]]),cadangan[[#This Row],[Harga Normal A]])</f>
        <v>150000</v>
      </c>
      <c r="J680" s="73">
        <f>INDEX(Katalog!$F$3:$F$12,MATCH(cadangan[[#This Row],[ItemID A]],Katalog!$C$3:$C$12,0))*cadangan[[#This Row],[Qty A]]</f>
        <v>60000</v>
      </c>
      <c r="K680" s="73">
        <f>IFERROR(cadangan[[#This Row],[Harga Diskon A]]-INDEX(Katalog!$E$3:$E$12,MATCH(cadangan[[#This Row],[ItemID A]],Katalog!$C$3:$C$12,0))*cadangan[[#This Row],[Qty A]],0)</f>
        <v>60000</v>
      </c>
      <c r="L680" s="39" t="s">
        <v>62</v>
      </c>
      <c r="M680" s="39" t="str">
        <f>IFERROR(INDEX(Katalog!$A$3:$A$12,MATCH(cadangan[[#This Row],[ItemID B]],Katalog!$C$3:$C$12,0)),"-")</f>
        <v>Pakaian Pria</v>
      </c>
      <c r="N680" s="39" t="str">
        <f>IFERROR(INDEX(Katalog!$B$3:$B$12,MATCH(cadangan[[#This Row],[ItemID B]],Katalog!$C$3:$C$12,0)),"-")</f>
        <v>Celana Pendek</v>
      </c>
      <c r="O680" s="50">
        <v>1</v>
      </c>
      <c r="P680" s="50">
        <v>3</v>
      </c>
      <c r="Q680" s="73">
        <f>IFERROR(INDEX(Katalog!$D$3:$D$12,MATCH(cadangan[[#This Row],[ItemID B]],Katalog!$C$3:$C$12,0))*cadangan[[#This Row],[Qty B]],0)</f>
        <v>180000</v>
      </c>
      <c r="R680" s="73">
        <f>IFERROR(cadangan[[#This Row],[Harga Normal B]]-(cadangan[[#This Row],[Harga Normal B]]*cadangan[[#This Row],[Diskon]]),cadangan[[#This Row],[Harga Normal B]])</f>
        <v>180000</v>
      </c>
      <c r="S680" s="73">
        <f>IFERROR(INDEX(Katalog!$F$3:$F$12,MATCH(cadangan[[#This Row],[ItemID B]],Katalog!$C$3:$C$12,0))*cadangan[[#This Row],[Qty B]],0)</f>
        <v>70000</v>
      </c>
      <c r="T680" s="73">
        <f>IFERROR(cadangan[[#This Row],[Harga Diskon B]]-INDEX(Katalog!$E$3:$E$12,MATCH(cadangan[[#This Row],[ItemID B]],Katalog!$C$3:$C$12,0))*cadangan[[#This Row],[Qty B]],0)</f>
        <v>70000</v>
      </c>
      <c r="U680" s="39" t="s">
        <v>66</v>
      </c>
      <c r="V680" s="39" t="str">
        <f>IFERROR(INDEX(Katalog!$A$3:$A$12,MATCH(cadangan[[#This Row],[ItemID C]],Katalog!$C$3:$C$12,0)),"-")</f>
        <v>Sepatu Pria</v>
      </c>
      <c r="W680" s="39" t="str">
        <f>IFERROR(INDEX(Katalog!$B$3:$B$12,MATCH(cadangan[[#This Row],[ItemID C]],Katalog!$C$3:$C$12,0)),"-")</f>
        <v>Sandal Slip On</v>
      </c>
      <c r="X680" s="50">
        <v>2</v>
      </c>
      <c r="Y680" s="50">
        <v>2</v>
      </c>
      <c r="Z680" s="73">
        <f>IFERROR(INDEX(Katalog!$D$3:$D$12,MATCH(cadangan[[#This Row],[ItemID C]],Katalog!$C$3:$C$12,0))*cadangan[[#This Row],[Qty C]],0)</f>
        <v>300000</v>
      </c>
      <c r="AA680" s="73">
        <f>IFERROR(cadangan[[#This Row],[Harga Normal C]]-(cadangan[[#This Row],[Harga Normal C]]*cadangan[[#This Row],[Diskon]]),cadangan[[#This Row],[Harga Normal C]])</f>
        <v>300000</v>
      </c>
      <c r="AB680" s="73">
        <f>IFERROR(INDEX(Katalog!$F$3:$F$12,MATCH(cadangan[[#This Row],[ItemID C]],Katalog!$C$3:$C$12,0))*cadangan[[#This Row],[Qty C]],0)</f>
        <v>120000</v>
      </c>
      <c r="AC680" s="73">
        <f>IFERROR(cadangan[[#This Row],[Harga Diskon C]]-INDEX(Katalog!$E$3:$E$12,MATCH(cadangan[[#This Row],[ItemID C]],Katalog!$C$3:$C$12,0))*cadangan[[#This Row],[Qty C]],0)</f>
        <v>120000</v>
      </c>
      <c r="AD680" s="53">
        <f>cadangan[[#This Row],[Qty A]]+cadangan[[#This Row],[Qty B]]+cadangan[[#This Row],[Qty C]]</f>
        <v>4</v>
      </c>
      <c r="AE680" s="73">
        <f>cadangan[[#This Row],[Harga Normal A]]+cadangan[[#This Row],[Harga Normal B]]+cadangan[[#This Row],[Harga Normal C]]</f>
        <v>630000</v>
      </c>
      <c r="AF680" s="73">
        <f>cadangan[[#This Row],[Harga Diskon A]]+cadangan[[#This Row],[Harga Diskon B]]+cadangan[[#This Row],[Harga Diskon C]]</f>
        <v>630000</v>
      </c>
      <c r="AG680" s="73">
        <f>(cadangan[[#This Row],[Profit Normal A]]+cadangan[[#This Row],[Profit Normal B]]+cadangan[[#This Row],[Profit Normal C]])</f>
        <v>250000</v>
      </c>
      <c r="AH680" s="73">
        <f>cadangan[[#This Row],[Profit Diskon A]]+cadangan[[#This Row],[Profit Diskon B]]+cadangan[[#This Row],[Profit Diskon C]]</f>
        <v>250000</v>
      </c>
      <c r="AI680" s="23" t="s">
        <v>290</v>
      </c>
      <c r="AJ680" s="37" t="str">
        <f>IFERROR(INDEX('Kode Diskon'!$D$3:$D$9,MATCH(cadangan[[#This Row],[Kode diskon]],'Kode Diskon'!$C$3:$C$9,0)),"-")</f>
        <v>-</v>
      </c>
      <c r="AK680" s="23" t="s">
        <v>290</v>
      </c>
      <c r="AL680" s="23" t="s">
        <v>12</v>
      </c>
      <c r="AM680" s="23" t="s">
        <v>80</v>
      </c>
      <c r="AN680" s="55">
        <v>45029</v>
      </c>
      <c r="AO680" s="53">
        <f>DAY(cadangan[[#This Row],[Tanggal terjual]])</f>
        <v>13</v>
      </c>
      <c r="AP680" s="21" t="str">
        <f>TEXT(cadangan[[#This Row],[Tanggal terjual]],"dddd")</f>
        <v>Thursday</v>
      </c>
      <c r="AQ680" s="23" t="str" cm="1">
        <f t="array" ref="AQ6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80" s="61">
        <f>AVERAGE(cadangan[[#This Row],[Rating A]],cadangan[[#This Row],[Rating B]],cadangan[[#This Row],[Rating C]])</f>
        <v>2.6666666666666665</v>
      </c>
    </row>
    <row r="681" spans="1:44" x14ac:dyDescent="0.2">
      <c r="A681" s="20">
        <v>680</v>
      </c>
      <c r="B681" s="21" t="str">
        <f>_xlfn.CONCAT("ORD-",INDEX(Helper!$B$2:$B$5,MATCH(cadangan[[#This Row],[Marketplace]],Helper!$A$2:$A$5,0)),TEXT(cadangan[[#This Row],[No]],"0000"),"-",TEXT(cadangan[[#This Row],[Tanggal terjual]],"dd/mm/yy"))</f>
        <v>ORD-TK0680-03/04/23</v>
      </c>
      <c r="C681" s="39" t="s">
        <v>59</v>
      </c>
      <c r="D681" s="39" t="str">
        <f>IFERROR(INDEX(Katalog!$A$3:$A$12,MATCH(cadangan[[#This Row],[ItemID A]],Katalog!$C$3:$C$12,0)),"-")</f>
        <v>Pakaian Wanita</v>
      </c>
      <c r="E681" s="39" t="str">
        <f>IFERROR(INDEX(Katalog!$B$3:$B$12,MATCH(cadangan[[#This Row],[ItemID A]],Katalog!$C$3:$C$12,0)),"-")</f>
        <v>Blouse</v>
      </c>
      <c r="F681" s="50">
        <v>2</v>
      </c>
      <c r="G681" s="50">
        <v>1</v>
      </c>
      <c r="H681" s="73">
        <f>IFERROR(INDEX(Katalog!$D$3:$D$12,MATCH(cadangan[[#This Row],[ItemID A]],Katalog!$C$3:$C$12,0))*cadangan[[#This Row],[Qty A]],0)</f>
        <v>300000</v>
      </c>
      <c r="I681" s="73">
        <f>IFERROR(cadangan[[#This Row],[Harga Normal A]]-(cadangan[[#This Row],[Harga Normal A]]*cadangan[[#This Row],[Diskon]]),cadangan[[#This Row],[Harga Normal A]])</f>
        <v>270000</v>
      </c>
      <c r="J681" s="73">
        <f>INDEX(Katalog!$F$3:$F$12,MATCH(cadangan[[#This Row],[ItemID A]],Katalog!$C$3:$C$12,0))*cadangan[[#This Row],[Qty A]]</f>
        <v>100000</v>
      </c>
      <c r="K681" s="73">
        <f>IFERROR(cadangan[[#This Row],[Harga Diskon A]]-INDEX(Katalog!$E$3:$E$12,MATCH(cadangan[[#This Row],[ItemID A]],Katalog!$C$3:$C$12,0))*cadangan[[#This Row],[Qty A]],0)</f>
        <v>70000</v>
      </c>
      <c r="L681" s="39" t="s">
        <v>63</v>
      </c>
      <c r="M681" s="39" t="str">
        <f>IFERROR(INDEX(Katalog!$A$3:$A$12,MATCH(cadangan[[#This Row],[ItemID B]],Katalog!$C$3:$C$12,0)),"-")</f>
        <v>Pakaian Pria</v>
      </c>
      <c r="N681" s="39" t="str">
        <f>IFERROR(INDEX(Katalog!$B$3:$B$12,MATCH(cadangan[[#This Row],[ItemID B]],Katalog!$C$3:$C$12,0)),"-")</f>
        <v>Jaket Jeans</v>
      </c>
      <c r="O681" s="50">
        <v>1</v>
      </c>
      <c r="P681" s="50">
        <v>1</v>
      </c>
      <c r="Q681" s="73">
        <f>IFERROR(INDEX(Katalog!$D$3:$D$12,MATCH(cadangan[[#This Row],[ItemID B]],Katalog!$C$3:$C$12,0))*cadangan[[#This Row],[Qty B]],0)</f>
        <v>400000</v>
      </c>
      <c r="R681" s="73">
        <f>IFERROR(cadangan[[#This Row],[Harga Normal B]]-(cadangan[[#This Row],[Harga Normal B]]*cadangan[[#This Row],[Diskon]]),cadangan[[#This Row],[Harga Normal B]])</f>
        <v>360000</v>
      </c>
      <c r="S681" s="73">
        <f>IFERROR(INDEX(Katalog!$F$3:$F$12,MATCH(cadangan[[#This Row],[ItemID B]],Katalog!$C$3:$C$12,0))*cadangan[[#This Row],[Qty B]],0)</f>
        <v>150000</v>
      </c>
      <c r="T681" s="73">
        <f>IFERROR(cadangan[[#This Row],[Harga Diskon B]]-INDEX(Katalog!$E$3:$E$12,MATCH(cadangan[[#This Row],[ItemID B]],Katalog!$C$3:$C$12,0))*cadangan[[#This Row],[Qty B]],0)</f>
        <v>110000</v>
      </c>
      <c r="V681" s="39" t="str">
        <f>IFERROR(INDEX(Katalog!$A$3:$A$12,MATCH(cadangan[[#This Row],[ItemID C]],Katalog!$C$3:$C$12,0)),"-")</f>
        <v>-</v>
      </c>
      <c r="W681" s="39" t="str">
        <f>IFERROR(INDEX(Katalog!$B$3:$B$12,MATCH(cadangan[[#This Row],[ItemID C]],Katalog!$C$3:$C$12,0)),"-")</f>
        <v>-</v>
      </c>
      <c r="Z681" s="73">
        <f>IFERROR(INDEX(Katalog!$D$3:$D$12,MATCH(cadangan[[#This Row],[ItemID C]],Katalog!$C$3:$C$12,0))*cadangan[[#This Row],[Qty C]],0)</f>
        <v>0</v>
      </c>
      <c r="AA681" s="73">
        <f>IFERROR(cadangan[[#This Row],[Harga Normal C]]-(cadangan[[#This Row],[Harga Normal C]]*cadangan[[#This Row],[Diskon]]),cadangan[[#This Row],[Harga Normal C]])</f>
        <v>0</v>
      </c>
      <c r="AB681" s="73">
        <f>IFERROR(INDEX(Katalog!$F$3:$F$12,MATCH(cadangan[[#This Row],[ItemID C]],Katalog!$C$3:$C$12,0))*cadangan[[#This Row],[Qty C]],0)</f>
        <v>0</v>
      </c>
      <c r="AC681" s="73">
        <f>IFERROR(cadangan[[#This Row],[Harga Diskon C]]-INDEX(Katalog!$E$3:$E$12,MATCH(cadangan[[#This Row],[ItemID C]],Katalog!$C$3:$C$12,0))*cadangan[[#This Row],[Qty C]],0)</f>
        <v>0</v>
      </c>
      <c r="AD681" s="53">
        <f>cadangan[[#This Row],[Qty A]]+cadangan[[#This Row],[Qty B]]+cadangan[[#This Row],[Qty C]]</f>
        <v>3</v>
      </c>
      <c r="AE681" s="73">
        <f>cadangan[[#This Row],[Harga Normal A]]+cadangan[[#This Row],[Harga Normal B]]+cadangan[[#This Row],[Harga Normal C]]</f>
        <v>700000</v>
      </c>
      <c r="AF681" s="73">
        <f>cadangan[[#This Row],[Harga Diskon A]]+cadangan[[#This Row],[Harga Diskon B]]+cadangan[[#This Row],[Harga Diskon C]]</f>
        <v>630000</v>
      </c>
      <c r="AG681" s="73">
        <f>(cadangan[[#This Row],[Profit Normal A]]+cadangan[[#This Row],[Profit Normal B]]+cadangan[[#This Row],[Profit Normal C]])</f>
        <v>250000</v>
      </c>
      <c r="AH681" s="73">
        <f>cadangan[[#This Row],[Profit Diskon A]]+cadangan[[#This Row],[Profit Diskon B]]+cadangan[[#This Row],[Profit Diskon C]]</f>
        <v>180000</v>
      </c>
      <c r="AI681" s="23" t="s">
        <v>30</v>
      </c>
      <c r="AJ681" s="37">
        <f>IFERROR(INDEX('Kode Diskon'!$D$3:$D$9,MATCH(cadangan[[#This Row],[Kode diskon]],'Kode Diskon'!$C$3:$C$9,0)),"-")</f>
        <v>0.1</v>
      </c>
      <c r="AK681" s="23" t="s">
        <v>29</v>
      </c>
      <c r="AL681" s="23" t="s">
        <v>10</v>
      </c>
      <c r="AM681" s="23" t="s">
        <v>77</v>
      </c>
      <c r="AN681" s="55">
        <v>45019</v>
      </c>
      <c r="AO681" s="53">
        <f>DAY(cadangan[[#This Row],[Tanggal terjual]])</f>
        <v>3</v>
      </c>
      <c r="AP681" s="21" t="str">
        <f>TEXT(cadangan[[#This Row],[Tanggal terjual]],"dddd")</f>
        <v>Monday</v>
      </c>
      <c r="AQ681" s="23" t="str" cm="1">
        <f t="array" ref="AQ6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81" s="61">
        <f>AVERAGE(cadangan[[#This Row],[Rating A]],cadangan[[#This Row],[Rating B]],cadangan[[#This Row],[Rating C]])</f>
        <v>1</v>
      </c>
    </row>
    <row r="682" spans="1:44" x14ac:dyDescent="0.2">
      <c r="A682" s="20">
        <v>681</v>
      </c>
      <c r="B682" s="21" t="str">
        <f>_xlfn.CONCAT("ORD-",INDEX(Helper!$B$2:$B$5,MATCH(cadangan[[#This Row],[Marketplace]],Helper!$A$2:$A$5,0)),TEXT(cadangan[[#This Row],[No]],"0000"),"-",TEXT(cadangan[[#This Row],[Tanggal terjual]],"dd/mm/yy"))</f>
        <v>ORD-BL0681-21/04/23</v>
      </c>
      <c r="C682" s="39" t="s">
        <v>58</v>
      </c>
      <c r="D682" s="39" t="str">
        <f>IFERROR(INDEX(Katalog!$A$3:$A$12,MATCH(cadangan[[#This Row],[ItemID A]],Katalog!$C$3:$C$12,0)),"-")</f>
        <v>Pakaian Wanita</v>
      </c>
      <c r="E682" s="39" t="str">
        <f>IFERROR(INDEX(Katalog!$B$3:$B$12,MATCH(cadangan[[#This Row],[ItemID A]],Katalog!$C$3:$C$12,0)),"-")</f>
        <v>Dress</v>
      </c>
      <c r="F682" s="50">
        <v>1</v>
      </c>
      <c r="G682" s="50">
        <v>4</v>
      </c>
      <c r="H682" s="73">
        <f>IFERROR(INDEX(Katalog!$D$3:$D$12,MATCH(cadangan[[#This Row],[ItemID A]],Katalog!$C$3:$C$12,0))*cadangan[[#This Row],[Qty A]],0)</f>
        <v>300000</v>
      </c>
      <c r="I682" s="73">
        <f>IFERROR(cadangan[[#This Row],[Harga Normal A]]-(cadangan[[#This Row],[Harga Normal A]]*cadangan[[#This Row],[Diskon]]),cadangan[[#This Row],[Harga Normal A]])</f>
        <v>255000</v>
      </c>
      <c r="J682" s="73">
        <f>INDEX(Katalog!$F$3:$F$12,MATCH(cadangan[[#This Row],[ItemID A]],Katalog!$C$3:$C$12,0))*cadangan[[#This Row],[Qty A]]</f>
        <v>100000</v>
      </c>
      <c r="K682" s="73">
        <f>IFERROR(cadangan[[#This Row],[Harga Diskon A]]-INDEX(Katalog!$E$3:$E$12,MATCH(cadangan[[#This Row],[ItemID A]],Katalog!$C$3:$C$12,0))*cadangan[[#This Row],[Qty A]],0)</f>
        <v>55000</v>
      </c>
      <c r="L682" s="39" t="s">
        <v>63</v>
      </c>
      <c r="M682" s="39" t="str">
        <f>IFERROR(INDEX(Katalog!$A$3:$A$12,MATCH(cadangan[[#This Row],[ItemID B]],Katalog!$C$3:$C$12,0)),"-")</f>
        <v>Pakaian Pria</v>
      </c>
      <c r="N682" s="39" t="str">
        <f>IFERROR(INDEX(Katalog!$B$3:$B$12,MATCH(cadangan[[#This Row],[ItemID B]],Katalog!$C$3:$C$12,0)),"-")</f>
        <v>Jaket Jeans</v>
      </c>
      <c r="O682" s="50">
        <v>3</v>
      </c>
      <c r="P682" s="50">
        <v>4</v>
      </c>
      <c r="Q682" s="73">
        <f>IFERROR(INDEX(Katalog!$D$3:$D$12,MATCH(cadangan[[#This Row],[ItemID B]],Katalog!$C$3:$C$12,0))*cadangan[[#This Row],[Qty B]],0)</f>
        <v>1200000</v>
      </c>
      <c r="R682" s="73">
        <f>IFERROR(cadangan[[#This Row],[Harga Normal B]]-(cadangan[[#This Row],[Harga Normal B]]*cadangan[[#This Row],[Diskon]]),cadangan[[#This Row],[Harga Normal B]])</f>
        <v>1020000</v>
      </c>
      <c r="S682" s="73">
        <f>IFERROR(INDEX(Katalog!$F$3:$F$12,MATCH(cadangan[[#This Row],[ItemID B]],Katalog!$C$3:$C$12,0))*cadangan[[#This Row],[Qty B]],0)</f>
        <v>450000</v>
      </c>
      <c r="T682" s="73">
        <f>IFERROR(cadangan[[#This Row],[Harga Diskon B]]-INDEX(Katalog!$E$3:$E$12,MATCH(cadangan[[#This Row],[ItemID B]],Katalog!$C$3:$C$12,0))*cadangan[[#This Row],[Qty B]],0)</f>
        <v>270000</v>
      </c>
      <c r="V682" s="39" t="str">
        <f>IFERROR(INDEX(Katalog!$A$3:$A$12,MATCH(cadangan[[#This Row],[ItemID C]],Katalog!$C$3:$C$12,0)),"-")</f>
        <v>-</v>
      </c>
      <c r="W682" s="39" t="str">
        <f>IFERROR(INDEX(Katalog!$B$3:$B$12,MATCH(cadangan[[#This Row],[ItemID C]],Katalog!$C$3:$C$12,0)),"-")</f>
        <v>-</v>
      </c>
      <c r="Z682" s="73">
        <f>IFERROR(INDEX(Katalog!$D$3:$D$12,MATCH(cadangan[[#This Row],[ItemID C]],Katalog!$C$3:$C$12,0))*cadangan[[#This Row],[Qty C]],0)</f>
        <v>0</v>
      </c>
      <c r="AA682" s="73">
        <f>IFERROR(cadangan[[#This Row],[Harga Normal C]]-(cadangan[[#This Row],[Harga Normal C]]*cadangan[[#This Row],[Diskon]]),cadangan[[#This Row],[Harga Normal C]])</f>
        <v>0</v>
      </c>
      <c r="AB682" s="73">
        <f>IFERROR(INDEX(Katalog!$F$3:$F$12,MATCH(cadangan[[#This Row],[ItemID C]],Katalog!$C$3:$C$12,0))*cadangan[[#This Row],[Qty C]],0)</f>
        <v>0</v>
      </c>
      <c r="AC682" s="73">
        <f>IFERROR(cadangan[[#This Row],[Harga Diskon C]]-INDEX(Katalog!$E$3:$E$12,MATCH(cadangan[[#This Row],[ItemID C]],Katalog!$C$3:$C$12,0))*cadangan[[#This Row],[Qty C]],0)</f>
        <v>0</v>
      </c>
      <c r="AD682" s="53">
        <f>cadangan[[#This Row],[Qty A]]+cadangan[[#This Row],[Qty B]]+cadangan[[#This Row],[Qty C]]</f>
        <v>4</v>
      </c>
      <c r="AE682" s="73">
        <f>cadangan[[#This Row],[Harga Normal A]]+cadangan[[#This Row],[Harga Normal B]]+cadangan[[#This Row],[Harga Normal C]]</f>
        <v>1500000</v>
      </c>
      <c r="AF682" s="73">
        <f>cadangan[[#This Row],[Harga Diskon A]]+cadangan[[#This Row],[Harga Diskon B]]+cadangan[[#This Row],[Harga Diskon C]]</f>
        <v>1275000</v>
      </c>
      <c r="AG682" s="73">
        <f>(cadangan[[#This Row],[Profit Normal A]]+cadangan[[#This Row],[Profit Normal B]]+cadangan[[#This Row],[Profit Normal C]])</f>
        <v>550000</v>
      </c>
      <c r="AH682" s="73">
        <f>cadangan[[#This Row],[Profit Diskon A]]+cadangan[[#This Row],[Profit Diskon B]]+cadangan[[#This Row],[Profit Diskon C]]</f>
        <v>325000</v>
      </c>
      <c r="AI682" s="23" t="s">
        <v>32</v>
      </c>
      <c r="AJ682" s="37">
        <f>IFERROR(INDEX('Kode Diskon'!$D$3:$D$9,MATCH(cadangan[[#This Row],[Kode diskon]],'Kode Diskon'!$C$3:$C$9,0)),"-")</f>
        <v>0.15</v>
      </c>
      <c r="AK682" s="23" t="s">
        <v>9</v>
      </c>
      <c r="AL682" s="23" t="s">
        <v>12</v>
      </c>
      <c r="AM682" s="23" t="s">
        <v>80</v>
      </c>
      <c r="AN682" s="55">
        <v>45037</v>
      </c>
      <c r="AO682" s="53">
        <f>DAY(cadangan[[#This Row],[Tanggal terjual]])</f>
        <v>21</v>
      </c>
      <c r="AP682" s="21" t="str">
        <f>TEXT(cadangan[[#This Row],[Tanggal terjual]],"dddd")</f>
        <v>Friday</v>
      </c>
      <c r="AQ682" s="23" t="str" cm="1">
        <f t="array" ref="AQ6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82" s="61">
        <f>AVERAGE(cadangan[[#This Row],[Rating A]],cadangan[[#This Row],[Rating B]],cadangan[[#This Row],[Rating C]])</f>
        <v>4</v>
      </c>
    </row>
    <row r="683" spans="1:44" x14ac:dyDescent="0.2">
      <c r="A683" s="20">
        <v>682</v>
      </c>
      <c r="B683" s="21" t="str">
        <f>_xlfn.CONCAT("ORD-",INDEX(Helper!$B$2:$B$5,MATCH(cadangan[[#This Row],[Marketplace]],Helper!$A$2:$A$5,0)),TEXT(cadangan[[#This Row],[No]],"0000"),"-",TEXT(cadangan[[#This Row],[Tanggal terjual]],"dd/mm/yy"))</f>
        <v>ORD-SP0682-01/04/23</v>
      </c>
      <c r="C683" s="39" t="s">
        <v>63</v>
      </c>
      <c r="D683" s="39" t="str">
        <f>IFERROR(INDEX(Katalog!$A$3:$A$12,MATCH(cadangan[[#This Row],[ItemID A]],Katalog!$C$3:$C$12,0)),"-")</f>
        <v>Pakaian Pria</v>
      </c>
      <c r="E683" s="39" t="str">
        <f>IFERROR(INDEX(Katalog!$B$3:$B$12,MATCH(cadangan[[#This Row],[ItemID A]],Katalog!$C$3:$C$12,0)),"-")</f>
        <v>Jaket Jeans</v>
      </c>
      <c r="F683" s="50">
        <v>4</v>
      </c>
      <c r="G683" s="50">
        <v>4</v>
      </c>
      <c r="H683" s="73">
        <f>IFERROR(INDEX(Katalog!$D$3:$D$12,MATCH(cadangan[[#This Row],[ItemID A]],Katalog!$C$3:$C$12,0))*cadangan[[#This Row],[Qty A]],0)</f>
        <v>1600000</v>
      </c>
      <c r="I683" s="73">
        <f>IFERROR(cadangan[[#This Row],[Harga Normal A]]-(cadangan[[#This Row],[Harga Normal A]]*cadangan[[#This Row],[Diskon]]),cadangan[[#This Row],[Harga Normal A]])</f>
        <v>1440000</v>
      </c>
      <c r="J683" s="73">
        <f>INDEX(Katalog!$F$3:$F$12,MATCH(cadangan[[#This Row],[ItemID A]],Katalog!$C$3:$C$12,0))*cadangan[[#This Row],[Qty A]]</f>
        <v>600000</v>
      </c>
      <c r="K683" s="73">
        <f>IFERROR(cadangan[[#This Row],[Harga Diskon A]]-INDEX(Katalog!$E$3:$E$12,MATCH(cadangan[[#This Row],[ItemID A]],Katalog!$C$3:$C$12,0))*cadangan[[#This Row],[Qty A]],0)</f>
        <v>440000</v>
      </c>
      <c r="L683" s="39" t="s">
        <v>67</v>
      </c>
      <c r="M683" s="39" t="str">
        <f>IFERROR(INDEX(Katalog!$A$3:$A$12,MATCH(cadangan[[#This Row],[ItemID B]],Katalog!$C$3:$C$12,0)),"-")</f>
        <v>Sepatu Wanita</v>
      </c>
      <c r="N683" s="39" t="str">
        <f>IFERROR(INDEX(Katalog!$B$3:$B$12,MATCH(cadangan[[#This Row],[ItemID B]],Katalog!$C$3:$C$12,0)),"-")</f>
        <v>Flat Shoes</v>
      </c>
      <c r="O683" s="50">
        <v>2</v>
      </c>
      <c r="P683" s="50">
        <v>3</v>
      </c>
      <c r="Q683" s="73">
        <f>IFERROR(INDEX(Katalog!$D$3:$D$12,MATCH(cadangan[[#This Row],[ItemID B]],Katalog!$C$3:$C$12,0))*cadangan[[#This Row],[Qty B]],0)</f>
        <v>500000</v>
      </c>
      <c r="R683" s="73">
        <f>IFERROR(cadangan[[#This Row],[Harga Normal B]]-(cadangan[[#This Row],[Harga Normal B]]*cadangan[[#This Row],[Diskon]]),cadangan[[#This Row],[Harga Normal B]])</f>
        <v>450000</v>
      </c>
      <c r="S683" s="73">
        <f>IFERROR(INDEX(Katalog!$F$3:$F$12,MATCH(cadangan[[#This Row],[ItemID B]],Katalog!$C$3:$C$12,0))*cadangan[[#This Row],[Qty B]],0)</f>
        <v>200000</v>
      </c>
      <c r="T683" s="73">
        <f>IFERROR(cadangan[[#This Row],[Harga Diskon B]]-INDEX(Katalog!$E$3:$E$12,MATCH(cadangan[[#This Row],[ItemID B]],Katalog!$C$3:$C$12,0))*cadangan[[#This Row],[Qty B]],0)</f>
        <v>150000</v>
      </c>
      <c r="V683" s="39" t="str">
        <f>IFERROR(INDEX(Katalog!$A$3:$A$12,MATCH(cadangan[[#This Row],[ItemID C]],Katalog!$C$3:$C$12,0)),"-")</f>
        <v>-</v>
      </c>
      <c r="W683" s="39" t="str">
        <f>IFERROR(INDEX(Katalog!$B$3:$B$12,MATCH(cadangan[[#This Row],[ItemID C]],Katalog!$C$3:$C$12,0)),"-")</f>
        <v>-</v>
      </c>
      <c r="Z683" s="73">
        <f>IFERROR(INDEX(Katalog!$D$3:$D$12,MATCH(cadangan[[#This Row],[ItemID C]],Katalog!$C$3:$C$12,0))*cadangan[[#This Row],[Qty C]],0)</f>
        <v>0</v>
      </c>
      <c r="AA683" s="73">
        <f>IFERROR(cadangan[[#This Row],[Harga Normal C]]-(cadangan[[#This Row],[Harga Normal C]]*cadangan[[#This Row],[Diskon]]),cadangan[[#This Row],[Harga Normal C]])</f>
        <v>0</v>
      </c>
      <c r="AB683" s="73">
        <f>IFERROR(INDEX(Katalog!$F$3:$F$12,MATCH(cadangan[[#This Row],[ItemID C]],Katalog!$C$3:$C$12,0))*cadangan[[#This Row],[Qty C]],0)</f>
        <v>0</v>
      </c>
      <c r="AC683" s="73">
        <f>IFERROR(cadangan[[#This Row],[Harga Diskon C]]-INDEX(Katalog!$E$3:$E$12,MATCH(cadangan[[#This Row],[ItemID C]],Katalog!$C$3:$C$12,0))*cadangan[[#This Row],[Qty C]],0)</f>
        <v>0</v>
      </c>
      <c r="AD683" s="53">
        <f>cadangan[[#This Row],[Qty A]]+cadangan[[#This Row],[Qty B]]+cadangan[[#This Row],[Qty C]]</f>
        <v>6</v>
      </c>
      <c r="AE683" s="73">
        <f>cadangan[[#This Row],[Harga Normal A]]+cadangan[[#This Row],[Harga Normal B]]+cadangan[[#This Row],[Harga Normal C]]</f>
        <v>2100000</v>
      </c>
      <c r="AF683" s="73">
        <f>cadangan[[#This Row],[Harga Diskon A]]+cadangan[[#This Row],[Harga Diskon B]]+cadangan[[#This Row],[Harga Diskon C]]</f>
        <v>1890000</v>
      </c>
      <c r="AG683" s="73">
        <f>(cadangan[[#This Row],[Profit Normal A]]+cadangan[[#This Row],[Profit Normal B]]+cadangan[[#This Row],[Profit Normal C]])</f>
        <v>800000</v>
      </c>
      <c r="AH683" s="73">
        <f>cadangan[[#This Row],[Profit Diskon A]]+cadangan[[#This Row],[Profit Diskon B]]+cadangan[[#This Row],[Profit Diskon C]]</f>
        <v>590000</v>
      </c>
      <c r="AI683" s="23" t="s">
        <v>6</v>
      </c>
      <c r="AJ683" s="37">
        <f>IFERROR(INDEX('Kode Diskon'!$D$3:$D$9,MATCH(cadangan[[#This Row],[Kode diskon]],'Kode Diskon'!$C$3:$C$9,0)),"-")</f>
        <v>0.1</v>
      </c>
      <c r="AK683" s="23" t="s">
        <v>29</v>
      </c>
      <c r="AL683" s="23" t="s">
        <v>7</v>
      </c>
      <c r="AM683" s="23" t="s">
        <v>77</v>
      </c>
      <c r="AN683" s="55">
        <v>45017</v>
      </c>
      <c r="AO683" s="53">
        <f>DAY(cadangan[[#This Row],[Tanggal terjual]])</f>
        <v>1</v>
      </c>
      <c r="AP683" s="21" t="str">
        <f>TEXT(cadangan[[#This Row],[Tanggal terjual]],"dddd")</f>
        <v>Saturday</v>
      </c>
      <c r="AQ683" s="23" t="str" cm="1">
        <f t="array" ref="AQ6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83" s="61">
        <f>AVERAGE(cadangan[[#This Row],[Rating A]],cadangan[[#This Row],[Rating B]],cadangan[[#This Row],[Rating C]])</f>
        <v>3.5</v>
      </c>
    </row>
    <row r="684" spans="1:44" x14ac:dyDescent="0.2">
      <c r="A684" s="20">
        <v>683</v>
      </c>
      <c r="B684" s="21" t="str">
        <f>_xlfn.CONCAT("ORD-",INDEX(Helper!$B$2:$B$5,MATCH(cadangan[[#This Row],[Marketplace]],Helper!$A$2:$A$5,0)),TEXT(cadangan[[#This Row],[No]],"0000"),"-",TEXT(cadangan[[#This Row],[Tanggal terjual]],"dd/mm/yy"))</f>
        <v>ORD-SP0683-16/04/23</v>
      </c>
      <c r="C684" s="39" t="s">
        <v>61</v>
      </c>
      <c r="D684" s="39" t="str">
        <f>IFERROR(INDEX(Katalog!$A$3:$A$12,MATCH(cadangan[[#This Row],[ItemID A]],Katalog!$C$3:$C$12,0)),"-")</f>
        <v>Pakaian Pria</v>
      </c>
      <c r="E684" s="39" t="str">
        <f>IFERROR(INDEX(Katalog!$B$3:$B$12,MATCH(cadangan[[#This Row],[ItemID A]],Katalog!$C$3:$C$12,0)),"-")</f>
        <v>Kaos Polo</v>
      </c>
      <c r="F684" s="50">
        <v>5</v>
      </c>
      <c r="G684" s="50">
        <v>4</v>
      </c>
      <c r="H684" s="73">
        <f>IFERROR(INDEX(Katalog!$D$3:$D$12,MATCH(cadangan[[#This Row],[ItemID A]],Katalog!$C$3:$C$12,0))*cadangan[[#This Row],[Qty A]],0)</f>
        <v>1000000</v>
      </c>
      <c r="I684" s="73">
        <f>IFERROR(cadangan[[#This Row],[Harga Normal A]]-(cadangan[[#This Row],[Harga Normal A]]*cadangan[[#This Row],[Diskon]]),cadangan[[#This Row],[Harga Normal A]])</f>
        <v>800000</v>
      </c>
      <c r="J684" s="73">
        <f>INDEX(Katalog!$F$3:$F$12,MATCH(cadangan[[#This Row],[ItemID A]],Katalog!$C$3:$C$12,0))*cadangan[[#This Row],[Qty A]]</f>
        <v>400000</v>
      </c>
      <c r="K684" s="73">
        <f>IFERROR(cadangan[[#This Row],[Harga Diskon A]]-INDEX(Katalog!$E$3:$E$12,MATCH(cadangan[[#This Row],[ItemID A]],Katalog!$C$3:$C$12,0))*cadangan[[#This Row],[Qty A]],0)</f>
        <v>200000</v>
      </c>
      <c r="L684" s="39" t="s">
        <v>66</v>
      </c>
      <c r="M684" s="39" t="str">
        <f>IFERROR(INDEX(Katalog!$A$3:$A$12,MATCH(cadangan[[#This Row],[ItemID B]],Katalog!$C$3:$C$12,0)),"-")</f>
        <v>Sepatu Pria</v>
      </c>
      <c r="N684" s="39" t="str">
        <f>IFERROR(INDEX(Katalog!$B$3:$B$12,MATCH(cadangan[[#This Row],[ItemID B]],Katalog!$C$3:$C$12,0)),"-")</f>
        <v>Sandal Slip On</v>
      </c>
      <c r="O684" s="50">
        <v>1</v>
      </c>
      <c r="P684" s="50">
        <v>4</v>
      </c>
      <c r="Q684" s="73">
        <f>IFERROR(INDEX(Katalog!$D$3:$D$12,MATCH(cadangan[[#This Row],[ItemID B]],Katalog!$C$3:$C$12,0))*cadangan[[#This Row],[Qty B]],0)</f>
        <v>150000</v>
      </c>
      <c r="R684" s="73">
        <f>IFERROR(cadangan[[#This Row],[Harga Normal B]]-(cadangan[[#This Row],[Harga Normal B]]*cadangan[[#This Row],[Diskon]]),cadangan[[#This Row],[Harga Normal B]])</f>
        <v>120000</v>
      </c>
      <c r="S684" s="73">
        <f>IFERROR(INDEX(Katalog!$F$3:$F$12,MATCH(cadangan[[#This Row],[ItemID B]],Katalog!$C$3:$C$12,0))*cadangan[[#This Row],[Qty B]],0)</f>
        <v>60000</v>
      </c>
      <c r="T684" s="73">
        <f>IFERROR(cadangan[[#This Row],[Harga Diskon B]]-INDEX(Katalog!$E$3:$E$12,MATCH(cadangan[[#This Row],[ItemID B]],Katalog!$C$3:$C$12,0))*cadangan[[#This Row],[Qty B]],0)</f>
        <v>30000</v>
      </c>
      <c r="V684" s="39" t="str">
        <f>IFERROR(INDEX(Katalog!$A$3:$A$12,MATCH(cadangan[[#This Row],[ItemID C]],Katalog!$C$3:$C$12,0)),"-")</f>
        <v>-</v>
      </c>
      <c r="W684" s="39" t="str">
        <f>IFERROR(INDEX(Katalog!$B$3:$B$12,MATCH(cadangan[[#This Row],[ItemID C]],Katalog!$C$3:$C$12,0)),"-")</f>
        <v>-</v>
      </c>
      <c r="Z684" s="73">
        <f>IFERROR(INDEX(Katalog!$D$3:$D$12,MATCH(cadangan[[#This Row],[ItemID C]],Katalog!$C$3:$C$12,0))*cadangan[[#This Row],[Qty C]],0)</f>
        <v>0</v>
      </c>
      <c r="AA684" s="73">
        <f>IFERROR(cadangan[[#This Row],[Harga Normal C]]-(cadangan[[#This Row],[Harga Normal C]]*cadangan[[#This Row],[Diskon]]),cadangan[[#This Row],[Harga Normal C]])</f>
        <v>0</v>
      </c>
      <c r="AB684" s="73">
        <f>IFERROR(INDEX(Katalog!$F$3:$F$12,MATCH(cadangan[[#This Row],[ItemID C]],Katalog!$C$3:$C$12,0))*cadangan[[#This Row],[Qty C]],0)</f>
        <v>0</v>
      </c>
      <c r="AC684" s="73">
        <f>IFERROR(cadangan[[#This Row],[Harga Diskon C]]-INDEX(Katalog!$E$3:$E$12,MATCH(cadangan[[#This Row],[ItemID C]],Katalog!$C$3:$C$12,0))*cadangan[[#This Row],[Qty C]],0)</f>
        <v>0</v>
      </c>
      <c r="AD684" s="53">
        <f>cadangan[[#This Row],[Qty A]]+cadangan[[#This Row],[Qty B]]+cadangan[[#This Row],[Qty C]]</f>
        <v>6</v>
      </c>
      <c r="AE684" s="73">
        <f>cadangan[[#This Row],[Harga Normal A]]+cadangan[[#This Row],[Harga Normal B]]+cadangan[[#This Row],[Harga Normal C]]</f>
        <v>1150000</v>
      </c>
      <c r="AF684" s="73">
        <f>cadangan[[#This Row],[Harga Diskon A]]+cadangan[[#This Row],[Harga Diskon B]]+cadangan[[#This Row],[Harga Diskon C]]</f>
        <v>920000</v>
      </c>
      <c r="AG684" s="73">
        <f>(cadangan[[#This Row],[Profit Normal A]]+cadangan[[#This Row],[Profit Normal B]]+cadangan[[#This Row],[Profit Normal C]])</f>
        <v>460000</v>
      </c>
      <c r="AH684" s="73">
        <f>cadangan[[#This Row],[Profit Diskon A]]+cadangan[[#This Row],[Profit Diskon B]]+cadangan[[#This Row],[Profit Diskon C]]</f>
        <v>230000</v>
      </c>
      <c r="AI684" s="23" t="s">
        <v>8</v>
      </c>
      <c r="AJ684" s="37">
        <f>IFERROR(INDEX('Kode Diskon'!$D$3:$D$9,MATCH(cadangan[[#This Row],[Kode diskon]],'Kode Diskon'!$C$3:$C$9,0)),"-")</f>
        <v>0.2</v>
      </c>
      <c r="AK684" s="23" t="s">
        <v>9</v>
      </c>
      <c r="AL684" s="23" t="s">
        <v>7</v>
      </c>
      <c r="AM684" s="23" t="s">
        <v>78</v>
      </c>
      <c r="AN684" s="55">
        <v>45032</v>
      </c>
      <c r="AO684" s="53">
        <f>DAY(cadangan[[#This Row],[Tanggal terjual]])</f>
        <v>16</v>
      </c>
      <c r="AP684" s="21" t="str">
        <f>TEXT(cadangan[[#This Row],[Tanggal terjual]],"dddd")</f>
        <v>Sunday</v>
      </c>
      <c r="AQ684" s="23" t="str" cm="1">
        <f t="array" ref="AQ6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84" s="61">
        <f>AVERAGE(cadangan[[#This Row],[Rating A]],cadangan[[#This Row],[Rating B]],cadangan[[#This Row],[Rating C]])</f>
        <v>4</v>
      </c>
    </row>
    <row r="685" spans="1:44" x14ac:dyDescent="0.2">
      <c r="A685" s="20">
        <v>684</v>
      </c>
      <c r="B685" s="21" t="str">
        <f>_xlfn.CONCAT("ORD-",INDEX(Helper!$B$2:$B$5,MATCH(cadangan[[#This Row],[Marketplace]],Helper!$A$2:$A$5,0)),TEXT(cadangan[[#This Row],[No]],"0000"),"-",TEXT(cadangan[[#This Row],[Tanggal terjual]],"dd/mm/yy"))</f>
        <v>ORD-SP0684-29/04/23</v>
      </c>
      <c r="C685" s="39" t="s">
        <v>64</v>
      </c>
      <c r="D685" s="39" t="str">
        <f>IFERROR(INDEX(Katalog!$A$3:$A$12,MATCH(cadangan[[#This Row],[ItemID A]],Katalog!$C$3:$C$12,0)),"-")</f>
        <v>Pakaian Unisex</v>
      </c>
      <c r="E685" s="39" t="str">
        <f>IFERROR(INDEX(Katalog!$B$3:$B$12,MATCH(cadangan[[#This Row],[ItemID A]],Katalog!$C$3:$C$12,0)),"-")</f>
        <v>Jaket Hoodie</v>
      </c>
      <c r="F685" s="50">
        <v>2</v>
      </c>
      <c r="G685" s="50">
        <v>4</v>
      </c>
      <c r="H685" s="73">
        <f>IFERROR(INDEX(Katalog!$D$3:$D$12,MATCH(cadangan[[#This Row],[ItemID A]],Katalog!$C$3:$C$12,0))*cadangan[[#This Row],[Qty A]],0)</f>
        <v>700000</v>
      </c>
      <c r="I685" s="73">
        <f>IFERROR(cadangan[[#This Row],[Harga Normal A]]-(cadangan[[#This Row],[Harga Normal A]]*cadangan[[#This Row],[Diskon]]),cadangan[[#This Row],[Harga Normal A]])</f>
        <v>560000</v>
      </c>
      <c r="J685" s="73">
        <f>INDEX(Katalog!$F$3:$F$12,MATCH(cadangan[[#This Row],[ItemID A]],Katalog!$C$3:$C$12,0))*cadangan[[#This Row],[Qty A]]</f>
        <v>260000</v>
      </c>
      <c r="K685" s="73">
        <f>IFERROR(cadangan[[#This Row],[Harga Diskon A]]-INDEX(Katalog!$E$3:$E$12,MATCH(cadangan[[#This Row],[ItemID A]],Katalog!$C$3:$C$12,0))*cadangan[[#This Row],[Qty A]],0)</f>
        <v>120000</v>
      </c>
      <c r="L685" s="39" t="s">
        <v>65</v>
      </c>
      <c r="M685" s="39" t="str">
        <f>IFERROR(INDEX(Katalog!$A$3:$A$12,MATCH(cadangan[[#This Row],[ItemID B]],Katalog!$C$3:$C$12,0)),"-")</f>
        <v>Sepatu Pria</v>
      </c>
      <c r="N685" s="39" t="str">
        <f>IFERROR(INDEX(Katalog!$B$3:$B$12,MATCH(cadangan[[#This Row],[ItemID B]],Katalog!$C$3:$C$12,0)),"-")</f>
        <v>Sneakers</v>
      </c>
      <c r="O685" s="50">
        <v>1</v>
      </c>
      <c r="P685" s="50">
        <v>2</v>
      </c>
      <c r="Q685" s="73">
        <f>IFERROR(INDEX(Katalog!$D$3:$D$12,MATCH(cadangan[[#This Row],[ItemID B]],Katalog!$C$3:$C$12,0))*cadangan[[#This Row],[Qty B]],0)</f>
        <v>500000</v>
      </c>
      <c r="R685" s="73">
        <f>IFERROR(cadangan[[#This Row],[Harga Normal B]]-(cadangan[[#This Row],[Harga Normal B]]*cadangan[[#This Row],[Diskon]]),cadangan[[#This Row],[Harga Normal B]])</f>
        <v>400000</v>
      </c>
      <c r="S685" s="73">
        <f>IFERROR(INDEX(Katalog!$F$3:$F$12,MATCH(cadangan[[#This Row],[ItemID B]],Katalog!$C$3:$C$12,0))*cadangan[[#This Row],[Qty B]],0)</f>
        <v>200000</v>
      </c>
      <c r="T685" s="73">
        <f>IFERROR(cadangan[[#This Row],[Harga Diskon B]]-INDEX(Katalog!$E$3:$E$12,MATCH(cadangan[[#This Row],[ItemID B]],Katalog!$C$3:$C$12,0))*cadangan[[#This Row],[Qty B]],0)</f>
        <v>100000</v>
      </c>
      <c r="V685" s="39" t="str">
        <f>IFERROR(INDEX(Katalog!$A$3:$A$12,MATCH(cadangan[[#This Row],[ItemID C]],Katalog!$C$3:$C$12,0)),"-")</f>
        <v>-</v>
      </c>
      <c r="W685" s="39" t="str">
        <f>IFERROR(INDEX(Katalog!$B$3:$B$12,MATCH(cadangan[[#This Row],[ItemID C]],Katalog!$C$3:$C$12,0)),"-")</f>
        <v>-</v>
      </c>
      <c r="Z685" s="73">
        <f>IFERROR(INDEX(Katalog!$D$3:$D$12,MATCH(cadangan[[#This Row],[ItemID C]],Katalog!$C$3:$C$12,0))*cadangan[[#This Row],[Qty C]],0)</f>
        <v>0</v>
      </c>
      <c r="AA685" s="73">
        <f>IFERROR(cadangan[[#This Row],[Harga Normal C]]-(cadangan[[#This Row],[Harga Normal C]]*cadangan[[#This Row],[Diskon]]),cadangan[[#This Row],[Harga Normal C]])</f>
        <v>0</v>
      </c>
      <c r="AB685" s="73">
        <f>IFERROR(INDEX(Katalog!$F$3:$F$12,MATCH(cadangan[[#This Row],[ItemID C]],Katalog!$C$3:$C$12,0))*cadangan[[#This Row],[Qty C]],0)</f>
        <v>0</v>
      </c>
      <c r="AC685" s="73">
        <f>IFERROR(cadangan[[#This Row],[Harga Diskon C]]-INDEX(Katalog!$E$3:$E$12,MATCH(cadangan[[#This Row],[ItemID C]],Katalog!$C$3:$C$12,0))*cadangan[[#This Row],[Qty C]],0)</f>
        <v>0</v>
      </c>
      <c r="AD685" s="53">
        <f>cadangan[[#This Row],[Qty A]]+cadangan[[#This Row],[Qty B]]+cadangan[[#This Row],[Qty C]]</f>
        <v>3</v>
      </c>
      <c r="AE685" s="73">
        <f>cadangan[[#This Row],[Harga Normal A]]+cadangan[[#This Row],[Harga Normal B]]+cadangan[[#This Row],[Harga Normal C]]</f>
        <v>1200000</v>
      </c>
      <c r="AF685" s="73">
        <f>cadangan[[#This Row],[Harga Diskon A]]+cadangan[[#This Row],[Harga Diskon B]]+cadangan[[#This Row],[Harga Diskon C]]</f>
        <v>960000</v>
      </c>
      <c r="AG685" s="73">
        <f>(cadangan[[#This Row],[Profit Normal A]]+cadangan[[#This Row],[Profit Normal B]]+cadangan[[#This Row],[Profit Normal C]])</f>
        <v>460000</v>
      </c>
      <c r="AH685" s="73">
        <f>cadangan[[#This Row],[Profit Diskon A]]+cadangan[[#This Row],[Profit Diskon B]]+cadangan[[#This Row],[Profit Diskon C]]</f>
        <v>220000</v>
      </c>
      <c r="AI685" s="23" t="s">
        <v>8</v>
      </c>
      <c r="AJ685" s="37">
        <f>IFERROR(INDEX('Kode Diskon'!$D$3:$D$9,MATCH(cadangan[[#This Row],[Kode diskon]],'Kode Diskon'!$C$3:$C$9,0)),"-")</f>
        <v>0.2</v>
      </c>
      <c r="AK685" s="23" t="s">
        <v>9</v>
      </c>
      <c r="AL685" s="23" t="s">
        <v>7</v>
      </c>
      <c r="AM685" s="23" t="s">
        <v>80</v>
      </c>
      <c r="AN685" s="55">
        <v>45045</v>
      </c>
      <c r="AO685" s="53">
        <f>DAY(cadangan[[#This Row],[Tanggal terjual]])</f>
        <v>29</v>
      </c>
      <c r="AP685" s="21" t="str">
        <f>TEXT(cadangan[[#This Row],[Tanggal terjual]],"dddd")</f>
        <v>Saturday</v>
      </c>
      <c r="AQ685" s="23" t="str" cm="1">
        <f t="array" ref="AQ6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85" s="61">
        <f>AVERAGE(cadangan[[#This Row],[Rating A]],cadangan[[#This Row],[Rating B]],cadangan[[#This Row],[Rating C]])</f>
        <v>3</v>
      </c>
    </row>
    <row r="686" spans="1:44" x14ac:dyDescent="0.2">
      <c r="A686" s="20">
        <v>685</v>
      </c>
      <c r="B686" s="21" t="str">
        <f>_xlfn.CONCAT("ORD-",INDEX(Helper!$B$2:$B$5,MATCH(cadangan[[#This Row],[Marketplace]],Helper!$A$2:$A$5,0)),TEXT(cadangan[[#This Row],[No]],"0000"),"-",TEXT(cadangan[[#This Row],[Tanggal terjual]],"dd/mm/yy"))</f>
        <v>ORD-BL0685-30/04/23</v>
      </c>
      <c r="C686" s="39" t="s">
        <v>66</v>
      </c>
      <c r="D686" s="39" t="str">
        <f>IFERROR(INDEX(Katalog!$A$3:$A$12,MATCH(cadangan[[#This Row],[ItemID A]],Katalog!$C$3:$C$12,0)),"-")</f>
        <v>Sepatu Pria</v>
      </c>
      <c r="E686" s="39" t="str">
        <f>IFERROR(INDEX(Katalog!$B$3:$B$12,MATCH(cadangan[[#This Row],[ItemID A]],Katalog!$C$3:$C$12,0)),"-")</f>
        <v>Sandal Slip On</v>
      </c>
      <c r="F686" s="50">
        <v>3</v>
      </c>
      <c r="G686" s="50">
        <v>1</v>
      </c>
      <c r="H686" s="73">
        <f>IFERROR(INDEX(Katalog!$D$3:$D$12,MATCH(cadangan[[#This Row],[ItemID A]],Katalog!$C$3:$C$12,0))*cadangan[[#This Row],[Qty A]],0)</f>
        <v>450000</v>
      </c>
      <c r="I686" s="73">
        <f>IFERROR(cadangan[[#This Row],[Harga Normal A]]-(cadangan[[#This Row],[Harga Normal A]]*cadangan[[#This Row],[Diskon]]),cadangan[[#This Row],[Harga Normal A]])</f>
        <v>382500</v>
      </c>
      <c r="J686" s="73">
        <f>INDEX(Katalog!$F$3:$F$12,MATCH(cadangan[[#This Row],[ItemID A]],Katalog!$C$3:$C$12,0))*cadangan[[#This Row],[Qty A]]</f>
        <v>180000</v>
      </c>
      <c r="K686" s="73">
        <f>IFERROR(cadangan[[#This Row],[Harga Diskon A]]-INDEX(Katalog!$E$3:$E$12,MATCH(cadangan[[#This Row],[ItemID A]],Katalog!$C$3:$C$12,0))*cadangan[[#This Row],[Qty A]],0)</f>
        <v>112500</v>
      </c>
      <c r="M686" s="39" t="str">
        <f>IFERROR(INDEX(Katalog!$A$3:$A$12,MATCH(cadangan[[#This Row],[ItemID B]],Katalog!$C$3:$C$12,0)),"-")</f>
        <v>-</v>
      </c>
      <c r="N686" s="39" t="str">
        <f>IFERROR(INDEX(Katalog!$B$3:$B$12,MATCH(cadangan[[#This Row],[ItemID B]],Katalog!$C$3:$C$12,0)),"-")</f>
        <v>-</v>
      </c>
      <c r="Q686" s="73">
        <f>IFERROR(INDEX(Katalog!$D$3:$D$12,MATCH(cadangan[[#This Row],[ItemID B]],Katalog!$C$3:$C$12,0))*cadangan[[#This Row],[Qty B]],0)</f>
        <v>0</v>
      </c>
      <c r="R686" s="73">
        <f>IFERROR(cadangan[[#This Row],[Harga Normal B]]-(cadangan[[#This Row],[Harga Normal B]]*cadangan[[#This Row],[Diskon]]),cadangan[[#This Row],[Harga Normal B]])</f>
        <v>0</v>
      </c>
      <c r="S686" s="73">
        <f>IFERROR(INDEX(Katalog!$F$3:$F$12,MATCH(cadangan[[#This Row],[ItemID B]],Katalog!$C$3:$C$12,0))*cadangan[[#This Row],[Qty B]],0)</f>
        <v>0</v>
      </c>
      <c r="T686" s="73">
        <f>IFERROR(cadangan[[#This Row],[Harga Diskon B]]-INDEX(Katalog!$E$3:$E$12,MATCH(cadangan[[#This Row],[ItemID B]],Katalog!$C$3:$C$12,0))*cadangan[[#This Row],[Qty B]],0)</f>
        <v>0</v>
      </c>
      <c r="V686" s="39" t="str">
        <f>IFERROR(INDEX(Katalog!$A$3:$A$12,MATCH(cadangan[[#This Row],[ItemID C]],Katalog!$C$3:$C$12,0)),"-")</f>
        <v>-</v>
      </c>
      <c r="W686" s="39" t="str">
        <f>IFERROR(INDEX(Katalog!$B$3:$B$12,MATCH(cadangan[[#This Row],[ItemID C]],Katalog!$C$3:$C$12,0)),"-")</f>
        <v>-</v>
      </c>
      <c r="Z686" s="73">
        <f>IFERROR(INDEX(Katalog!$D$3:$D$12,MATCH(cadangan[[#This Row],[ItemID C]],Katalog!$C$3:$C$12,0))*cadangan[[#This Row],[Qty C]],0)</f>
        <v>0</v>
      </c>
      <c r="AA686" s="73">
        <f>IFERROR(cadangan[[#This Row],[Harga Normal C]]-(cadangan[[#This Row],[Harga Normal C]]*cadangan[[#This Row],[Diskon]]),cadangan[[#This Row],[Harga Normal C]])</f>
        <v>0</v>
      </c>
      <c r="AB686" s="73">
        <f>IFERROR(INDEX(Katalog!$F$3:$F$12,MATCH(cadangan[[#This Row],[ItemID C]],Katalog!$C$3:$C$12,0))*cadangan[[#This Row],[Qty C]],0)</f>
        <v>0</v>
      </c>
      <c r="AC686" s="73">
        <f>IFERROR(cadangan[[#This Row],[Harga Diskon C]]-INDEX(Katalog!$E$3:$E$12,MATCH(cadangan[[#This Row],[ItemID C]],Katalog!$C$3:$C$12,0))*cadangan[[#This Row],[Qty C]],0)</f>
        <v>0</v>
      </c>
      <c r="AD686" s="53">
        <f>cadangan[[#This Row],[Qty A]]+cadangan[[#This Row],[Qty B]]+cadangan[[#This Row],[Qty C]]</f>
        <v>3</v>
      </c>
      <c r="AE686" s="73">
        <f>cadangan[[#This Row],[Harga Normal A]]+cadangan[[#This Row],[Harga Normal B]]+cadangan[[#This Row],[Harga Normal C]]</f>
        <v>450000</v>
      </c>
      <c r="AF686" s="73">
        <f>cadangan[[#This Row],[Harga Diskon A]]+cadangan[[#This Row],[Harga Diskon B]]+cadangan[[#This Row],[Harga Diskon C]]</f>
        <v>382500</v>
      </c>
      <c r="AG686" s="73">
        <f>(cadangan[[#This Row],[Profit Normal A]]+cadangan[[#This Row],[Profit Normal B]]+cadangan[[#This Row],[Profit Normal C]])</f>
        <v>180000</v>
      </c>
      <c r="AH686" s="73">
        <f>cadangan[[#This Row],[Profit Diskon A]]+cadangan[[#This Row],[Profit Diskon B]]+cadangan[[#This Row],[Profit Diskon C]]</f>
        <v>112500</v>
      </c>
      <c r="AI686" s="23" t="s">
        <v>32</v>
      </c>
      <c r="AJ686" s="37">
        <f>IFERROR(INDEX('Kode Diskon'!$D$3:$D$9,MATCH(cadangan[[#This Row],[Kode diskon]],'Kode Diskon'!$C$3:$C$9,0)),"-")</f>
        <v>0.15</v>
      </c>
      <c r="AK686" s="23" t="s">
        <v>9</v>
      </c>
      <c r="AL686" s="23" t="s">
        <v>12</v>
      </c>
      <c r="AM686" s="23" t="s">
        <v>80</v>
      </c>
      <c r="AN686" s="55">
        <v>45046</v>
      </c>
      <c r="AO686" s="53">
        <f>DAY(cadangan[[#This Row],[Tanggal terjual]])</f>
        <v>30</v>
      </c>
      <c r="AP686" s="21" t="str">
        <f>TEXT(cadangan[[#This Row],[Tanggal terjual]],"dddd")</f>
        <v>Sunday</v>
      </c>
      <c r="AQ686" s="23" t="str" cm="1">
        <f t="array" ref="AQ6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86" s="61">
        <f>AVERAGE(cadangan[[#This Row],[Rating A]],cadangan[[#This Row],[Rating B]],cadangan[[#This Row],[Rating C]])</f>
        <v>1</v>
      </c>
    </row>
    <row r="687" spans="1:44" x14ac:dyDescent="0.2">
      <c r="A687" s="20">
        <v>686</v>
      </c>
      <c r="B687" s="21" t="str">
        <f>_xlfn.CONCAT("ORD-",INDEX(Helper!$B$2:$B$5,MATCH(cadangan[[#This Row],[Marketplace]],Helper!$A$2:$A$5,0)),TEXT(cadangan[[#This Row],[No]],"0000"),"-",TEXT(cadangan[[#This Row],[Tanggal terjual]],"dd/mm/yy"))</f>
        <v>ORD-SP0686-09/04/23</v>
      </c>
      <c r="C687" s="39" t="s">
        <v>58</v>
      </c>
      <c r="D687" s="39" t="str">
        <f>IFERROR(INDEX(Katalog!$A$3:$A$12,MATCH(cadangan[[#This Row],[ItemID A]],Katalog!$C$3:$C$12,0)),"-")</f>
        <v>Pakaian Wanita</v>
      </c>
      <c r="E687" s="39" t="str">
        <f>IFERROR(INDEX(Katalog!$B$3:$B$12,MATCH(cadangan[[#This Row],[ItemID A]],Katalog!$C$3:$C$12,0)),"-")</f>
        <v>Dress</v>
      </c>
      <c r="F687" s="50">
        <v>2</v>
      </c>
      <c r="G687" s="50">
        <v>5</v>
      </c>
      <c r="H687" s="73">
        <f>IFERROR(INDEX(Katalog!$D$3:$D$12,MATCH(cadangan[[#This Row],[ItemID A]],Katalog!$C$3:$C$12,0))*cadangan[[#This Row],[Qty A]],0)</f>
        <v>600000</v>
      </c>
      <c r="I687" s="73">
        <f>IFERROR(cadangan[[#This Row],[Harga Normal A]]-(cadangan[[#This Row],[Harga Normal A]]*cadangan[[#This Row],[Diskon]]),cadangan[[#This Row],[Harga Normal A]])</f>
        <v>600000</v>
      </c>
      <c r="J687" s="73">
        <f>INDEX(Katalog!$F$3:$F$12,MATCH(cadangan[[#This Row],[ItemID A]],Katalog!$C$3:$C$12,0))*cadangan[[#This Row],[Qty A]]</f>
        <v>200000</v>
      </c>
      <c r="K687" s="73">
        <f>IFERROR(cadangan[[#This Row],[Harga Diskon A]]-INDEX(Katalog!$E$3:$E$12,MATCH(cadangan[[#This Row],[ItemID A]],Katalog!$C$3:$C$12,0))*cadangan[[#This Row],[Qty A]],0)</f>
        <v>200000</v>
      </c>
      <c r="L687" s="39" t="s">
        <v>64</v>
      </c>
      <c r="M687" s="39" t="str">
        <f>IFERROR(INDEX(Katalog!$A$3:$A$12,MATCH(cadangan[[#This Row],[ItemID B]],Katalog!$C$3:$C$12,0)),"-")</f>
        <v>Pakaian Unisex</v>
      </c>
      <c r="N687" s="39" t="str">
        <f>IFERROR(INDEX(Katalog!$B$3:$B$12,MATCH(cadangan[[#This Row],[ItemID B]],Katalog!$C$3:$C$12,0)),"-")</f>
        <v>Jaket Hoodie</v>
      </c>
      <c r="O687" s="50">
        <v>5</v>
      </c>
      <c r="P687" s="50">
        <v>5</v>
      </c>
      <c r="Q687" s="73">
        <f>IFERROR(INDEX(Katalog!$D$3:$D$12,MATCH(cadangan[[#This Row],[ItemID B]],Katalog!$C$3:$C$12,0))*cadangan[[#This Row],[Qty B]],0)</f>
        <v>1750000</v>
      </c>
      <c r="R687" s="73">
        <f>IFERROR(cadangan[[#This Row],[Harga Normal B]]-(cadangan[[#This Row],[Harga Normal B]]*cadangan[[#This Row],[Diskon]]),cadangan[[#This Row],[Harga Normal B]])</f>
        <v>1750000</v>
      </c>
      <c r="S687" s="73">
        <f>IFERROR(INDEX(Katalog!$F$3:$F$12,MATCH(cadangan[[#This Row],[ItemID B]],Katalog!$C$3:$C$12,0))*cadangan[[#This Row],[Qty B]],0)</f>
        <v>650000</v>
      </c>
      <c r="T687" s="73">
        <f>IFERROR(cadangan[[#This Row],[Harga Diskon B]]-INDEX(Katalog!$E$3:$E$12,MATCH(cadangan[[#This Row],[ItemID B]],Katalog!$C$3:$C$12,0))*cadangan[[#This Row],[Qty B]],0)</f>
        <v>650000</v>
      </c>
      <c r="V687" s="39" t="str">
        <f>IFERROR(INDEX(Katalog!$A$3:$A$12,MATCH(cadangan[[#This Row],[ItemID C]],Katalog!$C$3:$C$12,0)),"-")</f>
        <v>-</v>
      </c>
      <c r="W687" s="39" t="str">
        <f>IFERROR(INDEX(Katalog!$B$3:$B$12,MATCH(cadangan[[#This Row],[ItemID C]],Katalog!$C$3:$C$12,0)),"-")</f>
        <v>-</v>
      </c>
      <c r="Z687" s="73">
        <f>IFERROR(INDEX(Katalog!$D$3:$D$12,MATCH(cadangan[[#This Row],[ItemID C]],Katalog!$C$3:$C$12,0))*cadangan[[#This Row],[Qty C]],0)</f>
        <v>0</v>
      </c>
      <c r="AA687" s="73">
        <f>IFERROR(cadangan[[#This Row],[Harga Normal C]]-(cadangan[[#This Row],[Harga Normal C]]*cadangan[[#This Row],[Diskon]]),cadangan[[#This Row],[Harga Normal C]])</f>
        <v>0</v>
      </c>
      <c r="AB687" s="73">
        <f>IFERROR(INDEX(Katalog!$F$3:$F$12,MATCH(cadangan[[#This Row],[ItemID C]],Katalog!$C$3:$C$12,0))*cadangan[[#This Row],[Qty C]],0)</f>
        <v>0</v>
      </c>
      <c r="AC687" s="73">
        <f>IFERROR(cadangan[[#This Row],[Harga Diskon C]]-INDEX(Katalog!$E$3:$E$12,MATCH(cadangan[[#This Row],[ItemID C]],Katalog!$C$3:$C$12,0))*cadangan[[#This Row],[Qty C]],0)</f>
        <v>0</v>
      </c>
      <c r="AD687" s="53">
        <f>cadangan[[#This Row],[Qty A]]+cadangan[[#This Row],[Qty B]]+cadangan[[#This Row],[Qty C]]</f>
        <v>7</v>
      </c>
      <c r="AE687" s="73">
        <f>cadangan[[#This Row],[Harga Normal A]]+cadangan[[#This Row],[Harga Normal B]]+cadangan[[#This Row],[Harga Normal C]]</f>
        <v>2350000</v>
      </c>
      <c r="AF687" s="73">
        <f>cadangan[[#This Row],[Harga Diskon A]]+cadangan[[#This Row],[Harga Diskon B]]+cadangan[[#This Row],[Harga Diskon C]]</f>
        <v>2350000</v>
      </c>
      <c r="AG687" s="73">
        <f>(cadangan[[#This Row],[Profit Normal A]]+cadangan[[#This Row],[Profit Normal B]]+cadangan[[#This Row],[Profit Normal C]])</f>
        <v>850000</v>
      </c>
      <c r="AH687" s="73">
        <f>cadangan[[#This Row],[Profit Diskon A]]+cadangan[[#This Row],[Profit Diskon B]]+cadangan[[#This Row],[Profit Diskon C]]</f>
        <v>850000</v>
      </c>
      <c r="AI687" s="23" t="s">
        <v>290</v>
      </c>
      <c r="AJ687" s="37" t="str">
        <f>IFERROR(INDEX('Kode Diskon'!$D$3:$D$9,MATCH(cadangan[[#This Row],[Kode diskon]],'Kode Diskon'!$C$3:$C$9,0)),"-")</f>
        <v>-</v>
      </c>
      <c r="AK687" s="23" t="s">
        <v>290</v>
      </c>
      <c r="AL687" s="23" t="s">
        <v>7</v>
      </c>
      <c r="AM687" s="23" t="s">
        <v>75</v>
      </c>
      <c r="AN687" s="55">
        <v>45025</v>
      </c>
      <c r="AO687" s="53">
        <f>DAY(cadangan[[#This Row],[Tanggal terjual]])</f>
        <v>9</v>
      </c>
      <c r="AP687" s="21" t="str">
        <f>TEXT(cadangan[[#This Row],[Tanggal terjual]],"dddd")</f>
        <v>Sunday</v>
      </c>
      <c r="AQ687" s="23" t="str" cm="1">
        <f t="array" ref="AQ6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87" s="61">
        <f>AVERAGE(cadangan[[#This Row],[Rating A]],cadangan[[#This Row],[Rating B]],cadangan[[#This Row],[Rating C]])</f>
        <v>5</v>
      </c>
    </row>
    <row r="688" spans="1:44" x14ac:dyDescent="0.2">
      <c r="A688" s="20">
        <v>687</v>
      </c>
      <c r="B688" s="21" t="str">
        <f>_xlfn.CONCAT("ORD-",INDEX(Helper!$B$2:$B$5,MATCH(cadangan[[#This Row],[Marketplace]],Helper!$A$2:$A$5,0)),TEXT(cadangan[[#This Row],[No]],"0000"),"-",TEXT(cadangan[[#This Row],[Tanggal terjual]],"dd/mm/yy"))</f>
        <v>ORD-SP0687-23/04/23</v>
      </c>
      <c r="C688" s="39" t="s">
        <v>60</v>
      </c>
      <c r="D688" s="39" t="str">
        <f>IFERROR(INDEX(Katalog!$A$3:$A$12,MATCH(cadangan[[#This Row],[ItemID A]],Katalog!$C$3:$C$12,0)),"-")</f>
        <v>Pakaian Wanita</v>
      </c>
      <c r="E688" s="39" t="str">
        <f>IFERROR(INDEX(Katalog!$B$3:$B$12,MATCH(cadangan[[#This Row],[ItemID A]],Katalog!$C$3:$C$12,0)),"-")</f>
        <v>Kaftan</v>
      </c>
      <c r="F688" s="50">
        <v>3</v>
      </c>
      <c r="G688" s="50">
        <v>3</v>
      </c>
      <c r="H688" s="73">
        <f>IFERROR(INDEX(Katalog!$D$3:$D$12,MATCH(cadangan[[#This Row],[ItemID A]],Katalog!$C$3:$C$12,0))*cadangan[[#This Row],[Qty A]],0)</f>
        <v>750000</v>
      </c>
      <c r="I688" s="73">
        <f>IFERROR(cadangan[[#This Row],[Harga Normal A]]-(cadangan[[#This Row],[Harga Normal A]]*cadangan[[#This Row],[Diskon]]),cadangan[[#This Row],[Harga Normal A]])</f>
        <v>600000</v>
      </c>
      <c r="J688" s="73">
        <f>INDEX(Katalog!$F$3:$F$12,MATCH(cadangan[[#This Row],[ItemID A]],Katalog!$C$3:$C$12,0))*cadangan[[#This Row],[Qty A]]</f>
        <v>300000</v>
      </c>
      <c r="K688" s="73">
        <f>IFERROR(cadangan[[#This Row],[Harga Diskon A]]-INDEX(Katalog!$E$3:$E$12,MATCH(cadangan[[#This Row],[ItemID A]],Katalog!$C$3:$C$12,0))*cadangan[[#This Row],[Qty A]],0)</f>
        <v>150000</v>
      </c>
      <c r="M688" s="39" t="str">
        <f>IFERROR(INDEX(Katalog!$A$3:$A$12,MATCH(cadangan[[#This Row],[ItemID B]],Katalog!$C$3:$C$12,0)),"-")</f>
        <v>-</v>
      </c>
      <c r="N688" s="39" t="str">
        <f>IFERROR(INDEX(Katalog!$B$3:$B$12,MATCH(cadangan[[#This Row],[ItemID B]],Katalog!$C$3:$C$12,0)),"-")</f>
        <v>-</v>
      </c>
      <c r="Q688" s="73">
        <f>IFERROR(INDEX(Katalog!$D$3:$D$12,MATCH(cadangan[[#This Row],[ItemID B]],Katalog!$C$3:$C$12,0))*cadangan[[#This Row],[Qty B]],0)</f>
        <v>0</v>
      </c>
      <c r="R688" s="73">
        <f>IFERROR(cadangan[[#This Row],[Harga Normal B]]-(cadangan[[#This Row],[Harga Normal B]]*cadangan[[#This Row],[Diskon]]),cadangan[[#This Row],[Harga Normal B]])</f>
        <v>0</v>
      </c>
      <c r="S688" s="73">
        <f>IFERROR(INDEX(Katalog!$F$3:$F$12,MATCH(cadangan[[#This Row],[ItemID B]],Katalog!$C$3:$C$12,0))*cadangan[[#This Row],[Qty B]],0)</f>
        <v>0</v>
      </c>
      <c r="T688" s="73">
        <f>IFERROR(cadangan[[#This Row],[Harga Diskon B]]-INDEX(Katalog!$E$3:$E$12,MATCH(cadangan[[#This Row],[ItemID B]],Katalog!$C$3:$C$12,0))*cadangan[[#This Row],[Qty B]],0)</f>
        <v>0</v>
      </c>
      <c r="V688" s="39" t="str">
        <f>IFERROR(INDEX(Katalog!$A$3:$A$12,MATCH(cadangan[[#This Row],[ItemID C]],Katalog!$C$3:$C$12,0)),"-")</f>
        <v>-</v>
      </c>
      <c r="W688" s="39" t="str">
        <f>IFERROR(INDEX(Katalog!$B$3:$B$12,MATCH(cadangan[[#This Row],[ItemID C]],Katalog!$C$3:$C$12,0)),"-")</f>
        <v>-</v>
      </c>
      <c r="Z688" s="73">
        <f>IFERROR(INDEX(Katalog!$D$3:$D$12,MATCH(cadangan[[#This Row],[ItemID C]],Katalog!$C$3:$C$12,0))*cadangan[[#This Row],[Qty C]],0)</f>
        <v>0</v>
      </c>
      <c r="AA688" s="73">
        <f>IFERROR(cadangan[[#This Row],[Harga Normal C]]-(cadangan[[#This Row],[Harga Normal C]]*cadangan[[#This Row],[Diskon]]),cadangan[[#This Row],[Harga Normal C]])</f>
        <v>0</v>
      </c>
      <c r="AB688" s="73">
        <f>IFERROR(INDEX(Katalog!$F$3:$F$12,MATCH(cadangan[[#This Row],[ItemID C]],Katalog!$C$3:$C$12,0))*cadangan[[#This Row],[Qty C]],0)</f>
        <v>0</v>
      </c>
      <c r="AC688" s="73">
        <f>IFERROR(cadangan[[#This Row],[Harga Diskon C]]-INDEX(Katalog!$E$3:$E$12,MATCH(cadangan[[#This Row],[ItemID C]],Katalog!$C$3:$C$12,0))*cadangan[[#This Row],[Qty C]],0)</f>
        <v>0</v>
      </c>
      <c r="AD688" s="53">
        <f>cadangan[[#This Row],[Qty A]]+cadangan[[#This Row],[Qty B]]+cadangan[[#This Row],[Qty C]]</f>
        <v>3</v>
      </c>
      <c r="AE688" s="73">
        <f>cadangan[[#This Row],[Harga Normal A]]+cadangan[[#This Row],[Harga Normal B]]+cadangan[[#This Row],[Harga Normal C]]</f>
        <v>750000</v>
      </c>
      <c r="AF688" s="73">
        <f>cadangan[[#This Row],[Harga Diskon A]]+cadangan[[#This Row],[Harga Diskon B]]+cadangan[[#This Row],[Harga Diskon C]]</f>
        <v>600000</v>
      </c>
      <c r="AG688" s="73">
        <f>(cadangan[[#This Row],[Profit Normal A]]+cadangan[[#This Row],[Profit Normal B]]+cadangan[[#This Row],[Profit Normal C]])</f>
        <v>300000</v>
      </c>
      <c r="AH688" s="73">
        <f>cadangan[[#This Row],[Profit Diskon A]]+cadangan[[#This Row],[Profit Diskon B]]+cadangan[[#This Row],[Profit Diskon C]]</f>
        <v>150000</v>
      </c>
      <c r="AI688" s="23" t="s">
        <v>8</v>
      </c>
      <c r="AJ688" s="37">
        <f>IFERROR(INDEX('Kode Diskon'!$D$3:$D$9,MATCH(cadangan[[#This Row],[Kode diskon]],'Kode Diskon'!$C$3:$C$9,0)),"-")</f>
        <v>0.2</v>
      </c>
      <c r="AK688" s="23" t="s">
        <v>9</v>
      </c>
      <c r="AL688" s="23" t="s">
        <v>7</v>
      </c>
      <c r="AM688" s="23" t="s">
        <v>80</v>
      </c>
      <c r="AN688" s="55">
        <v>45039</v>
      </c>
      <c r="AO688" s="53">
        <f>DAY(cadangan[[#This Row],[Tanggal terjual]])</f>
        <v>23</v>
      </c>
      <c r="AP688" s="21" t="str">
        <f>TEXT(cadangan[[#This Row],[Tanggal terjual]],"dddd")</f>
        <v>Sunday</v>
      </c>
      <c r="AQ688" s="23" t="str" cm="1">
        <f t="array" ref="AQ6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88" s="61">
        <f>AVERAGE(cadangan[[#This Row],[Rating A]],cadangan[[#This Row],[Rating B]],cadangan[[#This Row],[Rating C]])</f>
        <v>3</v>
      </c>
    </row>
    <row r="689" spans="1:44" x14ac:dyDescent="0.2">
      <c r="A689" s="20">
        <v>688</v>
      </c>
      <c r="B689" s="21" t="str">
        <f>_xlfn.CONCAT("ORD-",INDEX(Helper!$B$2:$B$5,MATCH(cadangan[[#This Row],[Marketplace]],Helper!$A$2:$A$5,0)),TEXT(cadangan[[#This Row],[No]],"0000"),"-",TEXT(cadangan[[#This Row],[Tanggal terjual]],"dd/mm/yy"))</f>
        <v>ORD-SP0688-26/04/23</v>
      </c>
      <c r="C689" s="39" t="s">
        <v>64</v>
      </c>
      <c r="D689" s="39" t="str">
        <f>IFERROR(INDEX(Katalog!$A$3:$A$12,MATCH(cadangan[[#This Row],[ItemID A]],Katalog!$C$3:$C$12,0)),"-")</f>
        <v>Pakaian Unisex</v>
      </c>
      <c r="E689" s="39" t="str">
        <f>IFERROR(INDEX(Katalog!$B$3:$B$12,MATCH(cadangan[[#This Row],[ItemID A]],Katalog!$C$3:$C$12,0)),"-")</f>
        <v>Jaket Hoodie</v>
      </c>
      <c r="F689" s="50">
        <v>4</v>
      </c>
      <c r="G689" s="50">
        <v>2</v>
      </c>
      <c r="H689" s="73">
        <f>IFERROR(INDEX(Katalog!$D$3:$D$12,MATCH(cadangan[[#This Row],[ItemID A]],Katalog!$C$3:$C$12,0))*cadangan[[#This Row],[Qty A]],0)</f>
        <v>1400000</v>
      </c>
      <c r="I689" s="73">
        <f>IFERROR(cadangan[[#This Row],[Harga Normal A]]-(cadangan[[#This Row],[Harga Normal A]]*cadangan[[#This Row],[Diskon]]),cadangan[[#This Row],[Harga Normal A]])</f>
        <v>1120000</v>
      </c>
      <c r="J689" s="73">
        <f>INDEX(Katalog!$F$3:$F$12,MATCH(cadangan[[#This Row],[ItemID A]],Katalog!$C$3:$C$12,0))*cadangan[[#This Row],[Qty A]]</f>
        <v>520000</v>
      </c>
      <c r="K689" s="73">
        <f>IFERROR(cadangan[[#This Row],[Harga Diskon A]]-INDEX(Katalog!$E$3:$E$12,MATCH(cadangan[[#This Row],[ItemID A]],Katalog!$C$3:$C$12,0))*cadangan[[#This Row],[Qty A]],0)</f>
        <v>240000</v>
      </c>
      <c r="L689" s="39" t="s">
        <v>62</v>
      </c>
      <c r="M689" s="39" t="str">
        <f>IFERROR(INDEX(Katalog!$A$3:$A$12,MATCH(cadangan[[#This Row],[ItemID B]],Katalog!$C$3:$C$12,0)),"-")</f>
        <v>Pakaian Pria</v>
      </c>
      <c r="N689" s="39" t="str">
        <f>IFERROR(INDEX(Katalog!$B$3:$B$12,MATCH(cadangan[[#This Row],[ItemID B]],Katalog!$C$3:$C$12,0)),"-")</f>
        <v>Celana Pendek</v>
      </c>
      <c r="O689" s="50">
        <v>1</v>
      </c>
      <c r="P689" s="50">
        <v>2</v>
      </c>
      <c r="Q689" s="73">
        <f>IFERROR(INDEX(Katalog!$D$3:$D$12,MATCH(cadangan[[#This Row],[ItemID B]],Katalog!$C$3:$C$12,0))*cadangan[[#This Row],[Qty B]],0)</f>
        <v>180000</v>
      </c>
      <c r="R689" s="73">
        <f>IFERROR(cadangan[[#This Row],[Harga Normal B]]-(cadangan[[#This Row],[Harga Normal B]]*cadangan[[#This Row],[Diskon]]),cadangan[[#This Row],[Harga Normal B]])</f>
        <v>144000</v>
      </c>
      <c r="S689" s="73">
        <f>IFERROR(INDEX(Katalog!$F$3:$F$12,MATCH(cadangan[[#This Row],[ItemID B]],Katalog!$C$3:$C$12,0))*cadangan[[#This Row],[Qty B]],0)</f>
        <v>70000</v>
      </c>
      <c r="T689" s="73">
        <f>IFERROR(cadangan[[#This Row],[Harga Diskon B]]-INDEX(Katalog!$E$3:$E$12,MATCH(cadangan[[#This Row],[ItemID B]],Katalog!$C$3:$C$12,0))*cadangan[[#This Row],[Qty B]],0)</f>
        <v>34000</v>
      </c>
      <c r="V689" s="39" t="str">
        <f>IFERROR(INDEX(Katalog!$A$3:$A$12,MATCH(cadangan[[#This Row],[ItemID C]],Katalog!$C$3:$C$12,0)),"-")</f>
        <v>-</v>
      </c>
      <c r="W689" s="39" t="str">
        <f>IFERROR(INDEX(Katalog!$B$3:$B$12,MATCH(cadangan[[#This Row],[ItemID C]],Katalog!$C$3:$C$12,0)),"-")</f>
        <v>-</v>
      </c>
      <c r="Z689" s="73">
        <f>IFERROR(INDEX(Katalog!$D$3:$D$12,MATCH(cadangan[[#This Row],[ItemID C]],Katalog!$C$3:$C$12,0))*cadangan[[#This Row],[Qty C]],0)</f>
        <v>0</v>
      </c>
      <c r="AA689" s="73">
        <f>IFERROR(cadangan[[#This Row],[Harga Normal C]]-(cadangan[[#This Row],[Harga Normal C]]*cadangan[[#This Row],[Diskon]]),cadangan[[#This Row],[Harga Normal C]])</f>
        <v>0</v>
      </c>
      <c r="AB689" s="73">
        <f>IFERROR(INDEX(Katalog!$F$3:$F$12,MATCH(cadangan[[#This Row],[ItemID C]],Katalog!$C$3:$C$12,0))*cadangan[[#This Row],[Qty C]],0)</f>
        <v>0</v>
      </c>
      <c r="AC689" s="73">
        <f>IFERROR(cadangan[[#This Row],[Harga Diskon C]]-INDEX(Katalog!$E$3:$E$12,MATCH(cadangan[[#This Row],[ItemID C]],Katalog!$C$3:$C$12,0))*cadangan[[#This Row],[Qty C]],0)</f>
        <v>0</v>
      </c>
      <c r="AD689" s="53">
        <f>cadangan[[#This Row],[Qty A]]+cadangan[[#This Row],[Qty B]]+cadangan[[#This Row],[Qty C]]</f>
        <v>5</v>
      </c>
      <c r="AE689" s="73">
        <f>cadangan[[#This Row],[Harga Normal A]]+cadangan[[#This Row],[Harga Normal B]]+cadangan[[#This Row],[Harga Normal C]]</f>
        <v>1580000</v>
      </c>
      <c r="AF689" s="73">
        <f>cadangan[[#This Row],[Harga Diskon A]]+cadangan[[#This Row],[Harga Diskon B]]+cadangan[[#This Row],[Harga Diskon C]]</f>
        <v>1264000</v>
      </c>
      <c r="AG689" s="73">
        <f>(cadangan[[#This Row],[Profit Normal A]]+cadangan[[#This Row],[Profit Normal B]]+cadangan[[#This Row],[Profit Normal C]])</f>
        <v>590000</v>
      </c>
      <c r="AH689" s="73">
        <f>cadangan[[#This Row],[Profit Diskon A]]+cadangan[[#This Row],[Profit Diskon B]]+cadangan[[#This Row],[Profit Diskon C]]</f>
        <v>274000</v>
      </c>
      <c r="AI689" s="23" t="s">
        <v>8</v>
      </c>
      <c r="AJ689" s="37">
        <f>IFERROR(INDEX('Kode Diskon'!$D$3:$D$9,MATCH(cadangan[[#This Row],[Kode diskon]],'Kode Diskon'!$C$3:$C$9,0)),"-")</f>
        <v>0.2</v>
      </c>
      <c r="AK689" s="23" t="s">
        <v>9</v>
      </c>
      <c r="AL689" s="23" t="s">
        <v>7</v>
      </c>
      <c r="AM689" s="23" t="s">
        <v>79</v>
      </c>
      <c r="AN689" s="55">
        <v>45042</v>
      </c>
      <c r="AO689" s="53">
        <f>DAY(cadangan[[#This Row],[Tanggal terjual]])</f>
        <v>26</v>
      </c>
      <c r="AP689" s="21" t="str">
        <f>TEXT(cadangan[[#This Row],[Tanggal terjual]],"dddd")</f>
        <v>Wednesday</v>
      </c>
      <c r="AQ689" s="23" t="str" cm="1">
        <f t="array" ref="AQ6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89" s="61">
        <f>AVERAGE(cadangan[[#This Row],[Rating A]],cadangan[[#This Row],[Rating B]],cadangan[[#This Row],[Rating C]])</f>
        <v>2</v>
      </c>
    </row>
    <row r="690" spans="1:44" x14ac:dyDescent="0.2">
      <c r="A690" s="20">
        <v>689</v>
      </c>
      <c r="B690" s="21" t="str">
        <f>_xlfn.CONCAT("ORD-",INDEX(Helper!$B$2:$B$5,MATCH(cadangan[[#This Row],[Marketplace]],Helper!$A$2:$A$5,0)),TEXT(cadangan[[#This Row],[No]],"0000"),"-",TEXT(cadangan[[#This Row],[Tanggal terjual]],"dd/mm/yy"))</f>
        <v>ORD-BB0689-09/04/23</v>
      </c>
      <c r="C690" s="39" t="s">
        <v>64</v>
      </c>
      <c r="D690" s="39" t="str">
        <f>IFERROR(INDEX(Katalog!$A$3:$A$12,MATCH(cadangan[[#This Row],[ItemID A]],Katalog!$C$3:$C$12,0)),"-")</f>
        <v>Pakaian Unisex</v>
      </c>
      <c r="E690" s="39" t="str">
        <f>IFERROR(INDEX(Katalog!$B$3:$B$12,MATCH(cadangan[[#This Row],[ItemID A]],Katalog!$C$3:$C$12,0)),"-")</f>
        <v>Jaket Hoodie</v>
      </c>
      <c r="F690" s="50">
        <v>1</v>
      </c>
      <c r="G690" s="50">
        <v>4</v>
      </c>
      <c r="H690" s="73">
        <f>IFERROR(INDEX(Katalog!$D$3:$D$12,MATCH(cadangan[[#This Row],[ItemID A]],Katalog!$C$3:$C$12,0))*cadangan[[#This Row],[Qty A]],0)</f>
        <v>350000</v>
      </c>
      <c r="I690" s="73">
        <f>IFERROR(cadangan[[#This Row],[Harga Normal A]]-(cadangan[[#This Row],[Harga Normal A]]*cadangan[[#This Row],[Diskon]]),cadangan[[#This Row],[Harga Normal A]])</f>
        <v>350000</v>
      </c>
      <c r="J690" s="73">
        <f>INDEX(Katalog!$F$3:$F$12,MATCH(cadangan[[#This Row],[ItemID A]],Katalog!$C$3:$C$12,0))*cadangan[[#This Row],[Qty A]]</f>
        <v>130000</v>
      </c>
      <c r="K690" s="73">
        <f>IFERROR(cadangan[[#This Row],[Harga Diskon A]]-INDEX(Katalog!$E$3:$E$12,MATCH(cadangan[[#This Row],[ItemID A]],Katalog!$C$3:$C$12,0))*cadangan[[#This Row],[Qty A]],0)</f>
        <v>130000</v>
      </c>
      <c r="M690" s="39" t="str">
        <f>IFERROR(INDEX(Katalog!$A$3:$A$12,MATCH(cadangan[[#This Row],[ItemID B]],Katalog!$C$3:$C$12,0)),"-")</f>
        <v>-</v>
      </c>
      <c r="N690" s="39" t="str">
        <f>IFERROR(INDEX(Katalog!$B$3:$B$12,MATCH(cadangan[[#This Row],[ItemID B]],Katalog!$C$3:$C$12,0)),"-")</f>
        <v>-</v>
      </c>
      <c r="Q690" s="73">
        <f>IFERROR(INDEX(Katalog!$D$3:$D$12,MATCH(cadangan[[#This Row],[ItemID B]],Katalog!$C$3:$C$12,0))*cadangan[[#This Row],[Qty B]],0)</f>
        <v>0</v>
      </c>
      <c r="R690" s="73">
        <f>IFERROR(cadangan[[#This Row],[Harga Normal B]]-(cadangan[[#This Row],[Harga Normal B]]*cadangan[[#This Row],[Diskon]]),cadangan[[#This Row],[Harga Normal B]])</f>
        <v>0</v>
      </c>
      <c r="S690" s="73">
        <f>IFERROR(INDEX(Katalog!$F$3:$F$12,MATCH(cadangan[[#This Row],[ItemID B]],Katalog!$C$3:$C$12,0))*cadangan[[#This Row],[Qty B]],0)</f>
        <v>0</v>
      </c>
      <c r="T690" s="73">
        <f>IFERROR(cadangan[[#This Row],[Harga Diskon B]]-INDEX(Katalog!$E$3:$E$12,MATCH(cadangan[[#This Row],[ItemID B]],Katalog!$C$3:$C$12,0))*cadangan[[#This Row],[Qty B]],0)</f>
        <v>0</v>
      </c>
      <c r="V690" s="39" t="str">
        <f>IFERROR(INDEX(Katalog!$A$3:$A$12,MATCH(cadangan[[#This Row],[ItemID C]],Katalog!$C$3:$C$12,0)),"-")</f>
        <v>-</v>
      </c>
      <c r="W690" s="39" t="str">
        <f>IFERROR(INDEX(Katalog!$B$3:$B$12,MATCH(cadangan[[#This Row],[ItemID C]],Katalog!$C$3:$C$12,0)),"-")</f>
        <v>-</v>
      </c>
      <c r="Z690" s="73">
        <f>IFERROR(INDEX(Katalog!$D$3:$D$12,MATCH(cadangan[[#This Row],[ItemID C]],Katalog!$C$3:$C$12,0))*cadangan[[#This Row],[Qty C]],0)</f>
        <v>0</v>
      </c>
      <c r="AA690" s="73">
        <f>IFERROR(cadangan[[#This Row],[Harga Normal C]]-(cadangan[[#This Row],[Harga Normal C]]*cadangan[[#This Row],[Diskon]]),cadangan[[#This Row],[Harga Normal C]])</f>
        <v>0</v>
      </c>
      <c r="AB690" s="73">
        <f>IFERROR(INDEX(Katalog!$F$3:$F$12,MATCH(cadangan[[#This Row],[ItemID C]],Katalog!$C$3:$C$12,0))*cadangan[[#This Row],[Qty C]],0)</f>
        <v>0</v>
      </c>
      <c r="AC690" s="73">
        <f>IFERROR(cadangan[[#This Row],[Harga Diskon C]]-INDEX(Katalog!$E$3:$E$12,MATCH(cadangan[[#This Row],[ItemID C]],Katalog!$C$3:$C$12,0))*cadangan[[#This Row],[Qty C]],0)</f>
        <v>0</v>
      </c>
      <c r="AD690" s="53">
        <f>cadangan[[#This Row],[Qty A]]+cadangan[[#This Row],[Qty B]]+cadangan[[#This Row],[Qty C]]</f>
        <v>1</v>
      </c>
      <c r="AE690" s="73">
        <f>cadangan[[#This Row],[Harga Normal A]]+cadangan[[#This Row],[Harga Normal B]]+cadangan[[#This Row],[Harga Normal C]]</f>
        <v>350000</v>
      </c>
      <c r="AF690" s="73">
        <f>cadangan[[#This Row],[Harga Diskon A]]+cadangan[[#This Row],[Harga Diskon B]]+cadangan[[#This Row],[Harga Diskon C]]</f>
        <v>350000</v>
      </c>
      <c r="AG690" s="73">
        <f>(cadangan[[#This Row],[Profit Normal A]]+cadangan[[#This Row],[Profit Normal B]]+cadangan[[#This Row],[Profit Normal C]])</f>
        <v>130000</v>
      </c>
      <c r="AH690" s="73">
        <f>cadangan[[#This Row],[Profit Diskon A]]+cadangan[[#This Row],[Profit Diskon B]]+cadangan[[#This Row],[Profit Diskon C]]</f>
        <v>130000</v>
      </c>
      <c r="AI690" s="23" t="s">
        <v>290</v>
      </c>
      <c r="AJ690" s="37" t="str">
        <f>IFERROR(INDEX('Kode Diskon'!$D$3:$D$9,MATCH(cadangan[[#This Row],[Kode diskon]],'Kode Diskon'!$C$3:$C$9,0)),"-")</f>
        <v>-</v>
      </c>
      <c r="AK690" s="23" t="s">
        <v>290</v>
      </c>
      <c r="AL690" s="23" t="s">
        <v>14</v>
      </c>
      <c r="AM690" s="23" t="s">
        <v>79</v>
      </c>
      <c r="AN690" s="55">
        <v>45025</v>
      </c>
      <c r="AO690" s="53">
        <f>DAY(cadangan[[#This Row],[Tanggal terjual]])</f>
        <v>9</v>
      </c>
      <c r="AP690" s="21" t="str">
        <f>TEXT(cadangan[[#This Row],[Tanggal terjual]],"dddd")</f>
        <v>Sunday</v>
      </c>
      <c r="AQ690" s="23" t="str" cm="1">
        <f t="array" ref="AQ6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690" s="61">
        <f>AVERAGE(cadangan[[#This Row],[Rating A]],cadangan[[#This Row],[Rating B]],cadangan[[#This Row],[Rating C]])</f>
        <v>4</v>
      </c>
    </row>
    <row r="691" spans="1:44" x14ac:dyDescent="0.2">
      <c r="A691" s="20">
        <v>690</v>
      </c>
      <c r="B691" s="21" t="str">
        <f>_xlfn.CONCAT("ORD-",INDEX(Helper!$B$2:$B$5,MATCH(cadangan[[#This Row],[Marketplace]],Helper!$A$2:$A$5,0)),TEXT(cadangan[[#This Row],[No]],"0000"),"-",TEXT(cadangan[[#This Row],[Tanggal terjual]],"dd/mm/yy"))</f>
        <v>ORD-SP0690-26/04/23</v>
      </c>
      <c r="C691" s="39" t="s">
        <v>63</v>
      </c>
      <c r="D691" s="39" t="str">
        <f>IFERROR(INDEX(Katalog!$A$3:$A$12,MATCH(cadangan[[#This Row],[ItemID A]],Katalog!$C$3:$C$12,0)),"-")</f>
        <v>Pakaian Pria</v>
      </c>
      <c r="E691" s="39" t="str">
        <f>IFERROR(INDEX(Katalog!$B$3:$B$12,MATCH(cadangan[[#This Row],[ItemID A]],Katalog!$C$3:$C$12,0)),"-")</f>
        <v>Jaket Jeans</v>
      </c>
      <c r="F691" s="50">
        <v>3</v>
      </c>
      <c r="G691" s="50">
        <v>4</v>
      </c>
      <c r="H691" s="73">
        <f>IFERROR(INDEX(Katalog!$D$3:$D$12,MATCH(cadangan[[#This Row],[ItemID A]],Katalog!$C$3:$C$12,0))*cadangan[[#This Row],[Qty A]],0)</f>
        <v>1200000</v>
      </c>
      <c r="I691" s="73">
        <f>IFERROR(cadangan[[#This Row],[Harga Normal A]]-(cadangan[[#This Row],[Harga Normal A]]*cadangan[[#This Row],[Diskon]]),cadangan[[#This Row],[Harga Normal A]])</f>
        <v>960000</v>
      </c>
      <c r="J691" s="73">
        <f>INDEX(Katalog!$F$3:$F$12,MATCH(cadangan[[#This Row],[ItemID A]],Katalog!$C$3:$C$12,0))*cadangan[[#This Row],[Qty A]]</f>
        <v>450000</v>
      </c>
      <c r="K691" s="73">
        <f>IFERROR(cadangan[[#This Row],[Harga Diskon A]]-INDEX(Katalog!$E$3:$E$12,MATCH(cadangan[[#This Row],[ItemID A]],Katalog!$C$3:$C$12,0))*cadangan[[#This Row],[Qty A]],0)</f>
        <v>210000</v>
      </c>
      <c r="L691" s="39" t="s">
        <v>61</v>
      </c>
      <c r="M691" s="39" t="str">
        <f>IFERROR(INDEX(Katalog!$A$3:$A$12,MATCH(cadangan[[#This Row],[ItemID B]],Katalog!$C$3:$C$12,0)),"-")</f>
        <v>Pakaian Pria</v>
      </c>
      <c r="N691" s="39" t="str">
        <f>IFERROR(INDEX(Katalog!$B$3:$B$12,MATCH(cadangan[[#This Row],[ItemID B]],Katalog!$C$3:$C$12,0)),"-")</f>
        <v>Kaos Polo</v>
      </c>
      <c r="O691" s="50">
        <v>2</v>
      </c>
      <c r="P691" s="50">
        <v>5</v>
      </c>
      <c r="Q691" s="73">
        <f>IFERROR(INDEX(Katalog!$D$3:$D$12,MATCH(cadangan[[#This Row],[ItemID B]],Katalog!$C$3:$C$12,0))*cadangan[[#This Row],[Qty B]],0)</f>
        <v>400000</v>
      </c>
      <c r="R691" s="73">
        <f>IFERROR(cadangan[[#This Row],[Harga Normal B]]-(cadangan[[#This Row],[Harga Normal B]]*cadangan[[#This Row],[Diskon]]),cadangan[[#This Row],[Harga Normal B]])</f>
        <v>320000</v>
      </c>
      <c r="S691" s="73">
        <f>IFERROR(INDEX(Katalog!$F$3:$F$12,MATCH(cadangan[[#This Row],[ItemID B]],Katalog!$C$3:$C$12,0))*cadangan[[#This Row],[Qty B]],0)</f>
        <v>160000</v>
      </c>
      <c r="T691" s="73">
        <f>IFERROR(cadangan[[#This Row],[Harga Diskon B]]-INDEX(Katalog!$E$3:$E$12,MATCH(cadangan[[#This Row],[ItemID B]],Katalog!$C$3:$C$12,0))*cadangan[[#This Row],[Qty B]],0)</f>
        <v>80000</v>
      </c>
      <c r="V691" s="39" t="str">
        <f>IFERROR(INDEX(Katalog!$A$3:$A$12,MATCH(cadangan[[#This Row],[ItemID C]],Katalog!$C$3:$C$12,0)),"-")</f>
        <v>-</v>
      </c>
      <c r="W691" s="39" t="str">
        <f>IFERROR(INDEX(Katalog!$B$3:$B$12,MATCH(cadangan[[#This Row],[ItemID C]],Katalog!$C$3:$C$12,0)),"-")</f>
        <v>-</v>
      </c>
      <c r="Z691" s="73">
        <f>IFERROR(INDEX(Katalog!$D$3:$D$12,MATCH(cadangan[[#This Row],[ItemID C]],Katalog!$C$3:$C$12,0))*cadangan[[#This Row],[Qty C]],0)</f>
        <v>0</v>
      </c>
      <c r="AA691" s="73">
        <f>IFERROR(cadangan[[#This Row],[Harga Normal C]]-(cadangan[[#This Row],[Harga Normal C]]*cadangan[[#This Row],[Diskon]]),cadangan[[#This Row],[Harga Normal C]])</f>
        <v>0</v>
      </c>
      <c r="AB691" s="73">
        <f>IFERROR(INDEX(Katalog!$F$3:$F$12,MATCH(cadangan[[#This Row],[ItemID C]],Katalog!$C$3:$C$12,0))*cadangan[[#This Row],[Qty C]],0)</f>
        <v>0</v>
      </c>
      <c r="AC691" s="73">
        <f>IFERROR(cadangan[[#This Row],[Harga Diskon C]]-INDEX(Katalog!$E$3:$E$12,MATCH(cadangan[[#This Row],[ItemID C]],Katalog!$C$3:$C$12,0))*cadangan[[#This Row],[Qty C]],0)</f>
        <v>0</v>
      </c>
      <c r="AD691" s="53">
        <f>cadangan[[#This Row],[Qty A]]+cadangan[[#This Row],[Qty B]]+cadangan[[#This Row],[Qty C]]</f>
        <v>5</v>
      </c>
      <c r="AE691" s="73">
        <f>cadangan[[#This Row],[Harga Normal A]]+cadangan[[#This Row],[Harga Normal B]]+cadangan[[#This Row],[Harga Normal C]]</f>
        <v>1600000</v>
      </c>
      <c r="AF691" s="73">
        <f>cadangan[[#This Row],[Harga Diskon A]]+cadangan[[#This Row],[Harga Diskon B]]+cadangan[[#This Row],[Harga Diskon C]]</f>
        <v>1280000</v>
      </c>
      <c r="AG691" s="73">
        <f>(cadangan[[#This Row],[Profit Normal A]]+cadangan[[#This Row],[Profit Normal B]]+cadangan[[#This Row],[Profit Normal C]])</f>
        <v>610000</v>
      </c>
      <c r="AH691" s="73">
        <f>cadangan[[#This Row],[Profit Diskon A]]+cadangan[[#This Row],[Profit Diskon B]]+cadangan[[#This Row],[Profit Diskon C]]</f>
        <v>290000</v>
      </c>
      <c r="AI691" s="23" t="s">
        <v>8</v>
      </c>
      <c r="AJ691" s="37">
        <f>IFERROR(INDEX('Kode Diskon'!$D$3:$D$9,MATCH(cadangan[[#This Row],[Kode diskon]],'Kode Diskon'!$C$3:$C$9,0)),"-")</f>
        <v>0.2</v>
      </c>
      <c r="AK691" s="23" t="s">
        <v>9</v>
      </c>
      <c r="AL691" s="23" t="s">
        <v>7</v>
      </c>
      <c r="AM691" s="23" t="s">
        <v>80</v>
      </c>
      <c r="AN691" s="55">
        <v>45042</v>
      </c>
      <c r="AO691" s="53">
        <f>DAY(cadangan[[#This Row],[Tanggal terjual]])</f>
        <v>26</v>
      </c>
      <c r="AP691" s="21" t="str">
        <f>TEXT(cadangan[[#This Row],[Tanggal terjual]],"dddd")</f>
        <v>Wednesday</v>
      </c>
      <c r="AQ691" s="23" t="str" cm="1">
        <f t="array" ref="AQ6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91" s="61">
        <f>AVERAGE(cadangan[[#This Row],[Rating A]],cadangan[[#This Row],[Rating B]],cadangan[[#This Row],[Rating C]])</f>
        <v>4.5</v>
      </c>
    </row>
    <row r="692" spans="1:44" x14ac:dyDescent="0.2">
      <c r="A692" s="20">
        <v>691</v>
      </c>
      <c r="B692" s="21" t="str">
        <f>_xlfn.CONCAT("ORD-",INDEX(Helper!$B$2:$B$5,MATCH(cadangan[[#This Row],[Marketplace]],Helper!$A$2:$A$5,0)),TEXT(cadangan[[#This Row],[No]],"0000"),"-",TEXT(cadangan[[#This Row],[Tanggal terjual]],"dd/mm/yy"))</f>
        <v>ORD-SP0691-04/04/23</v>
      </c>
      <c r="C692" s="39" t="s">
        <v>60</v>
      </c>
      <c r="D692" s="39" t="str">
        <f>IFERROR(INDEX(Katalog!$A$3:$A$12,MATCH(cadangan[[#This Row],[ItemID A]],Katalog!$C$3:$C$12,0)),"-")</f>
        <v>Pakaian Wanita</v>
      </c>
      <c r="E692" s="39" t="str">
        <f>IFERROR(INDEX(Katalog!$B$3:$B$12,MATCH(cadangan[[#This Row],[ItemID A]],Katalog!$C$3:$C$12,0)),"-")</f>
        <v>Kaftan</v>
      </c>
      <c r="F692" s="50">
        <v>3</v>
      </c>
      <c r="G692" s="50">
        <v>4</v>
      </c>
      <c r="H692" s="73">
        <f>IFERROR(INDEX(Katalog!$D$3:$D$12,MATCH(cadangan[[#This Row],[ItemID A]],Katalog!$C$3:$C$12,0))*cadangan[[#This Row],[Qty A]],0)</f>
        <v>750000</v>
      </c>
      <c r="I692" s="73">
        <f>IFERROR(cadangan[[#This Row],[Harga Normal A]]-(cadangan[[#This Row],[Harga Normal A]]*cadangan[[#This Row],[Diskon]]),cadangan[[#This Row],[Harga Normal A]])</f>
        <v>637500</v>
      </c>
      <c r="J692" s="73">
        <f>INDEX(Katalog!$F$3:$F$12,MATCH(cadangan[[#This Row],[ItemID A]],Katalog!$C$3:$C$12,0))*cadangan[[#This Row],[Qty A]]</f>
        <v>300000</v>
      </c>
      <c r="K692" s="73">
        <f>IFERROR(cadangan[[#This Row],[Harga Diskon A]]-INDEX(Katalog!$E$3:$E$12,MATCH(cadangan[[#This Row],[ItemID A]],Katalog!$C$3:$C$12,0))*cadangan[[#This Row],[Qty A]],0)</f>
        <v>187500</v>
      </c>
      <c r="L692" s="39" t="s">
        <v>65</v>
      </c>
      <c r="M692" s="39" t="str">
        <f>IFERROR(INDEX(Katalog!$A$3:$A$12,MATCH(cadangan[[#This Row],[ItemID B]],Katalog!$C$3:$C$12,0)),"-")</f>
        <v>Sepatu Pria</v>
      </c>
      <c r="N692" s="39" t="str">
        <f>IFERROR(INDEX(Katalog!$B$3:$B$12,MATCH(cadangan[[#This Row],[ItemID B]],Katalog!$C$3:$C$12,0)),"-")</f>
        <v>Sneakers</v>
      </c>
      <c r="O692" s="50">
        <v>3</v>
      </c>
      <c r="P692" s="50">
        <v>3</v>
      </c>
      <c r="Q692" s="73">
        <f>IFERROR(INDEX(Katalog!$D$3:$D$12,MATCH(cadangan[[#This Row],[ItemID B]],Katalog!$C$3:$C$12,0))*cadangan[[#This Row],[Qty B]],0)</f>
        <v>1500000</v>
      </c>
      <c r="R692" s="73">
        <f>IFERROR(cadangan[[#This Row],[Harga Normal B]]-(cadangan[[#This Row],[Harga Normal B]]*cadangan[[#This Row],[Diskon]]),cadangan[[#This Row],[Harga Normal B]])</f>
        <v>1275000</v>
      </c>
      <c r="S692" s="73">
        <f>IFERROR(INDEX(Katalog!$F$3:$F$12,MATCH(cadangan[[#This Row],[ItemID B]],Katalog!$C$3:$C$12,0))*cadangan[[#This Row],[Qty B]],0)</f>
        <v>600000</v>
      </c>
      <c r="T692" s="73">
        <f>IFERROR(cadangan[[#This Row],[Harga Diskon B]]-INDEX(Katalog!$E$3:$E$12,MATCH(cadangan[[#This Row],[ItemID B]],Katalog!$C$3:$C$12,0))*cadangan[[#This Row],[Qty B]],0)</f>
        <v>375000</v>
      </c>
      <c r="U692" s="39" t="s">
        <v>58</v>
      </c>
      <c r="V692" s="39" t="str">
        <f>IFERROR(INDEX(Katalog!$A$3:$A$12,MATCH(cadangan[[#This Row],[ItemID C]],Katalog!$C$3:$C$12,0)),"-")</f>
        <v>Pakaian Wanita</v>
      </c>
      <c r="W692" s="39" t="str">
        <f>IFERROR(INDEX(Katalog!$B$3:$B$12,MATCH(cadangan[[#This Row],[ItemID C]],Katalog!$C$3:$C$12,0)),"-")</f>
        <v>Dress</v>
      </c>
      <c r="X692" s="50">
        <v>1</v>
      </c>
      <c r="Y692" s="50">
        <v>2</v>
      </c>
      <c r="Z692" s="73">
        <f>IFERROR(INDEX(Katalog!$D$3:$D$12,MATCH(cadangan[[#This Row],[ItemID C]],Katalog!$C$3:$C$12,0))*cadangan[[#This Row],[Qty C]],0)</f>
        <v>300000</v>
      </c>
      <c r="AA692" s="73">
        <f>IFERROR(cadangan[[#This Row],[Harga Normal C]]-(cadangan[[#This Row],[Harga Normal C]]*cadangan[[#This Row],[Diskon]]),cadangan[[#This Row],[Harga Normal C]])</f>
        <v>255000</v>
      </c>
      <c r="AB692" s="73">
        <f>IFERROR(INDEX(Katalog!$F$3:$F$12,MATCH(cadangan[[#This Row],[ItemID C]],Katalog!$C$3:$C$12,0))*cadangan[[#This Row],[Qty C]],0)</f>
        <v>100000</v>
      </c>
      <c r="AC692" s="73">
        <f>IFERROR(cadangan[[#This Row],[Harga Diskon C]]-INDEX(Katalog!$E$3:$E$12,MATCH(cadangan[[#This Row],[ItemID C]],Katalog!$C$3:$C$12,0))*cadangan[[#This Row],[Qty C]],0)</f>
        <v>55000</v>
      </c>
      <c r="AD692" s="53">
        <f>cadangan[[#This Row],[Qty A]]+cadangan[[#This Row],[Qty B]]+cadangan[[#This Row],[Qty C]]</f>
        <v>7</v>
      </c>
      <c r="AE692" s="73">
        <f>cadangan[[#This Row],[Harga Normal A]]+cadangan[[#This Row],[Harga Normal B]]+cadangan[[#This Row],[Harga Normal C]]</f>
        <v>2550000</v>
      </c>
      <c r="AF692" s="73">
        <f>cadangan[[#This Row],[Harga Diskon A]]+cadangan[[#This Row],[Harga Diskon B]]+cadangan[[#This Row],[Harga Diskon C]]</f>
        <v>2167500</v>
      </c>
      <c r="AG692" s="73">
        <f>(cadangan[[#This Row],[Profit Normal A]]+cadangan[[#This Row],[Profit Normal B]]+cadangan[[#This Row],[Profit Normal C]])</f>
        <v>1000000</v>
      </c>
      <c r="AH692" s="73">
        <f>cadangan[[#This Row],[Profit Diskon A]]+cadangan[[#This Row],[Profit Diskon B]]+cadangan[[#This Row],[Profit Diskon C]]</f>
        <v>617500</v>
      </c>
      <c r="AI692" s="23" t="s">
        <v>13</v>
      </c>
      <c r="AJ692" s="37">
        <f>IFERROR(INDEX('Kode Diskon'!$D$3:$D$9,MATCH(cadangan[[#This Row],[Kode diskon]],'Kode Diskon'!$C$3:$C$9,0)),"-")</f>
        <v>0.15</v>
      </c>
      <c r="AK692" s="23" t="s">
        <v>29</v>
      </c>
      <c r="AL692" s="23" t="s">
        <v>7</v>
      </c>
      <c r="AM692" s="23" t="s">
        <v>76</v>
      </c>
      <c r="AN692" s="55">
        <v>45020</v>
      </c>
      <c r="AO692" s="53">
        <f>DAY(cadangan[[#This Row],[Tanggal terjual]])</f>
        <v>4</v>
      </c>
      <c r="AP692" s="21" t="str">
        <f>TEXT(cadangan[[#This Row],[Tanggal terjual]],"dddd")</f>
        <v>Tuesday</v>
      </c>
      <c r="AQ692" s="23" t="str" cm="1">
        <f t="array" ref="AQ6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2" s="61">
        <f>AVERAGE(cadangan[[#This Row],[Rating A]],cadangan[[#This Row],[Rating B]],cadangan[[#This Row],[Rating C]])</f>
        <v>3</v>
      </c>
    </row>
    <row r="693" spans="1:44" x14ac:dyDescent="0.2">
      <c r="A693" s="20">
        <v>692</v>
      </c>
      <c r="B693" s="21" t="str">
        <f>_xlfn.CONCAT("ORD-",INDEX(Helper!$B$2:$B$5,MATCH(cadangan[[#This Row],[Marketplace]],Helper!$A$2:$A$5,0)),TEXT(cadangan[[#This Row],[No]],"0000"),"-",TEXT(cadangan[[#This Row],[Tanggal terjual]],"dd/mm/yy"))</f>
        <v>ORD-SP0692-04/04/23</v>
      </c>
      <c r="C693" s="39" t="s">
        <v>66</v>
      </c>
      <c r="D693" s="39" t="str">
        <f>IFERROR(INDEX(Katalog!$A$3:$A$12,MATCH(cadangan[[#This Row],[ItemID A]],Katalog!$C$3:$C$12,0)),"-")</f>
        <v>Sepatu Pria</v>
      </c>
      <c r="E693" s="39" t="str">
        <f>IFERROR(INDEX(Katalog!$B$3:$B$12,MATCH(cadangan[[#This Row],[ItemID A]],Katalog!$C$3:$C$12,0)),"-")</f>
        <v>Sandal Slip On</v>
      </c>
      <c r="F693" s="50">
        <v>1</v>
      </c>
      <c r="G693" s="50">
        <v>3</v>
      </c>
      <c r="H693" s="73">
        <f>IFERROR(INDEX(Katalog!$D$3:$D$12,MATCH(cadangan[[#This Row],[ItemID A]],Katalog!$C$3:$C$12,0))*cadangan[[#This Row],[Qty A]],0)</f>
        <v>150000</v>
      </c>
      <c r="I693" s="73">
        <f>IFERROR(cadangan[[#This Row],[Harga Normal A]]-(cadangan[[#This Row],[Harga Normal A]]*cadangan[[#This Row],[Diskon]]),cadangan[[#This Row],[Harga Normal A]])</f>
        <v>127500</v>
      </c>
      <c r="J693" s="73">
        <f>INDEX(Katalog!$F$3:$F$12,MATCH(cadangan[[#This Row],[ItemID A]],Katalog!$C$3:$C$12,0))*cadangan[[#This Row],[Qty A]]</f>
        <v>60000</v>
      </c>
      <c r="K693" s="73">
        <f>IFERROR(cadangan[[#This Row],[Harga Diskon A]]-INDEX(Katalog!$E$3:$E$12,MATCH(cadangan[[#This Row],[ItemID A]],Katalog!$C$3:$C$12,0))*cadangan[[#This Row],[Qty A]],0)</f>
        <v>37500</v>
      </c>
      <c r="L693" s="39" t="s">
        <v>65</v>
      </c>
      <c r="M693" s="39" t="str">
        <f>IFERROR(INDEX(Katalog!$A$3:$A$12,MATCH(cadangan[[#This Row],[ItemID B]],Katalog!$C$3:$C$12,0)),"-")</f>
        <v>Sepatu Pria</v>
      </c>
      <c r="N693" s="39" t="str">
        <f>IFERROR(INDEX(Katalog!$B$3:$B$12,MATCH(cadangan[[#This Row],[ItemID B]],Katalog!$C$3:$C$12,0)),"-")</f>
        <v>Sneakers</v>
      </c>
      <c r="O693" s="50">
        <v>2</v>
      </c>
      <c r="P693" s="50">
        <v>2</v>
      </c>
      <c r="Q693" s="73">
        <f>IFERROR(INDEX(Katalog!$D$3:$D$12,MATCH(cadangan[[#This Row],[ItemID B]],Katalog!$C$3:$C$12,0))*cadangan[[#This Row],[Qty B]],0)</f>
        <v>1000000</v>
      </c>
      <c r="R693" s="73">
        <f>IFERROR(cadangan[[#This Row],[Harga Normal B]]-(cadangan[[#This Row],[Harga Normal B]]*cadangan[[#This Row],[Diskon]]),cadangan[[#This Row],[Harga Normal B]])</f>
        <v>850000</v>
      </c>
      <c r="S693" s="73">
        <f>IFERROR(INDEX(Katalog!$F$3:$F$12,MATCH(cadangan[[#This Row],[ItemID B]],Katalog!$C$3:$C$12,0))*cadangan[[#This Row],[Qty B]],0)</f>
        <v>400000</v>
      </c>
      <c r="T693" s="73">
        <f>IFERROR(cadangan[[#This Row],[Harga Diskon B]]-INDEX(Katalog!$E$3:$E$12,MATCH(cadangan[[#This Row],[ItemID B]],Katalog!$C$3:$C$12,0))*cadangan[[#This Row],[Qty B]],0)</f>
        <v>250000</v>
      </c>
      <c r="U693" s="39" t="s">
        <v>58</v>
      </c>
      <c r="V693" s="39" t="str">
        <f>IFERROR(INDEX(Katalog!$A$3:$A$12,MATCH(cadangan[[#This Row],[ItemID C]],Katalog!$C$3:$C$12,0)),"-")</f>
        <v>Pakaian Wanita</v>
      </c>
      <c r="W693" s="39" t="str">
        <f>IFERROR(INDEX(Katalog!$B$3:$B$12,MATCH(cadangan[[#This Row],[ItemID C]],Katalog!$C$3:$C$12,0)),"-")</f>
        <v>Dress</v>
      </c>
      <c r="X693" s="50">
        <v>3</v>
      </c>
      <c r="Y693" s="50">
        <v>4</v>
      </c>
      <c r="Z693" s="73">
        <f>IFERROR(INDEX(Katalog!$D$3:$D$12,MATCH(cadangan[[#This Row],[ItemID C]],Katalog!$C$3:$C$12,0))*cadangan[[#This Row],[Qty C]],0)</f>
        <v>900000</v>
      </c>
      <c r="AA693" s="73">
        <f>IFERROR(cadangan[[#This Row],[Harga Normal C]]-(cadangan[[#This Row],[Harga Normal C]]*cadangan[[#This Row],[Diskon]]),cadangan[[#This Row],[Harga Normal C]])</f>
        <v>765000</v>
      </c>
      <c r="AB693" s="73">
        <f>IFERROR(INDEX(Katalog!$F$3:$F$12,MATCH(cadangan[[#This Row],[ItemID C]],Katalog!$C$3:$C$12,0))*cadangan[[#This Row],[Qty C]],0)</f>
        <v>300000</v>
      </c>
      <c r="AC693" s="73">
        <f>IFERROR(cadangan[[#This Row],[Harga Diskon C]]-INDEX(Katalog!$E$3:$E$12,MATCH(cadangan[[#This Row],[ItemID C]],Katalog!$C$3:$C$12,0))*cadangan[[#This Row],[Qty C]],0)</f>
        <v>165000</v>
      </c>
      <c r="AD693" s="53">
        <f>cadangan[[#This Row],[Qty A]]+cadangan[[#This Row],[Qty B]]+cadangan[[#This Row],[Qty C]]</f>
        <v>6</v>
      </c>
      <c r="AE693" s="73">
        <f>cadangan[[#This Row],[Harga Normal A]]+cadangan[[#This Row],[Harga Normal B]]+cadangan[[#This Row],[Harga Normal C]]</f>
        <v>2050000</v>
      </c>
      <c r="AF693" s="73">
        <f>cadangan[[#This Row],[Harga Diskon A]]+cadangan[[#This Row],[Harga Diskon B]]+cadangan[[#This Row],[Harga Diskon C]]</f>
        <v>1742500</v>
      </c>
      <c r="AG693" s="73">
        <f>(cadangan[[#This Row],[Profit Normal A]]+cadangan[[#This Row],[Profit Normal B]]+cadangan[[#This Row],[Profit Normal C]])</f>
        <v>760000</v>
      </c>
      <c r="AH693" s="73">
        <f>cadangan[[#This Row],[Profit Diskon A]]+cadangan[[#This Row],[Profit Diskon B]]+cadangan[[#This Row],[Profit Diskon C]]</f>
        <v>452500</v>
      </c>
      <c r="AI693" s="23" t="s">
        <v>13</v>
      </c>
      <c r="AJ693" s="37">
        <f>IFERROR(INDEX('Kode Diskon'!$D$3:$D$9,MATCH(cadangan[[#This Row],[Kode diskon]],'Kode Diskon'!$C$3:$C$9,0)),"-")</f>
        <v>0.15</v>
      </c>
      <c r="AK693" s="23" t="s">
        <v>29</v>
      </c>
      <c r="AL693" s="23" t="s">
        <v>7</v>
      </c>
      <c r="AM693" s="23" t="s">
        <v>78</v>
      </c>
      <c r="AN693" s="55">
        <v>45020</v>
      </c>
      <c r="AO693" s="53">
        <f>DAY(cadangan[[#This Row],[Tanggal terjual]])</f>
        <v>4</v>
      </c>
      <c r="AP693" s="21" t="str">
        <f>TEXT(cadangan[[#This Row],[Tanggal terjual]],"dddd")</f>
        <v>Tuesday</v>
      </c>
      <c r="AQ693" s="23" t="str" cm="1">
        <f t="array" ref="AQ6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3" s="61">
        <f>AVERAGE(cadangan[[#This Row],[Rating A]],cadangan[[#This Row],[Rating B]],cadangan[[#This Row],[Rating C]])</f>
        <v>3</v>
      </c>
    </row>
    <row r="694" spans="1:44" x14ac:dyDescent="0.2">
      <c r="A694" s="20">
        <v>693</v>
      </c>
      <c r="B694" s="21" t="str">
        <f>_xlfn.CONCAT("ORD-",INDEX(Helper!$B$2:$B$5,MATCH(cadangan[[#This Row],[Marketplace]],Helper!$A$2:$A$5,0)),TEXT(cadangan[[#This Row],[No]],"0000"),"-",TEXT(cadangan[[#This Row],[Tanggal terjual]],"dd/mm/yy"))</f>
        <v>ORD-SP0693-04/04/23</v>
      </c>
      <c r="C694" s="39" t="s">
        <v>60</v>
      </c>
      <c r="D694" s="39" t="str">
        <f>IFERROR(INDEX(Katalog!$A$3:$A$12,MATCH(cadangan[[#This Row],[ItemID A]],Katalog!$C$3:$C$12,0)),"-")</f>
        <v>Pakaian Wanita</v>
      </c>
      <c r="E694" s="39" t="str">
        <f>IFERROR(INDEX(Katalog!$B$3:$B$12,MATCH(cadangan[[#This Row],[ItemID A]],Katalog!$C$3:$C$12,0)),"-")</f>
        <v>Kaftan</v>
      </c>
      <c r="F694" s="50">
        <v>4</v>
      </c>
      <c r="G694" s="50">
        <v>2</v>
      </c>
      <c r="H694" s="73">
        <f>IFERROR(INDEX(Katalog!$D$3:$D$12,MATCH(cadangan[[#This Row],[ItemID A]],Katalog!$C$3:$C$12,0))*cadangan[[#This Row],[Qty A]],0)</f>
        <v>1000000</v>
      </c>
      <c r="I694" s="73">
        <f>IFERROR(cadangan[[#This Row],[Harga Normal A]]-(cadangan[[#This Row],[Harga Normal A]]*cadangan[[#This Row],[Diskon]]),cadangan[[#This Row],[Harga Normal A]])</f>
        <v>850000</v>
      </c>
      <c r="J694" s="73">
        <f>INDEX(Katalog!$F$3:$F$12,MATCH(cadangan[[#This Row],[ItemID A]],Katalog!$C$3:$C$12,0))*cadangan[[#This Row],[Qty A]]</f>
        <v>400000</v>
      </c>
      <c r="K694" s="73">
        <f>IFERROR(cadangan[[#This Row],[Harga Diskon A]]-INDEX(Katalog!$E$3:$E$12,MATCH(cadangan[[#This Row],[ItemID A]],Katalog!$C$3:$C$12,0))*cadangan[[#This Row],[Qty A]],0)</f>
        <v>250000</v>
      </c>
      <c r="L694" s="39" t="s">
        <v>59</v>
      </c>
      <c r="M694" s="39" t="str">
        <f>IFERROR(INDEX(Katalog!$A$3:$A$12,MATCH(cadangan[[#This Row],[ItemID B]],Katalog!$C$3:$C$12,0)),"-")</f>
        <v>Pakaian Wanita</v>
      </c>
      <c r="N694" s="39" t="str">
        <f>IFERROR(INDEX(Katalog!$B$3:$B$12,MATCH(cadangan[[#This Row],[ItemID B]],Katalog!$C$3:$C$12,0)),"-")</f>
        <v>Blouse</v>
      </c>
      <c r="O694" s="50">
        <v>1</v>
      </c>
      <c r="P694" s="50">
        <v>5</v>
      </c>
      <c r="Q694" s="73">
        <f>IFERROR(INDEX(Katalog!$D$3:$D$12,MATCH(cadangan[[#This Row],[ItemID B]],Katalog!$C$3:$C$12,0))*cadangan[[#This Row],[Qty B]],0)</f>
        <v>150000</v>
      </c>
      <c r="R694" s="73">
        <f>IFERROR(cadangan[[#This Row],[Harga Normal B]]-(cadangan[[#This Row],[Harga Normal B]]*cadangan[[#This Row],[Diskon]]),cadangan[[#This Row],[Harga Normal B]])</f>
        <v>127500</v>
      </c>
      <c r="S694" s="73">
        <f>IFERROR(INDEX(Katalog!$F$3:$F$12,MATCH(cadangan[[#This Row],[ItemID B]],Katalog!$C$3:$C$12,0))*cadangan[[#This Row],[Qty B]],0)</f>
        <v>50000</v>
      </c>
      <c r="T694" s="73">
        <f>IFERROR(cadangan[[#This Row],[Harga Diskon B]]-INDEX(Katalog!$E$3:$E$12,MATCH(cadangan[[#This Row],[ItemID B]],Katalog!$C$3:$C$12,0))*cadangan[[#This Row],[Qty B]],0)</f>
        <v>27500</v>
      </c>
      <c r="V694" s="39" t="str">
        <f>IFERROR(INDEX(Katalog!$A$3:$A$12,MATCH(cadangan[[#This Row],[ItemID C]],Katalog!$C$3:$C$12,0)),"-")</f>
        <v>-</v>
      </c>
      <c r="W694" s="39" t="str">
        <f>IFERROR(INDEX(Katalog!$B$3:$B$12,MATCH(cadangan[[#This Row],[ItemID C]],Katalog!$C$3:$C$12,0)),"-")</f>
        <v>-</v>
      </c>
      <c r="Z694" s="73">
        <f>IFERROR(INDEX(Katalog!$D$3:$D$12,MATCH(cadangan[[#This Row],[ItemID C]],Katalog!$C$3:$C$12,0))*cadangan[[#This Row],[Qty C]],0)</f>
        <v>0</v>
      </c>
      <c r="AA694" s="73">
        <f>IFERROR(cadangan[[#This Row],[Harga Normal C]]-(cadangan[[#This Row],[Harga Normal C]]*cadangan[[#This Row],[Diskon]]),cadangan[[#This Row],[Harga Normal C]])</f>
        <v>0</v>
      </c>
      <c r="AB694" s="73">
        <f>IFERROR(INDEX(Katalog!$F$3:$F$12,MATCH(cadangan[[#This Row],[ItemID C]],Katalog!$C$3:$C$12,0))*cadangan[[#This Row],[Qty C]],0)</f>
        <v>0</v>
      </c>
      <c r="AC694" s="73">
        <f>IFERROR(cadangan[[#This Row],[Harga Diskon C]]-INDEX(Katalog!$E$3:$E$12,MATCH(cadangan[[#This Row],[ItemID C]],Katalog!$C$3:$C$12,0))*cadangan[[#This Row],[Qty C]],0)</f>
        <v>0</v>
      </c>
      <c r="AD694" s="53">
        <f>cadangan[[#This Row],[Qty A]]+cadangan[[#This Row],[Qty B]]+cadangan[[#This Row],[Qty C]]</f>
        <v>5</v>
      </c>
      <c r="AE694" s="73">
        <f>cadangan[[#This Row],[Harga Normal A]]+cadangan[[#This Row],[Harga Normal B]]+cadangan[[#This Row],[Harga Normal C]]</f>
        <v>1150000</v>
      </c>
      <c r="AF694" s="73">
        <f>cadangan[[#This Row],[Harga Diskon A]]+cadangan[[#This Row],[Harga Diskon B]]+cadangan[[#This Row],[Harga Diskon C]]</f>
        <v>977500</v>
      </c>
      <c r="AG694" s="73">
        <f>(cadangan[[#This Row],[Profit Normal A]]+cadangan[[#This Row],[Profit Normal B]]+cadangan[[#This Row],[Profit Normal C]])</f>
        <v>450000</v>
      </c>
      <c r="AH694" s="73">
        <f>cadangan[[#This Row],[Profit Diskon A]]+cadangan[[#This Row],[Profit Diskon B]]+cadangan[[#This Row],[Profit Diskon C]]</f>
        <v>277500</v>
      </c>
      <c r="AI694" s="23" t="s">
        <v>13</v>
      </c>
      <c r="AJ694" s="37">
        <f>IFERROR(INDEX('Kode Diskon'!$D$3:$D$9,MATCH(cadangan[[#This Row],[Kode diskon]],'Kode Diskon'!$C$3:$C$9,0)),"-")</f>
        <v>0.15</v>
      </c>
      <c r="AK694" s="23" t="s">
        <v>29</v>
      </c>
      <c r="AL694" s="23" t="s">
        <v>7</v>
      </c>
      <c r="AM694" s="23" t="s">
        <v>78</v>
      </c>
      <c r="AN694" s="55">
        <v>45020</v>
      </c>
      <c r="AO694" s="53">
        <f>DAY(cadangan[[#This Row],[Tanggal terjual]])</f>
        <v>4</v>
      </c>
      <c r="AP694" s="21" t="str">
        <f>TEXT(cadangan[[#This Row],[Tanggal terjual]],"dddd")</f>
        <v>Tuesday</v>
      </c>
      <c r="AQ694" s="23" t="str" cm="1">
        <f t="array" ref="AQ6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4" s="61">
        <f>AVERAGE(cadangan[[#This Row],[Rating A]],cadangan[[#This Row],[Rating B]],cadangan[[#This Row],[Rating C]])</f>
        <v>3.5</v>
      </c>
    </row>
    <row r="695" spans="1:44" x14ac:dyDescent="0.2">
      <c r="A695" s="20">
        <v>694</v>
      </c>
      <c r="B695" s="21" t="str">
        <f>_xlfn.CONCAT("ORD-",INDEX(Helper!$B$2:$B$5,MATCH(cadangan[[#This Row],[Marketplace]],Helper!$A$2:$A$5,0)),TEXT(cadangan[[#This Row],[No]],"0000"),"-",TEXT(cadangan[[#This Row],[Tanggal terjual]],"dd/mm/yy"))</f>
        <v>ORD-SP0694-01/04/23</v>
      </c>
      <c r="C695" s="39" t="s">
        <v>58</v>
      </c>
      <c r="D695" s="39" t="str">
        <f>IFERROR(INDEX(Katalog!$A$3:$A$12,MATCH(cadangan[[#This Row],[ItemID A]],Katalog!$C$3:$C$12,0)),"-")</f>
        <v>Pakaian Wanita</v>
      </c>
      <c r="E695" s="39" t="str">
        <f>IFERROR(INDEX(Katalog!$B$3:$B$12,MATCH(cadangan[[#This Row],[ItemID A]],Katalog!$C$3:$C$12,0)),"-")</f>
        <v>Dress</v>
      </c>
      <c r="F695" s="50">
        <v>3</v>
      </c>
      <c r="G695" s="50">
        <v>4</v>
      </c>
      <c r="H695" s="73">
        <f>IFERROR(INDEX(Katalog!$D$3:$D$12,MATCH(cadangan[[#This Row],[ItemID A]],Katalog!$C$3:$C$12,0))*cadangan[[#This Row],[Qty A]],0)</f>
        <v>900000</v>
      </c>
      <c r="I695" s="73">
        <f>IFERROR(cadangan[[#This Row],[Harga Normal A]]-(cadangan[[#This Row],[Harga Normal A]]*cadangan[[#This Row],[Diskon]]),cadangan[[#This Row],[Harga Normal A]])</f>
        <v>765000</v>
      </c>
      <c r="J695" s="73">
        <f>INDEX(Katalog!$F$3:$F$12,MATCH(cadangan[[#This Row],[ItemID A]],Katalog!$C$3:$C$12,0))*cadangan[[#This Row],[Qty A]]</f>
        <v>300000</v>
      </c>
      <c r="K695" s="73">
        <f>IFERROR(cadangan[[#This Row],[Harga Diskon A]]-INDEX(Katalog!$E$3:$E$12,MATCH(cadangan[[#This Row],[ItemID A]],Katalog!$C$3:$C$12,0))*cadangan[[#This Row],[Qty A]],0)</f>
        <v>165000</v>
      </c>
      <c r="M695" s="39" t="str">
        <f>IFERROR(INDEX(Katalog!$A$3:$A$12,MATCH(cadangan[[#This Row],[ItemID B]],Katalog!$C$3:$C$12,0)),"-")</f>
        <v>-</v>
      </c>
      <c r="N695" s="39" t="str">
        <f>IFERROR(INDEX(Katalog!$B$3:$B$12,MATCH(cadangan[[#This Row],[ItemID B]],Katalog!$C$3:$C$12,0)),"-")</f>
        <v>-</v>
      </c>
      <c r="Q695" s="73">
        <f>IFERROR(INDEX(Katalog!$D$3:$D$12,MATCH(cadangan[[#This Row],[ItemID B]],Katalog!$C$3:$C$12,0))*cadangan[[#This Row],[Qty B]],0)</f>
        <v>0</v>
      </c>
      <c r="R695" s="73">
        <f>IFERROR(cadangan[[#This Row],[Harga Normal B]]-(cadangan[[#This Row],[Harga Normal B]]*cadangan[[#This Row],[Diskon]]),cadangan[[#This Row],[Harga Normal B]])</f>
        <v>0</v>
      </c>
      <c r="S695" s="73">
        <f>IFERROR(INDEX(Katalog!$F$3:$F$12,MATCH(cadangan[[#This Row],[ItemID B]],Katalog!$C$3:$C$12,0))*cadangan[[#This Row],[Qty B]],0)</f>
        <v>0</v>
      </c>
      <c r="T695" s="73">
        <f>IFERROR(cadangan[[#This Row],[Harga Diskon B]]-INDEX(Katalog!$E$3:$E$12,MATCH(cadangan[[#This Row],[ItemID B]],Katalog!$C$3:$C$12,0))*cadangan[[#This Row],[Qty B]],0)</f>
        <v>0</v>
      </c>
      <c r="V695" s="39" t="str">
        <f>IFERROR(INDEX(Katalog!$A$3:$A$12,MATCH(cadangan[[#This Row],[ItemID C]],Katalog!$C$3:$C$12,0)),"-")</f>
        <v>-</v>
      </c>
      <c r="W695" s="39" t="str">
        <f>IFERROR(INDEX(Katalog!$B$3:$B$12,MATCH(cadangan[[#This Row],[ItemID C]],Katalog!$C$3:$C$12,0)),"-")</f>
        <v>-</v>
      </c>
      <c r="Z695" s="73">
        <f>IFERROR(INDEX(Katalog!$D$3:$D$12,MATCH(cadangan[[#This Row],[ItemID C]],Katalog!$C$3:$C$12,0))*cadangan[[#This Row],[Qty C]],0)</f>
        <v>0</v>
      </c>
      <c r="AA695" s="73">
        <f>IFERROR(cadangan[[#This Row],[Harga Normal C]]-(cadangan[[#This Row],[Harga Normal C]]*cadangan[[#This Row],[Diskon]]),cadangan[[#This Row],[Harga Normal C]])</f>
        <v>0</v>
      </c>
      <c r="AB695" s="73">
        <f>IFERROR(INDEX(Katalog!$F$3:$F$12,MATCH(cadangan[[#This Row],[ItemID C]],Katalog!$C$3:$C$12,0))*cadangan[[#This Row],[Qty C]],0)</f>
        <v>0</v>
      </c>
      <c r="AC695" s="73">
        <f>IFERROR(cadangan[[#This Row],[Harga Diskon C]]-INDEX(Katalog!$E$3:$E$12,MATCH(cadangan[[#This Row],[ItemID C]],Katalog!$C$3:$C$12,0))*cadangan[[#This Row],[Qty C]],0)</f>
        <v>0</v>
      </c>
      <c r="AD695" s="53">
        <f>cadangan[[#This Row],[Qty A]]+cadangan[[#This Row],[Qty B]]+cadangan[[#This Row],[Qty C]]</f>
        <v>3</v>
      </c>
      <c r="AE695" s="73">
        <f>cadangan[[#This Row],[Harga Normal A]]+cadangan[[#This Row],[Harga Normal B]]+cadangan[[#This Row],[Harga Normal C]]</f>
        <v>900000</v>
      </c>
      <c r="AF695" s="73">
        <f>cadangan[[#This Row],[Harga Diskon A]]+cadangan[[#This Row],[Harga Diskon B]]+cadangan[[#This Row],[Harga Diskon C]]</f>
        <v>765000</v>
      </c>
      <c r="AG695" s="73">
        <f>(cadangan[[#This Row],[Profit Normal A]]+cadangan[[#This Row],[Profit Normal B]]+cadangan[[#This Row],[Profit Normal C]])</f>
        <v>300000</v>
      </c>
      <c r="AH695" s="73">
        <f>cadangan[[#This Row],[Profit Diskon A]]+cadangan[[#This Row],[Profit Diskon B]]+cadangan[[#This Row],[Profit Diskon C]]</f>
        <v>165000</v>
      </c>
      <c r="AI695" s="23" t="s">
        <v>13</v>
      </c>
      <c r="AJ695" s="37">
        <f>IFERROR(INDEX('Kode Diskon'!$D$3:$D$9,MATCH(cadangan[[#This Row],[Kode diskon]],'Kode Diskon'!$C$3:$C$9,0)),"-")</f>
        <v>0.15</v>
      </c>
      <c r="AK695" s="23" t="s">
        <v>29</v>
      </c>
      <c r="AL695" s="23" t="s">
        <v>7</v>
      </c>
      <c r="AM695" s="23" t="s">
        <v>75</v>
      </c>
      <c r="AN695" s="55">
        <v>45017</v>
      </c>
      <c r="AO695" s="53">
        <f>DAY(cadangan[[#This Row],[Tanggal terjual]])</f>
        <v>1</v>
      </c>
      <c r="AP695" s="21" t="str">
        <f>TEXT(cadangan[[#This Row],[Tanggal terjual]],"dddd")</f>
        <v>Saturday</v>
      </c>
      <c r="AQ695" s="23" t="str" cm="1">
        <f t="array" ref="AQ6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5" s="61">
        <f>AVERAGE(cadangan[[#This Row],[Rating A]],cadangan[[#This Row],[Rating B]],cadangan[[#This Row],[Rating C]])</f>
        <v>4</v>
      </c>
    </row>
    <row r="696" spans="1:44" x14ac:dyDescent="0.2">
      <c r="A696" s="20">
        <v>695</v>
      </c>
      <c r="B696" s="21" t="str">
        <f>_xlfn.CONCAT("ORD-",INDEX(Helper!$B$2:$B$5,MATCH(cadangan[[#This Row],[Marketplace]],Helper!$A$2:$A$5,0)),TEXT(cadangan[[#This Row],[No]],"0000"),"-",TEXT(cadangan[[#This Row],[Tanggal terjual]],"dd/mm/yy"))</f>
        <v>ORD-BB0695-15/04/23</v>
      </c>
      <c r="C696" s="39" t="s">
        <v>63</v>
      </c>
      <c r="D696" s="39" t="str">
        <f>IFERROR(INDEX(Katalog!$A$3:$A$12,MATCH(cadangan[[#This Row],[ItemID A]],Katalog!$C$3:$C$12,0)),"-")</f>
        <v>Pakaian Pria</v>
      </c>
      <c r="E696" s="39" t="str">
        <f>IFERROR(INDEX(Katalog!$B$3:$B$12,MATCH(cadangan[[#This Row],[ItemID A]],Katalog!$C$3:$C$12,0)),"-")</f>
        <v>Jaket Jeans</v>
      </c>
      <c r="F696" s="50">
        <v>1</v>
      </c>
      <c r="G696" s="50">
        <v>5</v>
      </c>
      <c r="H696" s="73">
        <f>IFERROR(INDEX(Katalog!$D$3:$D$12,MATCH(cadangan[[#This Row],[ItemID A]],Katalog!$C$3:$C$12,0))*cadangan[[#This Row],[Qty A]],0)</f>
        <v>400000</v>
      </c>
      <c r="I696" s="73">
        <f>IFERROR(cadangan[[#This Row],[Harga Normal A]]-(cadangan[[#This Row],[Harga Normal A]]*cadangan[[#This Row],[Diskon]]),cadangan[[#This Row],[Harga Normal A]])</f>
        <v>400000</v>
      </c>
      <c r="J696" s="73">
        <f>INDEX(Katalog!$F$3:$F$12,MATCH(cadangan[[#This Row],[ItemID A]],Katalog!$C$3:$C$12,0))*cadangan[[#This Row],[Qty A]]</f>
        <v>150000</v>
      </c>
      <c r="K696" s="73">
        <f>IFERROR(cadangan[[#This Row],[Harga Diskon A]]-INDEX(Katalog!$E$3:$E$12,MATCH(cadangan[[#This Row],[ItemID A]],Katalog!$C$3:$C$12,0))*cadangan[[#This Row],[Qty A]],0)</f>
        <v>150000</v>
      </c>
      <c r="L696" s="39" t="s">
        <v>66</v>
      </c>
      <c r="M696" s="39" t="str">
        <f>IFERROR(INDEX(Katalog!$A$3:$A$12,MATCH(cadangan[[#This Row],[ItemID B]],Katalog!$C$3:$C$12,0)),"-")</f>
        <v>Sepatu Pria</v>
      </c>
      <c r="N696" s="39" t="str">
        <f>IFERROR(INDEX(Katalog!$B$3:$B$12,MATCH(cadangan[[#This Row],[ItemID B]],Katalog!$C$3:$C$12,0)),"-")</f>
        <v>Sandal Slip On</v>
      </c>
      <c r="O696" s="50">
        <v>1</v>
      </c>
      <c r="P696" s="50">
        <v>4</v>
      </c>
      <c r="Q696" s="73">
        <f>IFERROR(INDEX(Katalog!$D$3:$D$12,MATCH(cadangan[[#This Row],[ItemID B]],Katalog!$C$3:$C$12,0))*cadangan[[#This Row],[Qty B]],0)</f>
        <v>150000</v>
      </c>
      <c r="R696" s="73">
        <f>IFERROR(cadangan[[#This Row],[Harga Normal B]]-(cadangan[[#This Row],[Harga Normal B]]*cadangan[[#This Row],[Diskon]]),cadangan[[#This Row],[Harga Normal B]])</f>
        <v>150000</v>
      </c>
      <c r="S696" s="73">
        <f>IFERROR(INDEX(Katalog!$F$3:$F$12,MATCH(cadangan[[#This Row],[ItemID B]],Katalog!$C$3:$C$12,0))*cadangan[[#This Row],[Qty B]],0)</f>
        <v>60000</v>
      </c>
      <c r="T696" s="73">
        <f>IFERROR(cadangan[[#This Row],[Harga Diskon B]]-INDEX(Katalog!$E$3:$E$12,MATCH(cadangan[[#This Row],[ItemID B]],Katalog!$C$3:$C$12,0))*cadangan[[#This Row],[Qty B]],0)</f>
        <v>60000</v>
      </c>
      <c r="V696" s="39" t="str">
        <f>IFERROR(INDEX(Katalog!$A$3:$A$12,MATCH(cadangan[[#This Row],[ItemID C]],Katalog!$C$3:$C$12,0)),"-")</f>
        <v>-</v>
      </c>
      <c r="W696" s="39" t="str">
        <f>IFERROR(INDEX(Katalog!$B$3:$B$12,MATCH(cadangan[[#This Row],[ItemID C]],Katalog!$C$3:$C$12,0)),"-")</f>
        <v>-</v>
      </c>
      <c r="Z696" s="73">
        <f>IFERROR(INDEX(Katalog!$D$3:$D$12,MATCH(cadangan[[#This Row],[ItemID C]],Katalog!$C$3:$C$12,0))*cadangan[[#This Row],[Qty C]],0)</f>
        <v>0</v>
      </c>
      <c r="AA696" s="73">
        <f>IFERROR(cadangan[[#This Row],[Harga Normal C]]-(cadangan[[#This Row],[Harga Normal C]]*cadangan[[#This Row],[Diskon]]),cadangan[[#This Row],[Harga Normal C]])</f>
        <v>0</v>
      </c>
      <c r="AB696" s="73">
        <f>IFERROR(INDEX(Katalog!$F$3:$F$12,MATCH(cadangan[[#This Row],[ItemID C]],Katalog!$C$3:$C$12,0))*cadangan[[#This Row],[Qty C]],0)</f>
        <v>0</v>
      </c>
      <c r="AC696" s="73">
        <f>IFERROR(cadangan[[#This Row],[Harga Diskon C]]-INDEX(Katalog!$E$3:$E$12,MATCH(cadangan[[#This Row],[ItemID C]],Katalog!$C$3:$C$12,0))*cadangan[[#This Row],[Qty C]],0)</f>
        <v>0</v>
      </c>
      <c r="AD696" s="53">
        <f>cadangan[[#This Row],[Qty A]]+cadangan[[#This Row],[Qty B]]+cadangan[[#This Row],[Qty C]]</f>
        <v>2</v>
      </c>
      <c r="AE696" s="73">
        <f>cadangan[[#This Row],[Harga Normal A]]+cadangan[[#This Row],[Harga Normal B]]+cadangan[[#This Row],[Harga Normal C]]</f>
        <v>550000</v>
      </c>
      <c r="AF696" s="73">
        <f>cadangan[[#This Row],[Harga Diskon A]]+cadangan[[#This Row],[Harga Diskon B]]+cadangan[[#This Row],[Harga Diskon C]]</f>
        <v>550000</v>
      </c>
      <c r="AG696" s="73">
        <f>(cadangan[[#This Row],[Profit Normal A]]+cadangan[[#This Row],[Profit Normal B]]+cadangan[[#This Row],[Profit Normal C]])</f>
        <v>210000</v>
      </c>
      <c r="AH696" s="73">
        <f>cadangan[[#This Row],[Profit Diskon A]]+cadangan[[#This Row],[Profit Diskon B]]+cadangan[[#This Row],[Profit Diskon C]]</f>
        <v>210000</v>
      </c>
      <c r="AI696" s="23" t="s">
        <v>290</v>
      </c>
      <c r="AJ696" s="37" t="str">
        <f>IFERROR(INDEX('Kode Diskon'!$D$3:$D$9,MATCH(cadangan[[#This Row],[Kode diskon]],'Kode Diskon'!$C$3:$C$9,0)),"-")</f>
        <v>-</v>
      </c>
      <c r="AK696" s="23" t="s">
        <v>290</v>
      </c>
      <c r="AL696" s="23" t="s">
        <v>14</v>
      </c>
      <c r="AM696" s="23" t="s">
        <v>75</v>
      </c>
      <c r="AN696" s="55">
        <v>45031</v>
      </c>
      <c r="AO696" s="53">
        <f>DAY(cadangan[[#This Row],[Tanggal terjual]])</f>
        <v>15</v>
      </c>
      <c r="AP696" s="21" t="str">
        <f>TEXT(cadangan[[#This Row],[Tanggal terjual]],"dddd")</f>
        <v>Saturday</v>
      </c>
      <c r="AQ696" s="23" t="str" cm="1">
        <f t="array" ref="AQ6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696" s="61">
        <f>AVERAGE(cadangan[[#This Row],[Rating A]],cadangan[[#This Row],[Rating B]],cadangan[[#This Row],[Rating C]])</f>
        <v>4.5</v>
      </c>
    </row>
    <row r="697" spans="1:44" x14ac:dyDescent="0.2">
      <c r="A697" s="20">
        <v>696</v>
      </c>
      <c r="B697" s="21" t="str">
        <f>_xlfn.CONCAT("ORD-",INDEX(Helper!$B$2:$B$5,MATCH(cadangan[[#This Row],[Marketplace]],Helper!$A$2:$A$5,0)),TEXT(cadangan[[#This Row],[No]],"0000"),"-",TEXT(cadangan[[#This Row],[Tanggal terjual]],"dd/mm/yy"))</f>
        <v>ORD-SP0696-06/04/23</v>
      </c>
      <c r="C697" s="39" t="s">
        <v>58</v>
      </c>
      <c r="D697" s="39" t="str">
        <f>IFERROR(INDEX(Katalog!$A$3:$A$12,MATCH(cadangan[[#This Row],[ItemID A]],Katalog!$C$3:$C$12,0)),"-")</f>
        <v>Pakaian Wanita</v>
      </c>
      <c r="E697" s="39" t="str">
        <f>IFERROR(INDEX(Katalog!$B$3:$B$12,MATCH(cadangan[[#This Row],[ItemID A]],Katalog!$C$3:$C$12,0)),"-")</f>
        <v>Dress</v>
      </c>
      <c r="F697" s="50">
        <v>1</v>
      </c>
      <c r="G697" s="50">
        <v>4</v>
      </c>
      <c r="H697" s="73">
        <f>IFERROR(INDEX(Katalog!$D$3:$D$12,MATCH(cadangan[[#This Row],[ItemID A]],Katalog!$C$3:$C$12,0))*cadangan[[#This Row],[Qty A]],0)</f>
        <v>300000</v>
      </c>
      <c r="I697" s="73">
        <f>IFERROR(cadangan[[#This Row],[Harga Normal A]]-(cadangan[[#This Row],[Harga Normal A]]*cadangan[[#This Row],[Diskon]]),cadangan[[#This Row],[Harga Normal A]])</f>
        <v>255000</v>
      </c>
      <c r="J697" s="73">
        <f>INDEX(Katalog!$F$3:$F$12,MATCH(cadangan[[#This Row],[ItemID A]],Katalog!$C$3:$C$12,0))*cadangan[[#This Row],[Qty A]]</f>
        <v>100000</v>
      </c>
      <c r="K697" s="73">
        <f>IFERROR(cadangan[[#This Row],[Harga Diskon A]]-INDEX(Katalog!$E$3:$E$12,MATCH(cadangan[[#This Row],[ItemID A]],Katalog!$C$3:$C$12,0))*cadangan[[#This Row],[Qty A]],0)</f>
        <v>55000</v>
      </c>
      <c r="M697" s="39" t="str">
        <f>IFERROR(INDEX(Katalog!$A$3:$A$12,MATCH(cadangan[[#This Row],[ItemID B]],Katalog!$C$3:$C$12,0)),"-")</f>
        <v>-</v>
      </c>
      <c r="N697" s="39" t="str">
        <f>IFERROR(INDEX(Katalog!$B$3:$B$12,MATCH(cadangan[[#This Row],[ItemID B]],Katalog!$C$3:$C$12,0)),"-")</f>
        <v>-</v>
      </c>
      <c r="Q697" s="73">
        <f>IFERROR(INDEX(Katalog!$D$3:$D$12,MATCH(cadangan[[#This Row],[ItemID B]],Katalog!$C$3:$C$12,0))*cadangan[[#This Row],[Qty B]],0)</f>
        <v>0</v>
      </c>
      <c r="R697" s="73">
        <f>IFERROR(cadangan[[#This Row],[Harga Normal B]]-(cadangan[[#This Row],[Harga Normal B]]*cadangan[[#This Row],[Diskon]]),cadangan[[#This Row],[Harga Normal B]])</f>
        <v>0</v>
      </c>
      <c r="S697" s="73">
        <f>IFERROR(INDEX(Katalog!$F$3:$F$12,MATCH(cadangan[[#This Row],[ItemID B]],Katalog!$C$3:$C$12,0))*cadangan[[#This Row],[Qty B]],0)</f>
        <v>0</v>
      </c>
      <c r="T697" s="73">
        <f>IFERROR(cadangan[[#This Row],[Harga Diskon B]]-INDEX(Katalog!$E$3:$E$12,MATCH(cadangan[[#This Row],[ItemID B]],Katalog!$C$3:$C$12,0))*cadangan[[#This Row],[Qty B]],0)</f>
        <v>0</v>
      </c>
      <c r="V697" s="39" t="str">
        <f>IFERROR(INDEX(Katalog!$A$3:$A$12,MATCH(cadangan[[#This Row],[ItemID C]],Katalog!$C$3:$C$12,0)),"-")</f>
        <v>-</v>
      </c>
      <c r="W697" s="39" t="str">
        <f>IFERROR(INDEX(Katalog!$B$3:$B$12,MATCH(cadangan[[#This Row],[ItemID C]],Katalog!$C$3:$C$12,0)),"-")</f>
        <v>-</v>
      </c>
      <c r="Z697" s="73">
        <f>IFERROR(INDEX(Katalog!$D$3:$D$12,MATCH(cadangan[[#This Row],[ItemID C]],Katalog!$C$3:$C$12,0))*cadangan[[#This Row],[Qty C]],0)</f>
        <v>0</v>
      </c>
      <c r="AA697" s="73">
        <f>IFERROR(cadangan[[#This Row],[Harga Normal C]]-(cadangan[[#This Row],[Harga Normal C]]*cadangan[[#This Row],[Diskon]]),cadangan[[#This Row],[Harga Normal C]])</f>
        <v>0</v>
      </c>
      <c r="AB697" s="73">
        <f>IFERROR(INDEX(Katalog!$F$3:$F$12,MATCH(cadangan[[#This Row],[ItemID C]],Katalog!$C$3:$C$12,0))*cadangan[[#This Row],[Qty C]],0)</f>
        <v>0</v>
      </c>
      <c r="AC697" s="73">
        <f>IFERROR(cadangan[[#This Row],[Harga Diskon C]]-INDEX(Katalog!$E$3:$E$12,MATCH(cadangan[[#This Row],[ItemID C]],Katalog!$C$3:$C$12,0))*cadangan[[#This Row],[Qty C]],0)</f>
        <v>0</v>
      </c>
      <c r="AD697" s="53">
        <f>cadangan[[#This Row],[Qty A]]+cadangan[[#This Row],[Qty B]]+cadangan[[#This Row],[Qty C]]</f>
        <v>1</v>
      </c>
      <c r="AE697" s="73">
        <f>cadangan[[#This Row],[Harga Normal A]]+cadangan[[#This Row],[Harga Normal B]]+cadangan[[#This Row],[Harga Normal C]]</f>
        <v>300000</v>
      </c>
      <c r="AF697" s="73">
        <f>cadangan[[#This Row],[Harga Diskon A]]+cadangan[[#This Row],[Harga Diskon B]]+cadangan[[#This Row],[Harga Diskon C]]</f>
        <v>255000</v>
      </c>
      <c r="AG697" s="73">
        <f>(cadangan[[#This Row],[Profit Normal A]]+cadangan[[#This Row],[Profit Normal B]]+cadangan[[#This Row],[Profit Normal C]])</f>
        <v>100000</v>
      </c>
      <c r="AH697" s="73">
        <f>cadangan[[#This Row],[Profit Diskon A]]+cadangan[[#This Row],[Profit Diskon B]]+cadangan[[#This Row],[Profit Diskon C]]</f>
        <v>55000</v>
      </c>
      <c r="AI697" s="23" t="s">
        <v>13</v>
      </c>
      <c r="AJ697" s="37">
        <f>IFERROR(INDEX('Kode Diskon'!$D$3:$D$9,MATCH(cadangan[[#This Row],[Kode diskon]],'Kode Diskon'!$C$3:$C$9,0)),"-")</f>
        <v>0.15</v>
      </c>
      <c r="AK697" s="23" t="s">
        <v>29</v>
      </c>
      <c r="AL697" s="23" t="s">
        <v>7</v>
      </c>
      <c r="AM697" s="23" t="s">
        <v>77</v>
      </c>
      <c r="AN697" s="55">
        <v>45022</v>
      </c>
      <c r="AO697" s="53">
        <f>DAY(cadangan[[#This Row],[Tanggal terjual]])</f>
        <v>6</v>
      </c>
      <c r="AP697" s="21" t="str">
        <f>TEXT(cadangan[[#This Row],[Tanggal terjual]],"dddd")</f>
        <v>Thursday</v>
      </c>
      <c r="AQ697" s="23" t="str" cm="1">
        <f t="array" ref="AQ6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7" s="61">
        <f>AVERAGE(cadangan[[#This Row],[Rating A]],cadangan[[#This Row],[Rating B]],cadangan[[#This Row],[Rating C]])</f>
        <v>4</v>
      </c>
    </row>
    <row r="698" spans="1:44" x14ac:dyDescent="0.2">
      <c r="A698" s="20">
        <v>697</v>
      </c>
      <c r="B698" s="21" t="str">
        <f>_xlfn.CONCAT("ORD-",INDEX(Helper!$B$2:$B$5,MATCH(cadangan[[#This Row],[Marketplace]],Helper!$A$2:$A$5,0)),TEXT(cadangan[[#This Row],[No]],"0000"),"-",TEXT(cadangan[[#This Row],[Tanggal terjual]],"dd/mm/yy"))</f>
        <v>ORD-TK0697-03/04/23</v>
      </c>
      <c r="C698" s="39" t="s">
        <v>65</v>
      </c>
      <c r="D698" s="39" t="str">
        <f>IFERROR(INDEX(Katalog!$A$3:$A$12,MATCH(cadangan[[#This Row],[ItemID A]],Katalog!$C$3:$C$12,0)),"-")</f>
        <v>Sepatu Pria</v>
      </c>
      <c r="E698" s="39" t="str">
        <f>IFERROR(INDEX(Katalog!$B$3:$B$12,MATCH(cadangan[[#This Row],[ItemID A]],Katalog!$C$3:$C$12,0)),"-")</f>
        <v>Sneakers</v>
      </c>
      <c r="F698" s="50">
        <v>2</v>
      </c>
      <c r="G698" s="50">
        <v>3</v>
      </c>
      <c r="H698" s="73">
        <f>IFERROR(INDEX(Katalog!$D$3:$D$12,MATCH(cadangan[[#This Row],[ItemID A]],Katalog!$C$3:$C$12,0))*cadangan[[#This Row],[Qty A]],0)</f>
        <v>1000000</v>
      </c>
      <c r="I698" s="73">
        <f>IFERROR(cadangan[[#This Row],[Harga Normal A]]-(cadangan[[#This Row],[Harga Normal A]]*cadangan[[#This Row],[Diskon]]),cadangan[[#This Row],[Harga Normal A]])</f>
        <v>900000</v>
      </c>
      <c r="J698" s="73">
        <f>INDEX(Katalog!$F$3:$F$12,MATCH(cadangan[[#This Row],[ItemID A]],Katalog!$C$3:$C$12,0))*cadangan[[#This Row],[Qty A]]</f>
        <v>400000</v>
      </c>
      <c r="K698" s="73">
        <f>IFERROR(cadangan[[#This Row],[Harga Diskon A]]-INDEX(Katalog!$E$3:$E$12,MATCH(cadangan[[#This Row],[ItemID A]],Katalog!$C$3:$C$12,0))*cadangan[[#This Row],[Qty A]],0)</f>
        <v>300000</v>
      </c>
      <c r="M698" s="39" t="str">
        <f>IFERROR(INDEX(Katalog!$A$3:$A$12,MATCH(cadangan[[#This Row],[ItemID B]],Katalog!$C$3:$C$12,0)),"-")</f>
        <v>-</v>
      </c>
      <c r="N698" s="39" t="str">
        <f>IFERROR(INDEX(Katalog!$B$3:$B$12,MATCH(cadangan[[#This Row],[ItemID B]],Katalog!$C$3:$C$12,0)),"-")</f>
        <v>-</v>
      </c>
      <c r="Q698" s="73">
        <f>IFERROR(INDEX(Katalog!$D$3:$D$12,MATCH(cadangan[[#This Row],[ItemID B]],Katalog!$C$3:$C$12,0))*cadangan[[#This Row],[Qty B]],0)</f>
        <v>0</v>
      </c>
      <c r="R698" s="73">
        <f>IFERROR(cadangan[[#This Row],[Harga Normal B]]-(cadangan[[#This Row],[Harga Normal B]]*cadangan[[#This Row],[Diskon]]),cadangan[[#This Row],[Harga Normal B]])</f>
        <v>0</v>
      </c>
      <c r="S698" s="73">
        <f>IFERROR(INDEX(Katalog!$F$3:$F$12,MATCH(cadangan[[#This Row],[ItemID B]],Katalog!$C$3:$C$12,0))*cadangan[[#This Row],[Qty B]],0)</f>
        <v>0</v>
      </c>
      <c r="T698" s="73">
        <f>IFERROR(cadangan[[#This Row],[Harga Diskon B]]-INDEX(Katalog!$E$3:$E$12,MATCH(cadangan[[#This Row],[ItemID B]],Katalog!$C$3:$C$12,0))*cadangan[[#This Row],[Qty B]],0)</f>
        <v>0</v>
      </c>
      <c r="V698" s="39" t="str">
        <f>IFERROR(INDEX(Katalog!$A$3:$A$12,MATCH(cadangan[[#This Row],[ItemID C]],Katalog!$C$3:$C$12,0)),"-")</f>
        <v>-</v>
      </c>
      <c r="W698" s="39" t="str">
        <f>IFERROR(INDEX(Katalog!$B$3:$B$12,MATCH(cadangan[[#This Row],[ItemID C]],Katalog!$C$3:$C$12,0)),"-")</f>
        <v>-</v>
      </c>
      <c r="Z698" s="73">
        <f>IFERROR(INDEX(Katalog!$D$3:$D$12,MATCH(cadangan[[#This Row],[ItemID C]],Katalog!$C$3:$C$12,0))*cadangan[[#This Row],[Qty C]],0)</f>
        <v>0</v>
      </c>
      <c r="AA698" s="73">
        <f>IFERROR(cadangan[[#This Row],[Harga Normal C]]-(cadangan[[#This Row],[Harga Normal C]]*cadangan[[#This Row],[Diskon]]),cadangan[[#This Row],[Harga Normal C]])</f>
        <v>0</v>
      </c>
      <c r="AB698" s="73">
        <f>IFERROR(INDEX(Katalog!$F$3:$F$12,MATCH(cadangan[[#This Row],[ItemID C]],Katalog!$C$3:$C$12,0))*cadangan[[#This Row],[Qty C]],0)</f>
        <v>0</v>
      </c>
      <c r="AC698" s="73">
        <f>IFERROR(cadangan[[#This Row],[Harga Diskon C]]-INDEX(Katalog!$E$3:$E$12,MATCH(cadangan[[#This Row],[ItemID C]],Katalog!$C$3:$C$12,0))*cadangan[[#This Row],[Qty C]],0)</f>
        <v>0</v>
      </c>
      <c r="AD698" s="53">
        <f>cadangan[[#This Row],[Qty A]]+cadangan[[#This Row],[Qty B]]+cadangan[[#This Row],[Qty C]]</f>
        <v>2</v>
      </c>
      <c r="AE698" s="73">
        <f>cadangan[[#This Row],[Harga Normal A]]+cadangan[[#This Row],[Harga Normal B]]+cadangan[[#This Row],[Harga Normal C]]</f>
        <v>1000000</v>
      </c>
      <c r="AF698" s="73">
        <f>cadangan[[#This Row],[Harga Diskon A]]+cadangan[[#This Row],[Harga Diskon B]]+cadangan[[#This Row],[Harga Diskon C]]</f>
        <v>900000</v>
      </c>
      <c r="AG698" s="73">
        <f>(cadangan[[#This Row],[Profit Normal A]]+cadangan[[#This Row],[Profit Normal B]]+cadangan[[#This Row],[Profit Normal C]])</f>
        <v>400000</v>
      </c>
      <c r="AH698" s="73">
        <f>cadangan[[#This Row],[Profit Diskon A]]+cadangan[[#This Row],[Profit Diskon B]]+cadangan[[#This Row],[Profit Diskon C]]</f>
        <v>300000</v>
      </c>
      <c r="AI698" s="23" t="s">
        <v>30</v>
      </c>
      <c r="AJ698" s="37">
        <f>IFERROR(INDEX('Kode Diskon'!$D$3:$D$9,MATCH(cadangan[[#This Row],[Kode diskon]],'Kode Diskon'!$C$3:$C$9,0)),"-")</f>
        <v>0.1</v>
      </c>
      <c r="AK698" s="23" t="s">
        <v>29</v>
      </c>
      <c r="AL698" s="23" t="s">
        <v>10</v>
      </c>
      <c r="AM698" s="23" t="s">
        <v>76</v>
      </c>
      <c r="AN698" s="55">
        <v>45019</v>
      </c>
      <c r="AO698" s="53">
        <f>DAY(cadangan[[#This Row],[Tanggal terjual]])</f>
        <v>3</v>
      </c>
      <c r="AP698" s="21" t="str">
        <f>TEXT(cadangan[[#This Row],[Tanggal terjual]],"dddd")</f>
        <v>Monday</v>
      </c>
      <c r="AQ698" s="23" t="str" cm="1">
        <f t="array" ref="AQ6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698" s="61">
        <f>AVERAGE(cadangan[[#This Row],[Rating A]],cadangan[[#This Row],[Rating B]],cadangan[[#This Row],[Rating C]])</f>
        <v>3</v>
      </c>
    </row>
    <row r="699" spans="1:44" x14ac:dyDescent="0.2">
      <c r="A699" s="20">
        <v>698</v>
      </c>
      <c r="B699" s="21" t="str">
        <f>_xlfn.CONCAT("ORD-",INDEX(Helper!$B$2:$B$5,MATCH(cadangan[[#This Row],[Marketplace]],Helper!$A$2:$A$5,0)),TEXT(cadangan[[#This Row],[No]],"0000"),"-",TEXT(cadangan[[#This Row],[Tanggal terjual]],"dd/mm/yy"))</f>
        <v>ORD-BL0698-30/04/23</v>
      </c>
      <c r="C699" s="39" t="s">
        <v>62</v>
      </c>
      <c r="D699" s="39" t="str">
        <f>IFERROR(INDEX(Katalog!$A$3:$A$12,MATCH(cadangan[[#This Row],[ItemID A]],Katalog!$C$3:$C$12,0)),"-")</f>
        <v>Pakaian Pria</v>
      </c>
      <c r="E699" s="39" t="str">
        <f>IFERROR(INDEX(Katalog!$B$3:$B$12,MATCH(cadangan[[#This Row],[ItemID A]],Katalog!$C$3:$C$12,0)),"-")</f>
        <v>Celana Pendek</v>
      </c>
      <c r="F699" s="50">
        <v>2</v>
      </c>
      <c r="G699" s="50">
        <v>5</v>
      </c>
      <c r="H699" s="73">
        <f>IFERROR(INDEX(Katalog!$D$3:$D$12,MATCH(cadangan[[#This Row],[ItemID A]],Katalog!$C$3:$C$12,0))*cadangan[[#This Row],[Qty A]],0)</f>
        <v>360000</v>
      </c>
      <c r="I699" s="73">
        <f>IFERROR(cadangan[[#This Row],[Harga Normal A]]-(cadangan[[#This Row],[Harga Normal A]]*cadangan[[#This Row],[Diskon]]),cadangan[[#This Row],[Harga Normal A]])</f>
        <v>306000</v>
      </c>
      <c r="J699" s="73">
        <f>INDEX(Katalog!$F$3:$F$12,MATCH(cadangan[[#This Row],[ItemID A]],Katalog!$C$3:$C$12,0))*cadangan[[#This Row],[Qty A]]</f>
        <v>140000</v>
      </c>
      <c r="K699" s="73">
        <f>IFERROR(cadangan[[#This Row],[Harga Diskon A]]-INDEX(Katalog!$E$3:$E$12,MATCH(cadangan[[#This Row],[ItemID A]],Katalog!$C$3:$C$12,0))*cadangan[[#This Row],[Qty A]],0)</f>
        <v>86000</v>
      </c>
      <c r="M699" s="39" t="str">
        <f>IFERROR(INDEX(Katalog!$A$3:$A$12,MATCH(cadangan[[#This Row],[ItemID B]],Katalog!$C$3:$C$12,0)),"-")</f>
        <v>-</v>
      </c>
      <c r="N699" s="39" t="str">
        <f>IFERROR(INDEX(Katalog!$B$3:$B$12,MATCH(cadangan[[#This Row],[ItemID B]],Katalog!$C$3:$C$12,0)),"-")</f>
        <v>-</v>
      </c>
      <c r="Q699" s="73">
        <f>IFERROR(INDEX(Katalog!$D$3:$D$12,MATCH(cadangan[[#This Row],[ItemID B]],Katalog!$C$3:$C$12,0))*cadangan[[#This Row],[Qty B]],0)</f>
        <v>0</v>
      </c>
      <c r="R699" s="73">
        <f>IFERROR(cadangan[[#This Row],[Harga Normal B]]-(cadangan[[#This Row],[Harga Normal B]]*cadangan[[#This Row],[Diskon]]),cadangan[[#This Row],[Harga Normal B]])</f>
        <v>0</v>
      </c>
      <c r="S699" s="73">
        <f>IFERROR(INDEX(Katalog!$F$3:$F$12,MATCH(cadangan[[#This Row],[ItemID B]],Katalog!$C$3:$C$12,0))*cadangan[[#This Row],[Qty B]],0)</f>
        <v>0</v>
      </c>
      <c r="T699" s="73">
        <f>IFERROR(cadangan[[#This Row],[Harga Diskon B]]-INDEX(Katalog!$E$3:$E$12,MATCH(cadangan[[#This Row],[ItemID B]],Katalog!$C$3:$C$12,0))*cadangan[[#This Row],[Qty B]],0)</f>
        <v>0</v>
      </c>
      <c r="V699" s="39" t="str">
        <f>IFERROR(INDEX(Katalog!$A$3:$A$12,MATCH(cadangan[[#This Row],[ItemID C]],Katalog!$C$3:$C$12,0)),"-")</f>
        <v>-</v>
      </c>
      <c r="W699" s="39" t="str">
        <f>IFERROR(INDEX(Katalog!$B$3:$B$12,MATCH(cadangan[[#This Row],[ItemID C]],Katalog!$C$3:$C$12,0)),"-")</f>
        <v>-</v>
      </c>
      <c r="Z699" s="73">
        <f>IFERROR(INDEX(Katalog!$D$3:$D$12,MATCH(cadangan[[#This Row],[ItemID C]],Katalog!$C$3:$C$12,0))*cadangan[[#This Row],[Qty C]],0)</f>
        <v>0</v>
      </c>
      <c r="AA699" s="73">
        <f>IFERROR(cadangan[[#This Row],[Harga Normal C]]-(cadangan[[#This Row],[Harga Normal C]]*cadangan[[#This Row],[Diskon]]),cadangan[[#This Row],[Harga Normal C]])</f>
        <v>0</v>
      </c>
      <c r="AB699" s="73">
        <f>IFERROR(INDEX(Katalog!$F$3:$F$12,MATCH(cadangan[[#This Row],[ItemID C]],Katalog!$C$3:$C$12,0))*cadangan[[#This Row],[Qty C]],0)</f>
        <v>0</v>
      </c>
      <c r="AC699" s="73">
        <f>IFERROR(cadangan[[#This Row],[Harga Diskon C]]-INDEX(Katalog!$E$3:$E$12,MATCH(cadangan[[#This Row],[ItemID C]],Katalog!$C$3:$C$12,0))*cadangan[[#This Row],[Qty C]],0)</f>
        <v>0</v>
      </c>
      <c r="AD699" s="53">
        <f>cadangan[[#This Row],[Qty A]]+cadangan[[#This Row],[Qty B]]+cadangan[[#This Row],[Qty C]]</f>
        <v>2</v>
      </c>
      <c r="AE699" s="73">
        <f>cadangan[[#This Row],[Harga Normal A]]+cadangan[[#This Row],[Harga Normal B]]+cadangan[[#This Row],[Harga Normal C]]</f>
        <v>360000</v>
      </c>
      <c r="AF699" s="73">
        <f>cadangan[[#This Row],[Harga Diskon A]]+cadangan[[#This Row],[Harga Diskon B]]+cadangan[[#This Row],[Harga Diskon C]]</f>
        <v>306000</v>
      </c>
      <c r="AG699" s="73">
        <f>(cadangan[[#This Row],[Profit Normal A]]+cadangan[[#This Row],[Profit Normal B]]+cadangan[[#This Row],[Profit Normal C]])</f>
        <v>140000</v>
      </c>
      <c r="AH699" s="73">
        <f>cadangan[[#This Row],[Profit Diskon A]]+cadangan[[#This Row],[Profit Diskon B]]+cadangan[[#This Row],[Profit Diskon C]]</f>
        <v>86000</v>
      </c>
      <c r="AI699" s="23" t="s">
        <v>32</v>
      </c>
      <c r="AJ699" s="37">
        <f>IFERROR(INDEX('Kode Diskon'!$D$3:$D$9,MATCH(cadangan[[#This Row],[Kode diskon]],'Kode Diskon'!$C$3:$C$9,0)),"-")</f>
        <v>0.15</v>
      </c>
      <c r="AK699" s="23" t="s">
        <v>9</v>
      </c>
      <c r="AL699" s="23" t="s">
        <v>12</v>
      </c>
      <c r="AM699" s="23" t="s">
        <v>79</v>
      </c>
      <c r="AN699" s="55">
        <v>45046</v>
      </c>
      <c r="AO699" s="53">
        <f>DAY(cadangan[[#This Row],[Tanggal terjual]])</f>
        <v>30</v>
      </c>
      <c r="AP699" s="21" t="str">
        <f>TEXT(cadangan[[#This Row],[Tanggal terjual]],"dddd")</f>
        <v>Sunday</v>
      </c>
      <c r="AQ699" s="23" t="str" cm="1">
        <f t="array" ref="AQ6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699" s="61">
        <f>AVERAGE(cadangan[[#This Row],[Rating A]],cadangan[[#This Row],[Rating B]],cadangan[[#This Row],[Rating C]])</f>
        <v>5</v>
      </c>
    </row>
    <row r="700" spans="1:44" x14ac:dyDescent="0.2">
      <c r="A700" s="20">
        <v>699</v>
      </c>
      <c r="B700" s="21" t="str">
        <f>_xlfn.CONCAT("ORD-",INDEX(Helper!$B$2:$B$5,MATCH(cadangan[[#This Row],[Marketplace]],Helper!$A$2:$A$5,0)),TEXT(cadangan[[#This Row],[No]],"0000"),"-",TEXT(cadangan[[#This Row],[Tanggal terjual]],"dd/mm/yy"))</f>
        <v>ORD-TK0699-25/04/23</v>
      </c>
      <c r="C700" s="39" t="s">
        <v>61</v>
      </c>
      <c r="D700" s="39" t="str">
        <f>IFERROR(INDEX(Katalog!$A$3:$A$12,MATCH(cadangan[[#This Row],[ItemID A]],Katalog!$C$3:$C$12,0)),"-")</f>
        <v>Pakaian Pria</v>
      </c>
      <c r="E700" s="39" t="str">
        <f>IFERROR(INDEX(Katalog!$B$3:$B$12,MATCH(cadangan[[#This Row],[ItemID A]],Katalog!$C$3:$C$12,0)),"-")</f>
        <v>Kaos Polo</v>
      </c>
      <c r="F700" s="50">
        <v>4</v>
      </c>
      <c r="G700" s="50">
        <v>2</v>
      </c>
      <c r="H700" s="73">
        <f>IFERROR(INDEX(Katalog!$D$3:$D$12,MATCH(cadangan[[#This Row],[ItemID A]],Katalog!$C$3:$C$12,0))*cadangan[[#This Row],[Qty A]],0)</f>
        <v>800000</v>
      </c>
      <c r="I700" s="73">
        <f>IFERROR(cadangan[[#This Row],[Harga Normal A]]-(cadangan[[#This Row],[Harga Normal A]]*cadangan[[#This Row],[Diskon]]),cadangan[[#This Row],[Harga Normal A]])</f>
        <v>720000</v>
      </c>
      <c r="J700" s="73">
        <f>INDEX(Katalog!$F$3:$F$12,MATCH(cadangan[[#This Row],[ItemID A]],Katalog!$C$3:$C$12,0))*cadangan[[#This Row],[Qty A]]</f>
        <v>320000</v>
      </c>
      <c r="K700" s="73">
        <f>IFERROR(cadangan[[#This Row],[Harga Diskon A]]-INDEX(Katalog!$E$3:$E$12,MATCH(cadangan[[#This Row],[ItemID A]],Katalog!$C$3:$C$12,0))*cadangan[[#This Row],[Qty A]],0)</f>
        <v>240000</v>
      </c>
      <c r="L700" s="39" t="s">
        <v>66</v>
      </c>
      <c r="M700" s="39" t="str">
        <f>IFERROR(INDEX(Katalog!$A$3:$A$12,MATCH(cadangan[[#This Row],[ItemID B]],Katalog!$C$3:$C$12,0)),"-")</f>
        <v>Sepatu Pria</v>
      </c>
      <c r="N700" s="39" t="str">
        <f>IFERROR(INDEX(Katalog!$B$3:$B$12,MATCH(cadangan[[#This Row],[ItemID B]],Katalog!$C$3:$C$12,0)),"-")</f>
        <v>Sandal Slip On</v>
      </c>
      <c r="O700" s="50">
        <v>1</v>
      </c>
      <c r="P700" s="50">
        <v>1</v>
      </c>
      <c r="Q700" s="73">
        <f>IFERROR(INDEX(Katalog!$D$3:$D$12,MATCH(cadangan[[#This Row],[ItemID B]],Katalog!$C$3:$C$12,0))*cadangan[[#This Row],[Qty B]],0)</f>
        <v>150000</v>
      </c>
      <c r="R700" s="73">
        <f>IFERROR(cadangan[[#This Row],[Harga Normal B]]-(cadangan[[#This Row],[Harga Normal B]]*cadangan[[#This Row],[Diskon]]),cadangan[[#This Row],[Harga Normal B]])</f>
        <v>135000</v>
      </c>
      <c r="S700" s="73">
        <f>IFERROR(INDEX(Katalog!$F$3:$F$12,MATCH(cadangan[[#This Row],[ItemID B]],Katalog!$C$3:$C$12,0))*cadangan[[#This Row],[Qty B]],0)</f>
        <v>60000</v>
      </c>
      <c r="T700" s="73">
        <f>IFERROR(cadangan[[#This Row],[Harga Diskon B]]-INDEX(Katalog!$E$3:$E$12,MATCH(cadangan[[#This Row],[ItemID B]],Katalog!$C$3:$C$12,0))*cadangan[[#This Row],[Qty B]],0)</f>
        <v>45000</v>
      </c>
      <c r="U700" s="39" t="s">
        <v>58</v>
      </c>
      <c r="V700" s="39" t="str">
        <f>IFERROR(INDEX(Katalog!$A$3:$A$12,MATCH(cadangan[[#This Row],[ItemID C]],Katalog!$C$3:$C$12,0)),"-")</f>
        <v>Pakaian Wanita</v>
      </c>
      <c r="W700" s="39" t="str">
        <f>IFERROR(INDEX(Katalog!$B$3:$B$12,MATCH(cadangan[[#This Row],[ItemID C]],Katalog!$C$3:$C$12,0)),"-")</f>
        <v>Dress</v>
      </c>
      <c r="X700" s="50">
        <v>2</v>
      </c>
      <c r="Y700" s="50">
        <v>1</v>
      </c>
      <c r="Z700" s="73">
        <f>IFERROR(INDEX(Katalog!$D$3:$D$12,MATCH(cadangan[[#This Row],[ItemID C]],Katalog!$C$3:$C$12,0))*cadangan[[#This Row],[Qty C]],0)</f>
        <v>600000</v>
      </c>
      <c r="AA700" s="73">
        <f>IFERROR(cadangan[[#This Row],[Harga Normal C]]-(cadangan[[#This Row],[Harga Normal C]]*cadangan[[#This Row],[Diskon]]),cadangan[[#This Row],[Harga Normal C]])</f>
        <v>540000</v>
      </c>
      <c r="AB700" s="73">
        <f>IFERROR(INDEX(Katalog!$F$3:$F$12,MATCH(cadangan[[#This Row],[ItemID C]],Katalog!$C$3:$C$12,0))*cadangan[[#This Row],[Qty C]],0)</f>
        <v>200000</v>
      </c>
      <c r="AC700" s="73">
        <f>IFERROR(cadangan[[#This Row],[Harga Diskon C]]-INDEX(Katalog!$E$3:$E$12,MATCH(cadangan[[#This Row],[ItemID C]],Katalog!$C$3:$C$12,0))*cadangan[[#This Row],[Qty C]],0)</f>
        <v>140000</v>
      </c>
      <c r="AD700" s="53">
        <f>cadangan[[#This Row],[Qty A]]+cadangan[[#This Row],[Qty B]]+cadangan[[#This Row],[Qty C]]</f>
        <v>7</v>
      </c>
      <c r="AE700" s="73">
        <f>cadangan[[#This Row],[Harga Normal A]]+cadangan[[#This Row],[Harga Normal B]]+cadangan[[#This Row],[Harga Normal C]]</f>
        <v>1550000</v>
      </c>
      <c r="AF700" s="73">
        <f>cadangan[[#This Row],[Harga Diskon A]]+cadangan[[#This Row],[Harga Diskon B]]+cadangan[[#This Row],[Harga Diskon C]]</f>
        <v>1395000</v>
      </c>
      <c r="AG700" s="73">
        <f>(cadangan[[#This Row],[Profit Normal A]]+cadangan[[#This Row],[Profit Normal B]]+cadangan[[#This Row],[Profit Normal C]])</f>
        <v>580000</v>
      </c>
      <c r="AH700" s="73">
        <f>cadangan[[#This Row],[Profit Diskon A]]+cadangan[[#This Row],[Profit Diskon B]]+cadangan[[#This Row],[Profit Diskon C]]</f>
        <v>425000</v>
      </c>
      <c r="AI700" s="23" t="s">
        <v>31</v>
      </c>
      <c r="AJ700" s="37">
        <f>IFERROR(INDEX('Kode Diskon'!$D$3:$D$9,MATCH(cadangan[[#This Row],[Kode diskon]],'Kode Diskon'!$C$3:$C$9,0)),"-")</f>
        <v>0.1</v>
      </c>
      <c r="AK700" s="23" t="s">
        <v>9</v>
      </c>
      <c r="AL700" s="23" t="s">
        <v>10</v>
      </c>
      <c r="AM700" s="23" t="s">
        <v>79</v>
      </c>
      <c r="AN700" s="55">
        <v>45041</v>
      </c>
      <c r="AO700" s="53">
        <f>DAY(cadangan[[#This Row],[Tanggal terjual]])</f>
        <v>25</v>
      </c>
      <c r="AP700" s="21" t="str">
        <f>TEXT(cadangan[[#This Row],[Tanggal terjual]],"dddd")</f>
        <v>Tuesday</v>
      </c>
      <c r="AQ700" s="23" t="str" cm="1">
        <f t="array" ref="AQ7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00" s="61">
        <f>AVERAGE(cadangan[[#This Row],[Rating A]],cadangan[[#This Row],[Rating B]],cadangan[[#This Row],[Rating C]])</f>
        <v>1.3333333333333333</v>
      </c>
    </row>
    <row r="701" spans="1:44" x14ac:dyDescent="0.2">
      <c r="A701" s="20">
        <v>700</v>
      </c>
      <c r="B701" s="21" t="str">
        <f>_xlfn.CONCAT("ORD-",INDEX(Helper!$B$2:$B$5,MATCH(cadangan[[#This Row],[Marketplace]],Helper!$A$2:$A$5,0)),TEXT(cadangan[[#This Row],[No]],"0000"),"-",TEXT(cadangan[[#This Row],[Tanggal terjual]],"dd/mm/yy"))</f>
        <v>ORD-SP0700-04/04/23</v>
      </c>
      <c r="C701" s="39" t="s">
        <v>67</v>
      </c>
      <c r="D701" s="39" t="str">
        <f>IFERROR(INDEX(Katalog!$A$3:$A$12,MATCH(cadangan[[#This Row],[ItemID A]],Katalog!$C$3:$C$12,0)),"-")</f>
        <v>Sepatu Wanita</v>
      </c>
      <c r="E701" s="39" t="str">
        <f>IFERROR(INDEX(Katalog!$B$3:$B$12,MATCH(cadangan[[#This Row],[ItemID A]],Katalog!$C$3:$C$12,0)),"-")</f>
        <v>Flat Shoes</v>
      </c>
      <c r="F701" s="50">
        <v>6</v>
      </c>
      <c r="G701" s="50">
        <v>4</v>
      </c>
      <c r="H701" s="73">
        <f>IFERROR(INDEX(Katalog!$D$3:$D$12,MATCH(cadangan[[#This Row],[ItemID A]],Katalog!$C$3:$C$12,0))*cadangan[[#This Row],[Qty A]],0)</f>
        <v>1500000</v>
      </c>
      <c r="I701" s="73">
        <f>IFERROR(cadangan[[#This Row],[Harga Normal A]]-(cadangan[[#This Row],[Harga Normal A]]*cadangan[[#This Row],[Diskon]]),cadangan[[#This Row],[Harga Normal A]])</f>
        <v>1350000</v>
      </c>
      <c r="J701" s="73">
        <f>INDEX(Katalog!$F$3:$F$12,MATCH(cadangan[[#This Row],[ItemID A]],Katalog!$C$3:$C$12,0))*cadangan[[#This Row],[Qty A]]</f>
        <v>600000</v>
      </c>
      <c r="K701" s="73">
        <f>IFERROR(cadangan[[#This Row],[Harga Diskon A]]-INDEX(Katalog!$E$3:$E$12,MATCH(cadangan[[#This Row],[ItemID A]],Katalog!$C$3:$C$12,0))*cadangan[[#This Row],[Qty A]],0)</f>
        <v>450000</v>
      </c>
      <c r="L701" s="39" t="s">
        <v>66</v>
      </c>
      <c r="M701" s="39" t="str">
        <f>IFERROR(INDEX(Katalog!$A$3:$A$12,MATCH(cadangan[[#This Row],[ItemID B]],Katalog!$C$3:$C$12,0)),"-")</f>
        <v>Sepatu Pria</v>
      </c>
      <c r="N701" s="39" t="str">
        <f>IFERROR(INDEX(Katalog!$B$3:$B$12,MATCH(cadangan[[#This Row],[ItemID B]],Katalog!$C$3:$C$12,0)),"-")</f>
        <v>Sandal Slip On</v>
      </c>
      <c r="O701" s="50">
        <v>1</v>
      </c>
      <c r="P701" s="50">
        <v>3</v>
      </c>
      <c r="Q701" s="73">
        <f>IFERROR(INDEX(Katalog!$D$3:$D$12,MATCH(cadangan[[#This Row],[ItemID B]],Katalog!$C$3:$C$12,0))*cadangan[[#This Row],[Qty B]],0)</f>
        <v>150000</v>
      </c>
      <c r="R701" s="73">
        <f>IFERROR(cadangan[[#This Row],[Harga Normal B]]-(cadangan[[#This Row],[Harga Normal B]]*cadangan[[#This Row],[Diskon]]),cadangan[[#This Row],[Harga Normal B]])</f>
        <v>135000</v>
      </c>
      <c r="S701" s="73">
        <f>IFERROR(INDEX(Katalog!$F$3:$F$12,MATCH(cadangan[[#This Row],[ItemID B]],Katalog!$C$3:$C$12,0))*cadangan[[#This Row],[Qty B]],0)</f>
        <v>60000</v>
      </c>
      <c r="T701" s="73">
        <f>IFERROR(cadangan[[#This Row],[Harga Diskon B]]-INDEX(Katalog!$E$3:$E$12,MATCH(cadangan[[#This Row],[ItemID B]],Katalog!$C$3:$C$12,0))*cadangan[[#This Row],[Qty B]],0)</f>
        <v>45000</v>
      </c>
      <c r="V701" s="39" t="str">
        <f>IFERROR(INDEX(Katalog!$A$3:$A$12,MATCH(cadangan[[#This Row],[ItemID C]],Katalog!$C$3:$C$12,0)),"-")</f>
        <v>-</v>
      </c>
      <c r="W701" s="39" t="str">
        <f>IFERROR(INDEX(Katalog!$B$3:$B$12,MATCH(cadangan[[#This Row],[ItemID C]],Katalog!$C$3:$C$12,0)),"-")</f>
        <v>-</v>
      </c>
      <c r="Z701" s="73">
        <f>IFERROR(INDEX(Katalog!$D$3:$D$12,MATCH(cadangan[[#This Row],[ItemID C]],Katalog!$C$3:$C$12,0))*cadangan[[#This Row],[Qty C]],0)</f>
        <v>0</v>
      </c>
      <c r="AA701" s="73">
        <f>IFERROR(cadangan[[#This Row],[Harga Normal C]]-(cadangan[[#This Row],[Harga Normal C]]*cadangan[[#This Row],[Diskon]]),cadangan[[#This Row],[Harga Normal C]])</f>
        <v>0</v>
      </c>
      <c r="AB701" s="73">
        <f>IFERROR(INDEX(Katalog!$F$3:$F$12,MATCH(cadangan[[#This Row],[ItemID C]],Katalog!$C$3:$C$12,0))*cadangan[[#This Row],[Qty C]],0)</f>
        <v>0</v>
      </c>
      <c r="AC701" s="73">
        <f>IFERROR(cadangan[[#This Row],[Harga Diskon C]]-INDEX(Katalog!$E$3:$E$12,MATCH(cadangan[[#This Row],[ItemID C]],Katalog!$C$3:$C$12,0))*cadangan[[#This Row],[Qty C]],0)</f>
        <v>0</v>
      </c>
      <c r="AD701" s="53">
        <f>cadangan[[#This Row],[Qty A]]+cadangan[[#This Row],[Qty B]]+cadangan[[#This Row],[Qty C]]</f>
        <v>7</v>
      </c>
      <c r="AE701" s="73">
        <f>cadangan[[#This Row],[Harga Normal A]]+cadangan[[#This Row],[Harga Normal B]]+cadangan[[#This Row],[Harga Normal C]]</f>
        <v>1650000</v>
      </c>
      <c r="AF701" s="73">
        <f>cadangan[[#This Row],[Harga Diskon A]]+cadangan[[#This Row],[Harga Diskon B]]+cadangan[[#This Row],[Harga Diskon C]]</f>
        <v>1485000</v>
      </c>
      <c r="AG701" s="73">
        <f>(cadangan[[#This Row],[Profit Normal A]]+cadangan[[#This Row],[Profit Normal B]]+cadangan[[#This Row],[Profit Normal C]])</f>
        <v>660000</v>
      </c>
      <c r="AH701" s="73">
        <f>cadangan[[#This Row],[Profit Diskon A]]+cadangan[[#This Row],[Profit Diskon B]]+cadangan[[#This Row],[Profit Diskon C]]</f>
        <v>495000</v>
      </c>
      <c r="AI701" s="23" t="s">
        <v>6</v>
      </c>
      <c r="AJ701" s="37">
        <f>IFERROR(INDEX('Kode Diskon'!$D$3:$D$9,MATCH(cadangan[[#This Row],[Kode diskon]],'Kode Diskon'!$C$3:$C$9,0)),"-")</f>
        <v>0.1</v>
      </c>
      <c r="AK701" s="23" t="s">
        <v>29</v>
      </c>
      <c r="AL701" s="23" t="s">
        <v>7</v>
      </c>
      <c r="AM701" s="23" t="s">
        <v>75</v>
      </c>
      <c r="AN701" s="55">
        <v>45020</v>
      </c>
      <c r="AO701" s="53">
        <f>DAY(cadangan[[#This Row],[Tanggal terjual]])</f>
        <v>4</v>
      </c>
      <c r="AP701" s="21" t="str">
        <f>TEXT(cadangan[[#This Row],[Tanggal terjual]],"dddd")</f>
        <v>Tuesday</v>
      </c>
      <c r="AQ701" s="23" t="str" cm="1">
        <f t="array" ref="AQ7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1" s="61">
        <f>AVERAGE(cadangan[[#This Row],[Rating A]],cadangan[[#This Row],[Rating B]],cadangan[[#This Row],[Rating C]])</f>
        <v>3.5</v>
      </c>
    </row>
    <row r="702" spans="1:44" x14ac:dyDescent="0.2">
      <c r="A702" s="20">
        <v>701</v>
      </c>
      <c r="B702" s="21" t="str">
        <f>_xlfn.CONCAT("ORD-",INDEX(Helper!$B$2:$B$5,MATCH(cadangan[[#This Row],[Marketplace]],Helper!$A$2:$A$5,0)),TEXT(cadangan[[#This Row],[No]],"0000"),"-",TEXT(cadangan[[#This Row],[Tanggal terjual]],"dd/mm/yy"))</f>
        <v>ORD-TK0701-19/04/23</v>
      </c>
      <c r="C702" s="39" t="s">
        <v>63</v>
      </c>
      <c r="D702" s="39" t="str">
        <f>IFERROR(INDEX(Katalog!$A$3:$A$12,MATCH(cadangan[[#This Row],[ItemID A]],Katalog!$C$3:$C$12,0)),"-")</f>
        <v>Pakaian Pria</v>
      </c>
      <c r="E702" s="39" t="str">
        <f>IFERROR(INDEX(Katalog!$B$3:$B$12,MATCH(cadangan[[#This Row],[ItemID A]],Katalog!$C$3:$C$12,0)),"-")</f>
        <v>Jaket Jeans</v>
      </c>
      <c r="F702" s="50">
        <v>1</v>
      </c>
      <c r="G702" s="50">
        <v>5</v>
      </c>
      <c r="H702" s="73">
        <f>IFERROR(INDEX(Katalog!$D$3:$D$12,MATCH(cadangan[[#This Row],[ItemID A]],Katalog!$C$3:$C$12,0))*cadangan[[#This Row],[Qty A]],0)</f>
        <v>400000</v>
      </c>
      <c r="I702" s="73">
        <f>IFERROR(cadangan[[#This Row],[Harga Normal A]]-(cadangan[[#This Row],[Harga Normal A]]*cadangan[[#This Row],[Diskon]]),cadangan[[#This Row],[Harga Normal A]])</f>
        <v>360000</v>
      </c>
      <c r="J702" s="73">
        <f>INDEX(Katalog!$F$3:$F$12,MATCH(cadangan[[#This Row],[ItemID A]],Katalog!$C$3:$C$12,0))*cadangan[[#This Row],[Qty A]]</f>
        <v>150000</v>
      </c>
      <c r="K702" s="73">
        <f>IFERROR(cadangan[[#This Row],[Harga Diskon A]]-INDEX(Katalog!$E$3:$E$12,MATCH(cadangan[[#This Row],[ItemID A]],Katalog!$C$3:$C$12,0))*cadangan[[#This Row],[Qty A]],0)</f>
        <v>110000</v>
      </c>
      <c r="M702" s="39" t="str">
        <f>IFERROR(INDEX(Katalog!$A$3:$A$12,MATCH(cadangan[[#This Row],[ItemID B]],Katalog!$C$3:$C$12,0)),"-")</f>
        <v>-</v>
      </c>
      <c r="N702" s="39" t="str">
        <f>IFERROR(INDEX(Katalog!$B$3:$B$12,MATCH(cadangan[[#This Row],[ItemID B]],Katalog!$C$3:$C$12,0)),"-")</f>
        <v>-</v>
      </c>
      <c r="Q702" s="73">
        <f>IFERROR(INDEX(Katalog!$D$3:$D$12,MATCH(cadangan[[#This Row],[ItemID B]],Katalog!$C$3:$C$12,0))*cadangan[[#This Row],[Qty B]],0)</f>
        <v>0</v>
      </c>
      <c r="R702" s="73">
        <f>IFERROR(cadangan[[#This Row],[Harga Normal B]]-(cadangan[[#This Row],[Harga Normal B]]*cadangan[[#This Row],[Diskon]]),cadangan[[#This Row],[Harga Normal B]])</f>
        <v>0</v>
      </c>
      <c r="S702" s="73">
        <f>IFERROR(INDEX(Katalog!$F$3:$F$12,MATCH(cadangan[[#This Row],[ItemID B]],Katalog!$C$3:$C$12,0))*cadangan[[#This Row],[Qty B]],0)</f>
        <v>0</v>
      </c>
      <c r="T702" s="73">
        <f>IFERROR(cadangan[[#This Row],[Harga Diskon B]]-INDEX(Katalog!$E$3:$E$12,MATCH(cadangan[[#This Row],[ItemID B]],Katalog!$C$3:$C$12,0))*cadangan[[#This Row],[Qty B]],0)</f>
        <v>0</v>
      </c>
      <c r="V702" s="39" t="str">
        <f>IFERROR(INDEX(Katalog!$A$3:$A$12,MATCH(cadangan[[#This Row],[ItemID C]],Katalog!$C$3:$C$12,0)),"-")</f>
        <v>-</v>
      </c>
      <c r="W702" s="39" t="str">
        <f>IFERROR(INDEX(Katalog!$B$3:$B$12,MATCH(cadangan[[#This Row],[ItemID C]],Katalog!$C$3:$C$12,0)),"-")</f>
        <v>-</v>
      </c>
      <c r="Z702" s="73">
        <f>IFERROR(INDEX(Katalog!$D$3:$D$12,MATCH(cadangan[[#This Row],[ItemID C]],Katalog!$C$3:$C$12,0))*cadangan[[#This Row],[Qty C]],0)</f>
        <v>0</v>
      </c>
      <c r="AA702" s="73">
        <f>IFERROR(cadangan[[#This Row],[Harga Normal C]]-(cadangan[[#This Row],[Harga Normal C]]*cadangan[[#This Row],[Diskon]]),cadangan[[#This Row],[Harga Normal C]])</f>
        <v>0</v>
      </c>
      <c r="AB702" s="73">
        <f>IFERROR(INDEX(Katalog!$F$3:$F$12,MATCH(cadangan[[#This Row],[ItemID C]],Katalog!$C$3:$C$12,0))*cadangan[[#This Row],[Qty C]],0)</f>
        <v>0</v>
      </c>
      <c r="AC702" s="73">
        <f>IFERROR(cadangan[[#This Row],[Harga Diskon C]]-INDEX(Katalog!$E$3:$E$12,MATCH(cadangan[[#This Row],[ItemID C]],Katalog!$C$3:$C$12,0))*cadangan[[#This Row],[Qty C]],0)</f>
        <v>0</v>
      </c>
      <c r="AD702" s="53">
        <f>cadangan[[#This Row],[Qty A]]+cadangan[[#This Row],[Qty B]]+cadangan[[#This Row],[Qty C]]</f>
        <v>1</v>
      </c>
      <c r="AE702" s="73">
        <f>cadangan[[#This Row],[Harga Normal A]]+cadangan[[#This Row],[Harga Normal B]]+cadangan[[#This Row],[Harga Normal C]]</f>
        <v>400000</v>
      </c>
      <c r="AF702" s="73">
        <f>cadangan[[#This Row],[Harga Diskon A]]+cadangan[[#This Row],[Harga Diskon B]]+cadangan[[#This Row],[Harga Diskon C]]</f>
        <v>360000</v>
      </c>
      <c r="AG702" s="73">
        <f>(cadangan[[#This Row],[Profit Normal A]]+cadangan[[#This Row],[Profit Normal B]]+cadangan[[#This Row],[Profit Normal C]])</f>
        <v>150000</v>
      </c>
      <c r="AH702" s="73">
        <f>cadangan[[#This Row],[Profit Diskon A]]+cadangan[[#This Row],[Profit Diskon B]]+cadangan[[#This Row],[Profit Diskon C]]</f>
        <v>110000</v>
      </c>
      <c r="AI702" s="23" t="s">
        <v>31</v>
      </c>
      <c r="AJ702" s="37">
        <f>IFERROR(INDEX('Kode Diskon'!$D$3:$D$9,MATCH(cadangan[[#This Row],[Kode diskon]],'Kode Diskon'!$C$3:$C$9,0)),"-")</f>
        <v>0.1</v>
      </c>
      <c r="AK702" s="23" t="s">
        <v>9</v>
      </c>
      <c r="AL702" s="23" t="s">
        <v>10</v>
      </c>
      <c r="AM702" s="23" t="s">
        <v>80</v>
      </c>
      <c r="AN702" s="55">
        <v>45035</v>
      </c>
      <c r="AO702" s="53">
        <f>DAY(cadangan[[#This Row],[Tanggal terjual]])</f>
        <v>19</v>
      </c>
      <c r="AP702" s="21" t="str">
        <f>TEXT(cadangan[[#This Row],[Tanggal terjual]],"dddd")</f>
        <v>Wednesday</v>
      </c>
      <c r="AQ702" s="23" t="str" cm="1">
        <f t="array" ref="AQ7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02" s="61">
        <f>AVERAGE(cadangan[[#This Row],[Rating A]],cadangan[[#This Row],[Rating B]],cadangan[[#This Row],[Rating C]])</f>
        <v>5</v>
      </c>
    </row>
    <row r="703" spans="1:44" x14ac:dyDescent="0.2">
      <c r="A703" s="20">
        <v>702</v>
      </c>
      <c r="B703" s="21" t="str">
        <f>_xlfn.CONCAT("ORD-",INDEX(Helper!$B$2:$B$5,MATCH(cadangan[[#This Row],[Marketplace]],Helper!$A$2:$A$5,0)),TEXT(cadangan[[#This Row],[No]],"0000"),"-",TEXT(cadangan[[#This Row],[Tanggal terjual]],"dd/mm/yy"))</f>
        <v>ORD-SP0702-28/04/23</v>
      </c>
      <c r="C703" s="39" t="s">
        <v>67</v>
      </c>
      <c r="D703" s="39" t="str">
        <f>IFERROR(INDEX(Katalog!$A$3:$A$12,MATCH(cadangan[[#This Row],[ItemID A]],Katalog!$C$3:$C$12,0)),"-")</f>
        <v>Sepatu Wanita</v>
      </c>
      <c r="E703" s="39" t="str">
        <f>IFERROR(INDEX(Katalog!$B$3:$B$12,MATCH(cadangan[[#This Row],[ItemID A]],Katalog!$C$3:$C$12,0)),"-")</f>
        <v>Flat Shoes</v>
      </c>
      <c r="F703" s="50">
        <v>1</v>
      </c>
      <c r="G703" s="50">
        <v>1</v>
      </c>
      <c r="H703" s="73">
        <f>IFERROR(INDEX(Katalog!$D$3:$D$12,MATCH(cadangan[[#This Row],[ItemID A]],Katalog!$C$3:$C$12,0))*cadangan[[#This Row],[Qty A]],0)</f>
        <v>250000</v>
      </c>
      <c r="I703" s="73">
        <f>IFERROR(cadangan[[#This Row],[Harga Normal A]]-(cadangan[[#This Row],[Harga Normal A]]*cadangan[[#This Row],[Diskon]]),cadangan[[#This Row],[Harga Normal A]])</f>
        <v>200000</v>
      </c>
      <c r="J703" s="73">
        <f>INDEX(Katalog!$F$3:$F$12,MATCH(cadangan[[#This Row],[ItemID A]],Katalog!$C$3:$C$12,0))*cadangan[[#This Row],[Qty A]]</f>
        <v>100000</v>
      </c>
      <c r="K703" s="73">
        <f>IFERROR(cadangan[[#This Row],[Harga Diskon A]]-INDEX(Katalog!$E$3:$E$12,MATCH(cadangan[[#This Row],[ItemID A]],Katalog!$C$3:$C$12,0))*cadangan[[#This Row],[Qty A]],0)</f>
        <v>50000</v>
      </c>
      <c r="L703" s="39" t="s">
        <v>58</v>
      </c>
      <c r="M703" s="39" t="str">
        <f>IFERROR(INDEX(Katalog!$A$3:$A$12,MATCH(cadangan[[#This Row],[ItemID B]],Katalog!$C$3:$C$12,0)),"-")</f>
        <v>Pakaian Wanita</v>
      </c>
      <c r="N703" s="39" t="str">
        <f>IFERROR(INDEX(Katalog!$B$3:$B$12,MATCH(cadangan[[#This Row],[ItemID B]],Katalog!$C$3:$C$12,0)),"-")</f>
        <v>Dress</v>
      </c>
      <c r="O703" s="50">
        <v>2</v>
      </c>
      <c r="P703" s="50">
        <v>3</v>
      </c>
      <c r="Q703" s="73">
        <f>IFERROR(INDEX(Katalog!$D$3:$D$12,MATCH(cadangan[[#This Row],[ItemID B]],Katalog!$C$3:$C$12,0))*cadangan[[#This Row],[Qty B]],0)</f>
        <v>600000</v>
      </c>
      <c r="R703" s="73">
        <f>IFERROR(cadangan[[#This Row],[Harga Normal B]]-(cadangan[[#This Row],[Harga Normal B]]*cadangan[[#This Row],[Diskon]]),cadangan[[#This Row],[Harga Normal B]])</f>
        <v>480000</v>
      </c>
      <c r="S703" s="73">
        <f>IFERROR(INDEX(Katalog!$F$3:$F$12,MATCH(cadangan[[#This Row],[ItemID B]],Katalog!$C$3:$C$12,0))*cadangan[[#This Row],[Qty B]],0)</f>
        <v>200000</v>
      </c>
      <c r="T703" s="73">
        <f>IFERROR(cadangan[[#This Row],[Harga Diskon B]]-INDEX(Katalog!$E$3:$E$12,MATCH(cadangan[[#This Row],[ItemID B]],Katalog!$C$3:$C$12,0))*cadangan[[#This Row],[Qty B]],0)</f>
        <v>80000</v>
      </c>
      <c r="U703" s="39" t="s">
        <v>62</v>
      </c>
      <c r="V703" s="39" t="str">
        <f>IFERROR(INDEX(Katalog!$A$3:$A$12,MATCH(cadangan[[#This Row],[ItemID C]],Katalog!$C$3:$C$12,0)),"-")</f>
        <v>Pakaian Pria</v>
      </c>
      <c r="W703" s="39" t="str">
        <f>IFERROR(INDEX(Katalog!$B$3:$B$12,MATCH(cadangan[[#This Row],[ItemID C]],Katalog!$C$3:$C$12,0)),"-")</f>
        <v>Celana Pendek</v>
      </c>
      <c r="X703" s="50">
        <v>1</v>
      </c>
      <c r="Y703" s="50">
        <v>4</v>
      </c>
      <c r="Z703" s="73">
        <f>IFERROR(INDEX(Katalog!$D$3:$D$12,MATCH(cadangan[[#This Row],[ItemID C]],Katalog!$C$3:$C$12,0))*cadangan[[#This Row],[Qty C]],0)</f>
        <v>180000</v>
      </c>
      <c r="AA703" s="73">
        <f>IFERROR(cadangan[[#This Row],[Harga Normal C]]-(cadangan[[#This Row],[Harga Normal C]]*cadangan[[#This Row],[Diskon]]),cadangan[[#This Row],[Harga Normal C]])</f>
        <v>144000</v>
      </c>
      <c r="AB703" s="73">
        <f>IFERROR(INDEX(Katalog!$F$3:$F$12,MATCH(cadangan[[#This Row],[ItemID C]],Katalog!$C$3:$C$12,0))*cadangan[[#This Row],[Qty C]],0)</f>
        <v>70000</v>
      </c>
      <c r="AC703" s="73">
        <f>IFERROR(cadangan[[#This Row],[Harga Diskon C]]-INDEX(Katalog!$E$3:$E$12,MATCH(cadangan[[#This Row],[ItemID C]],Katalog!$C$3:$C$12,0))*cadangan[[#This Row],[Qty C]],0)</f>
        <v>34000</v>
      </c>
      <c r="AD703" s="53">
        <f>cadangan[[#This Row],[Qty A]]+cadangan[[#This Row],[Qty B]]+cadangan[[#This Row],[Qty C]]</f>
        <v>4</v>
      </c>
      <c r="AE703" s="73">
        <f>cadangan[[#This Row],[Harga Normal A]]+cadangan[[#This Row],[Harga Normal B]]+cadangan[[#This Row],[Harga Normal C]]</f>
        <v>1030000</v>
      </c>
      <c r="AF703" s="73">
        <f>cadangan[[#This Row],[Harga Diskon A]]+cadangan[[#This Row],[Harga Diskon B]]+cadangan[[#This Row],[Harga Diskon C]]</f>
        <v>824000</v>
      </c>
      <c r="AG703" s="73">
        <f>(cadangan[[#This Row],[Profit Normal A]]+cadangan[[#This Row],[Profit Normal B]]+cadangan[[#This Row],[Profit Normal C]])</f>
        <v>370000</v>
      </c>
      <c r="AH703" s="73">
        <f>cadangan[[#This Row],[Profit Diskon A]]+cadangan[[#This Row],[Profit Diskon B]]+cadangan[[#This Row],[Profit Diskon C]]</f>
        <v>164000</v>
      </c>
      <c r="AI703" s="23" t="s">
        <v>8</v>
      </c>
      <c r="AJ703" s="37">
        <f>IFERROR(INDEX('Kode Diskon'!$D$3:$D$9,MATCH(cadangan[[#This Row],[Kode diskon]],'Kode Diskon'!$C$3:$C$9,0)),"-")</f>
        <v>0.2</v>
      </c>
      <c r="AK703" s="23" t="s">
        <v>9</v>
      </c>
      <c r="AL703" s="23" t="s">
        <v>7</v>
      </c>
      <c r="AM703" s="23" t="s">
        <v>75</v>
      </c>
      <c r="AN703" s="55">
        <v>45044</v>
      </c>
      <c r="AO703" s="53">
        <f>DAY(cadangan[[#This Row],[Tanggal terjual]])</f>
        <v>28</v>
      </c>
      <c r="AP703" s="21" t="str">
        <f>TEXT(cadangan[[#This Row],[Tanggal terjual]],"dddd")</f>
        <v>Friday</v>
      </c>
      <c r="AQ703" s="23" t="str" cm="1">
        <f t="array" ref="AQ7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03" s="61">
        <f>AVERAGE(cadangan[[#This Row],[Rating A]],cadangan[[#This Row],[Rating B]],cadangan[[#This Row],[Rating C]])</f>
        <v>2.6666666666666665</v>
      </c>
    </row>
    <row r="704" spans="1:44" x14ac:dyDescent="0.2">
      <c r="A704" s="20">
        <v>703</v>
      </c>
      <c r="B704" s="21" t="str">
        <f>_xlfn.CONCAT("ORD-",INDEX(Helper!$B$2:$B$5,MATCH(cadangan[[#This Row],[Marketplace]],Helper!$A$2:$A$5,0)),TEXT(cadangan[[#This Row],[No]],"0000"),"-",TEXT(cadangan[[#This Row],[Tanggal terjual]],"dd/mm/yy"))</f>
        <v>ORD-TK0703-06/04/23</v>
      </c>
      <c r="C704" s="39" t="s">
        <v>61</v>
      </c>
      <c r="D704" s="39" t="str">
        <f>IFERROR(INDEX(Katalog!$A$3:$A$12,MATCH(cadangan[[#This Row],[ItemID A]],Katalog!$C$3:$C$12,0)),"-")</f>
        <v>Pakaian Pria</v>
      </c>
      <c r="E704" s="39" t="str">
        <f>IFERROR(INDEX(Katalog!$B$3:$B$12,MATCH(cadangan[[#This Row],[ItemID A]],Katalog!$C$3:$C$12,0)),"-")</f>
        <v>Kaos Polo</v>
      </c>
      <c r="F704" s="50">
        <v>1</v>
      </c>
      <c r="G704" s="50">
        <v>2</v>
      </c>
      <c r="H704" s="73">
        <f>IFERROR(INDEX(Katalog!$D$3:$D$12,MATCH(cadangan[[#This Row],[ItemID A]],Katalog!$C$3:$C$12,0))*cadangan[[#This Row],[Qty A]],0)</f>
        <v>200000</v>
      </c>
      <c r="I704" s="73">
        <f>IFERROR(cadangan[[#This Row],[Harga Normal A]]-(cadangan[[#This Row],[Harga Normal A]]*cadangan[[#This Row],[Diskon]]),cadangan[[#This Row],[Harga Normal A]])</f>
        <v>180000</v>
      </c>
      <c r="J704" s="73">
        <f>INDEX(Katalog!$F$3:$F$12,MATCH(cadangan[[#This Row],[ItemID A]],Katalog!$C$3:$C$12,0))*cadangan[[#This Row],[Qty A]]</f>
        <v>80000</v>
      </c>
      <c r="K704" s="73">
        <f>IFERROR(cadangan[[#This Row],[Harga Diskon A]]-INDEX(Katalog!$E$3:$E$12,MATCH(cadangan[[#This Row],[ItemID A]],Katalog!$C$3:$C$12,0))*cadangan[[#This Row],[Qty A]],0)</f>
        <v>60000</v>
      </c>
      <c r="M704" s="39" t="str">
        <f>IFERROR(INDEX(Katalog!$A$3:$A$12,MATCH(cadangan[[#This Row],[ItemID B]],Katalog!$C$3:$C$12,0)),"-")</f>
        <v>-</v>
      </c>
      <c r="N704" s="39" t="str">
        <f>IFERROR(INDEX(Katalog!$B$3:$B$12,MATCH(cadangan[[#This Row],[ItemID B]],Katalog!$C$3:$C$12,0)),"-")</f>
        <v>-</v>
      </c>
      <c r="Q704" s="73">
        <f>IFERROR(INDEX(Katalog!$D$3:$D$12,MATCH(cadangan[[#This Row],[ItemID B]],Katalog!$C$3:$C$12,0))*cadangan[[#This Row],[Qty B]],0)</f>
        <v>0</v>
      </c>
      <c r="R704" s="73">
        <f>IFERROR(cadangan[[#This Row],[Harga Normal B]]-(cadangan[[#This Row],[Harga Normal B]]*cadangan[[#This Row],[Diskon]]),cadangan[[#This Row],[Harga Normal B]])</f>
        <v>0</v>
      </c>
      <c r="S704" s="73">
        <f>IFERROR(INDEX(Katalog!$F$3:$F$12,MATCH(cadangan[[#This Row],[ItemID B]],Katalog!$C$3:$C$12,0))*cadangan[[#This Row],[Qty B]],0)</f>
        <v>0</v>
      </c>
      <c r="T704" s="73">
        <f>IFERROR(cadangan[[#This Row],[Harga Diskon B]]-INDEX(Katalog!$E$3:$E$12,MATCH(cadangan[[#This Row],[ItemID B]],Katalog!$C$3:$C$12,0))*cadangan[[#This Row],[Qty B]],0)</f>
        <v>0</v>
      </c>
      <c r="V704" s="39" t="str">
        <f>IFERROR(INDEX(Katalog!$A$3:$A$12,MATCH(cadangan[[#This Row],[ItemID C]],Katalog!$C$3:$C$12,0)),"-")</f>
        <v>-</v>
      </c>
      <c r="W704" s="39" t="str">
        <f>IFERROR(INDEX(Katalog!$B$3:$B$12,MATCH(cadangan[[#This Row],[ItemID C]],Katalog!$C$3:$C$12,0)),"-")</f>
        <v>-</v>
      </c>
      <c r="Z704" s="73">
        <f>IFERROR(INDEX(Katalog!$D$3:$D$12,MATCH(cadangan[[#This Row],[ItemID C]],Katalog!$C$3:$C$12,0))*cadangan[[#This Row],[Qty C]],0)</f>
        <v>0</v>
      </c>
      <c r="AA704" s="73">
        <f>IFERROR(cadangan[[#This Row],[Harga Normal C]]-(cadangan[[#This Row],[Harga Normal C]]*cadangan[[#This Row],[Diskon]]),cadangan[[#This Row],[Harga Normal C]])</f>
        <v>0</v>
      </c>
      <c r="AB704" s="73">
        <f>IFERROR(INDEX(Katalog!$F$3:$F$12,MATCH(cadangan[[#This Row],[ItemID C]],Katalog!$C$3:$C$12,0))*cadangan[[#This Row],[Qty C]],0)</f>
        <v>0</v>
      </c>
      <c r="AC704" s="73">
        <f>IFERROR(cadangan[[#This Row],[Harga Diskon C]]-INDEX(Katalog!$E$3:$E$12,MATCH(cadangan[[#This Row],[ItemID C]],Katalog!$C$3:$C$12,0))*cadangan[[#This Row],[Qty C]],0)</f>
        <v>0</v>
      </c>
      <c r="AD704" s="53">
        <f>cadangan[[#This Row],[Qty A]]+cadangan[[#This Row],[Qty B]]+cadangan[[#This Row],[Qty C]]</f>
        <v>1</v>
      </c>
      <c r="AE704" s="73">
        <f>cadangan[[#This Row],[Harga Normal A]]+cadangan[[#This Row],[Harga Normal B]]+cadangan[[#This Row],[Harga Normal C]]</f>
        <v>200000</v>
      </c>
      <c r="AF704" s="73">
        <f>cadangan[[#This Row],[Harga Diskon A]]+cadangan[[#This Row],[Harga Diskon B]]+cadangan[[#This Row],[Harga Diskon C]]</f>
        <v>180000</v>
      </c>
      <c r="AG704" s="73">
        <f>(cadangan[[#This Row],[Profit Normal A]]+cadangan[[#This Row],[Profit Normal B]]+cadangan[[#This Row],[Profit Normal C]])</f>
        <v>80000</v>
      </c>
      <c r="AH704" s="73">
        <f>cadangan[[#This Row],[Profit Diskon A]]+cadangan[[#This Row],[Profit Diskon B]]+cadangan[[#This Row],[Profit Diskon C]]</f>
        <v>60000</v>
      </c>
      <c r="AI704" s="23" t="s">
        <v>30</v>
      </c>
      <c r="AJ704" s="37">
        <f>IFERROR(INDEX('Kode Diskon'!$D$3:$D$9,MATCH(cadangan[[#This Row],[Kode diskon]],'Kode Diskon'!$C$3:$C$9,0)),"-")</f>
        <v>0.1</v>
      </c>
      <c r="AK704" s="23" t="s">
        <v>29</v>
      </c>
      <c r="AL704" s="23" t="s">
        <v>10</v>
      </c>
      <c r="AM704" s="23" t="s">
        <v>76</v>
      </c>
      <c r="AN704" s="55">
        <v>45022</v>
      </c>
      <c r="AO704" s="53">
        <f>DAY(cadangan[[#This Row],[Tanggal terjual]])</f>
        <v>6</v>
      </c>
      <c r="AP704" s="21" t="str">
        <f>TEXT(cadangan[[#This Row],[Tanggal terjual]],"dddd")</f>
        <v>Thursday</v>
      </c>
      <c r="AQ704" s="23" t="str" cm="1">
        <f t="array" ref="AQ7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4" s="61">
        <f>AVERAGE(cadangan[[#This Row],[Rating A]],cadangan[[#This Row],[Rating B]],cadangan[[#This Row],[Rating C]])</f>
        <v>2</v>
      </c>
    </row>
    <row r="705" spans="1:44" x14ac:dyDescent="0.2">
      <c r="A705" s="20">
        <v>704</v>
      </c>
      <c r="B705" s="21" t="str">
        <f>_xlfn.CONCAT("ORD-",INDEX(Helper!$B$2:$B$5,MATCH(cadangan[[#This Row],[Marketplace]],Helper!$A$2:$A$5,0)),TEXT(cadangan[[#This Row],[No]],"0000"),"-",TEXT(cadangan[[#This Row],[Tanggal terjual]],"dd/mm/yy"))</f>
        <v>ORD-TK0704-01/04/23</v>
      </c>
      <c r="C705" s="39" t="s">
        <v>58</v>
      </c>
      <c r="D705" s="39" t="str">
        <f>IFERROR(INDEX(Katalog!$A$3:$A$12,MATCH(cadangan[[#This Row],[ItemID A]],Katalog!$C$3:$C$12,0)),"-")</f>
        <v>Pakaian Wanita</v>
      </c>
      <c r="E705" s="39" t="str">
        <f>IFERROR(INDEX(Katalog!$B$3:$B$12,MATCH(cadangan[[#This Row],[ItemID A]],Katalog!$C$3:$C$12,0)),"-")</f>
        <v>Dress</v>
      </c>
      <c r="F705" s="50">
        <v>4</v>
      </c>
      <c r="G705" s="50">
        <v>2</v>
      </c>
      <c r="H705" s="73">
        <f>IFERROR(INDEX(Katalog!$D$3:$D$12,MATCH(cadangan[[#This Row],[ItemID A]],Katalog!$C$3:$C$12,0))*cadangan[[#This Row],[Qty A]],0)</f>
        <v>1200000</v>
      </c>
      <c r="I705" s="73">
        <f>IFERROR(cadangan[[#This Row],[Harga Normal A]]-(cadangan[[#This Row],[Harga Normal A]]*cadangan[[#This Row],[Diskon]]),cadangan[[#This Row],[Harga Normal A]])</f>
        <v>1080000</v>
      </c>
      <c r="J705" s="73">
        <f>INDEX(Katalog!$F$3:$F$12,MATCH(cadangan[[#This Row],[ItemID A]],Katalog!$C$3:$C$12,0))*cadangan[[#This Row],[Qty A]]</f>
        <v>400000</v>
      </c>
      <c r="K705" s="73">
        <f>IFERROR(cadangan[[#This Row],[Harga Diskon A]]-INDEX(Katalog!$E$3:$E$12,MATCH(cadangan[[#This Row],[ItemID A]],Katalog!$C$3:$C$12,0))*cadangan[[#This Row],[Qty A]],0)</f>
        <v>280000</v>
      </c>
      <c r="L705" s="39" t="s">
        <v>65</v>
      </c>
      <c r="M705" s="39" t="str">
        <f>IFERROR(INDEX(Katalog!$A$3:$A$12,MATCH(cadangan[[#This Row],[ItemID B]],Katalog!$C$3:$C$12,0)),"-")</f>
        <v>Sepatu Pria</v>
      </c>
      <c r="N705" s="39" t="str">
        <f>IFERROR(INDEX(Katalog!$B$3:$B$12,MATCH(cadangan[[#This Row],[ItemID B]],Katalog!$C$3:$C$12,0)),"-")</f>
        <v>Sneakers</v>
      </c>
      <c r="O705" s="50">
        <v>3</v>
      </c>
      <c r="P705" s="50">
        <v>2</v>
      </c>
      <c r="Q705" s="73">
        <f>IFERROR(INDEX(Katalog!$D$3:$D$12,MATCH(cadangan[[#This Row],[ItemID B]],Katalog!$C$3:$C$12,0))*cadangan[[#This Row],[Qty B]],0)</f>
        <v>1500000</v>
      </c>
      <c r="R705" s="73">
        <f>IFERROR(cadangan[[#This Row],[Harga Normal B]]-(cadangan[[#This Row],[Harga Normal B]]*cadangan[[#This Row],[Diskon]]),cadangan[[#This Row],[Harga Normal B]])</f>
        <v>1350000</v>
      </c>
      <c r="S705" s="73">
        <f>IFERROR(INDEX(Katalog!$F$3:$F$12,MATCH(cadangan[[#This Row],[ItemID B]],Katalog!$C$3:$C$12,0))*cadangan[[#This Row],[Qty B]],0)</f>
        <v>600000</v>
      </c>
      <c r="T705" s="73">
        <f>IFERROR(cadangan[[#This Row],[Harga Diskon B]]-INDEX(Katalog!$E$3:$E$12,MATCH(cadangan[[#This Row],[ItemID B]],Katalog!$C$3:$C$12,0))*cadangan[[#This Row],[Qty B]],0)</f>
        <v>450000</v>
      </c>
      <c r="V705" s="39" t="str">
        <f>IFERROR(INDEX(Katalog!$A$3:$A$12,MATCH(cadangan[[#This Row],[ItemID C]],Katalog!$C$3:$C$12,0)),"-")</f>
        <v>-</v>
      </c>
      <c r="W705" s="39" t="str">
        <f>IFERROR(INDEX(Katalog!$B$3:$B$12,MATCH(cadangan[[#This Row],[ItemID C]],Katalog!$C$3:$C$12,0)),"-")</f>
        <v>-</v>
      </c>
      <c r="Z705" s="73">
        <f>IFERROR(INDEX(Katalog!$D$3:$D$12,MATCH(cadangan[[#This Row],[ItemID C]],Katalog!$C$3:$C$12,0))*cadangan[[#This Row],[Qty C]],0)</f>
        <v>0</v>
      </c>
      <c r="AA705" s="73">
        <f>IFERROR(cadangan[[#This Row],[Harga Normal C]]-(cadangan[[#This Row],[Harga Normal C]]*cadangan[[#This Row],[Diskon]]),cadangan[[#This Row],[Harga Normal C]])</f>
        <v>0</v>
      </c>
      <c r="AB705" s="73">
        <f>IFERROR(INDEX(Katalog!$F$3:$F$12,MATCH(cadangan[[#This Row],[ItemID C]],Katalog!$C$3:$C$12,0))*cadangan[[#This Row],[Qty C]],0)</f>
        <v>0</v>
      </c>
      <c r="AC705" s="73">
        <f>IFERROR(cadangan[[#This Row],[Harga Diskon C]]-INDEX(Katalog!$E$3:$E$12,MATCH(cadangan[[#This Row],[ItemID C]],Katalog!$C$3:$C$12,0))*cadangan[[#This Row],[Qty C]],0)</f>
        <v>0</v>
      </c>
      <c r="AD705" s="53">
        <f>cadangan[[#This Row],[Qty A]]+cadangan[[#This Row],[Qty B]]+cadangan[[#This Row],[Qty C]]</f>
        <v>7</v>
      </c>
      <c r="AE705" s="73">
        <f>cadangan[[#This Row],[Harga Normal A]]+cadangan[[#This Row],[Harga Normal B]]+cadangan[[#This Row],[Harga Normal C]]</f>
        <v>2700000</v>
      </c>
      <c r="AF705" s="73">
        <f>cadangan[[#This Row],[Harga Diskon A]]+cadangan[[#This Row],[Harga Diskon B]]+cadangan[[#This Row],[Harga Diskon C]]</f>
        <v>2430000</v>
      </c>
      <c r="AG705" s="73">
        <f>(cadangan[[#This Row],[Profit Normal A]]+cadangan[[#This Row],[Profit Normal B]]+cadangan[[#This Row],[Profit Normal C]])</f>
        <v>1000000</v>
      </c>
      <c r="AH705" s="73">
        <f>cadangan[[#This Row],[Profit Diskon A]]+cadangan[[#This Row],[Profit Diskon B]]+cadangan[[#This Row],[Profit Diskon C]]</f>
        <v>730000</v>
      </c>
      <c r="AI705" s="23" t="s">
        <v>30</v>
      </c>
      <c r="AJ705" s="37">
        <f>IFERROR(INDEX('Kode Diskon'!$D$3:$D$9,MATCH(cadangan[[#This Row],[Kode diskon]],'Kode Diskon'!$C$3:$C$9,0)),"-")</f>
        <v>0.1</v>
      </c>
      <c r="AK705" s="23" t="s">
        <v>29</v>
      </c>
      <c r="AL705" s="23" t="s">
        <v>10</v>
      </c>
      <c r="AM705" s="23" t="s">
        <v>76</v>
      </c>
      <c r="AN705" s="55">
        <v>45017</v>
      </c>
      <c r="AO705" s="53">
        <f>DAY(cadangan[[#This Row],[Tanggal terjual]])</f>
        <v>1</v>
      </c>
      <c r="AP705" s="21" t="str">
        <f>TEXT(cadangan[[#This Row],[Tanggal terjual]],"dddd")</f>
        <v>Saturday</v>
      </c>
      <c r="AQ705" s="23" t="str" cm="1">
        <f t="array" ref="AQ7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5" s="61">
        <f>AVERAGE(cadangan[[#This Row],[Rating A]],cadangan[[#This Row],[Rating B]],cadangan[[#This Row],[Rating C]])</f>
        <v>2</v>
      </c>
    </row>
    <row r="706" spans="1:44" x14ac:dyDescent="0.2">
      <c r="A706" s="20">
        <v>705</v>
      </c>
      <c r="B706" s="21" t="str">
        <f>_xlfn.CONCAT("ORD-",INDEX(Helper!$B$2:$B$5,MATCH(cadangan[[#This Row],[Marketplace]],Helper!$A$2:$A$5,0)),TEXT(cadangan[[#This Row],[No]],"0000"),"-",TEXT(cadangan[[#This Row],[Tanggal terjual]],"dd/mm/yy"))</f>
        <v>ORD-TK0705-30/04/23</v>
      </c>
      <c r="C706" s="39" t="s">
        <v>61</v>
      </c>
      <c r="D706" s="39" t="str">
        <f>IFERROR(INDEX(Katalog!$A$3:$A$12,MATCH(cadangan[[#This Row],[ItemID A]],Katalog!$C$3:$C$12,0)),"-")</f>
        <v>Pakaian Pria</v>
      </c>
      <c r="E706" s="39" t="str">
        <f>IFERROR(INDEX(Katalog!$B$3:$B$12,MATCH(cadangan[[#This Row],[ItemID A]],Katalog!$C$3:$C$12,0)),"-")</f>
        <v>Kaos Polo</v>
      </c>
      <c r="F706" s="50">
        <v>2</v>
      </c>
      <c r="G706" s="50">
        <v>3</v>
      </c>
      <c r="H706" s="73">
        <f>IFERROR(INDEX(Katalog!$D$3:$D$12,MATCH(cadangan[[#This Row],[ItemID A]],Katalog!$C$3:$C$12,0))*cadangan[[#This Row],[Qty A]],0)</f>
        <v>400000</v>
      </c>
      <c r="I706" s="73">
        <f>IFERROR(cadangan[[#This Row],[Harga Normal A]]-(cadangan[[#This Row],[Harga Normal A]]*cadangan[[#This Row],[Diskon]]),cadangan[[#This Row],[Harga Normal A]])</f>
        <v>360000</v>
      </c>
      <c r="J706" s="73">
        <f>INDEX(Katalog!$F$3:$F$12,MATCH(cadangan[[#This Row],[ItemID A]],Katalog!$C$3:$C$12,0))*cadangan[[#This Row],[Qty A]]</f>
        <v>160000</v>
      </c>
      <c r="K706" s="73">
        <f>IFERROR(cadangan[[#This Row],[Harga Diskon A]]-INDEX(Katalog!$E$3:$E$12,MATCH(cadangan[[#This Row],[ItemID A]],Katalog!$C$3:$C$12,0))*cadangan[[#This Row],[Qty A]],0)</f>
        <v>120000</v>
      </c>
      <c r="M706" s="39" t="str">
        <f>IFERROR(INDEX(Katalog!$A$3:$A$12,MATCH(cadangan[[#This Row],[ItemID B]],Katalog!$C$3:$C$12,0)),"-")</f>
        <v>-</v>
      </c>
      <c r="N706" s="39" t="str">
        <f>IFERROR(INDEX(Katalog!$B$3:$B$12,MATCH(cadangan[[#This Row],[ItemID B]],Katalog!$C$3:$C$12,0)),"-")</f>
        <v>-</v>
      </c>
      <c r="Q706" s="73">
        <f>IFERROR(INDEX(Katalog!$D$3:$D$12,MATCH(cadangan[[#This Row],[ItemID B]],Katalog!$C$3:$C$12,0))*cadangan[[#This Row],[Qty B]],0)</f>
        <v>0</v>
      </c>
      <c r="R706" s="73">
        <f>IFERROR(cadangan[[#This Row],[Harga Normal B]]-(cadangan[[#This Row],[Harga Normal B]]*cadangan[[#This Row],[Diskon]]),cadangan[[#This Row],[Harga Normal B]])</f>
        <v>0</v>
      </c>
      <c r="S706" s="73">
        <f>IFERROR(INDEX(Katalog!$F$3:$F$12,MATCH(cadangan[[#This Row],[ItemID B]],Katalog!$C$3:$C$12,0))*cadangan[[#This Row],[Qty B]],0)</f>
        <v>0</v>
      </c>
      <c r="T706" s="73">
        <f>IFERROR(cadangan[[#This Row],[Harga Diskon B]]-INDEX(Katalog!$E$3:$E$12,MATCH(cadangan[[#This Row],[ItemID B]],Katalog!$C$3:$C$12,0))*cadangan[[#This Row],[Qty B]],0)</f>
        <v>0</v>
      </c>
      <c r="V706" s="39" t="str">
        <f>IFERROR(INDEX(Katalog!$A$3:$A$12,MATCH(cadangan[[#This Row],[ItemID C]],Katalog!$C$3:$C$12,0)),"-")</f>
        <v>-</v>
      </c>
      <c r="W706" s="39" t="str">
        <f>IFERROR(INDEX(Katalog!$B$3:$B$12,MATCH(cadangan[[#This Row],[ItemID C]],Katalog!$C$3:$C$12,0)),"-")</f>
        <v>-</v>
      </c>
      <c r="Z706" s="73">
        <f>IFERROR(INDEX(Katalog!$D$3:$D$12,MATCH(cadangan[[#This Row],[ItemID C]],Katalog!$C$3:$C$12,0))*cadangan[[#This Row],[Qty C]],0)</f>
        <v>0</v>
      </c>
      <c r="AA706" s="73">
        <f>IFERROR(cadangan[[#This Row],[Harga Normal C]]-(cadangan[[#This Row],[Harga Normal C]]*cadangan[[#This Row],[Diskon]]),cadangan[[#This Row],[Harga Normal C]])</f>
        <v>0</v>
      </c>
      <c r="AB706" s="73">
        <f>IFERROR(INDEX(Katalog!$F$3:$F$12,MATCH(cadangan[[#This Row],[ItemID C]],Katalog!$C$3:$C$12,0))*cadangan[[#This Row],[Qty C]],0)</f>
        <v>0</v>
      </c>
      <c r="AC706" s="73">
        <f>IFERROR(cadangan[[#This Row],[Harga Diskon C]]-INDEX(Katalog!$E$3:$E$12,MATCH(cadangan[[#This Row],[ItemID C]],Katalog!$C$3:$C$12,0))*cadangan[[#This Row],[Qty C]],0)</f>
        <v>0</v>
      </c>
      <c r="AD706" s="53">
        <f>cadangan[[#This Row],[Qty A]]+cadangan[[#This Row],[Qty B]]+cadangan[[#This Row],[Qty C]]</f>
        <v>2</v>
      </c>
      <c r="AE706" s="73">
        <f>cadangan[[#This Row],[Harga Normal A]]+cadangan[[#This Row],[Harga Normal B]]+cadangan[[#This Row],[Harga Normal C]]</f>
        <v>400000</v>
      </c>
      <c r="AF706" s="73">
        <f>cadangan[[#This Row],[Harga Diskon A]]+cadangan[[#This Row],[Harga Diskon B]]+cadangan[[#This Row],[Harga Diskon C]]</f>
        <v>360000</v>
      </c>
      <c r="AG706" s="73">
        <f>(cadangan[[#This Row],[Profit Normal A]]+cadangan[[#This Row],[Profit Normal B]]+cadangan[[#This Row],[Profit Normal C]])</f>
        <v>160000</v>
      </c>
      <c r="AH706" s="73">
        <f>cadangan[[#This Row],[Profit Diskon A]]+cadangan[[#This Row],[Profit Diskon B]]+cadangan[[#This Row],[Profit Diskon C]]</f>
        <v>120000</v>
      </c>
      <c r="AI706" s="23" t="s">
        <v>31</v>
      </c>
      <c r="AJ706" s="37">
        <f>IFERROR(INDEX('Kode Diskon'!$D$3:$D$9,MATCH(cadangan[[#This Row],[Kode diskon]],'Kode Diskon'!$C$3:$C$9,0)),"-")</f>
        <v>0.1</v>
      </c>
      <c r="AK706" s="23" t="s">
        <v>9</v>
      </c>
      <c r="AL706" s="23" t="s">
        <v>10</v>
      </c>
      <c r="AM706" s="23" t="s">
        <v>77</v>
      </c>
      <c r="AN706" s="55">
        <v>45046</v>
      </c>
      <c r="AO706" s="53">
        <f>DAY(cadangan[[#This Row],[Tanggal terjual]])</f>
        <v>30</v>
      </c>
      <c r="AP706" s="21" t="str">
        <f>TEXT(cadangan[[#This Row],[Tanggal terjual]],"dddd")</f>
        <v>Sunday</v>
      </c>
      <c r="AQ706" s="23" t="str" cm="1">
        <f t="array" ref="AQ7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06" s="61">
        <f>AVERAGE(cadangan[[#This Row],[Rating A]],cadangan[[#This Row],[Rating B]],cadangan[[#This Row],[Rating C]])</f>
        <v>3</v>
      </c>
    </row>
    <row r="707" spans="1:44" x14ac:dyDescent="0.2">
      <c r="A707" s="20">
        <v>706</v>
      </c>
      <c r="B707" s="21" t="str">
        <f>_xlfn.CONCAT("ORD-",INDEX(Helper!$B$2:$B$5,MATCH(cadangan[[#This Row],[Marketplace]],Helper!$A$2:$A$5,0)),TEXT(cadangan[[#This Row],[No]],"0000"),"-",TEXT(cadangan[[#This Row],[Tanggal terjual]],"dd/mm/yy"))</f>
        <v>ORD-TK0706-02/04/23</v>
      </c>
      <c r="C707" s="39" t="s">
        <v>63</v>
      </c>
      <c r="D707" s="39" t="str">
        <f>IFERROR(INDEX(Katalog!$A$3:$A$12,MATCH(cadangan[[#This Row],[ItemID A]],Katalog!$C$3:$C$12,0)),"-")</f>
        <v>Pakaian Pria</v>
      </c>
      <c r="E707" s="39" t="str">
        <f>IFERROR(INDEX(Katalog!$B$3:$B$12,MATCH(cadangan[[#This Row],[ItemID A]],Katalog!$C$3:$C$12,0)),"-")</f>
        <v>Jaket Jeans</v>
      </c>
      <c r="F707" s="50">
        <v>2</v>
      </c>
      <c r="G707" s="50">
        <v>2</v>
      </c>
      <c r="H707" s="73">
        <f>IFERROR(INDEX(Katalog!$D$3:$D$12,MATCH(cadangan[[#This Row],[ItemID A]],Katalog!$C$3:$C$12,0))*cadangan[[#This Row],[Qty A]],0)</f>
        <v>800000</v>
      </c>
      <c r="I707" s="73">
        <f>IFERROR(cadangan[[#This Row],[Harga Normal A]]-(cadangan[[#This Row],[Harga Normal A]]*cadangan[[#This Row],[Diskon]]),cadangan[[#This Row],[Harga Normal A]])</f>
        <v>720000</v>
      </c>
      <c r="J707" s="73">
        <f>INDEX(Katalog!$F$3:$F$12,MATCH(cadangan[[#This Row],[ItemID A]],Katalog!$C$3:$C$12,0))*cadangan[[#This Row],[Qty A]]</f>
        <v>300000</v>
      </c>
      <c r="K707" s="73">
        <f>IFERROR(cadangan[[#This Row],[Harga Diskon A]]-INDEX(Katalog!$E$3:$E$12,MATCH(cadangan[[#This Row],[ItemID A]],Katalog!$C$3:$C$12,0))*cadangan[[#This Row],[Qty A]],0)</f>
        <v>220000</v>
      </c>
      <c r="L707" s="39" t="s">
        <v>58</v>
      </c>
      <c r="M707" s="39" t="str">
        <f>IFERROR(INDEX(Katalog!$A$3:$A$12,MATCH(cadangan[[#This Row],[ItemID B]],Katalog!$C$3:$C$12,0)),"-")</f>
        <v>Pakaian Wanita</v>
      </c>
      <c r="N707" s="39" t="str">
        <f>IFERROR(INDEX(Katalog!$B$3:$B$12,MATCH(cadangan[[#This Row],[ItemID B]],Katalog!$C$3:$C$12,0)),"-")</f>
        <v>Dress</v>
      </c>
      <c r="O707" s="50">
        <v>4</v>
      </c>
      <c r="P707" s="50">
        <v>5</v>
      </c>
      <c r="Q707" s="73">
        <f>IFERROR(INDEX(Katalog!$D$3:$D$12,MATCH(cadangan[[#This Row],[ItemID B]],Katalog!$C$3:$C$12,0))*cadangan[[#This Row],[Qty B]],0)</f>
        <v>1200000</v>
      </c>
      <c r="R707" s="73">
        <f>IFERROR(cadangan[[#This Row],[Harga Normal B]]-(cadangan[[#This Row],[Harga Normal B]]*cadangan[[#This Row],[Diskon]]),cadangan[[#This Row],[Harga Normal B]])</f>
        <v>1080000</v>
      </c>
      <c r="S707" s="73">
        <f>IFERROR(INDEX(Katalog!$F$3:$F$12,MATCH(cadangan[[#This Row],[ItemID B]],Katalog!$C$3:$C$12,0))*cadangan[[#This Row],[Qty B]],0)</f>
        <v>400000</v>
      </c>
      <c r="T707" s="73">
        <f>IFERROR(cadangan[[#This Row],[Harga Diskon B]]-INDEX(Katalog!$E$3:$E$12,MATCH(cadangan[[#This Row],[ItemID B]],Katalog!$C$3:$C$12,0))*cadangan[[#This Row],[Qty B]],0)</f>
        <v>280000</v>
      </c>
      <c r="V707" s="39" t="str">
        <f>IFERROR(INDEX(Katalog!$A$3:$A$12,MATCH(cadangan[[#This Row],[ItemID C]],Katalog!$C$3:$C$12,0)),"-")</f>
        <v>-</v>
      </c>
      <c r="W707" s="39" t="str">
        <f>IFERROR(INDEX(Katalog!$B$3:$B$12,MATCH(cadangan[[#This Row],[ItemID C]],Katalog!$C$3:$C$12,0)),"-")</f>
        <v>-</v>
      </c>
      <c r="Z707" s="73">
        <f>IFERROR(INDEX(Katalog!$D$3:$D$12,MATCH(cadangan[[#This Row],[ItemID C]],Katalog!$C$3:$C$12,0))*cadangan[[#This Row],[Qty C]],0)</f>
        <v>0</v>
      </c>
      <c r="AA707" s="73">
        <f>IFERROR(cadangan[[#This Row],[Harga Normal C]]-(cadangan[[#This Row],[Harga Normal C]]*cadangan[[#This Row],[Diskon]]),cadangan[[#This Row],[Harga Normal C]])</f>
        <v>0</v>
      </c>
      <c r="AB707" s="73">
        <f>IFERROR(INDEX(Katalog!$F$3:$F$12,MATCH(cadangan[[#This Row],[ItemID C]],Katalog!$C$3:$C$12,0))*cadangan[[#This Row],[Qty C]],0)</f>
        <v>0</v>
      </c>
      <c r="AC707" s="73">
        <f>IFERROR(cadangan[[#This Row],[Harga Diskon C]]-INDEX(Katalog!$E$3:$E$12,MATCH(cadangan[[#This Row],[ItemID C]],Katalog!$C$3:$C$12,0))*cadangan[[#This Row],[Qty C]],0)</f>
        <v>0</v>
      </c>
      <c r="AD707" s="53">
        <f>cadangan[[#This Row],[Qty A]]+cadangan[[#This Row],[Qty B]]+cadangan[[#This Row],[Qty C]]</f>
        <v>6</v>
      </c>
      <c r="AE707" s="73">
        <f>cadangan[[#This Row],[Harga Normal A]]+cadangan[[#This Row],[Harga Normal B]]+cadangan[[#This Row],[Harga Normal C]]</f>
        <v>2000000</v>
      </c>
      <c r="AF707" s="73">
        <f>cadangan[[#This Row],[Harga Diskon A]]+cadangan[[#This Row],[Harga Diskon B]]+cadangan[[#This Row],[Harga Diskon C]]</f>
        <v>1800000</v>
      </c>
      <c r="AG707" s="73">
        <f>(cadangan[[#This Row],[Profit Normal A]]+cadangan[[#This Row],[Profit Normal B]]+cadangan[[#This Row],[Profit Normal C]])</f>
        <v>700000</v>
      </c>
      <c r="AH707" s="73">
        <f>cadangan[[#This Row],[Profit Diskon A]]+cadangan[[#This Row],[Profit Diskon B]]+cadangan[[#This Row],[Profit Diskon C]]</f>
        <v>500000</v>
      </c>
      <c r="AI707" s="23" t="s">
        <v>30</v>
      </c>
      <c r="AJ707" s="37">
        <f>IFERROR(INDEX('Kode Diskon'!$D$3:$D$9,MATCH(cadangan[[#This Row],[Kode diskon]],'Kode Diskon'!$C$3:$C$9,0)),"-")</f>
        <v>0.1</v>
      </c>
      <c r="AK707" s="23" t="s">
        <v>29</v>
      </c>
      <c r="AL707" s="23" t="s">
        <v>10</v>
      </c>
      <c r="AM707" s="23" t="s">
        <v>79</v>
      </c>
      <c r="AN707" s="55">
        <v>45018</v>
      </c>
      <c r="AO707" s="53">
        <f>DAY(cadangan[[#This Row],[Tanggal terjual]])</f>
        <v>2</v>
      </c>
      <c r="AP707" s="21" t="str">
        <f>TEXT(cadangan[[#This Row],[Tanggal terjual]],"dddd")</f>
        <v>Sunday</v>
      </c>
      <c r="AQ707" s="23" t="str" cm="1">
        <f t="array" ref="AQ7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7" s="61">
        <f>AVERAGE(cadangan[[#This Row],[Rating A]],cadangan[[#This Row],[Rating B]],cadangan[[#This Row],[Rating C]])</f>
        <v>3.5</v>
      </c>
    </row>
    <row r="708" spans="1:44" x14ac:dyDescent="0.2">
      <c r="A708" s="20">
        <v>707</v>
      </c>
      <c r="B708" s="21" t="str">
        <f>_xlfn.CONCAT("ORD-",INDEX(Helper!$B$2:$B$5,MATCH(cadangan[[#This Row],[Marketplace]],Helper!$A$2:$A$5,0)),TEXT(cadangan[[#This Row],[No]],"0000"),"-",TEXT(cadangan[[#This Row],[Tanggal terjual]],"dd/mm/yy"))</f>
        <v>ORD-SP0707-06/04/23</v>
      </c>
      <c r="C708" s="39" t="s">
        <v>59</v>
      </c>
      <c r="D708" s="39" t="str">
        <f>IFERROR(INDEX(Katalog!$A$3:$A$12,MATCH(cadangan[[#This Row],[ItemID A]],Katalog!$C$3:$C$12,0)),"-")</f>
        <v>Pakaian Wanita</v>
      </c>
      <c r="E708" s="39" t="str">
        <f>IFERROR(INDEX(Katalog!$B$3:$B$12,MATCH(cadangan[[#This Row],[ItemID A]],Katalog!$C$3:$C$12,0)),"-")</f>
        <v>Blouse</v>
      </c>
      <c r="F708" s="50">
        <v>4</v>
      </c>
      <c r="G708" s="50">
        <v>3</v>
      </c>
      <c r="H708" s="73">
        <f>IFERROR(INDEX(Katalog!$D$3:$D$12,MATCH(cadangan[[#This Row],[ItemID A]],Katalog!$C$3:$C$12,0))*cadangan[[#This Row],[Qty A]],0)</f>
        <v>600000</v>
      </c>
      <c r="I708" s="73">
        <f>IFERROR(cadangan[[#This Row],[Harga Normal A]]-(cadangan[[#This Row],[Harga Normal A]]*cadangan[[#This Row],[Diskon]]),cadangan[[#This Row],[Harga Normal A]])</f>
        <v>540000</v>
      </c>
      <c r="J708" s="73">
        <f>INDEX(Katalog!$F$3:$F$12,MATCH(cadangan[[#This Row],[ItemID A]],Katalog!$C$3:$C$12,0))*cadangan[[#This Row],[Qty A]]</f>
        <v>200000</v>
      </c>
      <c r="K708" s="73">
        <f>IFERROR(cadangan[[#This Row],[Harga Diskon A]]-INDEX(Katalog!$E$3:$E$12,MATCH(cadangan[[#This Row],[ItemID A]],Katalog!$C$3:$C$12,0))*cadangan[[#This Row],[Qty A]],0)</f>
        <v>140000</v>
      </c>
      <c r="M708" s="39" t="str">
        <f>IFERROR(INDEX(Katalog!$A$3:$A$12,MATCH(cadangan[[#This Row],[ItemID B]],Katalog!$C$3:$C$12,0)),"-")</f>
        <v>-</v>
      </c>
      <c r="N708" s="39" t="str">
        <f>IFERROR(INDEX(Katalog!$B$3:$B$12,MATCH(cadangan[[#This Row],[ItemID B]],Katalog!$C$3:$C$12,0)),"-")</f>
        <v>-</v>
      </c>
      <c r="Q708" s="73">
        <f>IFERROR(INDEX(Katalog!$D$3:$D$12,MATCH(cadangan[[#This Row],[ItemID B]],Katalog!$C$3:$C$12,0))*cadangan[[#This Row],[Qty B]],0)</f>
        <v>0</v>
      </c>
      <c r="R708" s="73">
        <f>IFERROR(cadangan[[#This Row],[Harga Normal B]]-(cadangan[[#This Row],[Harga Normal B]]*cadangan[[#This Row],[Diskon]]),cadangan[[#This Row],[Harga Normal B]])</f>
        <v>0</v>
      </c>
      <c r="S708" s="73">
        <f>IFERROR(INDEX(Katalog!$F$3:$F$12,MATCH(cadangan[[#This Row],[ItemID B]],Katalog!$C$3:$C$12,0))*cadangan[[#This Row],[Qty B]],0)</f>
        <v>0</v>
      </c>
      <c r="T708" s="73">
        <f>IFERROR(cadangan[[#This Row],[Harga Diskon B]]-INDEX(Katalog!$E$3:$E$12,MATCH(cadangan[[#This Row],[ItemID B]],Katalog!$C$3:$C$12,0))*cadangan[[#This Row],[Qty B]],0)</f>
        <v>0</v>
      </c>
      <c r="V708" s="39" t="str">
        <f>IFERROR(INDEX(Katalog!$A$3:$A$12,MATCH(cadangan[[#This Row],[ItemID C]],Katalog!$C$3:$C$12,0)),"-")</f>
        <v>-</v>
      </c>
      <c r="W708" s="39" t="str">
        <f>IFERROR(INDEX(Katalog!$B$3:$B$12,MATCH(cadangan[[#This Row],[ItemID C]],Katalog!$C$3:$C$12,0)),"-")</f>
        <v>-</v>
      </c>
      <c r="Z708" s="73">
        <f>IFERROR(INDEX(Katalog!$D$3:$D$12,MATCH(cadangan[[#This Row],[ItemID C]],Katalog!$C$3:$C$12,0))*cadangan[[#This Row],[Qty C]],0)</f>
        <v>0</v>
      </c>
      <c r="AA708" s="73">
        <f>IFERROR(cadangan[[#This Row],[Harga Normal C]]-(cadangan[[#This Row],[Harga Normal C]]*cadangan[[#This Row],[Diskon]]),cadangan[[#This Row],[Harga Normal C]])</f>
        <v>0</v>
      </c>
      <c r="AB708" s="73">
        <f>IFERROR(INDEX(Katalog!$F$3:$F$12,MATCH(cadangan[[#This Row],[ItemID C]],Katalog!$C$3:$C$12,0))*cadangan[[#This Row],[Qty C]],0)</f>
        <v>0</v>
      </c>
      <c r="AC708" s="73">
        <f>IFERROR(cadangan[[#This Row],[Harga Diskon C]]-INDEX(Katalog!$E$3:$E$12,MATCH(cadangan[[#This Row],[ItemID C]],Katalog!$C$3:$C$12,0))*cadangan[[#This Row],[Qty C]],0)</f>
        <v>0</v>
      </c>
      <c r="AD708" s="53">
        <f>cadangan[[#This Row],[Qty A]]+cadangan[[#This Row],[Qty B]]+cadangan[[#This Row],[Qty C]]</f>
        <v>4</v>
      </c>
      <c r="AE708" s="73">
        <f>cadangan[[#This Row],[Harga Normal A]]+cadangan[[#This Row],[Harga Normal B]]+cadangan[[#This Row],[Harga Normal C]]</f>
        <v>600000</v>
      </c>
      <c r="AF708" s="73">
        <f>cadangan[[#This Row],[Harga Diskon A]]+cadangan[[#This Row],[Harga Diskon B]]+cadangan[[#This Row],[Harga Diskon C]]</f>
        <v>540000</v>
      </c>
      <c r="AG708" s="73">
        <f>(cadangan[[#This Row],[Profit Normal A]]+cadangan[[#This Row],[Profit Normal B]]+cadangan[[#This Row],[Profit Normal C]])</f>
        <v>200000</v>
      </c>
      <c r="AH708" s="73">
        <f>cadangan[[#This Row],[Profit Diskon A]]+cadangan[[#This Row],[Profit Diskon B]]+cadangan[[#This Row],[Profit Diskon C]]</f>
        <v>140000</v>
      </c>
      <c r="AI708" s="23" t="s">
        <v>6</v>
      </c>
      <c r="AJ708" s="37">
        <f>IFERROR(INDEX('Kode Diskon'!$D$3:$D$9,MATCH(cadangan[[#This Row],[Kode diskon]],'Kode Diskon'!$C$3:$C$9,0)),"-")</f>
        <v>0.1</v>
      </c>
      <c r="AK708" s="23" t="s">
        <v>29</v>
      </c>
      <c r="AL708" s="23" t="s">
        <v>7</v>
      </c>
      <c r="AM708" s="23" t="s">
        <v>79</v>
      </c>
      <c r="AN708" s="55">
        <v>45022</v>
      </c>
      <c r="AO708" s="53">
        <f>DAY(cadangan[[#This Row],[Tanggal terjual]])</f>
        <v>6</v>
      </c>
      <c r="AP708" s="21" t="str">
        <f>TEXT(cadangan[[#This Row],[Tanggal terjual]],"dddd")</f>
        <v>Thursday</v>
      </c>
      <c r="AQ708" s="23" t="str" cm="1">
        <f t="array" ref="AQ7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8" s="61">
        <f>AVERAGE(cadangan[[#This Row],[Rating A]],cadangan[[#This Row],[Rating B]],cadangan[[#This Row],[Rating C]])</f>
        <v>3</v>
      </c>
    </row>
    <row r="709" spans="1:44" x14ac:dyDescent="0.2">
      <c r="A709" s="20">
        <v>708</v>
      </c>
      <c r="B709" s="21" t="str">
        <f>_xlfn.CONCAT("ORD-",INDEX(Helper!$B$2:$B$5,MATCH(cadangan[[#This Row],[Marketplace]],Helper!$A$2:$A$5,0)),TEXT(cadangan[[#This Row],[No]],"0000"),"-",TEXT(cadangan[[#This Row],[Tanggal terjual]],"dd/mm/yy"))</f>
        <v>ORD-SP0708-05/04/23</v>
      </c>
      <c r="C709" s="39" t="s">
        <v>67</v>
      </c>
      <c r="D709" s="39" t="str">
        <f>IFERROR(INDEX(Katalog!$A$3:$A$12,MATCH(cadangan[[#This Row],[ItemID A]],Katalog!$C$3:$C$12,0)),"-")</f>
        <v>Sepatu Wanita</v>
      </c>
      <c r="E709" s="39" t="str">
        <f>IFERROR(INDEX(Katalog!$B$3:$B$12,MATCH(cadangan[[#This Row],[ItemID A]],Katalog!$C$3:$C$12,0)),"-")</f>
        <v>Flat Shoes</v>
      </c>
      <c r="F709" s="50">
        <v>2</v>
      </c>
      <c r="G709" s="50">
        <v>4</v>
      </c>
      <c r="H709" s="73">
        <f>IFERROR(INDEX(Katalog!$D$3:$D$12,MATCH(cadangan[[#This Row],[ItemID A]],Katalog!$C$3:$C$12,0))*cadangan[[#This Row],[Qty A]],0)</f>
        <v>500000</v>
      </c>
      <c r="I709" s="73">
        <f>IFERROR(cadangan[[#This Row],[Harga Normal A]]-(cadangan[[#This Row],[Harga Normal A]]*cadangan[[#This Row],[Diskon]]),cadangan[[#This Row],[Harga Normal A]])</f>
        <v>450000</v>
      </c>
      <c r="J709" s="73">
        <f>INDEX(Katalog!$F$3:$F$12,MATCH(cadangan[[#This Row],[ItemID A]],Katalog!$C$3:$C$12,0))*cadangan[[#This Row],[Qty A]]</f>
        <v>200000</v>
      </c>
      <c r="K709" s="73">
        <f>IFERROR(cadangan[[#This Row],[Harga Diskon A]]-INDEX(Katalog!$E$3:$E$12,MATCH(cadangan[[#This Row],[ItemID A]],Katalog!$C$3:$C$12,0))*cadangan[[#This Row],[Qty A]],0)</f>
        <v>150000</v>
      </c>
      <c r="L709" s="39" t="s">
        <v>63</v>
      </c>
      <c r="M709" s="39" t="str">
        <f>IFERROR(INDEX(Katalog!$A$3:$A$12,MATCH(cadangan[[#This Row],[ItemID B]],Katalog!$C$3:$C$12,0)),"-")</f>
        <v>Pakaian Pria</v>
      </c>
      <c r="N709" s="39" t="str">
        <f>IFERROR(INDEX(Katalog!$B$3:$B$12,MATCH(cadangan[[#This Row],[ItemID B]],Katalog!$C$3:$C$12,0)),"-")</f>
        <v>Jaket Jeans</v>
      </c>
      <c r="O709" s="50">
        <v>3</v>
      </c>
      <c r="P709" s="50">
        <v>4</v>
      </c>
      <c r="Q709" s="73">
        <f>IFERROR(INDEX(Katalog!$D$3:$D$12,MATCH(cadangan[[#This Row],[ItemID B]],Katalog!$C$3:$C$12,0))*cadangan[[#This Row],[Qty B]],0)</f>
        <v>1200000</v>
      </c>
      <c r="R709" s="73">
        <f>IFERROR(cadangan[[#This Row],[Harga Normal B]]-(cadangan[[#This Row],[Harga Normal B]]*cadangan[[#This Row],[Diskon]]),cadangan[[#This Row],[Harga Normal B]])</f>
        <v>1080000</v>
      </c>
      <c r="S709" s="73">
        <f>IFERROR(INDEX(Katalog!$F$3:$F$12,MATCH(cadangan[[#This Row],[ItemID B]],Katalog!$C$3:$C$12,0))*cadangan[[#This Row],[Qty B]],0)</f>
        <v>450000</v>
      </c>
      <c r="T709" s="73">
        <f>IFERROR(cadangan[[#This Row],[Harga Diskon B]]-INDEX(Katalog!$E$3:$E$12,MATCH(cadangan[[#This Row],[ItemID B]],Katalog!$C$3:$C$12,0))*cadangan[[#This Row],[Qty B]],0)</f>
        <v>330000</v>
      </c>
      <c r="U709" s="39" t="s">
        <v>67</v>
      </c>
      <c r="V709" s="39" t="str">
        <f>IFERROR(INDEX(Katalog!$A$3:$A$12,MATCH(cadangan[[#This Row],[ItemID C]],Katalog!$C$3:$C$12,0)),"-")</f>
        <v>Sepatu Wanita</v>
      </c>
      <c r="W709" s="39" t="str">
        <f>IFERROR(INDEX(Katalog!$B$3:$B$12,MATCH(cadangan[[#This Row],[ItemID C]],Katalog!$C$3:$C$12,0)),"-")</f>
        <v>Flat Shoes</v>
      </c>
      <c r="X709" s="50">
        <v>2</v>
      </c>
      <c r="Y709" s="50">
        <v>3</v>
      </c>
      <c r="Z709" s="73">
        <f>IFERROR(INDEX(Katalog!$D$3:$D$12,MATCH(cadangan[[#This Row],[ItemID C]],Katalog!$C$3:$C$12,0))*cadangan[[#This Row],[Qty C]],0)</f>
        <v>500000</v>
      </c>
      <c r="AA709" s="73">
        <f>IFERROR(cadangan[[#This Row],[Harga Normal C]]-(cadangan[[#This Row],[Harga Normal C]]*cadangan[[#This Row],[Diskon]]),cadangan[[#This Row],[Harga Normal C]])</f>
        <v>450000</v>
      </c>
      <c r="AB709" s="73">
        <f>IFERROR(INDEX(Katalog!$F$3:$F$12,MATCH(cadangan[[#This Row],[ItemID C]],Katalog!$C$3:$C$12,0))*cadangan[[#This Row],[Qty C]],0)</f>
        <v>200000</v>
      </c>
      <c r="AC709" s="73">
        <f>IFERROR(cadangan[[#This Row],[Harga Diskon C]]-INDEX(Katalog!$E$3:$E$12,MATCH(cadangan[[#This Row],[ItemID C]],Katalog!$C$3:$C$12,0))*cadangan[[#This Row],[Qty C]],0)</f>
        <v>150000</v>
      </c>
      <c r="AD709" s="53">
        <f>cadangan[[#This Row],[Qty A]]+cadangan[[#This Row],[Qty B]]+cadangan[[#This Row],[Qty C]]</f>
        <v>7</v>
      </c>
      <c r="AE709" s="73">
        <f>cadangan[[#This Row],[Harga Normal A]]+cadangan[[#This Row],[Harga Normal B]]+cadangan[[#This Row],[Harga Normal C]]</f>
        <v>2200000</v>
      </c>
      <c r="AF709" s="73">
        <f>cadangan[[#This Row],[Harga Diskon A]]+cadangan[[#This Row],[Harga Diskon B]]+cadangan[[#This Row],[Harga Diskon C]]</f>
        <v>1980000</v>
      </c>
      <c r="AG709" s="73">
        <f>(cadangan[[#This Row],[Profit Normal A]]+cadangan[[#This Row],[Profit Normal B]]+cadangan[[#This Row],[Profit Normal C]])</f>
        <v>850000</v>
      </c>
      <c r="AH709" s="73">
        <f>cadangan[[#This Row],[Profit Diskon A]]+cadangan[[#This Row],[Profit Diskon B]]+cadangan[[#This Row],[Profit Diskon C]]</f>
        <v>630000</v>
      </c>
      <c r="AI709" s="23" t="s">
        <v>6</v>
      </c>
      <c r="AJ709" s="37">
        <f>IFERROR(INDEX('Kode Diskon'!$D$3:$D$9,MATCH(cadangan[[#This Row],[Kode diskon]],'Kode Diskon'!$C$3:$C$9,0)),"-")</f>
        <v>0.1</v>
      </c>
      <c r="AK709" s="23" t="s">
        <v>29</v>
      </c>
      <c r="AL709" s="23" t="s">
        <v>7</v>
      </c>
      <c r="AM709" s="23" t="s">
        <v>79</v>
      </c>
      <c r="AN709" s="55">
        <v>45021</v>
      </c>
      <c r="AO709" s="53">
        <f>DAY(cadangan[[#This Row],[Tanggal terjual]])</f>
        <v>5</v>
      </c>
      <c r="AP709" s="21" t="str">
        <f>TEXT(cadangan[[#This Row],[Tanggal terjual]],"dddd")</f>
        <v>Wednesday</v>
      </c>
      <c r="AQ709" s="23" t="str" cm="1">
        <f t="array" ref="AQ7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09" s="61">
        <f>AVERAGE(cadangan[[#This Row],[Rating A]],cadangan[[#This Row],[Rating B]],cadangan[[#This Row],[Rating C]])</f>
        <v>3.6666666666666665</v>
      </c>
    </row>
    <row r="710" spans="1:44" x14ac:dyDescent="0.2">
      <c r="A710" s="20">
        <v>709</v>
      </c>
      <c r="B710" s="21" t="str">
        <f>_xlfn.CONCAT("ORD-",INDEX(Helper!$B$2:$B$5,MATCH(cadangan[[#This Row],[Marketplace]],Helper!$A$2:$A$5,0)),TEXT(cadangan[[#This Row],[No]],"0000"),"-",TEXT(cadangan[[#This Row],[Tanggal terjual]],"dd/mm/yy"))</f>
        <v>ORD-BB0709-06/04/23</v>
      </c>
      <c r="C710" s="39" t="s">
        <v>66</v>
      </c>
      <c r="D710" s="39" t="str">
        <f>IFERROR(INDEX(Katalog!$A$3:$A$12,MATCH(cadangan[[#This Row],[ItemID A]],Katalog!$C$3:$C$12,0)),"-")</f>
        <v>Sepatu Pria</v>
      </c>
      <c r="E710" s="39" t="str">
        <f>IFERROR(INDEX(Katalog!$B$3:$B$12,MATCH(cadangan[[#This Row],[ItemID A]],Katalog!$C$3:$C$12,0)),"-")</f>
        <v>Sandal Slip On</v>
      </c>
      <c r="F710" s="50">
        <v>1</v>
      </c>
      <c r="G710" s="50">
        <v>2</v>
      </c>
      <c r="H710" s="73">
        <f>IFERROR(INDEX(Katalog!$D$3:$D$12,MATCH(cadangan[[#This Row],[ItemID A]],Katalog!$C$3:$C$12,0))*cadangan[[#This Row],[Qty A]],0)</f>
        <v>150000</v>
      </c>
      <c r="I710" s="73">
        <f>IFERROR(cadangan[[#This Row],[Harga Normal A]]-(cadangan[[#This Row],[Harga Normal A]]*cadangan[[#This Row],[Diskon]]),cadangan[[#This Row],[Harga Normal A]])</f>
        <v>127500</v>
      </c>
      <c r="J710" s="73">
        <f>INDEX(Katalog!$F$3:$F$12,MATCH(cadangan[[#This Row],[ItemID A]],Katalog!$C$3:$C$12,0))*cadangan[[#This Row],[Qty A]]</f>
        <v>60000</v>
      </c>
      <c r="K710" s="73">
        <f>IFERROR(cadangan[[#This Row],[Harga Diskon A]]-INDEX(Katalog!$E$3:$E$12,MATCH(cadangan[[#This Row],[ItemID A]],Katalog!$C$3:$C$12,0))*cadangan[[#This Row],[Qty A]],0)</f>
        <v>37500</v>
      </c>
      <c r="L710" s="39" t="s">
        <v>60</v>
      </c>
      <c r="M710" s="39" t="str">
        <f>IFERROR(INDEX(Katalog!$A$3:$A$12,MATCH(cadangan[[#This Row],[ItemID B]],Katalog!$C$3:$C$12,0)),"-")</f>
        <v>Pakaian Wanita</v>
      </c>
      <c r="N710" s="39" t="str">
        <f>IFERROR(INDEX(Katalog!$B$3:$B$12,MATCH(cadangan[[#This Row],[ItemID B]],Katalog!$C$3:$C$12,0)),"-")</f>
        <v>Kaftan</v>
      </c>
      <c r="O710" s="50">
        <v>1</v>
      </c>
      <c r="P710" s="50">
        <v>5</v>
      </c>
      <c r="Q710" s="73">
        <f>IFERROR(INDEX(Katalog!$D$3:$D$12,MATCH(cadangan[[#This Row],[ItemID B]],Katalog!$C$3:$C$12,0))*cadangan[[#This Row],[Qty B]],0)</f>
        <v>250000</v>
      </c>
      <c r="R710" s="73">
        <f>IFERROR(cadangan[[#This Row],[Harga Normal B]]-(cadangan[[#This Row],[Harga Normal B]]*cadangan[[#This Row],[Diskon]]),cadangan[[#This Row],[Harga Normal B]])</f>
        <v>212500</v>
      </c>
      <c r="S710" s="73">
        <f>IFERROR(INDEX(Katalog!$F$3:$F$12,MATCH(cadangan[[#This Row],[ItemID B]],Katalog!$C$3:$C$12,0))*cadangan[[#This Row],[Qty B]],0)</f>
        <v>100000</v>
      </c>
      <c r="T710" s="73">
        <f>IFERROR(cadangan[[#This Row],[Harga Diskon B]]-INDEX(Katalog!$E$3:$E$12,MATCH(cadangan[[#This Row],[ItemID B]],Katalog!$C$3:$C$12,0))*cadangan[[#This Row],[Qty B]],0)</f>
        <v>62500</v>
      </c>
      <c r="V710" s="39" t="str">
        <f>IFERROR(INDEX(Katalog!$A$3:$A$12,MATCH(cadangan[[#This Row],[ItemID C]],Katalog!$C$3:$C$12,0)),"-")</f>
        <v>-</v>
      </c>
      <c r="W710" s="39" t="str">
        <f>IFERROR(INDEX(Katalog!$B$3:$B$12,MATCH(cadangan[[#This Row],[ItemID C]],Katalog!$C$3:$C$12,0)),"-")</f>
        <v>-</v>
      </c>
      <c r="Z710" s="73">
        <f>IFERROR(INDEX(Katalog!$D$3:$D$12,MATCH(cadangan[[#This Row],[ItemID C]],Katalog!$C$3:$C$12,0))*cadangan[[#This Row],[Qty C]],0)</f>
        <v>0</v>
      </c>
      <c r="AA710" s="73">
        <f>IFERROR(cadangan[[#This Row],[Harga Normal C]]-(cadangan[[#This Row],[Harga Normal C]]*cadangan[[#This Row],[Diskon]]),cadangan[[#This Row],[Harga Normal C]])</f>
        <v>0</v>
      </c>
      <c r="AB710" s="73">
        <f>IFERROR(INDEX(Katalog!$F$3:$F$12,MATCH(cadangan[[#This Row],[ItemID C]],Katalog!$C$3:$C$12,0))*cadangan[[#This Row],[Qty C]],0)</f>
        <v>0</v>
      </c>
      <c r="AC710" s="73">
        <f>IFERROR(cadangan[[#This Row],[Harga Diskon C]]-INDEX(Katalog!$E$3:$E$12,MATCH(cadangan[[#This Row],[ItemID C]],Katalog!$C$3:$C$12,0))*cadangan[[#This Row],[Qty C]],0)</f>
        <v>0</v>
      </c>
      <c r="AD710" s="53">
        <f>cadangan[[#This Row],[Qty A]]+cadangan[[#This Row],[Qty B]]+cadangan[[#This Row],[Qty C]]</f>
        <v>2</v>
      </c>
      <c r="AE710" s="73">
        <f>cadangan[[#This Row],[Harga Normal A]]+cadangan[[#This Row],[Harga Normal B]]+cadangan[[#This Row],[Harga Normal C]]</f>
        <v>400000</v>
      </c>
      <c r="AF710" s="73">
        <f>cadangan[[#This Row],[Harga Diskon A]]+cadangan[[#This Row],[Harga Diskon B]]+cadangan[[#This Row],[Harga Diskon C]]</f>
        <v>340000</v>
      </c>
      <c r="AG710" s="73">
        <f>(cadangan[[#This Row],[Profit Normal A]]+cadangan[[#This Row],[Profit Normal B]]+cadangan[[#This Row],[Profit Normal C]])</f>
        <v>160000</v>
      </c>
      <c r="AH710" s="73">
        <f>cadangan[[#This Row],[Profit Diskon A]]+cadangan[[#This Row],[Profit Diskon B]]+cadangan[[#This Row],[Profit Diskon C]]</f>
        <v>100000</v>
      </c>
      <c r="AI710" s="23" t="s">
        <v>28</v>
      </c>
      <c r="AJ710" s="37">
        <f>IFERROR(INDEX('Kode Diskon'!$D$3:$D$9,MATCH(cadangan[[#This Row],[Kode diskon]],'Kode Diskon'!$C$3:$C$9,0)),"-")</f>
        <v>0.15</v>
      </c>
      <c r="AK710" s="23" t="s">
        <v>29</v>
      </c>
      <c r="AL710" s="23" t="s">
        <v>14</v>
      </c>
      <c r="AM710" s="23" t="s">
        <v>80</v>
      </c>
      <c r="AN710" s="55">
        <v>45022</v>
      </c>
      <c r="AO710" s="53">
        <f>DAY(cadangan[[#This Row],[Tanggal terjual]])</f>
        <v>6</v>
      </c>
      <c r="AP710" s="21" t="str">
        <f>TEXT(cadangan[[#This Row],[Tanggal terjual]],"dddd")</f>
        <v>Thursday</v>
      </c>
      <c r="AQ710" s="23" t="str" cm="1">
        <f t="array" ref="AQ7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0" s="61">
        <f>AVERAGE(cadangan[[#This Row],[Rating A]],cadangan[[#This Row],[Rating B]],cadangan[[#This Row],[Rating C]])</f>
        <v>3.5</v>
      </c>
    </row>
    <row r="711" spans="1:44" x14ac:dyDescent="0.2">
      <c r="A711" s="20">
        <v>710</v>
      </c>
      <c r="B711" s="21" t="str">
        <f>_xlfn.CONCAT("ORD-",INDEX(Helper!$B$2:$B$5,MATCH(cadangan[[#This Row],[Marketplace]],Helper!$A$2:$A$5,0)),TEXT(cadangan[[#This Row],[No]],"0000"),"-",TEXT(cadangan[[#This Row],[Tanggal terjual]],"dd/mm/yy"))</f>
        <v>ORD-SP0710-19/04/23</v>
      </c>
      <c r="C711" s="39" t="s">
        <v>63</v>
      </c>
      <c r="D711" s="39" t="str">
        <f>IFERROR(INDEX(Katalog!$A$3:$A$12,MATCH(cadangan[[#This Row],[ItemID A]],Katalog!$C$3:$C$12,0)),"-")</f>
        <v>Pakaian Pria</v>
      </c>
      <c r="E711" s="39" t="str">
        <f>IFERROR(INDEX(Katalog!$B$3:$B$12,MATCH(cadangan[[#This Row],[ItemID A]],Katalog!$C$3:$C$12,0)),"-")</f>
        <v>Jaket Jeans</v>
      </c>
      <c r="F711" s="50">
        <v>2</v>
      </c>
      <c r="G711" s="50">
        <v>4</v>
      </c>
      <c r="H711" s="73">
        <f>IFERROR(INDEX(Katalog!$D$3:$D$12,MATCH(cadangan[[#This Row],[ItemID A]],Katalog!$C$3:$C$12,0))*cadangan[[#This Row],[Qty A]],0)</f>
        <v>800000</v>
      </c>
      <c r="I711" s="73">
        <f>IFERROR(cadangan[[#This Row],[Harga Normal A]]-(cadangan[[#This Row],[Harga Normal A]]*cadangan[[#This Row],[Diskon]]),cadangan[[#This Row],[Harga Normal A]])</f>
        <v>640000</v>
      </c>
      <c r="J711" s="73">
        <f>INDEX(Katalog!$F$3:$F$12,MATCH(cadangan[[#This Row],[ItemID A]],Katalog!$C$3:$C$12,0))*cadangan[[#This Row],[Qty A]]</f>
        <v>300000</v>
      </c>
      <c r="K711" s="73">
        <f>IFERROR(cadangan[[#This Row],[Harga Diskon A]]-INDEX(Katalog!$E$3:$E$12,MATCH(cadangan[[#This Row],[ItemID A]],Katalog!$C$3:$C$12,0))*cadangan[[#This Row],[Qty A]],0)</f>
        <v>140000</v>
      </c>
      <c r="M711" s="39" t="str">
        <f>IFERROR(INDEX(Katalog!$A$3:$A$12,MATCH(cadangan[[#This Row],[ItemID B]],Katalog!$C$3:$C$12,0)),"-")</f>
        <v>-</v>
      </c>
      <c r="N711" s="39" t="str">
        <f>IFERROR(INDEX(Katalog!$B$3:$B$12,MATCH(cadangan[[#This Row],[ItemID B]],Katalog!$C$3:$C$12,0)),"-")</f>
        <v>-</v>
      </c>
      <c r="Q711" s="73">
        <f>IFERROR(INDEX(Katalog!$D$3:$D$12,MATCH(cadangan[[#This Row],[ItemID B]],Katalog!$C$3:$C$12,0))*cadangan[[#This Row],[Qty B]],0)</f>
        <v>0</v>
      </c>
      <c r="R711" s="73">
        <f>IFERROR(cadangan[[#This Row],[Harga Normal B]]-(cadangan[[#This Row],[Harga Normal B]]*cadangan[[#This Row],[Diskon]]),cadangan[[#This Row],[Harga Normal B]])</f>
        <v>0</v>
      </c>
      <c r="S711" s="73">
        <f>IFERROR(INDEX(Katalog!$F$3:$F$12,MATCH(cadangan[[#This Row],[ItemID B]],Katalog!$C$3:$C$12,0))*cadangan[[#This Row],[Qty B]],0)</f>
        <v>0</v>
      </c>
      <c r="T711" s="73">
        <f>IFERROR(cadangan[[#This Row],[Harga Diskon B]]-INDEX(Katalog!$E$3:$E$12,MATCH(cadangan[[#This Row],[ItemID B]],Katalog!$C$3:$C$12,0))*cadangan[[#This Row],[Qty B]],0)</f>
        <v>0</v>
      </c>
      <c r="V711" s="39" t="str">
        <f>IFERROR(INDEX(Katalog!$A$3:$A$12,MATCH(cadangan[[#This Row],[ItemID C]],Katalog!$C$3:$C$12,0)),"-")</f>
        <v>-</v>
      </c>
      <c r="W711" s="39" t="str">
        <f>IFERROR(INDEX(Katalog!$B$3:$B$12,MATCH(cadangan[[#This Row],[ItemID C]],Katalog!$C$3:$C$12,0)),"-")</f>
        <v>-</v>
      </c>
      <c r="Z711" s="73">
        <f>IFERROR(INDEX(Katalog!$D$3:$D$12,MATCH(cadangan[[#This Row],[ItemID C]],Katalog!$C$3:$C$12,0))*cadangan[[#This Row],[Qty C]],0)</f>
        <v>0</v>
      </c>
      <c r="AA711" s="73">
        <f>IFERROR(cadangan[[#This Row],[Harga Normal C]]-(cadangan[[#This Row],[Harga Normal C]]*cadangan[[#This Row],[Diskon]]),cadangan[[#This Row],[Harga Normal C]])</f>
        <v>0</v>
      </c>
      <c r="AB711" s="73">
        <f>IFERROR(INDEX(Katalog!$F$3:$F$12,MATCH(cadangan[[#This Row],[ItemID C]],Katalog!$C$3:$C$12,0))*cadangan[[#This Row],[Qty C]],0)</f>
        <v>0</v>
      </c>
      <c r="AC711" s="73">
        <f>IFERROR(cadangan[[#This Row],[Harga Diskon C]]-INDEX(Katalog!$E$3:$E$12,MATCH(cadangan[[#This Row],[ItemID C]],Katalog!$C$3:$C$12,0))*cadangan[[#This Row],[Qty C]],0)</f>
        <v>0</v>
      </c>
      <c r="AD711" s="53">
        <f>cadangan[[#This Row],[Qty A]]+cadangan[[#This Row],[Qty B]]+cadangan[[#This Row],[Qty C]]</f>
        <v>2</v>
      </c>
      <c r="AE711" s="73">
        <f>cadangan[[#This Row],[Harga Normal A]]+cadangan[[#This Row],[Harga Normal B]]+cadangan[[#This Row],[Harga Normal C]]</f>
        <v>800000</v>
      </c>
      <c r="AF711" s="73">
        <f>cadangan[[#This Row],[Harga Diskon A]]+cadangan[[#This Row],[Harga Diskon B]]+cadangan[[#This Row],[Harga Diskon C]]</f>
        <v>640000</v>
      </c>
      <c r="AG711" s="73">
        <f>(cadangan[[#This Row],[Profit Normal A]]+cadangan[[#This Row],[Profit Normal B]]+cadangan[[#This Row],[Profit Normal C]])</f>
        <v>300000</v>
      </c>
      <c r="AH711" s="73">
        <f>cadangan[[#This Row],[Profit Diskon A]]+cadangan[[#This Row],[Profit Diskon B]]+cadangan[[#This Row],[Profit Diskon C]]</f>
        <v>140000</v>
      </c>
      <c r="AI711" s="23" t="s">
        <v>8</v>
      </c>
      <c r="AJ711" s="37">
        <f>IFERROR(INDEX('Kode Diskon'!$D$3:$D$9,MATCH(cadangan[[#This Row],[Kode diskon]],'Kode Diskon'!$C$3:$C$9,0)),"-")</f>
        <v>0.2</v>
      </c>
      <c r="AK711" s="23" t="s">
        <v>9</v>
      </c>
      <c r="AL711" s="23" t="s">
        <v>7</v>
      </c>
      <c r="AM711" s="23" t="s">
        <v>80</v>
      </c>
      <c r="AN711" s="55">
        <v>45035</v>
      </c>
      <c r="AO711" s="53">
        <f>DAY(cadangan[[#This Row],[Tanggal terjual]])</f>
        <v>19</v>
      </c>
      <c r="AP711" s="21" t="str">
        <f>TEXT(cadangan[[#This Row],[Tanggal terjual]],"dddd")</f>
        <v>Wednesday</v>
      </c>
      <c r="AQ711" s="23" t="str" cm="1">
        <f t="array" ref="AQ7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11" s="61">
        <f>AVERAGE(cadangan[[#This Row],[Rating A]],cadangan[[#This Row],[Rating B]],cadangan[[#This Row],[Rating C]])</f>
        <v>4</v>
      </c>
    </row>
    <row r="712" spans="1:44" x14ac:dyDescent="0.2">
      <c r="A712" s="20">
        <v>711</v>
      </c>
      <c r="B712" s="21" t="str">
        <f>_xlfn.CONCAT("ORD-",INDEX(Helper!$B$2:$B$5,MATCH(cadangan[[#This Row],[Marketplace]],Helper!$A$2:$A$5,0)),TEXT(cadangan[[#This Row],[No]],"0000"),"-",TEXT(cadangan[[#This Row],[Tanggal terjual]],"dd/mm/yy"))</f>
        <v>ORD-TK0711-23/04/23</v>
      </c>
      <c r="C712" s="39" t="s">
        <v>58</v>
      </c>
      <c r="D712" s="39" t="str">
        <f>IFERROR(INDEX(Katalog!$A$3:$A$12,MATCH(cadangan[[#This Row],[ItemID A]],Katalog!$C$3:$C$12,0)),"-")</f>
        <v>Pakaian Wanita</v>
      </c>
      <c r="E712" s="39" t="str">
        <f>IFERROR(INDEX(Katalog!$B$3:$B$12,MATCH(cadangan[[#This Row],[ItemID A]],Katalog!$C$3:$C$12,0)),"-")</f>
        <v>Dress</v>
      </c>
      <c r="F712" s="50">
        <v>2</v>
      </c>
      <c r="G712" s="50">
        <v>5</v>
      </c>
      <c r="H712" s="73">
        <f>IFERROR(INDEX(Katalog!$D$3:$D$12,MATCH(cadangan[[#This Row],[ItemID A]],Katalog!$C$3:$C$12,0))*cadangan[[#This Row],[Qty A]],0)</f>
        <v>600000</v>
      </c>
      <c r="I712" s="73">
        <f>IFERROR(cadangan[[#This Row],[Harga Normal A]]-(cadangan[[#This Row],[Harga Normal A]]*cadangan[[#This Row],[Diskon]]),cadangan[[#This Row],[Harga Normal A]])</f>
        <v>540000</v>
      </c>
      <c r="J712" s="73">
        <f>INDEX(Katalog!$F$3:$F$12,MATCH(cadangan[[#This Row],[ItemID A]],Katalog!$C$3:$C$12,0))*cadangan[[#This Row],[Qty A]]</f>
        <v>200000</v>
      </c>
      <c r="K712" s="73">
        <f>IFERROR(cadangan[[#This Row],[Harga Diskon A]]-INDEX(Katalog!$E$3:$E$12,MATCH(cadangan[[#This Row],[ItemID A]],Katalog!$C$3:$C$12,0))*cadangan[[#This Row],[Qty A]],0)</f>
        <v>140000</v>
      </c>
      <c r="L712" s="39" t="s">
        <v>66</v>
      </c>
      <c r="M712" s="39" t="str">
        <f>IFERROR(INDEX(Katalog!$A$3:$A$12,MATCH(cadangan[[#This Row],[ItemID B]],Katalog!$C$3:$C$12,0)),"-")</f>
        <v>Sepatu Pria</v>
      </c>
      <c r="N712" s="39" t="str">
        <f>IFERROR(INDEX(Katalog!$B$3:$B$12,MATCH(cadangan[[#This Row],[ItemID B]],Katalog!$C$3:$C$12,0)),"-")</f>
        <v>Sandal Slip On</v>
      </c>
      <c r="O712" s="50">
        <v>3</v>
      </c>
      <c r="P712" s="50">
        <v>2</v>
      </c>
      <c r="Q712" s="73">
        <f>IFERROR(INDEX(Katalog!$D$3:$D$12,MATCH(cadangan[[#This Row],[ItemID B]],Katalog!$C$3:$C$12,0))*cadangan[[#This Row],[Qty B]],0)</f>
        <v>450000</v>
      </c>
      <c r="R712" s="73">
        <f>IFERROR(cadangan[[#This Row],[Harga Normal B]]-(cadangan[[#This Row],[Harga Normal B]]*cadangan[[#This Row],[Diskon]]),cadangan[[#This Row],[Harga Normal B]])</f>
        <v>405000</v>
      </c>
      <c r="S712" s="73">
        <f>IFERROR(INDEX(Katalog!$F$3:$F$12,MATCH(cadangan[[#This Row],[ItemID B]],Katalog!$C$3:$C$12,0))*cadangan[[#This Row],[Qty B]],0)</f>
        <v>180000</v>
      </c>
      <c r="T712" s="73">
        <f>IFERROR(cadangan[[#This Row],[Harga Diskon B]]-INDEX(Katalog!$E$3:$E$12,MATCH(cadangan[[#This Row],[ItemID B]],Katalog!$C$3:$C$12,0))*cadangan[[#This Row],[Qty B]],0)</f>
        <v>135000</v>
      </c>
      <c r="U712" s="39" t="s">
        <v>60</v>
      </c>
      <c r="V712" s="39" t="str">
        <f>IFERROR(INDEX(Katalog!$A$3:$A$12,MATCH(cadangan[[#This Row],[ItemID C]],Katalog!$C$3:$C$12,0)),"-")</f>
        <v>Pakaian Wanita</v>
      </c>
      <c r="W712" s="39" t="str">
        <f>IFERROR(INDEX(Katalog!$B$3:$B$12,MATCH(cadangan[[#This Row],[ItemID C]],Katalog!$C$3:$C$12,0)),"-")</f>
        <v>Kaftan</v>
      </c>
      <c r="X712" s="50">
        <v>2</v>
      </c>
      <c r="Y712" s="50">
        <v>4</v>
      </c>
      <c r="Z712" s="73">
        <f>IFERROR(INDEX(Katalog!$D$3:$D$12,MATCH(cadangan[[#This Row],[ItemID C]],Katalog!$C$3:$C$12,0))*cadangan[[#This Row],[Qty C]],0)</f>
        <v>500000</v>
      </c>
      <c r="AA712" s="73">
        <f>IFERROR(cadangan[[#This Row],[Harga Normal C]]-(cadangan[[#This Row],[Harga Normal C]]*cadangan[[#This Row],[Diskon]]),cadangan[[#This Row],[Harga Normal C]])</f>
        <v>450000</v>
      </c>
      <c r="AB712" s="73">
        <f>IFERROR(INDEX(Katalog!$F$3:$F$12,MATCH(cadangan[[#This Row],[ItemID C]],Katalog!$C$3:$C$12,0))*cadangan[[#This Row],[Qty C]],0)</f>
        <v>200000</v>
      </c>
      <c r="AC712" s="73">
        <f>IFERROR(cadangan[[#This Row],[Harga Diskon C]]-INDEX(Katalog!$E$3:$E$12,MATCH(cadangan[[#This Row],[ItemID C]],Katalog!$C$3:$C$12,0))*cadangan[[#This Row],[Qty C]],0)</f>
        <v>150000</v>
      </c>
      <c r="AD712" s="53">
        <f>cadangan[[#This Row],[Qty A]]+cadangan[[#This Row],[Qty B]]+cadangan[[#This Row],[Qty C]]</f>
        <v>7</v>
      </c>
      <c r="AE712" s="73">
        <f>cadangan[[#This Row],[Harga Normal A]]+cadangan[[#This Row],[Harga Normal B]]+cadangan[[#This Row],[Harga Normal C]]</f>
        <v>1550000</v>
      </c>
      <c r="AF712" s="73">
        <f>cadangan[[#This Row],[Harga Diskon A]]+cadangan[[#This Row],[Harga Diskon B]]+cadangan[[#This Row],[Harga Diskon C]]</f>
        <v>1395000</v>
      </c>
      <c r="AG712" s="73">
        <f>(cadangan[[#This Row],[Profit Normal A]]+cadangan[[#This Row],[Profit Normal B]]+cadangan[[#This Row],[Profit Normal C]])</f>
        <v>580000</v>
      </c>
      <c r="AH712" s="73">
        <f>cadangan[[#This Row],[Profit Diskon A]]+cadangan[[#This Row],[Profit Diskon B]]+cadangan[[#This Row],[Profit Diskon C]]</f>
        <v>425000</v>
      </c>
      <c r="AI712" s="23" t="s">
        <v>31</v>
      </c>
      <c r="AJ712" s="37">
        <f>IFERROR(INDEX('Kode Diskon'!$D$3:$D$9,MATCH(cadangan[[#This Row],[Kode diskon]],'Kode Diskon'!$C$3:$C$9,0)),"-")</f>
        <v>0.1</v>
      </c>
      <c r="AK712" s="23" t="s">
        <v>9</v>
      </c>
      <c r="AL712" s="23" t="s">
        <v>10</v>
      </c>
      <c r="AM712" s="23" t="s">
        <v>76</v>
      </c>
      <c r="AN712" s="55">
        <v>45039</v>
      </c>
      <c r="AO712" s="53">
        <f>DAY(cadangan[[#This Row],[Tanggal terjual]])</f>
        <v>23</v>
      </c>
      <c r="AP712" s="21" t="str">
        <f>TEXT(cadangan[[#This Row],[Tanggal terjual]],"dddd")</f>
        <v>Sunday</v>
      </c>
      <c r="AQ712" s="23" t="str" cm="1">
        <f t="array" ref="AQ7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12" s="61">
        <f>AVERAGE(cadangan[[#This Row],[Rating A]],cadangan[[#This Row],[Rating B]],cadangan[[#This Row],[Rating C]])</f>
        <v>3.6666666666666665</v>
      </c>
    </row>
    <row r="713" spans="1:44" x14ac:dyDescent="0.2">
      <c r="A713" s="20">
        <v>712</v>
      </c>
      <c r="B713" s="21" t="str">
        <f>_xlfn.CONCAT("ORD-",INDEX(Helper!$B$2:$B$5,MATCH(cadangan[[#This Row],[Marketplace]],Helper!$A$2:$A$5,0)),TEXT(cadangan[[#This Row],[No]],"0000"),"-",TEXT(cadangan[[#This Row],[Tanggal terjual]],"dd/mm/yy"))</f>
        <v>ORD-BB0712-06/04/23</v>
      </c>
      <c r="C713" s="39" t="s">
        <v>65</v>
      </c>
      <c r="D713" s="39" t="str">
        <f>IFERROR(INDEX(Katalog!$A$3:$A$12,MATCH(cadangan[[#This Row],[ItemID A]],Katalog!$C$3:$C$12,0)),"-")</f>
        <v>Sepatu Pria</v>
      </c>
      <c r="E713" s="39" t="str">
        <f>IFERROR(INDEX(Katalog!$B$3:$B$12,MATCH(cadangan[[#This Row],[ItemID A]],Katalog!$C$3:$C$12,0)),"-")</f>
        <v>Sneakers</v>
      </c>
      <c r="F713" s="50">
        <v>4</v>
      </c>
      <c r="G713" s="50">
        <v>5</v>
      </c>
      <c r="H713" s="73">
        <f>IFERROR(INDEX(Katalog!$D$3:$D$12,MATCH(cadangan[[#This Row],[ItemID A]],Katalog!$C$3:$C$12,0))*cadangan[[#This Row],[Qty A]],0)</f>
        <v>2000000</v>
      </c>
      <c r="I713" s="73">
        <f>IFERROR(cadangan[[#This Row],[Harga Normal A]]-(cadangan[[#This Row],[Harga Normal A]]*cadangan[[#This Row],[Diskon]]),cadangan[[#This Row],[Harga Normal A]])</f>
        <v>1700000</v>
      </c>
      <c r="J713" s="73">
        <f>INDEX(Katalog!$F$3:$F$12,MATCH(cadangan[[#This Row],[ItemID A]],Katalog!$C$3:$C$12,0))*cadangan[[#This Row],[Qty A]]</f>
        <v>800000</v>
      </c>
      <c r="K713" s="73">
        <f>IFERROR(cadangan[[#This Row],[Harga Diskon A]]-INDEX(Katalog!$E$3:$E$12,MATCH(cadangan[[#This Row],[ItemID A]],Katalog!$C$3:$C$12,0))*cadangan[[#This Row],[Qty A]],0)</f>
        <v>500000</v>
      </c>
      <c r="M713" s="39" t="str">
        <f>IFERROR(INDEX(Katalog!$A$3:$A$12,MATCH(cadangan[[#This Row],[ItemID B]],Katalog!$C$3:$C$12,0)),"-")</f>
        <v>-</v>
      </c>
      <c r="N713" s="39" t="str">
        <f>IFERROR(INDEX(Katalog!$B$3:$B$12,MATCH(cadangan[[#This Row],[ItemID B]],Katalog!$C$3:$C$12,0)),"-")</f>
        <v>-</v>
      </c>
      <c r="Q713" s="73">
        <f>IFERROR(INDEX(Katalog!$D$3:$D$12,MATCH(cadangan[[#This Row],[ItemID B]],Katalog!$C$3:$C$12,0))*cadangan[[#This Row],[Qty B]],0)</f>
        <v>0</v>
      </c>
      <c r="R713" s="73">
        <f>IFERROR(cadangan[[#This Row],[Harga Normal B]]-(cadangan[[#This Row],[Harga Normal B]]*cadangan[[#This Row],[Diskon]]),cadangan[[#This Row],[Harga Normal B]])</f>
        <v>0</v>
      </c>
      <c r="S713" s="73">
        <f>IFERROR(INDEX(Katalog!$F$3:$F$12,MATCH(cadangan[[#This Row],[ItemID B]],Katalog!$C$3:$C$12,0))*cadangan[[#This Row],[Qty B]],0)</f>
        <v>0</v>
      </c>
      <c r="T713" s="73">
        <f>IFERROR(cadangan[[#This Row],[Harga Diskon B]]-INDEX(Katalog!$E$3:$E$12,MATCH(cadangan[[#This Row],[ItemID B]],Katalog!$C$3:$C$12,0))*cadangan[[#This Row],[Qty B]],0)</f>
        <v>0</v>
      </c>
      <c r="V713" s="39" t="str">
        <f>IFERROR(INDEX(Katalog!$A$3:$A$12,MATCH(cadangan[[#This Row],[ItemID C]],Katalog!$C$3:$C$12,0)),"-")</f>
        <v>-</v>
      </c>
      <c r="W713" s="39" t="str">
        <f>IFERROR(INDEX(Katalog!$B$3:$B$12,MATCH(cadangan[[#This Row],[ItemID C]],Katalog!$C$3:$C$12,0)),"-")</f>
        <v>-</v>
      </c>
      <c r="Z713" s="73">
        <f>IFERROR(INDEX(Katalog!$D$3:$D$12,MATCH(cadangan[[#This Row],[ItemID C]],Katalog!$C$3:$C$12,0))*cadangan[[#This Row],[Qty C]],0)</f>
        <v>0</v>
      </c>
      <c r="AA713" s="73">
        <f>IFERROR(cadangan[[#This Row],[Harga Normal C]]-(cadangan[[#This Row],[Harga Normal C]]*cadangan[[#This Row],[Diskon]]),cadangan[[#This Row],[Harga Normal C]])</f>
        <v>0</v>
      </c>
      <c r="AB713" s="73">
        <f>IFERROR(INDEX(Katalog!$F$3:$F$12,MATCH(cadangan[[#This Row],[ItemID C]],Katalog!$C$3:$C$12,0))*cadangan[[#This Row],[Qty C]],0)</f>
        <v>0</v>
      </c>
      <c r="AC713" s="73">
        <f>IFERROR(cadangan[[#This Row],[Harga Diskon C]]-INDEX(Katalog!$E$3:$E$12,MATCH(cadangan[[#This Row],[ItemID C]],Katalog!$C$3:$C$12,0))*cadangan[[#This Row],[Qty C]],0)</f>
        <v>0</v>
      </c>
      <c r="AD713" s="53">
        <f>cadangan[[#This Row],[Qty A]]+cadangan[[#This Row],[Qty B]]+cadangan[[#This Row],[Qty C]]</f>
        <v>4</v>
      </c>
      <c r="AE713" s="73">
        <f>cadangan[[#This Row],[Harga Normal A]]+cadangan[[#This Row],[Harga Normal B]]+cadangan[[#This Row],[Harga Normal C]]</f>
        <v>2000000</v>
      </c>
      <c r="AF713" s="73">
        <f>cadangan[[#This Row],[Harga Diskon A]]+cadangan[[#This Row],[Harga Diskon B]]+cadangan[[#This Row],[Harga Diskon C]]</f>
        <v>1700000</v>
      </c>
      <c r="AG713" s="73">
        <f>(cadangan[[#This Row],[Profit Normal A]]+cadangan[[#This Row],[Profit Normal B]]+cadangan[[#This Row],[Profit Normal C]])</f>
        <v>800000</v>
      </c>
      <c r="AH713" s="73">
        <f>cadangan[[#This Row],[Profit Diskon A]]+cadangan[[#This Row],[Profit Diskon B]]+cadangan[[#This Row],[Profit Diskon C]]</f>
        <v>500000</v>
      </c>
      <c r="AI713" s="23" t="s">
        <v>28</v>
      </c>
      <c r="AJ713" s="37">
        <f>IFERROR(INDEX('Kode Diskon'!$D$3:$D$9,MATCH(cadangan[[#This Row],[Kode diskon]],'Kode Diskon'!$C$3:$C$9,0)),"-")</f>
        <v>0.15</v>
      </c>
      <c r="AK713" s="23" t="s">
        <v>29</v>
      </c>
      <c r="AL713" s="23" t="s">
        <v>14</v>
      </c>
      <c r="AM713" s="23" t="s">
        <v>80</v>
      </c>
      <c r="AN713" s="55">
        <v>45022</v>
      </c>
      <c r="AO713" s="53">
        <f>DAY(cadangan[[#This Row],[Tanggal terjual]])</f>
        <v>6</v>
      </c>
      <c r="AP713" s="21" t="str">
        <f>TEXT(cadangan[[#This Row],[Tanggal terjual]],"dddd")</f>
        <v>Thursday</v>
      </c>
      <c r="AQ713" s="23" t="str" cm="1">
        <f t="array" ref="AQ7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3" s="61">
        <f>AVERAGE(cadangan[[#This Row],[Rating A]],cadangan[[#This Row],[Rating B]],cadangan[[#This Row],[Rating C]])</f>
        <v>5</v>
      </c>
    </row>
    <row r="714" spans="1:44" x14ac:dyDescent="0.2">
      <c r="A714" s="20">
        <v>713</v>
      </c>
      <c r="B714" s="21" t="str">
        <f>_xlfn.CONCAT("ORD-",INDEX(Helper!$B$2:$B$5,MATCH(cadangan[[#This Row],[Marketplace]],Helper!$A$2:$A$5,0)),TEXT(cadangan[[#This Row],[No]],"0000"),"-",TEXT(cadangan[[#This Row],[Tanggal terjual]],"dd/mm/yy"))</f>
        <v>ORD-SP0713-06/04/23</v>
      </c>
      <c r="C714" s="39" t="s">
        <v>62</v>
      </c>
      <c r="D714" s="39" t="str">
        <f>IFERROR(INDEX(Katalog!$A$3:$A$12,MATCH(cadangan[[#This Row],[ItemID A]],Katalog!$C$3:$C$12,0)),"-")</f>
        <v>Pakaian Pria</v>
      </c>
      <c r="E714" s="39" t="str">
        <f>IFERROR(INDEX(Katalog!$B$3:$B$12,MATCH(cadangan[[#This Row],[ItemID A]],Katalog!$C$3:$C$12,0)),"-")</f>
        <v>Celana Pendek</v>
      </c>
      <c r="F714" s="50">
        <v>4</v>
      </c>
      <c r="G714" s="50">
        <v>1</v>
      </c>
      <c r="H714" s="73">
        <f>IFERROR(INDEX(Katalog!$D$3:$D$12,MATCH(cadangan[[#This Row],[ItemID A]],Katalog!$C$3:$C$12,0))*cadangan[[#This Row],[Qty A]],0)</f>
        <v>720000</v>
      </c>
      <c r="I714" s="73">
        <f>IFERROR(cadangan[[#This Row],[Harga Normal A]]-(cadangan[[#This Row],[Harga Normal A]]*cadangan[[#This Row],[Diskon]]),cadangan[[#This Row],[Harga Normal A]])</f>
        <v>612000</v>
      </c>
      <c r="J714" s="73">
        <f>INDEX(Katalog!$F$3:$F$12,MATCH(cadangan[[#This Row],[ItemID A]],Katalog!$C$3:$C$12,0))*cadangan[[#This Row],[Qty A]]</f>
        <v>280000</v>
      </c>
      <c r="K714" s="73">
        <f>IFERROR(cadangan[[#This Row],[Harga Diskon A]]-INDEX(Katalog!$E$3:$E$12,MATCH(cadangan[[#This Row],[ItemID A]],Katalog!$C$3:$C$12,0))*cadangan[[#This Row],[Qty A]],0)</f>
        <v>172000</v>
      </c>
      <c r="L714" s="39" t="s">
        <v>61</v>
      </c>
      <c r="M714" s="39" t="str">
        <f>IFERROR(INDEX(Katalog!$A$3:$A$12,MATCH(cadangan[[#This Row],[ItemID B]],Katalog!$C$3:$C$12,0)),"-")</f>
        <v>Pakaian Pria</v>
      </c>
      <c r="N714" s="39" t="str">
        <f>IFERROR(INDEX(Katalog!$B$3:$B$12,MATCH(cadangan[[#This Row],[ItemID B]],Katalog!$C$3:$C$12,0)),"-")</f>
        <v>Kaos Polo</v>
      </c>
      <c r="O714" s="50">
        <v>3</v>
      </c>
      <c r="P714" s="50">
        <v>2</v>
      </c>
      <c r="Q714" s="73">
        <f>IFERROR(INDEX(Katalog!$D$3:$D$12,MATCH(cadangan[[#This Row],[ItemID B]],Katalog!$C$3:$C$12,0))*cadangan[[#This Row],[Qty B]],0)</f>
        <v>600000</v>
      </c>
      <c r="R714" s="73">
        <f>IFERROR(cadangan[[#This Row],[Harga Normal B]]-(cadangan[[#This Row],[Harga Normal B]]*cadangan[[#This Row],[Diskon]]),cadangan[[#This Row],[Harga Normal B]])</f>
        <v>510000</v>
      </c>
      <c r="S714" s="73">
        <f>IFERROR(INDEX(Katalog!$F$3:$F$12,MATCH(cadangan[[#This Row],[ItemID B]],Katalog!$C$3:$C$12,0))*cadangan[[#This Row],[Qty B]],0)</f>
        <v>240000</v>
      </c>
      <c r="T714" s="73">
        <f>IFERROR(cadangan[[#This Row],[Harga Diskon B]]-INDEX(Katalog!$E$3:$E$12,MATCH(cadangan[[#This Row],[ItemID B]],Katalog!$C$3:$C$12,0))*cadangan[[#This Row],[Qty B]],0)</f>
        <v>150000</v>
      </c>
      <c r="V714" s="39" t="str">
        <f>IFERROR(INDEX(Katalog!$A$3:$A$12,MATCH(cadangan[[#This Row],[ItemID C]],Katalog!$C$3:$C$12,0)),"-")</f>
        <v>-</v>
      </c>
      <c r="W714" s="39" t="str">
        <f>IFERROR(INDEX(Katalog!$B$3:$B$12,MATCH(cadangan[[#This Row],[ItemID C]],Katalog!$C$3:$C$12,0)),"-")</f>
        <v>-</v>
      </c>
      <c r="Z714" s="73">
        <f>IFERROR(INDEX(Katalog!$D$3:$D$12,MATCH(cadangan[[#This Row],[ItemID C]],Katalog!$C$3:$C$12,0))*cadangan[[#This Row],[Qty C]],0)</f>
        <v>0</v>
      </c>
      <c r="AA714" s="73">
        <f>IFERROR(cadangan[[#This Row],[Harga Normal C]]-(cadangan[[#This Row],[Harga Normal C]]*cadangan[[#This Row],[Diskon]]),cadangan[[#This Row],[Harga Normal C]])</f>
        <v>0</v>
      </c>
      <c r="AB714" s="73">
        <f>IFERROR(INDEX(Katalog!$F$3:$F$12,MATCH(cadangan[[#This Row],[ItemID C]],Katalog!$C$3:$C$12,0))*cadangan[[#This Row],[Qty C]],0)</f>
        <v>0</v>
      </c>
      <c r="AC714" s="73">
        <f>IFERROR(cadangan[[#This Row],[Harga Diskon C]]-INDEX(Katalog!$E$3:$E$12,MATCH(cadangan[[#This Row],[ItemID C]],Katalog!$C$3:$C$12,0))*cadangan[[#This Row],[Qty C]],0)</f>
        <v>0</v>
      </c>
      <c r="AD714" s="53">
        <f>cadangan[[#This Row],[Qty A]]+cadangan[[#This Row],[Qty B]]+cadangan[[#This Row],[Qty C]]</f>
        <v>7</v>
      </c>
      <c r="AE714" s="73">
        <f>cadangan[[#This Row],[Harga Normal A]]+cadangan[[#This Row],[Harga Normal B]]+cadangan[[#This Row],[Harga Normal C]]</f>
        <v>1320000</v>
      </c>
      <c r="AF714" s="73">
        <f>cadangan[[#This Row],[Harga Diskon A]]+cadangan[[#This Row],[Harga Diskon B]]+cadangan[[#This Row],[Harga Diskon C]]</f>
        <v>1122000</v>
      </c>
      <c r="AG714" s="73">
        <f>(cadangan[[#This Row],[Profit Normal A]]+cadangan[[#This Row],[Profit Normal B]]+cadangan[[#This Row],[Profit Normal C]])</f>
        <v>520000</v>
      </c>
      <c r="AH714" s="73">
        <f>cadangan[[#This Row],[Profit Diskon A]]+cadangan[[#This Row],[Profit Diskon B]]+cadangan[[#This Row],[Profit Diskon C]]</f>
        <v>322000</v>
      </c>
      <c r="AI714" s="23" t="s">
        <v>13</v>
      </c>
      <c r="AJ714" s="37">
        <f>IFERROR(INDEX('Kode Diskon'!$D$3:$D$9,MATCH(cadangan[[#This Row],[Kode diskon]],'Kode Diskon'!$C$3:$C$9,0)),"-")</f>
        <v>0.15</v>
      </c>
      <c r="AK714" s="23" t="s">
        <v>29</v>
      </c>
      <c r="AL714" s="23" t="s">
        <v>7</v>
      </c>
      <c r="AM714" s="23" t="s">
        <v>78</v>
      </c>
      <c r="AN714" s="55">
        <v>45022</v>
      </c>
      <c r="AO714" s="53">
        <f>DAY(cadangan[[#This Row],[Tanggal terjual]])</f>
        <v>6</v>
      </c>
      <c r="AP714" s="21" t="str">
        <f>TEXT(cadangan[[#This Row],[Tanggal terjual]],"dddd")</f>
        <v>Thursday</v>
      </c>
      <c r="AQ714" s="23" t="str" cm="1">
        <f t="array" ref="AQ7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4" s="61">
        <f>AVERAGE(cadangan[[#This Row],[Rating A]],cadangan[[#This Row],[Rating B]],cadangan[[#This Row],[Rating C]])</f>
        <v>1.5</v>
      </c>
    </row>
    <row r="715" spans="1:44" x14ac:dyDescent="0.2">
      <c r="A715" s="20">
        <v>714</v>
      </c>
      <c r="B715" s="21" t="str">
        <f>_xlfn.CONCAT("ORD-",INDEX(Helper!$B$2:$B$5,MATCH(cadangan[[#This Row],[Marketplace]],Helper!$A$2:$A$5,0)),TEXT(cadangan[[#This Row],[No]],"0000"),"-",TEXT(cadangan[[#This Row],[Tanggal terjual]],"dd/mm/yy"))</f>
        <v>ORD-SP0714-17/04/23</v>
      </c>
      <c r="C715" s="39" t="s">
        <v>61</v>
      </c>
      <c r="D715" s="39" t="str">
        <f>IFERROR(INDEX(Katalog!$A$3:$A$12,MATCH(cadangan[[#This Row],[ItemID A]],Katalog!$C$3:$C$12,0)),"-")</f>
        <v>Pakaian Pria</v>
      </c>
      <c r="E715" s="39" t="str">
        <f>IFERROR(INDEX(Katalog!$B$3:$B$12,MATCH(cadangan[[#This Row],[ItemID A]],Katalog!$C$3:$C$12,0)),"-")</f>
        <v>Kaos Polo</v>
      </c>
      <c r="F715" s="50">
        <v>2</v>
      </c>
      <c r="G715" s="50">
        <v>2</v>
      </c>
      <c r="H715" s="73">
        <f>IFERROR(INDEX(Katalog!$D$3:$D$12,MATCH(cadangan[[#This Row],[ItemID A]],Katalog!$C$3:$C$12,0))*cadangan[[#This Row],[Qty A]],0)</f>
        <v>400000</v>
      </c>
      <c r="I715" s="73">
        <f>IFERROR(cadangan[[#This Row],[Harga Normal A]]-(cadangan[[#This Row],[Harga Normal A]]*cadangan[[#This Row],[Diskon]]),cadangan[[#This Row],[Harga Normal A]])</f>
        <v>320000</v>
      </c>
      <c r="J715" s="73">
        <f>INDEX(Katalog!$F$3:$F$12,MATCH(cadangan[[#This Row],[ItemID A]],Katalog!$C$3:$C$12,0))*cadangan[[#This Row],[Qty A]]</f>
        <v>160000</v>
      </c>
      <c r="K715" s="73">
        <f>IFERROR(cadangan[[#This Row],[Harga Diskon A]]-INDEX(Katalog!$E$3:$E$12,MATCH(cadangan[[#This Row],[ItemID A]],Katalog!$C$3:$C$12,0))*cadangan[[#This Row],[Qty A]],0)</f>
        <v>80000</v>
      </c>
      <c r="L715" s="39" t="s">
        <v>66</v>
      </c>
      <c r="M715" s="39" t="str">
        <f>IFERROR(INDEX(Katalog!$A$3:$A$12,MATCH(cadangan[[#This Row],[ItemID B]],Katalog!$C$3:$C$12,0)),"-")</f>
        <v>Sepatu Pria</v>
      </c>
      <c r="N715" s="39" t="str">
        <f>IFERROR(INDEX(Katalog!$B$3:$B$12,MATCH(cadangan[[#This Row],[ItemID B]],Katalog!$C$3:$C$12,0)),"-")</f>
        <v>Sandal Slip On</v>
      </c>
      <c r="O715" s="50">
        <v>1</v>
      </c>
      <c r="P715" s="50">
        <v>3</v>
      </c>
      <c r="Q715" s="73">
        <f>IFERROR(INDEX(Katalog!$D$3:$D$12,MATCH(cadangan[[#This Row],[ItemID B]],Katalog!$C$3:$C$12,0))*cadangan[[#This Row],[Qty B]],0)</f>
        <v>150000</v>
      </c>
      <c r="R715" s="73">
        <f>IFERROR(cadangan[[#This Row],[Harga Normal B]]-(cadangan[[#This Row],[Harga Normal B]]*cadangan[[#This Row],[Diskon]]),cadangan[[#This Row],[Harga Normal B]])</f>
        <v>120000</v>
      </c>
      <c r="S715" s="73">
        <f>IFERROR(INDEX(Katalog!$F$3:$F$12,MATCH(cadangan[[#This Row],[ItemID B]],Katalog!$C$3:$C$12,0))*cadangan[[#This Row],[Qty B]],0)</f>
        <v>60000</v>
      </c>
      <c r="T715" s="73">
        <f>IFERROR(cadangan[[#This Row],[Harga Diskon B]]-INDEX(Katalog!$E$3:$E$12,MATCH(cadangan[[#This Row],[ItemID B]],Katalog!$C$3:$C$12,0))*cadangan[[#This Row],[Qty B]],0)</f>
        <v>30000</v>
      </c>
      <c r="V715" s="39" t="str">
        <f>IFERROR(INDEX(Katalog!$A$3:$A$12,MATCH(cadangan[[#This Row],[ItemID C]],Katalog!$C$3:$C$12,0)),"-")</f>
        <v>-</v>
      </c>
      <c r="W715" s="39" t="str">
        <f>IFERROR(INDEX(Katalog!$B$3:$B$12,MATCH(cadangan[[#This Row],[ItemID C]],Katalog!$C$3:$C$12,0)),"-")</f>
        <v>-</v>
      </c>
      <c r="Z715" s="73">
        <f>IFERROR(INDEX(Katalog!$D$3:$D$12,MATCH(cadangan[[#This Row],[ItemID C]],Katalog!$C$3:$C$12,0))*cadangan[[#This Row],[Qty C]],0)</f>
        <v>0</v>
      </c>
      <c r="AA715" s="73">
        <f>IFERROR(cadangan[[#This Row],[Harga Normal C]]-(cadangan[[#This Row],[Harga Normal C]]*cadangan[[#This Row],[Diskon]]),cadangan[[#This Row],[Harga Normal C]])</f>
        <v>0</v>
      </c>
      <c r="AB715" s="73">
        <f>IFERROR(INDEX(Katalog!$F$3:$F$12,MATCH(cadangan[[#This Row],[ItemID C]],Katalog!$C$3:$C$12,0))*cadangan[[#This Row],[Qty C]],0)</f>
        <v>0</v>
      </c>
      <c r="AC715" s="73">
        <f>IFERROR(cadangan[[#This Row],[Harga Diskon C]]-INDEX(Katalog!$E$3:$E$12,MATCH(cadangan[[#This Row],[ItemID C]],Katalog!$C$3:$C$12,0))*cadangan[[#This Row],[Qty C]],0)</f>
        <v>0</v>
      </c>
      <c r="AD715" s="53">
        <f>cadangan[[#This Row],[Qty A]]+cadangan[[#This Row],[Qty B]]+cadangan[[#This Row],[Qty C]]</f>
        <v>3</v>
      </c>
      <c r="AE715" s="73">
        <f>cadangan[[#This Row],[Harga Normal A]]+cadangan[[#This Row],[Harga Normal B]]+cadangan[[#This Row],[Harga Normal C]]</f>
        <v>550000</v>
      </c>
      <c r="AF715" s="73">
        <f>cadangan[[#This Row],[Harga Diskon A]]+cadangan[[#This Row],[Harga Diskon B]]+cadangan[[#This Row],[Harga Diskon C]]</f>
        <v>440000</v>
      </c>
      <c r="AG715" s="73">
        <f>(cadangan[[#This Row],[Profit Normal A]]+cadangan[[#This Row],[Profit Normal B]]+cadangan[[#This Row],[Profit Normal C]])</f>
        <v>220000</v>
      </c>
      <c r="AH715" s="73">
        <f>cadangan[[#This Row],[Profit Diskon A]]+cadangan[[#This Row],[Profit Diskon B]]+cadangan[[#This Row],[Profit Diskon C]]</f>
        <v>110000</v>
      </c>
      <c r="AI715" s="23" t="s">
        <v>8</v>
      </c>
      <c r="AJ715" s="37">
        <f>IFERROR(INDEX('Kode Diskon'!$D$3:$D$9,MATCH(cadangan[[#This Row],[Kode diskon]],'Kode Diskon'!$C$3:$C$9,0)),"-")</f>
        <v>0.2</v>
      </c>
      <c r="AK715" s="23" t="s">
        <v>9</v>
      </c>
      <c r="AL715" s="23" t="s">
        <v>7</v>
      </c>
      <c r="AM715" s="23" t="s">
        <v>78</v>
      </c>
      <c r="AN715" s="55">
        <v>45033</v>
      </c>
      <c r="AO715" s="53">
        <f>DAY(cadangan[[#This Row],[Tanggal terjual]])</f>
        <v>17</v>
      </c>
      <c r="AP715" s="21" t="str">
        <f>TEXT(cadangan[[#This Row],[Tanggal terjual]],"dddd")</f>
        <v>Monday</v>
      </c>
      <c r="AQ715" s="23" t="str" cm="1">
        <f t="array" ref="AQ7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15" s="61">
        <f>AVERAGE(cadangan[[#This Row],[Rating A]],cadangan[[#This Row],[Rating B]],cadangan[[#This Row],[Rating C]])</f>
        <v>2.5</v>
      </c>
    </row>
    <row r="716" spans="1:44" x14ac:dyDescent="0.2">
      <c r="A716" s="20">
        <v>715</v>
      </c>
      <c r="B716" s="21" t="str">
        <f>_xlfn.CONCAT("ORD-",INDEX(Helper!$B$2:$B$5,MATCH(cadangan[[#This Row],[Marketplace]],Helper!$A$2:$A$5,0)),TEXT(cadangan[[#This Row],[No]],"0000"),"-",TEXT(cadangan[[#This Row],[Tanggal terjual]],"dd/mm/yy"))</f>
        <v>ORD-SP0715-21/04/23</v>
      </c>
      <c r="C716" s="39" t="s">
        <v>58</v>
      </c>
      <c r="D716" s="39" t="str">
        <f>IFERROR(INDEX(Katalog!$A$3:$A$12,MATCH(cadangan[[#This Row],[ItemID A]],Katalog!$C$3:$C$12,0)),"-")</f>
        <v>Pakaian Wanita</v>
      </c>
      <c r="E716" s="39" t="str">
        <f>IFERROR(INDEX(Katalog!$B$3:$B$12,MATCH(cadangan[[#This Row],[ItemID A]],Katalog!$C$3:$C$12,0)),"-")</f>
        <v>Dress</v>
      </c>
      <c r="F716" s="50">
        <v>2</v>
      </c>
      <c r="G716" s="50">
        <v>5</v>
      </c>
      <c r="H716" s="73">
        <f>IFERROR(INDEX(Katalog!$D$3:$D$12,MATCH(cadangan[[#This Row],[ItemID A]],Katalog!$C$3:$C$12,0))*cadangan[[#This Row],[Qty A]],0)</f>
        <v>600000</v>
      </c>
      <c r="I716" s="73">
        <f>IFERROR(cadangan[[#This Row],[Harga Normal A]]-(cadangan[[#This Row],[Harga Normal A]]*cadangan[[#This Row],[Diskon]]),cadangan[[#This Row],[Harga Normal A]])</f>
        <v>480000</v>
      </c>
      <c r="J716" s="73">
        <f>INDEX(Katalog!$F$3:$F$12,MATCH(cadangan[[#This Row],[ItemID A]],Katalog!$C$3:$C$12,0))*cadangan[[#This Row],[Qty A]]</f>
        <v>200000</v>
      </c>
      <c r="K716" s="73">
        <f>IFERROR(cadangan[[#This Row],[Harga Diskon A]]-INDEX(Katalog!$E$3:$E$12,MATCH(cadangan[[#This Row],[ItemID A]],Katalog!$C$3:$C$12,0))*cadangan[[#This Row],[Qty A]],0)</f>
        <v>80000</v>
      </c>
      <c r="L716" s="39" t="s">
        <v>67</v>
      </c>
      <c r="M716" s="39" t="str">
        <f>IFERROR(INDEX(Katalog!$A$3:$A$12,MATCH(cadangan[[#This Row],[ItemID B]],Katalog!$C$3:$C$12,0)),"-")</f>
        <v>Sepatu Wanita</v>
      </c>
      <c r="N716" s="39" t="str">
        <f>IFERROR(INDEX(Katalog!$B$3:$B$12,MATCH(cadangan[[#This Row],[ItemID B]],Katalog!$C$3:$C$12,0)),"-")</f>
        <v>Flat Shoes</v>
      </c>
      <c r="O716" s="50">
        <v>2</v>
      </c>
      <c r="P716" s="50">
        <v>1</v>
      </c>
      <c r="Q716" s="73">
        <f>IFERROR(INDEX(Katalog!$D$3:$D$12,MATCH(cadangan[[#This Row],[ItemID B]],Katalog!$C$3:$C$12,0))*cadangan[[#This Row],[Qty B]],0)</f>
        <v>500000</v>
      </c>
      <c r="R716" s="73">
        <f>IFERROR(cadangan[[#This Row],[Harga Normal B]]-(cadangan[[#This Row],[Harga Normal B]]*cadangan[[#This Row],[Diskon]]),cadangan[[#This Row],[Harga Normal B]])</f>
        <v>400000</v>
      </c>
      <c r="S716" s="73">
        <f>IFERROR(INDEX(Katalog!$F$3:$F$12,MATCH(cadangan[[#This Row],[ItemID B]],Katalog!$C$3:$C$12,0))*cadangan[[#This Row],[Qty B]],0)</f>
        <v>200000</v>
      </c>
      <c r="T716" s="73">
        <f>IFERROR(cadangan[[#This Row],[Harga Diskon B]]-INDEX(Katalog!$E$3:$E$12,MATCH(cadangan[[#This Row],[ItemID B]],Katalog!$C$3:$C$12,0))*cadangan[[#This Row],[Qty B]],0)</f>
        <v>100000</v>
      </c>
      <c r="U716" s="39" t="s">
        <v>66</v>
      </c>
      <c r="V716" s="39" t="str">
        <f>IFERROR(INDEX(Katalog!$A$3:$A$12,MATCH(cadangan[[#This Row],[ItemID C]],Katalog!$C$3:$C$12,0)),"-")</f>
        <v>Sepatu Pria</v>
      </c>
      <c r="W716" s="39" t="str">
        <f>IFERROR(INDEX(Katalog!$B$3:$B$12,MATCH(cadangan[[#This Row],[ItemID C]],Katalog!$C$3:$C$12,0)),"-")</f>
        <v>Sandal Slip On</v>
      </c>
      <c r="X716" s="50">
        <v>3</v>
      </c>
      <c r="Y716" s="50">
        <v>5</v>
      </c>
      <c r="Z716" s="73">
        <f>IFERROR(INDEX(Katalog!$D$3:$D$12,MATCH(cadangan[[#This Row],[ItemID C]],Katalog!$C$3:$C$12,0))*cadangan[[#This Row],[Qty C]],0)</f>
        <v>450000</v>
      </c>
      <c r="AA716" s="73">
        <f>IFERROR(cadangan[[#This Row],[Harga Normal C]]-(cadangan[[#This Row],[Harga Normal C]]*cadangan[[#This Row],[Diskon]]),cadangan[[#This Row],[Harga Normal C]])</f>
        <v>360000</v>
      </c>
      <c r="AB716" s="73">
        <f>IFERROR(INDEX(Katalog!$F$3:$F$12,MATCH(cadangan[[#This Row],[ItemID C]],Katalog!$C$3:$C$12,0))*cadangan[[#This Row],[Qty C]],0)</f>
        <v>180000</v>
      </c>
      <c r="AC716" s="73">
        <f>IFERROR(cadangan[[#This Row],[Harga Diskon C]]-INDEX(Katalog!$E$3:$E$12,MATCH(cadangan[[#This Row],[ItemID C]],Katalog!$C$3:$C$12,0))*cadangan[[#This Row],[Qty C]],0)</f>
        <v>90000</v>
      </c>
      <c r="AD716" s="53">
        <f>cadangan[[#This Row],[Qty A]]+cadangan[[#This Row],[Qty B]]+cadangan[[#This Row],[Qty C]]</f>
        <v>7</v>
      </c>
      <c r="AE716" s="73">
        <f>cadangan[[#This Row],[Harga Normal A]]+cadangan[[#This Row],[Harga Normal B]]+cadangan[[#This Row],[Harga Normal C]]</f>
        <v>1550000</v>
      </c>
      <c r="AF716" s="73">
        <f>cadangan[[#This Row],[Harga Diskon A]]+cadangan[[#This Row],[Harga Diskon B]]+cadangan[[#This Row],[Harga Diskon C]]</f>
        <v>1240000</v>
      </c>
      <c r="AG716" s="73">
        <f>(cadangan[[#This Row],[Profit Normal A]]+cadangan[[#This Row],[Profit Normal B]]+cadangan[[#This Row],[Profit Normal C]])</f>
        <v>580000</v>
      </c>
      <c r="AH716" s="73">
        <f>cadangan[[#This Row],[Profit Diskon A]]+cadangan[[#This Row],[Profit Diskon B]]+cadangan[[#This Row],[Profit Diskon C]]</f>
        <v>270000</v>
      </c>
      <c r="AI716" s="23" t="s">
        <v>8</v>
      </c>
      <c r="AJ716" s="37">
        <f>IFERROR(INDEX('Kode Diskon'!$D$3:$D$9,MATCH(cadangan[[#This Row],[Kode diskon]],'Kode Diskon'!$C$3:$C$9,0)),"-")</f>
        <v>0.2</v>
      </c>
      <c r="AK716" s="23" t="s">
        <v>9</v>
      </c>
      <c r="AL716" s="23" t="s">
        <v>7</v>
      </c>
      <c r="AM716" s="23" t="s">
        <v>80</v>
      </c>
      <c r="AN716" s="55">
        <v>45037</v>
      </c>
      <c r="AO716" s="53">
        <f>DAY(cadangan[[#This Row],[Tanggal terjual]])</f>
        <v>21</v>
      </c>
      <c r="AP716" s="21" t="str">
        <f>TEXT(cadangan[[#This Row],[Tanggal terjual]],"dddd")</f>
        <v>Friday</v>
      </c>
      <c r="AQ716" s="23" t="str" cm="1">
        <f t="array" ref="AQ7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16" s="61">
        <f>AVERAGE(cadangan[[#This Row],[Rating A]],cadangan[[#This Row],[Rating B]],cadangan[[#This Row],[Rating C]])</f>
        <v>3.6666666666666665</v>
      </c>
    </row>
    <row r="717" spans="1:44" x14ac:dyDescent="0.2">
      <c r="A717" s="20">
        <v>716</v>
      </c>
      <c r="B717" s="21" t="str">
        <f>_xlfn.CONCAT("ORD-",INDEX(Helper!$B$2:$B$5,MATCH(cadangan[[#This Row],[Marketplace]],Helper!$A$2:$A$5,0)),TEXT(cadangan[[#This Row],[No]],"0000"),"-",TEXT(cadangan[[#This Row],[Tanggal terjual]],"dd/mm/yy"))</f>
        <v>ORD-SP0716-06/04/23</v>
      </c>
      <c r="C717" s="39" t="s">
        <v>65</v>
      </c>
      <c r="D717" s="39" t="str">
        <f>IFERROR(INDEX(Katalog!$A$3:$A$12,MATCH(cadangan[[#This Row],[ItemID A]],Katalog!$C$3:$C$12,0)),"-")</f>
        <v>Sepatu Pria</v>
      </c>
      <c r="E717" s="39" t="str">
        <f>IFERROR(INDEX(Katalog!$B$3:$B$12,MATCH(cadangan[[#This Row],[ItemID A]],Katalog!$C$3:$C$12,0)),"-")</f>
        <v>Sneakers</v>
      </c>
      <c r="F717" s="50">
        <v>7</v>
      </c>
      <c r="G717" s="50">
        <v>4</v>
      </c>
      <c r="H717" s="73">
        <f>IFERROR(INDEX(Katalog!$D$3:$D$12,MATCH(cadangan[[#This Row],[ItemID A]],Katalog!$C$3:$C$12,0))*cadangan[[#This Row],[Qty A]],0)</f>
        <v>3500000</v>
      </c>
      <c r="I717" s="73">
        <f>IFERROR(cadangan[[#This Row],[Harga Normal A]]-(cadangan[[#This Row],[Harga Normal A]]*cadangan[[#This Row],[Diskon]]),cadangan[[#This Row],[Harga Normal A]])</f>
        <v>2975000</v>
      </c>
      <c r="J717" s="73">
        <f>INDEX(Katalog!$F$3:$F$12,MATCH(cadangan[[#This Row],[ItemID A]],Katalog!$C$3:$C$12,0))*cadangan[[#This Row],[Qty A]]</f>
        <v>1400000</v>
      </c>
      <c r="K717" s="73">
        <f>IFERROR(cadangan[[#This Row],[Harga Diskon A]]-INDEX(Katalog!$E$3:$E$12,MATCH(cadangan[[#This Row],[ItemID A]],Katalog!$C$3:$C$12,0))*cadangan[[#This Row],[Qty A]],0)</f>
        <v>875000</v>
      </c>
      <c r="M717" s="39" t="str">
        <f>IFERROR(INDEX(Katalog!$A$3:$A$12,MATCH(cadangan[[#This Row],[ItemID B]],Katalog!$C$3:$C$12,0)),"-")</f>
        <v>-</v>
      </c>
      <c r="N717" s="39" t="str">
        <f>IFERROR(INDEX(Katalog!$B$3:$B$12,MATCH(cadangan[[#This Row],[ItemID B]],Katalog!$C$3:$C$12,0)),"-")</f>
        <v>-</v>
      </c>
      <c r="Q717" s="73">
        <f>IFERROR(INDEX(Katalog!$D$3:$D$12,MATCH(cadangan[[#This Row],[ItemID B]],Katalog!$C$3:$C$12,0))*cadangan[[#This Row],[Qty B]],0)</f>
        <v>0</v>
      </c>
      <c r="R717" s="73">
        <f>IFERROR(cadangan[[#This Row],[Harga Normal B]]-(cadangan[[#This Row],[Harga Normal B]]*cadangan[[#This Row],[Diskon]]),cadangan[[#This Row],[Harga Normal B]])</f>
        <v>0</v>
      </c>
      <c r="S717" s="73">
        <f>IFERROR(INDEX(Katalog!$F$3:$F$12,MATCH(cadangan[[#This Row],[ItemID B]],Katalog!$C$3:$C$12,0))*cadangan[[#This Row],[Qty B]],0)</f>
        <v>0</v>
      </c>
      <c r="T717" s="73">
        <f>IFERROR(cadangan[[#This Row],[Harga Diskon B]]-INDEX(Katalog!$E$3:$E$12,MATCH(cadangan[[#This Row],[ItemID B]],Katalog!$C$3:$C$12,0))*cadangan[[#This Row],[Qty B]],0)</f>
        <v>0</v>
      </c>
      <c r="V717" s="39" t="str">
        <f>IFERROR(INDEX(Katalog!$A$3:$A$12,MATCH(cadangan[[#This Row],[ItemID C]],Katalog!$C$3:$C$12,0)),"-")</f>
        <v>-</v>
      </c>
      <c r="W717" s="39" t="str">
        <f>IFERROR(INDEX(Katalog!$B$3:$B$12,MATCH(cadangan[[#This Row],[ItemID C]],Katalog!$C$3:$C$12,0)),"-")</f>
        <v>-</v>
      </c>
      <c r="Z717" s="73">
        <f>IFERROR(INDEX(Katalog!$D$3:$D$12,MATCH(cadangan[[#This Row],[ItemID C]],Katalog!$C$3:$C$12,0))*cadangan[[#This Row],[Qty C]],0)</f>
        <v>0</v>
      </c>
      <c r="AA717" s="73">
        <f>IFERROR(cadangan[[#This Row],[Harga Normal C]]-(cadangan[[#This Row],[Harga Normal C]]*cadangan[[#This Row],[Diskon]]),cadangan[[#This Row],[Harga Normal C]])</f>
        <v>0</v>
      </c>
      <c r="AB717" s="73">
        <f>IFERROR(INDEX(Katalog!$F$3:$F$12,MATCH(cadangan[[#This Row],[ItemID C]],Katalog!$C$3:$C$12,0))*cadangan[[#This Row],[Qty C]],0)</f>
        <v>0</v>
      </c>
      <c r="AC717" s="73">
        <f>IFERROR(cadangan[[#This Row],[Harga Diskon C]]-INDEX(Katalog!$E$3:$E$12,MATCH(cadangan[[#This Row],[ItemID C]],Katalog!$C$3:$C$12,0))*cadangan[[#This Row],[Qty C]],0)</f>
        <v>0</v>
      </c>
      <c r="AD717" s="53">
        <f>cadangan[[#This Row],[Qty A]]+cadangan[[#This Row],[Qty B]]+cadangan[[#This Row],[Qty C]]</f>
        <v>7</v>
      </c>
      <c r="AE717" s="73">
        <f>cadangan[[#This Row],[Harga Normal A]]+cadangan[[#This Row],[Harga Normal B]]+cadangan[[#This Row],[Harga Normal C]]</f>
        <v>3500000</v>
      </c>
      <c r="AF717" s="73">
        <f>cadangan[[#This Row],[Harga Diskon A]]+cadangan[[#This Row],[Harga Diskon B]]+cadangan[[#This Row],[Harga Diskon C]]</f>
        <v>2975000</v>
      </c>
      <c r="AG717" s="73">
        <f>(cadangan[[#This Row],[Profit Normal A]]+cadangan[[#This Row],[Profit Normal B]]+cadangan[[#This Row],[Profit Normal C]])</f>
        <v>1400000</v>
      </c>
      <c r="AH717" s="73">
        <f>cadangan[[#This Row],[Profit Diskon A]]+cadangan[[#This Row],[Profit Diskon B]]+cadangan[[#This Row],[Profit Diskon C]]</f>
        <v>875000</v>
      </c>
      <c r="AI717" s="23" t="s">
        <v>13</v>
      </c>
      <c r="AJ717" s="37">
        <f>IFERROR(INDEX('Kode Diskon'!$D$3:$D$9,MATCH(cadangan[[#This Row],[Kode diskon]],'Kode Diskon'!$C$3:$C$9,0)),"-")</f>
        <v>0.15</v>
      </c>
      <c r="AK717" s="23" t="s">
        <v>29</v>
      </c>
      <c r="AL717" s="23" t="s">
        <v>7</v>
      </c>
      <c r="AM717" s="23" t="s">
        <v>80</v>
      </c>
      <c r="AN717" s="55">
        <v>45022</v>
      </c>
      <c r="AO717" s="53">
        <f>DAY(cadangan[[#This Row],[Tanggal terjual]])</f>
        <v>6</v>
      </c>
      <c r="AP717" s="21" t="str">
        <f>TEXT(cadangan[[#This Row],[Tanggal terjual]],"dddd")</f>
        <v>Thursday</v>
      </c>
      <c r="AQ717" s="23" t="str" cm="1">
        <f t="array" ref="AQ7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7" s="61">
        <f>AVERAGE(cadangan[[#This Row],[Rating A]],cadangan[[#This Row],[Rating B]],cadangan[[#This Row],[Rating C]])</f>
        <v>4</v>
      </c>
    </row>
    <row r="718" spans="1:44" x14ac:dyDescent="0.2">
      <c r="A718" s="20">
        <v>717</v>
      </c>
      <c r="B718" s="21" t="str">
        <f>_xlfn.CONCAT("ORD-",INDEX(Helper!$B$2:$B$5,MATCH(cadangan[[#This Row],[Marketplace]],Helper!$A$2:$A$5,0)),TEXT(cadangan[[#This Row],[No]],"0000"),"-",TEXT(cadangan[[#This Row],[Tanggal terjual]],"dd/mm/yy"))</f>
        <v>ORD-TK0717-05/04/23</v>
      </c>
      <c r="C718" s="39" t="s">
        <v>62</v>
      </c>
      <c r="D718" s="39" t="str">
        <f>IFERROR(INDEX(Katalog!$A$3:$A$12,MATCH(cadangan[[#This Row],[ItemID A]],Katalog!$C$3:$C$12,0)),"-")</f>
        <v>Pakaian Pria</v>
      </c>
      <c r="E718" s="39" t="str">
        <f>IFERROR(INDEX(Katalog!$B$3:$B$12,MATCH(cadangan[[#This Row],[ItemID A]],Katalog!$C$3:$C$12,0)),"-")</f>
        <v>Celana Pendek</v>
      </c>
      <c r="F718" s="50">
        <v>3</v>
      </c>
      <c r="G718" s="50">
        <v>3</v>
      </c>
      <c r="H718" s="73">
        <f>IFERROR(INDEX(Katalog!$D$3:$D$12,MATCH(cadangan[[#This Row],[ItemID A]],Katalog!$C$3:$C$12,0))*cadangan[[#This Row],[Qty A]],0)</f>
        <v>540000</v>
      </c>
      <c r="I718" s="73">
        <f>IFERROR(cadangan[[#This Row],[Harga Normal A]]-(cadangan[[#This Row],[Harga Normal A]]*cadangan[[#This Row],[Diskon]]),cadangan[[#This Row],[Harga Normal A]])</f>
        <v>486000</v>
      </c>
      <c r="J718" s="73">
        <f>INDEX(Katalog!$F$3:$F$12,MATCH(cadangan[[#This Row],[ItemID A]],Katalog!$C$3:$C$12,0))*cadangan[[#This Row],[Qty A]]</f>
        <v>210000</v>
      </c>
      <c r="K718" s="73">
        <f>IFERROR(cadangan[[#This Row],[Harga Diskon A]]-INDEX(Katalog!$E$3:$E$12,MATCH(cadangan[[#This Row],[ItemID A]],Katalog!$C$3:$C$12,0))*cadangan[[#This Row],[Qty A]],0)</f>
        <v>156000</v>
      </c>
      <c r="L718" s="39" t="s">
        <v>62</v>
      </c>
      <c r="M718" s="39" t="str">
        <f>IFERROR(INDEX(Katalog!$A$3:$A$12,MATCH(cadangan[[#This Row],[ItemID B]],Katalog!$C$3:$C$12,0)),"-")</f>
        <v>Pakaian Pria</v>
      </c>
      <c r="N718" s="39" t="str">
        <f>IFERROR(INDEX(Katalog!$B$3:$B$12,MATCH(cadangan[[#This Row],[ItemID B]],Katalog!$C$3:$C$12,0)),"-")</f>
        <v>Celana Pendek</v>
      </c>
      <c r="O718" s="50">
        <v>2</v>
      </c>
      <c r="P718" s="50">
        <v>5</v>
      </c>
      <c r="Q718" s="73">
        <f>IFERROR(INDEX(Katalog!$D$3:$D$12,MATCH(cadangan[[#This Row],[ItemID B]],Katalog!$C$3:$C$12,0))*cadangan[[#This Row],[Qty B]],0)</f>
        <v>360000</v>
      </c>
      <c r="R718" s="73">
        <f>IFERROR(cadangan[[#This Row],[Harga Normal B]]-(cadangan[[#This Row],[Harga Normal B]]*cadangan[[#This Row],[Diskon]]),cadangan[[#This Row],[Harga Normal B]])</f>
        <v>324000</v>
      </c>
      <c r="S718" s="73">
        <f>IFERROR(INDEX(Katalog!$F$3:$F$12,MATCH(cadangan[[#This Row],[ItemID B]],Katalog!$C$3:$C$12,0))*cadangan[[#This Row],[Qty B]],0)</f>
        <v>140000</v>
      </c>
      <c r="T718" s="73">
        <f>IFERROR(cadangan[[#This Row],[Harga Diskon B]]-INDEX(Katalog!$E$3:$E$12,MATCH(cadangan[[#This Row],[ItemID B]],Katalog!$C$3:$C$12,0))*cadangan[[#This Row],[Qty B]],0)</f>
        <v>104000</v>
      </c>
      <c r="U718" s="39" t="s">
        <v>58</v>
      </c>
      <c r="V718" s="39" t="str">
        <f>IFERROR(INDEX(Katalog!$A$3:$A$12,MATCH(cadangan[[#This Row],[ItemID C]],Katalog!$C$3:$C$12,0)),"-")</f>
        <v>Pakaian Wanita</v>
      </c>
      <c r="W718" s="39" t="str">
        <f>IFERROR(INDEX(Katalog!$B$3:$B$12,MATCH(cadangan[[#This Row],[ItemID C]],Katalog!$C$3:$C$12,0)),"-")</f>
        <v>Dress</v>
      </c>
      <c r="X718" s="50">
        <v>2</v>
      </c>
      <c r="Y718" s="50">
        <v>2</v>
      </c>
      <c r="Z718" s="73">
        <f>IFERROR(INDEX(Katalog!$D$3:$D$12,MATCH(cadangan[[#This Row],[ItemID C]],Katalog!$C$3:$C$12,0))*cadangan[[#This Row],[Qty C]],0)</f>
        <v>600000</v>
      </c>
      <c r="AA718" s="73">
        <f>IFERROR(cadangan[[#This Row],[Harga Normal C]]-(cadangan[[#This Row],[Harga Normal C]]*cadangan[[#This Row],[Diskon]]),cadangan[[#This Row],[Harga Normal C]])</f>
        <v>540000</v>
      </c>
      <c r="AB718" s="73">
        <f>IFERROR(INDEX(Katalog!$F$3:$F$12,MATCH(cadangan[[#This Row],[ItemID C]],Katalog!$C$3:$C$12,0))*cadangan[[#This Row],[Qty C]],0)</f>
        <v>200000</v>
      </c>
      <c r="AC718" s="73">
        <f>IFERROR(cadangan[[#This Row],[Harga Diskon C]]-INDEX(Katalog!$E$3:$E$12,MATCH(cadangan[[#This Row],[ItemID C]],Katalog!$C$3:$C$12,0))*cadangan[[#This Row],[Qty C]],0)</f>
        <v>140000</v>
      </c>
      <c r="AD718" s="53">
        <f>cadangan[[#This Row],[Qty A]]+cadangan[[#This Row],[Qty B]]+cadangan[[#This Row],[Qty C]]</f>
        <v>7</v>
      </c>
      <c r="AE718" s="73">
        <f>cadangan[[#This Row],[Harga Normal A]]+cadangan[[#This Row],[Harga Normal B]]+cadangan[[#This Row],[Harga Normal C]]</f>
        <v>1500000</v>
      </c>
      <c r="AF718" s="73">
        <f>cadangan[[#This Row],[Harga Diskon A]]+cadangan[[#This Row],[Harga Diskon B]]+cadangan[[#This Row],[Harga Diskon C]]</f>
        <v>1350000</v>
      </c>
      <c r="AG718" s="73">
        <f>(cadangan[[#This Row],[Profit Normal A]]+cadangan[[#This Row],[Profit Normal B]]+cadangan[[#This Row],[Profit Normal C]])</f>
        <v>550000</v>
      </c>
      <c r="AH718" s="73">
        <f>cadangan[[#This Row],[Profit Diskon A]]+cadangan[[#This Row],[Profit Diskon B]]+cadangan[[#This Row],[Profit Diskon C]]</f>
        <v>400000</v>
      </c>
      <c r="AI718" s="23" t="s">
        <v>30</v>
      </c>
      <c r="AJ718" s="37">
        <f>IFERROR(INDEX('Kode Diskon'!$D$3:$D$9,MATCH(cadangan[[#This Row],[Kode diskon]],'Kode Diskon'!$C$3:$C$9,0)),"-")</f>
        <v>0.1</v>
      </c>
      <c r="AK718" s="23" t="s">
        <v>29</v>
      </c>
      <c r="AL718" s="23" t="s">
        <v>10</v>
      </c>
      <c r="AM718" s="23" t="s">
        <v>80</v>
      </c>
      <c r="AN718" s="55">
        <v>45021</v>
      </c>
      <c r="AO718" s="53">
        <f>DAY(cadangan[[#This Row],[Tanggal terjual]])</f>
        <v>5</v>
      </c>
      <c r="AP718" s="21" t="str">
        <f>TEXT(cadangan[[#This Row],[Tanggal terjual]],"dddd")</f>
        <v>Wednesday</v>
      </c>
      <c r="AQ718" s="23" t="str" cm="1">
        <f t="array" ref="AQ7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18" s="61">
        <f>AVERAGE(cadangan[[#This Row],[Rating A]],cadangan[[#This Row],[Rating B]],cadangan[[#This Row],[Rating C]])</f>
        <v>3.3333333333333335</v>
      </c>
    </row>
    <row r="719" spans="1:44" x14ac:dyDescent="0.2">
      <c r="A719" s="20">
        <v>718</v>
      </c>
      <c r="B719" s="21" t="str">
        <f>_xlfn.CONCAT("ORD-",INDEX(Helper!$B$2:$B$5,MATCH(cadangan[[#This Row],[Marketplace]],Helper!$A$2:$A$5,0)),TEXT(cadangan[[#This Row],[No]],"0000"),"-",TEXT(cadangan[[#This Row],[Tanggal terjual]],"dd/mm/yy"))</f>
        <v>ORD-SP0718-26/04/23</v>
      </c>
      <c r="C719" s="39" t="s">
        <v>60</v>
      </c>
      <c r="D719" s="39" t="str">
        <f>IFERROR(INDEX(Katalog!$A$3:$A$12,MATCH(cadangan[[#This Row],[ItemID A]],Katalog!$C$3:$C$12,0)),"-")</f>
        <v>Pakaian Wanita</v>
      </c>
      <c r="E719" s="39" t="str">
        <f>IFERROR(INDEX(Katalog!$B$3:$B$12,MATCH(cadangan[[#This Row],[ItemID A]],Katalog!$C$3:$C$12,0)),"-")</f>
        <v>Kaftan</v>
      </c>
      <c r="F719" s="50">
        <v>3</v>
      </c>
      <c r="G719" s="50">
        <v>2</v>
      </c>
      <c r="H719" s="73">
        <f>IFERROR(INDEX(Katalog!$D$3:$D$12,MATCH(cadangan[[#This Row],[ItemID A]],Katalog!$C$3:$C$12,0))*cadangan[[#This Row],[Qty A]],0)</f>
        <v>750000</v>
      </c>
      <c r="I719" s="73">
        <f>IFERROR(cadangan[[#This Row],[Harga Normal A]]-(cadangan[[#This Row],[Harga Normal A]]*cadangan[[#This Row],[Diskon]]),cadangan[[#This Row],[Harga Normal A]])</f>
        <v>600000</v>
      </c>
      <c r="J719" s="73">
        <f>INDEX(Katalog!$F$3:$F$12,MATCH(cadangan[[#This Row],[ItemID A]],Katalog!$C$3:$C$12,0))*cadangan[[#This Row],[Qty A]]</f>
        <v>300000</v>
      </c>
      <c r="K719" s="73">
        <f>IFERROR(cadangan[[#This Row],[Harga Diskon A]]-INDEX(Katalog!$E$3:$E$12,MATCH(cadangan[[#This Row],[ItemID A]],Katalog!$C$3:$C$12,0))*cadangan[[#This Row],[Qty A]],0)</f>
        <v>150000</v>
      </c>
      <c r="L719" s="39" t="s">
        <v>64</v>
      </c>
      <c r="M719" s="39" t="str">
        <f>IFERROR(INDEX(Katalog!$A$3:$A$12,MATCH(cadangan[[#This Row],[ItemID B]],Katalog!$C$3:$C$12,0)),"-")</f>
        <v>Pakaian Unisex</v>
      </c>
      <c r="N719" s="39" t="str">
        <f>IFERROR(INDEX(Katalog!$B$3:$B$12,MATCH(cadangan[[#This Row],[ItemID B]],Katalog!$C$3:$C$12,0)),"-")</f>
        <v>Jaket Hoodie</v>
      </c>
      <c r="O719" s="50">
        <v>3</v>
      </c>
      <c r="P719" s="50">
        <v>1</v>
      </c>
      <c r="Q719" s="73">
        <f>IFERROR(INDEX(Katalog!$D$3:$D$12,MATCH(cadangan[[#This Row],[ItemID B]],Katalog!$C$3:$C$12,0))*cadangan[[#This Row],[Qty B]],0)</f>
        <v>1050000</v>
      </c>
      <c r="R719" s="73">
        <f>IFERROR(cadangan[[#This Row],[Harga Normal B]]-(cadangan[[#This Row],[Harga Normal B]]*cadangan[[#This Row],[Diskon]]),cadangan[[#This Row],[Harga Normal B]])</f>
        <v>840000</v>
      </c>
      <c r="S719" s="73">
        <f>IFERROR(INDEX(Katalog!$F$3:$F$12,MATCH(cadangan[[#This Row],[ItemID B]],Katalog!$C$3:$C$12,0))*cadangan[[#This Row],[Qty B]],0)</f>
        <v>390000</v>
      </c>
      <c r="T719" s="73">
        <f>IFERROR(cadangan[[#This Row],[Harga Diskon B]]-INDEX(Katalog!$E$3:$E$12,MATCH(cadangan[[#This Row],[ItemID B]],Katalog!$C$3:$C$12,0))*cadangan[[#This Row],[Qty B]],0)</f>
        <v>180000</v>
      </c>
      <c r="V719" s="39" t="str">
        <f>IFERROR(INDEX(Katalog!$A$3:$A$12,MATCH(cadangan[[#This Row],[ItemID C]],Katalog!$C$3:$C$12,0)),"-")</f>
        <v>-</v>
      </c>
      <c r="W719" s="39" t="str">
        <f>IFERROR(INDEX(Katalog!$B$3:$B$12,MATCH(cadangan[[#This Row],[ItemID C]],Katalog!$C$3:$C$12,0)),"-")</f>
        <v>-</v>
      </c>
      <c r="Z719" s="73">
        <f>IFERROR(INDEX(Katalog!$D$3:$D$12,MATCH(cadangan[[#This Row],[ItemID C]],Katalog!$C$3:$C$12,0))*cadangan[[#This Row],[Qty C]],0)</f>
        <v>0</v>
      </c>
      <c r="AA719" s="73">
        <f>IFERROR(cadangan[[#This Row],[Harga Normal C]]-(cadangan[[#This Row],[Harga Normal C]]*cadangan[[#This Row],[Diskon]]),cadangan[[#This Row],[Harga Normal C]])</f>
        <v>0</v>
      </c>
      <c r="AB719" s="73">
        <f>IFERROR(INDEX(Katalog!$F$3:$F$12,MATCH(cadangan[[#This Row],[ItemID C]],Katalog!$C$3:$C$12,0))*cadangan[[#This Row],[Qty C]],0)</f>
        <v>0</v>
      </c>
      <c r="AC719" s="73">
        <f>IFERROR(cadangan[[#This Row],[Harga Diskon C]]-INDEX(Katalog!$E$3:$E$12,MATCH(cadangan[[#This Row],[ItemID C]],Katalog!$C$3:$C$12,0))*cadangan[[#This Row],[Qty C]],0)</f>
        <v>0</v>
      </c>
      <c r="AD719" s="53">
        <f>cadangan[[#This Row],[Qty A]]+cadangan[[#This Row],[Qty B]]+cadangan[[#This Row],[Qty C]]</f>
        <v>6</v>
      </c>
      <c r="AE719" s="73">
        <f>cadangan[[#This Row],[Harga Normal A]]+cadangan[[#This Row],[Harga Normal B]]+cadangan[[#This Row],[Harga Normal C]]</f>
        <v>1800000</v>
      </c>
      <c r="AF719" s="73">
        <f>cadangan[[#This Row],[Harga Diskon A]]+cadangan[[#This Row],[Harga Diskon B]]+cadangan[[#This Row],[Harga Diskon C]]</f>
        <v>1440000</v>
      </c>
      <c r="AG719" s="73">
        <f>(cadangan[[#This Row],[Profit Normal A]]+cadangan[[#This Row],[Profit Normal B]]+cadangan[[#This Row],[Profit Normal C]])</f>
        <v>690000</v>
      </c>
      <c r="AH719" s="73">
        <f>cadangan[[#This Row],[Profit Diskon A]]+cadangan[[#This Row],[Profit Diskon B]]+cadangan[[#This Row],[Profit Diskon C]]</f>
        <v>330000</v>
      </c>
      <c r="AI719" s="23" t="s">
        <v>8</v>
      </c>
      <c r="AJ719" s="37">
        <f>IFERROR(INDEX('Kode Diskon'!$D$3:$D$9,MATCH(cadangan[[#This Row],[Kode diskon]],'Kode Diskon'!$C$3:$C$9,0)),"-")</f>
        <v>0.2</v>
      </c>
      <c r="AK719" s="23" t="s">
        <v>9</v>
      </c>
      <c r="AL719" s="23" t="s">
        <v>7</v>
      </c>
      <c r="AM719" s="23" t="s">
        <v>80</v>
      </c>
      <c r="AN719" s="55">
        <v>45042</v>
      </c>
      <c r="AO719" s="53">
        <f>DAY(cadangan[[#This Row],[Tanggal terjual]])</f>
        <v>26</v>
      </c>
      <c r="AP719" s="21" t="str">
        <f>TEXT(cadangan[[#This Row],[Tanggal terjual]],"dddd")</f>
        <v>Wednesday</v>
      </c>
      <c r="AQ719" s="23" t="str" cm="1">
        <f t="array" ref="AQ7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19" s="61">
        <f>AVERAGE(cadangan[[#This Row],[Rating A]],cadangan[[#This Row],[Rating B]],cadangan[[#This Row],[Rating C]])</f>
        <v>1.5</v>
      </c>
    </row>
    <row r="720" spans="1:44" x14ac:dyDescent="0.2">
      <c r="A720" s="20">
        <v>719</v>
      </c>
      <c r="B720" s="21" t="str">
        <f>_xlfn.CONCAT("ORD-",INDEX(Helper!$B$2:$B$5,MATCH(cadangan[[#This Row],[Marketplace]],Helper!$A$2:$A$5,0)),TEXT(cadangan[[#This Row],[No]],"0000"),"-",TEXT(cadangan[[#This Row],[Tanggal terjual]],"dd/mm/yy"))</f>
        <v>ORD-TK0719-04/04/23</v>
      </c>
      <c r="C720" s="39" t="s">
        <v>60</v>
      </c>
      <c r="D720" s="39" t="str">
        <f>IFERROR(INDEX(Katalog!$A$3:$A$12,MATCH(cadangan[[#This Row],[ItemID A]],Katalog!$C$3:$C$12,0)),"-")</f>
        <v>Pakaian Wanita</v>
      </c>
      <c r="E720" s="39" t="str">
        <f>IFERROR(INDEX(Katalog!$B$3:$B$12,MATCH(cadangan[[#This Row],[ItemID A]],Katalog!$C$3:$C$12,0)),"-")</f>
        <v>Kaftan</v>
      </c>
      <c r="F720" s="50">
        <v>1</v>
      </c>
      <c r="G720" s="50">
        <v>2</v>
      </c>
      <c r="H720" s="73">
        <f>IFERROR(INDEX(Katalog!$D$3:$D$12,MATCH(cadangan[[#This Row],[ItemID A]],Katalog!$C$3:$C$12,0))*cadangan[[#This Row],[Qty A]],0)</f>
        <v>250000</v>
      </c>
      <c r="I720" s="73">
        <f>IFERROR(cadangan[[#This Row],[Harga Normal A]]-(cadangan[[#This Row],[Harga Normal A]]*cadangan[[#This Row],[Diskon]]),cadangan[[#This Row],[Harga Normal A]])</f>
        <v>225000</v>
      </c>
      <c r="J720" s="73">
        <f>INDEX(Katalog!$F$3:$F$12,MATCH(cadangan[[#This Row],[ItemID A]],Katalog!$C$3:$C$12,0))*cadangan[[#This Row],[Qty A]]</f>
        <v>100000</v>
      </c>
      <c r="K720" s="73">
        <f>IFERROR(cadangan[[#This Row],[Harga Diskon A]]-INDEX(Katalog!$E$3:$E$12,MATCH(cadangan[[#This Row],[ItemID A]],Katalog!$C$3:$C$12,0))*cadangan[[#This Row],[Qty A]],0)</f>
        <v>75000</v>
      </c>
      <c r="L720" s="39" t="s">
        <v>63</v>
      </c>
      <c r="M720" s="39" t="str">
        <f>IFERROR(INDEX(Katalog!$A$3:$A$12,MATCH(cadangan[[#This Row],[ItemID B]],Katalog!$C$3:$C$12,0)),"-")</f>
        <v>Pakaian Pria</v>
      </c>
      <c r="N720" s="39" t="str">
        <f>IFERROR(INDEX(Katalog!$B$3:$B$12,MATCH(cadangan[[#This Row],[ItemID B]],Katalog!$C$3:$C$12,0)),"-")</f>
        <v>Jaket Jeans</v>
      </c>
      <c r="O720" s="50">
        <v>4</v>
      </c>
      <c r="P720" s="50">
        <v>1</v>
      </c>
      <c r="Q720" s="73">
        <f>IFERROR(INDEX(Katalog!$D$3:$D$12,MATCH(cadangan[[#This Row],[ItemID B]],Katalog!$C$3:$C$12,0))*cadangan[[#This Row],[Qty B]],0)</f>
        <v>1600000</v>
      </c>
      <c r="R720" s="73">
        <f>IFERROR(cadangan[[#This Row],[Harga Normal B]]-(cadangan[[#This Row],[Harga Normal B]]*cadangan[[#This Row],[Diskon]]),cadangan[[#This Row],[Harga Normal B]])</f>
        <v>1440000</v>
      </c>
      <c r="S720" s="73">
        <f>IFERROR(INDEX(Katalog!$F$3:$F$12,MATCH(cadangan[[#This Row],[ItemID B]],Katalog!$C$3:$C$12,0))*cadangan[[#This Row],[Qty B]],0)</f>
        <v>600000</v>
      </c>
      <c r="T720" s="73">
        <f>IFERROR(cadangan[[#This Row],[Harga Diskon B]]-INDEX(Katalog!$E$3:$E$12,MATCH(cadangan[[#This Row],[ItemID B]],Katalog!$C$3:$C$12,0))*cadangan[[#This Row],[Qty B]],0)</f>
        <v>440000</v>
      </c>
      <c r="U720" s="39" t="s">
        <v>66</v>
      </c>
      <c r="V720" s="39" t="str">
        <f>IFERROR(INDEX(Katalog!$A$3:$A$12,MATCH(cadangan[[#This Row],[ItemID C]],Katalog!$C$3:$C$12,0)),"-")</f>
        <v>Sepatu Pria</v>
      </c>
      <c r="W720" s="39" t="str">
        <f>IFERROR(INDEX(Katalog!$B$3:$B$12,MATCH(cadangan[[#This Row],[ItemID C]],Katalog!$C$3:$C$12,0)),"-")</f>
        <v>Sandal Slip On</v>
      </c>
      <c r="X720" s="50">
        <v>1</v>
      </c>
      <c r="Y720" s="50">
        <v>5</v>
      </c>
      <c r="Z720" s="73">
        <f>IFERROR(INDEX(Katalog!$D$3:$D$12,MATCH(cadangan[[#This Row],[ItemID C]],Katalog!$C$3:$C$12,0))*cadangan[[#This Row],[Qty C]],0)</f>
        <v>150000</v>
      </c>
      <c r="AA720" s="73">
        <f>IFERROR(cadangan[[#This Row],[Harga Normal C]]-(cadangan[[#This Row],[Harga Normal C]]*cadangan[[#This Row],[Diskon]]),cadangan[[#This Row],[Harga Normal C]])</f>
        <v>135000</v>
      </c>
      <c r="AB720" s="73">
        <f>IFERROR(INDEX(Katalog!$F$3:$F$12,MATCH(cadangan[[#This Row],[ItemID C]],Katalog!$C$3:$C$12,0))*cadangan[[#This Row],[Qty C]],0)</f>
        <v>60000</v>
      </c>
      <c r="AC720" s="73">
        <f>IFERROR(cadangan[[#This Row],[Harga Diskon C]]-INDEX(Katalog!$E$3:$E$12,MATCH(cadangan[[#This Row],[ItemID C]],Katalog!$C$3:$C$12,0))*cadangan[[#This Row],[Qty C]],0)</f>
        <v>45000</v>
      </c>
      <c r="AD720" s="53">
        <f>cadangan[[#This Row],[Qty A]]+cadangan[[#This Row],[Qty B]]+cadangan[[#This Row],[Qty C]]</f>
        <v>6</v>
      </c>
      <c r="AE720" s="73">
        <f>cadangan[[#This Row],[Harga Normal A]]+cadangan[[#This Row],[Harga Normal B]]+cadangan[[#This Row],[Harga Normal C]]</f>
        <v>2000000</v>
      </c>
      <c r="AF720" s="73">
        <f>cadangan[[#This Row],[Harga Diskon A]]+cadangan[[#This Row],[Harga Diskon B]]+cadangan[[#This Row],[Harga Diskon C]]</f>
        <v>1800000</v>
      </c>
      <c r="AG720" s="73">
        <f>(cadangan[[#This Row],[Profit Normal A]]+cadangan[[#This Row],[Profit Normal B]]+cadangan[[#This Row],[Profit Normal C]])</f>
        <v>760000</v>
      </c>
      <c r="AH720" s="73">
        <f>cadangan[[#This Row],[Profit Diskon A]]+cadangan[[#This Row],[Profit Diskon B]]+cadangan[[#This Row],[Profit Diskon C]]</f>
        <v>560000</v>
      </c>
      <c r="AI720" s="23" t="s">
        <v>30</v>
      </c>
      <c r="AJ720" s="37">
        <f>IFERROR(INDEX('Kode Diskon'!$D$3:$D$9,MATCH(cadangan[[#This Row],[Kode diskon]],'Kode Diskon'!$C$3:$C$9,0)),"-")</f>
        <v>0.1</v>
      </c>
      <c r="AK720" s="23" t="s">
        <v>29</v>
      </c>
      <c r="AL720" s="23" t="s">
        <v>10</v>
      </c>
      <c r="AM720" s="23" t="s">
        <v>80</v>
      </c>
      <c r="AN720" s="55">
        <v>45020</v>
      </c>
      <c r="AO720" s="53">
        <f>DAY(cadangan[[#This Row],[Tanggal terjual]])</f>
        <v>4</v>
      </c>
      <c r="AP720" s="21" t="str">
        <f>TEXT(cadangan[[#This Row],[Tanggal terjual]],"dddd")</f>
        <v>Tuesday</v>
      </c>
      <c r="AQ720" s="23" t="str" cm="1">
        <f t="array" ref="AQ7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20" s="61">
        <f>AVERAGE(cadangan[[#This Row],[Rating A]],cadangan[[#This Row],[Rating B]],cadangan[[#This Row],[Rating C]])</f>
        <v>2.6666666666666665</v>
      </c>
    </row>
    <row r="721" spans="1:44" x14ac:dyDescent="0.2">
      <c r="A721" s="20">
        <v>720</v>
      </c>
      <c r="B721" s="21" t="str">
        <f>_xlfn.CONCAT("ORD-",INDEX(Helper!$B$2:$B$5,MATCH(cadangan[[#This Row],[Marketplace]],Helper!$A$2:$A$5,0)),TEXT(cadangan[[#This Row],[No]],"0000"),"-",TEXT(cadangan[[#This Row],[Tanggal terjual]],"dd/mm/yy"))</f>
        <v>ORD-TK0720-06/04/23</v>
      </c>
      <c r="C721" s="39" t="s">
        <v>59</v>
      </c>
      <c r="D721" s="39" t="str">
        <f>IFERROR(INDEX(Katalog!$A$3:$A$12,MATCH(cadangan[[#This Row],[ItemID A]],Katalog!$C$3:$C$12,0)),"-")</f>
        <v>Pakaian Wanita</v>
      </c>
      <c r="E721" s="39" t="str">
        <f>IFERROR(INDEX(Katalog!$B$3:$B$12,MATCH(cadangan[[#This Row],[ItemID A]],Katalog!$C$3:$C$12,0)),"-")</f>
        <v>Blouse</v>
      </c>
      <c r="F721" s="50">
        <v>1</v>
      </c>
      <c r="G721" s="50">
        <v>4</v>
      </c>
      <c r="H721" s="73">
        <f>IFERROR(INDEX(Katalog!$D$3:$D$12,MATCH(cadangan[[#This Row],[ItemID A]],Katalog!$C$3:$C$12,0))*cadangan[[#This Row],[Qty A]],0)</f>
        <v>150000</v>
      </c>
      <c r="I721" s="73">
        <f>IFERROR(cadangan[[#This Row],[Harga Normal A]]-(cadangan[[#This Row],[Harga Normal A]]*cadangan[[#This Row],[Diskon]]),cadangan[[#This Row],[Harga Normal A]])</f>
        <v>135000</v>
      </c>
      <c r="J721" s="73">
        <f>INDEX(Katalog!$F$3:$F$12,MATCH(cadangan[[#This Row],[ItemID A]],Katalog!$C$3:$C$12,0))*cadangan[[#This Row],[Qty A]]</f>
        <v>50000</v>
      </c>
      <c r="K721" s="73">
        <f>IFERROR(cadangan[[#This Row],[Harga Diskon A]]-INDEX(Katalog!$E$3:$E$12,MATCH(cadangan[[#This Row],[ItemID A]],Katalog!$C$3:$C$12,0))*cadangan[[#This Row],[Qty A]],0)</f>
        <v>35000</v>
      </c>
      <c r="M721" s="39" t="str">
        <f>IFERROR(INDEX(Katalog!$A$3:$A$12,MATCH(cadangan[[#This Row],[ItemID B]],Katalog!$C$3:$C$12,0)),"-")</f>
        <v>-</v>
      </c>
      <c r="N721" s="39" t="str">
        <f>IFERROR(INDEX(Katalog!$B$3:$B$12,MATCH(cadangan[[#This Row],[ItemID B]],Katalog!$C$3:$C$12,0)),"-")</f>
        <v>-</v>
      </c>
      <c r="Q721" s="73">
        <f>IFERROR(INDEX(Katalog!$D$3:$D$12,MATCH(cadangan[[#This Row],[ItemID B]],Katalog!$C$3:$C$12,0))*cadangan[[#This Row],[Qty B]],0)</f>
        <v>0</v>
      </c>
      <c r="R721" s="73">
        <f>IFERROR(cadangan[[#This Row],[Harga Normal B]]-(cadangan[[#This Row],[Harga Normal B]]*cadangan[[#This Row],[Diskon]]),cadangan[[#This Row],[Harga Normal B]])</f>
        <v>0</v>
      </c>
      <c r="S721" s="73">
        <f>IFERROR(INDEX(Katalog!$F$3:$F$12,MATCH(cadangan[[#This Row],[ItemID B]],Katalog!$C$3:$C$12,0))*cadangan[[#This Row],[Qty B]],0)</f>
        <v>0</v>
      </c>
      <c r="T721" s="73">
        <f>IFERROR(cadangan[[#This Row],[Harga Diskon B]]-INDEX(Katalog!$E$3:$E$12,MATCH(cadangan[[#This Row],[ItemID B]],Katalog!$C$3:$C$12,0))*cadangan[[#This Row],[Qty B]],0)</f>
        <v>0</v>
      </c>
      <c r="V721" s="39" t="str">
        <f>IFERROR(INDEX(Katalog!$A$3:$A$12,MATCH(cadangan[[#This Row],[ItemID C]],Katalog!$C$3:$C$12,0)),"-")</f>
        <v>-</v>
      </c>
      <c r="W721" s="39" t="str">
        <f>IFERROR(INDEX(Katalog!$B$3:$B$12,MATCH(cadangan[[#This Row],[ItemID C]],Katalog!$C$3:$C$12,0)),"-")</f>
        <v>-</v>
      </c>
      <c r="Z721" s="73">
        <f>IFERROR(INDEX(Katalog!$D$3:$D$12,MATCH(cadangan[[#This Row],[ItemID C]],Katalog!$C$3:$C$12,0))*cadangan[[#This Row],[Qty C]],0)</f>
        <v>0</v>
      </c>
      <c r="AA721" s="73">
        <f>IFERROR(cadangan[[#This Row],[Harga Normal C]]-(cadangan[[#This Row],[Harga Normal C]]*cadangan[[#This Row],[Diskon]]),cadangan[[#This Row],[Harga Normal C]])</f>
        <v>0</v>
      </c>
      <c r="AB721" s="73">
        <f>IFERROR(INDEX(Katalog!$F$3:$F$12,MATCH(cadangan[[#This Row],[ItemID C]],Katalog!$C$3:$C$12,0))*cadangan[[#This Row],[Qty C]],0)</f>
        <v>0</v>
      </c>
      <c r="AC721" s="73">
        <f>IFERROR(cadangan[[#This Row],[Harga Diskon C]]-INDEX(Katalog!$E$3:$E$12,MATCH(cadangan[[#This Row],[ItemID C]],Katalog!$C$3:$C$12,0))*cadangan[[#This Row],[Qty C]],0)</f>
        <v>0</v>
      </c>
      <c r="AD721" s="53">
        <f>cadangan[[#This Row],[Qty A]]+cadangan[[#This Row],[Qty B]]+cadangan[[#This Row],[Qty C]]</f>
        <v>1</v>
      </c>
      <c r="AE721" s="73">
        <f>cadangan[[#This Row],[Harga Normal A]]+cadangan[[#This Row],[Harga Normal B]]+cadangan[[#This Row],[Harga Normal C]]</f>
        <v>150000</v>
      </c>
      <c r="AF721" s="73">
        <f>cadangan[[#This Row],[Harga Diskon A]]+cadangan[[#This Row],[Harga Diskon B]]+cadangan[[#This Row],[Harga Diskon C]]</f>
        <v>135000</v>
      </c>
      <c r="AG721" s="73">
        <f>(cadangan[[#This Row],[Profit Normal A]]+cadangan[[#This Row],[Profit Normal B]]+cadangan[[#This Row],[Profit Normal C]])</f>
        <v>50000</v>
      </c>
      <c r="AH721" s="73">
        <f>cadangan[[#This Row],[Profit Diskon A]]+cadangan[[#This Row],[Profit Diskon B]]+cadangan[[#This Row],[Profit Diskon C]]</f>
        <v>35000</v>
      </c>
      <c r="AI721" s="23" t="s">
        <v>30</v>
      </c>
      <c r="AJ721" s="37">
        <f>IFERROR(INDEX('Kode Diskon'!$D$3:$D$9,MATCH(cadangan[[#This Row],[Kode diskon]],'Kode Diskon'!$C$3:$C$9,0)),"-")</f>
        <v>0.1</v>
      </c>
      <c r="AK721" s="23" t="s">
        <v>29</v>
      </c>
      <c r="AL721" s="23" t="s">
        <v>10</v>
      </c>
      <c r="AM721" s="23" t="s">
        <v>77</v>
      </c>
      <c r="AN721" s="55">
        <v>45022</v>
      </c>
      <c r="AO721" s="53">
        <f>DAY(cadangan[[#This Row],[Tanggal terjual]])</f>
        <v>6</v>
      </c>
      <c r="AP721" s="21" t="str">
        <f>TEXT(cadangan[[#This Row],[Tanggal terjual]],"dddd")</f>
        <v>Thursday</v>
      </c>
      <c r="AQ721" s="23" t="str" cm="1">
        <f t="array" ref="AQ7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21" s="61">
        <f>AVERAGE(cadangan[[#This Row],[Rating A]],cadangan[[#This Row],[Rating B]],cadangan[[#This Row],[Rating C]])</f>
        <v>4</v>
      </c>
    </row>
    <row r="722" spans="1:44" x14ac:dyDescent="0.2">
      <c r="A722" s="20">
        <v>721</v>
      </c>
      <c r="B722" s="21" t="str">
        <f>_xlfn.CONCAT("ORD-",INDEX(Helper!$B$2:$B$5,MATCH(cadangan[[#This Row],[Marketplace]],Helper!$A$2:$A$5,0)),TEXT(cadangan[[#This Row],[No]],"0000"),"-",TEXT(cadangan[[#This Row],[Tanggal terjual]],"dd/mm/yy"))</f>
        <v>ORD-TK0721-05/04/23</v>
      </c>
      <c r="C722" s="39" t="s">
        <v>67</v>
      </c>
      <c r="D722" s="39" t="str">
        <f>IFERROR(INDEX(Katalog!$A$3:$A$12,MATCH(cadangan[[#This Row],[ItemID A]],Katalog!$C$3:$C$12,0)),"-")</f>
        <v>Sepatu Wanita</v>
      </c>
      <c r="E722" s="39" t="str">
        <f>IFERROR(INDEX(Katalog!$B$3:$B$12,MATCH(cadangan[[#This Row],[ItemID A]],Katalog!$C$3:$C$12,0)),"-")</f>
        <v>Flat Shoes</v>
      </c>
      <c r="F722" s="50">
        <v>1</v>
      </c>
      <c r="G722" s="50">
        <v>1</v>
      </c>
      <c r="H722" s="73">
        <f>IFERROR(INDEX(Katalog!$D$3:$D$12,MATCH(cadangan[[#This Row],[ItemID A]],Katalog!$C$3:$C$12,0))*cadangan[[#This Row],[Qty A]],0)</f>
        <v>250000</v>
      </c>
      <c r="I722" s="73">
        <f>IFERROR(cadangan[[#This Row],[Harga Normal A]]-(cadangan[[#This Row],[Harga Normal A]]*cadangan[[#This Row],[Diskon]]),cadangan[[#This Row],[Harga Normal A]])</f>
        <v>225000</v>
      </c>
      <c r="J722" s="73">
        <f>INDEX(Katalog!$F$3:$F$12,MATCH(cadangan[[#This Row],[ItemID A]],Katalog!$C$3:$C$12,0))*cadangan[[#This Row],[Qty A]]</f>
        <v>100000</v>
      </c>
      <c r="K722" s="73">
        <f>IFERROR(cadangan[[#This Row],[Harga Diskon A]]-INDEX(Katalog!$E$3:$E$12,MATCH(cadangan[[#This Row],[ItemID A]],Katalog!$C$3:$C$12,0))*cadangan[[#This Row],[Qty A]],0)</f>
        <v>75000</v>
      </c>
      <c r="M722" s="39" t="str">
        <f>IFERROR(INDEX(Katalog!$A$3:$A$12,MATCH(cadangan[[#This Row],[ItemID B]],Katalog!$C$3:$C$12,0)),"-")</f>
        <v>-</v>
      </c>
      <c r="N722" s="39" t="str">
        <f>IFERROR(INDEX(Katalog!$B$3:$B$12,MATCH(cadangan[[#This Row],[ItemID B]],Katalog!$C$3:$C$12,0)),"-")</f>
        <v>-</v>
      </c>
      <c r="Q722" s="73">
        <f>IFERROR(INDEX(Katalog!$D$3:$D$12,MATCH(cadangan[[#This Row],[ItemID B]],Katalog!$C$3:$C$12,0))*cadangan[[#This Row],[Qty B]],0)</f>
        <v>0</v>
      </c>
      <c r="R722" s="73">
        <f>IFERROR(cadangan[[#This Row],[Harga Normal B]]-(cadangan[[#This Row],[Harga Normal B]]*cadangan[[#This Row],[Diskon]]),cadangan[[#This Row],[Harga Normal B]])</f>
        <v>0</v>
      </c>
      <c r="S722" s="73">
        <f>IFERROR(INDEX(Katalog!$F$3:$F$12,MATCH(cadangan[[#This Row],[ItemID B]],Katalog!$C$3:$C$12,0))*cadangan[[#This Row],[Qty B]],0)</f>
        <v>0</v>
      </c>
      <c r="T722" s="73">
        <f>IFERROR(cadangan[[#This Row],[Harga Diskon B]]-INDEX(Katalog!$E$3:$E$12,MATCH(cadangan[[#This Row],[ItemID B]],Katalog!$C$3:$C$12,0))*cadangan[[#This Row],[Qty B]],0)</f>
        <v>0</v>
      </c>
      <c r="V722" s="39" t="str">
        <f>IFERROR(INDEX(Katalog!$A$3:$A$12,MATCH(cadangan[[#This Row],[ItemID C]],Katalog!$C$3:$C$12,0)),"-")</f>
        <v>-</v>
      </c>
      <c r="W722" s="39" t="str">
        <f>IFERROR(INDEX(Katalog!$B$3:$B$12,MATCH(cadangan[[#This Row],[ItemID C]],Katalog!$C$3:$C$12,0)),"-")</f>
        <v>-</v>
      </c>
      <c r="Z722" s="73">
        <f>IFERROR(INDEX(Katalog!$D$3:$D$12,MATCH(cadangan[[#This Row],[ItemID C]],Katalog!$C$3:$C$12,0))*cadangan[[#This Row],[Qty C]],0)</f>
        <v>0</v>
      </c>
      <c r="AA722" s="73">
        <f>IFERROR(cadangan[[#This Row],[Harga Normal C]]-(cadangan[[#This Row],[Harga Normal C]]*cadangan[[#This Row],[Diskon]]),cadangan[[#This Row],[Harga Normal C]])</f>
        <v>0</v>
      </c>
      <c r="AB722" s="73">
        <f>IFERROR(INDEX(Katalog!$F$3:$F$12,MATCH(cadangan[[#This Row],[ItemID C]],Katalog!$C$3:$C$12,0))*cadangan[[#This Row],[Qty C]],0)</f>
        <v>0</v>
      </c>
      <c r="AC722" s="73">
        <f>IFERROR(cadangan[[#This Row],[Harga Diskon C]]-INDEX(Katalog!$E$3:$E$12,MATCH(cadangan[[#This Row],[ItemID C]],Katalog!$C$3:$C$12,0))*cadangan[[#This Row],[Qty C]],0)</f>
        <v>0</v>
      </c>
      <c r="AD722" s="53">
        <f>cadangan[[#This Row],[Qty A]]+cadangan[[#This Row],[Qty B]]+cadangan[[#This Row],[Qty C]]</f>
        <v>1</v>
      </c>
      <c r="AE722" s="73">
        <f>cadangan[[#This Row],[Harga Normal A]]+cadangan[[#This Row],[Harga Normal B]]+cadangan[[#This Row],[Harga Normal C]]</f>
        <v>250000</v>
      </c>
      <c r="AF722" s="73">
        <f>cadangan[[#This Row],[Harga Diskon A]]+cadangan[[#This Row],[Harga Diskon B]]+cadangan[[#This Row],[Harga Diskon C]]</f>
        <v>225000</v>
      </c>
      <c r="AG722" s="73">
        <f>(cadangan[[#This Row],[Profit Normal A]]+cadangan[[#This Row],[Profit Normal B]]+cadangan[[#This Row],[Profit Normal C]])</f>
        <v>100000</v>
      </c>
      <c r="AH722" s="73">
        <f>cadangan[[#This Row],[Profit Diskon A]]+cadangan[[#This Row],[Profit Diskon B]]+cadangan[[#This Row],[Profit Diskon C]]</f>
        <v>75000</v>
      </c>
      <c r="AI722" s="23" t="s">
        <v>30</v>
      </c>
      <c r="AJ722" s="37">
        <f>IFERROR(INDEX('Kode Diskon'!$D$3:$D$9,MATCH(cadangan[[#This Row],[Kode diskon]],'Kode Diskon'!$C$3:$C$9,0)),"-")</f>
        <v>0.1</v>
      </c>
      <c r="AK722" s="23" t="s">
        <v>29</v>
      </c>
      <c r="AL722" s="23" t="s">
        <v>10</v>
      </c>
      <c r="AM722" s="23" t="s">
        <v>80</v>
      </c>
      <c r="AN722" s="55">
        <v>45021</v>
      </c>
      <c r="AO722" s="53">
        <f>DAY(cadangan[[#This Row],[Tanggal terjual]])</f>
        <v>5</v>
      </c>
      <c r="AP722" s="21" t="str">
        <f>TEXT(cadangan[[#This Row],[Tanggal terjual]],"dddd")</f>
        <v>Wednesday</v>
      </c>
      <c r="AQ722" s="23" t="str" cm="1">
        <f t="array" ref="AQ7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22" s="61">
        <f>AVERAGE(cadangan[[#This Row],[Rating A]],cadangan[[#This Row],[Rating B]],cadangan[[#This Row],[Rating C]])</f>
        <v>1</v>
      </c>
    </row>
    <row r="723" spans="1:44" x14ac:dyDescent="0.2">
      <c r="A723" s="20">
        <v>722</v>
      </c>
      <c r="B723" s="21" t="str">
        <f>_xlfn.CONCAT("ORD-",INDEX(Helper!$B$2:$B$5,MATCH(cadangan[[#This Row],[Marketplace]],Helper!$A$2:$A$5,0)),TEXT(cadangan[[#This Row],[No]],"0000"),"-",TEXT(cadangan[[#This Row],[Tanggal terjual]],"dd/mm/yy"))</f>
        <v>ORD-TK0722-01/04/23</v>
      </c>
      <c r="C723" s="39" t="s">
        <v>66</v>
      </c>
      <c r="D723" s="39" t="str">
        <f>IFERROR(INDEX(Katalog!$A$3:$A$12,MATCH(cadangan[[#This Row],[ItemID A]],Katalog!$C$3:$C$12,0)),"-")</f>
        <v>Sepatu Pria</v>
      </c>
      <c r="E723" s="39" t="str">
        <f>IFERROR(INDEX(Katalog!$B$3:$B$12,MATCH(cadangan[[#This Row],[ItemID A]],Katalog!$C$3:$C$12,0)),"-")</f>
        <v>Sandal Slip On</v>
      </c>
      <c r="F723" s="50">
        <v>4</v>
      </c>
      <c r="G723" s="50">
        <v>2</v>
      </c>
      <c r="H723" s="73">
        <f>IFERROR(INDEX(Katalog!$D$3:$D$12,MATCH(cadangan[[#This Row],[ItemID A]],Katalog!$C$3:$C$12,0))*cadangan[[#This Row],[Qty A]],0)</f>
        <v>600000</v>
      </c>
      <c r="I723" s="73">
        <f>IFERROR(cadangan[[#This Row],[Harga Normal A]]-(cadangan[[#This Row],[Harga Normal A]]*cadangan[[#This Row],[Diskon]]),cadangan[[#This Row],[Harga Normal A]])</f>
        <v>540000</v>
      </c>
      <c r="J723" s="73">
        <f>INDEX(Katalog!$F$3:$F$12,MATCH(cadangan[[#This Row],[ItemID A]],Katalog!$C$3:$C$12,0))*cadangan[[#This Row],[Qty A]]</f>
        <v>240000</v>
      </c>
      <c r="K723" s="73">
        <f>IFERROR(cadangan[[#This Row],[Harga Diskon A]]-INDEX(Katalog!$E$3:$E$12,MATCH(cadangan[[#This Row],[ItemID A]],Katalog!$C$3:$C$12,0))*cadangan[[#This Row],[Qty A]],0)</f>
        <v>180000</v>
      </c>
      <c r="M723" s="39" t="str">
        <f>IFERROR(INDEX(Katalog!$A$3:$A$12,MATCH(cadangan[[#This Row],[ItemID B]],Katalog!$C$3:$C$12,0)),"-")</f>
        <v>-</v>
      </c>
      <c r="N723" s="39" t="str">
        <f>IFERROR(INDEX(Katalog!$B$3:$B$12,MATCH(cadangan[[#This Row],[ItemID B]],Katalog!$C$3:$C$12,0)),"-")</f>
        <v>-</v>
      </c>
      <c r="Q723" s="73">
        <f>IFERROR(INDEX(Katalog!$D$3:$D$12,MATCH(cadangan[[#This Row],[ItemID B]],Katalog!$C$3:$C$12,0))*cadangan[[#This Row],[Qty B]],0)</f>
        <v>0</v>
      </c>
      <c r="R723" s="73">
        <f>IFERROR(cadangan[[#This Row],[Harga Normal B]]-(cadangan[[#This Row],[Harga Normal B]]*cadangan[[#This Row],[Diskon]]),cadangan[[#This Row],[Harga Normal B]])</f>
        <v>0</v>
      </c>
      <c r="S723" s="73">
        <f>IFERROR(INDEX(Katalog!$F$3:$F$12,MATCH(cadangan[[#This Row],[ItemID B]],Katalog!$C$3:$C$12,0))*cadangan[[#This Row],[Qty B]],0)</f>
        <v>0</v>
      </c>
      <c r="T723" s="73">
        <f>IFERROR(cadangan[[#This Row],[Harga Diskon B]]-INDEX(Katalog!$E$3:$E$12,MATCH(cadangan[[#This Row],[ItemID B]],Katalog!$C$3:$C$12,0))*cadangan[[#This Row],[Qty B]],0)</f>
        <v>0</v>
      </c>
      <c r="V723" s="39" t="str">
        <f>IFERROR(INDEX(Katalog!$A$3:$A$12,MATCH(cadangan[[#This Row],[ItemID C]],Katalog!$C$3:$C$12,0)),"-")</f>
        <v>-</v>
      </c>
      <c r="W723" s="39" t="str">
        <f>IFERROR(INDEX(Katalog!$B$3:$B$12,MATCH(cadangan[[#This Row],[ItemID C]],Katalog!$C$3:$C$12,0)),"-")</f>
        <v>-</v>
      </c>
      <c r="Z723" s="73">
        <f>IFERROR(INDEX(Katalog!$D$3:$D$12,MATCH(cadangan[[#This Row],[ItemID C]],Katalog!$C$3:$C$12,0))*cadangan[[#This Row],[Qty C]],0)</f>
        <v>0</v>
      </c>
      <c r="AA723" s="73">
        <f>IFERROR(cadangan[[#This Row],[Harga Normal C]]-(cadangan[[#This Row],[Harga Normal C]]*cadangan[[#This Row],[Diskon]]),cadangan[[#This Row],[Harga Normal C]])</f>
        <v>0</v>
      </c>
      <c r="AB723" s="73">
        <f>IFERROR(INDEX(Katalog!$F$3:$F$12,MATCH(cadangan[[#This Row],[ItemID C]],Katalog!$C$3:$C$12,0))*cadangan[[#This Row],[Qty C]],0)</f>
        <v>0</v>
      </c>
      <c r="AC723" s="73">
        <f>IFERROR(cadangan[[#This Row],[Harga Diskon C]]-INDEX(Katalog!$E$3:$E$12,MATCH(cadangan[[#This Row],[ItemID C]],Katalog!$C$3:$C$12,0))*cadangan[[#This Row],[Qty C]],0)</f>
        <v>0</v>
      </c>
      <c r="AD723" s="53">
        <f>cadangan[[#This Row],[Qty A]]+cadangan[[#This Row],[Qty B]]+cadangan[[#This Row],[Qty C]]</f>
        <v>4</v>
      </c>
      <c r="AE723" s="73">
        <f>cadangan[[#This Row],[Harga Normal A]]+cadangan[[#This Row],[Harga Normal B]]+cadangan[[#This Row],[Harga Normal C]]</f>
        <v>600000</v>
      </c>
      <c r="AF723" s="73">
        <f>cadangan[[#This Row],[Harga Diskon A]]+cadangan[[#This Row],[Harga Diskon B]]+cadangan[[#This Row],[Harga Diskon C]]</f>
        <v>540000</v>
      </c>
      <c r="AG723" s="73">
        <f>(cadangan[[#This Row],[Profit Normal A]]+cadangan[[#This Row],[Profit Normal B]]+cadangan[[#This Row],[Profit Normal C]])</f>
        <v>240000</v>
      </c>
      <c r="AH723" s="73">
        <f>cadangan[[#This Row],[Profit Diskon A]]+cadangan[[#This Row],[Profit Diskon B]]+cadangan[[#This Row],[Profit Diskon C]]</f>
        <v>180000</v>
      </c>
      <c r="AI723" s="23" t="s">
        <v>30</v>
      </c>
      <c r="AJ723" s="37">
        <f>IFERROR(INDEX('Kode Diskon'!$D$3:$D$9,MATCH(cadangan[[#This Row],[Kode diskon]],'Kode Diskon'!$C$3:$C$9,0)),"-")</f>
        <v>0.1</v>
      </c>
      <c r="AK723" s="23" t="s">
        <v>29</v>
      </c>
      <c r="AL723" s="23" t="s">
        <v>10</v>
      </c>
      <c r="AM723" s="23" t="s">
        <v>80</v>
      </c>
      <c r="AN723" s="55">
        <v>45017</v>
      </c>
      <c r="AO723" s="53">
        <f>DAY(cadangan[[#This Row],[Tanggal terjual]])</f>
        <v>1</v>
      </c>
      <c r="AP723" s="21" t="str">
        <f>TEXT(cadangan[[#This Row],[Tanggal terjual]],"dddd")</f>
        <v>Saturday</v>
      </c>
      <c r="AQ723" s="23" t="str" cm="1">
        <f t="array" ref="AQ7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23" s="61">
        <f>AVERAGE(cadangan[[#This Row],[Rating A]],cadangan[[#This Row],[Rating B]],cadangan[[#This Row],[Rating C]])</f>
        <v>2</v>
      </c>
    </row>
    <row r="724" spans="1:44" x14ac:dyDescent="0.2">
      <c r="A724" s="20">
        <v>723</v>
      </c>
      <c r="B724" s="21" t="str">
        <f>_xlfn.CONCAT("ORD-",INDEX(Helper!$B$2:$B$5,MATCH(cadangan[[#This Row],[Marketplace]],Helper!$A$2:$A$5,0)),TEXT(cadangan[[#This Row],[No]],"0000"),"-",TEXT(cadangan[[#This Row],[Tanggal terjual]],"dd/mm/yy"))</f>
        <v>ORD-TK0723-23/04/23</v>
      </c>
      <c r="C724" s="39" t="s">
        <v>63</v>
      </c>
      <c r="D724" s="39" t="str">
        <f>IFERROR(INDEX(Katalog!$A$3:$A$12,MATCH(cadangan[[#This Row],[ItemID A]],Katalog!$C$3:$C$12,0)),"-")</f>
        <v>Pakaian Pria</v>
      </c>
      <c r="E724" s="39" t="str">
        <f>IFERROR(INDEX(Katalog!$B$3:$B$12,MATCH(cadangan[[#This Row],[ItemID A]],Katalog!$C$3:$C$12,0)),"-")</f>
        <v>Jaket Jeans</v>
      </c>
      <c r="F724" s="50">
        <v>2</v>
      </c>
      <c r="G724" s="50">
        <v>4</v>
      </c>
      <c r="H724" s="73">
        <f>IFERROR(INDEX(Katalog!$D$3:$D$12,MATCH(cadangan[[#This Row],[ItemID A]],Katalog!$C$3:$C$12,0))*cadangan[[#This Row],[Qty A]],0)</f>
        <v>800000</v>
      </c>
      <c r="I724" s="73">
        <f>IFERROR(cadangan[[#This Row],[Harga Normal A]]-(cadangan[[#This Row],[Harga Normal A]]*cadangan[[#This Row],[Diskon]]),cadangan[[#This Row],[Harga Normal A]])</f>
        <v>720000</v>
      </c>
      <c r="J724" s="73">
        <f>INDEX(Katalog!$F$3:$F$12,MATCH(cadangan[[#This Row],[ItemID A]],Katalog!$C$3:$C$12,0))*cadangan[[#This Row],[Qty A]]</f>
        <v>300000</v>
      </c>
      <c r="K724" s="73">
        <f>IFERROR(cadangan[[#This Row],[Harga Diskon A]]-INDEX(Katalog!$E$3:$E$12,MATCH(cadangan[[#This Row],[ItemID A]],Katalog!$C$3:$C$12,0))*cadangan[[#This Row],[Qty A]],0)</f>
        <v>220000</v>
      </c>
      <c r="L724" s="39" t="s">
        <v>60</v>
      </c>
      <c r="M724" s="39" t="str">
        <f>IFERROR(INDEX(Katalog!$A$3:$A$12,MATCH(cadangan[[#This Row],[ItemID B]],Katalog!$C$3:$C$12,0)),"-")</f>
        <v>Pakaian Wanita</v>
      </c>
      <c r="N724" s="39" t="str">
        <f>IFERROR(INDEX(Katalog!$B$3:$B$12,MATCH(cadangan[[#This Row],[ItemID B]],Katalog!$C$3:$C$12,0)),"-")</f>
        <v>Kaftan</v>
      </c>
      <c r="O724" s="50">
        <v>1</v>
      </c>
      <c r="P724" s="50">
        <v>2</v>
      </c>
      <c r="Q724" s="73">
        <f>IFERROR(INDEX(Katalog!$D$3:$D$12,MATCH(cadangan[[#This Row],[ItemID B]],Katalog!$C$3:$C$12,0))*cadangan[[#This Row],[Qty B]],0)</f>
        <v>250000</v>
      </c>
      <c r="R724" s="73">
        <f>IFERROR(cadangan[[#This Row],[Harga Normal B]]-(cadangan[[#This Row],[Harga Normal B]]*cadangan[[#This Row],[Diskon]]),cadangan[[#This Row],[Harga Normal B]])</f>
        <v>225000</v>
      </c>
      <c r="S724" s="73">
        <f>IFERROR(INDEX(Katalog!$F$3:$F$12,MATCH(cadangan[[#This Row],[ItemID B]],Katalog!$C$3:$C$12,0))*cadangan[[#This Row],[Qty B]],0)</f>
        <v>100000</v>
      </c>
      <c r="T724" s="73">
        <f>IFERROR(cadangan[[#This Row],[Harga Diskon B]]-INDEX(Katalog!$E$3:$E$12,MATCH(cadangan[[#This Row],[ItemID B]],Katalog!$C$3:$C$12,0))*cadangan[[#This Row],[Qty B]],0)</f>
        <v>75000</v>
      </c>
      <c r="U724" s="39" t="s">
        <v>63</v>
      </c>
      <c r="V724" s="39" t="str">
        <f>IFERROR(INDEX(Katalog!$A$3:$A$12,MATCH(cadangan[[#This Row],[ItemID C]],Katalog!$C$3:$C$12,0)),"-")</f>
        <v>Pakaian Pria</v>
      </c>
      <c r="W724" s="39" t="str">
        <f>IFERROR(INDEX(Katalog!$B$3:$B$12,MATCH(cadangan[[#This Row],[ItemID C]],Katalog!$C$3:$C$12,0)),"-")</f>
        <v>Jaket Jeans</v>
      </c>
      <c r="X724" s="50">
        <v>2</v>
      </c>
      <c r="Y724" s="50">
        <v>3</v>
      </c>
      <c r="Z724" s="73">
        <f>IFERROR(INDEX(Katalog!$D$3:$D$12,MATCH(cadangan[[#This Row],[ItemID C]],Katalog!$C$3:$C$12,0))*cadangan[[#This Row],[Qty C]],0)</f>
        <v>800000</v>
      </c>
      <c r="AA724" s="73">
        <f>IFERROR(cadangan[[#This Row],[Harga Normal C]]-(cadangan[[#This Row],[Harga Normal C]]*cadangan[[#This Row],[Diskon]]),cadangan[[#This Row],[Harga Normal C]])</f>
        <v>720000</v>
      </c>
      <c r="AB724" s="73">
        <f>IFERROR(INDEX(Katalog!$F$3:$F$12,MATCH(cadangan[[#This Row],[ItemID C]],Katalog!$C$3:$C$12,0))*cadangan[[#This Row],[Qty C]],0)</f>
        <v>300000</v>
      </c>
      <c r="AC724" s="73">
        <f>IFERROR(cadangan[[#This Row],[Harga Diskon C]]-INDEX(Katalog!$E$3:$E$12,MATCH(cadangan[[#This Row],[ItemID C]],Katalog!$C$3:$C$12,0))*cadangan[[#This Row],[Qty C]],0)</f>
        <v>220000</v>
      </c>
      <c r="AD724" s="53">
        <f>cadangan[[#This Row],[Qty A]]+cadangan[[#This Row],[Qty B]]+cadangan[[#This Row],[Qty C]]</f>
        <v>5</v>
      </c>
      <c r="AE724" s="73">
        <f>cadangan[[#This Row],[Harga Normal A]]+cadangan[[#This Row],[Harga Normal B]]+cadangan[[#This Row],[Harga Normal C]]</f>
        <v>1850000</v>
      </c>
      <c r="AF724" s="73">
        <f>cadangan[[#This Row],[Harga Diskon A]]+cadangan[[#This Row],[Harga Diskon B]]+cadangan[[#This Row],[Harga Diskon C]]</f>
        <v>1665000</v>
      </c>
      <c r="AG724" s="73">
        <f>(cadangan[[#This Row],[Profit Normal A]]+cadangan[[#This Row],[Profit Normal B]]+cadangan[[#This Row],[Profit Normal C]])</f>
        <v>700000</v>
      </c>
      <c r="AH724" s="73">
        <f>cadangan[[#This Row],[Profit Diskon A]]+cadangan[[#This Row],[Profit Diskon B]]+cadangan[[#This Row],[Profit Diskon C]]</f>
        <v>515000</v>
      </c>
      <c r="AI724" s="23" t="s">
        <v>31</v>
      </c>
      <c r="AJ724" s="37">
        <f>IFERROR(INDEX('Kode Diskon'!$D$3:$D$9,MATCH(cadangan[[#This Row],[Kode diskon]],'Kode Diskon'!$C$3:$C$9,0)),"-")</f>
        <v>0.1</v>
      </c>
      <c r="AK724" s="23" t="s">
        <v>9</v>
      </c>
      <c r="AL724" s="23" t="s">
        <v>10</v>
      </c>
      <c r="AM724" s="23" t="s">
        <v>79</v>
      </c>
      <c r="AN724" s="55">
        <v>45039</v>
      </c>
      <c r="AO724" s="53">
        <f>DAY(cadangan[[#This Row],[Tanggal terjual]])</f>
        <v>23</v>
      </c>
      <c r="AP724" s="21" t="str">
        <f>TEXT(cadangan[[#This Row],[Tanggal terjual]],"dddd")</f>
        <v>Sunday</v>
      </c>
      <c r="AQ724" s="23" t="str" cm="1">
        <f t="array" ref="AQ7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24" s="61">
        <f>AVERAGE(cadangan[[#This Row],[Rating A]],cadangan[[#This Row],[Rating B]],cadangan[[#This Row],[Rating C]])</f>
        <v>3</v>
      </c>
    </row>
    <row r="725" spans="1:44" x14ac:dyDescent="0.2">
      <c r="A725" s="20">
        <v>724</v>
      </c>
      <c r="B725" s="21" t="str">
        <f>_xlfn.CONCAT("ORD-",INDEX(Helper!$B$2:$B$5,MATCH(cadangan[[#This Row],[Marketplace]],Helper!$A$2:$A$5,0)),TEXT(cadangan[[#This Row],[No]],"0000"),"-",TEXT(cadangan[[#This Row],[Tanggal terjual]],"dd/mm/yy"))</f>
        <v>ORD-SP0724-28/04/23</v>
      </c>
      <c r="C725" s="39" t="s">
        <v>63</v>
      </c>
      <c r="D725" s="39" t="str">
        <f>IFERROR(INDEX(Katalog!$A$3:$A$12,MATCH(cadangan[[#This Row],[ItemID A]],Katalog!$C$3:$C$12,0)),"-")</f>
        <v>Pakaian Pria</v>
      </c>
      <c r="E725" s="39" t="str">
        <f>IFERROR(INDEX(Katalog!$B$3:$B$12,MATCH(cadangan[[#This Row],[ItemID A]],Katalog!$C$3:$C$12,0)),"-")</f>
        <v>Jaket Jeans</v>
      </c>
      <c r="F725" s="50">
        <v>4</v>
      </c>
      <c r="G725" s="50">
        <v>3</v>
      </c>
      <c r="H725" s="73">
        <f>IFERROR(INDEX(Katalog!$D$3:$D$12,MATCH(cadangan[[#This Row],[ItemID A]],Katalog!$C$3:$C$12,0))*cadangan[[#This Row],[Qty A]],0)</f>
        <v>1600000</v>
      </c>
      <c r="I725" s="73">
        <f>IFERROR(cadangan[[#This Row],[Harga Normal A]]-(cadangan[[#This Row],[Harga Normal A]]*cadangan[[#This Row],[Diskon]]),cadangan[[#This Row],[Harga Normal A]])</f>
        <v>1280000</v>
      </c>
      <c r="J725" s="73">
        <f>INDEX(Katalog!$F$3:$F$12,MATCH(cadangan[[#This Row],[ItemID A]],Katalog!$C$3:$C$12,0))*cadangan[[#This Row],[Qty A]]</f>
        <v>600000</v>
      </c>
      <c r="K725" s="73">
        <f>IFERROR(cadangan[[#This Row],[Harga Diskon A]]-INDEX(Katalog!$E$3:$E$12,MATCH(cadangan[[#This Row],[ItemID A]],Katalog!$C$3:$C$12,0))*cadangan[[#This Row],[Qty A]],0)</f>
        <v>280000</v>
      </c>
      <c r="L725" s="39" t="s">
        <v>66</v>
      </c>
      <c r="M725" s="39" t="str">
        <f>IFERROR(INDEX(Katalog!$A$3:$A$12,MATCH(cadangan[[#This Row],[ItemID B]],Katalog!$C$3:$C$12,0)),"-")</f>
        <v>Sepatu Pria</v>
      </c>
      <c r="N725" s="39" t="str">
        <f>IFERROR(INDEX(Katalog!$B$3:$B$12,MATCH(cadangan[[#This Row],[ItemID B]],Katalog!$C$3:$C$12,0)),"-")</f>
        <v>Sandal Slip On</v>
      </c>
      <c r="O725" s="50">
        <v>1</v>
      </c>
      <c r="P725" s="50">
        <v>4</v>
      </c>
      <c r="Q725" s="73">
        <f>IFERROR(INDEX(Katalog!$D$3:$D$12,MATCH(cadangan[[#This Row],[ItemID B]],Katalog!$C$3:$C$12,0))*cadangan[[#This Row],[Qty B]],0)</f>
        <v>150000</v>
      </c>
      <c r="R725" s="73">
        <f>IFERROR(cadangan[[#This Row],[Harga Normal B]]-(cadangan[[#This Row],[Harga Normal B]]*cadangan[[#This Row],[Diskon]]),cadangan[[#This Row],[Harga Normal B]])</f>
        <v>120000</v>
      </c>
      <c r="S725" s="73">
        <f>IFERROR(INDEX(Katalog!$F$3:$F$12,MATCH(cadangan[[#This Row],[ItemID B]],Katalog!$C$3:$C$12,0))*cadangan[[#This Row],[Qty B]],0)</f>
        <v>60000</v>
      </c>
      <c r="T725" s="73">
        <f>IFERROR(cadangan[[#This Row],[Harga Diskon B]]-INDEX(Katalog!$E$3:$E$12,MATCH(cadangan[[#This Row],[ItemID B]],Katalog!$C$3:$C$12,0))*cadangan[[#This Row],[Qty B]],0)</f>
        <v>30000</v>
      </c>
      <c r="V725" s="39" t="str">
        <f>IFERROR(INDEX(Katalog!$A$3:$A$12,MATCH(cadangan[[#This Row],[ItemID C]],Katalog!$C$3:$C$12,0)),"-")</f>
        <v>-</v>
      </c>
      <c r="W725" s="39" t="str">
        <f>IFERROR(INDEX(Katalog!$B$3:$B$12,MATCH(cadangan[[#This Row],[ItemID C]],Katalog!$C$3:$C$12,0)),"-")</f>
        <v>-</v>
      </c>
      <c r="Z725" s="73">
        <f>IFERROR(INDEX(Katalog!$D$3:$D$12,MATCH(cadangan[[#This Row],[ItemID C]],Katalog!$C$3:$C$12,0))*cadangan[[#This Row],[Qty C]],0)</f>
        <v>0</v>
      </c>
      <c r="AA725" s="73">
        <f>IFERROR(cadangan[[#This Row],[Harga Normal C]]-(cadangan[[#This Row],[Harga Normal C]]*cadangan[[#This Row],[Diskon]]),cadangan[[#This Row],[Harga Normal C]])</f>
        <v>0</v>
      </c>
      <c r="AB725" s="73">
        <f>IFERROR(INDEX(Katalog!$F$3:$F$12,MATCH(cadangan[[#This Row],[ItemID C]],Katalog!$C$3:$C$12,0))*cadangan[[#This Row],[Qty C]],0)</f>
        <v>0</v>
      </c>
      <c r="AC725" s="73">
        <f>IFERROR(cadangan[[#This Row],[Harga Diskon C]]-INDEX(Katalog!$E$3:$E$12,MATCH(cadangan[[#This Row],[ItemID C]],Katalog!$C$3:$C$12,0))*cadangan[[#This Row],[Qty C]],0)</f>
        <v>0</v>
      </c>
      <c r="AD725" s="53">
        <f>cadangan[[#This Row],[Qty A]]+cadangan[[#This Row],[Qty B]]+cadangan[[#This Row],[Qty C]]</f>
        <v>5</v>
      </c>
      <c r="AE725" s="73">
        <f>cadangan[[#This Row],[Harga Normal A]]+cadangan[[#This Row],[Harga Normal B]]+cadangan[[#This Row],[Harga Normal C]]</f>
        <v>1750000</v>
      </c>
      <c r="AF725" s="73">
        <f>cadangan[[#This Row],[Harga Diskon A]]+cadangan[[#This Row],[Harga Diskon B]]+cadangan[[#This Row],[Harga Diskon C]]</f>
        <v>1400000</v>
      </c>
      <c r="AG725" s="73">
        <f>(cadangan[[#This Row],[Profit Normal A]]+cadangan[[#This Row],[Profit Normal B]]+cadangan[[#This Row],[Profit Normal C]])</f>
        <v>660000</v>
      </c>
      <c r="AH725" s="73">
        <f>cadangan[[#This Row],[Profit Diskon A]]+cadangan[[#This Row],[Profit Diskon B]]+cadangan[[#This Row],[Profit Diskon C]]</f>
        <v>310000</v>
      </c>
      <c r="AI725" s="23" t="s">
        <v>8</v>
      </c>
      <c r="AJ725" s="37">
        <f>IFERROR(INDEX('Kode Diskon'!$D$3:$D$9,MATCH(cadangan[[#This Row],[Kode diskon]],'Kode Diskon'!$C$3:$C$9,0)),"-")</f>
        <v>0.2</v>
      </c>
      <c r="AK725" s="23" t="s">
        <v>9</v>
      </c>
      <c r="AL725" s="23" t="s">
        <v>7</v>
      </c>
      <c r="AM725" s="23" t="s">
        <v>76</v>
      </c>
      <c r="AN725" s="55">
        <v>45044</v>
      </c>
      <c r="AO725" s="53">
        <f>DAY(cadangan[[#This Row],[Tanggal terjual]])</f>
        <v>28</v>
      </c>
      <c r="AP725" s="21" t="str">
        <f>TEXT(cadangan[[#This Row],[Tanggal terjual]],"dddd")</f>
        <v>Friday</v>
      </c>
      <c r="AQ725" s="23" t="str" cm="1">
        <f t="array" ref="AQ7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25" s="61">
        <f>AVERAGE(cadangan[[#This Row],[Rating A]],cadangan[[#This Row],[Rating B]],cadangan[[#This Row],[Rating C]])</f>
        <v>3.5</v>
      </c>
    </row>
    <row r="726" spans="1:44" x14ac:dyDescent="0.2">
      <c r="A726" s="20">
        <v>725</v>
      </c>
      <c r="B726" s="21" t="str">
        <f>_xlfn.CONCAT("ORD-",INDEX(Helper!$B$2:$B$5,MATCH(cadangan[[#This Row],[Marketplace]],Helper!$A$2:$A$5,0)),TEXT(cadangan[[#This Row],[No]],"0000"),"-",TEXT(cadangan[[#This Row],[Tanggal terjual]],"dd/mm/yy"))</f>
        <v>ORD-SP0725-14/04/23</v>
      </c>
      <c r="C726" s="39" t="s">
        <v>62</v>
      </c>
      <c r="D726" s="39" t="str">
        <f>IFERROR(INDEX(Katalog!$A$3:$A$12,MATCH(cadangan[[#This Row],[ItemID A]],Katalog!$C$3:$C$12,0)),"-")</f>
        <v>Pakaian Pria</v>
      </c>
      <c r="E726" s="39" t="str">
        <f>IFERROR(INDEX(Katalog!$B$3:$B$12,MATCH(cadangan[[#This Row],[ItemID A]],Katalog!$C$3:$C$12,0)),"-")</f>
        <v>Celana Pendek</v>
      </c>
      <c r="F726" s="50">
        <v>1</v>
      </c>
      <c r="G726" s="50">
        <v>1</v>
      </c>
      <c r="H726" s="73">
        <f>IFERROR(INDEX(Katalog!$D$3:$D$12,MATCH(cadangan[[#This Row],[ItemID A]],Katalog!$C$3:$C$12,0))*cadangan[[#This Row],[Qty A]],0)</f>
        <v>180000</v>
      </c>
      <c r="I726" s="73">
        <f>IFERROR(cadangan[[#This Row],[Harga Normal A]]-(cadangan[[#This Row],[Harga Normal A]]*cadangan[[#This Row],[Diskon]]),cadangan[[#This Row],[Harga Normal A]])</f>
        <v>180000</v>
      </c>
      <c r="J726" s="73">
        <f>INDEX(Katalog!$F$3:$F$12,MATCH(cadangan[[#This Row],[ItemID A]],Katalog!$C$3:$C$12,0))*cadangan[[#This Row],[Qty A]]</f>
        <v>70000</v>
      </c>
      <c r="K726" s="73">
        <f>IFERROR(cadangan[[#This Row],[Harga Diskon A]]-INDEX(Katalog!$E$3:$E$12,MATCH(cadangan[[#This Row],[ItemID A]],Katalog!$C$3:$C$12,0))*cadangan[[#This Row],[Qty A]],0)</f>
        <v>70000</v>
      </c>
      <c r="L726" s="39" t="s">
        <v>61</v>
      </c>
      <c r="M726" s="39" t="str">
        <f>IFERROR(INDEX(Katalog!$A$3:$A$12,MATCH(cadangan[[#This Row],[ItemID B]],Katalog!$C$3:$C$12,0)),"-")</f>
        <v>Pakaian Pria</v>
      </c>
      <c r="N726" s="39" t="str">
        <f>IFERROR(INDEX(Katalog!$B$3:$B$12,MATCH(cadangan[[#This Row],[ItemID B]],Katalog!$C$3:$C$12,0)),"-")</f>
        <v>Kaos Polo</v>
      </c>
      <c r="O726" s="50">
        <v>2</v>
      </c>
      <c r="P726" s="50">
        <v>5</v>
      </c>
      <c r="Q726" s="73">
        <f>IFERROR(INDEX(Katalog!$D$3:$D$12,MATCH(cadangan[[#This Row],[ItemID B]],Katalog!$C$3:$C$12,0))*cadangan[[#This Row],[Qty B]],0)</f>
        <v>400000</v>
      </c>
      <c r="R726" s="73">
        <f>IFERROR(cadangan[[#This Row],[Harga Normal B]]-(cadangan[[#This Row],[Harga Normal B]]*cadangan[[#This Row],[Diskon]]),cadangan[[#This Row],[Harga Normal B]])</f>
        <v>400000</v>
      </c>
      <c r="S726" s="73">
        <f>IFERROR(INDEX(Katalog!$F$3:$F$12,MATCH(cadangan[[#This Row],[ItemID B]],Katalog!$C$3:$C$12,0))*cadangan[[#This Row],[Qty B]],0)</f>
        <v>160000</v>
      </c>
      <c r="T726" s="73">
        <f>IFERROR(cadangan[[#This Row],[Harga Diskon B]]-INDEX(Katalog!$E$3:$E$12,MATCH(cadangan[[#This Row],[ItemID B]],Katalog!$C$3:$C$12,0))*cadangan[[#This Row],[Qty B]],0)</f>
        <v>160000</v>
      </c>
      <c r="U726" s="39" t="s">
        <v>60</v>
      </c>
      <c r="V726" s="39" t="str">
        <f>IFERROR(INDEX(Katalog!$A$3:$A$12,MATCH(cadangan[[#This Row],[ItemID C]],Katalog!$C$3:$C$12,0)),"-")</f>
        <v>Pakaian Wanita</v>
      </c>
      <c r="W726" s="39" t="str">
        <f>IFERROR(INDEX(Katalog!$B$3:$B$12,MATCH(cadangan[[#This Row],[ItemID C]],Katalog!$C$3:$C$12,0)),"-")</f>
        <v>Kaftan</v>
      </c>
      <c r="X726" s="50">
        <v>3</v>
      </c>
      <c r="Y726" s="50">
        <v>5</v>
      </c>
      <c r="Z726" s="73">
        <f>IFERROR(INDEX(Katalog!$D$3:$D$12,MATCH(cadangan[[#This Row],[ItemID C]],Katalog!$C$3:$C$12,0))*cadangan[[#This Row],[Qty C]],0)</f>
        <v>750000</v>
      </c>
      <c r="AA726" s="73">
        <f>IFERROR(cadangan[[#This Row],[Harga Normal C]]-(cadangan[[#This Row],[Harga Normal C]]*cadangan[[#This Row],[Diskon]]),cadangan[[#This Row],[Harga Normal C]])</f>
        <v>750000</v>
      </c>
      <c r="AB726" s="73">
        <f>IFERROR(INDEX(Katalog!$F$3:$F$12,MATCH(cadangan[[#This Row],[ItemID C]],Katalog!$C$3:$C$12,0))*cadangan[[#This Row],[Qty C]],0)</f>
        <v>300000</v>
      </c>
      <c r="AC726" s="73">
        <f>IFERROR(cadangan[[#This Row],[Harga Diskon C]]-INDEX(Katalog!$E$3:$E$12,MATCH(cadangan[[#This Row],[ItemID C]],Katalog!$C$3:$C$12,0))*cadangan[[#This Row],[Qty C]],0)</f>
        <v>300000</v>
      </c>
      <c r="AD726" s="53">
        <f>cadangan[[#This Row],[Qty A]]+cadangan[[#This Row],[Qty B]]+cadangan[[#This Row],[Qty C]]</f>
        <v>6</v>
      </c>
      <c r="AE726" s="73">
        <f>cadangan[[#This Row],[Harga Normal A]]+cadangan[[#This Row],[Harga Normal B]]+cadangan[[#This Row],[Harga Normal C]]</f>
        <v>1330000</v>
      </c>
      <c r="AF726" s="73">
        <f>cadangan[[#This Row],[Harga Diskon A]]+cadangan[[#This Row],[Harga Diskon B]]+cadangan[[#This Row],[Harga Diskon C]]</f>
        <v>1330000</v>
      </c>
      <c r="AG726" s="73">
        <f>(cadangan[[#This Row],[Profit Normal A]]+cadangan[[#This Row],[Profit Normal B]]+cadangan[[#This Row],[Profit Normal C]])</f>
        <v>530000</v>
      </c>
      <c r="AH726" s="73">
        <f>cadangan[[#This Row],[Profit Diskon A]]+cadangan[[#This Row],[Profit Diskon B]]+cadangan[[#This Row],[Profit Diskon C]]</f>
        <v>530000</v>
      </c>
      <c r="AI726" s="23" t="s">
        <v>290</v>
      </c>
      <c r="AJ726" s="37" t="str">
        <f>IFERROR(INDEX('Kode Diskon'!$D$3:$D$9,MATCH(cadangan[[#This Row],[Kode diskon]],'Kode Diskon'!$C$3:$C$9,0)),"-")</f>
        <v>-</v>
      </c>
      <c r="AK726" s="23" t="s">
        <v>290</v>
      </c>
      <c r="AL726" s="23" t="s">
        <v>7</v>
      </c>
      <c r="AM726" s="23" t="s">
        <v>77</v>
      </c>
      <c r="AN726" s="55">
        <v>45030</v>
      </c>
      <c r="AO726" s="53">
        <f>DAY(cadangan[[#This Row],[Tanggal terjual]])</f>
        <v>14</v>
      </c>
      <c r="AP726" s="21" t="str">
        <f>TEXT(cadangan[[#This Row],[Tanggal terjual]],"dddd")</f>
        <v>Friday</v>
      </c>
      <c r="AQ726" s="23" t="str" cm="1">
        <f t="array" ref="AQ7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26" s="61">
        <f>AVERAGE(cadangan[[#This Row],[Rating A]],cadangan[[#This Row],[Rating B]],cadangan[[#This Row],[Rating C]])</f>
        <v>3.6666666666666665</v>
      </c>
    </row>
    <row r="727" spans="1:44" x14ac:dyDescent="0.2">
      <c r="A727" s="20">
        <v>726</v>
      </c>
      <c r="B727" s="21" t="str">
        <f>_xlfn.CONCAT("ORD-",INDEX(Helper!$B$2:$B$5,MATCH(cadangan[[#This Row],[Marketplace]],Helper!$A$2:$A$5,0)),TEXT(cadangan[[#This Row],[No]],"0000"),"-",TEXT(cadangan[[#This Row],[Tanggal terjual]],"dd/mm/yy"))</f>
        <v>ORD-BL0726-17/04/23</v>
      </c>
      <c r="C727" s="39" t="s">
        <v>64</v>
      </c>
      <c r="D727" s="39" t="str">
        <f>IFERROR(INDEX(Katalog!$A$3:$A$12,MATCH(cadangan[[#This Row],[ItemID A]],Katalog!$C$3:$C$12,0)),"-")</f>
        <v>Pakaian Unisex</v>
      </c>
      <c r="E727" s="39" t="str">
        <f>IFERROR(INDEX(Katalog!$B$3:$B$12,MATCH(cadangan[[#This Row],[ItemID A]],Katalog!$C$3:$C$12,0)),"-")</f>
        <v>Jaket Hoodie</v>
      </c>
      <c r="F727" s="50">
        <v>1</v>
      </c>
      <c r="G727" s="50">
        <v>1</v>
      </c>
      <c r="H727" s="73">
        <f>IFERROR(INDEX(Katalog!$D$3:$D$12,MATCH(cadangan[[#This Row],[ItemID A]],Katalog!$C$3:$C$12,0))*cadangan[[#This Row],[Qty A]],0)</f>
        <v>350000</v>
      </c>
      <c r="I727" s="73">
        <f>IFERROR(cadangan[[#This Row],[Harga Normal A]]-(cadangan[[#This Row],[Harga Normal A]]*cadangan[[#This Row],[Diskon]]),cadangan[[#This Row],[Harga Normal A]])</f>
        <v>297500</v>
      </c>
      <c r="J727" s="73">
        <f>INDEX(Katalog!$F$3:$F$12,MATCH(cadangan[[#This Row],[ItemID A]],Katalog!$C$3:$C$12,0))*cadangan[[#This Row],[Qty A]]</f>
        <v>130000</v>
      </c>
      <c r="K727" s="73">
        <f>IFERROR(cadangan[[#This Row],[Harga Diskon A]]-INDEX(Katalog!$E$3:$E$12,MATCH(cadangan[[#This Row],[ItemID A]],Katalog!$C$3:$C$12,0))*cadangan[[#This Row],[Qty A]],0)</f>
        <v>77500</v>
      </c>
      <c r="M727" s="39" t="str">
        <f>IFERROR(INDEX(Katalog!$A$3:$A$12,MATCH(cadangan[[#This Row],[ItemID B]],Katalog!$C$3:$C$12,0)),"-")</f>
        <v>-</v>
      </c>
      <c r="N727" s="39" t="str">
        <f>IFERROR(INDEX(Katalog!$B$3:$B$12,MATCH(cadangan[[#This Row],[ItemID B]],Katalog!$C$3:$C$12,0)),"-")</f>
        <v>-</v>
      </c>
      <c r="Q727" s="73">
        <f>IFERROR(INDEX(Katalog!$D$3:$D$12,MATCH(cadangan[[#This Row],[ItemID B]],Katalog!$C$3:$C$12,0))*cadangan[[#This Row],[Qty B]],0)</f>
        <v>0</v>
      </c>
      <c r="R727" s="73">
        <f>IFERROR(cadangan[[#This Row],[Harga Normal B]]-(cadangan[[#This Row],[Harga Normal B]]*cadangan[[#This Row],[Diskon]]),cadangan[[#This Row],[Harga Normal B]])</f>
        <v>0</v>
      </c>
      <c r="S727" s="73">
        <f>IFERROR(INDEX(Katalog!$F$3:$F$12,MATCH(cadangan[[#This Row],[ItemID B]],Katalog!$C$3:$C$12,0))*cadangan[[#This Row],[Qty B]],0)</f>
        <v>0</v>
      </c>
      <c r="T727" s="73">
        <f>IFERROR(cadangan[[#This Row],[Harga Diskon B]]-INDEX(Katalog!$E$3:$E$12,MATCH(cadangan[[#This Row],[ItemID B]],Katalog!$C$3:$C$12,0))*cadangan[[#This Row],[Qty B]],0)</f>
        <v>0</v>
      </c>
      <c r="V727" s="39" t="str">
        <f>IFERROR(INDEX(Katalog!$A$3:$A$12,MATCH(cadangan[[#This Row],[ItemID C]],Katalog!$C$3:$C$12,0)),"-")</f>
        <v>-</v>
      </c>
      <c r="W727" s="39" t="str">
        <f>IFERROR(INDEX(Katalog!$B$3:$B$12,MATCH(cadangan[[#This Row],[ItemID C]],Katalog!$C$3:$C$12,0)),"-")</f>
        <v>-</v>
      </c>
      <c r="Z727" s="73">
        <f>IFERROR(INDEX(Katalog!$D$3:$D$12,MATCH(cadangan[[#This Row],[ItemID C]],Katalog!$C$3:$C$12,0))*cadangan[[#This Row],[Qty C]],0)</f>
        <v>0</v>
      </c>
      <c r="AA727" s="73">
        <f>IFERROR(cadangan[[#This Row],[Harga Normal C]]-(cadangan[[#This Row],[Harga Normal C]]*cadangan[[#This Row],[Diskon]]),cadangan[[#This Row],[Harga Normal C]])</f>
        <v>0</v>
      </c>
      <c r="AB727" s="73">
        <f>IFERROR(INDEX(Katalog!$F$3:$F$12,MATCH(cadangan[[#This Row],[ItemID C]],Katalog!$C$3:$C$12,0))*cadangan[[#This Row],[Qty C]],0)</f>
        <v>0</v>
      </c>
      <c r="AC727" s="73">
        <f>IFERROR(cadangan[[#This Row],[Harga Diskon C]]-INDEX(Katalog!$E$3:$E$12,MATCH(cadangan[[#This Row],[ItemID C]],Katalog!$C$3:$C$12,0))*cadangan[[#This Row],[Qty C]],0)</f>
        <v>0</v>
      </c>
      <c r="AD727" s="53">
        <f>cadangan[[#This Row],[Qty A]]+cadangan[[#This Row],[Qty B]]+cadangan[[#This Row],[Qty C]]</f>
        <v>1</v>
      </c>
      <c r="AE727" s="73">
        <f>cadangan[[#This Row],[Harga Normal A]]+cadangan[[#This Row],[Harga Normal B]]+cadangan[[#This Row],[Harga Normal C]]</f>
        <v>350000</v>
      </c>
      <c r="AF727" s="73">
        <f>cadangan[[#This Row],[Harga Diskon A]]+cadangan[[#This Row],[Harga Diskon B]]+cadangan[[#This Row],[Harga Diskon C]]</f>
        <v>297500</v>
      </c>
      <c r="AG727" s="73">
        <f>(cadangan[[#This Row],[Profit Normal A]]+cadangan[[#This Row],[Profit Normal B]]+cadangan[[#This Row],[Profit Normal C]])</f>
        <v>130000</v>
      </c>
      <c r="AH727" s="73">
        <f>cadangan[[#This Row],[Profit Diskon A]]+cadangan[[#This Row],[Profit Diskon B]]+cadangan[[#This Row],[Profit Diskon C]]</f>
        <v>77500</v>
      </c>
      <c r="AI727" s="23" t="s">
        <v>32</v>
      </c>
      <c r="AJ727" s="37">
        <f>IFERROR(INDEX('Kode Diskon'!$D$3:$D$9,MATCH(cadangan[[#This Row],[Kode diskon]],'Kode Diskon'!$C$3:$C$9,0)),"-")</f>
        <v>0.15</v>
      </c>
      <c r="AK727" s="23" t="s">
        <v>9</v>
      </c>
      <c r="AL727" s="23" t="s">
        <v>12</v>
      </c>
      <c r="AM727" s="23" t="s">
        <v>80</v>
      </c>
      <c r="AN727" s="55">
        <v>45033</v>
      </c>
      <c r="AO727" s="53">
        <f>DAY(cadangan[[#This Row],[Tanggal terjual]])</f>
        <v>17</v>
      </c>
      <c r="AP727" s="21" t="str">
        <f>TEXT(cadangan[[#This Row],[Tanggal terjual]],"dddd")</f>
        <v>Monday</v>
      </c>
      <c r="AQ727" s="23" t="str" cm="1">
        <f t="array" ref="AQ7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27" s="61">
        <f>AVERAGE(cadangan[[#This Row],[Rating A]],cadangan[[#This Row],[Rating B]],cadangan[[#This Row],[Rating C]])</f>
        <v>1</v>
      </c>
    </row>
    <row r="728" spans="1:44" x14ac:dyDescent="0.2">
      <c r="A728" s="20">
        <v>727</v>
      </c>
      <c r="B728" s="21" t="str">
        <f>_xlfn.CONCAT("ORD-",INDEX(Helper!$B$2:$B$5,MATCH(cadangan[[#This Row],[Marketplace]],Helper!$A$2:$A$5,0)),TEXT(cadangan[[#This Row],[No]],"0000"),"-",TEXT(cadangan[[#This Row],[Tanggal terjual]],"dd/mm/yy"))</f>
        <v>ORD-SP0727-09/04/23</v>
      </c>
      <c r="C728" s="39" t="s">
        <v>61</v>
      </c>
      <c r="D728" s="39" t="str">
        <f>IFERROR(INDEX(Katalog!$A$3:$A$12,MATCH(cadangan[[#This Row],[ItemID A]],Katalog!$C$3:$C$12,0)),"-")</f>
        <v>Pakaian Pria</v>
      </c>
      <c r="E728" s="39" t="str">
        <f>IFERROR(INDEX(Katalog!$B$3:$B$12,MATCH(cadangan[[#This Row],[ItemID A]],Katalog!$C$3:$C$12,0)),"-")</f>
        <v>Kaos Polo</v>
      </c>
      <c r="F728" s="50">
        <v>3</v>
      </c>
      <c r="G728" s="50">
        <v>3</v>
      </c>
      <c r="H728" s="73">
        <f>IFERROR(INDEX(Katalog!$D$3:$D$12,MATCH(cadangan[[#This Row],[ItemID A]],Katalog!$C$3:$C$12,0))*cadangan[[#This Row],[Qty A]],0)</f>
        <v>600000</v>
      </c>
      <c r="I728" s="73">
        <f>IFERROR(cadangan[[#This Row],[Harga Normal A]]-(cadangan[[#This Row],[Harga Normal A]]*cadangan[[#This Row],[Diskon]]),cadangan[[#This Row],[Harga Normal A]])</f>
        <v>600000</v>
      </c>
      <c r="J728" s="73">
        <f>INDEX(Katalog!$F$3:$F$12,MATCH(cadangan[[#This Row],[ItemID A]],Katalog!$C$3:$C$12,0))*cadangan[[#This Row],[Qty A]]</f>
        <v>240000</v>
      </c>
      <c r="K728" s="73">
        <f>IFERROR(cadangan[[#This Row],[Harga Diskon A]]-INDEX(Katalog!$E$3:$E$12,MATCH(cadangan[[#This Row],[ItemID A]],Katalog!$C$3:$C$12,0))*cadangan[[#This Row],[Qty A]],0)</f>
        <v>240000</v>
      </c>
      <c r="L728" s="39" t="s">
        <v>64</v>
      </c>
      <c r="M728" s="39" t="str">
        <f>IFERROR(INDEX(Katalog!$A$3:$A$12,MATCH(cadangan[[#This Row],[ItemID B]],Katalog!$C$3:$C$12,0)),"-")</f>
        <v>Pakaian Unisex</v>
      </c>
      <c r="N728" s="39" t="str">
        <f>IFERROR(INDEX(Katalog!$B$3:$B$12,MATCH(cadangan[[#This Row],[ItemID B]],Katalog!$C$3:$C$12,0)),"-")</f>
        <v>Jaket Hoodie</v>
      </c>
      <c r="O728" s="50">
        <v>1</v>
      </c>
      <c r="P728" s="50">
        <v>3</v>
      </c>
      <c r="Q728" s="73">
        <f>IFERROR(INDEX(Katalog!$D$3:$D$12,MATCH(cadangan[[#This Row],[ItemID B]],Katalog!$C$3:$C$12,0))*cadangan[[#This Row],[Qty B]],0)</f>
        <v>350000</v>
      </c>
      <c r="R728" s="73">
        <f>IFERROR(cadangan[[#This Row],[Harga Normal B]]-(cadangan[[#This Row],[Harga Normal B]]*cadangan[[#This Row],[Diskon]]),cadangan[[#This Row],[Harga Normal B]])</f>
        <v>350000</v>
      </c>
      <c r="S728" s="73">
        <f>IFERROR(INDEX(Katalog!$F$3:$F$12,MATCH(cadangan[[#This Row],[ItemID B]],Katalog!$C$3:$C$12,0))*cadangan[[#This Row],[Qty B]],0)</f>
        <v>130000</v>
      </c>
      <c r="T728" s="73">
        <f>IFERROR(cadangan[[#This Row],[Harga Diskon B]]-INDEX(Katalog!$E$3:$E$12,MATCH(cadangan[[#This Row],[ItemID B]],Katalog!$C$3:$C$12,0))*cadangan[[#This Row],[Qty B]],0)</f>
        <v>130000</v>
      </c>
      <c r="V728" s="39" t="str">
        <f>IFERROR(INDEX(Katalog!$A$3:$A$12,MATCH(cadangan[[#This Row],[ItemID C]],Katalog!$C$3:$C$12,0)),"-")</f>
        <v>-</v>
      </c>
      <c r="W728" s="39" t="str">
        <f>IFERROR(INDEX(Katalog!$B$3:$B$12,MATCH(cadangan[[#This Row],[ItemID C]],Katalog!$C$3:$C$12,0)),"-")</f>
        <v>-</v>
      </c>
      <c r="Z728" s="73">
        <f>IFERROR(INDEX(Katalog!$D$3:$D$12,MATCH(cadangan[[#This Row],[ItemID C]],Katalog!$C$3:$C$12,0))*cadangan[[#This Row],[Qty C]],0)</f>
        <v>0</v>
      </c>
      <c r="AA728" s="73">
        <f>IFERROR(cadangan[[#This Row],[Harga Normal C]]-(cadangan[[#This Row],[Harga Normal C]]*cadangan[[#This Row],[Diskon]]),cadangan[[#This Row],[Harga Normal C]])</f>
        <v>0</v>
      </c>
      <c r="AB728" s="73">
        <f>IFERROR(INDEX(Katalog!$F$3:$F$12,MATCH(cadangan[[#This Row],[ItemID C]],Katalog!$C$3:$C$12,0))*cadangan[[#This Row],[Qty C]],0)</f>
        <v>0</v>
      </c>
      <c r="AC728" s="73">
        <f>IFERROR(cadangan[[#This Row],[Harga Diskon C]]-INDEX(Katalog!$E$3:$E$12,MATCH(cadangan[[#This Row],[ItemID C]],Katalog!$C$3:$C$12,0))*cadangan[[#This Row],[Qty C]],0)</f>
        <v>0</v>
      </c>
      <c r="AD728" s="53">
        <f>cadangan[[#This Row],[Qty A]]+cadangan[[#This Row],[Qty B]]+cadangan[[#This Row],[Qty C]]</f>
        <v>4</v>
      </c>
      <c r="AE728" s="73">
        <f>cadangan[[#This Row],[Harga Normal A]]+cadangan[[#This Row],[Harga Normal B]]+cadangan[[#This Row],[Harga Normal C]]</f>
        <v>950000</v>
      </c>
      <c r="AF728" s="73">
        <f>cadangan[[#This Row],[Harga Diskon A]]+cadangan[[#This Row],[Harga Diskon B]]+cadangan[[#This Row],[Harga Diskon C]]</f>
        <v>950000</v>
      </c>
      <c r="AG728" s="73">
        <f>(cadangan[[#This Row],[Profit Normal A]]+cadangan[[#This Row],[Profit Normal B]]+cadangan[[#This Row],[Profit Normal C]])</f>
        <v>370000</v>
      </c>
      <c r="AH728" s="73">
        <f>cadangan[[#This Row],[Profit Diskon A]]+cadangan[[#This Row],[Profit Diskon B]]+cadangan[[#This Row],[Profit Diskon C]]</f>
        <v>370000</v>
      </c>
      <c r="AI728" s="23" t="s">
        <v>290</v>
      </c>
      <c r="AJ728" s="37" t="str">
        <f>IFERROR(INDEX('Kode Diskon'!$D$3:$D$9,MATCH(cadangan[[#This Row],[Kode diskon]],'Kode Diskon'!$C$3:$C$9,0)),"-")</f>
        <v>-</v>
      </c>
      <c r="AK728" s="23" t="s">
        <v>290</v>
      </c>
      <c r="AL728" s="23" t="s">
        <v>7</v>
      </c>
      <c r="AM728" s="23" t="s">
        <v>79</v>
      </c>
      <c r="AN728" s="55">
        <v>45025</v>
      </c>
      <c r="AO728" s="53">
        <f>DAY(cadangan[[#This Row],[Tanggal terjual]])</f>
        <v>9</v>
      </c>
      <c r="AP728" s="21" t="str">
        <f>TEXT(cadangan[[#This Row],[Tanggal terjual]],"dddd")</f>
        <v>Sunday</v>
      </c>
      <c r="AQ728" s="23" t="str" cm="1">
        <f t="array" ref="AQ7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28" s="61">
        <f>AVERAGE(cadangan[[#This Row],[Rating A]],cadangan[[#This Row],[Rating B]],cadangan[[#This Row],[Rating C]])</f>
        <v>3</v>
      </c>
    </row>
    <row r="729" spans="1:44" x14ac:dyDescent="0.2">
      <c r="A729" s="20">
        <v>728</v>
      </c>
      <c r="B729" s="21" t="str">
        <f>_xlfn.CONCAT("ORD-",INDEX(Helper!$B$2:$B$5,MATCH(cadangan[[#This Row],[Marketplace]],Helper!$A$2:$A$5,0)),TEXT(cadangan[[#This Row],[No]],"0000"),"-",TEXT(cadangan[[#This Row],[Tanggal terjual]],"dd/mm/yy"))</f>
        <v>ORD-SP0728-11/04/23</v>
      </c>
      <c r="C729" s="39" t="s">
        <v>63</v>
      </c>
      <c r="D729" s="39" t="str">
        <f>IFERROR(INDEX(Katalog!$A$3:$A$12,MATCH(cadangan[[#This Row],[ItemID A]],Katalog!$C$3:$C$12,0)),"-")</f>
        <v>Pakaian Pria</v>
      </c>
      <c r="E729" s="39" t="str">
        <f>IFERROR(INDEX(Katalog!$B$3:$B$12,MATCH(cadangan[[#This Row],[ItemID A]],Katalog!$C$3:$C$12,0)),"-")</f>
        <v>Jaket Jeans</v>
      </c>
      <c r="F729" s="50">
        <v>1</v>
      </c>
      <c r="G729" s="50">
        <v>4</v>
      </c>
      <c r="H729" s="73">
        <f>IFERROR(INDEX(Katalog!$D$3:$D$12,MATCH(cadangan[[#This Row],[ItemID A]],Katalog!$C$3:$C$12,0))*cadangan[[#This Row],[Qty A]],0)</f>
        <v>400000</v>
      </c>
      <c r="I729" s="73">
        <f>IFERROR(cadangan[[#This Row],[Harga Normal A]]-(cadangan[[#This Row],[Harga Normal A]]*cadangan[[#This Row],[Diskon]]),cadangan[[#This Row],[Harga Normal A]])</f>
        <v>400000</v>
      </c>
      <c r="J729" s="73">
        <f>INDEX(Katalog!$F$3:$F$12,MATCH(cadangan[[#This Row],[ItemID A]],Katalog!$C$3:$C$12,0))*cadangan[[#This Row],[Qty A]]</f>
        <v>150000</v>
      </c>
      <c r="K729" s="73">
        <f>IFERROR(cadangan[[#This Row],[Harga Diskon A]]-INDEX(Katalog!$E$3:$E$12,MATCH(cadangan[[#This Row],[ItemID A]],Katalog!$C$3:$C$12,0))*cadangan[[#This Row],[Qty A]],0)</f>
        <v>150000</v>
      </c>
      <c r="M729" s="39" t="str">
        <f>IFERROR(INDEX(Katalog!$A$3:$A$12,MATCH(cadangan[[#This Row],[ItemID B]],Katalog!$C$3:$C$12,0)),"-")</f>
        <v>-</v>
      </c>
      <c r="N729" s="39" t="str">
        <f>IFERROR(INDEX(Katalog!$B$3:$B$12,MATCH(cadangan[[#This Row],[ItemID B]],Katalog!$C$3:$C$12,0)),"-")</f>
        <v>-</v>
      </c>
      <c r="Q729" s="73">
        <f>IFERROR(INDEX(Katalog!$D$3:$D$12,MATCH(cadangan[[#This Row],[ItemID B]],Katalog!$C$3:$C$12,0))*cadangan[[#This Row],[Qty B]],0)</f>
        <v>0</v>
      </c>
      <c r="R729" s="73">
        <f>IFERROR(cadangan[[#This Row],[Harga Normal B]]-(cadangan[[#This Row],[Harga Normal B]]*cadangan[[#This Row],[Diskon]]),cadangan[[#This Row],[Harga Normal B]])</f>
        <v>0</v>
      </c>
      <c r="S729" s="73">
        <f>IFERROR(INDEX(Katalog!$F$3:$F$12,MATCH(cadangan[[#This Row],[ItemID B]],Katalog!$C$3:$C$12,0))*cadangan[[#This Row],[Qty B]],0)</f>
        <v>0</v>
      </c>
      <c r="T729" s="73">
        <f>IFERROR(cadangan[[#This Row],[Harga Diskon B]]-INDEX(Katalog!$E$3:$E$12,MATCH(cadangan[[#This Row],[ItemID B]],Katalog!$C$3:$C$12,0))*cadangan[[#This Row],[Qty B]],0)</f>
        <v>0</v>
      </c>
      <c r="V729" s="39" t="str">
        <f>IFERROR(INDEX(Katalog!$A$3:$A$12,MATCH(cadangan[[#This Row],[ItemID C]],Katalog!$C$3:$C$12,0)),"-")</f>
        <v>-</v>
      </c>
      <c r="W729" s="39" t="str">
        <f>IFERROR(INDEX(Katalog!$B$3:$B$12,MATCH(cadangan[[#This Row],[ItemID C]],Katalog!$C$3:$C$12,0)),"-")</f>
        <v>-</v>
      </c>
      <c r="Z729" s="73">
        <f>IFERROR(INDEX(Katalog!$D$3:$D$12,MATCH(cadangan[[#This Row],[ItemID C]],Katalog!$C$3:$C$12,0))*cadangan[[#This Row],[Qty C]],0)</f>
        <v>0</v>
      </c>
      <c r="AA729" s="73">
        <f>IFERROR(cadangan[[#This Row],[Harga Normal C]]-(cadangan[[#This Row],[Harga Normal C]]*cadangan[[#This Row],[Diskon]]),cadangan[[#This Row],[Harga Normal C]])</f>
        <v>0</v>
      </c>
      <c r="AB729" s="73">
        <f>IFERROR(INDEX(Katalog!$F$3:$F$12,MATCH(cadangan[[#This Row],[ItemID C]],Katalog!$C$3:$C$12,0))*cadangan[[#This Row],[Qty C]],0)</f>
        <v>0</v>
      </c>
      <c r="AC729" s="73">
        <f>IFERROR(cadangan[[#This Row],[Harga Diskon C]]-INDEX(Katalog!$E$3:$E$12,MATCH(cadangan[[#This Row],[ItemID C]],Katalog!$C$3:$C$12,0))*cadangan[[#This Row],[Qty C]],0)</f>
        <v>0</v>
      </c>
      <c r="AD729" s="53">
        <f>cadangan[[#This Row],[Qty A]]+cadangan[[#This Row],[Qty B]]+cadangan[[#This Row],[Qty C]]</f>
        <v>1</v>
      </c>
      <c r="AE729" s="73">
        <f>cadangan[[#This Row],[Harga Normal A]]+cadangan[[#This Row],[Harga Normal B]]+cadangan[[#This Row],[Harga Normal C]]</f>
        <v>400000</v>
      </c>
      <c r="AF729" s="73">
        <f>cadangan[[#This Row],[Harga Diskon A]]+cadangan[[#This Row],[Harga Diskon B]]+cadangan[[#This Row],[Harga Diskon C]]</f>
        <v>400000</v>
      </c>
      <c r="AG729" s="73">
        <f>(cadangan[[#This Row],[Profit Normal A]]+cadangan[[#This Row],[Profit Normal B]]+cadangan[[#This Row],[Profit Normal C]])</f>
        <v>150000</v>
      </c>
      <c r="AH729" s="73">
        <f>cadangan[[#This Row],[Profit Diskon A]]+cadangan[[#This Row],[Profit Diskon B]]+cadangan[[#This Row],[Profit Diskon C]]</f>
        <v>150000</v>
      </c>
      <c r="AI729" s="23" t="s">
        <v>290</v>
      </c>
      <c r="AJ729" s="37" t="str">
        <f>IFERROR(INDEX('Kode Diskon'!$D$3:$D$9,MATCH(cadangan[[#This Row],[Kode diskon]],'Kode Diskon'!$C$3:$C$9,0)),"-")</f>
        <v>-</v>
      </c>
      <c r="AK729" s="23" t="s">
        <v>290</v>
      </c>
      <c r="AL729" s="23" t="s">
        <v>7</v>
      </c>
      <c r="AM729" s="23" t="s">
        <v>79</v>
      </c>
      <c r="AN729" s="55">
        <v>45027</v>
      </c>
      <c r="AO729" s="53">
        <f>DAY(cadangan[[#This Row],[Tanggal terjual]])</f>
        <v>11</v>
      </c>
      <c r="AP729" s="21" t="str">
        <f>TEXT(cadangan[[#This Row],[Tanggal terjual]],"dddd")</f>
        <v>Tuesday</v>
      </c>
      <c r="AQ729" s="23" t="str" cm="1">
        <f t="array" ref="AQ7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29" s="61">
        <f>AVERAGE(cadangan[[#This Row],[Rating A]],cadangan[[#This Row],[Rating B]],cadangan[[#This Row],[Rating C]])</f>
        <v>4</v>
      </c>
    </row>
    <row r="730" spans="1:44" x14ac:dyDescent="0.2">
      <c r="A730" s="20">
        <v>729</v>
      </c>
      <c r="B730" s="21" t="str">
        <f>_xlfn.CONCAT("ORD-",INDEX(Helper!$B$2:$B$5,MATCH(cadangan[[#This Row],[Marketplace]],Helper!$A$2:$A$5,0)),TEXT(cadangan[[#This Row],[No]],"0000"),"-",TEXT(cadangan[[#This Row],[Tanggal terjual]],"dd/mm/yy"))</f>
        <v>ORD-BB0729-08/04/23</v>
      </c>
      <c r="C730" s="39" t="s">
        <v>62</v>
      </c>
      <c r="D730" s="39" t="str">
        <f>IFERROR(INDEX(Katalog!$A$3:$A$12,MATCH(cadangan[[#This Row],[ItemID A]],Katalog!$C$3:$C$12,0)),"-")</f>
        <v>Pakaian Pria</v>
      </c>
      <c r="E730" s="39" t="str">
        <f>IFERROR(INDEX(Katalog!$B$3:$B$12,MATCH(cadangan[[#This Row],[ItemID A]],Katalog!$C$3:$C$12,0)),"-")</f>
        <v>Celana Pendek</v>
      </c>
      <c r="F730" s="50">
        <v>4</v>
      </c>
      <c r="G730" s="50">
        <v>4</v>
      </c>
      <c r="H730" s="73">
        <f>IFERROR(INDEX(Katalog!$D$3:$D$12,MATCH(cadangan[[#This Row],[ItemID A]],Katalog!$C$3:$C$12,0))*cadangan[[#This Row],[Qty A]],0)</f>
        <v>720000</v>
      </c>
      <c r="I730" s="73">
        <f>IFERROR(cadangan[[#This Row],[Harga Normal A]]-(cadangan[[#This Row],[Harga Normal A]]*cadangan[[#This Row],[Diskon]]),cadangan[[#This Row],[Harga Normal A]])</f>
        <v>720000</v>
      </c>
      <c r="J730" s="73">
        <f>INDEX(Katalog!$F$3:$F$12,MATCH(cadangan[[#This Row],[ItemID A]],Katalog!$C$3:$C$12,0))*cadangan[[#This Row],[Qty A]]</f>
        <v>280000</v>
      </c>
      <c r="K730" s="73">
        <f>IFERROR(cadangan[[#This Row],[Harga Diskon A]]-INDEX(Katalog!$E$3:$E$12,MATCH(cadangan[[#This Row],[ItemID A]],Katalog!$C$3:$C$12,0))*cadangan[[#This Row],[Qty A]],0)</f>
        <v>280000</v>
      </c>
      <c r="M730" s="39" t="str">
        <f>IFERROR(INDEX(Katalog!$A$3:$A$12,MATCH(cadangan[[#This Row],[ItemID B]],Katalog!$C$3:$C$12,0)),"-")</f>
        <v>-</v>
      </c>
      <c r="N730" s="39" t="str">
        <f>IFERROR(INDEX(Katalog!$B$3:$B$12,MATCH(cadangan[[#This Row],[ItemID B]],Katalog!$C$3:$C$12,0)),"-")</f>
        <v>-</v>
      </c>
      <c r="Q730" s="73">
        <f>IFERROR(INDEX(Katalog!$D$3:$D$12,MATCH(cadangan[[#This Row],[ItemID B]],Katalog!$C$3:$C$12,0))*cadangan[[#This Row],[Qty B]],0)</f>
        <v>0</v>
      </c>
      <c r="R730" s="73">
        <f>IFERROR(cadangan[[#This Row],[Harga Normal B]]-(cadangan[[#This Row],[Harga Normal B]]*cadangan[[#This Row],[Diskon]]),cadangan[[#This Row],[Harga Normal B]])</f>
        <v>0</v>
      </c>
      <c r="S730" s="73">
        <f>IFERROR(INDEX(Katalog!$F$3:$F$12,MATCH(cadangan[[#This Row],[ItemID B]],Katalog!$C$3:$C$12,0))*cadangan[[#This Row],[Qty B]],0)</f>
        <v>0</v>
      </c>
      <c r="T730" s="73">
        <f>IFERROR(cadangan[[#This Row],[Harga Diskon B]]-INDEX(Katalog!$E$3:$E$12,MATCH(cadangan[[#This Row],[ItemID B]],Katalog!$C$3:$C$12,0))*cadangan[[#This Row],[Qty B]],0)</f>
        <v>0</v>
      </c>
      <c r="V730" s="39" t="str">
        <f>IFERROR(INDEX(Katalog!$A$3:$A$12,MATCH(cadangan[[#This Row],[ItemID C]],Katalog!$C$3:$C$12,0)),"-")</f>
        <v>-</v>
      </c>
      <c r="W730" s="39" t="str">
        <f>IFERROR(INDEX(Katalog!$B$3:$B$12,MATCH(cadangan[[#This Row],[ItemID C]],Katalog!$C$3:$C$12,0)),"-")</f>
        <v>-</v>
      </c>
      <c r="Z730" s="73">
        <f>IFERROR(INDEX(Katalog!$D$3:$D$12,MATCH(cadangan[[#This Row],[ItemID C]],Katalog!$C$3:$C$12,0))*cadangan[[#This Row],[Qty C]],0)</f>
        <v>0</v>
      </c>
      <c r="AA730" s="73">
        <f>IFERROR(cadangan[[#This Row],[Harga Normal C]]-(cadangan[[#This Row],[Harga Normal C]]*cadangan[[#This Row],[Diskon]]),cadangan[[#This Row],[Harga Normal C]])</f>
        <v>0</v>
      </c>
      <c r="AB730" s="73">
        <f>IFERROR(INDEX(Katalog!$F$3:$F$12,MATCH(cadangan[[#This Row],[ItemID C]],Katalog!$C$3:$C$12,0))*cadangan[[#This Row],[Qty C]],0)</f>
        <v>0</v>
      </c>
      <c r="AC730" s="73">
        <f>IFERROR(cadangan[[#This Row],[Harga Diskon C]]-INDEX(Katalog!$E$3:$E$12,MATCH(cadangan[[#This Row],[ItemID C]],Katalog!$C$3:$C$12,0))*cadangan[[#This Row],[Qty C]],0)</f>
        <v>0</v>
      </c>
      <c r="AD730" s="53">
        <f>cadangan[[#This Row],[Qty A]]+cadangan[[#This Row],[Qty B]]+cadangan[[#This Row],[Qty C]]</f>
        <v>4</v>
      </c>
      <c r="AE730" s="73">
        <f>cadangan[[#This Row],[Harga Normal A]]+cadangan[[#This Row],[Harga Normal B]]+cadangan[[#This Row],[Harga Normal C]]</f>
        <v>720000</v>
      </c>
      <c r="AF730" s="73">
        <f>cadangan[[#This Row],[Harga Diskon A]]+cadangan[[#This Row],[Harga Diskon B]]+cadangan[[#This Row],[Harga Diskon C]]</f>
        <v>720000</v>
      </c>
      <c r="AG730" s="73">
        <f>(cadangan[[#This Row],[Profit Normal A]]+cadangan[[#This Row],[Profit Normal B]]+cadangan[[#This Row],[Profit Normal C]])</f>
        <v>280000</v>
      </c>
      <c r="AH730" s="73">
        <f>cadangan[[#This Row],[Profit Diskon A]]+cadangan[[#This Row],[Profit Diskon B]]+cadangan[[#This Row],[Profit Diskon C]]</f>
        <v>280000</v>
      </c>
      <c r="AI730" s="23" t="s">
        <v>290</v>
      </c>
      <c r="AJ730" s="37" t="str">
        <f>IFERROR(INDEX('Kode Diskon'!$D$3:$D$9,MATCH(cadangan[[#This Row],[Kode diskon]],'Kode Diskon'!$C$3:$C$9,0)),"-")</f>
        <v>-</v>
      </c>
      <c r="AK730" s="23" t="s">
        <v>290</v>
      </c>
      <c r="AL730" s="23" t="s">
        <v>14</v>
      </c>
      <c r="AM730" s="23" t="s">
        <v>76</v>
      </c>
      <c r="AN730" s="55">
        <v>45024</v>
      </c>
      <c r="AO730" s="53">
        <f>DAY(cadangan[[#This Row],[Tanggal terjual]])</f>
        <v>8</v>
      </c>
      <c r="AP730" s="21" t="str">
        <f>TEXT(cadangan[[#This Row],[Tanggal terjual]],"dddd")</f>
        <v>Saturday</v>
      </c>
      <c r="AQ730" s="23" t="str" cm="1">
        <f t="array" ref="AQ7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30" s="61">
        <f>AVERAGE(cadangan[[#This Row],[Rating A]],cadangan[[#This Row],[Rating B]],cadangan[[#This Row],[Rating C]])</f>
        <v>4</v>
      </c>
    </row>
    <row r="731" spans="1:44" x14ac:dyDescent="0.2">
      <c r="A731" s="20">
        <v>730</v>
      </c>
      <c r="B731" s="21" t="str">
        <f>_xlfn.CONCAT("ORD-",INDEX(Helper!$B$2:$B$5,MATCH(cadangan[[#This Row],[Marketplace]],Helper!$A$2:$A$5,0)),TEXT(cadangan[[#This Row],[No]],"0000"),"-",TEXT(cadangan[[#This Row],[Tanggal terjual]],"dd/mm/yy"))</f>
        <v>ORD-SP0730-19/04/23</v>
      </c>
      <c r="C731" s="39" t="s">
        <v>63</v>
      </c>
      <c r="D731" s="39" t="str">
        <f>IFERROR(INDEX(Katalog!$A$3:$A$12,MATCH(cadangan[[#This Row],[ItemID A]],Katalog!$C$3:$C$12,0)),"-")</f>
        <v>Pakaian Pria</v>
      </c>
      <c r="E731" s="39" t="str">
        <f>IFERROR(INDEX(Katalog!$B$3:$B$12,MATCH(cadangan[[#This Row],[ItemID A]],Katalog!$C$3:$C$12,0)),"-")</f>
        <v>Jaket Jeans</v>
      </c>
      <c r="F731" s="50">
        <v>5</v>
      </c>
      <c r="G731" s="50">
        <v>2</v>
      </c>
      <c r="H731" s="73">
        <f>IFERROR(INDEX(Katalog!$D$3:$D$12,MATCH(cadangan[[#This Row],[ItemID A]],Katalog!$C$3:$C$12,0))*cadangan[[#This Row],[Qty A]],0)</f>
        <v>2000000</v>
      </c>
      <c r="I731" s="73">
        <f>IFERROR(cadangan[[#This Row],[Harga Normal A]]-(cadangan[[#This Row],[Harga Normal A]]*cadangan[[#This Row],[Diskon]]),cadangan[[#This Row],[Harga Normal A]])</f>
        <v>1600000</v>
      </c>
      <c r="J731" s="73">
        <f>INDEX(Katalog!$F$3:$F$12,MATCH(cadangan[[#This Row],[ItemID A]],Katalog!$C$3:$C$12,0))*cadangan[[#This Row],[Qty A]]</f>
        <v>750000</v>
      </c>
      <c r="K731" s="73">
        <f>IFERROR(cadangan[[#This Row],[Harga Diskon A]]-INDEX(Katalog!$E$3:$E$12,MATCH(cadangan[[#This Row],[ItemID A]],Katalog!$C$3:$C$12,0))*cadangan[[#This Row],[Qty A]],0)</f>
        <v>350000</v>
      </c>
      <c r="L731" s="39" t="s">
        <v>66</v>
      </c>
      <c r="M731" s="39" t="str">
        <f>IFERROR(INDEX(Katalog!$A$3:$A$12,MATCH(cadangan[[#This Row],[ItemID B]],Katalog!$C$3:$C$12,0)),"-")</f>
        <v>Sepatu Pria</v>
      </c>
      <c r="N731" s="39" t="str">
        <f>IFERROR(INDEX(Katalog!$B$3:$B$12,MATCH(cadangan[[#This Row],[ItemID B]],Katalog!$C$3:$C$12,0)),"-")</f>
        <v>Sandal Slip On</v>
      </c>
      <c r="O731" s="50">
        <v>1</v>
      </c>
      <c r="P731" s="50">
        <v>4</v>
      </c>
      <c r="Q731" s="73">
        <f>IFERROR(INDEX(Katalog!$D$3:$D$12,MATCH(cadangan[[#This Row],[ItemID B]],Katalog!$C$3:$C$12,0))*cadangan[[#This Row],[Qty B]],0)</f>
        <v>150000</v>
      </c>
      <c r="R731" s="73">
        <f>IFERROR(cadangan[[#This Row],[Harga Normal B]]-(cadangan[[#This Row],[Harga Normal B]]*cadangan[[#This Row],[Diskon]]),cadangan[[#This Row],[Harga Normal B]])</f>
        <v>120000</v>
      </c>
      <c r="S731" s="73">
        <f>IFERROR(INDEX(Katalog!$F$3:$F$12,MATCH(cadangan[[#This Row],[ItemID B]],Katalog!$C$3:$C$12,0))*cadangan[[#This Row],[Qty B]],0)</f>
        <v>60000</v>
      </c>
      <c r="T731" s="73">
        <f>IFERROR(cadangan[[#This Row],[Harga Diskon B]]-INDEX(Katalog!$E$3:$E$12,MATCH(cadangan[[#This Row],[ItemID B]],Katalog!$C$3:$C$12,0))*cadangan[[#This Row],[Qty B]],0)</f>
        <v>30000</v>
      </c>
      <c r="V731" s="39" t="str">
        <f>IFERROR(INDEX(Katalog!$A$3:$A$12,MATCH(cadangan[[#This Row],[ItemID C]],Katalog!$C$3:$C$12,0)),"-")</f>
        <v>-</v>
      </c>
      <c r="W731" s="39" t="str">
        <f>IFERROR(INDEX(Katalog!$B$3:$B$12,MATCH(cadangan[[#This Row],[ItemID C]],Katalog!$C$3:$C$12,0)),"-")</f>
        <v>-</v>
      </c>
      <c r="Z731" s="73">
        <f>IFERROR(INDEX(Katalog!$D$3:$D$12,MATCH(cadangan[[#This Row],[ItemID C]],Katalog!$C$3:$C$12,0))*cadangan[[#This Row],[Qty C]],0)</f>
        <v>0</v>
      </c>
      <c r="AA731" s="73">
        <f>IFERROR(cadangan[[#This Row],[Harga Normal C]]-(cadangan[[#This Row],[Harga Normal C]]*cadangan[[#This Row],[Diskon]]),cadangan[[#This Row],[Harga Normal C]])</f>
        <v>0</v>
      </c>
      <c r="AB731" s="73">
        <f>IFERROR(INDEX(Katalog!$F$3:$F$12,MATCH(cadangan[[#This Row],[ItemID C]],Katalog!$C$3:$C$12,0))*cadangan[[#This Row],[Qty C]],0)</f>
        <v>0</v>
      </c>
      <c r="AC731" s="73">
        <f>IFERROR(cadangan[[#This Row],[Harga Diskon C]]-INDEX(Katalog!$E$3:$E$12,MATCH(cadangan[[#This Row],[ItemID C]],Katalog!$C$3:$C$12,0))*cadangan[[#This Row],[Qty C]],0)</f>
        <v>0</v>
      </c>
      <c r="AD731" s="53">
        <f>cadangan[[#This Row],[Qty A]]+cadangan[[#This Row],[Qty B]]+cadangan[[#This Row],[Qty C]]</f>
        <v>6</v>
      </c>
      <c r="AE731" s="73">
        <f>cadangan[[#This Row],[Harga Normal A]]+cadangan[[#This Row],[Harga Normal B]]+cadangan[[#This Row],[Harga Normal C]]</f>
        <v>2150000</v>
      </c>
      <c r="AF731" s="73">
        <f>cadangan[[#This Row],[Harga Diskon A]]+cadangan[[#This Row],[Harga Diskon B]]+cadangan[[#This Row],[Harga Diskon C]]</f>
        <v>1720000</v>
      </c>
      <c r="AG731" s="73">
        <f>(cadangan[[#This Row],[Profit Normal A]]+cadangan[[#This Row],[Profit Normal B]]+cadangan[[#This Row],[Profit Normal C]])</f>
        <v>810000</v>
      </c>
      <c r="AH731" s="73">
        <f>cadangan[[#This Row],[Profit Diskon A]]+cadangan[[#This Row],[Profit Diskon B]]+cadangan[[#This Row],[Profit Diskon C]]</f>
        <v>380000</v>
      </c>
      <c r="AI731" s="23" t="s">
        <v>8</v>
      </c>
      <c r="AJ731" s="37">
        <f>IFERROR(INDEX('Kode Diskon'!$D$3:$D$9,MATCH(cadangan[[#This Row],[Kode diskon]],'Kode Diskon'!$C$3:$C$9,0)),"-")</f>
        <v>0.2</v>
      </c>
      <c r="AK731" s="23" t="s">
        <v>9</v>
      </c>
      <c r="AL731" s="23" t="s">
        <v>7</v>
      </c>
      <c r="AM731" s="23" t="s">
        <v>80</v>
      </c>
      <c r="AN731" s="55">
        <v>45035</v>
      </c>
      <c r="AO731" s="53">
        <f>DAY(cadangan[[#This Row],[Tanggal terjual]])</f>
        <v>19</v>
      </c>
      <c r="AP731" s="21" t="str">
        <f>TEXT(cadangan[[#This Row],[Tanggal terjual]],"dddd")</f>
        <v>Wednesday</v>
      </c>
      <c r="AQ731" s="23" t="str" cm="1">
        <f t="array" ref="AQ7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31" s="61">
        <f>AVERAGE(cadangan[[#This Row],[Rating A]],cadangan[[#This Row],[Rating B]],cadangan[[#This Row],[Rating C]])</f>
        <v>3</v>
      </c>
    </row>
    <row r="732" spans="1:44" x14ac:dyDescent="0.2">
      <c r="A732" s="20">
        <v>731</v>
      </c>
      <c r="B732" s="21" t="str">
        <f>_xlfn.CONCAT("ORD-",INDEX(Helper!$B$2:$B$5,MATCH(cadangan[[#This Row],[Marketplace]],Helper!$A$2:$A$5,0)),TEXT(cadangan[[#This Row],[No]],"0000"),"-",TEXT(cadangan[[#This Row],[Tanggal terjual]],"dd/mm/yy"))</f>
        <v>ORD-SP0731-03/04/23</v>
      </c>
      <c r="C732" s="39" t="s">
        <v>66</v>
      </c>
      <c r="D732" s="39" t="str">
        <f>IFERROR(INDEX(Katalog!$A$3:$A$12,MATCH(cadangan[[#This Row],[ItemID A]],Katalog!$C$3:$C$12,0)),"-")</f>
        <v>Sepatu Pria</v>
      </c>
      <c r="E732" s="39" t="str">
        <f>IFERROR(INDEX(Katalog!$B$3:$B$12,MATCH(cadangan[[#This Row],[ItemID A]],Katalog!$C$3:$C$12,0)),"-")</f>
        <v>Sandal Slip On</v>
      </c>
      <c r="F732" s="50">
        <v>5</v>
      </c>
      <c r="G732" s="50">
        <v>1</v>
      </c>
      <c r="H732" s="73">
        <f>IFERROR(INDEX(Katalog!$D$3:$D$12,MATCH(cadangan[[#This Row],[ItemID A]],Katalog!$C$3:$C$12,0))*cadangan[[#This Row],[Qty A]],0)</f>
        <v>750000</v>
      </c>
      <c r="I732" s="73">
        <f>IFERROR(cadangan[[#This Row],[Harga Normal A]]-(cadangan[[#This Row],[Harga Normal A]]*cadangan[[#This Row],[Diskon]]),cadangan[[#This Row],[Harga Normal A]])</f>
        <v>637500</v>
      </c>
      <c r="J732" s="73">
        <f>INDEX(Katalog!$F$3:$F$12,MATCH(cadangan[[#This Row],[ItemID A]],Katalog!$C$3:$C$12,0))*cadangan[[#This Row],[Qty A]]</f>
        <v>300000</v>
      </c>
      <c r="K732" s="73">
        <f>IFERROR(cadangan[[#This Row],[Harga Diskon A]]-INDEX(Katalog!$E$3:$E$12,MATCH(cadangan[[#This Row],[ItemID A]],Katalog!$C$3:$C$12,0))*cadangan[[#This Row],[Qty A]],0)</f>
        <v>187500</v>
      </c>
      <c r="L732" s="39" t="s">
        <v>67</v>
      </c>
      <c r="M732" s="39" t="str">
        <f>IFERROR(INDEX(Katalog!$A$3:$A$12,MATCH(cadangan[[#This Row],[ItemID B]],Katalog!$C$3:$C$12,0)),"-")</f>
        <v>Sepatu Wanita</v>
      </c>
      <c r="N732" s="39" t="str">
        <f>IFERROR(INDEX(Katalog!$B$3:$B$12,MATCH(cadangan[[#This Row],[ItemID B]],Katalog!$C$3:$C$12,0)),"-")</f>
        <v>Flat Shoes</v>
      </c>
      <c r="O732" s="50">
        <v>1</v>
      </c>
      <c r="P732" s="50">
        <v>1</v>
      </c>
      <c r="Q732" s="73">
        <f>IFERROR(INDEX(Katalog!$D$3:$D$12,MATCH(cadangan[[#This Row],[ItemID B]],Katalog!$C$3:$C$12,0))*cadangan[[#This Row],[Qty B]],0)</f>
        <v>250000</v>
      </c>
      <c r="R732" s="73">
        <f>IFERROR(cadangan[[#This Row],[Harga Normal B]]-(cadangan[[#This Row],[Harga Normal B]]*cadangan[[#This Row],[Diskon]]),cadangan[[#This Row],[Harga Normal B]])</f>
        <v>212500</v>
      </c>
      <c r="S732" s="73">
        <f>IFERROR(INDEX(Katalog!$F$3:$F$12,MATCH(cadangan[[#This Row],[ItemID B]],Katalog!$C$3:$C$12,0))*cadangan[[#This Row],[Qty B]],0)</f>
        <v>100000</v>
      </c>
      <c r="T732" s="73">
        <f>IFERROR(cadangan[[#This Row],[Harga Diskon B]]-INDEX(Katalog!$E$3:$E$12,MATCH(cadangan[[#This Row],[ItemID B]],Katalog!$C$3:$C$12,0))*cadangan[[#This Row],[Qty B]],0)</f>
        <v>62500</v>
      </c>
      <c r="V732" s="39" t="str">
        <f>IFERROR(INDEX(Katalog!$A$3:$A$12,MATCH(cadangan[[#This Row],[ItemID C]],Katalog!$C$3:$C$12,0)),"-")</f>
        <v>-</v>
      </c>
      <c r="W732" s="39" t="str">
        <f>IFERROR(INDEX(Katalog!$B$3:$B$12,MATCH(cadangan[[#This Row],[ItemID C]],Katalog!$C$3:$C$12,0)),"-")</f>
        <v>-</v>
      </c>
      <c r="Z732" s="73">
        <f>IFERROR(INDEX(Katalog!$D$3:$D$12,MATCH(cadangan[[#This Row],[ItemID C]],Katalog!$C$3:$C$12,0))*cadangan[[#This Row],[Qty C]],0)</f>
        <v>0</v>
      </c>
      <c r="AA732" s="73">
        <f>IFERROR(cadangan[[#This Row],[Harga Normal C]]-(cadangan[[#This Row],[Harga Normal C]]*cadangan[[#This Row],[Diskon]]),cadangan[[#This Row],[Harga Normal C]])</f>
        <v>0</v>
      </c>
      <c r="AB732" s="73">
        <f>IFERROR(INDEX(Katalog!$F$3:$F$12,MATCH(cadangan[[#This Row],[ItemID C]],Katalog!$C$3:$C$12,0))*cadangan[[#This Row],[Qty C]],0)</f>
        <v>0</v>
      </c>
      <c r="AC732" s="73">
        <f>IFERROR(cadangan[[#This Row],[Harga Diskon C]]-INDEX(Katalog!$E$3:$E$12,MATCH(cadangan[[#This Row],[ItemID C]],Katalog!$C$3:$C$12,0))*cadangan[[#This Row],[Qty C]],0)</f>
        <v>0</v>
      </c>
      <c r="AD732" s="53">
        <f>cadangan[[#This Row],[Qty A]]+cadangan[[#This Row],[Qty B]]+cadangan[[#This Row],[Qty C]]</f>
        <v>6</v>
      </c>
      <c r="AE732" s="73">
        <f>cadangan[[#This Row],[Harga Normal A]]+cadangan[[#This Row],[Harga Normal B]]+cadangan[[#This Row],[Harga Normal C]]</f>
        <v>1000000</v>
      </c>
      <c r="AF732" s="73">
        <f>cadangan[[#This Row],[Harga Diskon A]]+cadangan[[#This Row],[Harga Diskon B]]+cadangan[[#This Row],[Harga Diskon C]]</f>
        <v>850000</v>
      </c>
      <c r="AG732" s="73">
        <f>(cadangan[[#This Row],[Profit Normal A]]+cadangan[[#This Row],[Profit Normal B]]+cadangan[[#This Row],[Profit Normal C]])</f>
        <v>400000</v>
      </c>
      <c r="AH732" s="73">
        <f>cadangan[[#This Row],[Profit Diskon A]]+cadangan[[#This Row],[Profit Diskon B]]+cadangan[[#This Row],[Profit Diskon C]]</f>
        <v>250000</v>
      </c>
      <c r="AI732" s="23" t="s">
        <v>13</v>
      </c>
      <c r="AJ732" s="37">
        <f>IFERROR(INDEX('Kode Diskon'!$D$3:$D$9,MATCH(cadangan[[#This Row],[Kode diskon]],'Kode Diskon'!$C$3:$C$9,0)),"-")</f>
        <v>0.15</v>
      </c>
      <c r="AK732" s="23" t="s">
        <v>29</v>
      </c>
      <c r="AL732" s="23" t="s">
        <v>7</v>
      </c>
      <c r="AM732" s="23" t="s">
        <v>75</v>
      </c>
      <c r="AN732" s="55">
        <v>45019</v>
      </c>
      <c r="AO732" s="53">
        <f>DAY(cadangan[[#This Row],[Tanggal terjual]])</f>
        <v>3</v>
      </c>
      <c r="AP732" s="21" t="str">
        <f>TEXT(cadangan[[#This Row],[Tanggal terjual]],"dddd")</f>
        <v>Monday</v>
      </c>
      <c r="AQ732" s="23" t="str" cm="1">
        <f t="array" ref="AQ7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2" s="61">
        <f>AVERAGE(cadangan[[#This Row],[Rating A]],cadangan[[#This Row],[Rating B]],cadangan[[#This Row],[Rating C]])</f>
        <v>1</v>
      </c>
    </row>
    <row r="733" spans="1:44" x14ac:dyDescent="0.2">
      <c r="A733" s="20">
        <v>732</v>
      </c>
      <c r="B733" s="21" t="str">
        <f>_xlfn.CONCAT("ORD-",INDEX(Helper!$B$2:$B$5,MATCH(cadangan[[#This Row],[Marketplace]],Helper!$A$2:$A$5,0)),TEXT(cadangan[[#This Row],[No]],"0000"),"-",TEXT(cadangan[[#This Row],[Tanggal terjual]],"dd/mm/yy"))</f>
        <v>ORD-TK0732-07/04/23</v>
      </c>
      <c r="C733" s="39" t="s">
        <v>60</v>
      </c>
      <c r="D733" s="39" t="str">
        <f>IFERROR(INDEX(Katalog!$A$3:$A$12,MATCH(cadangan[[#This Row],[ItemID A]],Katalog!$C$3:$C$12,0)),"-")</f>
        <v>Pakaian Wanita</v>
      </c>
      <c r="E733" s="39" t="str">
        <f>IFERROR(INDEX(Katalog!$B$3:$B$12,MATCH(cadangan[[#This Row],[ItemID A]],Katalog!$C$3:$C$12,0)),"-")</f>
        <v>Kaftan</v>
      </c>
      <c r="F733" s="50">
        <v>1</v>
      </c>
      <c r="G733" s="50">
        <v>3</v>
      </c>
      <c r="H733" s="73">
        <f>IFERROR(INDEX(Katalog!$D$3:$D$12,MATCH(cadangan[[#This Row],[ItemID A]],Katalog!$C$3:$C$12,0))*cadangan[[#This Row],[Qty A]],0)</f>
        <v>250000</v>
      </c>
      <c r="I733" s="73">
        <f>IFERROR(cadangan[[#This Row],[Harga Normal A]]-(cadangan[[#This Row],[Harga Normal A]]*cadangan[[#This Row],[Diskon]]),cadangan[[#This Row],[Harga Normal A]])</f>
        <v>250000</v>
      </c>
      <c r="J733" s="73">
        <f>INDEX(Katalog!$F$3:$F$12,MATCH(cadangan[[#This Row],[ItemID A]],Katalog!$C$3:$C$12,0))*cadangan[[#This Row],[Qty A]]</f>
        <v>100000</v>
      </c>
      <c r="K733" s="73">
        <f>IFERROR(cadangan[[#This Row],[Harga Diskon A]]-INDEX(Katalog!$E$3:$E$12,MATCH(cadangan[[#This Row],[ItemID A]],Katalog!$C$3:$C$12,0))*cadangan[[#This Row],[Qty A]],0)</f>
        <v>100000</v>
      </c>
      <c r="M733" s="39" t="str">
        <f>IFERROR(INDEX(Katalog!$A$3:$A$12,MATCH(cadangan[[#This Row],[ItemID B]],Katalog!$C$3:$C$12,0)),"-")</f>
        <v>-</v>
      </c>
      <c r="N733" s="39" t="str">
        <f>IFERROR(INDEX(Katalog!$B$3:$B$12,MATCH(cadangan[[#This Row],[ItemID B]],Katalog!$C$3:$C$12,0)),"-")</f>
        <v>-</v>
      </c>
      <c r="Q733" s="73">
        <f>IFERROR(INDEX(Katalog!$D$3:$D$12,MATCH(cadangan[[#This Row],[ItemID B]],Katalog!$C$3:$C$12,0))*cadangan[[#This Row],[Qty B]],0)</f>
        <v>0</v>
      </c>
      <c r="R733" s="73">
        <f>IFERROR(cadangan[[#This Row],[Harga Normal B]]-(cadangan[[#This Row],[Harga Normal B]]*cadangan[[#This Row],[Diskon]]),cadangan[[#This Row],[Harga Normal B]])</f>
        <v>0</v>
      </c>
      <c r="S733" s="73">
        <f>IFERROR(INDEX(Katalog!$F$3:$F$12,MATCH(cadangan[[#This Row],[ItemID B]],Katalog!$C$3:$C$12,0))*cadangan[[#This Row],[Qty B]],0)</f>
        <v>0</v>
      </c>
      <c r="T733" s="73">
        <f>IFERROR(cadangan[[#This Row],[Harga Diskon B]]-INDEX(Katalog!$E$3:$E$12,MATCH(cadangan[[#This Row],[ItemID B]],Katalog!$C$3:$C$12,0))*cadangan[[#This Row],[Qty B]],0)</f>
        <v>0</v>
      </c>
      <c r="V733" s="39" t="str">
        <f>IFERROR(INDEX(Katalog!$A$3:$A$12,MATCH(cadangan[[#This Row],[ItemID C]],Katalog!$C$3:$C$12,0)),"-")</f>
        <v>-</v>
      </c>
      <c r="W733" s="39" t="str">
        <f>IFERROR(INDEX(Katalog!$B$3:$B$12,MATCH(cadangan[[#This Row],[ItemID C]],Katalog!$C$3:$C$12,0)),"-")</f>
        <v>-</v>
      </c>
      <c r="Z733" s="73">
        <f>IFERROR(INDEX(Katalog!$D$3:$D$12,MATCH(cadangan[[#This Row],[ItemID C]],Katalog!$C$3:$C$12,0))*cadangan[[#This Row],[Qty C]],0)</f>
        <v>0</v>
      </c>
      <c r="AA733" s="73">
        <f>IFERROR(cadangan[[#This Row],[Harga Normal C]]-(cadangan[[#This Row],[Harga Normal C]]*cadangan[[#This Row],[Diskon]]),cadangan[[#This Row],[Harga Normal C]])</f>
        <v>0</v>
      </c>
      <c r="AB733" s="73">
        <f>IFERROR(INDEX(Katalog!$F$3:$F$12,MATCH(cadangan[[#This Row],[ItemID C]],Katalog!$C$3:$C$12,0))*cadangan[[#This Row],[Qty C]],0)</f>
        <v>0</v>
      </c>
      <c r="AC733" s="73">
        <f>IFERROR(cadangan[[#This Row],[Harga Diskon C]]-INDEX(Katalog!$E$3:$E$12,MATCH(cadangan[[#This Row],[ItemID C]],Katalog!$C$3:$C$12,0))*cadangan[[#This Row],[Qty C]],0)</f>
        <v>0</v>
      </c>
      <c r="AD733" s="53">
        <f>cadangan[[#This Row],[Qty A]]+cadangan[[#This Row],[Qty B]]+cadangan[[#This Row],[Qty C]]</f>
        <v>1</v>
      </c>
      <c r="AE733" s="73">
        <f>cadangan[[#This Row],[Harga Normal A]]+cadangan[[#This Row],[Harga Normal B]]+cadangan[[#This Row],[Harga Normal C]]</f>
        <v>250000</v>
      </c>
      <c r="AF733" s="73">
        <f>cadangan[[#This Row],[Harga Diskon A]]+cadangan[[#This Row],[Harga Diskon B]]+cadangan[[#This Row],[Harga Diskon C]]</f>
        <v>250000</v>
      </c>
      <c r="AG733" s="73">
        <f>(cadangan[[#This Row],[Profit Normal A]]+cadangan[[#This Row],[Profit Normal B]]+cadangan[[#This Row],[Profit Normal C]])</f>
        <v>100000</v>
      </c>
      <c r="AH733" s="73">
        <f>cadangan[[#This Row],[Profit Diskon A]]+cadangan[[#This Row],[Profit Diskon B]]+cadangan[[#This Row],[Profit Diskon C]]</f>
        <v>100000</v>
      </c>
      <c r="AI733" s="23" t="s">
        <v>290</v>
      </c>
      <c r="AJ733" s="37" t="str">
        <f>IFERROR(INDEX('Kode Diskon'!$D$3:$D$9,MATCH(cadangan[[#This Row],[Kode diskon]],'Kode Diskon'!$C$3:$C$9,0)),"-")</f>
        <v>-</v>
      </c>
      <c r="AK733" s="23" t="s">
        <v>290</v>
      </c>
      <c r="AL733" s="23" t="s">
        <v>10</v>
      </c>
      <c r="AM733" s="23" t="s">
        <v>80</v>
      </c>
      <c r="AN733" s="55">
        <v>45023</v>
      </c>
      <c r="AO733" s="53">
        <f>DAY(cadangan[[#This Row],[Tanggal terjual]])</f>
        <v>7</v>
      </c>
      <c r="AP733" s="21" t="str">
        <f>TEXT(cadangan[[#This Row],[Tanggal terjual]],"dddd")</f>
        <v>Friday</v>
      </c>
      <c r="AQ733" s="23" t="str" cm="1">
        <f t="array" ref="AQ7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3" s="61">
        <f>AVERAGE(cadangan[[#This Row],[Rating A]],cadangan[[#This Row],[Rating B]],cadangan[[#This Row],[Rating C]])</f>
        <v>3</v>
      </c>
    </row>
    <row r="734" spans="1:44" x14ac:dyDescent="0.2">
      <c r="A734" s="20">
        <v>733</v>
      </c>
      <c r="B734" s="21" t="str">
        <f>_xlfn.CONCAT("ORD-",INDEX(Helper!$B$2:$B$5,MATCH(cadangan[[#This Row],[Marketplace]],Helper!$A$2:$A$5,0)),TEXT(cadangan[[#This Row],[No]],"0000"),"-",TEXT(cadangan[[#This Row],[Tanggal terjual]],"dd/mm/yy"))</f>
        <v>ORD-TK0733-16/04/23</v>
      </c>
      <c r="C734" s="39" t="s">
        <v>62</v>
      </c>
      <c r="D734" s="39" t="str">
        <f>IFERROR(INDEX(Katalog!$A$3:$A$12,MATCH(cadangan[[#This Row],[ItemID A]],Katalog!$C$3:$C$12,0)),"-")</f>
        <v>Pakaian Pria</v>
      </c>
      <c r="E734" s="39" t="str">
        <f>IFERROR(INDEX(Katalog!$B$3:$B$12,MATCH(cadangan[[#This Row],[ItemID A]],Katalog!$C$3:$C$12,0)),"-")</f>
        <v>Celana Pendek</v>
      </c>
      <c r="F734" s="50">
        <v>1</v>
      </c>
      <c r="G734" s="50">
        <v>2</v>
      </c>
      <c r="H734" s="73">
        <f>IFERROR(INDEX(Katalog!$D$3:$D$12,MATCH(cadangan[[#This Row],[ItemID A]],Katalog!$C$3:$C$12,0))*cadangan[[#This Row],[Qty A]],0)</f>
        <v>180000</v>
      </c>
      <c r="I734" s="73">
        <f>IFERROR(cadangan[[#This Row],[Harga Normal A]]-(cadangan[[#This Row],[Harga Normal A]]*cadangan[[#This Row],[Diskon]]),cadangan[[#This Row],[Harga Normal A]])</f>
        <v>162000</v>
      </c>
      <c r="J734" s="73">
        <f>INDEX(Katalog!$F$3:$F$12,MATCH(cadangan[[#This Row],[ItemID A]],Katalog!$C$3:$C$12,0))*cadangan[[#This Row],[Qty A]]</f>
        <v>70000</v>
      </c>
      <c r="K734" s="73">
        <f>IFERROR(cadangan[[#This Row],[Harga Diskon A]]-INDEX(Katalog!$E$3:$E$12,MATCH(cadangan[[#This Row],[ItemID A]],Katalog!$C$3:$C$12,0))*cadangan[[#This Row],[Qty A]],0)</f>
        <v>52000</v>
      </c>
      <c r="L734" s="39" t="s">
        <v>66</v>
      </c>
      <c r="M734" s="39" t="str">
        <f>IFERROR(INDEX(Katalog!$A$3:$A$12,MATCH(cadangan[[#This Row],[ItemID B]],Katalog!$C$3:$C$12,0)),"-")</f>
        <v>Sepatu Pria</v>
      </c>
      <c r="N734" s="39" t="str">
        <f>IFERROR(INDEX(Katalog!$B$3:$B$12,MATCH(cadangan[[#This Row],[ItemID B]],Katalog!$C$3:$C$12,0)),"-")</f>
        <v>Sandal Slip On</v>
      </c>
      <c r="O734" s="50">
        <v>3</v>
      </c>
      <c r="P734" s="50">
        <v>3</v>
      </c>
      <c r="Q734" s="73">
        <f>IFERROR(INDEX(Katalog!$D$3:$D$12,MATCH(cadangan[[#This Row],[ItemID B]],Katalog!$C$3:$C$12,0))*cadangan[[#This Row],[Qty B]],0)</f>
        <v>450000</v>
      </c>
      <c r="R734" s="73">
        <f>IFERROR(cadangan[[#This Row],[Harga Normal B]]-(cadangan[[#This Row],[Harga Normal B]]*cadangan[[#This Row],[Diskon]]),cadangan[[#This Row],[Harga Normal B]])</f>
        <v>405000</v>
      </c>
      <c r="S734" s="73">
        <f>IFERROR(INDEX(Katalog!$F$3:$F$12,MATCH(cadangan[[#This Row],[ItemID B]],Katalog!$C$3:$C$12,0))*cadangan[[#This Row],[Qty B]],0)</f>
        <v>180000</v>
      </c>
      <c r="T734" s="73">
        <f>IFERROR(cadangan[[#This Row],[Harga Diskon B]]-INDEX(Katalog!$E$3:$E$12,MATCH(cadangan[[#This Row],[ItemID B]],Katalog!$C$3:$C$12,0))*cadangan[[#This Row],[Qty B]],0)</f>
        <v>135000</v>
      </c>
      <c r="V734" s="39" t="str">
        <f>IFERROR(INDEX(Katalog!$A$3:$A$12,MATCH(cadangan[[#This Row],[ItemID C]],Katalog!$C$3:$C$12,0)),"-")</f>
        <v>-</v>
      </c>
      <c r="W734" s="39" t="str">
        <f>IFERROR(INDEX(Katalog!$B$3:$B$12,MATCH(cadangan[[#This Row],[ItemID C]],Katalog!$C$3:$C$12,0)),"-")</f>
        <v>-</v>
      </c>
      <c r="Z734" s="73">
        <f>IFERROR(INDEX(Katalog!$D$3:$D$12,MATCH(cadangan[[#This Row],[ItemID C]],Katalog!$C$3:$C$12,0))*cadangan[[#This Row],[Qty C]],0)</f>
        <v>0</v>
      </c>
      <c r="AA734" s="73">
        <f>IFERROR(cadangan[[#This Row],[Harga Normal C]]-(cadangan[[#This Row],[Harga Normal C]]*cadangan[[#This Row],[Diskon]]),cadangan[[#This Row],[Harga Normal C]])</f>
        <v>0</v>
      </c>
      <c r="AB734" s="73">
        <f>IFERROR(INDEX(Katalog!$F$3:$F$12,MATCH(cadangan[[#This Row],[ItemID C]],Katalog!$C$3:$C$12,0))*cadangan[[#This Row],[Qty C]],0)</f>
        <v>0</v>
      </c>
      <c r="AC734" s="73">
        <f>IFERROR(cadangan[[#This Row],[Harga Diskon C]]-INDEX(Katalog!$E$3:$E$12,MATCH(cadangan[[#This Row],[ItemID C]],Katalog!$C$3:$C$12,0))*cadangan[[#This Row],[Qty C]],0)</f>
        <v>0</v>
      </c>
      <c r="AD734" s="53">
        <f>cadangan[[#This Row],[Qty A]]+cadangan[[#This Row],[Qty B]]+cadangan[[#This Row],[Qty C]]</f>
        <v>4</v>
      </c>
      <c r="AE734" s="73">
        <f>cadangan[[#This Row],[Harga Normal A]]+cadangan[[#This Row],[Harga Normal B]]+cadangan[[#This Row],[Harga Normal C]]</f>
        <v>630000</v>
      </c>
      <c r="AF734" s="73">
        <f>cadangan[[#This Row],[Harga Diskon A]]+cadangan[[#This Row],[Harga Diskon B]]+cadangan[[#This Row],[Harga Diskon C]]</f>
        <v>567000</v>
      </c>
      <c r="AG734" s="73">
        <f>(cadangan[[#This Row],[Profit Normal A]]+cadangan[[#This Row],[Profit Normal B]]+cadangan[[#This Row],[Profit Normal C]])</f>
        <v>250000</v>
      </c>
      <c r="AH734" s="73">
        <f>cadangan[[#This Row],[Profit Diskon A]]+cadangan[[#This Row],[Profit Diskon B]]+cadangan[[#This Row],[Profit Diskon C]]</f>
        <v>187000</v>
      </c>
      <c r="AI734" s="23" t="s">
        <v>31</v>
      </c>
      <c r="AJ734" s="37">
        <f>IFERROR(INDEX('Kode Diskon'!$D$3:$D$9,MATCH(cadangan[[#This Row],[Kode diskon]],'Kode Diskon'!$C$3:$C$9,0)),"-")</f>
        <v>0.1</v>
      </c>
      <c r="AK734" s="23" t="s">
        <v>9</v>
      </c>
      <c r="AL734" s="23" t="s">
        <v>10</v>
      </c>
      <c r="AM734" s="23" t="s">
        <v>75</v>
      </c>
      <c r="AN734" s="55">
        <v>45032</v>
      </c>
      <c r="AO734" s="53">
        <f>DAY(cadangan[[#This Row],[Tanggal terjual]])</f>
        <v>16</v>
      </c>
      <c r="AP734" s="21" t="str">
        <f>TEXT(cadangan[[#This Row],[Tanggal terjual]],"dddd")</f>
        <v>Sunday</v>
      </c>
      <c r="AQ734" s="23" t="str" cm="1">
        <f t="array" ref="AQ7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34" s="61">
        <f>AVERAGE(cadangan[[#This Row],[Rating A]],cadangan[[#This Row],[Rating B]],cadangan[[#This Row],[Rating C]])</f>
        <v>2.5</v>
      </c>
    </row>
    <row r="735" spans="1:44" x14ac:dyDescent="0.2">
      <c r="A735" s="20">
        <v>734</v>
      </c>
      <c r="B735" s="21" t="str">
        <f>_xlfn.CONCAT("ORD-",INDEX(Helper!$B$2:$B$5,MATCH(cadangan[[#This Row],[Marketplace]],Helper!$A$2:$A$5,0)),TEXT(cadangan[[#This Row],[No]],"0000"),"-",TEXT(cadangan[[#This Row],[Tanggal terjual]],"dd/mm/yy"))</f>
        <v>ORD-TK0734-06/04/23</v>
      </c>
      <c r="C735" s="39" t="s">
        <v>65</v>
      </c>
      <c r="D735" s="39" t="str">
        <f>IFERROR(INDEX(Katalog!$A$3:$A$12,MATCH(cadangan[[#This Row],[ItemID A]],Katalog!$C$3:$C$12,0)),"-")</f>
        <v>Sepatu Pria</v>
      </c>
      <c r="E735" s="39" t="str">
        <f>IFERROR(INDEX(Katalog!$B$3:$B$12,MATCH(cadangan[[#This Row],[ItemID A]],Katalog!$C$3:$C$12,0)),"-")</f>
        <v>Sneakers</v>
      </c>
      <c r="F735" s="50">
        <v>2</v>
      </c>
      <c r="G735" s="50">
        <v>1</v>
      </c>
      <c r="H735" s="73">
        <f>IFERROR(INDEX(Katalog!$D$3:$D$12,MATCH(cadangan[[#This Row],[ItemID A]],Katalog!$C$3:$C$12,0))*cadangan[[#This Row],[Qty A]],0)</f>
        <v>1000000</v>
      </c>
      <c r="I735" s="73">
        <f>IFERROR(cadangan[[#This Row],[Harga Normal A]]-(cadangan[[#This Row],[Harga Normal A]]*cadangan[[#This Row],[Diskon]]),cadangan[[#This Row],[Harga Normal A]])</f>
        <v>900000</v>
      </c>
      <c r="J735" s="73">
        <f>INDEX(Katalog!$F$3:$F$12,MATCH(cadangan[[#This Row],[ItemID A]],Katalog!$C$3:$C$12,0))*cadangan[[#This Row],[Qty A]]</f>
        <v>400000</v>
      </c>
      <c r="K735" s="73">
        <f>IFERROR(cadangan[[#This Row],[Harga Diskon A]]-INDEX(Katalog!$E$3:$E$12,MATCH(cadangan[[#This Row],[ItemID A]],Katalog!$C$3:$C$12,0))*cadangan[[#This Row],[Qty A]],0)</f>
        <v>300000</v>
      </c>
      <c r="L735" s="39" t="s">
        <v>67</v>
      </c>
      <c r="M735" s="39" t="str">
        <f>IFERROR(INDEX(Katalog!$A$3:$A$12,MATCH(cadangan[[#This Row],[ItemID B]],Katalog!$C$3:$C$12,0)),"-")</f>
        <v>Sepatu Wanita</v>
      </c>
      <c r="N735" s="39" t="str">
        <f>IFERROR(INDEX(Katalog!$B$3:$B$12,MATCH(cadangan[[#This Row],[ItemID B]],Katalog!$C$3:$C$12,0)),"-")</f>
        <v>Flat Shoes</v>
      </c>
      <c r="O735" s="50">
        <v>2</v>
      </c>
      <c r="P735" s="50">
        <v>3</v>
      </c>
      <c r="Q735" s="73">
        <f>IFERROR(INDEX(Katalog!$D$3:$D$12,MATCH(cadangan[[#This Row],[ItemID B]],Katalog!$C$3:$C$12,0))*cadangan[[#This Row],[Qty B]],0)</f>
        <v>500000</v>
      </c>
      <c r="R735" s="73">
        <f>IFERROR(cadangan[[#This Row],[Harga Normal B]]-(cadangan[[#This Row],[Harga Normal B]]*cadangan[[#This Row],[Diskon]]),cadangan[[#This Row],[Harga Normal B]])</f>
        <v>450000</v>
      </c>
      <c r="S735" s="73">
        <f>IFERROR(INDEX(Katalog!$F$3:$F$12,MATCH(cadangan[[#This Row],[ItemID B]],Katalog!$C$3:$C$12,0))*cadangan[[#This Row],[Qty B]],0)</f>
        <v>200000</v>
      </c>
      <c r="T735" s="73">
        <f>IFERROR(cadangan[[#This Row],[Harga Diskon B]]-INDEX(Katalog!$E$3:$E$12,MATCH(cadangan[[#This Row],[ItemID B]],Katalog!$C$3:$C$12,0))*cadangan[[#This Row],[Qty B]],0)</f>
        <v>150000</v>
      </c>
      <c r="V735" s="39" t="str">
        <f>IFERROR(INDEX(Katalog!$A$3:$A$12,MATCH(cadangan[[#This Row],[ItemID C]],Katalog!$C$3:$C$12,0)),"-")</f>
        <v>-</v>
      </c>
      <c r="W735" s="39" t="str">
        <f>IFERROR(INDEX(Katalog!$B$3:$B$12,MATCH(cadangan[[#This Row],[ItemID C]],Katalog!$C$3:$C$12,0)),"-")</f>
        <v>-</v>
      </c>
      <c r="Z735" s="73">
        <f>IFERROR(INDEX(Katalog!$D$3:$D$12,MATCH(cadangan[[#This Row],[ItemID C]],Katalog!$C$3:$C$12,0))*cadangan[[#This Row],[Qty C]],0)</f>
        <v>0</v>
      </c>
      <c r="AA735" s="73">
        <f>IFERROR(cadangan[[#This Row],[Harga Normal C]]-(cadangan[[#This Row],[Harga Normal C]]*cadangan[[#This Row],[Diskon]]),cadangan[[#This Row],[Harga Normal C]])</f>
        <v>0</v>
      </c>
      <c r="AB735" s="73">
        <f>IFERROR(INDEX(Katalog!$F$3:$F$12,MATCH(cadangan[[#This Row],[ItemID C]],Katalog!$C$3:$C$12,0))*cadangan[[#This Row],[Qty C]],0)</f>
        <v>0</v>
      </c>
      <c r="AC735" s="73">
        <f>IFERROR(cadangan[[#This Row],[Harga Diskon C]]-INDEX(Katalog!$E$3:$E$12,MATCH(cadangan[[#This Row],[ItemID C]],Katalog!$C$3:$C$12,0))*cadangan[[#This Row],[Qty C]],0)</f>
        <v>0</v>
      </c>
      <c r="AD735" s="53">
        <f>cadangan[[#This Row],[Qty A]]+cadangan[[#This Row],[Qty B]]+cadangan[[#This Row],[Qty C]]</f>
        <v>4</v>
      </c>
      <c r="AE735" s="73">
        <f>cadangan[[#This Row],[Harga Normal A]]+cadangan[[#This Row],[Harga Normal B]]+cadangan[[#This Row],[Harga Normal C]]</f>
        <v>1500000</v>
      </c>
      <c r="AF735" s="73">
        <f>cadangan[[#This Row],[Harga Diskon A]]+cadangan[[#This Row],[Harga Diskon B]]+cadangan[[#This Row],[Harga Diskon C]]</f>
        <v>1350000</v>
      </c>
      <c r="AG735" s="73">
        <f>(cadangan[[#This Row],[Profit Normal A]]+cadangan[[#This Row],[Profit Normal B]]+cadangan[[#This Row],[Profit Normal C]])</f>
        <v>600000</v>
      </c>
      <c r="AH735" s="73">
        <f>cadangan[[#This Row],[Profit Diskon A]]+cadangan[[#This Row],[Profit Diskon B]]+cadangan[[#This Row],[Profit Diskon C]]</f>
        <v>450000</v>
      </c>
      <c r="AI735" s="23" t="s">
        <v>30</v>
      </c>
      <c r="AJ735" s="37">
        <f>IFERROR(INDEX('Kode Diskon'!$D$3:$D$9,MATCH(cadangan[[#This Row],[Kode diskon]],'Kode Diskon'!$C$3:$C$9,0)),"-")</f>
        <v>0.1</v>
      </c>
      <c r="AK735" s="23" t="s">
        <v>29</v>
      </c>
      <c r="AL735" s="23" t="s">
        <v>10</v>
      </c>
      <c r="AM735" s="23" t="s">
        <v>76</v>
      </c>
      <c r="AN735" s="55">
        <v>45022</v>
      </c>
      <c r="AO735" s="53">
        <f>DAY(cadangan[[#This Row],[Tanggal terjual]])</f>
        <v>6</v>
      </c>
      <c r="AP735" s="21" t="str">
        <f>TEXT(cadangan[[#This Row],[Tanggal terjual]],"dddd")</f>
        <v>Thursday</v>
      </c>
      <c r="AQ735" s="23" t="str" cm="1">
        <f t="array" ref="AQ7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5" s="61">
        <f>AVERAGE(cadangan[[#This Row],[Rating A]],cadangan[[#This Row],[Rating B]],cadangan[[#This Row],[Rating C]])</f>
        <v>2</v>
      </c>
    </row>
    <row r="736" spans="1:44" x14ac:dyDescent="0.2">
      <c r="A736" s="20">
        <v>735</v>
      </c>
      <c r="B736" s="21" t="str">
        <f>_xlfn.CONCAT("ORD-",INDEX(Helper!$B$2:$B$5,MATCH(cadangan[[#This Row],[Marketplace]],Helper!$A$2:$A$5,0)),TEXT(cadangan[[#This Row],[No]],"0000"),"-",TEXT(cadangan[[#This Row],[Tanggal terjual]],"dd/mm/yy"))</f>
        <v>ORD-TK0735-02/04/23</v>
      </c>
      <c r="C736" s="39" t="s">
        <v>58</v>
      </c>
      <c r="D736" s="39" t="str">
        <f>IFERROR(INDEX(Katalog!$A$3:$A$12,MATCH(cadangan[[#This Row],[ItemID A]],Katalog!$C$3:$C$12,0)),"-")</f>
        <v>Pakaian Wanita</v>
      </c>
      <c r="E736" s="39" t="str">
        <f>IFERROR(INDEX(Katalog!$B$3:$B$12,MATCH(cadangan[[#This Row],[ItemID A]],Katalog!$C$3:$C$12,0)),"-")</f>
        <v>Dress</v>
      </c>
      <c r="F736" s="50">
        <v>1</v>
      </c>
      <c r="G736" s="50">
        <v>4</v>
      </c>
      <c r="H736" s="73">
        <f>IFERROR(INDEX(Katalog!$D$3:$D$12,MATCH(cadangan[[#This Row],[ItemID A]],Katalog!$C$3:$C$12,0))*cadangan[[#This Row],[Qty A]],0)</f>
        <v>300000</v>
      </c>
      <c r="I736" s="73">
        <f>IFERROR(cadangan[[#This Row],[Harga Normal A]]-(cadangan[[#This Row],[Harga Normal A]]*cadangan[[#This Row],[Diskon]]),cadangan[[#This Row],[Harga Normal A]])</f>
        <v>270000</v>
      </c>
      <c r="J736" s="73">
        <f>INDEX(Katalog!$F$3:$F$12,MATCH(cadangan[[#This Row],[ItemID A]],Katalog!$C$3:$C$12,0))*cadangan[[#This Row],[Qty A]]</f>
        <v>100000</v>
      </c>
      <c r="K736" s="73">
        <f>IFERROR(cadangan[[#This Row],[Harga Diskon A]]-INDEX(Katalog!$E$3:$E$12,MATCH(cadangan[[#This Row],[ItemID A]],Katalog!$C$3:$C$12,0))*cadangan[[#This Row],[Qty A]],0)</f>
        <v>70000</v>
      </c>
      <c r="L736" s="39" t="s">
        <v>64</v>
      </c>
      <c r="M736" s="39" t="str">
        <f>IFERROR(INDEX(Katalog!$A$3:$A$12,MATCH(cadangan[[#This Row],[ItemID B]],Katalog!$C$3:$C$12,0)),"-")</f>
        <v>Pakaian Unisex</v>
      </c>
      <c r="N736" s="39" t="str">
        <f>IFERROR(INDEX(Katalog!$B$3:$B$12,MATCH(cadangan[[#This Row],[ItemID B]],Katalog!$C$3:$C$12,0)),"-")</f>
        <v>Jaket Hoodie</v>
      </c>
      <c r="O736" s="50">
        <v>1</v>
      </c>
      <c r="P736" s="50">
        <v>4</v>
      </c>
      <c r="Q736" s="73">
        <f>IFERROR(INDEX(Katalog!$D$3:$D$12,MATCH(cadangan[[#This Row],[ItemID B]],Katalog!$C$3:$C$12,0))*cadangan[[#This Row],[Qty B]],0)</f>
        <v>350000</v>
      </c>
      <c r="R736" s="73">
        <f>IFERROR(cadangan[[#This Row],[Harga Normal B]]-(cadangan[[#This Row],[Harga Normal B]]*cadangan[[#This Row],[Diskon]]),cadangan[[#This Row],[Harga Normal B]])</f>
        <v>315000</v>
      </c>
      <c r="S736" s="73">
        <f>IFERROR(INDEX(Katalog!$F$3:$F$12,MATCH(cadangan[[#This Row],[ItemID B]],Katalog!$C$3:$C$12,0))*cadangan[[#This Row],[Qty B]],0)</f>
        <v>130000</v>
      </c>
      <c r="T736" s="73">
        <f>IFERROR(cadangan[[#This Row],[Harga Diskon B]]-INDEX(Katalog!$E$3:$E$12,MATCH(cadangan[[#This Row],[ItemID B]],Katalog!$C$3:$C$12,0))*cadangan[[#This Row],[Qty B]],0)</f>
        <v>95000</v>
      </c>
      <c r="U736" s="39" t="s">
        <v>61</v>
      </c>
      <c r="V736" s="39" t="str">
        <f>IFERROR(INDEX(Katalog!$A$3:$A$12,MATCH(cadangan[[#This Row],[ItemID C]],Katalog!$C$3:$C$12,0)),"-")</f>
        <v>Pakaian Pria</v>
      </c>
      <c r="W736" s="39" t="str">
        <f>IFERROR(INDEX(Katalog!$B$3:$B$12,MATCH(cadangan[[#This Row],[ItemID C]],Katalog!$C$3:$C$12,0)),"-")</f>
        <v>Kaos Polo</v>
      </c>
      <c r="X736" s="50">
        <v>5</v>
      </c>
      <c r="Y736" s="50">
        <v>2</v>
      </c>
      <c r="Z736" s="73">
        <f>IFERROR(INDEX(Katalog!$D$3:$D$12,MATCH(cadangan[[#This Row],[ItemID C]],Katalog!$C$3:$C$12,0))*cadangan[[#This Row],[Qty C]],0)</f>
        <v>1000000</v>
      </c>
      <c r="AA736" s="73">
        <f>IFERROR(cadangan[[#This Row],[Harga Normal C]]-(cadangan[[#This Row],[Harga Normal C]]*cadangan[[#This Row],[Diskon]]),cadangan[[#This Row],[Harga Normal C]])</f>
        <v>900000</v>
      </c>
      <c r="AB736" s="73">
        <f>IFERROR(INDEX(Katalog!$F$3:$F$12,MATCH(cadangan[[#This Row],[ItemID C]],Katalog!$C$3:$C$12,0))*cadangan[[#This Row],[Qty C]],0)</f>
        <v>400000</v>
      </c>
      <c r="AC736" s="73">
        <f>IFERROR(cadangan[[#This Row],[Harga Diskon C]]-INDEX(Katalog!$E$3:$E$12,MATCH(cadangan[[#This Row],[ItemID C]],Katalog!$C$3:$C$12,0))*cadangan[[#This Row],[Qty C]],0)</f>
        <v>300000</v>
      </c>
      <c r="AD736" s="53">
        <f>cadangan[[#This Row],[Qty A]]+cadangan[[#This Row],[Qty B]]+cadangan[[#This Row],[Qty C]]</f>
        <v>7</v>
      </c>
      <c r="AE736" s="73">
        <f>cadangan[[#This Row],[Harga Normal A]]+cadangan[[#This Row],[Harga Normal B]]+cadangan[[#This Row],[Harga Normal C]]</f>
        <v>1650000</v>
      </c>
      <c r="AF736" s="73">
        <f>cadangan[[#This Row],[Harga Diskon A]]+cadangan[[#This Row],[Harga Diskon B]]+cadangan[[#This Row],[Harga Diskon C]]</f>
        <v>1485000</v>
      </c>
      <c r="AG736" s="73">
        <f>(cadangan[[#This Row],[Profit Normal A]]+cadangan[[#This Row],[Profit Normal B]]+cadangan[[#This Row],[Profit Normal C]])</f>
        <v>630000</v>
      </c>
      <c r="AH736" s="73">
        <f>cadangan[[#This Row],[Profit Diskon A]]+cadangan[[#This Row],[Profit Diskon B]]+cadangan[[#This Row],[Profit Diskon C]]</f>
        <v>465000</v>
      </c>
      <c r="AI736" s="23" t="s">
        <v>30</v>
      </c>
      <c r="AJ736" s="37">
        <f>IFERROR(INDEX('Kode Diskon'!$D$3:$D$9,MATCH(cadangan[[#This Row],[Kode diskon]],'Kode Diskon'!$C$3:$C$9,0)),"-")</f>
        <v>0.1</v>
      </c>
      <c r="AK736" s="23" t="s">
        <v>29</v>
      </c>
      <c r="AL736" s="23" t="s">
        <v>10</v>
      </c>
      <c r="AM736" s="23" t="s">
        <v>76</v>
      </c>
      <c r="AN736" s="55">
        <v>45018</v>
      </c>
      <c r="AO736" s="53">
        <f>DAY(cadangan[[#This Row],[Tanggal terjual]])</f>
        <v>2</v>
      </c>
      <c r="AP736" s="21" t="str">
        <f>TEXT(cadangan[[#This Row],[Tanggal terjual]],"dddd")</f>
        <v>Sunday</v>
      </c>
      <c r="AQ736" s="23" t="str" cm="1">
        <f t="array" ref="AQ7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6" s="61">
        <f>AVERAGE(cadangan[[#This Row],[Rating A]],cadangan[[#This Row],[Rating B]],cadangan[[#This Row],[Rating C]])</f>
        <v>3.3333333333333335</v>
      </c>
    </row>
    <row r="737" spans="1:44" x14ac:dyDescent="0.2">
      <c r="A737" s="20">
        <v>736</v>
      </c>
      <c r="B737" s="21" t="str">
        <f>_xlfn.CONCAT("ORD-",INDEX(Helper!$B$2:$B$5,MATCH(cadangan[[#This Row],[Marketplace]],Helper!$A$2:$A$5,0)),TEXT(cadangan[[#This Row],[No]],"0000"),"-",TEXT(cadangan[[#This Row],[Tanggal terjual]],"dd/mm/yy"))</f>
        <v>ORD-TK0736-15/04/23</v>
      </c>
      <c r="C737" s="39" t="s">
        <v>58</v>
      </c>
      <c r="D737" s="39" t="str">
        <f>IFERROR(INDEX(Katalog!$A$3:$A$12,MATCH(cadangan[[#This Row],[ItemID A]],Katalog!$C$3:$C$12,0)),"-")</f>
        <v>Pakaian Wanita</v>
      </c>
      <c r="E737" s="39" t="str">
        <f>IFERROR(INDEX(Katalog!$B$3:$B$12,MATCH(cadangan[[#This Row],[ItemID A]],Katalog!$C$3:$C$12,0)),"-")</f>
        <v>Dress</v>
      </c>
      <c r="F737" s="50">
        <v>1</v>
      </c>
      <c r="G737" s="50">
        <v>3</v>
      </c>
      <c r="H737" s="73">
        <f>IFERROR(INDEX(Katalog!$D$3:$D$12,MATCH(cadangan[[#This Row],[ItemID A]],Katalog!$C$3:$C$12,0))*cadangan[[#This Row],[Qty A]],0)</f>
        <v>300000</v>
      </c>
      <c r="I737" s="73">
        <f>IFERROR(cadangan[[#This Row],[Harga Normal A]]-(cadangan[[#This Row],[Harga Normal A]]*cadangan[[#This Row],[Diskon]]),cadangan[[#This Row],[Harga Normal A]])</f>
        <v>300000</v>
      </c>
      <c r="J737" s="73">
        <f>INDEX(Katalog!$F$3:$F$12,MATCH(cadangan[[#This Row],[ItemID A]],Katalog!$C$3:$C$12,0))*cadangan[[#This Row],[Qty A]]</f>
        <v>100000</v>
      </c>
      <c r="K737" s="73">
        <f>IFERROR(cadangan[[#This Row],[Harga Diskon A]]-INDEX(Katalog!$E$3:$E$12,MATCH(cadangan[[#This Row],[ItemID A]],Katalog!$C$3:$C$12,0))*cadangan[[#This Row],[Qty A]],0)</f>
        <v>100000</v>
      </c>
      <c r="M737" s="39" t="str">
        <f>IFERROR(INDEX(Katalog!$A$3:$A$12,MATCH(cadangan[[#This Row],[ItemID B]],Katalog!$C$3:$C$12,0)),"-")</f>
        <v>-</v>
      </c>
      <c r="N737" s="39" t="str">
        <f>IFERROR(INDEX(Katalog!$B$3:$B$12,MATCH(cadangan[[#This Row],[ItemID B]],Katalog!$C$3:$C$12,0)),"-")</f>
        <v>-</v>
      </c>
      <c r="Q737" s="73">
        <f>IFERROR(INDEX(Katalog!$D$3:$D$12,MATCH(cadangan[[#This Row],[ItemID B]],Katalog!$C$3:$C$12,0))*cadangan[[#This Row],[Qty B]],0)</f>
        <v>0</v>
      </c>
      <c r="R737" s="73">
        <f>IFERROR(cadangan[[#This Row],[Harga Normal B]]-(cadangan[[#This Row],[Harga Normal B]]*cadangan[[#This Row],[Diskon]]),cadangan[[#This Row],[Harga Normal B]])</f>
        <v>0</v>
      </c>
      <c r="S737" s="73">
        <f>IFERROR(INDEX(Katalog!$F$3:$F$12,MATCH(cadangan[[#This Row],[ItemID B]],Katalog!$C$3:$C$12,0))*cadangan[[#This Row],[Qty B]],0)</f>
        <v>0</v>
      </c>
      <c r="T737" s="73">
        <f>IFERROR(cadangan[[#This Row],[Harga Diskon B]]-INDEX(Katalog!$E$3:$E$12,MATCH(cadangan[[#This Row],[ItemID B]],Katalog!$C$3:$C$12,0))*cadangan[[#This Row],[Qty B]],0)</f>
        <v>0</v>
      </c>
      <c r="V737" s="39" t="str">
        <f>IFERROR(INDEX(Katalog!$A$3:$A$12,MATCH(cadangan[[#This Row],[ItemID C]],Katalog!$C$3:$C$12,0)),"-")</f>
        <v>-</v>
      </c>
      <c r="W737" s="39" t="str">
        <f>IFERROR(INDEX(Katalog!$B$3:$B$12,MATCH(cadangan[[#This Row],[ItemID C]],Katalog!$C$3:$C$12,0)),"-")</f>
        <v>-</v>
      </c>
      <c r="Z737" s="73">
        <f>IFERROR(INDEX(Katalog!$D$3:$D$12,MATCH(cadangan[[#This Row],[ItemID C]],Katalog!$C$3:$C$12,0))*cadangan[[#This Row],[Qty C]],0)</f>
        <v>0</v>
      </c>
      <c r="AA737" s="73">
        <f>IFERROR(cadangan[[#This Row],[Harga Normal C]]-(cadangan[[#This Row],[Harga Normal C]]*cadangan[[#This Row],[Diskon]]),cadangan[[#This Row],[Harga Normal C]])</f>
        <v>0</v>
      </c>
      <c r="AB737" s="73">
        <f>IFERROR(INDEX(Katalog!$F$3:$F$12,MATCH(cadangan[[#This Row],[ItemID C]],Katalog!$C$3:$C$12,0))*cadangan[[#This Row],[Qty C]],0)</f>
        <v>0</v>
      </c>
      <c r="AC737" s="73">
        <f>IFERROR(cadangan[[#This Row],[Harga Diskon C]]-INDEX(Katalog!$E$3:$E$12,MATCH(cadangan[[#This Row],[ItemID C]],Katalog!$C$3:$C$12,0))*cadangan[[#This Row],[Qty C]],0)</f>
        <v>0</v>
      </c>
      <c r="AD737" s="53">
        <f>cadangan[[#This Row],[Qty A]]+cadangan[[#This Row],[Qty B]]+cadangan[[#This Row],[Qty C]]</f>
        <v>1</v>
      </c>
      <c r="AE737" s="73">
        <f>cadangan[[#This Row],[Harga Normal A]]+cadangan[[#This Row],[Harga Normal B]]+cadangan[[#This Row],[Harga Normal C]]</f>
        <v>300000</v>
      </c>
      <c r="AF737" s="73">
        <f>cadangan[[#This Row],[Harga Diskon A]]+cadangan[[#This Row],[Harga Diskon B]]+cadangan[[#This Row],[Harga Diskon C]]</f>
        <v>300000</v>
      </c>
      <c r="AG737" s="73">
        <f>(cadangan[[#This Row],[Profit Normal A]]+cadangan[[#This Row],[Profit Normal B]]+cadangan[[#This Row],[Profit Normal C]])</f>
        <v>100000</v>
      </c>
      <c r="AH737" s="73">
        <f>cadangan[[#This Row],[Profit Diskon A]]+cadangan[[#This Row],[Profit Diskon B]]+cadangan[[#This Row],[Profit Diskon C]]</f>
        <v>100000</v>
      </c>
      <c r="AI737" s="23" t="s">
        <v>290</v>
      </c>
      <c r="AJ737" s="37" t="str">
        <f>IFERROR(INDEX('Kode Diskon'!$D$3:$D$9,MATCH(cadangan[[#This Row],[Kode diskon]],'Kode Diskon'!$C$3:$C$9,0)),"-")</f>
        <v>-</v>
      </c>
      <c r="AK737" s="23" t="s">
        <v>290</v>
      </c>
      <c r="AL737" s="23" t="s">
        <v>10</v>
      </c>
      <c r="AM737" s="23" t="s">
        <v>77</v>
      </c>
      <c r="AN737" s="55">
        <v>45031</v>
      </c>
      <c r="AO737" s="53">
        <f>DAY(cadangan[[#This Row],[Tanggal terjual]])</f>
        <v>15</v>
      </c>
      <c r="AP737" s="21" t="str">
        <f>TEXT(cadangan[[#This Row],[Tanggal terjual]],"dddd")</f>
        <v>Saturday</v>
      </c>
      <c r="AQ737" s="23" t="str" cm="1">
        <f t="array" ref="AQ7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37" s="61">
        <f>AVERAGE(cadangan[[#This Row],[Rating A]],cadangan[[#This Row],[Rating B]],cadangan[[#This Row],[Rating C]])</f>
        <v>3</v>
      </c>
    </row>
    <row r="738" spans="1:44" x14ac:dyDescent="0.2">
      <c r="A738" s="20">
        <v>737</v>
      </c>
      <c r="B738" s="21" t="str">
        <f>_xlfn.CONCAT("ORD-",INDEX(Helper!$B$2:$B$5,MATCH(cadangan[[#This Row],[Marketplace]],Helper!$A$2:$A$5,0)),TEXT(cadangan[[#This Row],[No]],"0000"),"-",TEXT(cadangan[[#This Row],[Tanggal terjual]],"dd/mm/yy"))</f>
        <v>ORD-BB0737-06/04/23</v>
      </c>
      <c r="C738" s="39" t="s">
        <v>62</v>
      </c>
      <c r="D738" s="39" t="str">
        <f>IFERROR(INDEX(Katalog!$A$3:$A$12,MATCH(cadangan[[#This Row],[ItemID A]],Katalog!$C$3:$C$12,0)),"-")</f>
        <v>Pakaian Pria</v>
      </c>
      <c r="E738" s="39" t="str">
        <f>IFERROR(INDEX(Katalog!$B$3:$B$12,MATCH(cadangan[[#This Row],[ItemID A]],Katalog!$C$3:$C$12,0)),"-")</f>
        <v>Celana Pendek</v>
      </c>
      <c r="F738" s="50">
        <v>2</v>
      </c>
      <c r="G738" s="50">
        <v>1</v>
      </c>
      <c r="H738" s="73">
        <f>IFERROR(INDEX(Katalog!$D$3:$D$12,MATCH(cadangan[[#This Row],[ItemID A]],Katalog!$C$3:$C$12,0))*cadangan[[#This Row],[Qty A]],0)</f>
        <v>360000</v>
      </c>
      <c r="I738" s="73">
        <f>IFERROR(cadangan[[#This Row],[Harga Normal A]]-(cadangan[[#This Row],[Harga Normal A]]*cadangan[[#This Row],[Diskon]]),cadangan[[#This Row],[Harga Normal A]])</f>
        <v>306000</v>
      </c>
      <c r="J738" s="73">
        <f>INDEX(Katalog!$F$3:$F$12,MATCH(cadangan[[#This Row],[ItemID A]],Katalog!$C$3:$C$12,0))*cadangan[[#This Row],[Qty A]]</f>
        <v>140000</v>
      </c>
      <c r="K738" s="73">
        <f>IFERROR(cadangan[[#This Row],[Harga Diskon A]]-INDEX(Katalog!$E$3:$E$12,MATCH(cadangan[[#This Row],[ItemID A]],Katalog!$C$3:$C$12,0))*cadangan[[#This Row],[Qty A]],0)</f>
        <v>86000</v>
      </c>
      <c r="L738" s="39" t="s">
        <v>61</v>
      </c>
      <c r="M738" s="39" t="str">
        <f>IFERROR(INDEX(Katalog!$A$3:$A$12,MATCH(cadangan[[#This Row],[ItemID B]],Katalog!$C$3:$C$12,0)),"-")</f>
        <v>Pakaian Pria</v>
      </c>
      <c r="N738" s="39" t="str">
        <f>IFERROR(INDEX(Katalog!$B$3:$B$12,MATCH(cadangan[[#This Row],[ItemID B]],Katalog!$C$3:$C$12,0)),"-")</f>
        <v>Kaos Polo</v>
      </c>
      <c r="O738" s="50">
        <v>1</v>
      </c>
      <c r="P738" s="50">
        <v>5</v>
      </c>
      <c r="Q738" s="73">
        <f>IFERROR(INDEX(Katalog!$D$3:$D$12,MATCH(cadangan[[#This Row],[ItemID B]],Katalog!$C$3:$C$12,0))*cadangan[[#This Row],[Qty B]],0)</f>
        <v>200000</v>
      </c>
      <c r="R738" s="73">
        <f>IFERROR(cadangan[[#This Row],[Harga Normal B]]-(cadangan[[#This Row],[Harga Normal B]]*cadangan[[#This Row],[Diskon]]),cadangan[[#This Row],[Harga Normal B]])</f>
        <v>170000</v>
      </c>
      <c r="S738" s="73">
        <f>IFERROR(INDEX(Katalog!$F$3:$F$12,MATCH(cadangan[[#This Row],[ItemID B]],Katalog!$C$3:$C$12,0))*cadangan[[#This Row],[Qty B]],0)</f>
        <v>80000</v>
      </c>
      <c r="T738" s="73">
        <f>IFERROR(cadangan[[#This Row],[Harga Diskon B]]-INDEX(Katalog!$E$3:$E$12,MATCH(cadangan[[#This Row],[ItemID B]],Katalog!$C$3:$C$12,0))*cadangan[[#This Row],[Qty B]],0)</f>
        <v>50000</v>
      </c>
      <c r="V738" s="39" t="str">
        <f>IFERROR(INDEX(Katalog!$A$3:$A$12,MATCH(cadangan[[#This Row],[ItemID C]],Katalog!$C$3:$C$12,0)),"-")</f>
        <v>-</v>
      </c>
      <c r="W738" s="39" t="str">
        <f>IFERROR(INDEX(Katalog!$B$3:$B$12,MATCH(cadangan[[#This Row],[ItemID C]],Katalog!$C$3:$C$12,0)),"-")</f>
        <v>-</v>
      </c>
      <c r="Z738" s="73">
        <f>IFERROR(INDEX(Katalog!$D$3:$D$12,MATCH(cadangan[[#This Row],[ItemID C]],Katalog!$C$3:$C$12,0))*cadangan[[#This Row],[Qty C]],0)</f>
        <v>0</v>
      </c>
      <c r="AA738" s="73">
        <f>IFERROR(cadangan[[#This Row],[Harga Normal C]]-(cadangan[[#This Row],[Harga Normal C]]*cadangan[[#This Row],[Diskon]]),cadangan[[#This Row],[Harga Normal C]])</f>
        <v>0</v>
      </c>
      <c r="AB738" s="73">
        <f>IFERROR(INDEX(Katalog!$F$3:$F$12,MATCH(cadangan[[#This Row],[ItemID C]],Katalog!$C$3:$C$12,0))*cadangan[[#This Row],[Qty C]],0)</f>
        <v>0</v>
      </c>
      <c r="AC738" s="73">
        <f>IFERROR(cadangan[[#This Row],[Harga Diskon C]]-INDEX(Katalog!$E$3:$E$12,MATCH(cadangan[[#This Row],[ItemID C]],Katalog!$C$3:$C$12,0))*cadangan[[#This Row],[Qty C]],0)</f>
        <v>0</v>
      </c>
      <c r="AD738" s="53">
        <f>cadangan[[#This Row],[Qty A]]+cadangan[[#This Row],[Qty B]]+cadangan[[#This Row],[Qty C]]</f>
        <v>3</v>
      </c>
      <c r="AE738" s="73">
        <f>cadangan[[#This Row],[Harga Normal A]]+cadangan[[#This Row],[Harga Normal B]]+cadangan[[#This Row],[Harga Normal C]]</f>
        <v>560000</v>
      </c>
      <c r="AF738" s="73">
        <f>cadangan[[#This Row],[Harga Diskon A]]+cadangan[[#This Row],[Harga Diskon B]]+cadangan[[#This Row],[Harga Diskon C]]</f>
        <v>476000</v>
      </c>
      <c r="AG738" s="73">
        <f>(cadangan[[#This Row],[Profit Normal A]]+cadangan[[#This Row],[Profit Normal B]]+cadangan[[#This Row],[Profit Normal C]])</f>
        <v>220000</v>
      </c>
      <c r="AH738" s="73">
        <f>cadangan[[#This Row],[Profit Diskon A]]+cadangan[[#This Row],[Profit Diskon B]]+cadangan[[#This Row],[Profit Diskon C]]</f>
        <v>136000</v>
      </c>
      <c r="AI738" s="23" t="s">
        <v>28</v>
      </c>
      <c r="AJ738" s="37">
        <f>IFERROR(INDEX('Kode Diskon'!$D$3:$D$9,MATCH(cadangan[[#This Row],[Kode diskon]],'Kode Diskon'!$C$3:$C$9,0)),"-")</f>
        <v>0.15</v>
      </c>
      <c r="AK738" s="23" t="s">
        <v>29</v>
      </c>
      <c r="AL738" s="23" t="s">
        <v>14</v>
      </c>
      <c r="AM738" s="23" t="s">
        <v>76</v>
      </c>
      <c r="AN738" s="55">
        <v>45022</v>
      </c>
      <c r="AO738" s="53">
        <f>DAY(cadangan[[#This Row],[Tanggal terjual]])</f>
        <v>6</v>
      </c>
      <c r="AP738" s="21" t="str">
        <f>TEXT(cadangan[[#This Row],[Tanggal terjual]],"dddd")</f>
        <v>Thursday</v>
      </c>
      <c r="AQ738" s="23" t="str" cm="1">
        <f t="array" ref="AQ7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8" s="61">
        <f>AVERAGE(cadangan[[#This Row],[Rating A]],cadangan[[#This Row],[Rating B]],cadangan[[#This Row],[Rating C]])</f>
        <v>3</v>
      </c>
    </row>
    <row r="739" spans="1:44" x14ac:dyDescent="0.2">
      <c r="A739" s="20">
        <v>738</v>
      </c>
      <c r="B739" s="21" t="str">
        <f>_xlfn.CONCAT("ORD-",INDEX(Helper!$B$2:$B$5,MATCH(cadangan[[#This Row],[Marketplace]],Helper!$A$2:$A$5,0)),TEXT(cadangan[[#This Row],[No]],"0000"),"-",TEXT(cadangan[[#This Row],[Tanggal terjual]],"dd/mm/yy"))</f>
        <v>ORD-SP0738-03/04/23</v>
      </c>
      <c r="C739" s="39" t="s">
        <v>64</v>
      </c>
      <c r="D739" s="39" t="str">
        <f>IFERROR(INDEX(Katalog!$A$3:$A$12,MATCH(cadangan[[#This Row],[ItemID A]],Katalog!$C$3:$C$12,0)),"-")</f>
        <v>Pakaian Unisex</v>
      </c>
      <c r="E739" s="39" t="str">
        <f>IFERROR(INDEX(Katalog!$B$3:$B$12,MATCH(cadangan[[#This Row],[ItemID A]],Katalog!$C$3:$C$12,0)),"-")</f>
        <v>Jaket Hoodie</v>
      </c>
      <c r="F739" s="50">
        <v>4</v>
      </c>
      <c r="G739" s="50">
        <v>2</v>
      </c>
      <c r="H739" s="73">
        <f>IFERROR(INDEX(Katalog!$D$3:$D$12,MATCH(cadangan[[#This Row],[ItemID A]],Katalog!$C$3:$C$12,0))*cadangan[[#This Row],[Qty A]],0)</f>
        <v>1400000</v>
      </c>
      <c r="I739" s="73">
        <f>IFERROR(cadangan[[#This Row],[Harga Normal A]]-(cadangan[[#This Row],[Harga Normal A]]*cadangan[[#This Row],[Diskon]]),cadangan[[#This Row],[Harga Normal A]])</f>
        <v>1190000</v>
      </c>
      <c r="J739" s="73">
        <f>INDEX(Katalog!$F$3:$F$12,MATCH(cadangan[[#This Row],[ItemID A]],Katalog!$C$3:$C$12,0))*cadangan[[#This Row],[Qty A]]</f>
        <v>520000</v>
      </c>
      <c r="K739" s="73">
        <f>IFERROR(cadangan[[#This Row],[Harga Diskon A]]-INDEX(Katalog!$E$3:$E$12,MATCH(cadangan[[#This Row],[ItemID A]],Katalog!$C$3:$C$12,0))*cadangan[[#This Row],[Qty A]],0)</f>
        <v>310000</v>
      </c>
      <c r="L739" s="39" t="s">
        <v>65</v>
      </c>
      <c r="M739" s="39" t="str">
        <f>IFERROR(INDEX(Katalog!$A$3:$A$12,MATCH(cadangan[[#This Row],[ItemID B]],Katalog!$C$3:$C$12,0)),"-")</f>
        <v>Sepatu Pria</v>
      </c>
      <c r="N739" s="39" t="str">
        <f>IFERROR(INDEX(Katalog!$B$3:$B$12,MATCH(cadangan[[#This Row],[ItemID B]],Katalog!$C$3:$C$12,0)),"-")</f>
        <v>Sneakers</v>
      </c>
      <c r="O739" s="50">
        <v>2</v>
      </c>
      <c r="P739" s="50">
        <v>4</v>
      </c>
      <c r="Q739" s="73">
        <f>IFERROR(INDEX(Katalog!$D$3:$D$12,MATCH(cadangan[[#This Row],[ItemID B]],Katalog!$C$3:$C$12,0))*cadangan[[#This Row],[Qty B]],0)</f>
        <v>1000000</v>
      </c>
      <c r="R739" s="73">
        <f>IFERROR(cadangan[[#This Row],[Harga Normal B]]-(cadangan[[#This Row],[Harga Normal B]]*cadangan[[#This Row],[Diskon]]),cadangan[[#This Row],[Harga Normal B]])</f>
        <v>850000</v>
      </c>
      <c r="S739" s="73">
        <f>IFERROR(INDEX(Katalog!$F$3:$F$12,MATCH(cadangan[[#This Row],[ItemID B]],Katalog!$C$3:$C$12,0))*cadangan[[#This Row],[Qty B]],0)</f>
        <v>400000</v>
      </c>
      <c r="T739" s="73">
        <f>IFERROR(cadangan[[#This Row],[Harga Diskon B]]-INDEX(Katalog!$E$3:$E$12,MATCH(cadangan[[#This Row],[ItemID B]],Katalog!$C$3:$C$12,0))*cadangan[[#This Row],[Qty B]],0)</f>
        <v>250000</v>
      </c>
      <c r="U739" s="39" t="s">
        <v>59</v>
      </c>
      <c r="V739" s="39" t="str">
        <f>IFERROR(INDEX(Katalog!$A$3:$A$12,MATCH(cadangan[[#This Row],[ItemID C]],Katalog!$C$3:$C$12,0)),"-")</f>
        <v>Pakaian Wanita</v>
      </c>
      <c r="W739" s="39" t="str">
        <f>IFERROR(INDEX(Katalog!$B$3:$B$12,MATCH(cadangan[[#This Row],[ItemID C]],Katalog!$C$3:$C$12,0)),"-")</f>
        <v>Blouse</v>
      </c>
      <c r="X739" s="50">
        <v>1</v>
      </c>
      <c r="Y739" s="50">
        <v>1</v>
      </c>
      <c r="Z739" s="73">
        <f>IFERROR(INDEX(Katalog!$D$3:$D$12,MATCH(cadangan[[#This Row],[ItemID C]],Katalog!$C$3:$C$12,0))*cadangan[[#This Row],[Qty C]],0)</f>
        <v>150000</v>
      </c>
      <c r="AA739" s="73">
        <f>IFERROR(cadangan[[#This Row],[Harga Normal C]]-(cadangan[[#This Row],[Harga Normal C]]*cadangan[[#This Row],[Diskon]]),cadangan[[#This Row],[Harga Normal C]])</f>
        <v>127500</v>
      </c>
      <c r="AB739" s="73">
        <f>IFERROR(INDEX(Katalog!$F$3:$F$12,MATCH(cadangan[[#This Row],[ItemID C]],Katalog!$C$3:$C$12,0))*cadangan[[#This Row],[Qty C]],0)</f>
        <v>50000</v>
      </c>
      <c r="AC739" s="73">
        <f>IFERROR(cadangan[[#This Row],[Harga Diskon C]]-INDEX(Katalog!$E$3:$E$12,MATCH(cadangan[[#This Row],[ItemID C]],Katalog!$C$3:$C$12,0))*cadangan[[#This Row],[Qty C]],0)</f>
        <v>27500</v>
      </c>
      <c r="AD739" s="53">
        <f>cadangan[[#This Row],[Qty A]]+cadangan[[#This Row],[Qty B]]+cadangan[[#This Row],[Qty C]]</f>
        <v>7</v>
      </c>
      <c r="AE739" s="73">
        <f>cadangan[[#This Row],[Harga Normal A]]+cadangan[[#This Row],[Harga Normal B]]+cadangan[[#This Row],[Harga Normal C]]</f>
        <v>2550000</v>
      </c>
      <c r="AF739" s="73">
        <f>cadangan[[#This Row],[Harga Diskon A]]+cadangan[[#This Row],[Harga Diskon B]]+cadangan[[#This Row],[Harga Diskon C]]</f>
        <v>2167500</v>
      </c>
      <c r="AG739" s="73">
        <f>(cadangan[[#This Row],[Profit Normal A]]+cadangan[[#This Row],[Profit Normal B]]+cadangan[[#This Row],[Profit Normal C]])</f>
        <v>970000</v>
      </c>
      <c r="AH739" s="73">
        <f>cadangan[[#This Row],[Profit Diskon A]]+cadangan[[#This Row],[Profit Diskon B]]+cadangan[[#This Row],[Profit Diskon C]]</f>
        <v>587500</v>
      </c>
      <c r="AI739" s="23" t="s">
        <v>13</v>
      </c>
      <c r="AJ739" s="37">
        <f>IFERROR(INDEX('Kode Diskon'!$D$3:$D$9,MATCH(cadangan[[#This Row],[Kode diskon]],'Kode Diskon'!$C$3:$C$9,0)),"-")</f>
        <v>0.15</v>
      </c>
      <c r="AK739" s="23" t="s">
        <v>29</v>
      </c>
      <c r="AL739" s="23" t="s">
        <v>7</v>
      </c>
      <c r="AM739" s="23" t="s">
        <v>77</v>
      </c>
      <c r="AN739" s="55">
        <v>45019</v>
      </c>
      <c r="AO739" s="53">
        <f>DAY(cadangan[[#This Row],[Tanggal terjual]])</f>
        <v>3</v>
      </c>
      <c r="AP739" s="21" t="str">
        <f>TEXT(cadangan[[#This Row],[Tanggal terjual]],"dddd")</f>
        <v>Monday</v>
      </c>
      <c r="AQ739" s="23" t="str" cm="1">
        <f t="array" ref="AQ7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39" s="61">
        <f>AVERAGE(cadangan[[#This Row],[Rating A]],cadangan[[#This Row],[Rating B]],cadangan[[#This Row],[Rating C]])</f>
        <v>2.3333333333333335</v>
      </c>
    </row>
    <row r="740" spans="1:44" x14ac:dyDescent="0.2">
      <c r="A740" s="20">
        <v>739</v>
      </c>
      <c r="B740" s="21" t="str">
        <f>_xlfn.CONCAT("ORD-",INDEX(Helper!$B$2:$B$5,MATCH(cadangan[[#This Row],[Marketplace]],Helper!$A$2:$A$5,0)),TEXT(cadangan[[#This Row],[No]],"0000"),"-",TEXT(cadangan[[#This Row],[Tanggal terjual]],"dd/mm/yy"))</f>
        <v>ORD-TK0739-06/04/23</v>
      </c>
      <c r="C740" s="39" t="s">
        <v>65</v>
      </c>
      <c r="D740" s="39" t="str">
        <f>IFERROR(INDEX(Katalog!$A$3:$A$12,MATCH(cadangan[[#This Row],[ItemID A]],Katalog!$C$3:$C$12,0)),"-")</f>
        <v>Sepatu Pria</v>
      </c>
      <c r="E740" s="39" t="str">
        <f>IFERROR(INDEX(Katalog!$B$3:$B$12,MATCH(cadangan[[#This Row],[ItemID A]],Katalog!$C$3:$C$12,0)),"-")</f>
        <v>Sneakers</v>
      </c>
      <c r="F740" s="50">
        <v>1</v>
      </c>
      <c r="G740" s="50">
        <v>1</v>
      </c>
      <c r="H740" s="73">
        <f>IFERROR(INDEX(Katalog!$D$3:$D$12,MATCH(cadangan[[#This Row],[ItemID A]],Katalog!$C$3:$C$12,0))*cadangan[[#This Row],[Qty A]],0)</f>
        <v>500000</v>
      </c>
      <c r="I740" s="73">
        <f>IFERROR(cadangan[[#This Row],[Harga Normal A]]-(cadangan[[#This Row],[Harga Normal A]]*cadangan[[#This Row],[Diskon]]),cadangan[[#This Row],[Harga Normal A]])</f>
        <v>450000</v>
      </c>
      <c r="J740" s="73">
        <f>INDEX(Katalog!$F$3:$F$12,MATCH(cadangan[[#This Row],[ItemID A]],Katalog!$C$3:$C$12,0))*cadangan[[#This Row],[Qty A]]</f>
        <v>200000</v>
      </c>
      <c r="K740" s="73">
        <f>IFERROR(cadangan[[#This Row],[Harga Diskon A]]-INDEX(Katalog!$E$3:$E$12,MATCH(cadangan[[#This Row],[ItemID A]],Katalog!$C$3:$C$12,0))*cadangan[[#This Row],[Qty A]],0)</f>
        <v>150000</v>
      </c>
      <c r="L740" s="39" t="s">
        <v>66</v>
      </c>
      <c r="M740" s="39" t="str">
        <f>IFERROR(INDEX(Katalog!$A$3:$A$12,MATCH(cadangan[[#This Row],[ItemID B]],Katalog!$C$3:$C$12,0)),"-")</f>
        <v>Sepatu Pria</v>
      </c>
      <c r="N740" s="39" t="str">
        <f>IFERROR(INDEX(Katalog!$B$3:$B$12,MATCH(cadangan[[#This Row],[ItemID B]],Katalog!$C$3:$C$12,0)),"-")</f>
        <v>Sandal Slip On</v>
      </c>
      <c r="O740" s="50">
        <v>1</v>
      </c>
      <c r="P740" s="50">
        <v>2</v>
      </c>
      <c r="Q740" s="73">
        <f>IFERROR(INDEX(Katalog!$D$3:$D$12,MATCH(cadangan[[#This Row],[ItemID B]],Katalog!$C$3:$C$12,0))*cadangan[[#This Row],[Qty B]],0)</f>
        <v>150000</v>
      </c>
      <c r="R740" s="73">
        <f>IFERROR(cadangan[[#This Row],[Harga Normal B]]-(cadangan[[#This Row],[Harga Normal B]]*cadangan[[#This Row],[Diskon]]),cadangan[[#This Row],[Harga Normal B]])</f>
        <v>135000</v>
      </c>
      <c r="S740" s="73">
        <f>IFERROR(INDEX(Katalog!$F$3:$F$12,MATCH(cadangan[[#This Row],[ItemID B]],Katalog!$C$3:$C$12,0))*cadangan[[#This Row],[Qty B]],0)</f>
        <v>60000</v>
      </c>
      <c r="T740" s="73">
        <f>IFERROR(cadangan[[#This Row],[Harga Diskon B]]-INDEX(Katalog!$E$3:$E$12,MATCH(cadangan[[#This Row],[ItemID B]],Katalog!$C$3:$C$12,0))*cadangan[[#This Row],[Qty B]],0)</f>
        <v>45000</v>
      </c>
      <c r="U740" s="39" t="s">
        <v>64</v>
      </c>
      <c r="V740" s="39" t="str">
        <f>IFERROR(INDEX(Katalog!$A$3:$A$12,MATCH(cadangan[[#This Row],[ItemID C]],Katalog!$C$3:$C$12,0)),"-")</f>
        <v>Pakaian Unisex</v>
      </c>
      <c r="W740" s="39" t="str">
        <f>IFERROR(INDEX(Katalog!$B$3:$B$12,MATCH(cadangan[[#This Row],[ItemID C]],Katalog!$C$3:$C$12,0)),"-")</f>
        <v>Jaket Hoodie</v>
      </c>
      <c r="X740" s="50">
        <v>4</v>
      </c>
      <c r="Y740" s="50">
        <v>1</v>
      </c>
      <c r="Z740" s="73">
        <f>IFERROR(INDEX(Katalog!$D$3:$D$12,MATCH(cadangan[[#This Row],[ItemID C]],Katalog!$C$3:$C$12,0))*cadangan[[#This Row],[Qty C]],0)</f>
        <v>1400000</v>
      </c>
      <c r="AA740" s="73">
        <f>IFERROR(cadangan[[#This Row],[Harga Normal C]]-(cadangan[[#This Row],[Harga Normal C]]*cadangan[[#This Row],[Diskon]]),cadangan[[#This Row],[Harga Normal C]])</f>
        <v>1260000</v>
      </c>
      <c r="AB740" s="73">
        <f>IFERROR(INDEX(Katalog!$F$3:$F$12,MATCH(cadangan[[#This Row],[ItemID C]],Katalog!$C$3:$C$12,0))*cadangan[[#This Row],[Qty C]],0)</f>
        <v>520000</v>
      </c>
      <c r="AC740" s="73">
        <f>IFERROR(cadangan[[#This Row],[Harga Diskon C]]-INDEX(Katalog!$E$3:$E$12,MATCH(cadangan[[#This Row],[ItemID C]],Katalog!$C$3:$C$12,0))*cadangan[[#This Row],[Qty C]],0)</f>
        <v>380000</v>
      </c>
      <c r="AD740" s="53">
        <f>cadangan[[#This Row],[Qty A]]+cadangan[[#This Row],[Qty B]]+cadangan[[#This Row],[Qty C]]</f>
        <v>6</v>
      </c>
      <c r="AE740" s="73">
        <f>cadangan[[#This Row],[Harga Normal A]]+cadangan[[#This Row],[Harga Normal B]]+cadangan[[#This Row],[Harga Normal C]]</f>
        <v>2050000</v>
      </c>
      <c r="AF740" s="73">
        <f>cadangan[[#This Row],[Harga Diskon A]]+cadangan[[#This Row],[Harga Diskon B]]+cadangan[[#This Row],[Harga Diskon C]]</f>
        <v>1845000</v>
      </c>
      <c r="AG740" s="73">
        <f>(cadangan[[#This Row],[Profit Normal A]]+cadangan[[#This Row],[Profit Normal B]]+cadangan[[#This Row],[Profit Normal C]])</f>
        <v>780000</v>
      </c>
      <c r="AH740" s="73">
        <f>cadangan[[#This Row],[Profit Diskon A]]+cadangan[[#This Row],[Profit Diskon B]]+cadangan[[#This Row],[Profit Diskon C]]</f>
        <v>575000</v>
      </c>
      <c r="AI740" s="23" t="s">
        <v>30</v>
      </c>
      <c r="AJ740" s="37">
        <f>IFERROR(INDEX('Kode Diskon'!$D$3:$D$9,MATCH(cadangan[[#This Row],[Kode diskon]],'Kode Diskon'!$C$3:$C$9,0)),"-")</f>
        <v>0.1</v>
      </c>
      <c r="AK740" s="23" t="s">
        <v>29</v>
      </c>
      <c r="AL740" s="23" t="s">
        <v>10</v>
      </c>
      <c r="AM740" s="23" t="s">
        <v>80</v>
      </c>
      <c r="AN740" s="55">
        <v>45022</v>
      </c>
      <c r="AO740" s="53">
        <f>DAY(cadangan[[#This Row],[Tanggal terjual]])</f>
        <v>6</v>
      </c>
      <c r="AP740" s="21" t="str">
        <f>TEXT(cadangan[[#This Row],[Tanggal terjual]],"dddd")</f>
        <v>Thursday</v>
      </c>
      <c r="AQ740" s="23" t="str" cm="1">
        <f t="array" ref="AQ7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0" s="61">
        <f>AVERAGE(cadangan[[#This Row],[Rating A]],cadangan[[#This Row],[Rating B]],cadangan[[#This Row],[Rating C]])</f>
        <v>1.3333333333333333</v>
      </c>
    </row>
    <row r="741" spans="1:44" x14ac:dyDescent="0.2">
      <c r="A741" s="20">
        <v>740</v>
      </c>
      <c r="B741" s="21" t="str">
        <f>_xlfn.CONCAT("ORD-",INDEX(Helper!$B$2:$B$5,MATCH(cadangan[[#This Row],[Marketplace]],Helper!$A$2:$A$5,0)),TEXT(cadangan[[#This Row],[No]],"0000"),"-",TEXT(cadangan[[#This Row],[Tanggal terjual]],"dd/mm/yy"))</f>
        <v>ORD-SP0740-01/04/23</v>
      </c>
      <c r="C741" s="39" t="s">
        <v>61</v>
      </c>
      <c r="D741" s="39" t="str">
        <f>IFERROR(INDEX(Katalog!$A$3:$A$12,MATCH(cadangan[[#This Row],[ItemID A]],Katalog!$C$3:$C$12,0)),"-")</f>
        <v>Pakaian Pria</v>
      </c>
      <c r="E741" s="39" t="str">
        <f>IFERROR(INDEX(Katalog!$B$3:$B$12,MATCH(cadangan[[#This Row],[ItemID A]],Katalog!$C$3:$C$12,0)),"-")</f>
        <v>Kaos Polo</v>
      </c>
      <c r="F741" s="50">
        <v>2</v>
      </c>
      <c r="G741" s="50">
        <v>4</v>
      </c>
      <c r="H741" s="73">
        <f>IFERROR(INDEX(Katalog!$D$3:$D$12,MATCH(cadangan[[#This Row],[ItemID A]],Katalog!$C$3:$C$12,0))*cadangan[[#This Row],[Qty A]],0)</f>
        <v>400000</v>
      </c>
      <c r="I741" s="73">
        <f>IFERROR(cadangan[[#This Row],[Harga Normal A]]-(cadangan[[#This Row],[Harga Normal A]]*cadangan[[#This Row],[Diskon]]),cadangan[[#This Row],[Harga Normal A]])</f>
        <v>360000</v>
      </c>
      <c r="J741" s="73">
        <f>INDEX(Katalog!$F$3:$F$12,MATCH(cadangan[[#This Row],[ItemID A]],Katalog!$C$3:$C$12,0))*cadangan[[#This Row],[Qty A]]</f>
        <v>160000</v>
      </c>
      <c r="K741" s="73">
        <f>IFERROR(cadangan[[#This Row],[Harga Diskon A]]-INDEX(Katalog!$E$3:$E$12,MATCH(cadangan[[#This Row],[ItemID A]],Katalog!$C$3:$C$12,0))*cadangan[[#This Row],[Qty A]],0)</f>
        <v>120000</v>
      </c>
      <c r="L741" s="39" t="s">
        <v>65</v>
      </c>
      <c r="M741" s="39" t="str">
        <f>IFERROR(INDEX(Katalog!$A$3:$A$12,MATCH(cadangan[[#This Row],[ItemID B]],Katalog!$C$3:$C$12,0)),"-")</f>
        <v>Sepatu Pria</v>
      </c>
      <c r="N741" s="39" t="str">
        <f>IFERROR(INDEX(Katalog!$B$3:$B$12,MATCH(cadangan[[#This Row],[ItemID B]],Katalog!$C$3:$C$12,0)),"-")</f>
        <v>Sneakers</v>
      </c>
      <c r="O741" s="50">
        <v>2</v>
      </c>
      <c r="P741" s="50">
        <v>4</v>
      </c>
      <c r="Q741" s="73">
        <f>IFERROR(INDEX(Katalog!$D$3:$D$12,MATCH(cadangan[[#This Row],[ItemID B]],Katalog!$C$3:$C$12,0))*cadangan[[#This Row],[Qty B]],0)</f>
        <v>1000000</v>
      </c>
      <c r="R741" s="73">
        <f>IFERROR(cadangan[[#This Row],[Harga Normal B]]-(cadangan[[#This Row],[Harga Normal B]]*cadangan[[#This Row],[Diskon]]),cadangan[[#This Row],[Harga Normal B]])</f>
        <v>900000</v>
      </c>
      <c r="S741" s="73">
        <f>IFERROR(INDEX(Katalog!$F$3:$F$12,MATCH(cadangan[[#This Row],[ItemID B]],Katalog!$C$3:$C$12,0))*cadangan[[#This Row],[Qty B]],0)</f>
        <v>400000</v>
      </c>
      <c r="T741" s="73">
        <f>IFERROR(cadangan[[#This Row],[Harga Diskon B]]-INDEX(Katalog!$E$3:$E$12,MATCH(cadangan[[#This Row],[ItemID B]],Katalog!$C$3:$C$12,0))*cadangan[[#This Row],[Qty B]],0)</f>
        <v>300000</v>
      </c>
      <c r="V741" s="39" t="str">
        <f>IFERROR(INDEX(Katalog!$A$3:$A$12,MATCH(cadangan[[#This Row],[ItemID C]],Katalog!$C$3:$C$12,0)),"-")</f>
        <v>-</v>
      </c>
      <c r="W741" s="39" t="str">
        <f>IFERROR(INDEX(Katalog!$B$3:$B$12,MATCH(cadangan[[#This Row],[ItemID C]],Katalog!$C$3:$C$12,0)),"-")</f>
        <v>-</v>
      </c>
      <c r="Z741" s="73">
        <f>IFERROR(INDEX(Katalog!$D$3:$D$12,MATCH(cadangan[[#This Row],[ItemID C]],Katalog!$C$3:$C$12,0))*cadangan[[#This Row],[Qty C]],0)</f>
        <v>0</v>
      </c>
      <c r="AA741" s="73">
        <f>IFERROR(cadangan[[#This Row],[Harga Normal C]]-(cadangan[[#This Row],[Harga Normal C]]*cadangan[[#This Row],[Diskon]]),cadangan[[#This Row],[Harga Normal C]])</f>
        <v>0</v>
      </c>
      <c r="AB741" s="73">
        <f>IFERROR(INDEX(Katalog!$F$3:$F$12,MATCH(cadangan[[#This Row],[ItemID C]],Katalog!$C$3:$C$12,0))*cadangan[[#This Row],[Qty C]],0)</f>
        <v>0</v>
      </c>
      <c r="AC741" s="73">
        <f>IFERROR(cadangan[[#This Row],[Harga Diskon C]]-INDEX(Katalog!$E$3:$E$12,MATCH(cadangan[[#This Row],[ItemID C]],Katalog!$C$3:$C$12,0))*cadangan[[#This Row],[Qty C]],0)</f>
        <v>0</v>
      </c>
      <c r="AD741" s="53">
        <f>cadangan[[#This Row],[Qty A]]+cadangan[[#This Row],[Qty B]]+cadangan[[#This Row],[Qty C]]</f>
        <v>4</v>
      </c>
      <c r="AE741" s="73">
        <f>cadangan[[#This Row],[Harga Normal A]]+cadangan[[#This Row],[Harga Normal B]]+cadangan[[#This Row],[Harga Normal C]]</f>
        <v>1400000</v>
      </c>
      <c r="AF741" s="73">
        <f>cadangan[[#This Row],[Harga Diskon A]]+cadangan[[#This Row],[Harga Diskon B]]+cadangan[[#This Row],[Harga Diskon C]]</f>
        <v>1260000</v>
      </c>
      <c r="AG741" s="73">
        <f>(cadangan[[#This Row],[Profit Normal A]]+cadangan[[#This Row],[Profit Normal B]]+cadangan[[#This Row],[Profit Normal C]])</f>
        <v>560000</v>
      </c>
      <c r="AH741" s="73">
        <f>cadangan[[#This Row],[Profit Diskon A]]+cadangan[[#This Row],[Profit Diskon B]]+cadangan[[#This Row],[Profit Diskon C]]</f>
        <v>420000</v>
      </c>
      <c r="AI741" s="23" t="s">
        <v>6</v>
      </c>
      <c r="AJ741" s="37">
        <f>IFERROR(INDEX('Kode Diskon'!$D$3:$D$9,MATCH(cadangan[[#This Row],[Kode diskon]],'Kode Diskon'!$C$3:$C$9,0)),"-")</f>
        <v>0.1</v>
      </c>
      <c r="AK741" s="23" t="s">
        <v>29</v>
      </c>
      <c r="AL741" s="23" t="s">
        <v>7</v>
      </c>
      <c r="AM741" s="23" t="s">
        <v>77</v>
      </c>
      <c r="AN741" s="55">
        <v>45017</v>
      </c>
      <c r="AO741" s="53">
        <f>DAY(cadangan[[#This Row],[Tanggal terjual]])</f>
        <v>1</v>
      </c>
      <c r="AP741" s="21" t="str">
        <f>TEXT(cadangan[[#This Row],[Tanggal terjual]],"dddd")</f>
        <v>Saturday</v>
      </c>
      <c r="AQ741" s="23" t="str" cm="1">
        <f t="array" ref="AQ7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1" s="61">
        <f>AVERAGE(cadangan[[#This Row],[Rating A]],cadangan[[#This Row],[Rating B]],cadangan[[#This Row],[Rating C]])</f>
        <v>4</v>
      </c>
    </row>
    <row r="742" spans="1:44" x14ac:dyDescent="0.2">
      <c r="A742" s="20">
        <v>741</v>
      </c>
      <c r="B742" s="21" t="str">
        <f>_xlfn.CONCAT("ORD-",INDEX(Helper!$B$2:$B$5,MATCH(cadangan[[#This Row],[Marketplace]],Helper!$A$2:$A$5,0)),TEXT(cadangan[[#This Row],[No]],"0000"),"-",TEXT(cadangan[[#This Row],[Tanggal terjual]],"dd/mm/yy"))</f>
        <v>ORD-SP0741-26/04/23</v>
      </c>
      <c r="C742" s="39" t="s">
        <v>62</v>
      </c>
      <c r="D742" s="39" t="str">
        <f>IFERROR(INDEX(Katalog!$A$3:$A$12,MATCH(cadangan[[#This Row],[ItemID A]],Katalog!$C$3:$C$12,0)),"-")</f>
        <v>Pakaian Pria</v>
      </c>
      <c r="E742" s="39" t="str">
        <f>IFERROR(INDEX(Katalog!$B$3:$B$12,MATCH(cadangan[[#This Row],[ItemID A]],Katalog!$C$3:$C$12,0)),"-")</f>
        <v>Celana Pendek</v>
      </c>
      <c r="F742" s="50">
        <v>2</v>
      </c>
      <c r="G742" s="50">
        <v>4</v>
      </c>
      <c r="H742" s="73">
        <f>IFERROR(INDEX(Katalog!$D$3:$D$12,MATCH(cadangan[[#This Row],[ItemID A]],Katalog!$C$3:$C$12,0))*cadangan[[#This Row],[Qty A]],0)</f>
        <v>360000</v>
      </c>
      <c r="I742" s="73">
        <f>IFERROR(cadangan[[#This Row],[Harga Normal A]]-(cadangan[[#This Row],[Harga Normal A]]*cadangan[[#This Row],[Diskon]]),cadangan[[#This Row],[Harga Normal A]])</f>
        <v>288000</v>
      </c>
      <c r="J742" s="73">
        <f>INDEX(Katalog!$F$3:$F$12,MATCH(cadangan[[#This Row],[ItemID A]],Katalog!$C$3:$C$12,0))*cadangan[[#This Row],[Qty A]]</f>
        <v>140000</v>
      </c>
      <c r="K742" s="73">
        <f>IFERROR(cadangan[[#This Row],[Harga Diskon A]]-INDEX(Katalog!$E$3:$E$12,MATCH(cadangan[[#This Row],[ItemID A]],Katalog!$C$3:$C$12,0))*cadangan[[#This Row],[Qty A]],0)</f>
        <v>68000</v>
      </c>
      <c r="L742" s="39" t="s">
        <v>65</v>
      </c>
      <c r="M742" s="39" t="str">
        <f>IFERROR(INDEX(Katalog!$A$3:$A$12,MATCH(cadangan[[#This Row],[ItemID B]],Katalog!$C$3:$C$12,0)),"-")</f>
        <v>Sepatu Pria</v>
      </c>
      <c r="N742" s="39" t="str">
        <f>IFERROR(INDEX(Katalog!$B$3:$B$12,MATCH(cadangan[[#This Row],[ItemID B]],Katalog!$C$3:$C$12,0)),"-")</f>
        <v>Sneakers</v>
      </c>
      <c r="O742" s="50">
        <v>1</v>
      </c>
      <c r="P742" s="50">
        <v>4</v>
      </c>
      <c r="Q742" s="73">
        <f>IFERROR(INDEX(Katalog!$D$3:$D$12,MATCH(cadangan[[#This Row],[ItemID B]],Katalog!$C$3:$C$12,0))*cadangan[[#This Row],[Qty B]],0)</f>
        <v>500000</v>
      </c>
      <c r="R742" s="73">
        <f>IFERROR(cadangan[[#This Row],[Harga Normal B]]-(cadangan[[#This Row],[Harga Normal B]]*cadangan[[#This Row],[Diskon]]),cadangan[[#This Row],[Harga Normal B]])</f>
        <v>400000</v>
      </c>
      <c r="S742" s="73">
        <f>IFERROR(INDEX(Katalog!$F$3:$F$12,MATCH(cadangan[[#This Row],[ItemID B]],Katalog!$C$3:$C$12,0))*cadangan[[#This Row],[Qty B]],0)</f>
        <v>200000</v>
      </c>
      <c r="T742" s="73">
        <f>IFERROR(cadangan[[#This Row],[Harga Diskon B]]-INDEX(Katalog!$E$3:$E$12,MATCH(cadangan[[#This Row],[ItemID B]],Katalog!$C$3:$C$12,0))*cadangan[[#This Row],[Qty B]],0)</f>
        <v>100000</v>
      </c>
      <c r="U742" s="39" t="s">
        <v>67</v>
      </c>
      <c r="V742" s="39" t="str">
        <f>IFERROR(INDEX(Katalog!$A$3:$A$12,MATCH(cadangan[[#This Row],[ItemID C]],Katalog!$C$3:$C$12,0)),"-")</f>
        <v>Sepatu Wanita</v>
      </c>
      <c r="W742" s="39" t="str">
        <f>IFERROR(INDEX(Katalog!$B$3:$B$12,MATCH(cadangan[[#This Row],[ItemID C]],Katalog!$C$3:$C$12,0)),"-")</f>
        <v>Flat Shoes</v>
      </c>
      <c r="X742" s="50">
        <v>1</v>
      </c>
      <c r="Y742" s="50">
        <v>3</v>
      </c>
      <c r="Z742" s="73">
        <f>IFERROR(INDEX(Katalog!$D$3:$D$12,MATCH(cadangan[[#This Row],[ItemID C]],Katalog!$C$3:$C$12,0))*cadangan[[#This Row],[Qty C]],0)</f>
        <v>250000</v>
      </c>
      <c r="AA742" s="73">
        <f>IFERROR(cadangan[[#This Row],[Harga Normal C]]-(cadangan[[#This Row],[Harga Normal C]]*cadangan[[#This Row],[Diskon]]),cadangan[[#This Row],[Harga Normal C]])</f>
        <v>200000</v>
      </c>
      <c r="AB742" s="73">
        <f>IFERROR(INDEX(Katalog!$F$3:$F$12,MATCH(cadangan[[#This Row],[ItemID C]],Katalog!$C$3:$C$12,0))*cadangan[[#This Row],[Qty C]],0)</f>
        <v>100000</v>
      </c>
      <c r="AC742" s="73">
        <f>IFERROR(cadangan[[#This Row],[Harga Diskon C]]-INDEX(Katalog!$E$3:$E$12,MATCH(cadangan[[#This Row],[ItemID C]],Katalog!$C$3:$C$12,0))*cadangan[[#This Row],[Qty C]],0)</f>
        <v>50000</v>
      </c>
      <c r="AD742" s="53">
        <f>cadangan[[#This Row],[Qty A]]+cadangan[[#This Row],[Qty B]]+cadangan[[#This Row],[Qty C]]</f>
        <v>4</v>
      </c>
      <c r="AE742" s="73">
        <f>cadangan[[#This Row],[Harga Normal A]]+cadangan[[#This Row],[Harga Normal B]]+cadangan[[#This Row],[Harga Normal C]]</f>
        <v>1110000</v>
      </c>
      <c r="AF742" s="73">
        <f>cadangan[[#This Row],[Harga Diskon A]]+cadangan[[#This Row],[Harga Diskon B]]+cadangan[[#This Row],[Harga Diskon C]]</f>
        <v>888000</v>
      </c>
      <c r="AG742" s="73">
        <f>(cadangan[[#This Row],[Profit Normal A]]+cadangan[[#This Row],[Profit Normal B]]+cadangan[[#This Row],[Profit Normal C]])</f>
        <v>440000</v>
      </c>
      <c r="AH742" s="73">
        <f>cadangan[[#This Row],[Profit Diskon A]]+cadangan[[#This Row],[Profit Diskon B]]+cadangan[[#This Row],[Profit Diskon C]]</f>
        <v>218000</v>
      </c>
      <c r="AI742" s="23" t="s">
        <v>8</v>
      </c>
      <c r="AJ742" s="37">
        <f>IFERROR(INDEX('Kode Diskon'!$D$3:$D$9,MATCH(cadangan[[#This Row],[Kode diskon]],'Kode Diskon'!$C$3:$C$9,0)),"-")</f>
        <v>0.2</v>
      </c>
      <c r="AK742" s="23" t="s">
        <v>9</v>
      </c>
      <c r="AL742" s="23" t="s">
        <v>7</v>
      </c>
      <c r="AM742" s="23" t="s">
        <v>77</v>
      </c>
      <c r="AN742" s="55">
        <v>45042</v>
      </c>
      <c r="AO742" s="53">
        <f>DAY(cadangan[[#This Row],[Tanggal terjual]])</f>
        <v>26</v>
      </c>
      <c r="AP742" s="21" t="str">
        <f>TEXT(cadangan[[#This Row],[Tanggal terjual]],"dddd")</f>
        <v>Wednesday</v>
      </c>
      <c r="AQ742" s="23" t="str" cm="1">
        <f t="array" ref="AQ7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42" s="61">
        <f>AVERAGE(cadangan[[#This Row],[Rating A]],cadangan[[#This Row],[Rating B]],cadangan[[#This Row],[Rating C]])</f>
        <v>3.6666666666666665</v>
      </c>
    </row>
    <row r="743" spans="1:44" x14ac:dyDescent="0.2">
      <c r="A743" s="20">
        <v>742</v>
      </c>
      <c r="B743" s="21" t="str">
        <f>_xlfn.CONCAT("ORD-",INDEX(Helper!$B$2:$B$5,MATCH(cadangan[[#This Row],[Marketplace]],Helper!$A$2:$A$5,0)),TEXT(cadangan[[#This Row],[No]],"0000"),"-",TEXT(cadangan[[#This Row],[Tanggal terjual]],"dd/mm/yy"))</f>
        <v>ORD-TK0742-03/04/23</v>
      </c>
      <c r="C743" s="39" t="s">
        <v>59</v>
      </c>
      <c r="D743" s="39" t="str">
        <f>IFERROR(INDEX(Katalog!$A$3:$A$12,MATCH(cadangan[[#This Row],[ItemID A]],Katalog!$C$3:$C$12,0)),"-")</f>
        <v>Pakaian Wanita</v>
      </c>
      <c r="E743" s="39" t="str">
        <f>IFERROR(INDEX(Katalog!$B$3:$B$12,MATCH(cadangan[[#This Row],[ItemID A]],Katalog!$C$3:$C$12,0)),"-")</f>
        <v>Blouse</v>
      </c>
      <c r="F743" s="50">
        <v>1</v>
      </c>
      <c r="G743" s="50">
        <v>1</v>
      </c>
      <c r="H743" s="73">
        <f>IFERROR(INDEX(Katalog!$D$3:$D$12,MATCH(cadangan[[#This Row],[ItemID A]],Katalog!$C$3:$C$12,0))*cadangan[[#This Row],[Qty A]],0)</f>
        <v>150000</v>
      </c>
      <c r="I743" s="73">
        <f>IFERROR(cadangan[[#This Row],[Harga Normal A]]-(cadangan[[#This Row],[Harga Normal A]]*cadangan[[#This Row],[Diskon]]),cadangan[[#This Row],[Harga Normal A]])</f>
        <v>135000</v>
      </c>
      <c r="J743" s="73">
        <f>INDEX(Katalog!$F$3:$F$12,MATCH(cadangan[[#This Row],[ItemID A]],Katalog!$C$3:$C$12,0))*cadangan[[#This Row],[Qty A]]</f>
        <v>50000</v>
      </c>
      <c r="K743" s="73">
        <f>IFERROR(cadangan[[#This Row],[Harga Diskon A]]-INDEX(Katalog!$E$3:$E$12,MATCH(cadangan[[#This Row],[ItemID A]],Katalog!$C$3:$C$12,0))*cadangan[[#This Row],[Qty A]],0)</f>
        <v>35000</v>
      </c>
      <c r="L743" s="39" t="s">
        <v>62</v>
      </c>
      <c r="M743" s="39" t="str">
        <f>IFERROR(INDEX(Katalog!$A$3:$A$12,MATCH(cadangan[[#This Row],[ItemID B]],Katalog!$C$3:$C$12,0)),"-")</f>
        <v>Pakaian Pria</v>
      </c>
      <c r="N743" s="39" t="str">
        <f>IFERROR(INDEX(Katalog!$B$3:$B$12,MATCH(cadangan[[#This Row],[ItemID B]],Katalog!$C$3:$C$12,0)),"-")</f>
        <v>Celana Pendek</v>
      </c>
      <c r="O743" s="50">
        <v>2</v>
      </c>
      <c r="P743" s="50">
        <v>4</v>
      </c>
      <c r="Q743" s="73">
        <f>IFERROR(INDEX(Katalog!$D$3:$D$12,MATCH(cadangan[[#This Row],[ItemID B]],Katalog!$C$3:$C$12,0))*cadangan[[#This Row],[Qty B]],0)</f>
        <v>360000</v>
      </c>
      <c r="R743" s="73">
        <f>IFERROR(cadangan[[#This Row],[Harga Normal B]]-(cadangan[[#This Row],[Harga Normal B]]*cadangan[[#This Row],[Diskon]]),cadangan[[#This Row],[Harga Normal B]])</f>
        <v>324000</v>
      </c>
      <c r="S743" s="73">
        <f>IFERROR(INDEX(Katalog!$F$3:$F$12,MATCH(cadangan[[#This Row],[ItemID B]],Katalog!$C$3:$C$12,0))*cadangan[[#This Row],[Qty B]],0)</f>
        <v>140000</v>
      </c>
      <c r="T743" s="73">
        <f>IFERROR(cadangan[[#This Row],[Harga Diskon B]]-INDEX(Katalog!$E$3:$E$12,MATCH(cadangan[[#This Row],[ItemID B]],Katalog!$C$3:$C$12,0))*cadangan[[#This Row],[Qty B]],0)</f>
        <v>104000</v>
      </c>
      <c r="U743" s="39" t="s">
        <v>66</v>
      </c>
      <c r="V743" s="39" t="str">
        <f>IFERROR(INDEX(Katalog!$A$3:$A$12,MATCH(cadangan[[#This Row],[ItemID C]],Katalog!$C$3:$C$12,0)),"-")</f>
        <v>Sepatu Pria</v>
      </c>
      <c r="W743" s="39" t="str">
        <f>IFERROR(INDEX(Katalog!$B$3:$B$12,MATCH(cadangan[[#This Row],[ItemID C]],Katalog!$C$3:$C$12,0)),"-")</f>
        <v>Sandal Slip On</v>
      </c>
      <c r="X743" s="50">
        <v>1</v>
      </c>
      <c r="Y743" s="50">
        <v>1</v>
      </c>
      <c r="Z743" s="73">
        <f>IFERROR(INDEX(Katalog!$D$3:$D$12,MATCH(cadangan[[#This Row],[ItemID C]],Katalog!$C$3:$C$12,0))*cadangan[[#This Row],[Qty C]],0)</f>
        <v>150000</v>
      </c>
      <c r="AA743" s="73">
        <f>IFERROR(cadangan[[#This Row],[Harga Normal C]]-(cadangan[[#This Row],[Harga Normal C]]*cadangan[[#This Row],[Diskon]]),cadangan[[#This Row],[Harga Normal C]])</f>
        <v>135000</v>
      </c>
      <c r="AB743" s="73">
        <f>IFERROR(INDEX(Katalog!$F$3:$F$12,MATCH(cadangan[[#This Row],[ItemID C]],Katalog!$C$3:$C$12,0))*cadangan[[#This Row],[Qty C]],0)</f>
        <v>60000</v>
      </c>
      <c r="AC743" s="73">
        <f>IFERROR(cadangan[[#This Row],[Harga Diskon C]]-INDEX(Katalog!$E$3:$E$12,MATCH(cadangan[[#This Row],[ItemID C]],Katalog!$C$3:$C$12,0))*cadangan[[#This Row],[Qty C]],0)</f>
        <v>45000</v>
      </c>
      <c r="AD743" s="53">
        <f>cadangan[[#This Row],[Qty A]]+cadangan[[#This Row],[Qty B]]+cadangan[[#This Row],[Qty C]]</f>
        <v>4</v>
      </c>
      <c r="AE743" s="73">
        <f>cadangan[[#This Row],[Harga Normal A]]+cadangan[[#This Row],[Harga Normal B]]+cadangan[[#This Row],[Harga Normal C]]</f>
        <v>660000</v>
      </c>
      <c r="AF743" s="73">
        <f>cadangan[[#This Row],[Harga Diskon A]]+cadangan[[#This Row],[Harga Diskon B]]+cadangan[[#This Row],[Harga Diskon C]]</f>
        <v>594000</v>
      </c>
      <c r="AG743" s="73">
        <f>(cadangan[[#This Row],[Profit Normal A]]+cadangan[[#This Row],[Profit Normal B]]+cadangan[[#This Row],[Profit Normal C]])</f>
        <v>250000</v>
      </c>
      <c r="AH743" s="73">
        <f>cadangan[[#This Row],[Profit Diskon A]]+cadangan[[#This Row],[Profit Diskon B]]+cadangan[[#This Row],[Profit Diskon C]]</f>
        <v>184000</v>
      </c>
      <c r="AI743" s="23" t="s">
        <v>30</v>
      </c>
      <c r="AJ743" s="37">
        <f>IFERROR(INDEX('Kode Diskon'!$D$3:$D$9,MATCH(cadangan[[#This Row],[Kode diskon]],'Kode Diskon'!$C$3:$C$9,0)),"-")</f>
        <v>0.1</v>
      </c>
      <c r="AK743" s="23" t="s">
        <v>29</v>
      </c>
      <c r="AL743" s="23" t="s">
        <v>10</v>
      </c>
      <c r="AM743" s="23" t="s">
        <v>80</v>
      </c>
      <c r="AN743" s="55">
        <v>45019</v>
      </c>
      <c r="AO743" s="53">
        <f>DAY(cadangan[[#This Row],[Tanggal terjual]])</f>
        <v>3</v>
      </c>
      <c r="AP743" s="21" t="str">
        <f>TEXT(cadangan[[#This Row],[Tanggal terjual]],"dddd")</f>
        <v>Monday</v>
      </c>
      <c r="AQ743" s="23" t="str" cm="1">
        <f t="array" ref="AQ7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3" s="61">
        <f>AVERAGE(cadangan[[#This Row],[Rating A]],cadangan[[#This Row],[Rating B]],cadangan[[#This Row],[Rating C]])</f>
        <v>2</v>
      </c>
    </row>
    <row r="744" spans="1:44" x14ac:dyDescent="0.2">
      <c r="A744" s="20">
        <v>743</v>
      </c>
      <c r="B744" s="21" t="str">
        <f>_xlfn.CONCAT("ORD-",INDEX(Helper!$B$2:$B$5,MATCH(cadangan[[#This Row],[Marketplace]],Helper!$A$2:$A$5,0)),TEXT(cadangan[[#This Row],[No]],"0000"),"-",TEXT(cadangan[[#This Row],[Tanggal terjual]],"dd/mm/yy"))</f>
        <v>ORD-BL0743-18/04/23</v>
      </c>
      <c r="C744" s="39" t="s">
        <v>64</v>
      </c>
      <c r="D744" s="39" t="str">
        <f>IFERROR(INDEX(Katalog!$A$3:$A$12,MATCH(cadangan[[#This Row],[ItemID A]],Katalog!$C$3:$C$12,0)),"-")</f>
        <v>Pakaian Unisex</v>
      </c>
      <c r="E744" s="39" t="str">
        <f>IFERROR(INDEX(Katalog!$B$3:$B$12,MATCH(cadangan[[#This Row],[ItemID A]],Katalog!$C$3:$C$12,0)),"-")</f>
        <v>Jaket Hoodie</v>
      </c>
      <c r="F744" s="50">
        <v>3</v>
      </c>
      <c r="G744" s="50">
        <v>2</v>
      </c>
      <c r="H744" s="73">
        <f>IFERROR(INDEX(Katalog!$D$3:$D$12,MATCH(cadangan[[#This Row],[ItemID A]],Katalog!$C$3:$C$12,0))*cadangan[[#This Row],[Qty A]],0)</f>
        <v>1050000</v>
      </c>
      <c r="I744" s="73">
        <f>IFERROR(cadangan[[#This Row],[Harga Normal A]]-(cadangan[[#This Row],[Harga Normal A]]*cadangan[[#This Row],[Diskon]]),cadangan[[#This Row],[Harga Normal A]])</f>
        <v>892500</v>
      </c>
      <c r="J744" s="73">
        <f>INDEX(Katalog!$F$3:$F$12,MATCH(cadangan[[#This Row],[ItemID A]],Katalog!$C$3:$C$12,0))*cadangan[[#This Row],[Qty A]]</f>
        <v>390000</v>
      </c>
      <c r="K744" s="73">
        <f>IFERROR(cadangan[[#This Row],[Harga Diskon A]]-INDEX(Katalog!$E$3:$E$12,MATCH(cadangan[[#This Row],[ItemID A]],Katalog!$C$3:$C$12,0))*cadangan[[#This Row],[Qty A]],0)</f>
        <v>232500</v>
      </c>
      <c r="M744" s="39" t="str">
        <f>IFERROR(INDEX(Katalog!$A$3:$A$12,MATCH(cadangan[[#This Row],[ItemID B]],Katalog!$C$3:$C$12,0)),"-")</f>
        <v>-</v>
      </c>
      <c r="N744" s="39" t="str">
        <f>IFERROR(INDEX(Katalog!$B$3:$B$12,MATCH(cadangan[[#This Row],[ItemID B]],Katalog!$C$3:$C$12,0)),"-")</f>
        <v>-</v>
      </c>
      <c r="Q744" s="73">
        <f>IFERROR(INDEX(Katalog!$D$3:$D$12,MATCH(cadangan[[#This Row],[ItemID B]],Katalog!$C$3:$C$12,0))*cadangan[[#This Row],[Qty B]],0)</f>
        <v>0</v>
      </c>
      <c r="R744" s="73">
        <f>IFERROR(cadangan[[#This Row],[Harga Normal B]]-(cadangan[[#This Row],[Harga Normal B]]*cadangan[[#This Row],[Diskon]]),cadangan[[#This Row],[Harga Normal B]])</f>
        <v>0</v>
      </c>
      <c r="S744" s="73">
        <f>IFERROR(INDEX(Katalog!$F$3:$F$12,MATCH(cadangan[[#This Row],[ItemID B]],Katalog!$C$3:$C$12,0))*cadangan[[#This Row],[Qty B]],0)</f>
        <v>0</v>
      </c>
      <c r="T744" s="73">
        <f>IFERROR(cadangan[[#This Row],[Harga Diskon B]]-INDEX(Katalog!$E$3:$E$12,MATCH(cadangan[[#This Row],[ItemID B]],Katalog!$C$3:$C$12,0))*cadangan[[#This Row],[Qty B]],0)</f>
        <v>0</v>
      </c>
      <c r="V744" s="39" t="str">
        <f>IFERROR(INDEX(Katalog!$A$3:$A$12,MATCH(cadangan[[#This Row],[ItemID C]],Katalog!$C$3:$C$12,0)),"-")</f>
        <v>-</v>
      </c>
      <c r="W744" s="39" t="str">
        <f>IFERROR(INDEX(Katalog!$B$3:$B$12,MATCH(cadangan[[#This Row],[ItemID C]],Katalog!$C$3:$C$12,0)),"-")</f>
        <v>-</v>
      </c>
      <c r="Z744" s="73">
        <f>IFERROR(INDEX(Katalog!$D$3:$D$12,MATCH(cadangan[[#This Row],[ItemID C]],Katalog!$C$3:$C$12,0))*cadangan[[#This Row],[Qty C]],0)</f>
        <v>0</v>
      </c>
      <c r="AA744" s="73">
        <f>IFERROR(cadangan[[#This Row],[Harga Normal C]]-(cadangan[[#This Row],[Harga Normal C]]*cadangan[[#This Row],[Diskon]]),cadangan[[#This Row],[Harga Normal C]])</f>
        <v>0</v>
      </c>
      <c r="AB744" s="73">
        <f>IFERROR(INDEX(Katalog!$F$3:$F$12,MATCH(cadangan[[#This Row],[ItemID C]],Katalog!$C$3:$C$12,0))*cadangan[[#This Row],[Qty C]],0)</f>
        <v>0</v>
      </c>
      <c r="AC744" s="73">
        <f>IFERROR(cadangan[[#This Row],[Harga Diskon C]]-INDEX(Katalog!$E$3:$E$12,MATCH(cadangan[[#This Row],[ItemID C]],Katalog!$C$3:$C$12,0))*cadangan[[#This Row],[Qty C]],0)</f>
        <v>0</v>
      </c>
      <c r="AD744" s="53">
        <f>cadangan[[#This Row],[Qty A]]+cadangan[[#This Row],[Qty B]]+cadangan[[#This Row],[Qty C]]</f>
        <v>3</v>
      </c>
      <c r="AE744" s="73">
        <f>cadangan[[#This Row],[Harga Normal A]]+cadangan[[#This Row],[Harga Normal B]]+cadangan[[#This Row],[Harga Normal C]]</f>
        <v>1050000</v>
      </c>
      <c r="AF744" s="73">
        <f>cadangan[[#This Row],[Harga Diskon A]]+cadangan[[#This Row],[Harga Diskon B]]+cadangan[[#This Row],[Harga Diskon C]]</f>
        <v>892500</v>
      </c>
      <c r="AG744" s="73">
        <f>(cadangan[[#This Row],[Profit Normal A]]+cadangan[[#This Row],[Profit Normal B]]+cadangan[[#This Row],[Profit Normal C]])</f>
        <v>390000</v>
      </c>
      <c r="AH744" s="73">
        <f>cadangan[[#This Row],[Profit Diskon A]]+cadangan[[#This Row],[Profit Diskon B]]+cadangan[[#This Row],[Profit Diskon C]]</f>
        <v>232500</v>
      </c>
      <c r="AI744" s="23" t="s">
        <v>32</v>
      </c>
      <c r="AJ744" s="37">
        <f>IFERROR(INDEX('Kode Diskon'!$D$3:$D$9,MATCH(cadangan[[#This Row],[Kode diskon]],'Kode Diskon'!$C$3:$C$9,0)),"-")</f>
        <v>0.15</v>
      </c>
      <c r="AK744" s="23" t="s">
        <v>9</v>
      </c>
      <c r="AL744" s="23" t="s">
        <v>12</v>
      </c>
      <c r="AM744" s="23" t="s">
        <v>76</v>
      </c>
      <c r="AN744" s="55">
        <v>45034</v>
      </c>
      <c r="AO744" s="53">
        <f>DAY(cadangan[[#This Row],[Tanggal terjual]])</f>
        <v>18</v>
      </c>
      <c r="AP744" s="21" t="str">
        <f>TEXT(cadangan[[#This Row],[Tanggal terjual]],"dddd")</f>
        <v>Tuesday</v>
      </c>
      <c r="AQ744" s="23" t="str" cm="1">
        <f t="array" ref="AQ7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44" s="61">
        <f>AVERAGE(cadangan[[#This Row],[Rating A]],cadangan[[#This Row],[Rating B]],cadangan[[#This Row],[Rating C]])</f>
        <v>2</v>
      </c>
    </row>
    <row r="745" spans="1:44" x14ac:dyDescent="0.2">
      <c r="A745" s="20">
        <v>744</v>
      </c>
      <c r="B745" s="21" t="str">
        <f>_xlfn.CONCAT("ORD-",INDEX(Helper!$B$2:$B$5,MATCH(cadangan[[#This Row],[Marketplace]],Helper!$A$2:$A$5,0)),TEXT(cadangan[[#This Row],[No]],"0000"),"-",TEXT(cadangan[[#This Row],[Tanggal terjual]],"dd/mm/yy"))</f>
        <v>ORD-BB0744-02/04/23</v>
      </c>
      <c r="C745" s="39" t="s">
        <v>63</v>
      </c>
      <c r="D745" s="39" t="str">
        <f>IFERROR(INDEX(Katalog!$A$3:$A$12,MATCH(cadangan[[#This Row],[ItemID A]],Katalog!$C$3:$C$12,0)),"-")</f>
        <v>Pakaian Pria</v>
      </c>
      <c r="E745" s="39" t="str">
        <f>IFERROR(INDEX(Katalog!$B$3:$B$12,MATCH(cadangan[[#This Row],[ItemID A]],Katalog!$C$3:$C$12,0)),"-")</f>
        <v>Jaket Jeans</v>
      </c>
      <c r="F745" s="50">
        <v>1</v>
      </c>
      <c r="G745" s="50">
        <v>1</v>
      </c>
      <c r="H745" s="73">
        <f>IFERROR(INDEX(Katalog!$D$3:$D$12,MATCH(cadangan[[#This Row],[ItemID A]],Katalog!$C$3:$C$12,0))*cadangan[[#This Row],[Qty A]],0)</f>
        <v>400000</v>
      </c>
      <c r="I745" s="73">
        <f>IFERROR(cadangan[[#This Row],[Harga Normal A]]-(cadangan[[#This Row],[Harga Normal A]]*cadangan[[#This Row],[Diskon]]),cadangan[[#This Row],[Harga Normal A]])</f>
        <v>340000</v>
      </c>
      <c r="J745" s="73">
        <f>INDEX(Katalog!$F$3:$F$12,MATCH(cadangan[[#This Row],[ItemID A]],Katalog!$C$3:$C$12,0))*cadangan[[#This Row],[Qty A]]</f>
        <v>150000</v>
      </c>
      <c r="K745" s="73">
        <f>IFERROR(cadangan[[#This Row],[Harga Diskon A]]-INDEX(Katalog!$E$3:$E$12,MATCH(cadangan[[#This Row],[ItemID A]],Katalog!$C$3:$C$12,0))*cadangan[[#This Row],[Qty A]],0)</f>
        <v>90000</v>
      </c>
      <c r="L745" s="39" t="s">
        <v>61</v>
      </c>
      <c r="M745" s="39" t="str">
        <f>IFERROR(INDEX(Katalog!$A$3:$A$12,MATCH(cadangan[[#This Row],[ItemID B]],Katalog!$C$3:$C$12,0)),"-")</f>
        <v>Pakaian Pria</v>
      </c>
      <c r="N745" s="39" t="str">
        <f>IFERROR(INDEX(Katalog!$B$3:$B$12,MATCH(cadangan[[#This Row],[ItemID B]],Katalog!$C$3:$C$12,0)),"-")</f>
        <v>Kaos Polo</v>
      </c>
      <c r="O745" s="50">
        <v>1</v>
      </c>
      <c r="P745" s="50">
        <v>4</v>
      </c>
      <c r="Q745" s="73">
        <f>IFERROR(INDEX(Katalog!$D$3:$D$12,MATCH(cadangan[[#This Row],[ItemID B]],Katalog!$C$3:$C$12,0))*cadangan[[#This Row],[Qty B]],0)</f>
        <v>200000</v>
      </c>
      <c r="R745" s="73">
        <f>IFERROR(cadangan[[#This Row],[Harga Normal B]]-(cadangan[[#This Row],[Harga Normal B]]*cadangan[[#This Row],[Diskon]]),cadangan[[#This Row],[Harga Normal B]])</f>
        <v>170000</v>
      </c>
      <c r="S745" s="73">
        <f>IFERROR(INDEX(Katalog!$F$3:$F$12,MATCH(cadangan[[#This Row],[ItemID B]],Katalog!$C$3:$C$12,0))*cadangan[[#This Row],[Qty B]],0)</f>
        <v>80000</v>
      </c>
      <c r="T745" s="73">
        <f>IFERROR(cadangan[[#This Row],[Harga Diskon B]]-INDEX(Katalog!$E$3:$E$12,MATCH(cadangan[[#This Row],[ItemID B]],Katalog!$C$3:$C$12,0))*cadangan[[#This Row],[Qty B]],0)</f>
        <v>50000</v>
      </c>
      <c r="U745" s="39" t="s">
        <v>60</v>
      </c>
      <c r="V745" s="39" t="str">
        <f>IFERROR(INDEX(Katalog!$A$3:$A$12,MATCH(cadangan[[#This Row],[ItemID C]],Katalog!$C$3:$C$12,0)),"-")</f>
        <v>Pakaian Wanita</v>
      </c>
      <c r="W745" s="39" t="str">
        <f>IFERROR(INDEX(Katalog!$B$3:$B$12,MATCH(cadangan[[#This Row],[ItemID C]],Katalog!$C$3:$C$12,0)),"-")</f>
        <v>Kaftan</v>
      </c>
      <c r="X745" s="50">
        <v>3</v>
      </c>
      <c r="Y745" s="50">
        <v>3</v>
      </c>
      <c r="Z745" s="73">
        <f>IFERROR(INDEX(Katalog!$D$3:$D$12,MATCH(cadangan[[#This Row],[ItemID C]],Katalog!$C$3:$C$12,0))*cadangan[[#This Row],[Qty C]],0)</f>
        <v>750000</v>
      </c>
      <c r="AA745" s="73">
        <f>IFERROR(cadangan[[#This Row],[Harga Normal C]]-(cadangan[[#This Row],[Harga Normal C]]*cadangan[[#This Row],[Diskon]]),cadangan[[#This Row],[Harga Normal C]])</f>
        <v>637500</v>
      </c>
      <c r="AB745" s="73">
        <f>IFERROR(INDEX(Katalog!$F$3:$F$12,MATCH(cadangan[[#This Row],[ItemID C]],Katalog!$C$3:$C$12,0))*cadangan[[#This Row],[Qty C]],0)</f>
        <v>300000</v>
      </c>
      <c r="AC745" s="73">
        <f>IFERROR(cadangan[[#This Row],[Harga Diskon C]]-INDEX(Katalog!$E$3:$E$12,MATCH(cadangan[[#This Row],[ItemID C]],Katalog!$C$3:$C$12,0))*cadangan[[#This Row],[Qty C]],0)</f>
        <v>187500</v>
      </c>
      <c r="AD745" s="53">
        <f>cadangan[[#This Row],[Qty A]]+cadangan[[#This Row],[Qty B]]+cadangan[[#This Row],[Qty C]]</f>
        <v>5</v>
      </c>
      <c r="AE745" s="73">
        <f>cadangan[[#This Row],[Harga Normal A]]+cadangan[[#This Row],[Harga Normal B]]+cadangan[[#This Row],[Harga Normal C]]</f>
        <v>1350000</v>
      </c>
      <c r="AF745" s="73">
        <f>cadangan[[#This Row],[Harga Diskon A]]+cadangan[[#This Row],[Harga Diskon B]]+cadangan[[#This Row],[Harga Diskon C]]</f>
        <v>1147500</v>
      </c>
      <c r="AG745" s="73">
        <f>(cadangan[[#This Row],[Profit Normal A]]+cadangan[[#This Row],[Profit Normal B]]+cadangan[[#This Row],[Profit Normal C]])</f>
        <v>530000</v>
      </c>
      <c r="AH745" s="73">
        <f>cadangan[[#This Row],[Profit Diskon A]]+cadangan[[#This Row],[Profit Diskon B]]+cadangan[[#This Row],[Profit Diskon C]]</f>
        <v>327500</v>
      </c>
      <c r="AI745" s="23" t="s">
        <v>28</v>
      </c>
      <c r="AJ745" s="37">
        <f>IFERROR(INDEX('Kode Diskon'!$D$3:$D$9,MATCH(cadangan[[#This Row],[Kode diskon]],'Kode Diskon'!$C$3:$C$9,0)),"-")</f>
        <v>0.15</v>
      </c>
      <c r="AK745" s="23" t="s">
        <v>29</v>
      </c>
      <c r="AL745" s="23" t="s">
        <v>14</v>
      </c>
      <c r="AM745" s="23" t="s">
        <v>78</v>
      </c>
      <c r="AN745" s="55">
        <v>45018</v>
      </c>
      <c r="AO745" s="53">
        <f>DAY(cadangan[[#This Row],[Tanggal terjual]])</f>
        <v>2</v>
      </c>
      <c r="AP745" s="21" t="str">
        <f>TEXT(cadangan[[#This Row],[Tanggal terjual]],"dddd")</f>
        <v>Sunday</v>
      </c>
      <c r="AQ745" s="23" t="str" cm="1">
        <f t="array" ref="AQ7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5" s="61">
        <f>AVERAGE(cadangan[[#This Row],[Rating A]],cadangan[[#This Row],[Rating B]],cadangan[[#This Row],[Rating C]])</f>
        <v>2.6666666666666665</v>
      </c>
    </row>
    <row r="746" spans="1:44" x14ac:dyDescent="0.2">
      <c r="A746" s="20">
        <v>745</v>
      </c>
      <c r="B746" s="21" t="str">
        <f>_xlfn.CONCAT("ORD-",INDEX(Helper!$B$2:$B$5,MATCH(cadangan[[#This Row],[Marketplace]],Helper!$A$2:$A$5,0)),TEXT(cadangan[[#This Row],[No]],"0000"),"-",TEXT(cadangan[[#This Row],[Tanggal terjual]],"dd/mm/yy"))</f>
        <v>ORD-SP0745-14/04/23</v>
      </c>
      <c r="C746" s="39" t="s">
        <v>59</v>
      </c>
      <c r="D746" s="39" t="str">
        <f>IFERROR(INDEX(Katalog!$A$3:$A$12,MATCH(cadangan[[#This Row],[ItemID A]],Katalog!$C$3:$C$12,0)),"-")</f>
        <v>Pakaian Wanita</v>
      </c>
      <c r="E746" s="39" t="str">
        <f>IFERROR(INDEX(Katalog!$B$3:$B$12,MATCH(cadangan[[#This Row],[ItemID A]],Katalog!$C$3:$C$12,0)),"-")</f>
        <v>Blouse</v>
      </c>
      <c r="F746" s="50">
        <v>1</v>
      </c>
      <c r="G746" s="50">
        <v>2</v>
      </c>
      <c r="H746" s="73">
        <f>IFERROR(INDEX(Katalog!$D$3:$D$12,MATCH(cadangan[[#This Row],[ItemID A]],Katalog!$C$3:$C$12,0))*cadangan[[#This Row],[Qty A]],0)</f>
        <v>150000</v>
      </c>
      <c r="I746" s="73">
        <f>IFERROR(cadangan[[#This Row],[Harga Normal A]]-(cadangan[[#This Row],[Harga Normal A]]*cadangan[[#This Row],[Diskon]]),cadangan[[#This Row],[Harga Normal A]])</f>
        <v>150000</v>
      </c>
      <c r="J746" s="73">
        <f>INDEX(Katalog!$F$3:$F$12,MATCH(cadangan[[#This Row],[ItemID A]],Katalog!$C$3:$C$12,0))*cadangan[[#This Row],[Qty A]]</f>
        <v>50000</v>
      </c>
      <c r="K746" s="73">
        <f>IFERROR(cadangan[[#This Row],[Harga Diskon A]]-INDEX(Katalog!$E$3:$E$12,MATCH(cadangan[[#This Row],[ItemID A]],Katalog!$C$3:$C$12,0))*cadangan[[#This Row],[Qty A]],0)</f>
        <v>50000</v>
      </c>
      <c r="M746" s="39" t="str">
        <f>IFERROR(INDEX(Katalog!$A$3:$A$12,MATCH(cadangan[[#This Row],[ItemID B]],Katalog!$C$3:$C$12,0)),"-")</f>
        <v>-</v>
      </c>
      <c r="N746" s="39" t="str">
        <f>IFERROR(INDEX(Katalog!$B$3:$B$12,MATCH(cadangan[[#This Row],[ItemID B]],Katalog!$C$3:$C$12,0)),"-")</f>
        <v>-</v>
      </c>
      <c r="Q746" s="73">
        <f>IFERROR(INDEX(Katalog!$D$3:$D$12,MATCH(cadangan[[#This Row],[ItemID B]],Katalog!$C$3:$C$12,0))*cadangan[[#This Row],[Qty B]],0)</f>
        <v>0</v>
      </c>
      <c r="R746" s="73">
        <f>IFERROR(cadangan[[#This Row],[Harga Normal B]]-(cadangan[[#This Row],[Harga Normal B]]*cadangan[[#This Row],[Diskon]]),cadangan[[#This Row],[Harga Normal B]])</f>
        <v>0</v>
      </c>
      <c r="S746" s="73">
        <f>IFERROR(INDEX(Katalog!$F$3:$F$12,MATCH(cadangan[[#This Row],[ItemID B]],Katalog!$C$3:$C$12,0))*cadangan[[#This Row],[Qty B]],0)</f>
        <v>0</v>
      </c>
      <c r="T746" s="73">
        <f>IFERROR(cadangan[[#This Row],[Harga Diskon B]]-INDEX(Katalog!$E$3:$E$12,MATCH(cadangan[[#This Row],[ItemID B]],Katalog!$C$3:$C$12,0))*cadangan[[#This Row],[Qty B]],0)</f>
        <v>0</v>
      </c>
      <c r="V746" s="39" t="str">
        <f>IFERROR(INDEX(Katalog!$A$3:$A$12,MATCH(cadangan[[#This Row],[ItemID C]],Katalog!$C$3:$C$12,0)),"-")</f>
        <v>-</v>
      </c>
      <c r="W746" s="39" t="str">
        <f>IFERROR(INDEX(Katalog!$B$3:$B$12,MATCH(cadangan[[#This Row],[ItemID C]],Katalog!$C$3:$C$12,0)),"-")</f>
        <v>-</v>
      </c>
      <c r="Z746" s="73">
        <f>IFERROR(INDEX(Katalog!$D$3:$D$12,MATCH(cadangan[[#This Row],[ItemID C]],Katalog!$C$3:$C$12,0))*cadangan[[#This Row],[Qty C]],0)</f>
        <v>0</v>
      </c>
      <c r="AA746" s="73">
        <f>IFERROR(cadangan[[#This Row],[Harga Normal C]]-(cadangan[[#This Row],[Harga Normal C]]*cadangan[[#This Row],[Diskon]]),cadangan[[#This Row],[Harga Normal C]])</f>
        <v>0</v>
      </c>
      <c r="AB746" s="73">
        <f>IFERROR(INDEX(Katalog!$F$3:$F$12,MATCH(cadangan[[#This Row],[ItemID C]],Katalog!$C$3:$C$12,0))*cadangan[[#This Row],[Qty C]],0)</f>
        <v>0</v>
      </c>
      <c r="AC746" s="73">
        <f>IFERROR(cadangan[[#This Row],[Harga Diskon C]]-INDEX(Katalog!$E$3:$E$12,MATCH(cadangan[[#This Row],[ItemID C]],Katalog!$C$3:$C$12,0))*cadangan[[#This Row],[Qty C]],0)</f>
        <v>0</v>
      </c>
      <c r="AD746" s="53">
        <f>cadangan[[#This Row],[Qty A]]+cadangan[[#This Row],[Qty B]]+cadangan[[#This Row],[Qty C]]</f>
        <v>1</v>
      </c>
      <c r="AE746" s="73">
        <f>cadangan[[#This Row],[Harga Normal A]]+cadangan[[#This Row],[Harga Normal B]]+cadangan[[#This Row],[Harga Normal C]]</f>
        <v>150000</v>
      </c>
      <c r="AF746" s="73">
        <f>cadangan[[#This Row],[Harga Diskon A]]+cadangan[[#This Row],[Harga Diskon B]]+cadangan[[#This Row],[Harga Diskon C]]</f>
        <v>150000</v>
      </c>
      <c r="AG746" s="73">
        <f>(cadangan[[#This Row],[Profit Normal A]]+cadangan[[#This Row],[Profit Normal B]]+cadangan[[#This Row],[Profit Normal C]])</f>
        <v>50000</v>
      </c>
      <c r="AH746" s="73">
        <f>cadangan[[#This Row],[Profit Diskon A]]+cadangan[[#This Row],[Profit Diskon B]]+cadangan[[#This Row],[Profit Diskon C]]</f>
        <v>50000</v>
      </c>
      <c r="AI746" s="23" t="s">
        <v>290</v>
      </c>
      <c r="AJ746" s="37" t="str">
        <f>IFERROR(INDEX('Kode Diskon'!$D$3:$D$9,MATCH(cadangan[[#This Row],[Kode diskon]],'Kode Diskon'!$C$3:$C$9,0)),"-")</f>
        <v>-</v>
      </c>
      <c r="AK746" s="23" t="s">
        <v>290</v>
      </c>
      <c r="AL746" s="23" t="s">
        <v>7</v>
      </c>
      <c r="AM746" s="23" t="s">
        <v>79</v>
      </c>
      <c r="AN746" s="55">
        <v>45030</v>
      </c>
      <c r="AO746" s="53">
        <f>DAY(cadangan[[#This Row],[Tanggal terjual]])</f>
        <v>14</v>
      </c>
      <c r="AP746" s="21" t="str">
        <f>TEXT(cadangan[[#This Row],[Tanggal terjual]],"dddd")</f>
        <v>Friday</v>
      </c>
      <c r="AQ746" s="23" t="str" cm="1">
        <f t="array" ref="AQ7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46" s="61">
        <f>AVERAGE(cadangan[[#This Row],[Rating A]],cadangan[[#This Row],[Rating B]],cadangan[[#This Row],[Rating C]])</f>
        <v>2</v>
      </c>
    </row>
    <row r="747" spans="1:44" x14ac:dyDescent="0.2">
      <c r="A747" s="20">
        <v>746</v>
      </c>
      <c r="B747" s="21" t="str">
        <f>_xlfn.CONCAT("ORD-",INDEX(Helper!$B$2:$B$5,MATCH(cadangan[[#This Row],[Marketplace]],Helper!$A$2:$A$5,0)),TEXT(cadangan[[#This Row],[No]],"0000"),"-",TEXT(cadangan[[#This Row],[Tanggal terjual]],"dd/mm/yy"))</f>
        <v>ORD-SP0746-05/04/23</v>
      </c>
      <c r="C747" s="39" t="s">
        <v>63</v>
      </c>
      <c r="D747" s="39" t="str">
        <f>IFERROR(INDEX(Katalog!$A$3:$A$12,MATCH(cadangan[[#This Row],[ItemID A]],Katalog!$C$3:$C$12,0)),"-")</f>
        <v>Pakaian Pria</v>
      </c>
      <c r="E747" s="39" t="str">
        <f>IFERROR(INDEX(Katalog!$B$3:$B$12,MATCH(cadangan[[#This Row],[ItemID A]],Katalog!$C$3:$C$12,0)),"-")</f>
        <v>Jaket Jeans</v>
      </c>
      <c r="F747" s="50">
        <v>6</v>
      </c>
      <c r="G747" s="50">
        <v>3</v>
      </c>
      <c r="H747" s="73">
        <f>IFERROR(INDEX(Katalog!$D$3:$D$12,MATCH(cadangan[[#This Row],[ItemID A]],Katalog!$C$3:$C$12,0))*cadangan[[#This Row],[Qty A]],0)</f>
        <v>2400000</v>
      </c>
      <c r="I747" s="73">
        <f>IFERROR(cadangan[[#This Row],[Harga Normal A]]-(cadangan[[#This Row],[Harga Normal A]]*cadangan[[#This Row],[Diskon]]),cadangan[[#This Row],[Harga Normal A]])</f>
        <v>2160000</v>
      </c>
      <c r="J747" s="73">
        <f>INDEX(Katalog!$F$3:$F$12,MATCH(cadangan[[#This Row],[ItemID A]],Katalog!$C$3:$C$12,0))*cadangan[[#This Row],[Qty A]]</f>
        <v>900000</v>
      </c>
      <c r="K747" s="73">
        <f>IFERROR(cadangan[[#This Row],[Harga Diskon A]]-INDEX(Katalog!$E$3:$E$12,MATCH(cadangan[[#This Row],[ItemID A]],Katalog!$C$3:$C$12,0))*cadangan[[#This Row],[Qty A]],0)</f>
        <v>660000</v>
      </c>
      <c r="M747" s="39" t="str">
        <f>IFERROR(INDEX(Katalog!$A$3:$A$12,MATCH(cadangan[[#This Row],[ItemID B]],Katalog!$C$3:$C$12,0)),"-")</f>
        <v>-</v>
      </c>
      <c r="N747" s="39" t="str">
        <f>IFERROR(INDEX(Katalog!$B$3:$B$12,MATCH(cadangan[[#This Row],[ItemID B]],Katalog!$C$3:$C$12,0)),"-")</f>
        <v>-</v>
      </c>
      <c r="Q747" s="73">
        <f>IFERROR(INDEX(Katalog!$D$3:$D$12,MATCH(cadangan[[#This Row],[ItemID B]],Katalog!$C$3:$C$12,0))*cadangan[[#This Row],[Qty B]],0)</f>
        <v>0</v>
      </c>
      <c r="R747" s="73">
        <f>IFERROR(cadangan[[#This Row],[Harga Normal B]]-(cadangan[[#This Row],[Harga Normal B]]*cadangan[[#This Row],[Diskon]]),cadangan[[#This Row],[Harga Normal B]])</f>
        <v>0</v>
      </c>
      <c r="S747" s="73">
        <f>IFERROR(INDEX(Katalog!$F$3:$F$12,MATCH(cadangan[[#This Row],[ItemID B]],Katalog!$C$3:$C$12,0))*cadangan[[#This Row],[Qty B]],0)</f>
        <v>0</v>
      </c>
      <c r="T747" s="73">
        <f>IFERROR(cadangan[[#This Row],[Harga Diskon B]]-INDEX(Katalog!$E$3:$E$12,MATCH(cadangan[[#This Row],[ItemID B]],Katalog!$C$3:$C$12,0))*cadangan[[#This Row],[Qty B]],0)</f>
        <v>0</v>
      </c>
      <c r="V747" s="39" t="str">
        <f>IFERROR(INDEX(Katalog!$A$3:$A$12,MATCH(cadangan[[#This Row],[ItemID C]],Katalog!$C$3:$C$12,0)),"-")</f>
        <v>-</v>
      </c>
      <c r="W747" s="39" t="str">
        <f>IFERROR(INDEX(Katalog!$B$3:$B$12,MATCH(cadangan[[#This Row],[ItemID C]],Katalog!$C$3:$C$12,0)),"-")</f>
        <v>-</v>
      </c>
      <c r="Z747" s="73">
        <f>IFERROR(INDEX(Katalog!$D$3:$D$12,MATCH(cadangan[[#This Row],[ItemID C]],Katalog!$C$3:$C$12,0))*cadangan[[#This Row],[Qty C]],0)</f>
        <v>0</v>
      </c>
      <c r="AA747" s="73">
        <f>IFERROR(cadangan[[#This Row],[Harga Normal C]]-(cadangan[[#This Row],[Harga Normal C]]*cadangan[[#This Row],[Diskon]]),cadangan[[#This Row],[Harga Normal C]])</f>
        <v>0</v>
      </c>
      <c r="AB747" s="73">
        <f>IFERROR(INDEX(Katalog!$F$3:$F$12,MATCH(cadangan[[#This Row],[ItemID C]],Katalog!$C$3:$C$12,0))*cadangan[[#This Row],[Qty C]],0)</f>
        <v>0</v>
      </c>
      <c r="AC747" s="73">
        <f>IFERROR(cadangan[[#This Row],[Harga Diskon C]]-INDEX(Katalog!$E$3:$E$12,MATCH(cadangan[[#This Row],[ItemID C]],Katalog!$C$3:$C$12,0))*cadangan[[#This Row],[Qty C]],0)</f>
        <v>0</v>
      </c>
      <c r="AD747" s="53">
        <f>cadangan[[#This Row],[Qty A]]+cadangan[[#This Row],[Qty B]]+cadangan[[#This Row],[Qty C]]</f>
        <v>6</v>
      </c>
      <c r="AE747" s="73">
        <f>cadangan[[#This Row],[Harga Normal A]]+cadangan[[#This Row],[Harga Normal B]]+cadangan[[#This Row],[Harga Normal C]]</f>
        <v>2400000</v>
      </c>
      <c r="AF747" s="73">
        <f>cadangan[[#This Row],[Harga Diskon A]]+cadangan[[#This Row],[Harga Diskon B]]+cadangan[[#This Row],[Harga Diskon C]]</f>
        <v>2160000</v>
      </c>
      <c r="AG747" s="73">
        <f>(cadangan[[#This Row],[Profit Normal A]]+cadangan[[#This Row],[Profit Normal B]]+cadangan[[#This Row],[Profit Normal C]])</f>
        <v>900000</v>
      </c>
      <c r="AH747" s="73">
        <f>cadangan[[#This Row],[Profit Diskon A]]+cadangan[[#This Row],[Profit Diskon B]]+cadangan[[#This Row],[Profit Diskon C]]</f>
        <v>660000</v>
      </c>
      <c r="AI747" s="23" t="s">
        <v>6</v>
      </c>
      <c r="AJ747" s="37">
        <f>IFERROR(INDEX('Kode Diskon'!$D$3:$D$9,MATCH(cadangan[[#This Row],[Kode diskon]],'Kode Diskon'!$C$3:$C$9,0)),"-")</f>
        <v>0.1</v>
      </c>
      <c r="AK747" s="23" t="s">
        <v>29</v>
      </c>
      <c r="AL747" s="23" t="s">
        <v>7</v>
      </c>
      <c r="AM747" s="23" t="s">
        <v>77</v>
      </c>
      <c r="AN747" s="55">
        <v>45021</v>
      </c>
      <c r="AO747" s="53">
        <f>DAY(cadangan[[#This Row],[Tanggal terjual]])</f>
        <v>5</v>
      </c>
      <c r="AP747" s="21" t="str">
        <f>TEXT(cadangan[[#This Row],[Tanggal terjual]],"dddd")</f>
        <v>Wednesday</v>
      </c>
      <c r="AQ747" s="23" t="str" cm="1">
        <f t="array" ref="AQ7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7" s="61">
        <f>AVERAGE(cadangan[[#This Row],[Rating A]],cadangan[[#This Row],[Rating B]],cadangan[[#This Row],[Rating C]])</f>
        <v>3</v>
      </c>
    </row>
    <row r="748" spans="1:44" x14ac:dyDescent="0.2">
      <c r="A748" s="20">
        <v>747</v>
      </c>
      <c r="B748" s="21" t="str">
        <f>_xlfn.CONCAT("ORD-",INDEX(Helper!$B$2:$B$5,MATCH(cadangan[[#This Row],[Marketplace]],Helper!$A$2:$A$5,0)),TEXT(cadangan[[#This Row],[No]],"0000"),"-",TEXT(cadangan[[#This Row],[Tanggal terjual]],"dd/mm/yy"))</f>
        <v>ORD-SP0747-26/04/23</v>
      </c>
      <c r="C748" s="39" t="s">
        <v>60</v>
      </c>
      <c r="D748" s="39" t="str">
        <f>IFERROR(INDEX(Katalog!$A$3:$A$12,MATCH(cadangan[[#This Row],[ItemID A]],Katalog!$C$3:$C$12,0)),"-")</f>
        <v>Pakaian Wanita</v>
      </c>
      <c r="E748" s="39" t="str">
        <f>IFERROR(INDEX(Katalog!$B$3:$B$12,MATCH(cadangan[[#This Row],[ItemID A]],Katalog!$C$3:$C$12,0)),"-")</f>
        <v>Kaftan</v>
      </c>
      <c r="F748" s="50">
        <v>2</v>
      </c>
      <c r="G748" s="50">
        <v>4</v>
      </c>
      <c r="H748" s="73">
        <f>IFERROR(INDEX(Katalog!$D$3:$D$12,MATCH(cadangan[[#This Row],[ItemID A]],Katalog!$C$3:$C$12,0))*cadangan[[#This Row],[Qty A]],0)</f>
        <v>500000</v>
      </c>
      <c r="I748" s="73">
        <f>IFERROR(cadangan[[#This Row],[Harga Normal A]]-(cadangan[[#This Row],[Harga Normal A]]*cadangan[[#This Row],[Diskon]]),cadangan[[#This Row],[Harga Normal A]])</f>
        <v>400000</v>
      </c>
      <c r="J748" s="73">
        <f>INDEX(Katalog!$F$3:$F$12,MATCH(cadangan[[#This Row],[ItemID A]],Katalog!$C$3:$C$12,0))*cadangan[[#This Row],[Qty A]]</f>
        <v>200000</v>
      </c>
      <c r="K748" s="73">
        <f>IFERROR(cadangan[[#This Row],[Harga Diskon A]]-INDEX(Katalog!$E$3:$E$12,MATCH(cadangan[[#This Row],[ItemID A]],Katalog!$C$3:$C$12,0))*cadangan[[#This Row],[Qty A]],0)</f>
        <v>100000</v>
      </c>
      <c r="L748" s="39" t="s">
        <v>58</v>
      </c>
      <c r="M748" s="39" t="str">
        <f>IFERROR(INDEX(Katalog!$A$3:$A$12,MATCH(cadangan[[#This Row],[ItemID B]],Katalog!$C$3:$C$12,0)),"-")</f>
        <v>Pakaian Wanita</v>
      </c>
      <c r="N748" s="39" t="str">
        <f>IFERROR(INDEX(Katalog!$B$3:$B$12,MATCH(cadangan[[#This Row],[ItemID B]],Katalog!$C$3:$C$12,0)),"-")</f>
        <v>Dress</v>
      </c>
      <c r="O748" s="50">
        <v>1</v>
      </c>
      <c r="P748" s="50">
        <v>3</v>
      </c>
      <c r="Q748" s="73">
        <f>IFERROR(INDEX(Katalog!$D$3:$D$12,MATCH(cadangan[[#This Row],[ItemID B]],Katalog!$C$3:$C$12,0))*cadangan[[#This Row],[Qty B]],0)</f>
        <v>300000</v>
      </c>
      <c r="R748" s="73">
        <f>IFERROR(cadangan[[#This Row],[Harga Normal B]]-(cadangan[[#This Row],[Harga Normal B]]*cadangan[[#This Row],[Diskon]]),cadangan[[#This Row],[Harga Normal B]])</f>
        <v>240000</v>
      </c>
      <c r="S748" s="73">
        <f>IFERROR(INDEX(Katalog!$F$3:$F$12,MATCH(cadangan[[#This Row],[ItemID B]],Katalog!$C$3:$C$12,0))*cadangan[[#This Row],[Qty B]],0)</f>
        <v>100000</v>
      </c>
      <c r="T748" s="73">
        <f>IFERROR(cadangan[[#This Row],[Harga Diskon B]]-INDEX(Katalog!$E$3:$E$12,MATCH(cadangan[[#This Row],[ItemID B]],Katalog!$C$3:$C$12,0))*cadangan[[#This Row],[Qty B]],0)</f>
        <v>40000</v>
      </c>
      <c r="U748" s="39" t="s">
        <v>67</v>
      </c>
      <c r="V748" s="39" t="str">
        <f>IFERROR(INDEX(Katalog!$A$3:$A$12,MATCH(cadangan[[#This Row],[ItemID C]],Katalog!$C$3:$C$12,0)),"-")</f>
        <v>Sepatu Wanita</v>
      </c>
      <c r="W748" s="39" t="str">
        <f>IFERROR(INDEX(Katalog!$B$3:$B$12,MATCH(cadangan[[#This Row],[ItemID C]],Katalog!$C$3:$C$12,0)),"-")</f>
        <v>Flat Shoes</v>
      </c>
      <c r="X748" s="50">
        <v>3</v>
      </c>
      <c r="Y748" s="50">
        <v>5</v>
      </c>
      <c r="Z748" s="73">
        <f>IFERROR(INDEX(Katalog!$D$3:$D$12,MATCH(cadangan[[#This Row],[ItemID C]],Katalog!$C$3:$C$12,0))*cadangan[[#This Row],[Qty C]],0)</f>
        <v>750000</v>
      </c>
      <c r="AA748" s="73">
        <f>IFERROR(cadangan[[#This Row],[Harga Normal C]]-(cadangan[[#This Row],[Harga Normal C]]*cadangan[[#This Row],[Diskon]]),cadangan[[#This Row],[Harga Normal C]])</f>
        <v>600000</v>
      </c>
      <c r="AB748" s="73">
        <f>IFERROR(INDEX(Katalog!$F$3:$F$12,MATCH(cadangan[[#This Row],[ItemID C]],Katalog!$C$3:$C$12,0))*cadangan[[#This Row],[Qty C]],0)</f>
        <v>300000</v>
      </c>
      <c r="AC748" s="73">
        <f>IFERROR(cadangan[[#This Row],[Harga Diskon C]]-INDEX(Katalog!$E$3:$E$12,MATCH(cadangan[[#This Row],[ItemID C]],Katalog!$C$3:$C$12,0))*cadangan[[#This Row],[Qty C]],0)</f>
        <v>150000</v>
      </c>
      <c r="AD748" s="53">
        <f>cadangan[[#This Row],[Qty A]]+cadangan[[#This Row],[Qty B]]+cadangan[[#This Row],[Qty C]]</f>
        <v>6</v>
      </c>
      <c r="AE748" s="73">
        <f>cadangan[[#This Row],[Harga Normal A]]+cadangan[[#This Row],[Harga Normal B]]+cadangan[[#This Row],[Harga Normal C]]</f>
        <v>1550000</v>
      </c>
      <c r="AF748" s="73">
        <f>cadangan[[#This Row],[Harga Diskon A]]+cadangan[[#This Row],[Harga Diskon B]]+cadangan[[#This Row],[Harga Diskon C]]</f>
        <v>1240000</v>
      </c>
      <c r="AG748" s="73">
        <f>(cadangan[[#This Row],[Profit Normal A]]+cadangan[[#This Row],[Profit Normal B]]+cadangan[[#This Row],[Profit Normal C]])</f>
        <v>600000</v>
      </c>
      <c r="AH748" s="73">
        <f>cadangan[[#This Row],[Profit Diskon A]]+cadangan[[#This Row],[Profit Diskon B]]+cadangan[[#This Row],[Profit Diskon C]]</f>
        <v>290000</v>
      </c>
      <c r="AI748" s="23" t="s">
        <v>8</v>
      </c>
      <c r="AJ748" s="37">
        <f>IFERROR(INDEX('Kode Diskon'!$D$3:$D$9,MATCH(cadangan[[#This Row],[Kode diskon]],'Kode Diskon'!$C$3:$C$9,0)),"-")</f>
        <v>0.2</v>
      </c>
      <c r="AK748" s="23" t="s">
        <v>9</v>
      </c>
      <c r="AL748" s="23" t="s">
        <v>7</v>
      </c>
      <c r="AM748" s="23" t="s">
        <v>79</v>
      </c>
      <c r="AN748" s="55">
        <v>45042</v>
      </c>
      <c r="AO748" s="53">
        <f>DAY(cadangan[[#This Row],[Tanggal terjual]])</f>
        <v>26</v>
      </c>
      <c r="AP748" s="21" t="str">
        <f>TEXT(cadangan[[#This Row],[Tanggal terjual]],"dddd")</f>
        <v>Wednesday</v>
      </c>
      <c r="AQ748" s="23" t="str" cm="1">
        <f t="array" ref="AQ7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48" s="61">
        <f>AVERAGE(cadangan[[#This Row],[Rating A]],cadangan[[#This Row],[Rating B]],cadangan[[#This Row],[Rating C]])</f>
        <v>4</v>
      </c>
    </row>
    <row r="749" spans="1:44" x14ac:dyDescent="0.2">
      <c r="A749" s="20">
        <v>748</v>
      </c>
      <c r="B749" s="21" t="str">
        <f>_xlfn.CONCAT("ORD-",INDEX(Helper!$B$2:$B$5,MATCH(cadangan[[#This Row],[Marketplace]],Helper!$A$2:$A$5,0)),TEXT(cadangan[[#This Row],[No]],"0000"),"-",TEXT(cadangan[[#This Row],[Tanggal terjual]],"dd/mm/yy"))</f>
        <v>ORD-SP0748-04/04/23</v>
      </c>
      <c r="C749" s="39" t="s">
        <v>66</v>
      </c>
      <c r="D749" s="39" t="str">
        <f>IFERROR(INDEX(Katalog!$A$3:$A$12,MATCH(cadangan[[#This Row],[ItemID A]],Katalog!$C$3:$C$12,0)),"-")</f>
        <v>Sepatu Pria</v>
      </c>
      <c r="E749" s="39" t="str">
        <f>IFERROR(INDEX(Katalog!$B$3:$B$12,MATCH(cadangan[[#This Row],[ItemID A]],Katalog!$C$3:$C$12,0)),"-")</f>
        <v>Sandal Slip On</v>
      </c>
      <c r="F749" s="50">
        <v>2</v>
      </c>
      <c r="G749" s="50">
        <v>2</v>
      </c>
      <c r="H749" s="73">
        <f>IFERROR(INDEX(Katalog!$D$3:$D$12,MATCH(cadangan[[#This Row],[ItemID A]],Katalog!$C$3:$C$12,0))*cadangan[[#This Row],[Qty A]],0)</f>
        <v>300000</v>
      </c>
      <c r="I749" s="73">
        <f>IFERROR(cadangan[[#This Row],[Harga Normal A]]-(cadangan[[#This Row],[Harga Normal A]]*cadangan[[#This Row],[Diskon]]),cadangan[[#This Row],[Harga Normal A]])</f>
        <v>255000</v>
      </c>
      <c r="J749" s="73">
        <f>INDEX(Katalog!$F$3:$F$12,MATCH(cadangan[[#This Row],[ItemID A]],Katalog!$C$3:$C$12,0))*cadangan[[#This Row],[Qty A]]</f>
        <v>120000</v>
      </c>
      <c r="K749" s="73">
        <f>IFERROR(cadangan[[#This Row],[Harga Diskon A]]-INDEX(Katalog!$E$3:$E$12,MATCH(cadangan[[#This Row],[ItemID A]],Katalog!$C$3:$C$12,0))*cadangan[[#This Row],[Qty A]],0)</f>
        <v>75000</v>
      </c>
      <c r="M749" s="39" t="str">
        <f>IFERROR(INDEX(Katalog!$A$3:$A$12,MATCH(cadangan[[#This Row],[ItemID B]],Katalog!$C$3:$C$12,0)),"-")</f>
        <v>-</v>
      </c>
      <c r="N749" s="39" t="str">
        <f>IFERROR(INDEX(Katalog!$B$3:$B$12,MATCH(cadangan[[#This Row],[ItemID B]],Katalog!$C$3:$C$12,0)),"-")</f>
        <v>-</v>
      </c>
      <c r="Q749" s="73">
        <f>IFERROR(INDEX(Katalog!$D$3:$D$12,MATCH(cadangan[[#This Row],[ItemID B]],Katalog!$C$3:$C$12,0))*cadangan[[#This Row],[Qty B]],0)</f>
        <v>0</v>
      </c>
      <c r="R749" s="73">
        <f>IFERROR(cadangan[[#This Row],[Harga Normal B]]-(cadangan[[#This Row],[Harga Normal B]]*cadangan[[#This Row],[Diskon]]),cadangan[[#This Row],[Harga Normal B]])</f>
        <v>0</v>
      </c>
      <c r="S749" s="73">
        <f>IFERROR(INDEX(Katalog!$F$3:$F$12,MATCH(cadangan[[#This Row],[ItemID B]],Katalog!$C$3:$C$12,0))*cadangan[[#This Row],[Qty B]],0)</f>
        <v>0</v>
      </c>
      <c r="T749" s="73">
        <f>IFERROR(cadangan[[#This Row],[Harga Diskon B]]-INDEX(Katalog!$E$3:$E$12,MATCH(cadangan[[#This Row],[ItemID B]],Katalog!$C$3:$C$12,0))*cadangan[[#This Row],[Qty B]],0)</f>
        <v>0</v>
      </c>
      <c r="V749" s="39" t="str">
        <f>IFERROR(INDEX(Katalog!$A$3:$A$12,MATCH(cadangan[[#This Row],[ItemID C]],Katalog!$C$3:$C$12,0)),"-")</f>
        <v>-</v>
      </c>
      <c r="W749" s="39" t="str">
        <f>IFERROR(INDEX(Katalog!$B$3:$B$12,MATCH(cadangan[[#This Row],[ItemID C]],Katalog!$C$3:$C$12,0)),"-")</f>
        <v>-</v>
      </c>
      <c r="Z749" s="73">
        <f>IFERROR(INDEX(Katalog!$D$3:$D$12,MATCH(cadangan[[#This Row],[ItemID C]],Katalog!$C$3:$C$12,0))*cadangan[[#This Row],[Qty C]],0)</f>
        <v>0</v>
      </c>
      <c r="AA749" s="73">
        <f>IFERROR(cadangan[[#This Row],[Harga Normal C]]-(cadangan[[#This Row],[Harga Normal C]]*cadangan[[#This Row],[Diskon]]),cadangan[[#This Row],[Harga Normal C]])</f>
        <v>0</v>
      </c>
      <c r="AB749" s="73">
        <f>IFERROR(INDEX(Katalog!$F$3:$F$12,MATCH(cadangan[[#This Row],[ItemID C]],Katalog!$C$3:$C$12,0))*cadangan[[#This Row],[Qty C]],0)</f>
        <v>0</v>
      </c>
      <c r="AC749" s="73">
        <f>IFERROR(cadangan[[#This Row],[Harga Diskon C]]-INDEX(Katalog!$E$3:$E$12,MATCH(cadangan[[#This Row],[ItemID C]],Katalog!$C$3:$C$12,0))*cadangan[[#This Row],[Qty C]],0)</f>
        <v>0</v>
      </c>
      <c r="AD749" s="53">
        <f>cadangan[[#This Row],[Qty A]]+cadangan[[#This Row],[Qty B]]+cadangan[[#This Row],[Qty C]]</f>
        <v>2</v>
      </c>
      <c r="AE749" s="73">
        <f>cadangan[[#This Row],[Harga Normal A]]+cadangan[[#This Row],[Harga Normal B]]+cadangan[[#This Row],[Harga Normal C]]</f>
        <v>300000</v>
      </c>
      <c r="AF749" s="73">
        <f>cadangan[[#This Row],[Harga Diskon A]]+cadangan[[#This Row],[Harga Diskon B]]+cadangan[[#This Row],[Harga Diskon C]]</f>
        <v>255000</v>
      </c>
      <c r="AG749" s="73">
        <f>(cadangan[[#This Row],[Profit Normal A]]+cadangan[[#This Row],[Profit Normal B]]+cadangan[[#This Row],[Profit Normal C]])</f>
        <v>120000</v>
      </c>
      <c r="AH749" s="73">
        <f>cadangan[[#This Row],[Profit Diskon A]]+cadangan[[#This Row],[Profit Diskon B]]+cadangan[[#This Row],[Profit Diskon C]]</f>
        <v>75000</v>
      </c>
      <c r="AI749" s="23" t="s">
        <v>13</v>
      </c>
      <c r="AJ749" s="37">
        <f>IFERROR(INDEX('Kode Diskon'!$D$3:$D$9,MATCH(cadangan[[#This Row],[Kode diskon]],'Kode Diskon'!$C$3:$C$9,0)),"-")</f>
        <v>0.15</v>
      </c>
      <c r="AK749" s="23" t="s">
        <v>29</v>
      </c>
      <c r="AL749" s="23" t="s">
        <v>7</v>
      </c>
      <c r="AM749" s="23" t="s">
        <v>80</v>
      </c>
      <c r="AN749" s="55">
        <v>45020</v>
      </c>
      <c r="AO749" s="53">
        <f>DAY(cadangan[[#This Row],[Tanggal terjual]])</f>
        <v>4</v>
      </c>
      <c r="AP749" s="21" t="str">
        <f>TEXT(cadangan[[#This Row],[Tanggal terjual]],"dddd")</f>
        <v>Tuesday</v>
      </c>
      <c r="AQ749" s="23" t="str" cm="1">
        <f t="array" ref="AQ7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49" s="61">
        <f>AVERAGE(cadangan[[#This Row],[Rating A]],cadangan[[#This Row],[Rating B]],cadangan[[#This Row],[Rating C]])</f>
        <v>2</v>
      </c>
    </row>
    <row r="750" spans="1:44" x14ac:dyDescent="0.2">
      <c r="A750" s="20">
        <v>749</v>
      </c>
      <c r="B750" s="21" t="str">
        <f>_xlfn.CONCAT("ORD-",INDEX(Helper!$B$2:$B$5,MATCH(cadangan[[#This Row],[Marketplace]],Helper!$A$2:$A$5,0)),TEXT(cadangan[[#This Row],[No]],"0000"),"-",TEXT(cadangan[[#This Row],[Tanggal terjual]],"dd/mm/yy"))</f>
        <v>ORD-BB0749-14/04/23</v>
      </c>
      <c r="C750" s="39" t="s">
        <v>62</v>
      </c>
      <c r="D750" s="39" t="str">
        <f>IFERROR(INDEX(Katalog!$A$3:$A$12,MATCH(cadangan[[#This Row],[ItemID A]],Katalog!$C$3:$C$12,0)),"-")</f>
        <v>Pakaian Pria</v>
      </c>
      <c r="E750" s="39" t="str">
        <f>IFERROR(INDEX(Katalog!$B$3:$B$12,MATCH(cadangan[[#This Row],[ItemID A]],Katalog!$C$3:$C$12,0)),"-")</f>
        <v>Celana Pendek</v>
      </c>
      <c r="F750" s="50">
        <v>1</v>
      </c>
      <c r="G750" s="50">
        <v>3</v>
      </c>
      <c r="H750" s="73">
        <f>IFERROR(INDEX(Katalog!$D$3:$D$12,MATCH(cadangan[[#This Row],[ItemID A]],Katalog!$C$3:$C$12,0))*cadangan[[#This Row],[Qty A]],0)</f>
        <v>180000</v>
      </c>
      <c r="I750" s="73">
        <f>IFERROR(cadangan[[#This Row],[Harga Normal A]]-(cadangan[[#This Row],[Harga Normal A]]*cadangan[[#This Row],[Diskon]]),cadangan[[#This Row],[Harga Normal A]])</f>
        <v>180000</v>
      </c>
      <c r="J750" s="73">
        <f>INDEX(Katalog!$F$3:$F$12,MATCH(cadangan[[#This Row],[ItemID A]],Katalog!$C$3:$C$12,0))*cadangan[[#This Row],[Qty A]]</f>
        <v>70000</v>
      </c>
      <c r="K750" s="73">
        <f>IFERROR(cadangan[[#This Row],[Harga Diskon A]]-INDEX(Katalog!$E$3:$E$12,MATCH(cadangan[[#This Row],[ItemID A]],Katalog!$C$3:$C$12,0))*cadangan[[#This Row],[Qty A]],0)</f>
        <v>70000</v>
      </c>
      <c r="L750" s="39" t="s">
        <v>66</v>
      </c>
      <c r="M750" s="39" t="str">
        <f>IFERROR(INDEX(Katalog!$A$3:$A$12,MATCH(cadangan[[#This Row],[ItemID B]],Katalog!$C$3:$C$12,0)),"-")</f>
        <v>Sepatu Pria</v>
      </c>
      <c r="N750" s="39" t="str">
        <f>IFERROR(INDEX(Katalog!$B$3:$B$12,MATCH(cadangan[[#This Row],[ItemID B]],Katalog!$C$3:$C$12,0)),"-")</f>
        <v>Sandal Slip On</v>
      </c>
      <c r="O750" s="50">
        <v>4</v>
      </c>
      <c r="P750" s="50">
        <v>5</v>
      </c>
      <c r="Q750" s="73">
        <f>IFERROR(INDEX(Katalog!$D$3:$D$12,MATCH(cadangan[[#This Row],[ItemID B]],Katalog!$C$3:$C$12,0))*cadangan[[#This Row],[Qty B]],0)</f>
        <v>600000</v>
      </c>
      <c r="R750" s="73">
        <f>IFERROR(cadangan[[#This Row],[Harga Normal B]]-(cadangan[[#This Row],[Harga Normal B]]*cadangan[[#This Row],[Diskon]]),cadangan[[#This Row],[Harga Normal B]])</f>
        <v>600000</v>
      </c>
      <c r="S750" s="73">
        <f>IFERROR(INDEX(Katalog!$F$3:$F$12,MATCH(cadangan[[#This Row],[ItemID B]],Katalog!$C$3:$C$12,0))*cadangan[[#This Row],[Qty B]],0)</f>
        <v>240000</v>
      </c>
      <c r="T750" s="73">
        <f>IFERROR(cadangan[[#This Row],[Harga Diskon B]]-INDEX(Katalog!$E$3:$E$12,MATCH(cadangan[[#This Row],[ItemID B]],Katalog!$C$3:$C$12,0))*cadangan[[#This Row],[Qty B]],0)</f>
        <v>240000</v>
      </c>
      <c r="U750" s="39" t="s">
        <v>60</v>
      </c>
      <c r="V750" s="39" t="str">
        <f>IFERROR(INDEX(Katalog!$A$3:$A$12,MATCH(cadangan[[#This Row],[ItemID C]],Katalog!$C$3:$C$12,0)),"-")</f>
        <v>Pakaian Wanita</v>
      </c>
      <c r="W750" s="39" t="str">
        <f>IFERROR(INDEX(Katalog!$B$3:$B$12,MATCH(cadangan[[#This Row],[ItemID C]],Katalog!$C$3:$C$12,0)),"-")</f>
        <v>Kaftan</v>
      </c>
      <c r="X750" s="50">
        <v>2</v>
      </c>
      <c r="Y750" s="50">
        <v>2</v>
      </c>
      <c r="Z750" s="73">
        <f>IFERROR(INDEX(Katalog!$D$3:$D$12,MATCH(cadangan[[#This Row],[ItemID C]],Katalog!$C$3:$C$12,0))*cadangan[[#This Row],[Qty C]],0)</f>
        <v>500000</v>
      </c>
      <c r="AA750" s="73">
        <f>IFERROR(cadangan[[#This Row],[Harga Normal C]]-(cadangan[[#This Row],[Harga Normal C]]*cadangan[[#This Row],[Diskon]]),cadangan[[#This Row],[Harga Normal C]])</f>
        <v>500000</v>
      </c>
      <c r="AB750" s="73">
        <f>IFERROR(INDEX(Katalog!$F$3:$F$12,MATCH(cadangan[[#This Row],[ItemID C]],Katalog!$C$3:$C$12,0))*cadangan[[#This Row],[Qty C]],0)</f>
        <v>200000</v>
      </c>
      <c r="AC750" s="73">
        <f>IFERROR(cadangan[[#This Row],[Harga Diskon C]]-INDEX(Katalog!$E$3:$E$12,MATCH(cadangan[[#This Row],[ItemID C]],Katalog!$C$3:$C$12,0))*cadangan[[#This Row],[Qty C]],0)</f>
        <v>200000</v>
      </c>
      <c r="AD750" s="53">
        <f>cadangan[[#This Row],[Qty A]]+cadangan[[#This Row],[Qty B]]+cadangan[[#This Row],[Qty C]]</f>
        <v>7</v>
      </c>
      <c r="AE750" s="73">
        <f>cadangan[[#This Row],[Harga Normal A]]+cadangan[[#This Row],[Harga Normal B]]+cadangan[[#This Row],[Harga Normal C]]</f>
        <v>1280000</v>
      </c>
      <c r="AF750" s="73">
        <f>cadangan[[#This Row],[Harga Diskon A]]+cadangan[[#This Row],[Harga Diskon B]]+cadangan[[#This Row],[Harga Diskon C]]</f>
        <v>1280000</v>
      </c>
      <c r="AG750" s="73">
        <f>(cadangan[[#This Row],[Profit Normal A]]+cadangan[[#This Row],[Profit Normal B]]+cadangan[[#This Row],[Profit Normal C]])</f>
        <v>510000</v>
      </c>
      <c r="AH750" s="73">
        <f>cadangan[[#This Row],[Profit Diskon A]]+cadangan[[#This Row],[Profit Diskon B]]+cadangan[[#This Row],[Profit Diskon C]]</f>
        <v>510000</v>
      </c>
      <c r="AI750" s="23" t="s">
        <v>290</v>
      </c>
      <c r="AJ750" s="37" t="str">
        <f>IFERROR(INDEX('Kode Diskon'!$D$3:$D$9,MATCH(cadangan[[#This Row],[Kode diskon]],'Kode Diskon'!$C$3:$C$9,0)),"-")</f>
        <v>-</v>
      </c>
      <c r="AK750" s="23" t="s">
        <v>290</v>
      </c>
      <c r="AL750" s="23" t="s">
        <v>14</v>
      </c>
      <c r="AM750" s="23" t="s">
        <v>79</v>
      </c>
      <c r="AN750" s="55">
        <v>45030</v>
      </c>
      <c r="AO750" s="53">
        <f>DAY(cadangan[[#This Row],[Tanggal terjual]])</f>
        <v>14</v>
      </c>
      <c r="AP750" s="21" t="str">
        <f>TEXT(cadangan[[#This Row],[Tanggal terjual]],"dddd")</f>
        <v>Friday</v>
      </c>
      <c r="AQ750" s="23" t="str" cm="1">
        <f t="array" ref="AQ7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50" s="61">
        <f>AVERAGE(cadangan[[#This Row],[Rating A]],cadangan[[#This Row],[Rating B]],cadangan[[#This Row],[Rating C]])</f>
        <v>3.3333333333333335</v>
      </c>
    </row>
    <row r="751" spans="1:44" x14ac:dyDescent="0.2">
      <c r="A751" s="20">
        <v>750</v>
      </c>
      <c r="B751" s="21" t="str">
        <f>_xlfn.CONCAT("ORD-",INDEX(Helper!$B$2:$B$5,MATCH(cadangan[[#This Row],[Marketplace]],Helper!$A$2:$A$5,0)),TEXT(cadangan[[#This Row],[No]],"0000"),"-",TEXT(cadangan[[#This Row],[Tanggal terjual]],"dd/mm/yy"))</f>
        <v>ORD-SP0750-25/04/23</v>
      </c>
      <c r="C751" s="39" t="s">
        <v>64</v>
      </c>
      <c r="D751" s="39" t="str">
        <f>IFERROR(INDEX(Katalog!$A$3:$A$12,MATCH(cadangan[[#This Row],[ItemID A]],Katalog!$C$3:$C$12,0)),"-")</f>
        <v>Pakaian Unisex</v>
      </c>
      <c r="E751" s="39" t="str">
        <f>IFERROR(INDEX(Katalog!$B$3:$B$12,MATCH(cadangan[[#This Row],[ItemID A]],Katalog!$C$3:$C$12,0)),"-")</f>
        <v>Jaket Hoodie</v>
      </c>
      <c r="F751" s="50">
        <v>1</v>
      </c>
      <c r="G751" s="50">
        <v>1</v>
      </c>
      <c r="H751" s="73">
        <f>IFERROR(INDEX(Katalog!$D$3:$D$12,MATCH(cadangan[[#This Row],[ItemID A]],Katalog!$C$3:$C$12,0))*cadangan[[#This Row],[Qty A]],0)</f>
        <v>350000</v>
      </c>
      <c r="I751" s="73">
        <f>IFERROR(cadangan[[#This Row],[Harga Normal A]]-(cadangan[[#This Row],[Harga Normal A]]*cadangan[[#This Row],[Diskon]]),cadangan[[#This Row],[Harga Normal A]])</f>
        <v>280000</v>
      </c>
      <c r="J751" s="73">
        <f>INDEX(Katalog!$F$3:$F$12,MATCH(cadangan[[#This Row],[ItemID A]],Katalog!$C$3:$C$12,0))*cadangan[[#This Row],[Qty A]]</f>
        <v>130000</v>
      </c>
      <c r="K751" s="73">
        <f>IFERROR(cadangan[[#This Row],[Harga Diskon A]]-INDEX(Katalog!$E$3:$E$12,MATCH(cadangan[[#This Row],[ItemID A]],Katalog!$C$3:$C$12,0))*cadangan[[#This Row],[Qty A]],0)</f>
        <v>60000</v>
      </c>
      <c r="L751" s="39" t="s">
        <v>67</v>
      </c>
      <c r="M751" s="39" t="str">
        <f>IFERROR(INDEX(Katalog!$A$3:$A$12,MATCH(cadangan[[#This Row],[ItemID B]],Katalog!$C$3:$C$12,0)),"-")</f>
        <v>Sepatu Wanita</v>
      </c>
      <c r="N751" s="39" t="str">
        <f>IFERROR(INDEX(Katalog!$B$3:$B$12,MATCH(cadangan[[#This Row],[ItemID B]],Katalog!$C$3:$C$12,0)),"-")</f>
        <v>Flat Shoes</v>
      </c>
      <c r="O751" s="50">
        <v>3</v>
      </c>
      <c r="P751" s="50">
        <v>1</v>
      </c>
      <c r="Q751" s="73">
        <f>IFERROR(INDEX(Katalog!$D$3:$D$12,MATCH(cadangan[[#This Row],[ItemID B]],Katalog!$C$3:$C$12,0))*cadangan[[#This Row],[Qty B]],0)</f>
        <v>750000</v>
      </c>
      <c r="R751" s="73">
        <f>IFERROR(cadangan[[#This Row],[Harga Normal B]]-(cadangan[[#This Row],[Harga Normal B]]*cadangan[[#This Row],[Diskon]]),cadangan[[#This Row],[Harga Normal B]])</f>
        <v>600000</v>
      </c>
      <c r="S751" s="73">
        <f>IFERROR(INDEX(Katalog!$F$3:$F$12,MATCH(cadangan[[#This Row],[ItemID B]],Katalog!$C$3:$C$12,0))*cadangan[[#This Row],[Qty B]],0)</f>
        <v>300000</v>
      </c>
      <c r="T751" s="73">
        <f>IFERROR(cadangan[[#This Row],[Harga Diskon B]]-INDEX(Katalog!$E$3:$E$12,MATCH(cadangan[[#This Row],[ItemID B]],Katalog!$C$3:$C$12,0))*cadangan[[#This Row],[Qty B]],0)</f>
        <v>150000</v>
      </c>
      <c r="V751" s="39" t="str">
        <f>IFERROR(INDEX(Katalog!$A$3:$A$12,MATCH(cadangan[[#This Row],[ItemID C]],Katalog!$C$3:$C$12,0)),"-")</f>
        <v>-</v>
      </c>
      <c r="W751" s="39" t="str">
        <f>IFERROR(INDEX(Katalog!$B$3:$B$12,MATCH(cadangan[[#This Row],[ItemID C]],Katalog!$C$3:$C$12,0)),"-")</f>
        <v>-</v>
      </c>
      <c r="Z751" s="73">
        <f>IFERROR(INDEX(Katalog!$D$3:$D$12,MATCH(cadangan[[#This Row],[ItemID C]],Katalog!$C$3:$C$12,0))*cadangan[[#This Row],[Qty C]],0)</f>
        <v>0</v>
      </c>
      <c r="AA751" s="73">
        <f>IFERROR(cadangan[[#This Row],[Harga Normal C]]-(cadangan[[#This Row],[Harga Normal C]]*cadangan[[#This Row],[Diskon]]),cadangan[[#This Row],[Harga Normal C]])</f>
        <v>0</v>
      </c>
      <c r="AB751" s="73">
        <f>IFERROR(INDEX(Katalog!$F$3:$F$12,MATCH(cadangan[[#This Row],[ItemID C]],Katalog!$C$3:$C$12,0))*cadangan[[#This Row],[Qty C]],0)</f>
        <v>0</v>
      </c>
      <c r="AC751" s="73">
        <f>IFERROR(cadangan[[#This Row],[Harga Diskon C]]-INDEX(Katalog!$E$3:$E$12,MATCH(cadangan[[#This Row],[ItemID C]],Katalog!$C$3:$C$12,0))*cadangan[[#This Row],[Qty C]],0)</f>
        <v>0</v>
      </c>
      <c r="AD751" s="53">
        <f>cadangan[[#This Row],[Qty A]]+cadangan[[#This Row],[Qty B]]+cadangan[[#This Row],[Qty C]]</f>
        <v>4</v>
      </c>
      <c r="AE751" s="73">
        <f>cadangan[[#This Row],[Harga Normal A]]+cadangan[[#This Row],[Harga Normal B]]+cadangan[[#This Row],[Harga Normal C]]</f>
        <v>1100000</v>
      </c>
      <c r="AF751" s="73">
        <f>cadangan[[#This Row],[Harga Diskon A]]+cadangan[[#This Row],[Harga Diskon B]]+cadangan[[#This Row],[Harga Diskon C]]</f>
        <v>880000</v>
      </c>
      <c r="AG751" s="73">
        <f>(cadangan[[#This Row],[Profit Normal A]]+cadangan[[#This Row],[Profit Normal B]]+cadangan[[#This Row],[Profit Normal C]])</f>
        <v>430000</v>
      </c>
      <c r="AH751" s="73">
        <f>cadangan[[#This Row],[Profit Diskon A]]+cadangan[[#This Row],[Profit Diskon B]]+cadangan[[#This Row],[Profit Diskon C]]</f>
        <v>210000</v>
      </c>
      <c r="AI751" s="23" t="s">
        <v>8</v>
      </c>
      <c r="AJ751" s="37">
        <f>IFERROR(INDEX('Kode Diskon'!$D$3:$D$9,MATCH(cadangan[[#This Row],[Kode diskon]],'Kode Diskon'!$C$3:$C$9,0)),"-")</f>
        <v>0.2</v>
      </c>
      <c r="AK751" s="23" t="s">
        <v>9</v>
      </c>
      <c r="AL751" s="23" t="s">
        <v>7</v>
      </c>
      <c r="AM751" s="23" t="s">
        <v>80</v>
      </c>
      <c r="AN751" s="55">
        <v>45041</v>
      </c>
      <c r="AO751" s="53">
        <f>DAY(cadangan[[#This Row],[Tanggal terjual]])</f>
        <v>25</v>
      </c>
      <c r="AP751" s="21" t="str">
        <f>TEXT(cadangan[[#This Row],[Tanggal terjual]],"dddd")</f>
        <v>Tuesday</v>
      </c>
      <c r="AQ751" s="23" t="str" cm="1">
        <f t="array" ref="AQ7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51" s="61">
        <f>AVERAGE(cadangan[[#This Row],[Rating A]],cadangan[[#This Row],[Rating B]],cadangan[[#This Row],[Rating C]])</f>
        <v>1</v>
      </c>
    </row>
    <row r="752" spans="1:44" x14ac:dyDescent="0.2">
      <c r="A752" s="20">
        <v>751</v>
      </c>
      <c r="B752" s="21" t="str">
        <f>_xlfn.CONCAT("ORD-",INDEX(Helper!$B$2:$B$5,MATCH(cadangan[[#This Row],[Marketplace]],Helper!$A$2:$A$5,0)),TEXT(cadangan[[#This Row],[No]],"0000"),"-",TEXT(cadangan[[#This Row],[Tanggal terjual]],"dd/mm/yy"))</f>
        <v>ORD-SP0751-13/04/23</v>
      </c>
      <c r="C752" s="39" t="s">
        <v>63</v>
      </c>
      <c r="D752" s="39" t="str">
        <f>IFERROR(INDEX(Katalog!$A$3:$A$12,MATCH(cadangan[[#This Row],[ItemID A]],Katalog!$C$3:$C$12,0)),"-")</f>
        <v>Pakaian Pria</v>
      </c>
      <c r="E752" s="39" t="str">
        <f>IFERROR(INDEX(Katalog!$B$3:$B$12,MATCH(cadangan[[#This Row],[ItemID A]],Katalog!$C$3:$C$12,0)),"-")</f>
        <v>Jaket Jeans</v>
      </c>
      <c r="F752" s="50">
        <v>2</v>
      </c>
      <c r="G752" s="50">
        <v>2</v>
      </c>
      <c r="H752" s="73">
        <f>IFERROR(INDEX(Katalog!$D$3:$D$12,MATCH(cadangan[[#This Row],[ItemID A]],Katalog!$C$3:$C$12,0))*cadangan[[#This Row],[Qty A]],0)</f>
        <v>800000</v>
      </c>
      <c r="I752" s="73">
        <f>IFERROR(cadangan[[#This Row],[Harga Normal A]]-(cadangan[[#This Row],[Harga Normal A]]*cadangan[[#This Row],[Diskon]]),cadangan[[#This Row],[Harga Normal A]])</f>
        <v>800000</v>
      </c>
      <c r="J752" s="73">
        <f>INDEX(Katalog!$F$3:$F$12,MATCH(cadangan[[#This Row],[ItemID A]],Katalog!$C$3:$C$12,0))*cadangan[[#This Row],[Qty A]]</f>
        <v>300000</v>
      </c>
      <c r="K752" s="73">
        <f>IFERROR(cadangan[[#This Row],[Harga Diskon A]]-INDEX(Katalog!$E$3:$E$12,MATCH(cadangan[[#This Row],[ItemID A]],Katalog!$C$3:$C$12,0))*cadangan[[#This Row],[Qty A]],0)</f>
        <v>300000</v>
      </c>
      <c r="L752" s="39" t="s">
        <v>66</v>
      </c>
      <c r="M752" s="39" t="str">
        <f>IFERROR(INDEX(Katalog!$A$3:$A$12,MATCH(cadangan[[#This Row],[ItemID B]],Katalog!$C$3:$C$12,0)),"-")</f>
        <v>Sepatu Pria</v>
      </c>
      <c r="N752" s="39" t="str">
        <f>IFERROR(INDEX(Katalog!$B$3:$B$12,MATCH(cadangan[[#This Row],[ItemID B]],Katalog!$C$3:$C$12,0)),"-")</f>
        <v>Sandal Slip On</v>
      </c>
      <c r="O752" s="50">
        <v>5</v>
      </c>
      <c r="P752" s="50">
        <v>2</v>
      </c>
      <c r="Q752" s="73">
        <f>IFERROR(INDEX(Katalog!$D$3:$D$12,MATCH(cadangan[[#This Row],[ItemID B]],Katalog!$C$3:$C$12,0))*cadangan[[#This Row],[Qty B]],0)</f>
        <v>750000</v>
      </c>
      <c r="R752" s="73">
        <f>IFERROR(cadangan[[#This Row],[Harga Normal B]]-(cadangan[[#This Row],[Harga Normal B]]*cadangan[[#This Row],[Diskon]]),cadangan[[#This Row],[Harga Normal B]])</f>
        <v>750000</v>
      </c>
      <c r="S752" s="73">
        <f>IFERROR(INDEX(Katalog!$F$3:$F$12,MATCH(cadangan[[#This Row],[ItemID B]],Katalog!$C$3:$C$12,0))*cadangan[[#This Row],[Qty B]],0)</f>
        <v>300000</v>
      </c>
      <c r="T752" s="73">
        <f>IFERROR(cadangan[[#This Row],[Harga Diskon B]]-INDEX(Katalog!$E$3:$E$12,MATCH(cadangan[[#This Row],[ItemID B]],Katalog!$C$3:$C$12,0))*cadangan[[#This Row],[Qty B]],0)</f>
        <v>300000</v>
      </c>
      <c r="V752" s="39" t="str">
        <f>IFERROR(INDEX(Katalog!$A$3:$A$12,MATCH(cadangan[[#This Row],[ItemID C]],Katalog!$C$3:$C$12,0)),"-")</f>
        <v>-</v>
      </c>
      <c r="W752" s="39" t="str">
        <f>IFERROR(INDEX(Katalog!$B$3:$B$12,MATCH(cadangan[[#This Row],[ItemID C]],Katalog!$C$3:$C$12,0)),"-")</f>
        <v>-</v>
      </c>
      <c r="Z752" s="73">
        <f>IFERROR(INDEX(Katalog!$D$3:$D$12,MATCH(cadangan[[#This Row],[ItemID C]],Katalog!$C$3:$C$12,0))*cadangan[[#This Row],[Qty C]],0)</f>
        <v>0</v>
      </c>
      <c r="AA752" s="73">
        <f>IFERROR(cadangan[[#This Row],[Harga Normal C]]-(cadangan[[#This Row],[Harga Normal C]]*cadangan[[#This Row],[Diskon]]),cadangan[[#This Row],[Harga Normal C]])</f>
        <v>0</v>
      </c>
      <c r="AB752" s="73">
        <f>IFERROR(INDEX(Katalog!$F$3:$F$12,MATCH(cadangan[[#This Row],[ItemID C]],Katalog!$C$3:$C$12,0))*cadangan[[#This Row],[Qty C]],0)</f>
        <v>0</v>
      </c>
      <c r="AC752" s="73">
        <f>IFERROR(cadangan[[#This Row],[Harga Diskon C]]-INDEX(Katalog!$E$3:$E$12,MATCH(cadangan[[#This Row],[ItemID C]],Katalog!$C$3:$C$12,0))*cadangan[[#This Row],[Qty C]],0)</f>
        <v>0</v>
      </c>
      <c r="AD752" s="53">
        <f>cadangan[[#This Row],[Qty A]]+cadangan[[#This Row],[Qty B]]+cadangan[[#This Row],[Qty C]]</f>
        <v>7</v>
      </c>
      <c r="AE752" s="73">
        <f>cadangan[[#This Row],[Harga Normal A]]+cadangan[[#This Row],[Harga Normal B]]+cadangan[[#This Row],[Harga Normal C]]</f>
        <v>1550000</v>
      </c>
      <c r="AF752" s="73">
        <f>cadangan[[#This Row],[Harga Diskon A]]+cadangan[[#This Row],[Harga Diskon B]]+cadangan[[#This Row],[Harga Diskon C]]</f>
        <v>1550000</v>
      </c>
      <c r="AG752" s="73">
        <f>(cadangan[[#This Row],[Profit Normal A]]+cadangan[[#This Row],[Profit Normal B]]+cadangan[[#This Row],[Profit Normal C]])</f>
        <v>600000</v>
      </c>
      <c r="AH752" s="73">
        <f>cadangan[[#This Row],[Profit Diskon A]]+cadangan[[#This Row],[Profit Diskon B]]+cadangan[[#This Row],[Profit Diskon C]]</f>
        <v>600000</v>
      </c>
      <c r="AI752" s="23" t="s">
        <v>290</v>
      </c>
      <c r="AJ752" s="37" t="str">
        <f>IFERROR(INDEX('Kode Diskon'!$D$3:$D$9,MATCH(cadangan[[#This Row],[Kode diskon]],'Kode Diskon'!$C$3:$C$9,0)),"-")</f>
        <v>-</v>
      </c>
      <c r="AK752" s="23" t="s">
        <v>290</v>
      </c>
      <c r="AL752" s="23" t="s">
        <v>7</v>
      </c>
      <c r="AM752" s="23" t="s">
        <v>80</v>
      </c>
      <c r="AN752" s="55">
        <v>45029</v>
      </c>
      <c r="AO752" s="53">
        <f>DAY(cadangan[[#This Row],[Tanggal terjual]])</f>
        <v>13</v>
      </c>
      <c r="AP752" s="21" t="str">
        <f>TEXT(cadangan[[#This Row],[Tanggal terjual]],"dddd")</f>
        <v>Thursday</v>
      </c>
      <c r="AQ752" s="23" t="str" cm="1">
        <f t="array" ref="AQ7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52" s="61">
        <f>AVERAGE(cadangan[[#This Row],[Rating A]],cadangan[[#This Row],[Rating B]],cadangan[[#This Row],[Rating C]])</f>
        <v>2</v>
      </c>
    </row>
    <row r="753" spans="1:44" x14ac:dyDescent="0.2">
      <c r="A753" s="20">
        <v>752</v>
      </c>
      <c r="B753" s="21" t="str">
        <f>_xlfn.CONCAT("ORD-",INDEX(Helper!$B$2:$B$5,MATCH(cadangan[[#This Row],[Marketplace]],Helper!$A$2:$A$5,0)),TEXT(cadangan[[#This Row],[No]],"0000"),"-",TEXT(cadangan[[#This Row],[Tanggal terjual]],"dd/mm/yy"))</f>
        <v>ORD-SP0752-28/04/23</v>
      </c>
      <c r="C753" s="39" t="s">
        <v>60</v>
      </c>
      <c r="D753" s="39" t="str">
        <f>IFERROR(INDEX(Katalog!$A$3:$A$12,MATCH(cadangan[[#This Row],[ItemID A]],Katalog!$C$3:$C$12,0)),"-")</f>
        <v>Pakaian Wanita</v>
      </c>
      <c r="E753" s="39" t="str">
        <f>IFERROR(INDEX(Katalog!$B$3:$B$12,MATCH(cadangan[[#This Row],[ItemID A]],Katalog!$C$3:$C$12,0)),"-")</f>
        <v>Kaftan</v>
      </c>
      <c r="F753" s="50">
        <v>3</v>
      </c>
      <c r="G753" s="50">
        <v>4</v>
      </c>
      <c r="H753" s="73">
        <f>IFERROR(INDEX(Katalog!$D$3:$D$12,MATCH(cadangan[[#This Row],[ItemID A]],Katalog!$C$3:$C$12,0))*cadangan[[#This Row],[Qty A]],0)</f>
        <v>750000</v>
      </c>
      <c r="I753" s="73">
        <f>IFERROR(cadangan[[#This Row],[Harga Normal A]]-(cadangan[[#This Row],[Harga Normal A]]*cadangan[[#This Row],[Diskon]]),cadangan[[#This Row],[Harga Normal A]])</f>
        <v>600000</v>
      </c>
      <c r="J753" s="73">
        <f>INDEX(Katalog!$F$3:$F$12,MATCH(cadangan[[#This Row],[ItemID A]],Katalog!$C$3:$C$12,0))*cadangan[[#This Row],[Qty A]]</f>
        <v>300000</v>
      </c>
      <c r="K753" s="73">
        <f>IFERROR(cadangan[[#This Row],[Harga Diskon A]]-INDEX(Katalog!$E$3:$E$12,MATCH(cadangan[[#This Row],[ItemID A]],Katalog!$C$3:$C$12,0))*cadangan[[#This Row],[Qty A]],0)</f>
        <v>150000</v>
      </c>
      <c r="L753" s="39" t="s">
        <v>66</v>
      </c>
      <c r="M753" s="39" t="str">
        <f>IFERROR(INDEX(Katalog!$A$3:$A$12,MATCH(cadangan[[#This Row],[ItemID B]],Katalog!$C$3:$C$12,0)),"-")</f>
        <v>Sepatu Pria</v>
      </c>
      <c r="N753" s="39" t="str">
        <f>IFERROR(INDEX(Katalog!$B$3:$B$12,MATCH(cadangan[[#This Row],[ItemID B]],Katalog!$C$3:$C$12,0)),"-")</f>
        <v>Sandal Slip On</v>
      </c>
      <c r="O753" s="50">
        <v>1</v>
      </c>
      <c r="P753" s="50">
        <v>3</v>
      </c>
      <c r="Q753" s="73">
        <f>IFERROR(INDEX(Katalog!$D$3:$D$12,MATCH(cadangan[[#This Row],[ItemID B]],Katalog!$C$3:$C$12,0))*cadangan[[#This Row],[Qty B]],0)</f>
        <v>150000</v>
      </c>
      <c r="R753" s="73">
        <f>IFERROR(cadangan[[#This Row],[Harga Normal B]]-(cadangan[[#This Row],[Harga Normal B]]*cadangan[[#This Row],[Diskon]]),cadangan[[#This Row],[Harga Normal B]])</f>
        <v>120000</v>
      </c>
      <c r="S753" s="73">
        <f>IFERROR(INDEX(Katalog!$F$3:$F$12,MATCH(cadangan[[#This Row],[ItemID B]],Katalog!$C$3:$C$12,0))*cadangan[[#This Row],[Qty B]],0)</f>
        <v>60000</v>
      </c>
      <c r="T753" s="73">
        <f>IFERROR(cadangan[[#This Row],[Harga Diskon B]]-INDEX(Katalog!$E$3:$E$12,MATCH(cadangan[[#This Row],[ItemID B]],Katalog!$C$3:$C$12,0))*cadangan[[#This Row],[Qty B]],0)</f>
        <v>30000</v>
      </c>
      <c r="V753" s="39" t="str">
        <f>IFERROR(INDEX(Katalog!$A$3:$A$12,MATCH(cadangan[[#This Row],[ItemID C]],Katalog!$C$3:$C$12,0)),"-")</f>
        <v>-</v>
      </c>
      <c r="W753" s="39" t="str">
        <f>IFERROR(INDEX(Katalog!$B$3:$B$12,MATCH(cadangan[[#This Row],[ItemID C]],Katalog!$C$3:$C$12,0)),"-")</f>
        <v>-</v>
      </c>
      <c r="Z753" s="73">
        <f>IFERROR(INDEX(Katalog!$D$3:$D$12,MATCH(cadangan[[#This Row],[ItemID C]],Katalog!$C$3:$C$12,0))*cadangan[[#This Row],[Qty C]],0)</f>
        <v>0</v>
      </c>
      <c r="AA753" s="73">
        <f>IFERROR(cadangan[[#This Row],[Harga Normal C]]-(cadangan[[#This Row],[Harga Normal C]]*cadangan[[#This Row],[Diskon]]),cadangan[[#This Row],[Harga Normal C]])</f>
        <v>0</v>
      </c>
      <c r="AB753" s="73">
        <f>IFERROR(INDEX(Katalog!$F$3:$F$12,MATCH(cadangan[[#This Row],[ItemID C]],Katalog!$C$3:$C$12,0))*cadangan[[#This Row],[Qty C]],0)</f>
        <v>0</v>
      </c>
      <c r="AC753" s="73">
        <f>IFERROR(cadangan[[#This Row],[Harga Diskon C]]-INDEX(Katalog!$E$3:$E$12,MATCH(cadangan[[#This Row],[ItemID C]],Katalog!$C$3:$C$12,0))*cadangan[[#This Row],[Qty C]],0)</f>
        <v>0</v>
      </c>
      <c r="AD753" s="53">
        <f>cadangan[[#This Row],[Qty A]]+cadangan[[#This Row],[Qty B]]+cadangan[[#This Row],[Qty C]]</f>
        <v>4</v>
      </c>
      <c r="AE753" s="73">
        <f>cadangan[[#This Row],[Harga Normal A]]+cadangan[[#This Row],[Harga Normal B]]+cadangan[[#This Row],[Harga Normal C]]</f>
        <v>900000</v>
      </c>
      <c r="AF753" s="73">
        <f>cadangan[[#This Row],[Harga Diskon A]]+cadangan[[#This Row],[Harga Diskon B]]+cadangan[[#This Row],[Harga Diskon C]]</f>
        <v>720000</v>
      </c>
      <c r="AG753" s="73">
        <f>(cadangan[[#This Row],[Profit Normal A]]+cadangan[[#This Row],[Profit Normal B]]+cadangan[[#This Row],[Profit Normal C]])</f>
        <v>360000</v>
      </c>
      <c r="AH753" s="73">
        <f>cadangan[[#This Row],[Profit Diskon A]]+cadangan[[#This Row],[Profit Diskon B]]+cadangan[[#This Row],[Profit Diskon C]]</f>
        <v>180000</v>
      </c>
      <c r="AI753" s="23" t="s">
        <v>8</v>
      </c>
      <c r="AJ753" s="37">
        <f>IFERROR(INDEX('Kode Diskon'!$D$3:$D$9,MATCH(cadangan[[#This Row],[Kode diskon]],'Kode Diskon'!$C$3:$C$9,0)),"-")</f>
        <v>0.2</v>
      </c>
      <c r="AK753" s="23" t="s">
        <v>9</v>
      </c>
      <c r="AL753" s="23" t="s">
        <v>7</v>
      </c>
      <c r="AM753" s="23" t="s">
        <v>79</v>
      </c>
      <c r="AN753" s="55">
        <v>45044</v>
      </c>
      <c r="AO753" s="53">
        <f>DAY(cadangan[[#This Row],[Tanggal terjual]])</f>
        <v>28</v>
      </c>
      <c r="AP753" s="21" t="str">
        <f>TEXT(cadangan[[#This Row],[Tanggal terjual]],"dddd")</f>
        <v>Friday</v>
      </c>
      <c r="AQ753" s="23" t="str" cm="1">
        <f t="array" ref="AQ7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53" s="61">
        <f>AVERAGE(cadangan[[#This Row],[Rating A]],cadangan[[#This Row],[Rating B]],cadangan[[#This Row],[Rating C]])</f>
        <v>3.5</v>
      </c>
    </row>
    <row r="754" spans="1:44" x14ac:dyDescent="0.2">
      <c r="A754" s="20">
        <v>753</v>
      </c>
      <c r="B754" s="21" t="str">
        <f>_xlfn.CONCAT("ORD-",INDEX(Helper!$B$2:$B$5,MATCH(cadangan[[#This Row],[Marketplace]],Helper!$A$2:$A$5,0)),TEXT(cadangan[[#This Row],[No]],"0000"),"-",TEXT(cadangan[[#This Row],[Tanggal terjual]],"dd/mm/yy"))</f>
        <v>ORD-SP0753-07/04/23</v>
      </c>
      <c r="C754" s="39" t="s">
        <v>65</v>
      </c>
      <c r="D754" s="39" t="str">
        <f>IFERROR(INDEX(Katalog!$A$3:$A$12,MATCH(cadangan[[#This Row],[ItemID A]],Katalog!$C$3:$C$12,0)),"-")</f>
        <v>Sepatu Pria</v>
      </c>
      <c r="E754" s="39" t="str">
        <f>IFERROR(INDEX(Katalog!$B$3:$B$12,MATCH(cadangan[[#This Row],[ItemID A]],Katalog!$C$3:$C$12,0)),"-")</f>
        <v>Sneakers</v>
      </c>
      <c r="F754" s="50">
        <v>1</v>
      </c>
      <c r="G754" s="50">
        <v>2</v>
      </c>
      <c r="H754" s="73">
        <f>IFERROR(INDEX(Katalog!$D$3:$D$12,MATCH(cadangan[[#This Row],[ItemID A]],Katalog!$C$3:$C$12,0))*cadangan[[#This Row],[Qty A]],0)</f>
        <v>500000</v>
      </c>
      <c r="I754" s="73">
        <f>IFERROR(cadangan[[#This Row],[Harga Normal A]]-(cadangan[[#This Row],[Harga Normal A]]*cadangan[[#This Row],[Diskon]]),cadangan[[#This Row],[Harga Normal A]])</f>
        <v>500000</v>
      </c>
      <c r="J754" s="73">
        <f>INDEX(Katalog!$F$3:$F$12,MATCH(cadangan[[#This Row],[ItemID A]],Katalog!$C$3:$C$12,0))*cadangan[[#This Row],[Qty A]]</f>
        <v>200000</v>
      </c>
      <c r="K754" s="73">
        <f>IFERROR(cadangan[[#This Row],[Harga Diskon A]]-INDEX(Katalog!$E$3:$E$12,MATCH(cadangan[[#This Row],[ItemID A]],Katalog!$C$3:$C$12,0))*cadangan[[#This Row],[Qty A]],0)</f>
        <v>200000</v>
      </c>
      <c r="M754" s="39" t="str">
        <f>IFERROR(INDEX(Katalog!$A$3:$A$12,MATCH(cadangan[[#This Row],[ItemID B]],Katalog!$C$3:$C$12,0)),"-")</f>
        <v>-</v>
      </c>
      <c r="N754" s="39" t="str">
        <f>IFERROR(INDEX(Katalog!$B$3:$B$12,MATCH(cadangan[[#This Row],[ItemID B]],Katalog!$C$3:$C$12,0)),"-")</f>
        <v>-</v>
      </c>
      <c r="Q754" s="73">
        <f>IFERROR(INDEX(Katalog!$D$3:$D$12,MATCH(cadangan[[#This Row],[ItemID B]],Katalog!$C$3:$C$12,0))*cadangan[[#This Row],[Qty B]],0)</f>
        <v>0</v>
      </c>
      <c r="R754" s="73">
        <f>IFERROR(cadangan[[#This Row],[Harga Normal B]]-(cadangan[[#This Row],[Harga Normal B]]*cadangan[[#This Row],[Diskon]]),cadangan[[#This Row],[Harga Normal B]])</f>
        <v>0</v>
      </c>
      <c r="S754" s="73">
        <f>IFERROR(INDEX(Katalog!$F$3:$F$12,MATCH(cadangan[[#This Row],[ItemID B]],Katalog!$C$3:$C$12,0))*cadangan[[#This Row],[Qty B]],0)</f>
        <v>0</v>
      </c>
      <c r="T754" s="73">
        <f>IFERROR(cadangan[[#This Row],[Harga Diskon B]]-INDEX(Katalog!$E$3:$E$12,MATCH(cadangan[[#This Row],[ItemID B]],Katalog!$C$3:$C$12,0))*cadangan[[#This Row],[Qty B]],0)</f>
        <v>0</v>
      </c>
      <c r="V754" s="39" t="str">
        <f>IFERROR(INDEX(Katalog!$A$3:$A$12,MATCH(cadangan[[#This Row],[ItemID C]],Katalog!$C$3:$C$12,0)),"-")</f>
        <v>-</v>
      </c>
      <c r="W754" s="39" t="str">
        <f>IFERROR(INDEX(Katalog!$B$3:$B$12,MATCH(cadangan[[#This Row],[ItemID C]],Katalog!$C$3:$C$12,0)),"-")</f>
        <v>-</v>
      </c>
      <c r="Z754" s="73">
        <f>IFERROR(INDEX(Katalog!$D$3:$D$12,MATCH(cadangan[[#This Row],[ItemID C]],Katalog!$C$3:$C$12,0))*cadangan[[#This Row],[Qty C]],0)</f>
        <v>0</v>
      </c>
      <c r="AA754" s="73">
        <f>IFERROR(cadangan[[#This Row],[Harga Normal C]]-(cadangan[[#This Row],[Harga Normal C]]*cadangan[[#This Row],[Diskon]]),cadangan[[#This Row],[Harga Normal C]])</f>
        <v>0</v>
      </c>
      <c r="AB754" s="73">
        <f>IFERROR(INDEX(Katalog!$F$3:$F$12,MATCH(cadangan[[#This Row],[ItemID C]],Katalog!$C$3:$C$12,0))*cadangan[[#This Row],[Qty C]],0)</f>
        <v>0</v>
      </c>
      <c r="AC754" s="73">
        <f>IFERROR(cadangan[[#This Row],[Harga Diskon C]]-INDEX(Katalog!$E$3:$E$12,MATCH(cadangan[[#This Row],[ItemID C]],Katalog!$C$3:$C$12,0))*cadangan[[#This Row],[Qty C]],0)</f>
        <v>0</v>
      </c>
      <c r="AD754" s="53">
        <f>cadangan[[#This Row],[Qty A]]+cadangan[[#This Row],[Qty B]]+cadangan[[#This Row],[Qty C]]</f>
        <v>1</v>
      </c>
      <c r="AE754" s="73">
        <f>cadangan[[#This Row],[Harga Normal A]]+cadangan[[#This Row],[Harga Normal B]]+cadangan[[#This Row],[Harga Normal C]]</f>
        <v>500000</v>
      </c>
      <c r="AF754" s="73">
        <f>cadangan[[#This Row],[Harga Diskon A]]+cadangan[[#This Row],[Harga Diskon B]]+cadangan[[#This Row],[Harga Diskon C]]</f>
        <v>500000</v>
      </c>
      <c r="AG754" s="73">
        <f>(cadangan[[#This Row],[Profit Normal A]]+cadangan[[#This Row],[Profit Normal B]]+cadangan[[#This Row],[Profit Normal C]])</f>
        <v>200000</v>
      </c>
      <c r="AH754" s="73">
        <f>cadangan[[#This Row],[Profit Diskon A]]+cadangan[[#This Row],[Profit Diskon B]]+cadangan[[#This Row],[Profit Diskon C]]</f>
        <v>200000</v>
      </c>
      <c r="AI754" s="23" t="s">
        <v>290</v>
      </c>
      <c r="AJ754" s="37" t="str">
        <f>IFERROR(INDEX('Kode Diskon'!$D$3:$D$9,MATCH(cadangan[[#This Row],[Kode diskon]],'Kode Diskon'!$C$3:$C$9,0)),"-")</f>
        <v>-</v>
      </c>
      <c r="AK754" s="23" t="s">
        <v>290</v>
      </c>
      <c r="AL754" s="23" t="s">
        <v>7</v>
      </c>
      <c r="AM754" s="23" t="s">
        <v>80</v>
      </c>
      <c r="AN754" s="55">
        <v>45023</v>
      </c>
      <c r="AO754" s="53">
        <f>DAY(cadangan[[#This Row],[Tanggal terjual]])</f>
        <v>7</v>
      </c>
      <c r="AP754" s="21" t="str">
        <f>TEXT(cadangan[[#This Row],[Tanggal terjual]],"dddd")</f>
        <v>Friday</v>
      </c>
      <c r="AQ754" s="23" t="str" cm="1">
        <f t="array" ref="AQ7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54" s="61">
        <f>AVERAGE(cadangan[[#This Row],[Rating A]],cadangan[[#This Row],[Rating B]],cadangan[[#This Row],[Rating C]])</f>
        <v>2</v>
      </c>
    </row>
    <row r="755" spans="1:44" x14ac:dyDescent="0.2">
      <c r="A755" s="20">
        <v>754</v>
      </c>
      <c r="B755" s="21" t="str">
        <f>_xlfn.CONCAT("ORD-",INDEX(Helper!$B$2:$B$5,MATCH(cadangan[[#This Row],[Marketplace]],Helper!$A$2:$A$5,0)),TEXT(cadangan[[#This Row],[No]],"0000"),"-",TEXT(cadangan[[#This Row],[Tanggal terjual]],"dd/mm/yy"))</f>
        <v>ORD-SP0754-05/04/23</v>
      </c>
      <c r="C755" s="39" t="s">
        <v>63</v>
      </c>
      <c r="D755" s="39" t="str">
        <f>IFERROR(INDEX(Katalog!$A$3:$A$12,MATCH(cadangan[[#This Row],[ItemID A]],Katalog!$C$3:$C$12,0)),"-")</f>
        <v>Pakaian Pria</v>
      </c>
      <c r="E755" s="39" t="str">
        <f>IFERROR(INDEX(Katalog!$B$3:$B$12,MATCH(cadangan[[#This Row],[ItemID A]],Katalog!$C$3:$C$12,0)),"-")</f>
        <v>Jaket Jeans</v>
      </c>
      <c r="F755" s="50">
        <v>1</v>
      </c>
      <c r="G755" s="50">
        <v>5</v>
      </c>
      <c r="H755" s="73">
        <f>IFERROR(INDEX(Katalog!$D$3:$D$12,MATCH(cadangan[[#This Row],[ItemID A]],Katalog!$C$3:$C$12,0))*cadangan[[#This Row],[Qty A]],0)</f>
        <v>400000</v>
      </c>
      <c r="I755" s="73">
        <f>IFERROR(cadangan[[#This Row],[Harga Normal A]]-(cadangan[[#This Row],[Harga Normal A]]*cadangan[[#This Row],[Diskon]]),cadangan[[#This Row],[Harga Normal A]])</f>
        <v>340000</v>
      </c>
      <c r="J755" s="73">
        <f>INDEX(Katalog!$F$3:$F$12,MATCH(cadangan[[#This Row],[ItemID A]],Katalog!$C$3:$C$12,0))*cadangan[[#This Row],[Qty A]]</f>
        <v>150000</v>
      </c>
      <c r="K755" s="73">
        <f>IFERROR(cadangan[[#This Row],[Harga Diskon A]]-INDEX(Katalog!$E$3:$E$12,MATCH(cadangan[[#This Row],[ItemID A]],Katalog!$C$3:$C$12,0))*cadangan[[#This Row],[Qty A]],0)</f>
        <v>90000</v>
      </c>
      <c r="L755" s="39" t="s">
        <v>62</v>
      </c>
      <c r="M755" s="39" t="str">
        <f>IFERROR(INDEX(Katalog!$A$3:$A$12,MATCH(cadangan[[#This Row],[ItemID B]],Katalog!$C$3:$C$12,0)),"-")</f>
        <v>Pakaian Pria</v>
      </c>
      <c r="N755" s="39" t="str">
        <f>IFERROR(INDEX(Katalog!$B$3:$B$12,MATCH(cadangan[[#This Row],[ItemID B]],Katalog!$C$3:$C$12,0)),"-")</f>
        <v>Celana Pendek</v>
      </c>
      <c r="O755" s="50">
        <v>1</v>
      </c>
      <c r="P755" s="50">
        <v>4</v>
      </c>
      <c r="Q755" s="73">
        <f>IFERROR(INDEX(Katalog!$D$3:$D$12,MATCH(cadangan[[#This Row],[ItemID B]],Katalog!$C$3:$C$12,0))*cadangan[[#This Row],[Qty B]],0)</f>
        <v>180000</v>
      </c>
      <c r="R755" s="73">
        <f>IFERROR(cadangan[[#This Row],[Harga Normal B]]-(cadangan[[#This Row],[Harga Normal B]]*cadangan[[#This Row],[Diskon]]),cadangan[[#This Row],[Harga Normal B]])</f>
        <v>153000</v>
      </c>
      <c r="S755" s="73">
        <f>IFERROR(INDEX(Katalog!$F$3:$F$12,MATCH(cadangan[[#This Row],[ItemID B]],Katalog!$C$3:$C$12,0))*cadangan[[#This Row],[Qty B]],0)</f>
        <v>70000</v>
      </c>
      <c r="T755" s="73">
        <f>IFERROR(cadangan[[#This Row],[Harga Diskon B]]-INDEX(Katalog!$E$3:$E$12,MATCH(cadangan[[#This Row],[ItemID B]],Katalog!$C$3:$C$12,0))*cadangan[[#This Row],[Qty B]],0)</f>
        <v>43000</v>
      </c>
      <c r="U755" s="39" t="s">
        <v>66</v>
      </c>
      <c r="V755" s="39" t="str">
        <f>IFERROR(INDEX(Katalog!$A$3:$A$12,MATCH(cadangan[[#This Row],[ItemID C]],Katalog!$C$3:$C$12,0)),"-")</f>
        <v>Sepatu Pria</v>
      </c>
      <c r="W755" s="39" t="str">
        <f>IFERROR(INDEX(Katalog!$B$3:$B$12,MATCH(cadangan[[#This Row],[ItemID C]],Katalog!$C$3:$C$12,0)),"-")</f>
        <v>Sandal Slip On</v>
      </c>
      <c r="X755" s="50">
        <v>5</v>
      </c>
      <c r="Y755" s="50">
        <v>3</v>
      </c>
      <c r="Z755" s="73">
        <f>IFERROR(INDEX(Katalog!$D$3:$D$12,MATCH(cadangan[[#This Row],[ItemID C]],Katalog!$C$3:$C$12,0))*cadangan[[#This Row],[Qty C]],0)</f>
        <v>750000</v>
      </c>
      <c r="AA755" s="73">
        <f>IFERROR(cadangan[[#This Row],[Harga Normal C]]-(cadangan[[#This Row],[Harga Normal C]]*cadangan[[#This Row],[Diskon]]),cadangan[[#This Row],[Harga Normal C]])</f>
        <v>637500</v>
      </c>
      <c r="AB755" s="73">
        <f>IFERROR(INDEX(Katalog!$F$3:$F$12,MATCH(cadangan[[#This Row],[ItemID C]],Katalog!$C$3:$C$12,0))*cadangan[[#This Row],[Qty C]],0)</f>
        <v>300000</v>
      </c>
      <c r="AC755" s="73">
        <f>IFERROR(cadangan[[#This Row],[Harga Diskon C]]-INDEX(Katalog!$E$3:$E$12,MATCH(cadangan[[#This Row],[ItemID C]],Katalog!$C$3:$C$12,0))*cadangan[[#This Row],[Qty C]],0)</f>
        <v>187500</v>
      </c>
      <c r="AD755" s="53">
        <f>cadangan[[#This Row],[Qty A]]+cadangan[[#This Row],[Qty B]]+cadangan[[#This Row],[Qty C]]</f>
        <v>7</v>
      </c>
      <c r="AE755" s="73">
        <f>cadangan[[#This Row],[Harga Normal A]]+cadangan[[#This Row],[Harga Normal B]]+cadangan[[#This Row],[Harga Normal C]]</f>
        <v>1330000</v>
      </c>
      <c r="AF755" s="73">
        <f>cadangan[[#This Row],[Harga Diskon A]]+cadangan[[#This Row],[Harga Diskon B]]+cadangan[[#This Row],[Harga Diskon C]]</f>
        <v>1130500</v>
      </c>
      <c r="AG755" s="73">
        <f>(cadangan[[#This Row],[Profit Normal A]]+cadangan[[#This Row],[Profit Normal B]]+cadangan[[#This Row],[Profit Normal C]])</f>
        <v>520000</v>
      </c>
      <c r="AH755" s="73">
        <f>cadangan[[#This Row],[Profit Diskon A]]+cadangan[[#This Row],[Profit Diskon B]]+cadangan[[#This Row],[Profit Diskon C]]</f>
        <v>320500</v>
      </c>
      <c r="AI755" s="23" t="s">
        <v>13</v>
      </c>
      <c r="AJ755" s="37">
        <f>IFERROR(INDEX('Kode Diskon'!$D$3:$D$9,MATCH(cadangan[[#This Row],[Kode diskon]],'Kode Diskon'!$C$3:$C$9,0)),"-")</f>
        <v>0.15</v>
      </c>
      <c r="AK755" s="23" t="s">
        <v>29</v>
      </c>
      <c r="AL755" s="23" t="s">
        <v>7</v>
      </c>
      <c r="AM755" s="23" t="s">
        <v>75</v>
      </c>
      <c r="AN755" s="55">
        <v>45021</v>
      </c>
      <c r="AO755" s="53">
        <f>DAY(cadangan[[#This Row],[Tanggal terjual]])</f>
        <v>5</v>
      </c>
      <c r="AP755" s="21" t="str">
        <f>TEXT(cadangan[[#This Row],[Tanggal terjual]],"dddd")</f>
        <v>Wednesday</v>
      </c>
      <c r="AQ755" s="23" t="str" cm="1">
        <f t="array" ref="AQ7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55" s="61">
        <f>AVERAGE(cadangan[[#This Row],[Rating A]],cadangan[[#This Row],[Rating B]],cadangan[[#This Row],[Rating C]])</f>
        <v>4</v>
      </c>
    </row>
    <row r="756" spans="1:44" x14ac:dyDescent="0.2">
      <c r="A756" s="20">
        <v>755</v>
      </c>
      <c r="B756" s="21" t="str">
        <f>_xlfn.CONCAT("ORD-",INDEX(Helper!$B$2:$B$5,MATCH(cadangan[[#This Row],[Marketplace]],Helper!$A$2:$A$5,0)),TEXT(cadangan[[#This Row],[No]],"0000"),"-",TEXT(cadangan[[#This Row],[Tanggal terjual]],"dd/mm/yy"))</f>
        <v>ORD-TK0755-05/04/23</v>
      </c>
      <c r="C756" s="39" t="s">
        <v>66</v>
      </c>
      <c r="D756" s="39" t="str">
        <f>IFERROR(INDEX(Katalog!$A$3:$A$12,MATCH(cadangan[[#This Row],[ItemID A]],Katalog!$C$3:$C$12,0)),"-")</f>
        <v>Sepatu Pria</v>
      </c>
      <c r="E756" s="39" t="str">
        <f>IFERROR(INDEX(Katalog!$B$3:$B$12,MATCH(cadangan[[#This Row],[ItemID A]],Katalog!$C$3:$C$12,0)),"-")</f>
        <v>Sandal Slip On</v>
      </c>
      <c r="F756" s="50">
        <v>2</v>
      </c>
      <c r="G756" s="50">
        <v>3</v>
      </c>
      <c r="H756" s="73">
        <f>IFERROR(INDEX(Katalog!$D$3:$D$12,MATCH(cadangan[[#This Row],[ItemID A]],Katalog!$C$3:$C$12,0))*cadangan[[#This Row],[Qty A]],0)</f>
        <v>300000</v>
      </c>
      <c r="I756" s="73">
        <f>IFERROR(cadangan[[#This Row],[Harga Normal A]]-(cadangan[[#This Row],[Harga Normal A]]*cadangan[[#This Row],[Diskon]]),cadangan[[#This Row],[Harga Normal A]])</f>
        <v>270000</v>
      </c>
      <c r="J756" s="73">
        <f>INDEX(Katalog!$F$3:$F$12,MATCH(cadangan[[#This Row],[ItemID A]],Katalog!$C$3:$C$12,0))*cadangan[[#This Row],[Qty A]]</f>
        <v>120000</v>
      </c>
      <c r="K756" s="73">
        <f>IFERROR(cadangan[[#This Row],[Harga Diskon A]]-INDEX(Katalog!$E$3:$E$12,MATCH(cadangan[[#This Row],[ItemID A]],Katalog!$C$3:$C$12,0))*cadangan[[#This Row],[Qty A]],0)</f>
        <v>90000</v>
      </c>
      <c r="M756" s="39" t="str">
        <f>IFERROR(INDEX(Katalog!$A$3:$A$12,MATCH(cadangan[[#This Row],[ItemID B]],Katalog!$C$3:$C$12,0)),"-")</f>
        <v>-</v>
      </c>
      <c r="N756" s="39" t="str">
        <f>IFERROR(INDEX(Katalog!$B$3:$B$12,MATCH(cadangan[[#This Row],[ItemID B]],Katalog!$C$3:$C$12,0)),"-")</f>
        <v>-</v>
      </c>
      <c r="Q756" s="73">
        <f>IFERROR(INDEX(Katalog!$D$3:$D$12,MATCH(cadangan[[#This Row],[ItemID B]],Katalog!$C$3:$C$12,0))*cadangan[[#This Row],[Qty B]],0)</f>
        <v>0</v>
      </c>
      <c r="R756" s="73">
        <f>IFERROR(cadangan[[#This Row],[Harga Normal B]]-(cadangan[[#This Row],[Harga Normal B]]*cadangan[[#This Row],[Diskon]]),cadangan[[#This Row],[Harga Normal B]])</f>
        <v>0</v>
      </c>
      <c r="S756" s="73">
        <f>IFERROR(INDEX(Katalog!$F$3:$F$12,MATCH(cadangan[[#This Row],[ItemID B]],Katalog!$C$3:$C$12,0))*cadangan[[#This Row],[Qty B]],0)</f>
        <v>0</v>
      </c>
      <c r="T756" s="73">
        <f>IFERROR(cadangan[[#This Row],[Harga Diskon B]]-INDEX(Katalog!$E$3:$E$12,MATCH(cadangan[[#This Row],[ItemID B]],Katalog!$C$3:$C$12,0))*cadangan[[#This Row],[Qty B]],0)</f>
        <v>0</v>
      </c>
      <c r="V756" s="39" t="str">
        <f>IFERROR(INDEX(Katalog!$A$3:$A$12,MATCH(cadangan[[#This Row],[ItemID C]],Katalog!$C$3:$C$12,0)),"-")</f>
        <v>-</v>
      </c>
      <c r="W756" s="39" t="str">
        <f>IFERROR(INDEX(Katalog!$B$3:$B$12,MATCH(cadangan[[#This Row],[ItemID C]],Katalog!$C$3:$C$12,0)),"-")</f>
        <v>-</v>
      </c>
      <c r="Z756" s="73">
        <f>IFERROR(INDEX(Katalog!$D$3:$D$12,MATCH(cadangan[[#This Row],[ItemID C]],Katalog!$C$3:$C$12,0))*cadangan[[#This Row],[Qty C]],0)</f>
        <v>0</v>
      </c>
      <c r="AA756" s="73">
        <f>IFERROR(cadangan[[#This Row],[Harga Normal C]]-(cadangan[[#This Row],[Harga Normal C]]*cadangan[[#This Row],[Diskon]]),cadangan[[#This Row],[Harga Normal C]])</f>
        <v>0</v>
      </c>
      <c r="AB756" s="73">
        <f>IFERROR(INDEX(Katalog!$F$3:$F$12,MATCH(cadangan[[#This Row],[ItemID C]],Katalog!$C$3:$C$12,0))*cadangan[[#This Row],[Qty C]],0)</f>
        <v>0</v>
      </c>
      <c r="AC756" s="73">
        <f>IFERROR(cadangan[[#This Row],[Harga Diskon C]]-INDEX(Katalog!$E$3:$E$12,MATCH(cadangan[[#This Row],[ItemID C]],Katalog!$C$3:$C$12,0))*cadangan[[#This Row],[Qty C]],0)</f>
        <v>0</v>
      </c>
      <c r="AD756" s="53">
        <f>cadangan[[#This Row],[Qty A]]+cadangan[[#This Row],[Qty B]]+cadangan[[#This Row],[Qty C]]</f>
        <v>2</v>
      </c>
      <c r="AE756" s="73">
        <f>cadangan[[#This Row],[Harga Normal A]]+cadangan[[#This Row],[Harga Normal B]]+cadangan[[#This Row],[Harga Normal C]]</f>
        <v>300000</v>
      </c>
      <c r="AF756" s="73">
        <f>cadangan[[#This Row],[Harga Diskon A]]+cadangan[[#This Row],[Harga Diskon B]]+cadangan[[#This Row],[Harga Diskon C]]</f>
        <v>270000</v>
      </c>
      <c r="AG756" s="73">
        <f>(cadangan[[#This Row],[Profit Normal A]]+cadangan[[#This Row],[Profit Normal B]]+cadangan[[#This Row],[Profit Normal C]])</f>
        <v>120000</v>
      </c>
      <c r="AH756" s="73">
        <f>cadangan[[#This Row],[Profit Diskon A]]+cadangan[[#This Row],[Profit Diskon B]]+cadangan[[#This Row],[Profit Diskon C]]</f>
        <v>90000</v>
      </c>
      <c r="AI756" s="23" t="s">
        <v>30</v>
      </c>
      <c r="AJ756" s="37">
        <f>IFERROR(INDEX('Kode Diskon'!$D$3:$D$9,MATCH(cadangan[[#This Row],[Kode diskon]],'Kode Diskon'!$C$3:$C$9,0)),"-")</f>
        <v>0.1</v>
      </c>
      <c r="AK756" s="23" t="s">
        <v>29</v>
      </c>
      <c r="AL756" s="23" t="s">
        <v>10</v>
      </c>
      <c r="AM756" s="23" t="s">
        <v>80</v>
      </c>
      <c r="AN756" s="55">
        <v>45021</v>
      </c>
      <c r="AO756" s="53">
        <f>DAY(cadangan[[#This Row],[Tanggal terjual]])</f>
        <v>5</v>
      </c>
      <c r="AP756" s="21" t="str">
        <f>TEXT(cadangan[[#This Row],[Tanggal terjual]],"dddd")</f>
        <v>Wednesday</v>
      </c>
      <c r="AQ756" s="23" t="str" cm="1">
        <f t="array" ref="AQ7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56" s="61">
        <f>AVERAGE(cadangan[[#This Row],[Rating A]],cadangan[[#This Row],[Rating B]],cadangan[[#This Row],[Rating C]])</f>
        <v>3</v>
      </c>
    </row>
    <row r="757" spans="1:44" x14ac:dyDescent="0.2">
      <c r="A757" s="20">
        <v>756</v>
      </c>
      <c r="B757" s="21" t="str">
        <f>_xlfn.CONCAT("ORD-",INDEX(Helper!$B$2:$B$5,MATCH(cadangan[[#This Row],[Marketplace]],Helper!$A$2:$A$5,0)),TEXT(cadangan[[#This Row],[No]],"0000"),"-",TEXT(cadangan[[#This Row],[Tanggal terjual]],"dd/mm/yy"))</f>
        <v>ORD-BL0756-28/04/23</v>
      </c>
      <c r="C757" s="39" t="s">
        <v>64</v>
      </c>
      <c r="D757" s="39" t="str">
        <f>IFERROR(INDEX(Katalog!$A$3:$A$12,MATCH(cadangan[[#This Row],[ItemID A]],Katalog!$C$3:$C$12,0)),"-")</f>
        <v>Pakaian Unisex</v>
      </c>
      <c r="E757" s="39" t="str">
        <f>IFERROR(INDEX(Katalog!$B$3:$B$12,MATCH(cadangan[[#This Row],[ItemID A]],Katalog!$C$3:$C$12,0)),"-")</f>
        <v>Jaket Hoodie</v>
      </c>
      <c r="F757" s="50">
        <v>1</v>
      </c>
      <c r="G757" s="50">
        <v>4</v>
      </c>
      <c r="H757" s="73">
        <f>IFERROR(INDEX(Katalog!$D$3:$D$12,MATCH(cadangan[[#This Row],[ItemID A]],Katalog!$C$3:$C$12,0))*cadangan[[#This Row],[Qty A]],0)</f>
        <v>350000</v>
      </c>
      <c r="I757" s="73">
        <f>IFERROR(cadangan[[#This Row],[Harga Normal A]]-(cadangan[[#This Row],[Harga Normal A]]*cadangan[[#This Row],[Diskon]]),cadangan[[#This Row],[Harga Normal A]])</f>
        <v>297500</v>
      </c>
      <c r="J757" s="73">
        <f>INDEX(Katalog!$F$3:$F$12,MATCH(cadangan[[#This Row],[ItemID A]],Katalog!$C$3:$C$12,0))*cadangan[[#This Row],[Qty A]]</f>
        <v>130000</v>
      </c>
      <c r="K757" s="73">
        <f>IFERROR(cadangan[[#This Row],[Harga Diskon A]]-INDEX(Katalog!$E$3:$E$12,MATCH(cadangan[[#This Row],[ItemID A]],Katalog!$C$3:$C$12,0))*cadangan[[#This Row],[Qty A]],0)</f>
        <v>77500</v>
      </c>
      <c r="M757" s="39" t="str">
        <f>IFERROR(INDEX(Katalog!$A$3:$A$12,MATCH(cadangan[[#This Row],[ItemID B]],Katalog!$C$3:$C$12,0)),"-")</f>
        <v>-</v>
      </c>
      <c r="N757" s="39" t="str">
        <f>IFERROR(INDEX(Katalog!$B$3:$B$12,MATCH(cadangan[[#This Row],[ItemID B]],Katalog!$C$3:$C$12,0)),"-")</f>
        <v>-</v>
      </c>
      <c r="Q757" s="73">
        <f>IFERROR(INDEX(Katalog!$D$3:$D$12,MATCH(cadangan[[#This Row],[ItemID B]],Katalog!$C$3:$C$12,0))*cadangan[[#This Row],[Qty B]],0)</f>
        <v>0</v>
      </c>
      <c r="R757" s="73">
        <f>IFERROR(cadangan[[#This Row],[Harga Normal B]]-(cadangan[[#This Row],[Harga Normal B]]*cadangan[[#This Row],[Diskon]]),cadangan[[#This Row],[Harga Normal B]])</f>
        <v>0</v>
      </c>
      <c r="S757" s="73">
        <f>IFERROR(INDEX(Katalog!$F$3:$F$12,MATCH(cadangan[[#This Row],[ItemID B]],Katalog!$C$3:$C$12,0))*cadangan[[#This Row],[Qty B]],0)</f>
        <v>0</v>
      </c>
      <c r="T757" s="73">
        <f>IFERROR(cadangan[[#This Row],[Harga Diskon B]]-INDEX(Katalog!$E$3:$E$12,MATCH(cadangan[[#This Row],[ItemID B]],Katalog!$C$3:$C$12,0))*cadangan[[#This Row],[Qty B]],0)</f>
        <v>0</v>
      </c>
      <c r="V757" s="39" t="str">
        <f>IFERROR(INDEX(Katalog!$A$3:$A$12,MATCH(cadangan[[#This Row],[ItemID C]],Katalog!$C$3:$C$12,0)),"-")</f>
        <v>-</v>
      </c>
      <c r="W757" s="39" t="str">
        <f>IFERROR(INDEX(Katalog!$B$3:$B$12,MATCH(cadangan[[#This Row],[ItemID C]],Katalog!$C$3:$C$12,0)),"-")</f>
        <v>-</v>
      </c>
      <c r="Z757" s="73">
        <f>IFERROR(INDEX(Katalog!$D$3:$D$12,MATCH(cadangan[[#This Row],[ItemID C]],Katalog!$C$3:$C$12,0))*cadangan[[#This Row],[Qty C]],0)</f>
        <v>0</v>
      </c>
      <c r="AA757" s="73">
        <f>IFERROR(cadangan[[#This Row],[Harga Normal C]]-(cadangan[[#This Row],[Harga Normal C]]*cadangan[[#This Row],[Diskon]]),cadangan[[#This Row],[Harga Normal C]])</f>
        <v>0</v>
      </c>
      <c r="AB757" s="73">
        <f>IFERROR(INDEX(Katalog!$F$3:$F$12,MATCH(cadangan[[#This Row],[ItemID C]],Katalog!$C$3:$C$12,0))*cadangan[[#This Row],[Qty C]],0)</f>
        <v>0</v>
      </c>
      <c r="AC757" s="73">
        <f>IFERROR(cadangan[[#This Row],[Harga Diskon C]]-INDEX(Katalog!$E$3:$E$12,MATCH(cadangan[[#This Row],[ItemID C]],Katalog!$C$3:$C$12,0))*cadangan[[#This Row],[Qty C]],0)</f>
        <v>0</v>
      </c>
      <c r="AD757" s="53">
        <f>cadangan[[#This Row],[Qty A]]+cadangan[[#This Row],[Qty B]]+cadangan[[#This Row],[Qty C]]</f>
        <v>1</v>
      </c>
      <c r="AE757" s="73">
        <f>cadangan[[#This Row],[Harga Normal A]]+cadangan[[#This Row],[Harga Normal B]]+cadangan[[#This Row],[Harga Normal C]]</f>
        <v>350000</v>
      </c>
      <c r="AF757" s="73">
        <f>cadangan[[#This Row],[Harga Diskon A]]+cadangan[[#This Row],[Harga Diskon B]]+cadangan[[#This Row],[Harga Diskon C]]</f>
        <v>297500</v>
      </c>
      <c r="AG757" s="73">
        <f>(cadangan[[#This Row],[Profit Normal A]]+cadangan[[#This Row],[Profit Normal B]]+cadangan[[#This Row],[Profit Normal C]])</f>
        <v>130000</v>
      </c>
      <c r="AH757" s="73">
        <f>cadangan[[#This Row],[Profit Diskon A]]+cadangan[[#This Row],[Profit Diskon B]]+cadangan[[#This Row],[Profit Diskon C]]</f>
        <v>77500</v>
      </c>
      <c r="AI757" s="23" t="s">
        <v>32</v>
      </c>
      <c r="AJ757" s="37">
        <f>IFERROR(INDEX('Kode Diskon'!$D$3:$D$9,MATCH(cadangan[[#This Row],[Kode diskon]],'Kode Diskon'!$C$3:$C$9,0)),"-")</f>
        <v>0.15</v>
      </c>
      <c r="AK757" s="23" t="s">
        <v>9</v>
      </c>
      <c r="AL757" s="23" t="s">
        <v>12</v>
      </c>
      <c r="AM757" s="23" t="s">
        <v>75</v>
      </c>
      <c r="AN757" s="55">
        <v>45044</v>
      </c>
      <c r="AO757" s="53">
        <f>DAY(cadangan[[#This Row],[Tanggal terjual]])</f>
        <v>28</v>
      </c>
      <c r="AP757" s="21" t="str">
        <f>TEXT(cadangan[[#This Row],[Tanggal terjual]],"dddd")</f>
        <v>Friday</v>
      </c>
      <c r="AQ757" s="23" t="str" cm="1">
        <f t="array" ref="AQ7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57" s="61">
        <f>AVERAGE(cadangan[[#This Row],[Rating A]],cadangan[[#This Row],[Rating B]],cadangan[[#This Row],[Rating C]])</f>
        <v>4</v>
      </c>
    </row>
    <row r="758" spans="1:44" x14ac:dyDescent="0.2">
      <c r="A758" s="20">
        <v>757</v>
      </c>
      <c r="B758" s="21" t="str">
        <f>_xlfn.CONCAT("ORD-",INDEX(Helper!$B$2:$B$5,MATCH(cadangan[[#This Row],[Marketplace]],Helper!$A$2:$A$5,0)),TEXT(cadangan[[#This Row],[No]],"0000"),"-",TEXT(cadangan[[#This Row],[Tanggal terjual]],"dd/mm/yy"))</f>
        <v>ORD-BB0757-06/04/23</v>
      </c>
      <c r="C758" s="39" t="s">
        <v>60</v>
      </c>
      <c r="D758" s="39" t="str">
        <f>IFERROR(INDEX(Katalog!$A$3:$A$12,MATCH(cadangan[[#This Row],[ItemID A]],Katalog!$C$3:$C$12,0)),"-")</f>
        <v>Pakaian Wanita</v>
      </c>
      <c r="E758" s="39" t="str">
        <f>IFERROR(INDEX(Katalog!$B$3:$B$12,MATCH(cadangan[[#This Row],[ItemID A]],Katalog!$C$3:$C$12,0)),"-")</f>
        <v>Kaftan</v>
      </c>
      <c r="F758" s="50">
        <v>3</v>
      </c>
      <c r="G758" s="50">
        <v>2</v>
      </c>
      <c r="H758" s="73">
        <f>IFERROR(INDEX(Katalog!$D$3:$D$12,MATCH(cadangan[[#This Row],[ItemID A]],Katalog!$C$3:$C$12,0))*cadangan[[#This Row],[Qty A]],0)</f>
        <v>750000</v>
      </c>
      <c r="I758" s="73">
        <f>IFERROR(cadangan[[#This Row],[Harga Normal A]]-(cadangan[[#This Row],[Harga Normal A]]*cadangan[[#This Row],[Diskon]]),cadangan[[#This Row],[Harga Normal A]])</f>
        <v>637500</v>
      </c>
      <c r="J758" s="73">
        <f>INDEX(Katalog!$F$3:$F$12,MATCH(cadangan[[#This Row],[ItemID A]],Katalog!$C$3:$C$12,0))*cadangan[[#This Row],[Qty A]]</f>
        <v>300000</v>
      </c>
      <c r="K758" s="73">
        <f>IFERROR(cadangan[[#This Row],[Harga Diskon A]]-INDEX(Katalog!$E$3:$E$12,MATCH(cadangan[[#This Row],[ItemID A]],Katalog!$C$3:$C$12,0))*cadangan[[#This Row],[Qty A]],0)</f>
        <v>187500</v>
      </c>
      <c r="L758" s="39" t="s">
        <v>63</v>
      </c>
      <c r="M758" s="39" t="str">
        <f>IFERROR(INDEX(Katalog!$A$3:$A$12,MATCH(cadangan[[#This Row],[ItemID B]],Katalog!$C$3:$C$12,0)),"-")</f>
        <v>Pakaian Pria</v>
      </c>
      <c r="N758" s="39" t="str">
        <f>IFERROR(INDEX(Katalog!$B$3:$B$12,MATCH(cadangan[[#This Row],[ItemID B]],Katalog!$C$3:$C$12,0)),"-")</f>
        <v>Jaket Jeans</v>
      </c>
      <c r="O758" s="50">
        <v>1</v>
      </c>
      <c r="P758" s="50">
        <v>4</v>
      </c>
      <c r="Q758" s="73">
        <f>IFERROR(INDEX(Katalog!$D$3:$D$12,MATCH(cadangan[[#This Row],[ItemID B]],Katalog!$C$3:$C$12,0))*cadangan[[#This Row],[Qty B]],0)</f>
        <v>400000</v>
      </c>
      <c r="R758" s="73">
        <f>IFERROR(cadangan[[#This Row],[Harga Normal B]]-(cadangan[[#This Row],[Harga Normal B]]*cadangan[[#This Row],[Diskon]]),cadangan[[#This Row],[Harga Normal B]])</f>
        <v>340000</v>
      </c>
      <c r="S758" s="73">
        <f>IFERROR(INDEX(Katalog!$F$3:$F$12,MATCH(cadangan[[#This Row],[ItemID B]],Katalog!$C$3:$C$12,0))*cadangan[[#This Row],[Qty B]],0)</f>
        <v>150000</v>
      </c>
      <c r="T758" s="73">
        <f>IFERROR(cadangan[[#This Row],[Harga Diskon B]]-INDEX(Katalog!$E$3:$E$12,MATCH(cadangan[[#This Row],[ItemID B]],Katalog!$C$3:$C$12,0))*cadangan[[#This Row],[Qty B]],0)</f>
        <v>90000</v>
      </c>
      <c r="V758" s="39" t="str">
        <f>IFERROR(INDEX(Katalog!$A$3:$A$12,MATCH(cadangan[[#This Row],[ItemID C]],Katalog!$C$3:$C$12,0)),"-")</f>
        <v>-</v>
      </c>
      <c r="W758" s="39" t="str">
        <f>IFERROR(INDEX(Katalog!$B$3:$B$12,MATCH(cadangan[[#This Row],[ItemID C]],Katalog!$C$3:$C$12,0)),"-")</f>
        <v>-</v>
      </c>
      <c r="Z758" s="73">
        <f>IFERROR(INDEX(Katalog!$D$3:$D$12,MATCH(cadangan[[#This Row],[ItemID C]],Katalog!$C$3:$C$12,0))*cadangan[[#This Row],[Qty C]],0)</f>
        <v>0</v>
      </c>
      <c r="AA758" s="73">
        <f>IFERROR(cadangan[[#This Row],[Harga Normal C]]-(cadangan[[#This Row],[Harga Normal C]]*cadangan[[#This Row],[Diskon]]),cadangan[[#This Row],[Harga Normal C]])</f>
        <v>0</v>
      </c>
      <c r="AB758" s="73">
        <f>IFERROR(INDEX(Katalog!$F$3:$F$12,MATCH(cadangan[[#This Row],[ItemID C]],Katalog!$C$3:$C$12,0))*cadangan[[#This Row],[Qty C]],0)</f>
        <v>0</v>
      </c>
      <c r="AC758" s="73">
        <f>IFERROR(cadangan[[#This Row],[Harga Diskon C]]-INDEX(Katalog!$E$3:$E$12,MATCH(cadangan[[#This Row],[ItemID C]],Katalog!$C$3:$C$12,0))*cadangan[[#This Row],[Qty C]],0)</f>
        <v>0</v>
      </c>
      <c r="AD758" s="53">
        <f>cadangan[[#This Row],[Qty A]]+cadangan[[#This Row],[Qty B]]+cadangan[[#This Row],[Qty C]]</f>
        <v>4</v>
      </c>
      <c r="AE758" s="73">
        <f>cadangan[[#This Row],[Harga Normal A]]+cadangan[[#This Row],[Harga Normal B]]+cadangan[[#This Row],[Harga Normal C]]</f>
        <v>1150000</v>
      </c>
      <c r="AF758" s="73">
        <f>cadangan[[#This Row],[Harga Diskon A]]+cadangan[[#This Row],[Harga Diskon B]]+cadangan[[#This Row],[Harga Diskon C]]</f>
        <v>977500</v>
      </c>
      <c r="AG758" s="73">
        <f>(cadangan[[#This Row],[Profit Normal A]]+cadangan[[#This Row],[Profit Normal B]]+cadangan[[#This Row],[Profit Normal C]])</f>
        <v>450000</v>
      </c>
      <c r="AH758" s="73">
        <f>cadangan[[#This Row],[Profit Diskon A]]+cadangan[[#This Row],[Profit Diskon B]]+cadangan[[#This Row],[Profit Diskon C]]</f>
        <v>277500</v>
      </c>
      <c r="AI758" s="23" t="s">
        <v>28</v>
      </c>
      <c r="AJ758" s="37">
        <f>IFERROR(INDEX('Kode Diskon'!$D$3:$D$9,MATCH(cadangan[[#This Row],[Kode diskon]],'Kode Diskon'!$C$3:$C$9,0)),"-")</f>
        <v>0.15</v>
      </c>
      <c r="AK758" s="23" t="s">
        <v>29</v>
      </c>
      <c r="AL758" s="23" t="s">
        <v>14</v>
      </c>
      <c r="AM758" s="23" t="s">
        <v>80</v>
      </c>
      <c r="AN758" s="55">
        <v>45022</v>
      </c>
      <c r="AO758" s="53">
        <f>DAY(cadangan[[#This Row],[Tanggal terjual]])</f>
        <v>6</v>
      </c>
      <c r="AP758" s="21" t="str">
        <f>TEXT(cadangan[[#This Row],[Tanggal terjual]],"dddd")</f>
        <v>Thursday</v>
      </c>
      <c r="AQ758" s="23" t="str" cm="1">
        <f t="array" ref="AQ7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58" s="61">
        <f>AVERAGE(cadangan[[#This Row],[Rating A]],cadangan[[#This Row],[Rating B]],cadangan[[#This Row],[Rating C]])</f>
        <v>3</v>
      </c>
    </row>
    <row r="759" spans="1:44" x14ac:dyDescent="0.2">
      <c r="A759" s="20">
        <v>758</v>
      </c>
      <c r="B759" s="21" t="str">
        <f>_xlfn.CONCAT("ORD-",INDEX(Helper!$B$2:$B$5,MATCH(cadangan[[#This Row],[Marketplace]],Helper!$A$2:$A$5,0)),TEXT(cadangan[[#This Row],[No]],"0000"),"-",TEXT(cadangan[[#This Row],[Tanggal terjual]],"dd/mm/yy"))</f>
        <v>ORD-BL0758-17/04/23</v>
      </c>
      <c r="C759" s="39" t="s">
        <v>61</v>
      </c>
      <c r="D759" s="39" t="str">
        <f>IFERROR(INDEX(Katalog!$A$3:$A$12,MATCH(cadangan[[#This Row],[ItemID A]],Katalog!$C$3:$C$12,0)),"-")</f>
        <v>Pakaian Pria</v>
      </c>
      <c r="E759" s="39" t="str">
        <f>IFERROR(INDEX(Katalog!$B$3:$B$12,MATCH(cadangan[[#This Row],[ItemID A]],Katalog!$C$3:$C$12,0)),"-")</f>
        <v>Kaos Polo</v>
      </c>
      <c r="F759" s="50">
        <v>2</v>
      </c>
      <c r="G759" s="50">
        <v>1</v>
      </c>
      <c r="H759" s="73">
        <f>IFERROR(INDEX(Katalog!$D$3:$D$12,MATCH(cadangan[[#This Row],[ItemID A]],Katalog!$C$3:$C$12,0))*cadangan[[#This Row],[Qty A]],0)</f>
        <v>400000</v>
      </c>
      <c r="I759" s="73">
        <f>IFERROR(cadangan[[#This Row],[Harga Normal A]]-(cadangan[[#This Row],[Harga Normal A]]*cadangan[[#This Row],[Diskon]]),cadangan[[#This Row],[Harga Normal A]])</f>
        <v>340000</v>
      </c>
      <c r="J759" s="73">
        <f>INDEX(Katalog!$F$3:$F$12,MATCH(cadangan[[#This Row],[ItemID A]],Katalog!$C$3:$C$12,0))*cadangan[[#This Row],[Qty A]]</f>
        <v>160000</v>
      </c>
      <c r="K759" s="73">
        <f>IFERROR(cadangan[[#This Row],[Harga Diskon A]]-INDEX(Katalog!$E$3:$E$12,MATCH(cadangan[[#This Row],[ItemID A]],Katalog!$C$3:$C$12,0))*cadangan[[#This Row],[Qty A]],0)</f>
        <v>100000</v>
      </c>
      <c r="L759" s="39" t="s">
        <v>60</v>
      </c>
      <c r="M759" s="39" t="str">
        <f>IFERROR(INDEX(Katalog!$A$3:$A$12,MATCH(cadangan[[#This Row],[ItemID B]],Katalog!$C$3:$C$12,0)),"-")</f>
        <v>Pakaian Wanita</v>
      </c>
      <c r="N759" s="39" t="str">
        <f>IFERROR(INDEX(Katalog!$B$3:$B$12,MATCH(cadangan[[#This Row],[ItemID B]],Katalog!$C$3:$C$12,0)),"-")</f>
        <v>Kaftan</v>
      </c>
      <c r="O759" s="50">
        <v>1</v>
      </c>
      <c r="P759" s="50">
        <v>1</v>
      </c>
      <c r="Q759" s="73">
        <f>IFERROR(INDEX(Katalog!$D$3:$D$12,MATCH(cadangan[[#This Row],[ItemID B]],Katalog!$C$3:$C$12,0))*cadangan[[#This Row],[Qty B]],0)</f>
        <v>250000</v>
      </c>
      <c r="R759" s="73">
        <f>IFERROR(cadangan[[#This Row],[Harga Normal B]]-(cadangan[[#This Row],[Harga Normal B]]*cadangan[[#This Row],[Diskon]]),cadangan[[#This Row],[Harga Normal B]])</f>
        <v>212500</v>
      </c>
      <c r="S759" s="73">
        <f>IFERROR(INDEX(Katalog!$F$3:$F$12,MATCH(cadangan[[#This Row],[ItemID B]],Katalog!$C$3:$C$12,0))*cadangan[[#This Row],[Qty B]],0)</f>
        <v>100000</v>
      </c>
      <c r="T759" s="73">
        <f>IFERROR(cadangan[[#This Row],[Harga Diskon B]]-INDEX(Katalog!$E$3:$E$12,MATCH(cadangan[[#This Row],[ItemID B]],Katalog!$C$3:$C$12,0))*cadangan[[#This Row],[Qty B]],0)</f>
        <v>62500</v>
      </c>
      <c r="U759" s="39" t="s">
        <v>59</v>
      </c>
      <c r="V759" s="39" t="str">
        <f>IFERROR(INDEX(Katalog!$A$3:$A$12,MATCH(cadangan[[#This Row],[ItemID C]],Katalog!$C$3:$C$12,0)),"-")</f>
        <v>Pakaian Wanita</v>
      </c>
      <c r="W759" s="39" t="str">
        <f>IFERROR(INDEX(Katalog!$B$3:$B$12,MATCH(cadangan[[#This Row],[ItemID C]],Katalog!$C$3:$C$12,0)),"-")</f>
        <v>Blouse</v>
      </c>
      <c r="X759" s="50">
        <v>2</v>
      </c>
      <c r="Y759" s="50">
        <v>1</v>
      </c>
      <c r="Z759" s="73">
        <f>IFERROR(INDEX(Katalog!$D$3:$D$12,MATCH(cadangan[[#This Row],[ItemID C]],Katalog!$C$3:$C$12,0))*cadangan[[#This Row],[Qty C]],0)</f>
        <v>300000</v>
      </c>
      <c r="AA759" s="73">
        <f>IFERROR(cadangan[[#This Row],[Harga Normal C]]-(cadangan[[#This Row],[Harga Normal C]]*cadangan[[#This Row],[Diskon]]),cadangan[[#This Row],[Harga Normal C]])</f>
        <v>255000</v>
      </c>
      <c r="AB759" s="73">
        <f>IFERROR(INDEX(Katalog!$F$3:$F$12,MATCH(cadangan[[#This Row],[ItemID C]],Katalog!$C$3:$C$12,0))*cadangan[[#This Row],[Qty C]],0)</f>
        <v>100000</v>
      </c>
      <c r="AC759" s="73">
        <f>IFERROR(cadangan[[#This Row],[Harga Diskon C]]-INDEX(Katalog!$E$3:$E$12,MATCH(cadangan[[#This Row],[ItemID C]],Katalog!$C$3:$C$12,0))*cadangan[[#This Row],[Qty C]],0)</f>
        <v>55000</v>
      </c>
      <c r="AD759" s="53">
        <f>cadangan[[#This Row],[Qty A]]+cadangan[[#This Row],[Qty B]]+cadangan[[#This Row],[Qty C]]</f>
        <v>5</v>
      </c>
      <c r="AE759" s="73">
        <f>cadangan[[#This Row],[Harga Normal A]]+cadangan[[#This Row],[Harga Normal B]]+cadangan[[#This Row],[Harga Normal C]]</f>
        <v>950000</v>
      </c>
      <c r="AF759" s="73">
        <f>cadangan[[#This Row],[Harga Diskon A]]+cadangan[[#This Row],[Harga Diskon B]]+cadangan[[#This Row],[Harga Diskon C]]</f>
        <v>807500</v>
      </c>
      <c r="AG759" s="73">
        <f>(cadangan[[#This Row],[Profit Normal A]]+cadangan[[#This Row],[Profit Normal B]]+cadangan[[#This Row],[Profit Normal C]])</f>
        <v>360000</v>
      </c>
      <c r="AH759" s="73">
        <f>cadangan[[#This Row],[Profit Diskon A]]+cadangan[[#This Row],[Profit Diskon B]]+cadangan[[#This Row],[Profit Diskon C]]</f>
        <v>217500</v>
      </c>
      <c r="AI759" s="23" t="s">
        <v>32</v>
      </c>
      <c r="AJ759" s="37">
        <f>IFERROR(INDEX('Kode Diskon'!$D$3:$D$9,MATCH(cadangan[[#This Row],[Kode diskon]],'Kode Diskon'!$C$3:$C$9,0)),"-")</f>
        <v>0.15</v>
      </c>
      <c r="AK759" s="23" t="s">
        <v>9</v>
      </c>
      <c r="AL759" s="23" t="s">
        <v>12</v>
      </c>
      <c r="AM759" s="23" t="s">
        <v>75</v>
      </c>
      <c r="AN759" s="55">
        <v>45033</v>
      </c>
      <c r="AO759" s="53">
        <f>DAY(cadangan[[#This Row],[Tanggal terjual]])</f>
        <v>17</v>
      </c>
      <c r="AP759" s="21" t="str">
        <f>TEXT(cadangan[[#This Row],[Tanggal terjual]],"dddd")</f>
        <v>Monday</v>
      </c>
      <c r="AQ759" s="23" t="str" cm="1">
        <f t="array" ref="AQ7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59" s="61">
        <f>AVERAGE(cadangan[[#This Row],[Rating A]],cadangan[[#This Row],[Rating B]],cadangan[[#This Row],[Rating C]])</f>
        <v>1</v>
      </c>
    </row>
    <row r="760" spans="1:44" x14ac:dyDescent="0.2">
      <c r="A760" s="20">
        <v>759</v>
      </c>
      <c r="B760" s="21" t="str">
        <f>_xlfn.CONCAT("ORD-",INDEX(Helper!$B$2:$B$5,MATCH(cadangan[[#This Row],[Marketplace]],Helper!$A$2:$A$5,0)),TEXT(cadangan[[#This Row],[No]],"0000"),"-",TEXT(cadangan[[#This Row],[Tanggal terjual]],"dd/mm/yy"))</f>
        <v>ORD-BL0759-16/04/23</v>
      </c>
      <c r="C760" s="39" t="s">
        <v>61</v>
      </c>
      <c r="D760" s="39" t="str">
        <f>IFERROR(INDEX(Katalog!$A$3:$A$12,MATCH(cadangan[[#This Row],[ItemID A]],Katalog!$C$3:$C$12,0)),"-")</f>
        <v>Pakaian Pria</v>
      </c>
      <c r="E760" s="39" t="str">
        <f>IFERROR(INDEX(Katalog!$B$3:$B$12,MATCH(cadangan[[#This Row],[ItemID A]],Katalog!$C$3:$C$12,0)),"-")</f>
        <v>Kaos Polo</v>
      </c>
      <c r="F760" s="50">
        <v>4</v>
      </c>
      <c r="G760" s="50">
        <v>5</v>
      </c>
      <c r="H760" s="73">
        <f>IFERROR(INDEX(Katalog!$D$3:$D$12,MATCH(cadangan[[#This Row],[ItemID A]],Katalog!$C$3:$C$12,0))*cadangan[[#This Row],[Qty A]],0)</f>
        <v>800000</v>
      </c>
      <c r="I760" s="73">
        <f>IFERROR(cadangan[[#This Row],[Harga Normal A]]-(cadangan[[#This Row],[Harga Normal A]]*cadangan[[#This Row],[Diskon]]),cadangan[[#This Row],[Harga Normal A]])</f>
        <v>680000</v>
      </c>
      <c r="J760" s="73">
        <f>INDEX(Katalog!$F$3:$F$12,MATCH(cadangan[[#This Row],[ItemID A]],Katalog!$C$3:$C$12,0))*cadangan[[#This Row],[Qty A]]</f>
        <v>320000</v>
      </c>
      <c r="K760" s="73">
        <f>IFERROR(cadangan[[#This Row],[Harga Diskon A]]-INDEX(Katalog!$E$3:$E$12,MATCH(cadangan[[#This Row],[ItemID A]],Katalog!$C$3:$C$12,0))*cadangan[[#This Row],[Qty A]],0)</f>
        <v>200000</v>
      </c>
      <c r="M760" s="39" t="str">
        <f>IFERROR(INDEX(Katalog!$A$3:$A$12,MATCH(cadangan[[#This Row],[ItemID B]],Katalog!$C$3:$C$12,0)),"-")</f>
        <v>-</v>
      </c>
      <c r="N760" s="39" t="str">
        <f>IFERROR(INDEX(Katalog!$B$3:$B$12,MATCH(cadangan[[#This Row],[ItemID B]],Katalog!$C$3:$C$12,0)),"-")</f>
        <v>-</v>
      </c>
      <c r="Q760" s="73">
        <f>IFERROR(INDEX(Katalog!$D$3:$D$12,MATCH(cadangan[[#This Row],[ItemID B]],Katalog!$C$3:$C$12,0))*cadangan[[#This Row],[Qty B]],0)</f>
        <v>0</v>
      </c>
      <c r="R760" s="73">
        <f>IFERROR(cadangan[[#This Row],[Harga Normal B]]-(cadangan[[#This Row],[Harga Normal B]]*cadangan[[#This Row],[Diskon]]),cadangan[[#This Row],[Harga Normal B]])</f>
        <v>0</v>
      </c>
      <c r="S760" s="73">
        <f>IFERROR(INDEX(Katalog!$F$3:$F$12,MATCH(cadangan[[#This Row],[ItemID B]],Katalog!$C$3:$C$12,0))*cadangan[[#This Row],[Qty B]],0)</f>
        <v>0</v>
      </c>
      <c r="T760" s="73">
        <f>IFERROR(cadangan[[#This Row],[Harga Diskon B]]-INDEX(Katalog!$E$3:$E$12,MATCH(cadangan[[#This Row],[ItemID B]],Katalog!$C$3:$C$12,0))*cadangan[[#This Row],[Qty B]],0)</f>
        <v>0</v>
      </c>
      <c r="V760" s="39" t="str">
        <f>IFERROR(INDEX(Katalog!$A$3:$A$12,MATCH(cadangan[[#This Row],[ItemID C]],Katalog!$C$3:$C$12,0)),"-")</f>
        <v>-</v>
      </c>
      <c r="W760" s="39" t="str">
        <f>IFERROR(INDEX(Katalog!$B$3:$B$12,MATCH(cadangan[[#This Row],[ItemID C]],Katalog!$C$3:$C$12,0)),"-")</f>
        <v>-</v>
      </c>
      <c r="Z760" s="73">
        <f>IFERROR(INDEX(Katalog!$D$3:$D$12,MATCH(cadangan[[#This Row],[ItemID C]],Katalog!$C$3:$C$12,0))*cadangan[[#This Row],[Qty C]],0)</f>
        <v>0</v>
      </c>
      <c r="AA760" s="73">
        <f>IFERROR(cadangan[[#This Row],[Harga Normal C]]-(cadangan[[#This Row],[Harga Normal C]]*cadangan[[#This Row],[Diskon]]),cadangan[[#This Row],[Harga Normal C]])</f>
        <v>0</v>
      </c>
      <c r="AB760" s="73">
        <f>IFERROR(INDEX(Katalog!$F$3:$F$12,MATCH(cadangan[[#This Row],[ItemID C]],Katalog!$C$3:$C$12,0))*cadangan[[#This Row],[Qty C]],0)</f>
        <v>0</v>
      </c>
      <c r="AC760" s="73">
        <f>IFERROR(cadangan[[#This Row],[Harga Diskon C]]-INDEX(Katalog!$E$3:$E$12,MATCH(cadangan[[#This Row],[ItemID C]],Katalog!$C$3:$C$12,0))*cadangan[[#This Row],[Qty C]],0)</f>
        <v>0</v>
      </c>
      <c r="AD760" s="53">
        <f>cadangan[[#This Row],[Qty A]]+cadangan[[#This Row],[Qty B]]+cadangan[[#This Row],[Qty C]]</f>
        <v>4</v>
      </c>
      <c r="AE760" s="73">
        <f>cadangan[[#This Row],[Harga Normal A]]+cadangan[[#This Row],[Harga Normal B]]+cadangan[[#This Row],[Harga Normal C]]</f>
        <v>800000</v>
      </c>
      <c r="AF760" s="73">
        <f>cadangan[[#This Row],[Harga Diskon A]]+cadangan[[#This Row],[Harga Diskon B]]+cadangan[[#This Row],[Harga Diskon C]]</f>
        <v>680000</v>
      </c>
      <c r="AG760" s="73">
        <f>(cadangan[[#This Row],[Profit Normal A]]+cadangan[[#This Row],[Profit Normal B]]+cadangan[[#This Row],[Profit Normal C]])</f>
        <v>320000</v>
      </c>
      <c r="AH760" s="73">
        <f>cadangan[[#This Row],[Profit Diskon A]]+cadangan[[#This Row],[Profit Diskon B]]+cadangan[[#This Row],[Profit Diskon C]]</f>
        <v>200000</v>
      </c>
      <c r="AI760" s="23" t="s">
        <v>32</v>
      </c>
      <c r="AJ760" s="37">
        <f>IFERROR(INDEX('Kode Diskon'!$D$3:$D$9,MATCH(cadangan[[#This Row],[Kode diskon]],'Kode Diskon'!$C$3:$C$9,0)),"-")</f>
        <v>0.15</v>
      </c>
      <c r="AK760" s="23" t="s">
        <v>9</v>
      </c>
      <c r="AL760" s="23" t="s">
        <v>12</v>
      </c>
      <c r="AM760" s="23" t="s">
        <v>76</v>
      </c>
      <c r="AN760" s="55">
        <v>45032</v>
      </c>
      <c r="AO760" s="53">
        <f>DAY(cadangan[[#This Row],[Tanggal terjual]])</f>
        <v>16</v>
      </c>
      <c r="AP760" s="21" t="str">
        <f>TEXT(cadangan[[#This Row],[Tanggal terjual]],"dddd")</f>
        <v>Sunday</v>
      </c>
      <c r="AQ760" s="23" t="str" cm="1">
        <f t="array" ref="AQ7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60" s="61">
        <f>AVERAGE(cadangan[[#This Row],[Rating A]],cadangan[[#This Row],[Rating B]],cadangan[[#This Row],[Rating C]])</f>
        <v>5</v>
      </c>
    </row>
    <row r="761" spans="1:44" x14ac:dyDescent="0.2">
      <c r="A761" s="20">
        <v>760</v>
      </c>
      <c r="B761" s="21" t="str">
        <f>_xlfn.CONCAT("ORD-",INDEX(Helper!$B$2:$B$5,MATCH(cadangan[[#This Row],[Marketplace]],Helper!$A$2:$A$5,0)),TEXT(cadangan[[#This Row],[No]],"0000"),"-",TEXT(cadangan[[#This Row],[Tanggal terjual]],"dd/mm/yy"))</f>
        <v>ORD-SP0760-03/04/23</v>
      </c>
      <c r="C761" s="39" t="s">
        <v>59</v>
      </c>
      <c r="D761" s="39" t="str">
        <f>IFERROR(INDEX(Katalog!$A$3:$A$12,MATCH(cadangan[[#This Row],[ItemID A]],Katalog!$C$3:$C$12,0)),"-")</f>
        <v>Pakaian Wanita</v>
      </c>
      <c r="E761" s="39" t="str">
        <f>IFERROR(INDEX(Katalog!$B$3:$B$12,MATCH(cadangan[[#This Row],[ItemID A]],Katalog!$C$3:$C$12,0)),"-")</f>
        <v>Blouse</v>
      </c>
      <c r="F761" s="50">
        <v>2</v>
      </c>
      <c r="G761" s="50">
        <v>3</v>
      </c>
      <c r="H761" s="73">
        <f>IFERROR(INDEX(Katalog!$D$3:$D$12,MATCH(cadangan[[#This Row],[ItemID A]],Katalog!$C$3:$C$12,0))*cadangan[[#This Row],[Qty A]],0)</f>
        <v>300000</v>
      </c>
      <c r="I761" s="73">
        <f>IFERROR(cadangan[[#This Row],[Harga Normal A]]-(cadangan[[#This Row],[Harga Normal A]]*cadangan[[#This Row],[Diskon]]),cadangan[[#This Row],[Harga Normal A]])</f>
        <v>255000</v>
      </c>
      <c r="J761" s="73">
        <f>INDEX(Katalog!$F$3:$F$12,MATCH(cadangan[[#This Row],[ItemID A]],Katalog!$C$3:$C$12,0))*cadangan[[#This Row],[Qty A]]</f>
        <v>100000</v>
      </c>
      <c r="K761" s="73">
        <f>IFERROR(cadangan[[#This Row],[Harga Diskon A]]-INDEX(Katalog!$E$3:$E$12,MATCH(cadangan[[#This Row],[ItemID A]],Katalog!$C$3:$C$12,0))*cadangan[[#This Row],[Qty A]],0)</f>
        <v>55000</v>
      </c>
      <c r="L761" s="39" t="s">
        <v>62</v>
      </c>
      <c r="M761" s="39" t="str">
        <f>IFERROR(INDEX(Katalog!$A$3:$A$12,MATCH(cadangan[[#This Row],[ItemID B]],Katalog!$C$3:$C$12,0)),"-")</f>
        <v>Pakaian Pria</v>
      </c>
      <c r="N761" s="39" t="str">
        <f>IFERROR(INDEX(Katalog!$B$3:$B$12,MATCH(cadangan[[#This Row],[ItemID B]],Katalog!$C$3:$C$12,0)),"-")</f>
        <v>Celana Pendek</v>
      </c>
      <c r="O761" s="50">
        <v>1</v>
      </c>
      <c r="P761" s="50">
        <v>5</v>
      </c>
      <c r="Q761" s="73">
        <f>IFERROR(INDEX(Katalog!$D$3:$D$12,MATCH(cadangan[[#This Row],[ItemID B]],Katalog!$C$3:$C$12,0))*cadangan[[#This Row],[Qty B]],0)</f>
        <v>180000</v>
      </c>
      <c r="R761" s="73">
        <f>IFERROR(cadangan[[#This Row],[Harga Normal B]]-(cadangan[[#This Row],[Harga Normal B]]*cadangan[[#This Row],[Diskon]]),cadangan[[#This Row],[Harga Normal B]])</f>
        <v>153000</v>
      </c>
      <c r="S761" s="73">
        <f>IFERROR(INDEX(Katalog!$F$3:$F$12,MATCH(cadangan[[#This Row],[ItemID B]],Katalog!$C$3:$C$12,0))*cadangan[[#This Row],[Qty B]],0)</f>
        <v>70000</v>
      </c>
      <c r="T761" s="73">
        <f>IFERROR(cadangan[[#This Row],[Harga Diskon B]]-INDEX(Katalog!$E$3:$E$12,MATCH(cadangan[[#This Row],[ItemID B]],Katalog!$C$3:$C$12,0))*cadangan[[#This Row],[Qty B]],0)</f>
        <v>43000</v>
      </c>
      <c r="V761" s="39" t="str">
        <f>IFERROR(INDEX(Katalog!$A$3:$A$12,MATCH(cadangan[[#This Row],[ItemID C]],Katalog!$C$3:$C$12,0)),"-")</f>
        <v>-</v>
      </c>
      <c r="W761" s="39" t="str">
        <f>IFERROR(INDEX(Katalog!$B$3:$B$12,MATCH(cadangan[[#This Row],[ItemID C]],Katalog!$C$3:$C$12,0)),"-")</f>
        <v>-</v>
      </c>
      <c r="Z761" s="73">
        <f>IFERROR(INDEX(Katalog!$D$3:$D$12,MATCH(cadangan[[#This Row],[ItemID C]],Katalog!$C$3:$C$12,0))*cadangan[[#This Row],[Qty C]],0)</f>
        <v>0</v>
      </c>
      <c r="AA761" s="73">
        <f>IFERROR(cadangan[[#This Row],[Harga Normal C]]-(cadangan[[#This Row],[Harga Normal C]]*cadangan[[#This Row],[Diskon]]),cadangan[[#This Row],[Harga Normal C]])</f>
        <v>0</v>
      </c>
      <c r="AB761" s="73">
        <f>IFERROR(INDEX(Katalog!$F$3:$F$12,MATCH(cadangan[[#This Row],[ItemID C]],Katalog!$C$3:$C$12,0))*cadangan[[#This Row],[Qty C]],0)</f>
        <v>0</v>
      </c>
      <c r="AC761" s="73">
        <f>IFERROR(cadangan[[#This Row],[Harga Diskon C]]-INDEX(Katalog!$E$3:$E$12,MATCH(cadangan[[#This Row],[ItemID C]],Katalog!$C$3:$C$12,0))*cadangan[[#This Row],[Qty C]],0)</f>
        <v>0</v>
      </c>
      <c r="AD761" s="53">
        <f>cadangan[[#This Row],[Qty A]]+cadangan[[#This Row],[Qty B]]+cadangan[[#This Row],[Qty C]]</f>
        <v>3</v>
      </c>
      <c r="AE761" s="73">
        <f>cadangan[[#This Row],[Harga Normal A]]+cadangan[[#This Row],[Harga Normal B]]+cadangan[[#This Row],[Harga Normal C]]</f>
        <v>480000</v>
      </c>
      <c r="AF761" s="73">
        <f>cadangan[[#This Row],[Harga Diskon A]]+cadangan[[#This Row],[Harga Diskon B]]+cadangan[[#This Row],[Harga Diskon C]]</f>
        <v>408000</v>
      </c>
      <c r="AG761" s="73">
        <f>(cadangan[[#This Row],[Profit Normal A]]+cadangan[[#This Row],[Profit Normal B]]+cadangan[[#This Row],[Profit Normal C]])</f>
        <v>170000</v>
      </c>
      <c r="AH761" s="73">
        <f>cadangan[[#This Row],[Profit Diskon A]]+cadangan[[#This Row],[Profit Diskon B]]+cadangan[[#This Row],[Profit Diskon C]]</f>
        <v>98000</v>
      </c>
      <c r="AI761" s="23" t="s">
        <v>13</v>
      </c>
      <c r="AJ761" s="37">
        <f>IFERROR(INDEX('Kode Diskon'!$D$3:$D$9,MATCH(cadangan[[#This Row],[Kode diskon]],'Kode Diskon'!$C$3:$C$9,0)),"-")</f>
        <v>0.15</v>
      </c>
      <c r="AK761" s="23" t="s">
        <v>29</v>
      </c>
      <c r="AL761" s="23" t="s">
        <v>7</v>
      </c>
      <c r="AM761" s="23" t="s">
        <v>76</v>
      </c>
      <c r="AN761" s="55">
        <v>45019</v>
      </c>
      <c r="AO761" s="53">
        <f>DAY(cadangan[[#This Row],[Tanggal terjual]])</f>
        <v>3</v>
      </c>
      <c r="AP761" s="21" t="str">
        <f>TEXT(cadangan[[#This Row],[Tanggal terjual]],"dddd")</f>
        <v>Monday</v>
      </c>
      <c r="AQ761" s="23" t="str" cm="1">
        <f t="array" ref="AQ7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61" s="61">
        <f>AVERAGE(cadangan[[#This Row],[Rating A]],cadangan[[#This Row],[Rating B]],cadangan[[#This Row],[Rating C]])</f>
        <v>4</v>
      </c>
    </row>
    <row r="762" spans="1:44" x14ac:dyDescent="0.2">
      <c r="A762" s="20">
        <v>761</v>
      </c>
      <c r="B762" s="21" t="str">
        <f>_xlfn.CONCAT("ORD-",INDEX(Helper!$B$2:$B$5,MATCH(cadangan[[#This Row],[Marketplace]],Helper!$A$2:$A$5,0)),TEXT(cadangan[[#This Row],[No]],"0000"),"-",TEXT(cadangan[[#This Row],[Tanggal terjual]],"dd/mm/yy"))</f>
        <v>ORD-BB0761-04/04/23</v>
      </c>
      <c r="C762" s="39" t="s">
        <v>67</v>
      </c>
      <c r="D762" s="39" t="str">
        <f>IFERROR(INDEX(Katalog!$A$3:$A$12,MATCH(cadangan[[#This Row],[ItemID A]],Katalog!$C$3:$C$12,0)),"-")</f>
        <v>Sepatu Wanita</v>
      </c>
      <c r="E762" s="39" t="str">
        <f>IFERROR(INDEX(Katalog!$B$3:$B$12,MATCH(cadangan[[#This Row],[ItemID A]],Katalog!$C$3:$C$12,0)),"-")</f>
        <v>Flat Shoes</v>
      </c>
      <c r="F762" s="50">
        <v>1</v>
      </c>
      <c r="G762" s="50">
        <v>5</v>
      </c>
      <c r="H762" s="73">
        <f>IFERROR(INDEX(Katalog!$D$3:$D$12,MATCH(cadangan[[#This Row],[ItemID A]],Katalog!$C$3:$C$12,0))*cadangan[[#This Row],[Qty A]],0)</f>
        <v>250000</v>
      </c>
      <c r="I762" s="73">
        <f>IFERROR(cadangan[[#This Row],[Harga Normal A]]-(cadangan[[#This Row],[Harga Normal A]]*cadangan[[#This Row],[Diskon]]),cadangan[[#This Row],[Harga Normal A]])</f>
        <v>212500</v>
      </c>
      <c r="J762" s="73">
        <f>INDEX(Katalog!$F$3:$F$12,MATCH(cadangan[[#This Row],[ItemID A]],Katalog!$C$3:$C$12,0))*cadangan[[#This Row],[Qty A]]</f>
        <v>100000</v>
      </c>
      <c r="K762" s="73">
        <f>IFERROR(cadangan[[#This Row],[Harga Diskon A]]-INDEX(Katalog!$E$3:$E$12,MATCH(cadangan[[#This Row],[ItemID A]],Katalog!$C$3:$C$12,0))*cadangan[[#This Row],[Qty A]],0)</f>
        <v>62500</v>
      </c>
      <c r="L762" s="39" t="s">
        <v>65</v>
      </c>
      <c r="M762" s="39" t="str">
        <f>IFERROR(INDEX(Katalog!$A$3:$A$12,MATCH(cadangan[[#This Row],[ItemID B]],Katalog!$C$3:$C$12,0)),"-")</f>
        <v>Sepatu Pria</v>
      </c>
      <c r="N762" s="39" t="str">
        <f>IFERROR(INDEX(Katalog!$B$3:$B$12,MATCH(cadangan[[#This Row],[ItemID B]],Katalog!$C$3:$C$12,0)),"-")</f>
        <v>Sneakers</v>
      </c>
      <c r="O762" s="50">
        <v>1</v>
      </c>
      <c r="P762" s="50">
        <v>3</v>
      </c>
      <c r="Q762" s="73">
        <f>IFERROR(INDEX(Katalog!$D$3:$D$12,MATCH(cadangan[[#This Row],[ItemID B]],Katalog!$C$3:$C$12,0))*cadangan[[#This Row],[Qty B]],0)</f>
        <v>500000</v>
      </c>
      <c r="R762" s="73">
        <f>IFERROR(cadangan[[#This Row],[Harga Normal B]]-(cadangan[[#This Row],[Harga Normal B]]*cadangan[[#This Row],[Diskon]]),cadangan[[#This Row],[Harga Normal B]])</f>
        <v>425000</v>
      </c>
      <c r="S762" s="73">
        <f>IFERROR(INDEX(Katalog!$F$3:$F$12,MATCH(cadangan[[#This Row],[ItemID B]],Katalog!$C$3:$C$12,0))*cadangan[[#This Row],[Qty B]],0)</f>
        <v>200000</v>
      </c>
      <c r="T762" s="73">
        <f>IFERROR(cadangan[[#This Row],[Harga Diskon B]]-INDEX(Katalog!$E$3:$E$12,MATCH(cadangan[[#This Row],[ItemID B]],Katalog!$C$3:$C$12,0))*cadangan[[#This Row],[Qty B]],0)</f>
        <v>125000</v>
      </c>
      <c r="V762" s="39" t="str">
        <f>IFERROR(INDEX(Katalog!$A$3:$A$12,MATCH(cadangan[[#This Row],[ItemID C]],Katalog!$C$3:$C$12,0)),"-")</f>
        <v>-</v>
      </c>
      <c r="W762" s="39" t="str">
        <f>IFERROR(INDEX(Katalog!$B$3:$B$12,MATCH(cadangan[[#This Row],[ItemID C]],Katalog!$C$3:$C$12,0)),"-")</f>
        <v>-</v>
      </c>
      <c r="Z762" s="73">
        <f>IFERROR(INDEX(Katalog!$D$3:$D$12,MATCH(cadangan[[#This Row],[ItemID C]],Katalog!$C$3:$C$12,0))*cadangan[[#This Row],[Qty C]],0)</f>
        <v>0</v>
      </c>
      <c r="AA762" s="73">
        <f>IFERROR(cadangan[[#This Row],[Harga Normal C]]-(cadangan[[#This Row],[Harga Normal C]]*cadangan[[#This Row],[Diskon]]),cadangan[[#This Row],[Harga Normal C]])</f>
        <v>0</v>
      </c>
      <c r="AB762" s="73">
        <f>IFERROR(INDEX(Katalog!$F$3:$F$12,MATCH(cadangan[[#This Row],[ItemID C]],Katalog!$C$3:$C$12,0))*cadangan[[#This Row],[Qty C]],0)</f>
        <v>0</v>
      </c>
      <c r="AC762" s="73">
        <f>IFERROR(cadangan[[#This Row],[Harga Diskon C]]-INDEX(Katalog!$E$3:$E$12,MATCH(cadangan[[#This Row],[ItemID C]],Katalog!$C$3:$C$12,0))*cadangan[[#This Row],[Qty C]],0)</f>
        <v>0</v>
      </c>
      <c r="AD762" s="53">
        <f>cadangan[[#This Row],[Qty A]]+cadangan[[#This Row],[Qty B]]+cadangan[[#This Row],[Qty C]]</f>
        <v>2</v>
      </c>
      <c r="AE762" s="73">
        <f>cadangan[[#This Row],[Harga Normal A]]+cadangan[[#This Row],[Harga Normal B]]+cadangan[[#This Row],[Harga Normal C]]</f>
        <v>750000</v>
      </c>
      <c r="AF762" s="73">
        <f>cadangan[[#This Row],[Harga Diskon A]]+cadangan[[#This Row],[Harga Diskon B]]+cadangan[[#This Row],[Harga Diskon C]]</f>
        <v>637500</v>
      </c>
      <c r="AG762" s="73">
        <f>(cadangan[[#This Row],[Profit Normal A]]+cadangan[[#This Row],[Profit Normal B]]+cadangan[[#This Row],[Profit Normal C]])</f>
        <v>300000</v>
      </c>
      <c r="AH762" s="73">
        <f>cadangan[[#This Row],[Profit Diskon A]]+cadangan[[#This Row],[Profit Diskon B]]+cadangan[[#This Row],[Profit Diskon C]]</f>
        <v>187500</v>
      </c>
      <c r="AI762" s="23" t="s">
        <v>28</v>
      </c>
      <c r="AJ762" s="37">
        <f>IFERROR(INDEX('Kode Diskon'!$D$3:$D$9,MATCH(cadangan[[#This Row],[Kode diskon]],'Kode Diskon'!$C$3:$C$9,0)),"-")</f>
        <v>0.15</v>
      </c>
      <c r="AK762" s="23" t="s">
        <v>29</v>
      </c>
      <c r="AL762" s="23" t="s">
        <v>14</v>
      </c>
      <c r="AM762" s="23" t="s">
        <v>78</v>
      </c>
      <c r="AN762" s="55">
        <v>45020</v>
      </c>
      <c r="AO762" s="53">
        <f>DAY(cadangan[[#This Row],[Tanggal terjual]])</f>
        <v>4</v>
      </c>
      <c r="AP762" s="21" t="str">
        <f>TEXT(cadangan[[#This Row],[Tanggal terjual]],"dddd")</f>
        <v>Tuesday</v>
      </c>
      <c r="AQ762" s="23" t="str" cm="1">
        <f t="array" ref="AQ7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62" s="61">
        <f>AVERAGE(cadangan[[#This Row],[Rating A]],cadangan[[#This Row],[Rating B]],cadangan[[#This Row],[Rating C]])</f>
        <v>4</v>
      </c>
    </row>
    <row r="763" spans="1:44" x14ac:dyDescent="0.2">
      <c r="A763" s="20">
        <v>762</v>
      </c>
      <c r="B763" s="21" t="str">
        <f>_xlfn.CONCAT("ORD-",INDEX(Helper!$B$2:$B$5,MATCH(cadangan[[#This Row],[Marketplace]],Helper!$A$2:$A$5,0)),TEXT(cadangan[[#This Row],[No]],"0000"),"-",TEXT(cadangan[[#This Row],[Tanggal terjual]],"dd/mm/yy"))</f>
        <v>ORD-TK0762-13/04/23</v>
      </c>
      <c r="C763" s="39" t="s">
        <v>66</v>
      </c>
      <c r="D763" s="39" t="str">
        <f>IFERROR(INDEX(Katalog!$A$3:$A$12,MATCH(cadangan[[#This Row],[ItemID A]],Katalog!$C$3:$C$12,0)),"-")</f>
        <v>Sepatu Pria</v>
      </c>
      <c r="E763" s="39" t="str">
        <f>IFERROR(INDEX(Katalog!$B$3:$B$12,MATCH(cadangan[[#This Row],[ItemID A]],Katalog!$C$3:$C$12,0)),"-")</f>
        <v>Sandal Slip On</v>
      </c>
      <c r="F763" s="50">
        <v>2</v>
      </c>
      <c r="G763" s="50">
        <v>1</v>
      </c>
      <c r="H763" s="73">
        <f>IFERROR(INDEX(Katalog!$D$3:$D$12,MATCH(cadangan[[#This Row],[ItemID A]],Katalog!$C$3:$C$12,0))*cadangan[[#This Row],[Qty A]],0)</f>
        <v>300000</v>
      </c>
      <c r="I763" s="73">
        <f>IFERROR(cadangan[[#This Row],[Harga Normal A]]-(cadangan[[#This Row],[Harga Normal A]]*cadangan[[#This Row],[Diskon]]),cadangan[[#This Row],[Harga Normal A]])</f>
        <v>300000</v>
      </c>
      <c r="J763" s="73">
        <f>INDEX(Katalog!$F$3:$F$12,MATCH(cadangan[[#This Row],[ItemID A]],Katalog!$C$3:$C$12,0))*cadangan[[#This Row],[Qty A]]</f>
        <v>120000</v>
      </c>
      <c r="K763" s="73">
        <f>IFERROR(cadangan[[#This Row],[Harga Diskon A]]-INDEX(Katalog!$E$3:$E$12,MATCH(cadangan[[#This Row],[ItemID A]],Katalog!$C$3:$C$12,0))*cadangan[[#This Row],[Qty A]],0)</f>
        <v>120000</v>
      </c>
      <c r="M763" s="39" t="str">
        <f>IFERROR(INDEX(Katalog!$A$3:$A$12,MATCH(cadangan[[#This Row],[ItemID B]],Katalog!$C$3:$C$12,0)),"-")</f>
        <v>-</v>
      </c>
      <c r="N763" s="39" t="str">
        <f>IFERROR(INDEX(Katalog!$B$3:$B$12,MATCH(cadangan[[#This Row],[ItemID B]],Katalog!$C$3:$C$12,0)),"-")</f>
        <v>-</v>
      </c>
      <c r="Q763" s="73">
        <f>IFERROR(INDEX(Katalog!$D$3:$D$12,MATCH(cadangan[[#This Row],[ItemID B]],Katalog!$C$3:$C$12,0))*cadangan[[#This Row],[Qty B]],0)</f>
        <v>0</v>
      </c>
      <c r="R763" s="73">
        <f>IFERROR(cadangan[[#This Row],[Harga Normal B]]-(cadangan[[#This Row],[Harga Normal B]]*cadangan[[#This Row],[Diskon]]),cadangan[[#This Row],[Harga Normal B]])</f>
        <v>0</v>
      </c>
      <c r="S763" s="73">
        <f>IFERROR(INDEX(Katalog!$F$3:$F$12,MATCH(cadangan[[#This Row],[ItemID B]],Katalog!$C$3:$C$12,0))*cadangan[[#This Row],[Qty B]],0)</f>
        <v>0</v>
      </c>
      <c r="T763" s="73">
        <f>IFERROR(cadangan[[#This Row],[Harga Diskon B]]-INDEX(Katalog!$E$3:$E$12,MATCH(cadangan[[#This Row],[ItemID B]],Katalog!$C$3:$C$12,0))*cadangan[[#This Row],[Qty B]],0)</f>
        <v>0</v>
      </c>
      <c r="V763" s="39" t="str">
        <f>IFERROR(INDEX(Katalog!$A$3:$A$12,MATCH(cadangan[[#This Row],[ItemID C]],Katalog!$C$3:$C$12,0)),"-")</f>
        <v>-</v>
      </c>
      <c r="W763" s="39" t="str">
        <f>IFERROR(INDEX(Katalog!$B$3:$B$12,MATCH(cadangan[[#This Row],[ItemID C]],Katalog!$C$3:$C$12,0)),"-")</f>
        <v>-</v>
      </c>
      <c r="Z763" s="73">
        <f>IFERROR(INDEX(Katalog!$D$3:$D$12,MATCH(cadangan[[#This Row],[ItemID C]],Katalog!$C$3:$C$12,0))*cadangan[[#This Row],[Qty C]],0)</f>
        <v>0</v>
      </c>
      <c r="AA763" s="73">
        <f>IFERROR(cadangan[[#This Row],[Harga Normal C]]-(cadangan[[#This Row],[Harga Normal C]]*cadangan[[#This Row],[Diskon]]),cadangan[[#This Row],[Harga Normal C]])</f>
        <v>0</v>
      </c>
      <c r="AB763" s="73">
        <f>IFERROR(INDEX(Katalog!$F$3:$F$12,MATCH(cadangan[[#This Row],[ItemID C]],Katalog!$C$3:$C$12,0))*cadangan[[#This Row],[Qty C]],0)</f>
        <v>0</v>
      </c>
      <c r="AC763" s="73">
        <f>IFERROR(cadangan[[#This Row],[Harga Diskon C]]-INDEX(Katalog!$E$3:$E$12,MATCH(cadangan[[#This Row],[ItemID C]],Katalog!$C$3:$C$12,0))*cadangan[[#This Row],[Qty C]],0)</f>
        <v>0</v>
      </c>
      <c r="AD763" s="53">
        <f>cadangan[[#This Row],[Qty A]]+cadangan[[#This Row],[Qty B]]+cadangan[[#This Row],[Qty C]]</f>
        <v>2</v>
      </c>
      <c r="AE763" s="73">
        <f>cadangan[[#This Row],[Harga Normal A]]+cadangan[[#This Row],[Harga Normal B]]+cadangan[[#This Row],[Harga Normal C]]</f>
        <v>300000</v>
      </c>
      <c r="AF763" s="73">
        <f>cadangan[[#This Row],[Harga Diskon A]]+cadangan[[#This Row],[Harga Diskon B]]+cadangan[[#This Row],[Harga Diskon C]]</f>
        <v>300000</v>
      </c>
      <c r="AG763" s="73">
        <f>(cadangan[[#This Row],[Profit Normal A]]+cadangan[[#This Row],[Profit Normal B]]+cadangan[[#This Row],[Profit Normal C]])</f>
        <v>120000</v>
      </c>
      <c r="AH763" s="73">
        <f>cadangan[[#This Row],[Profit Diskon A]]+cadangan[[#This Row],[Profit Diskon B]]+cadangan[[#This Row],[Profit Diskon C]]</f>
        <v>120000</v>
      </c>
      <c r="AI763" s="23" t="s">
        <v>290</v>
      </c>
      <c r="AJ763" s="37" t="str">
        <f>IFERROR(INDEX('Kode Diskon'!$D$3:$D$9,MATCH(cadangan[[#This Row],[Kode diskon]],'Kode Diskon'!$C$3:$C$9,0)),"-")</f>
        <v>-</v>
      </c>
      <c r="AK763" s="23" t="s">
        <v>290</v>
      </c>
      <c r="AL763" s="23" t="s">
        <v>10</v>
      </c>
      <c r="AM763" s="23" t="s">
        <v>75</v>
      </c>
      <c r="AN763" s="55">
        <v>45029</v>
      </c>
      <c r="AO763" s="53">
        <f>DAY(cadangan[[#This Row],[Tanggal terjual]])</f>
        <v>13</v>
      </c>
      <c r="AP763" s="21" t="str">
        <f>TEXT(cadangan[[#This Row],[Tanggal terjual]],"dddd")</f>
        <v>Thursday</v>
      </c>
      <c r="AQ763" s="23" t="str" cm="1">
        <f t="array" ref="AQ7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63" s="61">
        <f>AVERAGE(cadangan[[#This Row],[Rating A]],cadangan[[#This Row],[Rating B]],cadangan[[#This Row],[Rating C]])</f>
        <v>1</v>
      </c>
    </row>
    <row r="764" spans="1:44" x14ac:dyDescent="0.2">
      <c r="A764" s="20">
        <v>763</v>
      </c>
      <c r="B764" s="21" t="str">
        <f>_xlfn.CONCAT("ORD-",INDEX(Helper!$B$2:$B$5,MATCH(cadangan[[#This Row],[Marketplace]],Helper!$A$2:$A$5,0)),TEXT(cadangan[[#This Row],[No]],"0000"),"-",TEXT(cadangan[[#This Row],[Tanggal terjual]],"dd/mm/yy"))</f>
        <v>ORD-TK0763-25/04/23</v>
      </c>
      <c r="C764" s="39" t="s">
        <v>61</v>
      </c>
      <c r="D764" s="39" t="str">
        <f>IFERROR(INDEX(Katalog!$A$3:$A$12,MATCH(cadangan[[#This Row],[ItemID A]],Katalog!$C$3:$C$12,0)),"-")</f>
        <v>Pakaian Pria</v>
      </c>
      <c r="E764" s="39" t="str">
        <f>IFERROR(INDEX(Katalog!$B$3:$B$12,MATCH(cadangan[[#This Row],[ItemID A]],Katalog!$C$3:$C$12,0)),"-")</f>
        <v>Kaos Polo</v>
      </c>
      <c r="F764" s="50">
        <v>3</v>
      </c>
      <c r="G764" s="50">
        <v>1</v>
      </c>
      <c r="H764" s="73">
        <f>IFERROR(INDEX(Katalog!$D$3:$D$12,MATCH(cadangan[[#This Row],[ItemID A]],Katalog!$C$3:$C$12,0))*cadangan[[#This Row],[Qty A]],0)</f>
        <v>600000</v>
      </c>
      <c r="I764" s="73">
        <f>IFERROR(cadangan[[#This Row],[Harga Normal A]]-(cadangan[[#This Row],[Harga Normal A]]*cadangan[[#This Row],[Diskon]]),cadangan[[#This Row],[Harga Normal A]])</f>
        <v>540000</v>
      </c>
      <c r="J764" s="73">
        <f>INDEX(Katalog!$F$3:$F$12,MATCH(cadangan[[#This Row],[ItemID A]],Katalog!$C$3:$C$12,0))*cadangan[[#This Row],[Qty A]]</f>
        <v>240000</v>
      </c>
      <c r="K764" s="73">
        <f>IFERROR(cadangan[[#This Row],[Harga Diskon A]]-INDEX(Katalog!$E$3:$E$12,MATCH(cadangan[[#This Row],[ItemID A]],Katalog!$C$3:$C$12,0))*cadangan[[#This Row],[Qty A]],0)</f>
        <v>180000</v>
      </c>
      <c r="L764" s="39" t="s">
        <v>60</v>
      </c>
      <c r="M764" s="39" t="str">
        <f>IFERROR(INDEX(Katalog!$A$3:$A$12,MATCH(cadangan[[#This Row],[ItemID B]],Katalog!$C$3:$C$12,0)),"-")</f>
        <v>Pakaian Wanita</v>
      </c>
      <c r="N764" s="39" t="str">
        <f>IFERROR(INDEX(Katalog!$B$3:$B$12,MATCH(cadangan[[#This Row],[ItemID B]],Katalog!$C$3:$C$12,0)),"-")</f>
        <v>Kaftan</v>
      </c>
      <c r="O764" s="50">
        <v>1</v>
      </c>
      <c r="P764" s="50">
        <v>4</v>
      </c>
      <c r="Q764" s="73">
        <f>IFERROR(INDEX(Katalog!$D$3:$D$12,MATCH(cadangan[[#This Row],[ItemID B]],Katalog!$C$3:$C$12,0))*cadangan[[#This Row],[Qty B]],0)</f>
        <v>250000</v>
      </c>
      <c r="R764" s="73">
        <f>IFERROR(cadangan[[#This Row],[Harga Normal B]]-(cadangan[[#This Row],[Harga Normal B]]*cadangan[[#This Row],[Diskon]]),cadangan[[#This Row],[Harga Normal B]])</f>
        <v>225000</v>
      </c>
      <c r="S764" s="73">
        <f>IFERROR(INDEX(Katalog!$F$3:$F$12,MATCH(cadangan[[#This Row],[ItemID B]],Katalog!$C$3:$C$12,0))*cadangan[[#This Row],[Qty B]],0)</f>
        <v>100000</v>
      </c>
      <c r="T764" s="73">
        <f>IFERROR(cadangan[[#This Row],[Harga Diskon B]]-INDEX(Katalog!$E$3:$E$12,MATCH(cadangan[[#This Row],[ItemID B]],Katalog!$C$3:$C$12,0))*cadangan[[#This Row],[Qty B]],0)</f>
        <v>75000</v>
      </c>
      <c r="V764" s="39" t="str">
        <f>IFERROR(INDEX(Katalog!$A$3:$A$12,MATCH(cadangan[[#This Row],[ItemID C]],Katalog!$C$3:$C$12,0)),"-")</f>
        <v>-</v>
      </c>
      <c r="W764" s="39" t="str">
        <f>IFERROR(INDEX(Katalog!$B$3:$B$12,MATCH(cadangan[[#This Row],[ItemID C]],Katalog!$C$3:$C$12,0)),"-")</f>
        <v>-</v>
      </c>
      <c r="Z764" s="73">
        <f>IFERROR(INDEX(Katalog!$D$3:$D$12,MATCH(cadangan[[#This Row],[ItemID C]],Katalog!$C$3:$C$12,0))*cadangan[[#This Row],[Qty C]],0)</f>
        <v>0</v>
      </c>
      <c r="AA764" s="73">
        <f>IFERROR(cadangan[[#This Row],[Harga Normal C]]-(cadangan[[#This Row],[Harga Normal C]]*cadangan[[#This Row],[Diskon]]),cadangan[[#This Row],[Harga Normal C]])</f>
        <v>0</v>
      </c>
      <c r="AB764" s="73">
        <f>IFERROR(INDEX(Katalog!$F$3:$F$12,MATCH(cadangan[[#This Row],[ItemID C]],Katalog!$C$3:$C$12,0))*cadangan[[#This Row],[Qty C]],0)</f>
        <v>0</v>
      </c>
      <c r="AC764" s="73">
        <f>IFERROR(cadangan[[#This Row],[Harga Diskon C]]-INDEX(Katalog!$E$3:$E$12,MATCH(cadangan[[#This Row],[ItemID C]],Katalog!$C$3:$C$12,0))*cadangan[[#This Row],[Qty C]],0)</f>
        <v>0</v>
      </c>
      <c r="AD764" s="53">
        <f>cadangan[[#This Row],[Qty A]]+cadangan[[#This Row],[Qty B]]+cadangan[[#This Row],[Qty C]]</f>
        <v>4</v>
      </c>
      <c r="AE764" s="73">
        <f>cadangan[[#This Row],[Harga Normal A]]+cadangan[[#This Row],[Harga Normal B]]+cadangan[[#This Row],[Harga Normal C]]</f>
        <v>850000</v>
      </c>
      <c r="AF764" s="73">
        <f>cadangan[[#This Row],[Harga Diskon A]]+cadangan[[#This Row],[Harga Diskon B]]+cadangan[[#This Row],[Harga Diskon C]]</f>
        <v>765000</v>
      </c>
      <c r="AG764" s="73">
        <f>(cadangan[[#This Row],[Profit Normal A]]+cadangan[[#This Row],[Profit Normal B]]+cadangan[[#This Row],[Profit Normal C]])</f>
        <v>340000</v>
      </c>
      <c r="AH764" s="73">
        <f>cadangan[[#This Row],[Profit Diskon A]]+cadangan[[#This Row],[Profit Diskon B]]+cadangan[[#This Row],[Profit Diskon C]]</f>
        <v>255000</v>
      </c>
      <c r="AI764" s="23" t="s">
        <v>31</v>
      </c>
      <c r="AJ764" s="37">
        <f>IFERROR(INDEX('Kode Diskon'!$D$3:$D$9,MATCH(cadangan[[#This Row],[Kode diskon]],'Kode Diskon'!$C$3:$C$9,0)),"-")</f>
        <v>0.1</v>
      </c>
      <c r="AK764" s="23" t="s">
        <v>9</v>
      </c>
      <c r="AL764" s="23" t="s">
        <v>10</v>
      </c>
      <c r="AM764" s="23" t="s">
        <v>75</v>
      </c>
      <c r="AN764" s="55">
        <v>45041</v>
      </c>
      <c r="AO764" s="53">
        <f>DAY(cadangan[[#This Row],[Tanggal terjual]])</f>
        <v>25</v>
      </c>
      <c r="AP764" s="21" t="str">
        <f>TEXT(cadangan[[#This Row],[Tanggal terjual]],"dddd")</f>
        <v>Tuesday</v>
      </c>
      <c r="AQ764" s="23" t="str" cm="1">
        <f t="array" ref="AQ7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64" s="61">
        <f>AVERAGE(cadangan[[#This Row],[Rating A]],cadangan[[#This Row],[Rating B]],cadangan[[#This Row],[Rating C]])</f>
        <v>2.5</v>
      </c>
    </row>
    <row r="765" spans="1:44" x14ac:dyDescent="0.2">
      <c r="A765" s="20">
        <v>764</v>
      </c>
      <c r="B765" s="21" t="str">
        <f>_xlfn.CONCAT("ORD-",INDEX(Helper!$B$2:$B$5,MATCH(cadangan[[#This Row],[Marketplace]],Helper!$A$2:$A$5,0)),TEXT(cadangan[[#This Row],[No]],"0000"),"-",TEXT(cadangan[[#This Row],[Tanggal terjual]],"dd/mm/yy"))</f>
        <v>ORD-BL0764-21/04/23</v>
      </c>
      <c r="C765" s="39" t="s">
        <v>61</v>
      </c>
      <c r="D765" s="39" t="str">
        <f>IFERROR(INDEX(Katalog!$A$3:$A$12,MATCH(cadangan[[#This Row],[ItemID A]],Katalog!$C$3:$C$12,0)),"-")</f>
        <v>Pakaian Pria</v>
      </c>
      <c r="E765" s="39" t="str">
        <f>IFERROR(INDEX(Katalog!$B$3:$B$12,MATCH(cadangan[[#This Row],[ItemID A]],Katalog!$C$3:$C$12,0)),"-")</f>
        <v>Kaos Polo</v>
      </c>
      <c r="F765" s="50">
        <v>5</v>
      </c>
      <c r="G765" s="50">
        <v>4</v>
      </c>
      <c r="H765" s="73">
        <f>IFERROR(INDEX(Katalog!$D$3:$D$12,MATCH(cadangan[[#This Row],[ItemID A]],Katalog!$C$3:$C$12,0))*cadangan[[#This Row],[Qty A]],0)</f>
        <v>1000000</v>
      </c>
      <c r="I765" s="73">
        <f>IFERROR(cadangan[[#This Row],[Harga Normal A]]-(cadangan[[#This Row],[Harga Normal A]]*cadangan[[#This Row],[Diskon]]),cadangan[[#This Row],[Harga Normal A]])</f>
        <v>850000</v>
      </c>
      <c r="J765" s="73">
        <f>INDEX(Katalog!$F$3:$F$12,MATCH(cadangan[[#This Row],[ItemID A]],Katalog!$C$3:$C$12,0))*cadangan[[#This Row],[Qty A]]</f>
        <v>400000</v>
      </c>
      <c r="K765" s="73">
        <f>IFERROR(cadangan[[#This Row],[Harga Diskon A]]-INDEX(Katalog!$E$3:$E$12,MATCH(cadangan[[#This Row],[ItemID A]],Katalog!$C$3:$C$12,0))*cadangan[[#This Row],[Qty A]],0)</f>
        <v>250000</v>
      </c>
      <c r="M765" s="39" t="str">
        <f>IFERROR(INDEX(Katalog!$A$3:$A$12,MATCH(cadangan[[#This Row],[ItemID B]],Katalog!$C$3:$C$12,0)),"-")</f>
        <v>-</v>
      </c>
      <c r="N765" s="39" t="str">
        <f>IFERROR(INDEX(Katalog!$B$3:$B$12,MATCH(cadangan[[#This Row],[ItemID B]],Katalog!$C$3:$C$12,0)),"-")</f>
        <v>-</v>
      </c>
      <c r="Q765" s="73">
        <f>IFERROR(INDEX(Katalog!$D$3:$D$12,MATCH(cadangan[[#This Row],[ItemID B]],Katalog!$C$3:$C$12,0))*cadangan[[#This Row],[Qty B]],0)</f>
        <v>0</v>
      </c>
      <c r="R765" s="73">
        <f>IFERROR(cadangan[[#This Row],[Harga Normal B]]-(cadangan[[#This Row],[Harga Normal B]]*cadangan[[#This Row],[Diskon]]),cadangan[[#This Row],[Harga Normal B]])</f>
        <v>0</v>
      </c>
      <c r="S765" s="73">
        <f>IFERROR(INDEX(Katalog!$F$3:$F$12,MATCH(cadangan[[#This Row],[ItemID B]],Katalog!$C$3:$C$12,0))*cadangan[[#This Row],[Qty B]],0)</f>
        <v>0</v>
      </c>
      <c r="T765" s="73">
        <f>IFERROR(cadangan[[#This Row],[Harga Diskon B]]-INDEX(Katalog!$E$3:$E$12,MATCH(cadangan[[#This Row],[ItemID B]],Katalog!$C$3:$C$12,0))*cadangan[[#This Row],[Qty B]],0)</f>
        <v>0</v>
      </c>
      <c r="V765" s="39" t="str">
        <f>IFERROR(INDEX(Katalog!$A$3:$A$12,MATCH(cadangan[[#This Row],[ItemID C]],Katalog!$C$3:$C$12,0)),"-")</f>
        <v>-</v>
      </c>
      <c r="W765" s="39" t="str">
        <f>IFERROR(INDEX(Katalog!$B$3:$B$12,MATCH(cadangan[[#This Row],[ItemID C]],Katalog!$C$3:$C$12,0)),"-")</f>
        <v>-</v>
      </c>
      <c r="Z765" s="73">
        <f>IFERROR(INDEX(Katalog!$D$3:$D$12,MATCH(cadangan[[#This Row],[ItemID C]],Katalog!$C$3:$C$12,0))*cadangan[[#This Row],[Qty C]],0)</f>
        <v>0</v>
      </c>
      <c r="AA765" s="73">
        <f>IFERROR(cadangan[[#This Row],[Harga Normal C]]-(cadangan[[#This Row],[Harga Normal C]]*cadangan[[#This Row],[Diskon]]),cadangan[[#This Row],[Harga Normal C]])</f>
        <v>0</v>
      </c>
      <c r="AB765" s="73">
        <f>IFERROR(INDEX(Katalog!$F$3:$F$12,MATCH(cadangan[[#This Row],[ItemID C]],Katalog!$C$3:$C$12,0))*cadangan[[#This Row],[Qty C]],0)</f>
        <v>0</v>
      </c>
      <c r="AC765" s="73">
        <f>IFERROR(cadangan[[#This Row],[Harga Diskon C]]-INDEX(Katalog!$E$3:$E$12,MATCH(cadangan[[#This Row],[ItemID C]],Katalog!$C$3:$C$12,0))*cadangan[[#This Row],[Qty C]],0)</f>
        <v>0</v>
      </c>
      <c r="AD765" s="53">
        <f>cadangan[[#This Row],[Qty A]]+cadangan[[#This Row],[Qty B]]+cadangan[[#This Row],[Qty C]]</f>
        <v>5</v>
      </c>
      <c r="AE765" s="73">
        <f>cadangan[[#This Row],[Harga Normal A]]+cadangan[[#This Row],[Harga Normal B]]+cadangan[[#This Row],[Harga Normal C]]</f>
        <v>1000000</v>
      </c>
      <c r="AF765" s="73">
        <f>cadangan[[#This Row],[Harga Diskon A]]+cadangan[[#This Row],[Harga Diskon B]]+cadangan[[#This Row],[Harga Diskon C]]</f>
        <v>850000</v>
      </c>
      <c r="AG765" s="73">
        <f>(cadangan[[#This Row],[Profit Normal A]]+cadangan[[#This Row],[Profit Normal B]]+cadangan[[#This Row],[Profit Normal C]])</f>
        <v>400000</v>
      </c>
      <c r="AH765" s="73">
        <f>cadangan[[#This Row],[Profit Diskon A]]+cadangan[[#This Row],[Profit Diskon B]]+cadangan[[#This Row],[Profit Diskon C]]</f>
        <v>250000</v>
      </c>
      <c r="AI765" s="23" t="s">
        <v>32</v>
      </c>
      <c r="AJ765" s="37">
        <f>IFERROR(INDEX('Kode Diskon'!$D$3:$D$9,MATCH(cadangan[[#This Row],[Kode diskon]],'Kode Diskon'!$C$3:$C$9,0)),"-")</f>
        <v>0.15</v>
      </c>
      <c r="AK765" s="23" t="s">
        <v>9</v>
      </c>
      <c r="AL765" s="23" t="s">
        <v>12</v>
      </c>
      <c r="AM765" s="23" t="s">
        <v>80</v>
      </c>
      <c r="AN765" s="55">
        <v>45037</v>
      </c>
      <c r="AO765" s="53">
        <f>DAY(cadangan[[#This Row],[Tanggal terjual]])</f>
        <v>21</v>
      </c>
      <c r="AP765" s="21" t="str">
        <f>TEXT(cadangan[[#This Row],[Tanggal terjual]],"dddd")</f>
        <v>Friday</v>
      </c>
      <c r="AQ765" s="23" t="str" cm="1">
        <f t="array" ref="AQ7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65" s="61">
        <f>AVERAGE(cadangan[[#This Row],[Rating A]],cadangan[[#This Row],[Rating B]],cadangan[[#This Row],[Rating C]])</f>
        <v>4</v>
      </c>
    </row>
    <row r="766" spans="1:44" x14ac:dyDescent="0.2">
      <c r="A766" s="20">
        <v>765</v>
      </c>
      <c r="B766" s="21" t="str">
        <f>_xlfn.CONCAT("ORD-",INDEX(Helper!$B$2:$B$5,MATCH(cadangan[[#This Row],[Marketplace]],Helper!$A$2:$A$5,0)),TEXT(cadangan[[#This Row],[No]],"0000"),"-",TEXT(cadangan[[#This Row],[Tanggal terjual]],"dd/mm/yy"))</f>
        <v>ORD-SP0765-29/04/23</v>
      </c>
      <c r="C766" s="39" t="s">
        <v>61</v>
      </c>
      <c r="D766" s="39" t="str">
        <f>IFERROR(INDEX(Katalog!$A$3:$A$12,MATCH(cadangan[[#This Row],[ItemID A]],Katalog!$C$3:$C$12,0)),"-")</f>
        <v>Pakaian Pria</v>
      </c>
      <c r="E766" s="39" t="str">
        <f>IFERROR(INDEX(Katalog!$B$3:$B$12,MATCH(cadangan[[#This Row],[ItemID A]],Katalog!$C$3:$C$12,0)),"-")</f>
        <v>Kaos Polo</v>
      </c>
      <c r="F766" s="50">
        <v>4</v>
      </c>
      <c r="G766" s="50">
        <v>1</v>
      </c>
      <c r="H766" s="73">
        <f>IFERROR(INDEX(Katalog!$D$3:$D$12,MATCH(cadangan[[#This Row],[ItemID A]],Katalog!$C$3:$C$12,0))*cadangan[[#This Row],[Qty A]],0)</f>
        <v>800000</v>
      </c>
      <c r="I766" s="73">
        <f>IFERROR(cadangan[[#This Row],[Harga Normal A]]-(cadangan[[#This Row],[Harga Normal A]]*cadangan[[#This Row],[Diskon]]),cadangan[[#This Row],[Harga Normal A]])</f>
        <v>640000</v>
      </c>
      <c r="J766" s="73">
        <f>INDEX(Katalog!$F$3:$F$12,MATCH(cadangan[[#This Row],[ItemID A]],Katalog!$C$3:$C$12,0))*cadangan[[#This Row],[Qty A]]</f>
        <v>320000</v>
      </c>
      <c r="K766" s="73">
        <f>IFERROR(cadangan[[#This Row],[Harga Diskon A]]-INDEX(Katalog!$E$3:$E$12,MATCH(cadangan[[#This Row],[ItemID A]],Katalog!$C$3:$C$12,0))*cadangan[[#This Row],[Qty A]],0)</f>
        <v>160000</v>
      </c>
      <c r="L766" s="39" t="s">
        <v>62</v>
      </c>
      <c r="M766" s="39" t="str">
        <f>IFERROR(INDEX(Katalog!$A$3:$A$12,MATCH(cadangan[[#This Row],[ItemID B]],Katalog!$C$3:$C$12,0)),"-")</f>
        <v>Pakaian Pria</v>
      </c>
      <c r="N766" s="39" t="str">
        <f>IFERROR(INDEX(Katalog!$B$3:$B$12,MATCH(cadangan[[#This Row],[ItemID B]],Katalog!$C$3:$C$12,0)),"-")</f>
        <v>Celana Pendek</v>
      </c>
      <c r="O766" s="50">
        <v>1</v>
      </c>
      <c r="P766" s="50">
        <v>4</v>
      </c>
      <c r="Q766" s="73">
        <f>IFERROR(INDEX(Katalog!$D$3:$D$12,MATCH(cadangan[[#This Row],[ItemID B]],Katalog!$C$3:$C$12,0))*cadangan[[#This Row],[Qty B]],0)</f>
        <v>180000</v>
      </c>
      <c r="R766" s="73">
        <f>IFERROR(cadangan[[#This Row],[Harga Normal B]]-(cadangan[[#This Row],[Harga Normal B]]*cadangan[[#This Row],[Diskon]]),cadangan[[#This Row],[Harga Normal B]])</f>
        <v>144000</v>
      </c>
      <c r="S766" s="73">
        <f>IFERROR(INDEX(Katalog!$F$3:$F$12,MATCH(cadangan[[#This Row],[ItemID B]],Katalog!$C$3:$C$12,0))*cadangan[[#This Row],[Qty B]],0)</f>
        <v>70000</v>
      </c>
      <c r="T766" s="73">
        <f>IFERROR(cadangan[[#This Row],[Harga Diskon B]]-INDEX(Katalog!$E$3:$E$12,MATCH(cadangan[[#This Row],[ItemID B]],Katalog!$C$3:$C$12,0))*cadangan[[#This Row],[Qty B]],0)</f>
        <v>34000</v>
      </c>
      <c r="V766" s="39" t="str">
        <f>IFERROR(INDEX(Katalog!$A$3:$A$12,MATCH(cadangan[[#This Row],[ItemID C]],Katalog!$C$3:$C$12,0)),"-")</f>
        <v>-</v>
      </c>
      <c r="W766" s="39" t="str">
        <f>IFERROR(INDEX(Katalog!$B$3:$B$12,MATCH(cadangan[[#This Row],[ItemID C]],Katalog!$C$3:$C$12,0)),"-")</f>
        <v>-</v>
      </c>
      <c r="Z766" s="73">
        <f>IFERROR(INDEX(Katalog!$D$3:$D$12,MATCH(cadangan[[#This Row],[ItemID C]],Katalog!$C$3:$C$12,0))*cadangan[[#This Row],[Qty C]],0)</f>
        <v>0</v>
      </c>
      <c r="AA766" s="73">
        <f>IFERROR(cadangan[[#This Row],[Harga Normal C]]-(cadangan[[#This Row],[Harga Normal C]]*cadangan[[#This Row],[Diskon]]),cadangan[[#This Row],[Harga Normal C]])</f>
        <v>0</v>
      </c>
      <c r="AB766" s="73">
        <f>IFERROR(INDEX(Katalog!$F$3:$F$12,MATCH(cadangan[[#This Row],[ItemID C]],Katalog!$C$3:$C$12,0))*cadangan[[#This Row],[Qty C]],0)</f>
        <v>0</v>
      </c>
      <c r="AC766" s="73">
        <f>IFERROR(cadangan[[#This Row],[Harga Diskon C]]-INDEX(Katalog!$E$3:$E$12,MATCH(cadangan[[#This Row],[ItemID C]],Katalog!$C$3:$C$12,0))*cadangan[[#This Row],[Qty C]],0)</f>
        <v>0</v>
      </c>
      <c r="AD766" s="53">
        <f>cadangan[[#This Row],[Qty A]]+cadangan[[#This Row],[Qty B]]+cadangan[[#This Row],[Qty C]]</f>
        <v>5</v>
      </c>
      <c r="AE766" s="73">
        <f>cadangan[[#This Row],[Harga Normal A]]+cadangan[[#This Row],[Harga Normal B]]+cadangan[[#This Row],[Harga Normal C]]</f>
        <v>980000</v>
      </c>
      <c r="AF766" s="73">
        <f>cadangan[[#This Row],[Harga Diskon A]]+cadangan[[#This Row],[Harga Diskon B]]+cadangan[[#This Row],[Harga Diskon C]]</f>
        <v>784000</v>
      </c>
      <c r="AG766" s="73">
        <f>(cadangan[[#This Row],[Profit Normal A]]+cadangan[[#This Row],[Profit Normal B]]+cadangan[[#This Row],[Profit Normal C]])</f>
        <v>390000</v>
      </c>
      <c r="AH766" s="73">
        <f>cadangan[[#This Row],[Profit Diskon A]]+cadangan[[#This Row],[Profit Diskon B]]+cadangan[[#This Row],[Profit Diskon C]]</f>
        <v>194000</v>
      </c>
      <c r="AI766" s="23" t="s">
        <v>8</v>
      </c>
      <c r="AJ766" s="37">
        <f>IFERROR(INDEX('Kode Diskon'!$D$3:$D$9,MATCH(cadangan[[#This Row],[Kode diskon]],'Kode Diskon'!$C$3:$C$9,0)),"-")</f>
        <v>0.2</v>
      </c>
      <c r="AK766" s="23" t="s">
        <v>9</v>
      </c>
      <c r="AL766" s="23" t="s">
        <v>7</v>
      </c>
      <c r="AM766" s="23" t="s">
        <v>80</v>
      </c>
      <c r="AN766" s="55">
        <v>45045</v>
      </c>
      <c r="AO766" s="53">
        <f>DAY(cadangan[[#This Row],[Tanggal terjual]])</f>
        <v>29</v>
      </c>
      <c r="AP766" s="21" t="str">
        <f>TEXT(cadangan[[#This Row],[Tanggal terjual]],"dddd")</f>
        <v>Saturday</v>
      </c>
      <c r="AQ766" s="23" t="str" cm="1">
        <f t="array" ref="AQ7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66" s="61">
        <f>AVERAGE(cadangan[[#This Row],[Rating A]],cadangan[[#This Row],[Rating B]],cadangan[[#This Row],[Rating C]])</f>
        <v>2.5</v>
      </c>
    </row>
    <row r="767" spans="1:44" x14ac:dyDescent="0.2">
      <c r="A767" s="20">
        <v>766</v>
      </c>
      <c r="B767" s="21" t="str">
        <f>_xlfn.CONCAT("ORD-",INDEX(Helper!$B$2:$B$5,MATCH(cadangan[[#This Row],[Marketplace]],Helper!$A$2:$A$5,0)),TEXT(cadangan[[#This Row],[No]],"0000"),"-",TEXT(cadangan[[#This Row],[Tanggal terjual]],"dd/mm/yy"))</f>
        <v>ORD-BL0766-21/04/23</v>
      </c>
      <c r="C767" s="39" t="s">
        <v>58</v>
      </c>
      <c r="D767" s="39" t="str">
        <f>IFERROR(INDEX(Katalog!$A$3:$A$12,MATCH(cadangan[[#This Row],[ItemID A]],Katalog!$C$3:$C$12,0)),"-")</f>
        <v>Pakaian Wanita</v>
      </c>
      <c r="E767" s="39" t="str">
        <f>IFERROR(INDEX(Katalog!$B$3:$B$12,MATCH(cadangan[[#This Row],[ItemID A]],Katalog!$C$3:$C$12,0)),"-")</f>
        <v>Dress</v>
      </c>
      <c r="F767" s="50">
        <v>3</v>
      </c>
      <c r="G767" s="50">
        <v>1</v>
      </c>
      <c r="H767" s="73">
        <f>IFERROR(INDEX(Katalog!$D$3:$D$12,MATCH(cadangan[[#This Row],[ItemID A]],Katalog!$C$3:$C$12,0))*cadangan[[#This Row],[Qty A]],0)</f>
        <v>900000</v>
      </c>
      <c r="I767" s="73">
        <f>IFERROR(cadangan[[#This Row],[Harga Normal A]]-(cadangan[[#This Row],[Harga Normal A]]*cadangan[[#This Row],[Diskon]]),cadangan[[#This Row],[Harga Normal A]])</f>
        <v>765000</v>
      </c>
      <c r="J767" s="73">
        <f>INDEX(Katalog!$F$3:$F$12,MATCH(cadangan[[#This Row],[ItemID A]],Katalog!$C$3:$C$12,0))*cadangan[[#This Row],[Qty A]]</f>
        <v>300000</v>
      </c>
      <c r="K767" s="73">
        <f>IFERROR(cadangan[[#This Row],[Harga Diskon A]]-INDEX(Katalog!$E$3:$E$12,MATCH(cadangan[[#This Row],[ItemID A]],Katalog!$C$3:$C$12,0))*cadangan[[#This Row],[Qty A]],0)</f>
        <v>165000</v>
      </c>
      <c r="L767" s="39" t="s">
        <v>64</v>
      </c>
      <c r="M767" s="39" t="str">
        <f>IFERROR(INDEX(Katalog!$A$3:$A$12,MATCH(cadangan[[#This Row],[ItemID B]],Katalog!$C$3:$C$12,0)),"-")</f>
        <v>Pakaian Unisex</v>
      </c>
      <c r="N767" s="39" t="str">
        <f>IFERROR(INDEX(Katalog!$B$3:$B$12,MATCH(cadangan[[#This Row],[ItemID B]],Katalog!$C$3:$C$12,0)),"-")</f>
        <v>Jaket Hoodie</v>
      </c>
      <c r="O767" s="50">
        <v>4</v>
      </c>
      <c r="P767" s="50">
        <v>1</v>
      </c>
      <c r="Q767" s="73">
        <f>IFERROR(INDEX(Katalog!$D$3:$D$12,MATCH(cadangan[[#This Row],[ItemID B]],Katalog!$C$3:$C$12,0))*cadangan[[#This Row],[Qty B]],0)</f>
        <v>1400000</v>
      </c>
      <c r="R767" s="73">
        <f>IFERROR(cadangan[[#This Row],[Harga Normal B]]-(cadangan[[#This Row],[Harga Normal B]]*cadangan[[#This Row],[Diskon]]),cadangan[[#This Row],[Harga Normal B]])</f>
        <v>1190000</v>
      </c>
      <c r="S767" s="73">
        <f>IFERROR(INDEX(Katalog!$F$3:$F$12,MATCH(cadangan[[#This Row],[ItemID B]],Katalog!$C$3:$C$12,0))*cadangan[[#This Row],[Qty B]],0)</f>
        <v>520000</v>
      </c>
      <c r="T767" s="73">
        <f>IFERROR(cadangan[[#This Row],[Harga Diskon B]]-INDEX(Katalog!$E$3:$E$12,MATCH(cadangan[[#This Row],[ItemID B]],Katalog!$C$3:$C$12,0))*cadangan[[#This Row],[Qty B]],0)</f>
        <v>310000</v>
      </c>
      <c r="V767" s="39" t="str">
        <f>IFERROR(INDEX(Katalog!$A$3:$A$12,MATCH(cadangan[[#This Row],[ItemID C]],Katalog!$C$3:$C$12,0)),"-")</f>
        <v>-</v>
      </c>
      <c r="W767" s="39" t="str">
        <f>IFERROR(INDEX(Katalog!$B$3:$B$12,MATCH(cadangan[[#This Row],[ItemID C]],Katalog!$C$3:$C$12,0)),"-")</f>
        <v>-</v>
      </c>
      <c r="Z767" s="73">
        <f>IFERROR(INDEX(Katalog!$D$3:$D$12,MATCH(cadangan[[#This Row],[ItemID C]],Katalog!$C$3:$C$12,0))*cadangan[[#This Row],[Qty C]],0)</f>
        <v>0</v>
      </c>
      <c r="AA767" s="73">
        <f>IFERROR(cadangan[[#This Row],[Harga Normal C]]-(cadangan[[#This Row],[Harga Normal C]]*cadangan[[#This Row],[Diskon]]),cadangan[[#This Row],[Harga Normal C]])</f>
        <v>0</v>
      </c>
      <c r="AB767" s="73">
        <f>IFERROR(INDEX(Katalog!$F$3:$F$12,MATCH(cadangan[[#This Row],[ItemID C]],Katalog!$C$3:$C$12,0))*cadangan[[#This Row],[Qty C]],0)</f>
        <v>0</v>
      </c>
      <c r="AC767" s="73">
        <f>IFERROR(cadangan[[#This Row],[Harga Diskon C]]-INDEX(Katalog!$E$3:$E$12,MATCH(cadangan[[#This Row],[ItemID C]],Katalog!$C$3:$C$12,0))*cadangan[[#This Row],[Qty C]],0)</f>
        <v>0</v>
      </c>
      <c r="AD767" s="53">
        <f>cadangan[[#This Row],[Qty A]]+cadangan[[#This Row],[Qty B]]+cadangan[[#This Row],[Qty C]]</f>
        <v>7</v>
      </c>
      <c r="AE767" s="73">
        <f>cadangan[[#This Row],[Harga Normal A]]+cadangan[[#This Row],[Harga Normal B]]+cadangan[[#This Row],[Harga Normal C]]</f>
        <v>2300000</v>
      </c>
      <c r="AF767" s="73">
        <f>cadangan[[#This Row],[Harga Diskon A]]+cadangan[[#This Row],[Harga Diskon B]]+cadangan[[#This Row],[Harga Diskon C]]</f>
        <v>1955000</v>
      </c>
      <c r="AG767" s="73">
        <f>(cadangan[[#This Row],[Profit Normal A]]+cadangan[[#This Row],[Profit Normal B]]+cadangan[[#This Row],[Profit Normal C]])</f>
        <v>820000</v>
      </c>
      <c r="AH767" s="73">
        <f>cadangan[[#This Row],[Profit Diskon A]]+cadangan[[#This Row],[Profit Diskon B]]+cadangan[[#This Row],[Profit Diskon C]]</f>
        <v>475000</v>
      </c>
      <c r="AI767" s="23" t="s">
        <v>32</v>
      </c>
      <c r="AJ767" s="37">
        <f>IFERROR(INDEX('Kode Diskon'!$D$3:$D$9,MATCH(cadangan[[#This Row],[Kode diskon]],'Kode Diskon'!$C$3:$C$9,0)),"-")</f>
        <v>0.15</v>
      </c>
      <c r="AK767" s="23" t="s">
        <v>9</v>
      </c>
      <c r="AL767" s="23" t="s">
        <v>12</v>
      </c>
      <c r="AM767" s="23" t="s">
        <v>80</v>
      </c>
      <c r="AN767" s="55">
        <v>45037</v>
      </c>
      <c r="AO767" s="53">
        <f>DAY(cadangan[[#This Row],[Tanggal terjual]])</f>
        <v>21</v>
      </c>
      <c r="AP767" s="21" t="str">
        <f>TEXT(cadangan[[#This Row],[Tanggal terjual]],"dddd")</f>
        <v>Friday</v>
      </c>
      <c r="AQ767" s="23" t="str" cm="1">
        <f t="array" ref="AQ7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67" s="61">
        <f>AVERAGE(cadangan[[#This Row],[Rating A]],cadangan[[#This Row],[Rating B]],cadangan[[#This Row],[Rating C]])</f>
        <v>1</v>
      </c>
    </row>
    <row r="768" spans="1:44" x14ac:dyDescent="0.2">
      <c r="A768" s="20">
        <v>767</v>
      </c>
      <c r="B768" s="21" t="str">
        <f>_xlfn.CONCAT("ORD-",INDEX(Helper!$B$2:$B$5,MATCH(cadangan[[#This Row],[Marketplace]],Helper!$A$2:$A$5,0)),TEXT(cadangan[[#This Row],[No]],"0000"),"-",TEXT(cadangan[[#This Row],[Tanggal terjual]],"dd/mm/yy"))</f>
        <v>ORD-TK0767-24/04/23</v>
      </c>
      <c r="C768" s="39" t="s">
        <v>58</v>
      </c>
      <c r="D768" s="39" t="str">
        <f>IFERROR(INDEX(Katalog!$A$3:$A$12,MATCH(cadangan[[#This Row],[ItemID A]],Katalog!$C$3:$C$12,0)),"-")</f>
        <v>Pakaian Wanita</v>
      </c>
      <c r="E768" s="39" t="str">
        <f>IFERROR(INDEX(Katalog!$B$3:$B$12,MATCH(cadangan[[#This Row],[ItemID A]],Katalog!$C$3:$C$12,0)),"-")</f>
        <v>Dress</v>
      </c>
      <c r="F768" s="50">
        <v>1</v>
      </c>
      <c r="G768" s="50">
        <v>2</v>
      </c>
      <c r="H768" s="73">
        <f>IFERROR(INDEX(Katalog!$D$3:$D$12,MATCH(cadangan[[#This Row],[ItemID A]],Katalog!$C$3:$C$12,0))*cadangan[[#This Row],[Qty A]],0)</f>
        <v>300000</v>
      </c>
      <c r="I768" s="73">
        <f>IFERROR(cadangan[[#This Row],[Harga Normal A]]-(cadangan[[#This Row],[Harga Normal A]]*cadangan[[#This Row],[Diskon]]),cadangan[[#This Row],[Harga Normal A]])</f>
        <v>270000</v>
      </c>
      <c r="J768" s="73">
        <f>INDEX(Katalog!$F$3:$F$12,MATCH(cadangan[[#This Row],[ItemID A]],Katalog!$C$3:$C$12,0))*cadangan[[#This Row],[Qty A]]</f>
        <v>100000</v>
      </c>
      <c r="K768" s="73">
        <f>IFERROR(cadangan[[#This Row],[Harga Diskon A]]-INDEX(Katalog!$E$3:$E$12,MATCH(cadangan[[#This Row],[ItemID A]],Katalog!$C$3:$C$12,0))*cadangan[[#This Row],[Qty A]],0)</f>
        <v>70000</v>
      </c>
      <c r="L768" s="39" t="s">
        <v>63</v>
      </c>
      <c r="M768" s="39" t="str">
        <f>IFERROR(INDEX(Katalog!$A$3:$A$12,MATCH(cadangan[[#This Row],[ItemID B]],Katalog!$C$3:$C$12,0)),"-")</f>
        <v>Pakaian Pria</v>
      </c>
      <c r="N768" s="39" t="str">
        <f>IFERROR(INDEX(Katalog!$B$3:$B$12,MATCH(cadangan[[#This Row],[ItemID B]],Katalog!$C$3:$C$12,0)),"-")</f>
        <v>Jaket Jeans</v>
      </c>
      <c r="O768" s="50">
        <v>1</v>
      </c>
      <c r="P768" s="50">
        <v>1</v>
      </c>
      <c r="Q768" s="73">
        <f>IFERROR(INDEX(Katalog!$D$3:$D$12,MATCH(cadangan[[#This Row],[ItemID B]],Katalog!$C$3:$C$12,0))*cadangan[[#This Row],[Qty B]],0)</f>
        <v>400000</v>
      </c>
      <c r="R768" s="73">
        <f>IFERROR(cadangan[[#This Row],[Harga Normal B]]-(cadangan[[#This Row],[Harga Normal B]]*cadangan[[#This Row],[Diskon]]),cadangan[[#This Row],[Harga Normal B]])</f>
        <v>360000</v>
      </c>
      <c r="S768" s="73">
        <f>IFERROR(INDEX(Katalog!$F$3:$F$12,MATCH(cadangan[[#This Row],[ItemID B]],Katalog!$C$3:$C$12,0))*cadangan[[#This Row],[Qty B]],0)</f>
        <v>150000</v>
      </c>
      <c r="T768" s="73">
        <f>IFERROR(cadangan[[#This Row],[Harga Diskon B]]-INDEX(Katalog!$E$3:$E$12,MATCH(cadangan[[#This Row],[ItemID B]],Katalog!$C$3:$C$12,0))*cadangan[[#This Row],[Qty B]],0)</f>
        <v>110000</v>
      </c>
      <c r="V768" s="39" t="str">
        <f>IFERROR(INDEX(Katalog!$A$3:$A$12,MATCH(cadangan[[#This Row],[ItemID C]],Katalog!$C$3:$C$12,0)),"-")</f>
        <v>-</v>
      </c>
      <c r="W768" s="39" t="str">
        <f>IFERROR(INDEX(Katalog!$B$3:$B$12,MATCH(cadangan[[#This Row],[ItemID C]],Katalog!$C$3:$C$12,0)),"-")</f>
        <v>-</v>
      </c>
      <c r="Z768" s="73">
        <f>IFERROR(INDEX(Katalog!$D$3:$D$12,MATCH(cadangan[[#This Row],[ItemID C]],Katalog!$C$3:$C$12,0))*cadangan[[#This Row],[Qty C]],0)</f>
        <v>0</v>
      </c>
      <c r="AA768" s="73">
        <f>IFERROR(cadangan[[#This Row],[Harga Normal C]]-(cadangan[[#This Row],[Harga Normal C]]*cadangan[[#This Row],[Diskon]]),cadangan[[#This Row],[Harga Normal C]])</f>
        <v>0</v>
      </c>
      <c r="AB768" s="73">
        <f>IFERROR(INDEX(Katalog!$F$3:$F$12,MATCH(cadangan[[#This Row],[ItemID C]],Katalog!$C$3:$C$12,0))*cadangan[[#This Row],[Qty C]],0)</f>
        <v>0</v>
      </c>
      <c r="AC768" s="73">
        <f>IFERROR(cadangan[[#This Row],[Harga Diskon C]]-INDEX(Katalog!$E$3:$E$12,MATCH(cadangan[[#This Row],[ItemID C]],Katalog!$C$3:$C$12,0))*cadangan[[#This Row],[Qty C]],0)</f>
        <v>0</v>
      </c>
      <c r="AD768" s="53">
        <f>cadangan[[#This Row],[Qty A]]+cadangan[[#This Row],[Qty B]]+cadangan[[#This Row],[Qty C]]</f>
        <v>2</v>
      </c>
      <c r="AE768" s="73">
        <f>cadangan[[#This Row],[Harga Normal A]]+cadangan[[#This Row],[Harga Normal B]]+cadangan[[#This Row],[Harga Normal C]]</f>
        <v>700000</v>
      </c>
      <c r="AF768" s="73">
        <f>cadangan[[#This Row],[Harga Diskon A]]+cadangan[[#This Row],[Harga Diskon B]]+cadangan[[#This Row],[Harga Diskon C]]</f>
        <v>630000</v>
      </c>
      <c r="AG768" s="73">
        <f>(cadangan[[#This Row],[Profit Normal A]]+cadangan[[#This Row],[Profit Normal B]]+cadangan[[#This Row],[Profit Normal C]])</f>
        <v>250000</v>
      </c>
      <c r="AH768" s="73">
        <f>cadangan[[#This Row],[Profit Diskon A]]+cadangan[[#This Row],[Profit Diskon B]]+cadangan[[#This Row],[Profit Diskon C]]</f>
        <v>180000</v>
      </c>
      <c r="AI768" s="23" t="s">
        <v>31</v>
      </c>
      <c r="AJ768" s="37">
        <f>IFERROR(INDEX('Kode Diskon'!$D$3:$D$9,MATCH(cadangan[[#This Row],[Kode diskon]],'Kode Diskon'!$C$3:$C$9,0)),"-")</f>
        <v>0.1</v>
      </c>
      <c r="AK768" s="23" t="s">
        <v>9</v>
      </c>
      <c r="AL768" s="23" t="s">
        <v>10</v>
      </c>
      <c r="AM768" s="23" t="s">
        <v>77</v>
      </c>
      <c r="AN768" s="55">
        <v>45040</v>
      </c>
      <c r="AO768" s="53">
        <f>DAY(cadangan[[#This Row],[Tanggal terjual]])</f>
        <v>24</v>
      </c>
      <c r="AP768" s="21" t="str">
        <f>TEXT(cadangan[[#This Row],[Tanggal terjual]],"dddd")</f>
        <v>Monday</v>
      </c>
      <c r="AQ768" s="23" t="str" cm="1">
        <f t="array" ref="AQ7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68" s="61">
        <f>AVERAGE(cadangan[[#This Row],[Rating A]],cadangan[[#This Row],[Rating B]],cadangan[[#This Row],[Rating C]])</f>
        <v>1.5</v>
      </c>
    </row>
    <row r="769" spans="1:44" x14ac:dyDescent="0.2">
      <c r="A769" s="20">
        <v>768</v>
      </c>
      <c r="B769" s="21" t="str">
        <f>_xlfn.CONCAT("ORD-",INDEX(Helper!$B$2:$B$5,MATCH(cadangan[[#This Row],[Marketplace]],Helper!$A$2:$A$5,0)),TEXT(cadangan[[#This Row],[No]],"0000"),"-",TEXT(cadangan[[#This Row],[Tanggal terjual]],"dd/mm/yy"))</f>
        <v>ORD-SP0768-02/04/23</v>
      </c>
      <c r="C769" s="39" t="s">
        <v>67</v>
      </c>
      <c r="D769" s="39" t="str">
        <f>IFERROR(INDEX(Katalog!$A$3:$A$12,MATCH(cadangan[[#This Row],[ItemID A]],Katalog!$C$3:$C$12,0)),"-")</f>
        <v>Sepatu Wanita</v>
      </c>
      <c r="E769" s="39" t="str">
        <f>IFERROR(INDEX(Katalog!$B$3:$B$12,MATCH(cadangan[[#This Row],[ItemID A]],Katalog!$C$3:$C$12,0)),"-")</f>
        <v>Flat Shoes</v>
      </c>
      <c r="F769" s="50">
        <v>2</v>
      </c>
      <c r="G769" s="50">
        <v>3</v>
      </c>
      <c r="H769" s="73">
        <f>IFERROR(INDEX(Katalog!$D$3:$D$12,MATCH(cadangan[[#This Row],[ItemID A]],Katalog!$C$3:$C$12,0))*cadangan[[#This Row],[Qty A]],0)</f>
        <v>500000</v>
      </c>
      <c r="I769" s="73">
        <f>IFERROR(cadangan[[#This Row],[Harga Normal A]]-(cadangan[[#This Row],[Harga Normal A]]*cadangan[[#This Row],[Diskon]]),cadangan[[#This Row],[Harga Normal A]])</f>
        <v>425000</v>
      </c>
      <c r="J769" s="73">
        <f>INDEX(Katalog!$F$3:$F$12,MATCH(cadangan[[#This Row],[ItemID A]],Katalog!$C$3:$C$12,0))*cadangan[[#This Row],[Qty A]]</f>
        <v>200000</v>
      </c>
      <c r="K769" s="73">
        <f>IFERROR(cadangan[[#This Row],[Harga Diskon A]]-INDEX(Katalog!$E$3:$E$12,MATCH(cadangan[[#This Row],[ItemID A]],Katalog!$C$3:$C$12,0))*cadangan[[#This Row],[Qty A]],0)</f>
        <v>125000</v>
      </c>
      <c r="L769" s="39" t="s">
        <v>59</v>
      </c>
      <c r="M769" s="39" t="str">
        <f>IFERROR(INDEX(Katalog!$A$3:$A$12,MATCH(cadangan[[#This Row],[ItemID B]],Katalog!$C$3:$C$12,0)),"-")</f>
        <v>Pakaian Wanita</v>
      </c>
      <c r="N769" s="39" t="str">
        <f>IFERROR(INDEX(Katalog!$B$3:$B$12,MATCH(cadangan[[#This Row],[ItemID B]],Katalog!$C$3:$C$12,0)),"-")</f>
        <v>Blouse</v>
      </c>
      <c r="O769" s="50">
        <v>4</v>
      </c>
      <c r="P769" s="50">
        <v>1</v>
      </c>
      <c r="Q769" s="73">
        <f>IFERROR(INDEX(Katalog!$D$3:$D$12,MATCH(cadangan[[#This Row],[ItemID B]],Katalog!$C$3:$C$12,0))*cadangan[[#This Row],[Qty B]],0)</f>
        <v>600000</v>
      </c>
      <c r="R769" s="73">
        <f>IFERROR(cadangan[[#This Row],[Harga Normal B]]-(cadangan[[#This Row],[Harga Normal B]]*cadangan[[#This Row],[Diskon]]),cadangan[[#This Row],[Harga Normal B]])</f>
        <v>510000</v>
      </c>
      <c r="S769" s="73">
        <f>IFERROR(INDEX(Katalog!$F$3:$F$12,MATCH(cadangan[[#This Row],[ItemID B]],Katalog!$C$3:$C$12,0))*cadangan[[#This Row],[Qty B]],0)</f>
        <v>200000</v>
      </c>
      <c r="T769" s="73">
        <f>IFERROR(cadangan[[#This Row],[Harga Diskon B]]-INDEX(Katalog!$E$3:$E$12,MATCH(cadangan[[#This Row],[ItemID B]],Katalog!$C$3:$C$12,0))*cadangan[[#This Row],[Qty B]],0)</f>
        <v>110000</v>
      </c>
      <c r="V769" s="39" t="str">
        <f>IFERROR(INDEX(Katalog!$A$3:$A$12,MATCH(cadangan[[#This Row],[ItemID C]],Katalog!$C$3:$C$12,0)),"-")</f>
        <v>-</v>
      </c>
      <c r="W769" s="39" t="str">
        <f>IFERROR(INDEX(Katalog!$B$3:$B$12,MATCH(cadangan[[#This Row],[ItemID C]],Katalog!$C$3:$C$12,0)),"-")</f>
        <v>-</v>
      </c>
      <c r="Z769" s="73">
        <f>IFERROR(INDEX(Katalog!$D$3:$D$12,MATCH(cadangan[[#This Row],[ItemID C]],Katalog!$C$3:$C$12,0))*cadangan[[#This Row],[Qty C]],0)</f>
        <v>0</v>
      </c>
      <c r="AA769" s="73">
        <f>IFERROR(cadangan[[#This Row],[Harga Normal C]]-(cadangan[[#This Row],[Harga Normal C]]*cadangan[[#This Row],[Diskon]]),cadangan[[#This Row],[Harga Normal C]])</f>
        <v>0</v>
      </c>
      <c r="AB769" s="73">
        <f>IFERROR(INDEX(Katalog!$F$3:$F$12,MATCH(cadangan[[#This Row],[ItemID C]],Katalog!$C$3:$C$12,0))*cadangan[[#This Row],[Qty C]],0)</f>
        <v>0</v>
      </c>
      <c r="AC769" s="73">
        <f>IFERROR(cadangan[[#This Row],[Harga Diskon C]]-INDEX(Katalog!$E$3:$E$12,MATCH(cadangan[[#This Row],[ItemID C]],Katalog!$C$3:$C$12,0))*cadangan[[#This Row],[Qty C]],0)</f>
        <v>0</v>
      </c>
      <c r="AD769" s="53">
        <f>cadangan[[#This Row],[Qty A]]+cadangan[[#This Row],[Qty B]]+cadangan[[#This Row],[Qty C]]</f>
        <v>6</v>
      </c>
      <c r="AE769" s="73">
        <f>cadangan[[#This Row],[Harga Normal A]]+cadangan[[#This Row],[Harga Normal B]]+cadangan[[#This Row],[Harga Normal C]]</f>
        <v>1100000</v>
      </c>
      <c r="AF769" s="73">
        <f>cadangan[[#This Row],[Harga Diskon A]]+cadangan[[#This Row],[Harga Diskon B]]+cadangan[[#This Row],[Harga Diskon C]]</f>
        <v>935000</v>
      </c>
      <c r="AG769" s="73">
        <f>(cadangan[[#This Row],[Profit Normal A]]+cadangan[[#This Row],[Profit Normal B]]+cadangan[[#This Row],[Profit Normal C]])</f>
        <v>400000</v>
      </c>
      <c r="AH769" s="73">
        <f>cadangan[[#This Row],[Profit Diskon A]]+cadangan[[#This Row],[Profit Diskon B]]+cadangan[[#This Row],[Profit Diskon C]]</f>
        <v>235000</v>
      </c>
      <c r="AI769" s="23" t="s">
        <v>13</v>
      </c>
      <c r="AJ769" s="37">
        <f>IFERROR(INDEX('Kode Diskon'!$D$3:$D$9,MATCH(cadangan[[#This Row],[Kode diskon]],'Kode Diskon'!$C$3:$C$9,0)),"-")</f>
        <v>0.15</v>
      </c>
      <c r="AK769" s="23" t="s">
        <v>29</v>
      </c>
      <c r="AL769" s="23" t="s">
        <v>7</v>
      </c>
      <c r="AM769" s="23" t="s">
        <v>79</v>
      </c>
      <c r="AN769" s="55">
        <v>45018</v>
      </c>
      <c r="AO769" s="53">
        <f>DAY(cadangan[[#This Row],[Tanggal terjual]])</f>
        <v>2</v>
      </c>
      <c r="AP769" s="21" t="str">
        <f>TEXT(cadangan[[#This Row],[Tanggal terjual]],"dddd")</f>
        <v>Sunday</v>
      </c>
      <c r="AQ769" s="23" t="str" cm="1">
        <f t="array" ref="AQ7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69" s="61">
        <f>AVERAGE(cadangan[[#This Row],[Rating A]],cadangan[[#This Row],[Rating B]],cadangan[[#This Row],[Rating C]])</f>
        <v>2</v>
      </c>
    </row>
    <row r="770" spans="1:44" x14ac:dyDescent="0.2">
      <c r="A770" s="20">
        <v>769</v>
      </c>
      <c r="B770" s="21" t="str">
        <f>_xlfn.CONCAT("ORD-",INDEX(Helper!$B$2:$B$5,MATCH(cadangan[[#This Row],[Marketplace]],Helper!$A$2:$A$5,0)),TEXT(cadangan[[#This Row],[No]],"0000"),"-",TEXT(cadangan[[#This Row],[Tanggal terjual]],"dd/mm/yy"))</f>
        <v>ORD-TK0769-29/04/23</v>
      </c>
      <c r="C770" s="39" t="s">
        <v>63</v>
      </c>
      <c r="D770" s="39" t="str">
        <f>IFERROR(INDEX(Katalog!$A$3:$A$12,MATCH(cadangan[[#This Row],[ItemID A]],Katalog!$C$3:$C$12,0)),"-")</f>
        <v>Pakaian Pria</v>
      </c>
      <c r="E770" s="39" t="str">
        <f>IFERROR(INDEX(Katalog!$B$3:$B$12,MATCH(cadangan[[#This Row],[ItemID A]],Katalog!$C$3:$C$12,0)),"-")</f>
        <v>Jaket Jeans</v>
      </c>
      <c r="F770" s="50">
        <v>3</v>
      </c>
      <c r="G770" s="50">
        <v>3</v>
      </c>
      <c r="H770" s="73">
        <f>IFERROR(INDEX(Katalog!$D$3:$D$12,MATCH(cadangan[[#This Row],[ItemID A]],Katalog!$C$3:$C$12,0))*cadangan[[#This Row],[Qty A]],0)</f>
        <v>1200000</v>
      </c>
      <c r="I770" s="73">
        <f>IFERROR(cadangan[[#This Row],[Harga Normal A]]-(cadangan[[#This Row],[Harga Normal A]]*cadangan[[#This Row],[Diskon]]),cadangan[[#This Row],[Harga Normal A]])</f>
        <v>1080000</v>
      </c>
      <c r="J770" s="73">
        <f>INDEX(Katalog!$F$3:$F$12,MATCH(cadangan[[#This Row],[ItemID A]],Katalog!$C$3:$C$12,0))*cadangan[[#This Row],[Qty A]]</f>
        <v>450000</v>
      </c>
      <c r="K770" s="73">
        <f>IFERROR(cadangan[[#This Row],[Harga Diskon A]]-INDEX(Katalog!$E$3:$E$12,MATCH(cadangan[[#This Row],[ItemID A]],Katalog!$C$3:$C$12,0))*cadangan[[#This Row],[Qty A]],0)</f>
        <v>330000</v>
      </c>
      <c r="L770" s="39" t="s">
        <v>59</v>
      </c>
      <c r="M770" s="39" t="str">
        <f>IFERROR(INDEX(Katalog!$A$3:$A$12,MATCH(cadangan[[#This Row],[ItemID B]],Katalog!$C$3:$C$12,0)),"-")</f>
        <v>Pakaian Wanita</v>
      </c>
      <c r="N770" s="39" t="str">
        <f>IFERROR(INDEX(Katalog!$B$3:$B$12,MATCH(cadangan[[#This Row],[ItemID B]],Katalog!$C$3:$C$12,0)),"-")</f>
        <v>Blouse</v>
      </c>
      <c r="O770" s="50">
        <v>3</v>
      </c>
      <c r="P770" s="50">
        <v>3</v>
      </c>
      <c r="Q770" s="73">
        <f>IFERROR(INDEX(Katalog!$D$3:$D$12,MATCH(cadangan[[#This Row],[ItemID B]],Katalog!$C$3:$C$12,0))*cadangan[[#This Row],[Qty B]],0)</f>
        <v>450000</v>
      </c>
      <c r="R770" s="73">
        <f>IFERROR(cadangan[[#This Row],[Harga Normal B]]-(cadangan[[#This Row],[Harga Normal B]]*cadangan[[#This Row],[Diskon]]),cadangan[[#This Row],[Harga Normal B]])</f>
        <v>405000</v>
      </c>
      <c r="S770" s="73">
        <f>IFERROR(INDEX(Katalog!$F$3:$F$12,MATCH(cadangan[[#This Row],[ItemID B]],Katalog!$C$3:$C$12,0))*cadangan[[#This Row],[Qty B]],0)</f>
        <v>150000</v>
      </c>
      <c r="T770" s="73">
        <f>IFERROR(cadangan[[#This Row],[Harga Diskon B]]-INDEX(Katalog!$E$3:$E$12,MATCH(cadangan[[#This Row],[ItemID B]],Katalog!$C$3:$C$12,0))*cadangan[[#This Row],[Qty B]],0)</f>
        <v>105000</v>
      </c>
      <c r="V770" s="39" t="str">
        <f>IFERROR(INDEX(Katalog!$A$3:$A$12,MATCH(cadangan[[#This Row],[ItemID C]],Katalog!$C$3:$C$12,0)),"-")</f>
        <v>-</v>
      </c>
      <c r="W770" s="39" t="str">
        <f>IFERROR(INDEX(Katalog!$B$3:$B$12,MATCH(cadangan[[#This Row],[ItemID C]],Katalog!$C$3:$C$12,0)),"-")</f>
        <v>-</v>
      </c>
      <c r="Z770" s="73">
        <f>IFERROR(INDEX(Katalog!$D$3:$D$12,MATCH(cadangan[[#This Row],[ItemID C]],Katalog!$C$3:$C$12,0))*cadangan[[#This Row],[Qty C]],0)</f>
        <v>0</v>
      </c>
      <c r="AA770" s="73">
        <f>IFERROR(cadangan[[#This Row],[Harga Normal C]]-(cadangan[[#This Row],[Harga Normal C]]*cadangan[[#This Row],[Diskon]]),cadangan[[#This Row],[Harga Normal C]])</f>
        <v>0</v>
      </c>
      <c r="AB770" s="73">
        <f>IFERROR(INDEX(Katalog!$F$3:$F$12,MATCH(cadangan[[#This Row],[ItemID C]],Katalog!$C$3:$C$12,0))*cadangan[[#This Row],[Qty C]],0)</f>
        <v>0</v>
      </c>
      <c r="AC770" s="73">
        <f>IFERROR(cadangan[[#This Row],[Harga Diskon C]]-INDEX(Katalog!$E$3:$E$12,MATCH(cadangan[[#This Row],[ItemID C]],Katalog!$C$3:$C$12,0))*cadangan[[#This Row],[Qty C]],0)</f>
        <v>0</v>
      </c>
      <c r="AD770" s="53">
        <f>cadangan[[#This Row],[Qty A]]+cadangan[[#This Row],[Qty B]]+cadangan[[#This Row],[Qty C]]</f>
        <v>6</v>
      </c>
      <c r="AE770" s="73">
        <f>cadangan[[#This Row],[Harga Normal A]]+cadangan[[#This Row],[Harga Normal B]]+cadangan[[#This Row],[Harga Normal C]]</f>
        <v>1650000</v>
      </c>
      <c r="AF770" s="73">
        <f>cadangan[[#This Row],[Harga Diskon A]]+cadangan[[#This Row],[Harga Diskon B]]+cadangan[[#This Row],[Harga Diskon C]]</f>
        <v>1485000</v>
      </c>
      <c r="AG770" s="73">
        <f>(cadangan[[#This Row],[Profit Normal A]]+cadangan[[#This Row],[Profit Normal B]]+cadangan[[#This Row],[Profit Normal C]])</f>
        <v>600000</v>
      </c>
      <c r="AH770" s="73">
        <f>cadangan[[#This Row],[Profit Diskon A]]+cadangan[[#This Row],[Profit Diskon B]]+cadangan[[#This Row],[Profit Diskon C]]</f>
        <v>435000</v>
      </c>
      <c r="AI770" s="23" t="s">
        <v>31</v>
      </c>
      <c r="AJ770" s="37">
        <f>IFERROR(INDEX('Kode Diskon'!$D$3:$D$9,MATCH(cadangan[[#This Row],[Kode diskon]],'Kode Diskon'!$C$3:$C$9,0)),"-")</f>
        <v>0.1</v>
      </c>
      <c r="AK770" s="23" t="s">
        <v>9</v>
      </c>
      <c r="AL770" s="23" t="s">
        <v>10</v>
      </c>
      <c r="AM770" s="23" t="s">
        <v>76</v>
      </c>
      <c r="AN770" s="55">
        <v>45045</v>
      </c>
      <c r="AO770" s="53">
        <f>DAY(cadangan[[#This Row],[Tanggal terjual]])</f>
        <v>29</v>
      </c>
      <c r="AP770" s="21" t="str">
        <f>TEXT(cadangan[[#This Row],[Tanggal terjual]],"dddd")</f>
        <v>Saturday</v>
      </c>
      <c r="AQ770" s="23" t="str" cm="1">
        <f t="array" ref="AQ7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70" s="61">
        <f>AVERAGE(cadangan[[#This Row],[Rating A]],cadangan[[#This Row],[Rating B]],cadangan[[#This Row],[Rating C]])</f>
        <v>3</v>
      </c>
    </row>
    <row r="771" spans="1:44" x14ac:dyDescent="0.2">
      <c r="A771" s="20">
        <v>770</v>
      </c>
      <c r="B771" s="21" t="str">
        <f>_xlfn.CONCAT("ORD-",INDEX(Helper!$B$2:$B$5,MATCH(cadangan[[#This Row],[Marketplace]],Helper!$A$2:$A$5,0)),TEXT(cadangan[[#This Row],[No]],"0000"),"-",TEXT(cadangan[[#This Row],[Tanggal terjual]],"dd/mm/yy"))</f>
        <v>ORD-TK0770-26/04/23</v>
      </c>
      <c r="C771" s="39" t="s">
        <v>66</v>
      </c>
      <c r="D771" s="39" t="str">
        <f>IFERROR(INDEX(Katalog!$A$3:$A$12,MATCH(cadangan[[#This Row],[ItemID A]],Katalog!$C$3:$C$12,0)),"-")</f>
        <v>Sepatu Pria</v>
      </c>
      <c r="E771" s="39" t="str">
        <f>IFERROR(INDEX(Katalog!$B$3:$B$12,MATCH(cadangan[[#This Row],[ItemID A]],Katalog!$C$3:$C$12,0)),"-")</f>
        <v>Sandal Slip On</v>
      </c>
      <c r="F771" s="50">
        <v>2</v>
      </c>
      <c r="G771" s="50">
        <v>2</v>
      </c>
      <c r="H771" s="73">
        <f>IFERROR(INDEX(Katalog!$D$3:$D$12,MATCH(cadangan[[#This Row],[ItemID A]],Katalog!$C$3:$C$12,0))*cadangan[[#This Row],[Qty A]],0)</f>
        <v>300000</v>
      </c>
      <c r="I771" s="73">
        <f>IFERROR(cadangan[[#This Row],[Harga Normal A]]-(cadangan[[#This Row],[Harga Normal A]]*cadangan[[#This Row],[Diskon]]),cadangan[[#This Row],[Harga Normal A]])</f>
        <v>270000</v>
      </c>
      <c r="J771" s="73">
        <f>INDEX(Katalog!$F$3:$F$12,MATCH(cadangan[[#This Row],[ItemID A]],Katalog!$C$3:$C$12,0))*cadangan[[#This Row],[Qty A]]</f>
        <v>120000</v>
      </c>
      <c r="K771" s="73">
        <f>IFERROR(cadangan[[#This Row],[Harga Diskon A]]-INDEX(Katalog!$E$3:$E$12,MATCH(cadangan[[#This Row],[ItemID A]],Katalog!$C$3:$C$12,0))*cadangan[[#This Row],[Qty A]],0)</f>
        <v>90000</v>
      </c>
      <c r="M771" s="39" t="str">
        <f>IFERROR(INDEX(Katalog!$A$3:$A$12,MATCH(cadangan[[#This Row],[ItemID B]],Katalog!$C$3:$C$12,0)),"-")</f>
        <v>-</v>
      </c>
      <c r="N771" s="39" t="str">
        <f>IFERROR(INDEX(Katalog!$B$3:$B$12,MATCH(cadangan[[#This Row],[ItemID B]],Katalog!$C$3:$C$12,0)),"-")</f>
        <v>-</v>
      </c>
      <c r="Q771" s="73">
        <f>IFERROR(INDEX(Katalog!$D$3:$D$12,MATCH(cadangan[[#This Row],[ItemID B]],Katalog!$C$3:$C$12,0))*cadangan[[#This Row],[Qty B]],0)</f>
        <v>0</v>
      </c>
      <c r="R771" s="73">
        <f>IFERROR(cadangan[[#This Row],[Harga Normal B]]-(cadangan[[#This Row],[Harga Normal B]]*cadangan[[#This Row],[Diskon]]),cadangan[[#This Row],[Harga Normal B]])</f>
        <v>0</v>
      </c>
      <c r="S771" s="73">
        <f>IFERROR(INDEX(Katalog!$F$3:$F$12,MATCH(cadangan[[#This Row],[ItemID B]],Katalog!$C$3:$C$12,0))*cadangan[[#This Row],[Qty B]],0)</f>
        <v>0</v>
      </c>
      <c r="T771" s="73">
        <f>IFERROR(cadangan[[#This Row],[Harga Diskon B]]-INDEX(Katalog!$E$3:$E$12,MATCH(cadangan[[#This Row],[ItemID B]],Katalog!$C$3:$C$12,0))*cadangan[[#This Row],[Qty B]],0)</f>
        <v>0</v>
      </c>
      <c r="V771" s="39" t="str">
        <f>IFERROR(INDEX(Katalog!$A$3:$A$12,MATCH(cadangan[[#This Row],[ItemID C]],Katalog!$C$3:$C$12,0)),"-")</f>
        <v>-</v>
      </c>
      <c r="W771" s="39" t="str">
        <f>IFERROR(INDEX(Katalog!$B$3:$B$12,MATCH(cadangan[[#This Row],[ItemID C]],Katalog!$C$3:$C$12,0)),"-")</f>
        <v>-</v>
      </c>
      <c r="Z771" s="73">
        <f>IFERROR(INDEX(Katalog!$D$3:$D$12,MATCH(cadangan[[#This Row],[ItemID C]],Katalog!$C$3:$C$12,0))*cadangan[[#This Row],[Qty C]],0)</f>
        <v>0</v>
      </c>
      <c r="AA771" s="73">
        <f>IFERROR(cadangan[[#This Row],[Harga Normal C]]-(cadangan[[#This Row],[Harga Normal C]]*cadangan[[#This Row],[Diskon]]),cadangan[[#This Row],[Harga Normal C]])</f>
        <v>0</v>
      </c>
      <c r="AB771" s="73">
        <f>IFERROR(INDEX(Katalog!$F$3:$F$12,MATCH(cadangan[[#This Row],[ItemID C]],Katalog!$C$3:$C$12,0))*cadangan[[#This Row],[Qty C]],0)</f>
        <v>0</v>
      </c>
      <c r="AC771" s="73">
        <f>IFERROR(cadangan[[#This Row],[Harga Diskon C]]-INDEX(Katalog!$E$3:$E$12,MATCH(cadangan[[#This Row],[ItemID C]],Katalog!$C$3:$C$12,0))*cadangan[[#This Row],[Qty C]],0)</f>
        <v>0</v>
      </c>
      <c r="AD771" s="53">
        <f>cadangan[[#This Row],[Qty A]]+cadangan[[#This Row],[Qty B]]+cadangan[[#This Row],[Qty C]]</f>
        <v>2</v>
      </c>
      <c r="AE771" s="73">
        <f>cadangan[[#This Row],[Harga Normal A]]+cadangan[[#This Row],[Harga Normal B]]+cadangan[[#This Row],[Harga Normal C]]</f>
        <v>300000</v>
      </c>
      <c r="AF771" s="73">
        <f>cadangan[[#This Row],[Harga Diskon A]]+cadangan[[#This Row],[Harga Diskon B]]+cadangan[[#This Row],[Harga Diskon C]]</f>
        <v>270000</v>
      </c>
      <c r="AG771" s="73">
        <f>(cadangan[[#This Row],[Profit Normal A]]+cadangan[[#This Row],[Profit Normal B]]+cadangan[[#This Row],[Profit Normal C]])</f>
        <v>120000</v>
      </c>
      <c r="AH771" s="73">
        <f>cadangan[[#This Row],[Profit Diskon A]]+cadangan[[#This Row],[Profit Diskon B]]+cadangan[[#This Row],[Profit Diskon C]]</f>
        <v>90000</v>
      </c>
      <c r="AI771" s="23" t="s">
        <v>31</v>
      </c>
      <c r="AJ771" s="37">
        <f>IFERROR(INDEX('Kode Diskon'!$D$3:$D$9,MATCH(cadangan[[#This Row],[Kode diskon]],'Kode Diskon'!$C$3:$C$9,0)),"-")</f>
        <v>0.1</v>
      </c>
      <c r="AK771" s="23" t="s">
        <v>9</v>
      </c>
      <c r="AL771" s="23" t="s">
        <v>10</v>
      </c>
      <c r="AM771" s="23" t="s">
        <v>80</v>
      </c>
      <c r="AN771" s="55">
        <v>45042</v>
      </c>
      <c r="AO771" s="53">
        <f>DAY(cadangan[[#This Row],[Tanggal terjual]])</f>
        <v>26</v>
      </c>
      <c r="AP771" s="21" t="str">
        <f>TEXT(cadangan[[#This Row],[Tanggal terjual]],"dddd")</f>
        <v>Wednesday</v>
      </c>
      <c r="AQ771" s="23" t="str" cm="1">
        <f t="array" ref="AQ7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71" s="61">
        <f>AVERAGE(cadangan[[#This Row],[Rating A]],cadangan[[#This Row],[Rating B]],cadangan[[#This Row],[Rating C]])</f>
        <v>2</v>
      </c>
    </row>
    <row r="772" spans="1:44" x14ac:dyDescent="0.2">
      <c r="A772" s="20">
        <v>771</v>
      </c>
      <c r="B772" s="21" t="str">
        <f>_xlfn.CONCAT("ORD-",INDEX(Helper!$B$2:$B$5,MATCH(cadangan[[#This Row],[Marketplace]],Helper!$A$2:$A$5,0)),TEXT(cadangan[[#This Row],[No]],"0000"),"-",TEXT(cadangan[[#This Row],[Tanggal terjual]],"dd/mm/yy"))</f>
        <v>ORD-TK0771-30/04/23</v>
      </c>
      <c r="C772" s="39" t="s">
        <v>59</v>
      </c>
      <c r="D772" s="39" t="str">
        <f>IFERROR(INDEX(Katalog!$A$3:$A$12,MATCH(cadangan[[#This Row],[ItemID A]],Katalog!$C$3:$C$12,0)),"-")</f>
        <v>Pakaian Wanita</v>
      </c>
      <c r="E772" s="39" t="str">
        <f>IFERROR(INDEX(Katalog!$B$3:$B$12,MATCH(cadangan[[#This Row],[ItemID A]],Katalog!$C$3:$C$12,0)),"-")</f>
        <v>Blouse</v>
      </c>
      <c r="F772" s="50">
        <v>7</v>
      </c>
      <c r="G772" s="50">
        <v>3</v>
      </c>
      <c r="H772" s="73">
        <f>IFERROR(INDEX(Katalog!$D$3:$D$12,MATCH(cadangan[[#This Row],[ItemID A]],Katalog!$C$3:$C$12,0))*cadangan[[#This Row],[Qty A]],0)</f>
        <v>1050000</v>
      </c>
      <c r="I772" s="73">
        <f>IFERROR(cadangan[[#This Row],[Harga Normal A]]-(cadangan[[#This Row],[Harga Normal A]]*cadangan[[#This Row],[Diskon]]),cadangan[[#This Row],[Harga Normal A]])</f>
        <v>945000</v>
      </c>
      <c r="J772" s="73">
        <f>INDEX(Katalog!$F$3:$F$12,MATCH(cadangan[[#This Row],[ItemID A]],Katalog!$C$3:$C$12,0))*cadangan[[#This Row],[Qty A]]</f>
        <v>350000</v>
      </c>
      <c r="K772" s="73">
        <f>IFERROR(cadangan[[#This Row],[Harga Diskon A]]-INDEX(Katalog!$E$3:$E$12,MATCH(cadangan[[#This Row],[ItemID A]],Katalog!$C$3:$C$12,0))*cadangan[[#This Row],[Qty A]],0)</f>
        <v>245000</v>
      </c>
      <c r="M772" s="39" t="str">
        <f>IFERROR(INDEX(Katalog!$A$3:$A$12,MATCH(cadangan[[#This Row],[ItemID B]],Katalog!$C$3:$C$12,0)),"-")</f>
        <v>-</v>
      </c>
      <c r="N772" s="39" t="str">
        <f>IFERROR(INDEX(Katalog!$B$3:$B$12,MATCH(cadangan[[#This Row],[ItemID B]],Katalog!$C$3:$C$12,0)),"-")</f>
        <v>-</v>
      </c>
      <c r="Q772" s="73">
        <f>IFERROR(INDEX(Katalog!$D$3:$D$12,MATCH(cadangan[[#This Row],[ItemID B]],Katalog!$C$3:$C$12,0))*cadangan[[#This Row],[Qty B]],0)</f>
        <v>0</v>
      </c>
      <c r="R772" s="73">
        <f>IFERROR(cadangan[[#This Row],[Harga Normal B]]-(cadangan[[#This Row],[Harga Normal B]]*cadangan[[#This Row],[Diskon]]),cadangan[[#This Row],[Harga Normal B]])</f>
        <v>0</v>
      </c>
      <c r="S772" s="73">
        <f>IFERROR(INDEX(Katalog!$F$3:$F$12,MATCH(cadangan[[#This Row],[ItemID B]],Katalog!$C$3:$C$12,0))*cadangan[[#This Row],[Qty B]],0)</f>
        <v>0</v>
      </c>
      <c r="T772" s="73">
        <f>IFERROR(cadangan[[#This Row],[Harga Diskon B]]-INDEX(Katalog!$E$3:$E$12,MATCH(cadangan[[#This Row],[ItemID B]],Katalog!$C$3:$C$12,0))*cadangan[[#This Row],[Qty B]],0)</f>
        <v>0</v>
      </c>
      <c r="V772" s="39" t="str">
        <f>IFERROR(INDEX(Katalog!$A$3:$A$12,MATCH(cadangan[[#This Row],[ItemID C]],Katalog!$C$3:$C$12,0)),"-")</f>
        <v>-</v>
      </c>
      <c r="W772" s="39" t="str">
        <f>IFERROR(INDEX(Katalog!$B$3:$B$12,MATCH(cadangan[[#This Row],[ItemID C]],Katalog!$C$3:$C$12,0)),"-")</f>
        <v>-</v>
      </c>
      <c r="Z772" s="73">
        <f>IFERROR(INDEX(Katalog!$D$3:$D$12,MATCH(cadangan[[#This Row],[ItemID C]],Katalog!$C$3:$C$12,0))*cadangan[[#This Row],[Qty C]],0)</f>
        <v>0</v>
      </c>
      <c r="AA772" s="73">
        <f>IFERROR(cadangan[[#This Row],[Harga Normal C]]-(cadangan[[#This Row],[Harga Normal C]]*cadangan[[#This Row],[Diskon]]),cadangan[[#This Row],[Harga Normal C]])</f>
        <v>0</v>
      </c>
      <c r="AB772" s="73">
        <f>IFERROR(INDEX(Katalog!$F$3:$F$12,MATCH(cadangan[[#This Row],[ItemID C]],Katalog!$C$3:$C$12,0))*cadangan[[#This Row],[Qty C]],0)</f>
        <v>0</v>
      </c>
      <c r="AC772" s="73">
        <f>IFERROR(cadangan[[#This Row],[Harga Diskon C]]-INDEX(Katalog!$E$3:$E$12,MATCH(cadangan[[#This Row],[ItemID C]],Katalog!$C$3:$C$12,0))*cadangan[[#This Row],[Qty C]],0)</f>
        <v>0</v>
      </c>
      <c r="AD772" s="53">
        <f>cadangan[[#This Row],[Qty A]]+cadangan[[#This Row],[Qty B]]+cadangan[[#This Row],[Qty C]]</f>
        <v>7</v>
      </c>
      <c r="AE772" s="73">
        <f>cadangan[[#This Row],[Harga Normal A]]+cadangan[[#This Row],[Harga Normal B]]+cadangan[[#This Row],[Harga Normal C]]</f>
        <v>1050000</v>
      </c>
      <c r="AF772" s="73">
        <f>cadangan[[#This Row],[Harga Diskon A]]+cadangan[[#This Row],[Harga Diskon B]]+cadangan[[#This Row],[Harga Diskon C]]</f>
        <v>945000</v>
      </c>
      <c r="AG772" s="73">
        <f>(cadangan[[#This Row],[Profit Normal A]]+cadangan[[#This Row],[Profit Normal B]]+cadangan[[#This Row],[Profit Normal C]])</f>
        <v>350000</v>
      </c>
      <c r="AH772" s="73">
        <f>cadangan[[#This Row],[Profit Diskon A]]+cadangan[[#This Row],[Profit Diskon B]]+cadangan[[#This Row],[Profit Diskon C]]</f>
        <v>245000</v>
      </c>
      <c r="AI772" s="23" t="s">
        <v>31</v>
      </c>
      <c r="AJ772" s="37">
        <f>IFERROR(INDEX('Kode Diskon'!$D$3:$D$9,MATCH(cadangan[[#This Row],[Kode diskon]],'Kode Diskon'!$C$3:$C$9,0)),"-")</f>
        <v>0.1</v>
      </c>
      <c r="AK772" s="23" t="s">
        <v>9</v>
      </c>
      <c r="AL772" s="23" t="s">
        <v>10</v>
      </c>
      <c r="AM772" s="23" t="s">
        <v>80</v>
      </c>
      <c r="AN772" s="55">
        <v>45046</v>
      </c>
      <c r="AO772" s="53">
        <f>DAY(cadangan[[#This Row],[Tanggal terjual]])</f>
        <v>30</v>
      </c>
      <c r="AP772" s="21" t="str">
        <f>TEXT(cadangan[[#This Row],[Tanggal terjual]],"dddd")</f>
        <v>Sunday</v>
      </c>
      <c r="AQ772" s="23" t="str" cm="1">
        <f t="array" ref="AQ7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72" s="61">
        <f>AVERAGE(cadangan[[#This Row],[Rating A]],cadangan[[#This Row],[Rating B]],cadangan[[#This Row],[Rating C]])</f>
        <v>3</v>
      </c>
    </row>
    <row r="773" spans="1:44" x14ac:dyDescent="0.2">
      <c r="A773" s="20">
        <v>772</v>
      </c>
      <c r="B773" s="21" t="str">
        <f>_xlfn.CONCAT("ORD-",INDEX(Helper!$B$2:$B$5,MATCH(cadangan[[#This Row],[Marketplace]],Helper!$A$2:$A$5,0)),TEXT(cadangan[[#This Row],[No]],"0000"),"-",TEXT(cadangan[[#This Row],[Tanggal terjual]],"dd/mm/yy"))</f>
        <v>ORD-SP0772-04/04/23</v>
      </c>
      <c r="C773" s="39" t="s">
        <v>65</v>
      </c>
      <c r="D773" s="39" t="str">
        <f>IFERROR(INDEX(Katalog!$A$3:$A$12,MATCH(cadangan[[#This Row],[ItemID A]],Katalog!$C$3:$C$12,0)),"-")</f>
        <v>Sepatu Pria</v>
      </c>
      <c r="E773" s="39" t="str">
        <f>IFERROR(INDEX(Katalog!$B$3:$B$12,MATCH(cadangan[[#This Row],[ItemID A]],Katalog!$C$3:$C$12,0)),"-")</f>
        <v>Sneakers</v>
      </c>
      <c r="F773" s="50">
        <v>1</v>
      </c>
      <c r="G773" s="50">
        <v>3</v>
      </c>
      <c r="H773" s="73">
        <f>IFERROR(INDEX(Katalog!$D$3:$D$12,MATCH(cadangan[[#This Row],[ItemID A]],Katalog!$C$3:$C$12,0))*cadangan[[#This Row],[Qty A]],0)</f>
        <v>500000</v>
      </c>
      <c r="I773" s="73">
        <f>IFERROR(cadangan[[#This Row],[Harga Normal A]]-(cadangan[[#This Row],[Harga Normal A]]*cadangan[[#This Row],[Diskon]]),cadangan[[#This Row],[Harga Normal A]])</f>
        <v>425000</v>
      </c>
      <c r="J773" s="73">
        <f>INDEX(Katalog!$F$3:$F$12,MATCH(cadangan[[#This Row],[ItemID A]],Katalog!$C$3:$C$12,0))*cadangan[[#This Row],[Qty A]]</f>
        <v>200000</v>
      </c>
      <c r="K773" s="73">
        <f>IFERROR(cadangan[[#This Row],[Harga Diskon A]]-INDEX(Katalog!$E$3:$E$12,MATCH(cadangan[[#This Row],[ItemID A]],Katalog!$C$3:$C$12,0))*cadangan[[#This Row],[Qty A]],0)</f>
        <v>125000</v>
      </c>
      <c r="L773" s="39" t="s">
        <v>60</v>
      </c>
      <c r="M773" s="39" t="str">
        <f>IFERROR(INDEX(Katalog!$A$3:$A$12,MATCH(cadangan[[#This Row],[ItemID B]],Katalog!$C$3:$C$12,0)),"-")</f>
        <v>Pakaian Wanita</v>
      </c>
      <c r="N773" s="39" t="str">
        <f>IFERROR(INDEX(Katalog!$B$3:$B$12,MATCH(cadangan[[#This Row],[ItemID B]],Katalog!$C$3:$C$12,0)),"-")</f>
        <v>Kaftan</v>
      </c>
      <c r="O773" s="50">
        <v>4</v>
      </c>
      <c r="P773" s="50">
        <v>4</v>
      </c>
      <c r="Q773" s="73">
        <f>IFERROR(INDEX(Katalog!$D$3:$D$12,MATCH(cadangan[[#This Row],[ItemID B]],Katalog!$C$3:$C$12,0))*cadangan[[#This Row],[Qty B]],0)</f>
        <v>1000000</v>
      </c>
      <c r="R773" s="73">
        <f>IFERROR(cadangan[[#This Row],[Harga Normal B]]-(cadangan[[#This Row],[Harga Normal B]]*cadangan[[#This Row],[Diskon]]),cadangan[[#This Row],[Harga Normal B]])</f>
        <v>850000</v>
      </c>
      <c r="S773" s="73">
        <f>IFERROR(INDEX(Katalog!$F$3:$F$12,MATCH(cadangan[[#This Row],[ItemID B]],Katalog!$C$3:$C$12,0))*cadangan[[#This Row],[Qty B]],0)</f>
        <v>400000</v>
      </c>
      <c r="T773" s="73">
        <f>IFERROR(cadangan[[#This Row],[Harga Diskon B]]-INDEX(Katalog!$E$3:$E$12,MATCH(cadangan[[#This Row],[ItemID B]],Katalog!$C$3:$C$12,0))*cadangan[[#This Row],[Qty B]],0)</f>
        <v>250000</v>
      </c>
      <c r="V773" s="39" t="str">
        <f>IFERROR(INDEX(Katalog!$A$3:$A$12,MATCH(cadangan[[#This Row],[ItemID C]],Katalog!$C$3:$C$12,0)),"-")</f>
        <v>-</v>
      </c>
      <c r="W773" s="39" t="str">
        <f>IFERROR(INDEX(Katalog!$B$3:$B$12,MATCH(cadangan[[#This Row],[ItemID C]],Katalog!$C$3:$C$12,0)),"-")</f>
        <v>-</v>
      </c>
      <c r="Z773" s="73">
        <f>IFERROR(INDEX(Katalog!$D$3:$D$12,MATCH(cadangan[[#This Row],[ItemID C]],Katalog!$C$3:$C$12,0))*cadangan[[#This Row],[Qty C]],0)</f>
        <v>0</v>
      </c>
      <c r="AA773" s="73">
        <f>IFERROR(cadangan[[#This Row],[Harga Normal C]]-(cadangan[[#This Row],[Harga Normal C]]*cadangan[[#This Row],[Diskon]]),cadangan[[#This Row],[Harga Normal C]])</f>
        <v>0</v>
      </c>
      <c r="AB773" s="73">
        <f>IFERROR(INDEX(Katalog!$F$3:$F$12,MATCH(cadangan[[#This Row],[ItemID C]],Katalog!$C$3:$C$12,0))*cadangan[[#This Row],[Qty C]],0)</f>
        <v>0</v>
      </c>
      <c r="AC773" s="73">
        <f>IFERROR(cadangan[[#This Row],[Harga Diskon C]]-INDEX(Katalog!$E$3:$E$12,MATCH(cadangan[[#This Row],[ItemID C]],Katalog!$C$3:$C$12,0))*cadangan[[#This Row],[Qty C]],0)</f>
        <v>0</v>
      </c>
      <c r="AD773" s="53">
        <f>cadangan[[#This Row],[Qty A]]+cadangan[[#This Row],[Qty B]]+cadangan[[#This Row],[Qty C]]</f>
        <v>5</v>
      </c>
      <c r="AE773" s="73">
        <f>cadangan[[#This Row],[Harga Normal A]]+cadangan[[#This Row],[Harga Normal B]]+cadangan[[#This Row],[Harga Normal C]]</f>
        <v>1500000</v>
      </c>
      <c r="AF773" s="73">
        <f>cadangan[[#This Row],[Harga Diskon A]]+cadangan[[#This Row],[Harga Diskon B]]+cadangan[[#This Row],[Harga Diskon C]]</f>
        <v>1275000</v>
      </c>
      <c r="AG773" s="73">
        <f>(cadangan[[#This Row],[Profit Normal A]]+cadangan[[#This Row],[Profit Normal B]]+cadangan[[#This Row],[Profit Normal C]])</f>
        <v>600000</v>
      </c>
      <c r="AH773" s="73">
        <f>cadangan[[#This Row],[Profit Diskon A]]+cadangan[[#This Row],[Profit Diskon B]]+cadangan[[#This Row],[Profit Diskon C]]</f>
        <v>375000</v>
      </c>
      <c r="AI773" s="23" t="s">
        <v>13</v>
      </c>
      <c r="AJ773" s="37">
        <f>IFERROR(INDEX('Kode Diskon'!$D$3:$D$9,MATCH(cadangan[[#This Row],[Kode diskon]],'Kode Diskon'!$C$3:$C$9,0)),"-")</f>
        <v>0.15</v>
      </c>
      <c r="AK773" s="23" t="s">
        <v>29</v>
      </c>
      <c r="AL773" s="23" t="s">
        <v>7</v>
      </c>
      <c r="AM773" s="23" t="s">
        <v>77</v>
      </c>
      <c r="AN773" s="55">
        <v>45020</v>
      </c>
      <c r="AO773" s="53">
        <f>DAY(cadangan[[#This Row],[Tanggal terjual]])</f>
        <v>4</v>
      </c>
      <c r="AP773" s="21" t="str">
        <f>TEXT(cadangan[[#This Row],[Tanggal terjual]],"dddd")</f>
        <v>Tuesday</v>
      </c>
      <c r="AQ773" s="23" t="str" cm="1">
        <f t="array" ref="AQ7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73" s="61">
        <f>AVERAGE(cadangan[[#This Row],[Rating A]],cadangan[[#This Row],[Rating B]],cadangan[[#This Row],[Rating C]])</f>
        <v>3.5</v>
      </c>
    </row>
    <row r="774" spans="1:44" x14ac:dyDescent="0.2">
      <c r="A774" s="20">
        <v>773</v>
      </c>
      <c r="B774" s="21" t="str">
        <f>_xlfn.CONCAT("ORD-",INDEX(Helper!$B$2:$B$5,MATCH(cadangan[[#This Row],[Marketplace]],Helper!$A$2:$A$5,0)),TEXT(cadangan[[#This Row],[No]],"0000"),"-",TEXT(cadangan[[#This Row],[Tanggal terjual]],"dd/mm/yy"))</f>
        <v>ORD-SP0773-16/04/23</v>
      </c>
      <c r="C774" s="39" t="s">
        <v>63</v>
      </c>
      <c r="D774" s="39" t="str">
        <f>IFERROR(INDEX(Katalog!$A$3:$A$12,MATCH(cadangan[[#This Row],[ItemID A]],Katalog!$C$3:$C$12,0)),"-")</f>
        <v>Pakaian Pria</v>
      </c>
      <c r="E774" s="39" t="str">
        <f>IFERROR(INDEX(Katalog!$B$3:$B$12,MATCH(cadangan[[#This Row],[ItemID A]],Katalog!$C$3:$C$12,0)),"-")</f>
        <v>Jaket Jeans</v>
      </c>
      <c r="F774" s="50">
        <v>5</v>
      </c>
      <c r="G774" s="50">
        <v>2</v>
      </c>
      <c r="H774" s="73">
        <f>IFERROR(INDEX(Katalog!$D$3:$D$12,MATCH(cadangan[[#This Row],[ItemID A]],Katalog!$C$3:$C$12,0))*cadangan[[#This Row],[Qty A]],0)</f>
        <v>2000000</v>
      </c>
      <c r="I774" s="73">
        <f>IFERROR(cadangan[[#This Row],[Harga Normal A]]-(cadangan[[#This Row],[Harga Normal A]]*cadangan[[#This Row],[Diskon]]),cadangan[[#This Row],[Harga Normal A]])</f>
        <v>1600000</v>
      </c>
      <c r="J774" s="73">
        <f>INDEX(Katalog!$F$3:$F$12,MATCH(cadangan[[#This Row],[ItemID A]],Katalog!$C$3:$C$12,0))*cadangan[[#This Row],[Qty A]]</f>
        <v>750000</v>
      </c>
      <c r="K774" s="73">
        <f>IFERROR(cadangan[[#This Row],[Harga Diskon A]]-INDEX(Katalog!$E$3:$E$12,MATCH(cadangan[[#This Row],[ItemID A]],Katalog!$C$3:$C$12,0))*cadangan[[#This Row],[Qty A]],0)</f>
        <v>350000</v>
      </c>
      <c r="L774" s="39" t="s">
        <v>67</v>
      </c>
      <c r="M774" s="39" t="str">
        <f>IFERROR(INDEX(Katalog!$A$3:$A$12,MATCH(cadangan[[#This Row],[ItemID B]],Katalog!$C$3:$C$12,0)),"-")</f>
        <v>Sepatu Wanita</v>
      </c>
      <c r="N774" s="39" t="str">
        <f>IFERROR(INDEX(Katalog!$B$3:$B$12,MATCH(cadangan[[#This Row],[ItemID B]],Katalog!$C$3:$C$12,0)),"-")</f>
        <v>Flat Shoes</v>
      </c>
      <c r="O774" s="50">
        <v>2</v>
      </c>
      <c r="P774" s="50">
        <v>2</v>
      </c>
      <c r="Q774" s="73">
        <f>IFERROR(INDEX(Katalog!$D$3:$D$12,MATCH(cadangan[[#This Row],[ItemID B]],Katalog!$C$3:$C$12,0))*cadangan[[#This Row],[Qty B]],0)</f>
        <v>500000</v>
      </c>
      <c r="R774" s="73">
        <f>IFERROR(cadangan[[#This Row],[Harga Normal B]]-(cadangan[[#This Row],[Harga Normal B]]*cadangan[[#This Row],[Diskon]]),cadangan[[#This Row],[Harga Normal B]])</f>
        <v>400000</v>
      </c>
      <c r="S774" s="73">
        <f>IFERROR(INDEX(Katalog!$F$3:$F$12,MATCH(cadangan[[#This Row],[ItemID B]],Katalog!$C$3:$C$12,0))*cadangan[[#This Row],[Qty B]],0)</f>
        <v>200000</v>
      </c>
      <c r="T774" s="73">
        <f>IFERROR(cadangan[[#This Row],[Harga Diskon B]]-INDEX(Katalog!$E$3:$E$12,MATCH(cadangan[[#This Row],[ItemID B]],Katalog!$C$3:$C$12,0))*cadangan[[#This Row],[Qty B]],0)</f>
        <v>100000</v>
      </c>
      <c r="V774" s="39" t="str">
        <f>IFERROR(INDEX(Katalog!$A$3:$A$12,MATCH(cadangan[[#This Row],[ItemID C]],Katalog!$C$3:$C$12,0)),"-")</f>
        <v>-</v>
      </c>
      <c r="W774" s="39" t="str">
        <f>IFERROR(INDEX(Katalog!$B$3:$B$12,MATCH(cadangan[[#This Row],[ItemID C]],Katalog!$C$3:$C$12,0)),"-")</f>
        <v>-</v>
      </c>
      <c r="Z774" s="73">
        <f>IFERROR(INDEX(Katalog!$D$3:$D$12,MATCH(cadangan[[#This Row],[ItemID C]],Katalog!$C$3:$C$12,0))*cadangan[[#This Row],[Qty C]],0)</f>
        <v>0</v>
      </c>
      <c r="AA774" s="73">
        <f>IFERROR(cadangan[[#This Row],[Harga Normal C]]-(cadangan[[#This Row],[Harga Normal C]]*cadangan[[#This Row],[Diskon]]),cadangan[[#This Row],[Harga Normal C]])</f>
        <v>0</v>
      </c>
      <c r="AB774" s="73">
        <f>IFERROR(INDEX(Katalog!$F$3:$F$12,MATCH(cadangan[[#This Row],[ItemID C]],Katalog!$C$3:$C$12,0))*cadangan[[#This Row],[Qty C]],0)</f>
        <v>0</v>
      </c>
      <c r="AC774" s="73">
        <f>IFERROR(cadangan[[#This Row],[Harga Diskon C]]-INDEX(Katalog!$E$3:$E$12,MATCH(cadangan[[#This Row],[ItemID C]],Katalog!$C$3:$C$12,0))*cadangan[[#This Row],[Qty C]],0)</f>
        <v>0</v>
      </c>
      <c r="AD774" s="53">
        <f>cadangan[[#This Row],[Qty A]]+cadangan[[#This Row],[Qty B]]+cadangan[[#This Row],[Qty C]]</f>
        <v>7</v>
      </c>
      <c r="AE774" s="73">
        <f>cadangan[[#This Row],[Harga Normal A]]+cadangan[[#This Row],[Harga Normal B]]+cadangan[[#This Row],[Harga Normal C]]</f>
        <v>2500000</v>
      </c>
      <c r="AF774" s="73">
        <f>cadangan[[#This Row],[Harga Diskon A]]+cadangan[[#This Row],[Harga Diskon B]]+cadangan[[#This Row],[Harga Diskon C]]</f>
        <v>2000000</v>
      </c>
      <c r="AG774" s="73">
        <f>(cadangan[[#This Row],[Profit Normal A]]+cadangan[[#This Row],[Profit Normal B]]+cadangan[[#This Row],[Profit Normal C]])</f>
        <v>950000</v>
      </c>
      <c r="AH774" s="73">
        <f>cadangan[[#This Row],[Profit Diskon A]]+cadangan[[#This Row],[Profit Diskon B]]+cadangan[[#This Row],[Profit Diskon C]]</f>
        <v>450000</v>
      </c>
      <c r="AI774" s="23" t="s">
        <v>8</v>
      </c>
      <c r="AJ774" s="37">
        <f>IFERROR(INDEX('Kode Diskon'!$D$3:$D$9,MATCH(cadangan[[#This Row],[Kode diskon]],'Kode Diskon'!$C$3:$C$9,0)),"-")</f>
        <v>0.2</v>
      </c>
      <c r="AK774" s="23" t="s">
        <v>9</v>
      </c>
      <c r="AL774" s="23" t="s">
        <v>7</v>
      </c>
      <c r="AM774" s="23" t="s">
        <v>80</v>
      </c>
      <c r="AN774" s="55">
        <v>45032</v>
      </c>
      <c r="AO774" s="53">
        <f>DAY(cadangan[[#This Row],[Tanggal terjual]])</f>
        <v>16</v>
      </c>
      <c r="AP774" s="21" t="str">
        <f>TEXT(cadangan[[#This Row],[Tanggal terjual]],"dddd")</f>
        <v>Sunday</v>
      </c>
      <c r="AQ774" s="23" t="str" cm="1">
        <f t="array" ref="AQ7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74" s="61">
        <f>AVERAGE(cadangan[[#This Row],[Rating A]],cadangan[[#This Row],[Rating B]],cadangan[[#This Row],[Rating C]])</f>
        <v>2</v>
      </c>
    </row>
    <row r="775" spans="1:44" x14ac:dyDescent="0.2">
      <c r="A775" s="20">
        <v>774</v>
      </c>
      <c r="B775" s="21" t="str">
        <f>_xlfn.CONCAT("ORD-",INDEX(Helper!$B$2:$B$5,MATCH(cadangan[[#This Row],[Marketplace]],Helper!$A$2:$A$5,0)),TEXT(cadangan[[#This Row],[No]],"0000"),"-",TEXT(cadangan[[#This Row],[Tanggal terjual]],"dd/mm/yy"))</f>
        <v>ORD-SP0774-17/04/23</v>
      </c>
      <c r="C775" s="39" t="s">
        <v>67</v>
      </c>
      <c r="D775" s="39" t="str">
        <f>IFERROR(INDEX(Katalog!$A$3:$A$12,MATCH(cadangan[[#This Row],[ItemID A]],Katalog!$C$3:$C$12,0)),"-")</f>
        <v>Sepatu Wanita</v>
      </c>
      <c r="E775" s="39" t="str">
        <f>IFERROR(INDEX(Katalog!$B$3:$B$12,MATCH(cadangan[[#This Row],[ItemID A]],Katalog!$C$3:$C$12,0)),"-")</f>
        <v>Flat Shoes</v>
      </c>
      <c r="F775" s="50">
        <v>1</v>
      </c>
      <c r="G775" s="50">
        <v>3</v>
      </c>
      <c r="H775" s="73">
        <f>IFERROR(INDEX(Katalog!$D$3:$D$12,MATCH(cadangan[[#This Row],[ItemID A]],Katalog!$C$3:$C$12,0))*cadangan[[#This Row],[Qty A]],0)</f>
        <v>250000</v>
      </c>
      <c r="I775" s="73">
        <f>IFERROR(cadangan[[#This Row],[Harga Normal A]]-(cadangan[[#This Row],[Harga Normal A]]*cadangan[[#This Row],[Diskon]]),cadangan[[#This Row],[Harga Normal A]])</f>
        <v>200000</v>
      </c>
      <c r="J775" s="73">
        <f>INDEX(Katalog!$F$3:$F$12,MATCH(cadangan[[#This Row],[ItemID A]],Katalog!$C$3:$C$12,0))*cadangan[[#This Row],[Qty A]]</f>
        <v>100000</v>
      </c>
      <c r="K775" s="73">
        <f>IFERROR(cadangan[[#This Row],[Harga Diskon A]]-INDEX(Katalog!$E$3:$E$12,MATCH(cadangan[[#This Row],[ItemID A]],Katalog!$C$3:$C$12,0))*cadangan[[#This Row],[Qty A]],0)</f>
        <v>50000</v>
      </c>
      <c r="M775" s="39" t="str">
        <f>IFERROR(INDEX(Katalog!$A$3:$A$12,MATCH(cadangan[[#This Row],[ItemID B]],Katalog!$C$3:$C$12,0)),"-")</f>
        <v>-</v>
      </c>
      <c r="N775" s="39" t="str">
        <f>IFERROR(INDEX(Katalog!$B$3:$B$12,MATCH(cadangan[[#This Row],[ItemID B]],Katalog!$C$3:$C$12,0)),"-")</f>
        <v>-</v>
      </c>
      <c r="Q775" s="73">
        <f>IFERROR(INDEX(Katalog!$D$3:$D$12,MATCH(cadangan[[#This Row],[ItemID B]],Katalog!$C$3:$C$12,0))*cadangan[[#This Row],[Qty B]],0)</f>
        <v>0</v>
      </c>
      <c r="R775" s="73">
        <f>IFERROR(cadangan[[#This Row],[Harga Normal B]]-(cadangan[[#This Row],[Harga Normal B]]*cadangan[[#This Row],[Diskon]]),cadangan[[#This Row],[Harga Normal B]])</f>
        <v>0</v>
      </c>
      <c r="S775" s="73">
        <f>IFERROR(INDEX(Katalog!$F$3:$F$12,MATCH(cadangan[[#This Row],[ItemID B]],Katalog!$C$3:$C$12,0))*cadangan[[#This Row],[Qty B]],0)</f>
        <v>0</v>
      </c>
      <c r="T775" s="73">
        <f>IFERROR(cadangan[[#This Row],[Harga Diskon B]]-INDEX(Katalog!$E$3:$E$12,MATCH(cadangan[[#This Row],[ItemID B]],Katalog!$C$3:$C$12,0))*cadangan[[#This Row],[Qty B]],0)</f>
        <v>0</v>
      </c>
      <c r="V775" s="39" t="str">
        <f>IFERROR(INDEX(Katalog!$A$3:$A$12,MATCH(cadangan[[#This Row],[ItemID C]],Katalog!$C$3:$C$12,0)),"-")</f>
        <v>-</v>
      </c>
      <c r="W775" s="39" t="str">
        <f>IFERROR(INDEX(Katalog!$B$3:$B$12,MATCH(cadangan[[#This Row],[ItemID C]],Katalog!$C$3:$C$12,0)),"-")</f>
        <v>-</v>
      </c>
      <c r="Z775" s="73">
        <f>IFERROR(INDEX(Katalog!$D$3:$D$12,MATCH(cadangan[[#This Row],[ItemID C]],Katalog!$C$3:$C$12,0))*cadangan[[#This Row],[Qty C]],0)</f>
        <v>0</v>
      </c>
      <c r="AA775" s="73">
        <f>IFERROR(cadangan[[#This Row],[Harga Normal C]]-(cadangan[[#This Row],[Harga Normal C]]*cadangan[[#This Row],[Diskon]]),cadangan[[#This Row],[Harga Normal C]])</f>
        <v>0</v>
      </c>
      <c r="AB775" s="73">
        <f>IFERROR(INDEX(Katalog!$F$3:$F$12,MATCH(cadangan[[#This Row],[ItemID C]],Katalog!$C$3:$C$12,0))*cadangan[[#This Row],[Qty C]],0)</f>
        <v>0</v>
      </c>
      <c r="AC775" s="73">
        <f>IFERROR(cadangan[[#This Row],[Harga Diskon C]]-INDEX(Katalog!$E$3:$E$12,MATCH(cadangan[[#This Row],[ItemID C]],Katalog!$C$3:$C$12,0))*cadangan[[#This Row],[Qty C]],0)</f>
        <v>0</v>
      </c>
      <c r="AD775" s="53">
        <f>cadangan[[#This Row],[Qty A]]+cadangan[[#This Row],[Qty B]]+cadangan[[#This Row],[Qty C]]</f>
        <v>1</v>
      </c>
      <c r="AE775" s="73">
        <f>cadangan[[#This Row],[Harga Normal A]]+cadangan[[#This Row],[Harga Normal B]]+cadangan[[#This Row],[Harga Normal C]]</f>
        <v>250000</v>
      </c>
      <c r="AF775" s="73">
        <f>cadangan[[#This Row],[Harga Diskon A]]+cadangan[[#This Row],[Harga Diskon B]]+cadangan[[#This Row],[Harga Diskon C]]</f>
        <v>200000</v>
      </c>
      <c r="AG775" s="73">
        <f>(cadangan[[#This Row],[Profit Normal A]]+cadangan[[#This Row],[Profit Normal B]]+cadangan[[#This Row],[Profit Normal C]])</f>
        <v>100000</v>
      </c>
      <c r="AH775" s="73">
        <f>cadangan[[#This Row],[Profit Diskon A]]+cadangan[[#This Row],[Profit Diskon B]]+cadangan[[#This Row],[Profit Diskon C]]</f>
        <v>50000</v>
      </c>
      <c r="AI775" s="23" t="s">
        <v>8</v>
      </c>
      <c r="AJ775" s="37">
        <f>IFERROR(INDEX('Kode Diskon'!$D$3:$D$9,MATCH(cadangan[[#This Row],[Kode diskon]],'Kode Diskon'!$C$3:$C$9,0)),"-")</f>
        <v>0.2</v>
      </c>
      <c r="AK775" s="23" t="s">
        <v>9</v>
      </c>
      <c r="AL775" s="23" t="s">
        <v>7</v>
      </c>
      <c r="AM775" s="23" t="s">
        <v>76</v>
      </c>
      <c r="AN775" s="55">
        <v>45033</v>
      </c>
      <c r="AO775" s="53">
        <f>DAY(cadangan[[#This Row],[Tanggal terjual]])</f>
        <v>17</v>
      </c>
      <c r="AP775" s="21" t="str">
        <f>TEXT(cadangan[[#This Row],[Tanggal terjual]],"dddd")</f>
        <v>Monday</v>
      </c>
      <c r="AQ775" s="23" t="str" cm="1">
        <f t="array" ref="AQ7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75" s="61">
        <f>AVERAGE(cadangan[[#This Row],[Rating A]],cadangan[[#This Row],[Rating B]],cadangan[[#This Row],[Rating C]])</f>
        <v>3</v>
      </c>
    </row>
    <row r="776" spans="1:44" x14ac:dyDescent="0.2">
      <c r="A776" s="20">
        <v>775</v>
      </c>
      <c r="B776" s="21" t="str">
        <f>_xlfn.CONCAT("ORD-",INDEX(Helper!$B$2:$B$5,MATCH(cadangan[[#This Row],[Marketplace]],Helper!$A$2:$A$5,0)),TEXT(cadangan[[#This Row],[No]],"0000"),"-",TEXT(cadangan[[#This Row],[Tanggal terjual]],"dd/mm/yy"))</f>
        <v>ORD-BB0775-03/04/23</v>
      </c>
      <c r="C776" s="39" t="s">
        <v>63</v>
      </c>
      <c r="D776" s="39" t="str">
        <f>IFERROR(INDEX(Katalog!$A$3:$A$12,MATCH(cadangan[[#This Row],[ItemID A]],Katalog!$C$3:$C$12,0)),"-")</f>
        <v>Pakaian Pria</v>
      </c>
      <c r="E776" s="39" t="str">
        <f>IFERROR(INDEX(Katalog!$B$3:$B$12,MATCH(cadangan[[#This Row],[ItemID A]],Katalog!$C$3:$C$12,0)),"-")</f>
        <v>Jaket Jeans</v>
      </c>
      <c r="F776" s="50">
        <v>1</v>
      </c>
      <c r="G776" s="50">
        <v>5</v>
      </c>
      <c r="H776" s="73">
        <f>IFERROR(INDEX(Katalog!$D$3:$D$12,MATCH(cadangan[[#This Row],[ItemID A]],Katalog!$C$3:$C$12,0))*cadangan[[#This Row],[Qty A]],0)</f>
        <v>400000</v>
      </c>
      <c r="I776" s="73">
        <f>IFERROR(cadangan[[#This Row],[Harga Normal A]]-(cadangan[[#This Row],[Harga Normal A]]*cadangan[[#This Row],[Diskon]]),cadangan[[#This Row],[Harga Normal A]])</f>
        <v>340000</v>
      </c>
      <c r="J776" s="73">
        <f>INDEX(Katalog!$F$3:$F$12,MATCH(cadangan[[#This Row],[ItemID A]],Katalog!$C$3:$C$12,0))*cadangan[[#This Row],[Qty A]]</f>
        <v>150000</v>
      </c>
      <c r="K776" s="73">
        <f>IFERROR(cadangan[[#This Row],[Harga Diskon A]]-INDEX(Katalog!$E$3:$E$12,MATCH(cadangan[[#This Row],[ItemID A]],Katalog!$C$3:$C$12,0))*cadangan[[#This Row],[Qty A]],0)</f>
        <v>90000</v>
      </c>
      <c r="L776" s="39" t="s">
        <v>59</v>
      </c>
      <c r="M776" s="39" t="str">
        <f>IFERROR(INDEX(Katalog!$A$3:$A$12,MATCH(cadangan[[#This Row],[ItemID B]],Katalog!$C$3:$C$12,0)),"-")</f>
        <v>Pakaian Wanita</v>
      </c>
      <c r="N776" s="39" t="str">
        <f>IFERROR(INDEX(Katalog!$B$3:$B$12,MATCH(cadangan[[#This Row],[ItemID B]],Katalog!$C$3:$C$12,0)),"-")</f>
        <v>Blouse</v>
      </c>
      <c r="O776" s="50">
        <v>2</v>
      </c>
      <c r="P776" s="50">
        <v>3</v>
      </c>
      <c r="Q776" s="73">
        <f>IFERROR(INDEX(Katalog!$D$3:$D$12,MATCH(cadangan[[#This Row],[ItemID B]],Katalog!$C$3:$C$12,0))*cadangan[[#This Row],[Qty B]],0)</f>
        <v>300000</v>
      </c>
      <c r="R776" s="73">
        <f>IFERROR(cadangan[[#This Row],[Harga Normal B]]-(cadangan[[#This Row],[Harga Normal B]]*cadangan[[#This Row],[Diskon]]),cadangan[[#This Row],[Harga Normal B]])</f>
        <v>255000</v>
      </c>
      <c r="S776" s="73">
        <f>IFERROR(INDEX(Katalog!$F$3:$F$12,MATCH(cadangan[[#This Row],[ItemID B]],Katalog!$C$3:$C$12,0))*cadangan[[#This Row],[Qty B]],0)</f>
        <v>100000</v>
      </c>
      <c r="T776" s="73">
        <f>IFERROR(cadangan[[#This Row],[Harga Diskon B]]-INDEX(Katalog!$E$3:$E$12,MATCH(cadangan[[#This Row],[ItemID B]],Katalog!$C$3:$C$12,0))*cadangan[[#This Row],[Qty B]],0)</f>
        <v>55000</v>
      </c>
      <c r="U776" s="39" t="s">
        <v>61</v>
      </c>
      <c r="V776" s="39" t="str">
        <f>IFERROR(INDEX(Katalog!$A$3:$A$12,MATCH(cadangan[[#This Row],[ItemID C]],Katalog!$C$3:$C$12,0)),"-")</f>
        <v>Pakaian Pria</v>
      </c>
      <c r="W776" s="39" t="str">
        <f>IFERROR(INDEX(Katalog!$B$3:$B$12,MATCH(cadangan[[#This Row],[ItemID C]],Katalog!$C$3:$C$12,0)),"-")</f>
        <v>Kaos Polo</v>
      </c>
      <c r="X776" s="50">
        <v>1</v>
      </c>
      <c r="Y776" s="50">
        <v>5</v>
      </c>
      <c r="Z776" s="73">
        <f>IFERROR(INDEX(Katalog!$D$3:$D$12,MATCH(cadangan[[#This Row],[ItemID C]],Katalog!$C$3:$C$12,0))*cadangan[[#This Row],[Qty C]],0)</f>
        <v>200000</v>
      </c>
      <c r="AA776" s="73">
        <f>IFERROR(cadangan[[#This Row],[Harga Normal C]]-(cadangan[[#This Row],[Harga Normal C]]*cadangan[[#This Row],[Diskon]]),cadangan[[#This Row],[Harga Normal C]])</f>
        <v>170000</v>
      </c>
      <c r="AB776" s="73">
        <f>IFERROR(INDEX(Katalog!$F$3:$F$12,MATCH(cadangan[[#This Row],[ItemID C]],Katalog!$C$3:$C$12,0))*cadangan[[#This Row],[Qty C]],0)</f>
        <v>80000</v>
      </c>
      <c r="AC776" s="73">
        <f>IFERROR(cadangan[[#This Row],[Harga Diskon C]]-INDEX(Katalog!$E$3:$E$12,MATCH(cadangan[[#This Row],[ItemID C]],Katalog!$C$3:$C$12,0))*cadangan[[#This Row],[Qty C]],0)</f>
        <v>50000</v>
      </c>
      <c r="AD776" s="53">
        <f>cadangan[[#This Row],[Qty A]]+cadangan[[#This Row],[Qty B]]+cadangan[[#This Row],[Qty C]]</f>
        <v>4</v>
      </c>
      <c r="AE776" s="73">
        <f>cadangan[[#This Row],[Harga Normal A]]+cadangan[[#This Row],[Harga Normal B]]+cadangan[[#This Row],[Harga Normal C]]</f>
        <v>900000</v>
      </c>
      <c r="AF776" s="73">
        <f>cadangan[[#This Row],[Harga Diskon A]]+cadangan[[#This Row],[Harga Diskon B]]+cadangan[[#This Row],[Harga Diskon C]]</f>
        <v>765000</v>
      </c>
      <c r="AG776" s="73">
        <f>(cadangan[[#This Row],[Profit Normal A]]+cadangan[[#This Row],[Profit Normal B]]+cadangan[[#This Row],[Profit Normal C]])</f>
        <v>330000</v>
      </c>
      <c r="AH776" s="73">
        <f>cadangan[[#This Row],[Profit Diskon A]]+cadangan[[#This Row],[Profit Diskon B]]+cadangan[[#This Row],[Profit Diskon C]]</f>
        <v>195000</v>
      </c>
      <c r="AI776" s="23" t="s">
        <v>28</v>
      </c>
      <c r="AJ776" s="37">
        <f>IFERROR(INDEX('Kode Diskon'!$D$3:$D$9,MATCH(cadangan[[#This Row],[Kode diskon]],'Kode Diskon'!$C$3:$C$9,0)),"-")</f>
        <v>0.15</v>
      </c>
      <c r="AK776" s="23" t="s">
        <v>29</v>
      </c>
      <c r="AL776" s="23" t="s">
        <v>14</v>
      </c>
      <c r="AM776" s="23" t="s">
        <v>76</v>
      </c>
      <c r="AN776" s="55">
        <v>45019</v>
      </c>
      <c r="AO776" s="53">
        <f>DAY(cadangan[[#This Row],[Tanggal terjual]])</f>
        <v>3</v>
      </c>
      <c r="AP776" s="21" t="str">
        <f>TEXT(cadangan[[#This Row],[Tanggal terjual]],"dddd")</f>
        <v>Monday</v>
      </c>
      <c r="AQ776" s="23" t="str" cm="1">
        <f t="array" ref="AQ7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76" s="61">
        <f>AVERAGE(cadangan[[#This Row],[Rating A]],cadangan[[#This Row],[Rating B]],cadangan[[#This Row],[Rating C]])</f>
        <v>4.333333333333333</v>
      </c>
    </row>
    <row r="777" spans="1:44" x14ac:dyDescent="0.2">
      <c r="A777" s="20">
        <v>776</v>
      </c>
      <c r="B777" s="21" t="str">
        <f>_xlfn.CONCAT("ORD-",INDEX(Helper!$B$2:$B$5,MATCH(cadangan[[#This Row],[Marketplace]],Helper!$A$2:$A$5,0)),TEXT(cadangan[[#This Row],[No]],"0000"),"-",TEXT(cadangan[[#This Row],[Tanggal terjual]],"dd/mm/yy"))</f>
        <v>ORD-SP0776-03/04/23</v>
      </c>
      <c r="C777" s="39" t="s">
        <v>67</v>
      </c>
      <c r="D777" s="39" t="str">
        <f>IFERROR(INDEX(Katalog!$A$3:$A$12,MATCH(cadangan[[#This Row],[ItemID A]],Katalog!$C$3:$C$12,0)),"-")</f>
        <v>Sepatu Wanita</v>
      </c>
      <c r="E777" s="39" t="str">
        <f>IFERROR(INDEX(Katalog!$B$3:$B$12,MATCH(cadangan[[#This Row],[ItemID A]],Katalog!$C$3:$C$12,0)),"-")</f>
        <v>Flat Shoes</v>
      </c>
      <c r="F777" s="50">
        <v>1</v>
      </c>
      <c r="G777" s="50">
        <v>1</v>
      </c>
      <c r="H777" s="73">
        <f>IFERROR(INDEX(Katalog!$D$3:$D$12,MATCH(cadangan[[#This Row],[ItemID A]],Katalog!$C$3:$C$12,0))*cadangan[[#This Row],[Qty A]],0)</f>
        <v>250000</v>
      </c>
      <c r="I777" s="73">
        <f>IFERROR(cadangan[[#This Row],[Harga Normal A]]-(cadangan[[#This Row],[Harga Normal A]]*cadangan[[#This Row],[Diskon]]),cadangan[[#This Row],[Harga Normal A]])</f>
        <v>225000</v>
      </c>
      <c r="J777" s="73">
        <f>INDEX(Katalog!$F$3:$F$12,MATCH(cadangan[[#This Row],[ItemID A]],Katalog!$C$3:$C$12,0))*cadangan[[#This Row],[Qty A]]</f>
        <v>100000</v>
      </c>
      <c r="K777" s="73">
        <f>IFERROR(cadangan[[#This Row],[Harga Diskon A]]-INDEX(Katalog!$E$3:$E$12,MATCH(cadangan[[#This Row],[ItemID A]],Katalog!$C$3:$C$12,0))*cadangan[[#This Row],[Qty A]],0)</f>
        <v>75000</v>
      </c>
      <c r="L777" s="39" t="s">
        <v>59</v>
      </c>
      <c r="M777" s="39" t="str">
        <f>IFERROR(INDEX(Katalog!$A$3:$A$12,MATCH(cadangan[[#This Row],[ItemID B]],Katalog!$C$3:$C$12,0)),"-")</f>
        <v>Pakaian Wanita</v>
      </c>
      <c r="N777" s="39" t="str">
        <f>IFERROR(INDEX(Katalog!$B$3:$B$12,MATCH(cadangan[[#This Row],[ItemID B]],Katalog!$C$3:$C$12,0)),"-")</f>
        <v>Blouse</v>
      </c>
      <c r="O777" s="50">
        <v>1</v>
      </c>
      <c r="P777" s="50">
        <v>1</v>
      </c>
      <c r="Q777" s="73">
        <f>IFERROR(INDEX(Katalog!$D$3:$D$12,MATCH(cadangan[[#This Row],[ItemID B]],Katalog!$C$3:$C$12,0))*cadangan[[#This Row],[Qty B]],0)</f>
        <v>150000</v>
      </c>
      <c r="R777" s="73">
        <f>IFERROR(cadangan[[#This Row],[Harga Normal B]]-(cadangan[[#This Row],[Harga Normal B]]*cadangan[[#This Row],[Diskon]]),cadangan[[#This Row],[Harga Normal B]])</f>
        <v>135000</v>
      </c>
      <c r="S777" s="73">
        <f>IFERROR(INDEX(Katalog!$F$3:$F$12,MATCH(cadangan[[#This Row],[ItemID B]],Katalog!$C$3:$C$12,0))*cadangan[[#This Row],[Qty B]],0)</f>
        <v>50000</v>
      </c>
      <c r="T777" s="73">
        <f>IFERROR(cadangan[[#This Row],[Harga Diskon B]]-INDEX(Katalog!$E$3:$E$12,MATCH(cadangan[[#This Row],[ItemID B]],Katalog!$C$3:$C$12,0))*cadangan[[#This Row],[Qty B]],0)</f>
        <v>35000</v>
      </c>
      <c r="U777" s="39" t="s">
        <v>63</v>
      </c>
      <c r="V777" s="39" t="str">
        <f>IFERROR(INDEX(Katalog!$A$3:$A$12,MATCH(cadangan[[#This Row],[ItemID C]],Katalog!$C$3:$C$12,0)),"-")</f>
        <v>Pakaian Pria</v>
      </c>
      <c r="W777" s="39" t="str">
        <f>IFERROR(INDEX(Katalog!$B$3:$B$12,MATCH(cadangan[[#This Row],[ItemID C]],Katalog!$C$3:$C$12,0)),"-")</f>
        <v>Jaket Jeans</v>
      </c>
      <c r="X777" s="50">
        <v>1</v>
      </c>
      <c r="Y777" s="50">
        <v>2</v>
      </c>
      <c r="Z777" s="73">
        <f>IFERROR(INDEX(Katalog!$D$3:$D$12,MATCH(cadangan[[#This Row],[ItemID C]],Katalog!$C$3:$C$12,0))*cadangan[[#This Row],[Qty C]],0)</f>
        <v>400000</v>
      </c>
      <c r="AA777" s="73">
        <f>IFERROR(cadangan[[#This Row],[Harga Normal C]]-(cadangan[[#This Row],[Harga Normal C]]*cadangan[[#This Row],[Diskon]]),cadangan[[#This Row],[Harga Normal C]])</f>
        <v>360000</v>
      </c>
      <c r="AB777" s="73">
        <f>IFERROR(INDEX(Katalog!$F$3:$F$12,MATCH(cadangan[[#This Row],[ItemID C]],Katalog!$C$3:$C$12,0))*cadangan[[#This Row],[Qty C]],0)</f>
        <v>150000</v>
      </c>
      <c r="AC777" s="73">
        <f>IFERROR(cadangan[[#This Row],[Harga Diskon C]]-INDEX(Katalog!$E$3:$E$12,MATCH(cadangan[[#This Row],[ItemID C]],Katalog!$C$3:$C$12,0))*cadangan[[#This Row],[Qty C]],0)</f>
        <v>110000</v>
      </c>
      <c r="AD777" s="53">
        <f>cadangan[[#This Row],[Qty A]]+cadangan[[#This Row],[Qty B]]+cadangan[[#This Row],[Qty C]]</f>
        <v>3</v>
      </c>
      <c r="AE777" s="73">
        <f>cadangan[[#This Row],[Harga Normal A]]+cadangan[[#This Row],[Harga Normal B]]+cadangan[[#This Row],[Harga Normal C]]</f>
        <v>800000</v>
      </c>
      <c r="AF777" s="73">
        <f>cadangan[[#This Row],[Harga Diskon A]]+cadangan[[#This Row],[Harga Diskon B]]+cadangan[[#This Row],[Harga Diskon C]]</f>
        <v>720000</v>
      </c>
      <c r="AG777" s="73">
        <f>(cadangan[[#This Row],[Profit Normal A]]+cadangan[[#This Row],[Profit Normal B]]+cadangan[[#This Row],[Profit Normal C]])</f>
        <v>300000</v>
      </c>
      <c r="AH777" s="73">
        <f>cadangan[[#This Row],[Profit Diskon A]]+cadangan[[#This Row],[Profit Diskon B]]+cadangan[[#This Row],[Profit Diskon C]]</f>
        <v>220000</v>
      </c>
      <c r="AI777" s="23" t="s">
        <v>6</v>
      </c>
      <c r="AJ777" s="37">
        <f>IFERROR(INDEX('Kode Diskon'!$D$3:$D$9,MATCH(cadangan[[#This Row],[Kode diskon]],'Kode Diskon'!$C$3:$C$9,0)),"-")</f>
        <v>0.1</v>
      </c>
      <c r="AK777" s="23" t="s">
        <v>29</v>
      </c>
      <c r="AL777" s="23" t="s">
        <v>7</v>
      </c>
      <c r="AM777" s="23" t="s">
        <v>75</v>
      </c>
      <c r="AN777" s="55">
        <v>45019</v>
      </c>
      <c r="AO777" s="53">
        <f>DAY(cadangan[[#This Row],[Tanggal terjual]])</f>
        <v>3</v>
      </c>
      <c r="AP777" s="21" t="str">
        <f>TEXT(cadangan[[#This Row],[Tanggal terjual]],"dddd")</f>
        <v>Monday</v>
      </c>
      <c r="AQ777" s="23" t="str" cm="1">
        <f t="array" ref="AQ7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77" s="61">
        <f>AVERAGE(cadangan[[#This Row],[Rating A]],cadangan[[#This Row],[Rating B]],cadangan[[#This Row],[Rating C]])</f>
        <v>1.3333333333333333</v>
      </c>
    </row>
    <row r="778" spans="1:44" x14ac:dyDescent="0.2">
      <c r="A778" s="20">
        <v>777</v>
      </c>
      <c r="B778" s="21" t="str">
        <f>_xlfn.CONCAT("ORD-",INDEX(Helper!$B$2:$B$5,MATCH(cadangan[[#This Row],[Marketplace]],Helper!$A$2:$A$5,0)),TEXT(cadangan[[#This Row],[No]],"0000"),"-",TEXT(cadangan[[#This Row],[Tanggal terjual]],"dd/mm/yy"))</f>
        <v>ORD-TK0777-03/04/23</v>
      </c>
      <c r="C778" s="39" t="s">
        <v>59</v>
      </c>
      <c r="D778" s="39" t="str">
        <f>IFERROR(INDEX(Katalog!$A$3:$A$12,MATCH(cadangan[[#This Row],[ItemID A]],Katalog!$C$3:$C$12,0)),"-")</f>
        <v>Pakaian Wanita</v>
      </c>
      <c r="E778" s="39" t="str">
        <f>IFERROR(INDEX(Katalog!$B$3:$B$12,MATCH(cadangan[[#This Row],[ItemID A]],Katalog!$C$3:$C$12,0)),"-")</f>
        <v>Blouse</v>
      </c>
      <c r="F778" s="50">
        <v>2</v>
      </c>
      <c r="G778" s="50">
        <v>2</v>
      </c>
      <c r="H778" s="73">
        <f>IFERROR(INDEX(Katalog!$D$3:$D$12,MATCH(cadangan[[#This Row],[ItemID A]],Katalog!$C$3:$C$12,0))*cadangan[[#This Row],[Qty A]],0)</f>
        <v>300000</v>
      </c>
      <c r="I778" s="73">
        <f>IFERROR(cadangan[[#This Row],[Harga Normal A]]-(cadangan[[#This Row],[Harga Normal A]]*cadangan[[#This Row],[Diskon]]),cadangan[[#This Row],[Harga Normal A]])</f>
        <v>270000</v>
      </c>
      <c r="J778" s="73">
        <f>INDEX(Katalog!$F$3:$F$12,MATCH(cadangan[[#This Row],[ItemID A]],Katalog!$C$3:$C$12,0))*cadangan[[#This Row],[Qty A]]</f>
        <v>100000</v>
      </c>
      <c r="K778" s="73">
        <f>IFERROR(cadangan[[#This Row],[Harga Diskon A]]-INDEX(Katalog!$E$3:$E$12,MATCH(cadangan[[#This Row],[ItemID A]],Katalog!$C$3:$C$12,0))*cadangan[[#This Row],[Qty A]],0)</f>
        <v>70000</v>
      </c>
      <c r="L778" s="39" t="s">
        <v>61</v>
      </c>
      <c r="M778" s="39" t="str">
        <f>IFERROR(INDEX(Katalog!$A$3:$A$12,MATCH(cadangan[[#This Row],[ItemID B]],Katalog!$C$3:$C$12,0)),"-")</f>
        <v>Pakaian Pria</v>
      </c>
      <c r="N778" s="39" t="str">
        <f>IFERROR(INDEX(Katalog!$B$3:$B$12,MATCH(cadangan[[#This Row],[ItemID B]],Katalog!$C$3:$C$12,0)),"-")</f>
        <v>Kaos Polo</v>
      </c>
      <c r="O778" s="50">
        <v>3</v>
      </c>
      <c r="P778" s="50">
        <v>4</v>
      </c>
      <c r="Q778" s="73">
        <f>IFERROR(INDEX(Katalog!$D$3:$D$12,MATCH(cadangan[[#This Row],[ItemID B]],Katalog!$C$3:$C$12,0))*cadangan[[#This Row],[Qty B]],0)</f>
        <v>600000</v>
      </c>
      <c r="R778" s="73">
        <f>IFERROR(cadangan[[#This Row],[Harga Normal B]]-(cadangan[[#This Row],[Harga Normal B]]*cadangan[[#This Row],[Diskon]]),cadangan[[#This Row],[Harga Normal B]])</f>
        <v>540000</v>
      </c>
      <c r="S778" s="73">
        <f>IFERROR(INDEX(Katalog!$F$3:$F$12,MATCH(cadangan[[#This Row],[ItemID B]],Katalog!$C$3:$C$12,0))*cadangan[[#This Row],[Qty B]],0)</f>
        <v>240000</v>
      </c>
      <c r="T778" s="73">
        <f>IFERROR(cadangan[[#This Row],[Harga Diskon B]]-INDEX(Katalog!$E$3:$E$12,MATCH(cadangan[[#This Row],[ItemID B]],Katalog!$C$3:$C$12,0))*cadangan[[#This Row],[Qty B]],0)</f>
        <v>180000</v>
      </c>
      <c r="V778" s="39" t="str">
        <f>IFERROR(INDEX(Katalog!$A$3:$A$12,MATCH(cadangan[[#This Row],[ItemID C]],Katalog!$C$3:$C$12,0)),"-")</f>
        <v>-</v>
      </c>
      <c r="W778" s="39" t="str">
        <f>IFERROR(INDEX(Katalog!$B$3:$B$12,MATCH(cadangan[[#This Row],[ItemID C]],Katalog!$C$3:$C$12,0)),"-")</f>
        <v>-</v>
      </c>
      <c r="Z778" s="73">
        <f>IFERROR(INDEX(Katalog!$D$3:$D$12,MATCH(cadangan[[#This Row],[ItemID C]],Katalog!$C$3:$C$12,0))*cadangan[[#This Row],[Qty C]],0)</f>
        <v>0</v>
      </c>
      <c r="AA778" s="73">
        <f>IFERROR(cadangan[[#This Row],[Harga Normal C]]-(cadangan[[#This Row],[Harga Normal C]]*cadangan[[#This Row],[Diskon]]),cadangan[[#This Row],[Harga Normal C]])</f>
        <v>0</v>
      </c>
      <c r="AB778" s="73">
        <f>IFERROR(INDEX(Katalog!$F$3:$F$12,MATCH(cadangan[[#This Row],[ItemID C]],Katalog!$C$3:$C$12,0))*cadangan[[#This Row],[Qty C]],0)</f>
        <v>0</v>
      </c>
      <c r="AC778" s="73">
        <f>IFERROR(cadangan[[#This Row],[Harga Diskon C]]-INDEX(Katalog!$E$3:$E$12,MATCH(cadangan[[#This Row],[ItemID C]],Katalog!$C$3:$C$12,0))*cadangan[[#This Row],[Qty C]],0)</f>
        <v>0</v>
      </c>
      <c r="AD778" s="53">
        <f>cadangan[[#This Row],[Qty A]]+cadangan[[#This Row],[Qty B]]+cadangan[[#This Row],[Qty C]]</f>
        <v>5</v>
      </c>
      <c r="AE778" s="73">
        <f>cadangan[[#This Row],[Harga Normal A]]+cadangan[[#This Row],[Harga Normal B]]+cadangan[[#This Row],[Harga Normal C]]</f>
        <v>900000</v>
      </c>
      <c r="AF778" s="73">
        <f>cadangan[[#This Row],[Harga Diskon A]]+cadangan[[#This Row],[Harga Diskon B]]+cadangan[[#This Row],[Harga Diskon C]]</f>
        <v>810000</v>
      </c>
      <c r="AG778" s="73">
        <f>(cadangan[[#This Row],[Profit Normal A]]+cadangan[[#This Row],[Profit Normal B]]+cadangan[[#This Row],[Profit Normal C]])</f>
        <v>340000</v>
      </c>
      <c r="AH778" s="73">
        <f>cadangan[[#This Row],[Profit Diskon A]]+cadangan[[#This Row],[Profit Diskon B]]+cadangan[[#This Row],[Profit Diskon C]]</f>
        <v>250000</v>
      </c>
      <c r="AI778" s="23" t="s">
        <v>30</v>
      </c>
      <c r="AJ778" s="37">
        <f>IFERROR(INDEX('Kode Diskon'!$D$3:$D$9,MATCH(cadangan[[#This Row],[Kode diskon]],'Kode Diskon'!$C$3:$C$9,0)),"-")</f>
        <v>0.1</v>
      </c>
      <c r="AK778" s="23" t="s">
        <v>29</v>
      </c>
      <c r="AL778" s="23" t="s">
        <v>10</v>
      </c>
      <c r="AM778" s="23" t="s">
        <v>80</v>
      </c>
      <c r="AN778" s="55">
        <v>45019</v>
      </c>
      <c r="AO778" s="53">
        <f>DAY(cadangan[[#This Row],[Tanggal terjual]])</f>
        <v>3</v>
      </c>
      <c r="AP778" s="21" t="str">
        <f>TEXT(cadangan[[#This Row],[Tanggal terjual]],"dddd")</f>
        <v>Monday</v>
      </c>
      <c r="AQ778" s="23" t="str" cm="1">
        <f t="array" ref="AQ7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78" s="61">
        <f>AVERAGE(cadangan[[#This Row],[Rating A]],cadangan[[#This Row],[Rating B]],cadangan[[#This Row],[Rating C]])</f>
        <v>3</v>
      </c>
    </row>
    <row r="779" spans="1:44" x14ac:dyDescent="0.2">
      <c r="A779" s="20">
        <v>778</v>
      </c>
      <c r="B779" s="21" t="str">
        <f>_xlfn.CONCAT("ORD-",INDEX(Helper!$B$2:$B$5,MATCH(cadangan[[#This Row],[Marketplace]],Helper!$A$2:$A$5,0)),TEXT(cadangan[[#This Row],[No]],"0000"),"-",TEXT(cadangan[[#This Row],[Tanggal terjual]],"dd/mm/yy"))</f>
        <v>ORD-SP0778-01/04/23</v>
      </c>
      <c r="C779" s="39" t="s">
        <v>58</v>
      </c>
      <c r="D779" s="39" t="str">
        <f>IFERROR(INDEX(Katalog!$A$3:$A$12,MATCH(cadangan[[#This Row],[ItemID A]],Katalog!$C$3:$C$12,0)),"-")</f>
        <v>Pakaian Wanita</v>
      </c>
      <c r="E779" s="39" t="str">
        <f>IFERROR(INDEX(Katalog!$B$3:$B$12,MATCH(cadangan[[#This Row],[ItemID A]],Katalog!$C$3:$C$12,0)),"-")</f>
        <v>Dress</v>
      </c>
      <c r="F779" s="50">
        <v>3</v>
      </c>
      <c r="G779" s="50">
        <v>4</v>
      </c>
      <c r="H779" s="73">
        <f>IFERROR(INDEX(Katalog!$D$3:$D$12,MATCH(cadangan[[#This Row],[ItemID A]],Katalog!$C$3:$C$12,0))*cadangan[[#This Row],[Qty A]],0)</f>
        <v>900000</v>
      </c>
      <c r="I779" s="73">
        <f>IFERROR(cadangan[[#This Row],[Harga Normal A]]-(cadangan[[#This Row],[Harga Normal A]]*cadangan[[#This Row],[Diskon]]),cadangan[[#This Row],[Harga Normal A]])</f>
        <v>765000</v>
      </c>
      <c r="J779" s="73">
        <f>INDEX(Katalog!$F$3:$F$12,MATCH(cadangan[[#This Row],[ItemID A]],Katalog!$C$3:$C$12,0))*cadangan[[#This Row],[Qty A]]</f>
        <v>300000</v>
      </c>
      <c r="K779" s="73">
        <f>IFERROR(cadangan[[#This Row],[Harga Diskon A]]-INDEX(Katalog!$E$3:$E$12,MATCH(cadangan[[#This Row],[ItemID A]],Katalog!$C$3:$C$12,0))*cadangan[[#This Row],[Qty A]],0)</f>
        <v>165000</v>
      </c>
      <c r="M779" s="39" t="str">
        <f>IFERROR(INDEX(Katalog!$A$3:$A$12,MATCH(cadangan[[#This Row],[ItemID B]],Katalog!$C$3:$C$12,0)),"-")</f>
        <v>-</v>
      </c>
      <c r="N779" s="39" t="str">
        <f>IFERROR(INDEX(Katalog!$B$3:$B$12,MATCH(cadangan[[#This Row],[ItemID B]],Katalog!$C$3:$C$12,0)),"-")</f>
        <v>-</v>
      </c>
      <c r="Q779" s="73">
        <f>IFERROR(INDEX(Katalog!$D$3:$D$12,MATCH(cadangan[[#This Row],[ItemID B]],Katalog!$C$3:$C$12,0))*cadangan[[#This Row],[Qty B]],0)</f>
        <v>0</v>
      </c>
      <c r="R779" s="73">
        <f>IFERROR(cadangan[[#This Row],[Harga Normal B]]-(cadangan[[#This Row],[Harga Normal B]]*cadangan[[#This Row],[Diskon]]),cadangan[[#This Row],[Harga Normal B]])</f>
        <v>0</v>
      </c>
      <c r="S779" s="73">
        <f>IFERROR(INDEX(Katalog!$F$3:$F$12,MATCH(cadangan[[#This Row],[ItemID B]],Katalog!$C$3:$C$12,0))*cadangan[[#This Row],[Qty B]],0)</f>
        <v>0</v>
      </c>
      <c r="T779" s="73">
        <f>IFERROR(cadangan[[#This Row],[Harga Diskon B]]-INDEX(Katalog!$E$3:$E$12,MATCH(cadangan[[#This Row],[ItemID B]],Katalog!$C$3:$C$12,0))*cadangan[[#This Row],[Qty B]],0)</f>
        <v>0</v>
      </c>
      <c r="V779" s="39" t="str">
        <f>IFERROR(INDEX(Katalog!$A$3:$A$12,MATCH(cadangan[[#This Row],[ItemID C]],Katalog!$C$3:$C$12,0)),"-")</f>
        <v>-</v>
      </c>
      <c r="W779" s="39" t="str">
        <f>IFERROR(INDEX(Katalog!$B$3:$B$12,MATCH(cadangan[[#This Row],[ItemID C]],Katalog!$C$3:$C$12,0)),"-")</f>
        <v>-</v>
      </c>
      <c r="Z779" s="73">
        <f>IFERROR(INDEX(Katalog!$D$3:$D$12,MATCH(cadangan[[#This Row],[ItemID C]],Katalog!$C$3:$C$12,0))*cadangan[[#This Row],[Qty C]],0)</f>
        <v>0</v>
      </c>
      <c r="AA779" s="73">
        <f>IFERROR(cadangan[[#This Row],[Harga Normal C]]-(cadangan[[#This Row],[Harga Normal C]]*cadangan[[#This Row],[Diskon]]),cadangan[[#This Row],[Harga Normal C]])</f>
        <v>0</v>
      </c>
      <c r="AB779" s="73">
        <f>IFERROR(INDEX(Katalog!$F$3:$F$12,MATCH(cadangan[[#This Row],[ItemID C]],Katalog!$C$3:$C$12,0))*cadangan[[#This Row],[Qty C]],0)</f>
        <v>0</v>
      </c>
      <c r="AC779" s="73">
        <f>IFERROR(cadangan[[#This Row],[Harga Diskon C]]-INDEX(Katalog!$E$3:$E$12,MATCH(cadangan[[#This Row],[ItemID C]],Katalog!$C$3:$C$12,0))*cadangan[[#This Row],[Qty C]],0)</f>
        <v>0</v>
      </c>
      <c r="AD779" s="53">
        <f>cadangan[[#This Row],[Qty A]]+cadangan[[#This Row],[Qty B]]+cadangan[[#This Row],[Qty C]]</f>
        <v>3</v>
      </c>
      <c r="AE779" s="73">
        <f>cadangan[[#This Row],[Harga Normal A]]+cadangan[[#This Row],[Harga Normal B]]+cadangan[[#This Row],[Harga Normal C]]</f>
        <v>900000</v>
      </c>
      <c r="AF779" s="73">
        <f>cadangan[[#This Row],[Harga Diskon A]]+cadangan[[#This Row],[Harga Diskon B]]+cadangan[[#This Row],[Harga Diskon C]]</f>
        <v>765000</v>
      </c>
      <c r="AG779" s="73">
        <f>(cadangan[[#This Row],[Profit Normal A]]+cadangan[[#This Row],[Profit Normal B]]+cadangan[[#This Row],[Profit Normal C]])</f>
        <v>300000</v>
      </c>
      <c r="AH779" s="73">
        <f>cadangan[[#This Row],[Profit Diskon A]]+cadangan[[#This Row],[Profit Diskon B]]+cadangan[[#This Row],[Profit Diskon C]]</f>
        <v>165000</v>
      </c>
      <c r="AI779" s="23" t="s">
        <v>13</v>
      </c>
      <c r="AJ779" s="37">
        <f>IFERROR(INDEX('Kode Diskon'!$D$3:$D$9,MATCH(cadangan[[#This Row],[Kode diskon]],'Kode Diskon'!$C$3:$C$9,0)),"-")</f>
        <v>0.15</v>
      </c>
      <c r="AK779" s="23" t="s">
        <v>29</v>
      </c>
      <c r="AL779" s="23" t="s">
        <v>7</v>
      </c>
      <c r="AM779" s="23" t="s">
        <v>80</v>
      </c>
      <c r="AN779" s="55">
        <v>45017</v>
      </c>
      <c r="AO779" s="53">
        <f>DAY(cadangan[[#This Row],[Tanggal terjual]])</f>
        <v>1</v>
      </c>
      <c r="AP779" s="21" t="str">
        <f>TEXT(cadangan[[#This Row],[Tanggal terjual]],"dddd")</f>
        <v>Saturday</v>
      </c>
      <c r="AQ779" s="23" t="str" cm="1">
        <f t="array" ref="AQ7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79" s="61">
        <f>AVERAGE(cadangan[[#This Row],[Rating A]],cadangan[[#This Row],[Rating B]],cadangan[[#This Row],[Rating C]])</f>
        <v>4</v>
      </c>
    </row>
    <row r="780" spans="1:44" x14ac:dyDescent="0.2">
      <c r="A780" s="20">
        <v>779</v>
      </c>
      <c r="B780" s="21" t="str">
        <f>_xlfn.CONCAT("ORD-",INDEX(Helper!$B$2:$B$5,MATCH(cadangan[[#This Row],[Marketplace]],Helper!$A$2:$A$5,0)),TEXT(cadangan[[#This Row],[No]],"0000"),"-",TEXT(cadangan[[#This Row],[Tanggal terjual]],"dd/mm/yy"))</f>
        <v>ORD-TK0779-04/04/23</v>
      </c>
      <c r="C780" s="39" t="s">
        <v>60</v>
      </c>
      <c r="D780" s="39" t="str">
        <f>IFERROR(INDEX(Katalog!$A$3:$A$12,MATCH(cadangan[[#This Row],[ItemID A]],Katalog!$C$3:$C$12,0)),"-")</f>
        <v>Pakaian Wanita</v>
      </c>
      <c r="E780" s="39" t="str">
        <f>IFERROR(INDEX(Katalog!$B$3:$B$12,MATCH(cadangan[[#This Row],[ItemID A]],Katalog!$C$3:$C$12,0)),"-")</f>
        <v>Kaftan</v>
      </c>
      <c r="F780" s="50">
        <v>1</v>
      </c>
      <c r="G780" s="50">
        <v>4</v>
      </c>
      <c r="H780" s="73">
        <f>IFERROR(INDEX(Katalog!$D$3:$D$12,MATCH(cadangan[[#This Row],[ItemID A]],Katalog!$C$3:$C$12,0))*cadangan[[#This Row],[Qty A]],0)</f>
        <v>250000</v>
      </c>
      <c r="I780" s="73">
        <f>IFERROR(cadangan[[#This Row],[Harga Normal A]]-(cadangan[[#This Row],[Harga Normal A]]*cadangan[[#This Row],[Diskon]]),cadangan[[#This Row],[Harga Normal A]])</f>
        <v>225000</v>
      </c>
      <c r="J780" s="73">
        <f>INDEX(Katalog!$F$3:$F$12,MATCH(cadangan[[#This Row],[ItemID A]],Katalog!$C$3:$C$12,0))*cadangan[[#This Row],[Qty A]]</f>
        <v>100000</v>
      </c>
      <c r="K780" s="73">
        <f>IFERROR(cadangan[[#This Row],[Harga Diskon A]]-INDEX(Katalog!$E$3:$E$12,MATCH(cadangan[[#This Row],[ItemID A]],Katalog!$C$3:$C$12,0))*cadangan[[#This Row],[Qty A]],0)</f>
        <v>75000</v>
      </c>
      <c r="M780" s="39" t="str">
        <f>IFERROR(INDEX(Katalog!$A$3:$A$12,MATCH(cadangan[[#This Row],[ItemID B]],Katalog!$C$3:$C$12,0)),"-")</f>
        <v>-</v>
      </c>
      <c r="N780" s="39" t="str">
        <f>IFERROR(INDEX(Katalog!$B$3:$B$12,MATCH(cadangan[[#This Row],[ItemID B]],Katalog!$C$3:$C$12,0)),"-")</f>
        <v>-</v>
      </c>
      <c r="Q780" s="73">
        <f>IFERROR(INDEX(Katalog!$D$3:$D$12,MATCH(cadangan[[#This Row],[ItemID B]],Katalog!$C$3:$C$12,0))*cadangan[[#This Row],[Qty B]],0)</f>
        <v>0</v>
      </c>
      <c r="R780" s="73">
        <f>IFERROR(cadangan[[#This Row],[Harga Normal B]]-(cadangan[[#This Row],[Harga Normal B]]*cadangan[[#This Row],[Diskon]]),cadangan[[#This Row],[Harga Normal B]])</f>
        <v>0</v>
      </c>
      <c r="S780" s="73">
        <f>IFERROR(INDEX(Katalog!$F$3:$F$12,MATCH(cadangan[[#This Row],[ItemID B]],Katalog!$C$3:$C$12,0))*cadangan[[#This Row],[Qty B]],0)</f>
        <v>0</v>
      </c>
      <c r="T780" s="73">
        <f>IFERROR(cadangan[[#This Row],[Harga Diskon B]]-INDEX(Katalog!$E$3:$E$12,MATCH(cadangan[[#This Row],[ItemID B]],Katalog!$C$3:$C$12,0))*cadangan[[#This Row],[Qty B]],0)</f>
        <v>0</v>
      </c>
      <c r="V780" s="39" t="str">
        <f>IFERROR(INDEX(Katalog!$A$3:$A$12,MATCH(cadangan[[#This Row],[ItemID C]],Katalog!$C$3:$C$12,0)),"-")</f>
        <v>-</v>
      </c>
      <c r="W780" s="39" t="str">
        <f>IFERROR(INDEX(Katalog!$B$3:$B$12,MATCH(cadangan[[#This Row],[ItemID C]],Katalog!$C$3:$C$12,0)),"-")</f>
        <v>-</v>
      </c>
      <c r="Z780" s="73">
        <f>IFERROR(INDEX(Katalog!$D$3:$D$12,MATCH(cadangan[[#This Row],[ItemID C]],Katalog!$C$3:$C$12,0))*cadangan[[#This Row],[Qty C]],0)</f>
        <v>0</v>
      </c>
      <c r="AA780" s="73">
        <f>IFERROR(cadangan[[#This Row],[Harga Normal C]]-(cadangan[[#This Row],[Harga Normal C]]*cadangan[[#This Row],[Diskon]]),cadangan[[#This Row],[Harga Normal C]])</f>
        <v>0</v>
      </c>
      <c r="AB780" s="73">
        <f>IFERROR(INDEX(Katalog!$F$3:$F$12,MATCH(cadangan[[#This Row],[ItemID C]],Katalog!$C$3:$C$12,0))*cadangan[[#This Row],[Qty C]],0)</f>
        <v>0</v>
      </c>
      <c r="AC780" s="73">
        <f>IFERROR(cadangan[[#This Row],[Harga Diskon C]]-INDEX(Katalog!$E$3:$E$12,MATCH(cadangan[[#This Row],[ItemID C]],Katalog!$C$3:$C$12,0))*cadangan[[#This Row],[Qty C]],0)</f>
        <v>0</v>
      </c>
      <c r="AD780" s="53">
        <f>cadangan[[#This Row],[Qty A]]+cadangan[[#This Row],[Qty B]]+cadangan[[#This Row],[Qty C]]</f>
        <v>1</v>
      </c>
      <c r="AE780" s="73">
        <f>cadangan[[#This Row],[Harga Normal A]]+cadangan[[#This Row],[Harga Normal B]]+cadangan[[#This Row],[Harga Normal C]]</f>
        <v>250000</v>
      </c>
      <c r="AF780" s="73">
        <f>cadangan[[#This Row],[Harga Diskon A]]+cadangan[[#This Row],[Harga Diskon B]]+cadangan[[#This Row],[Harga Diskon C]]</f>
        <v>225000</v>
      </c>
      <c r="AG780" s="73">
        <f>(cadangan[[#This Row],[Profit Normal A]]+cadangan[[#This Row],[Profit Normal B]]+cadangan[[#This Row],[Profit Normal C]])</f>
        <v>100000</v>
      </c>
      <c r="AH780" s="73">
        <f>cadangan[[#This Row],[Profit Diskon A]]+cadangan[[#This Row],[Profit Diskon B]]+cadangan[[#This Row],[Profit Diskon C]]</f>
        <v>75000</v>
      </c>
      <c r="AI780" s="23" t="s">
        <v>30</v>
      </c>
      <c r="AJ780" s="37">
        <f>IFERROR(INDEX('Kode Diskon'!$D$3:$D$9,MATCH(cadangan[[#This Row],[Kode diskon]],'Kode Diskon'!$C$3:$C$9,0)),"-")</f>
        <v>0.1</v>
      </c>
      <c r="AK780" s="23" t="s">
        <v>29</v>
      </c>
      <c r="AL780" s="23" t="s">
        <v>10</v>
      </c>
      <c r="AM780" s="23" t="s">
        <v>79</v>
      </c>
      <c r="AN780" s="55">
        <v>45020</v>
      </c>
      <c r="AO780" s="53">
        <f>DAY(cadangan[[#This Row],[Tanggal terjual]])</f>
        <v>4</v>
      </c>
      <c r="AP780" s="21" t="str">
        <f>TEXT(cadangan[[#This Row],[Tanggal terjual]],"dddd")</f>
        <v>Tuesday</v>
      </c>
      <c r="AQ780" s="23" t="str" cm="1">
        <f t="array" ref="AQ7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0" s="61">
        <f>AVERAGE(cadangan[[#This Row],[Rating A]],cadangan[[#This Row],[Rating B]],cadangan[[#This Row],[Rating C]])</f>
        <v>4</v>
      </c>
    </row>
    <row r="781" spans="1:44" x14ac:dyDescent="0.2">
      <c r="A781" s="20">
        <v>780</v>
      </c>
      <c r="B781" s="21" t="str">
        <f>_xlfn.CONCAT("ORD-",INDEX(Helper!$B$2:$B$5,MATCH(cadangan[[#This Row],[Marketplace]],Helper!$A$2:$A$5,0)),TEXT(cadangan[[#This Row],[No]],"0000"),"-",TEXT(cadangan[[#This Row],[Tanggal terjual]],"dd/mm/yy"))</f>
        <v>ORD-SP0780-01/04/23</v>
      </c>
      <c r="C781" s="39" t="s">
        <v>65</v>
      </c>
      <c r="D781" s="39" t="str">
        <f>IFERROR(INDEX(Katalog!$A$3:$A$12,MATCH(cadangan[[#This Row],[ItemID A]],Katalog!$C$3:$C$12,0)),"-")</f>
        <v>Sepatu Pria</v>
      </c>
      <c r="E781" s="39" t="str">
        <f>IFERROR(INDEX(Katalog!$B$3:$B$12,MATCH(cadangan[[#This Row],[ItemID A]],Katalog!$C$3:$C$12,0)),"-")</f>
        <v>Sneakers</v>
      </c>
      <c r="F781" s="50">
        <v>2</v>
      </c>
      <c r="G781" s="50">
        <v>4</v>
      </c>
      <c r="H781" s="73">
        <f>IFERROR(INDEX(Katalog!$D$3:$D$12,MATCH(cadangan[[#This Row],[ItemID A]],Katalog!$C$3:$C$12,0))*cadangan[[#This Row],[Qty A]],0)</f>
        <v>1000000</v>
      </c>
      <c r="I781" s="73">
        <f>IFERROR(cadangan[[#This Row],[Harga Normal A]]-(cadangan[[#This Row],[Harga Normal A]]*cadangan[[#This Row],[Diskon]]),cadangan[[#This Row],[Harga Normal A]])</f>
        <v>850000</v>
      </c>
      <c r="J781" s="73">
        <f>INDEX(Katalog!$F$3:$F$12,MATCH(cadangan[[#This Row],[ItemID A]],Katalog!$C$3:$C$12,0))*cadangan[[#This Row],[Qty A]]</f>
        <v>400000</v>
      </c>
      <c r="K781" s="73">
        <f>IFERROR(cadangan[[#This Row],[Harga Diskon A]]-INDEX(Katalog!$E$3:$E$12,MATCH(cadangan[[#This Row],[ItemID A]],Katalog!$C$3:$C$12,0))*cadangan[[#This Row],[Qty A]],0)</f>
        <v>250000</v>
      </c>
      <c r="L781" s="39" t="s">
        <v>58</v>
      </c>
      <c r="M781" s="39" t="str">
        <f>IFERROR(INDEX(Katalog!$A$3:$A$12,MATCH(cadangan[[#This Row],[ItemID B]],Katalog!$C$3:$C$12,0)),"-")</f>
        <v>Pakaian Wanita</v>
      </c>
      <c r="N781" s="39" t="str">
        <f>IFERROR(INDEX(Katalog!$B$3:$B$12,MATCH(cadangan[[#This Row],[ItemID B]],Katalog!$C$3:$C$12,0)),"-")</f>
        <v>Dress</v>
      </c>
      <c r="O781" s="50">
        <v>2</v>
      </c>
      <c r="P781" s="50">
        <v>2</v>
      </c>
      <c r="Q781" s="73">
        <f>IFERROR(INDEX(Katalog!$D$3:$D$12,MATCH(cadangan[[#This Row],[ItemID B]],Katalog!$C$3:$C$12,0))*cadangan[[#This Row],[Qty B]],0)</f>
        <v>600000</v>
      </c>
      <c r="R781" s="73">
        <f>IFERROR(cadangan[[#This Row],[Harga Normal B]]-(cadangan[[#This Row],[Harga Normal B]]*cadangan[[#This Row],[Diskon]]),cadangan[[#This Row],[Harga Normal B]])</f>
        <v>510000</v>
      </c>
      <c r="S781" s="73">
        <f>IFERROR(INDEX(Katalog!$F$3:$F$12,MATCH(cadangan[[#This Row],[ItemID B]],Katalog!$C$3:$C$12,0))*cadangan[[#This Row],[Qty B]],0)</f>
        <v>200000</v>
      </c>
      <c r="T781" s="73">
        <f>IFERROR(cadangan[[#This Row],[Harga Diskon B]]-INDEX(Katalog!$E$3:$E$12,MATCH(cadangan[[#This Row],[ItemID B]],Katalog!$C$3:$C$12,0))*cadangan[[#This Row],[Qty B]],0)</f>
        <v>110000</v>
      </c>
      <c r="V781" s="39" t="str">
        <f>IFERROR(INDEX(Katalog!$A$3:$A$12,MATCH(cadangan[[#This Row],[ItemID C]],Katalog!$C$3:$C$12,0)),"-")</f>
        <v>-</v>
      </c>
      <c r="W781" s="39" t="str">
        <f>IFERROR(INDEX(Katalog!$B$3:$B$12,MATCH(cadangan[[#This Row],[ItemID C]],Katalog!$C$3:$C$12,0)),"-")</f>
        <v>-</v>
      </c>
      <c r="Z781" s="73">
        <f>IFERROR(INDEX(Katalog!$D$3:$D$12,MATCH(cadangan[[#This Row],[ItemID C]],Katalog!$C$3:$C$12,0))*cadangan[[#This Row],[Qty C]],0)</f>
        <v>0</v>
      </c>
      <c r="AA781" s="73">
        <f>IFERROR(cadangan[[#This Row],[Harga Normal C]]-(cadangan[[#This Row],[Harga Normal C]]*cadangan[[#This Row],[Diskon]]),cadangan[[#This Row],[Harga Normal C]])</f>
        <v>0</v>
      </c>
      <c r="AB781" s="73">
        <f>IFERROR(INDEX(Katalog!$F$3:$F$12,MATCH(cadangan[[#This Row],[ItemID C]],Katalog!$C$3:$C$12,0))*cadangan[[#This Row],[Qty C]],0)</f>
        <v>0</v>
      </c>
      <c r="AC781" s="73">
        <f>IFERROR(cadangan[[#This Row],[Harga Diskon C]]-INDEX(Katalog!$E$3:$E$12,MATCH(cadangan[[#This Row],[ItemID C]],Katalog!$C$3:$C$12,0))*cadangan[[#This Row],[Qty C]],0)</f>
        <v>0</v>
      </c>
      <c r="AD781" s="53">
        <f>cadangan[[#This Row],[Qty A]]+cadangan[[#This Row],[Qty B]]+cadangan[[#This Row],[Qty C]]</f>
        <v>4</v>
      </c>
      <c r="AE781" s="73">
        <f>cadangan[[#This Row],[Harga Normal A]]+cadangan[[#This Row],[Harga Normal B]]+cadangan[[#This Row],[Harga Normal C]]</f>
        <v>1600000</v>
      </c>
      <c r="AF781" s="73">
        <f>cadangan[[#This Row],[Harga Diskon A]]+cadangan[[#This Row],[Harga Diskon B]]+cadangan[[#This Row],[Harga Diskon C]]</f>
        <v>1360000</v>
      </c>
      <c r="AG781" s="73">
        <f>(cadangan[[#This Row],[Profit Normal A]]+cadangan[[#This Row],[Profit Normal B]]+cadangan[[#This Row],[Profit Normal C]])</f>
        <v>600000</v>
      </c>
      <c r="AH781" s="73">
        <f>cadangan[[#This Row],[Profit Diskon A]]+cadangan[[#This Row],[Profit Diskon B]]+cadangan[[#This Row],[Profit Diskon C]]</f>
        <v>360000</v>
      </c>
      <c r="AI781" s="23" t="s">
        <v>13</v>
      </c>
      <c r="AJ781" s="37">
        <f>IFERROR(INDEX('Kode Diskon'!$D$3:$D$9,MATCH(cadangan[[#This Row],[Kode diskon]],'Kode Diskon'!$C$3:$C$9,0)),"-")</f>
        <v>0.15</v>
      </c>
      <c r="AK781" s="23" t="s">
        <v>29</v>
      </c>
      <c r="AL781" s="23" t="s">
        <v>7</v>
      </c>
      <c r="AM781" s="23" t="s">
        <v>76</v>
      </c>
      <c r="AN781" s="55">
        <v>45017</v>
      </c>
      <c r="AO781" s="53">
        <f>DAY(cadangan[[#This Row],[Tanggal terjual]])</f>
        <v>1</v>
      </c>
      <c r="AP781" s="21" t="str">
        <f>TEXT(cadangan[[#This Row],[Tanggal terjual]],"dddd")</f>
        <v>Saturday</v>
      </c>
      <c r="AQ781" s="23" t="str" cm="1">
        <f t="array" ref="AQ7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1" s="61">
        <f>AVERAGE(cadangan[[#This Row],[Rating A]],cadangan[[#This Row],[Rating B]],cadangan[[#This Row],[Rating C]])</f>
        <v>3</v>
      </c>
    </row>
    <row r="782" spans="1:44" x14ac:dyDescent="0.2">
      <c r="A782" s="20">
        <v>781</v>
      </c>
      <c r="B782" s="21" t="str">
        <f>_xlfn.CONCAT("ORD-",INDEX(Helper!$B$2:$B$5,MATCH(cadangan[[#This Row],[Marketplace]],Helper!$A$2:$A$5,0)),TEXT(cadangan[[#This Row],[No]],"0000"),"-",TEXT(cadangan[[#This Row],[Tanggal terjual]],"dd/mm/yy"))</f>
        <v>ORD-SP0781-14/04/23</v>
      </c>
      <c r="C782" s="39" t="s">
        <v>60</v>
      </c>
      <c r="D782" s="39" t="str">
        <f>IFERROR(INDEX(Katalog!$A$3:$A$12,MATCH(cadangan[[#This Row],[ItemID A]],Katalog!$C$3:$C$12,0)),"-")</f>
        <v>Pakaian Wanita</v>
      </c>
      <c r="E782" s="39" t="str">
        <f>IFERROR(INDEX(Katalog!$B$3:$B$12,MATCH(cadangan[[#This Row],[ItemID A]],Katalog!$C$3:$C$12,0)),"-")</f>
        <v>Kaftan</v>
      </c>
      <c r="F782" s="50">
        <v>4</v>
      </c>
      <c r="G782" s="50">
        <v>3</v>
      </c>
      <c r="H782" s="73">
        <f>IFERROR(INDEX(Katalog!$D$3:$D$12,MATCH(cadangan[[#This Row],[ItemID A]],Katalog!$C$3:$C$12,0))*cadangan[[#This Row],[Qty A]],0)</f>
        <v>1000000</v>
      </c>
      <c r="I782" s="73">
        <f>IFERROR(cadangan[[#This Row],[Harga Normal A]]-(cadangan[[#This Row],[Harga Normal A]]*cadangan[[#This Row],[Diskon]]),cadangan[[#This Row],[Harga Normal A]])</f>
        <v>1000000</v>
      </c>
      <c r="J782" s="73">
        <f>INDEX(Katalog!$F$3:$F$12,MATCH(cadangan[[#This Row],[ItemID A]],Katalog!$C$3:$C$12,0))*cadangan[[#This Row],[Qty A]]</f>
        <v>400000</v>
      </c>
      <c r="K782" s="73">
        <f>IFERROR(cadangan[[#This Row],[Harga Diskon A]]-INDEX(Katalog!$E$3:$E$12,MATCH(cadangan[[#This Row],[ItemID A]],Katalog!$C$3:$C$12,0))*cadangan[[#This Row],[Qty A]],0)</f>
        <v>400000</v>
      </c>
      <c r="M782" s="39" t="str">
        <f>IFERROR(INDEX(Katalog!$A$3:$A$12,MATCH(cadangan[[#This Row],[ItemID B]],Katalog!$C$3:$C$12,0)),"-")</f>
        <v>-</v>
      </c>
      <c r="N782" s="39" t="str">
        <f>IFERROR(INDEX(Katalog!$B$3:$B$12,MATCH(cadangan[[#This Row],[ItemID B]],Katalog!$C$3:$C$12,0)),"-")</f>
        <v>-</v>
      </c>
      <c r="Q782" s="73">
        <f>IFERROR(INDEX(Katalog!$D$3:$D$12,MATCH(cadangan[[#This Row],[ItemID B]],Katalog!$C$3:$C$12,0))*cadangan[[#This Row],[Qty B]],0)</f>
        <v>0</v>
      </c>
      <c r="R782" s="73">
        <f>IFERROR(cadangan[[#This Row],[Harga Normal B]]-(cadangan[[#This Row],[Harga Normal B]]*cadangan[[#This Row],[Diskon]]),cadangan[[#This Row],[Harga Normal B]])</f>
        <v>0</v>
      </c>
      <c r="S782" s="73">
        <f>IFERROR(INDEX(Katalog!$F$3:$F$12,MATCH(cadangan[[#This Row],[ItemID B]],Katalog!$C$3:$C$12,0))*cadangan[[#This Row],[Qty B]],0)</f>
        <v>0</v>
      </c>
      <c r="T782" s="73">
        <f>IFERROR(cadangan[[#This Row],[Harga Diskon B]]-INDEX(Katalog!$E$3:$E$12,MATCH(cadangan[[#This Row],[ItemID B]],Katalog!$C$3:$C$12,0))*cadangan[[#This Row],[Qty B]],0)</f>
        <v>0</v>
      </c>
      <c r="V782" s="39" t="str">
        <f>IFERROR(INDEX(Katalog!$A$3:$A$12,MATCH(cadangan[[#This Row],[ItemID C]],Katalog!$C$3:$C$12,0)),"-")</f>
        <v>-</v>
      </c>
      <c r="W782" s="39" t="str">
        <f>IFERROR(INDEX(Katalog!$B$3:$B$12,MATCH(cadangan[[#This Row],[ItemID C]],Katalog!$C$3:$C$12,0)),"-")</f>
        <v>-</v>
      </c>
      <c r="Z782" s="73">
        <f>IFERROR(INDEX(Katalog!$D$3:$D$12,MATCH(cadangan[[#This Row],[ItemID C]],Katalog!$C$3:$C$12,0))*cadangan[[#This Row],[Qty C]],0)</f>
        <v>0</v>
      </c>
      <c r="AA782" s="73">
        <f>IFERROR(cadangan[[#This Row],[Harga Normal C]]-(cadangan[[#This Row],[Harga Normal C]]*cadangan[[#This Row],[Diskon]]),cadangan[[#This Row],[Harga Normal C]])</f>
        <v>0</v>
      </c>
      <c r="AB782" s="73">
        <f>IFERROR(INDEX(Katalog!$F$3:$F$12,MATCH(cadangan[[#This Row],[ItemID C]],Katalog!$C$3:$C$12,0))*cadangan[[#This Row],[Qty C]],0)</f>
        <v>0</v>
      </c>
      <c r="AC782" s="73">
        <f>IFERROR(cadangan[[#This Row],[Harga Diskon C]]-INDEX(Katalog!$E$3:$E$12,MATCH(cadangan[[#This Row],[ItemID C]],Katalog!$C$3:$C$12,0))*cadangan[[#This Row],[Qty C]],0)</f>
        <v>0</v>
      </c>
      <c r="AD782" s="53">
        <f>cadangan[[#This Row],[Qty A]]+cadangan[[#This Row],[Qty B]]+cadangan[[#This Row],[Qty C]]</f>
        <v>4</v>
      </c>
      <c r="AE782" s="73">
        <f>cadangan[[#This Row],[Harga Normal A]]+cadangan[[#This Row],[Harga Normal B]]+cadangan[[#This Row],[Harga Normal C]]</f>
        <v>1000000</v>
      </c>
      <c r="AF782" s="73">
        <f>cadangan[[#This Row],[Harga Diskon A]]+cadangan[[#This Row],[Harga Diskon B]]+cadangan[[#This Row],[Harga Diskon C]]</f>
        <v>1000000</v>
      </c>
      <c r="AG782" s="73">
        <f>(cadangan[[#This Row],[Profit Normal A]]+cadangan[[#This Row],[Profit Normal B]]+cadangan[[#This Row],[Profit Normal C]])</f>
        <v>400000</v>
      </c>
      <c r="AH782" s="73">
        <f>cadangan[[#This Row],[Profit Diskon A]]+cadangan[[#This Row],[Profit Diskon B]]+cadangan[[#This Row],[Profit Diskon C]]</f>
        <v>400000</v>
      </c>
      <c r="AI782" s="23" t="s">
        <v>290</v>
      </c>
      <c r="AJ782" s="37" t="str">
        <f>IFERROR(INDEX('Kode Diskon'!$D$3:$D$9,MATCH(cadangan[[#This Row],[Kode diskon]],'Kode Diskon'!$C$3:$C$9,0)),"-")</f>
        <v>-</v>
      </c>
      <c r="AK782" s="23" t="s">
        <v>290</v>
      </c>
      <c r="AL782" s="23" t="s">
        <v>7</v>
      </c>
      <c r="AM782" s="23" t="s">
        <v>76</v>
      </c>
      <c r="AN782" s="55">
        <v>45030</v>
      </c>
      <c r="AO782" s="53">
        <f>DAY(cadangan[[#This Row],[Tanggal terjual]])</f>
        <v>14</v>
      </c>
      <c r="AP782" s="21" t="str">
        <f>TEXT(cadangan[[#This Row],[Tanggal terjual]],"dddd")</f>
        <v>Friday</v>
      </c>
      <c r="AQ782" s="23" t="str" cm="1">
        <f t="array" ref="AQ7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82" s="61">
        <f>AVERAGE(cadangan[[#This Row],[Rating A]],cadangan[[#This Row],[Rating B]],cadangan[[#This Row],[Rating C]])</f>
        <v>3</v>
      </c>
    </row>
    <row r="783" spans="1:44" x14ac:dyDescent="0.2">
      <c r="A783" s="20">
        <v>782</v>
      </c>
      <c r="B783" s="21" t="str">
        <f>_xlfn.CONCAT("ORD-",INDEX(Helper!$B$2:$B$5,MATCH(cadangan[[#This Row],[Marketplace]],Helper!$A$2:$A$5,0)),TEXT(cadangan[[#This Row],[No]],"0000"),"-",TEXT(cadangan[[#This Row],[Tanggal terjual]],"dd/mm/yy"))</f>
        <v>ORD-TK0782-03/04/23</v>
      </c>
      <c r="C783" s="39" t="s">
        <v>60</v>
      </c>
      <c r="D783" s="39" t="str">
        <f>IFERROR(INDEX(Katalog!$A$3:$A$12,MATCH(cadangan[[#This Row],[ItemID A]],Katalog!$C$3:$C$12,0)),"-")</f>
        <v>Pakaian Wanita</v>
      </c>
      <c r="E783" s="39" t="str">
        <f>IFERROR(INDEX(Katalog!$B$3:$B$12,MATCH(cadangan[[#This Row],[ItemID A]],Katalog!$C$3:$C$12,0)),"-")</f>
        <v>Kaftan</v>
      </c>
      <c r="F783" s="50">
        <v>4</v>
      </c>
      <c r="G783" s="50">
        <v>5</v>
      </c>
      <c r="H783" s="73">
        <f>IFERROR(INDEX(Katalog!$D$3:$D$12,MATCH(cadangan[[#This Row],[ItemID A]],Katalog!$C$3:$C$12,0))*cadangan[[#This Row],[Qty A]],0)</f>
        <v>1000000</v>
      </c>
      <c r="I783" s="73">
        <f>IFERROR(cadangan[[#This Row],[Harga Normal A]]-(cadangan[[#This Row],[Harga Normal A]]*cadangan[[#This Row],[Diskon]]),cadangan[[#This Row],[Harga Normal A]])</f>
        <v>900000</v>
      </c>
      <c r="J783" s="73">
        <f>INDEX(Katalog!$F$3:$F$12,MATCH(cadangan[[#This Row],[ItemID A]],Katalog!$C$3:$C$12,0))*cadangan[[#This Row],[Qty A]]</f>
        <v>400000</v>
      </c>
      <c r="K783" s="73">
        <f>IFERROR(cadangan[[#This Row],[Harga Diskon A]]-INDEX(Katalog!$E$3:$E$12,MATCH(cadangan[[#This Row],[ItemID A]],Katalog!$C$3:$C$12,0))*cadangan[[#This Row],[Qty A]],0)</f>
        <v>300000</v>
      </c>
      <c r="L783" s="39" t="s">
        <v>67</v>
      </c>
      <c r="M783" s="39" t="str">
        <f>IFERROR(INDEX(Katalog!$A$3:$A$12,MATCH(cadangan[[#This Row],[ItemID B]],Katalog!$C$3:$C$12,0)),"-")</f>
        <v>Sepatu Wanita</v>
      </c>
      <c r="N783" s="39" t="str">
        <f>IFERROR(INDEX(Katalog!$B$3:$B$12,MATCH(cadangan[[#This Row],[ItemID B]],Katalog!$C$3:$C$12,0)),"-")</f>
        <v>Flat Shoes</v>
      </c>
      <c r="O783" s="50">
        <v>3</v>
      </c>
      <c r="P783" s="50">
        <v>1</v>
      </c>
      <c r="Q783" s="73">
        <f>IFERROR(INDEX(Katalog!$D$3:$D$12,MATCH(cadangan[[#This Row],[ItemID B]],Katalog!$C$3:$C$12,0))*cadangan[[#This Row],[Qty B]],0)</f>
        <v>750000</v>
      </c>
      <c r="R783" s="73">
        <f>IFERROR(cadangan[[#This Row],[Harga Normal B]]-(cadangan[[#This Row],[Harga Normal B]]*cadangan[[#This Row],[Diskon]]),cadangan[[#This Row],[Harga Normal B]])</f>
        <v>675000</v>
      </c>
      <c r="S783" s="73">
        <f>IFERROR(INDEX(Katalog!$F$3:$F$12,MATCH(cadangan[[#This Row],[ItemID B]],Katalog!$C$3:$C$12,0))*cadangan[[#This Row],[Qty B]],0)</f>
        <v>300000</v>
      </c>
      <c r="T783" s="73">
        <f>IFERROR(cadangan[[#This Row],[Harga Diskon B]]-INDEX(Katalog!$E$3:$E$12,MATCH(cadangan[[#This Row],[ItemID B]],Katalog!$C$3:$C$12,0))*cadangan[[#This Row],[Qty B]],0)</f>
        <v>225000</v>
      </c>
      <c r="V783" s="39" t="str">
        <f>IFERROR(INDEX(Katalog!$A$3:$A$12,MATCH(cadangan[[#This Row],[ItemID C]],Katalog!$C$3:$C$12,0)),"-")</f>
        <v>-</v>
      </c>
      <c r="W783" s="39" t="str">
        <f>IFERROR(INDEX(Katalog!$B$3:$B$12,MATCH(cadangan[[#This Row],[ItemID C]],Katalog!$C$3:$C$12,0)),"-")</f>
        <v>-</v>
      </c>
      <c r="Z783" s="73">
        <f>IFERROR(INDEX(Katalog!$D$3:$D$12,MATCH(cadangan[[#This Row],[ItemID C]],Katalog!$C$3:$C$12,0))*cadangan[[#This Row],[Qty C]],0)</f>
        <v>0</v>
      </c>
      <c r="AA783" s="73">
        <f>IFERROR(cadangan[[#This Row],[Harga Normal C]]-(cadangan[[#This Row],[Harga Normal C]]*cadangan[[#This Row],[Diskon]]),cadangan[[#This Row],[Harga Normal C]])</f>
        <v>0</v>
      </c>
      <c r="AB783" s="73">
        <f>IFERROR(INDEX(Katalog!$F$3:$F$12,MATCH(cadangan[[#This Row],[ItemID C]],Katalog!$C$3:$C$12,0))*cadangan[[#This Row],[Qty C]],0)</f>
        <v>0</v>
      </c>
      <c r="AC783" s="73">
        <f>IFERROR(cadangan[[#This Row],[Harga Diskon C]]-INDEX(Katalog!$E$3:$E$12,MATCH(cadangan[[#This Row],[ItemID C]],Katalog!$C$3:$C$12,0))*cadangan[[#This Row],[Qty C]],0)</f>
        <v>0</v>
      </c>
      <c r="AD783" s="53">
        <f>cadangan[[#This Row],[Qty A]]+cadangan[[#This Row],[Qty B]]+cadangan[[#This Row],[Qty C]]</f>
        <v>7</v>
      </c>
      <c r="AE783" s="73">
        <f>cadangan[[#This Row],[Harga Normal A]]+cadangan[[#This Row],[Harga Normal B]]+cadangan[[#This Row],[Harga Normal C]]</f>
        <v>1750000</v>
      </c>
      <c r="AF783" s="73">
        <f>cadangan[[#This Row],[Harga Diskon A]]+cadangan[[#This Row],[Harga Diskon B]]+cadangan[[#This Row],[Harga Diskon C]]</f>
        <v>1575000</v>
      </c>
      <c r="AG783" s="73">
        <f>(cadangan[[#This Row],[Profit Normal A]]+cadangan[[#This Row],[Profit Normal B]]+cadangan[[#This Row],[Profit Normal C]])</f>
        <v>700000</v>
      </c>
      <c r="AH783" s="73">
        <f>cadangan[[#This Row],[Profit Diskon A]]+cadangan[[#This Row],[Profit Diskon B]]+cadangan[[#This Row],[Profit Diskon C]]</f>
        <v>525000</v>
      </c>
      <c r="AI783" s="23" t="s">
        <v>30</v>
      </c>
      <c r="AJ783" s="37">
        <f>IFERROR(INDEX('Kode Diskon'!$D$3:$D$9,MATCH(cadangan[[#This Row],[Kode diskon]],'Kode Diskon'!$C$3:$C$9,0)),"-")</f>
        <v>0.1</v>
      </c>
      <c r="AK783" s="23" t="s">
        <v>29</v>
      </c>
      <c r="AL783" s="23" t="s">
        <v>10</v>
      </c>
      <c r="AM783" s="23" t="s">
        <v>75</v>
      </c>
      <c r="AN783" s="55">
        <v>45019</v>
      </c>
      <c r="AO783" s="53">
        <f>DAY(cadangan[[#This Row],[Tanggal terjual]])</f>
        <v>3</v>
      </c>
      <c r="AP783" s="21" t="str">
        <f>TEXT(cadangan[[#This Row],[Tanggal terjual]],"dddd")</f>
        <v>Monday</v>
      </c>
      <c r="AQ783" s="23" t="str" cm="1">
        <f t="array" ref="AQ7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3" s="61">
        <f>AVERAGE(cadangan[[#This Row],[Rating A]],cadangan[[#This Row],[Rating B]],cadangan[[#This Row],[Rating C]])</f>
        <v>3</v>
      </c>
    </row>
    <row r="784" spans="1:44" x14ac:dyDescent="0.2">
      <c r="A784" s="20">
        <v>783</v>
      </c>
      <c r="B784" s="21" t="str">
        <f>_xlfn.CONCAT("ORD-",INDEX(Helper!$B$2:$B$5,MATCH(cadangan[[#This Row],[Marketplace]],Helper!$A$2:$A$5,0)),TEXT(cadangan[[#This Row],[No]],"0000"),"-",TEXT(cadangan[[#This Row],[Tanggal terjual]],"dd/mm/yy"))</f>
        <v>ORD-SP0783-02/04/23</v>
      </c>
      <c r="C784" s="39" t="s">
        <v>58</v>
      </c>
      <c r="D784" s="39" t="str">
        <f>IFERROR(INDEX(Katalog!$A$3:$A$12,MATCH(cadangan[[#This Row],[ItemID A]],Katalog!$C$3:$C$12,0)),"-")</f>
        <v>Pakaian Wanita</v>
      </c>
      <c r="E784" s="39" t="str">
        <f>IFERROR(INDEX(Katalog!$B$3:$B$12,MATCH(cadangan[[#This Row],[ItemID A]],Katalog!$C$3:$C$12,0)),"-")</f>
        <v>Dress</v>
      </c>
      <c r="F784" s="50">
        <v>2</v>
      </c>
      <c r="G784" s="50">
        <v>2</v>
      </c>
      <c r="H784" s="73">
        <f>IFERROR(INDEX(Katalog!$D$3:$D$12,MATCH(cadangan[[#This Row],[ItemID A]],Katalog!$C$3:$C$12,0))*cadangan[[#This Row],[Qty A]],0)</f>
        <v>600000</v>
      </c>
      <c r="I784" s="73">
        <f>IFERROR(cadangan[[#This Row],[Harga Normal A]]-(cadangan[[#This Row],[Harga Normal A]]*cadangan[[#This Row],[Diskon]]),cadangan[[#This Row],[Harga Normal A]])</f>
        <v>510000</v>
      </c>
      <c r="J784" s="73">
        <f>INDEX(Katalog!$F$3:$F$12,MATCH(cadangan[[#This Row],[ItemID A]],Katalog!$C$3:$C$12,0))*cadangan[[#This Row],[Qty A]]</f>
        <v>200000</v>
      </c>
      <c r="K784" s="73">
        <f>IFERROR(cadangan[[#This Row],[Harga Diskon A]]-INDEX(Katalog!$E$3:$E$12,MATCH(cadangan[[#This Row],[ItemID A]],Katalog!$C$3:$C$12,0))*cadangan[[#This Row],[Qty A]],0)</f>
        <v>110000</v>
      </c>
      <c r="L784" s="39" t="s">
        <v>60</v>
      </c>
      <c r="M784" s="39" t="str">
        <f>IFERROR(INDEX(Katalog!$A$3:$A$12,MATCH(cadangan[[#This Row],[ItemID B]],Katalog!$C$3:$C$12,0)),"-")</f>
        <v>Pakaian Wanita</v>
      </c>
      <c r="N784" s="39" t="str">
        <f>IFERROR(INDEX(Katalog!$B$3:$B$12,MATCH(cadangan[[#This Row],[ItemID B]],Katalog!$C$3:$C$12,0)),"-")</f>
        <v>Kaftan</v>
      </c>
      <c r="O784" s="50">
        <v>1</v>
      </c>
      <c r="P784" s="50">
        <v>5</v>
      </c>
      <c r="Q784" s="73">
        <f>IFERROR(INDEX(Katalog!$D$3:$D$12,MATCH(cadangan[[#This Row],[ItemID B]],Katalog!$C$3:$C$12,0))*cadangan[[#This Row],[Qty B]],0)</f>
        <v>250000</v>
      </c>
      <c r="R784" s="73">
        <f>IFERROR(cadangan[[#This Row],[Harga Normal B]]-(cadangan[[#This Row],[Harga Normal B]]*cadangan[[#This Row],[Diskon]]),cadangan[[#This Row],[Harga Normal B]])</f>
        <v>212500</v>
      </c>
      <c r="S784" s="73">
        <f>IFERROR(INDEX(Katalog!$F$3:$F$12,MATCH(cadangan[[#This Row],[ItemID B]],Katalog!$C$3:$C$12,0))*cadangan[[#This Row],[Qty B]],0)</f>
        <v>100000</v>
      </c>
      <c r="T784" s="73">
        <f>IFERROR(cadangan[[#This Row],[Harga Diskon B]]-INDEX(Katalog!$E$3:$E$12,MATCH(cadangan[[#This Row],[ItemID B]],Katalog!$C$3:$C$12,0))*cadangan[[#This Row],[Qty B]],0)</f>
        <v>62500</v>
      </c>
      <c r="U784" s="39" t="s">
        <v>67</v>
      </c>
      <c r="V784" s="39" t="str">
        <f>IFERROR(INDEX(Katalog!$A$3:$A$12,MATCH(cadangan[[#This Row],[ItemID C]],Katalog!$C$3:$C$12,0)),"-")</f>
        <v>Sepatu Wanita</v>
      </c>
      <c r="W784" s="39" t="str">
        <f>IFERROR(INDEX(Katalog!$B$3:$B$12,MATCH(cadangan[[#This Row],[ItemID C]],Katalog!$C$3:$C$12,0)),"-")</f>
        <v>Flat Shoes</v>
      </c>
      <c r="X784" s="50">
        <v>1</v>
      </c>
      <c r="Y784" s="50">
        <v>4</v>
      </c>
      <c r="Z784" s="73">
        <f>IFERROR(INDEX(Katalog!$D$3:$D$12,MATCH(cadangan[[#This Row],[ItemID C]],Katalog!$C$3:$C$12,0))*cadangan[[#This Row],[Qty C]],0)</f>
        <v>250000</v>
      </c>
      <c r="AA784" s="73">
        <f>IFERROR(cadangan[[#This Row],[Harga Normal C]]-(cadangan[[#This Row],[Harga Normal C]]*cadangan[[#This Row],[Diskon]]),cadangan[[#This Row],[Harga Normal C]])</f>
        <v>212500</v>
      </c>
      <c r="AB784" s="73">
        <f>IFERROR(INDEX(Katalog!$F$3:$F$12,MATCH(cadangan[[#This Row],[ItemID C]],Katalog!$C$3:$C$12,0))*cadangan[[#This Row],[Qty C]],0)</f>
        <v>100000</v>
      </c>
      <c r="AC784" s="73">
        <f>IFERROR(cadangan[[#This Row],[Harga Diskon C]]-INDEX(Katalog!$E$3:$E$12,MATCH(cadangan[[#This Row],[ItemID C]],Katalog!$C$3:$C$12,0))*cadangan[[#This Row],[Qty C]],0)</f>
        <v>62500</v>
      </c>
      <c r="AD784" s="53">
        <f>cadangan[[#This Row],[Qty A]]+cadangan[[#This Row],[Qty B]]+cadangan[[#This Row],[Qty C]]</f>
        <v>4</v>
      </c>
      <c r="AE784" s="73">
        <f>cadangan[[#This Row],[Harga Normal A]]+cadangan[[#This Row],[Harga Normal B]]+cadangan[[#This Row],[Harga Normal C]]</f>
        <v>1100000</v>
      </c>
      <c r="AF784" s="73">
        <f>cadangan[[#This Row],[Harga Diskon A]]+cadangan[[#This Row],[Harga Diskon B]]+cadangan[[#This Row],[Harga Diskon C]]</f>
        <v>935000</v>
      </c>
      <c r="AG784" s="73">
        <f>(cadangan[[#This Row],[Profit Normal A]]+cadangan[[#This Row],[Profit Normal B]]+cadangan[[#This Row],[Profit Normal C]])</f>
        <v>400000</v>
      </c>
      <c r="AH784" s="73">
        <f>cadangan[[#This Row],[Profit Diskon A]]+cadangan[[#This Row],[Profit Diskon B]]+cadangan[[#This Row],[Profit Diskon C]]</f>
        <v>235000</v>
      </c>
      <c r="AI784" s="23" t="s">
        <v>13</v>
      </c>
      <c r="AJ784" s="37">
        <f>IFERROR(INDEX('Kode Diskon'!$D$3:$D$9,MATCH(cadangan[[#This Row],[Kode diskon]],'Kode Diskon'!$C$3:$C$9,0)),"-")</f>
        <v>0.15</v>
      </c>
      <c r="AK784" s="23" t="s">
        <v>29</v>
      </c>
      <c r="AL784" s="23" t="s">
        <v>7</v>
      </c>
      <c r="AM784" s="23" t="s">
        <v>79</v>
      </c>
      <c r="AN784" s="55">
        <v>45018</v>
      </c>
      <c r="AO784" s="53">
        <f>DAY(cadangan[[#This Row],[Tanggal terjual]])</f>
        <v>2</v>
      </c>
      <c r="AP784" s="21" t="str">
        <f>TEXT(cadangan[[#This Row],[Tanggal terjual]],"dddd")</f>
        <v>Sunday</v>
      </c>
      <c r="AQ784" s="23" t="str" cm="1">
        <f t="array" ref="AQ7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4" s="61">
        <f>AVERAGE(cadangan[[#This Row],[Rating A]],cadangan[[#This Row],[Rating B]],cadangan[[#This Row],[Rating C]])</f>
        <v>3.6666666666666665</v>
      </c>
    </row>
    <row r="785" spans="1:44" x14ac:dyDescent="0.2">
      <c r="A785" s="20">
        <v>784</v>
      </c>
      <c r="B785" s="21" t="str">
        <f>_xlfn.CONCAT("ORD-",INDEX(Helper!$B$2:$B$5,MATCH(cadangan[[#This Row],[Marketplace]],Helper!$A$2:$A$5,0)),TEXT(cadangan[[#This Row],[No]],"0000"),"-",TEXT(cadangan[[#This Row],[Tanggal terjual]],"dd/mm/yy"))</f>
        <v>ORD-SP0784-22/04/23</v>
      </c>
      <c r="C785" s="39" t="s">
        <v>66</v>
      </c>
      <c r="D785" s="39" t="str">
        <f>IFERROR(INDEX(Katalog!$A$3:$A$12,MATCH(cadangan[[#This Row],[ItemID A]],Katalog!$C$3:$C$12,0)),"-")</f>
        <v>Sepatu Pria</v>
      </c>
      <c r="E785" s="39" t="str">
        <f>IFERROR(INDEX(Katalog!$B$3:$B$12,MATCH(cadangan[[#This Row],[ItemID A]],Katalog!$C$3:$C$12,0)),"-")</f>
        <v>Sandal Slip On</v>
      </c>
      <c r="F785" s="50">
        <v>5</v>
      </c>
      <c r="G785" s="50">
        <v>5</v>
      </c>
      <c r="H785" s="73">
        <f>IFERROR(INDEX(Katalog!$D$3:$D$12,MATCH(cadangan[[#This Row],[ItemID A]],Katalog!$C$3:$C$12,0))*cadangan[[#This Row],[Qty A]],0)</f>
        <v>750000</v>
      </c>
      <c r="I785" s="73">
        <f>IFERROR(cadangan[[#This Row],[Harga Normal A]]-(cadangan[[#This Row],[Harga Normal A]]*cadangan[[#This Row],[Diskon]]),cadangan[[#This Row],[Harga Normal A]])</f>
        <v>600000</v>
      </c>
      <c r="J785" s="73">
        <f>INDEX(Katalog!$F$3:$F$12,MATCH(cadangan[[#This Row],[ItemID A]],Katalog!$C$3:$C$12,0))*cadangan[[#This Row],[Qty A]]</f>
        <v>300000</v>
      </c>
      <c r="K785" s="73">
        <f>IFERROR(cadangan[[#This Row],[Harga Diskon A]]-INDEX(Katalog!$E$3:$E$12,MATCH(cadangan[[#This Row],[ItemID A]],Katalog!$C$3:$C$12,0))*cadangan[[#This Row],[Qty A]],0)</f>
        <v>150000</v>
      </c>
      <c r="L785" s="39" t="s">
        <v>67</v>
      </c>
      <c r="M785" s="39" t="str">
        <f>IFERROR(INDEX(Katalog!$A$3:$A$12,MATCH(cadangan[[#This Row],[ItemID B]],Katalog!$C$3:$C$12,0)),"-")</f>
        <v>Sepatu Wanita</v>
      </c>
      <c r="N785" s="39" t="str">
        <f>IFERROR(INDEX(Katalog!$B$3:$B$12,MATCH(cadangan[[#This Row],[ItemID B]],Katalog!$C$3:$C$12,0)),"-")</f>
        <v>Flat Shoes</v>
      </c>
      <c r="O785" s="50">
        <v>1</v>
      </c>
      <c r="P785" s="50">
        <v>2</v>
      </c>
      <c r="Q785" s="73">
        <f>IFERROR(INDEX(Katalog!$D$3:$D$12,MATCH(cadangan[[#This Row],[ItemID B]],Katalog!$C$3:$C$12,0))*cadangan[[#This Row],[Qty B]],0)</f>
        <v>250000</v>
      </c>
      <c r="R785" s="73">
        <f>IFERROR(cadangan[[#This Row],[Harga Normal B]]-(cadangan[[#This Row],[Harga Normal B]]*cadangan[[#This Row],[Diskon]]),cadangan[[#This Row],[Harga Normal B]])</f>
        <v>200000</v>
      </c>
      <c r="S785" s="73">
        <f>IFERROR(INDEX(Katalog!$F$3:$F$12,MATCH(cadangan[[#This Row],[ItemID B]],Katalog!$C$3:$C$12,0))*cadangan[[#This Row],[Qty B]],0)</f>
        <v>100000</v>
      </c>
      <c r="T785" s="73">
        <f>IFERROR(cadangan[[#This Row],[Harga Diskon B]]-INDEX(Katalog!$E$3:$E$12,MATCH(cadangan[[#This Row],[ItemID B]],Katalog!$C$3:$C$12,0))*cadangan[[#This Row],[Qty B]],0)</f>
        <v>50000</v>
      </c>
      <c r="U785" s="39" t="s">
        <v>61</v>
      </c>
      <c r="V785" s="39" t="str">
        <f>IFERROR(INDEX(Katalog!$A$3:$A$12,MATCH(cadangan[[#This Row],[ItemID C]],Katalog!$C$3:$C$12,0)),"-")</f>
        <v>Pakaian Pria</v>
      </c>
      <c r="W785" s="39" t="str">
        <f>IFERROR(INDEX(Katalog!$B$3:$B$12,MATCH(cadangan[[#This Row],[ItemID C]],Katalog!$C$3:$C$12,0)),"-")</f>
        <v>Kaos Polo</v>
      </c>
      <c r="X785" s="50">
        <v>1</v>
      </c>
      <c r="Y785" s="50">
        <v>5</v>
      </c>
      <c r="Z785" s="73">
        <f>IFERROR(INDEX(Katalog!$D$3:$D$12,MATCH(cadangan[[#This Row],[ItemID C]],Katalog!$C$3:$C$12,0))*cadangan[[#This Row],[Qty C]],0)</f>
        <v>200000</v>
      </c>
      <c r="AA785" s="73">
        <f>IFERROR(cadangan[[#This Row],[Harga Normal C]]-(cadangan[[#This Row],[Harga Normal C]]*cadangan[[#This Row],[Diskon]]),cadangan[[#This Row],[Harga Normal C]])</f>
        <v>160000</v>
      </c>
      <c r="AB785" s="73">
        <f>IFERROR(INDEX(Katalog!$F$3:$F$12,MATCH(cadangan[[#This Row],[ItemID C]],Katalog!$C$3:$C$12,0))*cadangan[[#This Row],[Qty C]],0)</f>
        <v>80000</v>
      </c>
      <c r="AC785" s="73">
        <f>IFERROR(cadangan[[#This Row],[Harga Diskon C]]-INDEX(Katalog!$E$3:$E$12,MATCH(cadangan[[#This Row],[ItemID C]],Katalog!$C$3:$C$12,0))*cadangan[[#This Row],[Qty C]],0)</f>
        <v>40000</v>
      </c>
      <c r="AD785" s="53">
        <f>cadangan[[#This Row],[Qty A]]+cadangan[[#This Row],[Qty B]]+cadangan[[#This Row],[Qty C]]</f>
        <v>7</v>
      </c>
      <c r="AE785" s="73">
        <f>cadangan[[#This Row],[Harga Normal A]]+cadangan[[#This Row],[Harga Normal B]]+cadangan[[#This Row],[Harga Normal C]]</f>
        <v>1200000</v>
      </c>
      <c r="AF785" s="73">
        <f>cadangan[[#This Row],[Harga Diskon A]]+cadangan[[#This Row],[Harga Diskon B]]+cadangan[[#This Row],[Harga Diskon C]]</f>
        <v>960000</v>
      </c>
      <c r="AG785" s="73">
        <f>(cadangan[[#This Row],[Profit Normal A]]+cadangan[[#This Row],[Profit Normal B]]+cadangan[[#This Row],[Profit Normal C]])</f>
        <v>480000</v>
      </c>
      <c r="AH785" s="73">
        <f>cadangan[[#This Row],[Profit Diskon A]]+cadangan[[#This Row],[Profit Diskon B]]+cadangan[[#This Row],[Profit Diskon C]]</f>
        <v>240000</v>
      </c>
      <c r="AI785" s="23" t="s">
        <v>8</v>
      </c>
      <c r="AJ785" s="37">
        <f>IFERROR(INDEX('Kode Diskon'!$D$3:$D$9,MATCH(cadangan[[#This Row],[Kode diskon]],'Kode Diskon'!$C$3:$C$9,0)),"-")</f>
        <v>0.2</v>
      </c>
      <c r="AK785" s="23" t="s">
        <v>9</v>
      </c>
      <c r="AL785" s="23" t="s">
        <v>7</v>
      </c>
      <c r="AM785" s="23" t="s">
        <v>77</v>
      </c>
      <c r="AN785" s="55">
        <v>45038</v>
      </c>
      <c r="AO785" s="53">
        <f>DAY(cadangan[[#This Row],[Tanggal terjual]])</f>
        <v>22</v>
      </c>
      <c r="AP785" s="21" t="str">
        <f>TEXT(cadangan[[#This Row],[Tanggal terjual]],"dddd")</f>
        <v>Saturday</v>
      </c>
      <c r="AQ785" s="23" t="str" cm="1">
        <f t="array" ref="AQ7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85" s="61">
        <f>AVERAGE(cadangan[[#This Row],[Rating A]],cadangan[[#This Row],[Rating B]],cadangan[[#This Row],[Rating C]])</f>
        <v>4</v>
      </c>
    </row>
    <row r="786" spans="1:44" x14ac:dyDescent="0.2">
      <c r="A786" s="20">
        <v>785</v>
      </c>
      <c r="B786" s="21" t="str">
        <f>_xlfn.CONCAT("ORD-",INDEX(Helper!$B$2:$B$5,MATCH(cadangan[[#This Row],[Marketplace]],Helper!$A$2:$A$5,0)),TEXT(cadangan[[#This Row],[No]],"0000"),"-",TEXT(cadangan[[#This Row],[Tanggal terjual]],"dd/mm/yy"))</f>
        <v>ORD-TK0785-01/04/23</v>
      </c>
      <c r="C786" s="39" t="s">
        <v>65</v>
      </c>
      <c r="D786" s="39" t="str">
        <f>IFERROR(INDEX(Katalog!$A$3:$A$12,MATCH(cadangan[[#This Row],[ItemID A]],Katalog!$C$3:$C$12,0)),"-")</f>
        <v>Sepatu Pria</v>
      </c>
      <c r="E786" s="39" t="str">
        <f>IFERROR(INDEX(Katalog!$B$3:$B$12,MATCH(cadangan[[#This Row],[ItemID A]],Katalog!$C$3:$C$12,0)),"-")</f>
        <v>Sneakers</v>
      </c>
      <c r="F786" s="50">
        <v>1</v>
      </c>
      <c r="G786" s="50">
        <v>1</v>
      </c>
      <c r="H786" s="73">
        <f>IFERROR(INDEX(Katalog!$D$3:$D$12,MATCH(cadangan[[#This Row],[ItemID A]],Katalog!$C$3:$C$12,0))*cadangan[[#This Row],[Qty A]],0)</f>
        <v>500000</v>
      </c>
      <c r="I786" s="73">
        <f>IFERROR(cadangan[[#This Row],[Harga Normal A]]-(cadangan[[#This Row],[Harga Normal A]]*cadangan[[#This Row],[Diskon]]),cadangan[[#This Row],[Harga Normal A]])</f>
        <v>450000</v>
      </c>
      <c r="J786" s="73">
        <f>INDEX(Katalog!$F$3:$F$12,MATCH(cadangan[[#This Row],[ItemID A]],Katalog!$C$3:$C$12,0))*cadangan[[#This Row],[Qty A]]</f>
        <v>200000</v>
      </c>
      <c r="K786" s="73">
        <f>IFERROR(cadangan[[#This Row],[Harga Diskon A]]-INDEX(Katalog!$E$3:$E$12,MATCH(cadangan[[#This Row],[ItemID A]],Katalog!$C$3:$C$12,0))*cadangan[[#This Row],[Qty A]],0)</f>
        <v>150000</v>
      </c>
      <c r="M786" s="39" t="str">
        <f>IFERROR(INDEX(Katalog!$A$3:$A$12,MATCH(cadangan[[#This Row],[ItemID B]],Katalog!$C$3:$C$12,0)),"-")</f>
        <v>-</v>
      </c>
      <c r="N786" s="39" t="str">
        <f>IFERROR(INDEX(Katalog!$B$3:$B$12,MATCH(cadangan[[#This Row],[ItemID B]],Katalog!$C$3:$C$12,0)),"-")</f>
        <v>-</v>
      </c>
      <c r="Q786" s="73">
        <f>IFERROR(INDEX(Katalog!$D$3:$D$12,MATCH(cadangan[[#This Row],[ItemID B]],Katalog!$C$3:$C$12,0))*cadangan[[#This Row],[Qty B]],0)</f>
        <v>0</v>
      </c>
      <c r="R786" s="73">
        <f>IFERROR(cadangan[[#This Row],[Harga Normal B]]-(cadangan[[#This Row],[Harga Normal B]]*cadangan[[#This Row],[Diskon]]),cadangan[[#This Row],[Harga Normal B]])</f>
        <v>0</v>
      </c>
      <c r="S786" s="73">
        <f>IFERROR(INDEX(Katalog!$F$3:$F$12,MATCH(cadangan[[#This Row],[ItemID B]],Katalog!$C$3:$C$12,0))*cadangan[[#This Row],[Qty B]],0)</f>
        <v>0</v>
      </c>
      <c r="T786" s="73">
        <f>IFERROR(cadangan[[#This Row],[Harga Diskon B]]-INDEX(Katalog!$E$3:$E$12,MATCH(cadangan[[#This Row],[ItemID B]],Katalog!$C$3:$C$12,0))*cadangan[[#This Row],[Qty B]],0)</f>
        <v>0</v>
      </c>
      <c r="V786" s="39" t="str">
        <f>IFERROR(INDEX(Katalog!$A$3:$A$12,MATCH(cadangan[[#This Row],[ItemID C]],Katalog!$C$3:$C$12,0)),"-")</f>
        <v>-</v>
      </c>
      <c r="W786" s="39" t="str">
        <f>IFERROR(INDEX(Katalog!$B$3:$B$12,MATCH(cadangan[[#This Row],[ItemID C]],Katalog!$C$3:$C$12,0)),"-")</f>
        <v>-</v>
      </c>
      <c r="Z786" s="73">
        <f>IFERROR(INDEX(Katalog!$D$3:$D$12,MATCH(cadangan[[#This Row],[ItemID C]],Katalog!$C$3:$C$12,0))*cadangan[[#This Row],[Qty C]],0)</f>
        <v>0</v>
      </c>
      <c r="AA786" s="73">
        <f>IFERROR(cadangan[[#This Row],[Harga Normal C]]-(cadangan[[#This Row],[Harga Normal C]]*cadangan[[#This Row],[Diskon]]),cadangan[[#This Row],[Harga Normal C]])</f>
        <v>0</v>
      </c>
      <c r="AB786" s="73">
        <f>IFERROR(INDEX(Katalog!$F$3:$F$12,MATCH(cadangan[[#This Row],[ItemID C]],Katalog!$C$3:$C$12,0))*cadangan[[#This Row],[Qty C]],0)</f>
        <v>0</v>
      </c>
      <c r="AC786" s="73">
        <f>IFERROR(cadangan[[#This Row],[Harga Diskon C]]-INDEX(Katalog!$E$3:$E$12,MATCH(cadangan[[#This Row],[ItemID C]],Katalog!$C$3:$C$12,0))*cadangan[[#This Row],[Qty C]],0)</f>
        <v>0</v>
      </c>
      <c r="AD786" s="53">
        <f>cadangan[[#This Row],[Qty A]]+cadangan[[#This Row],[Qty B]]+cadangan[[#This Row],[Qty C]]</f>
        <v>1</v>
      </c>
      <c r="AE786" s="73">
        <f>cadangan[[#This Row],[Harga Normal A]]+cadangan[[#This Row],[Harga Normal B]]+cadangan[[#This Row],[Harga Normal C]]</f>
        <v>500000</v>
      </c>
      <c r="AF786" s="73">
        <f>cadangan[[#This Row],[Harga Diskon A]]+cadangan[[#This Row],[Harga Diskon B]]+cadangan[[#This Row],[Harga Diskon C]]</f>
        <v>450000</v>
      </c>
      <c r="AG786" s="73">
        <f>(cadangan[[#This Row],[Profit Normal A]]+cadangan[[#This Row],[Profit Normal B]]+cadangan[[#This Row],[Profit Normal C]])</f>
        <v>200000</v>
      </c>
      <c r="AH786" s="73">
        <f>cadangan[[#This Row],[Profit Diskon A]]+cadangan[[#This Row],[Profit Diskon B]]+cadangan[[#This Row],[Profit Diskon C]]</f>
        <v>150000</v>
      </c>
      <c r="AI786" s="23" t="s">
        <v>30</v>
      </c>
      <c r="AJ786" s="37">
        <f>IFERROR(INDEX('Kode Diskon'!$D$3:$D$9,MATCH(cadangan[[#This Row],[Kode diskon]],'Kode Diskon'!$C$3:$C$9,0)),"-")</f>
        <v>0.1</v>
      </c>
      <c r="AK786" s="23" t="s">
        <v>29</v>
      </c>
      <c r="AL786" s="23" t="s">
        <v>10</v>
      </c>
      <c r="AM786" s="23" t="s">
        <v>78</v>
      </c>
      <c r="AN786" s="55">
        <v>45017</v>
      </c>
      <c r="AO786" s="53">
        <f>DAY(cadangan[[#This Row],[Tanggal terjual]])</f>
        <v>1</v>
      </c>
      <c r="AP786" s="21" t="str">
        <f>TEXT(cadangan[[#This Row],[Tanggal terjual]],"dddd")</f>
        <v>Saturday</v>
      </c>
      <c r="AQ786" s="23" t="str" cm="1">
        <f t="array" ref="AQ7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6" s="61">
        <f>AVERAGE(cadangan[[#This Row],[Rating A]],cadangan[[#This Row],[Rating B]],cadangan[[#This Row],[Rating C]])</f>
        <v>1</v>
      </c>
    </row>
    <row r="787" spans="1:44" x14ac:dyDescent="0.2">
      <c r="A787" s="20">
        <v>786</v>
      </c>
      <c r="B787" s="21" t="str">
        <f>_xlfn.CONCAT("ORD-",INDEX(Helper!$B$2:$B$5,MATCH(cadangan[[#This Row],[Marketplace]],Helper!$A$2:$A$5,0)),TEXT(cadangan[[#This Row],[No]],"0000"),"-",TEXT(cadangan[[#This Row],[Tanggal terjual]],"dd/mm/yy"))</f>
        <v>ORD-BL0786-11/04/23</v>
      </c>
      <c r="C787" s="39" t="s">
        <v>62</v>
      </c>
      <c r="D787" s="39" t="str">
        <f>IFERROR(INDEX(Katalog!$A$3:$A$12,MATCH(cadangan[[#This Row],[ItemID A]],Katalog!$C$3:$C$12,0)),"-")</f>
        <v>Pakaian Pria</v>
      </c>
      <c r="E787" s="39" t="str">
        <f>IFERROR(INDEX(Katalog!$B$3:$B$12,MATCH(cadangan[[#This Row],[ItemID A]],Katalog!$C$3:$C$12,0)),"-")</f>
        <v>Celana Pendek</v>
      </c>
      <c r="F787" s="50">
        <v>1</v>
      </c>
      <c r="G787" s="50">
        <v>2</v>
      </c>
      <c r="H787" s="73">
        <f>IFERROR(INDEX(Katalog!$D$3:$D$12,MATCH(cadangan[[#This Row],[ItemID A]],Katalog!$C$3:$C$12,0))*cadangan[[#This Row],[Qty A]],0)</f>
        <v>180000</v>
      </c>
      <c r="I787" s="73">
        <f>IFERROR(cadangan[[#This Row],[Harga Normal A]]-(cadangan[[#This Row],[Harga Normal A]]*cadangan[[#This Row],[Diskon]]),cadangan[[#This Row],[Harga Normal A]])</f>
        <v>180000</v>
      </c>
      <c r="J787" s="73">
        <f>INDEX(Katalog!$F$3:$F$12,MATCH(cadangan[[#This Row],[ItemID A]],Katalog!$C$3:$C$12,0))*cadangan[[#This Row],[Qty A]]</f>
        <v>70000</v>
      </c>
      <c r="K787" s="73">
        <f>IFERROR(cadangan[[#This Row],[Harga Diskon A]]-INDEX(Katalog!$E$3:$E$12,MATCH(cadangan[[#This Row],[ItemID A]],Katalog!$C$3:$C$12,0))*cadangan[[#This Row],[Qty A]],0)</f>
        <v>70000</v>
      </c>
      <c r="M787" s="39" t="str">
        <f>IFERROR(INDEX(Katalog!$A$3:$A$12,MATCH(cadangan[[#This Row],[ItemID B]],Katalog!$C$3:$C$12,0)),"-")</f>
        <v>-</v>
      </c>
      <c r="N787" s="39" t="str">
        <f>IFERROR(INDEX(Katalog!$B$3:$B$12,MATCH(cadangan[[#This Row],[ItemID B]],Katalog!$C$3:$C$12,0)),"-")</f>
        <v>-</v>
      </c>
      <c r="Q787" s="73">
        <f>IFERROR(INDEX(Katalog!$D$3:$D$12,MATCH(cadangan[[#This Row],[ItemID B]],Katalog!$C$3:$C$12,0))*cadangan[[#This Row],[Qty B]],0)</f>
        <v>0</v>
      </c>
      <c r="R787" s="73">
        <f>IFERROR(cadangan[[#This Row],[Harga Normal B]]-(cadangan[[#This Row],[Harga Normal B]]*cadangan[[#This Row],[Diskon]]),cadangan[[#This Row],[Harga Normal B]])</f>
        <v>0</v>
      </c>
      <c r="S787" s="73">
        <f>IFERROR(INDEX(Katalog!$F$3:$F$12,MATCH(cadangan[[#This Row],[ItemID B]],Katalog!$C$3:$C$12,0))*cadangan[[#This Row],[Qty B]],0)</f>
        <v>0</v>
      </c>
      <c r="T787" s="73">
        <f>IFERROR(cadangan[[#This Row],[Harga Diskon B]]-INDEX(Katalog!$E$3:$E$12,MATCH(cadangan[[#This Row],[ItemID B]],Katalog!$C$3:$C$12,0))*cadangan[[#This Row],[Qty B]],0)</f>
        <v>0</v>
      </c>
      <c r="V787" s="39" t="str">
        <f>IFERROR(INDEX(Katalog!$A$3:$A$12,MATCH(cadangan[[#This Row],[ItemID C]],Katalog!$C$3:$C$12,0)),"-")</f>
        <v>-</v>
      </c>
      <c r="W787" s="39" t="str">
        <f>IFERROR(INDEX(Katalog!$B$3:$B$12,MATCH(cadangan[[#This Row],[ItemID C]],Katalog!$C$3:$C$12,0)),"-")</f>
        <v>-</v>
      </c>
      <c r="Z787" s="73">
        <f>IFERROR(INDEX(Katalog!$D$3:$D$12,MATCH(cadangan[[#This Row],[ItemID C]],Katalog!$C$3:$C$12,0))*cadangan[[#This Row],[Qty C]],0)</f>
        <v>0</v>
      </c>
      <c r="AA787" s="73">
        <f>IFERROR(cadangan[[#This Row],[Harga Normal C]]-(cadangan[[#This Row],[Harga Normal C]]*cadangan[[#This Row],[Diskon]]),cadangan[[#This Row],[Harga Normal C]])</f>
        <v>0</v>
      </c>
      <c r="AB787" s="73">
        <f>IFERROR(INDEX(Katalog!$F$3:$F$12,MATCH(cadangan[[#This Row],[ItemID C]],Katalog!$C$3:$C$12,0))*cadangan[[#This Row],[Qty C]],0)</f>
        <v>0</v>
      </c>
      <c r="AC787" s="73">
        <f>IFERROR(cadangan[[#This Row],[Harga Diskon C]]-INDEX(Katalog!$E$3:$E$12,MATCH(cadangan[[#This Row],[ItemID C]],Katalog!$C$3:$C$12,0))*cadangan[[#This Row],[Qty C]],0)</f>
        <v>0</v>
      </c>
      <c r="AD787" s="53">
        <f>cadangan[[#This Row],[Qty A]]+cadangan[[#This Row],[Qty B]]+cadangan[[#This Row],[Qty C]]</f>
        <v>1</v>
      </c>
      <c r="AE787" s="73">
        <f>cadangan[[#This Row],[Harga Normal A]]+cadangan[[#This Row],[Harga Normal B]]+cadangan[[#This Row],[Harga Normal C]]</f>
        <v>180000</v>
      </c>
      <c r="AF787" s="73">
        <f>cadangan[[#This Row],[Harga Diskon A]]+cadangan[[#This Row],[Harga Diskon B]]+cadangan[[#This Row],[Harga Diskon C]]</f>
        <v>180000</v>
      </c>
      <c r="AG787" s="73">
        <f>(cadangan[[#This Row],[Profit Normal A]]+cadangan[[#This Row],[Profit Normal B]]+cadangan[[#This Row],[Profit Normal C]])</f>
        <v>70000</v>
      </c>
      <c r="AH787" s="73">
        <f>cadangan[[#This Row],[Profit Diskon A]]+cadangan[[#This Row],[Profit Diskon B]]+cadangan[[#This Row],[Profit Diskon C]]</f>
        <v>70000</v>
      </c>
      <c r="AI787" s="23" t="s">
        <v>290</v>
      </c>
      <c r="AJ787" s="37" t="str">
        <f>IFERROR(INDEX('Kode Diskon'!$D$3:$D$9,MATCH(cadangan[[#This Row],[Kode diskon]],'Kode Diskon'!$C$3:$C$9,0)),"-")</f>
        <v>-</v>
      </c>
      <c r="AK787" s="23" t="s">
        <v>290</v>
      </c>
      <c r="AL787" s="23" t="s">
        <v>12</v>
      </c>
      <c r="AM787" s="23" t="s">
        <v>79</v>
      </c>
      <c r="AN787" s="55">
        <v>45027</v>
      </c>
      <c r="AO787" s="53">
        <f>DAY(cadangan[[#This Row],[Tanggal terjual]])</f>
        <v>11</v>
      </c>
      <c r="AP787" s="21" t="str">
        <f>TEXT(cadangan[[#This Row],[Tanggal terjual]],"dddd")</f>
        <v>Tuesday</v>
      </c>
      <c r="AQ787" s="23" t="str" cm="1">
        <f t="array" ref="AQ7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87" s="61">
        <f>AVERAGE(cadangan[[#This Row],[Rating A]],cadangan[[#This Row],[Rating B]],cadangan[[#This Row],[Rating C]])</f>
        <v>2</v>
      </c>
    </row>
    <row r="788" spans="1:44" x14ac:dyDescent="0.2">
      <c r="A788" s="20">
        <v>787</v>
      </c>
      <c r="B788" s="21" t="str">
        <f>_xlfn.CONCAT("ORD-",INDEX(Helper!$B$2:$B$5,MATCH(cadangan[[#This Row],[Marketplace]],Helper!$A$2:$A$5,0)),TEXT(cadangan[[#This Row],[No]],"0000"),"-",TEXT(cadangan[[#This Row],[Tanggal terjual]],"dd/mm/yy"))</f>
        <v>ORD-TK0787-04/04/23</v>
      </c>
      <c r="C788" s="39" t="s">
        <v>62</v>
      </c>
      <c r="D788" s="39" t="str">
        <f>IFERROR(INDEX(Katalog!$A$3:$A$12,MATCH(cadangan[[#This Row],[ItemID A]],Katalog!$C$3:$C$12,0)),"-")</f>
        <v>Pakaian Pria</v>
      </c>
      <c r="E788" s="39" t="str">
        <f>IFERROR(INDEX(Katalog!$B$3:$B$12,MATCH(cadangan[[#This Row],[ItemID A]],Katalog!$C$3:$C$12,0)),"-")</f>
        <v>Celana Pendek</v>
      </c>
      <c r="F788" s="50">
        <v>1</v>
      </c>
      <c r="G788" s="50">
        <v>3</v>
      </c>
      <c r="H788" s="73">
        <f>IFERROR(INDEX(Katalog!$D$3:$D$12,MATCH(cadangan[[#This Row],[ItemID A]],Katalog!$C$3:$C$12,0))*cadangan[[#This Row],[Qty A]],0)</f>
        <v>180000</v>
      </c>
      <c r="I788" s="73">
        <f>IFERROR(cadangan[[#This Row],[Harga Normal A]]-(cadangan[[#This Row],[Harga Normal A]]*cadangan[[#This Row],[Diskon]]),cadangan[[#This Row],[Harga Normal A]])</f>
        <v>162000</v>
      </c>
      <c r="J788" s="73">
        <f>INDEX(Katalog!$F$3:$F$12,MATCH(cadangan[[#This Row],[ItemID A]],Katalog!$C$3:$C$12,0))*cadangan[[#This Row],[Qty A]]</f>
        <v>70000</v>
      </c>
      <c r="K788" s="73">
        <f>IFERROR(cadangan[[#This Row],[Harga Diskon A]]-INDEX(Katalog!$E$3:$E$12,MATCH(cadangan[[#This Row],[ItemID A]],Katalog!$C$3:$C$12,0))*cadangan[[#This Row],[Qty A]],0)</f>
        <v>52000</v>
      </c>
      <c r="L788" s="39" t="s">
        <v>65</v>
      </c>
      <c r="M788" s="39" t="str">
        <f>IFERROR(INDEX(Katalog!$A$3:$A$12,MATCH(cadangan[[#This Row],[ItemID B]],Katalog!$C$3:$C$12,0)),"-")</f>
        <v>Sepatu Pria</v>
      </c>
      <c r="N788" s="39" t="str">
        <f>IFERROR(INDEX(Katalog!$B$3:$B$12,MATCH(cadangan[[#This Row],[ItemID B]],Katalog!$C$3:$C$12,0)),"-")</f>
        <v>Sneakers</v>
      </c>
      <c r="O788" s="50">
        <v>2</v>
      </c>
      <c r="P788" s="50">
        <v>1</v>
      </c>
      <c r="Q788" s="73">
        <f>IFERROR(INDEX(Katalog!$D$3:$D$12,MATCH(cadangan[[#This Row],[ItemID B]],Katalog!$C$3:$C$12,0))*cadangan[[#This Row],[Qty B]],0)</f>
        <v>1000000</v>
      </c>
      <c r="R788" s="73">
        <f>IFERROR(cadangan[[#This Row],[Harga Normal B]]-(cadangan[[#This Row],[Harga Normal B]]*cadangan[[#This Row],[Diskon]]),cadangan[[#This Row],[Harga Normal B]])</f>
        <v>900000</v>
      </c>
      <c r="S788" s="73">
        <f>IFERROR(INDEX(Katalog!$F$3:$F$12,MATCH(cadangan[[#This Row],[ItemID B]],Katalog!$C$3:$C$12,0))*cadangan[[#This Row],[Qty B]],0)</f>
        <v>400000</v>
      </c>
      <c r="T788" s="73">
        <f>IFERROR(cadangan[[#This Row],[Harga Diskon B]]-INDEX(Katalog!$E$3:$E$12,MATCH(cadangan[[#This Row],[ItemID B]],Katalog!$C$3:$C$12,0))*cadangan[[#This Row],[Qty B]],0)</f>
        <v>300000</v>
      </c>
      <c r="U788" s="39" t="s">
        <v>58</v>
      </c>
      <c r="V788" s="39" t="str">
        <f>IFERROR(INDEX(Katalog!$A$3:$A$12,MATCH(cadangan[[#This Row],[ItemID C]],Katalog!$C$3:$C$12,0)),"-")</f>
        <v>Pakaian Wanita</v>
      </c>
      <c r="W788" s="39" t="str">
        <f>IFERROR(INDEX(Katalog!$B$3:$B$12,MATCH(cadangan[[#This Row],[ItemID C]],Katalog!$C$3:$C$12,0)),"-")</f>
        <v>Dress</v>
      </c>
      <c r="X788" s="50">
        <v>2</v>
      </c>
      <c r="Y788" s="50">
        <v>2</v>
      </c>
      <c r="Z788" s="73">
        <f>IFERROR(INDEX(Katalog!$D$3:$D$12,MATCH(cadangan[[#This Row],[ItemID C]],Katalog!$C$3:$C$12,0))*cadangan[[#This Row],[Qty C]],0)</f>
        <v>600000</v>
      </c>
      <c r="AA788" s="73">
        <f>IFERROR(cadangan[[#This Row],[Harga Normal C]]-(cadangan[[#This Row],[Harga Normal C]]*cadangan[[#This Row],[Diskon]]),cadangan[[#This Row],[Harga Normal C]])</f>
        <v>540000</v>
      </c>
      <c r="AB788" s="73">
        <f>IFERROR(INDEX(Katalog!$F$3:$F$12,MATCH(cadangan[[#This Row],[ItemID C]],Katalog!$C$3:$C$12,0))*cadangan[[#This Row],[Qty C]],0)</f>
        <v>200000</v>
      </c>
      <c r="AC788" s="73">
        <f>IFERROR(cadangan[[#This Row],[Harga Diskon C]]-INDEX(Katalog!$E$3:$E$12,MATCH(cadangan[[#This Row],[ItemID C]],Katalog!$C$3:$C$12,0))*cadangan[[#This Row],[Qty C]],0)</f>
        <v>140000</v>
      </c>
      <c r="AD788" s="53">
        <f>cadangan[[#This Row],[Qty A]]+cadangan[[#This Row],[Qty B]]+cadangan[[#This Row],[Qty C]]</f>
        <v>5</v>
      </c>
      <c r="AE788" s="73">
        <f>cadangan[[#This Row],[Harga Normal A]]+cadangan[[#This Row],[Harga Normal B]]+cadangan[[#This Row],[Harga Normal C]]</f>
        <v>1780000</v>
      </c>
      <c r="AF788" s="73">
        <f>cadangan[[#This Row],[Harga Diskon A]]+cadangan[[#This Row],[Harga Diskon B]]+cadangan[[#This Row],[Harga Diskon C]]</f>
        <v>1602000</v>
      </c>
      <c r="AG788" s="73">
        <f>(cadangan[[#This Row],[Profit Normal A]]+cadangan[[#This Row],[Profit Normal B]]+cadangan[[#This Row],[Profit Normal C]])</f>
        <v>670000</v>
      </c>
      <c r="AH788" s="73">
        <f>cadangan[[#This Row],[Profit Diskon A]]+cadangan[[#This Row],[Profit Diskon B]]+cadangan[[#This Row],[Profit Diskon C]]</f>
        <v>492000</v>
      </c>
      <c r="AI788" s="23" t="s">
        <v>30</v>
      </c>
      <c r="AJ788" s="37">
        <f>IFERROR(INDEX('Kode Diskon'!$D$3:$D$9,MATCH(cadangan[[#This Row],[Kode diskon]],'Kode Diskon'!$C$3:$C$9,0)),"-")</f>
        <v>0.1</v>
      </c>
      <c r="AK788" s="23" t="s">
        <v>29</v>
      </c>
      <c r="AL788" s="23" t="s">
        <v>10</v>
      </c>
      <c r="AM788" s="23" t="s">
        <v>76</v>
      </c>
      <c r="AN788" s="55">
        <v>45020</v>
      </c>
      <c r="AO788" s="53">
        <f>DAY(cadangan[[#This Row],[Tanggal terjual]])</f>
        <v>4</v>
      </c>
      <c r="AP788" s="21" t="str">
        <f>TEXT(cadangan[[#This Row],[Tanggal terjual]],"dddd")</f>
        <v>Tuesday</v>
      </c>
      <c r="AQ788" s="23" t="str" cm="1">
        <f t="array" ref="AQ7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88" s="61">
        <f>AVERAGE(cadangan[[#This Row],[Rating A]],cadangan[[#This Row],[Rating B]],cadangan[[#This Row],[Rating C]])</f>
        <v>2</v>
      </c>
    </row>
    <row r="789" spans="1:44" x14ac:dyDescent="0.2">
      <c r="A789" s="20">
        <v>788</v>
      </c>
      <c r="B789" s="21" t="str">
        <f>_xlfn.CONCAT("ORD-",INDEX(Helper!$B$2:$B$5,MATCH(cadangan[[#This Row],[Marketplace]],Helper!$A$2:$A$5,0)),TEXT(cadangan[[#This Row],[No]],"0000"),"-",TEXT(cadangan[[#This Row],[Tanggal terjual]],"dd/mm/yy"))</f>
        <v>ORD-SP0788-09/04/23</v>
      </c>
      <c r="C789" s="39" t="s">
        <v>64</v>
      </c>
      <c r="D789" s="39" t="str">
        <f>IFERROR(INDEX(Katalog!$A$3:$A$12,MATCH(cadangan[[#This Row],[ItemID A]],Katalog!$C$3:$C$12,0)),"-")</f>
        <v>Pakaian Unisex</v>
      </c>
      <c r="E789" s="39" t="str">
        <f>IFERROR(INDEX(Katalog!$B$3:$B$12,MATCH(cadangan[[#This Row],[ItemID A]],Katalog!$C$3:$C$12,0)),"-")</f>
        <v>Jaket Hoodie</v>
      </c>
      <c r="F789" s="50">
        <v>6</v>
      </c>
      <c r="G789" s="50">
        <v>4</v>
      </c>
      <c r="H789" s="73">
        <f>IFERROR(INDEX(Katalog!$D$3:$D$12,MATCH(cadangan[[#This Row],[ItemID A]],Katalog!$C$3:$C$12,0))*cadangan[[#This Row],[Qty A]],0)</f>
        <v>2100000</v>
      </c>
      <c r="I789" s="73">
        <f>IFERROR(cadangan[[#This Row],[Harga Normal A]]-(cadangan[[#This Row],[Harga Normal A]]*cadangan[[#This Row],[Diskon]]),cadangan[[#This Row],[Harga Normal A]])</f>
        <v>2100000</v>
      </c>
      <c r="J789" s="73">
        <f>INDEX(Katalog!$F$3:$F$12,MATCH(cadangan[[#This Row],[ItemID A]],Katalog!$C$3:$C$12,0))*cadangan[[#This Row],[Qty A]]</f>
        <v>780000</v>
      </c>
      <c r="K789" s="73">
        <f>IFERROR(cadangan[[#This Row],[Harga Diskon A]]-INDEX(Katalog!$E$3:$E$12,MATCH(cadangan[[#This Row],[ItemID A]],Katalog!$C$3:$C$12,0))*cadangan[[#This Row],[Qty A]],0)</f>
        <v>780000</v>
      </c>
      <c r="L789" s="39" t="s">
        <v>59</v>
      </c>
      <c r="M789" s="39" t="str">
        <f>IFERROR(INDEX(Katalog!$A$3:$A$12,MATCH(cadangan[[#This Row],[ItemID B]],Katalog!$C$3:$C$12,0)),"-")</f>
        <v>Pakaian Wanita</v>
      </c>
      <c r="N789" s="39" t="str">
        <f>IFERROR(INDEX(Katalog!$B$3:$B$12,MATCH(cadangan[[#This Row],[ItemID B]],Katalog!$C$3:$C$12,0)),"-")</f>
        <v>Blouse</v>
      </c>
      <c r="O789" s="50">
        <v>1</v>
      </c>
      <c r="P789" s="50">
        <v>2</v>
      </c>
      <c r="Q789" s="73">
        <f>IFERROR(INDEX(Katalog!$D$3:$D$12,MATCH(cadangan[[#This Row],[ItemID B]],Katalog!$C$3:$C$12,0))*cadangan[[#This Row],[Qty B]],0)</f>
        <v>150000</v>
      </c>
      <c r="R789" s="73">
        <f>IFERROR(cadangan[[#This Row],[Harga Normal B]]-(cadangan[[#This Row],[Harga Normal B]]*cadangan[[#This Row],[Diskon]]),cadangan[[#This Row],[Harga Normal B]])</f>
        <v>150000</v>
      </c>
      <c r="S789" s="73">
        <f>IFERROR(INDEX(Katalog!$F$3:$F$12,MATCH(cadangan[[#This Row],[ItemID B]],Katalog!$C$3:$C$12,0))*cadangan[[#This Row],[Qty B]],0)</f>
        <v>50000</v>
      </c>
      <c r="T789" s="73">
        <f>IFERROR(cadangan[[#This Row],[Harga Diskon B]]-INDEX(Katalog!$E$3:$E$12,MATCH(cadangan[[#This Row],[ItemID B]],Katalog!$C$3:$C$12,0))*cadangan[[#This Row],[Qty B]],0)</f>
        <v>50000</v>
      </c>
      <c r="V789" s="39" t="str">
        <f>IFERROR(INDEX(Katalog!$A$3:$A$12,MATCH(cadangan[[#This Row],[ItemID C]],Katalog!$C$3:$C$12,0)),"-")</f>
        <v>-</v>
      </c>
      <c r="W789" s="39" t="str">
        <f>IFERROR(INDEX(Katalog!$B$3:$B$12,MATCH(cadangan[[#This Row],[ItemID C]],Katalog!$C$3:$C$12,0)),"-")</f>
        <v>-</v>
      </c>
      <c r="Z789" s="73">
        <f>IFERROR(INDEX(Katalog!$D$3:$D$12,MATCH(cadangan[[#This Row],[ItemID C]],Katalog!$C$3:$C$12,0))*cadangan[[#This Row],[Qty C]],0)</f>
        <v>0</v>
      </c>
      <c r="AA789" s="73">
        <f>IFERROR(cadangan[[#This Row],[Harga Normal C]]-(cadangan[[#This Row],[Harga Normal C]]*cadangan[[#This Row],[Diskon]]),cadangan[[#This Row],[Harga Normal C]])</f>
        <v>0</v>
      </c>
      <c r="AB789" s="73">
        <f>IFERROR(INDEX(Katalog!$F$3:$F$12,MATCH(cadangan[[#This Row],[ItemID C]],Katalog!$C$3:$C$12,0))*cadangan[[#This Row],[Qty C]],0)</f>
        <v>0</v>
      </c>
      <c r="AC789" s="73">
        <f>IFERROR(cadangan[[#This Row],[Harga Diskon C]]-INDEX(Katalog!$E$3:$E$12,MATCH(cadangan[[#This Row],[ItemID C]],Katalog!$C$3:$C$12,0))*cadangan[[#This Row],[Qty C]],0)</f>
        <v>0</v>
      </c>
      <c r="AD789" s="53">
        <f>cadangan[[#This Row],[Qty A]]+cadangan[[#This Row],[Qty B]]+cadangan[[#This Row],[Qty C]]</f>
        <v>7</v>
      </c>
      <c r="AE789" s="73">
        <f>cadangan[[#This Row],[Harga Normal A]]+cadangan[[#This Row],[Harga Normal B]]+cadangan[[#This Row],[Harga Normal C]]</f>
        <v>2250000</v>
      </c>
      <c r="AF789" s="73">
        <f>cadangan[[#This Row],[Harga Diskon A]]+cadangan[[#This Row],[Harga Diskon B]]+cadangan[[#This Row],[Harga Diskon C]]</f>
        <v>2250000</v>
      </c>
      <c r="AG789" s="73">
        <f>(cadangan[[#This Row],[Profit Normal A]]+cadangan[[#This Row],[Profit Normal B]]+cadangan[[#This Row],[Profit Normal C]])</f>
        <v>830000</v>
      </c>
      <c r="AH789" s="73">
        <f>cadangan[[#This Row],[Profit Diskon A]]+cadangan[[#This Row],[Profit Diskon B]]+cadangan[[#This Row],[Profit Diskon C]]</f>
        <v>830000</v>
      </c>
      <c r="AI789" s="23" t="s">
        <v>290</v>
      </c>
      <c r="AJ789" s="37" t="str">
        <f>IFERROR(INDEX('Kode Diskon'!$D$3:$D$9,MATCH(cadangan[[#This Row],[Kode diskon]],'Kode Diskon'!$C$3:$C$9,0)),"-")</f>
        <v>-</v>
      </c>
      <c r="AK789" s="23" t="s">
        <v>290</v>
      </c>
      <c r="AL789" s="23" t="s">
        <v>7</v>
      </c>
      <c r="AM789" s="23" t="s">
        <v>75</v>
      </c>
      <c r="AN789" s="55">
        <v>45025</v>
      </c>
      <c r="AO789" s="53">
        <f>DAY(cadangan[[#This Row],[Tanggal terjual]])</f>
        <v>9</v>
      </c>
      <c r="AP789" s="21" t="str">
        <f>TEXT(cadangan[[#This Row],[Tanggal terjual]],"dddd")</f>
        <v>Sunday</v>
      </c>
      <c r="AQ789" s="23" t="str" cm="1">
        <f t="array" ref="AQ7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89" s="61">
        <f>AVERAGE(cadangan[[#This Row],[Rating A]],cadangan[[#This Row],[Rating B]],cadangan[[#This Row],[Rating C]])</f>
        <v>3</v>
      </c>
    </row>
    <row r="790" spans="1:44" x14ac:dyDescent="0.2">
      <c r="A790" s="20">
        <v>789</v>
      </c>
      <c r="B790" s="21" t="str">
        <f>_xlfn.CONCAT("ORD-",INDEX(Helper!$B$2:$B$5,MATCH(cadangan[[#This Row],[Marketplace]],Helper!$A$2:$A$5,0)),TEXT(cadangan[[#This Row],[No]],"0000"),"-",TEXT(cadangan[[#This Row],[Tanggal terjual]],"dd/mm/yy"))</f>
        <v>ORD-BB0789-03/04/23</v>
      </c>
      <c r="C790" s="39" t="s">
        <v>66</v>
      </c>
      <c r="D790" s="39" t="str">
        <f>IFERROR(INDEX(Katalog!$A$3:$A$12,MATCH(cadangan[[#This Row],[ItemID A]],Katalog!$C$3:$C$12,0)),"-")</f>
        <v>Sepatu Pria</v>
      </c>
      <c r="E790" s="39" t="str">
        <f>IFERROR(INDEX(Katalog!$B$3:$B$12,MATCH(cadangan[[#This Row],[ItemID A]],Katalog!$C$3:$C$12,0)),"-")</f>
        <v>Sandal Slip On</v>
      </c>
      <c r="F790" s="50">
        <v>2</v>
      </c>
      <c r="G790" s="50">
        <v>2</v>
      </c>
      <c r="H790" s="73">
        <f>IFERROR(INDEX(Katalog!$D$3:$D$12,MATCH(cadangan[[#This Row],[ItemID A]],Katalog!$C$3:$C$12,0))*cadangan[[#This Row],[Qty A]],0)</f>
        <v>300000</v>
      </c>
      <c r="I790" s="73">
        <f>IFERROR(cadangan[[#This Row],[Harga Normal A]]-(cadangan[[#This Row],[Harga Normal A]]*cadangan[[#This Row],[Diskon]]),cadangan[[#This Row],[Harga Normal A]])</f>
        <v>255000</v>
      </c>
      <c r="J790" s="73">
        <f>INDEX(Katalog!$F$3:$F$12,MATCH(cadangan[[#This Row],[ItemID A]],Katalog!$C$3:$C$12,0))*cadangan[[#This Row],[Qty A]]</f>
        <v>120000</v>
      </c>
      <c r="K790" s="73">
        <f>IFERROR(cadangan[[#This Row],[Harga Diskon A]]-INDEX(Katalog!$E$3:$E$12,MATCH(cadangan[[#This Row],[ItemID A]],Katalog!$C$3:$C$12,0))*cadangan[[#This Row],[Qty A]],0)</f>
        <v>75000</v>
      </c>
      <c r="M790" s="39" t="str">
        <f>IFERROR(INDEX(Katalog!$A$3:$A$12,MATCH(cadangan[[#This Row],[ItemID B]],Katalog!$C$3:$C$12,0)),"-")</f>
        <v>-</v>
      </c>
      <c r="N790" s="39" t="str">
        <f>IFERROR(INDEX(Katalog!$B$3:$B$12,MATCH(cadangan[[#This Row],[ItemID B]],Katalog!$C$3:$C$12,0)),"-")</f>
        <v>-</v>
      </c>
      <c r="Q790" s="73">
        <f>IFERROR(INDEX(Katalog!$D$3:$D$12,MATCH(cadangan[[#This Row],[ItemID B]],Katalog!$C$3:$C$12,0))*cadangan[[#This Row],[Qty B]],0)</f>
        <v>0</v>
      </c>
      <c r="R790" s="73">
        <f>IFERROR(cadangan[[#This Row],[Harga Normal B]]-(cadangan[[#This Row],[Harga Normal B]]*cadangan[[#This Row],[Diskon]]),cadangan[[#This Row],[Harga Normal B]])</f>
        <v>0</v>
      </c>
      <c r="S790" s="73">
        <f>IFERROR(INDEX(Katalog!$F$3:$F$12,MATCH(cadangan[[#This Row],[ItemID B]],Katalog!$C$3:$C$12,0))*cadangan[[#This Row],[Qty B]],0)</f>
        <v>0</v>
      </c>
      <c r="T790" s="73">
        <f>IFERROR(cadangan[[#This Row],[Harga Diskon B]]-INDEX(Katalog!$E$3:$E$12,MATCH(cadangan[[#This Row],[ItemID B]],Katalog!$C$3:$C$12,0))*cadangan[[#This Row],[Qty B]],0)</f>
        <v>0</v>
      </c>
      <c r="V790" s="39" t="str">
        <f>IFERROR(INDEX(Katalog!$A$3:$A$12,MATCH(cadangan[[#This Row],[ItemID C]],Katalog!$C$3:$C$12,0)),"-")</f>
        <v>-</v>
      </c>
      <c r="W790" s="39" t="str">
        <f>IFERROR(INDEX(Katalog!$B$3:$B$12,MATCH(cadangan[[#This Row],[ItemID C]],Katalog!$C$3:$C$12,0)),"-")</f>
        <v>-</v>
      </c>
      <c r="Z790" s="73">
        <f>IFERROR(INDEX(Katalog!$D$3:$D$12,MATCH(cadangan[[#This Row],[ItemID C]],Katalog!$C$3:$C$12,0))*cadangan[[#This Row],[Qty C]],0)</f>
        <v>0</v>
      </c>
      <c r="AA790" s="73">
        <f>IFERROR(cadangan[[#This Row],[Harga Normal C]]-(cadangan[[#This Row],[Harga Normal C]]*cadangan[[#This Row],[Diskon]]),cadangan[[#This Row],[Harga Normal C]])</f>
        <v>0</v>
      </c>
      <c r="AB790" s="73">
        <f>IFERROR(INDEX(Katalog!$F$3:$F$12,MATCH(cadangan[[#This Row],[ItemID C]],Katalog!$C$3:$C$12,0))*cadangan[[#This Row],[Qty C]],0)</f>
        <v>0</v>
      </c>
      <c r="AC790" s="73">
        <f>IFERROR(cadangan[[#This Row],[Harga Diskon C]]-INDEX(Katalog!$E$3:$E$12,MATCH(cadangan[[#This Row],[ItemID C]],Katalog!$C$3:$C$12,0))*cadangan[[#This Row],[Qty C]],0)</f>
        <v>0</v>
      </c>
      <c r="AD790" s="53">
        <f>cadangan[[#This Row],[Qty A]]+cadangan[[#This Row],[Qty B]]+cadangan[[#This Row],[Qty C]]</f>
        <v>2</v>
      </c>
      <c r="AE790" s="73">
        <f>cadangan[[#This Row],[Harga Normal A]]+cadangan[[#This Row],[Harga Normal B]]+cadangan[[#This Row],[Harga Normal C]]</f>
        <v>300000</v>
      </c>
      <c r="AF790" s="73">
        <f>cadangan[[#This Row],[Harga Diskon A]]+cadangan[[#This Row],[Harga Diskon B]]+cadangan[[#This Row],[Harga Diskon C]]</f>
        <v>255000</v>
      </c>
      <c r="AG790" s="73">
        <f>(cadangan[[#This Row],[Profit Normal A]]+cadangan[[#This Row],[Profit Normal B]]+cadangan[[#This Row],[Profit Normal C]])</f>
        <v>120000</v>
      </c>
      <c r="AH790" s="73">
        <f>cadangan[[#This Row],[Profit Diskon A]]+cadangan[[#This Row],[Profit Diskon B]]+cadangan[[#This Row],[Profit Diskon C]]</f>
        <v>75000</v>
      </c>
      <c r="AI790" s="23" t="s">
        <v>28</v>
      </c>
      <c r="AJ790" s="37">
        <f>IFERROR(INDEX('Kode Diskon'!$D$3:$D$9,MATCH(cadangan[[#This Row],[Kode diskon]],'Kode Diskon'!$C$3:$C$9,0)),"-")</f>
        <v>0.15</v>
      </c>
      <c r="AK790" s="23" t="s">
        <v>29</v>
      </c>
      <c r="AL790" s="23" t="s">
        <v>14</v>
      </c>
      <c r="AM790" s="23" t="s">
        <v>76</v>
      </c>
      <c r="AN790" s="55">
        <v>45019</v>
      </c>
      <c r="AO790" s="53">
        <f>DAY(cadangan[[#This Row],[Tanggal terjual]])</f>
        <v>3</v>
      </c>
      <c r="AP790" s="21" t="str">
        <f>TEXT(cadangan[[#This Row],[Tanggal terjual]],"dddd")</f>
        <v>Monday</v>
      </c>
      <c r="AQ790" s="23" t="str" cm="1">
        <f t="array" ref="AQ7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90" s="61">
        <f>AVERAGE(cadangan[[#This Row],[Rating A]],cadangan[[#This Row],[Rating B]],cadangan[[#This Row],[Rating C]])</f>
        <v>2</v>
      </c>
    </row>
    <row r="791" spans="1:44" x14ac:dyDescent="0.2">
      <c r="A791" s="20">
        <v>790</v>
      </c>
      <c r="B791" s="21" t="str">
        <f>_xlfn.CONCAT("ORD-",INDEX(Helper!$B$2:$B$5,MATCH(cadangan[[#This Row],[Marketplace]],Helper!$A$2:$A$5,0)),TEXT(cadangan[[#This Row],[No]],"0000"),"-",TEXT(cadangan[[#This Row],[Tanggal terjual]],"dd/mm/yy"))</f>
        <v>ORD-BL0790-17/04/23</v>
      </c>
      <c r="C791" s="39" t="s">
        <v>62</v>
      </c>
      <c r="D791" s="39" t="str">
        <f>IFERROR(INDEX(Katalog!$A$3:$A$12,MATCH(cadangan[[#This Row],[ItemID A]],Katalog!$C$3:$C$12,0)),"-")</f>
        <v>Pakaian Pria</v>
      </c>
      <c r="E791" s="39" t="str">
        <f>IFERROR(INDEX(Katalog!$B$3:$B$12,MATCH(cadangan[[#This Row],[ItemID A]],Katalog!$C$3:$C$12,0)),"-")</f>
        <v>Celana Pendek</v>
      </c>
      <c r="F791" s="50">
        <v>2</v>
      </c>
      <c r="G791" s="50">
        <v>5</v>
      </c>
      <c r="H791" s="73">
        <f>IFERROR(INDEX(Katalog!$D$3:$D$12,MATCH(cadangan[[#This Row],[ItemID A]],Katalog!$C$3:$C$12,0))*cadangan[[#This Row],[Qty A]],0)</f>
        <v>360000</v>
      </c>
      <c r="I791" s="73">
        <f>IFERROR(cadangan[[#This Row],[Harga Normal A]]-(cadangan[[#This Row],[Harga Normal A]]*cadangan[[#This Row],[Diskon]]),cadangan[[#This Row],[Harga Normal A]])</f>
        <v>306000</v>
      </c>
      <c r="J791" s="73">
        <f>INDEX(Katalog!$F$3:$F$12,MATCH(cadangan[[#This Row],[ItemID A]],Katalog!$C$3:$C$12,0))*cadangan[[#This Row],[Qty A]]</f>
        <v>140000</v>
      </c>
      <c r="K791" s="73">
        <f>IFERROR(cadangan[[#This Row],[Harga Diskon A]]-INDEX(Katalog!$E$3:$E$12,MATCH(cadangan[[#This Row],[ItemID A]],Katalog!$C$3:$C$12,0))*cadangan[[#This Row],[Qty A]],0)</f>
        <v>86000</v>
      </c>
      <c r="L791" s="39" t="s">
        <v>66</v>
      </c>
      <c r="M791" s="39" t="str">
        <f>IFERROR(INDEX(Katalog!$A$3:$A$12,MATCH(cadangan[[#This Row],[ItemID B]],Katalog!$C$3:$C$12,0)),"-")</f>
        <v>Sepatu Pria</v>
      </c>
      <c r="N791" s="39" t="str">
        <f>IFERROR(INDEX(Katalog!$B$3:$B$12,MATCH(cadangan[[#This Row],[ItemID B]],Katalog!$C$3:$C$12,0)),"-")</f>
        <v>Sandal Slip On</v>
      </c>
      <c r="O791" s="50">
        <v>4</v>
      </c>
      <c r="P791" s="50">
        <v>1</v>
      </c>
      <c r="Q791" s="73">
        <f>IFERROR(INDEX(Katalog!$D$3:$D$12,MATCH(cadangan[[#This Row],[ItemID B]],Katalog!$C$3:$C$12,0))*cadangan[[#This Row],[Qty B]],0)</f>
        <v>600000</v>
      </c>
      <c r="R791" s="73">
        <f>IFERROR(cadangan[[#This Row],[Harga Normal B]]-(cadangan[[#This Row],[Harga Normal B]]*cadangan[[#This Row],[Diskon]]),cadangan[[#This Row],[Harga Normal B]])</f>
        <v>510000</v>
      </c>
      <c r="S791" s="73">
        <f>IFERROR(INDEX(Katalog!$F$3:$F$12,MATCH(cadangan[[#This Row],[ItemID B]],Katalog!$C$3:$C$12,0))*cadangan[[#This Row],[Qty B]],0)</f>
        <v>240000</v>
      </c>
      <c r="T791" s="73">
        <f>IFERROR(cadangan[[#This Row],[Harga Diskon B]]-INDEX(Katalog!$E$3:$E$12,MATCH(cadangan[[#This Row],[ItemID B]],Katalog!$C$3:$C$12,0))*cadangan[[#This Row],[Qty B]],0)</f>
        <v>150000</v>
      </c>
      <c r="V791" s="39" t="str">
        <f>IFERROR(INDEX(Katalog!$A$3:$A$12,MATCH(cadangan[[#This Row],[ItemID C]],Katalog!$C$3:$C$12,0)),"-")</f>
        <v>-</v>
      </c>
      <c r="W791" s="39" t="str">
        <f>IFERROR(INDEX(Katalog!$B$3:$B$12,MATCH(cadangan[[#This Row],[ItemID C]],Katalog!$C$3:$C$12,0)),"-")</f>
        <v>-</v>
      </c>
      <c r="Z791" s="73">
        <f>IFERROR(INDEX(Katalog!$D$3:$D$12,MATCH(cadangan[[#This Row],[ItemID C]],Katalog!$C$3:$C$12,0))*cadangan[[#This Row],[Qty C]],0)</f>
        <v>0</v>
      </c>
      <c r="AA791" s="73">
        <f>IFERROR(cadangan[[#This Row],[Harga Normal C]]-(cadangan[[#This Row],[Harga Normal C]]*cadangan[[#This Row],[Diskon]]),cadangan[[#This Row],[Harga Normal C]])</f>
        <v>0</v>
      </c>
      <c r="AB791" s="73">
        <f>IFERROR(INDEX(Katalog!$F$3:$F$12,MATCH(cadangan[[#This Row],[ItemID C]],Katalog!$C$3:$C$12,0))*cadangan[[#This Row],[Qty C]],0)</f>
        <v>0</v>
      </c>
      <c r="AC791" s="73">
        <f>IFERROR(cadangan[[#This Row],[Harga Diskon C]]-INDEX(Katalog!$E$3:$E$12,MATCH(cadangan[[#This Row],[ItemID C]],Katalog!$C$3:$C$12,0))*cadangan[[#This Row],[Qty C]],0)</f>
        <v>0</v>
      </c>
      <c r="AD791" s="53">
        <f>cadangan[[#This Row],[Qty A]]+cadangan[[#This Row],[Qty B]]+cadangan[[#This Row],[Qty C]]</f>
        <v>6</v>
      </c>
      <c r="AE791" s="73">
        <f>cadangan[[#This Row],[Harga Normal A]]+cadangan[[#This Row],[Harga Normal B]]+cadangan[[#This Row],[Harga Normal C]]</f>
        <v>960000</v>
      </c>
      <c r="AF791" s="73">
        <f>cadangan[[#This Row],[Harga Diskon A]]+cadangan[[#This Row],[Harga Diskon B]]+cadangan[[#This Row],[Harga Diskon C]]</f>
        <v>816000</v>
      </c>
      <c r="AG791" s="73">
        <f>(cadangan[[#This Row],[Profit Normal A]]+cadangan[[#This Row],[Profit Normal B]]+cadangan[[#This Row],[Profit Normal C]])</f>
        <v>380000</v>
      </c>
      <c r="AH791" s="73">
        <f>cadangan[[#This Row],[Profit Diskon A]]+cadangan[[#This Row],[Profit Diskon B]]+cadangan[[#This Row],[Profit Diskon C]]</f>
        <v>236000</v>
      </c>
      <c r="AI791" s="23" t="s">
        <v>32</v>
      </c>
      <c r="AJ791" s="37">
        <f>IFERROR(INDEX('Kode Diskon'!$D$3:$D$9,MATCH(cadangan[[#This Row],[Kode diskon]],'Kode Diskon'!$C$3:$C$9,0)),"-")</f>
        <v>0.15</v>
      </c>
      <c r="AK791" s="23" t="s">
        <v>9</v>
      </c>
      <c r="AL791" s="23" t="s">
        <v>12</v>
      </c>
      <c r="AM791" s="23" t="s">
        <v>80</v>
      </c>
      <c r="AN791" s="55">
        <v>45033</v>
      </c>
      <c r="AO791" s="53">
        <f>DAY(cadangan[[#This Row],[Tanggal terjual]])</f>
        <v>17</v>
      </c>
      <c r="AP791" s="21" t="str">
        <f>TEXT(cadangan[[#This Row],[Tanggal terjual]],"dddd")</f>
        <v>Monday</v>
      </c>
      <c r="AQ791" s="23" t="str" cm="1">
        <f t="array" ref="AQ7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91" s="61">
        <f>AVERAGE(cadangan[[#This Row],[Rating A]],cadangan[[#This Row],[Rating B]],cadangan[[#This Row],[Rating C]])</f>
        <v>3</v>
      </c>
    </row>
    <row r="792" spans="1:44" x14ac:dyDescent="0.2">
      <c r="A792" s="20">
        <v>791</v>
      </c>
      <c r="B792" s="21" t="str">
        <f>_xlfn.CONCAT("ORD-",INDEX(Helper!$B$2:$B$5,MATCH(cadangan[[#This Row],[Marketplace]],Helper!$A$2:$A$5,0)),TEXT(cadangan[[#This Row],[No]],"0000"),"-",TEXT(cadangan[[#This Row],[Tanggal terjual]],"dd/mm/yy"))</f>
        <v>ORD-TK0791-07/04/23</v>
      </c>
      <c r="C792" s="39" t="s">
        <v>66</v>
      </c>
      <c r="D792" s="39" t="str">
        <f>IFERROR(INDEX(Katalog!$A$3:$A$12,MATCH(cadangan[[#This Row],[ItemID A]],Katalog!$C$3:$C$12,0)),"-")</f>
        <v>Sepatu Pria</v>
      </c>
      <c r="E792" s="39" t="str">
        <f>IFERROR(INDEX(Katalog!$B$3:$B$12,MATCH(cadangan[[#This Row],[ItemID A]],Katalog!$C$3:$C$12,0)),"-")</f>
        <v>Sandal Slip On</v>
      </c>
      <c r="F792" s="50">
        <v>1</v>
      </c>
      <c r="G792" s="50">
        <v>3</v>
      </c>
      <c r="H792" s="73">
        <f>IFERROR(INDEX(Katalog!$D$3:$D$12,MATCH(cadangan[[#This Row],[ItemID A]],Katalog!$C$3:$C$12,0))*cadangan[[#This Row],[Qty A]],0)</f>
        <v>150000</v>
      </c>
      <c r="I792" s="73">
        <f>IFERROR(cadangan[[#This Row],[Harga Normal A]]-(cadangan[[#This Row],[Harga Normal A]]*cadangan[[#This Row],[Diskon]]),cadangan[[#This Row],[Harga Normal A]])</f>
        <v>150000</v>
      </c>
      <c r="J792" s="73">
        <f>INDEX(Katalog!$F$3:$F$12,MATCH(cadangan[[#This Row],[ItemID A]],Katalog!$C$3:$C$12,0))*cadangan[[#This Row],[Qty A]]</f>
        <v>60000</v>
      </c>
      <c r="K792" s="73">
        <f>IFERROR(cadangan[[#This Row],[Harga Diskon A]]-INDEX(Katalog!$E$3:$E$12,MATCH(cadangan[[#This Row],[ItemID A]],Katalog!$C$3:$C$12,0))*cadangan[[#This Row],[Qty A]],0)</f>
        <v>60000</v>
      </c>
      <c r="L792" s="39" t="s">
        <v>67</v>
      </c>
      <c r="M792" s="39" t="str">
        <f>IFERROR(INDEX(Katalog!$A$3:$A$12,MATCH(cadangan[[#This Row],[ItemID B]],Katalog!$C$3:$C$12,0)),"-")</f>
        <v>Sepatu Wanita</v>
      </c>
      <c r="N792" s="39" t="str">
        <f>IFERROR(INDEX(Katalog!$B$3:$B$12,MATCH(cadangan[[#This Row],[ItemID B]],Katalog!$C$3:$C$12,0)),"-")</f>
        <v>Flat Shoes</v>
      </c>
      <c r="O792" s="50">
        <v>3</v>
      </c>
      <c r="P792" s="50">
        <v>5</v>
      </c>
      <c r="Q792" s="73">
        <f>IFERROR(INDEX(Katalog!$D$3:$D$12,MATCH(cadangan[[#This Row],[ItemID B]],Katalog!$C$3:$C$12,0))*cadangan[[#This Row],[Qty B]],0)</f>
        <v>750000</v>
      </c>
      <c r="R792" s="73">
        <f>IFERROR(cadangan[[#This Row],[Harga Normal B]]-(cadangan[[#This Row],[Harga Normal B]]*cadangan[[#This Row],[Diskon]]),cadangan[[#This Row],[Harga Normal B]])</f>
        <v>750000</v>
      </c>
      <c r="S792" s="73">
        <f>IFERROR(INDEX(Katalog!$F$3:$F$12,MATCH(cadangan[[#This Row],[ItemID B]],Katalog!$C$3:$C$12,0))*cadangan[[#This Row],[Qty B]],0)</f>
        <v>300000</v>
      </c>
      <c r="T792" s="73">
        <f>IFERROR(cadangan[[#This Row],[Harga Diskon B]]-INDEX(Katalog!$E$3:$E$12,MATCH(cadangan[[#This Row],[ItemID B]],Katalog!$C$3:$C$12,0))*cadangan[[#This Row],[Qty B]],0)</f>
        <v>300000</v>
      </c>
      <c r="V792" s="39" t="str">
        <f>IFERROR(INDEX(Katalog!$A$3:$A$12,MATCH(cadangan[[#This Row],[ItemID C]],Katalog!$C$3:$C$12,0)),"-")</f>
        <v>-</v>
      </c>
      <c r="W792" s="39" t="str">
        <f>IFERROR(INDEX(Katalog!$B$3:$B$12,MATCH(cadangan[[#This Row],[ItemID C]],Katalog!$C$3:$C$12,0)),"-")</f>
        <v>-</v>
      </c>
      <c r="Z792" s="73">
        <f>IFERROR(INDEX(Katalog!$D$3:$D$12,MATCH(cadangan[[#This Row],[ItemID C]],Katalog!$C$3:$C$12,0))*cadangan[[#This Row],[Qty C]],0)</f>
        <v>0</v>
      </c>
      <c r="AA792" s="73">
        <f>IFERROR(cadangan[[#This Row],[Harga Normal C]]-(cadangan[[#This Row],[Harga Normal C]]*cadangan[[#This Row],[Diskon]]),cadangan[[#This Row],[Harga Normal C]])</f>
        <v>0</v>
      </c>
      <c r="AB792" s="73">
        <f>IFERROR(INDEX(Katalog!$F$3:$F$12,MATCH(cadangan[[#This Row],[ItemID C]],Katalog!$C$3:$C$12,0))*cadangan[[#This Row],[Qty C]],0)</f>
        <v>0</v>
      </c>
      <c r="AC792" s="73">
        <f>IFERROR(cadangan[[#This Row],[Harga Diskon C]]-INDEX(Katalog!$E$3:$E$12,MATCH(cadangan[[#This Row],[ItemID C]],Katalog!$C$3:$C$12,0))*cadangan[[#This Row],[Qty C]],0)</f>
        <v>0</v>
      </c>
      <c r="AD792" s="53">
        <f>cadangan[[#This Row],[Qty A]]+cadangan[[#This Row],[Qty B]]+cadangan[[#This Row],[Qty C]]</f>
        <v>4</v>
      </c>
      <c r="AE792" s="73">
        <f>cadangan[[#This Row],[Harga Normal A]]+cadangan[[#This Row],[Harga Normal B]]+cadangan[[#This Row],[Harga Normal C]]</f>
        <v>900000</v>
      </c>
      <c r="AF792" s="73">
        <f>cadangan[[#This Row],[Harga Diskon A]]+cadangan[[#This Row],[Harga Diskon B]]+cadangan[[#This Row],[Harga Diskon C]]</f>
        <v>900000</v>
      </c>
      <c r="AG792" s="73">
        <f>(cadangan[[#This Row],[Profit Normal A]]+cadangan[[#This Row],[Profit Normal B]]+cadangan[[#This Row],[Profit Normal C]])</f>
        <v>360000</v>
      </c>
      <c r="AH792" s="73">
        <f>cadangan[[#This Row],[Profit Diskon A]]+cadangan[[#This Row],[Profit Diskon B]]+cadangan[[#This Row],[Profit Diskon C]]</f>
        <v>360000</v>
      </c>
      <c r="AI792" s="23" t="s">
        <v>290</v>
      </c>
      <c r="AJ792" s="37" t="str">
        <f>IFERROR(INDEX('Kode Diskon'!$D$3:$D$9,MATCH(cadangan[[#This Row],[Kode diskon]],'Kode Diskon'!$C$3:$C$9,0)),"-")</f>
        <v>-</v>
      </c>
      <c r="AK792" s="23" t="s">
        <v>290</v>
      </c>
      <c r="AL792" s="23" t="s">
        <v>10</v>
      </c>
      <c r="AM792" s="23" t="s">
        <v>80</v>
      </c>
      <c r="AN792" s="55">
        <v>45023</v>
      </c>
      <c r="AO792" s="53">
        <f>DAY(cadangan[[#This Row],[Tanggal terjual]])</f>
        <v>7</v>
      </c>
      <c r="AP792" s="21" t="str">
        <f>TEXT(cadangan[[#This Row],[Tanggal terjual]],"dddd")</f>
        <v>Friday</v>
      </c>
      <c r="AQ792" s="23" t="str" cm="1">
        <f t="array" ref="AQ7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92" s="61">
        <f>AVERAGE(cadangan[[#This Row],[Rating A]],cadangan[[#This Row],[Rating B]],cadangan[[#This Row],[Rating C]])</f>
        <v>4</v>
      </c>
    </row>
    <row r="793" spans="1:44" x14ac:dyDescent="0.2">
      <c r="A793" s="20">
        <v>792</v>
      </c>
      <c r="B793" s="21" t="str">
        <f>_xlfn.CONCAT("ORD-",INDEX(Helper!$B$2:$B$5,MATCH(cadangan[[#This Row],[Marketplace]],Helper!$A$2:$A$5,0)),TEXT(cadangan[[#This Row],[No]],"0000"),"-",TEXT(cadangan[[#This Row],[Tanggal terjual]],"dd/mm/yy"))</f>
        <v>ORD-SP0792-03/04/23</v>
      </c>
      <c r="C793" s="39" t="s">
        <v>61</v>
      </c>
      <c r="D793" s="39" t="str">
        <f>IFERROR(INDEX(Katalog!$A$3:$A$12,MATCH(cadangan[[#This Row],[ItemID A]],Katalog!$C$3:$C$12,0)),"-")</f>
        <v>Pakaian Pria</v>
      </c>
      <c r="E793" s="39" t="str">
        <f>IFERROR(INDEX(Katalog!$B$3:$B$12,MATCH(cadangan[[#This Row],[ItemID A]],Katalog!$C$3:$C$12,0)),"-")</f>
        <v>Kaos Polo</v>
      </c>
      <c r="F793" s="50">
        <v>4</v>
      </c>
      <c r="G793" s="50">
        <v>1</v>
      </c>
      <c r="H793" s="73">
        <f>IFERROR(INDEX(Katalog!$D$3:$D$12,MATCH(cadangan[[#This Row],[ItemID A]],Katalog!$C$3:$C$12,0))*cadangan[[#This Row],[Qty A]],0)</f>
        <v>800000</v>
      </c>
      <c r="I793" s="73">
        <f>IFERROR(cadangan[[#This Row],[Harga Normal A]]-(cadangan[[#This Row],[Harga Normal A]]*cadangan[[#This Row],[Diskon]]),cadangan[[#This Row],[Harga Normal A]])</f>
        <v>680000</v>
      </c>
      <c r="J793" s="73">
        <f>INDEX(Katalog!$F$3:$F$12,MATCH(cadangan[[#This Row],[ItemID A]],Katalog!$C$3:$C$12,0))*cadangan[[#This Row],[Qty A]]</f>
        <v>320000</v>
      </c>
      <c r="K793" s="73">
        <f>IFERROR(cadangan[[#This Row],[Harga Diskon A]]-INDEX(Katalog!$E$3:$E$12,MATCH(cadangan[[#This Row],[ItemID A]],Katalog!$C$3:$C$12,0))*cadangan[[#This Row],[Qty A]],0)</f>
        <v>200000</v>
      </c>
      <c r="M793" s="39" t="str">
        <f>IFERROR(INDEX(Katalog!$A$3:$A$12,MATCH(cadangan[[#This Row],[ItemID B]],Katalog!$C$3:$C$12,0)),"-")</f>
        <v>-</v>
      </c>
      <c r="N793" s="39" t="str">
        <f>IFERROR(INDEX(Katalog!$B$3:$B$12,MATCH(cadangan[[#This Row],[ItemID B]],Katalog!$C$3:$C$12,0)),"-")</f>
        <v>-</v>
      </c>
      <c r="Q793" s="73">
        <f>IFERROR(INDEX(Katalog!$D$3:$D$12,MATCH(cadangan[[#This Row],[ItemID B]],Katalog!$C$3:$C$12,0))*cadangan[[#This Row],[Qty B]],0)</f>
        <v>0</v>
      </c>
      <c r="R793" s="73">
        <f>IFERROR(cadangan[[#This Row],[Harga Normal B]]-(cadangan[[#This Row],[Harga Normal B]]*cadangan[[#This Row],[Diskon]]),cadangan[[#This Row],[Harga Normal B]])</f>
        <v>0</v>
      </c>
      <c r="S793" s="73">
        <f>IFERROR(INDEX(Katalog!$F$3:$F$12,MATCH(cadangan[[#This Row],[ItemID B]],Katalog!$C$3:$C$12,0))*cadangan[[#This Row],[Qty B]],0)</f>
        <v>0</v>
      </c>
      <c r="T793" s="73">
        <f>IFERROR(cadangan[[#This Row],[Harga Diskon B]]-INDEX(Katalog!$E$3:$E$12,MATCH(cadangan[[#This Row],[ItemID B]],Katalog!$C$3:$C$12,0))*cadangan[[#This Row],[Qty B]],0)</f>
        <v>0</v>
      </c>
      <c r="V793" s="39" t="str">
        <f>IFERROR(INDEX(Katalog!$A$3:$A$12,MATCH(cadangan[[#This Row],[ItemID C]],Katalog!$C$3:$C$12,0)),"-")</f>
        <v>-</v>
      </c>
      <c r="W793" s="39" t="str">
        <f>IFERROR(INDEX(Katalog!$B$3:$B$12,MATCH(cadangan[[#This Row],[ItemID C]],Katalog!$C$3:$C$12,0)),"-")</f>
        <v>-</v>
      </c>
      <c r="Z793" s="73">
        <f>IFERROR(INDEX(Katalog!$D$3:$D$12,MATCH(cadangan[[#This Row],[ItemID C]],Katalog!$C$3:$C$12,0))*cadangan[[#This Row],[Qty C]],0)</f>
        <v>0</v>
      </c>
      <c r="AA793" s="73">
        <f>IFERROR(cadangan[[#This Row],[Harga Normal C]]-(cadangan[[#This Row],[Harga Normal C]]*cadangan[[#This Row],[Diskon]]),cadangan[[#This Row],[Harga Normal C]])</f>
        <v>0</v>
      </c>
      <c r="AB793" s="73">
        <f>IFERROR(INDEX(Katalog!$F$3:$F$12,MATCH(cadangan[[#This Row],[ItemID C]],Katalog!$C$3:$C$12,0))*cadangan[[#This Row],[Qty C]],0)</f>
        <v>0</v>
      </c>
      <c r="AC793" s="73">
        <f>IFERROR(cadangan[[#This Row],[Harga Diskon C]]-INDEX(Katalog!$E$3:$E$12,MATCH(cadangan[[#This Row],[ItemID C]],Katalog!$C$3:$C$12,0))*cadangan[[#This Row],[Qty C]],0)</f>
        <v>0</v>
      </c>
      <c r="AD793" s="53">
        <f>cadangan[[#This Row],[Qty A]]+cadangan[[#This Row],[Qty B]]+cadangan[[#This Row],[Qty C]]</f>
        <v>4</v>
      </c>
      <c r="AE793" s="73">
        <f>cadangan[[#This Row],[Harga Normal A]]+cadangan[[#This Row],[Harga Normal B]]+cadangan[[#This Row],[Harga Normal C]]</f>
        <v>800000</v>
      </c>
      <c r="AF793" s="73">
        <f>cadangan[[#This Row],[Harga Diskon A]]+cadangan[[#This Row],[Harga Diskon B]]+cadangan[[#This Row],[Harga Diskon C]]</f>
        <v>680000</v>
      </c>
      <c r="AG793" s="73">
        <f>(cadangan[[#This Row],[Profit Normal A]]+cadangan[[#This Row],[Profit Normal B]]+cadangan[[#This Row],[Profit Normal C]])</f>
        <v>320000</v>
      </c>
      <c r="AH793" s="73">
        <f>cadangan[[#This Row],[Profit Diskon A]]+cadangan[[#This Row],[Profit Diskon B]]+cadangan[[#This Row],[Profit Diskon C]]</f>
        <v>200000</v>
      </c>
      <c r="AI793" s="23" t="s">
        <v>13</v>
      </c>
      <c r="AJ793" s="37">
        <f>IFERROR(INDEX('Kode Diskon'!$D$3:$D$9,MATCH(cadangan[[#This Row],[Kode diskon]],'Kode Diskon'!$C$3:$C$9,0)),"-")</f>
        <v>0.15</v>
      </c>
      <c r="AK793" s="23" t="s">
        <v>29</v>
      </c>
      <c r="AL793" s="23" t="s">
        <v>7</v>
      </c>
      <c r="AM793" s="23" t="s">
        <v>80</v>
      </c>
      <c r="AN793" s="55">
        <v>45019</v>
      </c>
      <c r="AO793" s="53">
        <f>DAY(cadangan[[#This Row],[Tanggal terjual]])</f>
        <v>3</v>
      </c>
      <c r="AP793" s="21" t="str">
        <f>TEXT(cadangan[[#This Row],[Tanggal terjual]],"dddd")</f>
        <v>Monday</v>
      </c>
      <c r="AQ793" s="23" t="str" cm="1">
        <f t="array" ref="AQ7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93" s="61">
        <f>AVERAGE(cadangan[[#This Row],[Rating A]],cadangan[[#This Row],[Rating B]],cadangan[[#This Row],[Rating C]])</f>
        <v>1</v>
      </c>
    </row>
    <row r="794" spans="1:44" x14ac:dyDescent="0.2">
      <c r="A794" s="20">
        <v>793</v>
      </c>
      <c r="B794" s="21" t="str">
        <f>_xlfn.CONCAT("ORD-",INDEX(Helper!$B$2:$B$5,MATCH(cadangan[[#This Row],[Marketplace]],Helper!$A$2:$A$5,0)),TEXT(cadangan[[#This Row],[No]],"0000"),"-",TEXT(cadangan[[#This Row],[Tanggal terjual]],"dd/mm/yy"))</f>
        <v>ORD-BL0793-24/04/23</v>
      </c>
      <c r="C794" s="39" t="s">
        <v>67</v>
      </c>
      <c r="D794" s="39" t="str">
        <f>IFERROR(INDEX(Katalog!$A$3:$A$12,MATCH(cadangan[[#This Row],[ItemID A]],Katalog!$C$3:$C$12,0)),"-")</f>
        <v>Sepatu Wanita</v>
      </c>
      <c r="E794" s="39" t="str">
        <f>IFERROR(INDEX(Katalog!$B$3:$B$12,MATCH(cadangan[[#This Row],[ItemID A]],Katalog!$C$3:$C$12,0)),"-")</f>
        <v>Flat Shoes</v>
      </c>
      <c r="F794" s="50">
        <v>2</v>
      </c>
      <c r="G794" s="50">
        <v>2</v>
      </c>
      <c r="H794" s="73">
        <f>IFERROR(INDEX(Katalog!$D$3:$D$12,MATCH(cadangan[[#This Row],[ItemID A]],Katalog!$C$3:$C$12,0))*cadangan[[#This Row],[Qty A]],0)</f>
        <v>500000</v>
      </c>
      <c r="I794" s="73">
        <f>IFERROR(cadangan[[#This Row],[Harga Normal A]]-(cadangan[[#This Row],[Harga Normal A]]*cadangan[[#This Row],[Diskon]]),cadangan[[#This Row],[Harga Normal A]])</f>
        <v>425000</v>
      </c>
      <c r="J794" s="73">
        <f>INDEX(Katalog!$F$3:$F$12,MATCH(cadangan[[#This Row],[ItemID A]],Katalog!$C$3:$C$12,0))*cadangan[[#This Row],[Qty A]]</f>
        <v>200000</v>
      </c>
      <c r="K794" s="73">
        <f>IFERROR(cadangan[[#This Row],[Harga Diskon A]]-INDEX(Katalog!$E$3:$E$12,MATCH(cadangan[[#This Row],[ItemID A]],Katalog!$C$3:$C$12,0))*cadangan[[#This Row],[Qty A]],0)</f>
        <v>125000</v>
      </c>
      <c r="M794" s="39" t="str">
        <f>IFERROR(INDEX(Katalog!$A$3:$A$12,MATCH(cadangan[[#This Row],[ItemID B]],Katalog!$C$3:$C$12,0)),"-")</f>
        <v>-</v>
      </c>
      <c r="N794" s="39" t="str">
        <f>IFERROR(INDEX(Katalog!$B$3:$B$12,MATCH(cadangan[[#This Row],[ItemID B]],Katalog!$C$3:$C$12,0)),"-")</f>
        <v>-</v>
      </c>
      <c r="Q794" s="73">
        <f>IFERROR(INDEX(Katalog!$D$3:$D$12,MATCH(cadangan[[#This Row],[ItemID B]],Katalog!$C$3:$C$12,0))*cadangan[[#This Row],[Qty B]],0)</f>
        <v>0</v>
      </c>
      <c r="R794" s="73">
        <f>IFERROR(cadangan[[#This Row],[Harga Normal B]]-(cadangan[[#This Row],[Harga Normal B]]*cadangan[[#This Row],[Diskon]]),cadangan[[#This Row],[Harga Normal B]])</f>
        <v>0</v>
      </c>
      <c r="S794" s="73">
        <f>IFERROR(INDEX(Katalog!$F$3:$F$12,MATCH(cadangan[[#This Row],[ItemID B]],Katalog!$C$3:$C$12,0))*cadangan[[#This Row],[Qty B]],0)</f>
        <v>0</v>
      </c>
      <c r="T794" s="73">
        <f>IFERROR(cadangan[[#This Row],[Harga Diskon B]]-INDEX(Katalog!$E$3:$E$12,MATCH(cadangan[[#This Row],[ItemID B]],Katalog!$C$3:$C$12,0))*cadangan[[#This Row],[Qty B]],0)</f>
        <v>0</v>
      </c>
      <c r="V794" s="39" t="str">
        <f>IFERROR(INDEX(Katalog!$A$3:$A$12,MATCH(cadangan[[#This Row],[ItemID C]],Katalog!$C$3:$C$12,0)),"-")</f>
        <v>-</v>
      </c>
      <c r="W794" s="39" t="str">
        <f>IFERROR(INDEX(Katalog!$B$3:$B$12,MATCH(cadangan[[#This Row],[ItemID C]],Katalog!$C$3:$C$12,0)),"-")</f>
        <v>-</v>
      </c>
      <c r="Z794" s="73">
        <f>IFERROR(INDEX(Katalog!$D$3:$D$12,MATCH(cadangan[[#This Row],[ItemID C]],Katalog!$C$3:$C$12,0))*cadangan[[#This Row],[Qty C]],0)</f>
        <v>0</v>
      </c>
      <c r="AA794" s="73">
        <f>IFERROR(cadangan[[#This Row],[Harga Normal C]]-(cadangan[[#This Row],[Harga Normal C]]*cadangan[[#This Row],[Diskon]]),cadangan[[#This Row],[Harga Normal C]])</f>
        <v>0</v>
      </c>
      <c r="AB794" s="73">
        <f>IFERROR(INDEX(Katalog!$F$3:$F$12,MATCH(cadangan[[#This Row],[ItemID C]],Katalog!$C$3:$C$12,0))*cadangan[[#This Row],[Qty C]],0)</f>
        <v>0</v>
      </c>
      <c r="AC794" s="73">
        <f>IFERROR(cadangan[[#This Row],[Harga Diskon C]]-INDEX(Katalog!$E$3:$E$12,MATCH(cadangan[[#This Row],[ItemID C]],Katalog!$C$3:$C$12,0))*cadangan[[#This Row],[Qty C]],0)</f>
        <v>0</v>
      </c>
      <c r="AD794" s="53">
        <f>cadangan[[#This Row],[Qty A]]+cadangan[[#This Row],[Qty B]]+cadangan[[#This Row],[Qty C]]</f>
        <v>2</v>
      </c>
      <c r="AE794" s="73">
        <f>cadangan[[#This Row],[Harga Normal A]]+cadangan[[#This Row],[Harga Normal B]]+cadangan[[#This Row],[Harga Normal C]]</f>
        <v>500000</v>
      </c>
      <c r="AF794" s="73">
        <f>cadangan[[#This Row],[Harga Diskon A]]+cadangan[[#This Row],[Harga Diskon B]]+cadangan[[#This Row],[Harga Diskon C]]</f>
        <v>425000</v>
      </c>
      <c r="AG794" s="73">
        <f>(cadangan[[#This Row],[Profit Normal A]]+cadangan[[#This Row],[Profit Normal B]]+cadangan[[#This Row],[Profit Normal C]])</f>
        <v>200000</v>
      </c>
      <c r="AH794" s="73">
        <f>cadangan[[#This Row],[Profit Diskon A]]+cadangan[[#This Row],[Profit Diskon B]]+cadangan[[#This Row],[Profit Diskon C]]</f>
        <v>125000</v>
      </c>
      <c r="AI794" s="23" t="s">
        <v>32</v>
      </c>
      <c r="AJ794" s="37">
        <f>IFERROR(INDEX('Kode Diskon'!$D$3:$D$9,MATCH(cadangan[[#This Row],[Kode diskon]],'Kode Diskon'!$C$3:$C$9,0)),"-")</f>
        <v>0.15</v>
      </c>
      <c r="AK794" s="23" t="s">
        <v>9</v>
      </c>
      <c r="AL794" s="23" t="s">
        <v>12</v>
      </c>
      <c r="AM794" s="23" t="s">
        <v>79</v>
      </c>
      <c r="AN794" s="55">
        <v>45040</v>
      </c>
      <c r="AO794" s="53">
        <f>DAY(cadangan[[#This Row],[Tanggal terjual]])</f>
        <v>24</v>
      </c>
      <c r="AP794" s="21" t="str">
        <f>TEXT(cadangan[[#This Row],[Tanggal terjual]],"dddd")</f>
        <v>Monday</v>
      </c>
      <c r="AQ794" s="23" t="str" cm="1">
        <f t="array" ref="AQ7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94" s="61">
        <f>AVERAGE(cadangan[[#This Row],[Rating A]],cadangan[[#This Row],[Rating B]],cadangan[[#This Row],[Rating C]])</f>
        <v>2</v>
      </c>
    </row>
    <row r="795" spans="1:44" x14ac:dyDescent="0.2">
      <c r="A795" s="20">
        <v>794</v>
      </c>
      <c r="B795" s="21" t="str">
        <f>_xlfn.CONCAT("ORD-",INDEX(Helper!$B$2:$B$5,MATCH(cadangan[[#This Row],[Marketplace]],Helper!$A$2:$A$5,0)),TEXT(cadangan[[#This Row],[No]],"0000"),"-",TEXT(cadangan[[#This Row],[Tanggal terjual]],"dd/mm/yy"))</f>
        <v>ORD-BL0794-14/04/23</v>
      </c>
      <c r="C795" s="39" t="s">
        <v>61</v>
      </c>
      <c r="D795" s="39" t="str">
        <f>IFERROR(INDEX(Katalog!$A$3:$A$12,MATCH(cadangan[[#This Row],[ItemID A]],Katalog!$C$3:$C$12,0)),"-")</f>
        <v>Pakaian Pria</v>
      </c>
      <c r="E795" s="39" t="str">
        <f>IFERROR(INDEX(Katalog!$B$3:$B$12,MATCH(cadangan[[#This Row],[ItemID A]],Katalog!$C$3:$C$12,0)),"-")</f>
        <v>Kaos Polo</v>
      </c>
      <c r="F795" s="50">
        <v>1</v>
      </c>
      <c r="G795" s="50">
        <v>2</v>
      </c>
      <c r="H795" s="73">
        <f>IFERROR(INDEX(Katalog!$D$3:$D$12,MATCH(cadangan[[#This Row],[ItemID A]],Katalog!$C$3:$C$12,0))*cadangan[[#This Row],[Qty A]],0)</f>
        <v>200000</v>
      </c>
      <c r="I795" s="73">
        <f>IFERROR(cadangan[[#This Row],[Harga Normal A]]-(cadangan[[#This Row],[Harga Normal A]]*cadangan[[#This Row],[Diskon]]),cadangan[[#This Row],[Harga Normal A]])</f>
        <v>200000</v>
      </c>
      <c r="J795" s="73">
        <f>INDEX(Katalog!$F$3:$F$12,MATCH(cadangan[[#This Row],[ItemID A]],Katalog!$C$3:$C$12,0))*cadangan[[#This Row],[Qty A]]</f>
        <v>80000</v>
      </c>
      <c r="K795" s="73">
        <f>IFERROR(cadangan[[#This Row],[Harga Diskon A]]-INDEX(Katalog!$E$3:$E$12,MATCH(cadangan[[#This Row],[ItemID A]],Katalog!$C$3:$C$12,0))*cadangan[[#This Row],[Qty A]],0)</f>
        <v>80000</v>
      </c>
      <c r="L795" s="39" t="s">
        <v>62</v>
      </c>
      <c r="M795" s="39" t="str">
        <f>IFERROR(INDEX(Katalog!$A$3:$A$12,MATCH(cadangan[[#This Row],[ItemID B]],Katalog!$C$3:$C$12,0)),"-")</f>
        <v>Pakaian Pria</v>
      </c>
      <c r="N795" s="39" t="str">
        <f>IFERROR(INDEX(Katalog!$B$3:$B$12,MATCH(cadangan[[#This Row],[ItemID B]],Katalog!$C$3:$C$12,0)),"-")</f>
        <v>Celana Pendek</v>
      </c>
      <c r="O795" s="50">
        <v>1</v>
      </c>
      <c r="P795" s="50">
        <v>1</v>
      </c>
      <c r="Q795" s="73">
        <f>IFERROR(INDEX(Katalog!$D$3:$D$12,MATCH(cadangan[[#This Row],[ItemID B]],Katalog!$C$3:$C$12,0))*cadangan[[#This Row],[Qty B]],0)</f>
        <v>180000</v>
      </c>
      <c r="R795" s="73">
        <f>IFERROR(cadangan[[#This Row],[Harga Normal B]]-(cadangan[[#This Row],[Harga Normal B]]*cadangan[[#This Row],[Diskon]]),cadangan[[#This Row],[Harga Normal B]])</f>
        <v>180000</v>
      </c>
      <c r="S795" s="73">
        <f>IFERROR(INDEX(Katalog!$F$3:$F$12,MATCH(cadangan[[#This Row],[ItemID B]],Katalog!$C$3:$C$12,0))*cadangan[[#This Row],[Qty B]],0)</f>
        <v>70000</v>
      </c>
      <c r="T795" s="73">
        <f>IFERROR(cadangan[[#This Row],[Harga Diskon B]]-INDEX(Katalog!$E$3:$E$12,MATCH(cadangan[[#This Row],[ItemID B]],Katalog!$C$3:$C$12,0))*cadangan[[#This Row],[Qty B]],0)</f>
        <v>70000</v>
      </c>
      <c r="U795" s="39" t="s">
        <v>66</v>
      </c>
      <c r="V795" s="39" t="str">
        <f>IFERROR(INDEX(Katalog!$A$3:$A$12,MATCH(cadangan[[#This Row],[ItemID C]],Katalog!$C$3:$C$12,0)),"-")</f>
        <v>Sepatu Pria</v>
      </c>
      <c r="W795" s="39" t="str">
        <f>IFERROR(INDEX(Katalog!$B$3:$B$12,MATCH(cadangan[[#This Row],[ItemID C]],Katalog!$C$3:$C$12,0)),"-")</f>
        <v>Sandal Slip On</v>
      </c>
      <c r="X795" s="50">
        <v>1</v>
      </c>
      <c r="Y795" s="50">
        <v>4</v>
      </c>
      <c r="Z795" s="73">
        <f>IFERROR(INDEX(Katalog!$D$3:$D$12,MATCH(cadangan[[#This Row],[ItemID C]],Katalog!$C$3:$C$12,0))*cadangan[[#This Row],[Qty C]],0)</f>
        <v>150000</v>
      </c>
      <c r="AA795" s="73">
        <f>IFERROR(cadangan[[#This Row],[Harga Normal C]]-(cadangan[[#This Row],[Harga Normal C]]*cadangan[[#This Row],[Diskon]]),cadangan[[#This Row],[Harga Normal C]])</f>
        <v>150000</v>
      </c>
      <c r="AB795" s="73">
        <f>IFERROR(INDEX(Katalog!$F$3:$F$12,MATCH(cadangan[[#This Row],[ItemID C]],Katalog!$C$3:$C$12,0))*cadangan[[#This Row],[Qty C]],0)</f>
        <v>60000</v>
      </c>
      <c r="AC795" s="73">
        <f>IFERROR(cadangan[[#This Row],[Harga Diskon C]]-INDEX(Katalog!$E$3:$E$12,MATCH(cadangan[[#This Row],[ItemID C]],Katalog!$C$3:$C$12,0))*cadangan[[#This Row],[Qty C]],0)</f>
        <v>60000</v>
      </c>
      <c r="AD795" s="53">
        <f>cadangan[[#This Row],[Qty A]]+cadangan[[#This Row],[Qty B]]+cadangan[[#This Row],[Qty C]]</f>
        <v>3</v>
      </c>
      <c r="AE795" s="73">
        <f>cadangan[[#This Row],[Harga Normal A]]+cadangan[[#This Row],[Harga Normal B]]+cadangan[[#This Row],[Harga Normal C]]</f>
        <v>530000</v>
      </c>
      <c r="AF795" s="73">
        <f>cadangan[[#This Row],[Harga Diskon A]]+cadangan[[#This Row],[Harga Diskon B]]+cadangan[[#This Row],[Harga Diskon C]]</f>
        <v>530000</v>
      </c>
      <c r="AG795" s="73">
        <f>(cadangan[[#This Row],[Profit Normal A]]+cadangan[[#This Row],[Profit Normal B]]+cadangan[[#This Row],[Profit Normal C]])</f>
        <v>210000</v>
      </c>
      <c r="AH795" s="73">
        <f>cadangan[[#This Row],[Profit Diskon A]]+cadangan[[#This Row],[Profit Diskon B]]+cadangan[[#This Row],[Profit Diskon C]]</f>
        <v>210000</v>
      </c>
      <c r="AI795" s="23" t="s">
        <v>290</v>
      </c>
      <c r="AJ795" s="37" t="str">
        <f>IFERROR(INDEX('Kode Diskon'!$D$3:$D$9,MATCH(cadangan[[#This Row],[Kode diskon]],'Kode Diskon'!$C$3:$C$9,0)),"-")</f>
        <v>-</v>
      </c>
      <c r="AK795" s="23" t="s">
        <v>290</v>
      </c>
      <c r="AL795" s="23" t="s">
        <v>12</v>
      </c>
      <c r="AM795" s="23" t="s">
        <v>80</v>
      </c>
      <c r="AN795" s="55">
        <v>45030</v>
      </c>
      <c r="AO795" s="53">
        <f>DAY(cadangan[[#This Row],[Tanggal terjual]])</f>
        <v>14</v>
      </c>
      <c r="AP795" s="21" t="str">
        <f>TEXT(cadangan[[#This Row],[Tanggal terjual]],"dddd")</f>
        <v>Friday</v>
      </c>
      <c r="AQ795" s="23" t="str" cm="1">
        <f t="array" ref="AQ7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95" s="61">
        <f>AVERAGE(cadangan[[#This Row],[Rating A]],cadangan[[#This Row],[Rating B]],cadangan[[#This Row],[Rating C]])</f>
        <v>2.3333333333333335</v>
      </c>
    </row>
    <row r="796" spans="1:44" x14ac:dyDescent="0.2">
      <c r="A796" s="20">
        <v>795</v>
      </c>
      <c r="B796" s="21" t="str">
        <f>_xlfn.CONCAT("ORD-",INDEX(Helper!$B$2:$B$5,MATCH(cadangan[[#This Row],[Marketplace]],Helper!$A$2:$A$5,0)),TEXT(cadangan[[#This Row],[No]],"0000"),"-",TEXT(cadangan[[#This Row],[Tanggal terjual]],"dd/mm/yy"))</f>
        <v>ORD-BB0795-02/04/23</v>
      </c>
      <c r="C796" s="39" t="s">
        <v>65</v>
      </c>
      <c r="D796" s="39" t="str">
        <f>IFERROR(INDEX(Katalog!$A$3:$A$12,MATCH(cadangan[[#This Row],[ItemID A]],Katalog!$C$3:$C$12,0)),"-")</f>
        <v>Sepatu Pria</v>
      </c>
      <c r="E796" s="39" t="str">
        <f>IFERROR(INDEX(Katalog!$B$3:$B$12,MATCH(cadangan[[#This Row],[ItemID A]],Katalog!$C$3:$C$12,0)),"-")</f>
        <v>Sneakers</v>
      </c>
      <c r="F796" s="50">
        <v>1</v>
      </c>
      <c r="G796" s="50">
        <v>4</v>
      </c>
      <c r="H796" s="73">
        <f>IFERROR(INDEX(Katalog!$D$3:$D$12,MATCH(cadangan[[#This Row],[ItemID A]],Katalog!$C$3:$C$12,0))*cadangan[[#This Row],[Qty A]],0)</f>
        <v>500000</v>
      </c>
      <c r="I796" s="73">
        <f>IFERROR(cadangan[[#This Row],[Harga Normal A]]-(cadangan[[#This Row],[Harga Normal A]]*cadangan[[#This Row],[Diskon]]),cadangan[[#This Row],[Harga Normal A]])</f>
        <v>425000</v>
      </c>
      <c r="J796" s="73">
        <f>INDEX(Katalog!$F$3:$F$12,MATCH(cadangan[[#This Row],[ItemID A]],Katalog!$C$3:$C$12,0))*cadangan[[#This Row],[Qty A]]</f>
        <v>200000</v>
      </c>
      <c r="K796" s="73">
        <f>IFERROR(cadangan[[#This Row],[Harga Diskon A]]-INDEX(Katalog!$E$3:$E$12,MATCH(cadangan[[#This Row],[ItemID A]],Katalog!$C$3:$C$12,0))*cadangan[[#This Row],[Qty A]],0)</f>
        <v>125000</v>
      </c>
      <c r="L796" s="39" t="s">
        <v>62</v>
      </c>
      <c r="M796" s="39" t="str">
        <f>IFERROR(INDEX(Katalog!$A$3:$A$12,MATCH(cadangan[[#This Row],[ItemID B]],Katalog!$C$3:$C$12,0)),"-")</f>
        <v>Pakaian Pria</v>
      </c>
      <c r="N796" s="39" t="str">
        <f>IFERROR(INDEX(Katalog!$B$3:$B$12,MATCH(cadangan[[#This Row],[ItemID B]],Katalog!$C$3:$C$12,0)),"-")</f>
        <v>Celana Pendek</v>
      </c>
      <c r="O796" s="50">
        <v>1</v>
      </c>
      <c r="P796" s="50">
        <v>2</v>
      </c>
      <c r="Q796" s="73">
        <f>IFERROR(INDEX(Katalog!$D$3:$D$12,MATCH(cadangan[[#This Row],[ItemID B]],Katalog!$C$3:$C$12,0))*cadangan[[#This Row],[Qty B]],0)</f>
        <v>180000</v>
      </c>
      <c r="R796" s="73">
        <f>IFERROR(cadangan[[#This Row],[Harga Normal B]]-(cadangan[[#This Row],[Harga Normal B]]*cadangan[[#This Row],[Diskon]]),cadangan[[#This Row],[Harga Normal B]])</f>
        <v>153000</v>
      </c>
      <c r="S796" s="73">
        <f>IFERROR(INDEX(Katalog!$F$3:$F$12,MATCH(cadangan[[#This Row],[ItemID B]],Katalog!$C$3:$C$12,0))*cadangan[[#This Row],[Qty B]],0)</f>
        <v>70000</v>
      </c>
      <c r="T796" s="73">
        <f>IFERROR(cadangan[[#This Row],[Harga Diskon B]]-INDEX(Katalog!$E$3:$E$12,MATCH(cadangan[[#This Row],[ItemID B]],Katalog!$C$3:$C$12,0))*cadangan[[#This Row],[Qty B]],0)</f>
        <v>43000</v>
      </c>
      <c r="V796" s="39" t="str">
        <f>IFERROR(INDEX(Katalog!$A$3:$A$12,MATCH(cadangan[[#This Row],[ItemID C]],Katalog!$C$3:$C$12,0)),"-")</f>
        <v>-</v>
      </c>
      <c r="W796" s="39" t="str">
        <f>IFERROR(INDEX(Katalog!$B$3:$B$12,MATCH(cadangan[[#This Row],[ItemID C]],Katalog!$C$3:$C$12,0)),"-")</f>
        <v>-</v>
      </c>
      <c r="Z796" s="73">
        <f>IFERROR(INDEX(Katalog!$D$3:$D$12,MATCH(cadangan[[#This Row],[ItemID C]],Katalog!$C$3:$C$12,0))*cadangan[[#This Row],[Qty C]],0)</f>
        <v>0</v>
      </c>
      <c r="AA796" s="73">
        <f>IFERROR(cadangan[[#This Row],[Harga Normal C]]-(cadangan[[#This Row],[Harga Normal C]]*cadangan[[#This Row],[Diskon]]),cadangan[[#This Row],[Harga Normal C]])</f>
        <v>0</v>
      </c>
      <c r="AB796" s="73">
        <f>IFERROR(INDEX(Katalog!$F$3:$F$12,MATCH(cadangan[[#This Row],[ItemID C]],Katalog!$C$3:$C$12,0))*cadangan[[#This Row],[Qty C]],0)</f>
        <v>0</v>
      </c>
      <c r="AC796" s="73">
        <f>IFERROR(cadangan[[#This Row],[Harga Diskon C]]-INDEX(Katalog!$E$3:$E$12,MATCH(cadangan[[#This Row],[ItemID C]],Katalog!$C$3:$C$12,0))*cadangan[[#This Row],[Qty C]],0)</f>
        <v>0</v>
      </c>
      <c r="AD796" s="53">
        <f>cadangan[[#This Row],[Qty A]]+cadangan[[#This Row],[Qty B]]+cadangan[[#This Row],[Qty C]]</f>
        <v>2</v>
      </c>
      <c r="AE796" s="73">
        <f>cadangan[[#This Row],[Harga Normal A]]+cadangan[[#This Row],[Harga Normal B]]+cadangan[[#This Row],[Harga Normal C]]</f>
        <v>680000</v>
      </c>
      <c r="AF796" s="73">
        <f>cadangan[[#This Row],[Harga Diskon A]]+cadangan[[#This Row],[Harga Diskon B]]+cadangan[[#This Row],[Harga Diskon C]]</f>
        <v>578000</v>
      </c>
      <c r="AG796" s="73">
        <f>(cadangan[[#This Row],[Profit Normal A]]+cadangan[[#This Row],[Profit Normal B]]+cadangan[[#This Row],[Profit Normal C]])</f>
        <v>270000</v>
      </c>
      <c r="AH796" s="73">
        <f>cadangan[[#This Row],[Profit Diskon A]]+cadangan[[#This Row],[Profit Diskon B]]+cadangan[[#This Row],[Profit Diskon C]]</f>
        <v>168000</v>
      </c>
      <c r="AI796" s="23" t="s">
        <v>28</v>
      </c>
      <c r="AJ796" s="37">
        <f>IFERROR(INDEX('Kode Diskon'!$D$3:$D$9,MATCH(cadangan[[#This Row],[Kode diskon]],'Kode Diskon'!$C$3:$C$9,0)),"-")</f>
        <v>0.15</v>
      </c>
      <c r="AK796" s="23" t="s">
        <v>29</v>
      </c>
      <c r="AL796" s="23" t="s">
        <v>14</v>
      </c>
      <c r="AM796" s="23" t="s">
        <v>80</v>
      </c>
      <c r="AN796" s="55">
        <v>45018</v>
      </c>
      <c r="AO796" s="53">
        <f>DAY(cadangan[[#This Row],[Tanggal terjual]])</f>
        <v>2</v>
      </c>
      <c r="AP796" s="21" t="str">
        <f>TEXT(cadangan[[#This Row],[Tanggal terjual]],"dddd")</f>
        <v>Sunday</v>
      </c>
      <c r="AQ796" s="23" t="str" cm="1">
        <f t="array" ref="AQ7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796" s="61">
        <f>AVERAGE(cadangan[[#This Row],[Rating A]],cadangan[[#This Row],[Rating B]],cadangan[[#This Row],[Rating C]])</f>
        <v>3</v>
      </c>
    </row>
    <row r="797" spans="1:44" x14ac:dyDescent="0.2">
      <c r="A797" s="20">
        <v>796</v>
      </c>
      <c r="B797" s="21" t="str">
        <f>_xlfn.CONCAT("ORD-",INDEX(Helper!$B$2:$B$5,MATCH(cadangan[[#This Row],[Marketplace]],Helper!$A$2:$A$5,0)),TEXT(cadangan[[#This Row],[No]],"0000"),"-",TEXT(cadangan[[#This Row],[Tanggal terjual]],"dd/mm/yy"))</f>
        <v>ORD-BL0796-21/04/23</v>
      </c>
      <c r="C797" s="39" t="s">
        <v>65</v>
      </c>
      <c r="D797" s="39" t="str">
        <f>IFERROR(INDEX(Katalog!$A$3:$A$12,MATCH(cadangan[[#This Row],[ItemID A]],Katalog!$C$3:$C$12,0)),"-")</f>
        <v>Sepatu Pria</v>
      </c>
      <c r="E797" s="39" t="str">
        <f>IFERROR(INDEX(Katalog!$B$3:$B$12,MATCH(cadangan[[#This Row],[ItemID A]],Katalog!$C$3:$C$12,0)),"-")</f>
        <v>Sneakers</v>
      </c>
      <c r="F797" s="50">
        <v>1</v>
      </c>
      <c r="G797" s="50">
        <v>3</v>
      </c>
      <c r="H797" s="73">
        <f>IFERROR(INDEX(Katalog!$D$3:$D$12,MATCH(cadangan[[#This Row],[ItemID A]],Katalog!$C$3:$C$12,0))*cadangan[[#This Row],[Qty A]],0)</f>
        <v>500000</v>
      </c>
      <c r="I797" s="73">
        <f>IFERROR(cadangan[[#This Row],[Harga Normal A]]-(cadangan[[#This Row],[Harga Normal A]]*cadangan[[#This Row],[Diskon]]),cadangan[[#This Row],[Harga Normal A]])</f>
        <v>425000</v>
      </c>
      <c r="J797" s="73">
        <f>INDEX(Katalog!$F$3:$F$12,MATCH(cadangan[[#This Row],[ItemID A]],Katalog!$C$3:$C$12,0))*cadangan[[#This Row],[Qty A]]</f>
        <v>200000</v>
      </c>
      <c r="K797" s="73">
        <f>IFERROR(cadangan[[#This Row],[Harga Diskon A]]-INDEX(Katalog!$E$3:$E$12,MATCH(cadangan[[#This Row],[ItemID A]],Katalog!$C$3:$C$12,0))*cadangan[[#This Row],[Qty A]],0)</f>
        <v>125000</v>
      </c>
      <c r="M797" s="39" t="str">
        <f>IFERROR(INDEX(Katalog!$A$3:$A$12,MATCH(cadangan[[#This Row],[ItemID B]],Katalog!$C$3:$C$12,0)),"-")</f>
        <v>-</v>
      </c>
      <c r="N797" s="39" t="str">
        <f>IFERROR(INDEX(Katalog!$B$3:$B$12,MATCH(cadangan[[#This Row],[ItemID B]],Katalog!$C$3:$C$12,0)),"-")</f>
        <v>-</v>
      </c>
      <c r="Q797" s="73">
        <f>IFERROR(INDEX(Katalog!$D$3:$D$12,MATCH(cadangan[[#This Row],[ItemID B]],Katalog!$C$3:$C$12,0))*cadangan[[#This Row],[Qty B]],0)</f>
        <v>0</v>
      </c>
      <c r="R797" s="73">
        <f>IFERROR(cadangan[[#This Row],[Harga Normal B]]-(cadangan[[#This Row],[Harga Normal B]]*cadangan[[#This Row],[Diskon]]),cadangan[[#This Row],[Harga Normal B]])</f>
        <v>0</v>
      </c>
      <c r="S797" s="73">
        <f>IFERROR(INDEX(Katalog!$F$3:$F$12,MATCH(cadangan[[#This Row],[ItemID B]],Katalog!$C$3:$C$12,0))*cadangan[[#This Row],[Qty B]],0)</f>
        <v>0</v>
      </c>
      <c r="T797" s="73">
        <f>IFERROR(cadangan[[#This Row],[Harga Diskon B]]-INDEX(Katalog!$E$3:$E$12,MATCH(cadangan[[#This Row],[ItemID B]],Katalog!$C$3:$C$12,0))*cadangan[[#This Row],[Qty B]],0)</f>
        <v>0</v>
      </c>
      <c r="V797" s="39" t="str">
        <f>IFERROR(INDEX(Katalog!$A$3:$A$12,MATCH(cadangan[[#This Row],[ItemID C]],Katalog!$C$3:$C$12,0)),"-")</f>
        <v>-</v>
      </c>
      <c r="W797" s="39" t="str">
        <f>IFERROR(INDEX(Katalog!$B$3:$B$12,MATCH(cadangan[[#This Row],[ItemID C]],Katalog!$C$3:$C$12,0)),"-")</f>
        <v>-</v>
      </c>
      <c r="Z797" s="73">
        <f>IFERROR(INDEX(Katalog!$D$3:$D$12,MATCH(cadangan[[#This Row],[ItemID C]],Katalog!$C$3:$C$12,0))*cadangan[[#This Row],[Qty C]],0)</f>
        <v>0</v>
      </c>
      <c r="AA797" s="73">
        <f>IFERROR(cadangan[[#This Row],[Harga Normal C]]-(cadangan[[#This Row],[Harga Normal C]]*cadangan[[#This Row],[Diskon]]),cadangan[[#This Row],[Harga Normal C]])</f>
        <v>0</v>
      </c>
      <c r="AB797" s="73">
        <f>IFERROR(INDEX(Katalog!$F$3:$F$12,MATCH(cadangan[[#This Row],[ItemID C]],Katalog!$C$3:$C$12,0))*cadangan[[#This Row],[Qty C]],0)</f>
        <v>0</v>
      </c>
      <c r="AC797" s="73">
        <f>IFERROR(cadangan[[#This Row],[Harga Diskon C]]-INDEX(Katalog!$E$3:$E$12,MATCH(cadangan[[#This Row],[ItemID C]],Katalog!$C$3:$C$12,0))*cadangan[[#This Row],[Qty C]],0)</f>
        <v>0</v>
      </c>
      <c r="AD797" s="53">
        <f>cadangan[[#This Row],[Qty A]]+cadangan[[#This Row],[Qty B]]+cadangan[[#This Row],[Qty C]]</f>
        <v>1</v>
      </c>
      <c r="AE797" s="73">
        <f>cadangan[[#This Row],[Harga Normal A]]+cadangan[[#This Row],[Harga Normal B]]+cadangan[[#This Row],[Harga Normal C]]</f>
        <v>500000</v>
      </c>
      <c r="AF797" s="73">
        <f>cadangan[[#This Row],[Harga Diskon A]]+cadangan[[#This Row],[Harga Diskon B]]+cadangan[[#This Row],[Harga Diskon C]]</f>
        <v>425000</v>
      </c>
      <c r="AG797" s="73">
        <f>(cadangan[[#This Row],[Profit Normal A]]+cadangan[[#This Row],[Profit Normal B]]+cadangan[[#This Row],[Profit Normal C]])</f>
        <v>200000</v>
      </c>
      <c r="AH797" s="73">
        <f>cadangan[[#This Row],[Profit Diskon A]]+cadangan[[#This Row],[Profit Diskon B]]+cadangan[[#This Row],[Profit Diskon C]]</f>
        <v>125000</v>
      </c>
      <c r="AI797" s="23" t="s">
        <v>32</v>
      </c>
      <c r="AJ797" s="37">
        <f>IFERROR(INDEX('Kode Diskon'!$D$3:$D$9,MATCH(cadangan[[#This Row],[Kode diskon]],'Kode Diskon'!$C$3:$C$9,0)),"-")</f>
        <v>0.15</v>
      </c>
      <c r="AK797" s="23" t="s">
        <v>9</v>
      </c>
      <c r="AL797" s="23" t="s">
        <v>12</v>
      </c>
      <c r="AM797" s="23" t="s">
        <v>79</v>
      </c>
      <c r="AN797" s="55">
        <v>45037</v>
      </c>
      <c r="AO797" s="53">
        <f>DAY(cadangan[[#This Row],[Tanggal terjual]])</f>
        <v>21</v>
      </c>
      <c r="AP797" s="21" t="str">
        <f>TEXT(cadangan[[#This Row],[Tanggal terjual]],"dddd")</f>
        <v>Friday</v>
      </c>
      <c r="AQ797" s="23" t="str" cm="1">
        <f t="array" ref="AQ7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797" s="61">
        <f>AVERAGE(cadangan[[#This Row],[Rating A]],cadangan[[#This Row],[Rating B]],cadangan[[#This Row],[Rating C]])</f>
        <v>3</v>
      </c>
    </row>
    <row r="798" spans="1:44" x14ac:dyDescent="0.2">
      <c r="A798" s="20">
        <v>797</v>
      </c>
      <c r="B798" s="21" t="str">
        <f>_xlfn.CONCAT("ORD-",INDEX(Helper!$B$2:$B$5,MATCH(cadangan[[#This Row],[Marketplace]],Helper!$A$2:$A$5,0)),TEXT(cadangan[[#This Row],[No]],"0000"),"-",TEXT(cadangan[[#This Row],[Tanggal terjual]],"dd/mm/yy"))</f>
        <v>ORD-BL0797-24/04/23</v>
      </c>
      <c r="C798" s="39" t="s">
        <v>61</v>
      </c>
      <c r="D798" s="39" t="str">
        <f>IFERROR(INDEX(Katalog!$A$3:$A$12,MATCH(cadangan[[#This Row],[ItemID A]],Katalog!$C$3:$C$12,0)),"-")</f>
        <v>Pakaian Pria</v>
      </c>
      <c r="E798" s="39" t="str">
        <f>IFERROR(INDEX(Katalog!$B$3:$B$12,MATCH(cadangan[[#This Row],[ItemID A]],Katalog!$C$3:$C$12,0)),"-")</f>
        <v>Kaos Polo</v>
      </c>
      <c r="F798" s="50">
        <v>3</v>
      </c>
      <c r="G798" s="50">
        <v>4</v>
      </c>
      <c r="H798" s="73">
        <f>IFERROR(INDEX(Katalog!$D$3:$D$12,MATCH(cadangan[[#This Row],[ItemID A]],Katalog!$C$3:$C$12,0))*cadangan[[#This Row],[Qty A]],0)</f>
        <v>600000</v>
      </c>
      <c r="I798" s="73">
        <f>IFERROR(cadangan[[#This Row],[Harga Normal A]]-(cadangan[[#This Row],[Harga Normal A]]*cadangan[[#This Row],[Diskon]]),cadangan[[#This Row],[Harga Normal A]])</f>
        <v>510000</v>
      </c>
      <c r="J798" s="73">
        <f>INDEX(Katalog!$F$3:$F$12,MATCH(cadangan[[#This Row],[ItemID A]],Katalog!$C$3:$C$12,0))*cadangan[[#This Row],[Qty A]]</f>
        <v>240000</v>
      </c>
      <c r="K798" s="73">
        <f>IFERROR(cadangan[[#This Row],[Harga Diskon A]]-INDEX(Katalog!$E$3:$E$12,MATCH(cadangan[[#This Row],[ItemID A]],Katalog!$C$3:$C$12,0))*cadangan[[#This Row],[Qty A]],0)</f>
        <v>150000</v>
      </c>
      <c r="L798" s="39" t="s">
        <v>65</v>
      </c>
      <c r="M798" s="39" t="str">
        <f>IFERROR(INDEX(Katalog!$A$3:$A$12,MATCH(cadangan[[#This Row],[ItemID B]],Katalog!$C$3:$C$12,0)),"-")</f>
        <v>Sepatu Pria</v>
      </c>
      <c r="N798" s="39" t="str">
        <f>IFERROR(INDEX(Katalog!$B$3:$B$12,MATCH(cadangan[[#This Row],[ItemID B]],Katalog!$C$3:$C$12,0)),"-")</f>
        <v>Sneakers</v>
      </c>
      <c r="O798" s="50">
        <v>1</v>
      </c>
      <c r="P798" s="50">
        <v>2</v>
      </c>
      <c r="Q798" s="73">
        <f>IFERROR(INDEX(Katalog!$D$3:$D$12,MATCH(cadangan[[#This Row],[ItemID B]],Katalog!$C$3:$C$12,0))*cadangan[[#This Row],[Qty B]],0)</f>
        <v>500000</v>
      </c>
      <c r="R798" s="73">
        <f>IFERROR(cadangan[[#This Row],[Harga Normal B]]-(cadangan[[#This Row],[Harga Normal B]]*cadangan[[#This Row],[Diskon]]),cadangan[[#This Row],[Harga Normal B]])</f>
        <v>425000</v>
      </c>
      <c r="S798" s="73">
        <f>IFERROR(INDEX(Katalog!$F$3:$F$12,MATCH(cadangan[[#This Row],[ItemID B]],Katalog!$C$3:$C$12,0))*cadangan[[#This Row],[Qty B]],0)</f>
        <v>200000</v>
      </c>
      <c r="T798" s="73">
        <f>IFERROR(cadangan[[#This Row],[Harga Diskon B]]-INDEX(Katalog!$E$3:$E$12,MATCH(cadangan[[#This Row],[ItemID B]],Katalog!$C$3:$C$12,0))*cadangan[[#This Row],[Qty B]],0)</f>
        <v>125000</v>
      </c>
      <c r="V798" s="39" t="str">
        <f>IFERROR(INDEX(Katalog!$A$3:$A$12,MATCH(cadangan[[#This Row],[ItemID C]],Katalog!$C$3:$C$12,0)),"-")</f>
        <v>-</v>
      </c>
      <c r="W798" s="39" t="str">
        <f>IFERROR(INDEX(Katalog!$B$3:$B$12,MATCH(cadangan[[#This Row],[ItemID C]],Katalog!$C$3:$C$12,0)),"-")</f>
        <v>-</v>
      </c>
      <c r="Z798" s="73">
        <f>IFERROR(INDEX(Katalog!$D$3:$D$12,MATCH(cadangan[[#This Row],[ItemID C]],Katalog!$C$3:$C$12,0))*cadangan[[#This Row],[Qty C]],0)</f>
        <v>0</v>
      </c>
      <c r="AA798" s="73">
        <f>IFERROR(cadangan[[#This Row],[Harga Normal C]]-(cadangan[[#This Row],[Harga Normal C]]*cadangan[[#This Row],[Diskon]]),cadangan[[#This Row],[Harga Normal C]])</f>
        <v>0</v>
      </c>
      <c r="AB798" s="73">
        <f>IFERROR(INDEX(Katalog!$F$3:$F$12,MATCH(cadangan[[#This Row],[ItemID C]],Katalog!$C$3:$C$12,0))*cadangan[[#This Row],[Qty C]],0)</f>
        <v>0</v>
      </c>
      <c r="AC798" s="73">
        <f>IFERROR(cadangan[[#This Row],[Harga Diskon C]]-INDEX(Katalog!$E$3:$E$12,MATCH(cadangan[[#This Row],[ItemID C]],Katalog!$C$3:$C$12,0))*cadangan[[#This Row],[Qty C]],0)</f>
        <v>0</v>
      </c>
      <c r="AD798" s="53">
        <f>cadangan[[#This Row],[Qty A]]+cadangan[[#This Row],[Qty B]]+cadangan[[#This Row],[Qty C]]</f>
        <v>4</v>
      </c>
      <c r="AE798" s="73">
        <f>cadangan[[#This Row],[Harga Normal A]]+cadangan[[#This Row],[Harga Normal B]]+cadangan[[#This Row],[Harga Normal C]]</f>
        <v>1100000</v>
      </c>
      <c r="AF798" s="73">
        <f>cadangan[[#This Row],[Harga Diskon A]]+cadangan[[#This Row],[Harga Diskon B]]+cadangan[[#This Row],[Harga Diskon C]]</f>
        <v>935000</v>
      </c>
      <c r="AG798" s="73">
        <f>(cadangan[[#This Row],[Profit Normal A]]+cadangan[[#This Row],[Profit Normal B]]+cadangan[[#This Row],[Profit Normal C]])</f>
        <v>440000</v>
      </c>
      <c r="AH798" s="73">
        <f>cadangan[[#This Row],[Profit Diskon A]]+cadangan[[#This Row],[Profit Diskon B]]+cadangan[[#This Row],[Profit Diskon C]]</f>
        <v>275000</v>
      </c>
      <c r="AI798" s="23" t="s">
        <v>32</v>
      </c>
      <c r="AJ798" s="37">
        <f>IFERROR(INDEX('Kode Diskon'!$D$3:$D$9,MATCH(cadangan[[#This Row],[Kode diskon]],'Kode Diskon'!$C$3:$C$9,0)),"-")</f>
        <v>0.15</v>
      </c>
      <c r="AK798" s="23" t="s">
        <v>9</v>
      </c>
      <c r="AL798" s="23" t="s">
        <v>12</v>
      </c>
      <c r="AM798" s="23" t="s">
        <v>79</v>
      </c>
      <c r="AN798" s="55">
        <v>45040</v>
      </c>
      <c r="AO798" s="53">
        <f>DAY(cadangan[[#This Row],[Tanggal terjual]])</f>
        <v>24</v>
      </c>
      <c r="AP798" s="21" t="str">
        <f>TEXT(cadangan[[#This Row],[Tanggal terjual]],"dddd")</f>
        <v>Monday</v>
      </c>
      <c r="AQ798" s="23" t="str" cm="1">
        <f t="array" ref="AQ7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798" s="61">
        <f>AVERAGE(cadangan[[#This Row],[Rating A]],cadangan[[#This Row],[Rating B]],cadangan[[#This Row],[Rating C]])</f>
        <v>3</v>
      </c>
    </row>
    <row r="799" spans="1:44" x14ac:dyDescent="0.2">
      <c r="A799" s="20">
        <v>798</v>
      </c>
      <c r="B799" s="21" t="str">
        <f>_xlfn.CONCAT("ORD-",INDEX(Helper!$B$2:$B$5,MATCH(cadangan[[#This Row],[Marketplace]],Helper!$A$2:$A$5,0)),TEXT(cadangan[[#This Row],[No]],"0000"),"-",TEXT(cadangan[[#This Row],[Tanggal terjual]],"dd/mm/yy"))</f>
        <v>ORD-TK0798-08/04/23</v>
      </c>
      <c r="C799" s="39" t="s">
        <v>67</v>
      </c>
      <c r="D799" s="39" t="str">
        <f>IFERROR(INDEX(Katalog!$A$3:$A$12,MATCH(cadangan[[#This Row],[ItemID A]],Katalog!$C$3:$C$12,0)),"-")</f>
        <v>Sepatu Wanita</v>
      </c>
      <c r="E799" s="39" t="str">
        <f>IFERROR(INDEX(Katalog!$B$3:$B$12,MATCH(cadangan[[#This Row],[ItemID A]],Katalog!$C$3:$C$12,0)),"-")</f>
        <v>Flat Shoes</v>
      </c>
      <c r="F799" s="50">
        <v>1</v>
      </c>
      <c r="G799" s="50">
        <v>2</v>
      </c>
      <c r="H799" s="73">
        <f>IFERROR(INDEX(Katalog!$D$3:$D$12,MATCH(cadangan[[#This Row],[ItemID A]],Katalog!$C$3:$C$12,0))*cadangan[[#This Row],[Qty A]],0)</f>
        <v>250000</v>
      </c>
      <c r="I799" s="73">
        <f>IFERROR(cadangan[[#This Row],[Harga Normal A]]-(cadangan[[#This Row],[Harga Normal A]]*cadangan[[#This Row],[Diskon]]),cadangan[[#This Row],[Harga Normal A]])</f>
        <v>250000</v>
      </c>
      <c r="J799" s="73">
        <f>INDEX(Katalog!$F$3:$F$12,MATCH(cadangan[[#This Row],[ItemID A]],Katalog!$C$3:$C$12,0))*cadangan[[#This Row],[Qty A]]</f>
        <v>100000</v>
      </c>
      <c r="K799" s="73">
        <f>IFERROR(cadangan[[#This Row],[Harga Diskon A]]-INDEX(Katalog!$E$3:$E$12,MATCH(cadangan[[#This Row],[ItemID A]],Katalog!$C$3:$C$12,0))*cadangan[[#This Row],[Qty A]],0)</f>
        <v>100000</v>
      </c>
      <c r="L799" s="39" t="s">
        <v>59</v>
      </c>
      <c r="M799" s="39" t="str">
        <f>IFERROR(INDEX(Katalog!$A$3:$A$12,MATCH(cadangan[[#This Row],[ItemID B]],Katalog!$C$3:$C$12,0)),"-")</f>
        <v>Pakaian Wanita</v>
      </c>
      <c r="N799" s="39" t="str">
        <f>IFERROR(INDEX(Katalog!$B$3:$B$12,MATCH(cadangan[[#This Row],[ItemID B]],Katalog!$C$3:$C$12,0)),"-")</f>
        <v>Blouse</v>
      </c>
      <c r="O799" s="50">
        <v>1</v>
      </c>
      <c r="P799" s="50">
        <v>1</v>
      </c>
      <c r="Q799" s="73">
        <f>IFERROR(INDEX(Katalog!$D$3:$D$12,MATCH(cadangan[[#This Row],[ItemID B]],Katalog!$C$3:$C$12,0))*cadangan[[#This Row],[Qty B]],0)</f>
        <v>150000</v>
      </c>
      <c r="R799" s="73">
        <f>IFERROR(cadangan[[#This Row],[Harga Normal B]]-(cadangan[[#This Row],[Harga Normal B]]*cadangan[[#This Row],[Diskon]]),cadangan[[#This Row],[Harga Normal B]])</f>
        <v>150000</v>
      </c>
      <c r="S799" s="73">
        <f>IFERROR(INDEX(Katalog!$F$3:$F$12,MATCH(cadangan[[#This Row],[ItemID B]],Katalog!$C$3:$C$12,0))*cadangan[[#This Row],[Qty B]],0)</f>
        <v>50000</v>
      </c>
      <c r="T799" s="73">
        <f>IFERROR(cadangan[[#This Row],[Harga Diskon B]]-INDEX(Katalog!$E$3:$E$12,MATCH(cadangan[[#This Row],[ItemID B]],Katalog!$C$3:$C$12,0))*cadangan[[#This Row],[Qty B]],0)</f>
        <v>50000</v>
      </c>
      <c r="V799" s="39" t="str">
        <f>IFERROR(INDEX(Katalog!$A$3:$A$12,MATCH(cadangan[[#This Row],[ItemID C]],Katalog!$C$3:$C$12,0)),"-")</f>
        <v>-</v>
      </c>
      <c r="W799" s="39" t="str">
        <f>IFERROR(INDEX(Katalog!$B$3:$B$12,MATCH(cadangan[[#This Row],[ItemID C]],Katalog!$C$3:$C$12,0)),"-")</f>
        <v>-</v>
      </c>
      <c r="Z799" s="73">
        <f>IFERROR(INDEX(Katalog!$D$3:$D$12,MATCH(cadangan[[#This Row],[ItemID C]],Katalog!$C$3:$C$12,0))*cadangan[[#This Row],[Qty C]],0)</f>
        <v>0</v>
      </c>
      <c r="AA799" s="73">
        <f>IFERROR(cadangan[[#This Row],[Harga Normal C]]-(cadangan[[#This Row],[Harga Normal C]]*cadangan[[#This Row],[Diskon]]),cadangan[[#This Row],[Harga Normal C]])</f>
        <v>0</v>
      </c>
      <c r="AB799" s="73">
        <f>IFERROR(INDEX(Katalog!$F$3:$F$12,MATCH(cadangan[[#This Row],[ItemID C]],Katalog!$C$3:$C$12,0))*cadangan[[#This Row],[Qty C]],0)</f>
        <v>0</v>
      </c>
      <c r="AC799" s="73">
        <f>IFERROR(cadangan[[#This Row],[Harga Diskon C]]-INDEX(Katalog!$E$3:$E$12,MATCH(cadangan[[#This Row],[ItemID C]],Katalog!$C$3:$C$12,0))*cadangan[[#This Row],[Qty C]],0)</f>
        <v>0</v>
      </c>
      <c r="AD799" s="53">
        <f>cadangan[[#This Row],[Qty A]]+cadangan[[#This Row],[Qty B]]+cadangan[[#This Row],[Qty C]]</f>
        <v>2</v>
      </c>
      <c r="AE799" s="73">
        <f>cadangan[[#This Row],[Harga Normal A]]+cadangan[[#This Row],[Harga Normal B]]+cadangan[[#This Row],[Harga Normal C]]</f>
        <v>400000</v>
      </c>
      <c r="AF799" s="73">
        <f>cadangan[[#This Row],[Harga Diskon A]]+cadangan[[#This Row],[Harga Diskon B]]+cadangan[[#This Row],[Harga Diskon C]]</f>
        <v>400000</v>
      </c>
      <c r="AG799" s="73">
        <f>(cadangan[[#This Row],[Profit Normal A]]+cadangan[[#This Row],[Profit Normal B]]+cadangan[[#This Row],[Profit Normal C]])</f>
        <v>150000</v>
      </c>
      <c r="AH799" s="73">
        <f>cadangan[[#This Row],[Profit Diskon A]]+cadangan[[#This Row],[Profit Diskon B]]+cadangan[[#This Row],[Profit Diskon C]]</f>
        <v>150000</v>
      </c>
      <c r="AI799" s="23" t="s">
        <v>290</v>
      </c>
      <c r="AJ799" s="37" t="str">
        <f>IFERROR(INDEX('Kode Diskon'!$D$3:$D$9,MATCH(cadangan[[#This Row],[Kode diskon]],'Kode Diskon'!$C$3:$C$9,0)),"-")</f>
        <v>-</v>
      </c>
      <c r="AK799" s="23" t="s">
        <v>290</v>
      </c>
      <c r="AL799" s="23" t="s">
        <v>10</v>
      </c>
      <c r="AM799" s="23" t="s">
        <v>78</v>
      </c>
      <c r="AN799" s="55">
        <v>45024</v>
      </c>
      <c r="AO799" s="53">
        <f>DAY(cadangan[[#This Row],[Tanggal terjual]])</f>
        <v>8</v>
      </c>
      <c r="AP799" s="21" t="str">
        <f>TEXT(cadangan[[#This Row],[Tanggal terjual]],"dddd")</f>
        <v>Saturday</v>
      </c>
      <c r="AQ799" s="23" t="str" cm="1">
        <f t="array" ref="AQ7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799" s="61">
        <f>AVERAGE(cadangan[[#This Row],[Rating A]],cadangan[[#This Row],[Rating B]],cadangan[[#This Row],[Rating C]])</f>
        <v>1.5</v>
      </c>
    </row>
    <row r="800" spans="1:44" x14ac:dyDescent="0.2">
      <c r="A800" s="20">
        <v>799</v>
      </c>
      <c r="B800" s="21" t="str">
        <f>_xlfn.CONCAT("ORD-",INDEX(Helper!$B$2:$B$5,MATCH(cadangan[[#This Row],[Marketplace]],Helper!$A$2:$A$5,0)),TEXT(cadangan[[#This Row],[No]],"0000"),"-",TEXT(cadangan[[#This Row],[Tanggal terjual]],"dd/mm/yy"))</f>
        <v>ORD-SP0799-05/04/23</v>
      </c>
      <c r="C800" s="39" t="s">
        <v>63</v>
      </c>
      <c r="D800" s="39" t="str">
        <f>IFERROR(INDEX(Katalog!$A$3:$A$12,MATCH(cadangan[[#This Row],[ItemID A]],Katalog!$C$3:$C$12,0)),"-")</f>
        <v>Pakaian Pria</v>
      </c>
      <c r="E800" s="39" t="str">
        <f>IFERROR(INDEX(Katalog!$B$3:$B$12,MATCH(cadangan[[#This Row],[ItemID A]],Katalog!$C$3:$C$12,0)),"-")</f>
        <v>Jaket Jeans</v>
      </c>
      <c r="F800" s="50">
        <v>1</v>
      </c>
      <c r="G800" s="50">
        <v>4</v>
      </c>
      <c r="H800" s="73">
        <f>IFERROR(INDEX(Katalog!$D$3:$D$12,MATCH(cadangan[[#This Row],[ItemID A]],Katalog!$C$3:$C$12,0))*cadangan[[#This Row],[Qty A]],0)</f>
        <v>400000</v>
      </c>
      <c r="I800" s="73">
        <f>IFERROR(cadangan[[#This Row],[Harga Normal A]]-(cadangan[[#This Row],[Harga Normal A]]*cadangan[[#This Row],[Diskon]]),cadangan[[#This Row],[Harga Normal A]])</f>
        <v>360000</v>
      </c>
      <c r="J800" s="73">
        <f>INDEX(Katalog!$F$3:$F$12,MATCH(cadangan[[#This Row],[ItemID A]],Katalog!$C$3:$C$12,0))*cadangan[[#This Row],[Qty A]]</f>
        <v>150000</v>
      </c>
      <c r="K800" s="73">
        <f>IFERROR(cadangan[[#This Row],[Harga Diskon A]]-INDEX(Katalog!$E$3:$E$12,MATCH(cadangan[[#This Row],[ItemID A]],Katalog!$C$3:$C$12,0))*cadangan[[#This Row],[Qty A]],0)</f>
        <v>110000</v>
      </c>
      <c r="L800" s="39" t="s">
        <v>65</v>
      </c>
      <c r="M800" s="39" t="str">
        <f>IFERROR(INDEX(Katalog!$A$3:$A$12,MATCH(cadangan[[#This Row],[ItemID B]],Katalog!$C$3:$C$12,0)),"-")</f>
        <v>Sepatu Pria</v>
      </c>
      <c r="N800" s="39" t="str">
        <f>IFERROR(INDEX(Katalog!$B$3:$B$12,MATCH(cadangan[[#This Row],[ItemID B]],Katalog!$C$3:$C$12,0)),"-")</f>
        <v>Sneakers</v>
      </c>
      <c r="O800" s="50">
        <v>1</v>
      </c>
      <c r="P800" s="50">
        <v>2</v>
      </c>
      <c r="Q800" s="73">
        <f>IFERROR(INDEX(Katalog!$D$3:$D$12,MATCH(cadangan[[#This Row],[ItemID B]],Katalog!$C$3:$C$12,0))*cadangan[[#This Row],[Qty B]],0)</f>
        <v>500000</v>
      </c>
      <c r="R800" s="73">
        <f>IFERROR(cadangan[[#This Row],[Harga Normal B]]-(cadangan[[#This Row],[Harga Normal B]]*cadangan[[#This Row],[Diskon]]),cadangan[[#This Row],[Harga Normal B]])</f>
        <v>450000</v>
      </c>
      <c r="S800" s="73">
        <f>IFERROR(INDEX(Katalog!$F$3:$F$12,MATCH(cadangan[[#This Row],[ItemID B]],Katalog!$C$3:$C$12,0))*cadangan[[#This Row],[Qty B]],0)</f>
        <v>200000</v>
      </c>
      <c r="T800" s="73">
        <f>IFERROR(cadangan[[#This Row],[Harga Diskon B]]-INDEX(Katalog!$E$3:$E$12,MATCH(cadangan[[#This Row],[ItemID B]],Katalog!$C$3:$C$12,0))*cadangan[[#This Row],[Qty B]],0)</f>
        <v>150000</v>
      </c>
      <c r="V800" s="39" t="str">
        <f>IFERROR(INDEX(Katalog!$A$3:$A$12,MATCH(cadangan[[#This Row],[ItemID C]],Katalog!$C$3:$C$12,0)),"-")</f>
        <v>-</v>
      </c>
      <c r="W800" s="39" t="str">
        <f>IFERROR(INDEX(Katalog!$B$3:$B$12,MATCH(cadangan[[#This Row],[ItemID C]],Katalog!$C$3:$C$12,0)),"-")</f>
        <v>-</v>
      </c>
      <c r="Z800" s="73">
        <f>IFERROR(INDEX(Katalog!$D$3:$D$12,MATCH(cadangan[[#This Row],[ItemID C]],Katalog!$C$3:$C$12,0))*cadangan[[#This Row],[Qty C]],0)</f>
        <v>0</v>
      </c>
      <c r="AA800" s="73">
        <f>IFERROR(cadangan[[#This Row],[Harga Normal C]]-(cadangan[[#This Row],[Harga Normal C]]*cadangan[[#This Row],[Diskon]]),cadangan[[#This Row],[Harga Normal C]])</f>
        <v>0</v>
      </c>
      <c r="AB800" s="73">
        <f>IFERROR(INDEX(Katalog!$F$3:$F$12,MATCH(cadangan[[#This Row],[ItemID C]],Katalog!$C$3:$C$12,0))*cadangan[[#This Row],[Qty C]],0)</f>
        <v>0</v>
      </c>
      <c r="AC800" s="73">
        <f>IFERROR(cadangan[[#This Row],[Harga Diskon C]]-INDEX(Katalog!$E$3:$E$12,MATCH(cadangan[[#This Row],[ItemID C]],Katalog!$C$3:$C$12,0))*cadangan[[#This Row],[Qty C]],0)</f>
        <v>0</v>
      </c>
      <c r="AD800" s="53">
        <f>cadangan[[#This Row],[Qty A]]+cadangan[[#This Row],[Qty B]]+cadangan[[#This Row],[Qty C]]</f>
        <v>2</v>
      </c>
      <c r="AE800" s="73">
        <f>cadangan[[#This Row],[Harga Normal A]]+cadangan[[#This Row],[Harga Normal B]]+cadangan[[#This Row],[Harga Normal C]]</f>
        <v>900000</v>
      </c>
      <c r="AF800" s="73">
        <f>cadangan[[#This Row],[Harga Diskon A]]+cadangan[[#This Row],[Harga Diskon B]]+cadangan[[#This Row],[Harga Diskon C]]</f>
        <v>810000</v>
      </c>
      <c r="AG800" s="73">
        <f>(cadangan[[#This Row],[Profit Normal A]]+cadangan[[#This Row],[Profit Normal B]]+cadangan[[#This Row],[Profit Normal C]])</f>
        <v>350000</v>
      </c>
      <c r="AH800" s="73">
        <f>cadangan[[#This Row],[Profit Diskon A]]+cadangan[[#This Row],[Profit Diskon B]]+cadangan[[#This Row],[Profit Diskon C]]</f>
        <v>260000</v>
      </c>
      <c r="AI800" s="23" t="s">
        <v>6</v>
      </c>
      <c r="AJ800" s="37">
        <f>IFERROR(INDEX('Kode Diskon'!$D$3:$D$9,MATCH(cadangan[[#This Row],[Kode diskon]],'Kode Diskon'!$C$3:$C$9,0)),"-")</f>
        <v>0.1</v>
      </c>
      <c r="AK800" s="23" t="s">
        <v>29</v>
      </c>
      <c r="AL800" s="23" t="s">
        <v>7</v>
      </c>
      <c r="AM800" s="23" t="s">
        <v>80</v>
      </c>
      <c r="AN800" s="55">
        <v>45021</v>
      </c>
      <c r="AO800" s="53">
        <f>DAY(cadangan[[#This Row],[Tanggal terjual]])</f>
        <v>5</v>
      </c>
      <c r="AP800" s="21" t="str">
        <f>TEXT(cadangan[[#This Row],[Tanggal terjual]],"dddd")</f>
        <v>Wednesday</v>
      </c>
      <c r="AQ800" s="23" t="str" cm="1">
        <f t="array" ref="AQ8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00" s="61">
        <f>AVERAGE(cadangan[[#This Row],[Rating A]],cadangan[[#This Row],[Rating B]],cadangan[[#This Row],[Rating C]])</f>
        <v>3</v>
      </c>
    </row>
    <row r="801" spans="1:44" x14ac:dyDescent="0.2">
      <c r="A801" s="20">
        <v>800</v>
      </c>
      <c r="B801" s="21" t="str">
        <f>_xlfn.CONCAT("ORD-",INDEX(Helper!$B$2:$B$5,MATCH(cadangan[[#This Row],[Marketplace]],Helper!$A$2:$A$5,0)),TEXT(cadangan[[#This Row],[No]],"0000"),"-",TEXT(cadangan[[#This Row],[Tanggal terjual]],"dd/mm/yy"))</f>
        <v>ORD-SP0800-19/04/23</v>
      </c>
      <c r="C801" s="39" t="s">
        <v>60</v>
      </c>
      <c r="D801" s="39" t="str">
        <f>IFERROR(INDEX(Katalog!$A$3:$A$12,MATCH(cadangan[[#This Row],[ItemID A]],Katalog!$C$3:$C$12,0)),"-")</f>
        <v>Pakaian Wanita</v>
      </c>
      <c r="E801" s="39" t="str">
        <f>IFERROR(INDEX(Katalog!$B$3:$B$12,MATCH(cadangan[[#This Row],[ItemID A]],Katalog!$C$3:$C$12,0)),"-")</f>
        <v>Kaftan</v>
      </c>
      <c r="F801" s="50">
        <v>5</v>
      </c>
      <c r="G801" s="50">
        <v>4</v>
      </c>
      <c r="H801" s="73">
        <f>IFERROR(INDEX(Katalog!$D$3:$D$12,MATCH(cadangan[[#This Row],[ItemID A]],Katalog!$C$3:$C$12,0))*cadangan[[#This Row],[Qty A]],0)</f>
        <v>1250000</v>
      </c>
      <c r="I801" s="73">
        <f>IFERROR(cadangan[[#This Row],[Harga Normal A]]-(cadangan[[#This Row],[Harga Normal A]]*cadangan[[#This Row],[Diskon]]),cadangan[[#This Row],[Harga Normal A]])</f>
        <v>1000000</v>
      </c>
      <c r="J801" s="73">
        <f>INDEX(Katalog!$F$3:$F$12,MATCH(cadangan[[#This Row],[ItemID A]],Katalog!$C$3:$C$12,0))*cadangan[[#This Row],[Qty A]]</f>
        <v>500000</v>
      </c>
      <c r="K801" s="73">
        <f>IFERROR(cadangan[[#This Row],[Harga Diskon A]]-INDEX(Katalog!$E$3:$E$12,MATCH(cadangan[[#This Row],[ItemID A]],Katalog!$C$3:$C$12,0))*cadangan[[#This Row],[Qty A]],0)</f>
        <v>250000</v>
      </c>
      <c r="L801" s="39" t="s">
        <v>61</v>
      </c>
      <c r="M801" s="39" t="str">
        <f>IFERROR(INDEX(Katalog!$A$3:$A$12,MATCH(cadangan[[#This Row],[ItemID B]],Katalog!$C$3:$C$12,0)),"-")</f>
        <v>Pakaian Pria</v>
      </c>
      <c r="N801" s="39" t="str">
        <f>IFERROR(INDEX(Katalog!$B$3:$B$12,MATCH(cadangan[[#This Row],[ItemID B]],Katalog!$C$3:$C$12,0)),"-")</f>
        <v>Kaos Polo</v>
      </c>
      <c r="O801" s="50">
        <v>1</v>
      </c>
      <c r="P801" s="50">
        <v>3</v>
      </c>
      <c r="Q801" s="73">
        <f>IFERROR(INDEX(Katalog!$D$3:$D$12,MATCH(cadangan[[#This Row],[ItemID B]],Katalog!$C$3:$C$12,0))*cadangan[[#This Row],[Qty B]],0)</f>
        <v>200000</v>
      </c>
      <c r="R801" s="73">
        <f>IFERROR(cadangan[[#This Row],[Harga Normal B]]-(cadangan[[#This Row],[Harga Normal B]]*cadangan[[#This Row],[Diskon]]),cadangan[[#This Row],[Harga Normal B]])</f>
        <v>160000</v>
      </c>
      <c r="S801" s="73">
        <f>IFERROR(INDEX(Katalog!$F$3:$F$12,MATCH(cadangan[[#This Row],[ItemID B]],Katalog!$C$3:$C$12,0))*cadangan[[#This Row],[Qty B]],0)</f>
        <v>80000</v>
      </c>
      <c r="T801" s="73">
        <f>IFERROR(cadangan[[#This Row],[Harga Diskon B]]-INDEX(Katalog!$E$3:$E$12,MATCH(cadangan[[#This Row],[ItemID B]],Katalog!$C$3:$C$12,0))*cadangan[[#This Row],[Qty B]],0)</f>
        <v>40000</v>
      </c>
      <c r="V801" s="39" t="str">
        <f>IFERROR(INDEX(Katalog!$A$3:$A$12,MATCH(cadangan[[#This Row],[ItemID C]],Katalog!$C$3:$C$12,0)),"-")</f>
        <v>-</v>
      </c>
      <c r="W801" s="39" t="str">
        <f>IFERROR(INDEX(Katalog!$B$3:$B$12,MATCH(cadangan[[#This Row],[ItemID C]],Katalog!$C$3:$C$12,0)),"-")</f>
        <v>-</v>
      </c>
      <c r="Z801" s="73">
        <f>IFERROR(INDEX(Katalog!$D$3:$D$12,MATCH(cadangan[[#This Row],[ItemID C]],Katalog!$C$3:$C$12,0))*cadangan[[#This Row],[Qty C]],0)</f>
        <v>0</v>
      </c>
      <c r="AA801" s="73">
        <f>IFERROR(cadangan[[#This Row],[Harga Normal C]]-(cadangan[[#This Row],[Harga Normal C]]*cadangan[[#This Row],[Diskon]]),cadangan[[#This Row],[Harga Normal C]])</f>
        <v>0</v>
      </c>
      <c r="AB801" s="73">
        <f>IFERROR(INDEX(Katalog!$F$3:$F$12,MATCH(cadangan[[#This Row],[ItemID C]],Katalog!$C$3:$C$12,0))*cadangan[[#This Row],[Qty C]],0)</f>
        <v>0</v>
      </c>
      <c r="AC801" s="73">
        <f>IFERROR(cadangan[[#This Row],[Harga Diskon C]]-INDEX(Katalog!$E$3:$E$12,MATCH(cadangan[[#This Row],[ItemID C]],Katalog!$C$3:$C$12,0))*cadangan[[#This Row],[Qty C]],0)</f>
        <v>0</v>
      </c>
      <c r="AD801" s="53">
        <f>cadangan[[#This Row],[Qty A]]+cadangan[[#This Row],[Qty B]]+cadangan[[#This Row],[Qty C]]</f>
        <v>6</v>
      </c>
      <c r="AE801" s="73">
        <f>cadangan[[#This Row],[Harga Normal A]]+cadangan[[#This Row],[Harga Normal B]]+cadangan[[#This Row],[Harga Normal C]]</f>
        <v>1450000</v>
      </c>
      <c r="AF801" s="73">
        <f>cadangan[[#This Row],[Harga Diskon A]]+cadangan[[#This Row],[Harga Diskon B]]+cadangan[[#This Row],[Harga Diskon C]]</f>
        <v>1160000</v>
      </c>
      <c r="AG801" s="73">
        <f>(cadangan[[#This Row],[Profit Normal A]]+cadangan[[#This Row],[Profit Normal B]]+cadangan[[#This Row],[Profit Normal C]])</f>
        <v>580000</v>
      </c>
      <c r="AH801" s="73">
        <f>cadangan[[#This Row],[Profit Diskon A]]+cadangan[[#This Row],[Profit Diskon B]]+cadangan[[#This Row],[Profit Diskon C]]</f>
        <v>290000</v>
      </c>
      <c r="AI801" s="23" t="s">
        <v>8</v>
      </c>
      <c r="AJ801" s="37">
        <f>IFERROR(INDEX('Kode Diskon'!$D$3:$D$9,MATCH(cadangan[[#This Row],[Kode diskon]],'Kode Diskon'!$C$3:$C$9,0)),"-")</f>
        <v>0.2</v>
      </c>
      <c r="AK801" s="23" t="s">
        <v>9</v>
      </c>
      <c r="AL801" s="23" t="s">
        <v>7</v>
      </c>
      <c r="AM801" s="23" t="s">
        <v>79</v>
      </c>
      <c r="AN801" s="55">
        <v>45035</v>
      </c>
      <c r="AO801" s="53">
        <f>DAY(cadangan[[#This Row],[Tanggal terjual]])</f>
        <v>19</v>
      </c>
      <c r="AP801" s="21" t="str">
        <f>TEXT(cadangan[[#This Row],[Tanggal terjual]],"dddd")</f>
        <v>Wednesday</v>
      </c>
      <c r="AQ801" s="23" t="str" cm="1">
        <f t="array" ref="AQ8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01" s="61">
        <f>AVERAGE(cadangan[[#This Row],[Rating A]],cadangan[[#This Row],[Rating B]],cadangan[[#This Row],[Rating C]])</f>
        <v>3.5</v>
      </c>
    </row>
    <row r="802" spans="1:44" x14ac:dyDescent="0.2">
      <c r="A802" s="20">
        <v>801</v>
      </c>
      <c r="B802" s="21" t="str">
        <f>_xlfn.CONCAT("ORD-",INDEX(Helper!$B$2:$B$5,MATCH(cadangan[[#This Row],[Marketplace]],Helper!$A$2:$A$5,0)),TEXT(cadangan[[#This Row],[No]],"0000"),"-",TEXT(cadangan[[#This Row],[Tanggal terjual]],"dd/mm/yy"))</f>
        <v>ORD-TK0801-21/04/23</v>
      </c>
      <c r="C802" s="39" t="s">
        <v>67</v>
      </c>
      <c r="D802" s="39" t="str">
        <f>IFERROR(INDEX(Katalog!$A$3:$A$12,MATCH(cadangan[[#This Row],[ItemID A]],Katalog!$C$3:$C$12,0)),"-")</f>
        <v>Sepatu Wanita</v>
      </c>
      <c r="E802" s="39" t="str">
        <f>IFERROR(INDEX(Katalog!$B$3:$B$12,MATCH(cadangan[[#This Row],[ItemID A]],Katalog!$C$3:$C$12,0)),"-")</f>
        <v>Flat Shoes</v>
      </c>
      <c r="F802" s="50">
        <v>1</v>
      </c>
      <c r="G802" s="50">
        <v>3</v>
      </c>
      <c r="H802" s="73">
        <f>IFERROR(INDEX(Katalog!$D$3:$D$12,MATCH(cadangan[[#This Row],[ItemID A]],Katalog!$C$3:$C$12,0))*cadangan[[#This Row],[Qty A]],0)</f>
        <v>250000</v>
      </c>
      <c r="I802" s="73">
        <f>IFERROR(cadangan[[#This Row],[Harga Normal A]]-(cadangan[[#This Row],[Harga Normal A]]*cadangan[[#This Row],[Diskon]]),cadangan[[#This Row],[Harga Normal A]])</f>
        <v>225000</v>
      </c>
      <c r="J802" s="73">
        <f>INDEX(Katalog!$F$3:$F$12,MATCH(cadangan[[#This Row],[ItemID A]],Katalog!$C$3:$C$12,0))*cadangan[[#This Row],[Qty A]]</f>
        <v>100000</v>
      </c>
      <c r="K802" s="73">
        <f>IFERROR(cadangan[[#This Row],[Harga Diskon A]]-INDEX(Katalog!$E$3:$E$12,MATCH(cadangan[[#This Row],[ItemID A]],Katalog!$C$3:$C$12,0))*cadangan[[#This Row],[Qty A]],0)</f>
        <v>75000</v>
      </c>
      <c r="L802" s="39" t="s">
        <v>63</v>
      </c>
      <c r="M802" s="39" t="str">
        <f>IFERROR(INDEX(Katalog!$A$3:$A$12,MATCH(cadangan[[#This Row],[ItemID B]],Katalog!$C$3:$C$12,0)),"-")</f>
        <v>Pakaian Pria</v>
      </c>
      <c r="N802" s="39" t="str">
        <f>IFERROR(INDEX(Katalog!$B$3:$B$12,MATCH(cadangan[[#This Row],[ItemID B]],Katalog!$C$3:$C$12,0)),"-")</f>
        <v>Jaket Jeans</v>
      </c>
      <c r="O802" s="50">
        <v>1</v>
      </c>
      <c r="P802" s="50">
        <v>3</v>
      </c>
      <c r="Q802" s="73">
        <f>IFERROR(INDEX(Katalog!$D$3:$D$12,MATCH(cadangan[[#This Row],[ItemID B]],Katalog!$C$3:$C$12,0))*cadangan[[#This Row],[Qty B]],0)</f>
        <v>400000</v>
      </c>
      <c r="R802" s="73">
        <f>IFERROR(cadangan[[#This Row],[Harga Normal B]]-(cadangan[[#This Row],[Harga Normal B]]*cadangan[[#This Row],[Diskon]]),cadangan[[#This Row],[Harga Normal B]])</f>
        <v>360000</v>
      </c>
      <c r="S802" s="73">
        <f>IFERROR(INDEX(Katalog!$F$3:$F$12,MATCH(cadangan[[#This Row],[ItemID B]],Katalog!$C$3:$C$12,0))*cadangan[[#This Row],[Qty B]],0)</f>
        <v>150000</v>
      </c>
      <c r="T802" s="73">
        <f>IFERROR(cadangan[[#This Row],[Harga Diskon B]]-INDEX(Katalog!$E$3:$E$12,MATCH(cadangan[[#This Row],[ItemID B]],Katalog!$C$3:$C$12,0))*cadangan[[#This Row],[Qty B]],0)</f>
        <v>110000</v>
      </c>
      <c r="U802" s="39" t="s">
        <v>59</v>
      </c>
      <c r="V802" s="39" t="str">
        <f>IFERROR(INDEX(Katalog!$A$3:$A$12,MATCH(cadangan[[#This Row],[ItemID C]],Katalog!$C$3:$C$12,0)),"-")</f>
        <v>Pakaian Wanita</v>
      </c>
      <c r="W802" s="39" t="str">
        <f>IFERROR(INDEX(Katalog!$B$3:$B$12,MATCH(cadangan[[#This Row],[ItemID C]],Katalog!$C$3:$C$12,0)),"-")</f>
        <v>Blouse</v>
      </c>
      <c r="X802" s="50">
        <v>2</v>
      </c>
      <c r="Y802" s="50">
        <v>2</v>
      </c>
      <c r="Z802" s="73">
        <f>IFERROR(INDEX(Katalog!$D$3:$D$12,MATCH(cadangan[[#This Row],[ItemID C]],Katalog!$C$3:$C$12,0))*cadangan[[#This Row],[Qty C]],0)</f>
        <v>300000</v>
      </c>
      <c r="AA802" s="73">
        <f>IFERROR(cadangan[[#This Row],[Harga Normal C]]-(cadangan[[#This Row],[Harga Normal C]]*cadangan[[#This Row],[Diskon]]),cadangan[[#This Row],[Harga Normal C]])</f>
        <v>270000</v>
      </c>
      <c r="AB802" s="73">
        <f>IFERROR(INDEX(Katalog!$F$3:$F$12,MATCH(cadangan[[#This Row],[ItemID C]],Katalog!$C$3:$C$12,0))*cadangan[[#This Row],[Qty C]],0)</f>
        <v>100000</v>
      </c>
      <c r="AC802" s="73">
        <f>IFERROR(cadangan[[#This Row],[Harga Diskon C]]-INDEX(Katalog!$E$3:$E$12,MATCH(cadangan[[#This Row],[ItemID C]],Katalog!$C$3:$C$12,0))*cadangan[[#This Row],[Qty C]],0)</f>
        <v>70000</v>
      </c>
      <c r="AD802" s="53">
        <f>cadangan[[#This Row],[Qty A]]+cadangan[[#This Row],[Qty B]]+cadangan[[#This Row],[Qty C]]</f>
        <v>4</v>
      </c>
      <c r="AE802" s="73">
        <f>cadangan[[#This Row],[Harga Normal A]]+cadangan[[#This Row],[Harga Normal B]]+cadangan[[#This Row],[Harga Normal C]]</f>
        <v>950000</v>
      </c>
      <c r="AF802" s="73">
        <f>cadangan[[#This Row],[Harga Diskon A]]+cadangan[[#This Row],[Harga Diskon B]]+cadangan[[#This Row],[Harga Diskon C]]</f>
        <v>855000</v>
      </c>
      <c r="AG802" s="73">
        <f>(cadangan[[#This Row],[Profit Normal A]]+cadangan[[#This Row],[Profit Normal B]]+cadangan[[#This Row],[Profit Normal C]])</f>
        <v>350000</v>
      </c>
      <c r="AH802" s="73">
        <f>cadangan[[#This Row],[Profit Diskon A]]+cadangan[[#This Row],[Profit Diskon B]]+cadangan[[#This Row],[Profit Diskon C]]</f>
        <v>255000</v>
      </c>
      <c r="AI802" s="23" t="s">
        <v>31</v>
      </c>
      <c r="AJ802" s="37">
        <f>IFERROR(INDEX('Kode Diskon'!$D$3:$D$9,MATCH(cadangan[[#This Row],[Kode diskon]],'Kode Diskon'!$C$3:$C$9,0)),"-")</f>
        <v>0.1</v>
      </c>
      <c r="AK802" s="23" t="s">
        <v>9</v>
      </c>
      <c r="AL802" s="23" t="s">
        <v>10</v>
      </c>
      <c r="AM802" s="23" t="s">
        <v>75</v>
      </c>
      <c r="AN802" s="55">
        <v>45037</v>
      </c>
      <c r="AO802" s="53">
        <f>DAY(cadangan[[#This Row],[Tanggal terjual]])</f>
        <v>21</v>
      </c>
      <c r="AP802" s="21" t="str">
        <f>TEXT(cadangan[[#This Row],[Tanggal terjual]],"dddd")</f>
        <v>Friday</v>
      </c>
      <c r="AQ802" s="23" t="str" cm="1">
        <f t="array" ref="AQ8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02" s="61">
        <f>AVERAGE(cadangan[[#This Row],[Rating A]],cadangan[[#This Row],[Rating B]],cadangan[[#This Row],[Rating C]])</f>
        <v>2.6666666666666665</v>
      </c>
    </row>
    <row r="803" spans="1:44" x14ac:dyDescent="0.2">
      <c r="A803" s="20">
        <v>802</v>
      </c>
      <c r="B803" s="21" t="str">
        <f>_xlfn.CONCAT("ORD-",INDEX(Helper!$B$2:$B$5,MATCH(cadangan[[#This Row],[Marketplace]],Helper!$A$2:$A$5,0)),TEXT(cadangan[[#This Row],[No]],"0000"),"-",TEXT(cadangan[[#This Row],[Tanggal terjual]],"dd/mm/yy"))</f>
        <v>ORD-BB0802-07/04/23</v>
      </c>
      <c r="C803" s="39" t="s">
        <v>59</v>
      </c>
      <c r="D803" s="39" t="str">
        <f>IFERROR(INDEX(Katalog!$A$3:$A$12,MATCH(cadangan[[#This Row],[ItemID A]],Katalog!$C$3:$C$12,0)),"-")</f>
        <v>Pakaian Wanita</v>
      </c>
      <c r="E803" s="39" t="str">
        <f>IFERROR(INDEX(Katalog!$B$3:$B$12,MATCH(cadangan[[#This Row],[ItemID A]],Katalog!$C$3:$C$12,0)),"-")</f>
        <v>Blouse</v>
      </c>
      <c r="F803" s="50">
        <v>3</v>
      </c>
      <c r="G803" s="50">
        <v>2</v>
      </c>
      <c r="H803" s="73">
        <f>IFERROR(INDEX(Katalog!$D$3:$D$12,MATCH(cadangan[[#This Row],[ItemID A]],Katalog!$C$3:$C$12,0))*cadangan[[#This Row],[Qty A]],0)</f>
        <v>450000</v>
      </c>
      <c r="I803" s="73">
        <f>IFERROR(cadangan[[#This Row],[Harga Normal A]]-(cadangan[[#This Row],[Harga Normal A]]*cadangan[[#This Row],[Diskon]]),cadangan[[#This Row],[Harga Normal A]])</f>
        <v>450000</v>
      </c>
      <c r="J803" s="73">
        <f>INDEX(Katalog!$F$3:$F$12,MATCH(cadangan[[#This Row],[ItemID A]],Katalog!$C$3:$C$12,0))*cadangan[[#This Row],[Qty A]]</f>
        <v>150000</v>
      </c>
      <c r="K803" s="73">
        <f>IFERROR(cadangan[[#This Row],[Harga Diskon A]]-INDEX(Katalog!$E$3:$E$12,MATCH(cadangan[[#This Row],[ItemID A]],Katalog!$C$3:$C$12,0))*cadangan[[#This Row],[Qty A]],0)</f>
        <v>150000</v>
      </c>
      <c r="M803" s="39" t="str">
        <f>IFERROR(INDEX(Katalog!$A$3:$A$12,MATCH(cadangan[[#This Row],[ItemID B]],Katalog!$C$3:$C$12,0)),"-")</f>
        <v>-</v>
      </c>
      <c r="N803" s="39" t="str">
        <f>IFERROR(INDEX(Katalog!$B$3:$B$12,MATCH(cadangan[[#This Row],[ItemID B]],Katalog!$C$3:$C$12,0)),"-")</f>
        <v>-</v>
      </c>
      <c r="Q803" s="73">
        <f>IFERROR(INDEX(Katalog!$D$3:$D$12,MATCH(cadangan[[#This Row],[ItemID B]],Katalog!$C$3:$C$12,0))*cadangan[[#This Row],[Qty B]],0)</f>
        <v>0</v>
      </c>
      <c r="R803" s="73">
        <f>IFERROR(cadangan[[#This Row],[Harga Normal B]]-(cadangan[[#This Row],[Harga Normal B]]*cadangan[[#This Row],[Diskon]]),cadangan[[#This Row],[Harga Normal B]])</f>
        <v>0</v>
      </c>
      <c r="S803" s="73">
        <f>IFERROR(INDEX(Katalog!$F$3:$F$12,MATCH(cadangan[[#This Row],[ItemID B]],Katalog!$C$3:$C$12,0))*cadangan[[#This Row],[Qty B]],0)</f>
        <v>0</v>
      </c>
      <c r="T803" s="73">
        <f>IFERROR(cadangan[[#This Row],[Harga Diskon B]]-INDEX(Katalog!$E$3:$E$12,MATCH(cadangan[[#This Row],[ItemID B]],Katalog!$C$3:$C$12,0))*cadangan[[#This Row],[Qty B]],0)</f>
        <v>0</v>
      </c>
      <c r="V803" s="39" t="str">
        <f>IFERROR(INDEX(Katalog!$A$3:$A$12,MATCH(cadangan[[#This Row],[ItemID C]],Katalog!$C$3:$C$12,0)),"-")</f>
        <v>-</v>
      </c>
      <c r="W803" s="39" t="str">
        <f>IFERROR(INDEX(Katalog!$B$3:$B$12,MATCH(cadangan[[#This Row],[ItemID C]],Katalog!$C$3:$C$12,0)),"-")</f>
        <v>-</v>
      </c>
      <c r="Z803" s="73">
        <f>IFERROR(INDEX(Katalog!$D$3:$D$12,MATCH(cadangan[[#This Row],[ItemID C]],Katalog!$C$3:$C$12,0))*cadangan[[#This Row],[Qty C]],0)</f>
        <v>0</v>
      </c>
      <c r="AA803" s="73">
        <f>IFERROR(cadangan[[#This Row],[Harga Normal C]]-(cadangan[[#This Row],[Harga Normal C]]*cadangan[[#This Row],[Diskon]]),cadangan[[#This Row],[Harga Normal C]])</f>
        <v>0</v>
      </c>
      <c r="AB803" s="73">
        <f>IFERROR(INDEX(Katalog!$F$3:$F$12,MATCH(cadangan[[#This Row],[ItemID C]],Katalog!$C$3:$C$12,0))*cadangan[[#This Row],[Qty C]],0)</f>
        <v>0</v>
      </c>
      <c r="AC803" s="73">
        <f>IFERROR(cadangan[[#This Row],[Harga Diskon C]]-INDEX(Katalog!$E$3:$E$12,MATCH(cadangan[[#This Row],[ItemID C]],Katalog!$C$3:$C$12,0))*cadangan[[#This Row],[Qty C]],0)</f>
        <v>0</v>
      </c>
      <c r="AD803" s="53">
        <f>cadangan[[#This Row],[Qty A]]+cadangan[[#This Row],[Qty B]]+cadangan[[#This Row],[Qty C]]</f>
        <v>3</v>
      </c>
      <c r="AE803" s="73">
        <f>cadangan[[#This Row],[Harga Normal A]]+cadangan[[#This Row],[Harga Normal B]]+cadangan[[#This Row],[Harga Normal C]]</f>
        <v>450000</v>
      </c>
      <c r="AF803" s="73">
        <f>cadangan[[#This Row],[Harga Diskon A]]+cadangan[[#This Row],[Harga Diskon B]]+cadangan[[#This Row],[Harga Diskon C]]</f>
        <v>450000</v>
      </c>
      <c r="AG803" s="73">
        <f>(cadangan[[#This Row],[Profit Normal A]]+cadangan[[#This Row],[Profit Normal B]]+cadangan[[#This Row],[Profit Normal C]])</f>
        <v>150000</v>
      </c>
      <c r="AH803" s="73">
        <f>cadangan[[#This Row],[Profit Diskon A]]+cadangan[[#This Row],[Profit Diskon B]]+cadangan[[#This Row],[Profit Diskon C]]</f>
        <v>150000</v>
      </c>
      <c r="AI803" s="23" t="s">
        <v>290</v>
      </c>
      <c r="AJ803" s="37" t="str">
        <f>IFERROR(INDEX('Kode Diskon'!$D$3:$D$9,MATCH(cadangan[[#This Row],[Kode diskon]],'Kode Diskon'!$C$3:$C$9,0)),"-")</f>
        <v>-</v>
      </c>
      <c r="AK803" s="23" t="s">
        <v>290</v>
      </c>
      <c r="AL803" s="23" t="s">
        <v>14</v>
      </c>
      <c r="AM803" s="23" t="s">
        <v>80</v>
      </c>
      <c r="AN803" s="55">
        <v>45023</v>
      </c>
      <c r="AO803" s="53">
        <f>DAY(cadangan[[#This Row],[Tanggal terjual]])</f>
        <v>7</v>
      </c>
      <c r="AP803" s="21" t="str">
        <f>TEXT(cadangan[[#This Row],[Tanggal terjual]],"dddd")</f>
        <v>Friday</v>
      </c>
      <c r="AQ803" s="23" t="str" cm="1">
        <f t="array" ref="AQ8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03" s="61">
        <f>AVERAGE(cadangan[[#This Row],[Rating A]],cadangan[[#This Row],[Rating B]],cadangan[[#This Row],[Rating C]])</f>
        <v>2</v>
      </c>
    </row>
    <row r="804" spans="1:44" x14ac:dyDescent="0.2">
      <c r="A804" s="20">
        <v>803</v>
      </c>
      <c r="B804" s="21" t="str">
        <f>_xlfn.CONCAT("ORD-",INDEX(Helper!$B$2:$B$5,MATCH(cadangan[[#This Row],[Marketplace]],Helper!$A$2:$A$5,0)),TEXT(cadangan[[#This Row],[No]],"0000"),"-",TEXT(cadangan[[#This Row],[Tanggal terjual]],"dd/mm/yy"))</f>
        <v>ORD-SP0803-21/04/23</v>
      </c>
      <c r="C804" s="39" t="s">
        <v>60</v>
      </c>
      <c r="D804" s="39" t="str">
        <f>IFERROR(INDEX(Katalog!$A$3:$A$12,MATCH(cadangan[[#This Row],[ItemID A]],Katalog!$C$3:$C$12,0)),"-")</f>
        <v>Pakaian Wanita</v>
      </c>
      <c r="E804" s="39" t="str">
        <f>IFERROR(INDEX(Katalog!$B$3:$B$12,MATCH(cadangan[[#This Row],[ItemID A]],Katalog!$C$3:$C$12,0)),"-")</f>
        <v>Kaftan</v>
      </c>
      <c r="F804" s="50">
        <v>4</v>
      </c>
      <c r="G804" s="50">
        <v>3</v>
      </c>
      <c r="H804" s="73">
        <f>IFERROR(INDEX(Katalog!$D$3:$D$12,MATCH(cadangan[[#This Row],[ItemID A]],Katalog!$C$3:$C$12,0))*cadangan[[#This Row],[Qty A]],0)</f>
        <v>1000000</v>
      </c>
      <c r="I804" s="73">
        <f>IFERROR(cadangan[[#This Row],[Harga Normal A]]-(cadangan[[#This Row],[Harga Normal A]]*cadangan[[#This Row],[Diskon]]),cadangan[[#This Row],[Harga Normal A]])</f>
        <v>800000</v>
      </c>
      <c r="J804" s="73">
        <f>INDEX(Katalog!$F$3:$F$12,MATCH(cadangan[[#This Row],[ItemID A]],Katalog!$C$3:$C$12,0))*cadangan[[#This Row],[Qty A]]</f>
        <v>400000</v>
      </c>
      <c r="K804" s="73">
        <f>IFERROR(cadangan[[#This Row],[Harga Diskon A]]-INDEX(Katalog!$E$3:$E$12,MATCH(cadangan[[#This Row],[ItemID A]],Katalog!$C$3:$C$12,0))*cadangan[[#This Row],[Qty A]],0)</f>
        <v>200000</v>
      </c>
      <c r="L804" s="39" t="s">
        <v>64</v>
      </c>
      <c r="M804" s="39" t="str">
        <f>IFERROR(INDEX(Katalog!$A$3:$A$12,MATCH(cadangan[[#This Row],[ItemID B]],Katalog!$C$3:$C$12,0)),"-")</f>
        <v>Pakaian Unisex</v>
      </c>
      <c r="N804" s="39" t="str">
        <f>IFERROR(INDEX(Katalog!$B$3:$B$12,MATCH(cadangan[[#This Row],[ItemID B]],Katalog!$C$3:$C$12,0)),"-")</f>
        <v>Jaket Hoodie</v>
      </c>
      <c r="O804" s="50">
        <v>1</v>
      </c>
      <c r="P804" s="50">
        <v>4</v>
      </c>
      <c r="Q804" s="73">
        <f>IFERROR(INDEX(Katalog!$D$3:$D$12,MATCH(cadangan[[#This Row],[ItemID B]],Katalog!$C$3:$C$12,0))*cadangan[[#This Row],[Qty B]],0)</f>
        <v>350000</v>
      </c>
      <c r="R804" s="73">
        <f>IFERROR(cadangan[[#This Row],[Harga Normal B]]-(cadangan[[#This Row],[Harga Normal B]]*cadangan[[#This Row],[Diskon]]),cadangan[[#This Row],[Harga Normal B]])</f>
        <v>280000</v>
      </c>
      <c r="S804" s="73">
        <f>IFERROR(INDEX(Katalog!$F$3:$F$12,MATCH(cadangan[[#This Row],[ItemID B]],Katalog!$C$3:$C$12,0))*cadangan[[#This Row],[Qty B]],0)</f>
        <v>130000</v>
      </c>
      <c r="T804" s="73">
        <f>IFERROR(cadangan[[#This Row],[Harga Diskon B]]-INDEX(Katalog!$E$3:$E$12,MATCH(cadangan[[#This Row],[ItemID B]],Katalog!$C$3:$C$12,0))*cadangan[[#This Row],[Qty B]],0)</f>
        <v>60000</v>
      </c>
      <c r="V804" s="39" t="str">
        <f>IFERROR(INDEX(Katalog!$A$3:$A$12,MATCH(cadangan[[#This Row],[ItemID C]],Katalog!$C$3:$C$12,0)),"-")</f>
        <v>-</v>
      </c>
      <c r="W804" s="39" t="str">
        <f>IFERROR(INDEX(Katalog!$B$3:$B$12,MATCH(cadangan[[#This Row],[ItemID C]],Katalog!$C$3:$C$12,0)),"-")</f>
        <v>-</v>
      </c>
      <c r="Z804" s="73">
        <f>IFERROR(INDEX(Katalog!$D$3:$D$12,MATCH(cadangan[[#This Row],[ItemID C]],Katalog!$C$3:$C$12,0))*cadangan[[#This Row],[Qty C]],0)</f>
        <v>0</v>
      </c>
      <c r="AA804" s="73">
        <f>IFERROR(cadangan[[#This Row],[Harga Normal C]]-(cadangan[[#This Row],[Harga Normal C]]*cadangan[[#This Row],[Diskon]]),cadangan[[#This Row],[Harga Normal C]])</f>
        <v>0</v>
      </c>
      <c r="AB804" s="73">
        <f>IFERROR(INDEX(Katalog!$F$3:$F$12,MATCH(cadangan[[#This Row],[ItemID C]],Katalog!$C$3:$C$12,0))*cadangan[[#This Row],[Qty C]],0)</f>
        <v>0</v>
      </c>
      <c r="AC804" s="73">
        <f>IFERROR(cadangan[[#This Row],[Harga Diskon C]]-INDEX(Katalog!$E$3:$E$12,MATCH(cadangan[[#This Row],[ItemID C]],Katalog!$C$3:$C$12,0))*cadangan[[#This Row],[Qty C]],0)</f>
        <v>0</v>
      </c>
      <c r="AD804" s="53">
        <f>cadangan[[#This Row],[Qty A]]+cadangan[[#This Row],[Qty B]]+cadangan[[#This Row],[Qty C]]</f>
        <v>5</v>
      </c>
      <c r="AE804" s="73">
        <f>cadangan[[#This Row],[Harga Normal A]]+cadangan[[#This Row],[Harga Normal B]]+cadangan[[#This Row],[Harga Normal C]]</f>
        <v>1350000</v>
      </c>
      <c r="AF804" s="73">
        <f>cadangan[[#This Row],[Harga Diskon A]]+cadangan[[#This Row],[Harga Diskon B]]+cadangan[[#This Row],[Harga Diskon C]]</f>
        <v>1080000</v>
      </c>
      <c r="AG804" s="73">
        <f>(cadangan[[#This Row],[Profit Normal A]]+cadangan[[#This Row],[Profit Normal B]]+cadangan[[#This Row],[Profit Normal C]])</f>
        <v>530000</v>
      </c>
      <c r="AH804" s="73">
        <f>cadangan[[#This Row],[Profit Diskon A]]+cadangan[[#This Row],[Profit Diskon B]]+cadangan[[#This Row],[Profit Diskon C]]</f>
        <v>260000</v>
      </c>
      <c r="AI804" s="23" t="s">
        <v>8</v>
      </c>
      <c r="AJ804" s="37">
        <f>IFERROR(INDEX('Kode Diskon'!$D$3:$D$9,MATCH(cadangan[[#This Row],[Kode diskon]],'Kode Diskon'!$C$3:$C$9,0)),"-")</f>
        <v>0.2</v>
      </c>
      <c r="AK804" s="23" t="s">
        <v>9</v>
      </c>
      <c r="AL804" s="23" t="s">
        <v>7</v>
      </c>
      <c r="AM804" s="23" t="s">
        <v>75</v>
      </c>
      <c r="AN804" s="55">
        <v>45037</v>
      </c>
      <c r="AO804" s="53">
        <f>DAY(cadangan[[#This Row],[Tanggal terjual]])</f>
        <v>21</v>
      </c>
      <c r="AP804" s="21" t="str">
        <f>TEXT(cadangan[[#This Row],[Tanggal terjual]],"dddd")</f>
        <v>Friday</v>
      </c>
      <c r="AQ804" s="23" t="str" cm="1">
        <f t="array" ref="AQ8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04" s="61">
        <f>AVERAGE(cadangan[[#This Row],[Rating A]],cadangan[[#This Row],[Rating B]],cadangan[[#This Row],[Rating C]])</f>
        <v>3.5</v>
      </c>
    </row>
    <row r="805" spans="1:44" x14ac:dyDescent="0.2">
      <c r="A805" s="20">
        <v>804</v>
      </c>
      <c r="B805" s="21" t="str">
        <f>_xlfn.CONCAT("ORD-",INDEX(Helper!$B$2:$B$5,MATCH(cadangan[[#This Row],[Marketplace]],Helper!$A$2:$A$5,0)),TEXT(cadangan[[#This Row],[No]],"0000"),"-",TEXT(cadangan[[#This Row],[Tanggal terjual]],"dd/mm/yy"))</f>
        <v>ORD-BB0804-11/04/23</v>
      </c>
      <c r="C805" s="39" t="s">
        <v>60</v>
      </c>
      <c r="D805" s="39" t="str">
        <f>IFERROR(INDEX(Katalog!$A$3:$A$12,MATCH(cadangan[[#This Row],[ItemID A]],Katalog!$C$3:$C$12,0)),"-")</f>
        <v>Pakaian Wanita</v>
      </c>
      <c r="E805" s="39" t="str">
        <f>IFERROR(INDEX(Katalog!$B$3:$B$12,MATCH(cadangan[[#This Row],[ItemID A]],Katalog!$C$3:$C$12,0)),"-")</f>
        <v>Kaftan</v>
      </c>
      <c r="F805" s="50">
        <v>5</v>
      </c>
      <c r="G805" s="50">
        <v>1</v>
      </c>
      <c r="H805" s="73">
        <f>IFERROR(INDEX(Katalog!$D$3:$D$12,MATCH(cadangan[[#This Row],[ItemID A]],Katalog!$C$3:$C$12,0))*cadangan[[#This Row],[Qty A]],0)</f>
        <v>1250000</v>
      </c>
      <c r="I805" s="73">
        <f>IFERROR(cadangan[[#This Row],[Harga Normal A]]-(cadangan[[#This Row],[Harga Normal A]]*cadangan[[#This Row],[Diskon]]),cadangan[[#This Row],[Harga Normal A]])</f>
        <v>1250000</v>
      </c>
      <c r="J805" s="73">
        <f>INDEX(Katalog!$F$3:$F$12,MATCH(cadangan[[#This Row],[ItemID A]],Katalog!$C$3:$C$12,0))*cadangan[[#This Row],[Qty A]]</f>
        <v>500000</v>
      </c>
      <c r="K805" s="73">
        <f>IFERROR(cadangan[[#This Row],[Harga Diskon A]]-INDEX(Katalog!$E$3:$E$12,MATCH(cadangan[[#This Row],[ItemID A]],Katalog!$C$3:$C$12,0))*cadangan[[#This Row],[Qty A]],0)</f>
        <v>500000</v>
      </c>
      <c r="L805" s="39" t="s">
        <v>65</v>
      </c>
      <c r="M805" s="39" t="str">
        <f>IFERROR(INDEX(Katalog!$A$3:$A$12,MATCH(cadangan[[#This Row],[ItemID B]],Katalog!$C$3:$C$12,0)),"-")</f>
        <v>Sepatu Pria</v>
      </c>
      <c r="N805" s="39" t="str">
        <f>IFERROR(INDEX(Katalog!$B$3:$B$12,MATCH(cadangan[[#This Row],[ItemID B]],Katalog!$C$3:$C$12,0)),"-")</f>
        <v>Sneakers</v>
      </c>
      <c r="O805" s="50">
        <v>1</v>
      </c>
      <c r="P805" s="50">
        <v>4</v>
      </c>
      <c r="Q805" s="73">
        <f>IFERROR(INDEX(Katalog!$D$3:$D$12,MATCH(cadangan[[#This Row],[ItemID B]],Katalog!$C$3:$C$12,0))*cadangan[[#This Row],[Qty B]],0)</f>
        <v>500000</v>
      </c>
      <c r="R805" s="73">
        <f>IFERROR(cadangan[[#This Row],[Harga Normal B]]-(cadangan[[#This Row],[Harga Normal B]]*cadangan[[#This Row],[Diskon]]),cadangan[[#This Row],[Harga Normal B]])</f>
        <v>500000</v>
      </c>
      <c r="S805" s="73">
        <f>IFERROR(INDEX(Katalog!$F$3:$F$12,MATCH(cadangan[[#This Row],[ItemID B]],Katalog!$C$3:$C$12,0))*cadangan[[#This Row],[Qty B]],0)</f>
        <v>200000</v>
      </c>
      <c r="T805" s="73">
        <f>IFERROR(cadangan[[#This Row],[Harga Diskon B]]-INDEX(Katalog!$E$3:$E$12,MATCH(cadangan[[#This Row],[ItemID B]],Katalog!$C$3:$C$12,0))*cadangan[[#This Row],[Qty B]],0)</f>
        <v>200000</v>
      </c>
      <c r="V805" s="39" t="str">
        <f>IFERROR(INDEX(Katalog!$A$3:$A$12,MATCH(cadangan[[#This Row],[ItemID C]],Katalog!$C$3:$C$12,0)),"-")</f>
        <v>-</v>
      </c>
      <c r="W805" s="39" t="str">
        <f>IFERROR(INDEX(Katalog!$B$3:$B$12,MATCH(cadangan[[#This Row],[ItemID C]],Katalog!$C$3:$C$12,0)),"-")</f>
        <v>-</v>
      </c>
      <c r="Z805" s="73">
        <f>IFERROR(INDEX(Katalog!$D$3:$D$12,MATCH(cadangan[[#This Row],[ItemID C]],Katalog!$C$3:$C$12,0))*cadangan[[#This Row],[Qty C]],0)</f>
        <v>0</v>
      </c>
      <c r="AA805" s="73">
        <f>IFERROR(cadangan[[#This Row],[Harga Normal C]]-(cadangan[[#This Row],[Harga Normal C]]*cadangan[[#This Row],[Diskon]]),cadangan[[#This Row],[Harga Normal C]])</f>
        <v>0</v>
      </c>
      <c r="AB805" s="73">
        <f>IFERROR(INDEX(Katalog!$F$3:$F$12,MATCH(cadangan[[#This Row],[ItemID C]],Katalog!$C$3:$C$12,0))*cadangan[[#This Row],[Qty C]],0)</f>
        <v>0</v>
      </c>
      <c r="AC805" s="73">
        <f>IFERROR(cadangan[[#This Row],[Harga Diskon C]]-INDEX(Katalog!$E$3:$E$12,MATCH(cadangan[[#This Row],[ItemID C]],Katalog!$C$3:$C$12,0))*cadangan[[#This Row],[Qty C]],0)</f>
        <v>0</v>
      </c>
      <c r="AD805" s="53">
        <f>cadangan[[#This Row],[Qty A]]+cadangan[[#This Row],[Qty B]]+cadangan[[#This Row],[Qty C]]</f>
        <v>6</v>
      </c>
      <c r="AE805" s="73">
        <f>cadangan[[#This Row],[Harga Normal A]]+cadangan[[#This Row],[Harga Normal B]]+cadangan[[#This Row],[Harga Normal C]]</f>
        <v>1750000</v>
      </c>
      <c r="AF805" s="73">
        <f>cadangan[[#This Row],[Harga Diskon A]]+cadangan[[#This Row],[Harga Diskon B]]+cadangan[[#This Row],[Harga Diskon C]]</f>
        <v>1750000</v>
      </c>
      <c r="AG805" s="73">
        <f>(cadangan[[#This Row],[Profit Normal A]]+cadangan[[#This Row],[Profit Normal B]]+cadangan[[#This Row],[Profit Normal C]])</f>
        <v>700000</v>
      </c>
      <c r="AH805" s="73">
        <f>cadangan[[#This Row],[Profit Diskon A]]+cadangan[[#This Row],[Profit Diskon B]]+cadangan[[#This Row],[Profit Diskon C]]</f>
        <v>700000</v>
      </c>
      <c r="AI805" s="23" t="s">
        <v>290</v>
      </c>
      <c r="AJ805" s="37" t="str">
        <f>IFERROR(INDEX('Kode Diskon'!$D$3:$D$9,MATCH(cadangan[[#This Row],[Kode diskon]],'Kode Diskon'!$C$3:$C$9,0)),"-")</f>
        <v>-</v>
      </c>
      <c r="AK805" s="23" t="s">
        <v>290</v>
      </c>
      <c r="AL805" s="23" t="s">
        <v>14</v>
      </c>
      <c r="AM805" s="23" t="s">
        <v>77</v>
      </c>
      <c r="AN805" s="55">
        <v>45027</v>
      </c>
      <c r="AO805" s="53">
        <f>DAY(cadangan[[#This Row],[Tanggal terjual]])</f>
        <v>11</v>
      </c>
      <c r="AP805" s="21" t="str">
        <f>TEXT(cadangan[[#This Row],[Tanggal terjual]],"dddd")</f>
        <v>Tuesday</v>
      </c>
      <c r="AQ805" s="23" t="str" cm="1">
        <f t="array" ref="AQ8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05" s="61">
        <f>AVERAGE(cadangan[[#This Row],[Rating A]],cadangan[[#This Row],[Rating B]],cadangan[[#This Row],[Rating C]])</f>
        <v>2.5</v>
      </c>
    </row>
    <row r="806" spans="1:44" x14ac:dyDescent="0.2">
      <c r="A806" s="20">
        <v>805</v>
      </c>
      <c r="B806" s="21" t="str">
        <f>_xlfn.CONCAT("ORD-",INDEX(Helper!$B$2:$B$5,MATCH(cadangan[[#This Row],[Marketplace]],Helper!$A$2:$A$5,0)),TEXT(cadangan[[#This Row],[No]],"0000"),"-",TEXT(cadangan[[#This Row],[Tanggal terjual]],"dd/mm/yy"))</f>
        <v>ORD-SP0805-13/04/23</v>
      </c>
      <c r="C806" s="39" t="s">
        <v>62</v>
      </c>
      <c r="D806" s="39" t="str">
        <f>IFERROR(INDEX(Katalog!$A$3:$A$12,MATCH(cadangan[[#This Row],[ItemID A]],Katalog!$C$3:$C$12,0)),"-")</f>
        <v>Pakaian Pria</v>
      </c>
      <c r="E806" s="39" t="str">
        <f>IFERROR(INDEX(Katalog!$B$3:$B$12,MATCH(cadangan[[#This Row],[ItemID A]],Katalog!$C$3:$C$12,0)),"-")</f>
        <v>Celana Pendek</v>
      </c>
      <c r="F806" s="50">
        <v>4</v>
      </c>
      <c r="G806" s="50">
        <v>3</v>
      </c>
      <c r="H806" s="73">
        <f>IFERROR(INDEX(Katalog!$D$3:$D$12,MATCH(cadangan[[#This Row],[ItemID A]],Katalog!$C$3:$C$12,0))*cadangan[[#This Row],[Qty A]],0)</f>
        <v>720000</v>
      </c>
      <c r="I806" s="73">
        <f>IFERROR(cadangan[[#This Row],[Harga Normal A]]-(cadangan[[#This Row],[Harga Normal A]]*cadangan[[#This Row],[Diskon]]),cadangan[[#This Row],[Harga Normal A]])</f>
        <v>720000</v>
      </c>
      <c r="J806" s="73">
        <f>INDEX(Katalog!$F$3:$F$12,MATCH(cadangan[[#This Row],[ItemID A]],Katalog!$C$3:$C$12,0))*cadangan[[#This Row],[Qty A]]</f>
        <v>280000</v>
      </c>
      <c r="K806" s="73">
        <f>IFERROR(cadangan[[#This Row],[Harga Diskon A]]-INDEX(Katalog!$E$3:$E$12,MATCH(cadangan[[#This Row],[ItemID A]],Katalog!$C$3:$C$12,0))*cadangan[[#This Row],[Qty A]],0)</f>
        <v>280000</v>
      </c>
      <c r="M806" s="39" t="str">
        <f>IFERROR(INDEX(Katalog!$A$3:$A$12,MATCH(cadangan[[#This Row],[ItemID B]],Katalog!$C$3:$C$12,0)),"-")</f>
        <v>-</v>
      </c>
      <c r="N806" s="39" t="str">
        <f>IFERROR(INDEX(Katalog!$B$3:$B$12,MATCH(cadangan[[#This Row],[ItemID B]],Katalog!$C$3:$C$12,0)),"-")</f>
        <v>-</v>
      </c>
      <c r="Q806" s="73">
        <f>IFERROR(INDEX(Katalog!$D$3:$D$12,MATCH(cadangan[[#This Row],[ItemID B]],Katalog!$C$3:$C$12,0))*cadangan[[#This Row],[Qty B]],0)</f>
        <v>0</v>
      </c>
      <c r="R806" s="73">
        <f>IFERROR(cadangan[[#This Row],[Harga Normal B]]-(cadangan[[#This Row],[Harga Normal B]]*cadangan[[#This Row],[Diskon]]),cadangan[[#This Row],[Harga Normal B]])</f>
        <v>0</v>
      </c>
      <c r="S806" s="73">
        <f>IFERROR(INDEX(Katalog!$F$3:$F$12,MATCH(cadangan[[#This Row],[ItemID B]],Katalog!$C$3:$C$12,0))*cadangan[[#This Row],[Qty B]],0)</f>
        <v>0</v>
      </c>
      <c r="T806" s="73">
        <f>IFERROR(cadangan[[#This Row],[Harga Diskon B]]-INDEX(Katalog!$E$3:$E$12,MATCH(cadangan[[#This Row],[ItemID B]],Katalog!$C$3:$C$12,0))*cadangan[[#This Row],[Qty B]],0)</f>
        <v>0</v>
      </c>
      <c r="V806" s="39" t="str">
        <f>IFERROR(INDEX(Katalog!$A$3:$A$12,MATCH(cadangan[[#This Row],[ItemID C]],Katalog!$C$3:$C$12,0)),"-")</f>
        <v>-</v>
      </c>
      <c r="W806" s="39" t="str">
        <f>IFERROR(INDEX(Katalog!$B$3:$B$12,MATCH(cadangan[[#This Row],[ItemID C]],Katalog!$C$3:$C$12,0)),"-")</f>
        <v>-</v>
      </c>
      <c r="Z806" s="73">
        <f>IFERROR(INDEX(Katalog!$D$3:$D$12,MATCH(cadangan[[#This Row],[ItemID C]],Katalog!$C$3:$C$12,0))*cadangan[[#This Row],[Qty C]],0)</f>
        <v>0</v>
      </c>
      <c r="AA806" s="73">
        <f>IFERROR(cadangan[[#This Row],[Harga Normal C]]-(cadangan[[#This Row],[Harga Normal C]]*cadangan[[#This Row],[Diskon]]),cadangan[[#This Row],[Harga Normal C]])</f>
        <v>0</v>
      </c>
      <c r="AB806" s="73">
        <f>IFERROR(INDEX(Katalog!$F$3:$F$12,MATCH(cadangan[[#This Row],[ItemID C]],Katalog!$C$3:$C$12,0))*cadangan[[#This Row],[Qty C]],0)</f>
        <v>0</v>
      </c>
      <c r="AC806" s="73">
        <f>IFERROR(cadangan[[#This Row],[Harga Diskon C]]-INDEX(Katalog!$E$3:$E$12,MATCH(cadangan[[#This Row],[ItemID C]],Katalog!$C$3:$C$12,0))*cadangan[[#This Row],[Qty C]],0)</f>
        <v>0</v>
      </c>
      <c r="AD806" s="53">
        <f>cadangan[[#This Row],[Qty A]]+cadangan[[#This Row],[Qty B]]+cadangan[[#This Row],[Qty C]]</f>
        <v>4</v>
      </c>
      <c r="AE806" s="73">
        <f>cadangan[[#This Row],[Harga Normal A]]+cadangan[[#This Row],[Harga Normal B]]+cadangan[[#This Row],[Harga Normal C]]</f>
        <v>720000</v>
      </c>
      <c r="AF806" s="73">
        <f>cadangan[[#This Row],[Harga Diskon A]]+cadangan[[#This Row],[Harga Diskon B]]+cadangan[[#This Row],[Harga Diskon C]]</f>
        <v>720000</v>
      </c>
      <c r="AG806" s="73">
        <f>(cadangan[[#This Row],[Profit Normal A]]+cadangan[[#This Row],[Profit Normal B]]+cadangan[[#This Row],[Profit Normal C]])</f>
        <v>280000</v>
      </c>
      <c r="AH806" s="73">
        <f>cadangan[[#This Row],[Profit Diskon A]]+cadangan[[#This Row],[Profit Diskon B]]+cadangan[[#This Row],[Profit Diskon C]]</f>
        <v>280000</v>
      </c>
      <c r="AI806" s="23" t="s">
        <v>290</v>
      </c>
      <c r="AJ806" s="37" t="str">
        <f>IFERROR(INDEX('Kode Diskon'!$D$3:$D$9,MATCH(cadangan[[#This Row],[Kode diskon]],'Kode Diskon'!$C$3:$C$9,0)),"-")</f>
        <v>-</v>
      </c>
      <c r="AK806" s="23" t="s">
        <v>290</v>
      </c>
      <c r="AL806" s="23" t="s">
        <v>7</v>
      </c>
      <c r="AM806" s="23" t="s">
        <v>76</v>
      </c>
      <c r="AN806" s="55">
        <v>45029</v>
      </c>
      <c r="AO806" s="53">
        <f>DAY(cadangan[[#This Row],[Tanggal terjual]])</f>
        <v>13</v>
      </c>
      <c r="AP806" s="21" t="str">
        <f>TEXT(cadangan[[#This Row],[Tanggal terjual]],"dddd")</f>
        <v>Thursday</v>
      </c>
      <c r="AQ806" s="23" t="str" cm="1">
        <f t="array" ref="AQ8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06" s="61">
        <f>AVERAGE(cadangan[[#This Row],[Rating A]],cadangan[[#This Row],[Rating B]],cadangan[[#This Row],[Rating C]])</f>
        <v>3</v>
      </c>
    </row>
    <row r="807" spans="1:44" x14ac:dyDescent="0.2">
      <c r="A807" s="20">
        <v>806</v>
      </c>
      <c r="B807" s="21" t="str">
        <f>_xlfn.CONCAT("ORD-",INDEX(Helper!$B$2:$B$5,MATCH(cadangan[[#This Row],[Marketplace]],Helper!$A$2:$A$5,0)),TEXT(cadangan[[#This Row],[No]],"0000"),"-",TEXT(cadangan[[#This Row],[Tanggal terjual]],"dd/mm/yy"))</f>
        <v>ORD-BB0806-15/04/23</v>
      </c>
      <c r="C807" s="39" t="s">
        <v>59</v>
      </c>
      <c r="D807" s="39" t="str">
        <f>IFERROR(INDEX(Katalog!$A$3:$A$12,MATCH(cadangan[[#This Row],[ItemID A]],Katalog!$C$3:$C$12,0)),"-")</f>
        <v>Pakaian Wanita</v>
      </c>
      <c r="E807" s="39" t="str">
        <f>IFERROR(INDEX(Katalog!$B$3:$B$12,MATCH(cadangan[[#This Row],[ItemID A]],Katalog!$C$3:$C$12,0)),"-")</f>
        <v>Blouse</v>
      </c>
      <c r="F807" s="50">
        <v>1</v>
      </c>
      <c r="G807" s="50">
        <v>4</v>
      </c>
      <c r="H807" s="73">
        <f>IFERROR(INDEX(Katalog!$D$3:$D$12,MATCH(cadangan[[#This Row],[ItemID A]],Katalog!$C$3:$C$12,0))*cadangan[[#This Row],[Qty A]],0)</f>
        <v>150000</v>
      </c>
      <c r="I807" s="73">
        <f>IFERROR(cadangan[[#This Row],[Harga Normal A]]-(cadangan[[#This Row],[Harga Normal A]]*cadangan[[#This Row],[Diskon]]),cadangan[[#This Row],[Harga Normal A]])</f>
        <v>150000</v>
      </c>
      <c r="J807" s="73">
        <f>INDEX(Katalog!$F$3:$F$12,MATCH(cadangan[[#This Row],[ItemID A]],Katalog!$C$3:$C$12,0))*cadangan[[#This Row],[Qty A]]</f>
        <v>50000</v>
      </c>
      <c r="K807" s="73">
        <f>IFERROR(cadangan[[#This Row],[Harga Diskon A]]-INDEX(Katalog!$E$3:$E$12,MATCH(cadangan[[#This Row],[ItemID A]],Katalog!$C$3:$C$12,0))*cadangan[[#This Row],[Qty A]],0)</f>
        <v>50000</v>
      </c>
      <c r="M807" s="39" t="str">
        <f>IFERROR(INDEX(Katalog!$A$3:$A$12,MATCH(cadangan[[#This Row],[ItemID B]],Katalog!$C$3:$C$12,0)),"-")</f>
        <v>-</v>
      </c>
      <c r="N807" s="39" t="str">
        <f>IFERROR(INDEX(Katalog!$B$3:$B$12,MATCH(cadangan[[#This Row],[ItemID B]],Katalog!$C$3:$C$12,0)),"-")</f>
        <v>-</v>
      </c>
      <c r="Q807" s="73">
        <f>IFERROR(INDEX(Katalog!$D$3:$D$12,MATCH(cadangan[[#This Row],[ItemID B]],Katalog!$C$3:$C$12,0))*cadangan[[#This Row],[Qty B]],0)</f>
        <v>0</v>
      </c>
      <c r="R807" s="73">
        <f>IFERROR(cadangan[[#This Row],[Harga Normal B]]-(cadangan[[#This Row],[Harga Normal B]]*cadangan[[#This Row],[Diskon]]),cadangan[[#This Row],[Harga Normal B]])</f>
        <v>0</v>
      </c>
      <c r="S807" s="73">
        <f>IFERROR(INDEX(Katalog!$F$3:$F$12,MATCH(cadangan[[#This Row],[ItemID B]],Katalog!$C$3:$C$12,0))*cadangan[[#This Row],[Qty B]],0)</f>
        <v>0</v>
      </c>
      <c r="T807" s="73">
        <f>IFERROR(cadangan[[#This Row],[Harga Diskon B]]-INDEX(Katalog!$E$3:$E$12,MATCH(cadangan[[#This Row],[ItemID B]],Katalog!$C$3:$C$12,0))*cadangan[[#This Row],[Qty B]],0)</f>
        <v>0</v>
      </c>
      <c r="V807" s="39" t="str">
        <f>IFERROR(INDEX(Katalog!$A$3:$A$12,MATCH(cadangan[[#This Row],[ItemID C]],Katalog!$C$3:$C$12,0)),"-")</f>
        <v>-</v>
      </c>
      <c r="W807" s="39" t="str">
        <f>IFERROR(INDEX(Katalog!$B$3:$B$12,MATCH(cadangan[[#This Row],[ItemID C]],Katalog!$C$3:$C$12,0)),"-")</f>
        <v>-</v>
      </c>
      <c r="Z807" s="73">
        <f>IFERROR(INDEX(Katalog!$D$3:$D$12,MATCH(cadangan[[#This Row],[ItemID C]],Katalog!$C$3:$C$12,0))*cadangan[[#This Row],[Qty C]],0)</f>
        <v>0</v>
      </c>
      <c r="AA807" s="73">
        <f>IFERROR(cadangan[[#This Row],[Harga Normal C]]-(cadangan[[#This Row],[Harga Normal C]]*cadangan[[#This Row],[Diskon]]),cadangan[[#This Row],[Harga Normal C]])</f>
        <v>0</v>
      </c>
      <c r="AB807" s="73">
        <f>IFERROR(INDEX(Katalog!$F$3:$F$12,MATCH(cadangan[[#This Row],[ItemID C]],Katalog!$C$3:$C$12,0))*cadangan[[#This Row],[Qty C]],0)</f>
        <v>0</v>
      </c>
      <c r="AC807" s="73">
        <f>IFERROR(cadangan[[#This Row],[Harga Diskon C]]-INDEX(Katalog!$E$3:$E$12,MATCH(cadangan[[#This Row],[ItemID C]],Katalog!$C$3:$C$12,0))*cadangan[[#This Row],[Qty C]],0)</f>
        <v>0</v>
      </c>
      <c r="AD807" s="53">
        <f>cadangan[[#This Row],[Qty A]]+cadangan[[#This Row],[Qty B]]+cadangan[[#This Row],[Qty C]]</f>
        <v>1</v>
      </c>
      <c r="AE807" s="73">
        <f>cadangan[[#This Row],[Harga Normal A]]+cadangan[[#This Row],[Harga Normal B]]+cadangan[[#This Row],[Harga Normal C]]</f>
        <v>150000</v>
      </c>
      <c r="AF807" s="73">
        <f>cadangan[[#This Row],[Harga Diskon A]]+cadangan[[#This Row],[Harga Diskon B]]+cadangan[[#This Row],[Harga Diskon C]]</f>
        <v>150000</v>
      </c>
      <c r="AG807" s="73">
        <f>(cadangan[[#This Row],[Profit Normal A]]+cadangan[[#This Row],[Profit Normal B]]+cadangan[[#This Row],[Profit Normal C]])</f>
        <v>50000</v>
      </c>
      <c r="AH807" s="73">
        <f>cadangan[[#This Row],[Profit Diskon A]]+cadangan[[#This Row],[Profit Diskon B]]+cadangan[[#This Row],[Profit Diskon C]]</f>
        <v>50000</v>
      </c>
      <c r="AI807" s="23" t="s">
        <v>290</v>
      </c>
      <c r="AJ807" s="37" t="str">
        <f>IFERROR(INDEX('Kode Diskon'!$D$3:$D$9,MATCH(cadangan[[#This Row],[Kode diskon]],'Kode Diskon'!$C$3:$C$9,0)),"-")</f>
        <v>-</v>
      </c>
      <c r="AK807" s="23" t="s">
        <v>290</v>
      </c>
      <c r="AL807" s="23" t="s">
        <v>14</v>
      </c>
      <c r="AM807" s="23" t="s">
        <v>75</v>
      </c>
      <c r="AN807" s="55">
        <v>45031</v>
      </c>
      <c r="AO807" s="53">
        <f>DAY(cadangan[[#This Row],[Tanggal terjual]])</f>
        <v>15</v>
      </c>
      <c r="AP807" s="21" t="str">
        <f>TEXT(cadangan[[#This Row],[Tanggal terjual]],"dddd")</f>
        <v>Saturday</v>
      </c>
      <c r="AQ807" s="23" t="str" cm="1">
        <f t="array" ref="AQ8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07" s="61">
        <f>AVERAGE(cadangan[[#This Row],[Rating A]],cadangan[[#This Row],[Rating B]],cadangan[[#This Row],[Rating C]])</f>
        <v>4</v>
      </c>
    </row>
    <row r="808" spans="1:44" x14ac:dyDescent="0.2">
      <c r="A808" s="20">
        <v>807</v>
      </c>
      <c r="B808" s="21" t="str">
        <f>_xlfn.CONCAT("ORD-",INDEX(Helper!$B$2:$B$5,MATCH(cadangan[[#This Row],[Marketplace]],Helper!$A$2:$A$5,0)),TEXT(cadangan[[#This Row],[No]],"0000"),"-",TEXT(cadangan[[#This Row],[Tanggal terjual]],"dd/mm/yy"))</f>
        <v>ORD-SP0807-27/04/23</v>
      </c>
      <c r="C808" s="39" t="s">
        <v>64</v>
      </c>
      <c r="D808" s="39" t="str">
        <f>IFERROR(INDEX(Katalog!$A$3:$A$12,MATCH(cadangan[[#This Row],[ItemID A]],Katalog!$C$3:$C$12,0)),"-")</f>
        <v>Pakaian Unisex</v>
      </c>
      <c r="E808" s="39" t="str">
        <f>IFERROR(INDEX(Katalog!$B$3:$B$12,MATCH(cadangan[[#This Row],[ItemID A]],Katalog!$C$3:$C$12,0)),"-")</f>
        <v>Jaket Hoodie</v>
      </c>
      <c r="F808" s="50">
        <v>3</v>
      </c>
      <c r="G808" s="50">
        <v>1</v>
      </c>
      <c r="H808" s="73">
        <f>IFERROR(INDEX(Katalog!$D$3:$D$12,MATCH(cadangan[[#This Row],[ItemID A]],Katalog!$C$3:$C$12,0))*cadangan[[#This Row],[Qty A]],0)</f>
        <v>1050000</v>
      </c>
      <c r="I808" s="73">
        <f>IFERROR(cadangan[[#This Row],[Harga Normal A]]-(cadangan[[#This Row],[Harga Normal A]]*cadangan[[#This Row],[Diskon]]),cadangan[[#This Row],[Harga Normal A]])</f>
        <v>840000</v>
      </c>
      <c r="J808" s="73">
        <f>INDEX(Katalog!$F$3:$F$12,MATCH(cadangan[[#This Row],[ItemID A]],Katalog!$C$3:$C$12,0))*cadangan[[#This Row],[Qty A]]</f>
        <v>390000</v>
      </c>
      <c r="K808" s="73">
        <f>IFERROR(cadangan[[#This Row],[Harga Diskon A]]-INDEX(Katalog!$E$3:$E$12,MATCH(cadangan[[#This Row],[ItemID A]],Katalog!$C$3:$C$12,0))*cadangan[[#This Row],[Qty A]],0)</f>
        <v>180000</v>
      </c>
      <c r="M808" s="39" t="str">
        <f>IFERROR(INDEX(Katalog!$A$3:$A$12,MATCH(cadangan[[#This Row],[ItemID B]],Katalog!$C$3:$C$12,0)),"-")</f>
        <v>-</v>
      </c>
      <c r="N808" s="39" t="str">
        <f>IFERROR(INDEX(Katalog!$B$3:$B$12,MATCH(cadangan[[#This Row],[ItemID B]],Katalog!$C$3:$C$12,0)),"-")</f>
        <v>-</v>
      </c>
      <c r="Q808" s="73">
        <f>IFERROR(INDEX(Katalog!$D$3:$D$12,MATCH(cadangan[[#This Row],[ItemID B]],Katalog!$C$3:$C$12,0))*cadangan[[#This Row],[Qty B]],0)</f>
        <v>0</v>
      </c>
      <c r="R808" s="73">
        <f>IFERROR(cadangan[[#This Row],[Harga Normal B]]-(cadangan[[#This Row],[Harga Normal B]]*cadangan[[#This Row],[Diskon]]),cadangan[[#This Row],[Harga Normal B]])</f>
        <v>0</v>
      </c>
      <c r="S808" s="73">
        <f>IFERROR(INDEX(Katalog!$F$3:$F$12,MATCH(cadangan[[#This Row],[ItemID B]],Katalog!$C$3:$C$12,0))*cadangan[[#This Row],[Qty B]],0)</f>
        <v>0</v>
      </c>
      <c r="T808" s="73">
        <f>IFERROR(cadangan[[#This Row],[Harga Diskon B]]-INDEX(Katalog!$E$3:$E$12,MATCH(cadangan[[#This Row],[ItemID B]],Katalog!$C$3:$C$12,0))*cadangan[[#This Row],[Qty B]],0)</f>
        <v>0</v>
      </c>
      <c r="V808" s="39" t="str">
        <f>IFERROR(INDEX(Katalog!$A$3:$A$12,MATCH(cadangan[[#This Row],[ItemID C]],Katalog!$C$3:$C$12,0)),"-")</f>
        <v>-</v>
      </c>
      <c r="W808" s="39" t="str">
        <f>IFERROR(INDEX(Katalog!$B$3:$B$12,MATCH(cadangan[[#This Row],[ItemID C]],Katalog!$C$3:$C$12,0)),"-")</f>
        <v>-</v>
      </c>
      <c r="Z808" s="73">
        <f>IFERROR(INDEX(Katalog!$D$3:$D$12,MATCH(cadangan[[#This Row],[ItemID C]],Katalog!$C$3:$C$12,0))*cadangan[[#This Row],[Qty C]],0)</f>
        <v>0</v>
      </c>
      <c r="AA808" s="73">
        <f>IFERROR(cadangan[[#This Row],[Harga Normal C]]-(cadangan[[#This Row],[Harga Normal C]]*cadangan[[#This Row],[Diskon]]),cadangan[[#This Row],[Harga Normal C]])</f>
        <v>0</v>
      </c>
      <c r="AB808" s="73">
        <f>IFERROR(INDEX(Katalog!$F$3:$F$12,MATCH(cadangan[[#This Row],[ItemID C]],Katalog!$C$3:$C$12,0))*cadangan[[#This Row],[Qty C]],0)</f>
        <v>0</v>
      </c>
      <c r="AC808" s="73">
        <f>IFERROR(cadangan[[#This Row],[Harga Diskon C]]-INDEX(Katalog!$E$3:$E$12,MATCH(cadangan[[#This Row],[ItemID C]],Katalog!$C$3:$C$12,0))*cadangan[[#This Row],[Qty C]],0)</f>
        <v>0</v>
      </c>
      <c r="AD808" s="53">
        <f>cadangan[[#This Row],[Qty A]]+cadangan[[#This Row],[Qty B]]+cadangan[[#This Row],[Qty C]]</f>
        <v>3</v>
      </c>
      <c r="AE808" s="73">
        <f>cadangan[[#This Row],[Harga Normal A]]+cadangan[[#This Row],[Harga Normal B]]+cadangan[[#This Row],[Harga Normal C]]</f>
        <v>1050000</v>
      </c>
      <c r="AF808" s="73">
        <f>cadangan[[#This Row],[Harga Diskon A]]+cadangan[[#This Row],[Harga Diskon B]]+cadangan[[#This Row],[Harga Diskon C]]</f>
        <v>840000</v>
      </c>
      <c r="AG808" s="73">
        <f>(cadangan[[#This Row],[Profit Normal A]]+cadangan[[#This Row],[Profit Normal B]]+cadangan[[#This Row],[Profit Normal C]])</f>
        <v>390000</v>
      </c>
      <c r="AH808" s="73">
        <f>cadangan[[#This Row],[Profit Diskon A]]+cadangan[[#This Row],[Profit Diskon B]]+cadangan[[#This Row],[Profit Diskon C]]</f>
        <v>180000</v>
      </c>
      <c r="AI808" s="23" t="s">
        <v>8</v>
      </c>
      <c r="AJ808" s="37">
        <f>IFERROR(INDEX('Kode Diskon'!$D$3:$D$9,MATCH(cadangan[[#This Row],[Kode diskon]],'Kode Diskon'!$C$3:$C$9,0)),"-")</f>
        <v>0.2</v>
      </c>
      <c r="AK808" s="23" t="s">
        <v>9</v>
      </c>
      <c r="AL808" s="23" t="s">
        <v>7</v>
      </c>
      <c r="AM808" s="23" t="s">
        <v>78</v>
      </c>
      <c r="AN808" s="55">
        <v>45043</v>
      </c>
      <c r="AO808" s="53">
        <f>DAY(cadangan[[#This Row],[Tanggal terjual]])</f>
        <v>27</v>
      </c>
      <c r="AP808" s="21" t="str">
        <f>TEXT(cadangan[[#This Row],[Tanggal terjual]],"dddd")</f>
        <v>Thursday</v>
      </c>
      <c r="AQ808" s="23" t="str" cm="1">
        <f t="array" ref="AQ8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08" s="61">
        <f>AVERAGE(cadangan[[#This Row],[Rating A]],cadangan[[#This Row],[Rating B]],cadangan[[#This Row],[Rating C]])</f>
        <v>1</v>
      </c>
    </row>
    <row r="809" spans="1:44" x14ac:dyDescent="0.2">
      <c r="A809" s="20">
        <v>808</v>
      </c>
      <c r="B809" s="21" t="str">
        <f>_xlfn.CONCAT("ORD-",INDEX(Helper!$B$2:$B$5,MATCH(cadangan[[#This Row],[Marketplace]],Helper!$A$2:$A$5,0)),TEXT(cadangan[[#This Row],[No]],"0000"),"-",TEXT(cadangan[[#This Row],[Tanggal terjual]],"dd/mm/yy"))</f>
        <v>ORD-SP0808-01/04/23</v>
      </c>
      <c r="C809" s="39" t="s">
        <v>62</v>
      </c>
      <c r="D809" s="39" t="str">
        <f>IFERROR(INDEX(Katalog!$A$3:$A$12,MATCH(cadangan[[#This Row],[ItemID A]],Katalog!$C$3:$C$12,0)),"-")</f>
        <v>Pakaian Pria</v>
      </c>
      <c r="E809" s="39" t="str">
        <f>IFERROR(INDEX(Katalog!$B$3:$B$12,MATCH(cadangan[[#This Row],[ItemID A]],Katalog!$C$3:$C$12,0)),"-")</f>
        <v>Celana Pendek</v>
      </c>
      <c r="F809" s="50">
        <v>1</v>
      </c>
      <c r="G809" s="50">
        <v>1</v>
      </c>
      <c r="H809" s="73">
        <f>IFERROR(INDEX(Katalog!$D$3:$D$12,MATCH(cadangan[[#This Row],[ItemID A]],Katalog!$C$3:$C$12,0))*cadangan[[#This Row],[Qty A]],0)</f>
        <v>180000</v>
      </c>
      <c r="I809" s="73">
        <f>IFERROR(cadangan[[#This Row],[Harga Normal A]]-(cadangan[[#This Row],[Harga Normal A]]*cadangan[[#This Row],[Diskon]]),cadangan[[#This Row],[Harga Normal A]])</f>
        <v>162000</v>
      </c>
      <c r="J809" s="73">
        <f>INDEX(Katalog!$F$3:$F$12,MATCH(cadangan[[#This Row],[ItemID A]],Katalog!$C$3:$C$12,0))*cadangan[[#This Row],[Qty A]]</f>
        <v>70000</v>
      </c>
      <c r="K809" s="73">
        <f>IFERROR(cadangan[[#This Row],[Harga Diskon A]]-INDEX(Katalog!$E$3:$E$12,MATCH(cadangan[[#This Row],[ItemID A]],Katalog!$C$3:$C$12,0))*cadangan[[#This Row],[Qty A]],0)</f>
        <v>52000</v>
      </c>
      <c r="L809" s="39" t="s">
        <v>66</v>
      </c>
      <c r="M809" s="39" t="str">
        <f>IFERROR(INDEX(Katalog!$A$3:$A$12,MATCH(cadangan[[#This Row],[ItemID B]],Katalog!$C$3:$C$12,0)),"-")</f>
        <v>Sepatu Pria</v>
      </c>
      <c r="N809" s="39" t="str">
        <f>IFERROR(INDEX(Katalog!$B$3:$B$12,MATCH(cadangan[[#This Row],[ItemID B]],Katalog!$C$3:$C$12,0)),"-")</f>
        <v>Sandal Slip On</v>
      </c>
      <c r="O809" s="50">
        <v>1</v>
      </c>
      <c r="P809" s="50">
        <v>1</v>
      </c>
      <c r="Q809" s="73">
        <f>IFERROR(INDEX(Katalog!$D$3:$D$12,MATCH(cadangan[[#This Row],[ItemID B]],Katalog!$C$3:$C$12,0))*cadangan[[#This Row],[Qty B]],0)</f>
        <v>150000</v>
      </c>
      <c r="R809" s="73">
        <f>IFERROR(cadangan[[#This Row],[Harga Normal B]]-(cadangan[[#This Row],[Harga Normal B]]*cadangan[[#This Row],[Diskon]]),cadangan[[#This Row],[Harga Normal B]])</f>
        <v>135000</v>
      </c>
      <c r="S809" s="73">
        <f>IFERROR(INDEX(Katalog!$F$3:$F$12,MATCH(cadangan[[#This Row],[ItemID B]],Katalog!$C$3:$C$12,0))*cadangan[[#This Row],[Qty B]],0)</f>
        <v>60000</v>
      </c>
      <c r="T809" s="73">
        <f>IFERROR(cadangan[[#This Row],[Harga Diskon B]]-INDEX(Katalog!$E$3:$E$12,MATCH(cadangan[[#This Row],[ItemID B]],Katalog!$C$3:$C$12,0))*cadangan[[#This Row],[Qty B]],0)</f>
        <v>45000</v>
      </c>
      <c r="U809" s="39" t="s">
        <v>65</v>
      </c>
      <c r="V809" s="39" t="str">
        <f>IFERROR(INDEX(Katalog!$A$3:$A$12,MATCH(cadangan[[#This Row],[ItemID C]],Katalog!$C$3:$C$12,0)),"-")</f>
        <v>Sepatu Pria</v>
      </c>
      <c r="W809" s="39" t="str">
        <f>IFERROR(INDEX(Katalog!$B$3:$B$12,MATCH(cadangan[[#This Row],[ItemID C]],Katalog!$C$3:$C$12,0)),"-")</f>
        <v>Sneakers</v>
      </c>
      <c r="X809" s="50">
        <v>1</v>
      </c>
      <c r="Y809" s="50">
        <v>1</v>
      </c>
      <c r="Z809" s="73">
        <f>IFERROR(INDEX(Katalog!$D$3:$D$12,MATCH(cadangan[[#This Row],[ItemID C]],Katalog!$C$3:$C$12,0))*cadangan[[#This Row],[Qty C]],0)</f>
        <v>500000</v>
      </c>
      <c r="AA809" s="73">
        <f>IFERROR(cadangan[[#This Row],[Harga Normal C]]-(cadangan[[#This Row],[Harga Normal C]]*cadangan[[#This Row],[Diskon]]),cadangan[[#This Row],[Harga Normal C]])</f>
        <v>450000</v>
      </c>
      <c r="AB809" s="73">
        <f>IFERROR(INDEX(Katalog!$F$3:$F$12,MATCH(cadangan[[#This Row],[ItemID C]],Katalog!$C$3:$C$12,0))*cadangan[[#This Row],[Qty C]],0)</f>
        <v>200000</v>
      </c>
      <c r="AC809" s="73">
        <f>IFERROR(cadangan[[#This Row],[Harga Diskon C]]-INDEX(Katalog!$E$3:$E$12,MATCH(cadangan[[#This Row],[ItemID C]],Katalog!$C$3:$C$12,0))*cadangan[[#This Row],[Qty C]],0)</f>
        <v>150000</v>
      </c>
      <c r="AD809" s="53">
        <f>cadangan[[#This Row],[Qty A]]+cadangan[[#This Row],[Qty B]]+cadangan[[#This Row],[Qty C]]</f>
        <v>3</v>
      </c>
      <c r="AE809" s="73">
        <f>cadangan[[#This Row],[Harga Normal A]]+cadangan[[#This Row],[Harga Normal B]]+cadangan[[#This Row],[Harga Normal C]]</f>
        <v>830000</v>
      </c>
      <c r="AF809" s="73">
        <f>cadangan[[#This Row],[Harga Diskon A]]+cadangan[[#This Row],[Harga Diskon B]]+cadangan[[#This Row],[Harga Diskon C]]</f>
        <v>747000</v>
      </c>
      <c r="AG809" s="73">
        <f>(cadangan[[#This Row],[Profit Normal A]]+cadangan[[#This Row],[Profit Normal B]]+cadangan[[#This Row],[Profit Normal C]])</f>
        <v>330000</v>
      </c>
      <c r="AH809" s="73">
        <f>cadangan[[#This Row],[Profit Diskon A]]+cadangan[[#This Row],[Profit Diskon B]]+cadangan[[#This Row],[Profit Diskon C]]</f>
        <v>247000</v>
      </c>
      <c r="AI809" s="23" t="s">
        <v>6</v>
      </c>
      <c r="AJ809" s="37">
        <f>IFERROR(INDEX('Kode Diskon'!$D$3:$D$9,MATCH(cadangan[[#This Row],[Kode diskon]],'Kode Diskon'!$C$3:$C$9,0)),"-")</f>
        <v>0.1</v>
      </c>
      <c r="AK809" s="23" t="s">
        <v>29</v>
      </c>
      <c r="AL809" s="23" t="s">
        <v>7</v>
      </c>
      <c r="AM809" s="23" t="s">
        <v>80</v>
      </c>
      <c r="AN809" s="55">
        <v>45017</v>
      </c>
      <c r="AO809" s="53">
        <f>DAY(cadangan[[#This Row],[Tanggal terjual]])</f>
        <v>1</v>
      </c>
      <c r="AP809" s="21" t="str">
        <f>TEXT(cadangan[[#This Row],[Tanggal terjual]],"dddd")</f>
        <v>Saturday</v>
      </c>
      <c r="AQ809" s="23" t="str" cm="1">
        <f t="array" ref="AQ8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09" s="61">
        <f>AVERAGE(cadangan[[#This Row],[Rating A]],cadangan[[#This Row],[Rating B]],cadangan[[#This Row],[Rating C]])</f>
        <v>1</v>
      </c>
    </row>
    <row r="810" spans="1:44" x14ac:dyDescent="0.2">
      <c r="A810" s="20">
        <v>809</v>
      </c>
      <c r="B810" s="21" t="str">
        <f>_xlfn.CONCAT("ORD-",INDEX(Helper!$B$2:$B$5,MATCH(cadangan[[#This Row],[Marketplace]],Helper!$A$2:$A$5,0)),TEXT(cadangan[[#This Row],[No]],"0000"),"-",TEXT(cadangan[[#This Row],[Tanggal terjual]],"dd/mm/yy"))</f>
        <v>ORD-SP0809-04/04/23</v>
      </c>
      <c r="C810" s="39" t="s">
        <v>61</v>
      </c>
      <c r="D810" s="39" t="str">
        <f>IFERROR(INDEX(Katalog!$A$3:$A$12,MATCH(cadangan[[#This Row],[ItemID A]],Katalog!$C$3:$C$12,0)),"-")</f>
        <v>Pakaian Pria</v>
      </c>
      <c r="E810" s="39" t="str">
        <f>IFERROR(INDEX(Katalog!$B$3:$B$12,MATCH(cadangan[[#This Row],[ItemID A]],Katalog!$C$3:$C$12,0)),"-")</f>
        <v>Kaos Polo</v>
      </c>
      <c r="F810" s="50">
        <v>1</v>
      </c>
      <c r="G810" s="50">
        <v>3</v>
      </c>
      <c r="H810" s="73">
        <f>IFERROR(INDEX(Katalog!$D$3:$D$12,MATCH(cadangan[[#This Row],[ItemID A]],Katalog!$C$3:$C$12,0))*cadangan[[#This Row],[Qty A]],0)</f>
        <v>200000</v>
      </c>
      <c r="I810" s="73">
        <f>IFERROR(cadangan[[#This Row],[Harga Normal A]]-(cadangan[[#This Row],[Harga Normal A]]*cadangan[[#This Row],[Diskon]]),cadangan[[#This Row],[Harga Normal A]])</f>
        <v>170000</v>
      </c>
      <c r="J810" s="73">
        <f>INDEX(Katalog!$F$3:$F$12,MATCH(cadangan[[#This Row],[ItemID A]],Katalog!$C$3:$C$12,0))*cadangan[[#This Row],[Qty A]]</f>
        <v>80000</v>
      </c>
      <c r="K810" s="73">
        <f>IFERROR(cadangan[[#This Row],[Harga Diskon A]]-INDEX(Katalog!$E$3:$E$12,MATCH(cadangan[[#This Row],[ItemID A]],Katalog!$C$3:$C$12,0))*cadangan[[#This Row],[Qty A]],0)</f>
        <v>50000</v>
      </c>
      <c r="L810" s="39" t="s">
        <v>60</v>
      </c>
      <c r="M810" s="39" t="str">
        <f>IFERROR(INDEX(Katalog!$A$3:$A$12,MATCH(cadangan[[#This Row],[ItemID B]],Katalog!$C$3:$C$12,0)),"-")</f>
        <v>Pakaian Wanita</v>
      </c>
      <c r="N810" s="39" t="str">
        <f>IFERROR(INDEX(Katalog!$B$3:$B$12,MATCH(cadangan[[#This Row],[ItemID B]],Katalog!$C$3:$C$12,0)),"-")</f>
        <v>Kaftan</v>
      </c>
      <c r="O810" s="50">
        <v>2</v>
      </c>
      <c r="P810" s="50">
        <v>5</v>
      </c>
      <c r="Q810" s="73">
        <f>IFERROR(INDEX(Katalog!$D$3:$D$12,MATCH(cadangan[[#This Row],[ItemID B]],Katalog!$C$3:$C$12,0))*cadangan[[#This Row],[Qty B]],0)</f>
        <v>500000</v>
      </c>
      <c r="R810" s="73">
        <f>IFERROR(cadangan[[#This Row],[Harga Normal B]]-(cadangan[[#This Row],[Harga Normal B]]*cadangan[[#This Row],[Diskon]]),cadangan[[#This Row],[Harga Normal B]])</f>
        <v>425000</v>
      </c>
      <c r="S810" s="73">
        <f>IFERROR(INDEX(Katalog!$F$3:$F$12,MATCH(cadangan[[#This Row],[ItemID B]],Katalog!$C$3:$C$12,0))*cadangan[[#This Row],[Qty B]],0)</f>
        <v>200000</v>
      </c>
      <c r="T810" s="73">
        <f>IFERROR(cadangan[[#This Row],[Harga Diskon B]]-INDEX(Katalog!$E$3:$E$12,MATCH(cadangan[[#This Row],[ItemID B]],Katalog!$C$3:$C$12,0))*cadangan[[#This Row],[Qty B]],0)</f>
        <v>125000</v>
      </c>
      <c r="U810" s="39" t="s">
        <v>64</v>
      </c>
      <c r="V810" s="39" t="str">
        <f>IFERROR(INDEX(Katalog!$A$3:$A$12,MATCH(cadangan[[#This Row],[ItemID C]],Katalog!$C$3:$C$12,0)),"-")</f>
        <v>Pakaian Unisex</v>
      </c>
      <c r="W810" s="39" t="str">
        <f>IFERROR(INDEX(Katalog!$B$3:$B$12,MATCH(cadangan[[#This Row],[ItemID C]],Katalog!$C$3:$C$12,0)),"-")</f>
        <v>Jaket Hoodie</v>
      </c>
      <c r="X810" s="50">
        <v>2</v>
      </c>
      <c r="Y810" s="50">
        <v>2</v>
      </c>
      <c r="Z810" s="73">
        <f>IFERROR(INDEX(Katalog!$D$3:$D$12,MATCH(cadangan[[#This Row],[ItemID C]],Katalog!$C$3:$C$12,0))*cadangan[[#This Row],[Qty C]],0)</f>
        <v>700000</v>
      </c>
      <c r="AA810" s="73">
        <f>IFERROR(cadangan[[#This Row],[Harga Normal C]]-(cadangan[[#This Row],[Harga Normal C]]*cadangan[[#This Row],[Diskon]]),cadangan[[#This Row],[Harga Normal C]])</f>
        <v>595000</v>
      </c>
      <c r="AB810" s="73">
        <f>IFERROR(INDEX(Katalog!$F$3:$F$12,MATCH(cadangan[[#This Row],[ItemID C]],Katalog!$C$3:$C$12,0))*cadangan[[#This Row],[Qty C]],0)</f>
        <v>260000</v>
      </c>
      <c r="AC810" s="73">
        <f>IFERROR(cadangan[[#This Row],[Harga Diskon C]]-INDEX(Katalog!$E$3:$E$12,MATCH(cadangan[[#This Row],[ItemID C]],Katalog!$C$3:$C$12,0))*cadangan[[#This Row],[Qty C]],0)</f>
        <v>155000</v>
      </c>
      <c r="AD810" s="53">
        <f>cadangan[[#This Row],[Qty A]]+cadangan[[#This Row],[Qty B]]+cadangan[[#This Row],[Qty C]]</f>
        <v>5</v>
      </c>
      <c r="AE810" s="73">
        <f>cadangan[[#This Row],[Harga Normal A]]+cadangan[[#This Row],[Harga Normal B]]+cadangan[[#This Row],[Harga Normal C]]</f>
        <v>1400000</v>
      </c>
      <c r="AF810" s="73">
        <f>cadangan[[#This Row],[Harga Diskon A]]+cadangan[[#This Row],[Harga Diskon B]]+cadangan[[#This Row],[Harga Diskon C]]</f>
        <v>1190000</v>
      </c>
      <c r="AG810" s="73">
        <f>(cadangan[[#This Row],[Profit Normal A]]+cadangan[[#This Row],[Profit Normal B]]+cadangan[[#This Row],[Profit Normal C]])</f>
        <v>540000</v>
      </c>
      <c r="AH810" s="73">
        <f>cadangan[[#This Row],[Profit Diskon A]]+cadangan[[#This Row],[Profit Diskon B]]+cadangan[[#This Row],[Profit Diskon C]]</f>
        <v>330000</v>
      </c>
      <c r="AI810" s="23" t="s">
        <v>13</v>
      </c>
      <c r="AJ810" s="37">
        <f>IFERROR(INDEX('Kode Diskon'!$D$3:$D$9,MATCH(cadangan[[#This Row],[Kode diskon]],'Kode Diskon'!$C$3:$C$9,0)),"-")</f>
        <v>0.15</v>
      </c>
      <c r="AK810" s="23" t="s">
        <v>29</v>
      </c>
      <c r="AL810" s="23" t="s">
        <v>7</v>
      </c>
      <c r="AM810" s="23" t="s">
        <v>79</v>
      </c>
      <c r="AN810" s="55">
        <v>45020</v>
      </c>
      <c r="AO810" s="53">
        <f>DAY(cadangan[[#This Row],[Tanggal terjual]])</f>
        <v>4</v>
      </c>
      <c r="AP810" s="21" t="str">
        <f>TEXT(cadangan[[#This Row],[Tanggal terjual]],"dddd")</f>
        <v>Tuesday</v>
      </c>
      <c r="AQ810" s="23" t="str" cm="1">
        <f t="array" ref="AQ8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0" s="61">
        <f>AVERAGE(cadangan[[#This Row],[Rating A]],cadangan[[#This Row],[Rating B]],cadangan[[#This Row],[Rating C]])</f>
        <v>3.3333333333333335</v>
      </c>
    </row>
    <row r="811" spans="1:44" x14ac:dyDescent="0.2">
      <c r="A811" s="20">
        <v>810</v>
      </c>
      <c r="B811" s="21" t="str">
        <f>_xlfn.CONCAT("ORD-",INDEX(Helper!$B$2:$B$5,MATCH(cadangan[[#This Row],[Marketplace]],Helper!$A$2:$A$5,0)),TEXT(cadangan[[#This Row],[No]],"0000"),"-",TEXT(cadangan[[#This Row],[Tanggal terjual]],"dd/mm/yy"))</f>
        <v>ORD-SP0810-22/04/23</v>
      </c>
      <c r="C811" s="39" t="s">
        <v>58</v>
      </c>
      <c r="D811" s="39" t="str">
        <f>IFERROR(INDEX(Katalog!$A$3:$A$12,MATCH(cadangan[[#This Row],[ItemID A]],Katalog!$C$3:$C$12,0)),"-")</f>
        <v>Pakaian Wanita</v>
      </c>
      <c r="E811" s="39" t="str">
        <f>IFERROR(INDEX(Katalog!$B$3:$B$12,MATCH(cadangan[[#This Row],[ItemID A]],Katalog!$C$3:$C$12,0)),"-")</f>
        <v>Dress</v>
      </c>
      <c r="F811" s="50">
        <v>1</v>
      </c>
      <c r="G811" s="50">
        <v>3</v>
      </c>
      <c r="H811" s="73">
        <f>IFERROR(INDEX(Katalog!$D$3:$D$12,MATCH(cadangan[[#This Row],[ItemID A]],Katalog!$C$3:$C$12,0))*cadangan[[#This Row],[Qty A]],0)</f>
        <v>300000</v>
      </c>
      <c r="I811" s="73">
        <f>IFERROR(cadangan[[#This Row],[Harga Normal A]]-(cadangan[[#This Row],[Harga Normal A]]*cadangan[[#This Row],[Diskon]]),cadangan[[#This Row],[Harga Normal A]])</f>
        <v>240000</v>
      </c>
      <c r="J811" s="73">
        <f>INDEX(Katalog!$F$3:$F$12,MATCH(cadangan[[#This Row],[ItemID A]],Katalog!$C$3:$C$12,0))*cadangan[[#This Row],[Qty A]]</f>
        <v>100000</v>
      </c>
      <c r="K811" s="73">
        <f>IFERROR(cadangan[[#This Row],[Harga Diskon A]]-INDEX(Katalog!$E$3:$E$12,MATCH(cadangan[[#This Row],[ItemID A]],Katalog!$C$3:$C$12,0))*cadangan[[#This Row],[Qty A]],0)</f>
        <v>40000</v>
      </c>
      <c r="L811" s="39" t="s">
        <v>66</v>
      </c>
      <c r="M811" s="39" t="str">
        <f>IFERROR(INDEX(Katalog!$A$3:$A$12,MATCH(cadangan[[#This Row],[ItemID B]],Katalog!$C$3:$C$12,0)),"-")</f>
        <v>Sepatu Pria</v>
      </c>
      <c r="N811" s="39" t="str">
        <f>IFERROR(INDEX(Katalog!$B$3:$B$12,MATCH(cadangan[[#This Row],[ItemID B]],Katalog!$C$3:$C$12,0)),"-")</f>
        <v>Sandal Slip On</v>
      </c>
      <c r="O811" s="50">
        <v>3</v>
      </c>
      <c r="P811" s="50">
        <v>5</v>
      </c>
      <c r="Q811" s="73">
        <f>IFERROR(INDEX(Katalog!$D$3:$D$12,MATCH(cadangan[[#This Row],[ItemID B]],Katalog!$C$3:$C$12,0))*cadangan[[#This Row],[Qty B]],0)</f>
        <v>450000</v>
      </c>
      <c r="R811" s="73">
        <f>IFERROR(cadangan[[#This Row],[Harga Normal B]]-(cadangan[[#This Row],[Harga Normal B]]*cadangan[[#This Row],[Diskon]]),cadangan[[#This Row],[Harga Normal B]])</f>
        <v>360000</v>
      </c>
      <c r="S811" s="73">
        <f>IFERROR(INDEX(Katalog!$F$3:$F$12,MATCH(cadangan[[#This Row],[ItemID B]],Katalog!$C$3:$C$12,0))*cadangan[[#This Row],[Qty B]],0)</f>
        <v>180000</v>
      </c>
      <c r="T811" s="73">
        <f>IFERROR(cadangan[[#This Row],[Harga Diskon B]]-INDEX(Katalog!$E$3:$E$12,MATCH(cadangan[[#This Row],[ItemID B]],Katalog!$C$3:$C$12,0))*cadangan[[#This Row],[Qty B]],0)</f>
        <v>90000</v>
      </c>
      <c r="U811" s="39" t="s">
        <v>59</v>
      </c>
      <c r="V811" s="39" t="str">
        <f>IFERROR(INDEX(Katalog!$A$3:$A$12,MATCH(cadangan[[#This Row],[ItemID C]],Katalog!$C$3:$C$12,0)),"-")</f>
        <v>Pakaian Wanita</v>
      </c>
      <c r="W811" s="39" t="str">
        <f>IFERROR(INDEX(Katalog!$B$3:$B$12,MATCH(cadangan[[#This Row],[ItemID C]],Katalog!$C$3:$C$12,0)),"-")</f>
        <v>Blouse</v>
      </c>
      <c r="X811" s="50">
        <v>3</v>
      </c>
      <c r="Y811" s="50">
        <v>4</v>
      </c>
      <c r="Z811" s="73">
        <f>IFERROR(INDEX(Katalog!$D$3:$D$12,MATCH(cadangan[[#This Row],[ItemID C]],Katalog!$C$3:$C$12,0))*cadangan[[#This Row],[Qty C]],0)</f>
        <v>450000</v>
      </c>
      <c r="AA811" s="73">
        <f>IFERROR(cadangan[[#This Row],[Harga Normal C]]-(cadangan[[#This Row],[Harga Normal C]]*cadangan[[#This Row],[Diskon]]),cadangan[[#This Row],[Harga Normal C]])</f>
        <v>360000</v>
      </c>
      <c r="AB811" s="73">
        <f>IFERROR(INDEX(Katalog!$F$3:$F$12,MATCH(cadangan[[#This Row],[ItemID C]],Katalog!$C$3:$C$12,0))*cadangan[[#This Row],[Qty C]],0)</f>
        <v>150000</v>
      </c>
      <c r="AC811" s="73">
        <f>IFERROR(cadangan[[#This Row],[Harga Diskon C]]-INDEX(Katalog!$E$3:$E$12,MATCH(cadangan[[#This Row],[ItemID C]],Katalog!$C$3:$C$12,0))*cadangan[[#This Row],[Qty C]],0)</f>
        <v>60000</v>
      </c>
      <c r="AD811" s="53">
        <f>cadangan[[#This Row],[Qty A]]+cadangan[[#This Row],[Qty B]]+cadangan[[#This Row],[Qty C]]</f>
        <v>7</v>
      </c>
      <c r="AE811" s="73">
        <f>cadangan[[#This Row],[Harga Normal A]]+cadangan[[#This Row],[Harga Normal B]]+cadangan[[#This Row],[Harga Normal C]]</f>
        <v>1200000</v>
      </c>
      <c r="AF811" s="73">
        <f>cadangan[[#This Row],[Harga Diskon A]]+cadangan[[#This Row],[Harga Diskon B]]+cadangan[[#This Row],[Harga Diskon C]]</f>
        <v>960000</v>
      </c>
      <c r="AG811" s="73">
        <f>(cadangan[[#This Row],[Profit Normal A]]+cadangan[[#This Row],[Profit Normal B]]+cadangan[[#This Row],[Profit Normal C]])</f>
        <v>430000</v>
      </c>
      <c r="AH811" s="73">
        <f>cadangan[[#This Row],[Profit Diskon A]]+cadangan[[#This Row],[Profit Diskon B]]+cadangan[[#This Row],[Profit Diskon C]]</f>
        <v>190000</v>
      </c>
      <c r="AI811" s="23" t="s">
        <v>8</v>
      </c>
      <c r="AJ811" s="37">
        <f>IFERROR(INDEX('Kode Diskon'!$D$3:$D$9,MATCH(cadangan[[#This Row],[Kode diskon]],'Kode Diskon'!$C$3:$C$9,0)),"-")</f>
        <v>0.2</v>
      </c>
      <c r="AK811" s="23" t="s">
        <v>9</v>
      </c>
      <c r="AL811" s="23" t="s">
        <v>7</v>
      </c>
      <c r="AM811" s="23" t="s">
        <v>79</v>
      </c>
      <c r="AN811" s="55">
        <v>45038</v>
      </c>
      <c r="AO811" s="53">
        <f>DAY(cadangan[[#This Row],[Tanggal terjual]])</f>
        <v>22</v>
      </c>
      <c r="AP811" s="21" t="str">
        <f>TEXT(cadangan[[#This Row],[Tanggal terjual]],"dddd")</f>
        <v>Saturday</v>
      </c>
      <c r="AQ811" s="23" t="str" cm="1">
        <f t="array" ref="AQ8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11" s="61">
        <f>AVERAGE(cadangan[[#This Row],[Rating A]],cadangan[[#This Row],[Rating B]],cadangan[[#This Row],[Rating C]])</f>
        <v>4</v>
      </c>
    </row>
    <row r="812" spans="1:44" x14ac:dyDescent="0.2">
      <c r="A812" s="20">
        <v>811</v>
      </c>
      <c r="B812" s="21" t="str">
        <f>_xlfn.CONCAT("ORD-",INDEX(Helper!$B$2:$B$5,MATCH(cadangan[[#This Row],[Marketplace]],Helper!$A$2:$A$5,0)),TEXT(cadangan[[#This Row],[No]],"0000"),"-",TEXT(cadangan[[#This Row],[Tanggal terjual]],"dd/mm/yy"))</f>
        <v>ORD-SP0811-01/04/23</v>
      </c>
      <c r="C812" s="39" t="s">
        <v>66</v>
      </c>
      <c r="D812" s="39" t="str">
        <f>IFERROR(INDEX(Katalog!$A$3:$A$12,MATCH(cadangan[[#This Row],[ItemID A]],Katalog!$C$3:$C$12,0)),"-")</f>
        <v>Sepatu Pria</v>
      </c>
      <c r="E812" s="39" t="str">
        <f>IFERROR(INDEX(Katalog!$B$3:$B$12,MATCH(cadangan[[#This Row],[ItemID A]],Katalog!$C$3:$C$12,0)),"-")</f>
        <v>Sandal Slip On</v>
      </c>
      <c r="F812" s="50">
        <v>4</v>
      </c>
      <c r="G812" s="50">
        <v>1</v>
      </c>
      <c r="H812" s="73">
        <f>IFERROR(INDEX(Katalog!$D$3:$D$12,MATCH(cadangan[[#This Row],[ItemID A]],Katalog!$C$3:$C$12,0))*cadangan[[#This Row],[Qty A]],0)</f>
        <v>600000</v>
      </c>
      <c r="I812" s="73">
        <f>IFERROR(cadangan[[#This Row],[Harga Normal A]]-(cadangan[[#This Row],[Harga Normal A]]*cadangan[[#This Row],[Diskon]]),cadangan[[#This Row],[Harga Normal A]])</f>
        <v>540000</v>
      </c>
      <c r="J812" s="73">
        <f>INDEX(Katalog!$F$3:$F$12,MATCH(cadangan[[#This Row],[ItemID A]],Katalog!$C$3:$C$12,0))*cadangan[[#This Row],[Qty A]]</f>
        <v>240000</v>
      </c>
      <c r="K812" s="73">
        <f>IFERROR(cadangan[[#This Row],[Harga Diskon A]]-INDEX(Katalog!$E$3:$E$12,MATCH(cadangan[[#This Row],[ItemID A]],Katalog!$C$3:$C$12,0))*cadangan[[#This Row],[Qty A]],0)</f>
        <v>180000</v>
      </c>
      <c r="L812" s="39" t="s">
        <v>64</v>
      </c>
      <c r="M812" s="39" t="str">
        <f>IFERROR(INDEX(Katalog!$A$3:$A$12,MATCH(cadangan[[#This Row],[ItemID B]],Katalog!$C$3:$C$12,0)),"-")</f>
        <v>Pakaian Unisex</v>
      </c>
      <c r="N812" s="39" t="str">
        <f>IFERROR(INDEX(Katalog!$B$3:$B$12,MATCH(cadangan[[#This Row],[ItemID B]],Katalog!$C$3:$C$12,0)),"-")</f>
        <v>Jaket Hoodie</v>
      </c>
      <c r="O812" s="50">
        <v>2</v>
      </c>
      <c r="P812" s="50">
        <v>4</v>
      </c>
      <c r="Q812" s="73">
        <f>IFERROR(INDEX(Katalog!$D$3:$D$12,MATCH(cadangan[[#This Row],[ItemID B]],Katalog!$C$3:$C$12,0))*cadangan[[#This Row],[Qty B]],0)</f>
        <v>700000</v>
      </c>
      <c r="R812" s="73">
        <f>IFERROR(cadangan[[#This Row],[Harga Normal B]]-(cadangan[[#This Row],[Harga Normal B]]*cadangan[[#This Row],[Diskon]]),cadangan[[#This Row],[Harga Normal B]])</f>
        <v>630000</v>
      </c>
      <c r="S812" s="73">
        <f>IFERROR(INDEX(Katalog!$F$3:$F$12,MATCH(cadangan[[#This Row],[ItemID B]],Katalog!$C$3:$C$12,0))*cadangan[[#This Row],[Qty B]],0)</f>
        <v>260000</v>
      </c>
      <c r="T812" s="73">
        <f>IFERROR(cadangan[[#This Row],[Harga Diskon B]]-INDEX(Katalog!$E$3:$E$12,MATCH(cadangan[[#This Row],[ItemID B]],Katalog!$C$3:$C$12,0))*cadangan[[#This Row],[Qty B]],0)</f>
        <v>190000</v>
      </c>
      <c r="V812" s="39" t="str">
        <f>IFERROR(INDEX(Katalog!$A$3:$A$12,MATCH(cadangan[[#This Row],[ItemID C]],Katalog!$C$3:$C$12,0)),"-")</f>
        <v>-</v>
      </c>
      <c r="W812" s="39" t="str">
        <f>IFERROR(INDEX(Katalog!$B$3:$B$12,MATCH(cadangan[[#This Row],[ItemID C]],Katalog!$C$3:$C$12,0)),"-")</f>
        <v>-</v>
      </c>
      <c r="Z812" s="73">
        <f>IFERROR(INDEX(Katalog!$D$3:$D$12,MATCH(cadangan[[#This Row],[ItemID C]],Katalog!$C$3:$C$12,0))*cadangan[[#This Row],[Qty C]],0)</f>
        <v>0</v>
      </c>
      <c r="AA812" s="73">
        <f>IFERROR(cadangan[[#This Row],[Harga Normal C]]-(cadangan[[#This Row],[Harga Normal C]]*cadangan[[#This Row],[Diskon]]),cadangan[[#This Row],[Harga Normal C]])</f>
        <v>0</v>
      </c>
      <c r="AB812" s="73">
        <f>IFERROR(INDEX(Katalog!$F$3:$F$12,MATCH(cadangan[[#This Row],[ItemID C]],Katalog!$C$3:$C$12,0))*cadangan[[#This Row],[Qty C]],0)</f>
        <v>0</v>
      </c>
      <c r="AC812" s="73">
        <f>IFERROR(cadangan[[#This Row],[Harga Diskon C]]-INDEX(Katalog!$E$3:$E$12,MATCH(cadangan[[#This Row],[ItemID C]],Katalog!$C$3:$C$12,0))*cadangan[[#This Row],[Qty C]],0)</f>
        <v>0</v>
      </c>
      <c r="AD812" s="53">
        <f>cadangan[[#This Row],[Qty A]]+cadangan[[#This Row],[Qty B]]+cadangan[[#This Row],[Qty C]]</f>
        <v>6</v>
      </c>
      <c r="AE812" s="73">
        <f>cadangan[[#This Row],[Harga Normal A]]+cadangan[[#This Row],[Harga Normal B]]+cadangan[[#This Row],[Harga Normal C]]</f>
        <v>1300000</v>
      </c>
      <c r="AF812" s="73">
        <f>cadangan[[#This Row],[Harga Diskon A]]+cadangan[[#This Row],[Harga Diskon B]]+cadangan[[#This Row],[Harga Diskon C]]</f>
        <v>1170000</v>
      </c>
      <c r="AG812" s="73">
        <f>(cadangan[[#This Row],[Profit Normal A]]+cadangan[[#This Row],[Profit Normal B]]+cadangan[[#This Row],[Profit Normal C]])</f>
        <v>500000</v>
      </c>
      <c r="AH812" s="73">
        <f>cadangan[[#This Row],[Profit Diskon A]]+cadangan[[#This Row],[Profit Diskon B]]+cadangan[[#This Row],[Profit Diskon C]]</f>
        <v>370000</v>
      </c>
      <c r="AI812" s="23" t="s">
        <v>6</v>
      </c>
      <c r="AJ812" s="37">
        <f>IFERROR(INDEX('Kode Diskon'!$D$3:$D$9,MATCH(cadangan[[#This Row],[Kode diskon]],'Kode Diskon'!$C$3:$C$9,0)),"-")</f>
        <v>0.1</v>
      </c>
      <c r="AK812" s="23" t="s">
        <v>29</v>
      </c>
      <c r="AL812" s="23" t="s">
        <v>7</v>
      </c>
      <c r="AM812" s="23" t="s">
        <v>80</v>
      </c>
      <c r="AN812" s="55">
        <v>45017</v>
      </c>
      <c r="AO812" s="53">
        <f>DAY(cadangan[[#This Row],[Tanggal terjual]])</f>
        <v>1</v>
      </c>
      <c r="AP812" s="21" t="str">
        <f>TEXT(cadangan[[#This Row],[Tanggal terjual]],"dddd")</f>
        <v>Saturday</v>
      </c>
      <c r="AQ812" s="23" t="str" cm="1">
        <f t="array" ref="AQ8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2" s="61">
        <f>AVERAGE(cadangan[[#This Row],[Rating A]],cadangan[[#This Row],[Rating B]],cadangan[[#This Row],[Rating C]])</f>
        <v>2.5</v>
      </c>
    </row>
    <row r="813" spans="1:44" x14ac:dyDescent="0.2">
      <c r="A813" s="20">
        <v>812</v>
      </c>
      <c r="B813" s="21" t="str">
        <f>_xlfn.CONCAT("ORD-",INDEX(Helper!$B$2:$B$5,MATCH(cadangan[[#This Row],[Marketplace]],Helper!$A$2:$A$5,0)),TEXT(cadangan[[#This Row],[No]],"0000"),"-",TEXT(cadangan[[#This Row],[Tanggal terjual]],"dd/mm/yy"))</f>
        <v>ORD-BB0812-02/04/23</v>
      </c>
      <c r="C813" s="39" t="s">
        <v>59</v>
      </c>
      <c r="D813" s="39" t="str">
        <f>IFERROR(INDEX(Katalog!$A$3:$A$12,MATCH(cadangan[[#This Row],[ItemID A]],Katalog!$C$3:$C$12,0)),"-")</f>
        <v>Pakaian Wanita</v>
      </c>
      <c r="E813" s="39" t="str">
        <f>IFERROR(INDEX(Katalog!$B$3:$B$12,MATCH(cadangan[[#This Row],[ItemID A]],Katalog!$C$3:$C$12,0)),"-")</f>
        <v>Blouse</v>
      </c>
      <c r="F813" s="50">
        <v>1</v>
      </c>
      <c r="G813" s="50">
        <v>1</v>
      </c>
      <c r="H813" s="73">
        <f>IFERROR(INDEX(Katalog!$D$3:$D$12,MATCH(cadangan[[#This Row],[ItemID A]],Katalog!$C$3:$C$12,0))*cadangan[[#This Row],[Qty A]],0)</f>
        <v>150000</v>
      </c>
      <c r="I813" s="73">
        <f>IFERROR(cadangan[[#This Row],[Harga Normal A]]-(cadangan[[#This Row],[Harga Normal A]]*cadangan[[#This Row],[Diskon]]),cadangan[[#This Row],[Harga Normal A]])</f>
        <v>127500</v>
      </c>
      <c r="J813" s="73">
        <f>INDEX(Katalog!$F$3:$F$12,MATCH(cadangan[[#This Row],[ItemID A]],Katalog!$C$3:$C$12,0))*cadangan[[#This Row],[Qty A]]</f>
        <v>50000</v>
      </c>
      <c r="K813" s="73">
        <f>IFERROR(cadangan[[#This Row],[Harga Diskon A]]-INDEX(Katalog!$E$3:$E$12,MATCH(cadangan[[#This Row],[ItemID A]],Katalog!$C$3:$C$12,0))*cadangan[[#This Row],[Qty A]],0)</f>
        <v>27500</v>
      </c>
      <c r="L813" s="39" t="s">
        <v>66</v>
      </c>
      <c r="M813" s="39" t="str">
        <f>IFERROR(INDEX(Katalog!$A$3:$A$12,MATCH(cadangan[[#This Row],[ItemID B]],Katalog!$C$3:$C$12,0)),"-")</f>
        <v>Sepatu Pria</v>
      </c>
      <c r="N813" s="39" t="str">
        <f>IFERROR(INDEX(Katalog!$B$3:$B$12,MATCH(cadangan[[#This Row],[ItemID B]],Katalog!$C$3:$C$12,0)),"-")</f>
        <v>Sandal Slip On</v>
      </c>
      <c r="O813" s="50">
        <v>1</v>
      </c>
      <c r="P813" s="50">
        <v>1</v>
      </c>
      <c r="Q813" s="73">
        <f>IFERROR(INDEX(Katalog!$D$3:$D$12,MATCH(cadangan[[#This Row],[ItemID B]],Katalog!$C$3:$C$12,0))*cadangan[[#This Row],[Qty B]],0)</f>
        <v>150000</v>
      </c>
      <c r="R813" s="73">
        <f>IFERROR(cadangan[[#This Row],[Harga Normal B]]-(cadangan[[#This Row],[Harga Normal B]]*cadangan[[#This Row],[Diskon]]),cadangan[[#This Row],[Harga Normal B]])</f>
        <v>127500</v>
      </c>
      <c r="S813" s="73">
        <f>IFERROR(INDEX(Katalog!$F$3:$F$12,MATCH(cadangan[[#This Row],[ItemID B]],Katalog!$C$3:$C$12,0))*cadangan[[#This Row],[Qty B]],0)</f>
        <v>60000</v>
      </c>
      <c r="T813" s="73">
        <f>IFERROR(cadangan[[#This Row],[Harga Diskon B]]-INDEX(Katalog!$E$3:$E$12,MATCH(cadangan[[#This Row],[ItemID B]],Katalog!$C$3:$C$12,0))*cadangan[[#This Row],[Qty B]],0)</f>
        <v>37500</v>
      </c>
      <c r="U813" s="39" t="s">
        <v>65</v>
      </c>
      <c r="V813" s="39" t="str">
        <f>IFERROR(INDEX(Katalog!$A$3:$A$12,MATCH(cadangan[[#This Row],[ItemID C]],Katalog!$C$3:$C$12,0)),"-")</f>
        <v>Sepatu Pria</v>
      </c>
      <c r="W813" s="39" t="str">
        <f>IFERROR(INDEX(Katalog!$B$3:$B$12,MATCH(cadangan[[#This Row],[ItemID C]],Katalog!$C$3:$C$12,0)),"-")</f>
        <v>Sneakers</v>
      </c>
      <c r="X813" s="50">
        <v>4</v>
      </c>
      <c r="Y813" s="50">
        <v>4</v>
      </c>
      <c r="Z813" s="73">
        <f>IFERROR(INDEX(Katalog!$D$3:$D$12,MATCH(cadangan[[#This Row],[ItemID C]],Katalog!$C$3:$C$12,0))*cadangan[[#This Row],[Qty C]],0)</f>
        <v>2000000</v>
      </c>
      <c r="AA813" s="73">
        <f>IFERROR(cadangan[[#This Row],[Harga Normal C]]-(cadangan[[#This Row],[Harga Normal C]]*cadangan[[#This Row],[Diskon]]),cadangan[[#This Row],[Harga Normal C]])</f>
        <v>1700000</v>
      </c>
      <c r="AB813" s="73">
        <f>IFERROR(INDEX(Katalog!$F$3:$F$12,MATCH(cadangan[[#This Row],[ItemID C]],Katalog!$C$3:$C$12,0))*cadangan[[#This Row],[Qty C]],0)</f>
        <v>800000</v>
      </c>
      <c r="AC813" s="73">
        <f>IFERROR(cadangan[[#This Row],[Harga Diskon C]]-INDEX(Katalog!$E$3:$E$12,MATCH(cadangan[[#This Row],[ItemID C]],Katalog!$C$3:$C$12,0))*cadangan[[#This Row],[Qty C]],0)</f>
        <v>500000</v>
      </c>
      <c r="AD813" s="53">
        <f>cadangan[[#This Row],[Qty A]]+cadangan[[#This Row],[Qty B]]+cadangan[[#This Row],[Qty C]]</f>
        <v>6</v>
      </c>
      <c r="AE813" s="73">
        <f>cadangan[[#This Row],[Harga Normal A]]+cadangan[[#This Row],[Harga Normal B]]+cadangan[[#This Row],[Harga Normal C]]</f>
        <v>2300000</v>
      </c>
      <c r="AF813" s="73">
        <f>cadangan[[#This Row],[Harga Diskon A]]+cadangan[[#This Row],[Harga Diskon B]]+cadangan[[#This Row],[Harga Diskon C]]</f>
        <v>1955000</v>
      </c>
      <c r="AG813" s="73">
        <f>(cadangan[[#This Row],[Profit Normal A]]+cadangan[[#This Row],[Profit Normal B]]+cadangan[[#This Row],[Profit Normal C]])</f>
        <v>910000</v>
      </c>
      <c r="AH813" s="73">
        <f>cadangan[[#This Row],[Profit Diskon A]]+cadangan[[#This Row],[Profit Diskon B]]+cadangan[[#This Row],[Profit Diskon C]]</f>
        <v>565000</v>
      </c>
      <c r="AI813" s="23" t="s">
        <v>28</v>
      </c>
      <c r="AJ813" s="37">
        <f>IFERROR(INDEX('Kode Diskon'!$D$3:$D$9,MATCH(cadangan[[#This Row],[Kode diskon]],'Kode Diskon'!$C$3:$C$9,0)),"-")</f>
        <v>0.15</v>
      </c>
      <c r="AK813" s="23" t="s">
        <v>29</v>
      </c>
      <c r="AL813" s="23" t="s">
        <v>14</v>
      </c>
      <c r="AM813" s="23" t="s">
        <v>79</v>
      </c>
      <c r="AN813" s="55">
        <v>45018</v>
      </c>
      <c r="AO813" s="53">
        <f>DAY(cadangan[[#This Row],[Tanggal terjual]])</f>
        <v>2</v>
      </c>
      <c r="AP813" s="21" t="str">
        <f>TEXT(cadangan[[#This Row],[Tanggal terjual]],"dddd")</f>
        <v>Sunday</v>
      </c>
      <c r="AQ813" s="23" t="str" cm="1">
        <f t="array" ref="AQ8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3" s="61">
        <f>AVERAGE(cadangan[[#This Row],[Rating A]],cadangan[[#This Row],[Rating B]],cadangan[[#This Row],[Rating C]])</f>
        <v>2</v>
      </c>
    </row>
    <row r="814" spans="1:44" x14ac:dyDescent="0.2">
      <c r="A814" s="20">
        <v>813</v>
      </c>
      <c r="B814" s="21" t="str">
        <f>_xlfn.CONCAT("ORD-",INDEX(Helper!$B$2:$B$5,MATCH(cadangan[[#This Row],[Marketplace]],Helper!$A$2:$A$5,0)),TEXT(cadangan[[#This Row],[No]],"0000"),"-",TEXT(cadangan[[#This Row],[Tanggal terjual]],"dd/mm/yy"))</f>
        <v>ORD-SP0813-05/04/23</v>
      </c>
      <c r="C814" s="39" t="s">
        <v>64</v>
      </c>
      <c r="D814" s="39" t="str">
        <f>IFERROR(INDEX(Katalog!$A$3:$A$12,MATCH(cadangan[[#This Row],[ItemID A]],Katalog!$C$3:$C$12,0)),"-")</f>
        <v>Pakaian Unisex</v>
      </c>
      <c r="E814" s="39" t="str">
        <f>IFERROR(INDEX(Katalog!$B$3:$B$12,MATCH(cadangan[[#This Row],[ItemID A]],Katalog!$C$3:$C$12,0)),"-")</f>
        <v>Jaket Hoodie</v>
      </c>
      <c r="F814" s="50">
        <v>3</v>
      </c>
      <c r="G814" s="50">
        <v>4</v>
      </c>
      <c r="H814" s="73">
        <f>IFERROR(INDEX(Katalog!$D$3:$D$12,MATCH(cadangan[[#This Row],[ItemID A]],Katalog!$C$3:$C$12,0))*cadangan[[#This Row],[Qty A]],0)</f>
        <v>1050000</v>
      </c>
      <c r="I814" s="73">
        <f>IFERROR(cadangan[[#This Row],[Harga Normal A]]-(cadangan[[#This Row],[Harga Normal A]]*cadangan[[#This Row],[Diskon]]),cadangan[[#This Row],[Harga Normal A]])</f>
        <v>892500</v>
      </c>
      <c r="J814" s="73">
        <f>INDEX(Katalog!$F$3:$F$12,MATCH(cadangan[[#This Row],[ItemID A]],Katalog!$C$3:$C$12,0))*cadangan[[#This Row],[Qty A]]</f>
        <v>390000</v>
      </c>
      <c r="K814" s="73">
        <f>IFERROR(cadangan[[#This Row],[Harga Diskon A]]-INDEX(Katalog!$E$3:$E$12,MATCH(cadangan[[#This Row],[ItemID A]],Katalog!$C$3:$C$12,0))*cadangan[[#This Row],[Qty A]],0)</f>
        <v>232500</v>
      </c>
      <c r="M814" s="39" t="str">
        <f>IFERROR(INDEX(Katalog!$A$3:$A$12,MATCH(cadangan[[#This Row],[ItemID B]],Katalog!$C$3:$C$12,0)),"-")</f>
        <v>-</v>
      </c>
      <c r="N814" s="39" t="str">
        <f>IFERROR(INDEX(Katalog!$B$3:$B$12,MATCH(cadangan[[#This Row],[ItemID B]],Katalog!$C$3:$C$12,0)),"-")</f>
        <v>-</v>
      </c>
      <c r="Q814" s="73">
        <f>IFERROR(INDEX(Katalog!$D$3:$D$12,MATCH(cadangan[[#This Row],[ItemID B]],Katalog!$C$3:$C$12,0))*cadangan[[#This Row],[Qty B]],0)</f>
        <v>0</v>
      </c>
      <c r="R814" s="73">
        <f>IFERROR(cadangan[[#This Row],[Harga Normal B]]-(cadangan[[#This Row],[Harga Normal B]]*cadangan[[#This Row],[Diskon]]),cadangan[[#This Row],[Harga Normal B]])</f>
        <v>0</v>
      </c>
      <c r="S814" s="73">
        <f>IFERROR(INDEX(Katalog!$F$3:$F$12,MATCH(cadangan[[#This Row],[ItemID B]],Katalog!$C$3:$C$12,0))*cadangan[[#This Row],[Qty B]],0)</f>
        <v>0</v>
      </c>
      <c r="T814" s="73">
        <f>IFERROR(cadangan[[#This Row],[Harga Diskon B]]-INDEX(Katalog!$E$3:$E$12,MATCH(cadangan[[#This Row],[ItemID B]],Katalog!$C$3:$C$12,0))*cadangan[[#This Row],[Qty B]],0)</f>
        <v>0</v>
      </c>
      <c r="V814" s="39" t="str">
        <f>IFERROR(INDEX(Katalog!$A$3:$A$12,MATCH(cadangan[[#This Row],[ItemID C]],Katalog!$C$3:$C$12,0)),"-")</f>
        <v>-</v>
      </c>
      <c r="W814" s="39" t="str">
        <f>IFERROR(INDEX(Katalog!$B$3:$B$12,MATCH(cadangan[[#This Row],[ItemID C]],Katalog!$C$3:$C$12,0)),"-")</f>
        <v>-</v>
      </c>
      <c r="Z814" s="73">
        <f>IFERROR(INDEX(Katalog!$D$3:$D$12,MATCH(cadangan[[#This Row],[ItemID C]],Katalog!$C$3:$C$12,0))*cadangan[[#This Row],[Qty C]],0)</f>
        <v>0</v>
      </c>
      <c r="AA814" s="73">
        <f>IFERROR(cadangan[[#This Row],[Harga Normal C]]-(cadangan[[#This Row],[Harga Normal C]]*cadangan[[#This Row],[Diskon]]),cadangan[[#This Row],[Harga Normal C]])</f>
        <v>0</v>
      </c>
      <c r="AB814" s="73">
        <f>IFERROR(INDEX(Katalog!$F$3:$F$12,MATCH(cadangan[[#This Row],[ItemID C]],Katalog!$C$3:$C$12,0))*cadangan[[#This Row],[Qty C]],0)</f>
        <v>0</v>
      </c>
      <c r="AC814" s="73">
        <f>IFERROR(cadangan[[#This Row],[Harga Diskon C]]-INDEX(Katalog!$E$3:$E$12,MATCH(cadangan[[#This Row],[ItemID C]],Katalog!$C$3:$C$12,0))*cadangan[[#This Row],[Qty C]],0)</f>
        <v>0</v>
      </c>
      <c r="AD814" s="53">
        <f>cadangan[[#This Row],[Qty A]]+cadangan[[#This Row],[Qty B]]+cadangan[[#This Row],[Qty C]]</f>
        <v>3</v>
      </c>
      <c r="AE814" s="73">
        <f>cadangan[[#This Row],[Harga Normal A]]+cadangan[[#This Row],[Harga Normal B]]+cadangan[[#This Row],[Harga Normal C]]</f>
        <v>1050000</v>
      </c>
      <c r="AF814" s="73">
        <f>cadangan[[#This Row],[Harga Diskon A]]+cadangan[[#This Row],[Harga Diskon B]]+cadangan[[#This Row],[Harga Diskon C]]</f>
        <v>892500</v>
      </c>
      <c r="AG814" s="73">
        <f>(cadangan[[#This Row],[Profit Normal A]]+cadangan[[#This Row],[Profit Normal B]]+cadangan[[#This Row],[Profit Normal C]])</f>
        <v>390000</v>
      </c>
      <c r="AH814" s="73">
        <f>cadangan[[#This Row],[Profit Diskon A]]+cadangan[[#This Row],[Profit Diskon B]]+cadangan[[#This Row],[Profit Diskon C]]</f>
        <v>232500</v>
      </c>
      <c r="AI814" s="23" t="s">
        <v>13</v>
      </c>
      <c r="AJ814" s="37">
        <f>IFERROR(INDEX('Kode Diskon'!$D$3:$D$9,MATCH(cadangan[[#This Row],[Kode diskon]],'Kode Diskon'!$C$3:$C$9,0)),"-")</f>
        <v>0.15</v>
      </c>
      <c r="AK814" s="23" t="s">
        <v>29</v>
      </c>
      <c r="AL814" s="23" t="s">
        <v>7</v>
      </c>
      <c r="AM814" s="23" t="s">
        <v>79</v>
      </c>
      <c r="AN814" s="55">
        <v>45021</v>
      </c>
      <c r="AO814" s="53">
        <f>DAY(cadangan[[#This Row],[Tanggal terjual]])</f>
        <v>5</v>
      </c>
      <c r="AP814" s="21" t="str">
        <f>TEXT(cadangan[[#This Row],[Tanggal terjual]],"dddd")</f>
        <v>Wednesday</v>
      </c>
      <c r="AQ814" s="23" t="str" cm="1">
        <f t="array" ref="AQ8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4" s="61">
        <f>AVERAGE(cadangan[[#This Row],[Rating A]],cadangan[[#This Row],[Rating B]],cadangan[[#This Row],[Rating C]])</f>
        <v>4</v>
      </c>
    </row>
    <row r="815" spans="1:44" x14ac:dyDescent="0.2">
      <c r="A815" s="20">
        <v>814</v>
      </c>
      <c r="B815" s="21" t="str">
        <f>_xlfn.CONCAT("ORD-",INDEX(Helper!$B$2:$B$5,MATCH(cadangan[[#This Row],[Marketplace]],Helper!$A$2:$A$5,0)),TEXT(cadangan[[#This Row],[No]],"0000"),"-",TEXT(cadangan[[#This Row],[Tanggal terjual]],"dd/mm/yy"))</f>
        <v>ORD-BL0814-26/04/23</v>
      </c>
      <c r="C815" s="39" t="s">
        <v>64</v>
      </c>
      <c r="D815" s="39" t="str">
        <f>IFERROR(INDEX(Katalog!$A$3:$A$12,MATCH(cadangan[[#This Row],[ItemID A]],Katalog!$C$3:$C$12,0)),"-")</f>
        <v>Pakaian Unisex</v>
      </c>
      <c r="E815" s="39" t="str">
        <f>IFERROR(INDEX(Katalog!$B$3:$B$12,MATCH(cadangan[[#This Row],[ItemID A]],Katalog!$C$3:$C$12,0)),"-")</f>
        <v>Jaket Hoodie</v>
      </c>
      <c r="F815" s="50">
        <v>1</v>
      </c>
      <c r="G815" s="50">
        <v>2</v>
      </c>
      <c r="H815" s="73">
        <f>IFERROR(INDEX(Katalog!$D$3:$D$12,MATCH(cadangan[[#This Row],[ItemID A]],Katalog!$C$3:$C$12,0))*cadangan[[#This Row],[Qty A]],0)</f>
        <v>350000</v>
      </c>
      <c r="I815" s="73">
        <f>IFERROR(cadangan[[#This Row],[Harga Normal A]]-(cadangan[[#This Row],[Harga Normal A]]*cadangan[[#This Row],[Diskon]]),cadangan[[#This Row],[Harga Normal A]])</f>
        <v>297500</v>
      </c>
      <c r="J815" s="73">
        <f>INDEX(Katalog!$F$3:$F$12,MATCH(cadangan[[#This Row],[ItemID A]],Katalog!$C$3:$C$12,0))*cadangan[[#This Row],[Qty A]]</f>
        <v>130000</v>
      </c>
      <c r="K815" s="73">
        <f>IFERROR(cadangan[[#This Row],[Harga Diskon A]]-INDEX(Katalog!$E$3:$E$12,MATCH(cadangan[[#This Row],[ItemID A]],Katalog!$C$3:$C$12,0))*cadangan[[#This Row],[Qty A]],0)</f>
        <v>77500</v>
      </c>
      <c r="L815" s="39" t="s">
        <v>66</v>
      </c>
      <c r="M815" s="39" t="str">
        <f>IFERROR(INDEX(Katalog!$A$3:$A$12,MATCH(cadangan[[#This Row],[ItemID B]],Katalog!$C$3:$C$12,0)),"-")</f>
        <v>Sepatu Pria</v>
      </c>
      <c r="N815" s="39" t="str">
        <f>IFERROR(INDEX(Katalog!$B$3:$B$12,MATCH(cadangan[[#This Row],[ItemID B]],Katalog!$C$3:$C$12,0)),"-")</f>
        <v>Sandal Slip On</v>
      </c>
      <c r="O815" s="50">
        <v>5</v>
      </c>
      <c r="P815" s="50">
        <v>4</v>
      </c>
      <c r="Q815" s="73">
        <f>IFERROR(INDEX(Katalog!$D$3:$D$12,MATCH(cadangan[[#This Row],[ItemID B]],Katalog!$C$3:$C$12,0))*cadangan[[#This Row],[Qty B]],0)</f>
        <v>750000</v>
      </c>
      <c r="R815" s="73">
        <f>IFERROR(cadangan[[#This Row],[Harga Normal B]]-(cadangan[[#This Row],[Harga Normal B]]*cadangan[[#This Row],[Diskon]]),cadangan[[#This Row],[Harga Normal B]])</f>
        <v>637500</v>
      </c>
      <c r="S815" s="73">
        <f>IFERROR(INDEX(Katalog!$F$3:$F$12,MATCH(cadangan[[#This Row],[ItemID B]],Katalog!$C$3:$C$12,0))*cadangan[[#This Row],[Qty B]],0)</f>
        <v>300000</v>
      </c>
      <c r="T815" s="73">
        <f>IFERROR(cadangan[[#This Row],[Harga Diskon B]]-INDEX(Katalog!$E$3:$E$12,MATCH(cadangan[[#This Row],[ItemID B]],Katalog!$C$3:$C$12,0))*cadangan[[#This Row],[Qty B]],0)</f>
        <v>187500</v>
      </c>
      <c r="V815" s="39" t="str">
        <f>IFERROR(INDEX(Katalog!$A$3:$A$12,MATCH(cadangan[[#This Row],[ItemID C]],Katalog!$C$3:$C$12,0)),"-")</f>
        <v>-</v>
      </c>
      <c r="W815" s="39" t="str">
        <f>IFERROR(INDEX(Katalog!$B$3:$B$12,MATCH(cadangan[[#This Row],[ItemID C]],Katalog!$C$3:$C$12,0)),"-")</f>
        <v>-</v>
      </c>
      <c r="Z815" s="73">
        <f>IFERROR(INDEX(Katalog!$D$3:$D$12,MATCH(cadangan[[#This Row],[ItemID C]],Katalog!$C$3:$C$12,0))*cadangan[[#This Row],[Qty C]],0)</f>
        <v>0</v>
      </c>
      <c r="AA815" s="73">
        <f>IFERROR(cadangan[[#This Row],[Harga Normal C]]-(cadangan[[#This Row],[Harga Normal C]]*cadangan[[#This Row],[Diskon]]),cadangan[[#This Row],[Harga Normal C]])</f>
        <v>0</v>
      </c>
      <c r="AB815" s="73">
        <f>IFERROR(INDEX(Katalog!$F$3:$F$12,MATCH(cadangan[[#This Row],[ItemID C]],Katalog!$C$3:$C$12,0))*cadangan[[#This Row],[Qty C]],0)</f>
        <v>0</v>
      </c>
      <c r="AC815" s="73">
        <f>IFERROR(cadangan[[#This Row],[Harga Diskon C]]-INDEX(Katalog!$E$3:$E$12,MATCH(cadangan[[#This Row],[ItemID C]],Katalog!$C$3:$C$12,0))*cadangan[[#This Row],[Qty C]],0)</f>
        <v>0</v>
      </c>
      <c r="AD815" s="53">
        <f>cadangan[[#This Row],[Qty A]]+cadangan[[#This Row],[Qty B]]+cadangan[[#This Row],[Qty C]]</f>
        <v>6</v>
      </c>
      <c r="AE815" s="73">
        <f>cadangan[[#This Row],[Harga Normal A]]+cadangan[[#This Row],[Harga Normal B]]+cadangan[[#This Row],[Harga Normal C]]</f>
        <v>1100000</v>
      </c>
      <c r="AF815" s="73">
        <f>cadangan[[#This Row],[Harga Diskon A]]+cadangan[[#This Row],[Harga Diskon B]]+cadangan[[#This Row],[Harga Diskon C]]</f>
        <v>935000</v>
      </c>
      <c r="AG815" s="73">
        <f>(cadangan[[#This Row],[Profit Normal A]]+cadangan[[#This Row],[Profit Normal B]]+cadangan[[#This Row],[Profit Normal C]])</f>
        <v>430000</v>
      </c>
      <c r="AH815" s="73">
        <f>cadangan[[#This Row],[Profit Diskon A]]+cadangan[[#This Row],[Profit Diskon B]]+cadangan[[#This Row],[Profit Diskon C]]</f>
        <v>265000</v>
      </c>
      <c r="AI815" s="23" t="s">
        <v>32</v>
      </c>
      <c r="AJ815" s="37">
        <f>IFERROR(INDEX('Kode Diskon'!$D$3:$D$9,MATCH(cadangan[[#This Row],[Kode diskon]],'Kode Diskon'!$C$3:$C$9,0)),"-")</f>
        <v>0.15</v>
      </c>
      <c r="AK815" s="23" t="s">
        <v>9</v>
      </c>
      <c r="AL815" s="23" t="s">
        <v>12</v>
      </c>
      <c r="AM815" s="23" t="s">
        <v>76</v>
      </c>
      <c r="AN815" s="55">
        <v>45042</v>
      </c>
      <c r="AO815" s="53">
        <f>DAY(cadangan[[#This Row],[Tanggal terjual]])</f>
        <v>26</v>
      </c>
      <c r="AP815" s="21" t="str">
        <f>TEXT(cadangan[[#This Row],[Tanggal terjual]],"dddd")</f>
        <v>Wednesday</v>
      </c>
      <c r="AQ815" s="23" t="str" cm="1">
        <f t="array" ref="AQ8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15" s="61">
        <f>AVERAGE(cadangan[[#This Row],[Rating A]],cadangan[[#This Row],[Rating B]],cadangan[[#This Row],[Rating C]])</f>
        <v>3</v>
      </c>
    </row>
    <row r="816" spans="1:44" x14ac:dyDescent="0.2">
      <c r="A816" s="20">
        <v>815</v>
      </c>
      <c r="B816" s="21" t="str">
        <f>_xlfn.CONCAT("ORD-",INDEX(Helper!$B$2:$B$5,MATCH(cadangan[[#This Row],[Marketplace]],Helper!$A$2:$A$5,0)),TEXT(cadangan[[#This Row],[No]],"0000"),"-",TEXT(cadangan[[#This Row],[Tanggal terjual]],"dd/mm/yy"))</f>
        <v>ORD-SP0815-28/04/23</v>
      </c>
      <c r="C816" s="39" t="s">
        <v>66</v>
      </c>
      <c r="D816" s="39" t="str">
        <f>IFERROR(INDEX(Katalog!$A$3:$A$12,MATCH(cadangan[[#This Row],[ItemID A]],Katalog!$C$3:$C$12,0)),"-")</f>
        <v>Sepatu Pria</v>
      </c>
      <c r="E816" s="39" t="str">
        <f>IFERROR(INDEX(Katalog!$B$3:$B$12,MATCH(cadangan[[#This Row],[ItemID A]],Katalog!$C$3:$C$12,0)),"-")</f>
        <v>Sandal Slip On</v>
      </c>
      <c r="F816" s="50">
        <v>1</v>
      </c>
      <c r="G816" s="50">
        <v>2</v>
      </c>
      <c r="H816" s="73">
        <f>IFERROR(INDEX(Katalog!$D$3:$D$12,MATCH(cadangan[[#This Row],[ItemID A]],Katalog!$C$3:$C$12,0))*cadangan[[#This Row],[Qty A]],0)</f>
        <v>150000</v>
      </c>
      <c r="I816" s="73">
        <f>IFERROR(cadangan[[#This Row],[Harga Normal A]]-(cadangan[[#This Row],[Harga Normal A]]*cadangan[[#This Row],[Diskon]]),cadangan[[#This Row],[Harga Normal A]])</f>
        <v>120000</v>
      </c>
      <c r="J816" s="73">
        <f>INDEX(Katalog!$F$3:$F$12,MATCH(cadangan[[#This Row],[ItemID A]],Katalog!$C$3:$C$12,0))*cadangan[[#This Row],[Qty A]]</f>
        <v>60000</v>
      </c>
      <c r="K816" s="73">
        <f>IFERROR(cadangan[[#This Row],[Harga Diskon A]]-INDEX(Katalog!$E$3:$E$12,MATCH(cadangan[[#This Row],[ItemID A]],Katalog!$C$3:$C$12,0))*cadangan[[#This Row],[Qty A]],0)</f>
        <v>30000</v>
      </c>
      <c r="M816" s="39" t="str">
        <f>IFERROR(INDEX(Katalog!$A$3:$A$12,MATCH(cadangan[[#This Row],[ItemID B]],Katalog!$C$3:$C$12,0)),"-")</f>
        <v>-</v>
      </c>
      <c r="N816" s="39" t="str">
        <f>IFERROR(INDEX(Katalog!$B$3:$B$12,MATCH(cadangan[[#This Row],[ItemID B]],Katalog!$C$3:$C$12,0)),"-")</f>
        <v>-</v>
      </c>
      <c r="Q816" s="73">
        <f>IFERROR(INDEX(Katalog!$D$3:$D$12,MATCH(cadangan[[#This Row],[ItemID B]],Katalog!$C$3:$C$12,0))*cadangan[[#This Row],[Qty B]],0)</f>
        <v>0</v>
      </c>
      <c r="R816" s="73">
        <f>IFERROR(cadangan[[#This Row],[Harga Normal B]]-(cadangan[[#This Row],[Harga Normal B]]*cadangan[[#This Row],[Diskon]]),cadangan[[#This Row],[Harga Normal B]])</f>
        <v>0</v>
      </c>
      <c r="S816" s="73">
        <f>IFERROR(INDEX(Katalog!$F$3:$F$12,MATCH(cadangan[[#This Row],[ItemID B]],Katalog!$C$3:$C$12,0))*cadangan[[#This Row],[Qty B]],0)</f>
        <v>0</v>
      </c>
      <c r="T816" s="73">
        <f>IFERROR(cadangan[[#This Row],[Harga Diskon B]]-INDEX(Katalog!$E$3:$E$12,MATCH(cadangan[[#This Row],[ItemID B]],Katalog!$C$3:$C$12,0))*cadangan[[#This Row],[Qty B]],0)</f>
        <v>0</v>
      </c>
      <c r="V816" s="39" t="str">
        <f>IFERROR(INDEX(Katalog!$A$3:$A$12,MATCH(cadangan[[#This Row],[ItemID C]],Katalog!$C$3:$C$12,0)),"-")</f>
        <v>-</v>
      </c>
      <c r="W816" s="39" t="str">
        <f>IFERROR(INDEX(Katalog!$B$3:$B$12,MATCH(cadangan[[#This Row],[ItemID C]],Katalog!$C$3:$C$12,0)),"-")</f>
        <v>-</v>
      </c>
      <c r="Z816" s="73">
        <f>IFERROR(INDEX(Katalog!$D$3:$D$12,MATCH(cadangan[[#This Row],[ItemID C]],Katalog!$C$3:$C$12,0))*cadangan[[#This Row],[Qty C]],0)</f>
        <v>0</v>
      </c>
      <c r="AA816" s="73">
        <f>IFERROR(cadangan[[#This Row],[Harga Normal C]]-(cadangan[[#This Row],[Harga Normal C]]*cadangan[[#This Row],[Diskon]]),cadangan[[#This Row],[Harga Normal C]])</f>
        <v>0</v>
      </c>
      <c r="AB816" s="73">
        <f>IFERROR(INDEX(Katalog!$F$3:$F$12,MATCH(cadangan[[#This Row],[ItemID C]],Katalog!$C$3:$C$12,0))*cadangan[[#This Row],[Qty C]],0)</f>
        <v>0</v>
      </c>
      <c r="AC816" s="73">
        <f>IFERROR(cadangan[[#This Row],[Harga Diskon C]]-INDEX(Katalog!$E$3:$E$12,MATCH(cadangan[[#This Row],[ItemID C]],Katalog!$C$3:$C$12,0))*cadangan[[#This Row],[Qty C]],0)</f>
        <v>0</v>
      </c>
      <c r="AD816" s="53">
        <f>cadangan[[#This Row],[Qty A]]+cadangan[[#This Row],[Qty B]]+cadangan[[#This Row],[Qty C]]</f>
        <v>1</v>
      </c>
      <c r="AE816" s="73">
        <f>cadangan[[#This Row],[Harga Normal A]]+cadangan[[#This Row],[Harga Normal B]]+cadangan[[#This Row],[Harga Normal C]]</f>
        <v>150000</v>
      </c>
      <c r="AF816" s="73">
        <f>cadangan[[#This Row],[Harga Diskon A]]+cadangan[[#This Row],[Harga Diskon B]]+cadangan[[#This Row],[Harga Diskon C]]</f>
        <v>120000</v>
      </c>
      <c r="AG816" s="73">
        <f>(cadangan[[#This Row],[Profit Normal A]]+cadangan[[#This Row],[Profit Normal B]]+cadangan[[#This Row],[Profit Normal C]])</f>
        <v>60000</v>
      </c>
      <c r="AH816" s="73">
        <f>cadangan[[#This Row],[Profit Diskon A]]+cadangan[[#This Row],[Profit Diskon B]]+cadangan[[#This Row],[Profit Diskon C]]</f>
        <v>30000</v>
      </c>
      <c r="AI816" s="23" t="s">
        <v>8</v>
      </c>
      <c r="AJ816" s="37">
        <f>IFERROR(INDEX('Kode Diskon'!$D$3:$D$9,MATCH(cadangan[[#This Row],[Kode diskon]],'Kode Diskon'!$C$3:$C$9,0)),"-")</f>
        <v>0.2</v>
      </c>
      <c r="AK816" s="23" t="s">
        <v>9</v>
      </c>
      <c r="AL816" s="23" t="s">
        <v>7</v>
      </c>
      <c r="AM816" s="23" t="s">
        <v>80</v>
      </c>
      <c r="AN816" s="55">
        <v>45044</v>
      </c>
      <c r="AO816" s="53">
        <f>DAY(cadangan[[#This Row],[Tanggal terjual]])</f>
        <v>28</v>
      </c>
      <c r="AP816" s="21" t="str">
        <f>TEXT(cadangan[[#This Row],[Tanggal terjual]],"dddd")</f>
        <v>Friday</v>
      </c>
      <c r="AQ816" s="23" t="str" cm="1">
        <f t="array" ref="AQ8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16" s="61">
        <f>AVERAGE(cadangan[[#This Row],[Rating A]],cadangan[[#This Row],[Rating B]],cadangan[[#This Row],[Rating C]])</f>
        <v>2</v>
      </c>
    </row>
    <row r="817" spans="1:44" x14ac:dyDescent="0.2">
      <c r="A817" s="20">
        <v>816</v>
      </c>
      <c r="B817" s="21" t="str">
        <f>_xlfn.CONCAT("ORD-",INDEX(Helper!$B$2:$B$5,MATCH(cadangan[[#This Row],[Marketplace]],Helper!$A$2:$A$5,0)),TEXT(cadangan[[#This Row],[No]],"0000"),"-",TEXT(cadangan[[#This Row],[Tanggal terjual]],"dd/mm/yy"))</f>
        <v>ORD-TK0816-30/04/23</v>
      </c>
      <c r="C817" s="39" t="s">
        <v>66</v>
      </c>
      <c r="D817" s="39" t="str">
        <f>IFERROR(INDEX(Katalog!$A$3:$A$12,MATCH(cadangan[[#This Row],[ItemID A]],Katalog!$C$3:$C$12,0)),"-")</f>
        <v>Sepatu Pria</v>
      </c>
      <c r="E817" s="39" t="str">
        <f>IFERROR(INDEX(Katalog!$B$3:$B$12,MATCH(cadangan[[#This Row],[ItemID A]],Katalog!$C$3:$C$12,0)),"-")</f>
        <v>Sandal Slip On</v>
      </c>
      <c r="F817" s="50">
        <v>2</v>
      </c>
      <c r="G817" s="50">
        <v>5</v>
      </c>
      <c r="H817" s="73">
        <f>IFERROR(INDEX(Katalog!$D$3:$D$12,MATCH(cadangan[[#This Row],[ItemID A]],Katalog!$C$3:$C$12,0))*cadangan[[#This Row],[Qty A]],0)</f>
        <v>300000</v>
      </c>
      <c r="I817" s="73">
        <f>IFERROR(cadangan[[#This Row],[Harga Normal A]]-(cadangan[[#This Row],[Harga Normal A]]*cadangan[[#This Row],[Diskon]]),cadangan[[#This Row],[Harga Normal A]])</f>
        <v>270000</v>
      </c>
      <c r="J817" s="73">
        <f>INDEX(Katalog!$F$3:$F$12,MATCH(cadangan[[#This Row],[ItemID A]],Katalog!$C$3:$C$12,0))*cadangan[[#This Row],[Qty A]]</f>
        <v>120000</v>
      </c>
      <c r="K817" s="73">
        <f>IFERROR(cadangan[[#This Row],[Harga Diskon A]]-INDEX(Katalog!$E$3:$E$12,MATCH(cadangan[[#This Row],[ItemID A]],Katalog!$C$3:$C$12,0))*cadangan[[#This Row],[Qty A]],0)</f>
        <v>90000</v>
      </c>
      <c r="M817" s="39" t="str">
        <f>IFERROR(INDEX(Katalog!$A$3:$A$12,MATCH(cadangan[[#This Row],[ItemID B]],Katalog!$C$3:$C$12,0)),"-")</f>
        <v>-</v>
      </c>
      <c r="N817" s="39" t="str">
        <f>IFERROR(INDEX(Katalog!$B$3:$B$12,MATCH(cadangan[[#This Row],[ItemID B]],Katalog!$C$3:$C$12,0)),"-")</f>
        <v>-</v>
      </c>
      <c r="Q817" s="73">
        <f>IFERROR(INDEX(Katalog!$D$3:$D$12,MATCH(cadangan[[#This Row],[ItemID B]],Katalog!$C$3:$C$12,0))*cadangan[[#This Row],[Qty B]],0)</f>
        <v>0</v>
      </c>
      <c r="R817" s="73">
        <f>IFERROR(cadangan[[#This Row],[Harga Normal B]]-(cadangan[[#This Row],[Harga Normal B]]*cadangan[[#This Row],[Diskon]]),cadangan[[#This Row],[Harga Normal B]])</f>
        <v>0</v>
      </c>
      <c r="S817" s="73">
        <f>IFERROR(INDEX(Katalog!$F$3:$F$12,MATCH(cadangan[[#This Row],[ItemID B]],Katalog!$C$3:$C$12,0))*cadangan[[#This Row],[Qty B]],0)</f>
        <v>0</v>
      </c>
      <c r="T817" s="73">
        <f>IFERROR(cadangan[[#This Row],[Harga Diskon B]]-INDEX(Katalog!$E$3:$E$12,MATCH(cadangan[[#This Row],[ItemID B]],Katalog!$C$3:$C$12,0))*cadangan[[#This Row],[Qty B]],0)</f>
        <v>0</v>
      </c>
      <c r="V817" s="39" t="str">
        <f>IFERROR(INDEX(Katalog!$A$3:$A$12,MATCH(cadangan[[#This Row],[ItemID C]],Katalog!$C$3:$C$12,0)),"-")</f>
        <v>-</v>
      </c>
      <c r="W817" s="39" t="str">
        <f>IFERROR(INDEX(Katalog!$B$3:$B$12,MATCH(cadangan[[#This Row],[ItemID C]],Katalog!$C$3:$C$12,0)),"-")</f>
        <v>-</v>
      </c>
      <c r="Z817" s="73">
        <f>IFERROR(INDEX(Katalog!$D$3:$D$12,MATCH(cadangan[[#This Row],[ItemID C]],Katalog!$C$3:$C$12,0))*cadangan[[#This Row],[Qty C]],0)</f>
        <v>0</v>
      </c>
      <c r="AA817" s="73">
        <f>IFERROR(cadangan[[#This Row],[Harga Normal C]]-(cadangan[[#This Row],[Harga Normal C]]*cadangan[[#This Row],[Diskon]]),cadangan[[#This Row],[Harga Normal C]])</f>
        <v>0</v>
      </c>
      <c r="AB817" s="73">
        <f>IFERROR(INDEX(Katalog!$F$3:$F$12,MATCH(cadangan[[#This Row],[ItemID C]],Katalog!$C$3:$C$12,0))*cadangan[[#This Row],[Qty C]],0)</f>
        <v>0</v>
      </c>
      <c r="AC817" s="73">
        <f>IFERROR(cadangan[[#This Row],[Harga Diskon C]]-INDEX(Katalog!$E$3:$E$12,MATCH(cadangan[[#This Row],[ItemID C]],Katalog!$C$3:$C$12,0))*cadangan[[#This Row],[Qty C]],0)</f>
        <v>0</v>
      </c>
      <c r="AD817" s="53">
        <f>cadangan[[#This Row],[Qty A]]+cadangan[[#This Row],[Qty B]]+cadangan[[#This Row],[Qty C]]</f>
        <v>2</v>
      </c>
      <c r="AE817" s="73">
        <f>cadangan[[#This Row],[Harga Normal A]]+cadangan[[#This Row],[Harga Normal B]]+cadangan[[#This Row],[Harga Normal C]]</f>
        <v>300000</v>
      </c>
      <c r="AF817" s="73">
        <f>cadangan[[#This Row],[Harga Diskon A]]+cadangan[[#This Row],[Harga Diskon B]]+cadangan[[#This Row],[Harga Diskon C]]</f>
        <v>270000</v>
      </c>
      <c r="AG817" s="73">
        <f>(cadangan[[#This Row],[Profit Normal A]]+cadangan[[#This Row],[Profit Normal B]]+cadangan[[#This Row],[Profit Normal C]])</f>
        <v>120000</v>
      </c>
      <c r="AH817" s="73">
        <f>cadangan[[#This Row],[Profit Diskon A]]+cadangan[[#This Row],[Profit Diskon B]]+cadangan[[#This Row],[Profit Diskon C]]</f>
        <v>90000</v>
      </c>
      <c r="AI817" s="23" t="s">
        <v>31</v>
      </c>
      <c r="AJ817" s="37">
        <f>IFERROR(INDEX('Kode Diskon'!$D$3:$D$9,MATCH(cadangan[[#This Row],[Kode diskon]],'Kode Diskon'!$C$3:$C$9,0)),"-")</f>
        <v>0.1</v>
      </c>
      <c r="AK817" s="23" t="s">
        <v>9</v>
      </c>
      <c r="AL817" s="23" t="s">
        <v>10</v>
      </c>
      <c r="AM817" s="23" t="s">
        <v>80</v>
      </c>
      <c r="AN817" s="55">
        <v>45046</v>
      </c>
      <c r="AO817" s="53">
        <f>DAY(cadangan[[#This Row],[Tanggal terjual]])</f>
        <v>30</v>
      </c>
      <c r="AP817" s="21" t="str">
        <f>TEXT(cadangan[[#This Row],[Tanggal terjual]],"dddd")</f>
        <v>Sunday</v>
      </c>
      <c r="AQ817" s="23" t="str" cm="1">
        <f t="array" ref="AQ8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17" s="61">
        <f>AVERAGE(cadangan[[#This Row],[Rating A]],cadangan[[#This Row],[Rating B]],cadangan[[#This Row],[Rating C]])</f>
        <v>5</v>
      </c>
    </row>
    <row r="818" spans="1:44" x14ac:dyDescent="0.2">
      <c r="A818" s="20">
        <v>817</v>
      </c>
      <c r="B818" s="21" t="str">
        <f>_xlfn.CONCAT("ORD-",INDEX(Helper!$B$2:$B$5,MATCH(cadangan[[#This Row],[Marketplace]],Helper!$A$2:$A$5,0)),TEXT(cadangan[[#This Row],[No]],"0000"),"-",TEXT(cadangan[[#This Row],[Tanggal terjual]],"dd/mm/yy"))</f>
        <v>ORD-BL0817-23/04/23</v>
      </c>
      <c r="C818" s="39" t="s">
        <v>67</v>
      </c>
      <c r="D818" s="39" t="str">
        <f>IFERROR(INDEX(Katalog!$A$3:$A$12,MATCH(cadangan[[#This Row],[ItemID A]],Katalog!$C$3:$C$12,0)),"-")</f>
        <v>Sepatu Wanita</v>
      </c>
      <c r="E818" s="39" t="str">
        <f>IFERROR(INDEX(Katalog!$B$3:$B$12,MATCH(cadangan[[#This Row],[ItemID A]],Katalog!$C$3:$C$12,0)),"-")</f>
        <v>Flat Shoes</v>
      </c>
      <c r="F818" s="50">
        <v>3</v>
      </c>
      <c r="G818" s="50">
        <v>3</v>
      </c>
      <c r="H818" s="73">
        <f>IFERROR(INDEX(Katalog!$D$3:$D$12,MATCH(cadangan[[#This Row],[ItemID A]],Katalog!$C$3:$C$12,0))*cadangan[[#This Row],[Qty A]],0)</f>
        <v>750000</v>
      </c>
      <c r="I818" s="73">
        <f>IFERROR(cadangan[[#This Row],[Harga Normal A]]-(cadangan[[#This Row],[Harga Normal A]]*cadangan[[#This Row],[Diskon]]),cadangan[[#This Row],[Harga Normal A]])</f>
        <v>637500</v>
      </c>
      <c r="J818" s="73">
        <f>INDEX(Katalog!$F$3:$F$12,MATCH(cadangan[[#This Row],[ItemID A]],Katalog!$C$3:$C$12,0))*cadangan[[#This Row],[Qty A]]</f>
        <v>300000</v>
      </c>
      <c r="K818" s="73">
        <f>IFERROR(cadangan[[#This Row],[Harga Diskon A]]-INDEX(Katalog!$E$3:$E$12,MATCH(cadangan[[#This Row],[ItemID A]],Katalog!$C$3:$C$12,0))*cadangan[[#This Row],[Qty A]],0)</f>
        <v>187500</v>
      </c>
      <c r="L818" s="39" t="s">
        <v>65</v>
      </c>
      <c r="M818" s="39" t="str">
        <f>IFERROR(INDEX(Katalog!$A$3:$A$12,MATCH(cadangan[[#This Row],[ItemID B]],Katalog!$C$3:$C$12,0)),"-")</f>
        <v>Sepatu Pria</v>
      </c>
      <c r="N818" s="39" t="str">
        <f>IFERROR(INDEX(Katalog!$B$3:$B$12,MATCH(cadangan[[#This Row],[ItemID B]],Katalog!$C$3:$C$12,0)),"-")</f>
        <v>Sneakers</v>
      </c>
      <c r="O818" s="50">
        <v>1</v>
      </c>
      <c r="P818" s="50">
        <v>4</v>
      </c>
      <c r="Q818" s="73">
        <f>IFERROR(INDEX(Katalog!$D$3:$D$12,MATCH(cadangan[[#This Row],[ItemID B]],Katalog!$C$3:$C$12,0))*cadangan[[#This Row],[Qty B]],0)</f>
        <v>500000</v>
      </c>
      <c r="R818" s="73">
        <f>IFERROR(cadangan[[#This Row],[Harga Normal B]]-(cadangan[[#This Row],[Harga Normal B]]*cadangan[[#This Row],[Diskon]]),cadangan[[#This Row],[Harga Normal B]])</f>
        <v>425000</v>
      </c>
      <c r="S818" s="73">
        <f>IFERROR(INDEX(Katalog!$F$3:$F$12,MATCH(cadangan[[#This Row],[ItemID B]],Katalog!$C$3:$C$12,0))*cadangan[[#This Row],[Qty B]],0)</f>
        <v>200000</v>
      </c>
      <c r="T818" s="73">
        <f>IFERROR(cadangan[[#This Row],[Harga Diskon B]]-INDEX(Katalog!$E$3:$E$12,MATCH(cadangan[[#This Row],[ItemID B]],Katalog!$C$3:$C$12,0))*cadangan[[#This Row],[Qty B]],0)</f>
        <v>125000</v>
      </c>
      <c r="U818" s="39" t="s">
        <v>66</v>
      </c>
      <c r="V818" s="39" t="str">
        <f>IFERROR(INDEX(Katalog!$A$3:$A$12,MATCH(cadangan[[#This Row],[ItemID C]],Katalog!$C$3:$C$12,0)),"-")</f>
        <v>Sepatu Pria</v>
      </c>
      <c r="W818" s="39" t="str">
        <f>IFERROR(INDEX(Katalog!$B$3:$B$12,MATCH(cadangan[[#This Row],[ItemID C]],Katalog!$C$3:$C$12,0)),"-")</f>
        <v>Sandal Slip On</v>
      </c>
      <c r="X818" s="50">
        <v>1</v>
      </c>
      <c r="Y818" s="50">
        <v>4</v>
      </c>
      <c r="Z818" s="73">
        <f>IFERROR(INDEX(Katalog!$D$3:$D$12,MATCH(cadangan[[#This Row],[ItemID C]],Katalog!$C$3:$C$12,0))*cadangan[[#This Row],[Qty C]],0)</f>
        <v>150000</v>
      </c>
      <c r="AA818" s="73">
        <f>IFERROR(cadangan[[#This Row],[Harga Normal C]]-(cadangan[[#This Row],[Harga Normal C]]*cadangan[[#This Row],[Diskon]]),cadangan[[#This Row],[Harga Normal C]])</f>
        <v>127500</v>
      </c>
      <c r="AB818" s="73">
        <f>IFERROR(INDEX(Katalog!$F$3:$F$12,MATCH(cadangan[[#This Row],[ItemID C]],Katalog!$C$3:$C$12,0))*cadangan[[#This Row],[Qty C]],0)</f>
        <v>60000</v>
      </c>
      <c r="AC818" s="73">
        <f>IFERROR(cadangan[[#This Row],[Harga Diskon C]]-INDEX(Katalog!$E$3:$E$12,MATCH(cadangan[[#This Row],[ItemID C]],Katalog!$C$3:$C$12,0))*cadangan[[#This Row],[Qty C]],0)</f>
        <v>37500</v>
      </c>
      <c r="AD818" s="53">
        <f>cadangan[[#This Row],[Qty A]]+cadangan[[#This Row],[Qty B]]+cadangan[[#This Row],[Qty C]]</f>
        <v>5</v>
      </c>
      <c r="AE818" s="73">
        <f>cadangan[[#This Row],[Harga Normal A]]+cadangan[[#This Row],[Harga Normal B]]+cadangan[[#This Row],[Harga Normal C]]</f>
        <v>1400000</v>
      </c>
      <c r="AF818" s="73">
        <f>cadangan[[#This Row],[Harga Diskon A]]+cadangan[[#This Row],[Harga Diskon B]]+cadangan[[#This Row],[Harga Diskon C]]</f>
        <v>1190000</v>
      </c>
      <c r="AG818" s="73">
        <f>(cadangan[[#This Row],[Profit Normal A]]+cadangan[[#This Row],[Profit Normal B]]+cadangan[[#This Row],[Profit Normal C]])</f>
        <v>560000</v>
      </c>
      <c r="AH818" s="73">
        <f>cadangan[[#This Row],[Profit Diskon A]]+cadangan[[#This Row],[Profit Diskon B]]+cadangan[[#This Row],[Profit Diskon C]]</f>
        <v>350000</v>
      </c>
      <c r="AI818" s="23" t="s">
        <v>32</v>
      </c>
      <c r="AJ818" s="37">
        <f>IFERROR(INDEX('Kode Diskon'!$D$3:$D$9,MATCH(cadangan[[#This Row],[Kode diskon]],'Kode Diskon'!$C$3:$C$9,0)),"-")</f>
        <v>0.15</v>
      </c>
      <c r="AK818" s="23" t="s">
        <v>9</v>
      </c>
      <c r="AL818" s="23" t="s">
        <v>12</v>
      </c>
      <c r="AM818" s="23" t="s">
        <v>75</v>
      </c>
      <c r="AN818" s="55">
        <v>45039</v>
      </c>
      <c r="AO818" s="53">
        <f>DAY(cadangan[[#This Row],[Tanggal terjual]])</f>
        <v>23</v>
      </c>
      <c r="AP818" s="21" t="str">
        <f>TEXT(cadangan[[#This Row],[Tanggal terjual]],"dddd")</f>
        <v>Sunday</v>
      </c>
      <c r="AQ818" s="23" t="str" cm="1">
        <f t="array" ref="AQ8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18" s="61">
        <f>AVERAGE(cadangan[[#This Row],[Rating A]],cadangan[[#This Row],[Rating B]],cadangan[[#This Row],[Rating C]])</f>
        <v>3.6666666666666665</v>
      </c>
    </row>
    <row r="819" spans="1:44" x14ac:dyDescent="0.2">
      <c r="A819" s="20">
        <v>818</v>
      </c>
      <c r="B819" s="21" t="str">
        <f>_xlfn.CONCAT("ORD-",INDEX(Helper!$B$2:$B$5,MATCH(cadangan[[#This Row],[Marketplace]],Helper!$A$2:$A$5,0)),TEXT(cadangan[[#This Row],[No]],"0000"),"-",TEXT(cadangan[[#This Row],[Tanggal terjual]],"dd/mm/yy"))</f>
        <v>ORD-BB0818-06/04/23</v>
      </c>
      <c r="C819" s="39" t="s">
        <v>62</v>
      </c>
      <c r="D819" s="39" t="str">
        <f>IFERROR(INDEX(Katalog!$A$3:$A$12,MATCH(cadangan[[#This Row],[ItemID A]],Katalog!$C$3:$C$12,0)),"-")</f>
        <v>Pakaian Pria</v>
      </c>
      <c r="E819" s="39" t="str">
        <f>IFERROR(INDEX(Katalog!$B$3:$B$12,MATCH(cadangan[[#This Row],[ItemID A]],Katalog!$C$3:$C$12,0)),"-")</f>
        <v>Celana Pendek</v>
      </c>
      <c r="F819" s="50">
        <v>2</v>
      </c>
      <c r="G819" s="50">
        <v>5</v>
      </c>
      <c r="H819" s="73">
        <f>IFERROR(INDEX(Katalog!$D$3:$D$12,MATCH(cadangan[[#This Row],[ItemID A]],Katalog!$C$3:$C$12,0))*cadangan[[#This Row],[Qty A]],0)</f>
        <v>360000</v>
      </c>
      <c r="I819" s="73">
        <f>IFERROR(cadangan[[#This Row],[Harga Normal A]]-(cadangan[[#This Row],[Harga Normal A]]*cadangan[[#This Row],[Diskon]]),cadangan[[#This Row],[Harga Normal A]])</f>
        <v>306000</v>
      </c>
      <c r="J819" s="73">
        <f>INDEX(Katalog!$F$3:$F$12,MATCH(cadangan[[#This Row],[ItemID A]],Katalog!$C$3:$C$12,0))*cadangan[[#This Row],[Qty A]]</f>
        <v>140000</v>
      </c>
      <c r="K819" s="73">
        <f>IFERROR(cadangan[[#This Row],[Harga Diskon A]]-INDEX(Katalog!$E$3:$E$12,MATCH(cadangan[[#This Row],[ItemID A]],Katalog!$C$3:$C$12,0))*cadangan[[#This Row],[Qty A]],0)</f>
        <v>86000</v>
      </c>
      <c r="L819" s="39" t="s">
        <v>63</v>
      </c>
      <c r="M819" s="39" t="str">
        <f>IFERROR(INDEX(Katalog!$A$3:$A$12,MATCH(cadangan[[#This Row],[ItemID B]],Katalog!$C$3:$C$12,0)),"-")</f>
        <v>Pakaian Pria</v>
      </c>
      <c r="N819" s="39" t="str">
        <f>IFERROR(INDEX(Katalog!$B$3:$B$12,MATCH(cadangan[[#This Row],[ItemID B]],Katalog!$C$3:$C$12,0)),"-")</f>
        <v>Jaket Jeans</v>
      </c>
      <c r="O819" s="50">
        <v>1</v>
      </c>
      <c r="P819" s="50">
        <v>4</v>
      </c>
      <c r="Q819" s="73">
        <f>IFERROR(INDEX(Katalog!$D$3:$D$12,MATCH(cadangan[[#This Row],[ItemID B]],Katalog!$C$3:$C$12,0))*cadangan[[#This Row],[Qty B]],0)</f>
        <v>400000</v>
      </c>
      <c r="R819" s="73">
        <f>IFERROR(cadangan[[#This Row],[Harga Normal B]]-(cadangan[[#This Row],[Harga Normal B]]*cadangan[[#This Row],[Diskon]]),cadangan[[#This Row],[Harga Normal B]])</f>
        <v>340000</v>
      </c>
      <c r="S819" s="73">
        <f>IFERROR(INDEX(Katalog!$F$3:$F$12,MATCH(cadangan[[#This Row],[ItemID B]],Katalog!$C$3:$C$12,0))*cadangan[[#This Row],[Qty B]],0)</f>
        <v>150000</v>
      </c>
      <c r="T819" s="73">
        <f>IFERROR(cadangan[[#This Row],[Harga Diskon B]]-INDEX(Katalog!$E$3:$E$12,MATCH(cadangan[[#This Row],[ItemID B]],Katalog!$C$3:$C$12,0))*cadangan[[#This Row],[Qty B]],0)</f>
        <v>90000</v>
      </c>
      <c r="V819" s="39" t="str">
        <f>IFERROR(INDEX(Katalog!$A$3:$A$12,MATCH(cadangan[[#This Row],[ItemID C]],Katalog!$C$3:$C$12,0)),"-")</f>
        <v>-</v>
      </c>
      <c r="W819" s="39" t="str">
        <f>IFERROR(INDEX(Katalog!$B$3:$B$12,MATCH(cadangan[[#This Row],[ItemID C]],Katalog!$C$3:$C$12,0)),"-")</f>
        <v>-</v>
      </c>
      <c r="Z819" s="73">
        <f>IFERROR(INDEX(Katalog!$D$3:$D$12,MATCH(cadangan[[#This Row],[ItemID C]],Katalog!$C$3:$C$12,0))*cadangan[[#This Row],[Qty C]],0)</f>
        <v>0</v>
      </c>
      <c r="AA819" s="73">
        <f>IFERROR(cadangan[[#This Row],[Harga Normal C]]-(cadangan[[#This Row],[Harga Normal C]]*cadangan[[#This Row],[Diskon]]),cadangan[[#This Row],[Harga Normal C]])</f>
        <v>0</v>
      </c>
      <c r="AB819" s="73">
        <f>IFERROR(INDEX(Katalog!$F$3:$F$12,MATCH(cadangan[[#This Row],[ItemID C]],Katalog!$C$3:$C$12,0))*cadangan[[#This Row],[Qty C]],0)</f>
        <v>0</v>
      </c>
      <c r="AC819" s="73">
        <f>IFERROR(cadangan[[#This Row],[Harga Diskon C]]-INDEX(Katalog!$E$3:$E$12,MATCH(cadangan[[#This Row],[ItemID C]],Katalog!$C$3:$C$12,0))*cadangan[[#This Row],[Qty C]],0)</f>
        <v>0</v>
      </c>
      <c r="AD819" s="53">
        <f>cadangan[[#This Row],[Qty A]]+cadangan[[#This Row],[Qty B]]+cadangan[[#This Row],[Qty C]]</f>
        <v>3</v>
      </c>
      <c r="AE819" s="73">
        <f>cadangan[[#This Row],[Harga Normal A]]+cadangan[[#This Row],[Harga Normal B]]+cadangan[[#This Row],[Harga Normal C]]</f>
        <v>760000</v>
      </c>
      <c r="AF819" s="73">
        <f>cadangan[[#This Row],[Harga Diskon A]]+cadangan[[#This Row],[Harga Diskon B]]+cadangan[[#This Row],[Harga Diskon C]]</f>
        <v>646000</v>
      </c>
      <c r="AG819" s="73">
        <f>(cadangan[[#This Row],[Profit Normal A]]+cadangan[[#This Row],[Profit Normal B]]+cadangan[[#This Row],[Profit Normal C]])</f>
        <v>290000</v>
      </c>
      <c r="AH819" s="73">
        <f>cadangan[[#This Row],[Profit Diskon A]]+cadangan[[#This Row],[Profit Diskon B]]+cadangan[[#This Row],[Profit Diskon C]]</f>
        <v>176000</v>
      </c>
      <c r="AI819" s="23" t="s">
        <v>28</v>
      </c>
      <c r="AJ819" s="37">
        <f>IFERROR(INDEX('Kode Diskon'!$D$3:$D$9,MATCH(cadangan[[#This Row],[Kode diskon]],'Kode Diskon'!$C$3:$C$9,0)),"-")</f>
        <v>0.15</v>
      </c>
      <c r="AK819" s="23" t="s">
        <v>29</v>
      </c>
      <c r="AL819" s="23" t="s">
        <v>14</v>
      </c>
      <c r="AM819" s="23" t="s">
        <v>79</v>
      </c>
      <c r="AN819" s="55">
        <v>45022</v>
      </c>
      <c r="AO819" s="53">
        <f>DAY(cadangan[[#This Row],[Tanggal terjual]])</f>
        <v>6</v>
      </c>
      <c r="AP819" s="21" t="str">
        <f>TEXT(cadangan[[#This Row],[Tanggal terjual]],"dddd")</f>
        <v>Thursday</v>
      </c>
      <c r="AQ819" s="23" t="str" cm="1">
        <f t="array" ref="AQ8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19" s="61">
        <f>AVERAGE(cadangan[[#This Row],[Rating A]],cadangan[[#This Row],[Rating B]],cadangan[[#This Row],[Rating C]])</f>
        <v>4.5</v>
      </c>
    </row>
    <row r="820" spans="1:44" x14ac:dyDescent="0.2">
      <c r="A820" s="20">
        <v>819</v>
      </c>
      <c r="B820" s="21" t="str">
        <f>_xlfn.CONCAT("ORD-",INDEX(Helper!$B$2:$B$5,MATCH(cadangan[[#This Row],[Marketplace]],Helper!$A$2:$A$5,0)),TEXT(cadangan[[#This Row],[No]],"0000"),"-",TEXT(cadangan[[#This Row],[Tanggal terjual]],"dd/mm/yy"))</f>
        <v>ORD-TK0819-06/04/23</v>
      </c>
      <c r="C820" s="39" t="s">
        <v>61</v>
      </c>
      <c r="D820" s="39" t="str">
        <f>IFERROR(INDEX(Katalog!$A$3:$A$12,MATCH(cadangan[[#This Row],[ItemID A]],Katalog!$C$3:$C$12,0)),"-")</f>
        <v>Pakaian Pria</v>
      </c>
      <c r="E820" s="39" t="str">
        <f>IFERROR(INDEX(Katalog!$B$3:$B$12,MATCH(cadangan[[#This Row],[ItemID A]],Katalog!$C$3:$C$12,0)),"-")</f>
        <v>Kaos Polo</v>
      </c>
      <c r="F820" s="50">
        <v>1</v>
      </c>
      <c r="G820" s="50">
        <v>3</v>
      </c>
      <c r="H820" s="73">
        <f>IFERROR(INDEX(Katalog!$D$3:$D$12,MATCH(cadangan[[#This Row],[ItemID A]],Katalog!$C$3:$C$12,0))*cadangan[[#This Row],[Qty A]],0)</f>
        <v>200000</v>
      </c>
      <c r="I820" s="73">
        <f>IFERROR(cadangan[[#This Row],[Harga Normal A]]-(cadangan[[#This Row],[Harga Normal A]]*cadangan[[#This Row],[Diskon]]),cadangan[[#This Row],[Harga Normal A]])</f>
        <v>180000</v>
      </c>
      <c r="J820" s="73">
        <f>INDEX(Katalog!$F$3:$F$12,MATCH(cadangan[[#This Row],[ItemID A]],Katalog!$C$3:$C$12,0))*cadangan[[#This Row],[Qty A]]</f>
        <v>80000</v>
      </c>
      <c r="K820" s="73">
        <f>IFERROR(cadangan[[#This Row],[Harga Diskon A]]-INDEX(Katalog!$E$3:$E$12,MATCH(cadangan[[#This Row],[ItemID A]],Katalog!$C$3:$C$12,0))*cadangan[[#This Row],[Qty A]],0)</f>
        <v>60000</v>
      </c>
      <c r="L820" s="39" t="s">
        <v>64</v>
      </c>
      <c r="M820" s="39" t="str">
        <f>IFERROR(INDEX(Katalog!$A$3:$A$12,MATCH(cadangan[[#This Row],[ItemID B]],Katalog!$C$3:$C$12,0)),"-")</f>
        <v>Pakaian Unisex</v>
      </c>
      <c r="N820" s="39" t="str">
        <f>IFERROR(INDEX(Katalog!$B$3:$B$12,MATCH(cadangan[[#This Row],[ItemID B]],Katalog!$C$3:$C$12,0)),"-")</f>
        <v>Jaket Hoodie</v>
      </c>
      <c r="O820" s="50">
        <v>6</v>
      </c>
      <c r="P820" s="50">
        <v>4</v>
      </c>
      <c r="Q820" s="73">
        <f>IFERROR(INDEX(Katalog!$D$3:$D$12,MATCH(cadangan[[#This Row],[ItemID B]],Katalog!$C$3:$C$12,0))*cadangan[[#This Row],[Qty B]],0)</f>
        <v>2100000</v>
      </c>
      <c r="R820" s="73">
        <f>IFERROR(cadangan[[#This Row],[Harga Normal B]]-(cadangan[[#This Row],[Harga Normal B]]*cadangan[[#This Row],[Diskon]]),cadangan[[#This Row],[Harga Normal B]])</f>
        <v>1890000</v>
      </c>
      <c r="S820" s="73">
        <f>IFERROR(INDEX(Katalog!$F$3:$F$12,MATCH(cadangan[[#This Row],[ItemID B]],Katalog!$C$3:$C$12,0))*cadangan[[#This Row],[Qty B]],0)</f>
        <v>780000</v>
      </c>
      <c r="T820" s="73">
        <f>IFERROR(cadangan[[#This Row],[Harga Diskon B]]-INDEX(Katalog!$E$3:$E$12,MATCH(cadangan[[#This Row],[ItemID B]],Katalog!$C$3:$C$12,0))*cadangan[[#This Row],[Qty B]],0)</f>
        <v>570000</v>
      </c>
      <c r="V820" s="39" t="str">
        <f>IFERROR(INDEX(Katalog!$A$3:$A$12,MATCH(cadangan[[#This Row],[ItemID C]],Katalog!$C$3:$C$12,0)),"-")</f>
        <v>-</v>
      </c>
      <c r="W820" s="39" t="str">
        <f>IFERROR(INDEX(Katalog!$B$3:$B$12,MATCH(cadangan[[#This Row],[ItemID C]],Katalog!$C$3:$C$12,0)),"-")</f>
        <v>-</v>
      </c>
      <c r="Z820" s="73">
        <f>IFERROR(INDEX(Katalog!$D$3:$D$12,MATCH(cadangan[[#This Row],[ItemID C]],Katalog!$C$3:$C$12,0))*cadangan[[#This Row],[Qty C]],0)</f>
        <v>0</v>
      </c>
      <c r="AA820" s="73">
        <f>IFERROR(cadangan[[#This Row],[Harga Normal C]]-(cadangan[[#This Row],[Harga Normal C]]*cadangan[[#This Row],[Diskon]]),cadangan[[#This Row],[Harga Normal C]])</f>
        <v>0</v>
      </c>
      <c r="AB820" s="73">
        <f>IFERROR(INDEX(Katalog!$F$3:$F$12,MATCH(cadangan[[#This Row],[ItemID C]],Katalog!$C$3:$C$12,0))*cadangan[[#This Row],[Qty C]],0)</f>
        <v>0</v>
      </c>
      <c r="AC820" s="73">
        <f>IFERROR(cadangan[[#This Row],[Harga Diskon C]]-INDEX(Katalog!$E$3:$E$12,MATCH(cadangan[[#This Row],[ItemID C]],Katalog!$C$3:$C$12,0))*cadangan[[#This Row],[Qty C]],0)</f>
        <v>0</v>
      </c>
      <c r="AD820" s="53">
        <f>cadangan[[#This Row],[Qty A]]+cadangan[[#This Row],[Qty B]]+cadangan[[#This Row],[Qty C]]</f>
        <v>7</v>
      </c>
      <c r="AE820" s="73">
        <f>cadangan[[#This Row],[Harga Normal A]]+cadangan[[#This Row],[Harga Normal B]]+cadangan[[#This Row],[Harga Normal C]]</f>
        <v>2300000</v>
      </c>
      <c r="AF820" s="73">
        <f>cadangan[[#This Row],[Harga Diskon A]]+cadangan[[#This Row],[Harga Diskon B]]+cadangan[[#This Row],[Harga Diskon C]]</f>
        <v>2070000</v>
      </c>
      <c r="AG820" s="73">
        <f>(cadangan[[#This Row],[Profit Normal A]]+cadangan[[#This Row],[Profit Normal B]]+cadangan[[#This Row],[Profit Normal C]])</f>
        <v>860000</v>
      </c>
      <c r="AH820" s="73">
        <f>cadangan[[#This Row],[Profit Diskon A]]+cadangan[[#This Row],[Profit Diskon B]]+cadangan[[#This Row],[Profit Diskon C]]</f>
        <v>630000</v>
      </c>
      <c r="AI820" s="23" t="s">
        <v>30</v>
      </c>
      <c r="AJ820" s="37">
        <f>IFERROR(INDEX('Kode Diskon'!$D$3:$D$9,MATCH(cadangan[[#This Row],[Kode diskon]],'Kode Diskon'!$C$3:$C$9,0)),"-")</f>
        <v>0.1</v>
      </c>
      <c r="AK820" s="23" t="s">
        <v>29</v>
      </c>
      <c r="AL820" s="23" t="s">
        <v>10</v>
      </c>
      <c r="AM820" s="23" t="s">
        <v>80</v>
      </c>
      <c r="AN820" s="55">
        <v>45022</v>
      </c>
      <c r="AO820" s="53">
        <f>DAY(cadangan[[#This Row],[Tanggal terjual]])</f>
        <v>6</v>
      </c>
      <c r="AP820" s="21" t="str">
        <f>TEXT(cadangan[[#This Row],[Tanggal terjual]],"dddd")</f>
        <v>Thursday</v>
      </c>
      <c r="AQ820" s="23" t="str" cm="1">
        <f t="array" ref="AQ8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20" s="61">
        <f>AVERAGE(cadangan[[#This Row],[Rating A]],cadangan[[#This Row],[Rating B]],cadangan[[#This Row],[Rating C]])</f>
        <v>3.5</v>
      </c>
    </row>
    <row r="821" spans="1:44" x14ac:dyDescent="0.2">
      <c r="A821" s="20">
        <v>820</v>
      </c>
      <c r="B821" s="21" t="str">
        <f>_xlfn.CONCAT("ORD-",INDEX(Helper!$B$2:$B$5,MATCH(cadangan[[#This Row],[Marketplace]],Helper!$A$2:$A$5,0)),TEXT(cadangan[[#This Row],[No]],"0000"),"-",TEXT(cadangan[[#This Row],[Tanggal terjual]],"dd/mm/yy"))</f>
        <v>ORD-BL0820-26/04/23</v>
      </c>
      <c r="C821" s="39" t="s">
        <v>61</v>
      </c>
      <c r="D821" s="39" t="str">
        <f>IFERROR(INDEX(Katalog!$A$3:$A$12,MATCH(cadangan[[#This Row],[ItemID A]],Katalog!$C$3:$C$12,0)),"-")</f>
        <v>Pakaian Pria</v>
      </c>
      <c r="E821" s="39" t="str">
        <f>IFERROR(INDEX(Katalog!$B$3:$B$12,MATCH(cadangan[[#This Row],[ItemID A]],Katalog!$C$3:$C$12,0)),"-")</f>
        <v>Kaos Polo</v>
      </c>
      <c r="F821" s="50">
        <v>3</v>
      </c>
      <c r="G821" s="50">
        <v>1</v>
      </c>
      <c r="H821" s="73">
        <f>IFERROR(INDEX(Katalog!$D$3:$D$12,MATCH(cadangan[[#This Row],[ItemID A]],Katalog!$C$3:$C$12,0))*cadangan[[#This Row],[Qty A]],0)</f>
        <v>600000</v>
      </c>
      <c r="I821" s="73">
        <f>IFERROR(cadangan[[#This Row],[Harga Normal A]]-(cadangan[[#This Row],[Harga Normal A]]*cadangan[[#This Row],[Diskon]]),cadangan[[#This Row],[Harga Normal A]])</f>
        <v>510000</v>
      </c>
      <c r="J821" s="73">
        <f>INDEX(Katalog!$F$3:$F$12,MATCH(cadangan[[#This Row],[ItemID A]],Katalog!$C$3:$C$12,0))*cadangan[[#This Row],[Qty A]]</f>
        <v>240000</v>
      </c>
      <c r="K821" s="73">
        <f>IFERROR(cadangan[[#This Row],[Harga Diskon A]]-INDEX(Katalog!$E$3:$E$12,MATCH(cadangan[[#This Row],[ItemID A]],Katalog!$C$3:$C$12,0))*cadangan[[#This Row],[Qty A]],0)</f>
        <v>150000</v>
      </c>
      <c r="L821" s="39" t="s">
        <v>62</v>
      </c>
      <c r="M821" s="39" t="str">
        <f>IFERROR(INDEX(Katalog!$A$3:$A$12,MATCH(cadangan[[#This Row],[ItemID B]],Katalog!$C$3:$C$12,0)),"-")</f>
        <v>Pakaian Pria</v>
      </c>
      <c r="N821" s="39" t="str">
        <f>IFERROR(INDEX(Katalog!$B$3:$B$12,MATCH(cadangan[[#This Row],[ItemID B]],Katalog!$C$3:$C$12,0)),"-")</f>
        <v>Celana Pendek</v>
      </c>
      <c r="O821" s="50">
        <v>1</v>
      </c>
      <c r="P821" s="50">
        <v>2</v>
      </c>
      <c r="Q821" s="73">
        <f>IFERROR(INDEX(Katalog!$D$3:$D$12,MATCH(cadangan[[#This Row],[ItemID B]],Katalog!$C$3:$C$12,0))*cadangan[[#This Row],[Qty B]],0)</f>
        <v>180000</v>
      </c>
      <c r="R821" s="73">
        <f>IFERROR(cadangan[[#This Row],[Harga Normal B]]-(cadangan[[#This Row],[Harga Normal B]]*cadangan[[#This Row],[Diskon]]),cadangan[[#This Row],[Harga Normal B]])</f>
        <v>153000</v>
      </c>
      <c r="S821" s="73">
        <f>IFERROR(INDEX(Katalog!$F$3:$F$12,MATCH(cadangan[[#This Row],[ItemID B]],Katalog!$C$3:$C$12,0))*cadangan[[#This Row],[Qty B]],0)</f>
        <v>70000</v>
      </c>
      <c r="T821" s="73">
        <f>IFERROR(cadangan[[#This Row],[Harga Diskon B]]-INDEX(Katalog!$E$3:$E$12,MATCH(cadangan[[#This Row],[ItemID B]],Katalog!$C$3:$C$12,0))*cadangan[[#This Row],[Qty B]],0)</f>
        <v>43000</v>
      </c>
      <c r="U821" s="39" t="s">
        <v>59</v>
      </c>
      <c r="V821" s="39" t="str">
        <f>IFERROR(INDEX(Katalog!$A$3:$A$12,MATCH(cadangan[[#This Row],[ItemID C]],Katalog!$C$3:$C$12,0)),"-")</f>
        <v>Pakaian Wanita</v>
      </c>
      <c r="W821" s="39" t="str">
        <f>IFERROR(INDEX(Katalog!$B$3:$B$12,MATCH(cadangan[[#This Row],[ItemID C]],Katalog!$C$3:$C$12,0)),"-")</f>
        <v>Blouse</v>
      </c>
      <c r="X821" s="50">
        <v>1</v>
      </c>
      <c r="Y821" s="50">
        <v>1</v>
      </c>
      <c r="Z821" s="73">
        <f>IFERROR(INDEX(Katalog!$D$3:$D$12,MATCH(cadangan[[#This Row],[ItemID C]],Katalog!$C$3:$C$12,0))*cadangan[[#This Row],[Qty C]],0)</f>
        <v>150000</v>
      </c>
      <c r="AA821" s="73">
        <f>IFERROR(cadangan[[#This Row],[Harga Normal C]]-(cadangan[[#This Row],[Harga Normal C]]*cadangan[[#This Row],[Diskon]]),cadangan[[#This Row],[Harga Normal C]])</f>
        <v>127500</v>
      </c>
      <c r="AB821" s="73">
        <f>IFERROR(INDEX(Katalog!$F$3:$F$12,MATCH(cadangan[[#This Row],[ItemID C]],Katalog!$C$3:$C$12,0))*cadangan[[#This Row],[Qty C]],0)</f>
        <v>50000</v>
      </c>
      <c r="AC821" s="73">
        <f>IFERROR(cadangan[[#This Row],[Harga Diskon C]]-INDEX(Katalog!$E$3:$E$12,MATCH(cadangan[[#This Row],[ItemID C]],Katalog!$C$3:$C$12,0))*cadangan[[#This Row],[Qty C]],0)</f>
        <v>27500</v>
      </c>
      <c r="AD821" s="53">
        <f>cadangan[[#This Row],[Qty A]]+cadangan[[#This Row],[Qty B]]+cadangan[[#This Row],[Qty C]]</f>
        <v>5</v>
      </c>
      <c r="AE821" s="73">
        <f>cadangan[[#This Row],[Harga Normal A]]+cadangan[[#This Row],[Harga Normal B]]+cadangan[[#This Row],[Harga Normal C]]</f>
        <v>930000</v>
      </c>
      <c r="AF821" s="73">
        <f>cadangan[[#This Row],[Harga Diskon A]]+cadangan[[#This Row],[Harga Diskon B]]+cadangan[[#This Row],[Harga Diskon C]]</f>
        <v>790500</v>
      </c>
      <c r="AG821" s="73">
        <f>(cadangan[[#This Row],[Profit Normal A]]+cadangan[[#This Row],[Profit Normal B]]+cadangan[[#This Row],[Profit Normal C]])</f>
        <v>360000</v>
      </c>
      <c r="AH821" s="73">
        <f>cadangan[[#This Row],[Profit Diskon A]]+cadangan[[#This Row],[Profit Diskon B]]+cadangan[[#This Row],[Profit Diskon C]]</f>
        <v>220500</v>
      </c>
      <c r="AI821" s="23" t="s">
        <v>32</v>
      </c>
      <c r="AJ821" s="37">
        <f>IFERROR(INDEX('Kode Diskon'!$D$3:$D$9,MATCH(cadangan[[#This Row],[Kode diskon]],'Kode Diskon'!$C$3:$C$9,0)),"-")</f>
        <v>0.15</v>
      </c>
      <c r="AK821" s="23" t="s">
        <v>9</v>
      </c>
      <c r="AL821" s="23" t="s">
        <v>12</v>
      </c>
      <c r="AM821" s="23" t="s">
        <v>80</v>
      </c>
      <c r="AN821" s="55">
        <v>45042</v>
      </c>
      <c r="AO821" s="53">
        <f>DAY(cadangan[[#This Row],[Tanggal terjual]])</f>
        <v>26</v>
      </c>
      <c r="AP821" s="21" t="str">
        <f>TEXT(cadangan[[#This Row],[Tanggal terjual]],"dddd")</f>
        <v>Wednesday</v>
      </c>
      <c r="AQ821" s="23" t="str" cm="1">
        <f t="array" ref="AQ8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21" s="61">
        <f>AVERAGE(cadangan[[#This Row],[Rating A]],cadangan[[#This Row],[Rating B]],cadangan[[#This Row],[Rating C]])</f>
        <v>1.3333333333333333</v>
      </c>
    </row>
    <row r="822" spans="1:44" x14ac:dyDescent="0.2">
      <c r="A822" s="20">
        <v>821</v>
      </c>
      <c r="B822" s="21" t="str">
        <f>_xlfn.CONCAT("ORD-",INDEX(Helper!$B$2:$B$5,MATCH(cadangan[[#This Row],[Marketplace]],Helper!$A$2:$A$5,0)),TEXT(cadangan[[#This Row],[No]],"0000"),"-",TEXT(cadangan[[#This Row],[Tanggal terjual]],"dd/mm/yy"))</f>
        <v>ORD-TK0821-22/04/23</v>
      </c>
      <c r="C822" s="39" t="s">
        <v>62</v>
      </c>
      <c r="D822" s="39" t="str">
        <f>IFERROR(INDEX(Katalog!$A$3:$A$12,MATCH(cadangan[[#This Row],[ItemID A]],Katalog!$C$3:$C$12,0)),"-")</f>
        <v>Pakaian Pria</v>
      </c>
      <c r="E822" s="39" t="str">
        <f>IFERROR(INDEX(Katalog!$B$3:$B$12,MATCH(cadangan[[#This Row],[ItemID A]],Katalog!$C$3:$C$12,0)),"-")</f>
        <v>Celana Pendek</v>
      </c>
      <c r="F822" s="50">
        <v>1</v>
      </c>
      <c r="G822" s="50">
        <v>1</v>
      </c>
      <c r="H822" s="73">
        <f>IFERROR(INDEX(Katalog!$D$3:$D$12,MATCH(cadangan[[#This Row],[ItemID A]],Katalog!$C$3:$C$12,0))*cadangan[[#This Row],[Qty A]],0)</f>
        <v>180000</v>
      </c>
      <c r="I822" s="73">
        <f>IFERROR(cadangan[[#This Row],[Harga Normal A]]-(cadangan[[#This Row],[Harga Normal A]]*cadangan[[#This Row],[Diskon]]),cadangan[[#This Row],[Harga Normal A]])</f>
        <v>162000</v>
      </c>
      <c r="J822" s="73">
        <f>INDEX(Katalog!$F$3:$F$12,MATCH(cadangan[[#This Row],[ItemID A]],Katalog!$C$3:$C$12,0))*cadangan[[#This Row],[Qty A]]</f>
        <v>70000</v>
      </c>
      <c r="K822" s="73">
        <f>IFERROR(cadangan[[#This Row],[Harga Diskon A]]-INDEX(Katalog!$E$3:$E$12,MATCH(cadangan[[#This Row],[ItemID A]],Katalog!$C$3:$C$12,0))*cadangan[[#This Row],[Qty A]],0)</f>
        <v>52000</v>
      </c>
      <c r="L822" s="39" t="s">
        <v>63</v>
      </c>
      <c r="M822" s="39" t="str">
        <f>IFERROR(INDEX(Katalog!$A$3:$A$12,MATCH(cadangan[[#This Row],[ItemID B]],Katalog!$C$3:$C$12,0)),"-")</f>
        <v>Pakaian Pria</v>
      </c>
      <c r="N822" s="39" t="str">
        <f>IFERROR(INDEX(Katalog!$B$3:$B$12,MATCH(cadangan[[#This Row],[ItemID B]],Katalog!$C$3:$C$12,0)),"-")</f>
        <v>Jaket Jeans</v>
      </c>
      <c r="O822" s="50">
        <v>1</v>
      </c>
      <c r="P822" s="50">
        <v>4</v>
      </c>
      <c r="Q822" s="73">
        <f>IFERROR(INDEX(Katalog!$D$3:$D$12,MATCH(cadangan[[#This Row],[ItemID B]],Katalog!$C$3:$C$12,0))*cadangan[[#This Row],[Qty B]],0)</f>
        <v>400000</v>
      </c>
      <c r="R822" s="73">
        <f>IFERROR(cadangan[[#This Row],[Harga Normal B]]-(cadangan[[#This Row],[Harga Normal B]]*cadangan[[#This Row],[Diskon]]),cadangan[[#This Row],[Harga Normal B]])</f>
        <v>360000</v>
      </c>
      <c r="S822" s="73">
        <f>IFERROR(INDEX(Katalog!$F$3:$F$12,MATCH(cadangan[[#This Row],[ItemID B]],Katalog!$C$3:$C$12,0))*cadangan[[#This Row],[Qty B]],0)</f>
        <v>150000</v>
      </c>
      <c r="T822" s="73">
        <f>IFERROR(cadangan[[#This Row],[Harga Diskon B]]-INDEX(Katalog!$E$3:$E$12,MATCH(cadangan[[#This Row],[ItemID B]],Katalog!$C$3:$C$12,0))*cadangan[[#This Row],[Qty B]],0)</f>
        <v>110000</v>
      </c>
      <c r="V822" s="39" t="str">
        <f>IFERROR(INDEX(Katalog!$A$3:$A$12,MATCH(cadangan[[#This Row],[ItemID C]],Katalog!$C$3:$C$12,0)),"-")</f>
        <v>-</v>
      </c>
      <c r="W822" s="39" t="str">
        <f>IFERROR(INDEX(Katalog!$B$3:$B$12,MATCH(cadangan[[#This Row],[ItemID C]],Katalog!$C$3:$C$12,0)),"-")</f>
        <v>-</v>
      </c>
      <c r="Z822" s="73">
        <f>IFERROR(INDEX(Katalog!$D$3:$D$12,MATCH(cadangan[[#This Row],[ItemID C]],Katalog!$C$3:$C$12,0))*cadangan[[#This Row],[Qty C]],0)</f>
        <v>0</v>
      </c>
      <c r="AA822" s="73">
        <f>IFERROR(cadangan[[#This Row],[Harga Normal C]]-(cadangan[[#This Row],[Harga Normal C]]*cadangan[[#This Row],[Diskon]]),cadangan[[#This Row],[Harga Normal C]])</f>
        <v>0</v>
      </c>
      <c r="AB822" s="73">
        <f>IFERROR(INDEX(Katalog!$F$3:$F$12,MATCH(cadangan[[#This Row],[ItemID C]],Katalog!$C$3:$C$12,0))*cadangan[[#This Row],[Qty C]],0)</f>
        <v>0</v>
      </c>
      <c r="AC822" s="73">
        <f>IFERROR(cadangan[[#This Row],[Harga Diskon C]]-INDEX(Katalog!$E$3:$E$12,MATCH(cadangan[[#This Row],[ItemID C]],Katalog!$C$3:$C$12,0))*cadangan[[#This Row],[Qty C]],0)</f>
        <v>0</v>
      </c>
      <c r="AD822" s="53">
        <f>cadangan[[#This Row],[Qty A]]+cadangan[[#This Row],[Qty B]]+cadangan[[#This Row],[Qty C]]</f>
        <v>2</v>
      </c>
      <c r="AE822" s="73">
        <f>cadangan[[#This Row],[Harga Normal A]]+cadangan[[#This Row],[Harga Normal B]]+cadangan[[#This Row],[Harga Normal C]]</f>
        <v>580000</v>
      </c>
      <c r="AF822" s="73">
        <f>cadangan[[#This Row],[Harga Diskon A]]+cadangan[[#This Row],[Harga Diskon B]]+cadangan[[#This Row],[Harga Diskon C]]</f>
        <v>522000</v>
      </c>
      <c r="AG822" s="73">
        <f>(cadangan[[#This Row],[Profit Normal A]]+cadangan[[#This Row],[Profit Normal B]]+cadangan[[#This Row],[Profit Normal C]])</f>
        <v>220000</v>
      </c>
      <c r="AH822" s="73">
        <f>cadangan[[#This Row],[Profit Diskon A]]+cadangan[[#This Row],[Profit Diskon B]]+cadangan[[#This Row],[Profit Diskon C]]</f>
        <v>162000</v>
      </c>
      <c r="AI822" s="23" t="s">
        <v>31</v>
      </c>
      <c r="AJ822" s="37">
        <f>IFERROR(INDEX('Kode Diskon'!$D$3:$D$9,MATCH(cadangan[[#This Row],[Kode diskon]],'Kode Diskon'!$C$3:$C$9,0)),"-")</f>
        <v>0.1</v>
      </c>
      <c r="AK822" s="23" t="s">
        <v>9</v>
      </c>
      <c r="AL822" s="23" t="s">
        <v>10</v>
      </c>
      <c r="AM822" s="23" t="s">
        <v>80</v>
      </c>
      <c r="AN822" s="55">
        <v>45038</v>
      </c>
      <c r="AO822" s="53">
        <f>DAY(cadangan[[#This Row],[Tanggal terjual]])</f>
        <v>22</v>
      </c>
      <c r="AP822" s="21" t="str">
        <f>TEXT(cadangan[[#This Row],[Tanggal terjual]],"dddd")</f>
        <v>Saturday</v>
      </c>
      <c r="AQ822" s="23" t="str" cm="1">
        <f t="array" ref="AQ8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22" s="61">
        <f>AVERAGE(cadangan[[#This Row],[Rating A]],cadangan[[#This Row],[Rating B]],cadangan[[#This Row],[Rating C]])</f>
        <v>2.5</v>
      </c>
    </row>
    <row r="823" spans="1:44" x14ac:dyDescent="0.2">
      <c r="A823" s="20">
        <v>822</v>
      </c>
      <c r="B823" s="21" t="str">
        <f>_xlfn.CONCAT("ORD-",INDEX(Helper!$B$2:$B$5,MATCH(cadangan[[#This Row],[Marketplace]],Helper!$A$2:$A$5,0)),TEXT(cadangan[[#This Row],[No]],"0000"),"-",TEXT(cadangan[[#This Row],[Tanggal terjual]],"dd/mm/yy"))</f>
        <v>ORD-TK0822-03/04/23</v>
      </c>
      <c r="C823" s="39" t="s">
        <v>63</v>
      </c>
      <c r="D823" s="39" t="str">
        <f>IFERROR(INDEX(Katalog!$A$3:$A$12,MATCH(cadangan[[#This Row],[ItemID A]],Katalog!$C$3:$C$12,0)),"-")</f>
        <v>Pakaian Pria</v>
      </c>
      <c r="E823" s="39" t="str">
        <f>IFERROR(INDEX(Katalog!$B$3:$B$12,MATCH(cadangan[[#This Row],[ItemID A]],Katalog!$C$3:$C$12,0)),"-")</f>
        <v>Jaket Jeans</v>
      </c>
      <c r="F823" s="50">
        <v>3</v>
      </c>
      <c r="G823" s="50">
        <v>4</v>
      </c>
      <c r="H823" s="73">
        <f>IFERROR(INDEX(Katalog!$D$3:$D$12,MATCH(cadangan[[#This Row],[ItemID A]],Katalog!$C$3:$C$12,0))*cadangan[[#This Row],[Qty A]],0)</f>
        <v>1200000</v>
      </c>
      <c r="I823" s="73">
        <f>IFERROR(cadangan[[#This Row],[Harga Normal A]]-(cadangan[[#This Row],[Harga Normal A]]*cadangan[[#This Row],[Diskon]]),cadangan[[#This Row],[Harga Normal A]])</f>
        <v>1080000</v>
      </c>
      <c r="J823" s="73">
        <f>INDEX(Katalog!$F$3:$F$12,MATCH(cadangan[[#This Row],[ItemID A]],Katalog!$C$3:$C$12,0))*cadangan[[#This Row],[Qty A]]</f>
        <v>450000</v>
      </c>
      <c r="K823" s="73">
        <f>IFERROR(cadangan[[#This Row],[Harga Diskon A]]-INDEX(Katalog!$E$3:$E$12,MATCH(cadangan[[#This Row],[ItemID A]],Katalog!$C$3:$C$12,0))*cadangan[[#This Row],[Qty A]],0)</f>
        <v>330000</v>
      </c>
      <c r="L823" s="39" t="s">
        <v>61</v>
      </c>
      <c r="M823" s="39" t="str">
        <f>IFERROR(INDEX(Katalog!$A$3:$A$12,MATCH(cadangan[[#This Row],[ItemID B]],Katalog!$C$3:$C$12,0)),"-")</f>
        <v>Pakaian Pria</v>
      </c>
      <c r="N823" s="39" t="str">
        <f>IFERROR(INDEX(Katalog!$B$3:$B$12,MATCH(cadangan[[#This Row],[ItemID B]],Katalog!$C$3:$C$12,0)),"-")</f>
        <v>Kaos Polo</v>
      </c>
      <c r="O823" s="50">
        <v>1</v>
      </c>
      <c r="P823" s="50">
        <v>4</v>
      </c>
      <c r="Q823" s="73">
        <f>IFERROR(INDEX(Katalog!$D$3:$D$12,MATCH(cadangan[[#This Row],[ItemID B]],Katalog!$C$3:$C$12,0))*cadangan[[#This Row],[Qty B]],0)</f>
        <v>200000</v>
      </c>
      <c r="R823" s="73">
        <f>IFERROR(cadangan[[#This Row],[Harga Normal B]]-(cadangan[[#This Row],[Harga Normal B]]*cadangan[[#This Row],[Diskon]]),cadangan[[#This Row],[Harga Normal B]])</f>
        <v>180000</v>
      </c>
      <c r="S823" s="73">
        <f>IFERROR(INDEX(Katalog!$F$3:$F$12,MATCH(cadangan[[#This Row],[ItemID B]],Katalog!$C$3:$C$12,0))*cadangan[[#This Row],[Qty B]],0)</f>
        <v>80000</v>
      </c>
      <c r="T823" s="73">
        <f>IFERROR(cadangan[[#This Row],[Harga Diskon B]]-INDEX(Katalog!$E$3:$E$12,MATCH(cadangan[[#This Row],[ItemID B]],Katalog!$C$3:$C$12,0))*cadangan[[#This Row],[Qty B]],0)</f>
        <v>60000</v>
      </c>
      <c r="U823" s="39" t="s">
        <v>61</v>
      </c>
      <c r="V823" s="39" t="str">
        <f>IFERROR(INDEX(Katalog!$A$3:$A$12,MATCH(cadangan[[#This Row],[ItemID C]],Katalog!$C$3:$C$12,0)),"-")</f>
        <v>Pakaian Pria</v>
      </c>
      <c r="W823" s="39" t="str">
        <f>IFERROR(INDEX(Katalog!$B$3:$B$12,MATCH(cadangan[[#This Row],[ItemID C]],Katalog!$C$3:$C$12,0)),"-")</f>
        <v>Kaos Polo</v>
      </c>
      <c r="X823" s="50">
        <v>1</v>
      </c>
      <c r="Y823" s="50">
        <v>2</v>
      </c>
      <c r="Z823" s="73">
        <f>IFERROR(INDEX(Katalog!$D$3:$D$12,MATCH(cadangan[[#This Row],[ItemID C]],Katalog!$C$3:$C$12,0))*cadangan[[#This Row],[Qty C]],0)</f>
        <v>200000</v>
      </c>
      <c r="AA823" s="73">
        <f>IFERROR(cadangan[[#This Row],[Harga Normal C]]-(cadangan[[#This Row],[Harga Normal C]]*cadangan[[#This Row],[Diskon]]),cadangan[[#This Row],[Harga Normal C]])</f>
        <v>180000</v>
      </c>
      <c r="AB823" s="73">
        <f>IFERROR(INDEX(Katalog!$F$3:$F$12,MATCH(cadangan[[#This Row],[ItemID C]],Katalog!$C$3:$C$12,0))*cadangan[[#This Row],[Qty C]],0)</f>
        <v>80000</v>
      </c>
      <c r="AC823" s="73">
        <f>IFERROR(cadangan[[#This Row],[Harga Diskon C]]-INDEX(Katalog!$E$3:$E$12,MATCH(cadangan[[#This Row],[ItemID C]],Katalog!$C$3:$C$12,0))*cadangan[[#This Row],[Qty C]],0)</f>
        <v>60000</v>
      </c>
      <c r="AD823" s="53">
        <f>cadangan[[#This Row],[Qty A]]+cadangan[[#This Row],[Qty B]]+cadangan[[#This Row],[Qty C]]</f>
        <v>5</v>
      </c>
      <c r="AE823" s="73">
        <f>cadangan[[#This Row],[Harga Normal A]]+cadangan[[#This Row],[Harga Normal B]]+cadangan[[#This Row],[Harga Normal C]]</f>
        <v>1600000</v>
      </c>
      <c r="AF823" s="73">
        <f>cadangan[[#This Row],[Harga Diskon A]]+cadangan[[#This Row],[Harga Diskon B]]+cadangan[[#This Row],[Harga Diskon C]]</f>
        <v>1440000</v>
      </c>
      <c r="AG823" s="73">
        <f>(cadangan[[#This Row],[Profit Normal A]]+cadangan[[#This Row],[Profit Normal B]]+cadangan[[#This Row],[Profit Normal C]])</f>
        <v>610000</v>
      </c>
      <c r="AH823" s="73">
        <f>cadangan[[#This Row],[Profit Diskon A]]+cadangan[[#This Row],[Profit Diskon B]]+cadangan[[#This Row],[Profit Diskon C]]</f>
        <v>450000</v>
      </c>
      <c r="AI823" s="23" t="s">
        <v>30</v>
      </c>
      <c r="AJ823" s="37">
        <f>IFERROR(INDEX('Kode Diskon'!$D$3:$D$9,MATCH(cadangan[[#This Row],[Kode diskon]],'Kode Diskon'!$C$3:$C$9,0)),"-")</f>
        <v>0.1</v>
      </c>
      <c r="AK823" s="23" t="s">
        <v>29</v>
      </c>
      <c r="AL823" s="23" t="s">
        <v>10</v>
      </c>
      <c r="AM823" s="23" t="s">
        <v>80</v>
      </c>
      <c r="AN823" s="55">
        <v>45019</v>
      </c>
      <c r="AO823" s="53">
        <f>DAY(cadangan[[#This Row],[Tanggal terjual]])</f>
        <v>3</v>
      </c>
      <c r="AP823" s="21" t="str">
        <f>TEXT(cadangan[[#This Row],[Tanggal terjual]],"dddd")</f>
        <v>Monday</v>
      </c>
      <c r="AQ823" s="23" t="str" cm="1">
        <f t="array" ref="AQ8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23" s="61">
        <f>AVERAGE(cadangan[[#This Row],[Rating A]],cadangan[[#This Row],[Rating B]],cadangan[[#This Row],[Rating C]])</f>
        <v>3.3333333333333335</v>
      </c>
    </row>
    <row r="824" spans="1:44" x14ac:dyDescent="0.2">
      <c r="A824" s="20">
        <v>823</v>
      </c>
      <c r="B824" s="21" t="str">
        <f>_xlfn.CONCAT("ORD-",INDEX(Helper!$B$2:$B$5,MATCH(cadangan[[#This Row],[Marketplace]],Helper!$A$2:$A$5,0)),TEXT(cadangan[[#This Row],[No]],"0000"),"-",TEXT(cadangan[[#This Row],[Tanggal terjual]],"dd/mm/yy"))</f>
        <v>ORD-SP0823-06/04/23</v>
      </c>
      <c r="C824" s="39" t="s">
        <v>59</v>
      </c>
      <c r="D824" s="39" t="str">
        <f>IFERROR(INDEX(Katalog!$A$3:$A$12,MATCH(cadangan[[#This Row],[ItemID A]],Katalog!$C$3:$C$12,0)),"-")</f>
        <v>Pakaian Wanita</v>
      </c>
      <c r="E824" s="39" t="str">
        <f>IFERROR(INDEX(Katalog!$B$3:$B$12,MATCH(cadangan[[#This Row],[ItemID A]],Katalog!$C$3:$C$12,0)),"-")</f>
        <v>Blouse</v>
      </c>
      <c r="F824" s="50">
        <v>2</v>
      </c>
      <c r="G824" s="50">
        <v>2</v>
      </c>
      <c r="H824" s="73">
        <f>IFERROR(INDEX(Katalog!$D$3:$D$12,MATCH(cadangan[[#This Row],[ItemID A]],Katalog!$C$3:$C$12,0))*cadangan[[#This Row],[Qty A]],0)</f>
        <v>300000</v>
      </c>
      <c r="I824" s="73">
        <f>IFERROR(cadangan[[#This Row],[Harga Normal A]]-(cadangan[[#This Row],[Harga Normal A]]*cadangan[[#This Row],[Diskon]]),cadangan[[#This Row],[Harga Normal A]])</f>
        <v>255000</v>
      </c>
      <c r="J824" s="73">
        <f>INDEX(Katalog!$F$3:$F$12,MATCH(cadangan[[#This Row],[ItemID A]],Katalog!$C$3:$C$12,0))*cadangan[[#This Row],[Qty A]]</f>
        <v>100000</v>
      </c>
      <c r="K824" s="73">
        <f>IFERROR(cadangan[[#This Row],[Harga Diskon A]]-INDEX(Katalog!$E$3:$E$12,MATCH(cadangan[[#This Row],[ItemID A]],Katalog!$C$3:$C$12,0))*cadangan[[#This Row],[Qty A]],0)</f>
        <v>55000</v>
      </c>
      <c r="L824" s="39" t="s">
        <v>67</v>
      </c>
      <c r="M824" s="39" t="str">
        <f>IFERROR(INDEX(Katalog!$A$3:$A$12,MATCH(cadangan[[#This Row],[ItemID B]],Katalog!$C$3:$C$12,0)),"-")</f>
        <v>Sepatu Wanita</v>
      </c>
      <c r="N824" s="39" t="str">
        <f>IFERROR(INDEX(Katalog!$B$3:$B$12,MATCH(cadangan[[#This Row],[ItemID B]],Katalog!$C$3:$C$12,0)),"-")</f>
        <v>Flat Shoes</v>
      </c>
      <c r="O824" s="50">
        <v>1</v>
      </c>
      <c r="P824" s="50">
        <v>1</v>
      </c>
      <c r="Q824" s="73">
        <f>IFERROR(INDEX(Katalog!$D$3:$D$12,MATCH(cadangan[[#This Row],[ItemID B]],Katalog!$C$3:$C$12,0))*cadangan[[#This Row],[Qty B]],0)</f>
        <v>250000</v>
      </c>
      <c r="R824" s="73">
        <f>IFERROR(cadangan[[#This Row],[Harga Normal B]]-(cadangan[[#This Row],[Harga Normal B]]*cadangan[[#This Row],[Diskon]]),cadangan[[#This Row],[Harga Normal B]])</f>
        <v>212500</v>
      </c>
      <c r="S824" s="73">
        <f>IFERROR(INDEX(Katalog!$F$3:$F$12,MATCH(cadangan[[#This Row],[ItemID B]],Katalog!$C$3:$C$12,0))*cadangan[[#This Row],[Qty B]],0)</f>
        <v>100000</v>
      </c>
      <c r="T824" s="73">
        <f>IFERROR(cadangan[[#This Row],[Harga Diskon B]]-INDEX(Katalog!$E$3:$E$12,MATCH(cadangan[[#This Row],[ItemID B]],Katalog!$C$3:$C$12,0))*cadangan[[#This Row],[Qty B]],0)</f>
        <v>62500</v>
      </c>
      <c r="U824" s="39" t="s">
        <v>61</v>
      </c>
      <c r="V824" s="39" t="str">
        <f>IFERROR(INDEX(Katalog!$A$3:$A$12,MATCH(cadangan[[#This Row],[ItemID C]],Katalog!$C$3:$C$12,0)),"-")</f>
        <v>Pakaian Pria</v>
      </c>
      <c r="W824" s="39" t="str">
        <f>IFERROR(INDEX(Katalog!$B$3:$B$12,MATCH(cadangan[[#This Row],[ItemID C]],Katalog!$C$3:$C$12,0)),"-")</f>
        <v>Kaos Polo</v>
      </c>
      <c r="X824" s="50">
        <v>4</v>
      </c>
      <c r="Y824" s="50">
        <v>2</v>
      </c>
      <c r="Z824" s="73">
        <f>IFERROR(INDEX(Katalog!$D$3:$D$12,MATCH(cadangan[[#This Row],[ItemID C]],Katalog!$C$3:$C$12,0))*cadangan[[#This Row],[Qty C]],0)</f>
        <v>800000</v>
      </c>
      <c r="AA824" s="73">
        <f>IFERROR(cadangan[[#This Row],[Harga Normal C]]-(cadangan[[#This Row],[Harga Normal C]]*cadangan[[#This Row],[Diskon]]),cadangan[[#This Row],[Harga Normal C]])</f>
        <v>680000</v>
      </c>
      <c r="AB824" s="73">
        <f>IFERROR(INDEX(Katalog!$F$3:$F$12,MATCH(cadangan[[#This Row],[ItemID C]],Katalog!$C$3:$C$12,0))*cadangan[[#This Row],[Qty C]],0)</f>
        <v>320000</v>
      </c>
      <c r="AC824" s="73">
        <f>IFERROR(cadangan[[#This Row],[Harga Diskon C]]-INDEX(Katalog!$E$3:$E$12,MATCH(cadangan[[#This Row],[ItemID C]],Katalog!$C$3:$C$12,0))*cadangan[[#This Row],[Qty C]],0)</f>
        <v>200000</v>
      </c>
      <c r="AD824" s="53">
        <f>cadangan[[#This Row],[Qty A]]+cadangan[[#This Row],[Qty B]]+cadangan[[#This Row],[Qty C]]</f>
        <v>7</v>
      </c>
      <c r="AE824" s="73">
        <f>cadangan[[#This Row],[Harga Normal A]]+cadangan[[#This Row],[Harga Normal B]]+cadangan[[#This Row],[Harga Normal C]]</f>
        <v>1350000</v>
      </c>
      <c r="AF824" s="73">
        <f>cadangan[[#This Row],[Harga Diskon A]]+cadangan[[#This Row],[Harga Diskon B]]+cadangan[[#This Row],[Harga Diskon C]]</f>
        <v>1147500</v>
      </c>
      <c r="AG824" s="73">
        <f>(cadangan[[#This Row],[Profit Normal A]]+cadangan[[#This Row],[Profit Normal B]]+cadangan[[#This Row],[Profit Normal C]])</f>
        <v>520000</v>
      </c>
      <c r="AH824" s="73">
        <f>cadangan[[#This Row],[Profit Diskon A]]+cadangan[[#This Row],[Profit Diskon B]]+cadangan[[#This Row],[Profit Diskon C]]</f>
        <v>317500</v>
      </c>
      <c r="AI824" s="23" t="s">
        <v>13</v>
      </c>
      <c r="AJ824" s="37">
        <f>IFERROR(INDEX('Kode Diskon'!$D$3:$D$9,MATCH(cadangan[[#This Row],[Kode diskon]],'Kode Diskon'!$C$3:$C$9,0)),"-")</f>
        <v>0.15</v>
      </c>
      <c r="AK824" s="23" t="s">
        <v>29</v>
      </c>
      <c r="AL824" s="23" t="s">
        <v>7</v>
      </c>
      <c r="AM824" s="23" t="s">
        <v>80</v>
      </c>
      <c r="AN824" s="55">
        <v>45022</v>
      </c>
      <c r="AO824" s="53">
        <f>DAY(cadangan[[#This Row],[Tanggal terjual]])</f>
        <v>6</v>
      </c>
      <c r="AP824" s="21" t="str">
        <f>TEXT(cadangan[[#This Row],[Tanggal terjual]],"dddd")</f>
        <v>Thursday</v>
      </c>
      <c r="AQ824" s="23" t="str" cm="1">
        <f t="array" ref="AQ8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24" s="61">
        <f>AVERAGE(cadangan[[#This Row],[Rating A]],cadangan[[#This Row],[Rating B]],cadangan[[#This Row],[Rating C]])</f>
        <v>1.6666666666666667</v>
      </c>
    </row>
    <row r="825" spans="1:44" x14ac:dyDescent="0.2">
      <c r="A825" s="20">
        <v>824</v>
      </c>
      <c r="B825" s="21" t="str">
        <f>_xlfn.CONCAT("ORD-",INDEX(Helper!$B$2:$B$5,MATCH(cadangan[[#This Row],[Marketplace]],Helper!$A$2:$A$5,0)),TEXT(cadangan[[#This Row],[No]],"0000"),"-",TEXT(cadangan[[#This Row],[Tanggal terjual]],"dd/mm/yy"))</f>
        <v>ORD-TK0824-27/04/23</v>
      </c>
      <c r="C825" s="39" t="s">
        <v>58</v>
      </c>
      <c r="D825" s="39" t="str">
        <f>IFERROR(INDEX(Katalog!$A$3:$A$12,MATCH(cadangan[[#This Row],[ItemID A]],Katalog!$C$3:$C$12,0)),"-")</f>
        <v>Pakaian Wanita</v>
      </c>
      <c r="E825" s="39" t="str">
        <f>IFERROR(INDEX(Katalog!$B$3:$B$12,MATCH(cadangan[[#This Row],[ItemID A]],Katalog!$C$3:$C$12,0)),"-")</f>
        <v>Dress</v>
      </c>
      <c r="F825" s="50">
        <v>1</v>
      </c>
      <c r="G825" s="50">
        <v>4</v>
      </c>
      <c r="H825" s="73">
        <f>IFERROR(INDEX(Katalog!$D$3:$D$12,MATCH(cadangan[[#This Row],[ItemID A]],Katalog!$C$3:$C$12,0))*cadangan[[#This Row],[Qty A]],0)</f>
        <v>300000</v>
      </c>
      <c r="I825" s="73">
        <f>IFERROR(cadangan[[#This Row],[Harga Normal A]]-(cadangan[[#This Row],[Harga Normal A]]*cadangan[[#This Row],[Diskon]]),cadangan[[#This Row],[Harga Normal A]])</f>
        <v>270000</v>
      </c>
      <c r="J825" s="73">
        <f>INDEX(Katalog!$F$3:$F$12,MATCH(cadangan[[#This Row],[ItemID A]],Katalog!$C$3:$C$12,0))*cadangan[[#This Row],[Qty A]]</f>
        <v>100000</v>
      </c>
      <c r="K825" s="73">
        <f>IFERROR(cadangan[[#This Row],[Harga Diskon A]]-INDEX(Katalog!$E$3:$E$12,MATCH(cadangan[[#This Row],[ItemID A]],Katalog!$C$3:$C$12,0))*cadangan[[#This Row],[Qty A]],0)</f>
        <v>70000</v>
      </c>
      <c r="M825" s="39" t="str">
        <f>IFERROR(INDEX(Katalog!$A$3:$A$12,MATCH(cadangan[[#This Row],[ItemID B]],Katalog!$C$3:$C$12,0)),"-")</f>
        <v>-</v>
      </c>
      <c r="N825" s="39" t="str">
        <f>IFERROR(INDEX(Katalog!$B$3:$B$12,MATCH(cadangan[[#This Row],[ItemID B]],Katalog!$C$3:$C$12,0)),"-")</f>
        <v>-</v>
      </c>
      <c r="Q825" s="73">
        <f>IFERROR(INDEX(Katalog!$D$3:$D$12,MATCH(cadangan[[#This Row],[ItemID B]],Katalog!$C$3:$C$12,0))*cadangan[[#This Row],[Qty B]],0)</f>
        <v>0</v>
      </c>
      <c r="R825" s="73">
        <f>IFERROR(cadangan[[#This Row],[Harga Normal B]]-(cadangan[[#This Row],[Harga Normal B]]*cadangan[[#This Row],[Diskon]]),cadangan[[#This Row],[Harga Normal B]])</f>
        <v>0</v>
      </c>
      <c r="S825" s="73">
        <f>IFERROR(INDEX(Katalog!$F$3:$F$12,MATCH(cadangan[[#This Row],[ItemID B]],Katalog!$C$3:$C$12,0))*cadangan[[#This Row],[Qty B]],0)</f>
        <v>0</v>
      </c>
      <c r="T825" s="73">
        <f>IFERROR(cadangan[[#This Row],[Harga Diskon B]]-INDEX(Katalog!$E$3:$E$12,MATCH(cadangan[[#This Row],[ItemID B]],Katalog!$C$3:$C$12,0))*cadangan[[#This Row],[Qty B]],0)</f>
        <v>0</v>
      </c>
      <c r="V825" s="39" t="str">
        <f>IFERROR(INDEX(Katalog!$A$3:$A$12,MATCH(cadangan[[#This Row],[ItemID C]],Katalog!$C$3:$C$12,0)),"-")</f>
        <v>-</v>
      </c>
      <c r="W825" s="39" t="str">
        <f>IFERROR(INDEX(Katalog!$B$3:$B$12,MATCH(cadangan[[#This Row],[ItemID C]],Katalog!$C$3:$C$12,0)),"-")</f>
        <v>-</v>
      </c>
      <c r="Z825" s="73">
        <f>IFERROR(INDEX(Katalog!$D$3:$D$12,MATCH(cadangan[[#This Row],[ItemID C]],Katalog!$C$3:$C$12,0))*cadangan[[#This Row],[Qty C]],0)</f>
        <v>0</v>
      </c>
      <c r="AA825" s="73">
        <f>IFERROR(cadangan[[#This Row],[Harga Normal C]]-(cadangan[[#This Row],[Harga Normal C]]*cadangan[[#This Row],[Diskon]]),cadangan[[#This Row],[Harga Normal C]])</f>
        <v>0</v>
      </c>
      <c r="AB825" s="73">
        <f>IFERROR(INDEX(Katalog!$F$3:$F$12,MATCH(cadangan[[#This Row],[ItemID C]],Katalog!$C$3:$C$12,0))*cadangan[[#This Row],[Qty C]],0)</f>
        <v>0</v>
      </c>
      <c r="AC825" s="73">
        <f>IFERROR(cadangan[[#This Row],[Harga Diskon C]]-INDEX(Katalog!$E$3:$E$12,MATCH(cadangan[[#This Row],[ItemID C]],Katalog!$C$3:$C$12,0))*cadangan[[#This Row],[Qty C]],0)</f>
        <v>0</v>
      </c>
      <c r="AD825" s="53">
        <f>cadangan[[#This Row],[Qty A]]+cadangan[[#This Row],[Qty B]]+cadangan[[#This Row],[Qty C]]</f>
        <v>1</v>
      </c>
      <c r="AE825" s="73">
        <f>cadangan[[#This Row],[Harga Normal A]]+cadangan[[#This Row],[Harga Normal B]]+cadangan[[#This Row],[Harga Normal C]]</f>
        <v>300000</v>
      </c>
      <c r="AF825" s="73">
        <f>cadangan[[#This Row],[Harga Diskon A]]+cadangan[[#This Row],[Harga Diskon B]]+cadangan[[#This Row],[Harga Diskon C]]</f>
        <v>270000</v>
      </c>
      <c r="AG825" s="73">
        <f>(cadangan[[#This Row],[Profit Normal A]]+cadangan[[#This Row],[Profit Normal B]]+cadangan[[#This Row],[Profit Normal C]])</f>
        <v>100000</v>
      </c>
      <c r="AH825" s="73">
        <f>cadangan[[#This Row],[Profit Diskon A]]+cadangan[[#This Row],[Profit Diskon B]]+cadangan[[#This Row],[Profit Diskon C]]</f>
        <v>70000</v>
      </c>
      <c r="AI825" s="23" t="s">
        <v>31</v>
      </c>
      <c r="AJ825" s="37">
        <f>IFERROR(INDEX('Kode Diskon'!$D$3:$D$9,MATCH(cadangan[[#This Row],[Kode diskon]],'Kode Diskon'!$C$3:$C$9,0)),"-")</f>
        <v>0.1</v>
      </c>
      <c r="AK825" s="23" t="s">
        <v>9</v>
      </c>
      <c r="AL825" s="23" t="s">
        <v>10</v>
      </c>
      <c r="AM825" s="23" t="s">
        <v>80</v>
      </c>
      <c r="AN825" s="55">
        <v>45043</v>
      </c>
      <c r="AO825" s="53">
        <f>DAY(cadangan[[#This Row],[Tanggal terjual]])</f>
        <v>27</v>
      </c>
      <c r="AP825" s="21" t="str">
        <f>TEXT(cadangan[[#This Row],[Tanggal terjual]],"dddd")</f>
        <v>Thursday</v>
      </c>
      <c r="AQ825" s="23" t="str" cm="1">
        <f t="array" ref="AQ8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25" s="61">
        <f>AVERAGE(cadangan[[#This Row],[Rating A]],cadangan[[#This Row],[Rating B]],cadangan[[#This Row],[Rating C]])</f>
        <v>4</v>
      </c>
    </row>
    <row r="826" spans="1:44" x14ac:dyDescent="0.2">
      <c r="A826" s="20">
        <v>825</v>
      </c>
      <c r="B826" s="21" t="str">
        <f>_xlfn.CONCAT("ORD-",INDEX(Helper!$B$2:$B$5,MATCH(cadangan[[#This Row],[Marketplace]],Helper!$A$2:$A$5,0)),TEXT(cadangan[[#This Row],[No]],"0000"),"-",TEXT(cadangan[[#This Row],[Tanggal terjual]],"dd/mm/yy"))</f>
        <v>ORD-BL0825-26/04/23</v>
      </c>
      <c r="C826" s="39" t="s">
        <v>67</v>
      </c>
      <c r="D826" s="39" t="str">
        <f>IFERROR(INDEX(Katalog!$A$3:$A$12,MATCH(cadangan[[#This Row],[ItemID A]],Katalog!$C$3:$C$12,0)),"-")</f>
        <v>Sepatu Wanita</v>
      </c>
      <c r="E826" s="39" t="str">
        <f>IFERROR(INDEX(Katalog!$B$3:$B$12,MATCH(cadangan[[#This Row],[ItemID A]],Katalog!$C$3:$C$12,0)),"-")</f>
        <v>Flat Shoes</v>
      </c>
      <c r="F826" s="50">
        <v>2</v>
      </c>
      <c r="G826" s="50">
        <v>2</v>
      </c>
      <c r="H826" s="73">
        <f>IFERROR(INDEX(Katalog!$D$3:$D$12,MATCH(cadangan[[#This Row],[ItemID A]],Katalog!$C$3:$C$12,0))*cadangan[[#This Row],[Qty A]],0)</f>
        <v>500000</v>
      </c>
      <c r="I826" s="73">
        <f>IFERROR(cadangan[[#This Row],[Harga Normal A]]-(cadangan[[#This Row],[Harga Normal A]]*cadangan[[#This Row],[Diskon]]),cadangan[[#This Row],[Harga Normal A]])</f>
        <v>425000</v>
      </c>
      <c r="J826" s="73">
        <f>INDEX(Katalog!$F$3:$F$12,MATCH(cadangan[[#This Row],[ItemID A]],Katalog!$C$3:$C$12,0))*cadangan[[#This Row],[Qty A]]</f>
        <v>200000</v>
      </c>
      <c r="K826" s="73">
        <f>IFERROR(cadangan[[#This Row],[Harga Diskon A]]-INDEX(Katalog!$E$3:$E$12,MATCH(cadangan[[#This Row],[ItemID A]],Katalog!$C$3:$C$12,0))*cadangan[[#This Row],[Qty A]],0)</f>
        <v>125000</v>
      </c>
      <c r="L826" s="39" t="s">
        <v>59</v>
      </c>
      <c r="M826" s="39" t="str">
        <f>IFERROR(INDEX(Katalog!$A$3:$A$12,MATCH(cadangan[[#This Row],[ItemID B]],Katalog!$C$3:$C$12,0)),"-")</f>
        <v>Pakaian Wanita</v>
      </c>
      <c r="N826" s="39" t="str">
        <f>IFERROR(INDEX(Katalog!$B$3:$B$12,MATCH(cadangan[[#This Row],[ItemID B]],Katalog!$C$3:$C$12,0)),"-")</f>
        <v>Blouse</v>
      </c>
      <c r="O826" s="50">
        <v>4</v>
      </c>
      <c r="P826" s="50">
        <v>1</v>
      </c>
      <c r="Q826" s="73">
        <f>IFERROR(INDEX(Katalog!$D$3:$D$12,MATCH(cadangan[[#This Row],[ItemID B]],Katalog!$C$3:$C$12,0))*cadangan[[#This Row],[Qty B]],0)</f>
        <v>600000</v>
      </c>
      <c r="R826" s="73">
        <f>IFERROR(cadangan[[#This Row],[Harga Normal B]]-(cadangan[[#This Row],[Harga Normal B]]*cadangan[[#This Row],[Diskon]]),cadangan[[#This Row],[Harga Normal B]])</f>
        <v>510000</v>
      </c>
      <c r="S826" s="73">
        <f>IFERROR(INDEX(Katalog!$F$3:$F$12,MATCH(cadangan[[#This Row],[ItemID B]],Katalog!$C$3:$C$12,0))*cadangan[[#This Row],[Qty B]],0)</f>
        <v>200000</v>
      </c>
      <c r="T826" s="73">
        <f>IFERROR(cadangan[[#This Row],[Harga Diskon B]]-INDEX(Katalog!$E$3:$E$12,MATCH(cadangan[[#This Row],[ItemID B]],Katalog!$C$3:$C$12,0))*cadangan[[#This Row],[Qty B]],0)</f>
        <v>110000</v>
      </c>
      <c r="V826" s="39" t="str">
        <f>IFERROR(INDEX(Katalog!$A$3:$A$12,MATCH(cadangan[[#This Row],[ItemID C]],Katalog!$C$3:$C$12,0)),"-")</f>
        <v>-</v>
      </c>
      <c r="W826" s="39" t="str">
        <f>IFERROR(INDEX(Katalog!$B$3:$B$12,MATCH(cadangan[[#This Row],[ItemID C]],Katalog!$C$3:$C$12,0)),"-")</f>
        <v>-</v>
      </c>
      <c r="Z826" s="73">
        <f>IFERROR(INDEX(Katalog!$D$3:$D$12,MATCH(cadangan[[#This Row],[ItemID C]],Katalog!$C$3:$C$12,0))*cadangan[[#This Row],[Qty C]],0)</f>
        <v>0</v>
      </c>
      <c r="AA826" s="73">
        <f>IFERROR(cadangan[[#This Row],[Harga Normal C]]-(cadangan[[#This Row],[Harga Normal C]]*cadangan[[#This Row],[Diskon]]),cadangan[[#This Row],[Harga Normal C]])</f>
        <v>0</v>
      </c>
      <c r="AB826" s="73">
        <f>IFERROR(INDEX(Katalog!$F$3:$F$12,MATCH(cadangan[[#This Row],[ItemID C]],Katalog!$C$3:$C$12,0))*cadangan[[#This Row],[Qty C]],0)</f>
        <v>0</v>
      </c>
      <c r="AC826" s="73">
        <f>IFERROR(cadangan[[#This Row],[Harga Diskon C]]-INDEX(Katalog!$E$3:$E$12,MATCH(cadangan[[#This Row],[ItemID C]],Katalog!$C$3:$C$12,0))*cadangan[[#This Row],[Qty C]],0)</f>
        <v>0</v>
      </c>
      <c r="AD826" s="53">
        <f>cadangan[[#This Row],[Qty A]]+cadangan[[#This Row],[Qty B]]+cadangan[[#This Row],[Qty C]]</f>
        <v>6</v>
      </c>
      <c r="AE826" s="73">
        <f>cadangan[[#This Row],[Harga Normal A]]+cadangan[[#This Row],[Harga Normal B]]+cadangan[[#This Row],[Harga Normal C]]</f>
        <v>1100000</v>
      </c>
      <c r="AF826" s="73">
        <f>cadangan[[#This Row],[Harga Diskon A]]+cadangan[[#This Row],[Harga Diskon B]]+cadangan[[#This Row],[Harga Diskon C]]</f>
        <v>935000</v>
      </c>
      <c r="AG826" s="73">
        <f>(cadangan[[#This Row],[Profit Normal A]]+cadangan[[#This Row],[Profit Normal B]]+cadangan[[#This Row],[Profit Normal C]])</f>
        <v>400000</v>
      </c>
      <c r="AH826" s="73">
        <f>cadangan[[#This Row],[Profit Diskon A]]+cadangan[[#This Row],[Profit Diskon B]]+cadangan[[#This Row],[Profit Diskon C]]</f>
        <v>235000</v>
      </c>
      <c r="AI826" s="23" t="s">
        <v>32</v>
      </c>
      <c r="AJ826" s="37">
        <f>IFERROR(INDEX('Kode Diskon'!$D$3:$D$9,MATCH(cadangan[[#This Row],[Kode diskon]],'Kode Diskon'!$C$3:$C$9,0)),"-")</f>
        <v>0.15</v>
      </c>
      <c r="AK826" s="23" t="s">
        <v>9</v>
      </c>
      <c r="AL826" s="23" t="s">
        <v>12</v>
      </c>
      <c r="AM826" s="23" t="s">
        <v>80</v>
      </c>
      <c r="AN826" s="55">
        <v>45042</v>
      </c>
      <c r="AO826" s="53">
        <f>DAY(cadangan[[#This Row],[Tanggal terjual]])</f>
        <v>26</v>
      </c>
      <c r="AP826" s="21" t="str">
        <f>TEXT(cadangan[[#This Row],[Tanggal terjual]],"dddd")</f>
        <v>Wednesday</v>
      </c>
      <c r="AQ826" s="23" t="str" cm="1">
        <f t="array" ref="AQ8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26" s="61">
        <f>AVERAGE(cadangan[[#This Row],[Rating A]],cadangan[[#This Row],[Rating B]],cadangan[[#This Row],[Rating C]])</f>
        <v>1.5</v>
      </c>
    </row>
    <row r="827" spans="1:44" x14ac:dyDescent="0.2">
      <c r="A827" s="20">
        <v>826</v>
      </c>
      <c r="B827" s="21" t="str">
        <f>_xlfn.CONCAT("ORD-",INDEX(Helper!$B$2:$B$5,MATCH(cadangan[[#This Row],[Marketplace]],Helper!$A$2:$A$5,0)),TEXT(cadangan[[#This Row],[No]],"0000"),"-",TEXT(cadangan[[#This Row],[Tanggal terjual]],"dd/mm/yy"))</f>
        <v>ORD-BL0826-27/04/23</v>
      </c>
      <c r="C827" s="39" t="s">
        <v>64</v>
      </c>
      <c r="D827" s="39" t="str">
        <f>IFERROR(INDEX(Katalog!$A$3:$A$12,MATCH(cadangan[[#This Row],[ItemID A]],Katalog!$C$3:$C$12,0)),"-")</f>
        <v>Pakaian Unisex</v>
      </c>
      <c r="E827" s="39" t="str">
        <f>IFERROR(INDEX(Katalog!$B$3:$B$12,MATCH(cadangan[[#This Row],[ItemID A]],Katalog!$C$3:$C$12,0)),"-")</f>
        <v>Jaket Hoodie</v>
      </c>
      <c r="F827" s="50">
        <v>4</v>
      </c>
      <c r="G827" s="50">
        <v>3</v>
      </c>
      <c r="H827" s="73">
        <f>IFERROR(INDEX(Katalog!$D$3:$D$12,MATCH(cadangan[[#This Row],[ItemID A]],Katalog!$C$3:$C$12,0))*cadangan[[#This Row],[Qty A]],0)</f>
        <v>1400000</v>
      </c>
      <c r="I827" s="73">
        <f>IFERROR(cadangan[[#This Row],[Harga Normal A]]-(cadangan[[#This Row],[Harga Normal A]]*cadangan[[#This Row],[Diskon]]),cadangan[[#This Row],[Harga Normal A]])</f>
        <v>1190000</v>
      </c>
      <c r="J827" s="73">
        <f>INDEX(Katalog!$F$3:$F$12,MATCH(cadangan[[#This Row],[ItemID A]],Katalog!$C$3:$C$12,0))*cadangan[[#This Row],[Qty A]]</f>
        <v>520000</v>
      </c>
      <c r="K827" s="73">
        <f>IFERROR(cadangan[[#This Row],[Harga Diskon A]]-INDEX(Katalog!$E$3:$E$12,MATCH(cadangan[[#This Row],[ItemID A]],Katalog!$C$3:$C$12,0))*cadangan[[#This Row],[Qty A]],0)</f>
        <v>310000</v>
      </c>
      <c r="L827" s="39" t="s">
        <v>59</v>
      </c>
      <c r="M827" s="39" t="str">
        <f>IFERROR(INDEX(Katalog!$A$3:$A$12,MATCH(cadangan[[#This Row],[ItemID B]],Katalog!$C$3:$C$12,0)),"-")</f>
        <v>Pakaian Wanita</v>
      </c>
      <c r="N827" s="39" t="str">
        <f>IFERROR(INDEX(Katalog!$B$3:$B$12,MATCH(cadangan[[#This Row],[ItemID B]],Katalog!$C$3:$C$12,0)),"-")</f>
        <v>Blouse</v>
      </c>
      <c r="O827" s="50">
        <v>1</v>
      </c>
      <c r="P827" s="50">
        <v>5</v>
      </c>
      <c r="Q827" s="73">
        <f>IFERROR(INDEX(Katalog!$D$3:$D$12,MATCH(cadangan[[#This Row],[ItemID B]],Katalog!$C$3:$C$12,0))*cadangan[[#This Row],[Qty B]],0)</f>
        <v>150000</v>
      </c>
      <c r="R827" s="73">
        <f>IFERROR(cadangan[[#This Row],[Harga Normal B]]-(cadangan[[#This Row],[Harga Normal B]]*cadangan[[#This Row],[Diskon]]),cadangan[[#This Row],[Harga Normal B]])</f>
        <v>127500</v>
      </c>
      <c r="S827" s="73">
        <f>IFERROR(INDEX(Katalog!$F$3:$F$12,MATCH(cadangan[[#This Row],[ItemID B]],Katalog!$C$3:$C$12,0))*cadangan[[#This Row],[Qty B]],0)</f>
        <v>50000</v>
      </c>
      <c r="T827" s="73">
        <f>IFERROR(cadangan[[#This Row],[Harga Diskon B]]-INDEX(Katalog!$E$3:$E$12,MATCH(cadangan[[#This Row],[ItemID B]],Katalog!$C$3:$C$12,0))*cadangan[[#This Row],[Qty B]],0)</f>
        <v>27500</v>
      </c>
      <c r="V827" s="39" t="str">
        <f>IFERROR(INDEX(Katalog!$A$3:$A$12,MATCH(cadangan[[#This Row],[ItemID C]],Katalog!$C$3:$C$12,0)),"-")</f>
        <v>-</v>
      </c>
      <c r="W827" s="39" t="str">
        <f>IFERROR(INDEX(Katalog!$B$3:$B$12,MATCH(cadangan[[#This Row],[ItemID C]],Katalog!$C$3:$C$12,0)),"-")</f>
        <v>-</v>
      </c>
      <c r="Z827" s="73">
        <f>IFERROR(INDEX(Katalog!$D$3:$D$12,MATCH(cadangan[[#This Row],[ItemID C]],Katalog!$C$3:$C$12,0))*cadangan[[#This Row],[Qty C]],0)</f>
        <v>0</v>
      </c>
      <c r="AA827" s="73">
        <f>IFERROR(cadangan[[#This Row],[Harga Normal C]]-(cadangan[[#This Row],[Harga Normal C]]*cadangan[[#This Row],[Diskon]]),cadangan[[#This Row],[Harga Normal C]])</f>
        <v>0</v>
      </c>
      <c r="AB827" s="73">
        <f>IFERROR(INDEX(Katalog!$F$3:$F$12,MATCH(cadangan[[#This Row],[ItemID C]],Katalog!$C$3:$C$12,0))*cadangan[[#This Row],[Qty C]],0)</f>
        <v>0</v>
      </c>
      <c r="AC827" s="73">
        <f>IFERROR(cadangan[[#This Row],[Harga Diskon C]]-INDEX(Katalog!$E$3:$E$12,MATCH(cadangan[[#This Row],[ItemID C]],Katalog!$C$3:$C$12,0))*cadangan[[#This Row],[Qty C]],0)</f>
        <v>0</v>
      </c>
      <c r="AD827" s="53">
        <f>cadangan[[#This Row],[Qty A]]+cadangan[[#This Row],[Qty B]]+cadangan[[#This Row],[Qty C]]</f>
        <v>5</v>
      </c>
      <c r="AE827" s="73">
        <f>cadangan[[#This Row],[Harga Normal A]]+cadangan[[#This Row],[Harga Normal B]]+cadangan[[#This Row],[Harga Normal C]]</f>
        <v>1550000</v>
      </c>
      <c r="AF827" s="73">
        <f>cadangan[[#This Row],[Harga Diskon A]]+cadangan[[#This Row],[Harga Diskon B]]+cadangan[[#This Row],[Harga Diskon C]]</f>
        <v>1317500</v>
      </c>
      <c r="AG827" s="73">
        <f>(cadangan[[#This Row],[Profit Normal A]]+cadangan[[#This Row],[Profit Normal B]]+cadangan[[#This Row],[Profit Normal C]])</f>
        <v>570000</v>
      </c>
      <c r="AH827" s="73">
        <f>cadangan[[#This Row],[Profit Diskon A]]+cadangan[[#This Row],[Profit Diskon B]]+cadangan[[#This Row],[Profit Diskon C]]</f>
        <v>337500</v>
      </c>
      <c r="AI827" s="23" t="s">
        <v>32</v>
      </c>
      <c r="AJ827" s="37">
        <f>IFERROR(INDEX('Kode Diskon'!$D$3:$D$9,MATCH(cadangan[[#This Row],[Kode diskon]],'Kode Diskon'!$C$3:$C$9,0)),"-")</f>
        <v>0.15</v>
      </c>
      <c r="AK827" s="23" t="s">
        <v>9</v>
      </c>
      <c r="AL827" s="23" t="s">
        <v>12</v>
      </c>
      <c r="AM827" s="23" t="s">
        <v>80</v>
      </c>
      <c r="AN827" s="55">
        <v>45043</v>
      </c>
      <c r="AO827" s="53">
        <f>DAY(cadangan[[#This Row],[Tanggal terjual]])</f>
        <v>27</v>
      </c>
      <c r="AP827" s="21" t="str">
        <f>TEXT(cadangan[[#This Row],[Tanggal terjual]],"dddd")</f>
        <v>Thursday</v>
      </c>
      <c r="AQ827" s="23" t="str" cm="1">
        <f t="array" ref="AQ8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27" s="61">
        <f>AVERAGE(cadangan[[#This Row],[Rating A]],cadangan[[#This Row],[Rating B]],cadangan[[#This Row],[Rating C]])</f>
        <v>4</v>
      </c>
    </row>
    <row r="828" spans="1:44" x14ac:dyDescent="0.2">
      <c r="A828" s="20">
        <v>827</v>
      </c>
      <c r="B828" s="21" t="str">
        <f>_xlfn.CONCAT("ORD-",INDEX(Helper!$B$2:$B$5,MATCH(cadangan[[#This Row],[Marketplace]],Helper!$A$2:$A$5,0)),TEXT(cadangan[[#This Row],[No]],"0000"),"-",TEXT(cadangan[[#This Row],[Tanggal terjual]],"dd/mm/yy"))</f>
        <v>ORD-SP0827-05/04/23</v>
      </c>
      <c r="C828" s="39" t="s">
        <v>61</v>
      </c>
      <c r="D828" s="39" t="str">
        <f>IFERROR(INDEX(Katalog!$A$3:$A$12,MATCH(cadangan[[#This Row],[ItemID A]],Katalog!$C$3:$C$12,0)),"-")</f>
        <v>Pakaian Pria</v>
      </c>
      <c r="E828" s="39" t="str">
        <f>IFERROR(INDEX(Katalog!$B$3:$B$12,MATCH(cadangan[[#This Row],[ItemID A]],Katalog!$C$3:$C$12,0)),"-")</f>
        <v>Kaos Polo</v>
      </c>
      <c r="F828" s="50">
        <v>1</v>
      </c>
      <c r="G828" s="50">
        <v>5</v>
      </c>
      <c r="H828" s="73">
        <f>IFERROR(INDEX(Katalog!$D$3:$D$12,MATCH(cadangan[[#This Row],[ItemID A]],Katalog!$C$3:$C$12,0))*cadangan[[#This Row],[Qty A]],0)</f>
        <v>200000</v>
      </c>
      <c r="I828" s="73">
        <f>IFERROR(cadangan[[#This Row],[Harga Normal A]]-(cadangan[[#This Row],[Harga Normal A]]*cadangan[[#This Row],[Diskon]]),cadangan[[#This Row],[Harga Normal A]])</f>
        <v>170000</v>
      </c>
      <c r="J828" s="73">
        <f>INDEX(Katalog!$F$3:$F$12,MATCH(cadangan[[#This Row],[ItemID A]],Katalog!$C$3:$C$12,0))*cadangan[[#This Row],[Qty A]]</f>
        <v>80000</v>
      </c>
      <c r="K828" s="73">
        <f>IFERROR(cadangan[[#This Row],[Harga Diskon A]]-INDEX(Katalog!$E$3:$E$12,MATCH(cadangan[[#This Row],[ItemID A]],Katalog!$C$3:$C$12,0))*cadangan[[#This Row],[Qty A]],0)</f>
        <v>50000</v>
      </c>
      <c r="M828" s="39" t="str">
        <f>IFERROR(INDEX(Katalog!$A$3:$A$12,MATCH(cadangan[[#This Row],[ItemID B]],Katalog!$C$3:$C$12,0)),"-")</f>
        <v>-</v>
      </c>
      <c r="N828" s="39" t="str">
        <f>IFERROR(INDEX(Katalog!$B$3:$B$12,MATCH(cadangan[[#This Row],[ItemID B]],Katalog!$C$3:$C$12,0)),"-")</f>
        <v>-</v>
      </c>
      <c r="Q828" s="73">
        <f>IFERROR(INDEX(Katalog!$D$3:$D$12,MATCH(cadangan[[#This Row],[ItemID B]],Katalog!$C$3:$C$12,0))*cadangan[[#This Row],[Qty B]],0)</f>
        <v>0</v>
      </c>
      <c r="R828" s="73">
        <f>IFERROR(cadangan[[#This Row],[Harga Normal B]]-(cadangan[[#This Row],[Harga Normal B]]*cadangan[[#This Row],[Diskon]]),cadangan[[#This Row],[Harga Normal B]])</f>
        <v>0</v>
      </c>
      <c r="S828" s="73">
        <f>IFERROR(INDEX(Katalog!$F$3:$F$12,MATCH(cadangan[[#This Row],[ItemID B]],Katalog!$C$3:$C$12,0))*cadangan[[#This Row],[Qty B]],0)</f>
        <v>0</v>
      </c>
      <c r="T828" s="73">
        <f>IFERROR(cadangan[[#This Row],[Harga Diskon B]]-INDEX(Katalog!$E$3:$E$12,MATCH(cadangan[[#This Row],[ItemID B]],Katalog!$C$3:$C$12,0))*cadangan[[#This Row],[Qty B]],0)</f>
        <v>0</v>
      </c>
      <c r="V828" s="39" t="str">
        <f>IFERROR(INDEX(Katalog!$A$3:$A$12,MATCH(cadangan[[#This Row],[ItemID C]],Katalog!$C$3:$C$12,0)),"-")</f>
        <v>-</v>
      </c>
      <c r="W828" s="39" t="str">
        <f>IFERROR(INDEX(Katalog!$B$3:$B$12,MATCH(cadangan[[#This Row],[ItemID C]],Katalog!$C$3:$C$12,0)),"-")</f>
        <v>-</v>
      </c>
      <c r="Z828" s="73">
        <f>IFERROR(INDEX(Katalog!$D$3:$D$12,MATCH(cadangan[[#This Row],[ItemID C]],Katalog!$C$3:$C$12,0))*cadangan[[#This Row],[Qty C]],0)</f>
        <v>0</v>
      </c>
      <c r="AA828" s="73">
        <f>IFERROR(cadangan[[#This Row],[Harga Normal C]]-(cadangan[[#This Row],[Harga Normal C]]*cadangan[[#This Row],[Diskon]]),cadangan[[#This Row],[Harga Normal C]])</f>
        <v>0</v>
      </c>
      <c r="AB828" s="73">
        <f>IFERROR(INDEX(Katalog!$F$3:$F$12,MATCH(cadangan[[#This Row],[ItemID C]],Katalog!$C$3:$C$12,0))*cadangan[[#This Row],[Qty C]],0)</f>
        <v>0</v>
      </c>
      <c r="AC828" s="73">
        <f>IFERROR(cadangan[[#This Row],[Harga Diskon C]]-INDEX(Katalog!$E$3:$E$12,MATCH(cadangan[[#This Row],[ItemID C]],Katalog!$C$3:$C$12,0))*cadangan[[#This Row],[Qty C]],0)</f>
        <v>0</v>
      </c>
      <c r="AD828" s="53">
        <f>cadangan[[#This Row],[Qty A]]+cadangan[[#This Row],[Qty B]]+cadangan[[#This Row],[Qty C]]</f>
        <v>1</v>
      </c>
      <c r="AE828" s="73">
        <f>cadangan[[#This Row],[Harga Normal A]]+cadangan[[#This Row],[Harga Normal B]]+cadangan[[#This Row],[Harga Normal C]]</f>
        <v>200000</v>
      </c>
      <c r="AF828" s="73">
        <f>cadangan[[#This Row],[Harga Diskon A]]+cadangan[[#This Row],[Harga Diskon B]]+cadangan[[#This Row],[Harga Diskon C]]</f>
        <v>170000</v>
      </c>
      <c r="AG828" s="73">
        <f>(cadangan[[#This Row],[Profit Normal A]]+cadangan[[#This Row],[Profit Normal B]]+cadangan[[#This Row],[Profit Normal C]])</f>
        <v>80000</v>
      </c>
      <c r="AH828" s="73">
        <f>cadangan[[#This Row],[Profit Diskon A]]+cadangan[[#This Row],[Profit Diskon B]]+cadangan[[#This Row],[Profit Diskon C]]</f>
        <v>50000</v>
      </c>
      <c r="AI828" s="23" t="s">
        <v>13</v>
      </c>
      <c r="AJ828" s="37">
        <f>IFERROR(INDEX('Kode Diskon'!$D$3:$D$9,MATCH(cadangan[[#This Row],[Kode diskon]],'Kode Diskon'!$C$3:$C$9,0)),"-")</f>
        <v>0.15</v>
      </c>
      <c r="AK828" s="23" t="s">
        <v>29</v>
      </c>
      <c r="AL828" s="23" t="s">
        <v>7</v>
      </c>
      <c r="AM828" s="23" t="s">
        <v>76</v>
      </c>
      <c r="AN828" s="55">
        <v>45021</v>
      </c>
      <c r="AO828" s="53">
        <f>DAY(cadangan[[#This Row],[Tanggal terjual]])</f>
        <v>5</v>
      </c>
      <c r="AP828" s="21" t="str">
        <f>TEXT(cadangan[[#This Row],[Tanggal terjual]],"dddd")</f>
        <v>Wednesday</v>
      </c>
      <c r="AQ828" s="23" t="str" cm="1">
        <f t="array" ref="AQ8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28" s="61">
        <f>AVERAGE(cadangan[[#This Row],[Rating A]],cadangan[[#This Row],[Rating B]],cadangan[[#This Row],[Rating C]])</f>
        <v>5</v>
      </c>
    </row>
    <row r="829" spans="1:44" x14ac:dyDescent="0.2">
      <c r="A829" s="20">
        <v>828</v>
      </c>
      <c r="B829" s="21" t="str">
        <f>_xlfn.CONCAT("ORD-",INDEX(Helper!$B$2:$B$5,MATCH(cadangan[[#This Row],[Marketplace]],Helper!$A$2:$A$5,0)),TEXT(cadangan[[#This Row],[No]],"0000"),"-",TEXT(cadangan[[#This Row],[Tanggal terjual]],"dd/mm/yy"))</f>
        <v>ORD-BL0828-13/04/23</v>
      </c>
      <c r="C829" s="39" t="s">
        <v>61</v>
      </c>
      <c r="D829" s="39" t="str">
        <f>IFERROR(INDEX(Katalog!$A$3:$A$12,MATCH(cadangan[[#This Row],[ItemID A]],Katalog!$C$3:$C$12,0)),"-")</f>
        <v>Pakaian Pria</v>
      </c>
      <c r="E829" s="39" t="str">
        <f>IFERROR(INDEX(Katalog!$B$3:$B$12,MATCH(cadangan[[#This Row],[ItemID A]],Katalog!$C$3:$C$12,0)),"-")</f>
        <v>Kaos Polo</v>
      </c>
      <c r="F829" s="50">
        <v>2</v>
      </c>
      <c r="G829" s="50">
        <v>2</v>
      </c>
      <c r="H829" s="73">
        <f>IFERROR(INDEX(Katalog!$D$3:$D$12,MATCH(cadangan[[#This Row],[ItemID A]],Katalog!$C$3:$C$12,0))*cadangan[[#This Row],[Qty A]],0)</f>
        <v>400000</v>
      </c>
      <c r="I829" s="73">
        <f>IFERROR(cadangan[[#This Row],[Harga Normal A]]-(cadangan[[#This Row],[Harga Normal A]]*cadangan[[#This Row],[Diskon]]),cadangan[[#This Row],[Harga Normal A]])</f>
        <v>400000</v>
      </c>
      <c r="J829" s="73">
        <f>INDEX(Katalog!$F$3:$F$12,MATCH(cadangan[[#This Row],[ItemID A]],Katalog!$C$3:$C$12,0))*cadangan[[#This Row],[Qty A]]</f>
        <v>160000</v>
      </c>
      <c r="K829" s="73">
        <f>IFERROR(cadangan[[#This Row],[Harga Diskon A]]-INDEX(Katalog!$E$3:$E$12,MATCH(cadangan[[#This Row],[ItemID A]],Katalog!$C$3:$C$12,0))*cadangan[[#This Row],[Qty A]],0)</f>
        <v>160000</v>
      </c>
      <c r="L829" s="39" t="s">
        <v>65</v>
      </c>
      <c r="M829" s="39" t="str">
        <f>IFERROR(INDEX(Katalog!$A$3:$A$12,MATCH(cadangan[[#This Row],[ItemID B]],Katalog!$C$3:$C$12,0)),"-")</f>
        <v>Sepatu Pria</v>
      </c>
      <c r="N829" s="39" t="str">
        <f>IFERROR(INDEX(Katalog!$B$3:$B$12,MATCH(cadangan[[#This Row],[ItemID B]],Katalog!$C$3:$C$12,0)),"-")</f>
        <v>Sneakers</v>
      </c>
      <c r="O829" s="50">
        <v>1</v>
      </c>
      <c r="P829" s="50">
        <v>5</v>
      </c>
      <c r="Q829" s="73">
        <f>IFERROR(INDEX(Katalog!$D$3:$D$12,MATCH(cadangan[[#This Row],[ItemID B]],Katalog!$C$3:$C$12,0))*cadangan[[#This Row],[Qty B]],0)</f>
        <v>500000</v>
      </c>
      <c r="R829" s="73">
        <f>IFERROR(cadangan[[#This Row],[Harga Normal B]]-(cadangan[[#This Row],[Harga Normal B]]*cadangan[[#This Row],[Diskon]]),cadangan[[#This Row],[Harga Normal B]])</f>
        <v>500000</v>
      </c>
      <c r="S829" s="73">
        <f>IFERROR(INDEX(Katalog!$F$3:$F$12,MATCH(cadangan[[#This Row],[ItemID B]],Katalog!$C$3:$C$12,0))*cadangan[[#This Row],[Qty B]],0)</f>
        <v>200000</v>
      </c>
      <c r="T829" s="73">
        <f>IFERROR(cadangan[[#This Row],[Harga Diskon B]]-INDEX(Katalog!$E$3:$E$12,MATCH(cadangan[[#This Row],[ItemID B]],Katalog!$C$3:$C$12,0))*cadangan[[#This Row],[Qty B]],0)</f>
        <v>200000</v>
      </c>
      <c r="V829" s="39" t="str">
        <f>IFERROR(INDEX(Katalog!$A$3:$A$12,MATCH(cadangan[[#This Row],[ItemID C]],Katalog!$C$3:$C$12,0)),"-")</f>
        <v>-</v>
      </c>
      <c r="W829" s="39" t="str">
        <f>IFERROR(INDEX(Katalog!$B$3:$B$12,MATCH(cadangan[[#This Row],[ItemID C]],Katalog!$C$3:$C$12,0)),"-")</f>
        <v>-</v>
      </c>
      <c r="Z829" s="73">
        <f>IFERROR(INDEX(Katalog!$D$3:$D$12,MATCH(cadangan[[#This Row],[ItemID C]],Katalog!$C$3:$C$12,0))*cadangan[[#This Row],[Qty C]],0)</f>
        <v>0</v>
      </c>
      <c r="AA829" s="73">
        <f>IFERROR(cadangan[[#This Row],[Harga Normal C]]-(cadangan[[#This Row],[Harga Normal C]]*cadangan[[#This Row],[Diskon]]),cadangan[[#This Row],[Harga Normal C]])</f>
        <v>0</v>
      </c>
      <c r="AB829" s="73">
        <f>IFERROR(INDEX(Katalog!$F$3:$F$12,MATCH(cadangan[[#This Row],[ItemID C]],Katalog!$C$3:$C$12,0))*cadangan[[#This Row],[Qty C]],0)</f>
        <v>0</v>
      </c>
      <c r="AC829" s="73">
        <f>IFERROR(cadangan[[#This Row],[Harga Diskon C]]-INDEX(Katalog!$E$3:$E$12,MATCH(cadangan[[#This Row],[ItemID C]],Katalog!$C$3:$C$12,0))*cadangan[[#This Row],[Qty C]],0)</f>
        <v>0</v>
      </c>
      <c r="AD829" s="53">
        <f>cadangan[[#This Row],[Qty A]]+cadangan[[#This Row],[Qty B]]+cadangan[[#This Row],[Qty C]]</f>
        <v>3</v>
      </c>
      <c r="AE829" s="73">
        <f>cadangan[[#This Row],[Harga Normal A]]+cadangan[[#This Row],[Harga Normal B]]+cadangan[[#This Row],[Harga Normal C]]</f>
        <v>900000</v>
      </c>
      <c r="AF829" s="73">
        <f>cadangan[[#This Row],[Harga Diskon A]]+cadangan[[#This Row],[Harga Diskon B]]+cadangan[[#This Row],[Harga Diskon C]]</f>
        <v>900000</v>
      </c>
      <c r="AG829" s="73">
        <f>(cadangan[[#This Row],[Profit Normal A]]+cadangan[[#This Row],[Profit Normal B]]+cadangan[[#This Row],[Profit Normal C]])</f>
        <v>360000</v>
      </c>
      <c r="AH829" s="73">
        <f>cadangan[[#This Row],[Profit Diskon A]]+cadangan[[#This Row],[Profit Diskon B]]+cadangan[[#This Row],[Profit Diskon C]]</f>
        <v>360000</v>
      </c>
      <c r="AI829" s="23" t="s">
        <v>290</v>
      </c>
      <c r="AJ829" s="37" t="str">
        <f>IFERROR(INDEX('Kode Diskon'!$D$3:$D$9,MATCH(cadangan[[#This Row],[Kode diskon]],'Kode Diskon'!$C$3:$C$9,0)),"-")</f>
        <v>-</v>
      </c>
      <c r="AK829" s="23" t="s">
        <v>290</v>
      </c>
      <c r="AL829" s="23" t="s">
        <v>12</v>
      </c>
      <c r="AM829" s="23" t="s">
        <v>80</v>
      </c>
      <c r="AN829" s="55">
        <v>45029</v>
      </c>
      <c r="AO829" s="53">
        <f>DAY(cadangan[[#This Row],[Tanggal terjual]])</f>
        <v>13</v>
      </c>
      <c r="AP829" s="21" t="str">
        <f>TEXT(cadangan[[#This Row],[Tanggal terjual]],"dddd")</f>
        <v>Thursday</v>
      </c>
      <c r="AQ829" s="23" t="str" cm="1">
        <f t="array" ref="AQ8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29" s="61">
        <f>AVERAGE(cadangan[[#This Row],[Rating A]],cadangan[[#This Row],[Rating B]],cadangan[[#This Row],[Rating C]])</f>
        <v>3.5</v>
      </c>
    </row>
    <row r="830" spans="1:44" x14ac:dyDescent="0.2">
      <c r="A830" s="20">
        <v>829</v>
      </c>
      <c r="B830" s="21" t="str">
        <f>_xlfn.CONCAT("ORD-",INDEX(Helper!$B$2:$B$5,MATCH(cadangan[[#This Row],[Marketplace]],Helper!$A$2:$A$5,0)),TEXT(cadangan[[#This Row],[No]],"0000"),"-",TEXT(cadangan[[#This Row],[Tanggal terjual]],"dd/mm/yy"))</f>
        <v>ORD-TK0829-24/04/23</v>
      </c>
      <c r="C830" s="39" t="s">
        <v>65</v>
      </c>
      <c r="D830" s="39" t="str">
        <f>IFERROR(INDEX(Katalog!$A$3:$A$12,MATCH(cadangan[[#This Row],[ItemID A]],Katalog!$C$3:$C$12,0)),"-")</f>
        <v>Sepatu Pria</v>
      </c>
      <c r="E830" s="39" t="str">
        <f>IFERROR(INDEX(Katalog!$B$3:$B$12,MATCH(cadangan[[#This Row],[ItemID A]],Katalog!$C$3:$C$12,0)),"-")</f>
        <v>Sneakers</v>
      </c>
      <c r="F830" s="50">
        <v>1</v>
      </c>
      <c r="G830" s="50">
        <v>4</v>
      </c>
      <c r="H830" s="73">
        <f>IFERROR(INDEX(Katalog!$D$3:$D$12,MATCH(cadangan[[#This Row],[ItemID A]],Katalog!$C$3:$C$12,0))*cadangan[[#This Row],[Qty A]],0)</f>
        <v>500000</v>
      </c>
      <c r="I830" s="73">
        <f>IFERROR(cadangan[[#This Row],[Harga Normal A]]-(cadangan[[#This Row],[Harga Normal A]]*cadangan[[#This Row],[Diskon]]),cadangan[[#This Row],[Harga Normal A]])</f>
        <v>450000</v>
      </c>
      <c r="J830" s="73">
        <f>INDEX(Katalog!$F$3:$F$12,MATCH(cadangan[[#This Row],[ItemID A]],Katalog!$C$3:$C$12,0))*cadangan[[#This Row],[Qty A]]</f>
        <v>200000</v>
      </c>
      <c r="K830" s="73">
        <f>IFERROR(cadangan[[#This Row],[Harga Diskon A]]-INDEX(Katalog!$E$3:$E$12,MATCH(cadangan[[#This Row],[ItemID A]],Katalog!$C$3:$C$12,0))*cadangan[[#This Row],[Qty A]],0)</f>
        <v>150000</v>
      </c>
      <c r="L830" s="39" t="s">
        <v>64</v>
      </c>
      <c r="M830" s="39" t="str">
        <f>IFERROR(INDEX(Katalog!$A$3:$A$12,MATCH(cadangan[[#This Row],[ItemID B]],Katalog!$C$3:$C$12,0)),"-")</f>
        <v>Pakaian Unisex</v>
      </c>
      <c r="N830" s="39" t="str">
        <f>IFERROR(INDEX(Katalog!$B$3:$B$12,MATCH(cadangan[[#This Row],[ItemID B]],Katalog!$C$3:$C$12,0)),"-")</f>
        <v>Jaket Hoodie</v>
      </c>
      <c r="O830" s="50">
        <v>1</v>
      </c>
      <c r="P830" s="50">
        <v>2</v>
      </c>
      <c r="Q830" s="73">
        <f>IFERROR(INDEX(Katalog!$D$3:$D$12,MATCH(cadangan[[#This Row],[ItemID B]],Katalog!$C$3:$C$12,0))*cadangan[[#This Row],[Qty B]],0)</f>
        <v>350000</v>
      </c>
      <c r="R830" s="73">
        <f>IFERROR(cadangan[[#This Row],[Harga Normal B]]-(cadangan[[#This Row],[Harga Normal B]]*cadangan[[#This Row],[Diskon]]),cadangan[[#This Row],[Harga Normal B]])</f>
        <v>315000</v>
      </c>
      <c r="S830" s="73">
        <f>IFERROR(INDEX(Katalog!$F$3:$F$12,MATCH(cadangan[[#This Row],[ItemID B]],Katalog!$C$3:$C$12,0))*cadangan[[#This Row],[Qty B]],0)</f>
        <v>130000</v>
      </c>
      <c r="T830" s="73">
        <f>IFERROR(cadangan[[#This Row],[Harga Diskon B]]-INDEX(Katalog!$E$3:$E$12,MATCH(cadangan[[#This Row],[ItemID B]],Katalog!$C$3:$C$12,0))*cadangan[[#This Row],[Qty B]],0)</f>
        <v>95000</v>
      </c>
      <c r="U830" s="39" t="s">
        <v>66</v>
      </c>
      <c r="V830" s="39" t="str">
        <f>IFERROR(INDEX(Katalog!$A$3:$A$12,MATCH(cadangan[[#This Row],[ItemID C]],Katalog!$C$3:$C$12,0)),"-")</f>
        <v>Sepatu Pria</v>
      </c>
      <c r="W830" s="39" t="str">
        <f>IFERROR(INDEX(Katalog!$B$3:$B$12,MATCH(cadangan[[#This Row],[ItemID C]],Katalog!$C$3:$C$12,0)),"-")</f>
        <v>Sandal Slip On</v>
      </c>
      <c r="X830" s="50">
        <v>1</v>
      </c>
      <c r="Y830" s="50">
        <v>2</v>
      </c>
      <c r="Z830" s="73">
        <f>IFERROR(INDEX(Katalog!$D$3:$D$12,MATCH(cadangan[[#This Row],[ItemID C]],Katalog!$C$3:$C$12,0))*cadangan[[#This Row],[Qty C]],0)</f>
        <v>150000</v>
      </c>
      <c r="AA830" s="73">
        <f>IFERROR(cadangan[[#This Row],[Harga Normal C]]-(cadangan[[#This Row],[Harga Normal C]]*cadangan[[#This Row],[Diskon]]),cadangan[[#This Row],[Harga Normal C]])</f>
        <v>135000</v>
      </c>
      <c r="AB830" s="73">
        <f>IFERROR(INDEX(Katalog!$F$3:$F$12,MATCH(cadangan[[#This Row],[ItemID C]],Katalog!$C$3:$C$12,0))*cadangan[[#This Row],[Qty C]],0)</f>
        <v>60000</v>
      </c>
      <c r="AC830" s="73">
        <f>IFERROR(cadangan[[#This Row],[Harga Diskon C]]-INDEX(Katalog!$E$3:$E$12,MATCH(cadangan[[#This Row],[ItemID C]],Katalog!$C$3:$C$12,0))*cadangan[[#This Row],[Qty C]],0)</f>
        <v>45000</v>
      </c>
      <c r="AD830" s="53">
        <f>cadangan[[#This Row],[Qty A]]+cadangan[[#This Row],[Qty B]]+cadangan[[#This Row],[Qty C]]</f>
        <v>3</v>
      </c>
      <c r="AE830" s="73">
        <f>cadangan[[#This Row],[Harga Normal A]]+cadangan[[#This Row],[Harga Normal B]]+cadangan[[#This Row],[Harga Normal C]]</f>
        <v>1000000</v>
      </c>
      <c r="AF830" s="73">
        <f>cadangan[[#This Row],[Harga Diskon A]]+cadangan[[#This Row],[Harga Diskon B]]+cadangan[[#This Row],[Harga Diskon C]]</f>
        <v>900000</v>
      </c>
      <c r="AG830" s="73">
        <f>(cadangan[[#This Row],[Profit Normal A]]+cadangan[[#This Row],[Profit Normal B]]+cadangan[[#This Row],[Profit Normal C]])</f>
        <v>390000</v>
      </c>
      <c r="AH830" s="73">
        <f>cadangan[[#This Row],[Profit Diskon A]]+cadangan[[#This Row],[Profit Diskon B]]+cadangan[[#This Row],[Profit Diskon C]]</f>
        <v>290000</v>
      </c>
      <c r="AI830" s="23" t="s">
        <v>31</v>
      </c>
      <c r="AJ830" s="37">
        <f>IFERROR(INDEX('Kode Diskon'!$D$3:$D$9,MATCH(cadangan[[#This Row],[Kode diskon]],'Kode Diskon'!$C$3:$C$9,0)),"-")</f>
        <v>0.1</v>
      </c>
      <c r="AK830" s="23" t="s">
        <v>9</v>
      </c>
      <c r="AL830" s="23" t="s">
        <v>10</v>
      </c>
      <c r="AM830" s="23" t="s">
        <v>76</v>
      </c>
      <c r="AN830" s="55">
        <v>45040</v>
      </c>
      <c r="AO830" s="53">
        <f>DAY(cadangan[[#This Row],[Tanggal terjual]])</f>
        <v>24</v>
      </c>
      <c r="AP830" s="21" t="str">
        <f>TEXT(cadangan[[#This Row],[Tanggal terjual]],"dddd")</f>
        <v>Monday</v>
      </c>
      <c r="AQ830" s="23" t="str" cm="1">
        <f t="array" ref="AQ8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30" s="61">
        <f>AVERAGE(cadangan[[#This Row],[Rating A]],cadangan[[#This Row],[Rating B]],cadangan[[#This Row],[Rating C]])</f>
        <v>2.6666666666666665</v>
      </c>
    </row>
    <row r="831" spans="1:44" x14ac:dyDescent="0.2">
      <c r="A831" s="20">
        <v>830</v>
      </c>
      <c r="B831" s="21" t="str">
        <f>_xlfn.CONCAT("ORD-",INDEX(Helper!$B$2:$B$5,MATCH(cadangan[[#This Row],[Marketplace]],Helper!$A$2:$A$5,0)),TEXT(cadangan[[#This Row],[No]],"0000"),"-",TEXT(cadangan[[#This Row],[Tanggal terjual]],"dd/mm/yy"))</f>
        <v>ORD-BB0830-15/04/23</v>
      </c>
      <c r="C831" s="39" t="s">
        <v>64</v>
      </c>
      <c r="D831" s="39" t="str">
        <f>IFERROR(INDEX(Katalog!$A$3:$A$12,MATCH(cadangan[[#This Row],[ItemID A]],Katalog!$C$3:$C$12,0)),"-")</f>
        <v>Pakaian Unisex</v>
      </c>
      <c r="E831" s="39" t="str">
        <f>IFERROR(INDEX(Katalog!$B$3:$B$12,MATCH(cadangan[[#This Row],[ItemID A]],Katalog!$C$3:$C$12,0)),"-")</f>
        <v>Jaket Hoodie</v>
      </c>
      <c r="F831" s="50">
        <v>3</v>
      </c>
      <c r="G831" s="50">
        <v>1</v>
      </c>
      <c r="H831" s="73">
        <f>IFERROR(INDEX(Katalog!$D$3:$D$12,MATCH(cadangan[[#This Row],[ItemID A]],Katalog!$C$3:$C$12,0))*cadangan[[#This Row],[Qty A]],0)</f>
        <v>1050000</v>
      </c>
      <c r="I831" s="73">
        <f>IFERROR(cadangan[[#This Row],[Harga Normal A]]-(cadangan[[#This Row],[Harga Normal A]]*cadangan[[#This Row],[Diskon]]),cadangan[[#This Row],[Harga Normal A]])</f>
        <v>1050000</v>
      </c>
      <c r="J831" s="73">
        <f>INDEX(Katalog!$F$3:$F$12,MATCH(cadangan[[#This Row],[ItemID A]],Katalog!$C$3:$C$12,0))*cadangan[[#This Row],[Qty A]]</f>
        <v>390000</v>
      </c>
      <c r="K831" s="73">
        <f>IFERROR(cadangan[[#This Row],[Harga Diskon A]]-INDEX(Katalog!$E$3:$E$12,MATCH(cadangan[[#This Row],[ItemID A]],Katalog!$C$3:$C$12,0))*cadangan[[#This Row],[Qty A]],0)</f>
        <v>390000</v>
      </c>
      <c r="L831" s="39" t="s">
        <v>66</v>
      </c>
      <c r="M831" s="39" t="str">
        <f>IFERROR(INDEX(Katalog!$A$3:$A$12,MATCH(cadangan[[#This Row],[ItemID B]],Katalog!$C$3:$C$12,0)),"-")</f>
        <v>Sepatu Pria</v>
      </c>
      <c r="N831" s="39" t="str">
        <f>IFERROR(INDEX(Katalog!$B$3:$B$12,MATCH(cadangan[[#This Row],[ItemID B]],Katalog!$C$3:$C$12,0)),"-")</f>
        <v>Sandal Slip On</v>
      </c>
      <c r="O831" s="50">
        <v>2</v>
      </c>
      <c r="P831" s="50">
        <v>4</v>
      </c>
      <c r="Q831" s="73">
        <f>IFERROR(INDEX(Katalog!$D$3:$D$12,MATCH(cadangan[[#This Row],[ItemID B]],Katalog!$C$3:$C$12,0))*cadangan[[#This Row],[Qty B]],0)</f>
        <v>300000</v>
      </c>
      <c r="R831" s="73">
        <f>IFERROR(cadangan[[#This Row],[Harga Normal B]]-(cadangan[[#This Row],[Harga Normal B]]*cadangan[[#This Row],[Diskon]]),cadangan[[#This Row],[Harga Normal B]])</f>
        <v>300000</v>
      </c>
      <c r="S831" s="73">
        <f>IFERROR(INDEX(Katalog!$F$3:$F$12,MATCH(cadangan[[#This Row],[ItemID B]],Katalog!$C$3:$C$12,0))*cadangan[[#This Row],[Qty B]],0)</f>
        <v>120000</v>
      </c>
      <c r="T831" s="73">
        <f>IFERROR(cadangan[[#This Row],[Harga Diskon B]]-INDEX(Katalog!$E$3:$E$12,MATCH(cadangan[[#This Row],[ItemID B]],Katalog!$C$3:$C$12,0))*cadangan[[#This Row],[Qty B]],0)</f>
        <v>120000</v>
      </c>
      <c r="U831" s="39" t="s">
        <v>60</v>
      </c>
      <c r="V831" s="39" t="str">
        <f>IFERROR(INDEX(Katalog!$A$3:$A$12,MATCH(cadangan[[#This Row],[ItemID C]],Katalog!$C$3:$C$12,0)),"-")</f>
        <v>Pakaian Wanita</v>
      </c>
      <c r="W831" s="39" t="str">
        <f>IFERROR(INDEX(Katalog!$B$3:$B$12,MATCH(cadangan[[#This Row],[ItemID C]],Katalog!$C$3:$C$12,0)),"-")</f>
        <v>Kaftan</v>
      </c>
      <c r="X831" s="50">
        <v>1</v>
      </c>
      <c r="Y831" s="50">
        <v>5</v>
      </c>
      <c r="Z831" s="73">
        <f>IFERROR(INDEX(Katalog!$D$3:$D$12,MATCH(cadangan[[#This Row],[ItemID C]],Katalog!$C$3:$C$12,0))*cadangan[[#This Row],[Qty C]],0)</f>
        <v>250000</v>
      </c>
      <c r="AA831" s="73">
        <f>IFERROR(cadangan[[#This Row],[Harga Normal C]]-(cadangan[[#This Row],[Harga Normal C]]*cadangan[[#This Row],[Diskon]]),cadangan[[#This Row],[Harga Normal C]])</f>
        <v>250000</v>
      </c>
      <c r="AB831" s="73">
        <f>IFERROR(INDEX(Katalog!$F$3:$F$12,MATCH(cadangan[[#This Row],[ItemID C]],Katalog!$C$3:$C$12,0))*cadangan[[#This Row],[Qty C]],0)</f>
        <v>100000</v>
      </c>
      <c r="AC831" s="73">
        <f>IFERROR(cadangan[[#This Row],[Harga Diskon C]]-INDEX(Katalog!$E$3:$E$12,MATCH(cadangan[[#This Row],[ItemID C]],Katalog!$C$3:$C$12,0))*cadangan[[#This Row],[Qty C]],0)</f>
        <v>100000</v>
      </c>
      <c r="AD831" s="53">
        <f>cadangan[[#This Row],[Qty A]]+cadangan[[#This Row],[Qty B]]+cadangan[[#This Row],[Qty C]]</f>
        <v>6</v>
      </c>
      <c r="AE831" s="73">
        <f>cadangan[[#This Row],[Harga Normal A]]+cadangan[[#This Row],[Harga Normal B]]+cadangan[[#This Row],[Harga Normal C]]</f>
        <v>1600000</v>
      </c>
      <c r="AF831" s="73">
        <f>cadangan[[#This Row],[Harga Diskon A]]+cadangan[[#This Row],[Harga Diskon B]]+cadangan[[#This Row],[Harga Diskon C]]</f>
        <v>1600000</v>
      </c>
      <c r="AG831" s="73">
        <f>(cadangan[[#This Row],[Profit Normal A]]+cadangan[[#This Row],[Profit Normal B]]+cadangan[[#This Row],[Profit Normal C]])</f>
        <v>610000</v>
      </c>
      <c r="AH831" s="73">
        <f>cadangan[[#This Row],[Profit Diskon A]]+cadangan[[#This Row],[Profit Diskon B]]+cadangan[[#This Row],[Profit Diskon C]]</f>
        <v>610000</v>
      </c>
      <c r="AI831" s="23" t="s">
        <v>290</v>
      </c>
      <c r="AJ831" s="37" t="str">
        <f>IFERROR(INDEX('Kode Diskon'!$D$3:$D$9,MATCH(cadangan[[#This Row],[Kode diskon]],'Kode Diskon'!$C$3:$C$9,0)),"-")</f>
        <v>-</v>
      </c>
      <c r="AK831" s="23" t="s">
        <v>290</v>
      </c>
      <c r="AL831" s="23" t="s">
        <v>14</v>
      </c>
      <c r="AM831" s="23" t="s">
        <v>78</v>
      </c>
      <c r="AN831" s="55">
        <v>45031</v>
      </c>
      <c r="AO831" s="53">
        <f>DAY(cadangan[[#This Row],[Tanggal terjual]])</f>
        <v>15</v>
      </c>
      <c r="AP831" s="21" t="str">
        <f>TEXT(cadangan[[#This Row],[Tanggal terjual]],"dddd")</f>
        <v>Saturday</v>
      </c>
      <c r="AQ831" s="23" t="str" cm="1">
        <f t="array" ref="AQ8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31" s="61">
        <f>AVERAGE(cadangan[[#This Row],[Rating A]],cadangan[[#This Row],[Rating B]],cadangan[[#This Row],[Rating C]])</f>
        <v>3.3333333333333335</v>
      </c>
    </row>
    <row r="832" spans="1:44" x14ac:dyDescent="0.2">
      <c r="A832" s="20">
        <v>831</v>
      </c>
      <c r="B832" s="21" t="str">
        <f>_xlfn.CONCAT("ORD-",INDEX(Helper!$B$2:$B$5,MATCH(cadangan[[#This Row],[Marketplace]],Helper!$A$2:$A$5,0)),TEXT(cadangan[[#This Row],[No]],"0000"),"-",TEXT(cadangan[[#This Row],[Tanggal terjual]],"dd/mm/yy"))</f>
        <v>ORD-SP0831-18/04/23</v>
      </c>
      <c r="C832" s="39" t="s">
        <v>65</v>
      </c>
      <c r="D832" s="39" t="str">
        <f>IFERROR(INDEX(Katalog!$A$3:$A$12,MATCH(cadangan[[#This Row],[ItemID A]],Katalog!$C$3:$C$12,0)),"-")</f>
        <v>Sepatu Pria</v>
      </c>
      <c r="E832" s="39" t="str">
        <f>IFERROR(INDEX(Katalog!$B$3:$B$12,MATCH(cadangan[[#This Row],[ItemID A]],Katalog!$C$3:$C$12,0)),"-")</f>
        <v>Sneakers</v>
      </c>
      <c r="F832" s="50">
        <v>2</v>
      </c>
      <c r="G832" s="50">
        <v>5</v>
      </c>
      <c r="H832" s="73">
        <f>IFERROR(INDEX(Katalog!$D$3:$D$12,MATCH(cadangan[[#This Row],[ItemID A]],Katalog!$C$3:$C$12,0))*cadangan[[#This Row],[Qty A]],0)</f>
        <v>1000000</v>
      </c>
      <c r="I832" s="73">
        <f>IFERROR(cadangan[[#This Row],[Harga Normal A]]-(cadangan[[#This Row],[Harga Normal A]]*cadangan[[#This Row],[Diskon]]),cadangan[[#This Row],[Harga Normal A]])</f>
        <v>800000</v>
      </c>
      <c r="J832" s="73">
        <f>INDEX(Katalog!$F$3:$F$12,MATCH(cadangan[[#This Row],[ItemID A]],Katalog!$C$3:$C$12,0))*cadangan[[#This Row],[Qty A]]</f>
        <v>400000</v>
      </c>
      <c r="K832" s="73">
        <f>IFERROR(cadangan[[#This Row],[Harga Diskon A]]-INDEX(Katalog!$E$3:$E$12,MATCH(cadangan[[#This Row],[ItemID A]],Katalog!$C$3:$C$12,0))*cadangan[[#This Row],[Qty A]],0)</f>
        <v>200000</v>
      </c>
      <c r="L832" s="39" t="s">
        <v>64</v>
      </c>
      <c r="M832" s="39" t="str">
        <f>IFERROR(INDEX(Katalog!$A$3:$A$12,MATCH(cadangan[[#This Row],[ItemID B]],Katalog!$C$3:$C$12,0)),"-")</f>
        <v>Pakaian Unisex</v>
      </c>
      <c r="N832" s="39" t="str">
        <f>IFERROR(INDEX(Katalog!$B$3:$B$12,MATCH(cadangan[[#This Row],[ItemID B]],Katalog!$C$3:$C$12,0)),"-")</f>
        <v>Jaket Hoodie</v>
      </c>
      <c r="O832" s="50">
        <v>1</v>
      </c>
      <c r="P832" s="50">
        <v>2</v>
      </c>
      <c r="Q832" s="73">
        <f>IFERROR(INDEX(Katalog!$D$3:$D$12,MATCH(cadangan[[#This Row],[ItemID B]],Katalog!$C$3:$C$12,0))*cadangan[[#This Row],[Qty B]],0)</f>
        <v>350000</v>
      </c>
      <c r="R832" s="73">
        <f>IFERROR(cadangan[[#This Row],[Harga Normal B]]-(cadangan[[#This Row],[Harga Normal B]]*cadangan[[#This Row],[Diskon]]),cadangan[[#This Row],[Harga Normal B]])</f>
        <v>280000</v>
      </c>
      <c r="S832" s="73">
        <f>IFERROR(INDEX(Katalog!$F$3:$F$12,MATCH(cadangan[[#This Row],[ItemID B]],Katalog!$C$3:$C$12,0))*cadangan[[#This Row],[Qty B]],0)</f>
        <v>130000</v>
      </c>
      <c r="T832" s="73">
        <f>IFERROR(cadangan[[#This Row],[Harga Diskon B]]-INDEX(Katalog!$E$3:$E$12,MATCH(cadangan[[#This Row],[ItemID B]],Katalog!$C$3:$C$12,0))*cadangan[[#This Row],[Qty B]],0)</f>
        <v>60000</v>
      </c>
      <c r="U832" s="39" t="s">
        <v>60</v>
      </c>
      <c r="V832" s="39" t="str">
        <f>IFERROR(INDEX(Katalog!$A$3:$A$12,MATCH(cadangan[[#This Row],[ItemID C]],Katalog!$C$3:$C$12,0)),"-")</f>
        <v>Pakaian Wanita</v>
      </c>
      <c r="W832" s="39" t="str">
        <f>IFERROR(INDEX(Katalog!$B$3:$B$12,MATCH(cadangan[[#This Row],[ItemID C]],Katalog!$C$3:$C$12,0)),"-")</f>
        <v>Kaftan</v>
      </c>
      <c r="X832" s="50">
        <v>2</v>
      </c>
      <c r="Y832" s="50">
        <v>4</v>
      </c>
      <c r="Z832" s="73">
        <f>IFERROR(INDEX(Katalog!$D$3:$D$12,MATCH(cadangan[[#This Row],[ItemID C]],Katalog!$C$3:$C$12,0))*cadangan[[#This Row],[Qty C]],0)</f>
        <v>500000</v>
      </c>
      <c r="AA832" s="73">
        <f>IFERROR(cadangan[[#This Row],[Harga Normal C]]-(cadangan[[#This Row],[Harga Normal C]]*cadangan[[#This Row],[Diskon]]),cadangan[[#This Row],[Harga Normal C]])</f>
        <v>400000</v>
      </c>
      <c r="AB832" s="73">
        <f>IFERROR(INDEX(Katalog!$F$3:$F$12,MATCH(cadangan[[#This Row],[ItemID C]],Katalog!$C$3:$C$12,0))*cadangan[[#This Row],[Qty C]],0)</f>
        <v>200000</v>
      </c>
      <c r="AC832" s="73">
        <f>IFERROR(cadangan[[#This Row],[Harga Diskon C]]-INDEX(Katalog!$E$3:$E$12,MATCH(cadangan[[#This Row],[ItemID C]],Katalog!$C$3:$C$12,0))*cadangan[[#This Row],[Qty C]],0)</f>
        <v>100000</v>
      </c>
      <c r="AD832" s="53">
        <f>cadangan[[#This Row],[Qty A]]+cadangan[[#This Row],[Qty B]]+cadangan[[#This Row],[Qty C]]</f>
        <v>5</v>
      </c>
      <c r="AE832" s="73">
        <f>cadangan[[#This Row],[Harga Normal A]]+cadangan[[#This Row],[Harga Normal B]]+cadangan[[#This Row],[Harga Normal C]]</f>
        <v>1850000</v>
      </c>
      <c r="AF832" s="73">
        <f>cadangan[[#This Row],[Harga Diskon A]]+cadangan[[#This Row],[Harga Diskon B]]+cadangan[[#This Row],[Harga Diskon C]]</f>
        <v>1480000</v>
      </c>
      <c r="AG832" s="73">
        <f>(cadangan[[#This Row],[Profit Normal A]]+cadangan[[#This Row],[Profit Normal B]]+cadangan[[#This Row],[Profit Normal C]])</f>
        <v>730000</v>
      </c>
      <c r="AH832" s="73">
        <f>cadangan[[#This Row],[Profit Diskon A]]+cadangan[[#This Row],[Profit Diskon B]]+cadangan[[#This Row],[Profit Diskon C]]</f>
        <v>360000</v>
      </c>
      <c r="AI832" s="23" t="s">
        <v>8</v>
      </c>
      <c r="AJ832" s="37">
        <f>IFERROR(INDEX('Kode Diskon'!$D$3:$D$9,MATCH(cadangan[[#This Row],[Kode diskon]],'Kode Diskon'!$C$3:$C$9,0)),"-")</f>
        <v>0.2</v>
      </c>
      <c r="AK832" s="23" t="s">
        <v>9</v>
      </c>
      <c r="AL832" s="23" t="s">
        <v>7</v>
      </c>
      <c r="AM832" s="23" t="s">
        <v>80</v>
      </c>
      <c r="AN832" s="55">
        <v>45034</v>
      </c>
      <c r="AO832" s="53">
        <f>DAY(cadangan[[#This Row],[Tanggal terjual]])</f>
        <v>18</v>
      </c>
      <c r="AP832" s="21" t="str">
        <f>TEXT(cadangan[[#This Row],[Tanggal terjual]],"dddd")</f>
        <v>Tuesday</v>
      </c>
      <c r="AQ832" s="23" t="str" cm="1">
        <f t="array" ref="AQ8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32" s="61">
        <f>AVERAGE(cadangan[[#This Row],[Rating A]],cadangan[[#This Row],[Rating B]],cadangan[[#This Row],[Rating C]])</f>
        <v>3.6666666666666665</v>
      </c>
    </row>
    <row r="833" spans="1:44" x14ac:dyDescent="0.2">
      <c r="A833" s="20">
        <v>832</v>
      </c>
      <c r="B833" s="21" t="str">
        <f>_xlfn.CONCAT("ORD-",INDEX(Helper!$B$2:$B$5,MATCH(cadangan[[#This Row],[Marketplace]],Helper!$A$2:$A$5,0)),TEXT(cadangan[[#This Row],[No]],"0000"),"-",TEXT(cadangan[[#This Row],[Tanggal terjual]],"dd/mm/yy"))</f>
        <v>ORD-BL0832-26/04/23</v>
      </c>
      <c r="C833" s="39" t="s">
        <v>58</v>
      </c>
      <c r="D833" s="39" t="str">
        <f>IFERROR(INDEX(Katalog!$A$3:$A$12,MATCH(cadangan[[#This Row],[ItemID A]],Katalog!$C$3:$C$12,0)),"-")</f>
        <v>Pakaian Wanita</v>
      </c>
      <c r="E833" s="39" t="str">
        <f>IFERROR(INDEX(Katalog!$B$3:$B$12,MATCH(cadangan[[#This Row],[ItemID A]],Katalog!$C$3:$C$12,0)),"-")</f>
        <v>Dress</v>
      </c>
      <c r="F833" s="50">
        <v>1</v>
      </c>
      <c r="G833" s="50">
        <v>1</v>
      </c>
      <c r="H833" s="73">
        <f>IFERROR(INDEX(Katalog!$D$3:$D$12,MATCH(cadangan[[#This Row],[ItemID A]],Katalog!$C$3:$C$12,0))*cadangan[[#This Row],[Qty A]],0)</f>
        <v>300000</v>
      </c>
      <c r="I833" s="73">
        <f>IFERROR(cadangan[[#This Row],[Harga Normal A]]-(cadangan[[#This Row],[Harga Normal A]]*cadangan[[#This Row],[Diskon]]),cadangan[[#This Row],[Harga Normal A]])</f>
        <v>255000</v>
      </c>
      <c r="J833" s="73">
        <f>INDEX(Katalog!$F$3:$F$12,MATCH(cadangan[[#This Row],[ItemID A]],Katalog!$C$3:$C$12,0))*cadangan[[#This Row],[Qty A]]</f>
        <v>100000</v>
      </c>
      <c r="K833" s="73">
        <f>IFERROR(cadangan[[#This Row],[Harga Diskon A]]-INDEX(Katalog!$E$3:$E$12,MATCH(cadangan[[#This Row],[ItemID A]],Katalog!$C$3:$C$12,0))*cadangan[[#This Row],[Qty A]],0)</f>
        <v>55000</v>
      </c>
      <c r="L833" s="39" t="s">
        <v>58</v>
      </c>
      <c r="M833" s="39" t="str">
        <f>IFERROR(INDEX(Katalog!$A$3:$A$12,MATCH(cadangan[[#This Row],[ItemID B]],Katalog!$C$3:$C$12,0)),"-")</f>
        <v>Pakaian Wanita</v>
      </c>
      <c r="N833" s="39" t="str">
        <f>IFERROR(INDEX(Katalog!$B$3:$B$12,MATCH(cadangan[[#This Row],[ItemID B]],Katalog!$C$3:$C$12,0)),"-")</f>
        <v>Dress</v>
      </c>
      <c r="O833" s="50">
        <v>1</v>
      </c>
      <c r="P833" s="50">
        <v>4</v>
      </c>
      <c r="Q833" s="73">
        <f>IFERROR(INDEX(Katalog!$D$3:$D$12,MATCH(cadangan[[#This Row],[ItemID B]],Katalog!$C$3:$C$12,0))*cadangan[[#This Row],[Qty B]],0)</f>
        <v>300000</v>
      </c>
      <c r="R833" s="73">
        <f>IFERROR(cadangan[[#This Row],[Harga Normal B]]-(cadangan[[#This Row],[Harga Normal B]]*cadangan[[#This Row],[Diskon]]),cadangan[[#This Row],[Harga Normal B]])</f>
        <v>255000</v>
      </c>
      <c r="S833" s="73">
        <f>IFERROR(INDEX(Katalog!$F$3:$F$12,MATCH(cadangan[[#This Row],[ItemID B]],Katalog!$C$3:$C$12,0))*cadangan[[#This Row],[Qty B]],0)</f>
        <v>100000</v>
      </c>
      <c r="T833" s="73">
        <f>IFERROR(cadangan[[#This Row],[Harga Diskon B]]-INDEX(Katalog!$E$3:$E$12,MATCH(cadangan[[#This Row],[ItemID B]],Katalog!$C$3:$C$12,0))*cadangan[[#This Row],[Qty B]],0)</f>
        <v>55000</v>
      </c>
      <c r="U833" s="39" t="s">
        <v>58</v>
      </c>
      <c r="V833" s="39" t="str">
        <f>IFERROR(INDEX(Katalog!$A$3:$A$12,MATCH(cadangan[[#This Row],[ItemID C]],Katalog!$C$3:$C$12,0)),"-")</f>
        <v>Pakaian Wanita</v>
      </c>
      <c r="W833" s="39" t="str">
        <f>IFERROR(INDEX(Katalog!$B$3:$B$12,MATCH(cadangan[[#This Row],[ItemID C]],Katalog!$C$3:$C$12,0)),"-")</f>
        <v>Dress</v>
      </c>
      <c r="X833" s="50">
        <v>1</v>
      </c>
      <c r="Y833" s="50">
        <v>2</v>
      </c>
      <c r="Z833" s="73">
        <f>IFERROR(INDEX(Katalog!$D$3:$D$12,MATCH(cadangan[[#This Row],[ItemID C]],Katalog!$C$3:$C$12,0))*cadangan[[#This Row],[Qty C]],0)</f>
        <v>300000</v>
      </c>
      <c r="AA833" s="73">
        <f>IFERROR(cadangan[[#This Row],[Harga Normal C]]-(cadangan[[#This Row],[Harga Normal C]]*cadangan[[#This Row],[Diskon]]),cadangan[[#This Row],[Harga Normal C]])</f>
        <v>255000</v>
      </c>
      <c r="AB833" s="73">
        <f>IFERROR(INDEX(Katalog!$F$3:$F$12,MATCH(cadangan[[#This Row],[ItemID C]],Katalog!$C$3:$C$12,0))*cadangan[[#This Row],[Qty C]],0)</f>
        <v>100000</v>
      </c>
      <c r="AC833" s="73">
        <f>IFERROR(cadangan[[#This Row],[Harga Diskon C]]-INDEX(Katalog!$E$3:$E$12,MATCH(cadangan[[#This Row],[ItemID C]],Katalog!$C$3:$C$12,0))*cadangan[[#This Row],[Qty C]],0)</f>
        <v>55000</v>
      </c>
      <c r="AD833" s="53">
        <f>cadangan[[#This Row],[Qty A]]+cadangan[[#This Row],[Qty B]]+cadangan[[#This Row],[Qty C]]</f>
        <v>3</v>
      </c>
      <c r="AE833" s="73">
        <f>cadangan[[#This Row],[Harga Normal A]]+cadangan[[#This Row],[Harga Normal B]]+cadangan[[#This Row],[Harga Normal C]]</f>
        <v>900000</v>
      </c>
      <c r="AF833" s="73">
        <f>cadangan[[#This Row],[Harga Diskon A]]+cadangan[[#This Row],[Harga Diskon B]]+cadangan[[#This Row],[Harga Diskon C]]</f>
        <v>765000</v>
      </c>
      <c r="AG833" s="73">
        <f>(cadangan[[#This Row],[Profit Normal A]]+cadangan[[#This Row],[Profit Normal B]]+cadangan[[#This Row],[Profit Normal C]])</f>
        <v>300000</v>
      </c>
      <c r="AH833" s="73">
        <f>cadangan[[#This Row],[Profit Diskon A]]+cadangan[[#This Row],[Profit Diskon B]]+cadangan[[#This Row],[Profit Diskon C]]</f>
        <v>165000</v>
      </c>
      <c r="AI833" s="23" t="s">
        <v>32</v>
      </c>
      <c r="AJ833" s="37">
        <f>IFERROR(INDEX('Kode Diskon'!$D$3:$D$9,MATCH(cadangan[[#This Row],[Kode diskon]],'Kode Diskon'!$C$3:$C$9,0)),"-")</f>
        <v>0.15</v>
      </c>
      <c r="AK833" s="23" t="s">
        <v>9</v>
      </c>
      <c r="AL833" s="23" t="s">
        <v>12</v>
      </c>
      <c r="AM833" s="23" t="s">
        <v>80</v>
      </c>
      <c r="AN833" s="55">
        <v>45042</v>
      </c>
      <c r="AO833" s="53">
        <f>DAY(cadangan[[#This Row],[Tanggal terjual]])</f>
        <v>26</v>
      </c>
      <c r="AP833" s="21" t="str">
        <f>TEXT(cadangan[[#This Row],[Tanggal terjual]],"dddd")</f>
        <v>Wednesday</v>
      </c>
      <c r="AQ833" s="23" t="str" cm="1">
        <f t="array" ref="AQ8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33" s="61">
        <f>AVERAGE(cadangan[[#This Row],[Rating A]],cadangan[[#This Row],[Rating B]],cadangan[[#This Row],[Rating C]])</f>
        <v>2.3333333333333335</v>
      </c>
    </row>
    <row r="834" spans="1:44" x14ac:dyDescent="0.2">
      <c r="A834" s="20">
        <v>833</v>
      </c>
      <c r="B834" s="21" t="str">
        <f>_xlfn.CONCAT("ORD-",INDEX(Helper!$B$2:$B$5,MATCH(cadangan[[#This Row],[Marketplace]],Helper!$A$2:$A$5,0)),TEXT(cadangan[[#This Row],[No]],"0000"),"-",TEXT(cadangan[[#This Row],[Tanggal terjual]],"dd/mm/yy"))</f>
        <v>ORD-SP0833-02/04/23</v>
      </c>
      <c r="C834" s="39" t="s">
        <v>60</v>
      </c>
      <c r="D834" s="39" t="str">
        <f>IFERROR(INDEX(Katalog!$A$3:$A$12,MATCH(cadangan[[#This Row],[ItemID A]],Katalog!$C$3:$C$12,0)),"-")</f>
        <v>Pakaian Wanita</v>
      </c>
      <c r="E834" s="39" t="str">
        <f>IFERROR(INDEX(Katalog!$B$3:$B$12,MATCH(cadangan[[#This Row],[ItemID A]],Katalog!$C$3:$C$12,0)),"-")</f>
        <v>Kaftan</v>
      </c>
      <c r="F834" s="50">
        <v>4</v>
      </c>
      <c r="G834" s="50">
        <v>3</v>
      </c>
      <c r="H834" s="73">
        <f>IFERROR(INDEX(Katalog!$D$3:$D$12,MATCH(cadangan[[#This Row],[ItemID A]],Katalog!$C$3:$C$12,0))*cadangan[[#This Row],[Qty A]],0)</f>
        <v>1000000</v>
      </c>
      <c r="I834" s="73">
        <f>IFERROR(cadangan[[#This Row],[Harga Normal A]]-(cadangan[[#This Row],[Harga Normal A]]*cadangan[[#This Row],[Diskon]]),cadangan[[#This Row],[Harga Normal A]])</f>
        <v>850000</v>
      </c>
      <c r="J834" s="73">
        <f>INDEX(Katalog!$F$3:$F$12,MATCH(cadangan[[#This Row],[ItemID A]],Katalog!$C$3:$C$12,0))*cadangan[[#This Row],[Qty A]]</f>
        <v>400000</v>
      </c>
      <c r="K834" s="73">
        <f>IFERROR(cadangan[[#This Row],[Harga Diskon A]]-INDEX(Katalog!$E$3:$E$12,MATCH(cadangan[[#This Row],[ItemID A]],Katalog!$C$3:$C$12,0))*cadangan[[#This Row],[Qty A]],0)</f>
        <v>250000</v>
      </c>
      <c r="L834" s="39" t="s">
        <v>64</v>
      </c>
      <c r="M834" s="39" t="str">
        <f>IFERROR(INDEX(Katalog!$A$3:$A$12,MATCH(cadangan[[#This Row],[ItemID B]],Katalog!$C$3:$C$12,0)),"-")</f>
        <v>Pakaian Unisex</v>
      </c>
      <c r="N834" s="39" t="str">
        <f>IFERROR(INDEX(Katalog!$B$3:$B$12,MATCH(cadangan[[#This Row],[ItemID B]],Katalog!$C$3:$C$12,0)),"-")</f>
        <v>Jaket Hoodie</v>
      </c>
      <c r="O834" s="50">
        <v>1</v>
      </c>
      <c r="P834" s="50">
        <v>2</v>
      </c>
      <c r="Q834" s="73">
        <f>IFERROR(INDEX(Katalog!$D$3:$D$12,MATCH(cadangan[[#This Row],[ItemID B]],Katalog!$C$3:$C$12,0))*cadangan[[#This Row],[Qty B]],0)</f>
        <v>350000</v>
      </c>
      <c r="R834" s="73">
        <f>IFERROR(cadangan[[#This Row],[Harga Normal B]]-(cadangan[[#This Row],[Harga Normal B]]*cadangan[[#This Row],[Diskon]]),cadangan[[#This Row],[Harga Normal B]])</f>
        <v>297500</v>
      </c>
      <c r="S834" s="73">
        <f>IFERROR(INDEX(Katalog!$F$3:$F$12,MATCH(cadangan[[#This Row],[ItemID B]],Katalog!$C$3:$C$12,0))*cadangan[[#This Row],[Qty B]],0)</f>
        <v>130000</v>
      </c>
      <c r="T834" s="73">
        <f>IFERROR(cadangan[[#This Row],[Harga Diskon B]]-INDEX(Katalog!$E$3:$E$12,MATCH(cadangan[[#This Row],[ItemID B]],Katalog!$C$3:$C$12,0))*cadangan[[#This Row],[Qty B]],0)</f>
        <v>77500</v>
      </c>
      <c r="U834" s="39" t="s">
        <v>58</v>
      </c>
      <c r="V834" s="39" t="str">
        <f>IFERROR(INDEX(Katalog!$A$3:$A$12,MATCH(cadangan[[#This Row],[ItemID C]],Katalog!$C$3:$C$12,0)),"-")</f>
        <v>Pakaian Wanita</v>
      </c>
      <c r="W834" s="39" t="str">
        <f>IFERROR(INDEX(Katalog!$B$3:$B$12,MATCH(cadangan[[#This Row],[ItemID C]],Katalog!$C$3:$C$12,0)),"-")</f>
        <v>Dress</v>
      </c>
      <c r="X834" s="50">
        <v>2</v>
      </c>
      <c r="Y834" s="50">
        <v>5</v>
      </c>
      <c r="Z834" s="73">
        <f>IFERROR(INDEX(Katalog!$D$3:$D$12,MATCH(cadangan[[#This Row],[ItemID C]],Katalog!$C$3:$C$12,0))*cadangan[[#This Row],[Qty C]],0)</f>
        <v>600000</v>
      </c>
      <c r="AA834" s="73">
        <f>IFERROR(cadangan[[#This Row],[Harga Normal C]]-(cadangan[[#This Row],[Harga Normal C]]*cadangan[[#This Row],[Diskon]]),cadangan[[#This Row],[Harga Normal C]])</f>
        <v>510000</v>
      </c>
      <c r="AB834" s="73">
        <f>IFERROR(INDEX(Katalog!$F$3:$F$12,MATCH(cadangan[[#This Row],[ItemID C]],Katalog!$C$3:$C$12,0))*cadangan[[#This Row],[Qty C]],0)</f>
        <v>200000</v>
      </c>
      <c r="AC834" s="73">
        <f>IFERROR(cadangan[[#This Row],[Harga Diskon C]]-INDEX(Katalog!$E$3:$E$12,MATCH(cadangan[[#This Row],[ItemID C]],Katalog!$C$3:$C$12,0))*cadangan[[#This Row],[Qty C]],0)</f>
        <v>110000</v>
      </c>
      <c r="AD834" s="53">
        <f>cadangan[[#This Row],[Qty A]]+cadangan[[#This Row],[Qty B]]+cadangan[[#This Row],[Qty C]]</f>
        <v>7</v>
      </c>
      <c r="AE834" s="73">
        <f>cadangan[[#This Row],[Harga Normal A]]+cadangan[[#This Row],[Harga Normal B]]+cadangan[[#This Row],[Harga Normal C]]</f>
        <v>1950000</v>
      </c>
      <c r="AF834" s="73">
        <f>cadangan[[#This Row],[Harga Diskon A]]+cadangan[[#This Row],[Harga Diskon B]]+cadangan[[#This Row],[Harga Diskon C]]</f>
        <v>1657500</v>
      </c>
      <c r="AG834" s="73">
        <f>(cadangan[[#This Row],[Profit Normal A]]+cadangan[[#This Row],[Profit Normal B]]+cadangan[[#This Row],[Profit Normal C]])</f>
        <v>730000</v>
      </c>
      <c r="AH834" s="73">
        <f>cadangan[[#This Row],[Profit Diskon A]]+cadangan[[#This Row],[Profit Diskon B]]+cadangan[[#This Row],[Profit Diskon C]]</f>
        <v>437500</v>
      </c>
      <c r="AI834" s="23" t="s">
        <v>13</v>
      </c>
      <c r="AJ834" s="37">
        <f>IFERROR(INDEX('Kode Diskon'!$D$3:$D$9,MATCH(cadangan[[#This Row],[Kode diskon]],'Kode Diskon'!$C$3:$C$9,0)),"-")</f>
        <v>0.15</v>
      </c>
      <c r="AK834" s="23" t="s">
        <v>29</v>
      </c>
      <c r="AL834" s="23" t="s">
        <v>7</v>
      </c>
      <c r="AM834" s="23" t="s">
        <v>75</v>
      </c>
      <c r="AN834" s="55">
        <v>45018</v>
      </c>
      <c r="AO834" s="53">
        <f>DAY(cadangan[[#This Row],[Tanggal terjual]])</f>
        <v>2</v>
      </c>
      <c r="AP834" s="21" t="str">
        <f>TEXT(cadangan[[#This Row],[Tanggal terjual]],"dddd")</f>
        <v>Sunday</v>
      </c>
      <c r="AQ834" s="23" t="str" cm="1">
        <f t="array" ref="AQ8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4" s="61">
        <f>AVERAGE(cadangan[[#This Row],[Rating A]],cadangan[[#This Row],[Rating B]],cadangan[[#This Row],[Rating C]])</f>
        <v>3.3333333333333335</v>
      </c>
    </row>
    <row r="835" spans="1:44" x14ac:dyDescent="0.2">
      <c r="A835" s="20">
        <v>834</v>
      </c>
      <c r="B835" s="21" t="str">
        <f>_xlfn.CONCAT("ORD-",INDEX(Helper!$B$2:$B$5,MATCH(cadangan[[#This Row],[Marketplace]],Helper!$A$2:$A$5,0)),TEXT(cadangan[[#This Row],[No]],"0000"),"-",TEXT(cadangan[[#This Row],[Tanggal terjual]],"dd/mm/yy"))</f>
        <v>ORD-BL0834-22/04/23</v>
      </c>
      <c r="C835" s="39" t="s">
        <v>58</v>
      </c>
      <c r="D835" s="39" t="str">
        <f>IFERROR(INDEX(Katalog!$A$3:$A$12,MATCH(cadangan[[#This Row],[ItemID A]],Katalog!$C$3:$C$12,0)),"-")</f>
        <v>Pakaian Wanita</v>
      </c>
      <c r="E835" s="39" t="str">
        <f>IFERROR(INDEX(Katalog!$B$3:$B$12,MATCH(cadangan[[#This Row],[ItemID A]],Katalog!$C$3:$C$12,0)),"-")</f>
        <v>Dress</v>
      </c>
      <c r="F835" s="50">
        <v>1</v>
      </c>
      <c r="G835" s="50">
        <v>5</v>
      </c>
      <c r="H835" s="73">
        <f>IFERROR(INDEX(Katalog!$D$3:$D$12,MATCH(cadangan[[#This Row],[ItemID A]],Katalog!$C$3:$C$12,0))*cadangan[[#This Row],[Qty A]],0)</f>
        <v>300000</v>
      </c>
      <c r="I835" s="73">
        <f>IFERROR(cadangan[[#This Row],[Harga Normal A]]-(cadangan[[#This Row],[Harga Normal A]]*cadangan[[#This Row],[Diskon]]),cadangan[[#This Row],[Harga Normal A]])</f>
        <v>255000</v>
      </c>
      <c r="J835" s="73">
        <f>INDEX(Katalog!$F$3:$F$12,MATCH(cadangan[[#This Row],[ItemID A]],Katalog!$C$3:$C$12,0))*cadangan[[#This Row],[Qty A]]</f>
        <v>100000</v>
      </c>
      <c r="K835" s="73">
        <f>IFERROR(cadangan[[#This Row],[Harga Diskon A]]-INDEX(Katalog!$E$3:$E$12,MATCH(cadangan[[#This Row],[ItemID A]],Katalog!$C$3:$C$12,0))*cadangan[[#This Row],[Qty A]],0)</f>
        <v>55000</v>
      </c>
      <c r="M835" s="39" t="str">
        <f>IFERROR(INDEX(Katalog!$A$3:$A$12,MATCH(cadangan[[#This Row],[ItemID B]],Katalog!$C$3:$C$12,0)),"-")</f>
        <v>-</v>
      </c>
      <c r="N835" s="39" t="str">
        <f>IFERROR(INDEX(Katalog!$B$3:$B$12,MATCH(cadangan[[#This Row],[ItemID B]],Katalog!$C$3:$C$12,0)),"-")</f>
        <v>-</v>
      </c>
      <c r="Q835" s="73">
        <f>IFERROR(INDEX(Katalog!$D$3:$D$12,MATCH(cadangan[[#This Row],[ItemID B]],Katalog!$C$3:$C$12,0))*cadangan[[#This Row],[Qty B]],0)</f>
        <v>0</v>
      </c>
      <c r="R835" s="73">
        <f>IFERROR(cadangan[[#This Row],[Harga Normal B]]-(cadangan[[#This Row],[Harga Normal B]]*cadangan[[#This Row],[Diskon]]),cadangan[[#This Row],[Harga Normal B]])</f>
        <v>0</v>
      </c>
      <c r="S835" s="73">
        <f>IFERROR(INDEX(Katalog!$F$3:$F$12,MATCH(cadangan[[#This Row],[ItemID B]],Katalog!$C$3:$C$12,0))*cadangan[[#This Row],[Qty B]],0)</f>
        <v>0</v>
      </c>
      <c r="T835" s="73">
        <f>IFERROR(cadangan[[#This Row],[Harga Diskon B]]-INDEX(Katalog!$E$3:$E$12,MATCH(cadangan[[#This Row],[ItemID B]],Katalog!$C$3:$C$12,0))*cadangan[[#This Row],[Qty B]],0)</f>
        <v>0</v>
      </c>
      <c r="V835" s="39" t="str">
        <f>IFERROR(INDEX(Katalog!$A$3:$A$12,MATCH(cadangan[[#This Row],[ItemID C]],Katalog!$C$3:$C$12,0)),"-")</f>
        <v>-</v>
      </c>
      <c r="W835" s="39" t="str">
        <f>IFERROR(INDEX(Katalog!$B$3:$B$12,MATCH(cadangan[[#This Row],[ItemID C]],Katalog!$C$3:$C$12,0)),"-")</f>
        <v>-</v>
      </c>
      <c r="Z835" s="73">
        <f>IFERROR(INDEX(Katalog!$D$3:$D$12,MATCH(cadangan[[#This Row],[ItemID C]],Katalog!$C$3:$C$12,0))*cadangan[[#This Row],[Qty C]],0)</f>
        <v>0</v>
      </c>
      <c r="AA835" s="73">
        <f>IFERROR(cadangan[[#This Row],[Harga Normal C]]-(cadangan[[#This Row],[Harga Normal C]]*cadangan[[#This Row],[Diskon]]),cadangan[[#This Row],[Harga Normal C]])</f>
        <v>0</v>
      </c>
      <c r="AB835" s="73">
        <f>IFERROR(INDEX(Katalog!$F$3:$F$12,MATCH(cadangan[[#This Row],[ItemID C]],Katalog!$C$3:$C$12,0))*cadangan[[#This Row],[Qty C]],0)</f>
        <v>0</v>
      </c>
      <c r="AC835" s="73">
        <f>IFERROR(cadangan[[#This Row],[Harga Diskon C]]-INDEX(Katalog!$E$3:$E$12,MATCH(cadangan[[#This Row],[ItemID C]],Katalog!$C$3:$C$12,0))*cadangan[[#This Row],[Qty C]],0)</f>
        <v>0</v>
      </c>
      <c r="AD835" s="53">
        <f>cadangan[[#This Row],[Qty A]]+cadangan[[#This Row],[Qty B]]+cadangan[[#This Row],[Qty C]]</f>
        <v>1</v>
      </c>
      <c r="AE835" s="73">
        <f>cadangan[[#This Row],[Harga Normal A]]+cadangan[[#This Row],[Harga Normal B]]+cadangan[[#This Row],[Harga Normal C]]</f>
        <v>300000</v>
      </c>
      <c r="AF835" s="73">
        <f>cadangan[[#This Row],[Harga Diskon A]]+cadangan[[#This Row],[Harga Diskon B]]+cadangan[[#This Row],[Harga Diskon C]]</f>
        <v>255000</v>
      </c>
      <c r="AG835" s="73">
        <f>(cadangan[[#This Row],[Profit Normal A]]+cadangan[[#This Row],[Profit Normal B]]+cadangan[[#This Row],[Profit Normal C]])</f>
        <v>100000</v>
      </c>
      <c r="AH835" s="73">
        <f>cadangan[[#This Row],[Profit Diskon A]]+cadangan[[#This Row],[Profit Diskon B]]+cadangan[[#This Row],[Profit Diskon C]]</f>
        <v>55000</v>
      </c>
      <c r="AI835" s="23" t="s">
        <v>32</v>
      </c>
      <c r="AJ835" s="37">
        <f>IFERROR(INDEX('Kode Diskon'!$D$3:$D$9,MATCH(cadangan[[#This Row],[Kode diskon]],'Kode Diskon'!$C$3:$C$9,0)),"-")</f>
        <v>0.15</v>
      </c>
      <c r="AK835" s="23" t="s">
        <v>9</v>
      </c>
      <c r="AL835" s="23" t="s">
        <v>12</v>
      </c>
      <c r="AM835" s="23" t="s">
        <v>76</v>
      </c>
      <c r="AN835" s="55">
        <v>45038</v>
      </c>
      <c r="AO835" s="53">
        <f>DAY(cadangan[[#This Row],[Tanggal terjual]])</f>
        <v>22</v>
      </c>
      <c r="AP835" s="21" t="str">
        <f>TEXT(cadangan[[#This Row],[Tanggal terjual]],"dddd")</f>
        <v>Saturday</v>
      </c>
      <c r="AQ835" s="23" t="str" cm="1">
        <f t="array" ref="AQ8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35" s="61">
        <f>AVERAGE(cadangan[[#This Row],[Rating A]],cadangan[[#This Row],[Rating B]],cadangan[[#This Row],[Rating C]])</f>
        <v>5</v>
      </c>
    </row>
    <row r="836" spans="1:44" x14ac:dyDescent="0.2">
      <c r="A836" s="20">
        <v>835</v>
      </c>
      <c r="B836" s="21" t="str">
        <f>_xlfn.CONCAT("ORD-",INDEX(Helper!$B$2:$B$5,MATCH(cadangan[[#This Row],[Marketplace]],Helper!$A$2:$A$5,0)),TEXT(cadangan[[#This Row],[No]],"0000"),"-",TEXT(cadangan[[#This Row],[Tanggal terjual]],"dd/mm/yy"))</f>
        <v>ORD-SP0835-03/04/23</v>
      </c>
      <c r="C836" s="39" t="s">
        <v>66</v>
      </c>
      <c r="D836" s="39" t="str">
        <f>IFERROR(INDEX(Katalog!$A$3:$A$12,MATCH(cadangan[[#This Row],[ItemID A]],Katalog!$C$3:$C$12,0)),"-")</f>
        <v>Sepatu Pria</v>
      </c>
      <c r="E836" s="39" t="str">
        <f>IFERROR(INDEX(Katalog!$B$3:$B$12,MATCH(cadangan[[#This Row],[ItemID A]],Katalog!$C$3:$C$12,0)),"-")</f>
        <v>Sandal Slip On</v>
      </c>
      <c r="F836" s="50">
        <v>1</v>
      </c>
      <c r="G836" s="50">
        <v>5</v>
      </c>
      <c r="H836" s="73">
        <f>IFERROR(INDEX(Katalog!$D$3:$D$12,MATCH(cadangan[[#This Row],[ItemID A]],Katalog!$C$3:$C$12,0))*cadangan[[#This Row],[Qty A]],0)</f>
        <v>150000</v>
      </c>
      <c r="I836" s="73">
        <f>IFERROR(cadangan[[#This Row],[Harga Normal A]]-(cadangan[[#This Row],[Harga Normal A]]*cadangan[[#This Row],[Diskon]]),cadangan[[#This Row],[Harga Normal A]])</f>
        <v>135000</v>
      </c>
      <c r="J836" s="73">
        <f>INDEX(Katalog!$F$3:$F$12,MATCH(cadangan[[#This Row],[ItemID A]],Katalog!$C$3:$C$12,0))*cadangan[[#This Row],[Qty A]]</f>
        <v>60000</v>
      </c>
      <c r="K836" s="73">
        <f>IFERROR(cadangan[[#This Row],[Harga Diskon A]]-INDEX(Katalog!$E$3:$E$12,MATCH(cadangan[[#This Row],[ItemID A]],Katalog!$C$3:$C$12,0))*cadangan[[#This Row],[Qty A]],0)</f>
        <v>45000</v>
      </c>
      <c r="M836" s="39" t="str">
        <f>IFERROR(INDEX(Katalog!$A$3:$A$12,MATCH(cadangan[[#This Row],[ItemID B]],Katalog!$C$3:$C$12,0)),"-")</f>
        <v>-</v>
      </c>
      <c r="N836" s="39" t="str">
        <f>IFERROR(INDEX(Katalog!$B$3:$B$12,MATCH(cadangan[[#This Row],[ItemID B]],Katalog!$C$3:$C$12,0)),"-")</f>
        <v>-</v>
      </c>
      <c r="Q836" s="73">
        <f>IFERROR(INDEX(Katalog!$D$3:$D$12,MATCH(cadangan[[#This Row],[ItemID B]],Katalog!$C$3:$C$12,0))*cadangan[[#This Row],[Qty B]],0)</f>
        <v>0</v>
      </c>
      <c r="R836" s="73">
        <f>IFERROR(cadangan[[#This Row],[Harga Normal B]]-(cadangan[[#This Row],[Harga Normal B]]*cadangan[[#This Row],[Diskon]]),cadangan[[#This Row],[Harga Normal B]])</f>
        <v>0</v>
      </c>
      <c r="S836" s="73">
        <f>IFERROR(INDEX(Katalog!$F$3:$F$12,MATCH(cadangan[[#This Row],[ItemID B]],Katalog!$C$3:$C$12,0))*cadangan[[#This Row],[Qty B]],0)</f>
        <v>0</v>
      </c>
      <c r="T836" s="73">
        <f>IFERROR(cadangan[[#This Row],[Harga Diskon B]]-INDEX(Katalog!$E$3:$E$12,MATCH(cadangan[[#This Row],[ItemID B]],Katalog!$C$3:$C$12,0))*cadangan[[#This Row],[Qty B]],0)</f>
        <v>0</v>
      </c>
      <c r="V836" s="39" t="str">
        <f>IFERROR(INDEX(Katalog!$A$3:$A$12,MATCH(cadangan[[#This Row],[ItemID C]],Katalog!$C$3:$C$12,0)),"-")</f>
        <v>-</v>
      </c>
      <c r="W836" s="39" t="str">
        <f>IFERROR(INDEX(Katalog!$B$3:$B$12,MATCH(cadangan[[#This Row],[ItemID C]],Katalog!$C$3:$C$12,0)),"-")</f>
        <v>-</v>
      </c>
      <c r="Z836" s="73">
        <f>IFERROR(INDEX(Katalog!$D$3:$D$12,MATCH(cadangan[[#This Row],[ItemID C]],Katalog!$C$3:$C$12,0))*cadangan[[#This Row],[Qty C]],0)</f>
        <v>0</v>
      </c>
      <c r="AA836" s="73">
        <f>IFERROR(cadangan[[#This Row],[Harga Normal C]]-(cadangan[[#This Row],[Harga Normal C]]*cadangan[[#This Row],[Diskon]]),cadangan[[#This Row],[Harga Normal C]])</f>
        <v>0</v>
      </c>
      <c r="AB836" s="73">
        <f>IFERROR(INDEX(Katalog!$F$3:$F$12,MATCH(cadangan[[#This Row],[ItemID C]],Katalog!$C$3:$C$12,0))*cadangan[[#This Row],[Qty C]],0)</f>
        <v>0</v>
      </c>
      <c r="AC836" s="73">
        <f>IFERROR(cadangan[[#This Row],[Harga Diskon C]]-INDEX(Katalog!$E$3:$E$12,MATCH(cadangan[[#This Row],[ItemID C]],Katalog!$C$3:$C$12,0))*cadangan[[#This Row],[Qty C]],0)</f>
        <v>0</v>
      </c>
      <c r="AD836" s="53">
        <f>cadangan[[#This Row],[Qty A]]+cadangan[[#This Row],[Qty B]]+cadangan[[#This Row],[Qty C]]</f>
        <v>1</v>
      </c>
      <c r="AE836" s="73">
        <f>cadangan[[#This Row],[Harga Normal A]]+cadangan[[#This Row],[Harga Normal B]]+cadangan[[#This Row],[Harga Normal C]]</f>
        <v>150000</v>
      </c>
      <c r="AF836" s="73">
        <f>cadangan[[#This Row],[Harga Diskon A]]+cadangan[[#This Row],[Harga Diskon B]]+cadangan[[#This Row],[Harga Diskon C]]</f>
        <v>135000</v>
      </c>
      <c r="AG836" s="73">
        <f>(cadangan[[#This Row],[Profit Normal A]]+cadangan[[#This Row],[Profit Normal B]]+cadangan[[#This Row],[Profit Normal C]])</f>
        <v>60000</v>
      </c>
      <c r="AH836" s="73">
        <f>cadangan[[#This Row],[Profit Diskon A]]+cadangan[[#This Row],[Profit Diskon B]]+cadangan[[#This Row],[Profit Diskon C]]</f>
        <v>45000</v>
      </c>
      <c r="AI836" s="23" t="s">
        <v>6</v>
      </c>
      <c r="AJ836" s="37">
        <f>IFERROR(INDEX('Kode Diskon'!$D$3:$D$9,MATCH(cadangan[[#This Row],[Kode diskon]],'Kode Diskon'!$C$3:$C$9,0)),"-")</f>
        <v>0.1</v>
      </c>
      <c r="AK836" s="23" t="s">
        <v>29</v>
      </c>
      <c r="AL836" s="23" t="s">
        <v>7</v>
      </c>
      <c r="AM836" s="23" t="s">
        <v>79</v>
      </c>
      <c r="AN836" s="55">
        <v>45019</v>
      </c>
      <c r="AO836" s="53">
        <f>DAY(cadangan[[#This Row],[Tanggal terjual]])</f>
        <v>3</v>
      </c>
      <c r="AP836" s="21" t="str">
        <f>TEXT(cadangan[[#This Row],[Tanggal terjual]],"dddd")</f>
        <v>Monday</v>
      </c>
      <c r="AQ836" s="23" t="str" cm="1">
        <f t="array" ref="AQ8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6" s="61">
        <f>AVERAGE(cadangan[[#This Row],[Rating A]],cadangan[[#This Row],[Rating B]],cadangan[[#This Row],[Rating C]])</f>
        <v>5</v>
      </c>
    </row>
    <row r="837" spans="1:44" x14ac:dyDescent="0.2">
      <c r="A837" s="20">
        <v>836</v>
      </c>
      <c r="B837" s="21" t="str">
        <f>_xlfn.CONCAT("ORD-",INDEX(Helper!$B$2:$B$5,MATCH(cadangan[[#This Row],[Marketplace]],Helper!$A$2:$A$5,0)),TEXT(cadangan[[#This Row],[No]],"0000"),"-",TEXT(cadangan[[#This Row],[Tanggal terjual]],"dd/mm/yy"))</f>
        <v>ORD-SP0836-02/04/23</v>
      </c>
      <c r="C837" s="39" t="s">
        <v>67</v>
      </c>
      <c r="D837" s="39" t="str">
        <f>IFERROR(INDEX(Katalog!$A$3:$A$12,MATCH(cadangan[[#This Row],[ItemID A]],Katalog!$C$3:$C$12,0)),"-")</f>
        <v>Sepatu Wanita</v>
      </c>
      <c r="E837" s="39" t="str">
        <f>IFERROR(INDEX(Katalog!$B$3:$B$12,MATCH(cadangan[[#This Row],[ItemID A]],Katalog!$C$3:$C$12,0)),"-")</f>
        <v>Flat Shoes</v>
      </c>
      <c r="F837" s="50">
        <v>1</v>
      </c>
      <c r="G837" s="50">
        <v>5</v>
      </c>
      <c r="H837" s="73">
        <f>IFERROR(INDEX(Katalog!$D$3:$D$12,MATCH(cadangan[[#This Row],[ItemID A]],Katalog!$C$3:$C$12,0))*cadangan[[#This Row],[Qty A]],0)</f>
        <v>250000</v>
      </c>
      <c r="I837" s="73">
        <f>IFERROR(cadangan[[#This Row],[Harga Normal A]]-(cadangan[[#This Row],[Harga Normal A]]*cadangan[[#This Row],[Diskon]]),cadangan[[#This Row],[Harga Normal A]])</f>
        <v>212500</v>
      </c>
      <c r="J837" s="73">
        <f>INDEX(Katalog!$F$3:$F$12,MATCH(cadangan[[#This Row],[ItemID A]],Katalog!$C$3:$C$12,0))*cadangan[[#This Row],[Qty A]]</f>
        <v>100000</v>
      </c>
      <c r="K837" s="73">
        <f>IFERROR(cadangan[[#This Row],[Harga Diskon A]]-INDEX(Katalog!$E$3:$E$12,MATCH(cadangan[[#This Row],[ItemID A]],Katalog!$C$3:$C$12,0))*cadangan[[#This Row],[Qty A]],0)</f>
        <v>62500</v>
      </c>
      <c r="M837" s="39" t="str">
        <f>IFERROR(INDEX(Katalog!$A$3:$A$12,MATCH(cadangan[[#This Row],[ItemID B]],Katalog!$C$3:$C$12,0)),"-")</f>
        <v>-</v>
      </c>
      <c r="N837" s="39" t="str">
        <f>IFERROR(INDEX(Katalog!$B$3:$B$12,MATCH(cadangan[[#This Row],[ItemID B]],Katalog!$C$3:$C$12,0)),"-")</f>
        <v>-</v>
      </c>
      <c r="Q837" s="73">
        <f>IFERROR(INDEX(Katalog!$D$3:$D$12,MATCH(cadangan[[#This Row],[ItemID B]],Katalog!$C$3:$C$12,0))*cadangan[[#This Row],[Qty B]],0)</f>
        <v>0</v>
      </c>
      <c r="R837" s="73">
        <f>IFERROR(cadangan[[#This Row],[Harga Normal B]]-(cadangan[[#This Row],[Harga Normal B]]*cadangan[[#This Row],[Diskon]]),cadangan[[#This Row],[Harga Normal B]])</f>
        <v>0</v>
      </c>
      <c r="S837" s="73">
        <f>IFERROR(INDEX(Katalog!$F$3:$F$12,MATCH(cadangan[[#This Row],[ItemID B]],Katalog!$C$3:$C$12,0))*cadangan[[#This Row],[Qty B]],0)</f>
        <v>0</v>
      </c>
      <c r="T837" s="73">
        <f>IFERROR(cadangan[[#This Row],[Harga Diskon B]]-INDEX(Katalog!$E$3:$E$12,MATCH(cadangan[[#This Row],[ItemID B]],Katalog!$C$3:$C$12,0))*cadangan[[#This Row],[Qty B]],0)</f>
        <v>0</v>
      </c>
      <c r="V837" s="39" t="str">
        <f>IFERROR(INDEX(Katalog!$A$3:$A$12,MATCH(cadangan[[#This Row],[ItemID C]],Katalog!$C$3:$C$12,0)),"-")</f>
        <v>-</v>
      </c>
      <c r="W837" s="39" t="str">
        <f>IFERROR(INDEX(Katalog!$B$3:$B$12,MATCH(cadangan[[#This Row],[ItemID C]],Katalog!$C$3:$C$12,0)),"-")</f>
        <v>-</v>
      </c>
      <c r="Z837" s="73">
        <f>IFERROR(INDEX(Katalog!$D$3:$D$12,MATCH(cadangan[[#This Row],[ItemID C]],Katalog!$C$3:$C$12,0))*cadangan[[#This Row],[Qty C]],0)</f>
        <v>0</v>
      </c>
      <c r="AA837" s="73">
        <f>IFERROR(cadangan[[#This Row],[Harga Normal C]]-(cadangan[[#This Row],[Harga Normal C]]*cadangan[[#This Row],[Diskon]]),cadangan[[#This Row],[Harga Normal C]])</f>
        <v>0</v>
      </c>
      <c r="AB837" s="73">
        <f>IFERROR(INDEX(Katalog!$F$3:$F$12,MATCH(cadangan[[#This Row],[ItemID C]],Katalog!$C$3:$C$12,0))*cadangan[[#This Row],[Qty C]],0)</f>
        <v>0</v>
      </c>
      <c r="AC837" s="73">
        <f>IFERROR(cadangan[[#This Row],[Harga Diskon C]]-INDEX(Katalog!$E$3:$E$12,MATCH(cadangan[[#This Row],[ItemID C]],Katalog!$C$3:$C$12,0))*cadangan[[#This Row],[Qty C]],0)</f>
        <v>0</v>
      </c>
      <c r="AD837" s="53">
        <f>cadangan[[#This Row],[Qty A]]+cadangan[[#This Row],[Qty B]]+cadangan[[#This Row],[Qty C]]</f>
        <v>1</v>
      </c>
      <c r="AE837" s="73">
        <f>cadangan[[#This Row],[Harga Normal A]]+cadangan[[#This Row],[Harga Normal B]]+cadangan[[#This Row],[Harga Normal C]]</f>
        <v>250000</v>
      </c>
      <c r="AF837" s="73">
        <f>cadangan[[#This Row],[Harga Diskon A]]+cadangan[[#This Row],[Harga Diskon B]]+cadangan[[#This Row],[Harga Diskon C]]</f>
        <v>212500</v>
      </c>
      <c r="AG837" s="73">
        <f>(cadangan[[#This Row],[Profit Normal A]]+cadangan[[#This Row],[Profit Normal B]]+cadangan[[#This Row],[Profit Normal C]])</f>
        <v>100000</v>
      </c>
      <c r="AH837" s="73">
        <f>cadangan[[#This Row],[Profit Diskon A]]+cadangan[[#This Row],[Profit Diskon B]]+cadangan[[#This Row],[Profit Diskon C]]</f>
        <v>62500</v>
      </c>
      <c r="AI837" s="23" t="s">
        <v>13</v>
      </c>
      <c r="AJ837" s="37">
        <f>IFERROR(INDEX('Kode Diskon'!$D$3:$D$9,MATCH(cadangan[[#This Row],[Kode diskon]],'Kode Diskon'!$C$3:$C$9,0)),"-")</f>
        <v>0.15</v>
      </c>
      <c r="AK837" s="23" t="s">
        <v>29</v>
      </c>
      <c r="AL837" s="23" t="s">
        <v>7</v>
      </c>
      <c r="AM837" s="23" t="s">
        <v>80</v>
      </c>
      <c r="AN837" s="55">
        <v>45018</v>
      </c>
      <c r="AO837" s="53">
        <f>DAY(cadangan[[#This Row],[Tanggal terjual]])</f>
        <v>2</v>
      </c>
      <c r="AP837" s="21" t="str">
        <f>TEXT(cadangan[[#This Row],[Tanggal terjual]],"dddd")</f>
        <v>Sunday</v>
      </c>
      <c r="AQ837" s="23" t="str" cm="1">
        <f t="array" ref="AQ8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7" s="61">
        <f>AVERAGE(cadangan[[#This Row],[Rating A]],cadangan[[#This Row],[Rating B]],cadangan[[#This Row],[Rating C]])</f>
        <v>5</v>
      </c>
    </row>
    <row r="838" spans="1:44" x14ac:dyDescent="0.2">
      <c r="A838" s="20">
        <v>837</v>
      </c>
      <c r="B838" s="21" t="str">
        <f>_xlfn.CONCAT("ORD-",INDEX(Helper!$B$2:$B$5,MATCH(cadangan[[#This Row],[Marketplace]],Helper!$A$2:$A$5,0)),TEXT(cadangan[[#This Row],[No]],"0000"),"-",TEXT(cadangan[[#This Row],[Tanggal terjual]],"dd/mm/yy"))</f>
        <v>ORD-TK0837-04/04/23</v>
      </c>
      <c r="C838" s="39" t="s">
        <v>66</v>
      </c>
      <c r="D838" s="39" t="str">
        <f>IFERROR(INDEX(Katalog!$A$3:$A$12,MATCH(cadangan[[#This Row],[ItemID A]],Katalog!$C$3:$C$12,0)),"-")</f>
        <v>Sepatu Pria</v>
      </c>
      <c r="E838" s="39" t="str">
        <f>IFERROR(INDEX(Katalog!$B$3:$B$12,MATCH(cadangan[[#This Row],[ItemID A]],Katalog!$C$3:$C$12,0)),"-")</f>
        <v>Sandal Slip On</v>
      </c>
      <c r="F838" s="50">
        <v>7</v>
      </c>
      <c r="G838" s="50">
        <v>4</v>
      </c>
      <c r="H838" s="73">
        <f>IFERROR(INDEX(Katalog!$D$3:$D$12,MATCH(cadangan[[#This Row],[ItemID A]],Katalog!$C$3:$C$12,0))*cadangan[[#This Row],[Qty A]],0)</f>
        <v>1050000</v>
      </c>
      <c r="I838" s="73">
        <f>IFERROR(cadangan[[#This Row],[Harga Normal A]]-(cadangan[[#This Row],[Harga Normal A]]*cadangan[[#This Row],[Diskon]]),cadangan[[#This Row],[Harga Normal A]])</f>
        <v>945000</v>
      </c>
      <c r="J838" s="73">
        <f>INDEX(Katalog!$F$3:$F$12,MATCH(cadangan[[#This Row],[ItemID A]],Katalog!$C$3:$C$12,0))*cadangan[[#This Row],[Qty A]]</f>
        <v>420000</v>
      </c>
      <c r="K838" s="73">
        <f>IFERROR(cadangan[[#This Row],[Harga Diskon A]]-INDEX(Katalog!$E$3:$E$12,MATCH(cadangan[[#This Row],[ItemID A]],Katalog!$C$3:$C$12,0))*cadangan[[#This Row],[Qty A]],0)</f>
        <v>315000</v>
      </c>
      <c r="M838" s="39" t="str">
        <f>IFERROR(INDEX(Katalog!$A$3:$A$12,MATCH(cadangan[[#This Row],[ItemID B]],Katalog!$C$3:$C$12,0)),"-")</f>
        <v>-</v>
      </c>
      <c r="N838" s="39" t="str">
        <f>IFERROR(INDEX(Katalog!$B$3:$B$12,MATCH(cadangan[[#This Row],[ItemID B]],Katalog!$C$3:$C$12,0)),"-")</f>
        <v>-</v>
      </c>
      <c r="Q838" s="73">
        <f>IFERROR(INDEX(Katalog!$D$3:$D$12,MATCH(cadangan[[#This Row],[ItemID B]],Katalog!$C$3:$C$12,0))*cadangan[[#This Row],[Qty B]],0)</f>
        <v>0</v>
      </c>
      <c r="R838" s="73">
        <f>IFERROR(cadangan[[#This Row],[Harga Normal B]]-(cadangan[[#This Row],[Harga Normal B]]*cadangan[[#This Row],[Diskon]]),cadangan[[#This Row],[Harga Normal B]])</f>
        <v>0</v>
      </c>
      <c r="S838" s="73">
        <f>IFERROR(INDEX(Katalog!$F$3:$F$12,MATCH(cadangan[[#This Row],[ItemID B]],Katalog!$C$3:$C$12,0))*cadangan[[#This Row],[Qty B]],0)</f>
        <v>0</v>
      </c>
      <c r="T838" s="73">
        <f>IFERROR(cadangan[[#This Row],[Harga Diskon B]]-INDEX(Katalog!$E$3:$E$12,MATCH(cadangan[[#This Row],[ItemID B]],Katalog!$C$3:$C$12,0))*cadangan[[#This Row],[Qty B]],0)</f>
        <v>0</v>
      </c>
      <c r="V838" s="39" t="str">
        <f>IFERROR(INDEX(Katalog!$A$3:$A$12,MATCH(cadangan[[#This Row],[ItemID C]],Katalog!$C$3:$C$12,0)),"-")</f>
        <v>-</v>
      </c>
      <c r="W838" s="39" t="str">
        <f>IFERROR(INDEX(Katalog!$B$3:$B$12,MATCH(cadangan[[#This Row],[ItemID C]],Katalog!$C$3:$C$12,0)),"-")</f>
        <v>-</v>
      </c>
      <c r="Z838" s="73">
        <f>IFERROR(INDEX(Katalog!$D$3:$D$12,MATCH(cadangan[[#This Row],[ItemID C]],Katalog!$C$3:$C$12,0))*cadangan[[#This Row],[Qty C]],0)</f>
        <v>0</v>
      </c>
      <c r="AA838" s="73">
        <f>IFERROR(cadangan[[#This Row],[Harga Normal C]]-(cadangan[[#This Row],[Harga Normal C]]*cadangan[[#This Row],[Diskon]]),cadangan[[#This Row],[Harga Normal C]])</f>
        <v>0</v>
      </c>
      <c r="AB838" s="73">
        <f>IFERROR(INDEX(Katalog!$F$3:$F$12,MATCH(cadangan[[#This Row],[ItemID C]],Katalog!$C$3:$C$12,0))*cadangan[[#This Row],[Qty C]],0)</f>
        <v>0</v>
      </c>
      <c r="AC838" s="73">
        <f>IFERROR(cadangan[[#This Row],[Harga Diskon C]]-INDEX(Katalog!$E$3:$E$12,MATCH(cadangan[[#This Row],[ItemID C]],Katalog!$C$3:$C$12,0))*cadangan[[#This Row],[Qty C]],0)</f>
        <v>0</v>
      </c>
      <c r="AD838" s="53">
        <f>cadangan[[#This Row],[Qty A]]+cadangan[[#This Row],[Qty B]]+cadangan[[#This Row],[Qty C]]</f>
        <v>7</v>
      </c>
      <c r="AE838" s="73">
        <f>cadangan[[#This Row],[Harga Normal A]]+cadangan[[#This Row],[Harga Normal B]]+cadangan[[#This Row],[Harga Normal C]]</f>
        <v>1050000</v>
      </c>
      <c r="AF838" s="73">
        <f>cadangan[[#This Row],[Harga Diskon A]]+cadangan[[#This Row],[Harga Diskon B]]+cadangan[[#This Row],[Harga Diskon C]]</f>
        <v>945000</v>
      </c>
      <c r="AG838" s="73">
        <f>(cadangan[[#This Row],[Profit Normal A]]+cadangan[[#This Row],[Profit Normal B]]+cadangan[[#This Row],[Profit Normal C]])</f>
        <v>420000</v>
      </c>
      <c r="AH838" s="73">
        <f>cadangan[[#This Row],[Profit Diskon A]]+cadangan[[#This Row],[Profit Diskon B]]+cadangan[[#This Row],[Profit Diskon C]]</f>
        <v>315000</v>
      </c>
      <c r="AI838" s="23" t="s">
        <v>30</v>
      </c>
      <c r="AJ838" s="37">
        <f>IFERROR(INDEX('Kode Diskon'!$D$3:$D$9,MATCH(cadangan[[#This Row],[Kode diskon]],'Kode Diskon'!$C$3:$C$9,0)),"-")</f>
        <v>0.1</v>
      </c>
      <c r="AK838" s="23" t="s">
        <v>29</v>
      </c>
      <c r="AL838" s="23" t="s">
        <v>10</v>
      </c>
      <c r="AM838" s="23" t="s">
        <v>80</v>
      </c>
      <c r="AN838" s="55">
        <v>45020</v>
      </c>
      <c r="AO838" s="53">
        <f>DAY(cadangan[[#This Row],[Tanggal terjual]])</f>
        <v>4</v>
      </c>
      <c r="AP838" s="21" t="str">
        <f>TEXT(cadangan[[#This Row],[Tanggal terjual]],"dddd")</f>
        <v>Tuesday</v>
      </c>
      <c r="AQ838" s="23" t="str" cm="1">
        <f t="array" ref="AQ8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8" s="61">
        <f>AVERAGE(cadangan[[#This Row],[Rating A]],cadangan[[#This Row],[Rating B]],cadangan[[#This Row],[Rating C]])</f>
        <v>4</v>
      </c>
    </row>
    <row r="839" spans="1:44" x14ac:dyDescent="0.2">
      <c r="A839" s="20">
        <v>838</v>
      </c>
      <c r="B839" s="21" t="str">
        <f>_xlfn.CONCAT("ORD-",INDEX(Helper!$B$2:$B$5,MATCH(cadangan[[#This Row],[Marketplace]],Helper!$A$2:$A$5,0)),TEXT(cadangan[[#This Row],[No]],"0000"),"-",TEXT(cadangan[[#This Row],[Tanggal terjual]],"dd/mm/yy"))</f>
        <v>ORD-SP0838-06/04/23</v>
      </c>
      <c r="C839" s="39" t="s">
        <v>63</v>
      </c>
      <c r="D839" s="39" t="str">
        <f>IFERROR(INDEX(Katalog!$A$3:$A$12,MATCH(cadangan[[#This Row],[ItemID A]],Katalog!$C$3:$C$12,0)),"-")</f>
        <v>Pakaian Pria</v>
      </c>
      <c r="E839" s="39" t="str">
        <f>IFERROR(INDEX(Katalog!$B$3:$B$12,MATCH(cadangan[[#This Row],[ItemID A]],Katalog!$C$3:$C$12,0)),"-")</f>
        <v>Jaket Jeans</v>
      </c>
      <c r="F839" s="50">
        <v>2</v>
      </c>
      <c r="G839" s="50">
        <v>3</v>
      </c>
      <c r="H839" s="73">
        <f>IFERROR(INDEX(Katalog!$D$3:$D$12,MATCH(cadangan[[#This Row],[ItemID A]],Katalog!$C$3:$C$12,0))*cadangan[[#This Row],[Qty A]],0)</f>
        <v>800000</v>
      </c>
      <c r="I839" s="73">
        <f>IFERROR(cadangan[[#This Row],[Harga Normal A]]-(cadangan[[#This Row],[Harga Normal A]]*cadangan[[#This Row],[Diskon]]),cadangan[[#This Row],[Harga Normal A]])</f>
        <v>720000</v>
      </c>
      <c r="J839" s="73">
        <f>INDEX(Katalog!$F$3:$F$12,MATCH(cadangan[[#This Row],[ItemID A]],Katalog!$C$3:$C$12,0))*cadangan[[#This Row],[Qty A]]</f>
        <v>300000</v>
      </c>
      <c r="K839" s="73">
        <f>IFERROR(cadangan[[#This Row],[Harga Diskon A]]-INDEX(Katalog!$E$3:$E$12,MATCH(cadangan[[#This Row],[ItemID A]],Katalog!$C$3:$C$12,0))*cadangan[[#This Row],[Qty A]],0)</f>
        <v>220000</v>
      </c>
      <c r="M839" s="39" t="str">
        <f>IFERROR(INDEX(Katalog!$A$3:$A$12,MATCH(cadangan[[#This Row],[ItemID B]],Katalog!$C$3:$C$12,0)),"-")</f>
        <v>-</v>
      </c>
      <c r="N839" s="39" t="str">
        <f>IFERROR(INDEX(Katalog!$B$3:$B$12,MATCH(cadangan[[#This Row],[ItemID B]],Katalog!$C$3:$C$12,0)),"-")</f>
        <v>-</v>
      </c>
      <c r="Q839" s="73">
        <f>IFERROR(INDEX(Katalog!$D$3:$D$12,MATCH(cadangan[[#This Row],[ItemID B]],Katalog!$C$3:$C$12,0))*cadangan[[#This Row],[Qty B]],0)</f>
        <v>0</v>
      </c>
      <c r="R839" s="73">
        <f>IFERROR(cadangan[[#This Row],[Harga Normal B]]-(cadangan[[#This Row],[Harga Normal B]]*cadangan[[#This Row],[Diskon]]),cadangan[[#This Row],[Harga Normal B]])</f>
        <v>0</v>
      </c>
      <c r="S839" s="73">
        <f>IFERROR(INDEX(Katalog!$F$3:$F$12,MATCH(cadangan[[#This Row],[ItemID B]],Katalog!$C$3:$C$12,0))*cadangan[[#This Row],[Qty B]],0)</f>
        <v>0</v>
      </c>
      <c r="T839" s="73">
        <f>IFERROR(cadangan[[#This Row],[Harga Diskon B]]-INDEX(Katalog!$E$3:$E$12,MATCH(cadangan[[#This Row],[ItemID B]],Katalog!$C$3:$C$12,0))*cadangan[[#This Row],[Qty B]],0)</f>
        <v>0</v>
      </c>
      <c r="V839" s="39" t="str">
        <f>IFERROR(INDEX(Katalog!$A$3:$A$12,MATCH(cadangan[[#This Row],[ItemID C]],Katalog!$C$3:$C$12,0)),"-")</f>
        <v>-</v>
      </c>
      <c r="W839" s="39" t="str">
        <f>IFERROR(INDEX(Katalog!$B$3:$B$12,MATCH(cadangan[[#This Row],[ItemID C]],Katalog!$C$3:$C$12,0)),"-")</f>
        <v>-</v>
      </c>
      <c r="Z839" s="73">
        <f>IFERROR(INDEX(Katalog!$D$3:$D$12,MATCH(cadangan[[#This Row],[ItemID C]],Katalog!$C$3:$C$12,0))*cadangan[[#This Row],[Qty C]],0)</f>
        <v>0</v>
      </c>
      <c r="AA839" s="73">
        <f>IFERROR(cadangan[[#This Row],[Harga Normal C]]-(cadangan[[#This Row],[Harga Normal C]]*cadangan[[#This Row],[Diskon]]),cadangan[[#This Row],[Harga Normal C]])</f>
        <v>0</v>
      </c>
      <c r="AB839" s="73">
        <f>IFERROR(INDEX(Katalog!$F$3:$F$12,MATCH(cadangan[[#This Row],[ItemID C]],Katalog!$C$3:$C$12,0))*cadangan[[#This Row],[Qty C]],0)</f>
        <v>0</v>
      </c>
      <c r="AC839" s="73">
        <f>IFERROR(cadangan[[#This Row],[Harga Diskon C]]-INDEX(Katalog!$E$3:$E$12,MATCH(cadangan[[#This Row],[ItemID C]],Katalog!$C$3:$C$12,0))*cadangan[[#This Row],[Qty C]],0)</f>
        <v>0</v>
      </c>
      <c r="AD839" s="53">
        <f>cadangan[[#This Row],[Qty A]]+cadangan[[#This Row],[Qty B]]+cadangan[[#This Row],[Qty C]]</f>
        <v>2</v>
      </c>
      <c r="AE839" s="73">
        <f>cadangan[[#This Row],[Harga Normal A]]+cadangan[[#This Row],[Harga Normal B]]+cadangan[[#This Row],[Harga Normal C]]</f>
        <v>800000</v>
      </c>
      <c r="AF839" s="73">
        <f>cadangan[[#This Row],[Harga Diskon A]]+cadangan[[#This Row],[Harga Diskon B]]+cadangan[[#This Row],[Harga Diskon C]]</f>
        <v>720000</v>
      </c>
      <c r="AG839" s="73">
        <f>(cadangan[[#This Row],[Profit Normal A]]+cadangan[[#This Row],[Profit Normal B]]+cadangan[[#This Row],[Profit Normal C]])</f>
        <v>300000</v>
      </c>
      <c r="AH839" s="73">
        <f>cadangan[[#This Row],[Profit Diskon A]]+cadangan[[#This Row],[Profit Diskon B]]+cadangan[[#This Row],[Profit Diskon C]]</f>
        <v>220000</v>
      </c>
      <c r="AI839" s="23" t="s">
        <v>6</v>
      </c>
      <c r="AJ839" s="37">
        <f>IFERROR(INDEX('Kode Diskon'!$D$3:$D$9,MATCH(cadangan[[#This Row],[Kode diskon]],'Kode Diskon'!$C$3:$C$9,0)),"-")</f>
        <v>0.1</v>
      </c>
      <c r="AK839" s="23" t="s">
        <v>29</v>
      </c>
      <c r="AL839" s="23" t="s">
        <v>7</v>
      </c>
      <c r="AM839" s="23" t="s">
        <v>79</v>
      </c>
      <c r="AN839" s="55">
        <v>45022</v>
      </c>
      <c r="AO839" s="53">
        <f>DAY(cadangan[[#This Row],[Tanggal terjual]])</f>
        <v>6</v>
      </c>
      <c r="AP839" s="21" t="str">
        <f>TEXT(cadangan[[#This Row],[Tanggal terjual]],"dddd")</f>
        <v>Thursday</v>
      </c>
      <c r="AQ839" s="23" t="str" cm="1">
        <f t="array" ref="AQ8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39" s="61">
        <f>AVERAGE(cadangan[[#This Row],[Rating A]],cadangan[[#This Row],[Rating B]],cadangan[[#This Row],[Rating C]])</f>
        <v>3</v>
      </c>
    </row>
    <row r="840" spans="1:44" x14ac:dyDescent="0.2">
      <c r="A840" s="20">
        <v>839</v>
      </c>
      <c r="B840" s="21" t="str">
        <f>_xlfn.CONCAT("ORD-",INDEX(Helper!$B$2:$B$5,MATCH(cadangan[[#This Row],[Marketplace]],Helper!$A$2:$A$5,0)),TEXT(cadangan[[#This Row],[No]],"0000"),"-",TEXT(cadangan[[#This Row],[Tanggal terjual]],"dd/mm/yy"))</f>
        <v>ORD-TK0839-03/04/23</v>
      </c>
      <c r="C840" s="39" t="s">
        <v>64</v>
      </c>
      <c r="D840" s="39" t="str">
        <f>IFERROR(INDEX(Katalog!$A$3:$A$12,MATCH(cadangan[[#This Row],[ItemID A]],Katalog!$C$3:$C$12,0)),"-")</f>
        <v>Pakaian Unisex</v>
      </c>
      <c r="E840" s="39" t="str">
        <f>IFERROR(INDEX(Katalog!$B$3:$B$12,MATCH(cadangan[[#This Row],[ItemID A]],Katalog!$C$3:$C$12,0)),"-")</f>
        <v>Jaket Hoodie</v>
      </c>
      <c r="F840" s="50">
        <v>1</v>
      </c>
      <c r="G840" s="50">
        <v>5</v>
      </c>
      <c r="H840" s="73">
        <f>IFERROR(INDEX(Katalog!$D$3:$D$12,MATCH(cadangan[[#This Row],[ItemID A]],Katalog!$C$3:$C$12,0))*cadangan[[#This Row],[Qty A]],0)</f>
        <v>350000</v>
      </c>
      <c r="I840" s="73">
        <f>IFERROR(cadangan[[#This Row],[Harga Normal A]]-(cadangan[[#This Row],[Harga Normal A]]*cadangan[[#This Row],[Diskon]]),cadangan[[#This Row],[Harga Normal A]])</f>
        <v>315000</v>
      </c>
      <c r="J840" s="73">
        <f>INDEX(Katalog!$F$3:$F$12,MATCH(cadangan[[#This Row],[ItemID A]],Katalog!$C$3:$C$12,0))*cadangan[[#This Row],[Qty A]]</f>
        <v>130000</v>
      </c>
      <c r="K840" s="73">
        <f>IFERROR(cadangan[[#This Row],[Harga Diskon A]]-INDEX(Katalog!$E$3:$E$12,MATCH(cadangan[[#This Row],[ItemID A]],Katalog!$C$3:$C$12,0))*cadangan[[#This Row],[Qty A]],0)</f>
        <v>95000</v>
      </c>
      <c r="L840" s="39" t="s">
        <v>59</v>
      </c>
      <c r="M840" s="39" t="str">
        <f>IFERROR(INDEX(Katalog!$A$3:$A$12,MATCH(cadangan[[#This Row],[ItemID B]],Katalog!$C$3:$C$12,0)),"-")</f>
        <v>Pakaian Wanita</v>
      </c>
      <c r="N840" s="39" t="str">
        <f>IFERROR(INDEX(Katalog!$B$3:$B$12,MATCH(cadangan[[#This Row],[ItemID B]],Katalog!$C$3:$C$12,0)),"-")</f>
        <v>Blouse</v>
      </c>
      <c r="O840" s="50">
        <v>1</v>
      </c>
      <c r="P840" s="50">
        <v>1</v>
      </c>
      <c r="Q840" s="73">
        <f>IFERROR(INDEX(Katalog!$D$3:$D$12,MATCH(cadangan[[#This Row],[ItemID B]],Katalog!$C$3:$C$12,0))*cadangan[[#This Row],[Qty B]],0)</f>
        <v>150000</v>
      </c>
      <c r="R840" s="73">
        <f>IFERROR(cadangan[[#This Row],[Harga Normal B]]-(cadangan[[#This Row],[Harga Normal B]]*cadangan[[#This Row],[Diskon]]),cadangan[[#This Row],[Harga Normal B]])</f>
        <v>135000</v>
      </c>
      <c r="S840" s="73">
        <f>IFERROR(INDEX(Katalog!$F$3:$F$12,MATCH(cadangan[[#This Row],[ItemID B]],Katalog!$C$3:$C$12,0))*cadangan[[#This Row],[Qty B]],0)</f>
        <v>50000</v>
      </c>
      <c r="T840" s="73">
        <f>IFERROR(cadangan[[#This Row],[Harga Diskon B]]-INDEX(Katalog!$E$3:$E$12,MATCH(cadangan[[#This Row],[ItemID B]],Katalog!$C$3:$C$12,0))*cadangan[[#This Row],[Qty B]],0)</f>
        <v>35000</v>
      </c>
      <c r="V840" s="39" t="str">
        <f>IFERROR(INDEX(Katalog!$A$3:$A$12,MATCH(cadangan[[#This Row],[ItemID C]],Katalog!$C$3:$C$12,0)),"-")</f>
        <v>-</v>
      </c>
      <c r="W840" s="39" t="str">
        <f>IFERROR(INDEX(Katalog!$B$3:$B$12,MATCH(cadangan[[#This Row],[ItemID C]],Katalog!$C$3:$C$12,0)),"-")</f>
        <v>-</v>
      </c>
      <c r="Z840" s="73">
        <f>IFERROR(INDEX(Katalog!$D$3:$D$12,MATCH(cadangan[[#This Row],[ItemID C]],Katalog!$C$3:$C$12,0))*cadangan[[#This Row],[Qty C]],0)</f>
        <v>0</v>
      </c>
      <c r="AA840" s="73">
        <f>IFERROR(cadangan[[#This Row],[Harga Normal C]]-(cadangan[[#This Row],[Harga Normal C]]*cadangan[[#This Row],[Diskon]]),cadangan[[#This Row],[Harga Normal C]])</f>
        <v>0</v>
      </c>
      <c r="AB840" s="73">
        <f>IFERROR(INDEX(Katalog!$F$3:$F$12,MATCH(cadangan[[#This Row],[ItemID C]],Katalog!$C$3:$C$12,0))*cadangan[[#This Row],[Qty C]],0)</f>
        <v>0</v>
      </c>
      <c r="AC840" s="73">
        <f>IFERROR(cadangan[[#This Row],[Harga Diskon C]]-INDEX(Katalog!$E$3:$E$12,MATCH(cadangan[[#This Row],[ItemID C]],Katalog!$C$3:$C$12,0))*cadangan[[#This Row],[Qty C]],0)</f>
        <v>0</v>
      </c>
      <c r="AD840" s="53">
        <f>cadangan[[#This Row],[Qty A]]+cadangan[[#This Row],[Qty B]]+cadangan[[#This Row],[Qty C]]</f>
        <v>2</v>
      </c>
      <c r="AE840" s="73">
        <f>cadangan[[#This Row],[Harga Normal A]]+cadangan[[#This Row],[Harga Normal B]]+cadangan[[#This Row],[Harga Normal C]]</f>
        <v>500000</v>
      </c>
      <c r="AF840" s="73">
        <f>cadangan[[#This Row],[Harga Diskon A]]+cadangan[[#This Row],[Harga Diskon B]]+cadangan[[#This Row],[Harga Diskon C]]</f>
        <v>450000</v>
      </c>
      <c r="AG840" s="73">
        <f>(cadangan[[#This Row],[Profit Normal A]]+cadangan[[#This Row],[Profit Normal B]]+cadangan[[#This Row],[Profit Normal C]])</f>
        <v>180000</v>
      </c>
      <c r="AH840" s="73">
        <f>cadangan[[#This Row],[Profit Diskon A]]+cadangan[[#This Row],[Profit Diskon B]]+cadangan[[#This Row],[Profit Diskon C]]</f>
        <v>130000</v>
      </c>
      <c r="AI840" s="23" t="s">
        <v>30</v>
      </c>
      <c r="AJ840" s="37">
        <f>IFERROR(INDEX('Kode Diskon'!$D$3:$D$9,MATCH(cadangan[[#This Row],[Kode diskon]],'Kode Diskon'!$C$3:$C$9,0)),"-")</f>
        <v>0.1</v>
      </c>
      <c r="AK840" s="23" t="s">
        <v>29</v>
      </c>
      <c r="AL840" s="23" t="s">
        <v>10</v>
      </c>
      <c r="AM840" s="23" t="s">
        <v>77</v>
      </c>
      <c r="AN840" s="55">
        <v>45019</v>
      </c>
      <c r="AO840" s="53">
        <f>DAY(cadangan[[#This Row],[Tanggal terjual]])</f>
        <v>3</v>
      </c>
      <c r="AP840" s="21" t="str">
        <f>TEXT(cadangan[[#This Row],[Tanggal terjual]],"dddd")</f>
        <v>Monday</v>
      </c>
      <c r="AQ840" s="23" t="str" cm="1">
        <f t="array" ref="AQ8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40" s="61">
        <f>AVERAGE(cadangan[[#This Row],[Rating A]],cadangan[[#This Row],[Rating B]],cadangan[[#This Row],[Rating C]])</f>
        <v>3</v>
      </c>
    </row>
    <row r="841" spans="1:44" x14ac:dyDescent="0.2">
      <c r="A841" s="20">
        <v>840</v>
      </c>
      <c r="B841" s="21" t="str">
        <f>_xlfn.CONCAT("ORD-",INDEX(Helper!$B$2:$B$5,MATCH(cadangan[[#This Row],[Marketplace]],Helper!$A$2:$A$5,0)),TEXT(cadangan[[#This Row],[No]],"0000"),"-",TEXT(cadangan[[#This Row],[Tanggal terjual]],"dd/mm/yy"))</f>
        <v>ORD-SP0840-24/04/23</v>
      </c>
      <c r="C841" s="39" t="s">
        <v>64</v>
      </c>
      <c r="D841" s="39" t="str">
        <f>IFERROR(INDEX(Katalog!$A$3:$A$12,MATCH(cadangan[[#This Row],[ItemID A]],Katalog!$C$3:$C$12,0)),"-")</f>
        <v>Pakaian Unisex</v>
      </c>
      <c r="E841" s="39" t="str">
        <f>IFERROR(INDEX(Katalog!$B$3:$B$12,MATCH(cadangan[[#This Row],[ItemID A]],Katalog!$C$3:$C$12,0)),"-")</f>
        <v>Jaket Hoodie</v>
      </c>
      <c r="F841" s="50">
        <v>3</v>
      </c>
      <c r="G841" s="50">
        <v>2</v>
      </c>
      <c r="H841" s="73">
        <f>IFERROR(INDEX(Katalog!$D$3:$D$12,MATCH(cadangan[[#This Row],[ItemID A]],Katalog!$C$3:$C$12,0))*cadangan[[#This Row],[Qty A]],0)</f>
        <v>1050000</v>
      </c>
      <c r="I841" s="73">
        <f>IFERROR(cadangan[[#This Row],[Harga Normal A]]-(cadangan[[#This Row],[Harga Normal A]]*cadangan[[#This Row],[Diskon]]),cadangan[[#This Row],[Harga Normal A]])</f>
        <v>840000</v>
      </c>
      <c r="J841" s="73">
        <f>INDEX(Katalog!$F$3:$F$12,MATCH(cadangan[[#This Row],[ItemID A]],Katalog!$C$3:$C$12,0))*cadangan[[#This Row],[Qty A]]</f>
        <v>390000</v>
      </c>
      <c r="K841" s="73">
        <f>IFERROR(cadangan[[#This Row],[Harga Diskon A]]-INDEX(Katalog!$E$3:$E$12,MATCH(cadangan[[#This Row],[ItemID A]],Katalog!$C$3:$C$12,0))*cadangan[[#This Row],[Qty A]],0)</f>
        <v>180000</v>
      </c>
      <c r="L841" s="39" t="s">
        <v>60</v>
      </c>
      <c r="M841" s="39" t="str">
        <f>IFERROR(INDEX(Katalog!$A$3:$A$12,MATCH(cadangan[[#This Row],[ItemID B]],Katalog!$C$3:$C$12,0)),"-")</f>
        <v>Pakaian Wanita</v>
      </c>
      <c r="N841" s="39" t="str">
        <f>IFERROR(INDEX(Katalog!$B$3:$B$12,MATCH(cadangan[[#This Row],[ItemID B]],Katalog!$C$3:$C$12,0)),"-")</f>
        <v>Kaftan</v>
      </c>
      <c r="O841" s="50">
        <v>1</v>
      </c>
      <c r="P841" s="50">
        <v>5</v>
      </c>
      <c r="Q841" s="73">
        <f>IFERROR(INDEX(Katalog!$D$3:$D$12,MATCH(cadangan[[#This Row],[ItemID B]],Katalog!$C$3:$C$12,0))*cadangan[[#This Row],[Qty B]],0)</f>
        <v>250000</v>
      </c>
      <c r="R841" s="73">
        <f>IFERROR(cadangan[[#This Row],[Harga Normal B]]-(cadangan[[#This Row],[Harga Normal B]]*cadangan[[#This Row],[Diskon]]),cadangan[[#This Row],[Harga Normal B]])</f>
        <v>200000</v>
      </c>
      <c r="S841" s="73">
        <f>IFERROR(INDEX(Katalog!$F$3:$F$12,MATCH(cadangan[[#This Row],[ItemID B]],Katalog!$C$3:$C$12,0))*cadangan[[#This Row],[Qty B]],0)</f>
        <v>100000</v>
      </c>
      <c r="T841" s="73">
        <f>IFERROR(cadangan[[#This Row],[Harga Diskon B]]-INDEX(Katalog!$E$3:$E$12,MATCH(cadangan[[#This Row],[ItemID B]],Katalog!$C$3:$C$12,0))*cadangan[[#This Row],[Qty B]],0)</f>
        <v>50000</v>
      </c>
      <c r="U841" s="39" t="s">
        <v>62</v>
      </c>
      <c r="V841" s="39" t="str">
        <f>IFERROR(INDEX(Katalog!$A$3:$A$12,MATCH(cadangan[[#This Row],[ItemID C]],Katalog!$C$3:$C$12,0)),"-")</f>
        <v>Pakaian Pria</v>
      </c>
      <c r="W841" s="39" t="str">
        <f>IFERROR(INDEX(Katalog!$B$3:$B$12,MATCH(cadangan[[#This Row],[ItemID C]],Katalog!$C$3:$C$12,0)),"-")</f>
        <v>Celana Pendek</v>
      </c>
      <c r="X841" s="50">
        <v>2</v>
      </c>
      <c r="Y841" s="50">
        <v>3</v>
      </c>
      <c r="Z841" s="73">
        <f>IFERROR(INDEX(Katalog!$D$3:$D$12,MATCH(cadangan[[#This Row],[ItemID C]],Katalog!$C$3:$C$12,0))*cadangan[[#This Row],[Qty C]],0)</f>
        <v>360000</v>
      </c>
      <c r="AA841" s="73">
        <f>IFERROR(cadangan[[#This Row],[Harga Normal C]]-(cadangan[[#This Row],[Harga Normal C]]*cadangan[[#This Row],[Diskon]]),cadangan[[#This Row],[Harga Normal C]])</f>
        <v>288000</v>
      </c>
      <c r="AB841" s="73">
        <f>IFERROR(INDEX(Katalog!$F$3:$F$12,MATCH(cadangan[[#This Row],[ItemID C]],Katalog!$C$3:$C$12,0))*cadangan[[#This Row],[Qty C]],0)</f>
        <v>140000</v>
      </c>
      <c r="AC841" s="73">
        <f>IFERROR(cadangan[[#This Row],[Harga Diskon C]]-INDEX(Katalog!$E$3:$E$12,MATCH(cadangan[[#This Row],[ItemID C]],Katalog!$C$3:$C$12,0))*cadangan[[#This Row],[Qty C]],0)</f>
        <v>68000</v>
      </c>
      <c r="AD841" s="53">
        <f>cadangan[[#This Row],[Qty A]]+cadangan[[#This Row],[Qty B]]+cadangan[[#This Row],[Qty C]]</f>
        <v>6</v>
      </c>
      <c r="AE841" s="73">
        <f>cadangan[[#This Row],[Harga Normal A]]+cadangan[[#This Row],[Harga Normal B]]+cadangan[[#This Row],[Harga Normal C]]</f>
        <v>1660000</v>
      </c>
      <c r="AF841" s="73">
        <f>cadangan[[#This Row],[Harga Diskon A]]+cadangan[[#This Row],[Harga Diskon B]]+cadangan[[#This Row],[Harga Diskon C]]</f>
        <v>1328000</v>
      </c>
      <c r="AG841" s="73">
        <f>(cadangan[[#This Row],[Profit Normal A]]+cadangan[[#This Row],[Profit Normal B]]+cadangan[[#This Row],[Profit Normal C]])</f>
        <v>630000</v>
      </c>
      <c r="AH841" s="73">
        <f>cadangan[[#This Row],[Profit Diskon A]]+cadangan[[#This Row],[Profit Diskon B]]+cadangan[[#This Row],[Profit Diskon C]]</f>
        <v>298000</v>
      </c>
      <c r="AI841" s="23" t="s">
        <v>8</v>
      </c>
      <c r="AJ841" s="37">
        <f>IFERROR(INDEX('Kode Diskon'!$D$3:$D$9,MATCH(cadangan[[#This Row],[Kode diskon]],'Kode Diskon'!$C$3:$C$9,0)),"-")</f>
        <v>0.2</v>
      </c>
      <c r="AK841" s="23" t="s">
        <v>9</v>
      </c>
      <c r="AL841" s="23" t="s">
        <v>7</v>
      </c>
      <c r="AM841" s="23" t="s">
        <v>75</v>
      </c>
      <c r="AN841" s="55">
        <v>45040</v>
      </c>
      <c r="AO841" s="53">
        <f>DAY(cadangan[[#This Row],[Tanggal terjual]])</f>
        <v>24</v>
      </c>
      <c r="AP841" s="21" t="str">
        <f>TEXT(cadangan[[#This Row],[Tanggal terjual]],"dddd")</f>
        <v>Monday</v>
      </c>
      <c r="AQ841" s="23" t="str" cm="1">
        <f t="array" ref="AQ8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41" s="61">
        <f>AVERAGE(cadangan[[#This Row],[Rating A]],cadangan[[#This Row],[Rating B]],cadangan[[#This Row],[Rating C]])</f>
        <v>3.3333333333333335</v>
      </c>
    </row>
    <row r="842" spans="1:44" x14ac:dyDescent="0.2">
      <c r="A842" s="20">
        <v>841</v>
      </c>
      <c r="B842" s="21" t="str">
        <f>_xlfn.CONCAT("ORD-",INDEX(Helper!$B$2:$B$5,MATCH(cadangan[[#This Row],[Marketplace]],Helper!$A$2:$A$5,0)),TEXT(cadangan[[#This Row],[No]],"0000"),"-",TEXT(cadangan[[#This Row],[Tanggal terjual]],"dd/mm/yy"))</f>
        <v>ORD-BL0841-15/04/23</v>
      </c>
      <c r="C842" s="39" t="s">
        <v>63</v>
      </c>
      <c r="D842" s="39" t="str">
        <f>IFERROR(INDEX(Katalog!$A$3:$A$12,MATCH(cadangan[[#This Row],[ItemID A]],Katalog!$C$3:$C$12,0)),"-")</f>
        <v>Pakaian Pria</v>
      </c>
      <c r="E842" s="39" t="str">
        <f>IFERROR(INDEX(Katalog!$B$3:$B$12,MATCH(cadangan[[#This Row],[ItemID A]],Katalog!$C$3:$C$12,0)),"-")</f>
        <v>Jaket Jeans</v>
      </c>
      <c r="F842" s="50">
        <v>1</v>
      </c>
      <c r="G842" s="50">
        <v>1</v>
      </c>
      <c r="H842" s="73">
        <f>IFERROR(INDEX(Katalog!$D$3:$D$12,MATCH(cadangan[[#This Row],[ItemID A]],Katalog!$C$3:$C$12,0))*cadangan[[#This Row],[Qty A]],0)</f>
        <v>400000</v>
      </c>
      <c r="I842" s="73">
        <f>IFERROR(cadangan[[#This Row],[Harga Normal A]]-(cadangan[[#This Row],[Harga Normal A]]*cadangan[[#This Row],[Diskon]]),cadangan[[#This Row],[Harga Normal A]])</f>
        <v>400000</v>
      </c>
      <c r="J842" s="73">
        <f>INDEX(Katalog!$F$3:$F$12,MATCH(cadangan[[#This Row],[ItemID A]],Katalog!$C$3:$C$12,0))*cadangan[[#This Row],[Qty A]]</f>
        <v>150000</v>
      </c>
      <c r="K842" s="73">
        <f>IFERROR(cadangan[[#This Row],[Harga Diskon A]]-INDEX(Katalog!$E$3:$E$12,MATCH(cadangan[[#This Row],[ItemID A]],Katalog!$C$3:$C$12,0))*cadangan[[#This Row],[Qty A]],0)</f>
        <v>150000</v>
      </c>
      <c r="L842" s="39" t="s">
        <v>61</v>
      </c>
      <c r="M842" s="39" t="str">
        <f>IFERROR(INDEX(Katalog!$A$3:$A$12,MATCH(cadangan[[#This Row],[ItemID B]],Katalog!$C$3:$C$12,0)),"-")</f>
        <v>Pakaian Pria</v>
      </c>
      <c r="N842" s="39" t="str">
        <f>IFERROR(INDEX(Katalog!$B$3:$B$12,MATCH(cadangan[[#This Row],[ItemID B]],Katalog!$C$3:$C$12,0)),"-")</f>
        <v>Kaos Polo</v>
      </c>
      <c r="O842" s="50">
        <v>4</v>
      </c>
      <c r="P842" s="50">
        <v>1</v>
      </c>
      <c r="Q842" s="73">
        <f>IFERROR(INDEX(Katalog!$D$3:$D$12,MATCH(cadangan[[#This Row],[ItemID B]],Katalog!$C$3:$C$12,0))*cadangan[[#This Row],[Qty B]],0)</f>
        <v>800000</v>
      </c>
      <c r="R842" s="73">
        <f>IFERROR(cadangan[[#This Row],[Harga Normal B]]-(cadangan[[#This Row],[Harga Normal B]]*cadangan[[#This Row],[Diskon]]),cadangan[[#This Row],[Harga Normal B]])</f>
        <v>800000</v>
      </c>
      <c r="S842" s="73">
        <f>IFERROR(INDEX(Katalog!$F$3:$F$12,MATCH(cadangan[[#This Row],[ItemID B]],Katalog!$C$3:$C$12,0))*cadangan[[#This Row],[Qty B]],0)</f>
        <v>320000</v>
      </c>
      <c r="T842" s="73">
        <f>IFERROR(cadangan[[#This Row],[Harga Diskon B]]-INDEX(Katalog!$E$3:$E$12,MATCH(cadangan[[#This Row],[ItemID B]],Katalog!$C$3:$C$12,0))*cadangan[[#This Row],[Qty B]],0)</f>
        <v>320000</v>
      </c>
      <c r="V842" s="39" t="str">
        <f>IFERROR(INDEX(Katalog!$A$3:$A$12,MATCH(cadangan[[#This Row],[ItemID C]],Katalog!$C$3:$C$12,0)),"-")</f>
        <v>-</v>
      </c>
      <c r="W842" s="39" t="str">
        <f>IFERROR(INDEX(Katalog!$B$3:$B$12,MATCH(cadangan[[#This Row],[ItemID C]],Katalog!$C$3:$C$12,0)),"-")</f>
        <v>-</v>
      </c>
      <c r="Z842" s="73">
        <f>IFERROR(INDEX(Katalog!$D$3:$D$12,MATCH(cadangan[[#This Row],[ItemID C]],Katalog!$C$3:$C$12,0))*cadangan[[#This Row],[Qty C]],0)</f>
        <v>0</v>
      </c>
      <c r="AA842" s="73">
        <f>IFERROR(cadangan[[#This Row],[Harga Normal C]]-(cadangan[[#This Row],[Harga Normal C]]*cadangan[[#This Row],[Diskon]]),cadangan[[#This Row],[Harga Normal C]])</f>
        <v>0</v>
      </c>
      <c r="AB842" s="73">
        <f>IFERROR(INDEX(Katalog!$F$3:$F$12,MATCH(cadangan[[#This Row],[ItemID C]],Katalog!$C$3:$C$12,0))*cadangan[[#This Row],[Qty C]],0)</f>
        <v>0</v>
      </c>
      <c r="AC842" s="73">
        <f>IFERROR(cadangan[[#This Row],[Harga Diskon C]]-INDEX(Katalog!$E$3:$E$12,MATCH(cadangan[[#This Row],[ItemID C]],Katalog!$C$3:$C$12,0))*cadangan[[#This Row],[Qty C]],0)</f>
        <v>0</v>
      </c>
      <c r="AD842" s="53">
        <f>cadangan[[#This Row],[Qty A]]+cadangan[[#This Row],[Qty B]]+cadangan[[#This Row],[Qty C]]</f>
        <v>5</v>
      </c>
      <c r="AE842" s="73">
        <f>cadangan[[#This Row],[Harga Normal A]]+cadangan[[#This Row],[Harga Normal B]]+cadangan[[#This Row],[Harga Normal C]]</f>
        <v>1200000</v>
      </c>
      <c r="AF842" s="73">
        <f>cadangan[[#This Row],[Harga Diskon A]]+cadangan[[#This Row],[Harga Diskon B]]+cadangan[[#This Row],[Harga Diskon C]]</f>
        <v>1200000</v>
      </c>
      <c r="AG842" s="73">
        <f>(cadangan[[#This Row],[Profit Normal A]]+cadangan[[#This Row],[Profit Normal B]]+cadangan[[#This Row],[Profit Normal C]])</f>
        <v>470000</v>
      </c>
      <c r="AH842" s="73">
        <f>cadangan[[#This Row],[Profit Diskon A]]+cadangan[[#This Row],[Profit Diskon B]]+cadangan[[#This Row],[Profit Diskon C]]</f>
        <v>470000</v>
      </c>
      <c r="AI842" s="23" t="s">
        <v>290</v>
      </c>
      <c r="AJ842" s="37" t="str">
        <f>IFERROR(INDEX('Kode Diskon'!$D$3:$D$9,MATCH(cadangan[[#This Row],[Kode diskon]],'Kode Diskon'!$C$3:$C$9,0)),"-")</f>
        <v>-</v>
      </c>
      <c r="AK842" s="23" t="s">
        <v>290</v>
      </c>
      <c r="AL842" s="23" t="s">
        <v>12</v>
      </c>
      <c r="AM842" s="23" t="s">
        <v>80</v>
      </c>
      <c r="AN842" s="55">
        <v>45031</v>
      </c>
      <c r="AO842" s="53">
        <f>DAY(cadangan[[#This Row],[Tanggal terjual]])</f>
        <v>15</v>
      </c>
      <c r="AP842" s="21" t="str">
        <f>TEXT(cadangan[[#This Row],[Tanggal terjual]],"dddd")</f>
        <v>Saturday</v>
      </c>
      <c r="AQ842" s="23" t="str" cm="1">
        <f t="array" ref="AQ8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42" s="61">
        <f>AVERAGE(cadangan[[#This Row],[Rating A]],cadangan[[#This Row],[Rating B]],cadangan[[#This Row],[Rating C]])</f>
        <v>1</v>
      </c>
    </row>
    <row r="843" spans="1:44" x14ac:dyDescent="0.2">
      <c r="A843" s="20">
        <v>842</v>
      </c>
      <c r="B843" s="21" t="str">
        <f>_xlfn.CONCAT("ORD-",INDEX(Helper!$B$2:$B$5,MATCH(cadangan[[#This Row],[Marketplace]],Helper!$A$2:$A$5,0)),TEXT(cadangan[[#This Row],[No]],"0000"),"-",TEXT(cadangan[[#This Row],[Tanggal terjual]],"dd/mm/yy"))</f>
        <v>ORD-SP0842-07/04/23</v>
      </c>
      <c r="C843" s="39" t="s">
        <v>65</v>
      </c>
      <c r="D843" s="39" t="str">
        <f>IFERROR(INDEX(Katalog!$A$3:$A$12,MATCH(cadangan[[#This Row],[ItemID A]],Katalog!$C$3:$C$12,0)),"-")</f>
        <v>Sepatu Pria</v>
      </c>
      <c r="E843" s="39" t="str">
        <f>IFERROR(INDEX(Katalog!$B$3:$B$12,MATCH(cadangan[[#This Row],[ItemID A]],Katalog!$C$3:$C$12,0)),"-")</f>
        <v>Sneakers</v>
      </c>
      <c r="F843" s="50">
        <v>1</v>
      </c>
      <c r="G843" s="50">
        <v>5</v>
      </c>
      <c r="H843" s="73">
        <f>IFERROR(INDEX(Katalog!$D$3:$D$12,MATCH(cadangan[[#This Row],[ItemID A]],Katalog!$C$3:$C$12,0))*cadangan[[#This Row],[Qty A]],0)</f>
        <v>500000</v>
      </c>
      <c r="I843" s="73">
        <f>IFERROR(cadangan[[#This Row],[Harga Normal A]]-(cadangan[[#This Row],[Harga Normal A]]*cadangan[[#This Row],[Diskon]]),cadangan[[#This Row],[Harga Normal A]])</f>
        <v>500000</v>
      </c>
      <c r="J843" s="73">
        <f>INDEX(Katalog!$F$3:$F$12,MATCH(cadangan[[#This Row],[ItemID A]],Katalog!$C$3:$C$12,0))*cadangan[[#This Row],[Qty A]]</f>
        <v>200000</v>
      </c>
      <c r="K843" s="73">
        <f>IFERROR(cadangan[[#This Row],[Harga Diskon A]]-INDEX(Katalog!$E$3:$E$12,MATCH(cadangan[[#This Row],[ItemID A]],Katalog!$C$3:$C$12,0))*cadangan[[#This Row],[Qty A]],0)</f>
        <v>200000</v>
      </c>
      <c r="L843" s="39" t="s">
        <v>58</v>
      </c>
      <c r="M843" s="39" t="str">
        <f>IFERROR(INDEX(Katalog!$A$3:$A$12,MATCH(cadangan[[#This Row],[ItemID B]],Katalog!$C$3:$C$12,0)),"-")</f>
        <v>Pakaian Wanita</v>
      </c>
      <c r="N843" s="39" t="str">
        <f>IFERROR(INDEX(Katalog!$B$3:$B$12,MATCH(cadangan[[#This Row],[ItemID B]],Katalog!$C$3:$C$12,0)),"-")</f>
        <v>Dress</v>
      </c>
      <c r="O843" s="50">
        <v>6</v>
      </c>
      <c r="P843" s="50">
        <v>4</v>
      </c>
      <c r="Q843" s="73">
        <f>IFERROR(INDEX(Katalog!$D$3:$D$12,MATCH(cadangan[[#This Row],[ItemID B]],Katalog!$C$3:$C$12,0))*cadangan[[#This Row],[Qty B]],0)</f>
        <v>1800000</v>
      </c>
      <c r="R843" s="73">
        <f>IFERROR(cadangan[[#This Row],[Harga Normal B]]-(cadangan[[#This Row],[Harga Normal B]]*cadangan[[#This Row],[Diskon]]),cadangan[[#This Row],[Harga Normal B]])</f>
        <v>1800000</v>
      </c>
      <c r="S843" s="73">
        <f>IFERROR(INDEX(Katalog!$F$3:$F$12,MATCH(cadangan[[#This Row],[ItemID B]],Katalog!$C$3:$C$12,0))*cadangan[[#This Row],[Qty B]],0)</f>
        <v>600000</v>
      </c>
      <c r="T843" s="73">
        <f>IFERROR(cadangan[[#This Row],[Harga Diskon B]]-INDEX(Katalog!$E$3:$E$12,MATCH(cadangan[[#This Row],[ItemID B]],Katalog!$C$3:$C$12,0))*cadangan[[#This Row],[Qty B]],0)</f>
        <v>600000</v>
      </c>
      <c r="V843" s="39" t="str">
        <f>IFERROR(INDEX(Katalog!$A$3:$A$12,MATCH(cadangan[[#This Row],[ItemID C]],Katalog!$C$3:$C$12,0)),"-")</f>
        <v>-</v>
      </c>
      <c r="W843" s="39" t="str">
        <f>IFERROR(INDEX(Katalog!$B$3:$B$12,MATCH(cadangan[[#This Row],[ItemID C]],Katalog!$C$3:$C$12,0)),"-")</f>
        <v>-</v>
      </c>
      <c r="Z843" s="73">
        <f>IFERROR(INDEX(Katalog!$D$3:$D$12,MATCH(cadangan[[#This Row],[ItemID C]],Katalog!$C$3:$C$12,0))*cadangan[[#This Row],[Qty C]],0)</f>
        <v>0</v>
      </c>
      <c r="AA843" s="73">
        <f>IFERROR(cadangan[[#This Row],[Harga Normal C]]-(cadangan[[#This Row],[Harga Normal C]]*cadangan[[#This Row],[Diskon]]),cadangan[[#This Row],[Harga Normal C]])</f>
        <v>0</v>
      </c>
      <c r="AB843" s="73">
        <f>IFERROR(INDEX(Katalog!$F$3:$F$12,MATCH(cadangan[[#This Row],[ItemID C]],Katalog!$C$3:$C$12,0))*cadangan[[#This Row],[Qty C]],0)</f>
        <v>0</v>
      </c>
      <c r="AC843" s="73">
        <f>IFERROR(cadangan[[#This Row],[Harga Diskon C]]-INDEX(Katalog!$E$3:$E$12,MATCH(cadangan[[#This Row],[ItemID C]],Katalog!$C$3:$C$12,0))*cadangan[[#This Row],[Qty C]],0)</f>
        <v>0</v>
      </c>
      <c r="AD843" s="53">
        <f>cadangan[[#This Row],[Qty A]]+cadangan[[#This Row],[Qty B]]+cadangan[[#This Row],[Qty C]]</f>
        <v>7</v>
      </c>
      <c r="AE843" s="73">
        <f>cadangan[[#This Row],[Harga Normal A]]+cadangan[[#This Row],[Harga Normal B]]+cadangan[[#This Row],[Harga Normal C]]</f>
        <v>2300000</v>
      </c>
      <c r="AF843" s="73">
        <f>cadangan[[#This Row],[Harga Diskon A]]+cadangan[[#This Row],[Harga Diskon B]]+cadangan[[#This Row],[Harga Diskon C]]</f>
        <v>2300000</v>
      </c>
      <c r="AG843" s="73">
        <f>(cadangan[[#This Row],[Profit Normal A]]+cadangan[[#This Row],[Profit Normal B]]+cadangan[[#This Row],[Profit Normal C]])</f>
        <v>800000</v>
      </c>
      <c r="AH843" s="73">
        <f>cadangan[[#This Row],[Profit Diskon A]]+cadangan[[#This Row],[Profit Diskon B]]+cadangan[[#This Row],[Profit Diskon C]]</f>
        <v>800000</v>
      </c>
      <c r="AI843" s="23" t="s">
        <v>290</v>
      </c>
      <c r="AJ843" s="37" t="str">
        <f>IFERROR(INDEX('Kode Diskon'!$D$3:$D$9,MATCH(cadangan[[#This Row],[Kode diskon]],'Kode Diskon'!$C$3:$C$9,0)),"-")</f>
        <v>-</v>
      </c>
      <c r="AK843" s="23" t="s">
        <v>290</v>
      </c>
      <c r="AL843" s="23" t="s">
        <v>7</v>
      </c>
      <c r="AM843" s="23" t="s">
        <v>80</v>
      </c>
      <c r="AN843" s="55">
        <v>45023</v>
      </c>
      <c r="AO843" s="53">
        <f>DAY(cadangan[[#This Row],[Tanggal terjual]])</f>
        <v>7</v>
      </c>
      <c r="AP843" s="21" t="str">
        <f>TEXT(cadangan[[#This Row],[Tanggal terjual]],"dddd")</f>
        <v>Friday</v>
      </c>
      <c r="AQ843" s="23" t="str" cm="1">
        <f t="array" ref="AQ8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43" s="61">
        <f>AVERAGE(cadangan[[#This Row],[Rating A]],cadangan[[#This Row],[Rating B]],cadangan[[#This Row],[Rating C]])</f>
        <v>4.5</v>
      </c>
    </row>
    <row r="844" spans="1:44" x14ac:dyDescent="0.2">
      <c r="A844" s="20">
        <v>843</v>
      </c>
      <c r="B844" s="21" t="str">
        <f>_xlfn.CONCAT("ORD-",INDEX(Helper!$B$2:$B$5,MATCH(cadangan[[#This Row],[Marketplace]],Helper!$A$2:$A$5,0)),TEXT(cadangan[[#This Row],[No]],"0000"),"-",TEXT(cadangan[[#This Row],[Tanggal terjual]],"dd/mm/yy"))</f>
        <v>ORD-TK0843-05/04/23</v>
      </c>
      <c r="C844" s="39" t="s">
        <v>58</v>
      </c>
      <c r="D844" s="39" t="str">
        <f>IFERROR(INDEX(Katalog!$A$3:$A$12,MATCH(cadangan[[#This Row],[ItemID A]],Katalog!$C$3:$C$12,0)),"-")</f>
        <v>Pakaian Wanita</v>
      </c>
      <c r="E844" s="39" t="str">
        <f>IFERROR(INDEX(Katalog!$B$3:$B$12,MATCH(cadangan[[#This Row],[ItemID A]],Katalog!$C$3:$C$12,0)),"-")</f>
        <v>Dress</v>
      </c>
      <c r="F844" s="50">
        <v>1</v>
      </c>
      <c r="G844" s="50">
        <v>3</v>
      </c>
      <c r="H844" s="73">
        <f>IFERROR(INDEX(Katalog!$D$3:$D$12,MATCH(cadangan[[#This Row],[ItemID A]],Katalog!$C$3:$C$12,0))*cadangan[[#This Row],[Qty A]],0)</f>
        <v>300000</v>
      </c>
      <c r="I844" s="73">
        <f>IFERROR(cadangan[[#This Row],[Harga Normal A]]-(cadangan[[#This Row],[Harga Normal A]]*cadangan[[#This Row],[Diskon]]),cadangan[[#This Row],[Harga Normal A]])</f>
        <v>270000</v>
      </c>
      <c r="J844" s="73">
        <f>INDEX(Katalog!$F$3:$F$12,MATCH(cadangan[[#This Row],[ItemID A]],Katalog!$C$3:$C$12,0))*cadangan[[#This Row],[Qty A]]</f>
        <v>100000</v>
      </c>
      <c r="K844" s="73">
        <f>IFERROR(cadangan[[#This Row],[Harga Diskon A]]-INDEX(Katalog!$E$3:$E$12,MATCH(cadangan[[#This Row],[ItemID A]],Katalog!$C$3:$C$12,0))*cadangan[[#This Row],[Qty A]],0)</f>
        <v>70000</v>
      </c>
      <c r="L844" s="39" t="s">
        <v>61</v>
      </c>
      <c r="M844" s="39" t="str">
        <f>IFERROR(INDEX(Katalog!$A$3:$A$12,MATCH(cadangan[[#This Row],[ItemID B]],Katalog!$C$3:$C$12,0)),"-")</f>
        <v>Pakaian Pria</v>
      </c>
      <c r="N844" s="39" t="str">
        <f>IFERROR(INDEX(Katalog!$B$3:$B$12,MATCH(cadangan[[#This Row],[ItemID B]],Katalog!$C$3:$C$12,0)),"-")</f>
        <v>Kaos Polo</v>
      </c>
      <c r="O844" s="50">
        <v>3</v>
      </c>
      <c r="P844" s="50">
        <v>1</v>
      </c>
      <c r="Q844" s="73">
        <f>IFERROR(INDEX(Katalog!$D$3:$D$12,MATCH(cadangan[[#This Row],[ItemID B]],Katalog!$C$3:$C$12,0))*cadangan[[#This Row],[Qty B]],0)</f>
        <v>600000</v>
      </c>
      <c r="R844" s="73">
        <f>IFERROR(cadangan[[#This Row],[Harga Normal B]]-(cadangan[[#This Row],[Harga Normal B]]*cadangan[[#This Row],[Diskon]]),cadangan[[#This Row],[Harga Normal B]])</f>
        <v>540000</v>
      </c>
      <c r="S844" s="73">
        <f>IFERROR(INDEX(Katalog!$F$3:$F$12,MATCH(cadangan[[#This Row],[ItemID B]],Katalog!$C$3:$C$12,0))*cadangan[[#This Row],[Qty B]],0)</f>
        <v>240000</v>
      </c>
      <c r="T844" s="73">
        <f>IFERROR(cadangan[[#This Row],[Harga Diskon B]]-INDEX(Katalog!$E$3:$E$12,MATCH(cadangan[[#This Row],[ItemID B]],Katalog!$C$3:$C$12,0))*cadangan[[#This Row],[Qty B]],0)</f>
        <v>180000</v>
      </c>
      <c r="U844" s="39" t="s">
        <v>65</v>
      </c>
      <c r="V844" s="39" t="str">
        <f>IFERROR(INDEX(Katalog!$A$3:$A$12,MATCH(cadangan[[#This Row],[ItemID C]],Katalog!$C$3:$C$12,0)),"-")</f>
        <v>Sepatu Pria</v>
      </c>
      <c r="W844" s="39" t="str">
        <f>IFERROR(INDEX(Katalog!$B$3:$B$12,MATCH(cadangan[[#This Row],[ItemID C]],Katalog!$C$3:$C$12,0)),"-")</f>
        <v>Sneakers</v>
      </c>
      <c r="X844" s="50">
        <v>1</v>
      </c>
      <c r="Y844" s="50">
        <v>2</v>
      </c>
      <c r="Z844" s="73">
        <f>IFERROR(INDEX(Katalog!$D$3:$D$12,MATCH(cadangan[[#This Row],[ItemID C]],Katalog!$C$3:$C$12,0))*cadangan[[#This Row],[Qty C]],0)</f>
        <v>500000</v>
      </c>
      <c r="AA844" s="73">
        <f>IFERROR(cadangan[[#This Row],[Harga Normal C]]-(cadangan[[#This Row],[Harga Normal C]]*cadangan[[#This Row],[Diskon]]),cadangan[[#This Row],[Harga Normal C]])</f>
        <v>450000</v>
      </c>
      <c r="AB844" s="73">
        <f>IFERROR(INDEX(Katalog!$F$3:$F$12,MATCH(cadangan[[#This Row],[ItemID C]],Katalog!$C$3:$C$12,0))*cadangan[[#This Row],[Qty C]],0)</f>
        <v>200000</v>
      </c>
      <c r="AC844" s="73">
        <f>IFERROR(cadangan[[#This Row],[Harga Diskon C]]-INDEX(Katalog!$E$3:$E$12,MATCH(cadangan[[#This Row],[ItemID C]],Katalog!$C$3:$C$12,0))*cadangan[[#This Row],[Qty C]],0)</f>
        <v>150000</v>
      </c>
      <c r="AD844" s="53">
        <f>cadangan[[#This Row],[Qty A]]+cadangan[[#This Row],[Qty B]]+cadangan[[#This Row],[Qty C]]</f>
        <v>5</v>
      </c>
      <c r="AE844" s="73">
        <f>cadangan[[#This Row],[Harga Normal A]]+cadangan[[#This Row],[Harga Normal B]]+cadangan[[#This Row],[Harga Normal C]]</f>
        <v>1400000</v>
      </c>
      <c r="AF844" s="73">
        <f>cadangan[[#This Row],[Harga Diskon A]]+cadangan[[#This Row],[Harga Diskon B]]+cadangan[[#This Row],[Harga Diskon C]]</f>
        <v>1260000</v>
      </c>
      <c r="AG844" s="73">
        <f>(cadangan[[#This Row],[Profit Normal A]]+cadangan[[#This Row],[Profit Normal B]]+cadangan[[#This Row],[Profit Normal C]])</f>
        <v>540000</v>
      </c>
      <c r="AH844" s="73">
        <f>cadangan[[#This Row],[Profit Diskon A]]+cadangan[[#This Row],[Profit Diskon B]]+cadangan[[#This Row],[Profit Diskon C]]</f>
        <v>400000</v>
      </c>
      <c r="AI844" s="23" t="s">
        <v>30</v>
      </c>
      <c r="AJ844" s="37">
        <f>IFERROR(INDEX('Kode Diskon'!$D$3:$D$9,MATCH(cadangan[[#This Row],[Kode diskon]],'Kode Diskon'!$C$3:$C$9,0)),"-")</f>
        <v>0.1</v>
      </c>
      <c r="AK844" s="23" t="s">
        <v>29</v>
      </c>
      <c r="AL844" s="23" t="s">
        <v>10</v>
      </c>
      <c r="AM844" s="23" t="s">
        <v>79</v>
      </c>
      <c r="AN844" s="55">
        <v>45021</v>
      </c>
      <c r="AO844" s="53">
        <f>DAY(cadangan[[#This Row],[Tanggal terjual]])</f>
        <v>5</v>
      </c>
      <c r="AP844" s="21" t="str">
        <f>TEXT(cadangan[[#This Row],[Tanggal terjual]],"dddd")</f>
        <v>Wednesday</v>
      </c>
      <c r="AQ844" s="23" t="str" cm="1">
        <f t="array" ref="AQ8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44" s="61">
        <f>AVERAGE(cadangan[[#This Row],[Rating A]],cadangan[[#This Row],[Rating B]],cadangan[[#This Row],[Rating C]])</f>
        <v>2</v>
      </c>
    </row>
    <row r="845" spans="1:44" x14ac:dyDescent="0.2">
      <c r="A845" s="20">
        <v>844</v>
      </c>
      <c r="B845" s="21" t="str">
        <f>_xlfn.CONCAT("ORD-",INDEX(Helper!$B$2:$B$5,MATCH(cadangan[[#This Row],[Marketplace]],Helper!$A$2:$A$5,0)),TEXT(cadangan[[#This Row],[No]],"0000"),"-",TEXT(cadangan[[#This Row],[Tanggal terjual]],"dd/mm/yy"))</f>
        <v>ORD-TK0844-16/04/23</v>
      </c>
      <c r="C845" s="39" t="s">
        <v>66</v>
      </c>
      <c r="D845" s="39" t="str">
        <f>IFERROR(INDEX(Katalog!$A$3:$A$12,MATCH(cadangan[[#This Row],[ItemID A]],Katalog!$C$3:$C$12,0)),"-")</f>
        <v>Sepatu Pria</v>
      </c>
      <c r="E845" s="39" t="str">
        <f>IFERROR(INDEX(Katalog!$B$3:$B$12,MATCH(cadangan[[#This Row],[ItemID A]],Katalog!$C$3:$C$12,0)),"-")</f>
        <v>Sandal Slip On</v>
      </c>
      <c r="F845" s="50">
        <v>1</v>
      </c>
      <c r="G845" s="50">
        <v>5</v>
      </c>
      <c r="H845" s="73">
        <f>IFERROR(INDEX(Katalog!$D$3:$D$12,MATCH(cadangan[[#This Row],[ItemID A]],Katalog!$C$3:$C$12,0))*cadangan[[#This Row],[Qty A]],0)</f>
        <v>150000</v>
      </c>
      <c r="I845" s="73">
        <f>IFERROR(cadangan[[#This Row],[Harga Normal A]]-(cadangan[[#This Row],[Harga Normal A]]*cadangan[[#This Row],[Diskon]]),cadangan[[#This Row],[Harga Normal A]])</f>
        <v>135000</v>
      </c>
      <c r="J845" s="73">
        <f>INDEX(Katalog!$F$3:$F$12,MATCH(cadangan[[#This Row],[ItemID A]],Katalog!$C$3:$C$12,0))*cadangan[[#This Row],[Qty A]]</f>
        <v>60000</v>
      </c>
      <c r="K845" s="73">
        <f>IFERROR(cadangan[[#This Row],[Harga Diskon A]]-INDEX(Katalog!$E$3:$E$12,MATCH(cadangan[[#This Row],[ItemID A]],Katalog!$C$3:$C$12,0))*cadangan[[#This Row],[Qty A]],0)</f>
        <v>45000</v>
      </c>
      <c r="M845" s="39" t="str">
        <f>IFERROR(INDEX(Katalog!$A$3:$A$12,MATCH(cadangan[[#This Row],[ItemID B]],Katalog!$C$3:$C$12,0)),"-")</f>
        <v>-</v>
      </c>
      <c r="N845" s="39" t="str">
        <f>IFERROR(INDEX(Katalog!$B$3:$B$12,MATCH(cadangan[[#This Row],[ItemID B]],Katalog!$C$3:$C$12,0)),"-")</f>
        <v>-</v>
      </c>
      <c r="Q845" s="73">
        <f>IFERROR(INDEX(Katalog!$D$3:$D$12,MATCH(cadangan[[#This Row],[ItemID B]],Katalog!$C$3:$C$12,0))*cadangan[[#This Row],[Qty B]],0)</f>
        <v>0</v>
      </c>
      <c r="R845" s="73">
        <f>IFERROR(cadangan[[#This Row],[Harga Normal B]]-(cadangan[[#This Row],[Harga Normal B]]*cadangan[[#This Row],[Diskon]]),cadangan[[#This Row],[Harga Normal B]])</f>
        <v>0</v>
      </c>
      <c r="S845" s="73">
        <f>IFERROR(INDEX(Katalog!$F$3:$F$12,MATCH(cadangan[[#This Row],[ItemID B]],Katalog!$C$3:$C$12,0))*cadangan[[#This Row],[Qty B]],0)</f>
        <v>0</v>
      </c>
      <c r="T845" s="73">
        <f>IFERROR(cadangan[[#This Row],[Harga Diskon B]]-INDEX(Katalog!$E$3:$E$12,MATCH(cadangan[[#This Row],[ItemID B]],Katalog!$C$3:$C$12,0))*cadangan[[#This Row],[Qty B]],0)</f>
        <v>0</v>
      </c>
      <c r="V845" s="39" t="str">
        <f>IFERROR(INDEX(Katalog!$A$3:$A$12,MATCH(cadangan[[#This Row],[ItemID C]],Katalog!$C$3:$C$12,0)),"-")</f>
        <v>-</v>
      </c>
      <c r="W845" s="39" t="str">
        <f>IFERROR(INDEX(Katalog!$B$3:$B$12,MATCH(cadangan[[#This Row],[ItemID C]],Katalog!$C$3:$C$12,0)),"-")</f>
        <v>-</v>
      </c>
      <c r="Z845" s="73">
        <f>IFERROR(INDEX(Katalog!$D$3:$D$12,MATCH(cadangan[[#This Row],[ItemID C]],Katalog!$C$3:$C$12,0))*cadangan[[#This Row],[Qty C]],0)</f>
        <v>0</v>
      </c>
      <c r="AA845" s="73">
        <f>IFERROR(cadangan[[#This Row],[Harga Normal C]]-(cadangan[[#This Row],[Harga Normal C]]*cadangan[[#This Row],[Diskon]]),cadangan[[#This Row],[Harga Normal C]])</f>
        <v>0</v>
      </c>
      <c r="AB845" s="73">
        <f>IFERROR(INDEX(Katalog!$F$3:$F$12,MATCH(cadangan[[#This Row],[ItemID C]],Katalog!$C$3:$C$12,0))*cadangan[[#This Row],[Qty C]],0)</f>
        <v>0</v>
      </c>
      <c r="AC845" s="73">
        <f>IFERROR(cadangan[[#This Row],[Harga Diskon C]]-INDEX(Katalog!$E$3:$E$12,MATCH(cadangan[[#This Row],[ItemID C]],Katalog!$C$3:$C$12,0))*cadangan[[#This Row],[Qty C]],0)</f>
        <v>0</v>
      </c>
      <c r="AD845" s="53">
        <f>cadangan[[#This Row],[Qty A]]+cadangan[[#This Row],[Qty B]]+cadangan[[#This Row],[Qty C]]</f>
        <v>1</v>
      </c>
      <c r="AE845" s="73">
        <f>cadangan[[#This Row],[Harga Normal A]]+cadangan[[#This Row],[Harga Normal B]]+cadangan[[#This Row],[Harga Normal C]]</f>
        <v>150000</v>
      </c>
      <c r="AF845" s="73">
        <f>cadangan[[#This Row],[Harga Diskon A]]+cadangan[[#This Row],[Harga Diskon B]]+cadangan[[#This Row],[Harga Diskon C]]</f>
        <v>135000</v>
      </c>
      <c r="AG845" s="73">
        <f>(cadangan[[#This Row],[Profit Normal A]]+cadangan[[#This Row],[Profit Normal B]]+cadangan[[#This Row],[Profit Normal C]])</f>
        <v>60000</v>
      </c>
      <c r="AH845" s="73">
        <f>cadangan[[#This Row],[Profit Diskon A]]+cadangan[[#This Row],[Profit Diskon B]]+cadangan[[#This Row],[Profit Diskon C]]</f>
        <v>45000</v>
      </c>
      <c r="AI845" s="23" t="s">
        <v>31</v>
      </c>
      <c r="AJ845" s="37">
        <f>IFERROR(INDEX('Kode Diskon'!$D$3:$D$9,MATCH(cadangan[[#This Row],[Kode diskon]],'Kode Diskon'!$C$3:$C$9,0)),"-")</f>
        <v>0.1</v>
      </c>
      <c r="AK845" s="23" t="s">
        <v>9</v>
      </c>
      <c r="AL845" s="23" t="s">
        <v>10</v>
      </c>
      <c r="AM845" s="23" t="s">
        <v>80</v>
      </c>
      <c r="AN845" s="55">
        <v>45032</v>
      </c>
      <c r="AO845" s="53">
        <f>DAY(cadangan[[#This Row],[Tanggal terjual]])</f>
        <v>16</v>
      </c>
      <c r="AP845" s="21" t="str">
        <f>TEXT(cadangan[[#This Row],[Tanggal terjual]],"dddd")</f>
        <v>Sunday</v>
      </c>
      <c r="AQ845" s="23" t="str" cm="1">
        <f t="array" ref="AQ8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45" s="61">
        <f>AVERAGE(cadangan[[#This Row],[Rating A]],cadangan[[#This Row],[Rating B]],cadangan[[#This Row],[Rating C]])</f>
        <v>5</v>
      </c>
    </row>
    <row r="846" spans="1:44" x14ac:dyDescent="0.2">
      <c r="A846" s="20">
        <v>845</v>
      </c>
      <c r="B846" s="21" t="str">
        <f>_xlfn.CONCAT("ORD-",INDEX(Helper!$B$2:$B$5,MATCH(cadangan[[#This Row],[Marketplace]],Helper!$A$2:$A$5,0)),TEXT(cadangan[[#This Row],[No]],"0000"),"-",TEXT(cadangan[[#This Row],[Tanggal terjual]],"dd/mm/yy"))</f>
        <v>ORD-BB0845-04/04/23</v>
      </c>
      <c r="C846" s="39" t="s">
        <v>64</v>
      </c>
      <c r="D846" s="39" t="str">
        <f>IFERROR(INDEX(Katalog!$A$3:$A$12,MATCH(cadangan[[#This Row],[ItemID A]],Katalog!$C$3:$C$12,0)),"-")</f>
        <v>Pakaian Unisex</v>
      </c>
      <c r="E846" s="39" t="str">
        <f>IFERROR(INDEX(Katalog!$B$3:$B$12,MATCH(cadangan[[#This Row],[ItemID A]],Katalog!$C$3:$C$12,0)),"-")</f>
        <v>Jaket Hoodie</v>
      </c>
      <c r="F846" s="50">
        <v>2</v>
      </c>
      <c r="G846" s="50">
        <v>3</v>
      </c>
      <c r="H846" s="73">
        <f>IFERROR(INDEX(Katalog!$D$3:$D$12,MATCH(cadangan[[#This Row],[ItemID A]],Katalog!$C$3:$C$12,0))*cadangan[[#This Row],[Qty A]],0)</f>
        <v>700000</v>
      </c>
      <c r="I846" s="73">
        <f>IFERROR(cadangan[[#This Row],[Harga Normal A]]-(cadangan[[#This Row],[Harga Normal A]]*cadangan[[#This Row],[Diskon]]),cadangan[[#This Row],[Harga Normal A]])</f>
        <v>595000</v>
      </c>
      <c r="J846" s="73">
        <f>INDEX(Katalog!$F$3:$F$12,MATCH(cadangan[[#This Row],[ItemID A]],Katalog!$C$3:$C$12,0))*cadangan[[#This Row],[Qty A]]</f>
        <v>260000</v>
      </c>
      <c r="K846" s="73">
        <f>IFERROR(cadangan[[#This Row],[Harga Diskon A]]-INDEX(Katalog!$E$3:$E$12,MATCH(cadangan[[#This Row],[ItemID A]],Katalog!$C$3:$C$12,0))*cadangan[[#This Row],[Qty A]],0)</f>
        <v>155000</v>
      </c>
      <c r="L846" s="39" t="s">
        <v>58</v>
      </c>
      <c r="M846" s="39" t="str">
        <f>IFERROR(INDEX(Katalog!$A$3:$A$12,MATCH(cadangan[[#This Row],[ItemID B]],Katalog!$C$3:$C$12,0)),"-")</f>
        <v>Pakaian Wanita</v>
      </c>
      <c r="N846" s="39" t="str">
        <f>IFERROR(INDEX(Katalog!$B$3:$B$12,MATCH(cadangan[[#This Row],[ItemID B]],Katalog!$C$3:$C$12,0)),"-")</f>
        <v>Dress</v>
      </c>
      <c r="O846" s="50">
        <v>2</v>
      </c>
      <c r="P846" s="50">
        <v>4</v>
      </c>
      <c r="Q846" s="73">
        <f>IFERROR(INDEX(Katalog!$D$3:$D$12,MATCH(cadangan[[#This Row],[ItemID B]],Katalog!$C$3:$C$12,0))*cadangan[[#This Row],[Qty B]],0)</f>
        <v>600000</v>
      </c>
      <c r="R846" s="73">
        <f>IFERROR(cadangan[[#This Row],[Harga Normal B]]-(cadangan[[#This Row],[Harga Normal B]]*cadangan[[#This Row],[Diskon]]),cadangan[[#This Row],[Harga Normal B]])</f>
        <v>510000</v>
      </c>
      <c r="S846" s="73">
        <f>IFERROR(INDEX(Katalog!$F$3:$F$12,MATCH(cadangan[[#This Row],[ItemID B]],Katalog!$C$3:$C$12,0))*cadangan[[#This Row],[Qty B]],0)</f>
        <v>200000</v>
      </c>
      <c r="T846" s="73">
        <f>IFERROR(cadangan[[#This Row],[Harga Diskon B]]-INDEX(Katalog!$E$3:$E$12,MATCH(cadangan[[#This Row],[ItemID B]],Katalog!$C$3:$C$12,0))*cadangan[[#This Row],[Qty B]],0)</f>
        <v>110000</v>
      </c>
      <c r="U846" s="39" t="s">
        <v>62</v>
      </c>
      <c r="V846" s="39" t="str">
        <f>IFERROR(INDEX(Katalog!$A$3:$A$12,MATCH(cadangan[[#This Row],[ItemID C]],Katalog!$C$3:$C$12,0)),"-")</f>
        <v>Pakaian Pria</v>
      </c>
      <c r="W846" s="39" t="str">
        <f>IFERROR(INDEX(Katalog!$B$3:$B$12,MATCH(cadangan[[#This Row],[ItemID C]],Katalog!$C$3:$C$12,0)),"-")</f>
        <v>Celana Pendek</v>
      </c>
      <c r="X846" s="50">
        <v>1</v>
      </c>
      <c r="Y846" s="50">
        <v>5</v>
      </c>
      <c r="Z846" s="73">
        <f>IFERROR(INDEX(Katalog!$D$3:$D$12,MATCH(cadangan[[#This Row],[ItemID C]],Katalog!$C$3:$C$12,0))*cadangan[[#This Row],[Qty C]],0)</f>
        <v>180000</v>
      </c>
      <c r="AA846" s="73">
        <f>IFERROR(cadangan[[#This Row],[Harga Normal C]]-(cadangan[[#This Row],[Harga Normal C]]*cadangan[[#This Row],[Diskon]]),cadangan[[#This Row],[Harga Normal C]])</f>
        <v>153000</v>
      </c>
      <c r="AB846" s="73">
        <f>IFERROR(INDEX(Katalog!$F$3:$F$12,MATCH(cadangan[[#This Row],[ItemID C]],Katalog!$C$3:$C$12,0))*cadangan[[#This Row],[Qty C]],0)</f>
        <v>70000</v>
      </c>
      <c r="AC846" s="73">
        <f>IFERROR(cadangan[[#This Row],[Harga Diskon C]]-INDEX(Katalog!$E$3:$E$12,MATCH(cadangan[[#This Row],[ItemID C]],Katalog!$C$3:$C$12,0))*cadangan[[#This Row],[Qty C]],0)</f>
        <v>43000</v>
      </c>
      <c r="AD846" s="53">
        <f>cadangan[[#This Row],[Qty A]]+cadangan[[#This Row],[Qty B]]+cadangan[[#This Row],[Qty C]]</f>
        <v>5</v>
      </c>
      <c r="AE846" s="73">
        <f>cadangan[[#This Row],[Harga Normal A]]+cadangan[[#This Row],[Harga Normal B]]+cadangan[[#This Row],[Harga Normal C]]</f>
        <v>1480000</v>
      </c>
      <c r="AF846" s="73">
        <f>cadangan[[#This Row],[Harga Diskon A]]+cadangan[[#This Row],[Harga Diskon B]]+cadangan[[#This Row],[Harga Diskon C]]</f>
        <v>1258000</v>
      </c>
      <c r="AG846" s="73">
        <f>(cadangan[[#This Row],[Profit Normal A]]+cadangan[[#This Row],[Profit Normal B]]+cadangan[[#This Row],[Profit Normal C]])</f>
        <v>530000</v>
      </c>
      <c r="AH846" s="73">
        <f>cadangan[[#This Row],[Profit Diskon A]]+cadangan[[#This Row],[Profit Diskon B]]+cadangan[[#This Row],[Profit Diskon C]]</f>
        <v>308000</v>
      </c>
      <c r="AI846" s="23" t="s">
        <v>28</v>
      </c>
      <c r="AJ846" s="37">
        <f>IFERROR(INDEX('Kode Diskon'!$D$3:$D$9,MATCH(cadangan[[#This Row],[Kode diskon]],'Kode Diskon'!$C$3:$C$9,0)),"-")</f>
        <v>0.15</v>
      </c>
      <c r="AK846" s="23" t="s">
        <v>29</v>
      </c>
      <c r="AL846" s="23" t="s">
        <v>14</v>
      </c>
      <c r="AM846" s="23" t="s">
        <v>76</v>
      </c>
      <c r="AN846" s="55">
        <v>45020</v>
      </c>
      <c r="AO846" s="53">
        <f>DAY(cadangan[[#This Row],[Tanggal terjual]])</f>
        <v>4</v>
      </c>
      <c r="AP846" s="21" t="str">
        <f>TEXT(cadangan[[#This Row],[Tanggal terjual]],"dddd")</f>
        <v>Tuesday</v>
      </c>
      <c r="AQ846" s="23" t="str" cm="1">
        <f t="array" ref="AQ8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46" s="61">
        <f>AVERAGE(cadangan[[#This Row],[Rating A]],cadangan[[#This Row],[Rating B]],cadangan[[#This Row],[Rating C]])</f>
        <v>4</v>
      </c>
    </row>
    <row r="847" spans="1:44" x14ac:dyDescent="0.2">
      <c r="A847" s="20">
        <v>846</v>
      </c>
      <c r="B847" s="21" t="str">
        <f>_xlfn.CONCAT("ORD-",INDEX(Helper!$B$2:$B$5,MATCH(cadangan[[#This Row],[Marketplace]],Helper!$A$2:$A$5,0)),TEXT(cadangan[[#This Row],[No]],"0000"),"-",TEXT(cadangan[[#This Row],[Tanggal terjual]],"dd/mm/yy"))</f>
        <v>ORD-SP0846-20/04/23</v>
      </c>
      <c r="C847" s="39" t="s">
        <v>64</v>
      </c>
      <c r="D847" s="39" t="str">
        <f>IFERROR(INDEX(Katalog!$A$3:$A$12,MATCH(cadangan[[#This Row],[ItemID A]],Katalog!$C$3:$C$12,0)),"-")</f>
        <v>Pakaian Unisex</v>
      </c>
      <c r="E847" s="39" t="str">
        <f>IFERROR(INDEX(Katalog!$B$3:$B$12,MATCH(cadangan[[#This Row],[ItemID A]],Katalog!$C$3:$C$12,0)),"-")</f>
        <v>Jaket Hoodie</v>
      </c>
      <c r="F847" s="50">
        <v>1</v>
      </c>
      <c r="G847" s="50">
        <v>5</v>
      </c>
      <c r="H847" s="73">
        <f>IFERROR(INDEX(Katalog!$D$3:$D$12,MATCH(cadangan[[#This Row],[ItemID A]],Katalog!$C$3:$C$12,0))*cadangan[[#This Row],[Qty A]],0)</f>
        <v>350000</v>
      </c>
      <c r="I847" s="73">
        <f>IFERROR(cadangan[[#This Row],[Harga Normal A]]-(cadangan[[#This Row],[Harga Normal A]]*cadangan[[#This Row],[Diskon]]),cadangan[[#This Row],[Harga Normal A]])</f>
        <v>280000</v>
      </c>
      <c r="J847" s="73">
        <f>INDEX(Katalog!$F$3:$F$12,MATCH(cadangan[[#This Row],[ItemID A]],Katalog!$C$3:$C$12,0))*cadangan[[#This Row],[Qty A]]</f>
        <v>130000</v>
      </c>
      <c r="K847" s="73">
        <f>IFERROR(cadangan[[#This Row],[Harga Diskon A]]-INDEX(Katalog!$E$3:$E$12,MATCH(cadangan[[#This Row],[ItemID A]],Katalog!$C$3:$C$12,0))*cadangan[[#This Row],[Qty A]],0)</f>
        <v>60000</v>
      </c>
      <c r="L847" s="39" t="s">
        <v>66</v>
      </c>
      <c r="M847" s="39" t="str">
        <f>IFERROR(INDEX(Katalog!$A$3:$A$12,MATCH(cadangan[[#This Row],[ItemID B]],Katalog!$C$3:$C$12,0)),"-")</f>
        <v>Sepatu Pria</v>
      </c>
      <c r="N847" s="39" t="str">
        <f>IFERROR(INDEX(Katalog!$B$3:$B$12,MATCH(cadangan[[#This Row],[ItemID B]],Katalog!$C$3:$C$12,0)),"-")</f>
        <v>Sandal Slip On</v>
      </c>
      <c r="O847" s="50">
        <v>2</v>
      </c>
      <c r="P847" s="50">
        <v>2</v>
      </c>
      <c r="Q847" s="73">
        <f>IFERROR(INDEX(Katalog!$D$3:$D$12,MATCH(cadangan[[#This Row],[ItemID B]],Katalog!$C$3:$C$12,0))*cadangan[[#This Row],[Qty B]],0)</f>
        <v>300000</v>
      </c>
      <c r="R847" s="73">
        <f>IFERROR(cadangan[[#This Row],[Harga Normal B]]-(cadangan[[#This Row],[Harga Normal B]]*cadangan[[#This Row],[Diskon]]),cadangan[[#This Row],[Harga Normal B]])</f>
        <v>240000</v>
      </c>
      <c r="S847" s="73">
        <f>IFERROR(INDEX(Katalog!$F$3:$F$12,MATCH(cadangan[[#This Row],[ItemID B]],Katalog!$C$3:$C$12,0))*cadangan[[#This Row],[Qty B]],0)</f>
        <v>120000</v>
      </c>
      <c r="T847" s="73">
        <f>IFERROR(cadangan[[#This Row],[Harga Diskon B]]-INDEX(Katalog!$E$3:$E$12,MATCH(cadangan[[#This Row],[ItemID B]],Katalog!$C$3:$C$12,0))*cadangan[[#This Row],[Qty B]],0)</f>
        <v>60000</v>
      </c>
      <c r="U847" s="39" t="s">
        <v>60</v>
      </c>
      <c r="V847" s="39" t="str">
        <f>IFERROR(INDEX(Katalog!$A$3:$A$12,MATCH(cadangan[[#This Row],[ItemID C]],Katalog!$C$3:$C$12,0)),"-")</f>
        <v>Pakaian Wanita</v>
      </c>
      <c r="W847" s="39" t="str">
        <f>IFERROR(INDEX(Katalog!$B$3:$B$12,MATCH(cadangan[[#This Row],[ItemID C]],Katalog!$C$3:$C$12,0)),"-")</f>
        <v>Kaftan</v>
      </c>
      <c r="X847" s="50">
        <v>1</v>
      </c>
      <c r="Y847" s="50">
        <v>2</v>
      </c>
      <c r="Z847" s="73">
        <f>IFERROR(INDEX(Katalog!$D$3:$D$12,MATCH(cadangan[[#This Row],[ItemID C]],Katalog!$C$3:$C$12,0))*cadangan[[#This Row],[Qty C]],0)</f>
        <v>250000</v>
      </c>
      <c r="AA847" s="73">
        <f>IFERROR(cadangan[[#This Row],[Harga Normal C]]-(cadangan[[#This Row],[Harga Normal C]]*cadangan[[#This Row],[Diskon]]),cadangan[[#This Row],[Harga Normal C]])</f>
        <v>200000</v>
      </c>
      <c r="AB847" s="73">
        <f>IFERROR(INDEX(Katalog!$F$3:$F$12,MATCH(cadangan[[#This Row],[ItemID C]],Katalog!$C$3:$C$12,0))*cadangan[[#This Row],[Qty C]],0)</f>
        <v>100000</v>
      </c>
      <c r="AC847" s="73">
        <f>IFERROR(cadangan[[#This Row],[Harga Diskon C]]-INDEX(Katalog!$E$3:$E$12,MATCH(cadangan[[#This Row],[ItemID C]],Katalog!$C$3:$C$12,0))*cadangan[[#This Row],[Qty C]],0)</f>
        <v>50000</v>
      </c>
      <c r="AD847" s="53">
        <f>cadangan[[#This Row],[Qty A]]+cadangan[[#This Row],[Qty B]]+cadangan[[#This Row],[Qty C]]</f>
        <v>4</v>
      </c>
      <c r="AE847" s="73">
        <f>cadangan[[#This Row],[Harga Normal A]]+cadangan[[#This Row],[Harga Normal B]]+cadangan[[#This Row],[Harga Normal C]]</f>
        <v>900000</v>
      </c>
      <c r="AF847" s="73">
        <f>cadangan[[#This Row],[Harga Diskon A]]+cadangan[[#This Row],[Harga Diskon B]]+cadangan[[#This Row],[Harga Diskon C]]</f>
        <v>720000</v>
      </c>
      <c r="AG847" s="73">
        <f>(cadangan[[#This Row],[Profit Normal A]]+cadangan[[#This Row],[Profit Normal B]]+cadangan[[#This Row],[Profit Normal C]])</f>
        <v>350000</v>
      </c>
      <c r="AH847" s="73">
        <f>cadangan[[#This Row],[Profit Diskon A]]+cadangan[[#This Row],[Profit Diskon B]]+cadangan[[#This Row],[Profit Diskon C]]</f>
        <v>170000</v>
      </c>
      <c r="AI847" s="23" t="s">
        <v>8</v>
      </c>
      <c r="AJ847" s="37">
        <f>IFERROR(INDEX('Kode Diskon'!$D$3:$D$9,MATCH(cadangan[[#This Row],[Kode diskon]],'Kode Diskon'!$C$3:$C$9,0)),"-")</f>
        <v>0.2</v>
      </c>
      <c r="AK847" s="23" t="s">
        <v>9</v>
      </c>
      <c r="AL847" s="23" t="s">
        <v>7</v>
      </c>
      <c r="AM847" s="23" t="s">
        <v>80</v>
      </c>
      <c r="AN847" s="55">
        <v>45036</v>
      </c>
      <c r="AO847" s="53">
        <f>DAY(cadangan[[#This Row],[Tanggal terjual]])</f>
        <v>20</v>
      </c>
      <c r="AP847" s="21" t="str">
        <f>TEXT(cadangan[[#This Row],[Tanggal terjual]],"dddd")</f>
        <v>Thursday</v>
      </c>
      <c r="AQ847" s="23" t="str" cm="1">
        <f t="array" ref="AQ8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47" s="61">
        <f>AVERAGE(cadangan[[#This Row],[Rating A]],cadangan[[#This Row],[Rating B]],cadangan[[#This Row],[Rating C]])</f>
        <v>3</v>
      </c>
    </row>
    <row r="848" spans="1:44" x14ac:dyDescent="0.2">
      <c r="A848" s="20">
        <v>847</v>
      </c>
      <c r="B848" s="21" t="str">
        <f>_xlfn.CONCAT("ORD-",INDEX(Helper!$B$2:$B$5,MATCH(cadangan[[#This Row],[Marketplace]],Helper!$A$2:$A$5,0)),TEXT(cadangan[[#This Row],[No]],"0000"),"-",TEXT(cadangan[[#This Row],[Tanggal terjual]],"dd/mm/yy"))</f>
        <v>ORD-SP0847-20/04/23</v>
      </c>
      <c r="C848" s="39" t="s">
        <v>58</v>
      </c>
      <c r="D848" s="39" t="str">
        <f>IFERROR(INDEX(Katalog!$A$3:$A$12,MATCH(cadangan[[#This Row],[ItemID A]],Katalog!$C$3:$C$12,0)),"-")</f>
        <v>Pakaian Wanita</v>
      </c>
      <c r="E848" s="39" t="str">
        <f>IFERROR(INDEX(Katalog!$B$3:$B$12,MATCH(cadangan[[#This Row],[ItemID A]],Katalog!$C$3:$C$12,0)),"-")</f>
        <v>Dress</v>
      </c>
      <c r="F848" s="50">
        <v>2</v>
      </c>
      <c r="G848" s="50">
        <v>3</v>
      </c>
      <c r="H848" s="73">
        <f>IFERROR(INDEX(Katalog!$D$3:$D$12,MATCH(cadangan[[#This Row],[ItemID A]],Katalog!$C$3:$C$12,0))*cadangan[[#This Row],[Qty A]],0)</f>
        <v>600000</v>
      </c>
      <c r="I848" s="73">
        <f>IFERROR(cadangan[[#This Row],[Harga Normal A]]-(cadangan[[#This Row],[Harga Normal A]]*cadangan[[#This Row],[Diskon]]),cadangan[[#This Row],[Harga Normal A]])</f>
        <v>480000</v>
      </c>
      <c r="J848" s="73">
        <f>INDEX(Katalog!$F$3:$F$12,MATCH(cadangan[[#This Row],[ItemID A]],Katalog!$C$3:$C$12,0))*cadangan[[#This Row],[Qty A]]</f>
        <v>200000</v>
      </c>
      <c r="K848" s="73">
        <f>IFERROR(cadangan[[#This Row],[Harga Diskon A]]-INDEX(Katalog!$E$3:$E$12,MATCH(cadangan[[#This Row],[ItemID A]],Katalog!$C$3:$C$12,0))*cadangan[[#This Row],[Qty A]],0)</f>
        <v>80000</v>
      </c>
      <c r="L848" s="39" t="s">
        <v>59</v>
      </c>
      <c r="M848" s="39" t="str">
        <f>IFERROR(INDEX(Katalog!$A$3:$A$12,MATCH(cadangan[[#This Row],[ItemID B]],Katalog!$C$3:$C$12,0)),"-")</f>
        <v>Pakaian Wanita</v>
      </c>
      <c r="N848" s="39" t="str">
        <f>IFERROR(INDEX(Katalog!$B$3:$B$12,MATCH(cadangan[[#This Row],[ItemID B]],Katalog!$C$3:$C$12,0)),"-")</f>
        <v>Blouse</v>
      </c>
      <c r="O848" s="50">
        <v>2</v>
      </c>
      <c r="P848" s="50">
        <v>3</v>
      </c>
      <c r="Q848" s="73">
        <f>IFERROR(INDEX(Katalog!$D$3:$D$12,MATCH(cadangan[[#This Row],[ItemID B]],Katalog!$C$3:$C$12,0))*cadangan[[#This Row],[Qty B]],0)</f>
        <v>300000</v>
      </c>
      <c r="R848" s="73">
        <f>IFERROR(cadangan[[#This Row],[Harga Normal B]]-(cadangan[[#This Row],[Harga Normal B]]*cadangan[[#This Row],[Diskon]]),cadangan[[#This Row],[Harga Normal B]])</f>
        <v>240000</v>
      </c>
      <c r="S848" s="73">
        <f>IFERROR(INDEX(Katalog!$F$3:$F$12,MATCH(cadangan[[#This Row],[ItemID B]],Katalog!$C$3:$C$12,0))*cadangan[[#This Row],[Qty B]],0)</f>
        <v>100000</v>
      </c>
      <c r="T848" s="73">
        <f>IFERROR(cadangan[[#This Row],[Harga Diskon B]]-INDEX(Katalog!$E$3:$E$12,MATCH(cadangan[[#This Row],[ItemID B]],Katalog!$C$3:$C$12,0))*cadangan[[#This Row],[Qty B]],0)</f>
        <v>40000</v>
      </c>
      <c r="V848" s="39" t="str">
        <f>IFERROR(INDEX(Katalog!$A$3:$A$12,MATCH(cadangan[[#This Row],[ItemID C]],Katalog!$C$3:$C$12,0)),"-")</f>
        <v>-</v>
      </c>
      <c r="W848" s="39" t="str">
        <f>IFERROR(INDEX(Katalog!$B$3:$B$12,MATCH(cadangan[[#This Row],[ItemID C]],Katalog!$C$3:$C$12,0)),"-")</f>
        <v>-</v>
      </c>
      <c r="Z848" s="73">
        <f>IFERROR(INDEX(Katalog!$D$3:$D$12,MATCH(cadangan[[#This Row],[ItemID C]],Katalog!$C$3:$C$12,0))*cadangan[[#This Row],[Qty C]],0)</f>
        <v>0</v>
      </c>
      <c r="AA848" s="73">
        <f>IFERROR(cadangan[[#This Row],[Harga Normal C]]-(cadangan[[#This Row],[Harga Normal C]]*cadangan[[#This Row],[Diskon]]),cadangan[[#This Row],[Harga Normal C]])</f>
        <v>0</v>
      </c>
      <c r="AB848" s="73">
        <f>IFERROR(INDEX(Katalog!$F$3:$F$12,MATCH(cadangan[[#This Row],[ItemID C]],Katalog!$C$3:$C$12,0))*cadangan[[#This Row],[Qty C]],0)</f>
        <v>0</v>
      </c>
      <c r="AC848" s="73">
        <f>IFERROR(cadangan[[#This Row],[Harga Diskon C]]-INDEX(Katalog!$E$3:$E$12,MATCH(cadangan[[#This Row],[ItemID C]],Katalog!$C$3:$C$12,0))*cadangan[[#This Row],[Qty C]],0)</f>
        <v>0</v>
      </c>
      <c r="AD848" s="53">
        <f>cadangan[[#This Row],[Qty A]]+cadangan[[#This Row],[Qty B]]+cadangan[[#This Row],[Qty C]]</f>
        <v>4</v>
      </c>
      <c r="AE848" s="73">
        <f>cadangan[[#This Row],[Harga Normal A]]+cadangan[[#This Row],[Harga Normal B]]+cadangan[[#This Row],[Harga Normal C]]</f>
        <v>900000</v>
      </c>
      <c r="AF848" s="73">
        <f>cadangan[[#This Row],[Harga Diskon A]]+cadangan[[#This Row],[Harga Diskon B]]+cadangan[[#This Row],[Harga Diskon C]]</f>
        <v>720000</v>
      </c>
      <c r="AG848" s="73">
        <f>(cadangan[[#This Row],[Profit Normal A]]+cadangan[[#This Row],[Profit Normal B]]+cadangan[[#This Row],[Profit Normal C]])</f>
        <v>300000</v>
      </c>
      <c r="AH848" s="73">
        <f>cadangan[[#This Row],[Profit Diskon A]]+cadangan[[#This Row],[Profit Diskon B]]+cadangan[[#This Row],[Profit Diskon C]]</f>
        <v>120000</v>
      </c>
      <c r="AI848" s="23" t="s">
        <v>8</v>
      </c>
      <c r="AJ848" s="37">
        <f>IFERROR(INDEX('Kode Diskon'!$D$3:$D$9,MATCH(cadangan[[#This Row],[Kode diskon]],'Kode Diskon'!$C$3:$C$9,0)),"-")</f>
        <v>0.2</v>
      </c>
      <c r="AK848" s="23" t="s">
        <v>9</v>
      </c>
      <c r="AL848" s="23" t="s">
        <v>7</v>
      </c>
      <c r="AM848" s="23" t="s">
        <v>76</v>
      </c>
      <c r="AN848" s="55">
        <v>45036</v>
      </c>
      <c r="AO848" s="53">
        <f>DAY(cadangan[[#This Row],[Tanggal terjual]])</f>
        <v>20</v>
      </c>
      <c r="AP848" s="21" t="str">
        <f>TEXT(cadangan[[#This Row],[Tanggal terjual]],"dddd")</f>
        <v>Thursday</v>
      </c>
      <c r="AQ848" s="23" t="str" cm="1">
        <f t="array" ref="AQ8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48" s="61">
        <f>AVERAGE(cadangan[[#This Row],[Rating A]],cadangan[[#This Row],[Rating B]],cadangan[[#This Row],[Rating C]])</f>
        <v>3</v>
      </c>
    </row>
    <row r="849" spans="1:44" x14ac:dyDescent="0.2">
      <c r="A849" s="20">
        <v>848</v>
      </c>
      <c r="B849" s="21" t="str">
        <f>_xlfn.CONCAT("ORD-",INDEX(Helper!$B$2:$B$5,MATCH(cadangan[[#This Row],[Marketplace]],Helper!$A$2:$A$5,0)),TEXT(cadangan[[#This Row],[No]],"0000"),"-",TEXT(cadangan[[#This Row],[Tanggal terjual]],"dd/mm/yy"))</f>
        <v>ORD-TK0848-27/04/23</v>
      </c>
      <c r="C849" s="39" t="s">
        <v>64</v>
      </c>
      <c r="D849" s="39" t="str">
        <f>IFERROR(INDEX(Katalog!$A$3:$A$12,MATCH(cadangan[[#This Row],[ItemID A]],Katalog!$C$3:$C$12,0)),"-")</f>
        <v>Pakaian Unisex</v>
      </c>
      <c r="E849" s="39" t="str">
        <f>IFERROR(INDEX(Katalog!$B$3:$B$12,MATCH(cadangan[[#This Row],[ItemID A]],Katalog!$C$3:$C$12,0)),"-")</f>
        <v>Jaket Hoodie</v>
      </c>
      <c r="F849" s="50">
        <v>3</v>
      </c>
      <c r="G849" s="50">
        <v>4</v>
      </c>
      <c r="H849" s="73">
        <f>IFERROR(INDEX(Katalog!$D$3:$D$12,MATCH(cadangan[[#This Row],[ItemID A]],Katalog!$C$3:$C$12,0))*cadangan[[#This Row],[Qty A]],0)</f>
        <v>1050000</v>
      </c>
      <c r="I849" s="73">
        <f>IFERROR(cadangan[[#This Row],[Harga Normal A]]-(cadangan[[#This Row],[Harga Normal A]]*cadangan[[#This Row],[Diskon]]),cadangan[[#This Row],[Harga Normal A]])</f>
        <v>945000</v>
      </c>
      <c r="J849" s="73">
        <f>INDEX(Katalog!$F$3:$F$12,MATCH(cadangan[[#This Row],[ItemID A]],Katalog!$C$3:$C$12,0))*cadangan[[#This Row],[Qty A]]</f>
        <v>390000</v>
      </c>
      <c r="K849" s="73">
        <f>IFERROR(cadangan[[#This Row],[Harga Diskon A]]-INDEX(Katalog!$E$3:$E$12,MATCH(cadangan[[#This Row],[ItemID A]],Katalog!$C$3:$C$12,0))*cadangan[[#This Row],[Qty A]],0)</f>
        <v>285000</v>
      </c>
      <c r="L849" s="39" t="s">
        <v>64</v>
      </c>
      <c r="M849" s="39" t="str">
        <f>IFERROR(INDEX(Katalog!$A$3:$A$12,MATCH(cadangan[[#This Row],[ItemID B]],Katalog!$C$3:$C$12,0)),"-")</f>
        <v>Pakaian Unisex</v>
      </c>
      <c r="N849" s="39" t="str">
        <f>IFERROR(INDEX(Katalog!$B$3:$B$12,MATCH(cadangan[[#This Row],[ItemID B]],Katalog!$C$3:$C$12,0)),"-")</f>
        <v>Jaket Hoodie</v>
      </c>
      <c r="O849" s="50">
        <v>2</v>
      </c>
      <c r="P849" s="50">
        <v>4</v>
      </c>
      <c r="Q849" s="73">
        <f>IFERROR(INDEX(Katalog!$D$3:$D$12,MATCH(cadangan[[#This Row],[ItemID B]],Katalog!$C$3:$C$12,0))*cadangan[[#This Row],[Qty B]],0)</f>
        <v>700000</v>
      </c>
      <c r="R849" s="73">
        <f>IFERROR(cadangan[[#This Row],[Harga Normal B]]-(cadangan[[#This Row],[Harga Normal B]]*cadangan[[#This Row],[Diskon]]),cadangan[[#This Row],[Harga Normal B]])</f>
        <v>630000</v>
      </c>
      <c r="S849" s="73">
        <f>IFERROR(INDEX(Katalog!$F$3:$F$12,MATCH(cadangan[[#This Row],[ItemID B]],Katalog!$C$3:$C$12,0))*cadangan[[#This Row],[Qty B]],0)</f>
        <v>260000</v>
      </c>
      <c r="T849" s="73">
        <f>IFERROR(cadangan[[#This Row],[Harga Diskon B]]-INDEX(Katalog!$E$3:$E$12,MATCH(cadangan[[#This Row],[ItemID B]],Katalog!$C$3:$C$12,0))*cadangan[[#This Row],[Qty B]],0)</f>
        <v>190000</v>
      </c>
      <c r="V849" s="39" t="str">
        <f>IFERROR(INDEX(Katalog!$A$3:$A$12,MATCH(cadangan[[#This Row],[ItemID C]],Katalog!$C$3:$C$12,0)),"-")</f>
        <v>-</v>
      </c>
      <c r="W849" s="39" t="str">
        <f>IFERROR(INDEX(Katalog!$B$3:$B$12,MATCH(cadangan[[#This Row],[ItemID C]],Katalog!$C$3:$C$12,0)),"-")</f>
        <v>-</v>
      </c>
      <c r="Z849" s="73">
        <f>IFERROR(INDEX(Katalog!$D$3:$D$12,MATCH(cadangan[[#This Row],[ItemID C]],Katalog!$C$3:$C$12,0))*cadangan[[#This Row],[Qty C]],0)</f>
        <v>0</v>
      </c>
      <c r="AA849" s="73">
        <f>IFERROR(cadangan[[#This Row],[Harga Normal C]]-(cadangan[[#This Row],[Harga Normal C]]*cadangan[[#This Row],[Diskon]]),cadangan[[#This Row],[Harga Normal C]])</f>
        <v>0</v>
      </c>
      <c r="AB849" s="73">
        <f>IFERROR(INDEX(Katalog!$F$3:$F$12,MATCH(cadangan[[#This Row],[ItemID C]],Katalog!$C$3:$C$12,0))*cadangan[[#This Row],[Qty C]],0)</f>
        <v>0</v>
      </c>
      <c r="AC849" s="73">
        <f>IFERROR(cadangan[[#This Row],[Harga Diskon C]]-INDEX(Katalog!$E$3:$E$12,MATCH(cadangan[[#This Row],[ItemID C]],Katalog!$C$3:$C$12,0))*cadangan[[#This Row],[Qty C]],0)</f>
        <v>0</v>
      </c>
      <c r="AD849" s="53">
        <f>cadangan[[#This Row],[Qty A]]+cadangan[[#This Row],[Qty B]]+cadangan[[#This Row],[Qty C]]</f>
        <v>5</v>
      </c>
      <c r="AE849" s="73">
        <f>cadangan[[#This Row],[Harga Normal A]]+cadangan[[#This Row],[Harga Normal B]]+cadangan[[#This Row],[Harga Normal C]]</f>
        <v>1750000</v>
      </c>
      <c r="AF849" s="73">
        <f>cadangan[[#This Row],[Harga Diskon A]]+cadangan[[#This Row],[Harga Diskon B]]+cadangan[[#This Row],[Harga Diskon C]]</f>
        <v>1575000</v>
      </c>
      <c r="AG849" s="73">
        <f>(cadangan[[#This Row],[Profit Normal A]]+cadangan[[#This Row],[Profit Normal B]]+cadangan[[#This Row],[Profit Normal C]])</f>
        <v>650000</v>
      </c>
      <c r="AH849" s="73">
        <f>cadangan[[#This Row],[Profit Diskon A]]+cadangan[[#This Row],[Profit Diskon B]]+cadangan[[#This Row],[Profit Diskon C]]</f>
        <v>475000</v>
      </c>
      <c r="AI849" s="23" t="s">
        <v>31</v>
      </c>
      <c r="AJ849" s="37">
        <f>IFERROR(INDEX('Kode Diskon'!$D$3:$D$9,MATCH(cadangan[[#This Row],[Kode diskon]],'Kode Diskon'!$C$3:$C$9,0)),"-")</f>
        <v>0.1</v>
      </c>
      <c r="AK849" s="23" t="s">
        <v>9</v>
      </c>
      <c r="AL849" s="23" t="s">
        <v>10</v>
      </c>
      <c r="AM849" s="23" t="s">
        <v>75</v>
      </c>
      <c r="AN849" s="55">
        <v>45043</v>
      </c>
      <c r="AO849" s="53">
        <f>DAY(cadangan[[#This Row],[Tanggal terjual]])</f>
        <v>27</v>
      </c>
      <c r="AP849" s="21" t="str">
        <f>TEXT(cadangan[[#This Row],[Tanggal terjual]],"dddd")</f>
        <v>Thursday</v>
      </c>
      <c r="AQ849" s="23" t="str" cm="1">
        <f t="array" ref="AQ8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49" s="61">
        <f>AVERAGE(cadangan[[#This Row],[Rating A]],cadangan[[#This Row],[Rating B]],cadangan[[#This Row],[Rating C]])</f>
        <v>4</v>
      </c>
    </row>
    <row r="850" spans="1:44" x14ac:dyDescent="0.2">
      <c r="A850" s="20">
        <v>849</v>
      </c>
      <c r="B850" s="21" t="str">
        <f>_xlfn.CONCAT("ORD-",INDEX(Helper!$B$2:$B$5,MATCH(cadangan[[#This Row],[Marketplace]],Helper!$A$2:$A$5,0)),TEXT(cadangan[[#This Row],[No]],"0000"),"-",TEXT(cadangan[[#This Row],[Tanggal terjual]],"dd/mm/yy"))</f>
        <v>ORD-SP0849-10/04/23</v>
      </c>
      <c r="C850" s="39" t="s">
        <v>61</v>
      </c>
      <c r="D850" s="39" t="str">
        <f>IFERROR(INDEX(Katalog!$A$3:$A$12,MATCH(cadangan[[#This Row],[ItemID A]],Katalog!$C$3:$C$12,0)),"-")</f>
        <v>Pakaian Pria</v>
      </c>
      <c r="E850" s="39" t="str">
        <f>IFERROR(INDEX(Katalog!$B$3:$B$12,MATCH(cadangan[[#This Row],[ItemID A]],Katalog!$C$3:$C$12,0)),"-")</f>
        <v>Kaos Polo</v>
      </c>
      <c r="F850" s="50">
        <v>1</v>
      </c>
      <c r="G850" s="50">
        <v>1</v>
      </c>
      <c r="H850" s="73">
        <f>IFERROR(INDEX(Katalog!$D$3:$D$12,MATCH(cadangan[[#This Row],[ItemID A]],Katalog!$C$3:$C$12,0))*cadangan[[#This Row],[Qty A]],0)</f>
        <v>200000</v>
      </c>
      <c r="I850" s="73">
        <f>IFERROR(cadangan[[#This Row],[Harga Normal A]]-(cadangan[[#This Row],[Harga Normal A]]*cadangan[[#This Row],[Diskon]]),cadangan[[#This Row],[Harga Normal A]])</f>
        <v>200000</v>
      </c>
      <c r="J850" s="73">
        <f>INDEX(Katalog!$F$3:$F$12,MATCH(cadangan[[#This Row],[ItemID A]],Katalog!$C$3:$C$12,0))*cadangan[[#This Row],[Qty A]]</f>
        <v>80000</v>
      </c>
      <c r="K850" s="73">
        <f>IFERROR(cadangan[[#This Row],[Harga Diskon A]]-INDEX(Katalog!$E$3:$E$12,MATCH(cadangan[[#This Row],[ItemID A]],Katalog!$C$3:$C$12,0))*cadangan[[#This Row],[Qty A]],0)</f>
        <v>80000</v>
      </c>
      <c r="M850" s="39" t="str">
        <f>IFERROR(INDEX(Katalog!$A$3:$A$12,MATCH(cadangan[[#This Row],[ItemID B]],Katalog!$C$3:$C$12,0)),"-")</f>
        <v>-</v>
      </c>
      <c r="N850" s="39" t="str">
        <f>IFERROR(INDEX(Katalog!$B$3:$B$12,MATCH(cadangan[[#This Row],[ItemID B]],Katalog!$C$3:$C$12,0)),"-")</f>
        <v>-</v>
      </c>
      <c r="Q850" s="73">
        <f>IFERROR(INDEX(Katalog!$D$3:$D$12,MATCH(cadangan[[#This Row],[ItemID B]],Katalog!$C$3:$C$12,0))*cadangan[[#This Row],[Qty B]],0)</f>
        <v>0</v>
      </c>
      <c r="R850" s="73">
        <f>IFERROR(cadangan[[#This Row],[Harga Normal B]]-(cadangan[[#This Row],[Harga Normal B]]*cadangan[[#This Row],[Diskon]]),cadangan[[#This Row],[Harga Normal B]])</f>
        <v>0</v>
      </c>
      <c r="S850" s="73">
        <f>IFERROR(INDEX(Katalog!$F$3:$F$12,MATCH(cadangan[[#This Row],[ItemID B]],Katalog!$C$3:$C$12,0))*cadangan[[#This Row],[Qty B]],0)</f>
        <v>0</v>
      </c>
      <c r="T850" s="73">
        <f>IFERROR(cadangan[[#This Row],[Harga Diskon B]]-INDEX(Katalog!$E$3:$E$12,MATCH(cadangan[[#This Row],[ItemID B]],Katalog!$C$3:$C$12,0))*cadangan[[#This Row],[Qty B]],0)</f>
        <v>0</v>
      </c>
      <c r="V850" s="39" t="str">
        <f>IFERROR(INDEX(Katalog!$A$3:$A$12,MATCH(cadangan[[#This Row],[ItemID C]],Katalog!$C$3:$C$12,0)),"-")</f>
        <v>-</v>
      </c>
      <c r="W850" s="39" t="str">
        <f>IFERROR(INDEX(Katalog!$B$3:$B$12,MATCH(cadangan[[#This Row],[ItemID C]],Katalog!$C$3:$C$12,0)),"-")</f>
        <v>-</v>
      </c>
      <c r="Z850" s="73">
        <f>IFERROR(INDEX(Katalog!$D$3:$D$12,MATCH(cadangan[[#This Row],[ItemID C]],Katalog!$C$3:$C$12,0))*cadangan[[#This Row],[Qty C]],0)</f>
        <v>0</v>
      </c>
      <c r="AA850" s="73">
        <f>IFERROR(cadangan[[#This Row],[Harga Normal C]]-(cadangan[[#This Row],[Harga Normal C]]*cadangan[[#This Row],[Diskon]]),cadangan[[#This Row],[Harga Normal C]])</f>
        <v>0</v>
      </c>
      <c r="AB850" s="73">
        <f>IFERROR(INDEX(Katalog!$F$3:$F$12,MATCH(cadangan[[#This Row],[ItemID C]],Katalog!$C$3:$C$12,0))*cadangan[[#This Row],[Qty C]],0)</f>
        <v>0</v>
      </c>
      <c r="AC850" s="73">
        <f>IFERROR(cadangan[[#This Row],[Harga Diskon C]]-INDEX(Katalog!$E$3:$E$12,MATCH(cadangan[[#This Row],[ItemID C]],Katalog!$C$3:$C$12,0))*cadangan[[#This Row],[Qty C]],0)</f>
        <v>0</v>
      </c>
      <c r="AD850" s="53">
        <f>cadangan[[#This Row],[Qty A]]+cadangan[[#This Row],[Qty B]]+cadangan[[#This Row],[Qty C]]</f>
        <v>1</v>
      </c>
      <c r="AE850" s="73">
        <f>cadangan[[#This Row],[Harga Normal A]]+cadangan[[#This Row],[Harga Normal B]]+cadangan[[#This Row],[Harga Normal C]]</f>
        <v>200000</v>
      </c>
      <c r="AF850" s="73">
        <f>cadangan[[#This Row],[Harga Diskon A]]+cadangan[[#This Row],[Harga Diskon B]]+cadangan[[#This Row],[Harga Diskon C]]</f>
        <v>200000</v>
      </c>
      <c r="AG850" s="73">
        <f>(cadangan[[#This Row],[Profit Normal A]]+cadangan[[#This Row],[Profit Normal B]]+cadangan[[#This Row],[Profit Normal C]])</f>
        <v>80000</v>
      </c>
      <c r="AH850" s="73">
        <f>cadangan[[#This Row],[Profit Diskon A]]+cadangan[[#This Row],[Profit Diskon B]]+cadangan[[#This Row],[Profit Diskon C]]</f>
        <v>80000</v>
      </c>
      <c r="AI850" s="23" t="s">
        <v>290</v>
      </c>
      <c r="AJ850" s="37" t="str">
        <f>IFERROR(INDEX('Kode Diskon'!$D$3:$D$9,MATCH(cadangan[[#This Row],[Kode diskon]],'Kode Diskon'!$C$3:$C$9,0)),"-")</f>
        <v>-</v>
      </c>
      <c r="AK850" s="23" t="s">
        <v>290</v>
      </c>
      <c r="AL850" s="23" t="s">
        <v>7</v>
      </c>
      <c r="AM850" s="23" t="s">
        <v>77</v>
      </c>
      <c r="AN850" s="55">
        <v>45026</v>
      </c>
      <c r="AO850" s="53">
        <f>DAY(cadangan[[#This Row],[Tanggal terjual]])</f>
        <v>10</v>
      </c>
      <c r="AP850" s="21" t="str">
        <f>TEXT(cadangan[[#This Row],[Tanggal terjual]],"dddd")</f>
        <v>Monday</v>
      </c>
      <c r="AQ850" s="23" t="str" cm="1">
        <f t="array" ref="AQ8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50" s="61">
        <f>AVERAGE(cadangan[[#This Row],[Rating A]],cadangan[[#This Row],[Rating B]],cadangan[[#This Row],[Rating C]])</f>
        <v>1</v>
      </c>
    </row>
    <row r="851" spans="1:44" x14ac:dyDescent="0.2">
      <c r="A851" s="20">
        <v>850</v>
      </c>
      <c r="B851" s="21" t="str">
        <f>_xlfn.CONCAT("ORD-",INDEX(Helper!$B$2:$B$5,MATCH(cadangan[[#This Row],[Marketplace]],Helper!$A$2:$A$5,0)),TEXT(cadangan[[#This Row],[No]],"0000"),"-",TEXT(cadangan[[#This Row],[Tanggal terjual]],"dd/mm/yy"))</f>
        <v>ORD-TK0850-07/04/23</v>
      </c>
      <c r="C851" s="39" t="s">
        <v>63</v>
      </c>
      <c r="D851" s="39" t="str">
        <f>IFERROR(INDEX(Katalog!$A$3:$A$12,MATCH(cadangan[[#This Row],[ItemID A]],Katalog!$C$3:$C$12,0)),"-")</f>
        <v>Pakaian Pria</v>
      </c>
      <c r="E851" s="39" t="str">
        <f>IFERROR(INDEX(Katalog!$B$3:$B$12,MATCH(cadangan[[#This Row],[ItemID A]],Katalog!$C$3:$C$12,0)),"-")</f>
        <v>Jaket Jeans</v>
      </c>
      <c r="F851" s="50">
        <v>2</v>
      </c>
      <c r="G851" s="50">
        <v>1</v>
      </c>
      <c r="H851" s="73">
        <f>IFERROR(INDEX(Katalog!$D$3:$D$12,MATCH(cadangan[[#This Row],[ItemID A]],Katalog!$C$3:$C$12,0))*cadangan[[#This Row],[Qty A]],0)</f>
        <v>800000</v>
      </c>
      <c r="I851" s="73">
        <f>IFERROR(cadangan[[#This Row],[Harga Normal A]]-(cadangan[[#This Row],[Harga Normal A]]*cadangan[[#This Row],[Diskon]]),cadangan[[#This Row],[Harga Normal A]])</f>
        <v>800000</v>
      </c>
      <c r="J851" s="73">
        <f>INDEX(Katalog!$F$3:$F$12,MATCH(cadangan[[#This Row],[ItemID A]],Katalog!$C$3:$C$12,0))*cadangan[[#This Row],[Qty A]]</f>
        <v>300000</v>
      </c>
      <c r="K851" s="73">
        <f>IFERROR(cadangan[[#This Row],[Harga Diskon A]]-INDEX(Katalog!$E$3:$E$12,MATCH(cadangan[[#This Row],[ItemID A]],Katalog!$C$3:$C$12,0))*cadangan[[#This Row],[Qty A]],0)</f>
        <v>300000</v>
      </c>
      <c r="L851" s="39" t="s">
        <v>65</v>
      </c>
      <c r="M851" s="39" t="str">
        <f>IFERROR(INDEX(Katalog!$A$3:$A$12,MATCH(cadangan[[#This Row],[ItemID B]],Katalog!$C$3:$C$12,0)),"-")</f>
        <v>Sepatu Pria</v>
      </c>
      <c r="N851" s="39" t="str">
        <f>IFERROR(INDEX(Katalog!$B$3:$B$12,MATCH(cadangan[[#This Row],[ItemID B]],Katalog!$C$3:$C$12,0)),"-")</f>
        <v>Sneakers</v>
      </c>
      <c r="O851" s="50">
        <v>1</v>
      </c>
      <c r="P851" s="50">
        <v>2</v>
      </c>
      <c r="Q851" s="73">
        <f>IFERROR(INDEX(Katalog!$D$3:$D$12,MATCH(cadangan[[#This Row],[ItemID B]],Katalog!$C$3:$C$12,0))*cadangan[[#This Row],[Qty B]],0)</f>
        <v>500000</v>
      </c>
      <c r="R851" s="73">
        <f>IFERROR(cadangan[[#This Row],[Harga Normal B]]-(cadangan[[#This Row],[Harga Normal B]]*cadangan[[#This Row],[Diskon]]),cadangan[[#This Row],[Harga Normal B]])</f>
        <v>500000</v>
      </c>
      <c r="S851" s="73">
        <f>IFERROR(INDEX(Katalog!$F$3:$F$12,MATCH(cadangan[[#This Row],[ItemID B]],Katalog!$C$3:$C$12,0))*cadangan[[#This Row],[Qty B]],0)</f>
        <v>200000</v>
      </c>
      <c r="T851" s="73">
        <f>IFERROR(cadangan[[#This Row],[Harga Diskon B]]-INDEX(Katalog!$E$3:$E$12,MATCH(cadangan[[#This Row],[ItemID B]],Katalog!$C$3:$C$12,0))*cadangan[[#This Row],[Qty B]],0)</f>
        <v>200000</v>
      </c>
      <c r="U851" s="39" t="s">
        <v>63</v>
      </c>
      <c r="V851" s="39" t="str">
        <f>IFERROR(INDEX(Katalog!$A$3:$A$12,MATCH(cadangan[[#This Row],[ItemID C]],Katalog!$C$3:$C$12,0)),"-")</f>
        <v>Pakaian Pria</v>
      </c>
      <c r="W851" s="39" t="str">
        <f>IFERROR(INDEX(Katalog!$B$3:$B$12,MATCH(cadangan[[#This Row],[ItemID C]],Katalog!$C$3:$C$12,0)),"-")</f>
        <v>Jaket Jeans</v>
      </c>
      <c r="X851" s="50">
        <v>3</v>
      </c>
      <c r="Y851" s="50">
        <v>4</v>
      </c>
      <c r="Z851" s="73">
        <f>IFERROR(INDEX(Katalog!$D$3:$D$12,MATCH(cadangan[[#This Row],[ItemID C]],Katalog!$C$3:$C$12,0))*cadangan[[#This Row],[Qty C]],0)</f>
        <v>1200000</v>
      </c>
      <c r="AA851" s="73">
        <f>IFERROR(cadangan[[#This Row],[Harga Normal C]]-(cadangan[[#This Row],[Harga Normal C]]*cadangan[[#This Row],[Diskon]]),cadangan[[#This Row],[Harga Normal C]])</f>
        <v>1200000</v>
      </c>
      <c r="AB851" s="73">
        <f>IFERROR(INDEX(Katalog!$F$3:$F$12,MATCH(cadangan[[#This Row],[ItemID C]],Katalog!$C$3:$C$12,0))*cadangan[[#This Row],[Qty C]],0)</f>
        <v>450000</v>
      </c>
      <c r="AC851" s="73">
        <f>IFERROR(cadangan[[#This Row],[Harga Diskon C]]-INDEX(Katalog!$E$3:$E$12,MATCH(cadangan[[#This Row],[ItemID C]],Katalog!$C$3:$C$12,0))*cadangan[[#This Row],[Qty C]],0)</f>
        <v>450000</v>
      </c>
      <c r="AD851" s="53">
        <f>cadangan[[#This Row],[Qty A]]+cadangan[[#This Row],[Qty B]]+cadangan[[#This Row],[Qty C]]</f>
        <v>6</v>
      </c>
      <c r="AE851" s="73">
        <f>cadangan[[#This Row],[Harga Normal A]]+cadangan[[#This Row],[Harga Normal B]]+cadangan[[#This Row],[Harga Normal C]]</f>
        <v>2500000</v>
      </c>
      <c r="AF851" s="73">
        <f>cadangan[[#This Row],[Harga Diskon A]]+cadangan[[#This Row],[Harga Diskon B]]+cadangan[[#This Row],[Harga Diskon C]]</f>
        <v>2500000</v>
      </c>
      <c r="AG851" s="73">
        <f>(cadangan[[#This Row],[Profit Normal A]]+cadangan[[#This Row],[Profit Normal B]]+cadangan[[#This Row],[Profit Normal C]])</f>
        <v>950000</v>
      </c>
      <c r="AH851" s="73">
        <f>cadangan[[#This Row],[Profit Diskon A]]+cadangan[[#This Row],[Profit Diskon B]]+cadangan[[#This Row],[Profit Diskon C]]</f>
        <v>950000</v>
      </c>
      <c r="AI851" s="23" t="s">
        <v>290</v>
      </c>
      <c r="AJ851" s="37" t="str">
        <f>IFERROR(INDEX('Kode Diskon'!$D$3:$D$9,MATCH(cadangan[[#This Row],[Kode diskon]],'Kode Diskon'!$C$3:$C$9,0)),"-")</f>
        <v>-</v>
      </c>
      <c r="AK851" s="23" t="s">
        <v>290</v>
      </c>
      <c r="AL851" s="23" t="s">
        <v>10</v>
      </c>
      <c r="AM851" s="23" t="s">
        <v>76</v>
      </c>
      <c r="AN851" s="55">
        <v>45023</v>
      </c>
      <c r="AO851" s="53">
        <f>DAY(cadangan[[#This Row],[Tanggal terjual]])</f>
        <v>7</v>
      </c>
      <c r="AP851" s="21" t="str">
        <f>TEXT(cadangan[[#This Row],[Tanggal terjual]],"dddd")</f>
        <v>Friday</v>
      </c>
      <c r="AQ851" s="23" t="str" cm="1">
        <f t="array" ref="AQ8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1" s="61">
        <f>AVERAGE(cadangan[[#This Row],[Rating A]],cadangan[[#This Row],[Rating B]],cadangan[[#This Row],[Rating C]])</f>
        <v>2.3333333333333335</v>
      </c>
    </row>
    <row r="852" spans="1:44" x14ac:dyDescent="0.2">
      <c r="A852" s="20">
        <v>851</v>
      </c>
      <c r="B852" s="21" t="str">
        <f>_xlfn.CONCAT("ORD-",INDEX(Helper!$B$2:$B$5,MATCH(cadangan[[#This Row],[Marketplace]],Helper!$A$2:$A$5,0)),TEXT(cadangan[[#This Row],[No]],"0000"),"-",TEXT(cadangan[[#This Row],[Tanggal terjual]],"dd/mm/yy"))</f>
        <v>ORD-BB0851-03/04/23</v>
      </c>
      <c r="C852" s="39" t="s">
        <v>59</v>
      </c>
      <c r="D852" s="39" t="str">
        <f>IFERROR(INDEX(Katalog!$A$3:$A$12,MATCH(cadangan[[#This Row],[ItemID A]],Katalog!$C$3:$C$12,0)),"-")</f>
        <v>Pakaian Wanita</v>
      </c>
      <c r="E852" s="39" t="str">
        <f>IFERROR(INDEX(Katalog!$B$3:$B$12,MATCH(cadangan[[#This Row],[ItemID A]],Katalog!$C$3:$C$12,0)),"-")</f>
        <v>Blouse</v>
      </c>
      <c r="F852" s="50">
        <v>2</v>
      </c>
      <c r="G852" s="50">
        <v>2</v>
      </c>
      <c r="H852" s="73">
        <f>IFERROR(INDEX(Katalog!$D$3:$D$12,MATCH(cadangan[[#This Row],[ItemID A]],Katalog!$C$3:$C$12,0))*cadangan[[#This Row],[Qty A]],0)</f>
        <v>300000</v>
      </c>
      <c r="I852" s="73">
        <f>IFERROR(cadangan[[#This Row],[Harga Normal A]]-(cadangan[[#This Row],[Harga Normal A]]*cadangan[[#This Row],[Diskon]]),cadangan[[#This Row],[Harga Normal A]])</f>
        <v>255000</v>
      </c>
      <c r="J852" s="73">
        <f>INDEX(Katalog!$F$3:$F$12,MATCH(cadangan[[#This Row],[ItemID A]],Katalog!$C$3:$C$12,0))*cadangan[[#This Row],[Qty A]]</f>
        <v>100000</v>
      </c>
      <c r="K852" s="73">
        <f>IFERROR(cadangan[[#This Row],[Harga Diskon A]]-INDEX(Katalog!$E$3:$E$12,MATCH(cadangan[[#This Row],[ItemID A]],Katalog!$C$3:$C$12,0))*cadangan[[#This Row],[Qty A]],0)</f>
        <v>55000</v>
      </c>
      <c r="M852" s="39" t="str">
        <f>IFERROR(INDEX(Katalog!$A$3:$A$12,MATCH(cadangan[[#This Row],[ItemID B]],Katalog!$C$3:$C$12,0)),"-")</f>
        <v>-</v>
      </c>
      <c r="N852" s="39" t="str">
        <f>IFERROR(INDEX(Katalog!$B$3:$B$12,MATCH(cadangan[[#This Row],[ItemID B]],Katalog!$C$3:$C$12,0)),"-")</f>
        <v>-</v>
      </c>
      <c r="Q852" s="73">
        <f>IFERROR(INDEX(Katalog!$D$3:$D$12,MATCH(cadangan[[#This Row],[ItemID B]],Katalog!$C$3:$C$12,0))*cadangan[[#This Row],[Qty B]],0)</f>
        <v>0</v>
      </c>
      <c r="R852" s="73">
        <f>IFERROR(cadangan[[#This Row],[Harga Normal B]]-(cadangan[[#This Row],[Harga Normal B]]*cadangan[[#This Row],[Diskon]]),cadangan[[#This Row],[Harga Normal B]])</f>
        <v>0</v>
      </c>
      <c r="S852" s="73">
        <f>IFERROR(INDEX(Katalog!$F$3:$F$12,MATCH(cadangan[[#This Row],[ItemID B]],Katalog!$C$3:$C$12,0))*cadangan[[#This Row],[Qty B]],0)</f>
        <v>0</v>
      </c>
      <c r="T852" s="73">
        <f>IFERROR(cadangan[[#This Row],[Harga Diskon B]]-INDEX(Katalog!$E$3:$E$12,MATCH(cadangan[[#This Row],[ItemID B]],Katalog!$C$3:$C$12,0))*cadangan[[#This Row],[Qty B]],0)</f>
        <v>0</v>
      </c>
      <c r="V852" s="39" t="str">
        <f>IFERROR(INDEX(Katalog!$A$3:$A$12,MATCH(cadangan[[#This Row],[ItemID C]],Katalog!$C$3:$C$12,0)),"-")</f>
        <v>-</v>
      </c>
      <c r="W852" s="39" t="str">
        <f>IFERROR(INDEX(Katalog!$B$3:$B$12,MATCH(cadangan[[#This Row],[ItemID C]],Katalog!$C$3:$C$12,0)),"-")</f>
        <v>-</v>
      </c>
      <c r="Z852" s="73">
        <f>IFERROR(INDEX(Katalog!$D$3:$D$12,MATCH(cadangan[[#This Row],[ItemID C]],Katalog!$C$3:$C$12,0))*cadangan[[#This Row],[Qty C]],0)</f>
        <v>0</v>
      </c>
      <c r="AA852" s="73">
        <f>IFERROR(cadangan[[#This Row],[Harga Normal C]]-(cadangan[[#This Row],[Harga Normal C]]*cadangan[[#This Row],[Diskon]]),cadangan[[#This Row],[Harga Normal C]])</f>
        <v>0</v>
      </c>
      <c r="AB852" s="73">
        <f>IFERROR(INDEX(Katalog!$F$3:$F$12,MATCH(cadangan[[#This Row],[ItemID C]],Katalog!$C$3:$C$12,0))*cadangan[[#This Row],[Qty C]],0)</f>
        <v>0</v>
      </c>
      <c r="AC852" s="73">
        <f>IFERROR(cadangan[[#This Row],[Harga Diskon C]]-INDEX(Katalog!$E$3:$E$12,MATCH(cadangan[[#This Row],[ItemID C]],Katalog!$C$3:$C$12,0))*cadangan[[#This Row],[Qty C]],0)</f>
        <v>0</v>
      </c>
      <c r="AD852" s="53">
        <f>cadangan[[#This Row],[Qty A]]+cadangan[[#This Row],[Qty B]]+cadangan[[#This Row],[Qty C]]</f>
        <v>2</v>
      </c>
      <c r="AE852" s="73">
        <f>cadangan[[#This Row],[Harga Normal A]]+cadangan[[#This Row],[Harga Normal B]]+cadangan[[#This Row],[Harga Normal C]]</f>
        <v>300000</v>
      </c>
      <c r="AF852" s="73">
        <f>cadangan[[#This Row],[Harga Diskon A]]+cadangan[[#This Row],[Harga Diskon B]]+cadangan[[#This Row],[Harga Diskon C]]</f>
        <v>255000</v>
      </c>
      <c r="AG852" s="73">
        <f>(cadangan[[#This Row],[Profit Normal A]]+cadangan[[#This Row],[Profit Normal B]]+cadangan[[#This Row],[Profit Normal C]])</f>
        <v>100000</v>
      </c>
      <c r="AH852" s="73">
        <f>cadangan[[#This Row],[Profit Diskon A]]+cadangan[[#This Row],[Profit Diskon B]]+cadangan[[#This Row],[Profit Diskon C]]</f>
        <v>55000</v>
      </c>
      <c r="AI852" s="23" t="s">
        <v>28</v>
      </c>
      <c r="AJ852" s="37">
        <f>IFERROR(INDEX('Kode Diskon'!$D$3:$D$9,MATCH(cadangan[[#This Row],[Kode diskon]],'Kode Diskon'!$C$3:$C$9,0)),"-")</f>
        <v>0.15</v>
      </c>
      <c r="AK852" s="23" t="s">
        <v>29</v>
      </c>
      <c r="AL852" s="23" t="s">
        <v>14</v>
      </c>
      <c r="AM852" s="23" t="s">
        <v>76</v>
      </c>
      <c r="AN852" s="55">
        <v>45019</v>
      </c>
      <c r="AO852" s="53">
        <f>DAY(cadangan[[#This Row],[Tanggal terjual]])</f>
        <v>3</v>
      </c>
      <c r="AP852" s="21" t="str">
        <f>TEXT(cadangan[[#This Row],[Tanggal terjual]],"dddd")</f>
        <v>Monday</v>
      </c>
      <c r="AQ852" s="23" t="str" cm="1">
        <f t="array" ref="AQ8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2" s="61">
        <f>AVERAGE(cadangan[[#This Row],[Rating A]],cadangan[[#This Row],[Rating B]],cadangan[[#This Row],[Rating C]])</f>
        <v>2</v>
      </c>
    </row>
    <row r="853" spans="1:44" x14ac:dyDescent="0.2">
      <c r="A853" s="20">
        <v>852</v>
      </c>
      <c r="B853" s="21" t="str">
        <f>_xlfn.CONCAT("ORD-",INDEX(Helper!$B$2:$B$5,MATCH(cadangan[[#This Row],[Marketplace]],Helper!$A$2:$A$5,0)),TEXT(cadangan[[#This Row],[No]],"0000"),"-",TEXT(cadangan[[#This Row],[Tanggal terjual]],"dd/mm/yy"))</f>
        <v>ORD-BB0852-05/04/23</v>
      </c>
      <c r="C853" s="39" t="s">
        <v>64</v>
      </c>
      <c r="D853" s="39" t="str">
        <f>IFERROR(INDEX(Katalog!$A$3:$A$12,MATCH(cadangan[[#This Row],[ItemID A]],Katalog!$C$3:$C$12,0)),"-")</f>
        <v>Pakaian Unisex</v>
      </c>
      <c r="E853" s="39" t="str">
        <f>IFERROR(INDEX(Katalog!$B$3:$B$12,MATCH(cadangan[[#This Row],[ItemID A]],Katalog!$C$3:$C$12,0)),"-")</f>
        <v>Jaket Hoodie</v>
      </c>
      <c r="F853" s="50">
        <v>1</v>
      </c>
      <c r="G853" s="50">
        <v>2</v>
      </c>
      <c r="H853" s="73">
        <f>IFERROR(INDEX(Katalog!$D$3:$D$12,MATCH(cadangan[[#This Row],[ItemID A]],Katalog!$C$3:$C$12,0))*cadangan[[#This Row],[Qty A]],0)</f>
        <v>350000</v>
      </c>
      <c r="I853" s="73">
        <f>IFERROR(cadangan[[#This Row],[Harga Normal A]]-(cadangan[[#This Row],[Harga Normal A]]*cadangan[[#This Row],[Diskon]]),cadangan[[#This Row],[Harga Normal A]])</f>
        <v>297500</v>
      </c>
      <c r="J853" s="73">
        <f>INDEX(Katalog!$F$3:$F$12,MATCH(cadangan[[#This Row],[ItemID A]],Katalog!$C$3:$C$12,0))*cadangan[[#This Row],[Qty A]]</f>
        <v>130000</v>
      </c>
      <c r="K853" s="73">
        <f>IFERROR(cadangan[[#This Row],[Harga Diskon A]]-INDEX(Katalog!$E$3:$E$12,MATCH(cadangan[[#This Row],[ItemID A]],Katalog!$C$3:$C$12,0))*cadangan[[#This Row],[Qty A]],0)</f>
        <v>77500</v>
      </c>
      <c r="L853" s="39" t="s">
        <v>63</v>
      </c>
      <c r="M853" s="39" t="str">
        <f>IFERROR(INDEX(Katalog!$A$3:$A$12,MATCH(cadangan[[#This Row],[ItemID B]],Katalog!$C$3:$C$12,0)),"-")</f>
        <v>Pakaian Pria</v>
      </c>
      <c r="N853" s="39" t="str">
        <f>IFERROR(INDEX(Katalog!$B$3:$B$12,MATCH(cadangan[[#This Row],[ItemID B]],Katalog!$C$3:$C$12,0)),"-")</f>
        <v>Jaket Jeans</v>
      </c>
      <c r="O853" s="50">
        <v>3</v>
      </c>
      <c r="P853" s="50">
        <v>3</v>
      </c>
      <c r="Q853" s="73">
        <f>IFERROR(INDEX(Katalog!$D$3:$D$12,MATCH(cadangan[[#This Row],[ItemID B]],Katalog!$C$3:$C$12,0))*cadangan[[#This Row],[Qty B]],0)</f>
        <v>1200000</v>
      </c>
      <c r="R853" s="73">
        <f>IFERROR(cadangan[[#This Row],[Harga Normal B]]-(cadangan[[#This Row],[Harga Normal B]]*cadangan[[#This Row],[Diskon]]),cadangan[[#This Row],[Harga Normal B]])</f>
        <v>1020000</v>
      </c>
      <c r="S853" s="73">
        <f>IFERROR(INDEX(Katalog!$F$3:$F$12,MATCH(cadangan[[#This Row],[ItemID B]],Katalog!$C$3:$C$12,0))*cadangan[[#This Row],[Qty B]],0)</f>
        <v>450000</v>
      </c>
      <c r="T853" s="73">
        <f>IFERROR(cadangan[[#This Row],[Harga Diskon B]]-INDEX(Katalog!$E$3:$E$12,MATCH(cadangan[[#This Row],[ItemID B]],Katalog!$C$3:$C$12,0))*cadangan[[#This Row],[Qty B]],0)</f>
        <v>270000</v>
      </c>
      <c r="U853" s="39" t="s">
        <v>67</v>
      </c>
      <c r="V853" s="39" t="str">
        <f>IFERROR(INDEX(Katalog!$A$3:$A$12,MATCH(cadangan[[#This Row],[ItemID C]],Katalog!$C$3:$C$12,0)),"-")</f>
        <v>Sepatu Wanita</v>
      </c>
      <c r="W853" s="39" t="str">
        <f>IFERROR(INDEX(Katalog!$B$3:$B$12,MATCH(cadangan[[#This Row],[ItemID C]],Katalog!$C$3:$C$12,0)),"-")</f>
        <v>Flat Shoes</v>
      </c>
      <c r="X853" s="50">
        <v>3</v>
      </c>
      <c r="Y853" s="50">
        <v>1</v>
      </c>
      <c r="Z853" s="73">
        <f>IFERROR(INDEX(Katalog!$D$3:$D$12,MATCH(cadangan[[#This Row],[ItemID C]],Katalog!$C$3:$C$12,0))*cadangan[[#This Row],[Qty C]],0)</f>
        <v>750000</v>
      </c>
      <c r="AA853" s="73">
        <f>IFERROR(cadangan[[#This Row],[Harga Normal C]]-(cadangan[[#This Row],[Harga Normal C]]*cadangan[[#This Row],[Diskon]]),cadangan[[#This Row],[Harga Normal C]])</f>
        <v>637500</v>
      </c>
      <c r="AB853" s="73">
        <f>IFERROR(INDEX(Katalog!$F$3:$F$12,MATCH(cadangan[[#This Row],[ItemID C]],Katalog!$C$3:$C$12,0))*cadangan[[#This Row],[Qty C]],0)</f>
        <v>300000</v>
      </c>
      <c r="AC853" s="73">
        <f>IFERROR(cadangan[[#This Row],[Harga Diskon C]]-INDEX(Katalog!$E$3:$E$12,MATCH(cadangan[[#This Row],[ItemID C]],Katalog!$C$3:$C$12,0))*cadangan[[#This Row],[Qty C]],0)</f>
        <v>187500</v>
      </c>
      <c r="AD853" s="53">
        <f>cadangan[[#This Row],[Qty A]]+cadangan[[#This Row],[Qty B]]+cadangan[[#This Row],[Qty C]]</f>
        <v>7</v>
      </c>
      <c r="AE853" s="73">
        <f>cadangan[[#This Row],[Harga Normal A]]+cadangan[[#This Row],[Harga Normal B]]+cadangan[[#This Row],[Harga Normal C]]</f>
        <v>2300000</v>
      </c>
      <c r="AF853" s="73">
        <f>cadangan[[#This Row],[Harga Diskon A]]+cadangan[[#This Row],[Harga Diskon B]]+cadangan[[#This Row],[Harga Diskon C]]</f>
        <v>1955000</v>
      </c>
      <c r="AG853" s="73">
        <f>(cadangan[[#This Row],[Profit Normal A]]+cadangan[[#This Row],[Profit Normal B]]+cadangan[[#This Row],[Profit Normal C]])</f>
        <v>880000</v>
      </c>
      <c r="AH853" s="73">
        <f>cadangan[[#This Row],[Profit Diskon A]]+cadangan[[#This Row],[Profit Diskon B]]+cadangan[[#This Row],[Profit Diskon C]]</f>
        <v>535000</v>
      </c>
      <c r="AI853" s="23" t="s">
        <v>28</v>
      </c>
      <c r="AJ853" s="37">
        <f>IFERROR(INDEX('Kode Diskon'!$D$3:$D$9,MATCH(cadangan[[#This Row],[Kode diskon]],'Kode Diskon'!$C$3:$C$9,0)),"-")</f>
        <v>0.15</v>
      </c>
      <c r="AK853" s="23" t="s">
        <v>29</v>
      </c>
      <c r="AL853" s="23" t="s">
        <v>14</v>
      </c>
      <c r="AM853" s="23" t="s">
        <v>80</v>
      </c>
      <c r="AN853" s="55">
        <v>45021</v>
      </c>
      <c r="AO853" s="53">
        <f>DAY(cadangan[[#This Row],[Tanggal terjual]])</f>
        <v>5</v>
      </c>
      <c r="AP853" s="21" t="str">
        <f>TEXT(cadangan[[#This Row],[Tanggal terjual]],"dddd")</f>
        <v>Wednesday</v>
      </c>
      <c r="AQ853" s="23" t="str" cm="1">
        <f t="array" ref="AQ8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3" s="61">
        <f>AVERAGE(cadangan[[#This Row],[Rating A]],cadangan[[#This Row],[Rating B]],cadangan[[#This Row],[Rating C]])</f>
        <v>2</v>
      </c>
    </row>
    <row r="854" spans="1:44" x14ac:dyDescent="0.2">
      <c r="A854" s="20">
        <v>853</v>
      </c>
      <c r="B854" s="21" t="str">
        <f>_xlfn.CONCAT("ORD-",INDEX(Helper!$B$2:$B$5,MATCH(cadangan[[#This Row],[Marketplace]],Helper!$A$2:$A$5,0)),TEXT(cadangan[[#This Row],[No]],"0000"),"-",TEXT(cadangan[[#This Row],[Tanggal terjual]],"dd/mm/yy"))</f>
        <v>ORD-TK0853-01/04/23</v>
      </c>
      <c r="C854" s="39" t="s">
        <v>64</v>
      </c>
      <c r="D854" s="39" t="str">
        <f>IFERROR(INDEX(Katalog!$A$3:$A$12,MATCH(cadangan[[#This Row],[ItemID A]],Katalog!$C$3:$C$12,0)),"-")</f>
        <v>Pakaian Unisex</v>
      </c>
      <c r="E854" s="39" t="str">
        <f>IFERROR(INDEX(Katalog!$B$3:$B$12,MATCH(cadangan[[#This Row],[ItemID A]],Katalog!$C$3:$C$12,0)),"-")</f>
        <v>Jaket Hoodie</v>
      </c>
      <c r="F854" s="50">
        <v>2</v>
      </c>
      <c r="G854" s="50">
        <v>4</v>
      </c>
      <c r="H854" s="73">
        <f>IFERROR(INDEX(Katalog!$D$3:$D$12,MATCH(cadangan[[#This Row],[ItemID A]],Katalog!$C$3:$C$12,0))*cadangan[[#This Row],[Qty A]],0)</f>
        <v>700000</v>
      </c>
      <c r="I854" s="73">
        <f>IFERROR(cadangan[[#This Row],[Harga Normal A]]-(cadangan[[#This Row],[Harga Normal A]]*cadangan[[#This Row],[Diskon]]),cadangan[[#This Row],[Harga Normal A]])</f>
        <v>630000</v>
      </c>
      <c r="J854" s="73">
        <f>INDEX(Katalog!$F$3:$F$12,MATCH(cadangan[[#This Row],[ItemID A]],Katalog!$C$3:$C$12,0))*cadangan[[#This Row],[Qty A]]</f>
        <v>260000</v>
      </c>
      <c r="K854" s="73">
        <f>IFERROR(cadangan[[#This Row],[Harga Diskon A]]-INDEX(Katalog!$E$3:$E$12,MATCH(cadangan[[#This Row],[ItemID A]],Katalog!$C$3:$C$12,0))*cadangan[[#This Row],[Qty A]],0)</f>
        <v>190000</v>
      </c>
      <c r="M854" s="39" t="str">
        <f>IFERROR(INDEX(Katalog!$A$3:$A$12,MATCH(cadangan[[#This Row],[ItemID B]],Katalog!$C$3:$C$12,0)),"-")</f>
        <v>-</v>
      </c>
      <c r="N854" s="39" t="str">
        <f>IFERROR(INDEX(Katalog!$B$3:$B$12,MATCH(cadangan[[#This Row],[ItemID B]],Katalog!$C$3:$C$12,0)),"-")</f>
        <v>-</v>
      </c>
      <c r="Q854" s="73">
        <f>IFERROR(INDEX(Katalog!$D$3:$D$12,MATCH(cadangan[[#This Row],[ItemID B]],Katalog!$C$3:$C$12,0))*cadangan[[#This Row],[Qty B]],0)</f>
        <v>0</v>
      </c>
      <c r="R854" s="73">
        <f>IFERROR(cadangan[[#This Row],[Harga Normal B]]-(cadangan[[#This Row],[Harga Normal B]]*cadangan[[#This Row],[Diskon]]),cadangan[[#This Row],[Harga Normal B]])</f>
        <v>0</v>
      </c>
      <c r="S854" s="73">
        <f>IFERROR(INDEX(Katalog!$F$3:$F$12,MATCH(cadangan[[#This Row],[ItemID B]],Katalog!$C$3:$C$12,0))*cadangan[[#This Row],[Qty B]],0)</f>
        <v>0</v>
      </c>
      <c r="T854" s="73">
        <f>IFERROR(cadangan[[#This Row],[Harga Diskon B]]-INDEX(Katalog!$E$3:$E$12,MATCH(cadangan[[#This Row],[ItemID B]],Katalog!$C$3:$C$12,0))*cadangan[[#This Row],[Qty B]],0)</f>
        <v>0</v>
      </c>
      <c r="V854" s="39" t="str">
        <f>IFERROR(INDEX(Katalog!$A$3:$A$12,MATCH(cadangan[[#This Row],[ItemID C]],Katalog!$C$3:$C$12,0)),"-")</f>
        <v>-</v>
      </c>
      <c r="W854" s="39" t="str">
        <f>IFERROR(INDEX(Katalog!$B$3:$B$12,MATCH(cadangan[[#This Row],[ItemID C]],Katalog!$C$3:$C$12,0)),"-")</f>
        <v>-</v>
      </c>
      <c r="Z854" s="73">
        <f>IFERROR(INDEX(Katalog!$D$3:$D$12,MATCH(cadangan[[#This Row],[ItemID C]],Katalog!$C$3:$C$12,0))*cadangan[[#This Row],[Qty C]],0)</f>
        <v>0</v>
      </c>
      <c r="AA854" s="73">
        <f>IFERROR(cadangan[[#This Row],[Harga Normal C]]-(cadangan[[#This Row],[Harga Normal C]]*cadangan[[#This Row],[Diskon]]),cadangan[[#This Row],[Harga Normal C]])</f>
        <v>0</v>
      </c>
      <c r="AB854" s="73">
        <f>IFERROR(INDEX(Katalog!$F$3:$F$12,MATCH(cadangan[[#This Row],[ItemID C]],Katalog!$C$3:$C$12,0))*cadangan[[#This Row],[Qty C]],0)</f>
        <v>0</v>
      </c>
      <c r="AC854" s="73">
        <f>IFERROR(cadangan[[#This Row],[Harga Diskon C]]-INDEX(Katalog!$E$3:$E$12,MATCH(cadangan[[#This Row],[ItemID C]],Katalog!$C$3:$C$12,0))*cadangan[[#This Row],[Qty C]],0)</f>
        <v>0</v>
      </c>
      <c r="AD854" s="53">
        <f>cadangan[[#This Row],[Qty A]]+cadangan[[#This Row],[Qty B]]+cadangan[[#This Row],[Qty C]]</f>
        <v>2</v>
      </c>
      <c r="AE854" s="73">
        <f>cadangan[[#This Row],[Harga Normal A]]+cadangan[[#This Row],[Harga Normal B]]+cadangan[[#This Row],[Harga Normal C]]</f>
        <v>700000</v>
      </c>
      <c r="AF854" s="73">
        <f>cadangan[[#This Row],[Harga Diskon A]]+cadangan[[#This Row],[Harga Diskon B]]+cadangan[[#This Row],[Harga Diskon C]]</f>
        <v>630000</v>
      </c>
      <c r="AG854" s="73">
        <f>(cadangan[[#This Row],[Profit Normal A]]+cadangan[[#This Row],[Profit Normal B]]+cadangan[[#This Row],[Profit Normal C]])</f>
        <v>260000</v>
      </c>
      <c r="AH854" s="73">
        <f>cadangan[[#This Row],[Profit Diskon A]]+cadangan[[#This Row],[Profit Diskon B]]+cadangan[[#This Row],[Profit Diskon C]]</f>
        <v>190000</v>
      </c>
      <c r="AI854" s="23" t="s">
        <v>30</v>
      </c>
      <c r="AJ854" s="37">
        <f>IFERROR(INDEX('Kode Diskon'!$D$3:$D$9,MATCH(cadangan[[#This Row],[Kode diskon]],'Kode Diskon'!$C$3:$C$9,0)),"-")</f>
        <v>0.1</v>
      </c>
      <c r="AK854" s="23" t="s">
        <v>29</v>
      </c>
      <c r="AL854" s="23" t="s">
        <v>10</v>
      </c>
      <c r="AM854" s="23" t="s">
        <v>80</v>
      </c>
      <c r="AN854" s="55">
        <v>45017</v>
      </c>
      <c r="AO854" s="53">
        <f>DAY(cadangan[[#This Row],[Tanggal terjual]])</f>
        <v>1</v>
      </c>
      <c r="AP854" s="21" t="str">
        <f>TEXT(cadangan[[#This Row],[Tanggal terjual]],"dddd")</f>
        <v>Saturday</v>
      </c>
      <c r="AQ854" s="23" t="str" cm="1">
        <f t="array" ref="AQ8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4" s="61">
        <f>AVERAGE(cadangan[[#This Row],[Rating A]],cadangan[[#This Row],[Rating B]],cadangan[[#This Row],[Rating C]])</f>
        <v>4</v>
      </c>
    </row>
    <row r="855" spans="1:44" x14ac:dyDescent="0.2">
      <c r="A855" s="20">
        <v>854</v>
      </c>
      <c r="B855" s="21" t="str">
        <f>_xlfn.CONCAT("ORD-",INDEX(Helper!$B$2:$B$5,MATCH(cadangan[[#This Row],[Marketplace]],Helper!$A$2:$A$5,0)),TEXT(cadangan[[#This Row],[No]],"0000"),"-",TEXT(cadangan[[#This Row],[Tanggal terjual]],"dd/mm/yy"))</f>
        <v>ORD-TK0854-04/04/23</v>
      </c>
      <c r="C855" s="39" t="s">
        <v>60</v>
      </c>
      <c r="D855" s="39" t="str">
        <f>IFERROR(INDEX(Katalog!$A$3:$A$12,MATCH(cadangan[[#This Row],[ItemID A]],Katalog!$C$3:$C$12,0)),"-")</f>
        <v>Pakaian Wanita</v>
      </c>
      <c r="E855" s="39" t="str">
        <f>IFERROR(INDEX(Katalog!$B$3:$B$12,MATCH(cadangan[[#This Row],[ItemID A]],Katalog!$C$3:$C$12,0)),"-")</f>
        <v>Kaftan</v>
      </c>
      <c r="F855" s="50">
        <v>1</v>
      </c>
      <c r="G855" s="50">
        <v>4</v>
      </c>
      <c r="H855" s="73">
        <f>IFERROR(INDEX(Katalog!$D$3:$D$12,MATCH(cadangan[[#This Row],[ItemID A]],Katalog!$C$3:$C$12,0))*cadangan[[#This Row],[Qty A]],0)</f>
        <v>250000</v>
      </c>
      <c r="I855" s="73">
        <f>IFERROR(cadangan[[#This Row],[Harga Normal A]]-(cadangan[[#This Row],[Harga Normal A]]*cadangan[[#This Row],[Diskon]]),cadangan[[#This Row],[Harga Normal A]])</f>
        <v>225000</v>
      </c>
      <c r="J855" s="73">
        <f>INDEX(Katalog!$F$3:$F$12,MATCH(cadangan[[#This Row],[ItemID A]],Katalog!$C$3:$C$12,0))*cadangan[[#This Row],[Qty A]]</f>
        <v>100000</v>
      </c>
      <c r="K855" s="73">
        <f>IFERROR(cadangan[[#This Row],[Harga Diskon A]]-INDEX(Katalog!$E$3:$E$12,MATCH(cadangan[[#This Row],[ItemID A]],Katalog!$C$3:$C$12,0))*cadangan[[#This Row],[Qty A]],0)</f>
        <v>75000</v>
      </c>
      <c r="M855" s="39" t="str">
        <f>IFERROR(INDEX(Katalog!$A$3:$A$12,MATCH(cadangan[[#This Row],[ItemID B]],Katalog!$C$3:$C$12,0)),"-")</f>
        <v>-</v>
      </c>
      <c r="N855" s="39" t="str">
        <f>IFERROR(INDEX(Katalog!$B$3:$B$12,MATCH(cadangan[[#This Row],[ItemID B]],Katalog!$C$3:$C$12,0)),"-")</f>
        <v>-</v>
      </c>
      <c r="Q855" s="73">
        <f>IFERROR(INDEX(Katalog!$D$3:$D$12,MATCH(cadangan[[#This Row],[ItemID B]],Katalog!$C$3:$C$12,0))*cadangan[[#This Row],[Qty B]],0)</f>
        <v>0</v>
      </c>
      <c r="R855" s="73">
        <f>IFERROR(cadangan[[#This Row],[Harga Normal B]]-(cadangan[[#This Row],[Harga Normal B]]*cadangan[[#This Row],[Diskon]]),cadangan[[#This Row],[Harga Normal B]])</f>
        <v>0</v>
      </c>
      <c r="S855" s="73">
        <f>IFERROR(INDEX(Katalog!$F$3:$F$12,MATCH(cadangan[[#This Row],[ItemID B]],Katalog!$C$3:$C$12,0))*cadangan[[#This Row],[Qty B]],0)</f>
        <v>0</v>
      </c>
      <c r="T855" s="73">
        <f>IFERROR(cadangan[[#This Row],[Harga Diskon B]]-INDEX(Katalog!$E$3:$E$12,MATCH(cadangan[[#This Row],[ItemID B]],Katalog!$C$3:$C$12,0))*cadangan[[#This Row],[Qty B]],0)</f>
        <v>0</v>
      </c>
      <c r="V855" s="39" t="str">
        <f>IFERROR(INDEX(Katalog!$A$3:$A$12,MATCH(cadangan[[#This Row],[ItemID C]],Katalog!$C$3:$C$12,0)),"-")</f>
        <v>-</v>
      </c>
      <c r="W855" s="39" t="str">
        <f>IFERROR(INDEX(Katalog!$B$3:$B$12,MATCH(cadangan[[#This Row],[ItemID C]],Katalog!$C$3:$C$12,0)),"-")</f>
        <v>-</v>
      </c>
      <c r="Z855" s="73">
        <f>IFERROR(INDEX(Katalog!$D$3:$D$12,MATCH(cadangan[[#This Row],[ItemID C]],Katalog!$C$3:$C$12,0))*cadangan[[#This Row],[Qty C]],0)</f>
        <v>0</v>
      </c>
      <c r="AA855" s="73">
        <f>IFERROR(cadangan[[#This Row],[Harga Normal C]]-(cadangan[[#This Row],[Harga Normal C]]*cadangan[[#This Row],[Diskon]]),cadangan[[#This Row],[Harga Normal C]])</f>
        <v>0</v>
      </c>
      <c r="AB855" s="73">
        <f>IFERROR(INDEX(Katalog!$F$3:$F$12,MATCH(cadangan[[#This Row],[ItemID C]],Katalog!$C$3:$C$12,0))*cadangan[[#This Row],[Qty C]],0)</f>
        <v>0</v>
      </c>
      <c r="AC855" s="73">
        <f>IFERROR(cadangan[[#This Row],[Harga Diskon C]]-INDEX(Katalog!$E$3:$E$12,MATCH(cadangan[[#This Row],[ItemID C]],Katalog!$C$3:$C$12,0))*cadangan[[#This Row],[Qty C]],0)</f>
        <v>0</v>
      </c>
      <c r="AD855" s="53">
        <f>cadangan[[#This Row],[Qty A]]+cadangan[[#This Row],[Qty B]]+cadangan[[#This Row],[Qty C]]</f>
        <v>1</v>
      </c>
      <c r="AE855" s="73">
        <f>cadangan[[#This Row],[Harga Normal A]]+cadangan[[#This Row],[Harga Normal B]]+cadangan[[#This Row],[Harga Normal C]]</f>
        <v>250000</v>
      </c>
      <c r="AF855" s="73">
        <f>cadangan[[#This Row],[Harga Diskon A]]+cadangan[[#This Row],[Harga Diskon B]]+cadangan[[#This Row],[Harga Diskon C]]</f>
        <v>225000</v>
      </c>
      <c r="AG855" s="73">
        <f>(cadangan[[#This Row],[Profit Normal A]]+cadangan[[#This Row],[Profit Normal B]]+cadangan[[#This Row],[Profit Normal C]])</f>
        <v>100000</v>
      </c>
      <c r="AH855" s="73">
        <f>cadangan[[#This Row],[Profit Diskon A]]+cadangan[[#This Row],[Profit Diskon B]]+cadangan[[#This Row],[Profit Diskon C]]</f>
        <v>75000</v>
      </c>
      <c r="AI855" s="23" t="s">
        <v>30</v>
      </c>
      <c r="AJ855" s="37">
        <f>IFERROR(INDEX('Kode Diskon'!$D$3:$D$9,MATCH(cadangan[[#This Row],[Kode diskon]],'Kode Diskon'!$C$3:$C$9,0)),"-")</f>
        <v>0.1</v>
      </c>
      <c r="AK855" s="23" t="s">
        <v>29</v>
      </c>
      <c r="AL855" s="23" t="s">
        <v>10</v>
      </c>
      <c r="AM855" s="23" t="s">
        <v>80</v>
      </c>
      <c r="AN855" s="55">
        <v>45020</v>
      </c>
      <c r="AO855" s="53">
        <f>DAY(cadangan[[#This Row],[Tanggal terjual]])</f>
        <v>4</v>
      </c>
      <c r="AP855" s="21" t="str">
        <f>TEXT(cadangan[[#This Row],[Tanggal terjual]],"dddd")</f>
        <v>Tuesday</v>
      </c>
      <c r="AQ855" s="23" t="str" cm="1">
        <f t="array" ref="AQ8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5" s="61">
        <f>AVERAGE(cadangan[[#This Row],[Rating A]],cadangan[[#This Row],[Rating B]],cadangan[[#This Row],[Rating C]])</f>
        <v>4</v>
      </c>
    </row>
    <row r="856" spans="1:44" x14ac:dyDescent="0.2">
      <c r="A856" s="20">
        <v>855</v>
      </c>
      <c r="B856" s="21" t="str">
        <f>_xlfn.CONCAT("ORD-",INDEX(Helper!$B$2:$B$5,MATCH(cadangan[[#This Row],[Marketplace]],Helper!$A$2:$A$5,0)),TEXT(cadangan[[#This Row],[No]],"0000"),"-",TEXT(cadangan[[#This Row],[Tanggal terjual]],"dd/mm/yy"))</f>
        <v>ORD-BB0855-04/04/23</v>
      </c>
      <c r="C856" s="39" t="s">
        <v>61</v>
      </c>
      <c r="D856" s="39" t="str">
        <f>IFERROR(INDEX(Katalog!$A$3:$A$12,MATCH(cadangan[[#This Row],[ItemID A]],Katalog!$C$3:$C$12,0)),"-")</f>
        <v>Pakaian Pria</v>
      </c>
      <c r="E856" s="39" t="str">
        <f>IFERROR(INDEX(Katalog!$B$3:$B$12,MATCH(cadangan[[#This Row],[ItemID A]],Katalog!$C$3:$C$12,0)),"-")</f>
        <v>Kaos Polo</v>
      </c>
      <c r="F856" s="50">
        <v>2</v>
      </c>
      <c r="G856" s="50">
        <v>3</v>
      </c>
      <c r="H856" s="73">
        <f>IFERROR(INDEX(Katalog!$D$3:$D$12,MATCH(cadangan[[#This Row],[ItemID A]],Katalog!$C$3:$C$12,0))*cadangan[[#This Row],[Qty A]],0)</f>
        <v>400000</v>
      </c>
      <c r="I856" s="73">
        <f>IFERROR(cadangan[[#This Row],[Harga Normal A]]-(cadangan[[#This Row],[Harga Normal A]]*cadangan[[#This Row],[Diskon]]),cadangan[[#This Row],[Harga Normal A]])</f>
        <v>340000</v>
      </c>
      <c r="J856" s="73">
        <f>INDEX(Katalog!$F$3:$F$12,MATCH(cadangan[[#This Row],[ItemID A]],Katalog!$C$3:$C$12,0))*cadangan[[#This Row],[Qty A]]</f>
        <v>160000</v>
      </c>
      <c r="K856" s="73">
        <f>IFERROR(cadangan[[#This Row],[Harga Diskon A]]-INDEX(Katalog!$E$3:$E$12,MATCH(cadangan[[#This Row],[ItemID A]],Katalog!$C$3:$C$12,0))*cadangan[[#This Row],[Qty A]],0)</f>
        <v>100000</v>
      </c>
      <c r="L856" s="39" t="s">
        <v>67</v>
      </c>
      <c r="M856" s="39" t="str">
        <f>IFERROR(INDEX(Katalog!$A$3:$A$12,MATCH(cadangan[[#This Row],[ItemID B]],Katalog!$C$3:$C$12,0)),"-")</f>
        <v>Sepatu Wanita</v>
      </c>
      <c r="N856" s="39" t="str">
        <f>IFERROR(INDEX(Katalog!$B$3:$B$12,MATCH(cadangan[[#This Row],[ItemID B]],Katalog!$C$3:$C$12,0)),"-")</f>
        <v>Flat Shoes</v>
      </c>
      <c r="O856" s="50">
        <v>2</v>
      </c>
      <c r="P856" s="50">
        <v>5</v>
      </c>
      <c r="Q856" s="73">
        <f>IFERROR(INDEX(Katalog!$D$3:$D$12,MATCH(cadangan[[#This Row],[ItemID B]],Katalog!$C$3:$C$12,0))*cadangan[[#This Row],[Qty B]],0)</f>
        <v>500000</v>
      </c>
      <c r="R856" s="73">
        <f>IFERROR(cadangan[[#This Row],[Harga Normal B]]-(cadangan[[#This Row],[Harga Normal B]]*cadangan[[#This Row],[Diskon]]),cadangan[[#This Row],[Harga Normal B]])</f>
        <v>425000</v>
      </c>
      <c r="S856" s="73">
        <f>IFERROR(INDEX(Katalog!$F$3:$F$12,MATCH(cadangan[[#This Row],[ItemID B]],Katalog!$C$3:$C$12,0))*cadangan[[#This Row],[Qty B]],0)</f>
        <v>200000</v>
      </c>
      <c r="T856" s="73">
        <f>IFERROR(cadangan[[#This Row],[Harga Diskon B]]-INDEX(Katalog!$E$3:$E$12,MATCH(cadangan[[#This Row],[ItemID B]],Katalog!$C$3:$C$12,0))*cadangan[[#This Row],[Qty B]],0)</f>
        <v>125000</v>
      </c>
      <c r="V856" s="39" t="str">
        <f>IFERROR(INDEX(Katalog!$A$3:$A$12,MATCH(cadangan[[#This Row],[ItemID C]],Katalog!$C$3:$C$12,0)),"-")</f>
        <v>-</v>
      </c>
      <c r="W856" s="39" t="str">
        <f>IFERROR(INDEX(Katalog!$B$3:$B$12,MATCH(cadangan[[#This Row],[ItemID C]],Katalog!$C$3:$C$12,0)),"-")</f>
        <v>-</v>
      </c>
      <c r="Z856" s="73">
        <f>IFERROR(INDEX(Katalog!$D$3:$D$12,MATCH(cadangan[[#This Row],[ItemID C]],Katalog!$C$3:$C$12,0))*cadangan[[#This Row],[Qty C]],0)</f>
        <v>0</v>
      </c>
      <c r="AA856" s="73">
        <f>IFERROR(cadangan[[#This Row],[Harga Normal C]]-(cadangan[[#This Row],[Harga Normal C]]*cadangan[[#This Row],[Diskon]]),cadangan[[#This Row],[Harga Normal C]])</f>
        <v>0</v>
      </c>
      <c r="AB856" s="73">
        <f>IFERROR(INDEX(Katalog!$F$3:$F$12,MATCH(cadangan[[#This Row],[ItemID C]],Katalog!$C$3:$C$12,0))*cadangan[[#This Row],[Qty C]],0)</f>
        <v>0</v>
      </c>
      <c r="AC856" s="73">
        <f>IFERROR(cadangan[[#This Row],[Harga Diskon C]]-INDEX(Katalog!$E$3:$E$12,MATCH(cadangan[[#This Row],[ItemID C]],Katalog!$C$3:$C$12,0))*cadangan[[#This Row],[Qty C]],0)</f>
        <v>0</v>
      </c>
      <c r="AD856" s="53">
        <f>cadangan[[#This Row],[Qty A]]+cadangan[[#This Row],[Qty B]]+cadangan[[#This Row],[Qty C]]</f>
        <v>4</v>
      </c>
      <c r="AE856" s="73">
        <f>cadangan[[#This Row],[Harga Normal A]]+cadangan[[#This Row],[Harga Normal B]]+cadangan[[#This Row],[Harga Normal C]]</f>
        <v>900000</v>
      </c>
      <c r="AF856" s="73">
        <f>cadangan[[#This Row],[Harga Diskon A]]+cadangan[[#This Row],[Harga Diskon B]]+cadangan[[#This Row],[Harga Diskon C]]</f>
        <v>765000</v>
      </c>
      <c r="AG856" s="73">
        <f>(cadangan[[#This Row],[Profit Normal A]]+cadangan[[#This Row],[Profit Normal B]]+cadangan[[#This Row],[Profit Normal C]])</f>
        <v>360000</v>
      </c>
      <c r="AH856" s="73">
        <f>cadangan[[#This Row],[Profit Diskon A]]+cadangan[[#This Row],[Profit Diskon B]]+cadangan[[#This Row],[Profit Diskon C]]</f>
        <v>225000</v>
      </c>
      <c r="AI856" s="23" t="s">
        <v>28</v>
      </c>
      <c r="AJ856" s="37">
        <f>IFERROR(INDEX('Kode Diskon'!$D$3:$D$9,MATCH(cadangan[[#This Row],[Kode diskon]],'Kode Diskon'!$C$3:$C$9,0)),"-")</f>
        <v>0.15</v>
      </c>
      <c r="AK856" s="23" t="s">
        <v>29</v>
      </c>
      <c r="AL856" s="23" t="s">
        <v>14</v>
      </c>
      <c r="AM856" s="23" t="s">
        <v>80</v>
      </c>
      <c r="AN856" s="55">
        <v>45020</v>
      </c>
      <c r="AO856" s="53">
        <f>DAY(cadangan[[#This Row],[Tanggal terjual]])</f>
        <v>4</v>
      </c>
      <c r="AP856" s="21" t="str">
        <f>TEXT(cadangan[[#This Row],[Tanggal terjual]],"dddd")</f>
        <v>Tuesday</v>
      </c>
      <c r="AQ856" s="23" t="str" cm="1">
        <f t="array" ref="AQ8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6" s="61">
        <f>AVERAGE(cadangan[[#This Row],[Rating A]],cadangan[[#This Row],[Rating B]],cadangan[[#This Row],[Rating C]])</f>
        <v>4</v>
      </c>
    </row>
    <row r="857" spans="1:44" x14ac:dyDescent="0.2">
      <c r="A857" s="20">
        <v>856</v>
      </c>
      <c r="B857" s="21" t="str">
        <f>_xlfn.CONCAT("ORD-",INDEX(Helper!$B$2:$B$5,MATCH(cadangan[[#This Row],[Marketplace]],Helper!$A$2:$A$5,0)),TEXT(cadangan[[#This Row],[No]],"0000"),"-",TEXT(cadangan[[#This Row],[Tanggal terjual]],"dd/mm/yy"))</f>
        <v>ORD-SP0856-03/04/23</v>
      </c>
      <c r="C857" s="39" t="s">
        <v>63</v>
      </c>
      <c r="D857" s="39" t="str">
        <f>IFERROR(INDEX(Katalog!$A$3:$A$12,MATCH(cadangan[[#This Row],[ItemID A]],Katalog!$C$3:$C$12,0)),"-")</f>
        <v>Pakaian Pria</v>
      </c>
      <c r="E857" s="39" t="str">
        <f>IFERROR(INDEX(Katalog!$B$3:$B$12,MATCH(cadangan[[#This Row],[ItemID A]],Katalog!$C$3:$C$12,0)),"-")</f>
        <v>Jaket Jeans</v>
      </c>
      <c r="F857" s="50">
        <v>2</v>
      </c>
      <c r="G857" s="50">
        <v>5</v>
      </c>
      <c r="H857" s="73">
        <f>IFERROR(INDEX(Katalog!$D$3:$D$12,MATCH(cadangan[[#This Row],[ItemID A]],Katalog!$C$3:$C$12,0))*cadangan[[#This Row],[Qty A]],0)</f>
        <v>800000</v>
      </c>
      <c r="I857" s="73">
        <f>IFERROR(cadangan[[#This Row],[Harga Normal A]]-(cadangan[[#This Row],[Harga Normal A]]*cadangan[[#This Row],[Diskon]]),cadangan[[#This Row],[Harga Normal A]])</f>
        <v>720000</v>
      </c>
      <c r="J857" s="73">
        <f>INDEX(Katalog!$F$3:$F$12,MATCH(cadangan[[#This Row],[ItemID A]],Katalog!$C$3:$C$12,0))*cadangan[[#This Row],[Qty A]]</f>
        <v>300000</v>
      </c>
      <c r="K857" s="73">
        <f>IFERROR(cadangan[[#This Row],[Harga Diskon A]]-INDEX(Katalog!$E$3:$E$12,MATCH(cadangan[[#This Row],[ItemID A]],Katalog!$C$3:$C$12,0))*cadangan[[#This Row],[Qty A]],0)</f>
        <v>220000</v>
      </c>
      <c r="L857" s="39" t="s">
        <v>64</v>
      </c>
      <c r="M857" s="39" t="str">
        <f>IFERROR(INDEX(Katalog!$A$3:$A$12,MATCH(cadangan[[#This Row],[ItemID B]],Katalog!$C$3:$C$12,0)),"-")</f>
        <v>Pakaian Unisex</v>
      </c>
      <c r="N857" s="39" t="str">
        <f>IFERROR(INDEX(Katalog!$B$3:$B$12,MATCH(cadangan[[#This Row],[ItemID B]],Katalog!$C$3:$C$12,0)),"-")</f>
        <v>Jaket Hoodie</v>
      </c>
      <c r="O857" s="50">
        <v>1</v>
      </c>
      <c r="P857" s="50">
        <v>2</v>
      </c>
      <c r="Q857" s="73">
        <f>IFERROR(INDEX(Katalog!$D$3:$D$12,MATCH(cadangan[[#This Row],[ItemID B]],Katalog!$C$3:$C$12,0))*cadangan[[#This Row],[Qty B]],0)</f>
        <v>350000</v>
      </c>
      <c r="R857" s="73">
        <f>IFERROR(cadangan[[#This Row],[Harga Normal B]]-(cadangan[[#This Row],[Harga Normal B]]*cadangan[[#This Row],[Diskon]]),cadangan[[#This Row],[Harga Normal B]])</f>
        <v>315000</v>
      </c>
      <c r="S857" s="73">
        <f>IFERROR(INDEX(Katalog!$F$3:$F$12,MATCH(cadangan[[#This Row],[ItemID B]],Katalog!$C$3:$C$12,0))*cadangan[[#This Row],[Qty B]],0)</f>
        <v>130000</v>
      </c>
      <c r="T857" s="73">
        <f>IFERROR(cadangan[[#This Row],[Harga Diskon B]]-INDEX(Katalog!$E$3:$E$12,MATCH(cadangan[[#This Row],[ItemID B]],Katalog!$C$3:$C$12,0))*cadangan[[#This Row],[Qty B]],0)</f>
        <v>95000</v>
      </c>
      <c r="V857" s="39" t="str">
        <f>IFERROR(INDEX(Katalog!$A$3:$A$12,MATCH(cadangan[[#This Row],[ItemID C]],Katalog!$C$3:$C$12,0)),"-")</f>
        <v>-</v>
      </c>
      <c r="W857" s="39" t="str">
        <f>IFERROR(INDEX(Katalog!$B$3:$B$12,MATCH(cadangan[[#This Row],[ItemID C]],Katalog!$C$3:$C$12,0)),"-")</f>
        <v>-</v>
      </c>
      <c r="Z857" s="73">
        <f>IFERROR(INDEX(Katalog!$D$3:$D$12,MATCH(cadangan[[#This Row],[ItemID C]],Katalog!$C$3:$C$12,0))*cadangan[[#This Row],[Qty C]],0)</f>
        <v>0</v>
      </c>
      <c r="AA857" s="73">
        <f>IFERROR(cadangan[[#This Row],[Harga Normal C]]-(cadangan[[#This Row],[Harga Normal C]]*cadangan[[#This Row],[Diskon]]),cadangan[[#This Row],[Harga Normal C]])</f>
        <v>0</v>
      </c>
      <c r="AB857" s="73">
        <f>IFERROR(INDEX(Katalog!$F$3:$F$12,MATCH(cadangan[[#This Row],[ItemID C]],Katalog!$C$3:$C$12,0))*cadangan[[#This Row],[Qty C]],0)</f>
        <v>0</v>
      </c>
      <c r="AC857" s="73">
        <f>IFERROR(cadangan[[#This Row],[Harga Diskon C]]-INDEX(Katalog!$E$3:$E$12,MATCH(cadangan[[#This Row],[ItemID C]],Katalog!$C$3:$C$12,0))*cadangan[[#This Row],[Qty C]],0)</f>
        <v>0</v>
      </c>
      <c r="AD857" s="53">
        <f>cadangan[[#This Row],[Qty A]]+cadangan[[#This Row],[Qty B]]+cadangan[[#This Row],[Qty C]]</f>
        <v>3</v>
      </c>
      <c r="AE857" s="73">
        <f>cadangan[[#This Row],[Harga Normal A]]+cadangan[[#This Row],[Harga Normal B]]+cadangan[[#This Row],[Harga Normal C]]</f>
        <v>1150000</v>
      </c>
      <c r="AF857" s="73">
        <f>cadangan[[#This Row],[Harga Diskon A]]+cadangan[[#This Row],[Harga Diskon B]]+cadangan[[#This Row],[Harga Diskon C]]</f>
        <v>1035000</v>
      </c>
      <c r="AG857" s="73">
        <f>(cadangan[[#This Row],[Profit Normal A]]+cadangan[[#This Row],[Profit Normal B]]+cadangan[[#This Row],[Profit Normal C]])</f>
        <v>430000</v>
      </c>
      <c r="AH857" s="73">
        <f>cadangan[[#This Row],[Profit Diskon A]]+cadangan[[#This Row],[Profit Diskon B]]+cadangan[[#This Row],[Profit Diskon C]]</f>
        <v>315000</v>
      </c>
      <c r="AI857" s="23" t="s">
        <v>6</v>
      </c>
      <c r="AJ857" s="37">
        <f>IFERROR(INDEX('Kode Diskon'!$D$3:$D$9,MATCH(cadangan[[#This Row],[Kode diskon]],'Kode Diskon'!$C$3:$C$9,0)),"-")</f>
        <v>0.1</v>
      </c>
      <c r="AK857" s="23" t="s">
        <v>29</v>
      </c>
      <c r="AL857" s="23" t="s">
        <v>7</v>
      </c>
      <c r="AM857" s="23" t="s">
        <v>79</v>
      </c>
      <c r="AN857" s="55">
        <v>45019</v>
      </c>
      <c r="AO857" s="53">
        <f>DAY(cadangan[[#This Row],[Tanggal terjual]])</f>
        <v>3</v>
      </c>
      <c r="AP857" s="21" t="str">
        <f>TEXT(cadangan[[#This Row],[Tanggal terjual]],"dddd")</f>
        <v>Monday</v>
      </c>
      <c r="AQ857" s="23" t="str" cm="1">
        <f t="array" ref="AQ8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7" s="61">
        <f>AVERAGE(cadangan[[#This Row],[Rating A]],cadangan[[#This Row],[Rating B]],cadangan[[#This Row],[Rating C]])</f>
        <v>3.5</v>
      </c>
    </row>
    <row r="858" spans="1:44" x14ac:dyDescent="0.2">
      <c r="A858" s="20">
        <v>857</v>
      </c>
      <c r="B858" s="21" t="str">
        <f>_xlfn.CONCAT("ORD-",INDEX(Helper!$B$2:$B$5,MATCH(cadangan[[#This Row],[Marketplace]],Helper!$A$2:$A$5,0)),TEXT(cadangan[[#This Row],[No]],"0000"),"-",TEXT(cadangan[[#This Row],[Tanggal terjual]],"dd/mm/yy"))</f>
        <v>ORD-TK0857-29/04/23</v>
      </c>
      <c r="C858" s="39" t="s">
        <v>62</v>
      </c>
      <c r="D858" s="39" t="str">
        <f>IFERROR(INDEX(Katalog!$A$3:$A$12,MATCH(cadangan[[#This Row],[ItemID A]],Katalog!$C$3:$C$12,0)),"-")</f>
        <v>Pakaian Pria</v>
      </c>
      <c r="E858" s="39" t="str">
        <f>IFERROR(INDEX(Katalog!$B$3:$B$12,MATCH(cadangan[[#This Row],[ItemID A]],Katalog!$C$3:$C$12,0)),"-")</f>
        <v>Celana Pendek</v>
      </c>
      <c r="F858" s="50">
        <v>5</v>
      </c>
      <c r="G858" s="50">
        <v>1</v>
      </c>
      <c r="H858" s="73">
        <f>IFERROR(INDEX(Katalog!$D$3:$D$12,MATCH(cadangan[[#This Row],[ItemID A]],Katalog!$C$3:$C$12,0))*cadangan[[#This Row],[Qty A]],0)</f>
        <v>900000</v>
      </c>
      <c r="I858" s="73">
        <f>IFERROR(cadangan[[#This Row],[Harga Normal A]]-(cadangan[[#This Row],[Harga Normal A]]*cadangan[[#This Row],[Diskon]]),cadangan[[#This Row],[Harga Normal A]])</f>
        <v>810000</v>
      </c>
      <c r="J858" s="73">
        <f>INDEX(Katalog!$F$3:$F$12,MATCH(cadangan[[#This Row],[ItemID A]],Katalog!$C$3:$C$12,0))*cadangan[[#This Row],[Qty A]]</f>
        <v>350000</v>
      </c>
      <c r="K858" s="73">
        <f>IFERROR(cadangan[[#This Row],[Harga Diskon A]]-INDEX(Katalog!$E$3:$E$12,MATCH(cadangan[[#This Row],[ItemID A]],Katalog!$C$3:$C$12,0))*cadangan[[#This Row],[Qty A]],0)</f>
        <v>260000</v>
      </c>
      <c r="L858" s="39" t="s">
        <v>61</v>
      </c>
      <c r="M858" s="39" t="str">
        <f>IFERROR(INDEX(Katalog!$A$3:$A$12,MATCH(cadangan[[#This Row],[ItemID B]],Katalog!$C$3:$C$12,0)),"-")</f>
        <v>Pakaian Pria</v>
      </c>
      <c r="N858" s="39" t="str">
        <f>IFERROR(INDEX(Katalog!$B$3:$B$12,MATCH(cadangan[[#This Row],[ItemID B]],Katalog!$C$3:$C$12,0)),"-")</f>
        <v>Kaos Polo</v>
      </c>
      <c r="O858" s="50">
        <v>1</v>
      </c>
      <c r="P858" s="50">
        <v>5</v>
      </c>
      <c r="Q858" s="73">
        <f>IFERROR(INDEX(Katalog!$D$3:$D$12,MATCH(cadangan[[#This Row],[ItemID B]],Katalog!$C$3:$C$12,0))*cadangan[[#This Row],[Qty B]],0)</f>
        <v>200000</v>
      </c>
      <c r="R858" s="73">
        <f>IFERROR(cadangan[[#This Row],[Harga Normal B]]-(cadangan[[#This Row],[Harga Normal B]]*cadangan[[#This Row],[Diskon]]),cadangan[[#This Row],[Harga Normal B]])</f>
        <v>180000</v>
      </c>
      <c r="S858" s="73">
        <f>IFERROR(INDEX(Katalog!$F$3:$F$12,MATCH(cadangan[[#This Row],[ItemID B]],Katalog!$C$3:$C$12,0))*cadangan[[#This Row],[Qty B]],0)</f>
        <v>80000</v>
      </c>
      <c r="T858" s="73">
        <f>IFERROR(cadangan[[#This Row],[Harga Diskon B]]-INDEX(Katalog!$E$3:$E$12,MATCH(cadangan[[#This Row],[ItemID B]],Katalog!$C$3:$C$12,0))*cadangan[[#This Row],[Qty B]],0)</f>
        <v>60000</v>
      </c>
      <c r="U858" s="39" t="s">
        <v>63</v>
      </c>
      <c r="V858" s="39" t="str">
        <f>IFERROR(INDEX(Katalog!$A$3:$A$12,MATCH(cadangan[[#This Row],[ItemID C]],Katalog!$C$3:$C$12,0)),"-")</f>
        <v>Pakaian Pria</v>
      </c>
      <c r="W858" s="39" t="str">
        <f>IFERROR(INDEX(Katalog!$B$3:$B$12,MATCH(cadangan[[#This Row],[ItemID C]],Katalog!$C$3:$C$12,0)),"-")</f>
        <v>Jaket Jeans</v>
      </c>
      <c r="X858" s="50">
        <v>1</v>
      </c>
      <c r="Y858" s="50">
        <v>3</v>
      </c>
      <c r="Z858" s="73">
        <f>IFERROR(INDEX(Katalog!$D$3:$D$12,MATCH(cadangan[[#This Row],[ItemID C]],Katalog!$C$3:$C$12,0))*cadangan[[#This Row],[Qty C]],0)</f>
        <v>400000</v>
      </c>
      <c r="AA858" s="73">
        <f>IFERROR(cadangan[[#This Row],[Harga Normal C]]-(cadangan[[#This Row],[Harga Normal C]]*cadangan[[#This Row],[Diskon]]),cadangan[[#This Row],[Harga Normal C]])</f>
        <v>360000</v>
      </c>
      <c r="AB858" s="73">
        <f>IFERROR(INDEX(Katalog!$F$3:$F$12,MATCH(cadangan[[#This Row],[ItemID C]],Katalog!$C$3:$C$12,0))*cadangan[[#This Row],[Qty C]],0)</f>
        <v>150000</v>
      </c>
      <c r="AC858" s="73">
        <f>IFERROR(cadangan[[#This Row],[Harga Diskon C]]-INDEX(Katalog!$E$3:$E$12,MATCH(cadangan[[#This Row],[ItemID C]],Katalog!$C$3:$C$12,0))*cadangan[[#This Row],[Qty C]],0)</f>
        <v>110000</v>
      </c>
      <c r="AD858" s="53">
        <f>cadangan[[#This Row],[Qty A]]+cadangan[[#This Row],[Qty B]]+cadangan[[#This Row],[Qty C]]</f>
        <v>7</v>
      </c>
      <c r="AE858" s="73">
        <f>cadangan[[#This Row],[Harga Normal A]]+cadangan[[#This Row],[Harga Normal B]]+cadangan[[#This Row],[Harga Normal C]]</f>
        <v>1500000</v>
      </c>
      <c r="AF858" s="73">
        <f>cadangan[[#This Row],[Harga Diskon A]]+cadangan[[#This Row],[Harga Diskon B]]+cadangan[[#This Row],[Harga Diskon C]]</f>
        <v>1350000</v>
      </c>
      <c r="AG858" s="73">
        <f>(cadangan[[#This Row],[Profit Normal A]]+cadangan[[#This Row],[Profit Normal B]]+cadangan[[#This Row],[Profit Normal C]])</f>
        <v>580000</v>
      </c>
      <c r="AH858" s="73">
        <f>cadangan[[#This Row],[Profit Diskon A]]+cadangan[[#This Row],[Profit Diskon B]]+cadangan[[#This Row],[Profit Diskon C]]</f>
        <v>430000</v>
      </c>
      <c r="AI858" s="23" t="s">
        <v>31</v>
      </c>
      <c r="AJ858" s="37">
        <f>IFERROR(INDEX('Kode Diskon'!$D$3:$D$9,MATCH(cadangan[[#This Row],[Kode diskon]],'Kode Diskon'!$C$3:$C$9,0)),"-")</f>
        <v>0.1</v>
      </c>
      <c r="AK858" s="23" t="s">
        <v>9</v>
      </c>
      <c r="AL858" s="23" t="s">
        <v>10</v>
      </c>
      <c r="AM858" s="23" t="s">
        <v>80</v>
      </c>
      <c r="AN858" s="55">
        <v>45045</v>
      </c>
      <c r="AO858" s="53">
        <f>DAY(cadangan[[#This Row],[Tanggal terjual]])</f>
        <v>29</v>
      </c>
      <c r="AP858" s="21" t="str">
        <f>TEXT(cadangan[[#This Row],[Tanggal terjual]],"dddd")</f>
        <v>Saturday</v>
      </c>
      <c r="AQ858" s="23" t="str" cm="1">
        <f t="array" ref="AQ8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58" s="61">
        <f>AVERAGE(cadangan[[#This Row],[Rating A]],cadangan[[#This Row],[Rating B]],cadangan[[#This Row],[Rating C]])</f>
        <v>3</v>
      </c>
    </row>
    <row r="859" spans="1:44" x14ac:dyDescent="0.2">
      <c r="A859" s="20">
        <v>858</v>
      </c>
      <c r="B859" s="21" t="str">
        <f>_xlfn.CONCAT("ORD-",INDEX(Helper!$B$2:$B$5,MATCH(cadangan[[#This Row],[Marketplace]],Helper!$A$2:$A$5,0)),TEXT(cadangan[[#This Row],[No]],"0000"),"-",TEXT(cadangan[[#This Row],[Tanggal terjual]],"dd/mm/yy"))</f>
        <v>ORD-SP0858-04/04/23</v>
      </c>
      <c r="C859" s="39" t="s">
        <v>65</v>
      </c>
      <c r="D859" s="39" t="str">
        <f>IFERROR(INDEX(Katalog!$A$3:$A$12,MATCH(cadangan[[#This Row],[ItemID A]],Katalog!$C$3:$C$12,0)),"-")</f>
        <v>Sepatu Pria</v>
      </c>
      <c r="E859" s="39" t="str">
        <f>IFERROR(INDEX(Katalog!$B$3:$B$12,MATCH(cadangan[[#This Row],[ItemID A]],Katalog!$C$3:$C$12,0)),"-")</f>
        <v>Sneakers</v>
      </c>
      <c r="F859" s="50">
        <v>1</v>
      </c>
      <c r="G859" s="50">
        <v>3</v>
      </c>
      <c r="H859" s="73">
        <f>IFERROR(INDEX(Katalog!$D$3:$D$12,MATCH(cadangan[[#This Row],[ItemID A]],Katalog!$C$3:$C$12,0))*cadangan[[#This Row],[Qty A]],0)</f>
        <v>500000</v>
      </c>
      <c r="I859" s="73">
        <f>IFERROR(cadangan[[#This Row],[Harga Normal A]]-(cadangan[[#This Row],[Harga Normal A]]*cadangan[[#This Row],[Diskon]]),cadangan[[#This Row],[Harga Normal A]])</f>
        <v>425000</v>
      </c>
      <c r="J859" s="73">
        <f>INDEX(Katalog!$F$3:$F$12,MATCH(cadangan[[#This Row],[ItemID A]],Katalog!$C$3:$C$12,0))*cadangan[[#This Row],[Qty A]]</f>
        <v>200000</v>
      </c>
      <c r="K859" s="73">
        <f>IFERROR(cadangan[[#This Row],[Harga Diskon A]]-INDEX(Katalog!$E$3:$E$12,MATCH(cadangan[[#This Row],[ItemID A]],Katalog!$C$3:$C$12,0))*cadangan[[#This Row],[Qty A]],0)</f>
        <v>125000</v>
      </c>
      <c r="L859" s="39" t="s">
        <v>63</v>
      </c>
      <c r="M859" s="39" t="str">
        <f>IFERROR(INDEX(Katalog!$A$3:$A$12,MATCH(cadangan[[#This Row],[ItemID B]],Katalog!$C$3:$C$12,0)),"-")</f>
        <v>Pakaian Pria</v>
      </c>
      <c r="N859" s="39" t="str">
        <f>IFERROR(INDEX(Katalog!$B$3:$B$12,MATCH(cadangan[[#This Row],[ItemID B]],Katalog!$C$3:$C$12,0)),"-")</f>
        <v>Jaket Jeans</v>
      </c>
      <c r="O859" s="50">
        <v>1</v>
      </c>
      <c r="P859" s="50">
        <v>1</v>
      </c>
      <c r="Q859" s="73">
        <f>IFERROR(INDEX(Katalog!$D$3:$D$12,MATCH(cadangan[[#This Row],[ItemID B]],Katalog!$C$3:$C$12,0))*cadangan[[#This Row],[Qty B]],0)</f>
        <v>400000</v>
      </c>
      <c r="R859" s="73">
        <f>IFERROR(cadangan[[#This Row],[Harga Normal B]]-(cadangan[[#This Row],[Harga Normal B]]*cadangan[[#This Row],[Diskon]]),cadangan[[#This Row],[Harga Normal B]])</f>
        <v>340000</v>
      </c>
      <c r="S859" s="73">
        <f>IFERROR(INDEX(Katalog!$F$3:$F$12,MATCH(cadangan[[#This Row],[ItemID B]],Katalog!$C$3:$C$12,0))*cadangan[[#This Row],[Qty B]],0)</f>
        <v>150000</v>
      </c>
      <c r="T859" s="73">
        <f>IFERROR(cadangan[[#This Row],[Harga Diskon B]]-INDEX(Katalog!$E$3:$E$12,MATCH(cadangan[[#This Row],[ItemID B]],Katalog!$C$3:$C$12,0))*cadangan[[#This Row],[Qty B]],0)</f>
        <v>90000</v>
      </c>
      <c r="U859" s="39" t="s">
        <v>67</v>
      </c>
      <c r="V859" s="39" t="str">
        <f>IFERROR(INDEX(Katalog!$A$3:$A$12,MATCH(cadangan[[#This Row],[ItemID C]],Katalog!$C$3:$C$12,0)),"-")</f>
        <v>Sepatu Wanita</v>
      </c>
      <c r="W859" s="39" t="str">
        <f>IFERROR(INDEX(Katalog!$B$3:$B$12,MATCH(cadangan[[#This Row],[ItemID C]],Katalog!$C$3:$C$12,0)),"-")</f>
        <v>Flat Shoes</v>
      </c>
      <c r="X859" s="50">
        <v>3</v>
      </c>
      <c r="Y859" s="50">
        <v>1</v>
      </c>
      <c r="Z859" s="73">
        <f>IFERROR(INDEX(Katalog!$D$3:$D$12,MATCH(cadangan[[#This Row],[ItemID C]],Katalog!$C$3:$C$12,0))*cadangan[[#This Row],[Qty C]],0)</f>
        <v>750000</v>
      </c>
      <c r="AA859" s="73">
        <f>IFERROR(cadangan[[#This Row],[Harga Normal C]]-(cadangan[[#This Row],[Harga Normal C]]*cadangan[[#This Row],[Diskon]]),cadangan[[#This Row],[Harga Normal C]])</f>
        <v>637500</v>
      </c>
      <c r="AB859" s="73">
        <f>IFERROR(INDEX(Katalog!$F$3:$F$12,MATCH(cadangan[[#This Row],[ItemID C]],Katalog!$C$3:$C$12,0))*cadangan[[#This Row],[Qty C]],0)</f>
        <v>300000</v>
      </c>
      <c r="AC859" s="73">
        <f>IFERROR(cadangan[[#This Row],[Harga Diskon C]]-INDEX(Katalog!$E$3:$E$12,MATCH(cadangan[[#This Row],[ItemID C]],Katalog!$C$3:$C$12,0))*cadangan[[#This Row],[Qty C]],0)</f>
        <v>187500</v>
      </c>
      <c r="AD859" s="53">
        <f>cadangan[[#This Row],[Qty A]]+cadangan[[#This Row],[Qty B]]+cadangan[[#This Row],[Qty C]]</f>
        <v>5</v>
      </c>
      <c r="AE859" s="73">
        <f>cadangan[[#This Row],[Harga Normal A]]+cadangan[[#This Row],[Harga Normal B]]+cadangan[[#This Row],[Harga Normal C]]</f>
        <v>1650000</v>
      </c>
      <c r="AF859" s="73">
        <f>cadangan[[#This Row],[Harga Diskon A]]+cadangan[[#This Row],[Harga Diskon B]]+cadangan[[#This Row],[Harga Diskon C]]</f>
        <v>1402500</v>
      </c>
      <c r="AG859" s="73">
        <f>(cadangan[[#This Row],[Profit Normal A]]+cadangan[[#This Row],[Profit Normal B]]+cadangan[[#This Row],[Profit Normal C]])</f>
        <v>650000</v>
      </c>
      <c r="AH859" s="73">
        <f>cadangan[[#This Row],[Profit Diskon A]]+cadangan[[#This Row],[Profit Diskon B]]+cadangan[[#This Row],[Profit Diskon C]]</f>
        <v>402500</v>
      </c>
      <c r="AI859" s="23" t="s">
        <v>13</v>
      </c>
      <c r="AJ859" s="37">
        <f>IFERROR(INDEX('Kode Diskon'!$D$3:$D$9,MATCH(cadangan[[#This Row],[Kode diskon]],'Kode Diskon'!$C$3:$C$9,0)),"-")</f>
        <v>0.15</v>
      </c>
      <c r="AK859" s="23" t="s">
        <v>29</v>
      </c>
      <c r="AL859" s="23" t="s">
        <v>7</v>
      </c>
      <c r="AM859" s="23" t="s">
        <v>76</v>
      </c>
      <c r="AN859" s="55">
        <v>45020</v>
      </c>
      <c r="AO859" s="53">
        <f>DAY(cadangan[[#This Row],[Tanggal terjual]])</f>
        <v>4</v>
      </c>
      <c r="AP859" s="21" t="str">
        <f>TEXT(cadangan[[#This Row],[Tanggal terjual]],"dddd")</f>
        <v>Tuesday</v>
      </c>
      <c r="AQ859" s="23" t="str" cm="1">
        <f t="array" ref="AQ8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59" s="61">
        <f>AVERAGE(cadangan[[#This Row],[Rating A]],cadangan[[#This Row],[Rating B]],cadangan[[#This Row],[Rating C]])</f>
        <v>1.6666666666666667</v>
      </c>
    </row>
    <row r="860" spans="1:44" x14ac:dyDescent="0.2">
      <c r="A860" s="20">
        <v>859</v>
      </c>
      <c r="B860" s="21" t="str">
        <f>_xlfn.CONCAT("ORD-",INDEX(Helper!$B$2:$B$5,MATCH(cadangan[[#This Row],[Marketplace]],Helper!$A$2:$A$5,0)),TEXT(cadangan[[#This Row],[No]],"0000"),"-",TEXT(cadangan[[#This Row],[Tanggal terjual]],"dd/mm/yy"))</f>
        <v>ORD-TK0859-08/04/23</v>
      </c>
      <c r="C860" s="39" t="s">
        <v>59</v>
      </c>
      <c r="D860" s="39" t="str">
        <f>IFERROR(INDEX(Katalog!$A$3:$A$12,MATCH(cadangan[[#This Row],[ItemID A]],Katalog!$C$3:$C$12,0)),"-")</f>
        <v>Pakaian Wanita</v>
      </c>
      <c r="E860" s="39" t="str">
        <f>IFERROR(INDEX(Katalog!$B$3:$B$12,MATCH(cadangan[[#This Row],[ItemID A]],Katalog!$C$3:$C$12,0)),"-")</f>
        <v>Blouse</v>
      </c>
      <c r="F860" s="50">
        <v>1</v>
      </c>
      <c r="G860" s="50">
        <v>3</v>
      </c>
      <c r="H860" s="73">
        <f>IFERROR(INDEX(Katalog!$D$3:$D$12,MATCH(cadangan[[#This Row],[ItemID A]],Katalog!$C$3:$C$12,0))*cadangan[[#This Row],[Qty A]],0)</f>
        <v>150000</v>
      </c>
      <c r="I860" s="73">
        <f>IFERROR(cadangan[[#This Row],[Harga Normal A]]-(cadangan[[#This Row],[Harga Normal A]]*cadangan[[#This Row],[Diskon]]),cadangan[[#This Row],[Harga Normal A]])</f>
        <v>150000</v>
      </c>
      <c r="J860" s="73">
        <f>INDEX(Katalog!$F$3:$F$12,MATCH(cadangan[[#This Row],[ItemID A]],Katalog!$C$3:$C$12,0))*cadangan[[#This Row],[Qty A]]</f>
        <v>50000</v>
      </c>
      <c r="K860" s="73">
        <f>IFERROR(cadangan[[#This Row],[Harga Diskon A]]-INDEX(Katalog!$E$3:$E$12,MATCH(cadangan[[#This Row],[ItemID A]],Katalog!$C$3:$C$12,0))*cadangan[[#This Row],[Qty A]],0)</f>
        <v>50000</v>
      </c>
      <c r="M860" s="39" t="str">
        <f>IFERROR(INDEX(Katalog!$A$3:$A$12,MATCH(cadangan[[#This Row],[ItemID B]],Katalog!$C$3:$C$12,0)),"-")</f>
        <v>-</v>
      </c>
      <c r="N860" s="39" t="str">
        <f>IFERROR(INDEX(Katalog!$B$3:$B$12,MATCH(cadangan[[#This Row],[ItemID B]],Katalog!$C$3:$C$12,0)),"-")</f>
        <v>-</v>
      </c>
      <c r="Q860" s="73">
        <f>IFERROR(INDEX(Katalog!$D$3:$D$12,MATCH(cadangan[[#This Row],[ItemID B]],Katalog!$C$3:$C$12,0))*cadangan[[#This Row],[Qty B]],0)</f>
        <v>0</v>
      </c>
      <c r="R860" s="73">
        <f>IFERROR(cadangan[[#This Row],[Harga Normal B]]-(cadangan[[#This Row],[Harga Normal B]]*cadangan[[#This Row],[Diskon]]),cadangan[[#This Row],[Harga Normal B]])</f>
        <v>0</v>
      </c>
      <c r="S860" s="73">
        <f>IFERROR(INDEX(Katalog!$F$3:$F$12,MATCH(cadangan[[#This Row],[ItemID B]],Katalog!$C$3:$C$12,0))*cadangan[[#This Row],[Qty B]],0)</f>
        <v>0</v>
      </c>
      <c r="T860" s="73">
        <f>IFERROR(cadangan[[#This Row],[Harga Diskon B]]-INDEX(Katalog!$E$3:$E$12,MATCH(cadangan[[#This Row],[ItemID B]],Katalog!$C$3:$C$12,0))*cadangan[[#This Row],[Qty B]],0)</f>
        <v>0</v>
      </c>
      <c r="V860" s="39" t="str">
        <f>IFERROR(INDEX(Katalog!$A$3:$A$12,MATCH(cadangan[[#This Row],[ItemID C]],Katalog!$C$3:$C$12,0)),"-")</f>
        <v>-</v>
      </c>
      <c r="W860" s="39" t="str">
        <f>IFERROR(INDEX(Katalog!$B$3:$B$12,MATCH(cadangan[[#This Row],[ItemID C]],Katalog!$C$3:$C$12,0)),"-")</f>
        <v>-</v>
      </c>
      <c r="Z860" s="73">
        <f>IFERROR(INDEX(Katalog!$D$3:$D$12,MATCH(cadangan[[#This Row],[ItemID C]],Katalog!$C$3:$C$12,0))*cadangan[[#This Row],[Qty C]],0)</f>
        <v>0</v>
      </c>
      <c r="AA860" s="73">
        <f>IFERROR(cadangan[[#This Row],[Harga Normal C]]-(cadangan[[#This Row],[Harga Normal C]]*cadangan[[#This Row],[Diskon]]),cadangan[[#This Row],[Harga Normal C]])</f>
        <v>0</v>
      </c>
      <c r="AB860" s="73">
        <f>IFERROR(INDEX(Katalog!$F$3:$F$12,MATCH(cadangan[[#This Row],[ItemID C]],Katalog!$C$3:$C$12,0))*cadangan[[#This Row],[Qty C]],0)</f>
        <v>0</v>
      </c>
      <c r="AC860" s="73">
        <f>IFERROR(cadangan[[#This Row],[Harga Diskon C]]-INDEX(Katalog!$E$3:$E$12,MATCH(cadangan[[#This Row],[ItemID C]],Katalog!$C$3:$C$12,0))*cadangan[[#This Row],[Qty C]],0)</f>
        <v>0</v>
      </c>
      <c r="AD860" s="53">
        <f>cadangan[[#This Row],[Qty A]]+cadangan[[#This Row],[Qty B]]+cadangan[[#This Row],[Qty C]]</f>
        <v>1</v>
      </c>
      <c r="AE860" s="73">
        <f>cadangan[[#This Row],[Harga Normal A]]+cadangan[[#This Row],[Harga Normal B]]+cadangan[[#This Row],[Harga Normal C]]</f>
        <v>150000</v>
      </c>
      <c r="AF860" s="73">
        <f>cadangan[[#This Row],[Harga Diskon A]]+cadangan[[#This Row],[Harga Diskon B]]+cadangan[[#This Row],[Harga Diskon C]]</f>
        <v>150000</v>
      </c>
      <c r="AG860" s="73">
        <f>(cadangan[[#This Row],[Profit Normal A]]+cadangan[[#This Row],[Profit Normal B]]+cadangan[[#This Row],[Profit Normal C]])</f>
        <v>50000</v>
      </c>
      <c r="AH860" s="73">
        <f>cadangan[[#This Row],[Profit Diskon A]]+cadangan[[#This Row],[Profit Diskon B]]+cadangan[[#This Row],[Profit Diskon C]]</f>
        <v>50000</v>
      </c>
      <c r="AI860" s="23" t="s">
        <v>290</v>
      </c>
      <c r="AJ860" s="37" t="str">
        <f>IFERROR(INDEX('Kode Diskon'!$D$3:$D$9,MATCH(cadangan[[#This Row],[Kode diskon]],'Kode Diskon'!$C$3:$C$9,0)),"-")</f>
        <v>-</v>
      </c>
      <c r="AK860" s="23" t="s">
        <v>290</v>
      </c>
      <c r="AL860" s="23" t="s">
        <v>10</v>
      </c>
      <c r="AM860" s="23" t="s">
        <v>77</v>
      </c>
      <c r="AN860" s="55">
        <v>45024</v>
      </c>
      <c r="AO860" s="53">
        <f>DAY(cadangan[[#This Row],[Tanggal terjual]])</f>
        <v>8</v>
      </c>
      <c r="AP860" s="21" t="str">
        <f>TEXT(cadangan[[#This Row],[Tanggal terjual]],"dddd")</f>
        <v>Saturday</v>
      </c>
      <c r="AQ860" s="23" t="str" cm="1">
        <f t="array" ref="AQ8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60" s="61">
        <f>AVERAGE(cadangan[[#This Row],[Rating A]],cadangan[[#This Row],[Rating B]],cadangan[[#This Row],[Rating C]])</f>
        <v>3</v>
      </c>
    </row>
    <row r="861" spans="1:44" x14ac:dyDescent="0.2">
      <c r="A861" s="20">
        <v>860</v>
      </c>
      <c r="B861" s="21" t="str">
        <f>_xlfn.CONCAT("ORD-",INDEX(Helper!$B$2:$B$5,MATCH(cadangan[[#This Row],[Marketplace]],Helper!$A$2:$A$5,0)),TEXT(cadangan[[#This Row],[No]],"0000"),"-",TEXT(cadangan[[#This Row],[Tanggal terjual]],"dd/mm/yy"))</f>
        <v>ORD-SP0860-03/04/23</v>
      </c>
      <c r="C861" s="39" t="s">
        <v>64</v>
      </c>
      <c r="D861" s="39" t="str">
        <f>IFERROR(INDEX(Katalog!$A$3:$A$12,MATCH(cadangan[[#This Row],[ItemID A]],Katalog!$C$3:$C$12,0)),"-")</f>
        <v>Pakaian Unisex</v>
      </c>
      <c r="E861" s="39" t="str">
        <f>IFERROR(INDEX(Katalog!$B$3:$B$12,MATCH(cadangan[[#This Row],[ItemID A]],Katalog!$C$3:$C$12,0)),"-")</f>
        <v>Jaket Hoodie</v>
      </c>
      <c r="F861" s="50">
        <v>6</v>
      </c>
      <c r="G861" s="50">
        <v>1</v>
      </c>
      <c r="H861" s="73">
        <f>IFERROR(INDEX(Katalog!$D$3:$D$12,MATCH(cadangan[[#This Row],[ItemID A]],Katalog!$C$3:$C$12,0))*cadangan[[#This Row],[Qty A]],0)</f>
        <v>2100000</v>
      </c>
      <c r="I861" s="73">
        <f>IFERROR(cadangan[[#This Row],[Harga Normal A]]-(cadangan[[#This Row],[Harga Normal A]]*cadangan[[#This Row],[Diskon]]),cadangan[[#This Row],[Harga Normal A]])</f>
        <v>1890000</v>
      </c>
      <c r="J861" s="73">
        <f>INDEX(Katalog!$F$3:$F$12,MATCH(cadangan[[#This Row],[ItemID A]],Katalog!$C$3:$C$12,0))*cadangan[[#This Row],[Qty A]]</f>
        <v>780000</v>
      </c>
      <c r="K861" s="73">
        <f>IFERROR(cadangan[[#This Row],[Harga Diskon A]]-INDEX(Katalog!$E$3:$E$12,MATCH(cadangan[[#This Row],[ItemID A]],Katalog!$C$3:$C$12,0))*cadangan[[#This Row],[Qty A]],0)</f>
        <v>570000</v>
      </c>
      <c r="M861" s="39" t="str">
        <f>IFERROR(INDEX(Katalog!$A$3:$A$12,MATCH(cadangan[[#This Row],[ItemID B]],Katalog!$C$3:$C$12,0)),"-")</f>
        <v>-</v>
      </c>
      <c r="N861" s="39" t="str">
        <f>IFERROR(INDEX(Katalog!$B$3:$B$12,MATCH(cadangan[[#This Row],[ItemID B]],Katalog!$C$3:$C$12,0)),"-")</f>
        <v>-</v>
      </c>
      <c r="Q861" s="73">
        <f>IFERROR(INDEX(Katalog!$D$3:$D$12,MATCH(cadangan[[#This Row],[ItemID B]],Katalog!$C$3:$C$12,0))*cadangan[[#This Row],[Qty B]],0)</f>
        <v>0</v>
      </c>
      <c r="R861" s="73">
        <f>IFERROR(cadangan[[#This Row],[Harga Normal B]]-(cadangan[[#This Row],[Harga Normal B]]*cadangan[[#This Row],[Diskon]]),cadangan[[#This Row],[Harga Normal B]])</f>
        <v>0</v>
      </c>
      <c r="S861" s="73">
        <f>IFERROR(INDEX(Katalog!$F$3:$F$12,MATCH(cadangan[[#This Row],[ItemID B]],Katalog!$C$3:$C$12,0))*cadangan[[#This Row],[Qty B]],0)</f>
        <v>0</v>
      </c>
      <c r="T861" s="73">
        <f>IFERROR(cadangan[[#This Row],[Harga Diskon B]]-INDEX(Katalog!$E$3:$E$12,MATCH(cadangan[[#This Row],[ItemID B]],Katalog!$C$3:$C$12,0))*cadangan[[#This Row],[Qty B]],0)</f>
        <v>0</v>
      </c>
      <c r="V861" s="39" t="str">
        <f>IFERROR(INDEX(Katalog!$A$3:$A$12,MATCH(cadangan[[#This Row],[ItemID C]],Katalog!$C$3:$C$12,0)),"-")</f>
        <v>-</v>
      </c>
      <c r="W861" s="39" t="str">
        <f>IFERROR(INDEX(Katalog!$B$3:$B$12,MATCH(cadangan[[#This Row],[ItemID C]],Katalog!$C$3:$C$12,0)),"-")</f>
        <v>-</v>
      </c>
      <c r="Z861" s="73">
        <f>IFERROR(INDEX(Katalog!$D$3:$D$12,MATCH(cadangan[[#This Row],[ItemID C]],Katalog!$C$3:$C$12,0))*cadangan[[#This Row],[Qty C]],0)</f>
        <v>0</v>
      </c>
      <c r="AA861" s="73">
        <f>IFERROR(cadangan[[#This Row],[Harga Normal C]]-(cadangan[[#This Row],[Harga Normal C]]*cadangan[[#This Row],[Diskon]]),cadangan[[#This Row],[Harga Normal C]])</f>
        <v>0</v>
      </c>
      <c r="AB861" s="73">
        <f>IFERROR(INDEX(Katalog!$F$3:$F$12,MATCH(cadangan[[#This Row],[ItemID C]],Katalog!$C$3:$C$12,0))*cadangan[[#This Row],[Qty C]],0)</f>
        <v>0</v>
      </c>
      <c r="AC861" s="73">
        <f>IFERROR(cadangan[[#This Row],[Harga Diskon C]]-INDEX(Katalog!$E$3:$E$12,MATCH(cadangan[[#This Row],[ItemID C]],Katalog!$C$3:$C$12,0))*cadangan[[#This Row],[Qty C]],0)</f>
        <v>0</v>
      </c>
      <c r="AD861" s="53">
        <f>cadangan[[#This Row],[Qty A]]+cadangan[[#This Row],[Qty B]]+cadangan[[#This Row],[Qty C]]</f>
        <v>6</v>
      </c>
      <c r="AE861" s="73">
        <f>cadangan[[#This Row],[Harga Normal A]]+cadangan[[#This Row],[Harga Normal B]]+cadangan[[#This Row],[Harga Normal C]]</f>
        <v>2100000</v>
      </c>
      <c r="AF861" s="73">
        <f>cadangan[[#This Row],[Harga Diskon A]]+cadangan[[#This Row],[Harga Diskon B]]+cadangan[[#This Row],[Harga Diskon C]]</f>
        <v>1890000</v>
      </c>
      <c r="AG861" s="73">
        <f>(cadangan[[#This Row],[Profit Normal A]]+cadangan[[#This Row],[Profit Normal B]]+cadangan[[#This Row],[Profit Normal C]])</f>
        <v>780000</v>
      </c>
      <c r="AH861" s="73">
        <f>cadangan[[#This Row],[Profit Diskon A]]+cadangan[[#This Row],[Profit Diskon B]]+cadangan[[#This Row],[Profit Diskon C]]</f>
        <v>570000</v>
      </c>
      <c r="AI861" s="23" t="s">
        <v>6</v>
      </c>
      <c r="AJ861" s="37">
        <f>IFERROR(INDEX('Kode Diskon'!$D$3:$D$9,MATCH(cadangan[[#This Row],[Kode diskon]],'Kode Diskon'!$C$3:$C$9,0)),"-")</f>
        <v>0.1</v>
      </c>
      <c r="AK861" s="23" t="s">
        <v>29</v>
      </c>
      <c r="AL861" s="23" t="s">
        <v>7</v>
      </c>
      <c r="AM861" s="23" t="s">
        <v>77</v>
      </c>
      <c r="AN861" s="55">
        <v>45019</v>
      </c>
      <c r="AO861" s="53">
        <f>DAY(cadangan[[#This Row],[Tanggal terjual]])</f>
        <v>3</v>
      </c>
      <c r="AP861" s="21" t="str">
        <f>TEXT(cadangan[[#This Row],[Tanggal terjual]],"dddd")</f>
        <v>Monday</v>
      </c>
      <c r="AQ861" s="23" t="str" cm="1">
        <f t="array" ref="AQ8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61" s="61">
        <f>AVERAGE(cadangan[[#This Row],[Rating A]],cadangan[[#This Row],[Rating B]],cadangan[[#This Row],[Rating C]])</f>
        <v>1</v>
      </c>
    </row>
    <row r="862" spans="1:44" x14ac:dyDescent="0.2">
      <c r="A862" s="20">
        <v>861</v>
      </c>
      <c r="B862" s="21" t="str">
        <f>_xlfn.CONCAT("ORD-",INDEX(Helper!$B$2:$B$5,MATCH(cadangan[[#This Row],[Marketplace]],Helper!$A$2:$A$5,0)),TEXT(cadangan[[#This Row],[No]],"0000"),"-",TEXT(cadangan[[#This Row],[Tanggal terjual]],"dd/mm/yy"))</f>
        <v>ORD-TK0861-03/04/23</v>
      </c>
      <c r="C862" s="39" t="s">
        <v>63</v>
      </c>
      <c r="D862" s="39" t="str">
        <f>IFERROR(INDEX(Katalog!$A$3:$A$12,MATCH(cadangan[[#This Row],[ItemID A]],Katalog!$C$3:$C$12,0)),"-")</f>
        <v>Pakaian Pria</v>
      </c>
      <c r="E862" s="39" t="str">
        <f>IFERROR(INDEX(Katalog!$B$3:$B$12,MATCH(cadangan[[#This Row],[ItemID A]],Katalog!$C$3:$C$12,0)),"-")</f>
        <v>Jaket Jeans</v>
      </c>
      <c r="F862" s="50">
        <v>2</v>
      </c>
      <c r="G862" s="50">
        <v>2</v>
      </c>
      <c r="H862" s="73">
        <f>IFERROR(INDEX(Katalog!$D$3:$D$12,MATCH(cadangan[[#This Row],[ItemID A]],Katalog!$C$3:$C$12,0))*cadangan[[#This Row],[Qty A]],0)</f>
        <v>800000</v>
      </c>
      <c r="I862" s="73">
        <f>IFERROR(cadangan[[#This Row],[Harga Normal A]]-(cadangan[[#This Row],[Harga Normal A]]*cadangan[[#This Row],[Diskon]]),cadangan[[#This Row],[Harga Normal A]])</f>
        <v>720000</v>
      </c>
      <c r="J862" s="73">
        <f>INDEX(Katalog!$F$3:$F$12,MATCH(cadangan[[#This Row],[ItemID A]],Katalog!$C$3:$C$12,0))*cadangan[[#This Row],[Qty A]]</f>
        <v>300000</v>
      </c>
      <c r="K862" s="73">
        <f>IFERROR(cadangan[[#This Row],[Harga Diskon A]]-INDEX(Katalog!$E$3:$E$12,MATCH(cadangan[[#This Row],[ItemID A]],Katalog!$C$3:$C$12,0))*cadangan[[#This Row],[Qty A]],0)</f>
        <v>220000</v>
      </c>
      <c r="M862" s="39" t="str">
        <f>IFERROR(INDEX(Katalog!$A$3:$A$12,MATCH(cadangan[[#This Row],[ItemID B]],Katalog!$C$3:$C$12,0)),"-")</f>
        <v>-</v>
      </c>
      <c r="N862" s="39" t="str">
        <f>IFERROR(INDEX(Katalog!$B$3:$B$12,MATCH(cadangan[[#This Row],[ItemID B]],Katalog!$C$3:$C$12,0)),"-")</f>
        <v>-</v>
      </c>
      <c r="Q862" s="73">
        <f>IFERROR(INDEX(Katalog!$D$3:$D$12,MATCH(cadangan[[#This Row],[ItemID B]],Katalog!$C$3:$C$12,0))*cadangan[[#This Row],[Qty B]],0)</f>
        <v>0</v>
      </c>
      <c r="R862" s="73">
        <f>IFERROR(cadangan[[#This Row],[Harga Normal B]]-(cadangan[[#This Row],[Harga Normal B]]*cadangan[[#This Row],[Diskon]]),cadangan[[#This Row],[Harga Normal B]])</f>
        <v>0</v>
      </c>
      <c r="S862" s="73">
        <f>IFERROR(INDEX(Katalog!$F$3:$F$12,MATCH(cadangan[[#This Row],[ItemID B]],Katalog!$C$3:$C$12,0))*cadangan[[#This Row],[Qty B]],0)</f>
        <v>0</v>
      </c>
      <c r="T862" s="73">
        <f>IFERROR(cadangan[[#This Row],[Harga Diskon B]]-INDEX(Katalog!$E$3:$E$12,MATCH(cadangan[[#This Row],[ItemID B]],Katalog!$C$3:$C$12,0))*cadangan[[#This Row],[Qty B]],0)</f>
        <v>0</v>
      </c>
      <c r="V862" s="39" t="str">
        <f>IFERROR(INDEX(Katalog!$A$3:$A$12,MATCH(cadangan[[#This Row],[ItemID C]],Katalog!$C$3:$C$12,0)),"-")</f>
        <v>-</v>
      </c>
      <c r="W862" s="39" t="str">
        <f>IFERROR(INDEX(Katalog!$B$3:$B$12,MATCH(cadangan[[#This Row],[ItemID C]],Katalog!$C$3:$C$12,0)),"-")</f>
        <v>-</v>
      </c>
      <c r="Z862" s="73">
        <f>IFERROR(INDEX(Katalog!$D$3:$D$12,MATCH(cadangan[[#This Row],[ItemID C]],Katalog!$C$3:$C$12,0))*cadangan[[#This Row],[Qty C]],0)</f>
        <v>0</v>
      </c>
      <c r="AA862" s="73">
        <f>IFERROR(cadangan[[#This Row],[Harga Normal C]]-(cadangan[[#This Row],[Harga Normal C]]*cadangan[[#This Row],[Diskon]]),cadangan[[#This Row],[Harga Normal C]])</f>
        <v>0</v>
      </c>
      <c r="AB862" s="73">
        <f>IFERROR(INDEX(Katalog!$F$3:$F$12,MATCH(cadangan[[#This Row],[ItemID C]],Katalog!$C$3:$C$12,0))*cadangan[[#This Row],[Qty C]],0)</f>
        <v>0</v>
      </c>
      <c r="AC862" s="73">
        <f>IFERROR(cadangan[[#This Row],[Harga Diskon C]]-INDEX(Katalog!$E$3:$E$12,MATCH(cadangan[[#This Row],[ItemID C]],Katalog!$C$3:$C$12,0))*cadangan[[#This Row],[Qty C]],0)</f>
        <v>0</v>
      </c>
      <c r="AD862" s="53">
        <f>cadangan[[#This Row],[Qty A]]+cadangan[[#This Row],[Qty B]]+cadangan[[#This Row],[Qty C]]</f>
        <v>2</v>
      </c>
      <c r="AE862" s="73">
        <f>cadangan[[#This Row],[Harga Normal A]]+cadangan[[#This Row],[Harga Normal B]]+cadangan[[#This Row],[Harga Normal C]]</f>
        <v>800000</v>
      </c>
      <c r="AF862" s="73">
        <f>cadangan[[#This Row],[Harga Diskon A]]+cadangan[[#This Row],[Harga Diskon B]]+cadangan[[#This Row],[Harga Diskon C]]</f>
        <v>720000</v>
      </c>
      <c r="AG862" s="73">
        <f>(cadangan[[#This Row],[Profit Normal A]]+cadangan[[#This Row],[Profit Normal B]]+cadangan[[#This Row],[Profit Normal C]])</f>
        <v>300000</v>
      </c>
      <c r="AH862" s="73">
        <f>cadangan[[#This Row],[Profit Diskon A]]+cadangan[[#This Row],[Profit Diskon B]]+cadangan[[#This Row],[Profit Diskon C]]</f>
        <v>220000</v>
      </c>
      <c r="AI862" s="23" t="s">
        <v>30</v>
      </c>
      <c r="AJ862" s="37">
        <f>IFERROR(INDEX('Kode Diskon'!$D$3:$D$9,MATCH(cadangan[[#This Row],[Kode diskon]],'Kode Diskon'!$C$3:$C$9,0)),"-")</f>
        <v>0.1</v>
      </c>
      <c r="AK862" s="23" t="s">
        <v>29</v>
      </c>
      <c r="AL862" s="23" t="s">
        <v>10</v>
      </c>
      <c r="AM862" s="23" t="s">
        <v>78</v>
      </c>
      <c r="AN862" s="55">
        <v>45019</v>
      </c>
      <c r="AO862" s="53">
        <f>DAY(cadangan[[#This Row],[Tanggal terjual]])</f>
        <v>3</v>
      </c>
      <c r="AP862" s="21" t="str">
        <f>TEXT(cadangan[[#This Row],[Tanggal terjual]],"dddd")</f>
        <v>Monday</v>
      </c>
      <c r="AQ862" s="23" t="str" cm="1">
        <f t="array" ref="AQ8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62" s="61">
        <f>AVERAGE(cadangan[[#This Row],[Rating A]],cadangan[[#This Row],[Rating B]],cadangan[[#This Row],[Rating C]])</f>
        <v>2</v>
      </c>
    </row>
    <row r="863" spans="1:44" x14ac:dyDescent="0.2">
      <c r="A863" s="20">
        <v>862</v>
      </c>
      <c r="B863" s="21" t="str">
        <f>_xlfn.CONCAT("ORD-",INDEX(Helper!$B$2:$B$5,MATCH(cadangan[[#This Row],[Marketplace]],Helper!$A$2:$A$5,0)),TEXT(cadangan[[#This Row],[No]],"0000"),"-",TEXT(cadangan[[#This Row],[Tanggal terjual]],"dd/mm/yy"))</f>
        <v>ORD-BB0862-08/04/23</v>
      </c>
      <c r="C863" s="39" t="s">
        <v>66</v>
      </c>
      <c r="D863" s="39" t="str">
        <f>IFERROR(INDEX(Katalog!$A$3:$A$12,MATCH(cadangan[[#This Row],[ItemID A]],Katalog!$C$3:$C$12,0)),"-")</f>
        <v>Sepatu Pria</v>
      </c>
      <c r="E863" s="39" t="str">
        <f>IFERROR(INDEX(Katalog!$B$3:$B$12,MATCH(cadangan[[#This Row],[ItemID A]],Katalog!$C$3:$C$12,0)),"-")</f>
        <v>Sandal Slip On</v>
      </c>
      <c r="F863" s="50">
        <v>1</v>
      </c>
      <c r="G863" s="50">
        <v>5</v>
      </c>
      <c r="H863" s="73">
        <f>IFERROR(INDEX(Katalog!$D$3:$D$12,MATCH(cadangan[[#This Row],[ItemID A]],Katalog!$C$3:$C$12,0))*cadangan[[#This Row],[Qty A]],0)</f>
        <v>150000</v>
      </c>
      <c r="I863" s="73">
        <f>IFERROR(cadangan[[#This Row],[Harga Normal A]]-(cadangan[[#This Row],[Harga Normal A]]*cadangan[[#This Row],[Diskon]]),cadangan[[#This Row],[Harga Normal A]])</f>
        <v>150000</v>
      </c>
      <c r="J863" s="73">
        <f>INDEX(Katalog!$F$3:$F$12,MATCH(cadangan[[#This Row],[ItemID A]],Katalog!$C$3:$C$12,0))*cadangan[[#This Row],[Qty A]]</f>
        <v>60000</v>
      </c>
      <c r="K863" s="73">
        <f>IFERROR(cadangan[[#This Row],[Harga Diskon A]]-INDEX(Katalog!$E$3:$E$12,MATCH(cadangan[[#This Row],[ItemID A]],Katalog!$C$3:$C$12,0))*cadangan[[#This Row],[Qty A]],0)</f>
        <v>60000</v>
      </c>
      <c r="M863" s="39" t="str">
        <f>IFERROR(INDEX(Katalog!$A$3:$A$12,MATCH(cadangan[[#This Row],[ItemID B]],Katalog!$C$3:$C$12,0)),"-")</f>
        <v>-</v>
      </c>
      <c r="N863" s="39" t="str">
        <f>IFERROR(INDEX(Katalog!$B$3:$B$12,MATCH(cadangan[[#This Row],[ItemID B]],Katalog!$C$3:$C$12,0)),"-")</f>
        <v>-</v>
      </c>
      <c r="Q863" s="73">
        <f>IFERROR(INDEX(Katalog!$D$3:$D$12,MATCH(cadangan[[#This Row],[ItemID B]],Katalog!$C$3:$C$12,0))*cadangan[[#This Row],[Qty B]],0)</f>
        <v>0</v>
      </c>
      <c r="R863" s="73">
        <f>IFERROR(cadangan[[#This Row],[Harga Normal B]]-(cadangan[[#This Row],[Harga Normal B]]*cadangan[[#This Row],[Diskon]]),cadangan[[#This Row],[Harga Normal B]])</f>
        <v>0</v>
      </c>
      <c r="S863" s="73">
        <f>IFERROR(INDEX(Katalog!$F$3:$F$12,MATCH(cadangan[[#This Row],[ItemID B]],Katalog!$C$3:$C$12,0))*cadangan[[#This Row],[Qty B]],0)</f>
        <v>0</v>
      </c>
      <c r="T863" s="73">
        <f>IFERROR(cadangan[[#This Row],[Harga Diskon B]]-INDEX(Katalog!$E$3:$E$12,MATCH(cadangan[[#This Row],[ItemID B]],Katalog!$C$3:$C$12,0))*cadangan[[#This Row],[Qty B]],0)</f>
        <v>0</v>
      </c>
      <c r="V863" s="39" t="str">
        <f>IFERROR(INDEX(Katalog!$A$3:$A$12,MATCH(cadangan[[#This Row],[ItemID C]],Katalog!$C$3:$C$12,0)),"-")</f>
        <v>-</v>
      </c>
      <c r="W863" s="39" t="str">
        <f>IFERROR(INDEX(Katalog!$B$3:$B$12,MATCH(cadangan[[#This Row],[ItemID C]],Katalog!$C$3:$C$12,0)),"-")</f>
        <v>-</v>
      </c>
      <c r="Z863" s="73">
        <f>IFERROR(INDEX(Katalog!$D$3:$D$12,MATCH(cadangan[[#This Row],[ItemID C]],Katalog!$C$3:$C$12,0))*cadangan[[#This Row],[Qty C]],0)</f>
        <v>0</v>
      </c>
      <c r="AA863" s="73">
        <f>IFERROR(cadangan[[#This Row],[Harga Normal C]]-(cadangan[[#This Row],[Harga Normal C]]*cadangan[[#This Row],[Diskon]]),cadangan[[#This Row],[Harga Normal C]])</f>
        <v>0</v>
      </c>
      <c r="AB863" s="73">
        <f>IFERROR(INDEX(Katalog!$F$3:$F$12,MATCH(cadangan[[#This Row],[ItemID C]],Katalog!$C$3:$C$12,0))*cadangan[[#This Row],[Qty C]],0)</f>
        <v>0</v>
      </c>
      <c r="AC863" s="73">
        <f>IFERROR(cadangan[[#This Row],[Harga Diskon C]]-INDEX(Katalog!$E$3:$E$12,MATCH(cadangan[[#This Row],[ItemID C]],Katalog!$C$3:$C$12,0))*cadangan[[#This Row],[Qty C]],0)</f>
        <v>0</v>
      </c>
      <c r="AD863" s="53">
        <f>cadangan[[#This Row],[Qty A]]+cadangan[[#This Row],[Qty B]]+cadangan[[#This Row],[Qty C]]</f>
        <v>1</v>
      </c>
      <c r="AE863" s="73">
        <f>cadangan[[#This Row],[Harga Normal A]]+cadangan[[#This Row],[Harga Normal B]]+cadangan[[#This Row],[Harga Normal C]]</f>
        <v>150000</v>
      </c>
      <c r="AF863" s="73">
        <f>cadangan[[#This Row],[Harga Diskon A]]+cadangan[[#This Row],[Harga Diskon B]]+cadangan[[#This Row],[Harga Diskon C]]</f>
        <v>150000</v>
      </c>
      <c r="AG863" s="73">
        <f>(cadangan[[#This Row],[Profit Normal A]]+cadangan[[#This Row],[Profit Normal B]]+cadangan[[#This Row],[Profit Normal C]])</f>
        <v>60000</v>
      </c>
      <c r="AH863" s="73">
        <f>cadangan[[#This Row],[Profit Diskon A]]+cadangan[[#This Row],[Profit Diskon B]]+cadangan[[#This Row],[Profit Diskon C]]</f>
        <v>60000</v>
      </c>
      <c r="AI863" s="23" t="s">
        <v>290</v>
      </c>
      <c r="AJ863" s="37" t="str">
        <f>IFERROR(INDEX('Kode Diskon'!$D$3:$D$9,MATCH(cadangan[[#This Row],[Kode diskon]],'Kode Diskon'!$C$3:$C$9,0)),"-")</f>
        <v>-</v>
      </c>
      <c r="AK863" s="23" t="s">
        <v>290</v>
      </c>
      <c r="AL863" s="23" t="s">
        <v>14</v>
      </c>
      <c r="AM863" s="23" t="s">
        <v>79</v>
      </c>
      <c r="AN863" s="55">
        <v>45024</v>
      </c>
      <c r="AO863" s="53">
        <f>DAY(cadangan[[#This Row],[Tanggal terjual]])</f>
        <v>8</v>
      </c>
      <c r="AP863" s="21" t="str">
        <f>TEXT(cadangan[[#This Row],[Tanggal terjual]],"dddd")</f>
        <v>Saturday</v>
      </c>
      <c r="AQ863" s="23" t="str" cm="1">
        <f t="array" ref="AQ8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63" s="61">
        <f>AVERAGE(cadangan[[#This Row],[Rating A]],cadangan[[#This Row],[Rating B]],cadangan[[#This Row],[Rating C]])</f>
        <v>5</v>
      </c>
    </row>
    <row r="864" spans="1:44" x14ac:dyDescent="0.2">
      <c r="A864" s="20">
        <v>863</v>
      </c>
      <c r="B864" s="21" t="str">
        <f>_xlfn.CONCAT("ORD-",INDEX(Helper!$B$2:$B$5,MATCH(cadangan[[#This Row],[Marketplace]],Helper!$A$2:$A$5,0)),TEXT(cadangan[[#This Row],[No]],"0000"),"-",TEXT(cadangan[[#This Row],[Tanggal terjual]],"dd/mm/yy"))</f>
        <v>ORD-TK0863-10/04/23</v>
      </c>
      <c r="C864" s="39" t="s">
        <v>61</v>
      </c>
      <c r="D864" s="39" t="str">
        <f>IFERROR(INDEX(Katalog!$A$3:$A$12,MATCH(cadangan[[#This Row],[ItemID A]],Katalog!$C$3:$C$12,0)),"-")</f>
        <v>Pakaian Pria</v>
      </c>
      <c r="E864" s="39" t="str">
        <f>IFERROR(INDEX(Katalog!$B$3:$B$12,MATCH(cadangan[[#This Row],[ItemID A]],Katalog!$C$3:$C$12,0)),"-")</f>
        <v>Kaos Polo</v>
      </c>
      <c r="F864" s="50">
        <v>2</v>
      </c>
      <c r="G864" s="50">
        <v>2</v>
      </c>
      <c r="H864" s="73">
        <f>IFERROR(INDEX(Katalog!$D$3:$D$12,MATCH(cadangan[[#This Row],[ItemID A]],Katalog!$C$3:$C$12,0))*cadangan[[#This Row],[Qty A]],0)</f>
        <v>400000</v>
      </c>
      <c r="I864" s="73">
        <f>IFERROR(cadangan[[#This Row],[Harga Normal A]]-(cadangan[[#This Row],[Harga Normal A]]*cadangan[[#This Row],[Diskon]]),cadangan[[#This Row],[Harga Normal A]])</f>
        <v>400000</v>
      </c>
      <c r="J864" s="73">
        <f>INDEX(Katalog!$F$3:$F$12,MATCH(cadangan[[#This Row],[ItemID A]],Katalog!$C$3:$C$12,0))*cadangan[[#This Row],[Qty A]]</f>
        <v>160000</v>
      </c>
      <c r="K864" s="73">
        <f>IFERROR(cadangan[[#This Row],[Harga Diskon A]]-INDEX(Katalog!$E$3:$E$12,MATCH(cadangan[[#This Row],[ItemID A]],Katalog!$C$3:$C$12,0))*cadangan[[#This Row],[Qty A]],0)</f>
        <v>160000</v>
      </c>
      <c r="M864" s="39" t="str">
        <f>IFERROR(INDEX(Katalog!$A$3:$A$12,MATCH(cadangan[[#This Row],[ItemID B]],Katalog!$C$3:$C$12,0)),"-")</f>
        <v>-</v>
      </c>
      <c r="N864" s="39" t="str">
        <f>IFERROR(INDEX(Katalog!$B$3:$B$12,MATCH(cadangan[[#This Row],[ItemID B]],Katalog!$C$3:$C$12,0)),"-")</f>
        <v>-</v>
      </c>
      <c r="Q864" s="73">
        <f>IFERROR(INDEX(Katalog!$D$3:$D$12,MATCH(cadangan[[#This Row],[ItemID B]],Katalog!$C$3:$C$12,0))*cadangan[[#This Row],[Qty B]],0)</f>
        <v>0</v>
      </c>
      <c r="R864" s="73">
        <f>IFERROR(cadangan[[#This Row],[Harga Normal B]]-(cadangan[[#This Row],[Harga Normal B]]*cadangan[[#This Row],[Diskon]]),cadangan[[#This Row],[Harga Normal B]])</f>
        <v>0</v>
      </c>
      <c r="S864" s="73">
        <f>IFERROR(INDEX(Katalog!$F$3:$F$12,MATCH(cadangan[[#This Row],[ItemID B]],Katalog!$C$3:$C$12,0))*cadangan[[#This Row],[Qty B]],0)</f>
        <v>0</v>
      </c>
      <c r="T864" s="73">
        <f>IFERROR(cadangan[[#This Row],[Harga Diskon B]]-INDEX(Katalog!$E$3:$E$12,MATCH(cadangan[[#This Row],[ItemID B]],Katalog!$C$3:$C$12,0))*cadangan[[#This Row],[Qty B]],0)</f>
        <v>0</v>
      </c>
      <c r="V864" s="39" t="str">
        <f>IFERROR(INDEX(Katalog!$A$3:$A$12,MATCH(cadangan[[#This Row],[ItemID C]],Katalog!$C$3:$C$12,0)),"-")</f>
        <v>-</v>
      </c>
      <c r="W864" s="39" t="str">
        <f>IFERROR(INDEX(Katalog!$B$3:$B$12,MATCH(cadangan[[#This Row],[ItemID C]],Katalog!$C$3:$C$12,0)),"-")</f>
        <v>-</v>
      </c>
      <c r="Z864" s="73">
        <f>IFERROR(INDEX(Katalog!$D$3:$D$12,MATCH(cadangan[[#This Row],[ItemID C]],Katalog!$C$3:$C$12,0))*cadangan[[#This Row],[Qty C]],0)</f>
        <v>0</v>
      </c>
      <c r="AA864" s="73">
        <f>IFERROR(cadangan[[#This Row],[Harga Normal C]]-(cadangan[[#This Row],[Harga Normal C]]*cadangan[[#This Row],[Diskon]]),cadangan[[#This Row],[Harga Normal C]])</f>
        <v>0</v>
      </c>
      <c r="AB864" s="73">
        <f>IFERROR(INDEX(Katalog!$F$3:$F$12,MATCH(cadangan[[#This Row],[ItemID C]],Katalog!$C$3:$C$12,0))*cadangan[[#This Row],[Qty C]],0)</f>
        <v>0</v>
      </c>
      <c r="AC864" s="73">
        <f>IFERROR(cadangan[[#This Row],[Harga Diskon C]]-INDEX(Katalog!$E$3:$E$12,MATCH(cadangan[[#This Row],[ItemID C]],Katalog!$C$3:$C$12,0))*cadangan[[#This Row],[Qty C]],0)</f>
        <v>0</v>
      </c>
      <c r="AD864" s="53">
        <f>cadangan[[#This Row],[Qty A]]+cadangan[[#This Row],[Qty B]]+cadangan[[#This Row],[Qty C]]</f>
        <v>2</v>
      </c>
      <c r="AE864" s="73">
        <f>cadangan[[#This Row],[Harga Normal A]]+cadangan[[#This Row],[Harga Normal B]]+cadangan[[#This Row],[Harga Normal C]]</f>
        <v>400000</v>
      </c>
      <c r="AF864" s="73">
        <f>cadangan[[#This Row],[Harga Diskon A]]+cadangan[[#This Row],[Harga Diskon B]]+cadangan[[#This Row],[Harga Diskon C]]</f>
        <v>400000</v>
      </c>
      <c r="AG864" s="73">
        <f>(cadangan[[#This Row],[Profit Normal A]]+cadangan[[#This Row],[Profit Normal B]]+cadangan[[#This Row],[Profit Normal C]])</f>
        <v>160000</v>
      </c>
      <c r="AH864" s="73">
        <f>cadangan[[#This Row],[Profit Diskon A]]+cadangan[[#This Row],[Profit Diskon B]]+cadangan[[#This Row],[Profit Diskon C]]</f>
        <v>160000</v>
      </c>
      <c r="AI864" s="23" t="s">
        <v>290</v>
      </c>
      <c r="AJ864" s="37" t="str">
        <f>IFERROR(INDEX('Kode Diskon'!$D$3:$D$9,MATCH(cadangan[[#This Row],[Kode diskon]],'Kode Diskon'!$C$3:$C$9,0)),"-")</f>
        <v>-</v>
      </c>
      <c r="AK864" s="23" t="s">
        <v>290</v>
      </c>
      <c r="AL864" s="23" t="s">
        <v>10</v>
      </c>
      <c r="AM864" s="23" t="s">
        <v>77</v>
      </c>
      <c r="AN864" s="55">
        <v>45026</v>
      </c>
      <c r="AO864" s="53">
        <f>DAY(cadangan[[#This Row],[Tanggal terjual]])</f>
        <v>10</v>
      </c>
      <c r="AP864" s="21" t="str">
        <f>TEXT(cadangan[[#This Row],[Tanggal terjual]],"dddd")</f>
        <v>Monday</v>
      </c>
      <c r="AQ864" s="23" t="str" cm="1">
        <f t="array" ref="AQ8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64" s="61">
        <f>AVERAGE(cadangan[[#This Row],[Rating A]],cadangan[[#This Row],[Rating B]],cadangan[[#This Row],[Rating C]])</f>
        <v>2</v>
      </c>
    </row>
    <row r="865" spans="1:44" x14ac:dyDescent="0.2">
      <c r="A865" s="20">
        <v>864</v>
      </c>
      <c r="B865" s="21" t="str">
        <f>_xlfn.CONCAT("ORD-",INDEX(Helper!$B$2:$B$5,MATCH(cadangan[[#This Row],[Marketplace]],Helper!$A$2:$A$5,0)),TEXT(cadangan[[#This Row],[No]],"0000"),"-",TEXT(cadangan[[#This Row],[Tanggal terjual]],"dd/mm/yy"))</f>
        <v>ORD-SP0864-20/04/23</v>
      </c>
      <c r="C865" s="39" t="s">
        <v>62</v>
      </c>
      <c r="D865" s="39" t="str">
        <f>IFERROR(INDEX(Katalog!$A$3:$A$12,MATCH(cadangan[[#This Row],[ItemID A]],Katalog!$C$3:$C$12,0)),"-")</f>
        <v>Pakaian Pria</v>
      </c>
      <c r="E865" s="39" t="str">
        <f>IFERROR(INDEX(Katalog!$B$3:$B$12,MATCH(cadangan[[#This Row],[ItemID A]],Katalog!$C$3:$C$12,0)),"-")</f>
        <v>Celana Pendek</v>
      </c>
      <c r="F865" s="50">
        <v>2</v>
      </c>
      <c r="G865" s="50">
        <v>4</v>
      </c>
      <c r="H865" s="73">
        <f>IFERROR(INDEX(Katalog!$D$3:$D$12,MATCH(cadangan[[#This Row],[ItemID A]],Katalog!$C$3:$C$12,0))*cadangan[[#This Row],[Qty A]],0)</f>
        <v>360000</v>
      </c>
      <c r="I865" s="73">
        <f>IFERROR(cadangan[[#This Row],[Harga Normal A]]-(cadangan[[#This Row],[Harga Normal A]]*cadangan[[#This Row],[Diskon]]),cadangan[[#This Row],[Harga Normal A]])</f>
        <v>288000</v>
      </c>
      <c r="J865" s="73">
        <f>INDEX(Katalog!$F$3:$F$12,MATCH(cadangan[[#This Row],[ItemID A]],Katalog!$C$3:$C$12,0))*cadangan[[#This Row],[Qty A]]</f>
        <v>140000</v>
      </c>
      <c r="K865" s="73">
        <f>IFERROR(cadangan[[#This Row],[Harga Diskon A]]-INDEX(Katalog!$E$3:$E$12,MATCH(cadangan[[#This Row],[ItemID A]],Katalog!$C$3:$C$12,0))*cadangan[[#This Row],[Qty A]],0)</f>
        <v>68000</v>
      </c>
      <c r="M865" s="39" t="str">
        <f>IFERROR(INDEX(Katalog!$A$3:$A$12,MATCH(cadangan[[#This Row],[ItemID B]],Katalog!$C$3:$C$12,0)),"-")</f>
        <v>-</v>
      </c>
      <c r="N865" s="39" t="str">
        <f>IFERROR(INDEX(Katalog!$B$3:$B$12,MATCH(cadangan[[#This Row],[ItemID B]],Katalog!$C$3:$C$12,0)),"-")</f>
        <v>-</v>
      </c>
      <c r="Q865" s="73">
        <f>IFERROR(INDEX(Katalog!$D$3:$D$12,MATCH(cadangan[[#This Row],[ItemID B]],Katalog!$C$3:$C$12,0))*cadangan[[#This Row],[Qty B]],0)</f>
        <v>0</v>
      </c>
      <c r="R865" s="73">
        <f>IFERROR(cadangan[[#This Row],[Harga Normal B]]-(cadangan[[#This Row],[Harga Normal B]]*cadangan[[#This Row],[Diskon]]),cadangan[[#This Row],[Harga Normal B]])</f>
        <v>0</v>
      </c>
      <c r="S865" s="73">
        <f>IFERROR(INDEX(Katalog!$F$3:$F$12,MATCH(cadangan[[#This Row],[ItemID B]],Katalog!$C$3:$C$12,0))*cadangan[[#This Row],[Qty B]],0)</f>
        <v>0</v>
      </c>
      <c r="T865" s="73">
        <f>IFERROR(cadangan[[#This Row],[Harga Diskon B]]-INDEX(Katalog!$E$3:$E$12,MATCH(cadangan[[#This Row],[ItemID B]],Katalog!$C$3:$C$12,0))*cadangan[[#This Row],[Qty B]],0)</f>
        <v>0</v>
      </c>
      <c r="V865" s="39" t="str">
        <f>IFERROR(INDEX(Katalog!$A$3:$A$12,MATCH(cadangan[[#This Row],[ItemID C]],Katalog!$C$3:$C$12,0)),"-")</f>
        <v>-</v>
      </c>
      <c r="W865" s="39" t="str">
        <f>IFERROR(INDEX(Katalog!$B$3:$B$12,MATCH(cadangan[[#This Row],[ItemID C]],Katalog!$C$3:$C$12,0)),"-")</f>
        <v>-</v>
      </c>
      <c r="Z865" s="73">
        <f>IFERROR(INDEX(Katalog!$D$3:$D$12,MATCH(cadangan[[#This Row],[ItemID C]],Katalog!$C$3:$C$12,0))*cadangan[[#This Row],[Qty C]],0)</f>
        <v>0</v>
      </c>
      <c r="AA865" s="73">
        <f>IFERROR(cadangan[[#This Row],[Harga Normal C]]-(cadangan[[#This Row],[Harga Normal C]]*cadangan[[#This Row],[Diskon]]),cadangan[[#This Row],[Harga Normal C]])</f>
        <v>0</v>
      </c>
      <c r="AB865" s="73">
        <f>IFERROR(INDEX(Katalog!$F$3:$F$12,MATCH(cadangan[[#This Row],[ItemID C]],Katalog!$C$3:$C$12,0))*cadangan[[#This Row],[Qty C]],0)</f>
        <v>0</v>
      </c>
      <c r="AC865" s="73">
        <f>IFERROR(cadangan[[#This Row],[Harga Diskon C]]-INDEX(Katalog!$E$3:$E$12,MATCH(cadangan[[#This Row],[ItemID C]],Katalog!$C$3:$C$12,0))*cadangan[[#This Row],[Qty C]],0)</f>
        <v>0</v>
      </c>
      <c r="AD865" s="53">
        <f>cadangan[[#This Row],[Qty A]]+cadangan[[#This Row],[Qty B]]+cadangan[[#This Row],[Qty C]]</f>
        <v>2</v>
      </c>
      <c r="AE865" s="73">
        <f>cadangan[[#This Row],[Harga Normal A]]+cadangan[[#This Row],[Harga Normal B]]+cadangan[[#This Row],[Harga Normal C]]</f>
        <v>360000</v>
      </c>
      <c r="AF865" s="73">
        <f>cadangan[[#This Row],[Harga Diskon A]]+cadangan[[#This Row],[Harga Diskon B]]+cadangan[[#This Row],[Harga Diskon C]]</f>
        <v>288000</v>
      </c>
      <c r="AG865" s="73">
        <f>(cadangan[[#This Row],[Profit Normal A]]+cadangan[[#This Row],[Profit Normal B]]+cadangan[[#This Row],[Profit Normal C]])</f>
        <v>140000</v>
      </c>
      <c r="AH865" s="73">
        <f>cadangan[[#This Row],[Profit Diskon A]]+cadangan[[#This Row],[Profit Diskon B]]+cadangan[[#This Row],[Profit Diskon C]]</f>
        <v>68000</v>
      </c>
      <c r="AI865" s="23" t="s">
        <v>8</v>
      </c>
      <c r="AJ865" s="37">
        <f>IFERROR(INDEX('Kode Diskon'!$D$3:$D$9,MATCH(cadangan[[#This Row],[Kode diskon]],'Kode Diskon'!$C$3:$C$9,0)),"-")</f>
        <v>0.2</v>
      </c>
      <c r="AK865" s="23" t="s">
        <v>9</v>
      </c>
      <c r="AL865" s="23" t="s">
        <v>7</v>
      </c>
      <c r="AM865" s="23" t="s">
        <v>80</v>
      </c>
      <c r="AN865" s="55">
        <v>45036</v>
      </c>
      <c r="AO865" s="53">
        <f>DAY(cadangan[[#This Row],[Tanggal terjual]])</f>
        <v>20</v>
      </c>
      <c r="AP865" s="21" t="str">
        <f>TEXT(cadangan[[#This Row],[Tanggal terjual]],"dddd")</f>
        <v>Thursday</v>
      </c>
      <c r="AQ865" s="23" t="str" cm="1">
        <f t="array" ref="AQ8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65" s="61">
        <f>AVERAGE(cadangan[[#This Row],[Rating A]],cadangan[[#This Row],[Rating B]],cadangan[[#This Row],[Rating C]])</f>
        <v>4</v>
      </c>
    </row>
    <row r="866" spans="1:44" x14ac:dyDescent="0.2">
      <c r="A866" s="20">
        <v>865</v>
      </c>
      <c r="B866" s="21" t="str">
        <f>_xlfn.CONCAT("ORD-",INDEX(Helper!$B$2:$B$5,MATCH(cadangan[[#This Row],[Marketplace]],Helper!$A$2:$A$5,0)),TEXT(cadangan[[#This Row],[No]],"0000"),"-",TEXT(cadangan[[#This Row],[Tanggal terjual]],"dd/mm/yy"))</f>
        <v>ORD-TK0865-18/04/23</v>
      </c>
      <c r="C866" s="39" t="s">
        <v>59</v>
      </c>
      <c r="D866" s="39" t="str">
        <f>IFERROR(INDEX(Katalog!$A$3:$A$12,MATCH(cadangan[[#This Row],[ItemID A]],Katalog!$C$3:$C$12,0)),"-")</f>
        <v>Pakaian Wanita</v>
      </c>
      <c r="E866" s="39" t="str">
        <f>IFERROR(INDEX(Katalog!$B$3:$B$12,MATCH(cadangan[[#This Row],[ItemID A]],Katalog!$C$3:$C$12,0)),"-")</f>
        <v>Blouse</v>
      </c>
      <c r="F866" s="50">
        <v>2</v>
      </c>
      <c r="G866" s="50">
        <v>5</v>
      </c>
      <c r="H866" s="73">
        <f>IFERROR(INDEX(Katalog!$D$3:$D$12,MATCH(cadangan[[#This Row],[ItemID A]],Katalog!$C$3:$C$12,0))*cadangan[[#This Row],[Qty A]],0)</f>
        <v>300000</v>
      </c>
      <c r="I866" s="73">
        <f>IFERROR(cadangan[[#This Row],[Harga Normal A]]-(cadangan[[#This Row],[Harga Normal A]]*cadangan[[#This Row],[Diskon]]),cadangan[[#This Row],[Harga Normal A]])</f>
        <v>270000</v>
      </c>
      <c r="J866" s="73">
        <f>INDEX(Katalog!$F$3:$F$12,MATCH(cadangan[[#This Row],[ItemID A]],Katalog!$C$3:$C$12,0))*cadangan[[#This Row],[Qty A]]</f>
        <v>100000</v>
      </c>
      <c r="K866" s="73">
        <f>IFERROR(cadangan[[#This Row],[Harga Diskon A]]-INDEX(Katalog!$E$3:$E$12,MATCH(cadangan[[#This Row],[ItemID A]],Katalog!$C$3:$C$12,0))*cadangan[[#This Row],[Qty A]],0)</f>
        <v>70000</v>
      </c>
      <c r="M866" s="39" t="str">
        <f>IFERROR(INDEX(Katalog!$A$3:$A$12,MATCH(cadangan[[#This Row],[ItemID B]],Katalog!$C$3:$C$12,0)),"-")</f>
        <v>-</v>
      </c>
      <c r="N866" s="39" t="str">
        <f>IFERROR(INDEX(Katalog!$B$3:$B$12,MATCH(cadangan[[#This Row],[ItemID B]],Katalog!$C$3:$C$12,0)),"-")</f>
        <v>-</v>
      </c>
      <c r="Q866" s="73">
        <f>IFERROR(INDEX(Katalog!$D$3:$D$12,MATCH(cadangan[[#This Row],[ItemID B]],Katalog!$C$3:$C$12,0))*cadangan[[#This Row],[Qty B]],0)</f>
        <v>0</v>
      </c>
      <c r="R866" s="73">
        <f>IFERROR(cadangan[[#This Row],[Harga Normal B]]-(cadangan[[#This Row],[Harga Normal B]]*cadangan[[#This Row],[Diskon]]),cadangan[[#This Row],[Harga Normal B]])</f>
        <v>0</v>
      </c>
      <c r="S866" s="73">
        <f>IFERROR(INDEX(Katalog!$F$3:$F$12,MATCH(cadangan[[#This Row],[ItemID B]],Katalog!$C$3:$C$12,0))*cadangan[[#This Row],[Qty B]],0)</f>
        <v>0</v>
      </c>
      <c r="T866" s="73">
        <f>IFERROR(cadangan[[#This Row],[Harga Diskon B]]-INDEX(Katalog!$E$3:$E$12,MATCH(cadangan[[#This Row],[ItemID B]],Katalog!$C$3:$C$12,0))*cadangan[[#This Row],[Qty B]],0)</f>
        <v>0</v>
      </c>
      <c r="V866" s="39" t="str">
        <f>IFERROR(INDEX(Katalog!$A$3:$A$12,MATCH(cadangan[[#This Row],[ItemID C]],Katalog!$C$3:$C$12,0)),"-")</f>
        <v>-</v>
      </c>
      <c r="W866" s="39" t="str">
        <f>IFERROR(INDEX(Katalog!$B$3:$B$12,MATCH(cadangan[[#This Row],[ItemID C]],Katalog!$C$3:$C$12,0)),"-")</f>
        <v>-</v>
      </c>
      <c r="Z866" s="73">
        <f>IFERROR(INDEX(Katalog!$D$3:$D$12,MATCH(cadangan[[#This Row],[ItemID C]],Katalog!$C$3:$C$12,0))*cadangan[[#This Row],[Qty C]],0)</f>
        <v>0</v>
      </c>
      <c r="AA866" s="73">
        <f>IFERROR(cadangan[[#This Row],[Harga Normal C]]-(cadangan[[#This Row],[Harga Normal C]]*cadangan[[#This Row],[Diskon]]),cadangan[[#This Row],[Harga Normal C]])</f>
        <v>0</v>
      </c>
      <c r="AB866" s="73">
        <f>IFERROR(INDEX(Katalog!$F$3:$F$12,MATCH(cadangan[[#This Row],[ItemID C]],Katalog!$C$3:$C$12,0))*cadangan[[#This Row],[Qty C]],0)</f>
        <v>0</v>
      </c>
      <c r="AC866" s="73">
        <f>IFERROR(cadangan[[#This Row],[Harga Diskon C]]-INDEX(Katalog!$E$3:$E$12,MATCH(cadangan[[#This Row],[ItemID C]],Katalog!$C$3:$C$12,0))*cadangan[[#This Row],[Qty C]],0)</f>
        <v>0</v>
      </c>
      <c r="AD866" s="53">
        <f>cadangan[[#This Row],[Qty A]]+cadangan[[#This Row],[Qty B]]+cadangan[[#This Row],[Qty C]]</f>
        <v>2</v>
      </c>
      <c r="AE866" s="73">
        <f>cadangan[[#This Row],[Harga Normal A]]+cadangan[[#This Row],[Harga Normal B]]+cadangan[[#This Row],[Harga Normal C]]</f>
        <v>300000</v>
      </c>
      <c r="AF866" s="73">
        <f>cadangan[[#This Row],[Harga Diskon A]]+cadangan[[#This Row],[Harga Diskon B]]+cadangan[[#This Row],[Harga Diskon C]]</f>
        <v>270000</v>
      </c>
      <c r="AG866" s="73">
        <f>(cadangan[[#This Row],[Profit Normal A]]+cadangan[[#This Row],[Profit Normal B]]+cadangan[[#This Row],[Profit Normal C]])</f>
        <v>100000</v>
      </c>
      <c r="AH866" s="73">
        <f>cadangan[[#This Row],[Profit Diskon A]]+cadangan[[#This Row],[Profit Diskon B]]+cadangan[[#This Row],[Profit Diskon C]]</f>
        <v>70000</v>
      </c>
      <c r="AI866" s="23" t="s">
        <v>31</v>
      </c>
      <c r="AJ866" s="37">
        <f>IFERROR(INDEX('Kode Diskon'!$D$3:$D$9,MATCH(cadangan[[#This Row],[Kode diskon]],'Kode Diskon'!$C$3:$C$9,0)),"-")</f>
        <v>0.1</v>
      </c>
      <c r="AK866" s="23" t="s">
        <v>9</v>
      </c>
      <c r="AL866" s="23" t="s">
        <v>10</v>
      </c>
      <c r="AM866" s="23" t="s">
        <v>75</v>
      </c>
      <c r="AN866" s="55">
        <v>45034</v>
      </c>
      <c r="AO866" s="53">
        <f>DAY(cadangan[[#This Row],[Tanggal terjual]])</f>
        <v>18</v>
      </c>
      <c r="AP866" s="21" t="str">
        <f>TEXT(cadangan[[#This Row],[Tanggal terjual]],"dddd")</f>
        <v>Tuesday</v>
      </c>
      <c r="AQ866" s="23" t="str" cm="1">
        <f t="array" ref="AQ8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66" s="61">
        <f>AVERAGE(cadangan[[#This Row],[Rating A]],cadangan[[#This Row],[Rating B]],cadangan[[#This Row],[Rating C]])</f>
        <v>5</v>
      </c>
    </row>
    <row r="867" spans="1:44" x14ac:dyDescent="0.2">
      <c r="A867" s="20">
        <v>866</v>
      </c>
      <c r="B867" s="21" t="str">
        <f>_xlfn.CONCAT("ORD-",INDEX(Helper!$B$2:$B$5,MATCH(cadangan[[#This Row],[Marketplace]],Helper!$A$2:$A$5,0)),TEXT(cadangan[[#This Row],[No]],"0000"),"-",TEXT(cadangan[[#This Row],[Tanggal terjual]],"dd/mm/yy"))</f>
        <v>ORD-SP0866-13/04/23</v>
      </c>
      <c r="C867" s="39" t="s">
        <v>62</v>
      </c>
      <c r="D867" s="39" t="str">
        <f>IFERROR(INDEX(Katalog!$A$3:$A$12,MATCH(cadangan[[#This Row],[ItemID A]],Katalog!$C$3:$C$12,0)),"-")</f>
        <v>Pakaian Pria</v>
      </c>
      <c r="E867" s="39" t="str">
        <f>IFERROR(INDEX(Katalog!$B$3:$B$12,MATCH(cadangan[[#This Row],[ItemID A]],Katalog!$C$3:$C$12,0)),"-")</f>
        <v>Celana Pendek</v>
      </c>
      <c r="F867" s="50">
        <v>4</v>
      </c>
      <c r="G867" s="50">
        <v>5</v>
      </c>
      <c r="H867" s="73">
        <f>IFERROR(INDEX(Katalog!$D$3:$D$12,MATCH(cadangan[[#This Row],[ItemID A]],Katalog!$C$3:$C$12,0))*cadangan[[#This Row],[Qty A]],0)</f>
        <v>720000</v>
      </c>
      <c r="I867" s="73">
        <f>IFERROR(cadangan[[#This Row],[Harga Normal A]]-(cadangan[[#This Row],[Harga Normal A]]*cadangan[[#This Row],[Diskon]]),cadangan[[#This Row],[Harga Normal A]])</f>
        <v>720000</v>
      </c>
      <c r="J867" s="73">
        <f>INDEX(Katalog!$F$3:$F$12,MATCH(cadangan[[#This Row],[ItemID A]],Katalog!$C$3:$C$12,0))*cadangan[[#This Row],[Qty A]]</f>
        <v>280000</v>
      </c>
      <c r="K867" s="73">
        <f>IFERROR(cadangan[[#This Row],[Harga Diskon A]]-INDEX(Katalog!$E$3:$E$12,MATCH(cadangan[[#This Row],[ItemID A]],Katalog!$C$3:$C$12,0))*cadangan[[#This Row],[Qty A]],0)</f>
        <v>280000</v>
      </c>
      <c r="L867" s="39" t="s">
        <v>60</v>
      </c>
      <c r="M867" s="39" t="str">
        <f>IFERROR(INDEX(Katalog!$A$3:$A$12,MATCH(cadangan[[#This Row],[ItemID B]],Katalog!$C$3:$C$12,0)),"-")</f>
        <v>Pakaian Wanita</v>
      </c>
      <c r="N867" s="39" t="str">
        <f>IFERROR(INDEX(Katalog!$B$3:$B$12,MATCH(cadangan[[#This Row],[ItemID B]],Katalog!$C$3:$C$12,0)),"-")</f>
        <v>Kaftan</v>
      </c>
      <c r="O867" s="50">
        <v>1</v>
      </c>
      <c r="P867" s="50">
        <v>4</v>
      </c>
      <c r="Q867" s="73">
        <f>IFERROR(INDEX(Katalog!$D$3:$D$12,MATCH(cadangan[[#This Row],[ItemID B]],Katalog!$C$3:$C$12,0))*cadangan[[#This Row],[Qty B]],0)</f>
        <v>250000</v>
      </c>
      <c r="R867" s="73">
        <f>IFERROR(cadangan[[#This Row],[Harga Normal B]]-(cadangan[[#This Row],[Harga Normal B]]*cadangan[[#This Row],[Diskon]]),cadangan[[#This Row],[Harga Normal B]])</f>
        <v>250000</v>
      </c>
      <c r="S867" s="73">
        <f>IFERROR(INDEX(Katalog!$F$3:$F$12,MATCH(cadangan[[#This Row],[ItemID B]],Katalog!$C$3:$C$12,0))*cadangan[[#This Row],[Qty B]],0)</f>
        <v>100000</v>
      </c>
      <c r="T867" s="73">
        <f>IFERROR(cadangan[[#This Row],[Harga Diskon B]]-INDEX(Katalog!$E$3:$E$12,MATCH(cadangan[[#This Row],[ItemID B]],Katalog!$C$3:$C$12,0))*cadangan[[#This Row],[Qty B]],0)</f>
        <v>100000</v>
      </c>
      <c r="U867" s="39" t="s">
        <v>60</v>
      </c>
      <c r="V867" s="39" t="str">
        <f>IFERROR(INDEX(Katalog!$A$3:$A$12,MATCH(cadangan[[#This Row],[ItemID C]],Katalog!$C$3:$C$12,0)),"-")</f>
        <v>Pakaian Wanita</v>
      </c>
      <c r="W867" s="39" t="str">
        <f>IFERROR(INDEX(Katalog!$B$3:$B$12,MATCH(cadangan[[#This Row],[ItemID C]],Katalog!$C$3:$C$12,0)),"-")</f>
        <v>Kaftan</v>
      </c>
      <c r="X867" s="50">
        <v>1</v>
      </c>
      <c r="Y867" s="50">
        <v>1</v>
      </c>
      <c r="Z867" s="73">
        <f>IFERROR(INDEX(Katalog!$D$3:$D$12,MATCH(cadangan[[#This Row],[ItemID C]],Katalog!$C$3:$C$12,0))*cadangan[[#This Row],[Qty C]],0)</f>
        <v>250000</v>
      </c>
      <c r="AA867" s="73">
        <f>IFERROR(cadangan[[#This Row],[Harga Normal C]]-(cadangan[[#This Row],[Harga Normal C]]*cadangan[[#This Row],[Diskon]]),cadangan[[#This Row],[Harga Normal C]])</f>
        <v>250000</v>
      </c>
      <c r="AB867" s="73">
        <f>IFERROR(INDEX(Katalog!$F$3:$F$12,MATCH(cadangan[[#This Row],[ItemID C]],Katalog!$C$3:$C$12,0))*cadangan[[#This Row],[Qty C]],0)</f>
        <v>100000</v>
      </c>
      <c r="AC867" s="73">
        <f>IFERROR(cadangan[[#This Row],[Harga Diskon C]]-INDEX(Katalog!$E$3:$E$12,MATCH(cadangan[[#This Row],[ItemID C]],Katalog!$C$3:$C$12,0))*cadangan[[#This Row],[Qty C]],0)</f>
        <v>100000</v>
      </c>
      <c r="AD867" s="53">
        <f>cadangan[[#This Row],[Qty A]]+cadangan[[#This Row],[Qty B]]+cadangan[[#This Row],[Qty C]]</f>
        <v>6</v>
      </c>
      <c r="AE867" s="73">
        <f>cadangan[[#This Row],[Harga Normal A]]+cadangan[[#This Row],[Harga Normal B]]+cadangan[[#This Row],[Harga Normal C]]</f>
        <v>1220000</v>
      </c>
      <c r="AF867" s="73">
        <f>cadangan[[#This Row],[Harga Diskon A]]+cadangan[[#This Row],[Harga Diskon B]]+cadangan[[#This Row],[Harga Diskon C]]</f>
        <v>1220000</v>
      </c>
      <c r="AG867" s="73">
        <f>(cadangan[[#This Row],[Profit Normal A]]+cadangan[[#This Row],[Profit Normal B]]+cadangan[[#This Row],[Profit Normal C]])</f>
        <v>480000</v>
      </c>
      <c r="AH867" s="73">
        <f>cadangan[[#This Row],[Profit Diskon A]]+cadangan[[#This Row],[Profit Diskon B]]+cadangan[[#This Row],[Profit Diskon C]]</f>
        <v>480000</v>
      </c>
      <c r="AI867" s="23" t="s">
        <v>290</v>
      </c>
      <c r="AJ867" s="37" t="str">
        <f>IFERROR(INDEX('Kode Diskon'!$D$3:$D$9,MATCH(cadangan[[#This Row],[Kode diskon]],'Kode Diskon'!$C$3:$C$9,0)),"-")</f>
        <v>-</v>
      </c>
      <c r="AK867" s="23" t="s">
        <v>290</v>
      </c>
      <c r="AL867" s="23" t="s">
        <v>7</v>
      </c>
      <c r="AM867" s="23" t="s">
        <v>79</v>
      </c>
      <c r="AN867" s="55">
        <v>45029</v>
      </c>
      <c r="AO867" s="53">
        <f>DAY(cadangan[[#This Row],[Tanggal terjual]])</f>
        <v>13</v>
      </c>
      <c r="AP867" s="21" t="str">
        <f>TEXT(cadangan[[#This Row],[Tanggal terjual]],"dddd")</f>
        <v>Thursday</v>
      </c>
      <c r="AQ867" s="23" t="str" cm="1">
        <f t="array" ref="AQ8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67" s="61">
        <f>AVERAGE(cadangan[[#This Row],[Rating A]],cadangan[[#This Row],[Rating B]],cadangan[[#This Row],[Rating C]])</f>
        <v>3.3333333333333335</v>
      </c>
    </row>
    <row r="868" spans="1:44" x14ac:dyDescent="0.2">
      <c r="A868" s="20">
        <v>867</v>
      </c>
      <c r="B868" s="21" t="str">
        <f>_xlfn.CONCAT("ORD-",INDEX(Helper!$B$2:$B$5,MATCH(cadangan[[#This Row],[Marketplace]],Helper!$A$2:$A$5,0)),TEXT(cadangan[[#This Row],[No]],"0000"),"-",TEXT(cadangan[[#This Row],[Tanggal terjual]],"dd/mm/yy"))</f>
        <v>ORD-TK0867-03/04/23</v>
      </c>
      <c r="C868" s="39" t="s">
        <v>62</v>
      </c>
      <c r="D868" s="39" t="str">
        <f>IFERROR(INDEX(Katalog!$A$3:$A$12,MATCH(cadangan[[#This Row],[ItemID A]],Katalog!$C$3:$C$12,0)),"-")</f>
        <v>Pakaian Pria</v>
      </c>
      <c r="E868" s="39" t="str">
        <f>IFERROR(INDEX(Katalog!$B$3:$B$12,MATCH(cadangan[[#This Row],[ItemID A]],Katalog!$C$3:$C$12,0)),"-")</f>
        <v>Celana Pendek</v>
      </c>
      <c r="F868" s="50">
        <v>1</v>
      </c>
      <c r="G868" s="50">
        <v>5</v>
      </c>
      <c r="H868" s="73">
        <f>IFERROR(INDEX(Katalog!$D$3:$D$12,MATCH(cadangan[[#This Row],[ItemID A]],Katalog!$C$3:$C$12,0))*cadangan[[#This Row],[Qty A]],0)</f>
        <v>180000</v>
      </c>
      <c r="I868" s="73">
        <f>IFERROR(cadangan[[#This Row],[Harga Normal A]]-(cadangan[[#This Row],[Harga Normal A]]*cadangan[[#This Row],[Diskon]]),cadangan[[#This Row],[Harga Normal A]])</f>
        <v>162000</v>
      </c>
      <c r="J868" s="73">
        <f>INDEX(Katalog!$F$3:$F$12,MATCH(cadangan[[#This Row],[ItemID A]],Katalog!$C$3:$C$12,0))*cadangan[[#This Row],[Qty A]]</f>
        <v>70000</v>
      </c>
      <c r="K868" s="73">
        <f>IFERROR(cadangan[[#This Row],[Harga Diskon A]]-INDEX(Katalog!$E$3:$E$12,MATCH(cadangan[[#This Row],[ItemID A]],Katalog!$C$3:$C$12,0))*cadangan[[#This Row],[Qty A]],0)</f>
        <v>52000</v>
      </c>
      <c r="M868" s="39" t="str">
        <f>IFERROR(INDEX(Katalog!$A$3:$A$12,MATCH(cadangan[[#This Row],[ItemID B]],Katalog!$C$3:$C$12,0)),"-")</f>
        <v>-</v>
      </c>
      <c r="N868" s="39" t="str">
        <f>IFERROR(INDEX(Katalog!$B$3:$B$12,MATCH(cadangan[[#This Row],[ItemID B]],Katalog!$C$3:$C$12,0)),"-")</f>
        <v>-</v>
      </c>
      <c r="Q868" s="73">
        <f>IFERROR(INDEX(Katalog!$D$3:$D$12,MATCH(cadangan[[#This Row],[ItemID B]],Katalog!$C$3:$C$12,0))*cadangan[[#This Row],[Qty B]],0)</f>
        <v>0</v>
      </c>
      <c r="R868" s="73">
        <f>IFERROR(cadangan[[#This Row],[Harga Normal B]]-(cadangan[[#This Row],[Harga Normal B]]*cadangan[[#This Row],[Diskon]]),cadangan[[#This Row],[Harga Normal B]])</f>
        <v>0</v>
      </c>
      <c r="S868" s="73">
        <f>IFERROR(INDEX(Katalog!$F$3:$F$12,MATCH(cadangan[[#This Row],[ItemID B]],Katalog!$C$3:$C$12,0))*cadangan[[#This Row],[Qty B]],0)</f>
        <v>0</v>
      </c>
      <c r="T868" s="73">
        <f>IFERROR(cadangan[[#This Row],[Harga Diskon B]]-INDEX(Katalog!$E$3:$E$12,MATCH(cadangan[[#This Row],[ItemID B]],Katalog!$C$3:$C$12,0))*cadangan[[#This Row],[Qty B]],0)</f>
        <v>0</v>
      </c>
      <c r="V868" s="39" t="str">
        <f>IFERROR(INDEX(Katalog!$A$3:$A$12,MATCH(cadangan[[#This Row],[ItemID C]],Katalog!$C$3:$C$12,0)),"-")</f>
        <v>-</v>
      </c>
      <c r="W868" s="39" t="str">
        <f>IFERROR(INDEX(Katalog!$B$3:$B$12,MATCH(cadangan[[#This Row],[ItemID C]],Katalog!$C$3:$C$12,0)),"-")</f>
        <v>-</v>
      </c>
      <c r="Z868" s="73">
        <f>IFERROR(INDEX(Katalog!$D$3:$D$12,MATCH(cadangan[[#This Row],[ItemID C]],Katalog!$C$3:$C$12,0))*cadangan[[#This Row],[Qty C]],0)</f>
        <v>0</v>
      </c>
      <c r="AA868" s="73">
        <f>IFERROR(cadangan[[#This Row],[Harga Normal C]]-(cadangan[[#This Row],[Harga Normal C]]*cadangan[[#This Row],[Diskon]]),cadangan[[#This Row],[Harga Normal C]])</f>
        <v>0</v>
      </c>
      <c r="AB868" s="73">
        <f>IFERROR(INDEX(Katalog!$F$3:$F$12,MATCH(cadangan[[#This Row],[ItemID C]],Katalog!$C$3:$C$12,0))*cadangan[[#This Row],[Qty C]],0)</f>
        <v>0</v>
      </c>
      <c r="AC868" s="73">
        <f>IFERROR(cadangan[[#This Row],[Harga Diskon C]]-INDEX(Katalog!$E$3:$E$12,MATCH(cadangan[[#This Row],[ItemID C]],Katalog!$C$3:$C$12,0))*cadangan[[#This Row],[Qty C]],0)</f>
        <v>0</v>
      </c>
      <c r="AD868" s="53">
        <f>cadangan[[#This Row],[Qty A]]+cadangan[[#This Row],[Qty B]]+cadangan[[#This Row],[Qty C]]</f>
        <v>1</v>
      </c>
      <c r="AE868" s="73">
        <f>cadangan[[#This Row],[Harga Normal A]]+cadangan[[#This Row],[Harga Normal B]]+cadangan[[#This Row],[Harga Normal C]]</f>
        <v>180000</v>
      </c>
      <c r="AF868" s="73">
        <f>cadangan[[#This Row],[Harga Diskon A]]+cadangan[[#This Row],[Harga Diskon B]]+cadangan[[#This Row],[Harga Diskon C]]</f>
        <v>162000</v>
      </c>
      <c r="AG868" s="73">
        <f>(cadangan[[#This Row],[Profit Normal A]]+cadangan[[#This Row],[Profit Normal B]]+cadangan[[#This Row],[Profit Normal C]])</f>
        <v>70000</v>
      </c>
      <c r="AH868" s="73">
        <f>cadangan[[#This Row],[Profit Diskon A]]+cadangan[[#This Row],[Profit Diskon B]]+cadangan[[#This Row],[Profit Diskon C]]</f>
        <v>52000</v>
      </c>
      <c r="AI868" s="23" t="s">
        <v>30</v>
      </c>
      <c r="AJ868" s="37">
        <f>IFERROR(INDEX('Kode Diskon'!$D$3:$D$9,MATCH(cadangan[[#This Row],[Kode diskon]],'Kode Diskon'!$C$3:$C$9,0)),"-")</f>
        <v>0.1</v>
      </c>
      <c r="AK868" s="23" t="s">
        <v>29</v>
      </c>
      <c r="AL868" s="23" t="s">
        <v>10</v>
      </c>
      <c r="AM868" s="23" t="s">
        <v>78</v>
      </c>
      <c r="AN868" s="55">
        <v>45019</v>
      </c>
      <c r="AO868" s="53">
        <f>DAY(cadangan[[#This Row],[Tanggal terjual]])</f>
        <v>3</v>
      </c>
      <c r="AP868" s="21" t="str">
        <f>TEXT(cadangan[[#This Row],[Tanggal terjual]],"dddd")</f>
        <v>Monday</v>
      </c>
      <c r="AQ868" s="23" t="str" cm="1">
        <f t="array" ref="AQ8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68" s="61">
        <f>AVERAGE(cadangan[[#This Row],[Rating A]],cadangan[[#This Row],[Rating B]],cadangan[[#This Row],[Rating C]])</f>
        <v>5</v>
      </c>
    </row>
    <row r="869" spans="1:44" x14ac:dyDescent="0.2">
      <c r="A869" s="20">
        <v>868</v>
      </c>
      <c r="B869" s="21" t="str">
        <f>_xlfn.CONCAT("ORD-",INDEX(Helper!$B$2:$B$5,MATCH(cadangan[[#This Row],[Marketplace]],Helper!$A$2:$A$5,0)),TEXT(cadangan[[#This Row],[No]],"0000"),"-",TEXT(cadangan[[#This Row],[Tanggal terjual]],"dd/mm/yy"))</f>
        <v>ORD-BL0868-08/04/23</v>
      </c>
      <c r="C869" s="39" t="s">
        <v>66</v>
      </c>
      <c r="D869" s="39" t="str">
        <f>IFERROR(INDEX(Katalog!$A$3:$A$12,MATCH(cadangan[[#This Row],[ItemID A]],Katalog!$C$3:$C$12,0)),"-")</f>
        <v>Sepatu Pria</v>
      </c>
      <c r="E869" s="39" t="str">
        <f>IFERROR(INDEX(Katalog!$B$3:$B$12,MATCH(cadangan[[#This Row],[ItemID A]],Katalog!$C$3:$C$12,0)),"-")</f>
        <v>Sandal Slip On</v>
      </c>
      <c r="F869" s="50">
        <v>6</v>
      </c>
      <c r="G869" s="50">
        <v>3</v>
      </c>
      <c r="H869" s="73">
        <f>IFERROR(INDEX(Katalog!$D$3:$D$12,MATCH(cadangan[[#This Row],[ItemID A]],Katalog!$C$3:$C$12,0))*cadangan[[#This Row],[Qty A]],0)</f>
        <v>900000</v>
      </c>
      <c r="I869" s="73">
        <f>IFERROR(cadangan[[#This Row],[Harga Normal A]]-(cadangan[[#This Row],[Harga Normal A]]*cadangan[[#This Row],[Diskon]]),cadangan[[#This Row],[Harga Normal A]])</f>
        <v>900000</v>
      </c>
      <c r="J869" s="73">
        <f>INDEX(Katalog!$F$3:$F$12,MATCH(cadangan[[#This Row],[ItemID A]],Katalog!$C$3:$C$12,0))*cadangan[[#This Row],[Qty A]]</f>
        <v>360000</v>
      </c>
      <c r="K869" s="73">
        <f>IFERROR(cadangan[[#This Row],[Harga Diskon A]]-INDEX(Katalog!$E$3:$E$12,MATCH(cadangan[[#This Row],[ItemID A]],Katalog!$C$3:$C$12,0))*cadangan[[#This Row],[Qty A]],0)</f>
        <v>360000</v>
      </c>
      <c r="L869" s="39" t="s">
        <v>59</v>
      </c>
      <c r="M869" s="39" t="str">
        <f>IFERROR(INDEX(Katalog!$A$3:$A$12,MATCH(cadangan[[#This Row],[ItemID B]],Katalog!$C$3:$C$12,0)),"-")</f>
        <v>Pakaian Wanita</v>
      </c>
      <c r="N869" s="39" t="str">
        <f>IFERROR(INDEX(Katalog!$B$3:$B$12,MATCH(cadangan[[#This Row],[ItemID B]],Katalog!$C$3:$C$12,0)),"-")</f>
        <v>Blouse</v>
      </c>
      <c r="O869" s="50">
        <v>1</v>
      </c>
      <c r="P869" s="50">
        <v>4</v>
      </c>
      <c r="Q869" s="73">
        <f>IFERROR(INDEX(Katalog!$D$3:$D$12,MATCH(cadangan[[#This Row],[ItemID B]],Katalog!$C$3:$C$12,0))*cadangan[[#This Row],[Qty B]],0)</f>
        <v>150000</v>
      </c>
      <c r="R869" s="73">
        <f>IFERROR(cadangan[[#This Row],[Harga Normal B]]-(cadangan[[#This Row],[Harga Normal B]]*cadangan[[#This Row],[Diskon]]),cadangan[[#This Row],[Harga Normal B]])</f>
        <v>150000</v>
      </c>
      <c r="S869" s="73">
        <f>IFERROR(INDEX(Katalog!$F$3:$F$12,MATCH(cadangan[[#This Row],[ItemID B]],Katalog!$C$3:$C$12,0))*cadangan[[#This Row],[Qty B]],0)</f>
        <v>50000</v>
      </c>
      <c r="T869" s="73">
        <f>IFERROR(cadangan[[#This Row],[Harga Diskon B]]-INDEX(Katalog!$E$3:$E$12,MATCH(cadangan[[#This Row],[ItemID B]],Katalog!$C$3:$C$12,0))*cadangan[[#This Row],[Qty B]],0)</f>
        <v>50000</v>
      </c>
      <c r="V869" s="39" t="str">
        <f>IFERROR(INDEX(Katalog!$A$3:$A$12,MATCH(cadangan[[#This Row],[ItemID C]],Katalog!$C$3:$C$12,0)),"-")</f>
        <v>-</v>
      </c>
      <c r="W869" s="39" t="str">
        <f>IFERROR(INDEX(Katalog!$B$3:$B$12,MATCH(cadangan[[#This Row],[ItemID C]],Katalog!$C$3:$C$12,0)),"-")</f>
        <v>-</v>
      </c>
      <c r="Z869" s="73">
        <f>IFERROR(INDEX(Katalog!$D$3:$D$12,MATCH(cadangan[[#This Row],[ItemID C]],Katalog!$C$3:$C$12,0))*cadangan[[#This Row],[Qty C]],0)</f>
        <v>0</v>
      </c>
      <c r="AA869" s="73">
        <f>IFERROR(cadangan[[#This Row],[Harga Normal C]]-(cadangan[[#This Row],[Harga Normal C]]*cadangan[[#This Row],[Diskon]]),cadangan[[#This Row],[Harga Normal C]])</f>
        <v>0</v>
      </c>
      <c r="AB869" s="73">
        <f>IFERROR(INDEX(Katalog!$F$3:$F$12,MATCH(cadangan[[#This Row],[ItemID C]],Katalog!$C$3:$C$12,0))*cadangan[[#This Row],[Qty C]],0)</f>
        <v>0</v>
      </c>
      <c r="AC869" s="73">
        <f>IFERROR(cadangan[[#This Row],[Harga Diskon C]]-INDEX(Katalog!$E$3:$E$12,MATCH(cadangan[[#This Row],[ItemID C]],Katalog!$C$3:$C$12,0))*cadangan[[#This Row],[Qty C]],0)</f>
        <v>0</v>
      </c>
      <c r="AD869" s="53">
        <f>cadangan[[#This Row],[Qty A]]+cadangan[[#This Row],[Qty B]]+cadangan[[#This Row],[Qty C]]</f>
        <v>7</v>
      </c>
      <c r="AE869" s="73">
        <f>cadangan[[#This Row],[Harga Normal A]]+cadangan[[#This Row],[Harga Normal B]]+cadangan[[#This Row],[Harga Normal C]]</f>
        <v>1050000</v>
      </c>
      <c r="AF869" s="73">
        <f>cadangan[[#This Row],[Harga Diskon A]]+cadangan[[#This Row],[Harga Diskon B]]+cadangan[[#This Row],[Harga Diskon C]]</f>
        <v>1050000</v>
      </c>
      <c r="AG869" s="73">
        <f>(cadangan[[#This Row],[Profit Normal A]]+cadangan[[#This Row],[Profit Normal B]]+cadangan[[#This Row],[Profit Normal C]])</f>
        <v>410000</v>
      </c>
      <c r="AH869" s="73">
        <f>cadangan[[#This Row],[Profit Diskon A]]+cadangan[[#This Row],[Profit Diskon B]]+cadangan[[#This Row],[Profit Diskon C]]</f>
        <v>410000</v>
      </c>
      <c r="AI869" s="23" t="s">
        <v>290</v>
      </c>
      <c r="AJ869" s="37" t="str">
        <f>IFERROR(INDEX('Kode Diskon'!$D$3:$D$9,MATCH(cadangan[[#This Row],[Kode diskon]],'Kode Diskon'!$C$3:$C$9,0)),"-")</f>
        <v>-</v>
      </c>
      <c r="AK869" s="23" t="s">
        <v>290</v>
      </c>
      <c r="AL869" s="23" t="s">
        <v>12</v>
      </c>
      <c r="AM869" s="23" t="s">
        <v>75</v>
      </c>
      <c r="AN869" s="55">
        <v>45024</v>
      </c>
      <c r="AO869" s="53">
        <f>DAY(cadangan[[#This Row],[Tanggal terjual]])</f>
        <v>8</v>
      </c>
      <c r="AP869" s="21" t="str">
        <f>TEXT(cadangan[[#This Row],[Tanggal terjual]],"dddd")</f>
        <v>Saturday</v>
      </c>
      <c r="AQ869" s="23" t="str" cm="1">
        <f t="array" ref="AQ8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69" s="61">
        <f>AVERAGE(cadangan[[#This Row],[Rating A]],cadangan[[#This Row],[Rating B]],cadangan[[#This Row],[Rating C]])</f>
        <v>3.5</v>
      </c>
    </row>
    <row r="870" spans="1:44" x14ac:dyDescent="0.2">
      <c r="A870" s="20">
        <v>869</v>
      </c>
      <c r="B870" s="21" t="str">
        <f>_xlfn.CONCAT("ORD-",INDEX(Helper!$B$2:$B$5,MATCH(cadangan[[#This Row],[Marketplace]],Helper!$A$2:$A$5,0)),TEXT(cadangan[[#This Row],[No]],"0000"),"-",TEXT(cadangan[[#This Row],[Tanggal terjual]],"dd/mm/yy"))</f>
        <v>ORD-BL0869-19/04/23</v>
      </c>
      <c r="C870" s="39" t="s">
        <v>67</v>
      </c>
      <c r="D870" s="39" t="str">
        <f>IFERROR(INDEX(Katalog!$A$3:$A$12,MATCH(cadangan[[#This Row],[ItemID A]],Katalog!$C$3:$C$12,0)),"-")</f>
        <v>Sepatu Wanita</v>
      </c>
      <c r="E870" s="39" t="str">
        <f>IFERROR(INDEX(Katalog!$B$3:$B$12,MATCH(cadangan[[#This Row],[ItemID A]],Katalog!$C$3:$C$12,0)),"-")</f>
        <v>Flat Shoes</v>
      </c>
      <c r="F870" s="50">
        <v>4</v>
      </c>
      <c r="G870" s="50">
        <v>1</v>
      </c>
      <c r="H870" s="73">
        <f>IFERROR(INDEX(Katalog!$D$3:$D$12,MATCH(cadangan[[#This Row],[ItemID A]],Katalog!$C$3:$C$12,0))*cadangan[[#This Row],[Qty A]],0)</f>
        <v>1000000</v>
      </c>
      <c r="I870" s="73">
        <f>IFERROR(cadangan[[#This Row],[Harga Normal A]]-(cadangan[[#This Row],[Harga Normal A]]*cadangan[[#This Row],[Diskon]]),cadangan[[#This Row],[Harga Normal A]])</f>
        <v>850000</v>
      </c>
      <c r="J870" s="73">
        <f>INDEX(Katalog!$F$3:$F$12,MATCH(cadangan[[#This Row],[ItemID A]],Katalog!$C$3:$C$12,0))*cadangan[[#This Row],[Qty A]]</f>
        <v>400000</v>
      </c>
      <c r="K870" s="73">
        <f>IFERROR(cadangan[[#This Row],[Harga Diskon A]]-INDEX(Katalog!$E$3:$E$12,MATCH(cadangan[[#This Row],[ItemID A]],Katalog!$C$3:$C$12,0))*cadangan[[#This Row],[Qty A]],0)</f>
        <v>250000</v>
      </c>
      <c r="M870" s="39" t="str">
        <f>IFERROR(INDEX(Katalog!$A$3:$A$12,MATCH(cadangan[[#This Row],[ItemID B]],Katalog!$C$3:$C$12,0)),"-")</f>
        <v>-</v>
      </c>
      <c r="N870" s="39" t="str">
        <f>IFERROR(INDEX(Katalog!$B$3:$B$12,MATCH(cadangan[[#This Row],[ItemID B]],Katalog!$C$3:$C$12,0)),"-")</f>
        <v>-</v>
      </c>
      <c r="Q870" s="73">
        <f>IFERROR(INDEX(Katalog!$D$3:$D$12,MATCH(cadangan[[#This Row],[ItemID B]],Katalog!$C$3:$C$12,0))*cadangan[[#This Row],[Qty B]],0)</f>
        <v>0</v>
      </c>
      <c r="R870" s="73">
        <f>IFERROR(cadangan[[#This Row],[Harga Normal B]]-(cadangan[[#This Row],[Harga Normal B]]*cadangan[[#This Row],[Diskon]]),cadangan[[#This Row],[Harga Normal B]])</f>
        <v>0</v>
      </c>
      <c r="S870" s="73">
        <f>IFERROR(INDEX(Katalog!$F$3:$F$12,MATCH(cadangan[[#This Row],[ItemID B]],Katalog!$C$3:$C$12,0))*cadangan[[#This Row],[Qty B]],0)</f>
        <v>0</v>
      </c>
      <c r="T870" s="73">
        <f>IFERROR(cadangan[[#This Row],[Harga Diskon B]]-INDEX(Katalog!$E$3:$E$12,MATCH(cadangan[[#This Row],[ItemID B]],Katalog!$C$3:$C$12,0))*cadangan[[#This Row],[Qty B]],0)</f>
        <v>0</v>
      </c>
      <c r="V870" s="39" t="str">
        <f>IFERROR(INDEX(Katalog!$A$3:$A$12,MATCH(cadangan[[#This Row],[ItemID C]],Katalog!$C$3:$C$12,0)),"-")</f>
        <v>-</v>
      </c>
      <c r="W870" s="39" t="str">
        <f>IFERROR(INDEX(Katalog!$B$3:$B$12,MATCH(cadangan[[#This Row],[ItemID C]],Katalog!$C$3:$C$12,0)),"-")</f>
        <v>-</v>
      </c>
      <c r="Z870" s="73">
        <f>IFERROR(INDEX(Katalog!$D$3:$D$12,MATCH(cadangan[[#This Row],[ItemID C]],Katalog!$C$3:$C$12,0))*cadangan[[#This Row],[Qty C]],0)</f>
        <v>0</v>
      </c>
      <c r="AA870" s="73">
        <f>IFERROR(cadangan[[#This Row],[Harga Normal C]]-(cadangan[[#This Row],[Harga Normal C]]*cadangan[[#This Row],[Diskon]]),cadangan[[#This Row],[Harga Normal C]])</f>
        <v>0</v>
      </c>
      <c r="AB870" s="73">
        <f>IFERROR(INDEX(Katalog!$F$3:$F$12,MATCH(cadangan[[#This Row],[ItemID C]],Katalog!$C$3:$C$12,0))*cadangan[[#This Row],[Qty C]],0)</f>
        <v>0</v>
      </c>
      <c r="AC870" s="73">
        <f>IFERROR(cadangan[[#This Row],[Harga Diskon C]]-INDEX(Katalog!$E$3:$E$12,MATCH(cadangan[[#This Row],[ItemID C]],Katalog!$C$3:$C$12,0))*cadangan[[#This Row],[Qty C]],0)</f>
        <v>0</v>
      </c>
      <c r="AD870" s="53">
        <f>cadangan[[#This Row],[Qty A]]+cadangan[[#This Row],[Qty B]]+cadangan[[#This Row],[Qty C]]</f>
        <v>4</v>
      </c>
      <c r="AE870" s="73">
        <f>cadangan[[#This Row],[Harga Normal A]]+cadangan[[#This Row],[Harga Normal B]]+cadangan[[#This Row],[Harga Normal C]]</f>
        <v>1000000</v>
      </c>
      <c r="AF870" s="73">
        <f>cadangan[[#This Row],[Harga Diskon A]]+cadangan[[#This Row],[Harga Diskon B]]+cadangan[[#This Row],[Harga Diskon C]]</f>
        <v>850000</v>
      </c>
      <c r="AG870" s="73">
        <f>(cadangan[[#This Row],[Profit Normal A]]+cadangan[[#This Row],[Profit Normal B]]+cadangan[[#This Row],[Profit Normal C]])</f>
        <v>400000</v>
      </c>
      <c r="AH870" s="73">
        <f>cadangan[[#This Row],[Profit Diskon A]]+cadangan[[#This Row],[Profit Diskon B]]+cadangan[[#This Row],[Profit Diskon C]]</f>
        <v>250000</v>
      </c>
      <c r="AI870" s="23" t="s">
        <v>32</v>
      </c>
      <c r="AJ870" s="37">
        <f>IFERROR(INDEX('Kode Diskon'!$D$3:$D$9,MATCH(cadangan[[#This Row],[Kode diskon]],'Kode Diskon'!$C$3:$C$9,0)),"-")</f>
        <v>0.15</v>
      </c>
      <c r="AK870" s="23" t="s">
        <v>9</v>
      </c>
      <c r="AL870" s="23" t="s">
        <v>12</v>
      </c>
      <c r="AM870" s="23" t="s">
        <v>78</v>
      </c>
      <c r="AN870" s="55">
        <v>45035</v>
      </c>
      <c r="AO870" s="53">
        <f>DAY(cadangan[[#This Row],[Tanggal terjual]])</f>
        <v>19</v>
      </c>
      <c r="AP870" s="21" t="str">
        <f>TEXT(cadangan[[#This Row],[Tanggal terjual]],"dddd")</f>
        <v>Wednesday</v>
      </c>
      <c r="AQ870" s="23" t="str" cm="1">
        <f t="array" ref="AQ8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70" s="61">
        <f>AVERAGE(cadangan[[#This Row],[Rating A]],cadangan[[#This Row],[Rating B]],cadangan[[#This Row],[Rating C]])</f>
        <v>1</v>
      </c>
    </row>
    <row r="871" spans="1:44" x14ac:dyDescent="0.2">
      <c r="A871" s="20">
        <v>870</v>
      </c>
      <c r="B871" s="21" t="str">
        <f>_xlfn.CONCAT("ORD-",INDEX(Helper!$B$2:$B$5,MATCH(cadangan[[#This Row],[Marketplace]],Helper!$A$2:$A$5,0)),TEXT(cadangan[[#This Row],[No]],"0000"),"-",TEXT(cadangan[[#This Row],[Tanggal terjual]],"dd/mm/yy"))</f>
        <v>ORD-TK0870-08/04/23</v>
      </c>
      <c r="C871" s="39" t="s">
        <v>58</v>
      </c>
      <c r="D871" s="39" t="str">
        <f>IFERROR(INDEX(Katalog!$A$3:$A$12,MATCH(cadangan[[#This Row],[ItemID A]],Katalog!$C$3:$C$12,0)),"-")</f>
        <v>Pakaian Wanita</v>
      </c>
      <c r="E871" s="39" t="str">
        <f>IFERROR(INDEX(Katalog!$B$3:$B$12,MATCH(cadangan[[#This Row],[ItemID A]],Katalog!$C$3:$C$12,0)),"-")</f>
        <v>Dress</v>
      </c>
      <c r="F871" s="50">
        <v>1</v>
      </c>
      <c r="G871" s="50">
        <v>2</v>
      </c>
      <c r="H871" s="73">
        <f>IFERROR(INDEX(Katalog!$D$3:$D$12,MATCH(cadangan[[#This Row],[ItemID A]],Katalog!$C$3:$C$12,0))*cadangan[[#This Row],[Qty A]],0)</f>
        <v>300000</v>
      </c>
      <c r="I871" s="73">
        <f>IFERROR(cadangan[[#This Row],[Harga Normal A]]-(cadangan[[#This Row],[Harga Normal A]]*cadangan[[#This Row],[Diskon]]),cadangan[[#This Row],[Harga Normal A]])</f>
        <v>300000</v>
      </c>
      <c r="J871" s="73">
        <f>INDEX(Katalog!$F$3:$F$12,MATCH(cadangan[[#This Row],[ItemID A]],Katalog!$C$3:$C$12,0))*cadangan[[#This Row],[Qty A]]</f>
        <v>100000</v>
      </c>
      <c r="K871" s="73">
        <f>IFERROR(cadangan[[#This Row],[Harga Diskon A]]-INDEX(Katalog!$E$3:$E$12,MATCH(cadangan[[#This Row],[ItemID A]],Katalog!$C$3:$C$12,0))*cadangan[[#This Row],[Qty A]],0)</f>
        <v>100000</v>
      </c>
      <c r="L871" s="39" t="s">
        <v>64</v>
      </c>
      <c r="M871" s="39" t="str">
        <f>IFERROR(INDEX(Katalog!$A$3:$A$12,MATCH(cadangan[[#This Row],[ItemID B]],Katalog!$C$3:$C$12,0)),"-")</f>
        <v>Pakaian Unisex</v>
      </c>
      <c r="N871" s="39" t="str">
        <f>IFERROR(INDEX(Katalog!$B$3:$B$12,MATCH(cadangan[[#This Row],[ItemID B]],Katalog!$C$3:$C$12,0)),"-")</f>
        <v>Jaket Hoodie</v>
      </c>
      <c r="O871" s="50">
        <v>1</v>
      </c>
      <c r="P871" s="50">
        <v>5</v>
      </c>
      <c r="Q871" s="73">
        <f>IFERROR(INDEX(Katalog!$D$3:$D$12,MATCH(cadangan[[#This Row],[ItemID B]],Katalog!$C$3:$C$12,0))*cadangan[[#This Row],[Qty B]],0)</f>
        <v>350000</v>
      </c>
      <c r="R871" s="73">
        <f>IFERROR(cadangan[[#This Row],[Harga Normal B]]-(cadangan[[#This Row],[Harga Normal B]]*cadangan[[#This Row],[Diskon]]),cadangan[[#This Row],[Harga Normal B]])</f>
        <v>350000</v>
      </c>
      <c r="S871" s="73">
        <f>IFERROR(INDEX(Katalog!$F$3:$F$12,MATCH(cadangan[[#This Row],[ItemID B]],Katalog!$C$3:$C$12,0))*cadangan[[#This Row],[Qty B]],0)</f>
        <v>130000</v>
      </c>
      <c r="T871" s="73">
        <f>IFERROR(cadangan[[#This Row],[Harga Diskon B]]-INDEX(Katalog!$E$3:$E$12,MATCH(cadangan[[#This Row],[ItemID B]],Katalog!$C$3:$C$12,0))*cadangan[[#This Row],[Qty B]],0)</f>
        <v>130000</v>
      </c>
      <c r="V871" s="39" t="str">
        <f>IFERROR(INDEX(Katalog!$A$3:$A$12,MATCH(cadangan[[#This Row],[ItemID C]],Katalog!$C$3:$C$12,0)),"-")</f>
        <v>-</v>
      </c>
      <c r="W871" s="39" t="str">
        <f>IFERROR(INDEX(Katalog!$B$3:$B$12,MATCH(cadangan[[#This Row],[ItemID C]],Katalog!$C$3:$C$12,0)),"-")</f>
        <v>-</v>
      </c>
      <c r="Z871" s="73">
        <f>IFERROR(INDEX(Katalog!$D$3:$D$12,MATCH(cadangan[[#This Row],[ItemID C]],Katalog!$C$3:$C$12,0))*cadangan[[#This Row],[Qty C]],0)</f>
        <v>0</v>
      </c>
      <c r="AA871" s="73">
        <f>IFERROR(cadangan[[#This Row],[Harga Normal C]]-(cadangan[[#This Row],[Harga Normal C]]*cadangan[[#This Row],[Diskon]]),cadangan[[#This Row],[Harga Normal C]])</f>
        <v>0</v>
      </c>
      <c r="AB871" s="73">
        <f>IFERROR(INDEX(Katalog!$F$3:$F$12,MATCH(cadangan[[#This Row],[ItemID C]],Katalog!$C$3:$C$12,0))*cadangan[[#This Row],[Qty C]],0)</f>
        <v>0</v>
      </c>
      <c r="AC871" s="73">
        <f>IFERROR(cadangan[[#This Row],[Harga Diskon C]]-INDEX(Katalog!$E$3:$E$12,MATCH(cadangan[[#This Row],[ItemID C]],Katalog!$C$3:$C$12,0))*cadangan[[#This Row],[Qty C]],0)</f>
        <v>0</v>
      </c>
      <c r="AD871" s="53">
        <f>cadangan[[#This Row],[Qty A]]+cadangan[[#This Row],[Qty B]]+cadangan[[#This Row],[Qty C]]</f>
        <v>2</v>
      </c>
      <c r="AE871" s="73">
        <f>cadangan[[#This Row],[Harga Normal A]]+cadangan[[#This Row],[Harga Normal B]]+cadangan[[#This Row],[Harga Normal C]]</f>
        <v>650000</v>
      </c>
      <c r="AF871" s="73">
        <f>cadangan[[#This Row],[Harga Diskon A]]+cadangan[[#This Row],[Harga Diskon B]]+cadangan[[#This Row],[Harga Diskon C]]</f>
        <v>650000</v>
      </c>
      <c r="AG871" s="73">
        <f>(cadangan[[#This Row],[Profit Normal A]]+cadangan[[#This Row],[Profit Normal B]]+cadangan[[#This Row],[Profit Normal C]])</f>
        <v>230000</v>
      </c>
      <c r="AH871" s="73">
        <f>cadangan[[#This Row],[Profit Diskon A]]+cadangan[[#This Row],[Profit Diskon B]]+cadangan[[#This Row],[Profit Diskon C]]</f>
        <v>230000</v>
      </c>
      <c r="AI871" s="23" t="s">
        <v>290</v>
      </c>
      <c r="AJ871" s="37" t="str">
        <f>IFERROR(INDEX('Kode Diskon'!$D$3:$D$9,MATCH(cadangan[[#This Row],[Kode diskon]],'Kode Diskon'!$C$3:$C$9,0)),"-")</f>
        <v>-</v>
      </c>
      <c r="AK871" s="23" t="s">
        <v>290</v>
      </c>
      <c r="AL871" s="23" t="s">
        <v>10</v>
      </c>
      <c r="AM871" s="23" t="s">
        <v>80</v>
      </c>
      <c r="AN871" s="55">
        <v>45024</v>
      </c>
      <c r="AO871" s="53">
        <f>DAY(cadangan[[#This Row],[Tanggal terjual]])</f>
        <v>8</v>
      </c>
      <c r="AP871" s="21" t="str">
        <f>TEXT(cadangan[[#This Row],[Tanggal terjual]],"dddd")</f>
        <v>Saturday</v>
      </c>
      <c r="AQ871" s="23" t="str" cm="1">
        <f t="array" ref="AQ8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71" s="61">
        <f>AVERAGE(cadangan[[#This Row],[Rating A]],cadangan[[#This Row],[Rating B]],cadangan[[#This Row],[Rating C]])</f>
        <v>3.5</v>
      </c>
    </row>
    <row r="872" spans="1:44" x14ac:dyDescent="0.2">
      <c r="A872" s="20">
        <v>871</v>
      </c>
      <c r="B872" s="21" t="str">
        <f>_xlfn.CONCAT("ORD-",INDEX(Helper!$B$2:$B$5,MATCH(cadangan[[#This Row],[Marketplace]],Helper!$A$2:$A$5,0)),TEXT(cadangan[[#This Row],[No]],"0000"),"-",TEXT(cadangan[[#This Row],[Tanggal terjual]],"dd/mm/yy"))</f>
        <v>ORD-BL0871-23/04/23</v>
      </c>
      <c r="C872" s="39" t="s">
        <v>63</v>
      </c>
      <c r="D872" s="39" t="str">
        <f>IFERROR(INDEX(Katalog!$A$3:$A$12,MATCH(cadangan[[#This Row],[ItemID A]],Katalog!$C$3:$C$12,0)),"-")</f>
        <v>Pakaian Pria</v>
      </c>
      <c r="E872" s="39" t="str">
        <f>IFERROR(INDEX(Katalog!$B$3:$B$12,MATCH(cadangan[[#This Row],[ItemID A]],Katalog!$C$3:$C$12,0)),"-")</f>
        <v>Jaket Jeans</v>
      </c>
      <c r="F872" s="50">
        <v>3</v>
      </c>
      <c r="G872" s="50">
        <v>1</v>
      </c>
      <c r="H872" s="73">
        <f>IFERROR(INDEX(Katalog!$D$3:$D$12,MATCH(cadangan[[#This Row],[ItemID A]],Katalog!$C$3:$C$12,0))*cadangan[[#This Row],[Qty A]],0)</f>
        <v>1200000</v>
      </c>
      <c r="I872" s="73">
        <f>IFERROR(cadangan[[#This Row],[Harga Normal A]]-(cadangan[[#This Row],[Harga Normal A]]*cadangan[[#This Row],[Diskon]]),cadangan[[#This Row],[Harga Normal A]])</f>
        <v>1020000</v>
      </c>
      <c r="J872" s="73">
        <f>INDEX(Katalog!$F$3:$F$12,MATCH(cadangan[[#This Row],[ItemID A]],Katalog!$C$3:$C$12,0))*cadangan[[#This Row],[Qty A]]</f>
        <v>450000</v>
      </c>
      <c r="K872" s="73">
        <f>IFERROR(cadangan[[#This Row],[Harga Diskon A]]-INDEX(Katalog!$E$3:$E$12,MATCH(cadangan[[#This Row],[ItemID A]],Katalog!$C$3:$C$12,0))*cadangan[[#This Row],[Qty A]],0)</f>
        <v>270000</v>
      </c>
      <c r="M872" s="39" t="str">
        <f>IFERROR(INDEX(Katalog!$A$3:$A$12,MATCH(cadangan[[#This Row],[ItemID B]],Katalog!$C$3:$C$12,0)),"-")</f>
        <v>-</v>
      </c>
      <c r="N872" s="39" t="str">
        <f>IFERROR(INDEX(Katalog!$B$3:$B$12,MATCH(cadangan[[#This Row],[ItemID B]],Katalog!$C$3:$C$12,0)),"-")</f>
        <v>-</v>
      </c>
      <c r="Q872" s="73">
        <f>IFERROR(INDEX(Katalog!$D$3:$D$12,MATCH(cadangan[[#This Row],[ItemID B]],Katalog!$C$3:$C$12,0))*cadangan[[#This Row],[Qty B]],0)</f>
        <v>0</v>
      </c>
      <c r="R872" s="73">
        <f>IFERROR(cadangan[[#This Row],[Harga Normal B]]-(cadangan[[#This Row],[Harga Normal B]]*cadangan[[#This Row],[Diskon]]),cadangan[[#This Row],[Harga Normal B]])</f>
        <v>0</v>
      </c>
      <c r="S872" s="73">
        <f>IFERROR(INDEX(Katalog!$F$3:$F$12,MATCH(cadangan[[#This Row],[ItemID B]],Katalog!$C$3:$C$12,0))*cadangan[[#This Row],[Qty B]],0)</f>
        <v>0</v>
      </c>
      <c r="T872" s="73">
        <f>IFERROR(cadangan[[#This Row],[Harga Diskon B]]-INDEX(Katalog!$E$3:$E$12,MATCH(cadangan[[#This Row],[ItemID B]],Katalog!$C$3:$C$12,0))*cadangan[[#This Row],[Qty B]],0)</f>
        <v>0</v>
      </c>
      <c r="V872" s="39" t="str">
        <f>IFERROR(INDEX(Katalog!$A$3:$A$12,MATCH(cadangan[[#This Row],[ItemID C]],Katalog!$C$3:$C$12,0)),"-")</f>
        <v>-</v>
      </c>
      <c r="W872" s="39" t="str">
        <f>IFERROR(INDEX(Katalog!$B$3:$B$12,MATCH(cadangan[[#This Row],[ItemID C]],Katalog!$C$3:$C$12,0)),"-")</f>
        <v>-</v>
      </c>
      <c r="Z872" s="73">
        <f>IFERROR(INDEX(Katalog!$D$3:$D$12,MATCH(cadangan[[#This Row],[ItemID C]],Katalog!$C$3:$C$12,0))*cadangan[[#This Row],[Qty C]],0)</f>
        <v>0</v>
      </c>
      <c r="AA872" s="73">
        <f>IFERROR(cadangan[[#This Row],[Harga Normal C]]-(cadangan[[#This Row],[Harga Normal C]]*cadangan[[#This Row],[Diskon]]),cadangan[[#This Row],[Harga Normal C]])</f>
        <v>0</v>
      </c>
      <c r="AB872" s="73">
        <f>IFERROR(INDEX(Katalog!$F$3:$F$12,MATCH(cadangan[[#This Row],[ItemID C]],Katalog!$C$3:$C$12,0))*cadangan[[#This Row],[Qty C]],0)</f>
        <v>0</v>
      </c>
      <c r="AC872" s="73">
        <f>IFERROR(cadangan[[#This Row],[Harga Diskon C]]-INDEX(Katalog!$E$3:$E$12,MATCH(cadangan[[#This Row],[ItemID C]],Katalog!$C$3:$C$12,0))*cadangan[[#This Row],[Qty C]],0)</f>
        <v>0</v>
      </c>
      <c r="AD872" s="53">
        <f>cadangan[[#This Row],[Qty A]]+cadangan[[#This Row],[Qty B]]+cadangan[[#This Row],[Qty C]]</f>
        <v>3</v>
      </c>
      <c r="AE872" s="73">
        <f>cadangan[[#This Row],[Harga Normal A]]+cadangan[[#This Row],[Harga Normal B]]+cadangan[[#This Row],[Harga Normal C]]</f>
        <v>1200000</v>
      </c>
      <c r="AF872" s="73">
        <f>cadangan[[#This Row],[Harga Diskon A]]+cadangan[[#This Row],[Harga Diskon B]]+cadangan[[#This Row],[Harga Diskon C]]</f>
        <v>1020000</v>
      </c>
      <c r="AG872" s="73">
        <f>(cadangan[[#This Row],[Profit Normal A]]+cadangan[[#This Row],[Profit Normal B]]+cadangan[[#This Row],[Profit Normal C]])</f>
        <v>450000</v>
      </c>
      <c r="AH872" s="73">
        <f>cadangan[[#This Row],[Profit Diskon A]]+cadangan[[#This Row],[Profit Diskon B]]+cadangan[[#This Row],[Profit Diskon C]]</f>
        <v>270000</v>
      </c>
      <c r="AI872" s="23" t="s">
        <v>32</v>
      </c>
      <c r="AJ872" s="37">
        <f>IFERROR(INDEX('Kode Diskon'!$D$3:$D$9,MATCH(cadangan[[#This Row],[Kode diskon]],'Kode Diskon'!$C$3:$C$9,0)),"-")</f>
        <v>0.15</v>
      </c>
      <c r="AK872" s="23" t="s">
        <v>9</v>
      </c>
      <c r="AL872" s="23" t="s">
        <v>12</v>
      </c>
      <c r="AM872" s="23" t="s">
        <v>78</v>
      </c>
      <c r="AN872" s="55">
        <v>45039</v>
      </c>
      <c r="AO872" s="53">
        <f>DAY(cadangan[[#This Row],[Tanggal terjual]])</f>
        <v>23</v>
      </c>
      <c r="AP872" s="21" t="str">
        <f>TEXT(cadangan[[#This Row],[Tanggal terjual]],"dddd")</f>
        <v>Sunday</v>
      </c>
      <c r="AQ872" s="23" t="str" cm="1">
        <f t="array" ref="AQ8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72" s="61">
        <f>AVERAGE(cadangan[[#This Row],[Rating A]],cadangan[[#This Row],[Rating B]],cadangan[[#This Row],[Rating C]])</f>
        <v>1</v>
      </c>
    </row>
    <row r="873" spans="1:44" x14ac:dyDescent="0.2">
      <c r="A873" s="20">
        <v>872</v>
      </c>
      <c r="B873" s="21" t="str">
        <f>_xlfn.CONCAT("ORD-",INDEX(Helper!$B$2:$B$5,MATCH(cadangan[[#This Row],[Marketplace]],Helper!$A$2:$A$5,0)),TEXT(cadangan[[#This Row],[No]],"0000"),"-",TEXT(cadangan[[#This Row],[Tanggal terjual]],"dd/mm/yy"))</f>
        <v>ORD-TK0872-18/04/23</v>
      </c>
      <c r="C873" s="39" t="s">
        <v>59</v>
      </c>
      <c r="D873" s="39" t="str">
        <f>IFERROR(INDEX(Katalog!$A$3:$A$12,MATCH(cadangan[[#This Row],[ItemID A]],Katalog!$C$3:$C$12,0)),"-")</f>
        <v>Pakaian Wanita</v>
      </c>
      <c r="E873" s="39" t="str">
        <f>IFERROR(INDEX(Katalog!$B$3:$B$12,MATCH(cadangan[[#This Row],[ItemID A]],Katalog!$C$3:$C$12,0)),"-")</f>
        <v>Blouse</v>
      </c>
      <c r="F873" s="50">
        <v>7</v>
      </c>
      <c r="G873" s="50">
        <v>5</v>
      </c>
      <c r="H873" s="73">
        <f>IFERROR(INDEX(Katalog!$D$3:$D$12,MATCH(cadangan[[#This Row],[ItemID A]],Katalog!$C$3:$C$12,0))*cadangan[[#This Row],[Qty A]],0)</f>
        <v>1050000</v>
      </c>
      <c r="I873" s="73">
        <f>IFERROR(cadangan[[#This Row],[Harga Normal A]]-(cadangan[[#This Row],[Harga Normal A]]*cadangan[[#This Row],[Diskon]]),cadangan[[#This Row],[Harga Normal A]])</f>
        <v>945000</v>
      </c>
      <c r="J873" s="73">
        <f>INDEX(Katalog!$F$3:$F$12,MATCH(cadangan[[#This Row],[ItemID A]],Katalog!$C$3:$C$12,0))*cadangan[[#This Row],[Qty A]]</f>
        <v>350000</v>
      </c>
      <c r="K873" s="73">
        <f>IFERROR(cadangan[[#This Row],[Harga Diskon A]]-INDEX(Katalog!$E$3:$E$12,MATCH(cadangan[[#This Row],[ItemID A]],Katalog!$C$3:$C$12,0))*cadangan[[#This Row],[Qty A]],0)</f>
        <v>245000</v>
      </c>
      <c r="M873" s="39" t="str">
        <f>IFERROR(INDEX(Katalog!$A$3:$A$12,MATCH(cadangan[[#This Row],[ItemID B]],Katalog!$C$3:$C$12,0)),"-")</f>
        <v>-</v>
      </c>
      <c r="N873" s="39" t="str">
        <f>IFERROR(INDEX(Katalog!$B$3:$B$12,MATCH(cadangan[[#This Row],[ItemID B]],Katalog!$C$3:$C$12,0)),"-")</f>
        <v>-</v>
      </c>
      <c r="Q873" s="73">
        <f>IFERROR(INDEX(Katalog!$D$3:$D$12,MATCH(cadangan[[#This Row],[ItemID B]],Katalog!$C$3:$C$12,0))*cadangan[[#This Row],[Qty B]],0)</f>
        <v>0</v>
      </c>
      <c r="R873" s="73">
        <f>IFERROR(cadangan[[#This Row],[Harga Normal B]]-(cadangan[[#This Row],[Harga Normal B]]*cadangan[[#This Row],[Diskon]]),cadangan[[#This Row],[Harga Normal B]])</f>
        <v>0</v>
      </c>
      <c r="S873" s="73">
        <f>IFERROR(INDEX(Katalog!$F$3:$F$12,MATCH(cadangan[[#This Row],[ItemID B]],Katalog!$C$3:$C$12,0))*cadangan[[#This Row],[Qty B]],0)</f>
        <v>0</v>
      </c>
      <c r="T873" s="73">
        <f>IFERROR(cadangan[[#This Row],[Harga Diskon B]]-INDEX(Katalog!$E$3:$E$12,MATCH(cadangan[[#This Row],[ItemID B]],Katalog!$C$3:$C$12,0))*cadangan[[#This Row],[Qty B]],0)</f>
        <v>0</v>
      </c>
      <c r="V873" s="39" t="str">
        <f>IFERROR(INDEX(Katalog!$A$3:$A$12,MATCH(cadangan[[#This Row],[ItemID C]],Katalog!$C$3:$C$12,0)),"-")</f>
        <v>-</v>
      </c>
      <c r="W873" s="39" t="str">
        <f>IFERROR(INDEX(Katalog!$B$3:$B$12,MATCH(cadangan[[#This Row],[ItemID C]],Katalog!$C$3:$C$12,0)),"-")</f>
        <v>-</v>
      </c>
      <c r="Z873" s="73">
        <f>IFERROR(INDEX(Katalog!$D$3:$D$12,MATCH(cadangan[[#This Row],[ItemID C]],Katalog!$C$3:$C$12,0))*cadangan[[#This Row],[Qty C]],0)</f>
        <v>0</v>
      </c>
      <c r="AA873" s="73">
        <f>IFERROR(cadangan[[#This Row],[Harga Normal C]]-(cadangan[[#This Row],[Harga Normal C]]*cadangan[[#This Row],[Diskon]]),cadangan[[#This Row],[Harga Normal C]])</f>
        <v>0</v>
      </c>
      <c r="AB873" s="73">
        <f>IFERROR(INDEX(Katalog!$F$3:$F$12,MATCH(cadangan[[#This Row],[ItemID C]],Katalog!$C$3:$C$12,0))*cadangan[[#This Row],[Qty C]],0)</f>
        <v>0</v>
      </c>
      <c r="AC873" s="73">
        <f>IFERROR(cadangan[[#This Row],[Harga Diskon C]]-INDEX(Katalog!$E$3:$E$12,MATCH(cadangan[[#This Row],[ItemID C]],Katalog!$C$3:$C$12,0))*cadangan[[#This Row],[Qty C]],0)</f>
        <v>0</v>
      </c>
      <c r="AD873" s="53">
        <f>cadangan[[#This Row],[Qty A]]+cadangan[[#This Row],[Qty B]]+cadangan[[#This Row],[Qty C]]</f>
        <v>7</v>
      </c>
      <c r="AE873" s="73">
        <f>cadangan[[#This Row],[Harga Normal A]]+cadangan[[#This Row],[Harga Normal B]]+cadangan[[#This Row],[Harga Normal C]]</f>
        <v>1050000</v>
      </c>
      <c r="AF873" s="73">
        <f>cadangan[[#This Row],[Harga Diskon A]]+cadangan[[#This Row],[Harga Diskon B]]+cadangan[[#This Row],[Harga Diskon C]]</f>
        <v>945000</v>
      </c>
      <c r="AG873" s="73">
        <f>(cadangan[[#This Row],[Profit Normal A]]+cadangan[[#This Row],[Profit Normal B]]+cadangan[[#This Row],[Profit Normal C]])</f>
        <v>350000</v>
      </c>
      <c r="AH873" s="73">
        <f>cadangan[[#This Row],[Profit Diskon A]]+cadangan[[#This Row],[Profit Diskon B]]+cadangan[[#This Row],[Profit Diskon C]]</f>
        <v>245000</v>
      </c>
      <c r="AI873" s="23" t="s">
        <v>31</v>
      </c>
      <c r="AJ873" s="37">
        <f>IFERROR(INDEX('Kode Diskon'!$D$3:$D$9,MATCH(cadangan[[#This Row],[Kode diskon]],'Kode Diskon'!$C$3:$C$9,0)),"-")</f>
        <v>0.1</v>
      </c>
      <c r="AK873" s="23" t="s">
        <v>9</v>
      </c>
      <c r="AL873" s="23" t="s">
        <v>10</v>
      </c>
      <c r="AM873" s="23" t="s">
        <v>80</v>
      </c>
      <c r="AN873" s="55">
        <v>45034</v>
      </c>
      <c r="AO873" s="53">
        <f>DAY(cadangan[[#This Row],[Tanggal terjual]])</f>
        <v>18</v>
      </c>
      <c r="AP873" s="21" t="str">
        <f>TEXT(cadangan[[#This Row],[Tanggal terjual]],"dddd")</f>
        <v>Tuesday</v>
      </c>
      <c r="AQ873" s="23" t="str" cm="1">
        <f t="array" ref="AQ8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73" s="61">
        <f>AVERAGE(cadangan[[#This Row],[Rating A]],cadangan[[#This Row],[Rating B]],cadangan[[#This Row],[Rating C]])</f>
        <v>5</v>
      </c>
    </row>
    <row r="874" spans="1:44" x14ac:dyDescent="0.2">
      <c r="A874" s="20">
        <v>873</v>
      </c>
      <c r="B874" s="21" t="str">
        <f>_xlfn.CONCAT("ORD-",INDEX(Helper!$B$2:$B$5,MATCH(cadangan[[#This Row],[Marketplace]],Helper!$A$2:$A$5,0)),TEXT(cadangan[[#This Row],[No]],"0000"),"-",TEXT(cadangan[[#This Row],[Tanggal terjual]],"dd/mm/yy"))</f>
        <v>ORD-TK0873-01/04/23</v>
      </c>
      <c r="C874" s="39" t="s">
        <v>61</v>
      </c>
      <c r="D874" s="39" t="str">
        <f>IFERROR(INDEX(Katalog!$A$3:$A$12,MATCH(cadangan[[#This Row],[ItemID A]],Katalog!$C$3:$C$12,0)),"-")</f>
        <v>Pakaian Pria</v>
      </c>
      <c r="E874" s="39" t="str">
        <f>IFERROR(INDEX(Katalog!$B$3:$B$12,MATCH(cadangan[[#This Row],[ItemID A]],Katalog!$C$3:$C$12,0)),"-")</f>
        <v>Kaos Polo</v>
      </c>
      <c r="F874" s="50">
        <v>1</v>
      </c>
      <c r="G874" s="50">
        <v>3</v>
      </c>
      <c r="H874" s="73">
        <f>IFERROR(INDEX(Katalog!$D$3:$D$12,MATCH(cadangan[[#This Row],[ItemID A]],Katalog!$C$3:$C$12,0))*cadangan[[#This Row],[Qty A]],0)</f>
        <v>200000</v>
      </c>
      <c r="I874" s="73">
        <f>IFERROR(cadangan[[#This Row],[Harga Normal A]]-(cadangan[[#This Row],[Harga Normal A]]*cadangan[[#This Row],[Diskon]]),cadangan[[#This Row],[Harga Normal A]])</f>
        <v>180000</v>
      </c>
      <c r="J874" s="73">
        <f>INDEX(Katalog!$F$3:$F$12,MATCH(cadangan[[#This Row],[ItemID A]],Katalog!$C$3:$C$12,0))*cadangan[[#This Row],[Qty A]]</f>
        <v>80000</v>
      </c>
      <c r="K874" s="73">
        <f>IFERROR(cadangan[[#This Row],[Harga Diskon A]]-INDEX(Katalog!$E$3:$E$12,MATCH(cadangan[[#This Row],[ItemID A]],Katalog!$C$3:$C$12,0))*cadangan[[#This Row],[Qty A]],0)</f>
        <v>60000</v>
      </c>
      <c r="L874" s="39" t="s">
        <v>64</v>
      </c>
      <c r="M874" s="39" t="str">
        <f>IFERROR(INDEX(Katalog!$A$3:$A$12,MATCH(cadangan[[#This Row],[ItemID B]],Katalog!$C$3:$C$12,0)),"-")</f>
        <v>Pakaian Unisex</v>
      </c>
      <c r="N874" s="39" t="str">
        <f>IFERROR(INDEX(Katalog!$B$3:$B$12,MATCH(cadangan[[#This Row],[ItemID B]],Katalog!$C$3:$C$12,0)),"-")</f>
        <v>Jaket Hoodie</v>
      </c>
      <c r="O874" s="50">
        <v>2</v>
      </c>
      <c r="P874" s="50">
        <v>5</v>
      </c>
      <c r="Q874" s="73">
        <f>IFERROR(INDEX(Katalog!$D$3:$D$12,MATCH(cadangan[[#This Row],[ItemID B]],Katalog!$C$3:$C$12,0))*cadangan[[#This Row],[Qty B]],0)</f>
        <v>700000</v>
      </c>
      <c r="R874" s="73">
        <f>IFERROR(cadangan[[#This Row],[Harga Normal B]]-(cadangan[[#This Row],[Harga Normal B]]*cadangan[[#This Row],[Diskon]]),cadangan[[#This Row],[Harga Normal B]])</f>
        <v>630000</v>
      </c>
      <c r="S874" s="73">
        <f>IFERROR(INDEX(Katalog!$F$3:$F$12,MATCH(cadangan[[#This Row],[ItemID B]],Katalog!$C$3:$C$12,0))*cadangan[[#This Row],[Qty B]],0)</f>
        <v>260000</v>
      </c>
      <c r="T874" s="73">
        <f>IFERROR(cadangan[[#This Row],[Harga Diskon B]]-INDEX(Katalog!$E$3:$E$12,MATCH(cadangan[[#This Row],[ItemID B]],Katalog!$C$3:$C$12,0))*cadangan[[#This Row],[Qty B]],0)</f>
        <v>190000</v>
      </c>
      <c r="U874" s="39" t="s">
        <v>62</v>
      </c>
      <c r="V874" s="39" t="str">
        <f>IFERROR(INDEX(Katalog!$A$3:$A$12,MATCH(cadangan[[#This Row],[ItemID C]],Katalog!$C$3:$C$12,0)),"-")</f>
        <v>Pakaian Pria</v>
      </c>
      <c r="W874" s="39" t="str">
        <f>IFERROR(INDEX(Katalog!$B$3:$B$12,MATCH(cadangan[[#This Row],[ItemID C]],Katalog!$C$3:$C$12,0)),"-")</f>
        <v>Celana Pendek</v>
      </c>
      <c r="X874" s="50">
        <v>1</v>
      </c>
      <c r="Y874" s="50">
        <v>4</v>
      </c>
      <c r="Z874" s="73">
        <f>IFERROR(INDEX(Katalog!$D$3:$D$12,MATCH(cadangan[[#This Row],[ItemID C]],Katalog!$C$3:$C$12,0))*cadangan[[#This Row],[Qty C]],0)</f>
        <v>180000</v>
      </c>
      <c r="AA874" s="73">
        <f>IFERROR(cadangan[[#This Row],[Harga Normal C]]-(cadangan[[#This Row],[Harga Normal C]]*cadangan[[#This Row],[Diskon]]),cadangan[[#This Row],[Harga Normal C]])</f>
        <v>162000</v>
      </c>
      <c r="AB874" s="73">
        <f>IFERROR(INDEX(Katalog!$F$3:$F$12,MATCH(cadangan[[#This Row],[ItemID C]],Katalog!$C$3:$C$12,0))*cadangan[[#This Row],[Qty C]],0)</f>
        <v>70000</v>
      </c>
      <c r="AC874" s="73">
        <f>IFERROR(cadangan[[#This Row],[Harga Diskon C]]-INDEX(Katalog!$E$3:$E$12,MATCH(cadangan[[#This Row],[ItemID C]],Katalog!$C$3:$C$12,0))*cadangan[[#This Row],[Qty C]],0)</f>
        <v>52000</v>
      </c>
      <c r="AD874" s="53">
        <f>cadangan[[#This Row],[Qty A]]+cadangan[[#This Row],[Qty B]]+cadangan[[#This Row],[Qty C]]</f>
        <v>4</v>
      </c>
      <c r="AE874" s="73">
        <f>cadangan[[#This Row],[Harga Normal A]]+cadangan[[#This Row],[Harga Normal B]]+cadangan[[#This Row],[Harga Normal C]]</f>
        <v>1080000</v>
      </c>
      <c r="AF874" s="73">
        <f>cadangan[[#This Row],[Harga Diskon A]]+cadangan[[#This Row],[Harga Diskon B]]+cadangan[[#This Row],[Harga Diskon C]]</f>
        <v>972000</v>
      </c>
      <c r="AG874" s="73">
        <f>(cadangan[[#This Row],[Profit Normal A]]+cadangan[[#This Row],[Profit Normal B]]+cadangan[[#This Row],[Profit Normal C]])</f>
        <v>410000</v>
      </c>
      <c r="AH874" s="73">
        <f>cadangan[[#This Row],[Profit Diskon A]]+cadangan[[#This Row],[Profit Diskon B]]+cadangan[[#This Row],[Profit Diskon C]]</f>
        <v>302000</v>
      </c>
      <c r="AI874" s="23" t="s">
        <v>30</v>
      </c>
      <c r="AJ874" s="37">
        <f>IFERROR(INDEX('Kode Diskon'!$D$3:$D$9,MATCH(cadangan[[#This Row],[Kode diskon]],'Kode Diskon'!$C$3:$C$9,0)),"-")</f>
        <v>0.1</v>
      </c>
      <c r="AK874" s="23" t="s">
        <v>29</v>
      </c>
      <c r="AL874" s="23" t="s">
        <v>10</v>
      </c>
      <c r="AM874" s="23" t="s">
        <v>79</v>
      </c>
      <c r="AN874" s="55">
        <v>45017</v>
      </c>
      <c r="AO874" s="53">
        <f>DAY(cadangan[[#This Row],[Tanggal terjual]])</f>
        <v>1</v>
      </c>
      <c r="AP874" s="21" t="str">
        <f>TEXT(cadangan[[#This Row],[Tanggal terjual]],"dddd")</f>
        <v>Saturday</v>
      </c>
      <c r="AQ874" s="23" t="str" cm="1">
        <f t="array" ref="AQ8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74" s="61">
        <f>AVERAGE(cadangan[[#This Row],[Rating A]],cadangan[[#This Row],[Rating B]],cadangan[[#This Row],[Rating C]])</f>
        <v>4</v>
      </c>
    </row>
    <row r="875" spans="1:44" x14ac:dyDescent="0.2">
      <c r="A875" s="20">
        <v>874</v>
      </c>
      <c r="B875" s="21" t="str">
        <f>_xlfn.CONCAT("ORD-",INDEX(Helper!$B$2:$B$5,MATCH(cadangan[[#This Row],[Marketplace]],Helper!$A$2:$A$5,0)),TEXT(cadangan[[#This Row],[No]],"0000"),"-",TEXT(cadangan[[#This Row],[Tanggal terjual]],"dd/mm/yy"))</f>
        <v>ORD-TK0874-23/04/23</v>
      </c>
      <c r="C875" s="39" t="s">
        <v>65</v>
      </c>
      <c r="D875" s="39" t="str">
        <f>IFERROR(INDEX(Katalog!$A$3:$A$12,MATCH(cadangan[[#This Row],[ItemID A]],Katalog!$C$3:$C$12,0)),"-")</f>
        <v>Sepatu Pria</v>
      </c>
      <c r="E875" s="39" t="str">
        <f>IFERROR(INDEX(Katalog!$B$3:$B$12,MATCH(cadangan[[#This Row],[ItemID A]],Katalog!$C$3:$C$12,0)),"-")</f>
        <v>Sneakers</v>
      </c>
      <c r="F875" s="50">
        <v>2</v>
      </c>
      <c r="G875" s="50">
        <v>4</v>
      </c>
      <c r="H875" s="73">
        <f>IFERROR(INDEX(Katalog!$D$3:$D$12,MATCH(cadangan[[#This Row],[ItemID A]],Katalog!$C$3:$C$12,0))*cadangan[[#This Row],[Qty A]],0)</f>
        <v>1000000</v>
      </c>
      <c r="I875" s="73">
        <f>IFERROR(cadangan[[#This Row],[Harga Normal A]]-(cadangan[[#This Row],[Harga Normal A]]*cadangan[[#This Row],[Diskon]]),cadangan[[#This Row],[Harga Normal A]])</f>
        <v>900000</v>
      </c>
      <c r="J875" s="73">
        <f>INDEX(Katalog!$F$3:$F$12,MATCH(cadangan[[#This Row],[ItemID A]],Katalog!$C$3:$C$12,0))*cadangan[[#This Row],[Qty A]]</f>
        <v>400000</v>
      </c>
      <c r="K875" s="73">
        <f>IFERROR(cadangan[[#This Row],[Harga Diskon A]]-INDEX(Katalog!$E$3:$E$12,MATCH(cadangan[[#This Row],[ItemID A]],Katalog!$C$3:$C$12,0))*cadangan[[#This Row],[Qty A]],0)</f>
        <v>300000</v>
      </c>
      <c r="L875" s="39" t="s">
        <v>63</v>
      </c>
      <c r="M875" s="39" t="str">
        <f>IFERROR(INDEX(Katalog!$A$3:$A$12,MATCH(cadangan[[#This Row],[ItemID B]],Katalog!$C$3:$C$12,0)),"-")</f>
        <v>Pakaian Pria</v>
      </c>
      <c r="N875" s="39" t="str">
        <f>IFERROR(INDEX(Katalog!$B$3:$B$12,MATCH(cadangan[[#This Row],[ItemID B]],Katalog!$C$3:$C$12,0)),"-")</f>
        <v>Jaket Jeans</v>
      </c>
      <c r="O875" s="50">
        <v>1</v>
      </c>
      <c r="P875" s="50">
        <v>3</v>
      </c>
      <c r="Q875" s="73">
        <f>IFERROR(INDEX(Katalog!$D$3:$D$12,MATCH(cadangan[[#This Row],[ItemID B]],Katalog!$C$3:$C$12,0))*cadangan[[#This Row],[Qty B]],0)</f>
        <v>400000</v>
      </c>
      <c r="R875" s="73">
        <f>IFERROR(cadangan[[#This Row],[Harga Normal B]]-(cadangan[[#This Row],[Harga Normal B]]*cadangan[[#This Row],[Diskon]]),cadangan[[#This Row],[Harga Normal B]])</f>
        <v>360000</v>
      </c>
      <c r="S875" s="73">
        <f>IFERROR(INDEX(Katalog!$F$3:$F$12,MATCH(cadangan[[#This Row],[ItemID B]],Katalog!$C$3:$C$12,0))*cadangan[[#This Row],[Qty B]],0)</f>
        <v>150000</v>
      </c>
      <c r="T875" s="73">
        <f>IFERROR(cadangan[[#This Row],[Harga Diskon B]]-INDEX(Katalog!$E$3:$E$12,MATCH(cadangan[[#This Row],[ItemID B]],Katalog!$C$3:$C$12,0))*cadangan[[#This Row],[Qty B]],0)</f>
        <v>110000</v>
      </c>
      <c r="U875" s="39" t="s">
        <v>67</v>
      </c>
      <c r="V875" s="39" t="str">
        <f>IFERROR(INDEX(Katalog!$A$3:$A$12,MATCH(cadangan[[#This Row],[ItemID C]],Katalog!$C$3:$C$12,0)),"-")</f>
        <v>Sepatu Wanita</v>
      </c>
      <c r="W875" s="39" t="str">
        <f>IFERROR(INDEX(Katalog!$B$3:$B$12,MATCH(cadangan[[#This Row],[ItemID C]],Katalog!$C$3:$C$12,0)),"-")</f>
        <v>Flat Shoes</v>
      </c>
      <c r="X875" s="50">
        <v>4</v>
      </c>
      <c r="Y875" s="50">
        <v>2</v>
      </c>
      <c r="Z875" s="73">
        <f>IFERROR(INDEX(Katalog!$D$3:$D$12,MATCH(cadangan[[#This Row],[ItemID C]],Katalog!$C$3:$C$12,0))*cadangan[[#This Row],[Qty C]],0)</f>
        <v>1000000</v>
      </c>
      <c r="AA875" s="73">
        <f>IFERROR(cadangan[[#This Row],[Harga Normal C]]-(cadangan[[#This Row],[Harga Normal C]]*cadangan[[#This Row],[Diskon]]),cadangan[[#This Row],[Harga Normal C]])</f>
        <v>900000</v>
      </c>
      <c r="AB875" s="73">
        <f>IFERROR(INDEX(Katalog!$F$3:$F$12,MATCH(cadangan[[#This Row],[ItemID C]],Katalog!$C$3:$C$12,0))*cadangan[[#This Row],[Qty C]],0)</f>
        <v>400000</v>
      </c>
      <c r="AC875" s="73">
        <f>IFERROR(cadangan[[#This Row],[Harga Diskon C]]-INDEX(Katalog!$E$3:$E$12,MATCH(cadangan[[#This Row],[ItemID C]],Katalog!$C$3:$C$12,0))*cadangan[[#This Row],[Qty C]],0)</f>
        <v>300000</v>
      </c>
      <c r="AD875" s="53">
        <f>cadangan[[#This Row],[Qty A]]+cadangan[[#This Row],[Qty B]]+cadangan[[#This Row],[Qty C]]</f>
        <v>7</v>
      </c>
      <c r="AE875" s="73">
        <f>cadangan[[#This Row],[Harga Normal A]]+cadangan[[#This Row],[Harga Normal B]]+cadangan[[#This Row],[Harga Normal C]]</f>
        <v>2400000</v>
      </c>
      <c r="AF875" s="73">
        <f>cadangan[[#This Row],[Harga Diskon A]]+cadangan[[#This Row],[Harga Diskon B]]+cadangan[[#This Row],[Harga Diskon C]]</f>
        <v>2160000</v>
      </c>
      <c r="AG875" s="73">
        <f>(cadangan[[#This Row],[Profit Normal A]]+cadangan[[#This Row],[Profit Normal B]]+cadangan[[#This Row],[Profit Normal C]])</f>
        <v>950000</v>
      </c>
      <c r="AH875" s="73">
        <f>cadangan[[#This Row],[Profit Diskon A]]+cadangan[[#This Row],[Profit Diskon B]]+cadangan[[#This Row],[Profit Diskon C]]</f>
        <v>710000</v>
      </c>
      <c r="AI875" s="23" t="s">
        <v>31</v>
      </c>
      <c r="AJ875" s="37">
        <f>IFERROR(INDEX('Kode Diskon'!$D$3:$D$9,MATCH(cadangan[[#This Row],[Kode diskon]],'Kode Diskon'!$C$3:$C$9,0)),"-")</f>
        <v>0.1</v>
      </c>
      <c r="AK875" s="23" t="s">
        <v>9</v>
      </c>
      <c r="AL875" s="23" t="s">
        <v>10</v>
      </c>
      <c r="AM875" s="23" t="s">
        <v>80</v>
      </c>
      <c r="AN875" s="55">
        <v>45039</v>
      </c>
      <c r="AO875" s="53">
        <f>DAY(cadangan[[#This Row],[Tanggal terjual]])</f>
        <v>23</v>
      </c>
      <c r="AP875" s="21" t="str">
        <f>TEXT(cadangan[[#This Row],[Tanggal terjual]],"dddd")</f>
        <v>Sunday</v>
      </c>
      <c r="AQ875" s="23" t="str" cm="1">
        <f t="array" ref="AQ8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75" s="61">
        <f>AVERAGE(cadangan[[#This Row],[Rating A]],cadangan[[#This Row],[Rating B]],cadangan[[#This Row],[Rating C]])</f>
        <v>3</v>
      </c>
    </row>
    <row r="876" spans="1:44" x14ac:dyDescent="0.2">
      <c r="A876" s="20">
        <v>875</v>
      </c>
      <c r="B876" s="21" t="str">
        <f>_xlfn.CONCAT("ORD-",INDEX(Helper!$B$2:$B$5,MATCH(cadangan[[#This Row],[Marketplace]],Helper!$A$2:$A$5,0)),TEXT(cadangan[[#This Row],[No]],"0000"),"-",TEXT(cadangan[[#This Row],[Tanggal terjual]],"dd/mm/yy"))</f>
        <v>ORD-BL0875-21/04/23</v>
      </c>
      <c r="C876" s="39" t="s">
        <v>60</v>
      </c>
      <c r="D876" s="39" t="str">
        <f>IFERROR(INDEX(Katalog!$A$3:$A$12,MATCH(cadangan[[#This Row],[ItemID A]],Katalog!$C$3:$C$12,0)),"-")</f>
        <v>Pakaian Wanita</v>
      </c>
      <c r="E876" s="39" t="str">
        <f>IFERROR(INDEX(Katalog!$B$3:$B$12,MATCH(cadangan[[#This Row],[ItemID A]],Katalog!$C$3:$C$12,0)),"-")</f>
        <v>Kaftan</v>
      </c>
      <c r="F876" s="50">
        <v>4</v>
      </c>
      <c r="G876" s="50">
        <v>1</v>
      </c>
      <c r="H876" s="73">
        <f>IFERROR(INDEX(Katalog!$D$3:$D$12,MATCH(cadangan[[#This Row],[ItemID A]],Katalog!$C$3:$C$12,0))*cadangan[[#This Row],[Qty A]],0)</f>
        <v>1000000</v>
      </c>
      <c r="I876" s="73">
        <f>IFERROR(cadangan[[#This Row],[Harga Normal A]]-(cadangan[[#This Row],[Harga Normal A]]*cadangan[[#This Row],[Diskon]]),cadangan[[#This Row],[Harga Normal A]])</f>
        <v>850000</v>
      </c>
      <c r="J876" s="73">
        <f>INDEX(Katalog!$F$3:$F$12,MATCH(cadangan[[#This Row],[ItemID A]],Katalog!$C$3:$C$12,0))*cadangan[[#This Row],[Qty A]]</f>
        <v>400000</v>
      </c>
      <c r="K876" s="73">
        <f>IFERROR(cadangan[[#This Row],[Harga Diskon A]]-INDEX(Katalog!$E$3:$E$12,MATCH(cadangan[[#This Row],[ItemID A]],Katalog!$C$3:$C$12,0))*cadangan[[#This Row],[Qty A]],0)</f>
        <v>250000</v>
      </c>
      <c r="L876" s="39" t="s">
        <v>63</v>
      </c>
      <c r="M876" s="39" t="str">
        <f>IFERROR(INDEX(Katalog!$A$3:$A$12,MATCH(cadangan[[#This Row],[ItemID B]],Katalog!$C$3:$C$12,0)),"-")</f>
        <v>Pakaian Pria</v>
      </c>
      <c r="N876" s="39" t="str">
        <f>IFERROR(INDEX(Katalog!$B$3:$B$12,MATCH(cadangan[[#This Row],[ItemID B]],Katalog!$C$3:$C$12,0)),"-")</f>
        <v>Jaket Jeans</v>
      </c>
      <c r="O876" s="50">
        <v>2</v>
      </c>
      <c r="P876" s="50">
        <v>4</v>
      </c>
      <c r="Q876" s="73">
        <f>IFERROR(INDEX(Katalog!$D$3:$D$12,MATCH(cadangan[[#This Row],[ItemID B]],Katalog!$C$3:$C$12,0))*cadangan[[#This Row],[Qty B]],0)</f>
        <v>800000</v>
      </c>
      <c r="R876" s="73">
        <f>IFERROR(cadangan[[#This Row],[Harga Normal B]]-(cadangan[[#This Row],[Harga Normal B]]*cadangan[[#This Row],[Diskon]]),cadangan[[#This Row],[Harga Normal B]])</f>
        <v>680000</v>
      </c>
      <c r="S876" s="73">
        <f>IFERROR(INDEX(Katalog!$F$3:$F$12,MATCH(cadangan[[#This Row],[ItemID B]],Katalog!$C$3:$C$12,0))*cadangan[[#This Row],[Qty B]],0)</f>
        <v>300000</v>
      </c>
      <c r="T876" s="73">
        <f>IFERROR(cadangan[[#This Row],[Harga Diskon B]]-INDEX(Katalog!$E$3:$E$12,MATCH(cadangan[[#This Row],[ItemID B]],Katalog!$C$3:$C$12,0))*cadangan[[#This Row],[Qty B]],0)</f>
        <v>180000</v>
      </c>
      <c r="V876" s="39" t="str">
        <f>IFERROR(INDEX(Katalog!$A$3:$A$12,MATCH(cadangan[[#This Row],[ItemID C]],Katalog!$C$3:$C$12,0)),"-")</f>
        <v>-</v>
      </c>
      <c r="W876" s="39" t="str">
        <f>IFERROR(INDEX(Katalog!$B$3:$B$12,MATCH(cadangan[[#This Row],[ItemID C]],Katalog!$C$3:$C$12,0)),"-")</f>
        <v>-</v>
      </c>
      <c r="Z876" s="73">
        <f>IFERROR(INDEX(Katalog!$D$3:$D$12,MATCH(cadangan[[#This Row],[ItemID C]],Katalog!$C$3:$C$12,0))*cadangan[[#This Row],[Qty C]],0)</f>
        <v>0</v>
      </c>
      <c r="AA876" s="73">
        <f>IFERROR(cadangan[[#This Row],[Harga Normal C]]-(cadangan[[#This Row],[Harga Normal C]]*cadangan[[#This Row],[Diskon]]),cadangan[[#This Row],[Harga Normal C]])</f>
        <v>0</v>
      </c>
      <c r="AB876" s="73">
        <f>IFERROR(INDEX(Katalog!$F$3:$F$12,MATCH(cadangan[[#This Row],[ItemID C]],Katalog!$C$3:$C$12,0))*cadangan[[#This Row],[Qty C]],0)</f>
        <v>0</v>
      </c>
      <c r="AC876" s="73">
        <f>IFERROR(cadangan[[#This Row],[Harga Diskon C]]-INDEX(Katalog!$E$3:$E$12,MATCH(cadangan[[#This Row],[ItemID C]],Katalog!$C$3:$C$12,0))*cadangan[[#This Row],[Qty C]],0)</f>
        <v>0</v>
      </c>
      <c r="AD876" s="53">
        <f>cadangan[[#This Row],[Qty A]]+cadangan[[#This Row],[Qty B]]+cadangan[[#This Row],[Qty C]]</f>
        <v>6</v>
      </c>
      <c r="AE876" s="73">
        <f>cadangan[[#This Row],[Harga Normal A]]+cadangan[[#This Row],[Harga Normal B]]+cadangan[[#This Row],[Harga Normal C]]</f>
        <v>1800000</v>
      </c>
      <c r="AF876" s="73">
        <f>cadangan[[#This Row],[Harga Diskon A]]+cadangan[[#This Row],[Harga Diskon B]]+cadangan[[#This Row],[Harga Diskon C]]</f>
        <v>1530000</v>
      </c>
      <c r="AG876" s="73">
        <f>(cadangan[[#This Row],[Profit Normal A]]+cadangan[[#This Row],[Profit Normal B]]+cadangan[[#This Row],[Profit Normal C]])</f>
        <v>700000</v>
      </c>
      <c r="AH876" s="73">
        <f>cadangan[[#This Row],[Profit Diskon A]]+cadangan[[#This Row],[Profit Diskon B]]+cadangan[[#This Row],[Profit Diskon C]]</f>
        <v>430000</v>
      </c>
      <c r="AI876" s="23" t="s">
        <v>32</v>
      </c>
      <c r="AJ876" s="37">
        <f>IFERROR(INDEX('Kode Diskon'!$D$3:$D$9,MATCH(cadangan[[#This Row],[Kode diskon]],'Kode Diskon'!$C$3:$C$9,0)),"-")</f>
        <v>0.15</v>
      </c>
      <c r="AK876" s="23" t="s">
        <v>9</v>
      </c>
      <c r="AL876" s="23" t="s">
        <v>12</v>
      </c>
      <c r="AM876" s="23" t="s">
        <v>80</v>
      </c>
      <c r="AN876" s="55">
        <v>45037</v>
      </c>
      <c r="AO876" s="53">
        <f>DAY(cadangan[[#This Row],[Tanggal terjual]])</f>
        <v>21</v>
      </c>
      <c r="AP876" s="21" t="str">
        <f>TEXT(cadangan[[#This Row],[Tanggal terjual]],"dddd")</f>
        <v>Friday</v>
      </c>
      <c r="AQ876" s="23" t="str" cm="1">
        <f t="array" ref="AQ8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76" s="61">
        <f>AVERAGE(cadangan[[#This Row],[Rating A]],cadangan[[#This Row],[Rating B]],cadangan[[#This Row],[Rating C]])</f>
        <v>2.5</v>
      </c>
    </row>
    <row r="877" spans="1:44" x14ac:dyDescent="0.2">
      <c r="A877" s="20">
        <v>876</v>
      </c>
      <c r="B877" s="21" t="str">
        <f>_xlfn.CONCAT("ORD-",INDEX(Helper!$B$2:$B$5,MATCH(cadangan[[#This Row],[Marketplace]],Helper!$A$2:$A$5,0)),TEXT(cadangan[[#This Row],[No]],"0000"),"-",TEXT(cadangan[[#This Row],[Tanggal terjual]],"dd/mm/yy"))</f>
        <v>ORD-SP0876-01/04/23</v>
      </c>
      <c r="C877" s="39" t="s">
        <v>58</v>
      </c>
      <c r="D877" s="39" t="str">
        <f>IFERROR(INDEX(Katalog!$A$3:$A$12,MATCH(cadangan[[#This Row],[ItemID A]],Katalog!$C$3:$C$12,0)),"-")</f>
        <v>Pakaian Wanita</v>
      </c>
      <c r="E877" s="39" t="str">
        <f>IFERROR(INDEX(Katalog!$B$3:$B$12,MATCH(cadangan[[#This Row],[ItemID A]],Katalog!$C$3:$C$12,0)),"-")</f>
        <v>Dress</v>
      </c>
      <c r="F877" s="50">
        <v>1</v>
      </c>
      <c r="G877" s="50">
        <v>2</v>
      </c>
      <c r="H877" s="73">
        <f>IFERROR(INDEX(Katalog!$D$3:$D$12,MATCH(cadangan[[#This Row],[ItemID A]],Katalog!$C$3:$C$12,0))*cadangan[[#This Row],[Qty A]],0)</f>
        <v>300000</v>
      </c>
      <c r="I877" s="73">
        <f>IFERROR(cadangan[[#This Row],[Harga Normal A]]-(cadangan[[#This Row],[Harga Normal A]]*cadangan[[#This Row],[Diskon]]),cadangan[[#This Row],[Harga Normal A]])</f>
        <v>255000</v>
      </c>
      <c r="J877" s="73">
        <f>INDEX(Katalog!$F$3:$F$12,MATCH(cadangan[[#This Row],[ItemID A]],Katalog!$C$3:$C$12,0))*cadangan[[#This Row],[Qty A]]</f>
        <v>100000</v>
      </c>
      <c r="K877" s="73">
        <f>IFERROR(cadangan[[#This Row],[Harga Diskon A]]-INDEX(Katalog!$E$3:$E$12,MATCH(cadangan[[#This Row],[ItemID A]],Katalog!$C$3:$C$12,0))*cadangan[[#This Row],[Qty A]],0)</f>
        <v>55000</v>
      </c>
      <c r="M877" s="39" t="str">
        <f>IFERROR(INDEX(Katalog!$A$3:$A$12,MATCH(cadangan[[#This Row],[ItemID B]],Katalog!$C$3:$C$12,0)),"-")</f>
        <v>-</v>
      </c>
      <c r="N877" s="39" t="str">
        <f>IFERROR(INDEX(Katalog!$B$3:$B$12,MATCH(cadangan[[#This Row],[ItemID B]],Katalog!$C$3:$C$12,0)),"-")</f>
        <v>-</v>
      </c>
      <c r="Q877" s="73">
        <f>IFERROR(INDEX(Katalog!$D$3:$D$12,MATCH(cadangan[[#This Row],[ItemID B]],Katalog!$C$3:$C$12,0))*cadangan[[#This Row],[Qty B]],0)</f>
        <v>0</v>
      </c>
      <c r="R877" s="73">
        <f>IFERROR(cadangan[[#This Row],[Harga Normal B]]-(cadangan[[#This Row],[Harga Normal B]]*cadangan[[#This Row],[Diskon]]),cadangan[[#This Row],[Harga Normal B]])</f>
        <v>0</v>
      </c>
      <c r="S877" s="73">
        <f>IFERROR(INDEX(Katalog!$F$3:$F$12,MATCH(cadangan[[#This Row],[ItemID B]],Katalog!$C$3:$C$12,0))*cadangan[[#This Row],[Qty B]],0)</f>
        <v>0</v>
      </c>
      <c r="T877" s="73">
        <f>IFERROR(cadangan[[#This Row],[Harga Diskon B]]-INDEX(Katalog!$E$3:$E$12,MATCH(cadangan[[#This Row],[ItemID B]],Katalog!$C$3:$C$12,0))*cadangan[[#This Row],[Qty B]],0)</f>
        <v>0</v>
      </c>
      <c r="V877" s="39" t="str">
        <f>IFERROR(INDEX(Katalog!$A$3:$A$12,MATCH(cadangan[[#This Row],[ItemID C]],Katalog!$C$3:$C$12,0)),"-")</f>
        <v>-</v>
      </c>
      <c r="W877" s="39" t="str">
        <f>IFERROR(INDEX(Katalog!$B$3:$B$12,MATCH(cadangan[[#This Row],[ItemID C]],Katalog!$C$3:$C$12,0)),"-")</f>
        <v>-</v>
      </c>
      <c r="Z877" s="73">
        <f>IFERROR(INDEX(Katalog!$D$3:$D$12,MATCH(cadangan[[#This Row],[ItemID C]],Katalog!$C$3:$C$12,0))*cadangan[[#This Row],[Qty C]],0)</f>
        <v>0</v>
      </c>
      <c r="AA877" s="73">
        <f>IFERROR(cadangan[[#This Row],[Harga Normal C]]-(cadangan[[#This Row],[Harga Normal C]]*cadangan[[#This Row],[Diskon]]),cadangan[[#This Row],[Harga Normal C]])</f>
        <v>0</v>
      </c>
      <c r="AB877" s="73">
        <f>IFERROR(INDEX(Katalog!$F$3:$F$12,MATCH(cadangan[[#This Row],[ItemID C]],Katalog!$C$3:$C$12,0))*cadangan[[#This Row],[Qty C]],0)</f>
        <v>0</v>
      </c>
      <c r="AC877" s="73">
        <f>IFERROR(cadangan[[#This Row],[Harga Diskon C]]-INDEX(Katalog!$E$3:$E$12,MATCH(cadangan[[#This Row],[ItemID C]],Katalog!$C$3:$C$12,0))*cadangan[[#This Row],[Qty C]],0)</f>
        <v>0</v>
      </c>
      <c r="AD877" s="53">
        <f>cadangan[[#This Row],[Qty A]]+cadangan[[#This Row],[Qty B]]+cadangan[[#This Row],[Qty C]]</f>
        <v>1</v>
      </c>
      <c r="AE877" s="73">
        <f>cadangan[[#This Row],[Harga Normal A]]+cadangan[[#This Row],[Harga Normal B]]+cadangan[[#This Row],[Harga Normal C]]</f>
        <v>300000</v>
      </c>
      <c r="AF877" s="73">
        <f>cadangan[[#This Row],[Harga Diskon A]]+cadangan[[#This Row],[Harga Diskon B]]+cadangan[[#This Row],[Harga Diskon C]]</f>
        <v>255000</v>
      </c>
      <c r="AG877" s="73">
        <f>(cadangan[[#This Row],[Profit Normal A]]+cadangan[[#This Row],[Profit Normal B]]+cadangan[[#This Row],[Profit Normal C]])</f>
        <v>100000</v>
      </c>
      <c r="AH877" s="73">
        <f>cadangan[[#This Row],[Profit Diskon A]]+cadangan[[#This Row],[Profit Diskon B]]+cadangan[[#This Row],[Profit Diskon C]]</f>
        <v>55000</v>
      </c>
      <c r="AI877" s="23" t="s">
        <v>13</v>
      </c>
      <c r="AJ877" s="37">
        <f>IFERROR(INDEX('Kode Diskon'!$D$3:$D$9,MATCH(cadangan[[#This Row],[Kode diskon]],'Kode Diskon'!$C$3:$C$9,0)),"-")</f>
        <v>0.15</v>
      </c>
      <c r="AK877" s="23" t="s">
        <v>29</v>
      </c>
      <c r="AL877" s="23" t="s">
        <v>7</v>
      </c>
      <c r="AM877" s="23" t="s">
        <v>79</v>
      </c>
      <c r="AN877" s="55">
        <v>45017</v>
      </c>
      <c r="AO877" s="53">
        <f>DAY(cadangan[[#This Row],[Tanggal terjual]])</f>
        <v>1</v>
      </c>
      <c r="AP877" s="21" t="str">
        <f>TEXT(cadangan[[#This Row],[Tanggal terjual]],"dddd")</f>
        <v>Saturday</v>
      </c>
      <c r="AQ877" s="23" t="str" cm="1">
        <f t="array" ref="AQ8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77" s="61">
        <f>AVERAGE(cadangan[[#This Row],[Rating A]],cadangan[[#This Row],[Rating B]],cadangan[[#This Row],[Rating C]])</f>
        <v>2</v>
      </c>
    </row>
    <row r="878" spans="1:44" x14ac:dyDescent="0.2">
      <c r="A878" s="20">
        <v>877</v>
      </c>
      <c r="B878" s="21" t="str">
        <f>_xlfn.CONCAT("ORD-",INDEX(Helper!$B$2:$B$5,MATCH(cadangan[[#This Row],[Marketplace]],Helper!$A$2:$A$5,0)),TEXT(cadangan[[#This Row],[No]],"0000"),"-",TEXT(cadangan[[#This Row],[Tanggal terjual]],"dd/mm/yy"))</f>
        <v>ORD-SP0877-12/04/23</v>
      </c>
      <c r="C878" s="39" t="s">
        <v>62</v>
      </c>
      <c r="D878" s="39" t="str">
        <f>IFERROR(INDEX(Katalog!$A$3:$A$12,MATCH(cadangan[[#This Row],[ItemID A]],Katalog!$C$3:$C$12,0)),"-")</f>
        <v>Pakaian Pria</v>
      </c>
      <c r="E878" s="39" t="str">
        <f>IFERROR(INDEX(Katalog!$B$3:$B$12,MATCH(cadangan[[#This Row],[ItemID A]],Katalog!$C$3:$C$12,0)),"-")</f>
        <v>Celana Pendek</v>
      </c>
      <c r="F878" s="50">
        <v>1</v>
      </c>
      <c r="G878" s="50">
        <v>1</v>
      </c>
      <c r="H878" s="73">
        <f>IFERROR(INDEX(Katalog!$D$3:$D$12,MATCH(cadangan[[#This Row],[ItemID A]],Katalog!$C$3:$C$12,0))*cadangan[[#This Row],[Qty A]],0)</f>
        <v>180000</v>
      </c>
      <c r="I878" s="73">
        <f>IFERROR(cadangan[[#This Row],[Harga Normal A]]-(cadangan[[#This Row],[Harga Normal A]]*cadangan[[#This Row],[Diskon]]),cadangan[[#This Row],[Harga Normal A]])</f>
        <v>180000</v>
      </c>
      <c r="J878" s="73">
        <f>INDEX(Katalog!$F$3:$F$12,MATCH(cadangan[[#This Row],[ItemID A]],Katalog!$C$3:$C$12,0))*cadangan[[#This Row],[Qty A]]</f>
        <v>70000</v>
      </c>
      <c r="K878" s="73">
        <f>IFERROR(cadangan[[#This Row],[Harga Diskon A]]-INDEX(Katalog!$E$3:$E$12,MATCH(cadangan[[#This Row],[ItemID A]],Katalog!$C$3:$C$12,0))*cadangan[[#This Row],[Qty A]],0)</f>
        <v>70000</v>
      </c>
      <c r="M878" s="39" t="str">
        <f>IFERROR(INDEX(Katalog!$A$3:$A$12,MATCH(cadangan[[#This Row],[ItemID B]],Katalog!$C$3:$C$12,0)),"-")</f>
        <v>-</v>
      </c>
      <c r="N878" s="39" t="str">
        <f>IFERROR(INDEX(Katalog!$B$3:$B$12,MATCH(cadangan[[#This Row],[ItemID B]],Katalog!$C$3:$C$12,0)),"-")</f>
        <v>-</v>
      </c>
      <c r="Q878" s="73">
        <f>IFERROR(INDEX(Katalog!$D$3:$D$12,MATCH(cadangan[[#This Row],[ItemID B]],Katalog!$C$3:$C$12,0))*cadangan[[#This Row],[Qty B]],0)</f>
        <v>0</v>
      </c>
      <c r="R878" s="73">
        <f>IFERROR(cadangan[[#This Row],[Harga Normal B]]-(cadangan[[#This Row],[Harga Normal B]]*cadangan[[#This Row],[Diskon]]),cadangan[[#This Row],[Harga Normal B]])</f>
        <v>0</v>
      </c>
      <c r="S878" s="73">
        <f>IFERROR(INDEX(Katalog!$F$3:$F$12,MATCH(cadangan[[#This Row],[ItemID B]],Katalog!$C$3:$C$12,0))*cadangan[[#This Row],[Qty B]],0)</f>
        <v>0</v>
      </c>
      <c r="T878" s="73">
        <f>IFERROR(cadangan[[#This Row],[Harga Diskon B]]-INDEX(Katalog!$E$3:$E$12,MATCH(cadangan[[#This Row],[ItemID B]],Katalog!$C$3:$C$12,0))*cadangan[[#This Row],[Qty B]],0)</f>
        <v>0</v>
      </c>
      <c r="V878" s="39" t="str">
        <f>IFERROR(INDEX(Katalog!$A$3:$A$12,MATCH(cadangan[[#This Row],[ItemID C]],Katalog!$C$3:$C$12,0)),"-")</f>
        <v>-</v>
      </c>
      <c r="W878" s="39" t="str">
        <f>IFERROR(INDEX(Katalog!$B$3:$B$12,MATCH(cadangan[[#This Row],[ItemID C]],Katalog!$C$3:$C$12,0)),"-")</f>
        <v>-</v>
      </c>
      <c r="Z878" s="73">
        <f>IFERROR(INDEX(Katalog!$D$3:$D$12,MATCH(cadangan[[#This Row],[ItemID C]],Katalog!$C$3:$C$12,0))*cadangan[[#This Row],[Qty C]],0)</f>
        <v>0</v>
      </c>
      <c r="AA878" s="73">
        <f>IFERROR(cadangan[[#This Row],[Harga Normal C]]-(cadangan[[#This Row],[Harga Normal C]]*cadangan[[#This Row],[Diskon]]),cadangan[[#This Row],[Harga Normal C]])</f>
        <v>0</v>
      </c>
      <c r="AB878" s="73">
        <f>IFERROR(INDEX(Katalog!$F$3:$F$12,MATCH(cadangan[[#This Row],[ItemID C]],Katalog!$C$3:$C$12,0))*cadangan[[#This Row],[Qty C]],0)</f>
        <v>0</v>
      </c>
      <c r="AC878" s="73">
        <f>IFERROR(cadangan[[#This Row],[Harga Diskon C]]-INDEX(Katalog!$E$3:$E$12,MATCH(cadangan[[#This Row],[ItemID C]],Katalog!$C$3:$C$12,0))*cadangan[[#This Row],[Qty C]],0)</f>
        <v>0</v>
      </c>
      <c r="AD878" s="53">
        <f>cadangan[[#This Row],[Qty A]]+cadangan[[#This Row],[Qty B]]+cadangan[[#This Row],[Qty C]]</f>
        <v>1</v>
      </c>
      <c r="AE878" s="73">
        <f>cadangan[[#This Row],[Harga Normal A]]+cadangan[[#This Row],[Harga Normal B]]+cadangan[[#This Row],[Harga Normal C]]</f>
        <v>180000</v>
      </c>
      <c r="AF878" s="73">
        <f>cadangan[[#This Row],[Harga Diskon A]]+cadangan[[#This Row],[Harga Diskon B]]+cadangan[[#This Row],[Harga Diskon C]]</f>
        <v>180000</v>
      </c>
      <c r="AG878" s="73">
        <f>(cadangan[[#This Row],[Profit Normal A]]+cadangan[[#This Row],[Profit Normal B]]+cadangan[[#This Row],[Profit Normal C]])</f>
        <v>70000</v>
      </c>
      <c r="AH878" s="73">
        <f>cadangan[[#This Row],[Profit Diskon A]]+cadangan[[#This Row],[Profit Diskon B]]+cadangan[[#This Row],[Profit Diskon C]]</f>
        <v>70000</v>
      </c>
      <c r="AI878" s="23" t="s">
        <v>290</v>
      </c>
      <c r="AJ878" s="37" t="str">
        <f>IFERROR(INDEX('Kode Diskon'!$D$3:$D$9,MATCH(cadangan[[#This Row],[Kode diskon]],'Kode Diskon'!$C$3:$C$9,0)),"-")</f>
        <v>-</v>
      </c>
      <c r="AK878" s="23" t="s">
        <v>290</v>
      </c>
      <c r="AL878" s="23" t="s">
        <v>7</v>
      </c>
      <c r="AM878" s="23" t="s">
        <v>80</v>
      </c>
      <c r="AN878" s="55">
        <v>45028</v>
      </c>
      <c r="AO878" s="53">
        <f>DAY(cadangan[[#This Row],[Tanggal terjual]])</f>
        <v>12</v>
      </c>
      <c r="AP878" s="21" t="str">
        <f>TEXT(cadangan[[#This Row],[Tanggal terjual]],"dddd")</f>
        <v>Wednesday</v>
      </c>
      <c r="AQ878" s="23" t="str" cm="1">
        <f t="array" ref="AQ8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878" s="61">
        <f>AVERAGE(cadangan[[#This Row],[Rating A]],cadangan[[#This Row],[Rating B]],cadangan[[#This Row],[Rating C]])</f>
        <v>1</v>
      </c>
    </row>
    <row r="879" spans="1:44" x14ac:dyDescent="0.2">
      <c r="A879" s="20">
        <v>878</v>
      </c>
      <c r="B879" s="21" t="str">
        <f>_xlfn.CONCAT("ORD-",INDEX(Helper!$B$2:$B$5,MATCH(cadangan[[#This Row],[Marketplace]],Helper!$A$2:$A$5,0)),TEXT(cadangan[[#This Row],[No]],"0000"),"-",TEXT(cadangan[[#This Row],[Tanggal terjual]],"dd/mm/yy"))</f>
        <v>ORD-BL0878-28/04/23</v>
      </c>
      <c r="C879" s="39" t="s">
        <v>64</v>
      </c>
      <c r="D879" s="39" t="str">
        <f>IFERROR(INDEX(Katalog!$A$3:$A$12,MATCH(cadangan[[#This Row],[ItemID A]],Katalog!$C$3:$C$12,0)),"-")</f>
        <v>Pakaian Unisex</v>
      </c>
      <c r="E879" s="39" t="str">
        <f>IFERROR(INDEX(Katalog!$B$3:$B$12,MATCH(cadangan[[#This Row],[ItemID A]],Katalog!$C$3:$C$12,0)),"-")</f>
        <v>Jaket Hoodie</v>
      </c>
      <c r="F879" s="50">
        <v>1</v>
      </c>
      <c r="G879" s="50">
        <v>5</v>
      </c>
      <c r="H879" s="73">
        <f>IFERROR(INDEX(Katalog!$D$3:$D$12,MATCH(cadangan[[#This Row],[ItemID A]],Katalog!$C$3:$C$12,0))*cadangan[[#This Row],[Qty A]],0)</f>
        <v>350000</v>
      </c>
      <c r="I879" s="73">
        <f>IFERROR(cadangan[[#This Row],[Harga Normal A]]-(cadangan[[#This Row],[Harga Normal A]]*cadangan[[#This Row],[Diskon]]),cadangan[[#This Row],[Harga Normal A]])</f>
        <v>297500</v>
      </c>
      <c r="J879" s="73">
        <f>INDEX(Katalog!$F$3:$F$12,MATCH(cadangan[[#This Row],[ItemID A]],Katalog!$C$3:$C$12,0))*cadangan[[#This Row],[Qty A]]</f>
        <v>130000</v>
      </c>
      <c r="K879" s="73">
        <f>IFERROR(cadangan[[#This Row],[Harga Diskon A]]-INDEX(Katalog!$E$3:$E$12,MATCH(cadangan[[#This Row],[ItemID A]],Katalog!$C$3:$C$12,0))*cadangan[[#This Row],[Qty A]],0)</f>
        <v>77500</v>
      </c>
      <c r="L879" s="39" t="s">
        <v>65</v>
      </c>
      <c r="M879" s="39" t="str">
        <f>IFERROR(INDEX(Katalog!$A$3:$A$12,MATCH(cadangan[[#This Row],[ItemID B]],Katalog!$C$3:$C$12,0)),"-")</f>
        <v>Sepatu Pria</v>
      </c>
      <c r="N879" s="39" t="str">
        <f>IFERROR(INDEX(Katalog!$B$3:$B$12,MATCH(cadangan[[#This Row],[ItemID B]],Katalog!$C$3:$C$12,0)),"-")</f>
        <v>Sneakers</v>
      </c>
      <c r="O879" s="50">
        <v>1</v>
      </c>
      <c r="P879" s="50">
        <v>3</v>
      </c>
      <c r="Q879" s="73">
        <f>IFERROR(INDEX(Katalog!$D$3:$D$12,MATCH(cadangan[[#This Row],[ItemID B]],Katalog!$C$3:$C$12,0))*cadangan[[#This Row],[Qty B]],0)</f>
        <v>500000</v>
      </c>
      <c r="R879" s="73">
        <f>IFERROR(cadangan[[#This Row],[Harga Normal B]]-(cadangan[[#This Row],[Harga Normal B]]*cadangan[[#This Row],[Diskon]]),cadangan[[#This Row],[Harga Normal B]])</f>
        <v>425000</v>
      </c>
      <c r="S879" s="73">
        <f>IFERROR(INDEX(Katalog!$F$3:$F$12,MATCH(cadangan[[#This Row],[ItemID B]],Katalog!$C$3:$C$12,0))*cadangan[[#This Row],[Qty B]],0)</f>
        <v>200000</v>
      </c>
      <c r="T879" s="73">
        <f>IFERROR(cadangan[[#This Row],[Harga Diskon B]]-INDEX(Katalog!$E$3:$E$12,MATCH(cadangan[[#This Row],[ItemID B]],Katalog!$C$3:$C$12,0))*cadangan[[#This Row],[Qty B]],0)</f>
        <v>125000</v>
      </c>
      <c r="U879" s="39" t="s">
        <v>61</v>
      </c>
      <c r="V879" s="39" t="str">
        <f>IFERROR(INDEX(Katalog!$A$3:$A$12,MATCH(cadangan[[#This Row],[ItemID C]],Katalog!$C$3:$C$12,0)),"-")</f>
        <v>Pakaian Pria</v>
      </c>
      <c r="W879" s="39" t="str">
        <f>IFERROR(INDEX(Katalog!$B$3:$B$12,MATCH(cadangan[[#This Row],[ItemID C]],Katalog!$C$3:$C$12,0)),"-")</f>
        <v>Kaos Polo</v>
      </c>
      <c r="X879" s="50">
        <v>1</v>
      </c>
      <c r="Y879" s="50">
        <v>1</v>
      </c>
      <c r="Z879" s="73">
        <f>IFERROR(INDEX(Katalog!$D$3:$D$12,MATCH(cadangan[[#This Row],[ItemID C]],Katalog!$C$3:$C$12,0))*cadangan[[#This Row],[Qty C]],0)</f>
        <v>200000</v>
      </c>
      <c r="AA879" s="73">
        <f>IFERROR(cadangan[[#This Row],[Harga Normal C]]-(cadangan[[#This Row],[Harga Normal C]]*cadangan[[#This Row],[Diskon]]),cadangan[[#This Row],[Harga Normal C]])</f>
        <v>170000</v>
      </c>
      <c r="AB879" s="73">
        <f>IFERROR(INDEX(Katalog!$F$3:$F$12,MATCH(cadangan[[#This Row],[ItemID C]],Katalog!$C$3:$C$12,0))*cadangan[[#This Row],[Qty C]],0)</f>
        <v>80000</v>
      </c>
      <c r="AC879" s="73">
        <f>IFERROR(cadangan[[#This Row],[Harga Diskon C]]-INDEX(Katalog!$E$3:$E$12,MATCH(cadangan[[#This Row],[ItemID C]],Katalog!$C$3:$C$12,0))*cadangan[[#This Row],[Qty C]],0)</f>
        <v>50000</v>
      </c>
      <c r="AD879" s="53">
        <f>cadangan[[#This Row],[Qty A]]+cadangan[[#This Row],[Qty B]]+cadangan[[#This Row],[Qty C]]</f>
        <v>3</v>
      </c>
      <c r="AE879" s="73">
        <f>cadangan[[#This Row],[Harga Normal A]]+cadangan[[#This Row],[Harga Normal B]]+cadangan[[#This Row],[Harga Normal C]]</f>
        <v>1050000</v>
      </c>
      <c r="AF879" s="73">
        <f>cadangan[[#This Row],[Harga Diskon A]]+cadangan[[#This Row],[Harga Diskon B]]+cadangan[[#This Row],[Harga Diskon C]]</f>
        <v>892500</v>
      </c>
      <c r="AG879" s="73">
        <f>(cadangan[[#This Row],[Profit Normal A]]+cadangan[[#This Row],[Profit Normal B]]+cadangan[[#This Row],[Profit Normal C]])</f>
        <v>410000</v>
      </c>
      <c r="AH879" s="73">
        <f>cadangan[[#This Row],[Profit Diskon A]]+cadangan[[#This Row],[Profit Diskon B]]+cadangan[[#This Row],[Profit Diskon C]]</f>
        <v>252500</v>
      </c>
      <c r="AI879" s="23" t="s">
        <v>32</v>
      </c>
      <c r="AJ879" s="37">
        <f>IFERROR(INDEX('Kode Diskon'!$D$3:$D$9,MATCH(cadangan[[#This Row],[Kode diskon]],'Kode Diskon'!$C$3:$C$9,0)),"-")</f>
        <v>0.15</v>
      </c>
      <c r="AK879" s="23" t="s">
        <v>9</v>
      </c>
      <c r="AL879" s="23" t="s">
        <v>12</v>
      </c>
      <c r="AM879" s="23" t="s">
        <v>77</v>
      </c>
      <c r="AN879" s="55">
        <v>45044</v>
      </c>
      <c r="AO879" s="53">
        <f>DAY(cadangan[[#This Row],[Tanggal terjual]])</f>
        <v>28</v>
      </c>
      <c r="AP879" s="21" t="str">
        <f>TEXT(cadangan[[#This Row],[Tanggal terjual]],"dddd")</f>
        <v>Friday</v>
      </c>
      <c r="AQ879" s="23" t="str" cm="1">
        <f t="array" ref="AQ8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79" s="61">
        <f>AVERAGE(cadangan[[#This Row],[Rating A]],cadangan[[#This Row],[Rating B]],cadangan[[#This Row],[Rating C]])</f>
        <v>3</v>
      </c>
    </row>
    <row r="880" spans="1:44" x14ac:dyDescent="0.2">
      <c r="A880" s="20">
        <v>879</v>
      </c>
      <c r="B880" s="21" t="str">
        <f>_xlfn.CONCAT("ORD-",INDEX(Helper!$B$2:$B$5,MATCH(cadangan[[#This Row],[Marketplace]],Helper!$A$2:$A$5,0)),TEXT(cadangan[[#This Row],[No]],"0000"),"-",TEXT(cadangan[[#This Row],[Tanggal terjual]],"dd/mm/yy"))</f>
        <v>ORD-BL0879-16/04/23</v>
      </c>
      <c r="C880" s="39" t="s">
        <v>65</v>
      </c>
      <c r="D880" s="39" t="str">
        <f>IFERROR(INDEX(Katalog!$A$3:$A$12,MATCH(cadangan[[#This Row],[ItemID A]],Katalog!$C$3:$C$12,0)),"-")</f>
        <v>Sepatu Pria</v>
      </c>
      <c r="E880" s="39" t="str">
        <f>IFERROR(INDEX(Katalog!$B$3:$B$12,MATCH(cadangan[[#This Row],[ItemID A]],Katalog!$C$3:$C$12,0)),"-")</f>
        <v>Sneakers</v>
      </c>
      <c r="F880" s="50">
        <v>7</v>
      </c>
      <c r="G880" s="50">
        <v>2</v>
      </c>
      <c r="H880" s="73">
        <f>IFERROR(INDEX(Katalog!$D$3:$D$12,MATCH(cadangan[[#This Row],[ItemID A]],Katalog!$C$3:$C$12,0))*cadangan[[#This Row],[Qty A]],0)</f>
        <v>3500000</v>
      </c>
      <c r="I880" s="73">
        <f>IFERROR(cadangan[[#This Row],[Harga Normal A]]-(cadangan[[#This Row],[Harga Normal A]]*cadangan[[#This Row],[Diskon]]),cadangan[[#This Row],[Harga Normal A]])</f>
        <v>2975000</v>
      </c>
      <c r="J880" s="73">
        <f>INDEX(Katalog!$F$3:$F$12,MATCH(cadangan[[#This Row],[ItemID A]],Katalog!$C$3:$C$12,0))*cadangan[[#This Row],[Qty A]]</f>
        <v>1400000</v>
      </c>
      <c r="K880" s="73">
        <f>IFERROR(cadangan[[#This Row],[Harga Diskon A]]-INDEX(Katalog!$E$3:$E$12,MATCH(cadangan[[#This Row],[ItemID A]],Katalog!$C$3:$C$12,0))*cadangan[[#This Row],[Qty A]],0)</f>
        <v>875000</v>
      </c>
      <c r="M880" s="39" t="str">
        <f>IFERROR(INDEX(Katalog!$A$3:$A$12,MATCH(cadangan[[#This Row],[ItemID B]],Katalog!$C$3:$C$12,0)),"-")</f>
        <v>-</v>
      </c>
      <c r="N880" s="39" t="str">
        <f>IFERROR(INDEX(Katalog!$B$3:$B$12,MATCH(cadangan[[#This Row],[ItemID B]],Katalog!$C$3:$C$12,0)),"-")</f>
        <v>-</v>
      </c>
      <c r="Q880" s="73">
        <f>IFERROR(INDEX(Katalog!$D$3:$D$12,MATCH(cadangan[[#This Row],[ItemID B]],Katalog!$C$3:$C$12,0))*cadangan[[#This Row],[Qty B]],0)</f>
        <v>0</v>
      </c>
      <c r="R880" s="73">
        <f>IFERROR(cadangan[[#This Row],[Harga Normal B]]-(cadangan[[#This Row],[Harga Normal B]]*cadangan[[#This Row],[Diskon]]),cadangan[[#This Row],[Harga Normal B]])</f>
        <v>0</v>
      </c>
      <c r="S880" s="73">
        <f>IFERROR(INDEX(Katalog!$F$3:$F$12,MATCH(cadangan[[#This Row],[ItemID B]],Katalog!$C$3:$C$12,0))*cadangan[[#This Row],[Qty B]],0)</f>
        <v>0</v>
      </c>
      <c r="T880" s="73">
        <f>IFERROR(cadangan[[#This Row],[Harga Diskon B]]-INDEX(Katalog!$E$3:$E$12,MATCH(cadangan[[#This Row],[ItemID B]],Katalog!$C$3:$C$12,0))*cadangan[[#This Row],[Qty B]],0)</f>
        <v>0</v>
      </c>
      <c r="V880" s="39" t="str">
        <f>IFERROR(INDEX(Katalog!$A$3:$A$12,MATCH(cadangan[[#This Row],[ItemID C]],Katalog!$C$3:$C$12,0)),"-")</f>
        <v>-</v>
      </c>
      <c r="W880" s="39" t="str">
        <f>IFERROR(INDEX(Katalog!$B$3:$B$12,MATCH(cadangan[[#This Row],[ItemID C]],Katalog!$C$3:$C$12,0)),"-")</f>
        <v>-</v>
      </c>
      <c r="Z880" s="73">
        <f>IFERROR(INDEX(Katalog!$D$3:$D$12,MATCH(cadangan[[#This Row],[ItemID C]],Katalog!$C$3:$C$12,0))*cadangan[[#This Row],[Qty C]],0)</f>
        <v>0</v>
      </c>
      <c r="AA880" s="73">
        <f>IFERROR(cadangan[[#This Row],[Harga Normal C]]-(cadangan[[#This Row],[Harga Normal C]]*cadangan[[#This Row],[Diskon]]),cadangan[[#This Row],[Harga Normal C]])</f>
        <v>0</v>
      </c>
      <c r="AB880" s="73">
        <f>IFERROR(INDEX(Katalog!$F$3:$F$12,MATCH(cadangan[[#This Row],[ItemID C]],Katalog!$C$3:$C$12,0))*cadangan[[#This Row],[Qty C]],0)</f>
        <v>0</v>
      </c>
      <c r="AC880" s="73">
        <f>IFERROR(cadangan[[#This Row],[Harga Diskon C]]-INDEX(Katalog!$E$3:$E$12,MATCH(cadangan[[#This Row],[ItemID C]],Katalog!$C$3:$C$12,0))*cadangan[[#This Row],[Qty C]],0)</f>
        <v>0</v>
      </c>
      <c r="AD880" s="53">
        <f>cadangan[[#This Row],[Qty A]]+cadangan[[#This Row],[Qty B]]+cadangan[[#This Row],[Qty C]]</f>
        <v>7</v>
      </c>
      <c r="AE880" s="73">
        <f>cadangan[[#This Row],[Harga Normal A]]+cadangan[[#This Row],[Harga Normal B]]+cadangan[[#This Row],[Harga Normal C]]</f>
        <v>3500000</v>
      </c>
      <c r="AF880" s="73">
        <f>cadangan[[#This Row],[Harga Diskon A]]+cadangan[[#This Row],[Harga Diskon B]]+cadangan[[#This Row],[Harga Diskon C]]</f>
        <v>2975000</v>
      </c>
      <c r="AG880" s="73">
        <f>(cadangan[[#This Row],[Profit Normal A]]+cadangan[[#This Row],[Profit Normal B]]+cadangan[[#This Row],[Profit Normal C]])</f>
        <v>1400000</v>
      </c>
      <c r="AH880" s="73">
        <f>cadangan[[#This Row],[Profit Diskon A]]+cadangan[[#This Row],[Profit Diskon B]]+cadangan[[#This Row],[Profit Diskon C]]</f>
        <v>875000</v>
      </c>
      <c r="AI880" s="23" t="s">
        <v>32</v>
      </c>
      <c r="AJ880" s="37">
        <f>IFERROR(INDEX('Kode Diskon'!$D$3:$D$9,MATCH(cadangan[[#This Row],[Kode diskon]],'Kode Diskon'!$C$3:$C$9,0)),"-")</f>
        <v>0.15</v>
      </c>
      <c r="AK880" s="23" t="s">
        <v>9</v>
      </c>
      <c r="AL880" s="23" t="s">
        <v>12</v>
      </c>
      <c r="AM880" s="23" t="s">
        <v>80</v>
      </c>
      <c r="AN880" s="55">
        <v>45032</v>
      </c>
      <c r="AO880" s="53">
        <f>DAY(cadangan[[#This Row],[Tanggal terjual]])</f>
        <v>16</v>
      </c>
      <c r="AP880" s="21" t="str">
        <f>TEXT(cadangan[[#This Row],[Tanggal terjual]],"dddd")</f>
        <v>Sunday</v>
      </c>
      <c r="AQ880" s="23" t="str" cm="1">
        <f t="array" ref="AQ8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80" s="61">
        <f>AVERAGE(cadangan[[#This Row],[Rating A]],cadangan[[#This Row],[Rating B]],cadangan[[#This Row],[Rating C]])</f>
        <v>2</v>
      </c>
    </row>
    <row r="881" spans="1:44" x14ac:dyDescent="0.2">
      <c r="A881" s="20">
        <v>880</v>
      </c>
      <c r="B881" s="21" t="str">
        <f>_xlfn.CONCAT("ORD-",INDEX(Helper!$B$2:$B$5,MATCH(cadangan[[#This Row],[Marketplace]],Helper!$A$2:$A$5,0)),TEXT(cadangan[[#This Row],[No]],"0000"),"-",TEXT(cadangan[[#This Row],[Tanggal terjual]],"dd/mm/yy"))</f>
        <v>ORD-SP0880-01/04/23</v>
      </c>
      <c r="C881" s="39" t="s">
        <v>67</v>
      </c>
      <c r="D881" s="39" t="str">
        <f>IFERROR(INDEX(Katalog!$A$3:$A$12,MATCH(cadangan[[#This Row],[ItemID A]],Katalog!$C$3:$C$12,0)),"-")</f>
        <v>Sepatu Wanita</v>
      </c>
      <c r="E881" s="39" t="str">
        <f>IFERROR(INDEX(Katalog!$B$3:$B$12,MATCH(cadangan[[#This Row],[ItemID A]],Katalog!$C$3:$C$12,0)),"-")</f>
        <v>Flat Shoes</v>
      </c>
      <c r="F881" s="50">
        <v>1</v>
      </c>
      <c r="G881" s="50">
        <v>1</v>
      </c>
      <c r="H881" s="73">
        <f>IFERROR(INDEX(Katalog!$D$3:$D$12,MATCH(cadangan[[#This Row],[ItemID A]],Katalog!$C$3:$C$12,0))*cadangan[[#This Row],[Qty A]],0)</f>
        <v>250000</v>
      </c>
      <c r="I881" s="73">
        <f>IFERROR(cadangan[[#This Row],[Harga Normal A]]-(cadangan[[#This Row],[Harga Normal A]]*cadangan[[#This Row],[Diskon]]),cadangan[[#This Row],[Harga Normal A]])</f>
        <v>225000</v>
      </c>
      <c r="J881" s="73">
        <f>INDEX(Katalog!$F$3:$F$12,MATCH(cadangan[[#This Row],[ItemID A]],Katalog!$C$3:$C$12,0))*cadangan[[#This Row],[Qty A]]</f>
        <v>100000</v>
      </c>
      <c r="K881" s="73">
        <f>IFERROR(cadangan[[#This Row],[Harga Diskon A]]-INDEX(Katalog!$E$3:$E$12,MATCH(cadangan[[#This Row],[ItemID A]],Katalog!$C$3:$C$12,0))*cadangan[[#This Row],[Qty A]],0)</f>
        <v>75000</v>
      </c>
      <c r="L881" s="39" t="s">
        <v>60</v>
      </c>
      <c r="M881" s="39" t="str">
        <f>IFERROR(INDEX(Katalog!$A$3:$A$12,MATCH(cadangan[[#This Row],[ItemID B]],Katalog!$C$3:$C$12,0)),"-")</f>
        <v>Pakaian Wanita</v>
      </c>
      <c r="N881" s="39" t="str">
        <f>IFERROR(INDEX(Katalog!$B$3:$B$12,MATCH(cadangan[[#This Row],[ItemID B]],Katalog!$C$3:$C$12,0)),"-")</f>
        <v>Kaftan</v>
      </c>
      <c r="O881" s="50">
        <v>2</v>
      </c>
      <c r="P881" s="50">
        <v>4</v>
      </c>
      <c r="Q881" s="73">
        <f>IFERROR(INDEX(Katalog!$D$3:$D$12,MATCH(cadangan[[#This Row],[ItemID B]],Katalog!$C$3:$C$12,0))*cadangan[[#This Row],[Qty B]],0)</f>
        <v>500000</v>
      </c>
      <c r="R881" s="73">
        <f>IFERROR(cadangan[[#This Row],[Harga Normal B]]-(cadangan[[#This Row],[Harga Normal B]]*cadangan[[#This Row],[Diskon]]),cadangan[[#This Row],[Harga Normal B]])</f>
        <v>450000</v>
      </c>
      <c r="S881" s="73">
        <f>IFERROR(INDEX(Katalog!$F$3:$F$12,MATCH(cadangan[[#This Row],[ItemID B]],Katalog!$C$3:$C$12,0))*cadangan[[#This Row],[Qty B]],0)</f>
        <v>200000</v>
      </c>
      <c r="T881" s="73">
        <f>IFERROR(cadangan[[#This Row],[Harga Diskon B]]-INDEX(Katalog!$E$3:$E$12,MATCH(cadangan[[#This Row],[ItemID B]],Katalog!$C$3:$C$12,0))*cadangan[[#This Row],[Qty B]],0)</f>
        <v>150000</v>
      </c>
      <c r="V881" s="39" t="str">
        <f>IFERROR(INDEX(Katalog!$A$3:$A$12,MATCH(cadangan[[#This Row],[ItemID C]],Katalog!$C$3:$C$12,0)),"-")</f>
        <v>-</v>
      </c>
      <c r="W881" s="39" t="str">
        <f>IFERROR(INDEX(Katalog!$B$3:$B$12,MATCH(cadangan[[#This Row],[ItemID C]],Katalog!$C$3:$C$12,0)),"-")</f>
        <v>-</v>
      </c>
      <c r="Z881" s="73">
        <f>IFERROR(INDEX(Katalog!$D$3:$D$12,MATCH(cadangan[[#This Row],[ItemID C]],Katalog!$C$3:$C$12,0))*cadangan[[#This Row],[Qty C]],0)</f>
        <v>0</v>
      </c>
      <c r="AA881" s="73">
        <f>IFERROR(cadangan[[#This Row],[Harga Normal C]]-(cadangan[[#This Row],[Harga Normal C]]*cadangan[[#This Row],[Diskon]]),cadangan[[#This Row],[Harga Normal C]])</f>
        <v>0</v>
      </c>
      <c r="AB881" s="73">
        <f>IFERROR(INDEX(Katalog!$F$3:$F$12,MATCH(cadangan[[#This Row],[ItemID C]],Katalog!$C$3:$C$12,0))*cadangan[[#This Row],[Qty C]],0)</f>
        <v>0</v>
      </c>
      <c r="AC881" s="73">
        <f>IFERROR(cadangan[[#This Row],[Harga Diskon C]]-INDEX(Katalog!$E$3:$E$12,MATCH(cadangan[[#This Row],[ItemID C]],Katalog!$C$3:$C$12,0))*cadangan[[#This Row],[Qty C]],0)</f>
        <v>0</v>
      </c>
      <c r="AD881" s="53">
        <f>cadangan[[#This Row],[Qty A]]+cadangan[[#This Row],[Qty B]]+cadangan[[#This Row],[Qty C]]</f>
        <v>3</v>
      </c>
      <c r="AE881" s="73">
        <f>cadangan[[#This Row],[Harga Normal A]]+cadangan[[#This Row],[Harga Normal B]]+cadangan[[#This Row],[Harga Normal C]]</f>
        <v>750000</v>
      </c>
      <c r="AF881" s="73">
        <f>cadangan[[#This Row],[Harga Diskon A]]+cadangan[[#This Row],[Harga Diskon B]]+cadangan[[#This Row],[Harga Diskon C]]</f>
        <v>675000</v>
      </c>
      <c r="AG881" s="73">
        <f>(cadangan[[#This Row],[Profit Normal A]]+cadangan[[#This Row],[Profit Normal B]]+cadangan[[#This Row],[Profit Normal C]])</f>
        <v>300000</v>
      </c>
      <c r="AH881" s="73">
        <f>cadangan[[#This Row],[Profit Diskon A]]+cadangan[[#This Row],[Profit Diskon B]]+cadangan[[#This Row],[Profit Diskon C]]</f>
        <v>225000</v>
      </c>
      <c r="AI881" s="23" t="s">
        <v>6</v>
      </c>
      <c r="AJ881" s="37">
        <f>IFERROR(INDEX('Kode Diskon'!$D$3:$D$9,MATCH(cadangan[[#This Row],[Kode diskon]],'Kode Diskon'!$C$3:$C$9,0)),"-")</f>
        <v>0.1</v>
      </c>
      <c r="AK881" s="23" t="s">
        <v>29</v>
      </c>
      <c r="AL881" s="23" t="s">
        <v>7</v>
      </c>
      <c r="AM881" s="23" t="s">
        <v>80</v>
      </c>
      <c r="AN881" s="55">
        <v>45017</v>
      </c>
      <c r="AO881" s="53">
        <f>DAY(cadangan[[#This Row],[Tanggal terjual]])</f>
        <v>1</v>
      </c>
      <c r="AP881" s="21" t="str">
        <f>TEXT(cadangan[[#This Row],[Tanggal terjual]],"dddd")</f>
        <v>Saturday</v>
      </c>
      <c r="AQ881" s="23" t="str" cm="1">
        <f t="array" ref="AQ8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1" s="61">
        <f>AVERAGE(cadangan[[#This Row],[Rating A]],cadangan[[#This Row],[Rating B]],cadangan[[#This Row],[Rating C]])</f>
        <v>2.5</v>
      </c>
    </row>
    <row r="882" spans="1:44" x14ac:dyDescent="0.2">
      <c r="A882" s="20">
        <v>881</v>
      </c>
      <c r="B882" s="21" t="str">
        <f>_xlfn.CONCAT("ORD-",INDEX(Helper!$B$2:$B$5,MATCH(cadangan[[#This Row],[Marketplace]],Helper!$A$2:$A$5,0)),TEXT(cadangan[[#This Row],[No]],"0000"),"-",TEXT(cadangan[[#This Row],[Tanggal terjual]],"dd/mm/yy"))</f>
        <v>ORD-TK0881-23/04/23</v>
      </c>
      <c r="C882" s="39" t="s">
        <v>60</v>
      </c>
      <c r="D882" s="39" t="str">
        <f>IFERROR(INDEX(Katalog!$A$3:$A$12,MATCH(cadangan[[#This Row],[ItemID A]],Katalog!$C$3:$C$12,0)),"-")</f>
        <v>Pakaian Wanita</v>
      </c>
      <c r="E882" s="39" t="str">
        <f>IFERROR(INDEX(Katalog!$B$3:$B$12,MATCH(cadangan[[#This Row],[ItemID A]],Katalog!$C$3:$C$12,0)),"-")</f>
        <v>Kaftan</v>
      </c>
      <c r="F882" s="50">
        <v>3</v>
      </c>
      <c r="G882" s="50">
        <v>4</v>
      </c>
      <c r="H882" s="73">
        <f>IFERROR(INDEX(Katalog!$D$3:$D$12,MATCH(cadangan[[#This Row],[ItemID A]],Katalog!$C$3:$C$12,0))*cadangan[[#This Row],[Qty A]],0)</f>
        <v>750000</v>
      </c>
      <c r="I882" s="73">
        <f>IFERROR(cadangan[[#This Row],[Harga Normal A]]-(cadangan[[#This Row],[Harga Normal A]]*cadangan[[#This Row],[Diskon]]),cadangan[[#This Row],[Harga Normal A]])</f>
        <v>675000</v>
      </c>
      <c r="J882" s="73">
        <f>INDEX(Katalog!$F$3:$F$12,MATCH(cadangan[[#This Row],[ItemID A]],Katalog!$C$3:$C$12,0))*cadangan[[#This Row],[Qty A]]</f>
        <v>300000</v>
      </c>
      <c r="K882" s="73">
        <f>IFERROR(cadangan[[#This Row],[Harga Diskon A]]-INDEX(Katalog!$E$3:$E$12,MATCH(cadangan[[#This Row],[ItemID A]],Katalog!$C$3:$C$12,0))*cadangan[[#This Row],[Qty A]],0)</f>
        <v>225000</v>
      </c>
      <c r="L882" s="39" t="s">
        <v>61</v>
      </c>
      <c r="M882" s="39" t="str">
        <f>IFERROR(INDEX(Katalog!$A$3:$A$12,MATCH(cadangan[[#This Row],[ItemID B]],Katalog!$C$3:$C$12,0)),"-")</f>
        <v>Pakaian Pria</v>
      </c>
      <c r="N882" s="39" t="str">
        <f>IFERROR(INDEX(Katalog!$B$3:$B$12,MATCH(cadangan[[#This Row],[ItemID B]],Katalog!$C$3:$C$12,0)),"-")</f>
        <v>Kaos Polo</v>
      </c>
      <c r="O882" s="50">
        <v>1</v>
      </c>
      <c r="P882" s="50">
        <v>1</v>
      </c>
      <c r="Q882" s="73">
        <f>IFERROR(INDEX(Katalog!$D$3:$D$12,MATCH(cadangan[[#This Row],[ItemID B]],Katalog!$C$3:$C$12,0))*cadangan[[#This Row],[Qty B]],0)</f>
        <v>200000</v>
      </c>
      <c r="R882" s="73">
        <f>IFERROR(cadangan[[#This Row],[Harga Normal B]]-(cadangan[[#This Row],[Harga Normal B]]*cadangan[[#This Row],[Diskon]]),cadangan[[#This Row],[Harga Normal B]])</f>
        <v>180000</v>
      </c>
      <c r="S882" s="73">
        <f>IFERROR(INDEX(Katalog!$F$3:$F$12,MATCH(cadangan[[#This Row],[ItemID B]],Katalog!$C$3:$C$12,0))*cadangan[[#This Row],[Qty B]],0)</f>
        <v>80000</v>
      </c>
      <c r="T882" s="73">
        <f>IFERROR(cadangan[[#This Row],[Harga Diskon B]]-INDEX(Katalog!$E$3:$E$12,MATCH(cadangan[[#This Row],[ItemID B]],Katalog!$C$3:$C$12,0))*cadangan[[#This Row],[Qty B]],0)</f>
        <v>60000</v>
      </c>
      <c r="U882" s="39" t="s">
        <v>63</v>
      </c>
      <c r="V882" s="39" t="str">
        <f>IFERROR(INDEX(Katalog!$A$3:$A$12,MATCH(cadangan[[#This Row],[ItemID C]],Katalog!$C$3:$C$12,0)),"-")</f>
        <v>Pakaian Pria</v>
      </c>
      <c r="W882" s="39" t="str">
        <f>IFERROR(INDEX(Katalog!$B$3:$B$12,MATCH(cadangan[[#This Row],[ItemID C]],Katalog!$C$3:$C$12,0)),"-")</f>
        <v>Jaket Jeans</v>
      </c>
      <c r="X882" s="50">
        <v>3</v>
      </c>
      <c r="Y882" s="50">
        <v>5</v>
      </c>
      <c r="Z882" s="73">
        <f>IFERROR(INDEX(Katalog!$D$3:$D$12,MATCH(cadangan[[#This Row],[ItemID C]],Katalog!$C$3:$C$12,0))*cadangan[[#This Row],[Qty C]],0)</f>
        <v>1200000</v>
      </c>
      <c r="AA882" s="73">
        <f>IFERROR(cadangan[[#This Row],[Harga Normal C]]-(cadangan[[#This Row],[Harga Normal C]]*cadangan[[#This Row],[Diskon]]),cadangan[[#This Row],[Harga Normal C]])</f>
        <v>1080000</v>
      </c>
      <c r="AB882" s="73">
        <f>IFERROR(INDEX(Katalog!$F$3:$F$12,MATCH(cadangan[[#This Row],[ItemID C]],Katalog!$C$3:$C$12,0))*cadangan[[#This Row],[Qty C]],0)</f>
        <v>450000</v>
      </c>
      <c r="AC882" s="73">
        <f>IFERROR(cadangan[[#This Row],[Harga Diskon C]]-INDEX(Katalog!$E$3:$E$12,MATCH(cadangan[[#This Row],[ItemID C]],Katalog!$C$3:$C$12,0))*cadangan[[#This Row],[Qty C]],0)</f>
        <v>330000</v>
      </c>
      <c r="AD882" s="53">
        <f>cadangan[[#This Row],[Qty A]]+cadangan[[#This Row],[Qty B]]+cadangan[[#This Row],[Qty C]]</f>
        <v>7</v>
      </c>
      <c r="AE882" s="73">
        <f>cadangan[[#This Row],[Harga Normal A]]+cadangan[[#This Row],[Harga Normal B]]+cadangan[[#This Row],[Harga Normal C]]</f>
        <v>2150000</v>
      </c>
      <c r="AF882" s="73">
        <f>cadangan[[#This Row],[Harga Diskon A]]+cadangan[[#This Row],[Harga Diskon B]]+cadangan[[#This Row],[Harga Diskon C]]</f>
        <v>1935000</v>
      </c>
      <c r="AG882" s="73">
        <f>(cadangan[[#This Row],[Profit Normal A]]+cadangan[[#This Row],[Profit Normal B]]+cadangan[[#This Row],[Profit Normal C]])</f>
        <v>830000</v>
      </c>
      <c r="AH882" s="73">
        <f>cadangan[[#This Row],[Profit Diskon A]]+cadangan[[#This Row],[Profit Diskon B]]+cadangan[[#This Row],[Profit Diskon C]]</f>
        <v>615000</v>
      </c>
      <c r="AI882" s="23" t="s">
        <v>31</v>
      </c>
      <c r="AJ882" s="37">
        <f>IFERROR(INDEX('Kode Diskon'!$D$3:$D$9,MATCH(cadangan[[#This Row],[Kode diskon]],'Kode Diskon'!$C$3:$C$9,0)),"-")</f>
        <v>0.1</v>
      </c>
      <c r="AK882" s="23" t="s">
        <v>9</v>
      </c>
      <c r="AL882" s="23" t="s">
        <v>10</v>
      </c>
      <c r="AM882" s="23" t="s">
        <v>75</v>
      </c>
      <c r="AN882" s="55">
        <v>45039</v>
      </c>
      <c r="AO882" s="53">
        <f>DAY(cadangan[[#This Row],[Tanggal terjual]])</f>
        <v>23</v>
      </c>
      <c r="AP882" s="21" t="str">
        <f>TEXT(cadangan[[#This Row],[Tanggal terjual]],"dddd")</f>
        <v>Sunday</v>
      </c>
      <c r="AQ882" s="23" t="str" cm="1">
        <f t="array" ref="AQ8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82" s="61">
        <f>AVERAGE(cadangan[[#This Row],[Rating A]],cadangan[[#This Row],[Rating B]],cadangan[[#This Row],[Rating C]])</f>
        <v>3.3333333333333335</v>
      </c>
    </row>
    <row r="883" spans="1:44" x14ac:dyDescent="0.2">
      <c r="A883" s="20">
        <v>882</v>
      </c>
      <c r="B883" s="21" t="str">
        <f>_xlfn.CONCAT("ORD-",INDEX(Helper!$B$2:$B$5,MATCH(cadangan[[#This Row],[Marketplace]],Helper!$A$2:$A$5,0)),TEXT(cadangan[[#This Row],[No]],"0000"),"-",TEXT(cadangan[[#This Row],[Tanggal terjual]],"dd/mm/yy"))</f>
        <v>ORD-TK0882-03/04/23</v>
      </c>
      <c r="C883" s="39" t="s">
        <v>64</v>
      </c>
      <c r="D883" s="39" t="str">
        <f>IFERROR(INDEX(Katalog!$A$3:$A$12,MATCH(cadangan[[#This Row],[ItemID A]],Katalog!$C$3:$C$12,0)),"-")</f>
        <v>Pakaian Unisex</v>
      </c>
      <c r="E883" s="39" t="str">
        <f>IFERROR(INDEX(Katalog!$B$3:$B$12,MATCH(cadangan[[#This Row],[ItemID A]],Katalog!$C$3:$C$12,0)),"-")</f>
        <v>Jaket Hoodie</v>
      </c>
      <c r="F883" s="50">
        <v>2</v>
      </c>
      <c r="G883" s="50">
        <v>2</v>
      </c>
      <c r="H883" s="73">
        <f>IFERROR(INDEX(Katalog!$D$3:$D$12,MATCH(cadangan[[#This Row],[ItemID A]],Katalog!$C$3:$C$12,0))*cadangan[[#This Row],[Qty A]],0)</f>
        <v>700000</v>
      </c>
      <c r="I883" s="73">
        <f>IFERROR(cadangan[[#This Row],[Harga Normal A]]-(cadangan[[#This Row],[Harga Normal A]]*cadangan[[#This Row],[Diskon]]),cadangan[[#This Row],[Harga Normal A]])</f>
        <v>630000</v>
      </c>
      <c r="J883" s="73">
        <f>INDEX(Katalog!$F$3:$F$12,MATCH(cadangan[[#This Row],[ItemID A]],Katalog!$C$3:$C$12,0))*cadangan[[#This Row],[Qty A]]</f>
        <v>260000</v>
      </c>
      <c r="K883" s="73">
        <f>IFERROR(cadangan[[#This Row],[Harga Diskon A]]-INDEX(Katalog!$E$3:$E$12,MATCH(cadangan[[#This Row],[ItemID A]],Katalog!$C$3:$C$12,0))*cadangan[[#This Row],[Qty A]],0)</f>
        <v>190000</v>
      </c>
      <c r="M883" s="39" t="str">
        <f>IFERROR(INDEX(Katalog!$A$3:$A$12,MATCH(cadangan[[#This Row],[ItemID B]],Katalog!$C$3:$C$12,0)),"-")</f>
        <v>-</v>
      </c>
      <c r="N883" s="39" t="str">
        <f>IFERROR(INDEX(Katalog!$B$3:$B$12,MATCH(cadangan[[#This Row],[ItemID B]],Katalog!$C$3:$C$12,0)),"-")</f>
        <v>-</v>
      </c>
      <c r="Q883" s="73">
        <f>IFERROR(INDEX(Katalog!$D$3:$D$12,MATCH(cadangan[[#This Row],[ItemID B]],Katalog!$C$3:$C$12,0))*cadangan[[#This Row],[Qty B]],0)</f>
        <v>0</v>
      </c>
      <c r="R883" s="73">
        <f>IFERROR(cadangan[[#This Row],[Harga Normal B]]-(cadangan[[#This Row],[Harga Normal B]]*cadangan[[#This Row],[Diskon]]),cadangan[[#This Row],[Harga Normal B]])</f>
        <v>0</v>
      </c>
      <c r="S883" s="73">
        <f>IFERROR(INDEX(Katalog!$F$3:$F$12,MATCH(cadangan[[#This Row],[ItemID B]],Katalog!$C$3:$C$12,0))*cadangan[[#This Row],[Qty B]],0)</f>
        <v>0</v>
      </c>
      <c r="T883" s="73">
        <f>IFERROR(cadangan[[#This Row],[Harga Diskon B]]-INDEX(Katalog!$E$3:$E$12,MATCH(cadangan[[#This Row],[ItemID B]],Katalog!$C$3:$C$12,0))*cadangan[[#This Row],[Qty B]],0)</f>
        <v>0</v>
      </c>
      <c r="V883" s="39" t="str">
        <f>IFERROR(INDEX(Katalog!$A$3:$A$12,MATCH(cadangan[[#This Row],[ItemID C]],Katalog!$C$3:$C$12,0)),"-")</f>
        <v>-</v>
      </c>
      <c r="W883" s="39" t="str">
        <f>IFERROR(INDEX(Katalog!$B$3:$B$12,MATCH(cadangan[[#This Row],[ItemID C]],Katalog!$C$3:$C$12,0)),"-")</f>
        <v>-</v>
      </c>
      <c r="Z883" s="73">
        <f>IFERROR(INDEX(Katalog!$D$3:$D$12,MATCH(cadangan[[#This Row],[ItemID C]],Katalog!$C$3:$C$12,0))*cadangan[[#This Row],[Qty C]],0)</f>
        <v>0</v>
      </c>
      <c r="AA883" s="73">
        <f>IFERROR(cadangan[[#This Row],[Harga Normal C]]-(cadangan[[#This Row],[Harga Normal C]]*cadangan[[#This Row],[Diskon]]),cadangan[[#This Row],[Harga Normal C]])</f>
        <v>0</v>
      </c>
      <c r="AB883" s="73">
        <f>IFERROR(INDEX(Katalog!$F$3:$F$12,MATCH(cadangan[[#This Row],[ItemID C]],Katalog!$C$3:$C$12,0))*cadangan[[#This Row],[Qty C]],0)</f>
        <v>0</v>
      </c>
      <c r="AC883" s="73">
        <f>IFERROR(cadangan[[#This Row],[Harga Diskon C]]-INDEX(Katalog!$E$3:$E$12,MATCH(cadangan[[#This Row],[ItemID C]],Katalog!$C$3:$C$12,0))*cadangan[[#This Row],[Qty C]],0)</f>
        <v>0</v>
      </c>
      <c r="AD883" s="53">
        <f>cadangan[[#This Row],[Qty A]]+cadangan[[#This Row],[Qty B]]+cadangan[[#This Row],[Qty C]]</f>
        <v>2</v>
      </c>
      <c r="AE883" s="73">
        <f>cadangan[[#This Row],[Harga Normal A]]+cadangan[[#This Row],[Harga Normal B]]+cadangan[[#This Row],[Harga Normal C]]</f>
        <v>700000</v>
      </c>
      <c r="AF883" s="73">
        <f>cadangan[[#This Row],[Harga Diskon A]]+cadangan[[#This Row],[Harga Diskon B]]+cadangan[[#This Row],[Harga Diskon C]]</f>
        <v>630000</v>
      </c>
      <c r="AG883" s="73">
        <f>(cadangan[[#This Row],[Profit Normal A]]+cadangan[[#This Row],[Profit Normal B]]+cadangan[[#This Row],[Profit Normal C]])</f>
        <v>260000</v>
      </c>
      <c r="AH883" s="73">
        <f>cadangan[[#This Row],[Profit Diskon A]]+cadangan[[#This Row],[Profit Diskon B]]+cadangan[[#This Row],[Profit Diskon C]]</f>
        <v>190000</v>
      </c>
      <c r="AI883" s="23" t="s">
        <v>30</v>
      </c>
      <c r="AJ883" s="37">
        <f>IFERROR(INDEX('Kode Diskon'!$D$3:$D$9,MATCH(cadangan[[#This Row],[Kode diskon]],'Kode Diskon'!$C$3:$C$9,0)),"-")</f>
        <v>0.1</v>
      </c>
      <c r="AK883" s="23" t="s">
        <v>29</v>
      </c>
      <c r="AL883" s="23" t="s">
        <v>10</v>
      </c>
      <c r="AM883" s="23" t="s">
        <v>80</v>
      </c>
      <c r="AN883" s="55">
        <v>45019</v>
      </c>
      <c r="AO883" s="53">
        <f>DAY(cadangan[[#This Row],[Tanggal terjual]])</f>
        <v>3</v>
      </c>
      <c r="AP883" s="21" t="str">
        <f>TEXT(cadangan[[#This Row],[Tanggal terjual]],"dddd")</f>
        <v>Monday</v>
      </c>
      <c r="AQ883" s="23" t="str" cm="1">
        <f t="array" ref="AQ8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3" s="61">
        <f>AVERAGE(cadangan[[#This Row],[Rating A]],cadangan[[#This Row],[Rating B]],cadangan[[#This Row],[Rating C]])</f>
        <v>2</v>
      </c>
    </row>
    <row r="884" spans="1:44" x14ac:dyDescent="0.2">
      <c r="A884" s="20">
        <v>883</v>
      </c>
      <c r="B884" s="21" t="str">
        <f>_xlfn.CONCAT("ORD-",INDEX(Helper!$B$2:$B$5,MATCH(cadangan[[#This Row],[Marketplace]],Helper!$A$2:$A$5,0)),TEXT(cadangan[[#This Row],[No]],"0000"),"-",TEXT(cadangan[[#This Row],[Tanggal terjual]],"dd/mm/yy"))</f>
        <v>ORD-SP0883-04/04/23</v>
      </c>
      <c r="C884" s="39" t="s">
        <v>60</v>
      </c>
      <c r="D884" s="39" t="str">
        <f>IFERROR(INDEX(Katalog!$A$3:$A$12,MATCH(cadangan[[#This Row],[ItemID A]],Katalog!$C$3:$C$12,0)),"-")</f>
        <v>Pakaian Wanita</v>
      </c>
      <c r="E884" s="39" t="str">
        <f>IFERROR(INDEX(Katalog!$B$3:$B$12,MATCH(cadangan[[#This Row],[ItemID A]],Katalog!$C$3:$C$12,0)),"-")</f>
        <v>Kaftan</v>
      </c>
      <c r="F884" s="50">
        <v>2</v>
      </c>
      <c r="G884" s="50">
        <v>2</v>
      </c>
      <c r="H884" s="73">
        <f>IFERROR(INDEX(Katalog!$D$3:$D$12,MATCH(cadangan[[#This Row],[ItemID A]],Katalog!$C$3:$C$12,0))*cadangan[[#This Row],[Qty A]],0)</f>
        <v>500000</v>
      </c>
      <c r="I884" s="73">
        <f>IFERROR(cadangan[[#This Row],[Harga Normal A]]-(cadangan[[#This Row],[Harga Normal A]]*cadangan[[#This Row],[Diskon]]),cadangan[[#This Row],[Harga Normal A]])</f>
        <v>425000</v>
      </c>
      <c r="J884" s="73">
        <f>INDEX(Katalog!$F$3:$F$12,MATCH(cadangan[[#This Row],[ItemID A]],Katalog!$C$3:$C$12,0))*cadangan[[#This Row],[Qty A]]</f>
        <v>200000</v>
      </c>
      <c r="K884" s="73">
        <f>IFERROR(cadangan[[#This Row],[Harga Diskon A]]-INDEX(Katalog!$E$3:$E$12,MATCH(cadangan[[#This Row],[ItemID A]],Katalog!$C$3:$C$12,0))*cadangan[[#This Row],[Qty A]],0)</f>
        <v>125000</v>
      </c>
      <c r="L884" s="39" t="s">
        <v>59</v>
      </c>
      <c r="M884" s="39" t="str">
        <f>IFERROR(INDEX(Katalog!$A$3:$A$12,MATCH(cadangan[[#This Row],[ItemID B]],Katalog!$C$3:$C$12,0)),"-")</f>
        <v>Pakaian Wanita</v>
      </c>
      <c r="N884" s="39" t="str">
        <f>IFERROR(INDEX(Katalog!$B$3:$B$12,MATCH(cadangan[[#This Row],[ItemID B]],Katalog!$C$3:$C$12,0)),"-")</f>
        <v>Blouse</v>
      </c>
      <c r="O884" s="50">
        <v>1</v>
      </c>
      <c r="P884" s="50">
        <v>5</v>
      </c>
      <c r="Q884" s="73">
        <f>IFERROR(INDEX(Katalog!$D$3:$D$12,MATCH(cadangan[[#This Row],[ItemID B]],Katalog!$C$3:$C$12,0))*cadangan[[#This Row],[Qty B]],0)</f>
        <v>150000</v>
      </c>
      <c r="R884" s="73">
        <f>IFERROR(cadangan[[#This Row],[Harga Normal B]]-(cadangan[[#This Row],[Harga Normal B]]*cadangan[[#This Row],[Diskon]]),cadangan[[#This Row],[Harga Normal B]])</f>
        <v>127500</v>
      </c>
      <c r="S884" s="73">
        <f>IFERROR(INDEX(Katalog!$F$3:$F$12,MATCH(cadangan[[#This Row],[ItemID B]],Katalog!$C$3:$C$12,0))*cadangan[[#This Row],[Qty B]],0)</f>
        <v>50000</v>
      </c>
      <c r="T884" s="73">
        <f>IFERROR(cadangan[[#This Row],[Harga Diskon B]]-INDEX(Katalog!$E$3:$E$12,MATCH(cadangan[[#This Row],[ItemID B]],Katalog!$C$3:$C$12,0))*cadangan[[#This Row],[Qty B]],0)</f>
        <v>27500</v>
      </c>
      <c r="U884" s="39" t="s">
        <v>67</v>
      </c>
      <c r="V884" s="39" t="str">
        <f>IFERROR(INDEX(Katalog!$A$3:$A$12,MATCH(cadangan[[#This Row],[ItemID C]],Katalog!$C$3:$C$12,0)),"-")</f>
        <v>Sepatu Wanita</v>
      </c>
      <c r="W884" s="39" t="str">
        <f>IFERROR(INDEX(Katalog!$B$3:$B$12,MATCH(cadangan[[#This Row],[ItemID C]],Katalog!$C$3:$C$12,0)),"-")</f>
        <v>Flat Shoes</v>
      </c>
      <c r="X884" s="50">
        <v>1</v>
      </c>
      <c r="Y884" s="50">
        <v>4</v>
      </c>
      <c r="Z884" s="73">
        <f>IFERROR(INDEX(Katalog!$D$3:$D$12,MATCH(cadangan[[#This Row],[ItemID C]],Katalog!$C$3:$C$12,0))*cadangan[[#This Row],[Qty C]],0)</f>
        <v>250000</v>
      </c>
      <c r="AA884" s="73">
        <f>IFERROR(cadangan[[#This Row],[Harga Normal C]]-(cadangan[[#This Row],[Harga Normal C]]*cadangan[[#This Row],[Diskon]]),cadangan[[#This Row],[Harga Normal C]])</f>
        <v>212500</v>
      </c>
      <c r="AB884" s="73">
        <f>IFERROR(INDEX(Katalog!$F$3:$F$12,MATCH(cadangan[[#This Row],[ItemID C]],Katalog!$C$3:$C$12,0))*cadangan[[#This Row],[Qty C]],0)</f>
        <v>100000</v>
      </c>
      <c r="AC884" s="73">
        <f>IFERROR(cadangan[[#This Row],[Harga Diskon C]]-INDEX(Katalog!$E$3:$E$12,MATCH(cadangan[[#This Row],[ItemID C]],Katalog!$C$3:$C$12,0))*cadangan[[#This Row],[Qty C]],0)</f>
        <v>62500</v>
      </c>
      <c r="AD884" s="53">
        <f>cadangan[[#This Row],[Qty A]]+cadangan[[#This Row],[Qty B]]+cadangan[[#This Row],[Qty C]]</f>
        <v>4</v>
      </c>
      <c r="AE884" s="73">
        <f>cadangan[[#This Row],[Harga Normal A]]+cadangan[[#This Row],[Harga Normal B]]+cadangan[[#This Row],[Harga Normal C]]</f>
        <v>900000</v>
      </c>
      <c r="AF884" s="73">
        <f>cadangan[[#This Row],[Harga Diskon A]]+cadangan[[#This Row],[Harga Diskon B]]+cadangan[[#This Row],[Harga Diskon C]]</f>
        <v>765000</v>
      </c>
      <c r="AG884" s="73">
        <f>(cadangan[[#This Row],[Profit Normal A]]+cadangan[[#This Row],[Profit Normal B]]+cadangan[[#This Row],[Profit Normal C]])</f>
        <v>350000</v>
      </c>
      <c r="AH884" s="73">
        <f>cadangan[[#This Row],[Profit Diskon A]]+cadangan[[#This Row],[Profit Diskon B]]+cadangan[[#This Row],[Profit Diskon C]]</f>
        <v>215000</v>
      </c>
      <c r="AI884" s="23" t="s">
        <v>13</v>
      </c>
      <c r="AJ884" s="37">
        <f>IFERROR(INDEX('Kode Diskon'!$D$3:$D$9,MATCH(cadangan[[#This Row],[Kode diskon]],'Kode Diskon'!$C$3:$C$9,0)),"-")</f>
        <v>0.15</v>
      </c>
      <c r="AK884" s="23" t="s">
        <v>29</v>
      </c>
      <c r="AL884" s="23" t="s">
        <v>7</v>
      </c>
      <c r="AM884" s="23" t="s">
        <v>76</v>
      </c>
      <c r="AN884" s="55">
        <v>45020</v>
      </c>
      <c r="AO884" s="53">
        <f>DAY(cadangan[[#This Row],[Tanggal terjual]])</f>
        <v>4</v>
      </c>
      <c r="AP884" s="21" t="str">
        <f>TEXT(cadangan[[#This Row],[Tanggal terjual]],"dddd")</f>
        <v>Tuesday</v>
      </c>
      <c r="AQ884" s="23" t="str" cm="1">
        <f t="array" ref="AQ8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4" s="61">
        <f>AVERAGE(cadangan[[#This Row],[Rating A]],cadangan[[#This Row],[Rating B]],cadangan[[#This Row],[Rating C]])</f>
        <v>3.6666666666666665</v>
      </c>
    </row>
    <row r="885" spans="1:44" x14ac:dyDescent="0.2">
      <c r="A885" s="20">
        <v>884</v>
      </c>
      <c r="B885" s="21" t="str">
        <f>_xlfn.CONCAT("ORD-",INDEX(Helper!$B$2:$B$5,MATCH(cadangan[[#This Row],[Marketplace]],Helper!$A$2:$A$5,0)),TEXT(cadangan[[#This Row],[No]],"0000"),"-",TEXT(cadangan[[#This Row],[Tanggal terjual]],"dd/mm/yy"))</f>
        <v>ORD-SP0884-02/04/23</v>
      </c>
      <c r="C885" s="39" t="s">
        <v>63</v>
      </c>
      <c r="D885" s="39" t="str">
        <f>IFERROR(INDEX(Katalog!$A$3:$A$12,MATCH(cadangan[[#This Row],[ItemID A]],Katalog!$C$3:$C$12,0)),"-")</f>
        <v>Pakaian Pria</v>
      </c>
      <c r="E885" s="39" t="str">
        <f>IFERROR(INDEX(Katalog!$B$3:$B$12,MATCH(cadangan[[#This Row],[ItemID A]],Katalog!$C$3:$C$12,0)),"-")</f>
        <v>Jaket Jeans</v>
      </c>
      <c r="F885" s="50">
        <v>1</v>
      </c>
      <c r="G885" s="50">
        <v>3</v>
      </c>
      <c r="H885" s="73">
        <f>IFERROR(INDEX(Katalog!$D$3:$D$12,MATCH(cadangan[[#This Row],[ItemID A]],Katalog!$C$3:$C$12,0))*cadangan[[#This Row],[Qty A]],0)</f>
        <v>400000</v>
      </c>
      <c r="I885" s="73">
        <f>IFERROR(cadangan[[#This Row],[Harga Normal A]]-(cadangan[[#This Row],[Harga Normal A]]*cadangan[[#This Row],[Diskon]]),cadangan[[#This Row],[Harga Normal A]])</f>
        <v>340000</v>
      </c>
      <c r="J885" s="73">
        <f>INDEX(Katalog!$F$3:$F$12,MATCH(cadangan[[#This Row],[ItemID A]],Katalog!$C$3:$C$12,0))*cadangan[[#This Row],[Qty A]]</f>
        <v>150000</v>
      </c>
      <c r="K885" s="73">
        <f>IFERROR(cadangan[[#This Row],[Harga Diskon A]]-INDEX(Katalog!$E$3:$E$12,MATCH(cadangan[[#This Row],[ItemID A]],Katalog!$C$3:$C$12,0))*cadangan[[#This Row],[Qty A]],0)</f>
        <v>90000</v>
      </c>
      <c r="L885" s="39" t="s">
        <v>66</v>
      </c>
      <c r="M885" s="39" t="str">
        <f>IFERROR(INDEX(Katalog!$A$3:$A$12,MATCH(cadangan[[#This Row],[ItemID B]],Katalog!$C$3:$C$12,0)),"-")</f>
        <v>Sepatu Pria</v>
      </c>
      <c r="N885" s="39" t="str">
        <f>IFERROR(INDEX(Katalog!$B$3:$B$12,MATCH(cadangan[[#This Row],[ItemID B]],Katalog!$C$3:$C$12,0)),"-")</f>
        <v>Sandal Slip On</v>
      </c>
      <c r="O885" s="50">
        <v>1</v>
      </c>
      <c r="P885" s="50">
        <v>4</v>
      </c>
      <c r="Q885" s="73">
        <f>IFERROR(INDEX(Katalog!$D$3:$D$12,MATCH(cadangan[[#This Row],[ItemID B]],Katalog!$C$3:$C$12,0))*cadangan[[#This Row],[Qty B]],0)</f>
        <v>150000</v>
      </c>
      <c r="R885" s="73">
        <f>IFERROR(cadangan[[#This Row],[Harga Normal B]]-(cadangan[[#This Row],[Harga Normal B]]*cadangan[[#This Row],[Diskon]]),cadangan[[#This Row],[Harga Normal B]])</f>
        <v>127500</v>
      </c>
      <c r="S885" s="73">
        <f>IFERROR(INDEX(Katalog!$F$3:$F$12,MATCH(cadangan[[#This Row],[ItemID B]],Katalog!$C$3:$C$12,0))*cadangan[[#This Row],[Qty B]],0)</f>
        <v>60000</v>
      </c>
      <c r="T885" s="73">
        <f>IFERROR(cadangan[[#This Row],[Harga Diskon B]]-INDEX(Katalog!$E$3:$E$12,MATCH(cadangan[[#This Row],[ItemID B]],Katalog!$C$3:$C$12,0))*cadangan[[#This Row],[Qty B]],0)</f>
        <v>37500</v>
      </c>
      <c r="U885" s="39" t="s">
        <v>62</v>
      </c>
      <c r="V885" s="39" t="str">
        <f>IFERROR(INDEX(Katalog!$A$3:$A$12,MATCH(cadangan[[#This Row],[ItemID C]],Katalog!$C$3:$C$12,0)),"-")</f>
        <v>Pakaian Pria</v>
      </c>
      <c r="W885" s="39" t="str">
        <f>IFERROR(INDEX(Katalog!$B$3:$B$12,MATCH(cadangan[[#This Row],[ItemID C]],Katalog!$C$3:$C$12,0)),"-")</f>
        <v>Celana Pendek</v>
      </c>
      <c r="X885" s="50">
        <v>3</v>
      </c>
      <c r="Y885" s="50">
        <v>5</v>
      </c>
      <c r="Z885" s="73">
        <f>IFERROR(INDEX(Katalog!$D$3:$D$12,MATCH(cadangan[[#This Row],[ItemID C]],Katalog!$C$3:$C$12,0))*cadangan[[#This Row],[Qty C]],0)</f>
        <v>540000</v>
      </c>
      <c r="AA885" s="73">
        <f>IFERROR(cadangan[[#This Row],[Harga Normal C]]-(cadangan[[#This Row],[Harga Normal C]]*cadangan[[#This Row],[Diskon]]),cadangan[[#This Row],[Harga Normal C]])</f>
        <v>459000</v>
      </c>
      <c r="AB885" s="73">
        <f>IFERROR(INDEX(Katalog!$F$3:$F$12,MATCH(cadangan[[#This Row],[ItemID C]],Katalog!$C$3:$C$12,0))*cadangan[[#This Row],[Qty C]],0)</f>
        <v>210000</v>
      </c>
      <c r="AC885" s="73">
        <f>IFERROR(cadangan[[#This Row],[Harga Diskon C]]-INDEX(Katalog!$E$3:$E$12,MATCH(cadangan[[#This Row],[ItemID C]],Katalog!$C$3:$C$12,0))*cadangan[[#This Row],[Qty C]],0)</f>
        <v>129000</v>
      </c>
      <c r="AD885" s="53">
        <f>cadangan[[#This Row],[Qty A]]+cadangan[[#This Row],[Qty B]]+cadangan[[#This Row],[Qty C]]</f>
        <v>5</v>
      </c>
      <c r="AE885" s="73">
        <f>cadangan[[#This Row],[Harga Normal A]]+cadangan[[#This Row],[Harga Normal B]]+cadangan[[#This Row],[Harga Normal C]]</f>
        <v>1090000</v>
      </c>
      <c r="AF885" s="73">
        <f>cadangan[[#This Row],[Harga Diskon A]]+cadangan[[#This Row],[Harga Diskon B]]+cadangan[[#This Row],[Harga Diskon C]]</f>
        <v>926500</v>
      </c>
      <c r="AG885" s="73">
        <f>(cadangan[[#This Row],[Profit Normal A]]+cadangan[[#This Row],[Profit Normal B]]+cadangan[[#This Row],[Profit Normal C]])</f>
        <v>420000</v>
      </c>
      <c r="AH885" s="73">
        <f>cadangan[[#This Row],[Profit Diskon A]]+cadangan[[#This Row],[Profit Diskon B]]+cadangan[[#This Row],[Profit Diskon C]]</f>
        <v>256500</v>
      </c>
      <c r="AI885" s="23" t="s">
        <v>13</v>
      </c>
      <c r="AJ885" s="37">
        <f>IFERROR(INDEX('Kode Diskon'!$D$3:$D$9,MATCH(cadangan[[#This Row],[Kode diskon]],'Kode Diskon'!$C$3:$C$9,0)),"-")</f>
        <v>0.15</v>
      </c>
      <c r="AK885" s="23" t="s">
        <v>29</v>
      </c>
      <c r="AL885" s="23" t="s">
        <v>7</v>
      </c>
      <c r="AM885" s="23" t="s">
        <v>78</v>
      </c>
      <c r="AN885" s="55">
        <v>45018</v>
      </c>
      <c r="AO885" s="53">
        <f>DAY(cadangan[[#This Row],[Tanggal terjual]])</f>
        <v>2</v>
      </c>
      <c r="AP885" s="21" t="str">
        <f>TEXT(cadangan[[#This Row],[Tanggal terjual]],"dddd")</f>
        <v>Sunday</v>
      </c>
      <c r="AQ885" s="23" t="str" cm="1">
        <f t="array" ref="AQ8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5" s="61">
        <f>AVERAGE(cadangan[[#This Row],[Rating A]],cadangan[[#This Row],[Rating B]],cadangan[[#This Row],[Rating C]])</f>
        <v>4</v>
      </c>
    </row>
    <row r="886" spans="1:44" x14ac:dyDescent="0.2">
      <c r="A886" s="20">
        <v>885</v>
      </c>
      <c r="B886" s="21" t="str">
        <f>_xlfn.CONCAT("ORD-",INDEX(Helper!$B$2:$B$5,MATCH(cadangan[[#This Row],[Marketplace]],Helper!$A$2:$A$5,0)),TEXT(cadangan[[#This Row],[No]],"0000"),"-",TEXT(cadangan[[#This Row],[Tanggal terjual]],"dd/mm/yy"))</f>
        <v>ORD-BB0885-04/04/23</v>
      </c>
      <c r="C886" s="39" t="s">
        <v>65</v>
      </c>
      <c r="D886" s="39" t="str">
        <f>IFERROR(INDEX(Katalog!$A$3:$A$12,MATCH(cadangan[[#This Row],[ItemID A]],Katalog!$C$3:$C$12,0)),"-")</f>
        <v>Sepatu Pria</v>
      </c>
      <c r="E886" s="39" t="str">
        <f>IFERROR(INDEX(Katalog!$B$3:$B$12,MATCH(cadangan[[#This Row],[ItemID A]],Katalog!$C$3:$C$12,0)),"-")</f>
        <v>Sneakers</v>
      </c>
      <c r="F886" s="50">
        <v>4</v>
      </c>
      <c r="G886" s="50">
        <v>5</v>
      </c>
      <c r="H886" s="73">
        <f>IFERROR(INDEX(Katalog!$D$3:$D$12,MATCH(cadangan[[#This Row],[ItemID A]],Katalog!$C$3:$C$12,0))*cadangan[[#This Row],[Qty A]],0)</f>
        <v>2000000</v>
      </c>
      <c r="I886" s="73">
        <f>IFERROR(cadangan[[#This Row],[Harga Normal A]]-(cadangan[[#This Row],[Harga Normal A]]*cadangan[[#This Row],[Diskon]]),cadangan[[#This Row],[Harga Normal A]])</f>
        <v>1700000</v>
      </c>
      <c r="J886" s="73">
        <f>INDEX(Katalog!$F$3:$F$12,MATCH(cadangan[[#This Row],[ItemID A]],Katalog!$C$3:$C$12,0))*cadangan[[#This Row],[Qty A]]</f>
        <v>800000</v>
      </c>
      <c r="K886" s="73">
        <f>IFERROR(cadangan[[#This Row],[Harga Diskon A]]-INDEX(Katalog!$E$3:$E$12,MATCH(cadangan[[#This Row],[ItemID A]],Katalog!$C$3:$C$12,0))*cadangan[[#This Row],[Qty A]],0)</f>
        <v>500000</v>
      </c>
      <c r="L886" s="39" t="s">
        <v>61</v>
      </c>
      <c r="M886" s="39" t="str">
        <f>IFERROR(INDEX(Katalog!$A$3:$A$12,MATCH(cadangan[[#This Row],[ItemID B]],Katalog!$C$3:$C$12,0)),"-")</f>
        <v>Pakaian Pria</v>
      </c>
      <c r="N886" s="39" t="str">
        <f>IFERROR(INDEX(Katalog!$B$3:$B$12,MATCH(cadangan[[#This Row],[ItemID B]],Katalog!$C$3:$C$12,0)),"-")</f>
        <v>Kaos Polo</v>
      </c>
      <c r="O886" s="50">
        <v>1</v>
      </c>
      <c r="P886" s="50">
        <v>5</v>
      </c>
      <c r="Q886" s="73">
        <f>IFERROR(INDEX(Katalog!$D$3:$D$12,MATCH(cadangan[[#This Row],[ItemID B]],Katalog!$C$3:$C$12,0))*cadangan[[#This Row],[Qty B]],0)</f>
        <v>200000</v>
      </c>
      <c r="R886" s="73">
        <f>IFERROR(cadangan[[#This Row],[Harga Normal B]]-(cadangan[[#This Row],[Harga Normal B]]*cadangan[[#This Row],[Diskon]]),cadangan[[#This Row],[Harga Normal B]])</f>
        <v>170000</v>
      </c>
      <c r="S886" s="73">
        <f>IFERROR(INDEX(Katalog!$F$3:$F$12,MATCH(cadangan[[#This Row],[ItemID B]],Katalog!$C$3:$C$12,0))*cadangan[[#This Row],[Qty B]],0)</f>
        <v>80000</v>
      </c>
      <c r="T886" s="73">
        <f>IFERROR(cadangan[[#This Row],[Harga Diskon B]]-INDEX(Katalog!$E$3:$E$12,MATCH(cadangan[[#This Row],[ItemID B]],Katalog!$C$3:$C$12,0))*cadangan[[#This Row],[Qty B]],0)</f>
        <v>50000</v>
      </c>
      <c r="V886" s="39" t="str">
        <f>IFERROR(INDEX(Katalog!$A$3:$A$12,MATCH(cadangan[[#This Row],[ItemID C]],Katalog!$C$3:$C$12,0)),"-")</f>
        <v>-</v>
      </c>
      <c r="W886" s="39" t="str">
        <f>IFERROR(INDEX(Katalog!$B$3:$B$12,MATCH(cadangan[[#This Row],[ItemID C]],Katalog!$C$3:$C$12,0)),"-")</f>
        <v>-</v>
      </c>
      <c r="Z886" s="73">
        <f>IFERROR(INDEX(Katalog!$D$3:$D$12,MATCH(cadangan[[#This Row],[ItemID C]],Katalog!$C$3:$C$12,0))*cadangan[[#This Row],[Qty C]],0)</f>
        <v>0</v>
      </c>
      <c r="AA886" s="73">
        <f>IFERROR(cadangan[[#This Row],[Harga Normal C]]-(cadangan[[#This Row],[Harga Normal C]]*cadangan[[#This Row],[Diskon]]),cadangan[[#This Row],[Harga Normal C]])</f>
        <v>0</v>
      </c>
      <c r="AB886" s="73">
        <f>IFERROR(INDEX(Katalog!$F$3:$F$12,MATCH(cadangan[[#This Row],[ItemID C]],Katalog!$C$3:$C$12,0))*cadangan[[#This Row],[Qty C]],0)</f>
        <v>0</v>
      </c>
      <c r="AC886" s="73">
        <f>IFERROR(cadangan[[#This Row],[Harga Diskon C]]-INDEX(Katalog!$E$3:$E$12,MATCH(cadangan[[#This Row],[ItemID C]],Katalog!$C$3:$C$12,0))*cadangan[[#This Row],[Qty C]],0)</f>
        <v>0</v>
      </c>
      <c r="AD886" s="53">
        <f>cadangan[[#This Row],[Qty A]]+cadangan[[#This Row],[Qty B]]+cadangan[[#This Row],[Qty C]]</f>
        <v>5</v>
      </c>
      <c r="AE886" s="73">
        <f>cadangan[[#This Row],[Harga Normal A]]+cadangan[[#This Row],[Harga Normal B]]+cadangan[[#This Row],[Harga Normal C]]</f>
        <v>2200000</v>
      </c>
      <c r="AF886" s="73">
        <f>cadangan[[#This Row],[Harga Diskon A]]+cadangan[[#This Row],[Harga Diskon B]]+cadangan[[#This Row],[Harga Diskon C]]</f>
        <v>1870000</v>
      </c>
      <c r="AG886" s="73">
        <f>(cadangan[[#This Row],[Profit Normal A]]+cadangan[[#This Row],[Profit Normal B]]+cadangan[[#This Row],[Profit Normal C]])</f>
        <v>880000</v>
      </c>
      <c r="AH886" s="73">
        <f>cadangan[[#This Row],[Profit Diskon A]]+cadangan[[#This Row],[Profit Diskon B]]+cadangan[[#This Row],[Profit Diskon C]]</f>
        <v>550000</v>
      </c>
      <c r="AI886" s="23" t="s">
        <v>28</v>
      </c>
      <c r="AJ886" s="37">
        <f>IFERROR(INDEX('Kode Diskon'!$D$3:$D$9,MATCH(cadangan[[#This Row],[Kode diskon]],'Kode Diskon'!$C$3:$C$9,0)),"-")</f>
        <v>0.15</v>
      </c>
      <c r="AK886" s="23" t="s">
        <v>29</v>
      </c>
      <c r="AL886" s="23" t="s">
        <v>14</v>
      </c>
      <c r="AM886" s="23" t="s">
        <v>77</v>
      </c>
      <c r="AN886" s="55">
        <v>45020</v>
      </c>
      <c r="AO886" s="53">
        <f>DAY(cadangan[[#This Row],[Tanggal terjual]])</f>
        <v>4</v>
      </c>
      <c r="AP886" s="21" t="str">
        <f>TEXT(cadangan[[#This Row],[Tanggal terjual]],"dddd")</f>
        <v>Tuesday</v>
      </c>
      <c r="AQ886" s="23" t="str" cm="1">
        <f t="array" ref="AQ8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6" s="61">
        <f>AVERAGE(cadangan[[#This Row],[Rating A]],cadangan[[#This Row],[Rating B]],cadangan[[#This Row],[Rating C]])</f>
        <v>5</v>
      </c>
    </row>
    <row r="887" spans="1:44" x14ac:dyDescent="0.2">
      <c r="A887" s="20">
        <v>886</v>
      </c>
      <c r="B887" s="21" t="str">
        <f>_xlfn.CONCAT("ORD-",INDEX(Helper!$B$2:$B$5,MATCH(cadangan[[#This Row],[Marketplace]],Helper!$A$2:$A$5,0)),TEXT(cadangan[[#This Row],[No]],"0000"),"-",TEXT(cadangan[[#This Row],[Tanggal terjual]],"dd/mm/yy"))</f>
        <v>ORD-SP0886-20/04/23</v>
      </c>
      <c r="C887" s="39" t="s">
        <v>64</v>
      </c>
      <c r="D887" s="39" t="str">
        <f>IFERROR(INDEX(Katalog!$A$3:$A$12,MATCH(cadangan[[#This Row],[ItemID A]],Katalog!$C$3:$C$12,0)),"-")</f>
        <v>Pakaian Unisex</v>
      </c>
      <c r="E887" s="39" t="str">
        <f>IFERROR(INDEX(Katalog!$B$3:$B$12,MATCH(cadangan[[#This Row],[ItemID A]],Katalog!$C$3:$C$12,0)),"-")</f>
        <v>Jaket Hoodie</v>
      </c>
      <c r="F887" s="50">
        <v>2</v>
      </c>
      <c r="G887" s="50">
        <v>5</v>
      </c>
      <c r="H887" s="73">
        <f>IFERROR(INDEX(Katalog!$D$3:$D$12,MATCH(cadangan[[#This Row],[ItemID A]],Katalog!$C$3:$C$12,0))*cadangan[[#This Row],[Qty A]],0)</f>
        <v>700000</v>
      </c>
      <c r="I887" s="73">
        <f>IFERROR(cadangan[[#This Row],[Harga Normal A]]-(cadangan[[#This Row],[Harga Normal A]]*cadangan[[#This Row],[Diskon]]),cadangan[[#This Row],[Harga Normal A]])</f>
        <v>560000</v>
      </c>
      <c r="J887" s="73">
        <f>INDEX(Katalog!$F$3:$F$12,MATCH(cadangan[[#This Row],[ItemID A]],Katalog!$C$3:$C$12,0))*cadangan[[#This Row],[Qty A]]</f>
        <v>260000</v>
      </c>
      <c r="K887" s="73">
        <f>IFERROR(cadangan[[#This Row],[Harga Diskon A]]-INDEX(Katalog!$E$3:$E$12,MATCH(cadangan[[#This Row],[ItemID A]],Katalog!$C$3:$C$12,0))*cadangan[[#This Row],[Qty A]],0)</f>
        <v>120000</v>
      </c>
      <c r="L887" s="39" t="s">
        <v>61</v>
      </c>
      <c r="M887" s="39" t="str">
        <f>IFERROR(INDEX(Katalog!$A$3:$A$12,MATCH(cadangan[[#This Row],[ItemID B]],Katalog!$C$3:$C$12,0)),"-")</f>
        <v>Pakaian Pria</v>
      </c>
      <c r="N887" s="39" t="str">
        <f>IFERROR(INDEX(Katalog!$B$3:$B$12,MATCH(cadangan[[#This Row],[ItemID B]],Katalog!$C$3:$C$12,0)),"-")</f>
        <v>Kaos Polo</v>
      </c>
      <c r="O887" s="50">
        <v>2</v>
      </c>
      <c r="P887" s="50">
        <v>5</v>
      </c>
      <c r="Q887" s="73">
        <f>IFERROR(INDEX(Katalog!$D$3:$D$12,MATCH(cadangan[[#This Row],[ItemID B]],Katalog!$C$3:$C$12,0))*cadangan[[#This Row],[Qty B]],0)</f>
        <v>400000</v>
      </c>
      <c r="R887" s="73">
        <f>IFERROR(cadangan[[#This Row],[Harga Normal B]]-(cadangan[[#This Row],[Harga Normal B]]*cadangan[[#This Row],[Diskon]]),cadangan[[#This Row],[Harga Normal B]])</f>
        <v>320000</v>
      </c>
      <c r="S887" s="73">
        <f>IFERROR(INDEX(Katalog!$F$3:$F$12,MATCH(cadangan[[#This Row],[ItemID B]],Katalog!$C$3:$C$12,0))*cadangan[[#This Row],[Qty B]],0)</f>
        <v>160000</v>
      </c>
      <c r="T887" s="73">
        <f>IFERROR(cadangan[[#This Row],[Harga Diskon B]]-INDEX(Katalog!$E$3:$E$12,MATCH(cadangan[[#This Row],[ItemID B]],Katalog!$C$3:$C$12,0))*cadangan[[#This Row],[Qty B]],0)</f>
        <v>80000</v>
      </c>
      <c r="U887" s="39" t="s">
        <v>67</v>
      </c>
      <c r="V887" s="39" t="str">
        <f>IFERROR(INDEX(Katalog!$A$3:$A$12,MATCH(cadangan[[#This Row],[ItemID C]],Katalog!$C$3:$C$12,0)),"-")</f>
        <v>Sepatu Wanita</v>
      </c>
      <c r="W887" s="39" t="str">
        <f>IFERROR(INDEX(Katalog!$B$3:$B$12,MATCH(cadangan[[#This Row],[ItemID C]],Katalog!$C$3:$C$12,0)),"-")</f>
        <v>Flat Shoes</v>
      </c>
      <c r="X887" s="50">
        <v>2</v>
      </c>
      <c r="Y887" s="50">
        <v>1</v>
      </c>
      <c r="Z887" s="73">
        <f>IFERROR(INDEX(Katalog!$D$3:$D$12,MATCH(cadangan[[#This Row],[ItemID C]],Katalog!$C$3:$C$12,0))*cadangan[[#This Row],[Qty C]],0)</f>
        <v>500000</v>
      </c>
      <c r="AA887" s="73">
        <f>IFERROR(cadangan[[#This Row],[Harga Normal C]]-(cadangan[[#This Row],[Harga Normal C]]*cadangan[[#This Row],[Diskon]]),cadangan[[#This Row],[Harga Normal C]])</f>
        <v>400000</v>
      </c>
      <c r="AB887" s="73">
        <f>IFERROR(INDEX(Katalog!$F$3:$F$12,MATCH(cadangan[[#This Row],[ItemID C]],Katalog!$C$3:$C$12,0))*cadangan[[#This Row],[Qty C]],0)</f>
        <v>200000</v>
      </c>
      <c r="AC887" s="73">
        <f>IFERROR(cadangan[[#This Row],[Harga Diskon C]]-INDEX(Katalog!$E$3:$E$12,MATCH(cadangan[[#This Row],[ItemID C]],Katalog!$C$3:$C$12,0))*cadangan[[#This Row],[Qty C]],0)</f>
        <v>100000</v>
      </c>
      <c r="AD887" s="53">
        <f>cadangan[[#This Row],[Qty A]]+cadangan[[#This Row],[Qty B]]+cadangan[[#This Row],[Qty C]]</f>
        <v>6</v>
      </c>
      <c r="AE887" s="73">
        <f>cadangan[[#This Row],[Harga Normal A]]+cadangan[[#This Row],[Harga Normal B]]+cadangan[[#This Row],[Harga Normal C]]</f>
        <v>1600000</v>
      </c>
      <c r="AF887" s="73">
        <f>cadangan[[#This Row],[Harga Diskon A]]+cadangan[[#This Row],[Harga Diskon B]]+cadangan[[#This Row],[Harga Diskon C]]</f>
        <v>1280000</v>
      </c>
      <c r="AG887" s="73">
        <f>(cadangan[[#This Row],[Profit Normal A]]+cadangan[[#This Row],[Profit Normal B]]+cadangan[[#This Row],[Profit Normal C]])</f>
        <v>620000</v>
      </c>
      <c r="AH887" s="73">
        <f>cadangan[[#This Row],[Profit Diskon A]]+cadangan[[#This Row],[Profit Diskon B]]+cadangan[[#This Row],[Profit Diskon C]]</f>
        <v>300000</v>
      </c>
      <c r="AI887" s="23" t="s">
        <v>8</v>
      </c>
      <c r="AJ887" s="37">
        <f>IFERROR(INDEX('Kode Diskon'!$D$3:$D$9,MATCH(cadangan[[#This Row],[Kode diskon]],'Kode Diskon'!$C$3:$C$9,0)),"-")</f>
        <v>0.2</v>
      </c>
      <c r="AK887" s="23" t="s">
        <v>9</v>
      </c>
      <c r="AL887" s="23" t="s">
        <v>7</v>
      </c>
      <c r="AM887" s="23" t="s">
        <v>75</v>
      </c>
      <c r="AN887" s="55">
        <v>45036</v>
      </c>
      <c r="AO887" s="53">
        <f>DAY(cadangan[[#This Row],[Tanggal terjual]])</f>
        <v>20</v>
      </c>
      <c r="AP887" s="21" t="str">
        <f>TEXT(cadangan[[#This Row],[Tanggal terjual]],"dddd")</f>
        <v>Thursday</v>
      </c>
      <c r="AQ887" s="23" t="str" cm="1">
        <f t="array" ref="AQ8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87" s="61">
        <f>AVERAGE(cadangan[[#This Row],[Rating A]],cadangan[[#This Row],[Rating B]],cadangan[[#This Row],[Rating C]])</f>
        <v>3.6666666666666665</v>
      </c>
    </row>
    <row r="888" spans="1:44" x14ac:dyDescent="0.2">
      <c r="A888" s="20">
        <v>887</v>
      </c>
      <c r="B888" s="21" t="str">
        <f>_xlfn.CONCAT("ORD-",INDEX(Helper!$B$2:$B$5,MATCH(cadangan[[#This Row],[Marketplace]],Helper!$A$2:$A$5,0)),TEXT(cadangan[[#This Row],[No]],"0000"),"-",TEXT(cadangan[[#This Row],[Tanggal terjual]],"dd/mm/yy"))</f>
        <v>ORD-TK0887-28/04/23</v>
      </c>
      <c r="C888" s="39" t="s">
        <v>59</v>
      </c>
      <c r="D888" s="39" t="str">
        <f>IFERROR(INDEX(Katalog!$A$3:$A$12,MATCH(cadangan[[#This Row],[ItemID A]],Katalog!$C$3:$C$12,0)),"-")</f>
        <v>Pakaian Wanita</v>
      </c>
      <c r="E888" s="39" t="str">
        <f>IFERROR(INDEX(Katalog!$B$3:$B$12,MATCH(cadangan[[#This Row],[ItemID A]],Katalog!$C$3:$C$12,0)),"-")</f>
        <v>Blouse</v>
      </c>
      <c r="F888" s="50">
        <v>1</v>
      </c>
      <c r="G888" s="50">
        <v>1</v>
      </c>
      <c r="H888" s="73">
        <f>IFERROR(INDEX(Katalog!$D$3:$D$12,MATCH(cadangan[[#This Row],[ItemID A]],Katalog!$C$3:$C$12,0))*cadangan[[#This Row],[Qty A]],0)</f>
        <v>150000</v>
      </c>
      <c r="I888" s="73">
        <f>IFERROR(cadangan[[#This Row],[Harga Normal A]]-(cadangan[[#This Row],[Harga Normal A]]*cadangan[[#This Row],[Diskon]]),cadangan[[#This Row],[Harga Normal A]])</f>
        <v>135000</v>
      </c>
      <c r="J888" s="73">
        <f>INDEX(Katalog!$F$3:$F$12,MATCH(cadangan[[#This Row],[ItemID A]],Katalog!$C$3:$C$12,0))*cadangan[[#This Row],[Qty A]]</f>
        <v>50000</v>
      </c>
      <c r="K888" s="73">
        <f>IFERROR(cadangan[[#This Row],[Harga Diskon A]]-INDEX(Katalog!$E$3:$E$12,MATCH(cadangan[[#This Row],[ItemID A]],Katalog!$C$3:$C$12,0))*cadangan[[#This Row],[Qty A]],0)</f>
        <v>35000</v>
      </c>
      <c r="M888" s="39" t="str">
        <f>IFERROR(INDEX(Katalog!$A$3:$A$12,MATCH(cadangan[[#This Row],[ItemID B]],Katalog!$C$3:$C$12,0)),"-")</f>
        <v>-</v>
      </c>
      <c r="N888" s="39" t="str">
        <f>IFERROR(INDEX(Katalog!$B$3:$B$12,MATCH(cadangan[[#This Row],[ItemID B]],Katalog!$C$3:$C$12,0)),"-")</f>
        <v>-</v>
      </c>
      <c r="Q888" s="73">
        <f>IFERROR(INDEX(Katalog!$D$3:$D$12,MATCH(cadangan[[#This Row],[ItemID B]],Katalog!$C$3:$C$12,0))*cadangan[[#This Row],[Qty B]],0)</f>
        <v>0</v>
      </c>
      <c r="R888" s="73">
        <f>IFERROR(cadangan[[#This Row],[Harga Normal B]]-(cadangan[[#This Row],[Harga Normal B]]*cadangan[[#This Row],[Diskon]]),cadangan[[#This Row],[Harga Normal B]])</f>
        <v>0</v>
      </c>
      <c r="S888" s="73">
        <f>IFERROR(INDEX(Katalog!$F$3:$F$12,MATCH(cadangan[[#This Row],[ItemID B]],Katalog!$C$3:$C$12,0))*cadangan[[#This Row],[Qty B]],0)</f>
        <v>0</v>
      </c>
      <c r="T888" s="73">
        <f>IFERROR(cadangan[[#This Row],[Harga Diskon B]]-INDEX(Katalog!$E$3:$E$12,MATCH(cadangan[[#This Row],[ItemID B]],Katalog!$C$3:$C$12,0))*cadangan[[#This Row],[Qty B]],0)</f>
        <v>0</v>
      </c>
      <c r="V888" s="39" t="str">
        <f>IFERROR(INDEX(Katalog!$A$3:$A$12,MATCH(cadangan[[#This Row],[ItemID C]],Katalog!$C$3:$C$12,0)),"-")</f>
        <v>-</v>
      </c>
      <c r="W888" s="39" t="str">
        <f>IFERROR(INDEX(Katalog!$B$3:$B$12,MATCH(cadangan[[#This Row],[ItemID C]],Katalog!$C$3:$C$12,0)),"-")</f>
        <v>-</v>
      </c>
      <c r="Z888" s="73">
        <f>IFERROR(INDEX(Katalog!$D$3:$D$12,MATCH(cadangan[[#This Row],[ItemID C]],Katalog!$C$3:$C$12,0))*cadangan[[#This Row],[Qty C]],0)</f>
        <v>0</v>
      </c>
      <c r="AA888" s="73">
        <f>IFERROR(cadangan[[#This Row],[Harga Normal C]]-(cadangan[[#This Row],[Harga Normal C]]*cadangan[[#This Row],[Diskon]]),cadangan[[#This Row],[Harga Normal C]])</f>
        <v>0</v>
      </c>
      <c r="AB888" s="73">
        <f>IFERROR(INDEX(Katalog!$F$3:$F$12,MATCH(cadangan[[#This Row],[ItemID C]],Katalog!$C$3:$C$12,0))*cadangan[[#This Row],[Qty C]],0)</f>
        <v>0</v>
      </c>
      <c r="AC888" s="73">
        <f>IFERROR(cadangan[[#This Row],[Harga Diskon C]]-INDEX(Katalog!$E$3:$E$12,MATCH(cadangan[[#This Row],[ItemID C]],Katalog!$C$3:$C$12,0))*cadangan[[#This Row],[Qty C]],0)</f>
        <v>0</v>
      </c>
      <c r="AD888" s="53">
        <f>cadangan[[#This Row],[Qty A]]+cadangan[[#This Row],[Qty B]]+cadangan[[#This Row],[Qty C]]</f>
        <v>1</v>
      </c>
      <c r="AE888" s="73">
        <f>cadangan[[#This Row],[Harga Normal A]]+cadangan[[#This Row],[Harga Normal B]]+cadangan[[#This Row],[Harga Normal C]]</f>
        <v>150000</v>
      </c>
      <c r="AF888" s="73">
        <f>cadangan[[#This Row],[Harga Diskon A]]+cadangan[[#This Row],[Harga Diskon B]]+cadangan[[#This Row],[Harga Diskon C]]</f>
        <v>135000</v>
      </c>
      <c r="AG888" s="73">
        <f>(cadangan[[#This Row],[Profit Normal A]]+cadangan[[#This Row],[Profit Normal B]]+cadangan[[#This Row],[Profit Normal C]])</f>
        <v>50000</v>
      </c>
      <c r="AH888" s="73">
        <f>cadangan[[#This Row],[Profit Diskon A]]+cadangan[[#This Row],[Profit Diskon B]]+cadangan[[#This Row],[Profit Diskon C]]</f>
        <v>35000</v>
      </c>
      <c r="AI888" s="23" t="s">
        <v>31</v>
      </c>
      <c r="AJ888" s="37">
        <f>IFERROR(INDEX('Kode Diskon'!$D$3:$D$9,MATCH(cadangan[[#This Row],[Kode diskon]],'Kode Diskon'!$C$3:$C$9,0)),"-")</f>
        <v>0.1</v>
      </c>
      <c r="AK888" s="23" t="s">
        <v>9</v>
      </c>
      <c r="AL888" s="23" t="s">
        <v>10</v>
      </c>
      <c r="AM888" s="23" t="s">
        <v>76</v>
      </c>
      <c r="AN888" s="55">
        <v>45044</v>
      </c>
      <c r="AO888" s="53">
        <f>DAY(cadangan[[#This Row],[Tanggal terjual]])</f>
        <v>28</v>
      </c>
      <c r="AP888" s="21" t="str">
        <f>TEXT(cadangan[[#This Row],[Tanggal terjual]],"dddd")</f>
        <v>Friday</v>
      </c>
      <c r="AQ888" s="23" t="str" cm="1">
        <f t="array" ref="AQ8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88" s="61">
        <f>AVERAGE(cadangan[[#This Row],[Rating A]],cadangan[[#This Row],[Rating B]],cadangan[[#This Row],[Rating C]])</f>
        <v>1</v>
      </c>
    </row>
    <row r="889" spans="1:44" x14ac:dyDescent="0.2">
      <c r="A889" s="20">
        <v>888</v>
      </c>
      <c r="B889" s="21" t="str">
        <f>_xlfn.CONCAT("ORD-",INDEX(Helper!$B$2:$B$5,MATCH(cadangan[[#This Row],[Marketplace]],Helper!$A$2:$A$5,0)),TEXT(cadangan[[#This Row],[No]],"0000"),"-",TEXT(cadangan[[#This Row],[Tanggal terjual]],"dd/mm/yy"))</f>
        <v>ORD-BB0888-06/04/23</v>
      </c>
      <c r="C889" s="39" t="s">
        <v>63</v>
      </c>
      <c r="D889" s="39" t="str">
        <f>IFERROR(INDEX(Katalog!$A$3:$A$12,MATCH(cadangan[[#This Row],[ItemID A]],Katalog!$C$3:$C$12,0)),"-")</f>
        <v>Pakaian Pria</v>
      </c>
      <c r="E889" s="39" t="str">
        <f>IFERROR(INDEX(Katalog!$B$3:$B$12,MATCH(cadangan[[#This Row],[ItemID A]],Katalog!$C$3:$C$12,0)),"-")</f>
        <v>Jaket Jeans</v>
      </c>
      <c r="F889" s="50">
        <v>1</v>
      </c>
      <c r="G889" s="50">
        <v>1</v>
      </c>
      <c r="H889" s="73">
        <f>IFERROR(INDEX(Katalog!$D$3:$D$12,MATCH(cadangan[[#This Row],[ItemID A]],Katalog!$C$3:$C$12,0))*cadangan[[#This Row],[Qty A]],0)</f>
        <v>400000</v>
      </c>
      <c r="I889" s="73">
        <f>IFERROR(cadangan[[#This Row],[Harga Normal A]]-(cadangan[[#This Row],[Harga Normal A]]*cadangan[[#This Row],[Diskon]]),cadangan[[#This Row],[Harga Normal A]])</f>
        <v>340000</v>
      </c>
      <c r="J889" s="73">
        <f>INDEX(Katalog!$F$3:$F$12,MATCH(cadangan[[#This Row],[ItemID A]],Katalog!$C$3:$C$12,0))*cadangan[[#This Row],[Qty A]]</f>
        <v>150000</v>
      </c>
      <c r="K889" s="73">
        <f>IFERROR(cadangan[[#This Row],[Harga Diskon A]]-INDEX(Katalog!$E$3:$E$12,MATCH(cadangan[[#This Row],[ItemID A]],Katalog!$C$3:$C$12,0))*cadangan[[#This Row],[Qty A]],0)</f>
        <v>90000</v>
      </c>
      <c r="L889" s="39" t="s">
        <v>62</v>
      </c>
      <c r="M889" s="39" t="str">
        <f>IFERROR(INDEX(Katalog!$A$3:$A$12,MATCH(cadangan[[#This Row],[ItemID B]],Katalog!$C$3:$C$12,0)),"-")</f>
        <v>Pakaian Pria</v>
      </c>
      <c r="N889" s="39" t="str">
        <f>IFERROR(INDEX(Katalog!$B$3:$B$12,MATCH(cadangan[[#This Row],[ItemID B]],Katalog!$C$3:$C$12,0)),"-")</f>
        <v>Celana Pendek</v>
      </c>
      <c r="O889" s="50">
        <v>1</v>
      </c>
      <c r="P889" s="50">
        <v>3</v>
      </c>
      <c r="Q889" s="73">
        <f>IFERROR(INDEX(Katalog!$D$3:$D$12,MATCH(cadangan[[#This Row],[ItemID B]],Katalog!$C$3:$C$12,0))*cadangan[[#This Row],[Qty B]],0)</f>
        <v>180000</v>
      </c>
      <c r="R889" s="73">
        <f>IFERROR(cadangan[[#This Row],[Harga Normal B]]-(cadangan[[#This Row],[Harga Normal B]]*cadangan[[#This Row],[Diskon]]),cadangan[[#This Row],[Harga Normal B]])</f>
        <v>153000</v>
      </c>
      <c r="S889" s="73">
        <f>IFERROR(INDEX(Katalog!$F$3:$F$12,MATCH(cadangan[[#This Row],[ItemID B]],Katalog!$C$3:$C$12,0))*cadangan[[#This Row],[Qty B]],0)</f>
        <v>70000</v>
      </c>
      <c r="T889" s="73">
        <f>IFERROR(cadangan[[#This Row],[Harga Diskon B]]-INDEX(Katalog!$E$3:$E$12,MATCH(cadangan[[#This Row],[ItemID B]],Katalog!$C$3:$C$12,0))*cadangan[[#This Row],[Qty B]],0)</f>
        <v>43000</v>
      </c>
      <c r="U889" s="39" t="s">
        <v>65</v>
      </c>
      <c r="V889" s="39" t="str">
        <f>IFERROR(INDEX(Katalog!$A$3:$A$12,MATCH(cadangan[[#This Row],[ItemID C]],Katalog!$C$3:$C$12,0)),"-")</f>
        <v>Sepatu Pria</v>
      </c>
      <c r="W889" s="39" t="str">
        <f>IFERROR(INDEX(Katalog!$B$3:$B$12,MATCH(cadangan[[#This Row],[ItemID C]],Katalog!$C$3:$C$12,0)),"-")</f>
        <v>Sneakers</v>
      </c>
      <c r="X889" s="50">
        <v>2</v>
      </c>
      <c r="Y889" s="50">
        <v>4</v>
      </c>
      <c r="Z889" s="73">
        <f>IFERROR(INDEX(Katalog!$D$3:$D$12,MATCH(cadangan[[#This Row],[ItemID C]],Katalog!$C$3:$C$12,0))*cadangan[[#This Row],[Qty C]],0)</f>
        <v>1000000</v>
      </c>
      <c r="AA889" s="73">
        <f>IFERROR(cadangan[[#This Row],[Harga Normal C]]-(cadangan[[#This Row],[Harga Normal C]]*cadangan[[#This Row],[Diskon]]),cadangan[[#This Row],[Harga Normal C]])</f>
        <v>850000</v>
      </c>
      <c r="AB889" s="73">
        <f>IFERROR(INDEX(Katalog!$F$3:$F$12,MATCH(cadangan[[#This Row],[ItemID C]],Katalog!$C$3:$C$12,0))*cadangan[[#This Row],[Qty C]],0)</f>
        <v>400000</v>
      </c>
      <c r="AC889" s="73">
        <f>IFERROR(cadangan[[#This Row],[Harga Diskon C]]-INDEX(Katalog!$E$3:$E$12,MATCH(cadangan[[#This Row],[ItemID C]],Katalog!$C$3:$C$12,0))*cadangan[[#This Row],[Qty C]],0)</f>
        <v>250000</v>
      </c>
      <c r="AD889" s="53">
        <f>cadangan[[#This Row],[Qty A]]+cadangan[[#This Row],[Qty B]]+cadangan[[#This Row],[Qty C]]</f>
        <v>4</v>
      </c>
      <c r="AE889" s="73">
        <f>cadangan[[#This Row],[Harga Normal A]]+cadangan[[#This Row],[Harga Normal B]]+cadangan[[#This Row],[Harga Normal C]]</f>
        <v>1580000</v>
      </c>
      <c r="AF889" s="73">
        <f>cadangan[[#This Row],[Harga Diskon A]]+cadangan[[#This Row],[Harga Diskon B]]+cadangan[[#This Row],[Harga Diskon C]]</f>
        <v>1343000</v>
      </c>
      <c r="AG889" s="73">
        <f>(cadangan[[#This Row],[Profit Normal A]]+cadangan[[#This Row],[Profit Normal B]]+cadangan[[#This Row],[Profit Normal C]])</f>
        <v>620000</v>
      </c>
      <c r="AH889" s="73">
        <f>cadangan[[#This Row],[Profit Diskon A]]+cadangan[[#This Row],[Profit Diskon B]]+cadangan[[#This Row],[Profit Diskon C]]</f>
        <v>383000</v>
      </c>
      <c r="AI889" s="23" t="s">
        <v>28</v>
      </c>
      <c r="AJ889" s="37">
        <f>IFERROR(INDEX('Kode Diskon'!$D$3:$D$9,MATCH(cadangan[[#This Row],[Kode diskon]],'Kode Diskon'!$C$3:$C$9,0)),"-")</f>
        <v>0.15</v>
      </c>
      <c r="AK889" s="23" t="s">
        <v>29</v>
      </c>
      <c r="AL889" s="23" t="s">
        <v>14</v>
      </c>
      <c r="AM889" s="23" t="s">
        <v>75</v>
      </c>
      <c r="AN889" s="55">
        <v>45022</v>
      </c>
      <c r="AO889" s="53">
        <f>DAY(cadangan[[#This Row],[Tanggal terjual]])</f>
        <v>6</v>
      </c>
      <c r="AP889" s="21" t="str">
        <f>TEXT(cadangan[[#This Row],[Tanggal terjual]],"dddd")</f>
        <v>Thursday</v>
      </c>
      <c r="AQ889" s="23" t="str" cm="1">
        <f t="array" ref="AQ8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89" s="61">
        <f>AVERAGE(cadangan[[#This Row],[Rating A]],cadangan[[#This Row],[Rating B]],cadangan[[#This Row],[Rating C]])</f>
        <v>2.6666666666666665</v>
      </c>
    </row>
    <row r="890" spans="1:44" x14ac:dyDescent="0.2">
      <c r="A890" s="20">
        <v>889</v>
      </c>
      <c r="B890" s="21" t="str">
        <f>_xlfn.CONCAT("ORD-",INDEX(Helper!$B$2:$B$5,MATCH(cadangan[[#This Row],[Marketplace]],Helper!$A$2:$A$5,0)),TEXT(cadangan[[#This Row],[No]],"0000"),"-",TEXT(cadangan[[#This Row],[Tanggal terjual]],"dd/mm/yy"))</f>
        <v>ORD-SP0889-30/04/23</v>
      </c>
      <c r="C890" s="39" t="s">
        <v>65</v>
      </c>
      <c r="D890" s="39" t="str">
        <f>IFERROR(INDEX(Katalog!$A$3:$A$12,MATCH(cadangan[[#This Row],[ItemID A]],Katalog!$C$3:$C$12,0)),"-")</f>
        <v>Sepatu Pria</v>
      </c>
      <c r="E890" s="39" t="str">
        <f>IFERROR(INDEX(Katalog!$B$3:$B$12,MATCH(cadangan[[#This Row],[ItemID A]],Katalog!$C$3:$C$12,0)),"-")</f>
        <v>Sneakers</v>
      </c>
      <c r="F890" s="50">
        <v>2</v>
      </c>
      <c r="G890" s="50">
        <v>4</v>
      </c>
      <c r="H890" s="73">
        <f>IFERROR(INDEX(Katalog!$D$3:$D$12,MATCH(cadangan[[#This Row],[ItemID A]],Katalog!$C$3:$C$12,0))*cadangan[[#This Row],[Qty A]],0)</f>
        <v>1000000</v>
      </c>
      <c r="I890" s="73">
        <f>IFERROR(cadangan[[#This Row],[Harga Normal A]]-(cadangan[[#This Row],[Harga Normal A]]*cadangan[[#This Row],[Diskon]]),cadangan[[#This Row],[Harga Normal A]])</f>
        <v>800000</v>
      </c>
      <c r="J890" s="73">
        <f>INDEX(Katalog!$F$3:$F$12,MATCH(cadangan[[#This Row],[ItemID A]],Katalog!$C$3:$C$12,0))*cadangan[[#This Row],[Qty A]]</f>
        <v>400000</v>
      </c>
      <c r="K890" s="73">
        <f>IFERROR(cadangan[[#This Row],[Harga Diskon A]]-INDEX(Katalog!$E$3:$E$12,MATCH(cadangan[[#This Row],[ItemID A]],Katalog!$C$3:$C$12,0))*cadangan[[#This Row],[Qty A]],0)</f>
        <v>200000</v>
      </c>
      <c r="L890" s="39" t="s">
        <v>62</v>
      </c>
      <c r="M890" s="39" t="str">
        <f>IFERROR(INDEX(Katalog!$A$3:$A$12,MATCH(cadangan[[#This Row],[ItemID B]],Katalog!$C$3:$C$12,0)),"-")</f>
        <v>Pakaian Pria</v>
      </c>
      <c r="N890" s="39" t="str">
        <f>IFERROR(INDEX(Katalog!$B$3:$B$12,MATCH(cadangan[[#This Row],[ItemID B]],Katalog!$C$3:$C$12,0)),"-")</f>
        <v>Celana Pendek</v>
      </c>
      <c r="O890" s="50">
        <v>1</v>
      </c>
      <c r="P890" s="50">
        <v>4</v>
      </c>
      <c r="Q890" s="73">
        <f>IFERROR(INDEX(Katalog!$D$3:$D$12,MATCH(cadangan[[#This Row],[ItemID B]],Katalog!$C$3:$C$12,0))*cadangan[[#This Row],[Qty B]],0)</f>
        <v>180000</v>
      </c>
      <c r="R890" s="73">
        <f>IFERROR(cadangan[[#This Row],[Harga Normal B]]-(cadangan[[#This Row],[Harga Normal B]]*cadangan[[#This Row],[Diskon]]),cadangan[[#This Row],[Harga Normal B]])</f>
        <v>144000</v>
      </c>
      <c r="S890" s="73">
        <f>IFERROR(INDEX(Katalog!$F$3:$F$12,MATCH(cadangan[[#This Row],[ItemID B]],Katalog!$C$3:$C$12,0))*cadangan[[#This Row],[Qty B]],0)</f>
        <v>70000</v>
      </c>
      <c r="T890" s="73">
        <f>IFERROR(cadangan[[#This Row],[Harga Diskon B]]-INDEX(Katalog!$E$3:$E$12,MATCH(cadangan[[#This Row],[ItemID B]],Katalog!$C$3:$C$12,0))*cadangan[[#This Row],[Qty B]],0)</f>
        <v>34000</v>
      </c>
      <c r="V890" s="39" t="str">
        <f>IFERROR(INDEX(Katalog!$A$3:$A$12,MATCH(cadangan[[#This Row],[ItemID C]],Katalog!$C$3:$C$12,0)),"-")</f>
        <v>-</v>
      </c>
      <c r="W890" s="39" t="str">
        <f>IFERROR(INDEX(Katalog!$B$3:$B$12,MATCH(cadangan[[#This Row],[ItemID C]],Katalog!$C$3:$C$12,0)),"-")</f>
        <v>-</v>
      </c>
      <c r="Z890" s="73">
        <f>IFERROR(INDEX(Katalog!$D$3:$D$12,MATCH(cadangan[[#This Row],[ItemID C]],Katalog!$C$3:$C$12,0))*cadangan[[#This Row],[Qty C]],0)</f>
        <v>0</v>
      </c>
      <c r="AA890" s="73">
        <f>IFERROR(cadangan[[#This Row],[Harga Normal C]]-(cadangan[[#This Row],[Harga Normal C]]*cadangan[[#This Row],[Diskon]]),cadangan[[#This Row],[Harga Normal C]])</f>
        <v>0</v>
      </c>
      <c r="AB890" s="73">
        <f>IFERROR(INDEX(Katalog!$F$3:$F$12,MATCH(cadangan[[#This Row],[ItemID C]],Katalog!$C$3:$C$12,0))*cadangan[[#This Row],[Qty C]],0)</f>
        <v>0</v>
      </c>
      <c r="AC890" s="73">
        <f>IFERROR(cadangan[[#This Row],[Harga Diskon C]]-INDEX(Katalog!$E$3:$E$12,MATCH(cadangan[[#This Row],[ItemID C]],Katalog!$C$3:$C$12,0))*cadangan[[#This Row],[Qty C]],0)</f>
        <v>0</v>
      </c>
      <c r="AD890" s="53">
        <f>cadangan[[#This Row],[Qty A]]+cadangan[[#This Row],[Qty B]]+cadangan[[#This Row],[Qty C]]</f>
        <v>3</v>
      </c>
      <c r="AE890" s="73">
        <f>cadangan[[#This Row],[Harga Normal A]]+cadangan[[#This Row],[Harga Normal B]]+cadangan[[#This Row],[Harga Normal C]]</f>
        <v>1180000</v>
      </c>
      <c r="AF890" s="73">
        <f>cadangan[[#This Row],[Harga Diskon A]]+cadangan[[#This Row],[Harga Diskon B]]+cadangan[[#This Row],[Harga Diskon C]]</f>
        <v>944000</v>
      </c>
      <c r="AG890" s="73">
        <f>(cadangan[[#This Row],[Profit Normal A]]+cadangan[[#This Row],[Profit Normal B]]+cadangan[[#This Row],[Profit Normal C]])</f>
        <v>470000</v>
      </c>
      <c r="AH890" s="73">
        <f>cadangan[[#This Row],[Profit Diskon A]]+cadangan[[#This Row],[Profit Diskon B]]+cadangan[[#This Row],[Profit Diskon C]]</f>
        <v>234000</v>
      </c>
      <c r="AI890" s="23" t="s">
        <v>8</v>
      </c>
      <c r="AJ890" s="37">
        <f>IFERROR(INDEX('Kode Diskon'!$D$3:$D$9,MATCH(cadangan[[#This Row],[Kode diskon]],'Kode Diskon'!$C$3:$C$9,0)),"-")</f>
        <v>0.2</v>
      </c>
      <c r="AK890" s="23" t="s">
        <v>9</v>
      </c>
      <c r="AL890" s="23" t="s">
        <v>7</v>
      </c>
      <c r="AM890" s="23" t="s">
        <v>80</v>
      </c>
      <c r="AN890" s="55">
        <v>45046</v>
      </c>
      <c r="AO890" s="53">
        <f>DAY(cadangan[[#This Row],[Tanggal terjual]])</f>
        <v>30</v>
      </c>
      <c r="AP890" s="21" t="str">
        <f>TEXT(cadangan[[#This Row],[Tanggal terjual]],"dddd")</f>
        <v>Sunday</v>
      </c>
      <c r="AQ890" s="23" t="str" cm="1">
        <f t="array" ref="AQ8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90" s="61">
        <f>AVERAGE(cadangan[[#This Row],[Rating A]],cadangan[[#This Row],[Rating B]],cadangan[[#This Row],[Rating C]])</f>
        <v>4</v>
      </c>
    </row>
    <row r="891" spans="1:44" x14ac:dyDescent="0.2">
      <c r="A891" s="20">
        <v>890</v>
      </c>
      <c r="B891" s="21" t="str">
        <f>_xlfn.CONCAT("ORD-",INDEX(Helper!$B$2:$B$5,MATCH(cadangan[[#This Row],[Marketplace]],Helper!$A$2:$A$5,0)),TEXT(cadangan[[#This Row],[No]],"0000"),"-",TEXT(cadangan[[#This Row],[Tanggal terjual]],"dd/mm/yy"))</f>
        <v>ORD-BL0890-17/04/23</v>
      </c>
      <c r="C891" s="39" t="s">
        <v>63</v>
      </c>
      <c r="D891" s="39" t="str">
        <f>IFERROR(INDEX(Katalog!$A$3:$A$12,MATCH(cadangan[[#This Row],[ItemID A]],Katalog!$C$3:$C$12,0)),"-")</f>
        <v>Pakaian Pria</v>
      </c>
      <c r="E891" s="39" t="str">
        <f>IFERROR(INDEX(Katalog!$B$3:$B$12,MATCH(cadangan[[#This Row],[ItemID A]],Katalog!$C$3:$C$12,0)),"-")</f>
        <v>Jaket Jeans</v>
      </c>
      <c r="F891" s="50">
        <v>4</v>
      </c>
      <c r="G891" s="50">
        <v>2</v>
      </c>
      <c r="H891" s="73">
        <f>IFERROR(INDEX(Katalog!$D$3:$D$12,MATCH(cadangan[[#This Row],[ItemID A]],Katalog!$C$3:$C$12,0))*cadangan[[#This Row],[Qty A]],0)</f>
        <v>1600000</v>
      </c>
      <c r="I891" s="73">
        <f>IFERROR(cadangan[[#This Row],[Harga Normal A]]-(cadangan[[#This Row],[Harga Normal A]]*cadangan[[#This Row],[Diskon]]),cadangan[[#This Row],[Harga Normal A]])</f>
        <v>1360000</v>
      </c>
      <c r="J891" s="73">
        <f>INDEX(Katalog!$F$3:$F$12,MATCH(cadangan[[#This Row],[ItemID A]],Katalog!$C$3:$C$12,0))*cadangan[[#This Row],[Qty A]]</f>
        <v>600000</v>
      </c>
      <c r="K891" s="73">
        <f>IFERROR(cadangan[[#This Row],[Harga Diskon A]]-INDEX(Katalog!$E$3:$E$12,MATCH(cadangan[[#This Row],[ItemID A]],Katalog!$C$3:$C$12,0))*cadangan[[#This Row],[Qty A]],0)</f>
        <v>360000</v>
      </c>
      <c r="L891" s="39" t="s">
        <v>60</v>
      </c>
      <c r="M891" s="39" t="str">
        <f>IFERROR(INDEX(Katalog!$A$3:$A$12,MATCH(cadangan[[#This Row],[ItemID B]],Katalog!$C$3:$C$12,0)),"-")</f>
        <v>Pakaian Wanita</v>
      </c>
      <c r="N891" s="39" t="str">
        <f>IFERROR(INDEX(Katalog!$B$3:$B$12,MATCH(cadangan[[#This Row],[ItemID B]],Katalog!$C$3:$C$12,0)),"-")</f>
        <v>Kaftan</v>
      </c>
      <c r="O891" s="50">
        <v>1</v>
      </c>
      <c r="P891" s="50">
        <v>5</v>
      </c>
      <c r="Q891" s="73">
        <f>IFERROR(INDEX(Katalog!$D$3:$D$12,MATCH(cadangan[[#This Row],[ItemID B]],Katalog!$C$3:$C$12,0))*cadangan[[#This Row],[Qty B]],0)</f>
        <v>250000</v>
      </c>
      <c r="R891" s="73">
        <f>IFERROR(cadangan[[#This Row],[Harga Normal B]]-(cadangan[[#This Row],[Harga Normal B]]*cadangan[[#This Row],[Diskon]]),cadangan[[#This Row],[Harga Normal B]])</f>
        <v>212500</v>
      </c>
      <c r="S891" s="73">
        <f>IFERROR(INDEX(Katalog!$F$3:$F$12,MATCH(cadangan[[#This Row],[ItemID B]],Katalog!$C$3:$C$12,0))*cadangan[[#This Row],[Qty B]],0)</f>
        <v>100000</v>
      </c>
      <c r="T891" s="73">
        <f>IFERROR(cadangan[[#This Row],[Harga Diskon B]]-INDEX(Katalog!$E$3:$E$12,MATCH(cadangan[[#This Row],[ItemID B]],Katalog!$C$3:$C$12,0))*cadangan[[#This Row],[Qty B]],0)</f>
        <v>62500</v>
      </c>
      <c r="U891" s="39" t="s">
        <v>66</v>
      </c>
      <c r="V891" s="39" t="str">
        <f>IFERROR(INDEX(Katalog!$A$3:$A$12,MATCH(cadangan[[#This Row],[ItemID C]],Katalog!$C$3:$C$12,0)),"-")</f>
        <v>Sepatu Pria</v>
      </c>
      <c r="W891" s="39" t="str">
        <f>IFERROR(INDEX(Katalog!$B$3:$B$12,MATCH(cadangan[[#This Row],[ItemID C]],Katalog!$C$3:$C$12,0)),"-")</f>
        <v>Sandal Slip On</v>
      </c>
      <c r="X891" s="50">
        <v>1</v>
      </c>
      <c r="Y891" s="50">
        <v>5</v>
      </c>
      <c r="Z891" s="73">
        <f>IFERROR(INDEX(Katalog!$D$3:$D$12,MATCH(cadangan[[#This Row],[ItemID C]],Katalog!$C$3:$C$12,0))*cadangan[[#This Row],[Qty C]],0)</f>
        <v>150000</v>
      </c>
      <c r="AA891" s="73">
        <f>IFERROR(cadangan[[#This Row],[Harga Normal C]]-(cadangan[[#This Row],[Harga Normal C]]*cadangan[[#This Row],[Diskon]]),cadangan[[#This Row],[Harga Normal C]])</f>
        <v>127500</v>
      </c>
      <c r="AB891" s="73">
        <f>IFERROR(INDEX(Katalog!$F$3:$F$12,MATCH(cadangan[[#This Row],[ItemID C]],Katalog!$C$3:$C$12,0))*cadangan[[#This Row],[Qty C]],0)</f>
        <v>60000</v>
      </c>
      <c r="AC891" s="73">
        <f>IFERROR(cadangan[[#This Row],[Harga Diskon C]]-INDEX(Katalog!$E$3:$E$12,MATCH(cadangan[[#This Row],[ItemID C]],Katalog!$C$3:$C$12,0))*cadangan[[#This Row],[Qty C]],0)</f>
        <v>37500</v>
      </c>
      <c r="AD891" s="53">
        <f>cadangan[[#This Row],[Qty A]]+cadangan[[#This Row],[Qty B]]+cadangan[[#This Row],[Qty C]]</f>
        <v>6</v>
      </c>
      <c r="AE891" s="73">
        <f>cadangan[[#This Row],[Harga Normal A]]+cadangan[[#This Row],[Harga Normal B]]+cadangan[[#This Row],[Harga Normal C]]</f>
        <v>2000000</v>
      </c>
      <c r="AF891" s="73">
        <f>cadangan[[#This Row],[Harga Diskon A]]+cadangan[[#This Row],[Harga Diskon B]]+cadangan[[#This Row],[Harga Diskon C]]</f>
        <v>1700000</v>
      </c>
      <c r="AG891" s="73">
        <f>(cadangan[[#This Row],[Profit Normal A]]+cadangan[[#This Row],[Profit Normal B]]+cadangan[[#This Row],[Profit Normal C]])</f>
        <v>760000</v>
      </c>
      <c r="AH891" s="73">
        <f>cadangan[[#This Row],[Profit Diskon A]]+cadangan[[#This Row],[Profit Diskon B]]+cadangan[[#This Row],[Profit Diskon C]]</f>
        <v>460000</v>
      </c>
      <c r="AI891" s="23" t="s">
        <v>32</v>
      </c>
      <c r="AJ891" s="37">
        <f>IFERROR(INDEX('Kode Diskon'!$D$3:$D$9,MATCH(cadangan[[#This Row],[Kode diskon]],'Kode Diskon'!$C$3:$C$9,0)),"-")</f>
        <v>0.15</v>
      </c>
      <c r="AK891" s="23" t="s">
        <v>9</v>
      </c>
      <c r="AL891" s="23" t="s">
        <v>12</v>
      </c>
      <c r="AM891" s="23" t="s">
        <v>78</v>
      </c>
      <c r="AN891" s="55">
        <v>45033</v>
      </c>
      <c r="AO891" s="53">
        <f>DAY(cadangan[[#This Row],[Tanggal terjual]])</f>
        <v>17</v>
      </c>
      <c r="AP891" s="21" t="str">
        <f>TEXT(cadangan[[#This Row],[Tanggal terjual]],"dddd")</f>
        <v>Monday</v>
      </c>
      <c r="AQ891" s="23" t="str" cm="1">
        <f t="array" ref="AQ8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91" s="61">
        <f>AVERAGE(cadangan[[#This Row],[Rating A]],cadangan[[#This Row],[Rating B]],cadangan[[#This Row],[Rating C]])</f>
        <v>4</v>
      </c>
    </row>
    <row r="892" spans="1:44" x14ac:dyDescent="0.2">
      <c r="A892" s="20">
        <v>891</v>
      </c>
      <c r="B892" s="21" t="str">
        <f>_xlfn.CONCAT("ORD-",INDEX(Helper!$B$2:$B$5,MATCH(cadangan[[#This Row],[Marketplace]],Helper!$A$2:$A$5,0)),TEXT(cadangan[[#This Row],[No]],"0000"),"-",TEXT(cadangan[[#This Row],[Tanggal terjual]],"dd/mm/yy"))</f>
        <v>ORD-TK0891-03/04/23</v>
      </c>
      <c r="C892" s="39" t="s">
        <v>65</v>
      </c>
      <c r="D892" s="39" t="str">
        <f>IFERROR(INDEX(Katalog!$A$3:$A$12,MATCH(cadangan[[#This Row],[ItemID A]],Katalog!$C$3:$C$12,0)),"-")</f>
        <v>Sepatu Pria</v>
      </c>
      <c r="E892" s="39" t="str">
        <f>IFERROR(INDEX(Katalog!$B$3:$B$12,MATCH(cadangan[[#This Row],[ItemID A]],Katalog!$C$3:$C$12,0)),"-")</f>
        <v>Sneakers</v>
      </c>
      <c r="F892" s="50">
        <v>3</v>
      </c>
      <c r="G892" s="50">
        <v>4</v>
      </c>
      <c r="H892" s="73">
        <f>IFERROR(INDEX(Katalog!$D$3:$D$12,MATCH(cadangan[[#This Row],[ItemID A]],Katalog!$C$3:$C$12,0))*cadangan[[#This Row],[Qty A]],0)</f>
        <v>1500000</v>
      </c>
      <c r="I892" s="73">
        <f>IFERROR(cadangan[[#This Row],[Harga Normal A]]-(cadangan[[#This Row],[Harga Normal A]]*cadangan[[#This Row],[Diskon]]),cadangan[[#This Row],[Harga Normal A]])</f>
        <v>1350000</v>
      </c>
      <c r="J892" s="73">
        <f>INDEX(Katalog!$F$3:$F$12,MATCH(cadangan[[#This Row],[ItemID A]],Katalog!$C$3:$C$12,0))*cadangan[[#This Row],[Qty A]]</f>
        <v>600000</v>
      </c>
      <c r="K892" s="73">
        <f>IFERROR(cadangan[[#This Row],[Harga Diskon A]]-INDEX(Katalog!$E$3:$E$12,MATCH(cadangan[[#This Row],[ItemID A]],Katalog!$C$3:$C$12,0))*cadangan[[#This Row],[Qty A]],0)</f>
        <v>450000</v>
      </c>
      <c r="L892" s="39" t="s">
        <v>66</v>
      </c>
      <c r="M892" s="39" t="str">
        <f>IFERROR(INDEX(Katalog!$A$3:$A$12,MATCH(cadangan[[#This Row],[ItemID B]],Katalog!$C$3:$C$12,0)),"-")</f>
        <v>Sepatu Pria</v>
      </c>
      <c r="N892" s="39" t="str">
        <f>IFERROR(INDEX(Katalog!$B$3:$B$12,MATCH(cadangan[[#This Row],[ItemID B]],Katalog!$C$3:$C$12,0)),"-")</f>
        <v>Sandal Slip On</v>
      </c>
      <c r="O892" s="50">
        <v>2</v>
      </c>
      <c r="P892" s="50">
        <v>3</v>
      </c>
      <c r="Q892" s="73">
        <f>IFERROR(INDEX(Katalog!$D$3:$D$12,MATCH(cadangan[[#This Row],[ItemID B]],Katalog!$C$3:$C$12,0))*cadangan[[#This Row],[Qty B]],0)</f>
        <v>300000</v>
      </c>
      <c r="R892" s="73">
        <f>IFERROR(cadangan[[#This Row],[Harga Normal B]]-(cadangan[[#This Row],[Harga Normal B]]*cadangan[[#This Row],[Diskon]]),cadangan[[#This Row],[Harga Normal B]])</f>
        <v>270000</v>
      </c>
      <c r="S892" s="73">
        <f>IFERROR(INDEX(Katalog!$F$3:$F$12,MATCH(cadangan[[#This Row],[ItemID B]],Katalog!$C$3:$C$12,0))*cadangan[[#This Row],[Qty B]],0)</f>
        <v>120000</v>
      </c>
      <c r="T892" s="73">
        <f>IFERROR(cadangan[[#This Row],[Harga Diskon B]]-INDEX(Katalog!$E$3:$E$12,MATCH(cadangan[[#This Row],[ItemID B]],Katalog!$C$3:$C$12,0))*cadangan[[#This Row],[Qty B]],0)</f>
        <v>90000</v>
      </c>
      <c r="V892" s="39" t="str">
        <f>IFERROR(INDEX(Katalog!$A$3:$A$12,MATCH(cadangan[[#This Row],[ItemID C]],Katalog!$C$3:$C$12,0)),"-")</f>
        <v>-</v>
      </c>
      <c r="W892" s="39" t="str">
        <f>IFERROR(INDEX(Katalog!$B$3:$B$12,MATCH(cadangan[[#This Row],[ItemID C]],Katalog!$C$3:$C$12,0)),"-")</f>
        <v>-</v>
      </c>
      <c r="Z892" s="73">
        <f>IFERROR(INDEX(Katalog!$D$3:$D$12,MATCH(cadangan[[#This Row],[ItemID C]],Katalog!$C$3:$C$12,0))*cadangan[[#This Row],[Qty C]],0)</f>
        <v>0</v>
      </c>
      <c r="AA892" s="73">
        <f>IFERROR(cadangan[[#This Row],[Harga Normal C]]-(cadangan[[#This Row],[Harga Normal C]]*cadangan[[#This Row],[Diskon]]),cadangan[[#This Row],[Harga Normal C]])</f>
        <v>0</v>
      </c>
      <c r="AB892" s="73">
        <f>IFERROR(INDEX(Katalog!$F$3:$F$12,MATCH(cadangan[[#This Row],[ItemID C]],Katalog!$C$3:$C$12,0))*cadangan[[#This Row],[Qty C]],0)</f>
        <v>0</v>
      </c>
      <c r="AC892" s="73">
        <f>IFERROR(cadangan[[#This Row],[Harga Diskon C]]-INDEX(Katalog!$E$3:$E$12,MATCH(cadangan[[#This Row],[ItemID C]],Katalog!$C$3:$C$12,0))*cadangan[[#This Row],[Qty C]],0)</f>
        <v>0</v>
      </c>
      <c r="AD892" s="53">
        <f>cadangan[[#This Row],[Qty A]]+cadangan[[#This Row],[Qty B]]+cadangan[[#This Row],[Qty C]]</f>
        <v>5</v>
      </c>
      <c r="AE892" s="73">
        <f>cadangan[[#This Row],[Harga Normal A]]+cadangan[[#This Row],[Harga Normal B]]+cadangan[[#This Row],[Harga Normal C]]</f>
        <v>1800000</v>
      </c>
      <c r="AF892" s="73">
        <f>cadangan[[#This Row],[Harga Diskon A]]+cadangan[[#This Row],[Harga Diskon B]]+cadangan[[#This Row],[Harga Diskon C]]</f>
        <v>1620000</v>
      </c>
      <c r="AG892" s="73">
        <f>(cadangan[[#This Row],[Profit Normal A]]+cadangan[[#This Row],[Profit Normal B]]+cadangan[[#This Row],[Profit Normal C]])</f>
        <v>720000</v>
      </c>
      <c r="AH892" s="73">
        <f>cadangan[[#This Row],[Profit Diskon A]]+cadangan[[#This Row],[Profit Diskon B]]+cadangan[[#This Row],[Profit Diskon C]]</f>
        <v>540000</v>
      </c>
      <c r="AI892" s="23" t="s">
        <v>30</v>
      </c>
      <c r="AJ892" s="37">
        <f>IFERROR(INDEX('Kode Diskon'!$D$3:$D$9,MATCH(cadangan[[#This Row],[Kode diskon]],'Kode Diskon'!$C$3:$C$9,0)),"-")</f>
        <v>0.1</v>
      </c>
      <c r="AK892" s="23" t="s">
        <v>29</v>
      </c>
      <c r="AL892" s="23" t="s">
        <v>10</v>
      </c>
      <c r="AM892" s="23" t="s">
        <v>76</v>
      </c>
      <c r="AN892" s="55">
        <v>45019</v>
      </c>
      <c r="AO892" s="53">
        <f>DAY(cadangan[[#This Row],[Tanggal terjual]])</f>
        <v>3</v>
      </c>
      <c r="AP892" s="21" t="str">
        <f>TEXT(cadangan[[#This Row],[Tanggal terjual]],"dddd")</f>
        <v>Monday</v>
      </c>
      <c r="AQ892" s="23" t="str" cm="1">
        <f t="array" ref="AQ8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92" s="61">
        <f>AVERAGE(cadangan[[#This Row],[Rating A]],cadangan[[#This Row],[Rating B]],cadangan[[#This Row],[Rating C]])</f>
        <v>3.5</v>
      </c>
    </row>
    <row r="893" spans="1:44" x14ac:dyDescent="0.2">
      <c r="A893" s="20">
        <v>892</v>
      </c>
      <c r="B893" s="21" t="str">
        <f>_xlfn.CONCAT("ORD-",INDEX(Helper!$B$2:$B$5,MATCH(cadangan[[#This Row],[Marketplace]],Helper!$A$2:$A$5,0)),TEXT(cadangan[[#This Row],[No]],"0000"),"-",TEXT(cadangan[[#This Row],[Tanggal terjual]],"dd/mm/yy"))</f>
        <v>ORD-BL0892-19/04/23</v>
      </c>
      <c r="C893" s="39" t="s">
        <v>61</v>
      </c>
      <c r="D893" s="39" t="str">
        <f>IFERROR(INDEX(Katalog!$A$3:$A$12,MATCH(cadangan[[#This Row],[ItemID A]],Katalog!$C$3:$C$12,0)),"-")</f>
        <v>Pakaian Pria</v>
      </c>
      <c r="E893" s="39" t="str">
        <f>IFERROR(INDEX(Katalog!$B$3:$B$12,MATCH(cadangan[[#This Row],[ItemID A]],Katalog!$C$3:$C$12,0)),"-")</f>
        <v>Kaos Polo</v>
      </c>
      <c r="F893" s="50">
        <v>1</v>
      </c>
      <c r="G893" s="50">
        <v>4</v>
      </c>
      <c r="H893" s="73">
        <f>IFERROR(INDEX(Katalog!$D$3:$D$12,MATCH(cadangan[[#This Row],[ItemID A]],Katalog!$C$3:$C$12,0))*cadangan[[#This Row],[Qty A]],0)</f>
        <v>200000</v>
      </c>
      <c r="I893" s="73">
        <f>IFERROR(cadangan[[#This Row],[Harga Normal A]]-(cadangan[[#This Row],[Harga Normal A]]*cadangan[[#This Row],[Diskon]]),cadangan[[#This Row],[Harga Normal A]])</f>
        <v>170000</v>
      </c>
      <c r="J893" s="73">
        <f>INDEX(Katalog!$F$3:$F$12,MATCH(cadangan[[#This Row],[ItemID A]],Katalog!$C$3:$C$12,0))*cadangan[[#This Row],[Qty A]]</f>
        <v>80000</v>
      </c>
      <c r="K893" s="73">
        <f>IFERROR(cadangan[[#This Row],[Harga Diskon A]]-INDEX(Katalog!$E$3:$E$12,MATCH(cadangan[[#This Row],[ItemID A]],Katalog!$C$3:$C$12,0))*cadangan[[#This Row],[Qty A]],0)</f>
        <v>50000</v>
      </c>
      <c r="L893" s="39" t="s">
        <v>62</v>
      </c>
      <c r="M893" s="39" t="str">
        <f>IFERROR(INDEX(Katalog!$A$3:$A$12,MATCH(cadangan[[#This Row],[ItemID B]],Katalog!$C$3:$C$12,0)),"-")</f>
        <v>Pakaian Pria</v>
      </c>
      <c r="N893" s="39" t="str">
        <f>IFERROR(INDEX(Katalog!$B$3:$B$12,MATCH(cadangan[[#This Row],[ItemID B]],Katalog!$C$3:$C$12,0)),"-")</f>
        <v>Celana Pendek</v>
      </c>
      <c r="O893" s="50">
        <v>1</v>
      </c>
      <c r="P893" s="50">
        <v>2</v>
      </c>
      <c r="Q893" s="73">
        <f>IFERROR(INDEX(Katalog!$D$3:$D$12,MATCH(cadangan[[#This Row],[ItemID B]],Katalog!$C$3:$C$12,0))*cadangan[[#This Row],[Qty B]],0)</f>
        <v>180000</v>
      </c>
      <c r="R893" s="73">
        <f>IFERROR(cadangan[[#This Row],[Harga Normal B]]-(cadangan[[#This Row],[Harga Normal B]]*cadangan[[#This Row],[Diskon]]),cadangan[[#This Row],[Harga Normal B]])</f>
        <v>153000</v>
      </c>
      <c r="S893" s="73">
        <f>IFERROR(INDEX(Katalog!$F$3:$F$12,MATCH(cadangan[[#This Row],[ItemID B]],Katalog!$C$3:$C$12,0))*cadangan[[#This Row],[Qty B]],0)</f>
        <v>70000</v>
      </c>
      <c r="T893" s="73">
        <f>IFERROR(cadangan[[#This Row],[Harga Diskon B]]-INDEX(Katalog!$E$3:$E$12,MATCH(cadangan[[#This Row],[ItemID B]],Katalog!$C$3:$C$12,0))*cadangan[[#This Row],[Qty B]],0)</f>
        <v>43000</v>
      </c>
      <c r="V893" s="39" t="str">
        <f>IFERROR(INDEX(Katalog!$A$3:$A$12,MATCH(cadangan[[#This Row],[ItemID C]],Katalog!$C$3:$C$12,0)),"-")</f>
        <v>-</v>
      </c>
      <c r="W893" s="39" t="str">
        <f>IFERROR(INDEX(Katalog!$B$3:$B$12,MATCH(cadangan[[#This Row],[ItemID C]],Katalog!$C$3:$C$12,0)),"-")</f>
        <v>-</v>
      </c>
      <c r="Z893" s="73">
        <f>IFERROR(INDEX(Katalog!$D$3:$D$12,MATCH(cadangan[[#This Row],[ItemID C]],Katalog!$C$3:$C$12,0))*cadangan[[#This Row],[Qty C]],0)</f>
        <v>0</v>
      </c>
      <c r="AA893" s="73">
        <f>IFERROR(cadangan[[#This Row],[Harga Normal C]]-(cadangan[[#This Row],[Harga Normal C]]*cadangan[[#This Row],[Diskon]]),cadangan[[#This Row],[Harga Normal C]])</f>
        <v>0</v>
      </c>
      <c r="AB893" s="73">
        <f>IFERROR(INDEX(Katalog!$F$3:$F$12,MATCH(cadangan[[#This Row],[ItemID C]],Katalog!$C$3:$C$12,0))*cadangan[[#This Row],[Qty C]],0)</f>
        <v>0</v>
      </c>
      <c r="AC893" s="73">
        <f>IFERROR(cadangan[[#This Row],[Harga Diskon C]]-INDEX(Katalog!$E$3:$E$12,MATCH(cadangan[[#This Row],[ItemID C]],Katalog!$C$3:$C$12,0))*cadangan[[#This Row],[Qty C]],0)</f>
        <v>0</v>
      </c>
      <c r="AD893" s="53">
        <f>cadangan[[#This Row],[Qty A]]+cadangan[[#This Row],[Qty B]]+cadangan[[#This Row],[Qty C]]</f>
        <v>2</v>
      </c>
      <c r="AE893" s="73">
        <f>cadangan[[#This Row],[Harga Normal A]]+cadangan[[#This Row],[Harga Normal B]]+cadangan[[#This Row],[Harga Normal C]]</f>
        <v>380000</v>
      </c>
      <c r="AF893" s="73">
        <f>cadangan[[#This Row],[Harga Diskon A]]+cadangan[[#This Row],[Harga Diskon B]]+cadangan[[#This Row],[Harga Diskon C]]</f>
        <v>323000</v>
      </c>
      <c r="AG893" s="73">
        <f>(cadangan[[#This Row],[Profit Normal A]]+cadangan[[#This Row],[Profit Normal B]]+cadangan[[#This Row],[Profit Normal C]])</f>
        <v>150000</v>
      </c>
      <c r="AH893" s="73">
        <f>cadangan[[#This Row],[Profit Diskon A]]+cadangan[[#This Row],[Profit Diskon B]]+cadangan[[#This Row],[Profit Diskon C]]</f>
        <v>93000</v>
      </c>
      <c r="AI893" s="23" t="s">
        <v>32</v>
      </c>
      <c r="AJ893" s="37">
        <f>IFERROR(INDEX('Kode Diskon'!$D$3:$D$9,MATCH(cadangan[[#This Row],[Kode diskon]],'Kode Diskon'!$C$3:$C$9,0)),"-")</f>
        <v>0.15</v>
      </c>
      <c r="AK893" s="23" t="s">
        <v>9</v>
      </c>
      <c r="AL893" s="23" t="s">
        <v>12</v>
      </c>
      <c r="AM893" s="23" t="s">
        <v>80</v>
      </c>
      <c r="AN893" s="55">
        <v>45035</v>
      </c>
      <c r="AO893" s="53">
        <f>DAY(cadangan[[#This Row],[Tanggal terjual]])</f>
        <v>19</v>
      </c>
      <c r="AP893" s="21" t="str">
        <f>TEXT(cadangan[[#This Row],[Tanggal terjual]],"dddd")</f>
        <v>Wednesday</v>
      </c>
      <c r="AQ893" s="23" t="str" cm="1">
        <f t="array" ref="AQ8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93" s="61">
        <f>AVERAGE(cadangan[[#This Row],[Rating A]],cadangan[[#This Row],[Rating B]],cadangan[[#This Row],[Rating C]])</f>
        <v>3</v>
      </c>
    </row>
    <row r="894" spans="1:44" x14ac:dyDescent="0.2">
      <c r="A894" s="20">
        <v>893</v>
      </c>
      <c r="B894" s="21" t="str">
        <f>_xlfn.CONCAT("ORD-",INDEX(Helper!$B$2:$B$5,MATCH(cadangan[[#This Row],[Marketplace]],Helper!$A$2:$A$5,0)),TEXT(cadangan[[#This Row],[No]],"0000"),"-",TEXT(cadangan[[#This Row],[Tanggal terjual]],"dd/mm/yy"))</f>
        <v>ORD-TK0893-04/04/23</v>
      </c>
      <c r="C894" s="39" t="s">
        <v>64</v>
      </c>
      <c r="D894" s="39" t="str">
        <f>IFERROR(INDEX(Katalog!$A$3:$A$12,MATCH(cadangan[[#This Row],[ItemID A]],Katalog!$C$3:$C$12,0)),"-")</f>
        <v>Pakaian Unisex</v>
      </c>
      <c r="E894" s="39" t="str">
        <f>IFERROR(INDEX(Katalog!$B$3:$B$12,MATCH(cadangan[[#This Row],[ItemID A]],Katalog!$C$3:$C$12,0)),"-")</f>
        <v>Jaket Hoodie</v>
      </c>
      <c r="F894" s="50">
        <v>1</v>
      </c>
      <c r="G894" s="50">
        <v>1</v>
      </c>
      <c r="H894" s="73">
        <f>IFERROR(INDEX(Katalog!$D$3:$D$12,MATCH(cadangan[[#This Row],[ItemID A]],Katalog!$C$3:$C$12,0))*cadangan[[#This Row],[Qty A]],0)</f>
        <v>350000</v>
      </c>
      <c r="I894" s="73">
        <f>IFERROR(cadangan[[#This Row],[Harga Normal A]]-(cadangan[[#This Row],[Harga Normal A]]*cadangan[[#This Row],[Diskon]]),cadangan[[#This Row],[Harga Normal A]])</f>
        <v>315000</v>
      </c>
      <c r="J894" s="73">
        <f>INDEX(Katalog!$F$3:$F$12,MATCH(cadangan[[#This Row],[ItemID A]],Katalog!$C$3:$C$12,0))*cadangan[[#This Row],[Qty A]]</f>
        <v>130000</v>
      </c>
      <c r="K894" s="73">
        <f>IFERROR(cadangan[[#This Row],[Harga Diskon A]]-INDEX(Katalog!$E$3:$E$12,MATCH(cadangan[[#This Row],[ItemID A]],Katalog!$C$3:$C$12,0))*cadangan[[#This Row],[Qty A]],0)</f>
        <v>95000</v>
      </c>
      <c r="L894" s="39" t="s">
        <v>65</v>
      </c>
      <c r="M894" s="39" t="str">
        <f>IFERROR(INDEX(Katalog!$A$3:$A$12,MATCH(cadangan[[#This Row],[ItemID B]],Katalog!$C$3:$C$12,0)),"-")</f>
        <v>Sepatu Pria</v>
      </c>
      <c r="N894" s="39" t="str">
        <f>IFERROR(INDEX(Katalog!$B$3:$B$12,MATCH(cadangan[[#This Row],[ItemID B]],Katalog!$C$3:$C$12,0)),"-")</f>
        <v>Sneakers</v>
      </c>
      <c r="O894" s="50">
        <v>1</v>
      </c>
      <c r="P894" s="50">
        <v>2</v>
      </c>
      <c r="Q894" s="73">
        <f>IFERROR(INDEX(Katalog!$D$3:$D$12,MATCH(cadangan[[#This Row],[ItemID B]],Katalog!$C$3:$C$12,0))*cadangan[[#This Row],[Qty B]],0)</f>
        <v>500000</v>
      </c>
      <c r="R894" s="73">
        <f>IFERROR(cadangan[[#This Row],[Harga Normal B]]-(cadangan[[#This Row],[Harga Normal B]]*cadangan[[#This Row],[Diskon]]),cadangan[[#This Row],[Harga Normal B]])</f>
        <v>450000</v>
      </c>
      <c r="S894" s="73">
        <f>IFERROR(INDEX(Katalog!$F$3:$F$12,MATCH(cadangan[[#This Row],[ItemID B]],Katalog!$C$3:$C$12,0))*cadangan[[#This Row],[Qty B]],0)</f>
        <v>200000</v>
      </c>
      <c r="T894" s="73">
        <f>IFERROR(cadangan[[#This Row],[Harga Diskon B]]-INDEX(Katalog!$E$3:$E$12,MATCH(cadangan[[#This Row],[ItemID B]],Katalog!$C$3:$C$12,0))*cadangan[[#This Row],[Qty B]],0)</f>
        <v>150000</v>
      </c>
      <c r="U894" s="39" t="s">
        <v>66</v>
      </c>
      <c r="V894" s="39" t="str">
        <f>IFERROR(INDEX(Katalog!$A$3:$A$12,MATCH(cadangan[[#This Row],[ItemID C]],Katalog!$C$3:$C$12,0)),"-")</f>
        <v>Sepatu Pria</v>
      </c>
      <c r="W894" s="39" t="str">
        <f>IFERROR(INDEX(Katalog!$B$3:$B$12,MATCH(cadangan[[#This Row],[ItemID C]],Katalog!$C$3:$C$12,0)),"-")</f>
        <v>Sandal Slip On</v>
      </c>
      <c r="X894" s="50">
        <v>3</v>
      </c>
      <c r="Y894" s="50">
        <v>2</v>
      </c>
      <c r="Z894" s="73">
        <f>IFERROR(INDEX(Katalog!$D$3:$D$12,MATCH(cadangan[[#This Row],[ItemID C]],Katalog!$C$3:$C$12,0))*cadangan[[#This Row],[Qty C]],0)</f>
        <v>450000</v>
      </c>
      <c r="AA894" s="73">
        <f>IFERROR(cadangan[[#This Row],[Harga Normal C]]-(cadangan[[#This Row],[Harga Normal C]]*cadangan[[#This Row],[Diskon]]),cadangan[[#This Row],[Harga Normal C]])</f>
        <v>405000</v>
      </c>
      <c r="AB894" s="73">
        <f>IFERROR(INDEX(Katalog!$F$3:$F$12,MATCH(cadangan[[#This Row],[ItemID C]],Katalog!$C$3:$C$12,0))*cadangan[[#This Row],[Qty C]],0)</f>
        <v>180000</v>
      </c>
      <c r="AC894" s="73">
        <f>IFERROR(cadangan[[#This Row],[Harga Diskon C]]-INDEX(Katalog!$E$3:$E$12,MATCH(cadangan[[#This Row],[ItemID C]],Katalog!$C$3:$C$12,0))*cadangan[[#This Row],[Qty C]],0)</f>
        <v>135000</v>
      </c>
      <c r="AD894" s="53">
        <f>cadangan[[#This Row],[Qty A]]+cadangan[[#This Row],[Qty B]]+cadangan[[#This Row],[Qty C]]</f>
        <v>5</v>
      </c>
      <c r="AE894" s="73">
        <f>cadangan[[#This Row],[Harga Normal A]]+cadangan[[#This Row],[Harga Normal B]]+cadangan[[#This Row],[Harga Normal C]]</f>
        <v>1300000</v>
      </c>
      <c r="AF894" s="73">
        <f>cadangan[[#This Row],[Harga Diskon A]]+cadangan[[#This Row],[Harga Diskon B]]+cadangan[[#This Row],[Harga Diskon C]]</f>
        <v>1170000</v>
      </c>
      <c r="AG894" s="73">
        <f>(cadangan[[#This Row],[Profit Normal A]]+cadangan[[#This Row],[Profit Normal B]]+cadangan[[#This Row],[Profit Normal C]])</f>
        <v>510000</v>
      </c>
      <c r="AH894" s="73">
        <f>cadangan[[#This Row],[Profit Diskon A]]+cadangan[[#This Row],[Profit Diskon B]]+cadangan[[#This Row],[Profit Diskon C]]</f>
        <v>380000</v>
      </c>
      <c r="AI894" s="23" t="s">
        <v>30</v>
      </c>
      <c r="AJ894" s="37">
        <f>IFERROR(INDEX('Kode Diskon'!$D$3:$D$9,MATCH(cadangan[[#This Row],[Kode diskon]],'Kode Diskon'!$C$3:$C$9,0)),"-")</f>
        <v>0.1</v>
      </c>
      <c r="AK894" s="23" t="s">
        <v>29</v>
      </c>
      <c r="AL894" s="23" t="s">
        <v>10</v>
      </c>
      <c r="AM894" s="23" t="s">
        <v>75</v>
      </c>
      <c r="AN894" s="55">
        <v>45020</v>
      </c>
      <c r="AO894" s="53">
        <f>DAY(cadangan[[#This Row],[Tanggal terjual]])</f>
        <v>4</v>
      </c>
      <c r="AP894" s="21" t="str">
        <f>TEXT(cadangan[[#This Row],[Tanggal terjual]],"dddd")</f>
        <v>Tuesday</v>
      </c>
      <c r="AQ894" s="23" t="str" cm="1">
        <f t="array" ref="AQ8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94" s="61">
        <f>AVERAGE(cadangan[[#This Row],[Rating A]],cadangan[[#This Row],[Rating B]],cadangan[[#This Row],[Rating C]])</f>
        <v>1.6666666666666667</v>
      </c>
    </row>
    <row r="895" spans="1:44" x14ac:dyDescent="0.2">
      <c r="A895" s="20">
        <v>894</v>
      </c>
      <c r="B895" s="21" t="str">
        <f>_xlfn.CONCAT("ORD-",INDEX(Helper!$B$2:$B$5,MATCH(cadangan[[#This Row],[Marketplace]],Helper!$A$2:$A$5,0)),TEXT(cadangan[[#This Row],[No]],"0000"),"-",TEXT(cadangan[[#This Row],[Tanggal terjual]],"dd/mm/yy"))</f>
        <v>ORD-BL0894-27/04/23</v>
      </c>
      <c r="C895" s="39" t="s">
        <v>65</v>
      </c>
      <c r="D895" s="39" t="str">
        <f>IFERROR(INDEX(Katalog!$A$3:$A$12,MATCH(cadangan[[#This Row],[ItemID A]],Katalog!$C$3:$C$12,0)),"-")</f>
        <v>Sepatu Pria</v>
      </c>
      <c r="E895" s="39" t="str">
        <f>IFERROR(INDEX(Katalog!$B$3:$B$12,MATCH(cadangan[[#This Row],[ItemID A]],Katalog!$C$3:$C$12,0)),"-")</f>
        <v>Sneakers</v>
      </c>
      <c r="F895" s="50">
        <v>4</v>
      </c>
      <c r="G895" s="50">
        <v>2</v>
      </c>
      <c r="H895" s="73">
        <f>IFERROR(INDEX(Katalog!$D$3:$D$12,MATCH(cadangan[[#This Row],[ItemID A]],Katalog!$C$3:$C$12,0))*cadangan[[#This Row],[Qty A]],0)</f>
        <v>2000000</v>
      </c>
      <c r="I895" s="73">
        <f>IFERROR(cadangan[[#This Row],[Harga Normal A]]-(cadangan[[#This Row],[Harga Normal A]]*cadangan[[#This Row],[Diskon]]),cadangan[[#This Row],[Harga Normal A]])</f>
        <v>1700000</v>
      </c>
      <c r="J895" s="73">
        <f>INDEX(Katalog!$F$3:$F$12,MATCH(cadangan[[#This Row],[ItemID A]],Katalog!$C$3:$C$12,0))*cadangan[[#This Row],[Qty A]]</f>
        <v>800000</v>
      </c>
      <c r="K895" s="73">
        <f>IFERROR(cadangan[[#This Row],[Harga Diskon A]]-INDEX(Katalog!$E$3:$E$12,MATCH(cadangan[[#This Row],[ItemID A]],Katalog!$C$3:$C$12,0))*cadangan[[#This Row],[Qty A]],0)</f>
        <v>500000</v>
      </c>
      <c r="L895" s="39" t="s">
        <v>58</v>
      </c>
      <c r="M895" s="39" t="str">
        <f>IFERROR(INDEX(Katalog!$A$3:$A$12,MATCH(cadangan[[#This Row],[ItemID B]],Katalog!$C$3:$C$12,0)),"-")</f>
        <v>Pakaian Wanita</v>
      </c>
      <c r="N895" s="39" t="str">
        <f>IFERROR(INDEX(Katalog!$B$3:$B$12,MATCH(cadangan[[#This Row],[ItemID B]],Katalog!$C$3:$C$12,0)),"-")</f>
        <v>Dress</v>
      </c>
      <c r="O895" s="50">
        <v>3</v>
      </c>
      <c r="P895" s="50">
        <v>4</v>
      </c>
      <c r="Q895" s="73">
        <f>IFERROR(INDEX(Katalog!$D$3:$D$12,MATCH(cadangan[[#This Row],[ItemID B]],Katalog!$C$3:$C$12,0))*cadangan[[#This Row],[Qty B]],0)</f>
        <v>900000</v>
      </c>
      <c r="R895" s="73">
        <f>IFERROR(cadangan[[#This Row],[Harga Normal B]]-(cadangan[[#This Row],[Harga Normal B]]*cadangan[[#This Row],[Diskon]]),cadangan[[#This Row],[Harga Normal B]])</f>
        <v>765000</v>
      </c>
      <c r="S895" s="73">
        <f>IFERROR(INDEX(Katalog!$F$3:$F$12,MATCH(cadangan[[#This Row],[ItemID B]],Katalog!$C$3:$C$12,0))*cadangan[[#This Row],[Qty B]],0)</f>
        <v>300000</v>
      </c>
      <c r="T895" s="73">
        <f>IFERROR(cadangan[[#This Row],[Harga Diskon B]]-INDEX(Katalog!$E$3:$E$12,MATCH(cadangan[[#This Row],[ItemID B]],Katalog!$C$3:$C$12,0))*cadangan[[#This Row],[Qty B]],0)</f>
        <v>165000</v>
      </c>
      <c r="V895" s="39" t="str">
        <f>IFERROR(INDEX(Katalog!$A$3:$A$12,MATCH(cadangan[[#This Row],[ItemID C]],Katalog!$C$3:$C$12,0)),"-")</f>
        <v>-</v>
      </c>
      <c r="W895" s="39" t="str">
        <f>IFERROR(INDEX(Katalog!$B$3:$B$12,MATCH(cadangan[[#This Row],[ItemID C]],Katalog!$C$3:$C$12,0)),"-")</f>
        <v>-</v>
      </c>
      <c r="Z895" s="73">
        <f>IFERROR(INDEX(Katalog!$D$3:$D$12,MATCH(cadangan[[#This Row],[ItemID C]],Katalog!$C$3:$C$12,0))*cadangan[[#This Row],[Qty C]],0)</f>
        <v>0</v>
      </c>
      <c r="AA895" s="73">
        <f>IFERROR(cadangan[[#This Row],[Harga Normal C]]-(cadangan[[#This Row],[Harga Normal C]]*cadangan[[#This Row],[Diskon]]),cadangan[[#This Row],[Harga Normal C]])</f>
        <v>0</v>
      </c>
      <c r="AB895" s="73">
        <f>IFERROR(INDEX(Katalog!$F$3:$F$12,MATCH(cadangan[[#This Row],[ItemID C]],Katalog!$C$3:$C$12,0))*cadangan[[#This Row],[Qty C]],0)</f>
        <v>0</v>
      </c>
      <c r="AC895" s="73">
        <f>IFERROR(cadangan[[#This Row],[Harga Diskon C]]-INDEX(Katalog!$E$3:$E$12,MATCH(cadangan[[#This Row],[ItemID C]],Katalog!$C$3:$C$12,0))*cadangan[[#This Row],[Qty C]],0)</f>
        <v>0</v>
      </c>
      <c r="AD895" s="53">
        <f>cadangan[[#This Row],[Qty A]]+cadangan[[#This Row],[Qty B]]+cadangan[[#This Row],[Qty C]]</f>
        <v>7</v>
      </c>
      <c r="AE895" s="73">
        <f>cadangan[[#This Row],[Harga Normal A]]+cadangan[[#This Row],[Harga Normal B]]+cadangan[[#This Row],[Harga Normal C]]</f>
        <v>2900000</v>
      </c>
      <c r="AF895" s="73">
        <f>cadangan[[#This Row],[Harga Diskon A]]+cadangan[[#This Row],[Harga Diskon B]]+cadangan[[#This Row],[Harga Diskon C]]</f>
        <v>2465000</v>
      </c>
      <c r="AG895" s="73">
        <f>(cadangan[[#This Row],[Profit Normal A]]+cadangan[[#This Row],[Profit Normal B]]+cadangan[[#This Row],[Profit Normal C]])</f>
        <v>1100000</v>
      </c>
      <c r="AH895" s="73">
        <f>cadangan[[#This Row],[Profit Diskon A]]+cadangan[[#This Row],[Profit Diskon B]]+cadangan[[#This Row],[Profit Diskon C]]</f>
        <v>665000</v>
      </c>
      <c r="AI895" s="23" t="s">
        <v>32</v>
      </c>
      <c r="AJ895" s="37">
        <f>IFERROR(INDEX('Kode Diskon'!$D$3:$D$9,MATCH(cadangan[[#This Row],[Kode diskon]],'Kode Diskon'!$C$3:$C$9,0)),"-")</f>
        <v>0.15</v>
      </c>
      <c r="AK895" s="23" t="s">
        <v>9</v>
      </c>
      <c r="AL895" s="23" t="s">
        <v>12</v>
      </c>
      <c r="AM895" s="23" t="s">
        <v>77</v>
      </c>
      <c r="AN895" s="55">
        <v>45043</v>
      </c>
      <c r="AO895" s="53">
        <f>DAY(cadangan[[#This Row],[Tanggal terjual]])</f>
        <v>27</v>
      </c>
      <c r="AP895" s="21" t="str">
        <f>TEXT(cadangan[[#This Row],[Tanggal terjual]],"dddd")</f>
        <v>Thursday</v>
      </c>
      <c r="AQ895" s="23" t="str" cm="1">
        <f t="array" ref="AQ8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95" s="61">
        <f>AVERAGE(cadangan[[#This Row],[Rating A]],cadangan[[#This Row],[Rating B]],cadangan[[#This Row],[Rating C]])</f>
        <v>3</v>
      </c>
    </row>
    <row r="896" spans="1:44" x14ac:dyDescent="0.2">
      <c r="A896" s="20">
        <v>895</v>
      </c>
      <c r="B896" s="21" t="str">
        <f>_xlfn.CONCAT("ORD-",INDEX(Helper!$B$2:$B$5,MATCH(cadangan[[#This Row],[Marketplace]],Helper!$A$2:$A$5,0)),TEXT(cadangan[[#This Row],[No]],"0000"),"-",TEXT(cadangan[[#This Row],[Tanggal terjual]],"dd/mm/yy"))</f>
        <v>ORD-SP0895-20/04/23</v>
      </c>
      <c r="C896" s="39" t="s">
        <v>58</v>
      </c>
      <c r="D896" s="39" t="str">
        <f>IFERROR(INDEX(Katalog!$A$3:$A$12,MATCH(cadangan[[#This Row],[ItemID A]],Katalog!$C$3:$C$12,0)),"-")</f>
        <v>Pakaian Wanita</v>
      </c>
      <c r="E896" s="39" t="str">
        <f>IFERROR(INDEX(Katalog!$B$3:$B$12,MATCH(cadangan[[#This Row],[ItemID A]],Katalog!$C$3:$C$12,0)),"-")</f>
        <v>Dress</v>
      </c>
      <c r="F896" s="50">
        <v>4</v>
      </c>
      <c r="G896" s="50">
        <v>4</v>
      </c>
      <c r="H896" s="73">
        <f>IFERROR(INDEX(Katalog!$D$3:$D$12,MATCH(cadangan[[#This Row],[ItemID A]],Katalog!$C$3:$C$12,0))*cadangan[[#This Row],[Qty A]],0)</f>
        <v>1200000</v>
      </c>
      <c r="I896" s="73">
        <f>IFERROR(cadangan[[#This Row],[Harga Normal A]]-(cadangan[[#This Row],[Harga Normal A]]*cadangan[[#This Row],[Diskon]]),cadangan[[#This Row],[Harga Normal A]])</f>
        <v>960000</v>
      </c>
      <c r="J896" s="73">
        <f>INDEX(Katalog!$F$3:$F$12,MATCH(cadangan[[#This Row],[ItemID A]],Katalog!$C$3:$C$12,0))*cadangan[[#This Row],[Qty A]]</f>
        <v>400000</v>
      </c>
      <c r="K896" s="73">
        <f>IFERROR(cadangan[[#This Row],[Harga Diskon A]]-INDEX(Katalog!$E$3:$E$12,MATCH(cadangan[[#This Row],[ItemID A]],Katalog!$C$3:$C$12,0))*cadangan[[#This Row],[Qty A]],0)</f>
        <v>160000</v>
      </c>
      <c r="L896" s="39" t="s">
        <v>61</v>
      </c>
      <c r="M896" s="39" t="str">
        <f>IFERROR(INDEX(Katalog!$A$3:$A$12,MATCH(cadangan[[#This Row],[ItemID B]],Katalog!$C$3:$C$12,0)),"-")</f>
        <v>Pakaian Pria</v>
      </c>
      <c r="N896" s="39" t="str">
        <f>IFERROR(INDEX(Katalog!$B$3:$B$12,MATCH(cadangan[[#This Row],[ItemID B]],Katalog!$C$3:$C$12,0)),"-")</f>
        <v>Kaos Polo</v>
      </c>
      <c r="O896" s="50">
        <v>1</v>
      </c>
      <c r="P896" s="50">
        <v>5</v>
      </c>
      <c r="Q896" s="73">
        <f>IFERROR(INDEX(Katalog!$D$3:$D$12,MATCH(cadangan[[#This Row],[ItemID B]],Katalog!$C$3:$C$12,0))*cadangan[[#This Row],[Qty B]],0)</f>
        <v>200000</v>
      </c>
      <c r="R896" s="73">
        <f>IFERROR(cadangan[[#This Row],[Harga Normal B]]-(cadangan[[#This Row],[Harga Normal B]]*cadangan[[#This Row],[Diskon]]),cadangan[[#This Row],[Harga Normal B]])</f>
        <v>160000</v>
      </c>
      <c r="S896" s="73">
        <f>IFERROR(INDEX(Katalog!$F$3:$F$12,MATCH(cadangan[[#This Row],[ItemID B]],Katalog!$C$3:$C$12,0))*cadangan[[#This Row],[Qty B]],0)</f>
        <v>80000</v>
      </c>
      <c r="T896" s="73">
        <f>IFERROR(cadangan[[#This Row],[Harga Diskon B]]-INDEX(Katalog!$E$3:$E$12,MATCH(cadangan[[#This Row],[ItemID B]],Katalog!$C$3:$C$12,0))*cadangan[[#This Row],[Qty B]],0)</f>
        <v>40000</v>
      </c>
      <c r="V896" s="39" t="str">
        <f>IFERROR(INDEX(Katalog!$A$3:$A$12,MATCH(cadangan[[#This Row],[ItemID C]],Katalog!$C$3:$C$12,0)),"-")</f>
        <v>-</v>
      </c>
      <c r="W896" s="39" t="str">
        <f>IFERROR(INDEX(Katalog!$B$3:$B$12,MATCH(cadangan[[#This Row],[ItemID C]],Katalog!$C$3:$C$12,0)),"-")</f>
        <v>-</v>
      </c>
      <c r="Z896" s="73">
        <f>IFERROR(INDEX(Katalog!$D$3:$D$12,MATCH(cadangan[[#This Row],[ItemID C]],Katalog!$C$3:$C$12,0))*cadangan[[#This Row],[Qty C]],0)</f>
        <v>0</v>
      </c>
      <c r="AA896" s="73">
        <f>IFERROR(cadangan[[#This Row],[Harga Normal C]]-(cadangan[[#This Row],[Harga Normal C]]*cadangan[[#This Row],[Diskon]]),cadangan[[#This Row],[Harga Normal C]])</f>
        <v>0</v>
      </c>
      <c r="AB896" s="73">
        <f>IFERROR(INDEX(Katalog!$F$3:$F$12,MATCH(cadangan[[#This Row],[ItemID C]],Katalog!$C$3:$C$12,0))*cadangan[[#This Row],[Qty C]],0)</f>
        <v>0</v>
      </c>
      <c r="AC896" s="73">
        <f>IFERROR(cadangan[[#This Row],[Harga Diskon C]]-INDEX(Katalog!$E$3:$E$12,MATCH(cadangan[[#This Row],[ItemID C]],Katalog!$C$3:$C$12,0))*cadangan[[#This Row],[Qty C]],0)</f>
        <v>0</v>
      </c>
      <c r="AD896" s="53">
        <f>cadangan[[#This Row],[Qty A]]+cadangan[[#This Row],[Qty B]]+cadangan[[#This Row],[Qty C]]</f>
        <v>5</v>
      </c>
      <c r="AE896" s="73">
        <f>cadangan[[#This Row],[Harga Normal A]]+cadangan[[#This Row],[Harga Normal B]]+cadangan[[#This Row],[Harga Normal C]]</f>
        <v>1400000</v>
      </c>
      <c r="AF896" s="73">
        <f>cadangan[[#This Row],[Harga Diskon A]]+cadangan[[#This Row],[Harga Diskon B]]+cadangan[[#This Row],[Harga Diskon C]]</f>
        <v>1120000</v>
      </c>
      <c r="AG896" s="73">
        <f>(cadangan[[#This Row],[Profit Normal A]]+cadangan[[#This Row],[Profit Normal B]]+cadangan[[#This Row],[Profit Normal C]])</f>
        <v>480000</v>
      </c>
      <c r="AH896" s="73">
        <f>cadangan[[#This Row],[Profit Diskon A]]+cadangan[[#This Row],[Profit Diskon B]]+cadangan[[#This Row],[Profit Diskon C]]</f>
        <v>200000</v>
      </c>
      <c r="AI896" s="23" t="s">
        <v>8</v>
      </c>
      <c r="AJ896" s="37">
        <f>IFERROR(INDEX('Kode Diskon'!$D$3:$D$9,MATCH(cadangan[[#This Row],[Kode diskon]],'Kode Diskon'!$C$3:$C$9,0)),"-")</f>
        <v>0.2</v>
      </c>
      <c r="AK896" s="23" t="s">
        <v>9</v>
      </c>
      <c r="AL896" s="23" t="s">
        <v>7</v>
      </c>
      <c r="AM896" s="23" t="s">
        <v>75</v>
      </c>
      <c r="AN896" s="55">
        <v>45036</v>
      </c>
      <c r="AO896" s="53">
        <f>DAY(cadangan[[#This Row],[Tanggal terjual]])</f>
        <v>20</v>
      </c>
      <c r="AP896" s="21" t="str">
        <f>TEXT(cadangan[[#This Row],[Tanggal terjual]],"dddd")</f>
        <v>Thursday</v>
      </c>
      <c r="AQ896" s="23" t="str" cm="1">
        <f t="array" ref="AQ8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896" s="61">
        <f>AVERAGE(cadangan[[#This Row],[Rating A]],cadangan[[#This Row],[Rating B]],cadangan[[#This Row],[Rating C]])</f>
        <v>4.5</v>
      </c>
    </row>
    <row r="897" spans="1:44" x14ac:dyDescent="0.2">
      <c r="A897" s="20">
        <v>896</v>
      </c>
      <c r="B897" s="21" t="str">
        <f>_xlfn.CONCAT("ORD-",INDEX(Helper!$B$2:$B$5,MATCH(cadangan[[#This Row],[Marketplace]],Helper!$A$2:$A$5,0)),TEXT(cadangan[[#This Row],[No]],"0000"),"-",TEXT(cadangan[[#This Row],[Tanggal terjual]],"dd/mm/yy"))</f>
        <v>ORD-SP0896-04/04/23</v>
      </c>
      <c r="C897" s="39" t="s">
        <v>60</v>
      </c>
      <c r="D897" s="39" t="str">
        <f>IFERROR(INDEX(Katalog!$A$3:$A$12,MATCH(cadangan[[#This Row],[ItemID A]],Katalog!$C$3:$C$12,0)),"-")</f>
        <v>Pakaian Wanita</v>
      </c>
      <c r="E897" s="39" t="str">
        <f>IFERROR(INDEX(Katalog!$B$3:$B$12,MATCH(cadangan[[#This Row],[ItemID A]],Katalog!$C$3:$C$12,0)),"-")</f>
        <v>Kaftan</v>
      </c>
      <c r="F897" s="50">
        <v>1</v>
      </c>
      <c r="G897" s="50">
        <v>3</v>
      </c>
      <c r="H897" s="73">
        <f>IFERROR(INDEX(Katalog!$D$3:$D$12,MATCH(cadangan[[#This Row],[ItemID A]],Katalog!$C$3:$C$12,0))*cadangan[[#This Row],[Qty A]],0)</f>
        <v>250000</v>
      </c>
      <c r="I897" s="73">
        <f>IFERROR(cadangan[[#This Row],[Harga Normal A]]-(cadangan[[#This Row],[Harga Normal A]]*cadangan[[#This Row],[Diskon]]),cadangan[[#This Row],[Harga Normal A]])</f>
        <v>225000</v>
      </c>
      <c r="J897" s="73">
        <f>INDEX(Katalog!$F$3:$F$12,MATCH(cadangan[[#This Row],[ItemID A]],Katalog!$C$3:$C$12,0))*cadangan[[#This Row],[Qty A]]</f>
        <v>100000</v>
      </c>
      <c r="K897" s="73">
        <f>IFERROR(cadangan[[#This Row],[Harga Diskon A]]-INDEX(Katalog!$E$3:$E$12,MATCH(cadangan[[#This Row],[ItemID A]],Katalog!$C$3:$C$12,0))*cadangan[[#This Row],[Qty A]],0)</f>
        <v>75000</v>
      </c>
      <c r="L897" s="39" t="s">
        <v>64</v>
      </c>
      <c r="M897" s="39" t="str">
        <f>IFERROR(INDEX(Katalog!$A$3:$A$12,MATCH(cadangan[[#This Row],[ItemID B]],Katalog!$C$3:$C$12,0)),"-")</f>
        <v>Pakaian Unisex</v>
      </c>
      <c r="N897" s="39" t="str">
        <f>IFERROR(INDEX(Katalog!$B$3:$B$12,MATCH(cadangan[[#This Row],[ItemID B]],Katalog!$C$3:$C$12,0)),"-")</f>
        <v>Jaket Hoodie</v>
      </c>
      <c r="O897" s="50">
        <v>2</v>
      </c>
      <c r="P897" s="50">
        <v>5</v>
      </c>
      <c r="Q897" s="73">
        <f>IFERROR(INDEX(Katalog!$D$3:$D$12,MATCH(cadangan[[#This Row],[ItemID B]],Katalog!$C$3:$C$12,0))*cadangan[[#This Row],[Qty B]],0)</f>
        <v>700000</v>
      </c>
      <c r="R897" s="73">
        <f>IFERROR(cadangan[[#This Row],[Harga Normal B]]-(cadangan[[#This Row],[Harga Normal B]]*cadangan[[#This Row],[Diskon]]),cadangan[[#This Row],[Harga Normal B]])</f>
        <v>630000</v>
      </c>
      <c r="S897" s="73">
        <f>IFERROR(INDEX(Katalog!$F$3:$F$12,MATCH(cadangan[[#This Row],[ItemID B]],Katalog!$C$3:$C$12,0))*cadangan[[#This Row],[Qty B]],0)</f>
        <v>260000</v>
      </c>
      <c r="T897" s="73">
        <f>IFERROR(cadangan[[#This Row],[Harga Diskon B]]-INDEX(Katalog!$E$3:$E$12,MATCH(cadangan[[#This Row],[ItemID B]],Katalog!$C$3:$C$12,0))*cadangan[[#This Row],[Qty B]],0)</f>
        <v>190000</v>
      </c>
      <c r="U897" s="39" t="s">
        <v>63</v>
      </c>
      <c r="V897" s="39" t="str">
        <f>IFERROR(INDEX(Katalog!$A$3:$A$12,MATCH(cadangan[[#This Row],[ItemID C]],Katalog!$C$3:$C$12,0)),"-")</f>
        <v>Pakaian Pria</v>
      </c>
      <c r="W897" s="39" t="str">
        <f>IFERROR(INDEX(Katalog!$B$3:$B$12,MATCH(cadangan[[#This Row],[ItemID C]],Katalog!$C$3:$C$12,0)),"-")</f>
        <v>Jaket Jeans</v>
      </c>
      <c r="X897" s="50">
        <v>2</v>
      </c>
      <c r="Y897" s="50">
        <v>2</v>
      </c>
      <c r="Z897" s="73">
        <f>IFERROR(INDEX(Katalog!$D$3:$D$12,MATCH(cadangan[[#This Row],[ItemID C]],Katalog!$C$3:$C$12,0))*cadangan[[#This Row],[Qty C]],0)</f>
        <v>800000</v>
      </c>
      <c r="AA897" s="73">
        <f>IFERROR(cadangan[[#This Row],[Harga Normal C]]-(cadangan[[#This Row],[Harga Normal C]]*cadangan[[#This Row],[Diskon]]),cadangan[[#This Row],[Harga Normal C]])</f>
        <v>720000</v>
      </c>
      <c r="AB897" s="73">
        <f>IFERROR(INDEX(Katalog!$F$3:$F$12,MATCH(cadangan[[#This Row],[ItemID C]],Katalog!$C$3:$C$12,0))*cadangan[[#This Row],[Qty C]],0)</f>
        <v>300000</v>
      </c>
      <c r="AC897" s="73">
        <f>IFERROR(cadangan[[#This Row],[Harga Diskon C]]-INDEX(Katalog!$E$3:$E$12,MATCH(cadangan[[#This Row],[ItemID C]],Katalog!$C$3:$C$12,0))*cadangan[[#This Row],[Qty C]],0)</f>
        <v>220000</v>
      </c>
      <c r="AD897" s="53">
        <f>cadangan[[#This Row],[Qty A]]+cadangan[[#This Row],[Qty B]]+cadangan[[#This Row],[Qty C]]</f>
        <v>5</v>
      </c>
      <c r="AE897" s="73">
        <f>cadangan[[#This Row],[Harga Normal A]]+cadangan[[#This Row],[Harga Normal B]]+cadangan[[#This Row],[Harga Normal C]]</f>
        <v>1750000</v>
      </c>
      <c r="AF897" s="73">
        <f>cadangan[[#This Row],[Harga Diskon A]]+cadangan[[#This Row],[Harga Diskon B]]+cadangan[[#This Row],[Harga Diskon C]]</f>
        <v>1575000</v>
      </c>
      <c r="AG897" s="73">
        <f>(cadangan[[#This Row],[Profit Normal A]]+cadangan[[#This Row],[Profit Normal B]]+cadangan[[#This Row],[Profit Normal C]])</f>
        <v>660000</v>
      </c>
      <c r="AH897" s="73">
        <f>cadangan[[#This Row],[Profit Diskon A]]+cadangan[[#This Row],[Profit Diskon B]]+cadangan[[#This Row],[Profit Diskon C]]</f>
        <v>485000</v>
      </c>
      <c r="AI897" s="23" t="s">
        <v>6</v>
      </c>
      <c r="AJ897" s="37">
        <f>IFERROR(INDEX('Kode Diskon'!$D$3:$D$9,MATCH(cadangan[[#This Row],[Kode diskon]],'Kode Diskon'!$C$3:$C$9,0)),"-")</f>
        <v>0.1</v>
      </c>
      <c r="AK897" s="23" t="s">
        <v>29</v>
      </c>
      <c r="AL897" s="23" t="s">
        <v>7</v>
      </c>
      <c r="AM897" s="23" t="s">
        <v>79</v>
      </c>
      <c r="AN897" s="55">
        <v>45020</v>
      </c>
      <c r="AO897" s="53">
        <f>DAY(cadangan[[#This Row],[Tanggal terjual]])</f>
        <v>4</v>
      </c>
      <c r="AP897" s="21" t="str">
        <f>TEXT(cadangan[[#This Row],[Tanggal terjual]],"dddd")</f>
        <v>Tuesday</v>
      </c>
      <c r="AQ897" s="23" t="str" cm="1">
        <f t="array" ref="AQ8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97" s="61">
        <f>AVERAGE(cadangan[[#This Row],[Rating A]],cadangan[[#This Row],[Rating B]],cadangan[[#This Row],[Rating C]])</f>
        <v>3.3333333333333335</v>
      </c>
    </row>
    <row r="898" spans="1:44" x14ac:dyDescent="0.2">
      <c r="A898" s="20">
        <v>897</v>
      </c>
      <c r="B898" s="21" t="str">
        <f>_xlfn.CONCAT("ORD-",INDEX(Helper!$B$2:$B$5,MATCH(cadangan[[#This Row],[Marketplace]],Helper!$A$2:$A$5,0)),TEXT(cadangan[[#This Row],[No]],"0000"),"-",TEXT(cadangan[[#This Row],[Tanggal terjual]],"dd/mm/yy"))</f>
        <v>ORD-BL0897-25/04/23</v>
      </c>
      <c r="C898" s="39" t="s">
        <v>65</v>
      </c>
      <c r="D898" s="39" t="str">
        <f>IFERROR(INDEX(Katalog!$A$3:$A$12,MATCH(cadangan[[#This Row],[ItemID A]],Katalog!$C$3:$C$12,0)),"-")</f>
        <v>Sepatu Pria</v>
      </c>
      <c r="E898" s="39" t="str">
        <f>IFERROR(INDEX(Katalog!$B$3:$B$12,MATCH(cadangan[[#This Row],[ItemID A]],Katalog!$C$3:$C$12,0)),"-")</f>
        <v>Sneakers</v>
      </c>
      <c r="F898" s="50">
        <v>3</v>
      </c>
      <c r="G898" s="50">
        <v>4</v>
      </c>
      <c r="H898" s="73">
        <f>IFERROR(INDEX(Katalog!$D$3:$D$12,MATCH(cadangan[[#This Row],[ItemID A]],Katalog!$C$3:$C$12,0))*cadangan[[#This Row],[Qty A]],0)</f>
        <v>1500000</v>
      </c>
      <c r="I898" s="73">
        <f>IFERROR(cadangan[[#This Row],[Harga Normal A]]-(cadangan[[#This Row],[Harga Normal A]]*cadangan[[#This Row],[Diskon]]),cadangan[[#This Row],[Harga Normal A]])</f>
        <v>1275000</v>
      </c>
      <c r="J898" s="73">
        <f>INDEX(Katalog!$F$3:$F$12,MATCH(cadangan[[#This Row],[ItemID A]],Katalog!$C$3:$C$12,0))*cadangan[[#This Row],[Qty A]]</f>
        <v>600000</v>
      </c>
      <c r="K898" s="73">
        <f>IFERROR(cadangan[[#This Row],[Harga Diskon A]]-INDEX(Katalog!$E$3:$E$12,MATCH(cadangan[[#This Row],[ItemID A]],Katalog!$C$3:$C$12,0))*cadangan[[#This Row],[Qty A]],0)</f>
        <v>375000</v>
      </c>
      <c r="L898" s="39" t="s">
        <v>64</v>
      </c>
      <c r="M898" s="39" t="str">
        <f>IFERROR(INDEX(Katalog!$A$3:$A$12,MATCH(cadangan[[#This Row],[ItemID B]],Katalog!$C$3:$C$12,0)),"-")</f>
        <v>Pakaian Unisex</v>
      </c>
      <c r="N898" s="39" t="str">
        <f>IFERROR(INDEX(Katalog!$B$3:$B$12,MATCH(cadangan[[#This Row],[ItemID B]],Katalog!$C$3:$C$12,0)),"-")</f>
        <v>Jaket Hoodie</v>
      </c>
      <c r="O898" s="50">
        <v>3</v>
      </c>
      <c r="P898" s="50">
        <v>3</v>
      </c>
      <c r="Q898" s="73">
        <f>IFERROR(INDEX(Katalog!$D$3:$D$12,MATCH(cadangan[[#This Row],[ItemID B]],Katalog!$C$3:$C$12,0))*cadangan[[#This Row],[Qty B]],0)</f>
        <v>1050000</v>
      </c>
      <c r="R898" s="73">
        <f>IFERROR(cadangan[[#This Row],[Harga Normal B]]-(cadangan[[#This Row],[Harga Normal B]]*cadangan[[#This Row],[Diskon]]),cadangan[[#This Row],[Harga Normal B]])</f>
        <v>892500</v>
      </c>
      <c r="S898" s="73">
        <f>IFERROR(INDEX(Katalog!$F$3:$F$12,MATCH(cadangan[[#This Row],[ItemID B]],Katalog!$C$3:$C$12,0))*cadangan[[#This Row],[Qty B]],0)</f>
        <v>390000</v>
      </c>
      <c r="T898" s="73">
        <f>IFERROR(cadangan[[#This Row],[Harga Diskon B]]-INDEX(Katalog!$E$3:$E$12,MATCH(cadangan[[#This Row],[ItemID B]],Katalog!$C$3:$C$12,0))*cadangan[[#This Row],[Qty B]],0)</f>
        <v>232500</v>
      </c>
      <c r="V898" s="39" t="str">
        <f>IFERROR(INDEX(Katalog!$A$3:$A$12,MATCH(cadangan[[#This Row],[ItemID C]],Katalog!$C$3:$C$12,0)),"-")</f>
        <v>-</v>
      </c>
      <c r="W898" s="39" t="str">
        <f>IFERROR(INDEX(Katalog!$B$3:$B$12,MATCH(cadangan[[#This Row],[ItemID C]],Katalog!$C$3:$C$12,0)),"-")</f>
        <v>-</v>
      </c>
      <c r="Z898" s="73">
        <f>IFERROR(INDEX(Katalog!$D$3:$D$12,MATCH(cadangan[[#This Row],[ItemID C]],Katalog!$C$3:$C$12,0))*cadangan[[#This Row],[Qty C]],0)</f>
        <v>0</v>
      </c>
      <c r="AA898" s="73">
        <f>IFERROR(cadangan[[#This Row],[Harga Normal C]]-(cadangan[[#This Row],[Harga Normal C]]*cadangan[[#This Row],[Diskon]]),cadangan[[#This Row],[Harga Normal C]])</f>
        <v>0</v>
      </c>
      <c r="AB898" s="73">
        <f>IFERROR(INDEX(Katalog!$F$3:$F$12,MATCH(cadangan[[#This Row],[ItemID C]],Katalog!$C$3:$C$12,0))*cadangan[[#This Row],[Qty C]],0)</f>
        <v>0</v>
      </c>
      <c r="AC898" s="73">
        <f>IFERROR(cadangan[[#This Row],[Harga Diskon C]]-INDEX(Katalog!$E$3:$E$12,MATCH(cadangan[[#This Row],[ItemID C]],Katalog!$C$3:$C$12,0))*cadangan[[#This Row],[Qty C]],0)</f>
        <v>0</v>
      </c>
      <c r="AD898" s="53">
        <f>cadangan[[#This Row],[Qty A]]+cadangan[[#This Row],[Qty B]]+cadangan[[#This Row],[Qty C]]</f>
        <v>6</v>
      </c>
      <c r="AE898" s="73">
        <f>cadangan[[#This Row],[Harga Normal A]]+cadangan[[#This Row],[Harga Normal B]]+cadangan[[#This Row],[Harga Normal C]]</f>
        <v>2550000</v>
      </c>
      <c r="AF898" s="73">
        <f>cadangan[[#This Row],[Harga Diskon A]]+cadangan[[#This Row],[Harga Diskon B]]+cadangan[[#This Row],[Harga Diskon C]]</f>
        <v>2167500</v>
      </c>
      <c r="AG898" s="73">
        <f>(cadangan[[#This Row],[Profit Normal A]]+cadangan[[#This Row],[Profit Normal B]]+cadangan[[#This Row],[Profit Normal C]])</f>
        <v>990000</v>
      </c>
      <c r="AH898" s="73">
        <f>cadangan[[#This Row],[Profit Diskon A]]+cadangan[[#This Row],[Profit Diskon B]]+cadangan[[#This Row],[Profit Diskon C]]</f>
        <v>607500</v>
      </c>
      <c r="AI898" s="23" t="s">
        <v>32</v>
      </c>
      <c r="AJ898" s="37">
        <f>IFERROR(INDEX('Kode Diskon'!$D$3:$D$9,MATCH(cadangan[[#This Row],[Kode diskon]],'Kode Diskon'!$C$3:$C$9,0)),"-")</f>
        <v>0.15</v>
      </c>
      <c r="AK898" s="23" t="s">
        <v>9</v>
      </c>
      <c r="AL898" s="23" t="s">
        <v>12</v>
      </c>
      <c r="AM898" s="23" t="s">
        <v>80</v>
      </c>
      <c r="AN898" s="55">
        <v>45041</v>
      </c>
      <c r="AO898" s="53">
        <f>DAY(cadangan[[#This Row],[Tanggal terjual]])</f>
        <v>25</v>
      </c>
      <c r="AP898" s="21" t="str">
        <f>TEXT(cadangan[[#This Row],[Tanggal terjual]],"dddd")</f>
        <v>Tuesday</v>
      </c>
      <c r="AQ898" s="23" t="str" cm="1">
        <f t="array" ref="AQ8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898" s="61">
        <f>AVERAGE(cadangan[[#This Row],[Rating A]],cadangan[[#This Row],[Rating B]],cadangan[[#This Row],[Rating C]])</f>
        <v>3.5</v>
      </c>
    </row>
    <row r="899" spans="1:44" x14ac:dyDescent="0.2">
      <c r="A899" s="20">
        <v>898</v>
      </c>
      <c r="B899" s="21" t="str">
        <f>_xlfn.CONCAT("ORD-",INDEX(Helper!$B$2:$B$5,MATCH(cadangan[[#This Row],[Marketplace]],Helper!$A$2:$A$5,0)),TEXT(cadangan[[#This Row],[No]],"0000"),"-",TEXT(cadangan[[#This Row],[Tanggal terjual]],"dd/mm/yy"))</f>
        <v>ORD-SP0898-01/04/23</v>
      </c>
      <c r="C899" s="39" t="s">
        <v>65</v>
      </c>
      <c r="D899" s="39" t="str">
        <f>IFERROR(INDEX(Katalog!$A$3:$A$12,MATCH(cadangan[[#This Row],[ItemID A]],Katalog!$C$3:$C$12,0)),"-")</f>
        <v>Sepatu Pria</v>
      </c>
      <c r="E899" s="39" t="str">
        <f>IFERROR(INDEX(Katalog!$B$3:$B$12,MATCH(cadangan[[#This Row],[ItemID A]],Katalog!$C$3:$C$12,0)),"-")</f>
        <v>Sneakers</v>
      </c>
      <c r="F899" s="50">
        <v>3</v>
      </c>
      <c r="G899" s="50">
        <v>1</v>
      </c>
      <c r="H899" s="73">
        <f>IFERROR(INDEX(Katalog!$D$3:$D$12,MATCH(cadangan[[#This Row],[ItemID A]],Katalog!$C$3:$C$12,0))*cadangan[[#This Row],[Qty A]],0)</f>
        <v>1500000</v>
      </c>
      <c r="I899" s="73">
        <f>IFERROR(cadangan[[#This Row],[Harga Normal A]]-(cadangan[[#This Row],[Harga Normal A]]*cadangan[[#This Row],[Diskon]]),cadangan[[#This Row],[Harga Normal A]])</f>
        <v>1350000</v>
      </c>
      <c r="J899" s="73">
        <f>INDEX(Katalog!$F$3:$F$12,MATCH(cadangan[[#This Row],[ItemID A]],Katalog!$C$3:$C$12,0))*cadangan[[#This Row],[Qty A]]</f>
        <v>600000</v>
      </c>
      <c r="K899" s="73">
        <f>IFERROR(cadangan[[#This Row],[Harga Diskon A]]-INDEX(Katalog!$E$3:$E$12,MATCH(cadangan[[#This Row],[ItemID A]],Katalog!$C$3:$C$12,0))*cadangan[[#This Row],[Qty A]],0)</f>
        <v>450000</v>
      </c>
      <c r="L899" s="39" t="s">
        <v>67</v>
      </c>
      <c r="M899" s="39" t="str">
        <f>IFERROR(INDEX(Katalog!$A$3:$A$12,MATCH(cadangan[[#This Row],[ItemID B]],Katalog!$C$3:$C$12,0)),"-")</f>
        <v>Sepatu Wanita</v>
      </c>
      <c r="N899" s="39" t="str">
        <f>IFERROR(INDEX(Katalog!$B$3:$B$12,MATCH(cadangan[[#This Row],[ItemID B]],Katalog!$C$3:$C$12,0)),"-")</f>
        <v>Flat Shoes</v>
      </c>
      <c r="O899" s="50">
        <v>1</v>
      </c>
      <c r="P899" s="50">
        <v>4</v>
      </c>
      <c r="Q899" s="73">
        <f>IFERROR(INDEX(Katalog!$D$3:$D$12,MATCH(cadangan[[#This Row],[ItemID B]],Katalog!$C$3:$C$12,0))*cadangan[[#This Row],[Qty B]],0)</f>
        <v>250000</v>
      </c>
      <c r="R899" s="73">
        <f>IFERROR(cadangan[[#This Row],[Harga Normal B]]-(cadangan[[#This Row],[Harga Normal B]]*cadangan[[#This Row],[Diskon]]),cadangan[[#This Row],[Harga Normal B]])</f>
        <v>225000</v>
      </c>
      <c r="S899" s="73">
        <f>IFERROR(INDEX(Katalog!$F$3:$F$12,MATCH(cadangan[[#This Row],[ItemID B]],Katalog!$C$3:$C$12,0))*cadangan[[#This Row],[Qty B]],0)</f>
        <v>100000</v>
      </c>
      <c r="T899" s="73">
        <f>IFERROR(cadangan[[#This Row],[Harga Diskon B]]-INDEX(Katalog!$E$3:$E$12,MATCH(cadangan[[#This Row],[ItemID B]],Katalog!$C$3:$C$12,0))*cadangan[[#This Row],[Qty B]],0)</f>
        <v>75000</v>
      </c>
      <c r="V899" s="39" t="str">
        <f>IFERROR(INDEX(Katalog!$A$3:$A$12,MATCH(cadangan[[#This Row],[ItemID C]],Katalog!$C$3:$C$12,0)),"-")</f>
        <v>-</v>
      </c>
      <c r="W899" s="39" t="str">
        <f>IFERROR(INDEX(Katalog!$B$3:$B$12,MATCH(cadangan[[#This Row],[ItemID C]],Katalog!$C$3:$C$12,0)),"-")</f>
        <v>-</v>
      </c>
      <c r="Z899" s="73">
        <f>IFERROR(INDEX(Katalog!$D$3:$D$12,MATCH(cadangan[[#This Row],[ItemID C]],Katalog!$C$3:$C$12,0))*cadangan[[#This Row],[Qty C]],0)</f>
        <v>0</v>
      </c>
      <c r="AA899" s="73">
        <f>IFERROR(cadangan[[#This Row],[Harga Normal C]]-(cadangan[[#This Row],[Harga Normal C]]*cadangan[[#This Row],[Diskon]]),cadangan[[#This Row],[Harga Normal C]])</f>
        <v>0</v>
      </c>
      <c r="AB899" s="73">
        <f>IFERROR(INDEX(Katalog!$F$3:$F$12,MATCH(cadangan[[#This Row],[ItemID C]],Katalog!$C$3:$C$12,0))*cadangan[[#This Row],[Qty C]],0)</f>
        <v>0</v>
      </c>
      <c r="AC899" s="73">
        <f>IFERROR(cadangan[[#This Row],[Harga Diskon C]]-INDEX(Katalog!$E$3:$E$12,MATCH(cadangan[[#This Row],[ItemID C]],Katalog!$C$3:$C$12,0))*cadangan[[#This Row],[Qty C]],0)</f>
        <v>0</v>
      </c>
      <c r="AD899" s="53">
        <f>cadangan[[#This Row],[Qty A]]+cadangan[[#This Row],[Qty B]]+cadangan[[#This Row],[Qty C]]</f>
        <v>4</v>
      </c>
      <c r="AE899" s="73">
        <f>cadangan[[#This Row],[Harga Normal A]]+cadangan[[#This Row],[Harga Normal B]]+cadangan[[#This Row],[Harga Normal C]]</f>
        <v>1750000</v>
      </c>
      <c r="AF899" s="73">
        <f>cadangan[[#This Row],[Harga Diskon A]]+cadangan[[#This Row],[Harga Diskon B]]+cadangan[[#This Row],[Harga Diskon C]]</f>
        <v>1575000</v>
      </c>
      <c r="AG899" s="73">
        <f>(cadangan[[#This Row],[Profit Normal A]]+cadangan[[#This Row],[Profit Normal B]]+cadangan[[#This Row],[Profit Normal C]])</f>
        <v>700000</v>
      </c>
      <c r="AH899" s="73">
        <f>cadangan[[#This Row],[Profit Diskon A]]+cadangan[[#This Row],[Profit Diskon B]]+cadangan[[#This Row],[Profit Diskon C]]</f>
        <v>525000</v>
      </c>
      <c r="AI899" s="23" t="s">
        <v>6</v>
      </c>
      <c r="AJ899" s="37">
        <f>IFERROR(INDEX('Kode Diskon'!$D$3:$D$9,MATCH(cadangan[[#This Row],[Kode diskon]],'Kode Diskon'!$C$3:$C$9,0)),"-")</f>
        <v>0.1</v>
      </c>
      <c r="AK899" s="23" t="s">
        <v>29</v>
      </c>
      <c r="AL899" s="23" t="s">
        <v>7</v>
      </c>
      <c r="AM899" s="23" t="s">
        <v>77</v>
      </c>
      <c r="AN899" s="55">
        <v>45017</v>
      </c>
      <c r="AO899" s="53">
        <f>DAY(cadangan[[#This Row],[Tanggal terjual]])</f>
        <v>1</v>
      </c>
      <c r="AP899" s="21" t="str">
        <f>TEXT(cadangan[[#This Row],[Tanggal terjual]],"dddd")</f>
        <v>Saturday</v>
      </c>
      <c r="AQ899" s="23" t="str" cm="1">
        <f t="array" ref="AQ8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899" s="61">
        <f>AVERAGE(cadangan[[#This Row],[Rating A]],cadangan[[#This Row],[Rating B]],cadangan[[#This Row],[Rating C]])</f>
        <v>2.5</v>
      </c>
    </row>
    <row r="900" spans="1:44" x14ac:dyDescent="0.2">
      <c r="A900" s="20">
        <v>899</v>
      </c>
      <c r="B900" s="21" t="str">
        <f>_xlfn.CONCAT("ORD-",INDEX(Helper!$B$2:$B$5,MATCH(cadangan[[#This Row],[Marketplace]],Helper!$A$2:$A$5,0)),TEXT(cadangan[[#This Row],[No]],"0000"),"-",TEXT(cadangan[[#This Row],[Tanggal terjual]],"dd/mm/yy"))</f>
        <v>ORD-BL0899-23/04/23</v>
      </c>
      <c r="C900" s="39" t="s">
        <v>64</v>
      </c>
      <c r="D900" s="39" t="str">
        <f>IFERROR(INDEX(Katalog!$A$3:$A$12,MATCH(cadangan[[#This Row],[ItemID A]],Katalog!$C$3:$C$12,0)),"-")</f>
        <v>Pakaian Unisex</v>
      </c>
      <c r="E900" s="39" t="str">
        <f>IFERROR(INDEX(Katalog!$B$3:$B$12,MATCH(cadangan[[#This Row],[ItemID A]],Katalog!$C$3:$C$12,0)),"-")</f>
        <v>Jaket Hoodie</v>
      </c>
      <c r="F900" s="50">
        <v>1</v>
      </c>
      <c r="G900" s="50">
        <v>1</v>
      </c>
      <c r="H900" s="73">
        <f>IFERROR(INDEX(Katalog!$D$3:$D$12,MATCH(cadangan[[#This Row],[ItemID A]],Katalog!$C$3:$C$12,0))*cadangan[[#This Row],[Qty A]],0)</f>
        <v>350000</v>
      </c>
      <c r="I900" s="73">
        <f>IFERROR(cadangan[[#This Row],[Harga Normal A]]-(cadangan[[#This Row],[Harga Normal A]]*cadangan[[#This Row],[Diskon]]),cadangan[[#This Row],[Harga Normal A]])</f>
        <v>297500</v>
      </c>
      <c r="J900" s="73">
        <f>INDEX(Katalog!$F$3:$F$12,MATCH(cadangan[[#This Row],[ItemID A]],Katalog!$C$3:$C$12,0))*cadangan[[#This Row],[Qty A]]</f>
        <v>130000</v>
      </c>
      <c r="K900" s="73">
        <f>IFERROR(cadangan[[#This Row],[Harga Diskon A]]-INDEX(Katalog!$E$3:$E$12,MATCH(cadangan[[#This Row],[ItemID A]],Katalog!$C$3:$C$12,0))*cadangan[[#This Row],[Qty A]],0)</f>
        <v>77500</v>
      </c>
      <c r="M900" s="39" t="str">
        <f>IFERROR(INDEX(Katalog!$A$3:$A$12,MATCH(cadangan[[#This Row],[ItemID B]],Katalog!$C$3:$C$12,0)),"-")</f>
        <v>-</v>
      </c>
      <c r="N900" s="39" t="str">
        <f>IFERROR(INDEX(Katalog!$B$3:$B$12,MATCH(cadangan[[#This Row],[ItemID B]],Katalog!$C$3:$C$12,0)),"-")</f>
        <v>-</v>
      </c>
      <c r="Q900" s="73">
        <f>IFERROR(INDEX(Katalog!$D$3:$D$12,MATCH(cadangan[[#This Row],[ItemID B]],Katalog!$C$3:$C$12,0))*cadangan[[#This Row],[Qty B]],0)</f>
        <v>0</v>
      </c>
      <c r="R900" s="73">
        <f>IFERROR(cadangan[[#This Row],[Harga Normal B]]-(cadangan[[#This Row],[Harga Normal B]]*cadangan[[#This Row],[Diskon]]),cadangan[[#This Row],[Harga Normal B]])</f>
        <v>0</v>
      </c>
      <c r="S900" s="73">
        <f>IFERROR(INDEX(Katalog!$F$3:$F$12,MATCH(cadangan[[#This Row],[ItemID B]],Katalog!$C$3:$C$12,0))*cadangan[[#This Row],[Qty B]],0)</f>
        <v>0</v>
      </c>
      <c r="T900" s="73">
        <f>IFERROR(cadangan[[#This Row],[Harga Diskon B]]-INDEX(Katalog!$E$3:$E$12,MATCH(cadangan[[#This Row],[ItemID B]],Katalog!$C$3:$C$12,0))*cadangan[[#This Row],[Qty B]],0)</f>
        <v>0</v>
      </c>
      <c r="V900" s="39" t="str">
        <f>IFERROR(INDEX(Katalog!$A$3:$A$12,MATCH(cadangan[[#This Row],[ItemID C]],Katalog!$C$3:$C$12,0)),"-")</f>
        <v>-</v>
      </c>
      <c r="W900" s="39" t="str">
        <f>IFERROR(INDEX(Katalog!$B$3:$B$12,MATCH(cadangan[[#This Row],[ItemID C]],Katalog!$C$3:$C$12,0)),"-")</f>
        <v>-</v>
      </c>
      <c r="Z900" s="73">
        <f>IFERROR(INDEX(Katalog!$D$3:$D$12,MATCH(cadangan[[#This Row],[ItemID C]],Katalog!$C$3:$C$12,0))*cadangan[[#This Row],[Qty C]],0)</f>
        <v>0</v>
      </c>
      <c r="AA900" s="73">
        <f>IFERROR(cadangan[[#This Row],[Harga Normal C]]-(cadangan[[#This Row],[Harga Normal C]]*cadangan[[#This Row],[Diskon]]),cadangan[[#This Row],[Harga Normal C]])</f>
        <v>0</v>
      </c>
      <c r="AB900" s="73">
        <f>IFERROR(INDEX(Katalog!$F$3:$F$12,MATCH(cadangan[[#This Row],[ItemID C]],Katalog!$C$3:$C$12,0))*cadangan[[#This Row],[Qty C]],0)</f>
        <v>0</v>
      </c>
      <c r="AC900" s="73">
        <f>IFERROR(cadangan[[#This Row],[Harga Diskon C]]-INDEX(Katalog!$E$3:$E$12,MATCH(cadangan[[#This Row],[ItemID C]],Katalog!$C$3:$C$12,0))*cadangan[[#This Row],[Qty C]],0)</f>
        <v>0</v>
      </c>
      <c r="AD900" s="53">
        <f>cadangan[[#This Row],[Qty A]]+cadangan[[#This Row],[Qty B]]+cadangan[[#This Row],[Qty C]]</f>
        <v>1</v>
      </c>
      <c r="AE900" s="73">
        <f>cadangan[[#This Row],[Harga Normal A]]+cadangan[[#This Row],[Harga Normal B]]+cadangan[[#This Row],[Harga Normal C]]</f>
        <v>350000</v>
      </c>
      <c r="AF900" s="73">
        <f>cadangan[[#This Row],[Harga Diskon A]]+cadangan[[#This Row],[Harga Diskon B]]+cadangan[[#This Row],[Harga Diskon C]]</f>
        <v>297500</v>
      </c>
      <c r="AG900" s="73">
        <f>(cadangan[[#This Row],[Profit Normal A]]+cadangan[[#This Row],[Profit Normal B]]+cadangan[[#This Row],[Profit Normal C]])</f>
        <v>130000</v>
      </c>
      <c r="AH900" s="73">
        <f>cadangan[[#This Row],[Profit Diskon A]]+cadangan[[#This Row],[Profit Diskon B]]+cadangan[[#This Row],[Profit Diskon C]]</f>
        <v>77500</v>
      </c>
      <c r="AI900" s="23" t="s">
        <v>32</v>
      </c>
      <c r="AJ900" s="37">
        <f>IFERROR(INDEX('Kode Diskon'!$D$3:$D$9,MATCH(cadangan[[#This Row],[Kode diskon]],'Kode Diskon'!$C$3:$C$9,0)),"-")</f>
        <v>0.15</v>
      </c>
      <c r="AK900" s="23" t="s">
        <v>9</v>
      </c>
      <c r="AL900" s="23" t="s">
        <v>12</v>
      </c>
      <c r="AM900" s="23" t="s">
        <v>78</v>
      </c>
      <c r="AN900" s="55">
        <v>45039</v>
      </c>
      <c r="AO900" s="53">
        <f>DAY(cadangan[[#This Row],[Tanggal terjual]])</f>
        <v>23</v>
      </c>
      <c r="AP900" s="21" t="str">
        <f>TEXT(cadangan[[#This Row],[Tanggal terjual]],"dddd")</f>
        <v>Sunday</v>
      </c>
      <c r="AQ900" s="23" t="str" cm="1">
        <f t="array" ref="AQ9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00" s="61">
        <f>AVERAGE(cadangan[[#This Row],[Rating A]],cadangan[[#This Row],[Rating B]],cadangan[[#This Row],[Rating C]])</f>
        <v>1</v>
      </c>
    </row>
    <row r="901" spans="1:44" x14ac:dyDescent="0.2">
      <c r="A901" s="20">
        <v>900</v>
      </c>
      <c r="B901" s="21" t="str">
        <f>_xlfn.CONCAT("ORD-",INDEX(Helper!$B$2:$B$5,MATCH(cadangan[[#This Row],[Marketplace]],Helper!$A$2:$A$5,0)),TEXT(cadangan[[#This Row],[No]],"0000"),"-",TEXT(cadangan[[#This Row],[Tanggal terjual]],"dd/mm/yy"))</f>
        <v>ORD-TK0900-07/04/23</v>
      </c>
      <c r="C901" s="39" t="s">
        <v>60</v>
      </c>
      <c r="D901" s="39" t="str">
        <f>IFERROR(INDEX(Katalog!$A$3:$A$12,MATCH(cadangan[[#This Row],[ItemID A]],Katalog!$C$3:$C$12,0)),"-")</f>
        <v>Pakaian Wanita</v>
      </c>
      <c r="E901" s="39" t="str">
        <f>IFERROR(INDEX(Katalog!$B$3:$B$12,MATCH(cadangan[[#This Row],[ItemID A]],Katalog!$C$3:$C$12,0)),"-")</f>
        <v>Kaftan</v>
      </c>
      <c r="F901" s="50">
        <v>2</v>
      </c>
      <c r="G901" s="50">
        <v>2</v>
      </c>
      <c r="H901" s="73">
        <f>IFERROR(INDEX(Katalog!$D$3:$D$12,MATCH(cadangan[[#This Row],[ItemID A]],Katalog!$C$3:$C$12,0))*cadangan[[#This Row],[Qty A]],0)</f>
        <v>500000</v>
      </c>
      <c r="I901" s="73">
        <f>IFERROR(cadangan[[#This Row],[Harga Normal A]]-(cadangan[[#This Row],[Harga Normal A]]*cadangan[[#This Row],[Diskon]]),cadangan[[#This Row],[Harga Normal A]])</f>
        <v>500000</v>
      </c>
      <c r="J901" s="73">
        <f>INDEX(Katalog!$F$3:$F$12,MATCH(cadangan[[#This Row],[ItemID A]],Katalog!$C$3:$C$12,0))*cadangan[[#This Row],[Qty A]]</f>
        <v>200000</v>
      </c>
      <c r="K901" s="73">
        <f>IFERROR(cadangan[[#This Row],[Harga Diskon A]]-INDEX(Katalog!$E$3:$E$12,MATCH(cadangan[[#This Row],[ItemID A]],Katalog!$C$3:$C$12,0))*cadangan[[#This Row],[Qty A]],0)</f>
        <v>200000</v>
      </c>
      <c r="L901" s="39" t="s">
        <v>65</v>
      </c>
      <c r="M901" s="39" t="str">
        <f>IFERROR(INDEX(Katalog!$A$3:$A$12,MATCH(cadangan[[#This Row],[ItemID B]],Katalog!$C$3:$C$12,0)),"-")</f>
        <v>Sepatu Pria</v>
      </c>
      <c r="N901" s="39" t="str">
        <f>IFERROR(INDEX(Katalog!$B$3:$B$12,MATCH(cadangan[[#This Row],[ItemID B]],Katalog!$C$3:$C$12,0)),"-")</f>
        <v>Sneakers</v>
      </c>
      <c r="O901" s="50">
        <v>2</v>
      </c>
      <c r="P901" s="50">
        <v>5</v>
      </c>
      <c r="Q901" s="73">
        <f>IFERROR(INDEX(Katalog!$D$3:$D$12,MATCH(cadangan[[#This Row],[ItemID B]],Katalog!$C$3:$C$12,0))*cadangan[[#This Row],[Qty B]],0)</f>
        <v>1000000</v>
      </c>
      <c r="R901" s="73">
        <f>IFERROR(cadangan[[#This Row],[Harga Normal B]]-(cadangan[[#This Row],[Harga Normal B]]*cadangan[[#This Row],[Diskon]]),cadangan[[#This Row],[Harga Normal B]])</f>
        <v>1000000</v>
      </c>
      <c r="S901" s="73">
        <f>IFERROR(INDEX(Katalog!$F$3:$F$12,MATCH(cadangan[[#This Row],[ItemID B]],Katalog!$C$3:$C$12,0))*cadangan[[#This Row],[Qty B]],0)</f>
        <v>400000</v>
      </c>
      <c r="T901" s="73">
        <f>IFERROR(cadangan[[#This Row],[Harga Diskon B]]-INDEX(Katalog!$E$3:$E$12,MATCH(cadangan[[#This Row],[ItemID B]],Katalog!$C$3:$C$12,0))*cadangan[[#This Row],[Qty B]],0)</f>
        <v>400000</v>
      </c>
      <c r="V901" s="39" t="str">
        <f>IFERROR(INDEX(Katalog!$A$3:$A$12,MATCH(cadangan[[#This Row],[ItemID C]],Katalog!$C$3:$C$12,0)),"-")</f>
        <v>-</v>
      </c>
      <c r="W901" s="39" t="str">
        <f>IFERROR(INDEX(Katalog!$B$3:$B$12,MATCH(cadangan[[#This Row],[ItemID C]],Katalog!$C$3:$C$12,0)),"-")</f>
        <v>-</v>
      </c>
      <c r="Z901" s="73">
        <f>IFERROR(INDEX(Katalog!$D$3:$D$12,MATCH(cadangan[[#This Row],[ItemID C]],Katalog!$C$3:$C$12,0))*cadangan[[#This Row],[Qty C]],0)</f>
        <v>0</v>
      </c>
      <c r="AA901" s="73">
        <f>IFERROR(cadangan[[#This Row],[Harga Normal C]]-(cadangan[[#This Row],[Harga Normal C]]*cadangan[[#This Row],[Diskon]]),cadangan[[#This Row],[Harga Normal C]])</f>
        <v>0</v>
      </c>
      <c r="AB901" s="73">
        <f>IFERROR(INDEX(Katalog!$F$3:$F$12,MATCH(cadangan[[#This Row],[ItemID C]],Katalog!$C$3:$C$12,0))*cadangan[[#This Row],[Qty C]],0)</f>
        <v>0</v>
      </c>
      <c r="AC901" s="73">
        <f>IFERROR(cadangan[[#This Row],[Harga Diskon C]]-INDEX(Katalog!$E$3:$E$12,MATCH(cadangan[[#This Row],[ItemID C]],Katalog!$C$3:$C$12,0))*cadangan[[#This Row],[Qty C]],0)</f>
        <v>0</v>
      </c>
      <c r="AD901" s="53">
        <f>cadangan[[#This Row],[Qty A]]+cadangan[[#This Row],[Qty B]]+cadangan[[#This Row],[Qty C]]</f>
        <v>4</v>
      </c>
      <c r="AE901" s="73">
        <f>cadangan[[#This Row],[Harga Normal A]]+cadangan[[#This Row],[Harga Normal B]]+cadangan[[#This Row],[Harga Normal C]]</f>
        <v>1500000</v>
      </c>
      <c r="AF901" s="73">
        <f>cadangan[[#This Row],[Harga Diskon A]]+cadangan[[#This Row],[Harga Diskon B]]+cadangan[[#This Row],[Harga Diskon C]]</f>
        <v>1500000</v>
      </c>
      <c r="AG901" s="73">
        <f>(cadangan[[#This Row],[Profit Normal A]]+cadangan[[#This Row],[Profit Normal B]]+cadangan[[#This Row],[Profit Normal C]])</f>
        <v>600000</v>
      </c>
      <c r="AH901" s="73">
        <f>cadangan[[#This Row],[Profit Diskon A]]+cadangan[[#This Row],[Profit Diskon B]]+cadangan[[#This Row],[Profit Diskon C]]</f>
        <v>600000</v>
      </c>
      <c r="AI901" s="23" t="s">
        <v>290</v>
      </c>
      <c r="AJ901" s="37" t="str">
        <f>IFERROR(INDEX('Kode Diskon'!$D$3:$D$9,MATCH(cadangan[[#This Row],[Kode diskon]],'Kode Diskon'!$C$3:$C$9,0)),"-")</f>
        <v>-</v>
      </c>
      <c r="AK901" s="23" t="s">
        <v>290</v>
      </c>
      <c r="AL901" s="23" t="s">
        <v>10</v>
      </c>
      <c r="AM901" s="23" t="s">
        <v>79</v>
      </c>
      <c r="AN901" s="55">
        <v>45023</v>
      </c>
      <c r="AO901" s="53">
        <f>DAY(cadangan[[#This Row],[Tanggal terjual]])</f>
        <v>7</v>
      </c>
      <c r="AP901" s="21" t="str">
        <f>TEXT(cadangan[[#This Row],[Tanggal terjual]],"dddd")</f>
        <v>Friday</v>
      </c>
      <c r="AQ901" s="23" t="str" cm="1">
        <f t="array" ref="AQ9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01" s="61">
        <f>AVERAGE(cadangan[[#This Row],[Rating A]],cadangan[[#This Row],[Rating B]],cadangan[[#This Row],[Rating C]])</f>
        <v>3.5</v>
      </c>
    </row>
    <row r="902" spans="1:44" x14ac:dyDescent="0.2">
      <c r="A902" s="20">
        <v>901</v>
      </c>
      <c r="B902" s="21" t="str">
        <f>_xlfn.CONCAT("ORD-",INDEX(Helper!$B$2:$B$5,MATCH(cadangan[[#This Row],[Marketplace]],Helper!$A$2:$A$5,0)),TEXT(cadangan[[#This Row],[No]],"0000"),"-",TEXT(cadangan[[#This Row],[Tanggal terjual]],"dd/mm/yy"))</f>
        <v>ORD-SP0901-13/04/23</v>
      </c>
      <c r="C902" s="39" t="s">
        <v>59</v>
      </c>
      <c r="D902" s="39" t="str">
        <f>IFERROR(INDEX(Katalog!$A$3:$A$12,MATCH(cadangan[[#This Row],[ItemID A]],Katalog!$C$3:$C$12,0)),"-")</f>
        <v>Pakaian Wanita</v>
      </c>
      <c r="E902" s="39" t="str">
        <f>IFERROR(INDEX(Katalog!$B$3:$B$12,MATCH(cadangan[[#This Row],[ItemID A]],Katalog!$C$3:$C$12,0)),"-")</f>
        <v>Blouse</v>
      </c>
      <c r="F902" s="50">
        <v>1</v>
      </c>
      <c r="G902" s="50">
        <v>5</v>
      </c>
      <c r="H902" s="73">
        <f>IFERROR(INDEX(Katalog!$D$3:$D$12,MATCH(cadangan[[#This Row],[ItemID A]],Katalog!$C$3:$C$12,0))*cadangan[[#This Row],[Qty A]],0)</f>
        <v>150000</v>
      </c>
      <c r="I902" s="73">
        <f>IFERROR(cadangan[[#This Row],[Harga Normal A]]-(cadangan[[#This Row],[Harga Normal A]]*cadangan[[#This Row],[Diskon]]),cadangan[[#This Row],[Harga Normal A]])</f>
        <v>150000</v>
      </c>
      <c r="J902" s="73">
        <f>INDEX(Katalog!$F$3:$F$12,MATCH(cadangan[[#This Row],[ItemID A]],Katalog!$C$3:$C$12,0))*cadangan[[#This Row],[Qty A]]</f>
        <v>50000</v>
      </c>
      <c r="K902" s="73">
        <f>IFERROR(cadangan[[#This Row],[Harga Diskon A]]-INDEX(Katalog!$E$3:$E$12,MATCH(cadangan[[#This Row],[ItemID A]],Katalog!$C$3:$C$12,0))*cadangan[[#This Row],[Qty A]],0)</f>
        <v>50000</v>
      </c>
      <c r="M902" s="39" t="str">
        <f>IFERROR(INDEX(Katalog!$A$3:$A$12,MATCH(cadangan[[#This Row],[ItemID B]],Katalog!$C$3:$C$12,0)),"-")</f>
        <v>-</v>
      </c>
      <c r="N902" s="39" t="str">
        <f>IFERROR(INDEX(Katalog!$B$3:$B$12,MATCH(cadangan[[#This Row],[ItemID B]],Katalog!$C$3:$C$12,0)),"-")</f>
        <v>-</v>
      </c>
      <c r="Q902" s="73">
        <f>IFERROR(INDEX(Katalog!$D$3:$D$12,MATCH(cadangan[[#This Row],[ItemID B]],Katalog!$C$3:$C$12,0))*cadangan[[#This Row],[Qty B]],0)</f>
        <v>0</v>
      </c>
      <c r="R902" s="73">
        <f>IFERROR(cadangan[[#This Row],[Harga Normal B]]-(cadangan[[#This Row],[Harga Normal B]]*cadangan[[#This Row],[Diskon]]),cadangan[[#This Row],[Harga Normal B]])</f>
        <v>0</v>
      </c>
      <c r="S902" s="73">
        <f>IFERROR(INDEX(Katalog!$F$3:$F$12,MATCH(cadangan[[#This Row],[ItemID B]],Katalog!$C$3:$C$12,0))*cadangan[[#This Row],[Qty B]],0)</f>
        <v>0</v>
      </c>
      <c r="T902" s="73">
        <f>IFERROR(cadangan[[#This Row],[Harga Diskon B]]-INDEX(Katalog!$E$3:$E$12,MATCH(cadangan[[#This Row],[ItemID B]],Katalog!$C$3:$C$12,0))*cadangan[[#This Row],[Qty B]],0)</f>
        <v>0</v>
      </c>
      <c r="V902" s="39" t="str">
        <f>IFERROR(INDEX(Katalog!$A$3:$A$12,MATCH(cadangan[[#This Row],[ItemID C]],Katalog!$C$3:$C$12,0)),"-")</f>
        <v>-</v>
      </c>
      <c r="W902" s="39" t="str">
        <f>IFERROR(INDEX(Katalog!$B$3:$B$12,MATCH(cadangan[[#This Row],[ItemID C]],Katalog!$C$3:$C$12,0)),"-")</f>
        <v>-</v>
      </c>
      <c r="Z902" s="73">
        <f>IFERROR(INDEX(Katalog!$D$3:$D$12,MATCH(cadangan[[#This Row],[ItemID C]],Katalog!$C$3:$C$12,0))*cadangan[[#This Row],[Qty C]],0)</f>
        <v>0</v>
      </c>
      <c r="AA902" s="73">
        <f>IFERROR(cadangan[[#This Row],[Harga Normal C]]-(cadangan[[#This Row],[Harga Normal C]]*cadangan[[#This Row],[Diskon]]),cadangan[[#This Row],[Harga Normal C]])</f>
        <v>0</v>
      </c>
      <c r="AB902" s="73">
        <f>IFERROR(INDEX(Katalog!$F$3:$F$12,MATCH(cadangan[[#This Row],[ItemID C]],Katalog!$C$3:$C$12,0))*cadangan[[#This Row],[Qty C]],0)</f>
        <v>0</v>
      </c>
      <c r="AC902" s="73">
        <f>IFERROR(cadangan[[#This Row],[Harga Diskon C]]-INDEX(Katalog!$E$3:$E$12,MATCH(cadangan[[#This Row],[ItemID C]],Katalog!$C$3:$C$12,0))*cadangan[[#This Row],[Qty C]],0)</f>
        <v>0</v>
      </c>
      <c r="AD902" s="53">
        <f>cadangan[[#This Row],[Qty A]]+cadangan[[#This Row],[Qty B]]+cadangan[[#This Row],[Qty C]]</f>
        <v>1</v>
      </c>
      <c r="AE902" s="73">
        <f>cadangan[[#This Row],[Harga Normal A]]+cadangan[[#This Row],[Harga Normal B]]+cadangan[[#This Row],[Harga Normal C]]</f>
        <v>150000</v>
      </c>
      <c r="AF902" s="73">
        <f>cadangan[[#This Row],[Harga Diskon A]]+cadangan[[#This Row],[Harga Diskon B]]+cadangan[[#This Row],[Harga Diskon C]]</f>
        <v>150000</v>
      </c>
      <c r="AG902" s="73">
        <f>(cadangan[[#This Row],[Profit Normal A]]+cadangan[[#This Row],[Profit Normal B]]+cadangan[[#This Row],[Profit Normal C]])</f>
        <v>50000</v>
      </c>
      <c r="AH902" s="73">
        <f>cadangan[[#This Row],[Profit Diskon A]]+cadangan[[#This Row],[Profit Diskon B]]+cadangan[[#This Row],[Profit Diskon C]]</f>
        <v>50000</v>
      </c>
      <c r="AI902" s="23" t="s">
        <v>290</v>
      </c>
      <c r="AJ902" s="37" t="str">
        <f>IFERROR(INDEX('Kode Diskon'!$D$3:$D$9,MATCH(cadangan[[#This Row],[Kode diskon]],'Kode Diskon'!$C$3:$C$9,0)),"-")</f>
        <v>-</v>
      </c>
      <c r="AK902" s="23" t="s">
        <v>290</v>
      </c>
      <c r="AL902" s="23" t="s">
        <v>7</v>
      </c>
      <c r="AM902" s="23" t="s">
        <v>75</v>
      </c>
      <c r="AN902" s="55">
        <v>45029</v>
      </c>
      <c r="AO902" s="53">
        <f>DAY(cadangan[[#This Row],[Tanggal terjual]])</f>
        <v>13</v>
      </c>
      <c r="AP902" s="21" t="str">
        <f>TEXT(cadangan[[#This Row],[Tanggal terjual]],"dddd")</f>
        <v>Thursday</v>
      </c>
      <c r="AQ902" s="23" t="str" cm="1">
        <f t="array" ref="AQ90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02" s="61">
        <f>AVERAGE(cadangan[[#This Row],[Rating A]],cadangan[[#This Row],[Rating B]],cadangan[[#This Row],[Rating C]])</f>
        <v>5</v>
      </c>
    </row>
    <row r="903" spans="1:44" x14ac:dyDescent="0.2">
      <c r="A903" s="20">
        <v>902</v>
      </c>
      <c r="B903" s="21" t="str">
        <f>_xlfn.CONCAT("ORD-",INDEX(Helper!$B$2:$B$5,MATCH(cadangan[[#This Row],[Marketplace]],Helper!$A$2:$A$5,0)),TEXT(cadangan[[#This Row],[No]],"0000"),"-",TEXT(cadangan[[#This Row],[Tanggal terjual]],"dd/mm/yy"))</f>
        <v>ORD-SP0902-05/04/23</v>
      </c>
      <c r="C903" s="39" t="s">
        <v>66</v>
      </c>
      <c r="D903" s="39" t="str">
        <f>IFERROR(INDEX(Katalog!$A$3:$A$12,MATCH(cadangan[[#This Row],[ItemID A]],Katalog!$C$3:$C$12,0)),"-")</f>
        <v>Sepatu Pria</v>
      </c>
      <c r="E903" s="39" t="str">
        <f>IFERROR(INDEX(Katalog!$B$3:$B$12,MATCH(cadangan[[#This Row],[ItemID A]],Katalog!$C$3:$C$12,0)),"-")</f>
        <v>Sandal Slip On</v>
      </c>
      <c r="F903" s="50">
        <v>3</v>
      </c>
      <c r="G903" s="50">
        <v>2</v>
      </c>
      <c r="H903" s="73">
        <f>IFERROR(INDEX(Katalog!$D$3:$D$12,MATCH(cadangan[[#This Row],[ItemID A]],Katalog!$C$3:$C$12,0))*cadangan[[#This Row],[Qty A]],0)</f>
        <v>450000</v>
      </c>
      <c r="I903" s="73">
        <f>IFERROR(cadangan[[#This Row],[Harga Normal A]]-(cadangan[[#This Row],[Harga Normal A]]*cadangan[[#This Row],[Diskon]]),cadangan[[#This Row],[Harga Normal A]])</f>
        <v>405000</v>
      </c>
      <c r="J903" s="73">
        <f>INDEX(Katalog!$F$3:$F$12,MATCH(cadangan[[#This Row],[ItemID A]],Katalog!$C$3:$C$12,0))*cadangan[[#This Row],[Qty A]]</f>
        <v>180000</v>
      </c>
      <c r="K903" s="73">
        <f>IFERROR(cadangan[[#This Row],[Harga Diskon A]]-INDEX(Katalog!$E$3:$E$12,MATCH(cadangan[[#This Row],[ItemID A]],Katalog!$C$3:$C$12,0))*cadangan[[#This Row],[Qty A]],0)</f>
        <v>135000</v>
      </c>
      <c r="L903" s="39" t="s">
        <v>67</v>
      </c>
      <c r="M903" s="39" t="str">
        <f>IFERROR(INDEX(Katalog!$A$3:$A$12,MATCH(cadangan[[#This Row],[ItemID B]],Katalog!$C$3:$C$12,0)),"-")</f>
        <v>Sepatu Wanita</v>
      </c>
      <c r="N903" s="39" t="str">
        <f>IFERROR(INDEX(Katalog!$B$3:$B$12,MATCH(cadangan[[#This Row],[ItemID B]],Katalog!$C$3:$C$12,0)),"-")</f>
        <v>Flat Shoes</v>
      </c>
      <c r="O903" s="50">
        <v>2</v>
      </c>
      <c r="P903" s="50">
        <v>1</v>
      </c>
      <c r="Q903" s="73">
        <f>IFERROR(INDEX(Katalog!$D$3:$D$12,MATCH(cadangan[[#This Row],[ItemID B]],Katalog!$C$3:$C$12,0))*cadangan[[#This Row],[Qty B]],0)</f>
        <v>500000</v>
      </c>
      <c r="R903" s="73">
        <f>IFERROR(cadangan[[#This Row],[Harga Normal B]]-(cadangan[[#This Row],[Harga Normal B]]*cadangan[[#This Row],[Diskon]]),cadangan[[#This Row],[Harga Normal B]])</f>
        <v>450000</v>
      </c>
      <c r="S903" s="73">
        <f>IFERROR(INDEX(Katalog!$F$3:$F$12,MATCH(cadangan[[#This Row],[ItemID B]],Katalog!$C$3:$C$12,0))*cadangan[[#This Row],[Qty B]],0)</f>
        <v>200000</v>
      </c>
      <c r="T903" s="73">
        <f>IFERROR(cadangan[[#This Row],[Harga Diskon B]]-INDEX(Katalog!$E$3:$E$12,MATCH(cadangan[[#This Row],[ItemID B]],Katalog!$C$3:$C$12,0))*cadangan[[#This Row],[Qty B]],0)</f>
        <v>150000</v>
      </c>
      <c r="V903" s="39" t="str">
        <f>IFERROR(INDEX(Katalog!$A$3:$A$12,MATCH(cadangan[[#This Row],[ItemID C]],Katalog!$C$3:$C$12,0)),"-")</f>
        <v>-</v>
      </c>
      <c r="W903" s="39" t="str">
        <f>IFERROR(INDEX(Katalog!$B$3:$B$12,MATCH(cadangan[[#This Row],[ItemID C]],Katalog!$C$3:$C$12,0)),"-")</f>
        <v>-</v>
      </c>
      <c r="Z903" s="73">
        <f>IFERROR(INDEX(Katalog!$D$3:$D$12,MATCH(cadangan[[#This Row],[ItemID C]],Katalog!$C$3:$C$12,0))*cadangan[[#This Row],[Qty C]],0)</f>
        <v>0</v>
      </c>
      <c r="AA903" s="73">
        <f>IFERROR(cadangan[[#This Row],[Harga Normal C]]-(cadangan[[#This Row],[Harga Normal C]]*cadangan[[#This Row],[Diskon]]),cadangan[[#This Row],[Harga Normal C]])</f>
        <v>0</v>
      </c>
      <c r="AB903" s="73">
        <f>IFERROR(INDEX(Katalog!$F$3:$F$12,MATCH(cadangan[[#This Row],[ItemID C]],Katalog!$C$3:$C$12,0))*cadangan[[#This Row],[Qty C]],0)</f>
        <v>0</v>
      </c>
      <c r="AC903" s="73">
        <f>IFERROR(cadangan[[#This Row],[Harga Diskon C]]-INDEX(Katalog!$E$3:$E$12,MATCH(cadangan[[#This Row],[ItemID C]],Katalog!$C$3:$C$12,0))*cadangan[[#This Row],[Qty C]],0)</f>
        <v>0</v>
      </c>
      <c r="AD903" s="53">
        <f>cadangan[[#This Row],[Qty A]]+cadangan[[#This Row],[Qty B]]+cadangan[[#This Row],[Qty C]]</f>
        <v>5</v>
      </c>
      <c r="AE903" s="73">
        <f>cadangan[[#This Row],[Harga Normal A]]+cadangan[[#This Row],[Harga Normal B]]+cadangan[[#This Row],[Harga Normal C]]</f>
        <v>950000</v>
      </c>
      <c r="AF903" s="73">
        <f>cadangan[[#This Row],[Harga Diskon A]]+cadangan[[#This Row],[Harga Diskon B]]+cadangan[[#This Row],[Harga Diskon C]]</f>
        <v>855000</v>
      </c>
      <c r="AG903" s="73">
        <f>(cadangan[[#This Row],[Profit Normal A]]+cadangan[[#This Row],[Profit Normal B]]+cadangan[[#This Row],[Profit Normal C]])</f>
        <v>380000</v>
      </c>
      <c r="AH903" s="73">
        <f>cadangan[[#This Row],[Profit Diskon A]]+cadangan[[#This Row],[Profit Diskon B]]+cadangan[[#This Row],[Profit Diskon C]]</f>
        <v>285000</v>
      </c>
      <c r="AI903" s="23" t="s">
        <v>6</v>
      </c>
      <c r="AJ903" s="37">
        <f>IFERROR(INDEX('Kode Diskon'!$D$3:$D$9,MATCH(cadangan[[#This Row],[Kode diskon]],'Kode Diskon'!$C$3:$C$9,0)),"-")</f>
        <v>0.1</v>
      </c>
      <c r="AK903" s="23" t="s">
        <v>29</v>
      </c>
      <c r="AL903" s="23" t="s">
        <v>7</v>
      </c>
      <c r="AM903" s="23" t="s">
        <v>76</v>
      </c>
      <c r="AN903" s="55">
        <v>45021</v>
      </c>
      <c r="AO903" s="53">
        <f>DAY(cadangan[[#This Row],[Tanggal terjual]])</f>
        <v>5</v>
      </c>
      <c r="AP903" s="21" t="str">
        <f>TEXT(cadangan[[#This Row],[Tanggal terjual]],"dddd")</f>
        <v>Wednesday</v>
      </c>
      <c r="AQ903" s="23" t="str" cm="1">
        <f t="array" ref="AQ90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03" s="61">
        <f>AVERAGE(cadangan[[#This Row],[Rating A]],cadangan[[#This Row],[Rating B]],cadangan[[#This Row],[Rating C]])</f>
        <v>1.5</v>
      </c>
    </row>
    <row r="904" spans="1:44" x14ac:dyDescent="0.2">
      <c r="A904" s="20">
        <v>903</v>
      </c>
      <c r="B904" s="21" t="str">
        <f>_xlfn.CONCAT("ORD-",INDEX(Helper!$B$2:$B$5,MATCH(cadangan[[#This Row],[Marketplace]],Helper!$A$2:$A$5,0)),TEXT(cadangan[[#This Row],[No]],"0000"),"-",TEXT(cadangan[[#This Row],[Tanggal terjual]],"dd/mm/yy"))</f>
        <v>ORD-TK0903-26/04/23</v>
      </c>
      <c r="C904" s="39" t="s">
        <v>64</v>
      </c>
      <c r="D904" s="39" t="str">
        <f>IFERROR(INDEX(Katalog!$A$3:$A$12,MATCH(cadangan[[#This Row],[ItemID A]],Katalog!$C$3:$C$12,0)),"-")</f>
        <v>Pakaian Unisex</v>
      </c>
      <c r="E904" s="39" t="str">
        <f>IFERROR(INDEX(Katalog!$B$3:$B$12,MATCH(cadangan[[#This Row],[ItemID A]],Katalog!$C$3:$C$12,0)),"-")</f>
        <v>Jaket Hoodie</v>
      </c>
      <c r="F904" s="50">
        <v>2</v>
      </c>
      <c r="G904" s="50">
        <v>5</v>
      </c>
      <c r="H904" s="73">
        <f>IFERROR(INDEX(Katalog!$D$3:$D$12,MATCH(cadangan[[#This Row],[ItemID A]],Katalog!$C$3:$C$12,0))*cadangan[[#This Row],[Qty A]],0)</f>
        <v>700000</v>
      </c>
      <c r="I904" s="73">
        <f>IFERROR(cadangan[[#This Row],[Harga Normal A]]-(cadangan[[#This Row],[Harga Normal A]]*cadangan[[#This Row],[Diskon]]),cadangan[[#This Row],[Harga Normal A]])</f>
        <v>630000</v>
      </c>
      <c r="J904" s="73">
        <f>INDEX(Katalog!$F$3:$F$12,MATCH(cadangan[[#This Row],[ItemID A]],Katalog!$C$3:$C$12,0))*cadangan[[#This Row],[Qty A]]</f>
        <v>260000</v>
      </c>
      <c r="K904" s="73">
        <f>IFERROR(cadangan[[#This Row],[Harga Diskon A]]-INDEX(Katalog!$E$3:$E$12,MATCH(cadangan[[#This Row],[ItemID A]],Katalog!$C$3:$C$12,0))*cadangan[[#This Row],[Qty A]],0)</f>
        <v>190000</v>
      </c>
      <c r="M904" s="39" t="str">
        <f>IFERROR(INDEX(Katalog!$A$3:$A$12,MATCH(cadangan[[#This Row],[ItemID B]],Katalog!$C$3:$C$12,0)),"-")</f>
        <v>-</v>
      </c>
      <c r="N904" s="39" t="str">
        <f>IFERROR(INDEX(Katalog!$B$3:$B$12,MATCH(cadangan[[#This Row],[ItemID B]],Katalog!$C$3:$C$12,0)),"-")</f>
        <v>-</v>
      </c>
      <c r="Q904" s="73">
        <f>IFERROR(INDEX(Katalog!$D$3:$D$12,MATCH(cadangan[[#This Row],[ItemID B]],Katalog!$C$3:$C$12,0))*cadangan[[#This Row],[Qty B]],0)</f>
        <v>0</v>
      </c>
      <c r="R904" s="73">
        <f>IFERROR(cadangan[[#This Row],[Harga Normal B]]-(cadangan[[#This Row],[Harga Normal B]]*cadangan[[#This Row],[Diskon]]),cadangan[[#This Row],[Harga Normal B]])</f>
        <v>0</v>
      </c>
      <c r="S904" s="73">
        <f>IFERROR(INDEX(Katalog!$F$3:$F$12,MATCH(cadangan[[#This Row],[ItemID B]],Katalog!$C$3:$C$12,0))*cadangan[[#This Row],[Qty B]],0)</f>
        <v>0</v>
      </c>
      <c r="T904" s="73">
        <f>IFERROR(cadangan[[#This Row],[Harga Diskon B]]-INDEX(Katalog!$E$3:$E$12,MATCH(cadangan[[#This Row],[ItemID B]],Katalog!$C$3:$C$12,0))*cadangan[[#This Row],[Qty B]],0)</f>
        <v>0</v>
      </c>
      <c r="V904" s="39" t="str">
        <f>IFERROR(INDEX(Katalog!$A$3:$A$12,MATCH(cadangan[[#This Row],[ItemID C]],Katalog!$C$3:$C$12,0)),"-")</f>
        <v>-</v>
      </c>
      <c r="W904" s="39" t="str">
        <f>IFERROR(INDEX(Katalog!$B$3:$B$12,MATCH(cadangan[[#This Row],[ItemID C]],Katalog!$C$3:$C$12,0)),"-")</f>
        <v>-</v>
      </c>
      <c r="Z904" s="73">
        <f>IFERROR(INDEX(Katalog!$D$3:$D$12,MATCH(cadangan[[#This Row],[ItemID C]],Katalog!$C$3:$C$12,0))*cadangan[[#This Row],[Qty C]],0)</f>
        <v>0</v>
      </c>
      <c r="AA904" s="73">
        <f>IFERROR(cadangan[[#This Row],[Harga Normal C]]-(cadangan[[#This Row],[Harga Normal C]]*cadangan[[#This Row],[Diskon]]),cadangan[[#This Row],[Harga Normal C]])</f>
        <v>0</v>
      </c>
      <c r="AB904" s="73">
        <f>IFERROR(INDEX(Katalog!$F$3:$F$12,MATCH(cadangan[[#This Row],[ItemID C]],Katalog!$C$3:$C$12,0))*cadangan[[#This Row],[Qty C]],0)</f>
        <v>0</v>
      </c>
      <c r="AC904" s="73">
        <f>IFERROR(cadangan[[#This Row],[Harga Diskon C]]-INDEX(Katalog!$E$3:$E$12,MATCH(cadangan[[#This Row],[ItemID C]],Katalog!$C$3:$C$12,0))*cadangan[[#This Row],[Qty C]],0)</f>
        <v>0</v>
      </c>
      <c r="AD904" s="53">
        <f>cadangan[[#This Row],[Qty A]]+cadangan[[#This Row],[Qty B]]+cadangan[[#This Row],[Qty C]]</f>
        <v>2</v>
      </c>
      <c r="AE904" s="73">
        <f>cadangan[[#This Row],[Harga Normal A]]+cadangan[[#This Row],[Harga Normal B]]+cadangan[[#This Row],[Harga Normal C]]</f>
        <v>700000</v>
      </c>
      <c r="AF904" s="73">
        <f>cadangan[[#This Row],[Harga Diskon A]]+cadangan[[#This Row],[Harga Diskon B]]+cadangan[[#This Row],[Harga Diskon C]]</f>
        <v>630000</v>
      </c>
      <c r="AG904" s="73">
        <f>(cadangan[[#This Row],[Profit Normal A]]+cadangan[[#This Row],[Profit Normal B]]+cadangan[[#This Row],[Profit Normal C]])</f>
        <v>260000</v>
      </c>
      <c r="AH904" s="73">
        <f>cadangan[[#This Row],[Profit Diskon A]]+cadangan[[#This Row],[Profit Diskon B]]+cadangan[[#This Row],[Profit Diskon C]]</f>
        <v>190000</v>
      </c>
      <c r="AI904" s="23" t="s">
        <v>31</v>
      </c>
      <c r="AJ904" s="37">
        <f>IFERROR(INDEX('Kode Diskon'!$D$3:$D$9,MATCH(cadangan[[#This Row],[Kode diskon]],'Kode Diskon'!$C$3:$C$9,0)),"-")</f>
        <v>0.1</v>
      </c>
      <c r="AK904" s="23" t="s">
        <v>9</v>
      </c>
      <c r="AL904" s="23" t="s">
        <v>10</v>
      </c>
      <c r="AM904" s="23" t="s">
        <v>77</v>
      </c>
      <c r="AN904" s="55">
        <v>45042</v>
      </c>
      <c r="AO904" s="53">
        <f>DAY(cadangan[[#This Row],[Tanggal terjual]])</f>
        <v>26</v>
      </c>
      <c r="AP904" s="21" t="str">
        <f>TEXT(cadangan[[#This Row],[Tanggal terjual]],"dddd")</f>
        <v>Wednesday</v>
      </c>
      <c r="AQ904" s="23" t="str" cm="1">
        <f t="array" ref="AQ90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04" s="61">
        <f>AVERAGE(cadangan[[#This Row],[Rating A]],cadangan[[#This Row],[Rating B]],cadangan[[#This Row],[Rating C]])</f>
        <v>5</v>
      </c>
    </row>
    <row r="905" spans="1:44" x14ac:dyDescent="0.2">
      <c r="A905" s="20">
        <v>904</v>
      </c>
      <c r="B905" s="21" t="str">
        <f>_xlfn.CONCAT("ORD-",INDEX(Helper!$B$2:$B$5,MATCH(cadangan[[#This Row],[Marketplace]],Helper!$A$2:$A$5,0)),TEXT(cadangan[[#This Row],[No]],"0000"),"-",TEXT(cadangan[[#This Row],[Tanggal terjual]],"dd/mm/yy"))</f>
        <v>ORD-TK0904-29/04/23</v>
      </c>
      <c r="C905" s="39" t="s">
        <v>65</v>
      </c>
      <c r="D905" s="39" t="str">
        <f>IFERROR(INDEX(Katalog!$A$3:$A$12,MATCH(cadangan[[#This Row],[ItemID A]],Katalog!$C$3:$C$12,0)),"-")</f>
        <v>Sepatu Pria</v>
      </c>
      <c r="E905" s="39" t="str">
        <f>IFERROR(INDEX(Katalog!$B$3:$B$12,MATCH(cadangan[[#This Row],[ItemID A]],Katalog!$C$3:$C$12,0)),"-")</f>
        <v>Sneakers</v>
      </c>
      <c r="F905" s="50">
        <v>4</v>
      </c>
      <c r="G905" s="50">
        <v>4</v>
      </c>
      <c r="H905" s="73">
        <f>IFERROR(INDEX(Katalog!$D$3:$D$12,MATCH(cadangan[[#This Row],[ItemID A]],Katalog!$C$3:$C$12,0))*cadangan[[#This Row],[Qty A]],0)</f>
        <v>2000000</v>
      </c>
      <c r="I905" s="73">
        <f>IFERROR(cadangan[[#This Row],[Harga Normal A]]-(cadangan[[#This Row],[Harga Normal A]]*cadangan[[#This Row],[Diskon]]),cadangan[[#This Row],[Harga Normal A]])</f>
        <v>1800000</v>
      </c>
      <c r="J905" s="73">
        <f>INDEX(Katalog!$F$3:$F$12,MATCH(cadangan[[#This Row],[ItemID A]],Katalog!$C$3:$C$12,0))*cadangan[[#This Row],[Qty A]]</f>
        <v>800000</v>
      </c>
      <c r="K905" s="73">
        <f>IFERROR(cadangan[[#This Row],[Harga Diskon A]]-INDEX(Katalog!$E$3:$E$12,MATCH(cadangan[[#This Row],[ItemID A]],Katalog!$C$3:$C$12,0))*cadangan[[#This Row],[Qty A]],0)</f>
        <v>600000</v>
      </c>
      <c r="L905" s="39" t="s">
        <v>66</v>
      </c>
      <c r="M905" s="39" t="str">
        <f>IFERROR(INDEX(Katalog!$A$3:$A$12,MATCH(cadangan[[#This Row],[ItemID B]],Katalog!$C$3:$C$12,0)),"-")</f>
        <v>Sepatu Pria</v>
      </c>
      <c r="N905" s="39" t="str">
        <f>IFERROR(INDEX(Katalog!$B$3:$B$12,MATCH(cadangan[[#This Row],[ItemID B]],Katalog!$C$3:$C$12,0)),"-")</f>
        <v>Sandal Slip On</v>
      </c>
      <c r="O905" s="50">
        <v>1</v>
      </c>
      <c r="P905" s="50">
        <v>5</v>
      </c>
      <c r="Q905" s="73">
        <f>IFERROR(INDEX(Katalog!$D$3:$D$12,MATCH(cadangan[[#This Row],[ItemID B]],Katalog!$C$3:$C$12,0))*cadangan[[#This Row],[Qty B]],0)</f>
        <v>150000</v>
      </c>
      <c r="R905" s="73">
        <f>IFERROR(cadangan[[#This Row],[Harga Normal B]]-(cadangan[[#This Row],[Harga Normal B]]*cadangan[[#This Row],[Diskon]]),cadangan[[#This Row],[Harga Normal B]])</f>
        <v>135000</v>
      </c>
      <c r="S905" s="73">
        <f>IFERROR(INDEX(Katalog!$F$3:$F$12,MATCH(cadangan[[#This Row],[ItemID B]],Katalog!$C$3:$C$12,0))*cadangan[[#This Row],[Qty B]],0)</f>
        <v>60000</v>
      </c>
      <c r="T905" s="73">
        <f>IFERROR(cadangan[[#This Row],[Harga Diskon B]]-INDEX(Katalog!$E$3:$E$12,MATCH(cadangan[[#This Row],[ItemID B]],Katalog!$C$3:$C$12,0))*cadangan[[#This Row],[Qty B]],0)</f>
        <v>45000</v>
      </c>
      <c r="U905" s="39" t="s">
        <v>63</v>
      </c>
      <c r="V905" s="39" t="str">
        <f>IFERROR(INDEX(Katalog!$A$3:$A$12,MATCH(cadangan[[#This Row],[ItemID C]],Katalog!$C$3:$C$12,0)),"-")</f>
        <v>Pakaian Pria</v>
      </c>
      <c r="W905" s="39" t="str">
        <f>IFERROR(INDEX(Katalog!$B$3:$B$12,MATCH(cadangan[[#This Row],[ItemID C]],Katalog!$C$3:$C$12,0)),"-")</f>
        <v>Jaket Jeans</v>
      </c>
      <c r="X905" s="50">
        <v>1</v>
      </c>
      <c r="Y905" s="50">
        <v>4</v>
      </c>
      <c r="Z905" s="73">
        <f>IFERROR(INDEX(Katalog!$D$3:$D$12,MATCH(cadangan[[#This Row],[ItemID C]],Katalog!$C$3:$C$12,0))*cadangan[[#This Row],[Qty C]],0)</f>
        <v>400000</v>
      </c>
      <c r="AA905" s="73">
        <f>IFERROR(cadangan[[#This Row],[Harga Normal C]]-(cadangan[[#This Row],[Harga Normal C]]*cadangan[[#This Row],[Diskon]]),cadangan[[#This Row],[Harga Normal C]])</f>
        <v>360000</v>
      </c>
      <c r="AB905" s="73">
        <f>IFERROR(INDEX(Katalog!$F$3:$F$12,MATCH(cadangan[[#This Row],[ItemID C]],Katalog!$C$3:$C$12,0))*cadangan[[#This Row],[Qty C]],0)</f>
        <v>150000</v>
      </c>
      <c r="AC905" s="73">
        <f>IFERROR(cadangan[[#This Row],[Harga Diskon C]]-INDEX(Katalog!$E$3:$E$12,MATCH(cadangan[[#This Row],[ItemID C]],Katalog!$C$3:$C$12,0))*cadangan[[#This Row],[Qty C]],0)</f>
        <v>110000</v>
      </c>
      <c r="AD905" s="53">
        <f>cadangan[[#This Row],[Qty A]]+cadangan[[#This Row],[Qty B]]+cadangan[[#This Row],[Qty C]]</f>
        <v>6</v>
      </c>
      <c r="AE905" s="73">
        <f>cadangan[[#This Row],[Harga Normal A]]+cadangan[[#This Row],[Harga Normal B]]+cadangan[[#This Row],[Harga Normal C]]</f>
        <v>2550000</v>
      </c>
      <c r="AF905" s="73">
        <f>cadangan[[#This Row],[Harga Diskon A]]+cadangan[[#This Row],[Harga Diskon B]]+cadangan[[#This Row],[Harga Diskon C]]</f>
        <v>2295000</v>
      </c>
      <c r="AG905" s="73">
        <f>(cadangan[[#This Row],[Profit Normal A]]+cadangan[[#This Row],[Profit Normal B]]+cadangan[[#This Row],[Profit Normal C]])</f>
        <v>1010000</v>
      </c>
      <c r="AH905" s="73">
        <f>cadangan[[#This Row],[Profit Diskon A]]+cadangan[[#This Row],[Profit Diskon B]]+cadangan[[#This Row],[Profit Diskon C]]</f>
        <v>755000</v>
      </c>
      <c r="AI905" s="23" t="s">
        <v>31</v>
      </c>
      <c r="AJ905" s="37">
        <f>IFERROR(INDEX('Kode Diskon'!$D$3:$D$9,MATCH(cadangan[[#This Row],[Kode diskon]],'Kode Diskon'!$C$3:$C$9,0)),"-")</f>
        <v>0.1</v>
      </c>
      <c r="AK905" s="23" t="s">
        <v>9</v>
      </c>
      <c r="AL905" s="23" t="s">
        <v>10</v>
      </c>
      <c r="AM905" s="23" t="s">
        <v>80</v>
      </c>
      <c r="AN905" s="55">
        <v>45045</v>
      </c>
      <c r="AO905" s="53">
        <f>DAY(cadangan[[#This Row],[Tanggal terjual]])</f>
        <v>29</v>
      </c>
      <c r="AP905" s="21" t="str">
        <f>TEXT(cadangan[[#This Row],[Tanggal terjual]],"dddd")</f>
        <v>Saturday</v>
      </c>
      <c r="AQ905" s="23" t="str" cm="1">
        <f t="array" ref="AQ90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05" s="61">
        <f>AVERAGE(cadangan[[#This Row],[Rating A]],cadangan[[#This Row],[Rating B]],cadangan[[#This Row],[Rating C]])</f>
        <v>4.333333333333333</v>
      </c>
    </row>
    <row r="906" spans="1:44" x14ac:dyDescent="0.2">
      <c r="A906" s="20">
        <v>905</v>
      </c>
      <c r="B906" s="21" t="str">
        <f>_xlfn.CONCAT("ORD-",INDEX(Helper!$B$2:$B$5,MATCH(cadangan[[#This Row],[Marketplace]],Helper!$A$2:$A$5,0)),TEXT(cadangan[[#This Row],[No]],"0000"),"-",TEXT(cadangan[[#This Row],[Tanggal terjual]],"dd/mm/yy"))</f>
        <v>ORD-SP0905-06/04/23</v>
      </c>
      <c r="C906" s="39" t="s">
        <v>65</v>
      </c>
      <c r="D906" s="39" t="str">
        <f>IFERROR(INDEX(Katalog!$A$3:$A$12,MATCH(cadangan[[#This Row],[ItemID A]],Katalog!$C$3:$C$12,0)),"-")</f>
        <v>Sepatu Pria</v>
      </c>
      <c r="E906" s="39" t="str">
        <f>IFERROR(INDEX(Katalog!$B$3:$B$12,MATCH(cadangan[[#This Row],[ItemID A]],Katalog!$C$3:$C$12,0)),"-")</f>
        <v>Sneakers</v>
      </c>
      <c r="F906" s="50">
        <v>3</v>
      </c>
      <c r="G906" s="50">
        <v>4</v>
      </c>
      <c r="H906" s="73">
        <f>IFERROR(INDEX(Katalog!$D$3:$D$12,MATCH(cadangan[[#This Row],[ItemID A]],Katalog!$C$3:$C$12,0))*cadangan[[#This Row],[Qty A]],0)</f>
        <v>1500000</v>
      </c>
      <c r="I906" s="73">
        <f>IFERROR(cadangan[[#This Row],[Harga Normal A]]-(cadangan[[#This Row],[Harga Normal A]]*cadangan[[#This Row],[Diskon]]),cadangan[[#This Row],[Harga Normal A]])</f>
        <v>1350000</v>
      </c>
      <c r="J906" s="73">
        <f>INDEX(Katalog!$F$3:$F$12,MATCH(cadangan[[#This Row],[ItemID A]],Katalog!$C$3:$C$12,0))*cadangan[[#This Row],[Qty A]]</f>
        <v>600000</v>
      </c>
      <c r="K906" s="73">
        <f>IFERROR(cadangan[[#This Row],[Harga Diskon A]]-INDEX(Katalog!$E$3:$E$12,MATCH(cadangan[[#This Row],[ItemID A]],Katalog!$C$3:$C$12,0))*cadangan[[#This Row],[Qty A]],0)</f>
        <v>450000</v>
      </c>
      <c r="L906" s="39" t="s">
        <v>63</v>
      </c>
      <c r="M906" s="39" t="str">
        <f>IFERROR(INDEX(Katalog!$A$3:$A$12,MATCH(cadangan[[#This Row],[ItemID B]],Katalog!$C$3:$C$12,0)),"-")</f>
        <v>Pakaian Pria</v>
      </c>
      <c r="N906" s="39" t="str">
        <f>IFERROR(INDEX(Katalog!$B$3:$B$12,MATCH(cadangan[[#This Row],[ItemID B]],Katalog!$C$3:$C$12,0)),"-")</f>
        <v>Jaket Jeans</v>
      </c>
      <c r="O906" s="50">
        <v>1</v>
      </c>
      <c r="P906" s="50">
        <v>2</v>
      </c>
      <c r="Q906" s="73">
        <f>IFERROR(INDEX(Katalog!$D$3:$D$12,MATCH(cadangan[[#This Row],[ItemID B]],Katalog!$C$3:$C$12,0))*cadangan[[#This Row],[Qty B]],0)</f>
        <v>400000</v>
      </c>
      <c r="R906" s="73">
        <f>IFERROR(cadangan[[#This Row],[Harga Normal B]]-(cadangan[[#This Row],[Harga Normal B]]*cadangan[[#This Row],[Diskon]]),cadangan[[#This Row],[Harga Normal B]])</f>
        <v>360000</v>
      </c>
      <c r="S906" s="73">
        <f>IFERROR(INDEX(Katalog!$F$3:$F$12,MATCH(cadangan[[#This Row],[ItemID B]],Katalog!$C$3:$C$12,0))*cadangan[[#This Row],[Qty B]],0)</f>
        <v>150000</v>
      </c>
      <c r="T906" s="73">
        <f>IFERROR(cadangan[[#This Row],[Harga Diskon B]]-INDEX(Katalog!$E$3:$E$12,MATCH(cadangan[[#This Row],[ItemID B]],Katalog!$C$3:$C$12,0))*cadangan[[#This Row],[Qty B]],0)</f>
        <v>110000</v>
      </c>
      <c r="U906" s="39" t="s">
        <v>63</v>
      </c>
      <c r="V906" s="39" t="str">
        <f>IFERROR(INDEX(Katalog!$A$3:$A$12,MATCH(cadangan[[#This Row],[ItemID C]],Katalog!$C$3:$C$12,0)),"-")</f>
        <v>Pakaian Pria</v>
      </c>
      <c r="W906" s="39" t="str">
        <f>IFERROR(INDEX(Katalog!$B$3:$B$12,MATCH(cadangan[[#This Row],[ItemID C]],Katalog!$C$3:$C$12,0)),"-")</f>
        <v>Jaket Jeans</v>
      </c>
      <c r="X906" s="50">
        <v>2</v>
      </c>
      <c r="Y906" s="50">
        <v>2</v>
      </c>
      <c r="Z906" s="73">
        <f>IFERROR(INDEX(Katalog!$D$3:$D$12,MATCH(cadangan[[#This Row],[ItemID C]],Katalog!$C$3:$C$12,0))*cadangan[[#This Row],[Qty C]],0)</f>
        <v>800000</v>
      </c>
      <c r="AA906" s="73">
        <f>IFERROR(cadangan[[#This Row],[Harga Normal C]]-(cadangan[[#This Row],[Harga Normal C]]*cadangan[[#This Row],[Diskon]]),cadangan[[#This Row],[Harga Normal C]])</f>
        <v>720000</v>
      </c>
      <c r="AB906" s="73">
        <f>IFERROR(INDEX(Katalog!$F$3:$F$12,MATCH(cadangan[[#This Row],[ItemID C]],Katalog!$C$3:$C$12,0))*cadangan[[#This Row],[Qty C]],0)</f>
        <v>300000</v>
      </c>
      <c r="AC906" s="73">
        <f>IFERROR(cadangan[[#This Row],[Harga Diskon C]]-INDEX(Katalog!$E$3:$E$12,MATCH(cadangan[[#This Row],[ItemID C]],Katalog!$C$3:$C$12,0))*cadangan[[#This Row],[Qty C]],0)</f>
        <v>220000</v>
      </c>
      <c r="AD906" s="53">
        <f>cadangan[[#This Row],[Qty A]]+cadangan[[#This Row],[Qty B]]+cadangan[[#This Row],[Qty C]]</f>
        <v>6</v>
      </c>
      <c r="AE906" s="73">
        <f>cadangan[[#This Row],[Harga Normal A]]+cadangan[[#This Row],[Harga Normal B]]+cadangan[[#This Row],[Harga Normal C]]</f>
        <v>2700000</v>
      </c>
      <c r="AF906" s="73">
        <f>cadangan[[#This Row],[Harga Diskon A]]+cadangan[[#This Row],[Harga Diskon B]]+cadangan[[#This Row],[Harga Diskon C]]</f>
        <v>2430000</v>
      </c>
      <c r="AG906" s="73">
        <f>(cadangan[[#This Row],[Profit Normal A]]+cadangan[[#This Row],[Profit Normal B]]+cadangan[[#This Row],[Profit Normal C]])</f>
        <v>1050000</v>
      </c>
      <c r="AH906" s="73">
        <f>cadangan[[#This Row],[Profit Diskon A]]+cadangan[[#This Row],[Profit Diskon B]]+cadangan[[#This Row],[Profit Diskon C]]</f>
        <v>780000</v>
      </c>
      <c r="AI906" s="23" t="s">
        <v>6</v>
      </c>
      <c r="AJ906" s="37">
        <f>IFERROR(INDEX('Kode Diskon'!$D$3:$D$9,MATCH(cadangan[[#This Row],[Kode diskon]],'Kode Diskon'!$C$3:$C$9,0)),"-")</f>
        <v>0.1</v>
      </c>
      <c r="AK906" s="23" t="s">
        <v>29</v>
      </c>
      <c r="AL906" s="23" t="s">
        <v>7</v>
      </c>
      <c r="AM906" s="23" t="s">
        <v>75</v>
      </c>
      <c r="AN906" s="55">
        <v>45022</v>
      </c>
      <c r="AO906" s="53">
        <f>DAY(cadangan[[#This Row],[Tanggal terjual]])</f>
        <v>6</v>
      </c>
      <c r="AP906" s="21" t="str">
        <f>TEXT(cadangan[[#This Row],[Tanggal terjual]],"dddd")</f>
        <v>Thursday</v>
      </c>
      <c r="AQ906" s="23" t="str" cm="1">
        <f t="array" ref="AQ90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06" s="61">
        <f>AVERAGE(cadangan[[#This Row],[Rating A]],cadangan[[#This Row],[Rating B]],cadangan[[#This Row],[Rating C]])</f>
        <v>2.6666666666666665</v>
      </c>
    </row>
    <row r="907" spans="1:44" x14ac:dyDescent="0.2">
      <c r="A907" s="20">
        <v>906</v>
      </c>
      <c r="B907" s="21" t="str">
        <f>_xlfn.CONCAT("ORD-",INDEX(Helper!$B$2:$B$5,MATCH(cadangan[[#This Row],[Marketplace]],Helper!$A$2:$A$5,0)),TEXT(cadangan[[#This Row],[No]],"0000"),"-",TEXT(cadangan[[#This Row],[Tanggal terjual]],"dd/mm/yy"))</f>
        <v>ORD-SP0906-05/04/23</v>
      </c>
      <c r="C907" s="39" t="s">
        <v>63</v>
      </c>
      <c r="D907" s="39" t="str">
        <f>IFERROR(INDEX(Katalog!$A$3:$A$12,MATCH(cadangan[[#This Row],[ItemID A]],Katalog!$C$3:$C$12,0)),"-")</f>
        <v>Pakaian Pria</v>
      </c>
      <c r="E907" s="39" t="str">
        <f>IFERROR(INDEX(Katalog!$B$3:$B$12,MATCH(cadangan[[#This Row],[ItemID A]],Katalog!$C$3:$C$12,0)),"-")</f>
        <v>Jaket Jeans</v>
      </c>
      <c r="F907" s="50">
        <v>1</v>
      </c>
      <c r="G907" s="50">
        <v>4</v>
      </c>
      <c r="H907" s="73">
        <f>IFERROR(INDEX(Katalog!$D$3:$D$12,MATCH(cadangan[[#This Row],[ItemID A]],Katalog!$C$3:$C$12,0))*cadangan[[#This Row],[Qty A]],0)</f>
        <v>400000</v>
      </c>
      <c r="I907" s="73">
        <f>IFERROR(cadangan[[#This Row],[Harga Normal A]]-(cadangan[[#This Row],[Harga Normal A]]*cadangan[[#This Row],[Diskon]]),cadangan[[#This Row],[Harga Normal A]])</f>
        <v>340000</v>
      </c>
      <c r="J907" s="73">
        <f>INDEX(Katalog!$F$3:$F$12,MATCH(cadangan[[#This Row],[ItemID A]],Katalog!$C$3:$C$12,0))*cadangan[[#This Row],[Qty A]]</f>
        <v>150000</v>
      </c>
      <c r="K907" s="73">
        <f>IFERROR(cadangan[[#This Row],[Harga Diskon A]]-INDEX(Katalog!$E$3:$E$12,MATCH(cadangan[[#This Row],[ItemID A]],Katalog!$C$3:$C$12,0))*cadangan[[#This Row],[Qty A]],0)</f>
        <v>90000</v>
      </c>
      <c r="L907" s="39" t="s">
        <v>66</v>
      </c>
      <c r="M907" s="39" t="str">
        <f>IFERROR(INDEX(Katalog!$A$3:$A$12,MATCH(cadangan[[#This Row],[ItemID B]],Katalog!$C$3:$C$12,0)),"-")</f>
        <v>Sepatu Pria</v>
      </c>
      <c r="N907" s="39" t="str">
        <f>IFERROR(INDEX(Katalog!$B$3:$B$12,MATCH(cadangan[[#This Row],[ItemID B]],Katalog!$C$3:$C$12,0)),"-")</f>
        <v>Sandal Slip On</v>
      </c>
      <c r="O907" s="50">
        <v>4</v>
      </c>
      <c r="P907" s="50">
        <v>5</v>
      </c>
      <c r="Q907" s="73">
        <f>IFERROR(INDEX(Katalog!$D$3:$D$12,MATCH(cadangan[[#This Row],[ItemID B]],Katalog!$C$3:$C$12,0))*cadangan[[#This Row],[Qty B]],0)</f>
        <v>600000</v>
      </c>
      <c r="R907" s="73">
        <f>IFERROR(cadangan[[#This Row],[Harga Normal B]]-(cadangan[[#This Row],[Harga Normal B]]*cadangan[[#This Row],[Diskon]]),cadangan[[#This Row],[Harga Normal B]])</f>
        <v>510000</v>
      </c>
      <c r="S907" s="73">
        <f>IFERROR(INDEX(Katalog!$F$3:$F$12,MATCH(cadangan[[#This Row],[ItemID B]],Katalog!$C$3:$C$12,0))*cadangan[[#This Row],[Qty B]],0)</f>
        <v>240000</v>
      </c>
      <c r="T907" s="73">
        <f>IFERROR(cadangan[[#This Row],[Harga Diskon B]]-INDEX(Katalog!$E$3:$E$12,MATCH(cadangan[[#This Row],[ItemID B]],Katalog!$C$3:$C$12,0))*cadangan[[#This Row],[Qty B]],0)</f>
        <v>150000</v>
      </c>
      <c r="U907" s="39" t="s">
        <v>63</v>
      </c>
      <c r="V907" s="39" t="str">
        <f>IFERROR(INDEX(Katalog!$A$3:$A$12,MATCH(cadangan[[#This Row],[ItemID C]],Katalog!$C$3:$C$12,0)),"-")</f>
        <v>Pakaian Pria</v>
      </c>
      <c r="W907" s="39" t="str">
        <f>IFERROR(INDEX(Katalog!$B$3:$B$12,MATCH(cadangan[[#This Row],[ItemID C]],Katalog!$C$3:$C$12,0)),"-")</f>
        <v>Jaket Jeans</v>
      </c>
      <c r="X907" s="50">
        <v>1</v>
      </c>
      <c r="Y907" s="50">
        <v>4</v>
      </c>
      <c r="Z907" s="73">
        <f>IFERROR(INDEX(Katalog!$D$3:$D$12,MATCH(cadangan[[#This Row],[ItemID C]],Katalog!$C$3:$C$12,0))*cadangan[[#This Row],[Qty C]],0)</f>
        <v>400000</v>
      </c>
      <c r="AA907" s="73">
        <f>IFERROR(cadangan[[#This Row],[Harga Normal C]]-(cadangan[[#This Row],[Harga Normal C]]*cadangan[[#This Row],[Diskon]]),cadangan[[#This Row],[Harga Normal C]])</f>
        <v>340000</v>
      </c>
      <c r="AB907" s="73">
        <f>IFERROR(INDEX(Katalog!$F$3:$F$12,MATCH(cadangan[[#This Row],[ItemID C]],Katalog!$C$3:$C$12,0))*cadangan[[#This Row],[Qty C]],0)</f>
        <v>150000</v>
      </c>
      <c r="AC907" s="73">
        <f>IFERROR(cadangan[[#This Row],[Harga Diskon C]]-INDEX(Katalog!$E$3:$E$12,MATCH(cadangan[[#This Row],[ItemID C]],Katalog!$C$3:$C$12,0))*cadangan[[#This Row],[Qty C]],0)</f>
        <v>90000</v>
      </c>
      <c r="AD907" s="53">
        <f>cadangan[[#This Row],[Qty A]]+cadangan[[#This Row],[Qty B]]+cadangan[[#This Row],[Qty C]]</f>
        <v>6</v>
      </c>
      <c r="AE907" s="73">
        <f>cadangan[[#This Row],[Harga Normal A]]+cadangan[[#This Row],[Harga Normal B]]+cadangan[[#This Row],[Harga Normal C]]</f>
        <v>1400000</v>
      </c>
      <c r="AF907" s="73">
        <f>cadangan[[#This Row],[Harga Diskon A]]+cadangan[[#This Row],[Harga Diskon B]]+cadangan[[#This Row],[Harga Diskon C]]</f>
        <v>1190000</v>
      </c>
      <c r="AG907" s="73">
        <f>(cadangan[[#This Row],[Profit Normal A]]+cadangan[[#This Row],[Profit Normal B]]+cadangan[[#This Row],[Profit Normal C]])</f>
        <v>540000</v>
      </c>
      <c r="AH907" s="73">
        <f>cadangan[[#This Row],[Profit Diskon A]]+cadangan[[#This Row],[Profit Diskon B]]+cadangan[[#This Row],[Profit Diskon C]]</f>
        <v>330000</v>
      </c>
      <c r="AI907" s="23" t="s">
        <v>13</v>
      </c>
      <c r="AJ907" s="37">
        <f>IFERROR(INDEX('Kode Diskon'!$D$3:$D$9,MATCH(cadangan[[#This Row],[Kode diskon]],'Kode Diskon'!$C$3:$C$9,0)),"-")</f>
        <v>0.15</v>
      </c>
      <c r="AK907" s="23" t="s">
        <v>29</v>
      </c>
      <c r="AL907" s="23" t="s">
        <v>7</v>
      </c>
      <c r="AM907" s="23" t="s">
        <v>80</v>
      </c>
      <c r="AN907" s="55">
        <v>45021</v>
      </c>
      <c r="AO907" s="53">
        <f>DAY(cadangan[[#This Row],[Tanggal terjual]])</f>
        <v>5</v>
      </c>
      <c r="AP907" s="21" t="str">
        <f>TEXT(cadangan[[#This Row],[Tanggal terjual]],"dddd")</f>
        <v>Wednesday</v>
      </c>
      <c r="AQ907" s="23" t="str" cm="1">
        <f t="array" ref="AQ90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07" s="61">
        <f>AVERAGE(cadangan[[#This Row],[Rating A]],cadangan[[#This Row],[Rating B]],cadangan[[#This Row],[Rating C]])</f>
        <v>4.333333333333333</v>
      </c>
    </row>
    <row r="908" spans="1:44" x14ac:dyDescent="0.2">
      <c r="A908" s="20">
        <v>907</v>
      </c>
      <c r="B908" s="21" t="str">
        <f>_xlfn.CONCAT("ORD-",INDEX(Helper!$B$2:$B$5,MATCH(cadangan[[#This Row],[Marketplace]],Helper!$A$2:$A$5,0)),TEXT(cadangan[[#This Row],[No]],"0000"),"-",TEXT(cadangan[[#This Row],[Tanggal terjual]],"dd/mm/yy"))</f>
        <v>ORD-BL0907-19/04/23</v>
      </c>
      <c r="C908" s="39" t="s">
        <v>65</v>
      </c>
      <c r="D908" s="39" t="str">
        <f>IFERROR(INDEX(Katalog!$A$3:$A$12,MATCH(cadangan[[#This Row],[ItemID A]],Katalog!$C$3:$C$12,0)),"-")</f>
        <v>Sepatu Pria</v>
      </c>
      <c r="E908" s="39" t="str">
        <f>IFERROR(INDEX(Katalog!$B$3:$B$12,MATCH(cadangan[[#This Row],[ItemID A]],Katalog!$C$3:$C$12,0)),"-")</f>
        <v>Sneakers</v>
      </c>
      <c r="F908" s="50">
        <v>1</v>
      </c>
      <c r="G908" s="50">
        <v>2</v>
      </c>
      <c r="H908" s="73">
        <f>IFERROR(INDEX(Katalog!$D$3:$D$12,MATCH(cadangan[[#This Row],[ItemID A]],Katalog!$C$3:$C$12,0))*cadangan[[#This Row],[Qty A]],0)</f>
        <v>500000</v>
      </c>
      <c r="I908" s="73">
        <f>IFERROR(cadangan[[#This Row],[Harga Normal A]]-(cadangan[[#This Row],[Harga Normal A]]*cadangan[[#This Row],[Diskon]]),cadangan[[#This Row],[Harga Normal A]])</f>
        <v>425000</v>
      </c>
      <c r="J908" s="73">
        <f>INDEX(Katalog!$F$3:$F$12,MATCH(cadangan[[#This Row],[ItemID A]],Katalog!$C$3:$C$12,0))*cadangan[[#This Row],[Qty A]]</f>
        <v>200000</v>
      </c>
      <c r="K908" s="73">
        <f>IFERROR(cadangan[[#This Row],[Harga Diskon A]]-INDEX(Katalog!$E$3:$E$12,MATCH(cadangan[[#This Row],[ItemID A]],Katalog!$C$3:$C$12,0))*cadangan[[#This Row],[Qty A]],0)</f>
        <v>125000</v>
      </c>
      <c r="M908" s="39" t="str">
        <f>IFERROR(INDEX(Katalog!$A$3:$A$12,MATCH(cadangan[[#This Row],[ItemID B]],Katalog!$C$3:$C$12,0)),"-")</f>
        <v>-</v>
      </c>
      <c r="N908" s="39" t="str">
        <f>IFERROR(INDEX(Katalog!$B$3:$B$12,MATCH(cadangan[[#This Row],[ItemID B]],Katalog!$C$3:$C$12,0)),"-")</f>
        <v>-</v>
      </c>
      <c r="Q908" s="73">
        <f>IFERROR(INDEX(Katalog!$D$3:$D$12,MATCH(cadangan[[#This Row],[ItemID B]],Katalog!$C$3:$C$12,0))*cadangan[[#This Row],[Qty B]],0)</f>
        <v>0</v>
      </c>
      <c r="R908" s="73">
        <f>IFERROR(cadangan[[#This Row],[Harga Normal B]]-(cadangan[[#This Row],[Harga Normal B]]*cadangan[[#This Row],[Diskon]]),cadangan[[#This Row],[Harga Normal B]])</f>
        <v>0</v>
      </c>
      <c r="S908" s="73">
        <f>IFERROR(INDEX(Katalog!$F$3:$F$12,MATCH(cadangan[[#This Row],[ItemID B]],Katalog!$C$3:$C$12,0))*cadangan[[#This Row],[Qty B]],0)</f>
        <v>0</v>
      </c>
      <c r="T908" s="73">
        <f>IFERROR(cadangan[[#This Row],[Harga Diskon B]]-INDEX(Katalog!$E$3:$E$12,MATCH(cadangan[[#This Row],[ItemID B]],Katalog!$C$3:$C$12,0))*cadangan[[#This Row],[Qty B]],0)</f>
        <v>0</v>
      </c>
      <c r="V908" s="39" t="str">
        <f>IFERROR(INDEX(Katalog!$A$3:$A$12,MATCH(cadangan[[#This Row],[ItemID C]],Katalog!$C$3:$C$12,0)),"-")</f>
        <v>-</v>
      </c>
      <c r="W908" s="39" t="str">
        <f>IFERROR(INDEX(Katalog!$B$3:$B$12,MATCH(cadangan[[#This Row],[ItemID C]],Katalog!$C$3:$C$12,0)),"-")</f>
        <v>-</v>
      </c>
      <c r="Z908" s="73">
        <f>IFERROR(INDEX(Katalog!$D$3:$D$12,MATCH(cadangan[[#This Row],[ItemID C]],Katalog!$C$3:$C$12,0))*cadangan[[#This Row],[Qty C]],0)</f>
        <v>0</v>
      </c>
      <c r="AA908" s="73">
        <f>IFERROR(cadangan[[#This Row],[Harga Normal C]]-(cadangan[[#This Row],[Harga Normal C]]*cadangan[[#This Row],[Diskon]]),cadangan[[#This Row],[Harga Normal C]])</f>
        <v>0</v>
      </c>
      <c r="AB908" s="73">
        <f>IFERROR(INDEX(Katalog!$F$3:$F$12,MATCH(cadangan[[#This Row],[ItemID C]],Katalog!$C$3:$C$12,0))*cadangan[[#This Row],[Qty C]],0)</f>
        <v>0</v>
      </c>
      <c r="AC908" s="73">
        <f>IFERROR(cadangan[[#This Row],[Harga Diskon C]]-INDEX(Katalog!$E$3:$E$12,MATCH(cadangan[[#This Row],[ItemID C]],Katalog!$C$3:$C$12,0))*cadangan[[#This Row],[Qty C]],0)</f>
        <v>0</v>
      </c>
      <c r="AD908" s="53">
        <f>cadangan[[#This Row],[Qty A]]+cadangan[[#This Row],[Qty B]]+cadangan[[#This Row],[Qty C]]</f>
        <v>1</v>
      </c>
      <c r="AE908" s="73">
        <f>cadangan[[#This Row],[Harga Normal A]]+cadangan[[#This Row],[Harga Normal B]]+cadangan[[#This Row],[Harga Normal C]]</f>
        <v>500000</v>
      </c>
      <c r="AF908" s="73">
        <f>cadangan[[#This Row],[Harga Diskon A]]+cadangan[[#This Row],[Harga Diskon B]]+cadangan[[#This Row],[Harga Diskon C]]</f>
        <v>425000</v>
      </c>
      <c r="AG908" s="73">
        <f>(cadangan[[#This Row],[Profit Normal A]]+cadangan[[#This Row],[Profit Normal B]]+cadangan[[#This Row],[Profit Normal C]])</f>
        <v>200000</v>
      </c>
      <c r="AH908" s="73">
        <f>cadangan[[#This Row],[Profit Diskon A]]+cadangan[[#This Row],[Profit Diskon B]]+cadangan[[#This Row],[Profit Diskon C]]</f>
        <v>125000</v>
      </c>
      <c r="AI908" s="23" t="s">
        <v>32</v>
      </c>
      <c r="AJ908" s="37">
        <f>IFERROR(INDEX('Kode Diskon'!$D$3:$D$9,MATCH(cadangan[[#This Row],[Kode diskon]],'Kode Diskon'!$C$3:$C$9,0)),"-")</f>
        <v>0.15</v>
      </c>
      <c r="AK908" s="23" t="s">
        <v>9</v>
      </c>
      <c r="AL908" s="23" t="s">
        <v>12</v>
      </c>
      <c r="AM908" s="23" t="s">
        <v>75</v>
      </c>
      <c r="AN908" s="55">
        <v>45035</v>
      </c>
      <c r="AO908" s="53">
        <f>DAY(cadangan[[#This Row],[Tanggal terjual]])</f>
        <v>19</v>
      </c>
      <c r="AP908" s="21" t="str">
        <f>TEXT(cadangan[[#This Row],[Tanggal terjual]],"dddd")</f>
        <v>Wednesday</v>
      </c>
      <c r="AQ908" s="23" t="str" cm="1">
        <f t="array" ref="AQ90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08" s="61">
        <f>AVERAGE(cadangan[[#This Row],[Rating A]],cadangan[[#This Row],[Rating B]],cadangan[[#This Row],[Rating C]])</f>
        <v>2</v>
      </c>
    </row>
    <row r="909" spans="1:44" x14ac:dyDescent="0.2">
      <c r="A909" s="20">
        <v>908</v>
      </c>
      <c r="B909" s="21" t="str">
        <f>_xlfn.CONCAT("ORD-",INDEX(Helper!$B$2:$B$5,MATCH(cadangan[[#This Row],[Marketplace]],Helper!$A$2:$A$5,0)),TEXT(cadangan[[#This Row],[No]],"0000"),"-",TEXT(cadangan[[#This Row],[Tanggal terjual]],"dd/mm/yy"))</f>
        <v>ORD-SP0908-11/04/23</v>
      </c>
      <c r="C909" s="39" t="s">
        <v>58</v>
      </c>
      <c r="D909" s="39" t="str">
        <f>IFERROR(INDEX(Katalog!$A$3:$A$12,MATCH(cadangan[[#This Row],[ItemID A]],Katalog!$C$3:$C$12,0)),"-")</f>
        <v>Pakaian Wanita</v>
      </c>
      <c r="E909" s="39" t="str">
        <f>IFERROR(INDEX(Katalog!$B$3:$B$12,MATCH(cadangan[[#This Row],[ItemID A]],Katalog!$C$3:$C$12,0)),"-")</f>
        <v>Dress</v>
      </c>
      <c r="F909" s="50">
        <v>2</v>
      </c>
      <c r="G909" s="50">
        <v>1</v>
      </c>
      <c r="H909" s="73">
        <f>IFERROR(INDEX(Katalog!$D$3:$D$12,MATCH(cadangan[[#This Row],[ItemID A]],Katalog!$C$3:$C$12,0))*cadangan[[#This Row],[Qty A]],0)</f>
        <v>600000</v>
      </c>
      <c r="I909" s="73">
        <f>IFERROR(cadangan[[#This Row],[Harga Normal A]]-(cadangan[[#This Row],[Harga Normal A]]*cadangan[[#This Row],[Diskon]]),cadangan[[#This Row],[Harga Normal A]])</f>
        <v>600000</v>
      </c>
      <c r="J909" s="73">
        <f>INDEX(Katalog!$F$3:$F$12,MATCH(cadangan[[#This Row],[ItemID A]],Katalog!$C$3:$C$12,0))*cadangan[[#This Row],[Qty A]]</f>
        <v>200000</v>
      </c>
      <c r="K909" s="73">
        <f>IFERROR(cadangan[[#This Row],[Harga Diskon A]]-INDEX(Katalog!$E$3:$E$12,MATCH(cadangan[[#This Row],[ItemID A]],Katalog!$C$3:$C$12,0))*cadangan[[#This Row],[Qty A]],0)</f>
        <v>200000</v>
      </c>
      <c r="L909" s="39" t="s">
        <v>61</v>
      </c>
      <c r="M909" s="39" t="str">
        <f>IFERROR(INDEX(Katalog!$A$3:$A$12,MATCH(cadangan[[#This Row],[ItemID B]],Katalog!$C$3:$C$12,0)),"-")</f>
        <v>Pakaian Pria</v>
      </c>
      <c r="N909" s="39" t="str">
        <f>IFERROR(INDEX(Katalog!$B$3:$B$12,MATCH(cadangan[[#This Row],[ItemID B]],Katalog!$C$3:$C$12,0)),"-")</f>
        <v>Kaos Polo</v>
      </c>
      <c r="O909" s="50">
        <v>1</v>
      </c>
      <c r="P909" s="50">
        <v>1</v>
      </c>
      <c r="Q909" s="73">
        <f>IFERROR(INDEX(Katalog!$D$3:$D$12,MATCH(cadangan[[#This Row],[ItemID B]],Katalog!$C$3:$C$12,0))*cadangan[[#This Row],[Qty B]],0)</f>
        <v>200000</v>
      </c>
      <c r="R909" s="73">
        <f>IFERROR(cadangan[[#This Row],[Harga Normal B]]-(cadangan[[#This Row],[Harga Normal B]]*cadangan[[#This Row],[Diskon]]),cadangan[[#This Row],[Harga Normal B]])</f>
        <v>200000</v>
      </c>
      <c r="S909" s="73">
        <f>IFERROR(INDEX(Katalog!$F$3:$F$12,MATCH(cadangan[[#This Row],[ItemID B]],Katalog!$C$3:$C$12,0))*cadangan[[#This Row],[Qty B]],0)</f>
        <v>80000</v>
      </c>
      <c r="T909" s="73">
        <f>IFERROR(cadangan[[#This Row],[Harga Diskon B]]-INDEX(Katalog!$E$3:$E$12,MATCH(cadangan[[#This Row],[ItemID B]],Katalog!$C$3:$C$12,0))*cadangan[[#This Row],[Qty B]],0)</f>
        <v>80000</v>
      </c>
      <c r="U909" s="39" t="s">
        <v>65</v>
      </c>
      <c r="V909" s="39" t="str">
        <f>IFERROR(INDEX(Katalog!$A$3:$A$12,MATCH(cadangan[[#This Row],[ItemID C]],Katalog!$C$3:$C$12,0)),"-")</f>
        <v>Sepatu Pria</v>
      </c>
      <c r="W909" s="39" t="str">
        <f>IFERROR(INDEX(Katalog!$B$3:$B$12,MATCH(cadangan[[#This Row],[ItemID C]],Katalog!$C$3:$C$12,0)),"-")</f>
        <v>Sneakers</v>
      </c>
      <c r="X909" s="50">
        <v>2</v>
      </c>
      <c r="Y909" s="50">
        <v>1</v>
      </c>
      <c r="Z909" s="73">
        <f>IFERROR(INDEX(Katalog!$D$3:$D$12,MATCH(cadangan[[#This Row],[ItemID C]],Katalog!$C$3:$C$12,0))*cadangan[[#This Row],[Qty C]],0)</f>
        <v>1000000</v>
      </c>
      <c r="AA909" s="73">
        <f>IFERROR(cadangan[[#This Row],[Harga Normal C]]-(cadangan[[#This Row],[Harga Normal C]]*cadangan[[#This Row],[Diskon]]),cadangan[[#This Row],[Harga Normal C]])</f>
        <v>1000000</v>
      </c>
      <c r="AB909" s="73">
        <f>IFERROR(INDEX(Katalog!$F$3:$F$12,MATCH(cadangan[[#This Row],[ItemID C]],Katalog!$C$3:$C$12,0))*cadangan[[#This Row],[Qty C]],0)</f>
        <v>400000</v>
      </c>
      <c r="AC909" s="73">
        <f>IFERROR(cadangan[[#This Row],[Harga Diskon C]]-INDEX(Katalog!$E$3:$E$12,MATCH(cadangan[[#This Row],[ItemID C]],Katalog!$C$3:$C$12,0))*cadangan[[#This Row],[Qty C]],0)</f>
        <v>400000</v>
      </c>
      <c r="AD909" s="53">
        <f>cadangan[[#This Row],[Qty A]]+cadangan[[#This Row],[Qty B]]+cadangan[[#This Row],[Qty C]]</f>
        <v>5</v>
      </c>
      <c r="AE909" s="73">
        <f>cadangan[[#This Row],[Harga Normal A]]+cadangan[[#This Row],[Harga Normal B]]+cadangan[[#This Row],[Harga Normal C]]</f>
        <v>1800000</v>
      </c>
      <c r="AF909" s="73">
        <f>cadangan[[#This Row],[Harga Diskon A]]+cadangan[[#This Row],[Harga Diskon B]]+cadangan[[#This Row],[Harga Diskon C]]</f>
        <v>1800000</v>
      </c>
      <c r="AG909" s="73">
        <f>(cadangan[[#This Row],[Profit Normal A]]+cadangan[[#This Row],[Profit Normal B]]+cadangan[[#This Row],[Profit Normal C]])</f>
        <v>680000</v>
      </c>
      <c r="AH909" s="73">
        <f>cadangan[[#This Row],[Profit Diskon A]]+cadangan[[#This Row],[Profit Diskon B]]+cadangan[[#This Row],[Profit Diskon C]]</f>
        <v>680000</v>
      </c>
      <c r="AI909" s="23" t="s">
        <v>290</v>
      </c>
      <c r="AJ909" s="37" t="str">
        <f>IFERROR(INDEX('Kode Diskon'!$D$3:$D$9,MATCH(cadangan[[#This Row],[Kode diskon]],'Kode Diskon'!$C$3:$C$9,0)),"-")</f>
        <v>-</v>
      </c>
      <c r="AK909" s="23" t="s">
        <v>290</v>
      </c>
      <c r="AL909" s="23" t="s">
        <v>7</v>
      </c>
      <c r="AM909" s="23" t="s">
        <v>80</v>
      </c>
      <c r="AN909" s="55">
        <v>45027</v>
      </c>
      <c r="AO909" s="53">
        <f>DAY(cadangan[[#This Row],[Tanggal terjual]])</f>
        <v>11</v>
      </c>
      <c r="AP909" s="21" t="str">
        <f>TEXT(cadangan[[#This Row],[Tanggal terjual]],"dddd")</f>
        <v>Tuesday</v>
      </c>
      <c r="AQ909" s="23" t="str" cm="1">
        <f t="array" ref="AQ90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09" s="61">
        <f>AVERAGE(cadangan[[#This Row],[Rating A]],cadangan[[#This Row],[Rating B]],cadangan[[#This Row],[Rating C]])</f>
        <v>1</v>
      </c>
    </row>
    <row r="910" spans="1:44" x14ac:dyDescent="0.2">
      <c r="A910" s="20">
        <v>909</v>
      </c>
      <c r="B910" s="21" t="str">
        <f>_xlfn.CONCAT("ORD-",INDEX(Helper!$B$2:$B$5,MATCH(cadangan[[#This Row],[Marketplace]],Helper!$A$2:$A$5,0)),TEXT(cadangan[[#This Row],[No]],"0000"),"-",TEXT(cadangan[[#This Row],[Tanggal terjual]],"dd/mm/yy"))</f>
        <v>ORD-TK0909-01/04/23</v>
      </c>
      <c r="C910" s="39" t="s">
        <v>66</v>
      </c>
      <c r="D910" s="39" t="str">
        <f>IFERROR(INDEX(Katalog!$A$3:$A$12,MATCH(cadangan[[#This Row],[ItemID A]],Katalog!$C$3:$C$12,0)),"-")</f>
        <v>Sepatu Pria</v>
      </c>
      <c r="E910" s="39" t="str">
        <f>IFERROR(INDEX(Katalog!$B$3:$B$12,MATCH(cadangan[[#This Row],[ItemID A]],Katalog!$C$3:$C$12,0)),"-")</f>
        <v>Sandal Slip On</v>
      </c>
      <c r="F910" s="50">
        <v>1</v>
      </c>
      <c r="G910" s="50">
        <v>1</v>
      </c>
      <c r="H910" s="73">
        <f>IFERROR(INDEX(Katalog!$D$3:$D$12,MATCH(cadangan[[#This Row],[ItemID A]],Katalog!$C$3:$C$12,0))*cadangan[[#This Row],[Qty A]],0)</f>
        <v>150000</v>
      </c>
      <c r="I910" s="73">
        <f>IFERROR(cadangan[[#This Row],[Harga Normal A]]-(cadangan[[#This Row],[Harga Normal A]]*cadangan[[#This Row],[Diskon]]),cadangan[[#This Row],[Harga Normal A]])</f>
        <v>135000</v>
      </c>
      <c r="J910" s="73">
        <f>INDEX(Katalog!$F$3:$F$12,MATCH(cadangan[[#This Row],[ItemID A]],Katalog!$C$3:$C$12,0))*cadangan[[#This Row],[Qty A]]</f>
        <v>60000</v>
      </c>
      <c r="K910" s="73">
        <f>IFERROR(cadangan[[#This Row],[Harga Diskon A]]-INDEX(Katalog!$E$3:$E$12,MATCH(cadangan[[#This Row],[ItemID A]],Katalog!$C$3:$C$12,0))*cadangan[[#This Row],[Qty A]],0)</f>
        <v>45000</v>
      </c>
      <c r="M910" s="39" t="str">
        <f>IFERROR(INDEX(Katalog!$A$3:$A$12,MATCH(cadangan[[#This Row],[ItemID B]],Katalog!$C$3:$C$12,0)),"-")</f>
        <v>-</v>
      </c>
      <c r="N910" s="39" t="str">
        <f>IFERROR(INDEX(Katalog!$B$3:$B$12,MATCH(cadangan[[#This Row],[ItemID B]],Katalog!$C$3:$C$12,0)),"-")</f>
        <v>-</v>
      </c>
      <c r="Q910" s="73">
        <f>IFERROR(INDEX(Katalog!$D$3:$D$12,MATCH(cadangan[[#This Row],[ItemID B]],Katalog!$C$3:$C$12,0))*cadangan[[#This Row],[Qty B]],0)</f>
        <v>0</v>
      </c>
      <c r="R910" s="73">
        <f>IFERROR(cadangan[[#This Row],[Harga Normal B]]-(cadangan[[#This Row],[Harga Normal B]]*cadangan[[#This Row],[Diskon]]),cadangan[[#This Row],[Harga Normal B]])</f>
        <v>0</v>
      </c>
      <c r="S910" s="73">
        <f>IFERROR(INDEX(Katalog!$F$3:$F$12,MATCH(cadangan[[#This Row],[ItemID B]],Katalog!$C$3:$C$12,0))*cadangan[[#This Row],[Qty B]],0)</f>
        <v>0</v>
      </c>
      <c r="T910" s="73">
        <f>IFERROR(cadangan[[#This Row],[Harga Diskon B]]-INDEX(Katalog!$E$3:$E$12,MATCH(cadangan[[#This Row],[ItemID B]],Katalog!$C$3:$C$12,0))*cadangan[[#This Row],[Qty B]],0)</f>
        <v>0</v>
      </c>
      <c r="V910" s="39" t="str">
        <f>IFERROR(INDEX(Katalog!$A$3:$A$12,MATCH(cadangan[[#This Row],[ItemID C]],Katalog!$C$3:$C$12,0)),"-")</f>
        <v>-</v>
      </c>
      <c r="W910" s="39" t="str">
        <f>IFERROR(INDEX(Katalog!$B$3:$B$12,MATCH(cadangan[[#This Row],[ItemID C]],Katalog!$C$3:$C$12,0)),"-")</f>
        <v>-</v>
      </c>
      <c r="Z910" s="73">
        <f>IFERROR(INDEX(Katalog!$D$3:$D$12,MATCH(cadangan[[#This Row],[ItemID C]],Katalog!$C$3:$C$12,0))*cadangan[[#This Row],[Qty C]],0)</f>
        <v>0</v>
      </c>
      <c r="AA910" s="73">
        <f>IFERROR(cadangan[[#This Row],[Harga Normal C]]-(cadangan[[#This Row],[Harga Normal C]]*cadangan[[#This Row],[Diskon]]),cadangan[[#This Row],[Harga Normal C]])</f>
        <v>0</v>
      </c>
      <c r="AB910" s="73">
        <f>IFERROR(INDEX(Katalog!$F$3:$F$12,MATCH(cadangan[[#This Row],[ItemID C]],Katalog!$C$3:$C$12,0))*cadangan[[#This Row],[Qty C]],0)</f>
        <v>0</v>
      </c>
      <c r="AC910" s="73">
        <f>IFERROR(cadangan[[#This Row],[Harga Diskon C]]-INDEX(Katalog!$E$3:$E$12,MATCH(cadangan[[#This Row],[ItemID C]],Katalog!$C$3:$C$12,0))*cadangan[[#This Row],[Qty C]],0)</f>
        <v>0</v>
      </c>
      <c r="AD910" s="53">
        <f>cadangan[[#This Row],[Qty A]]+cadangan[[#This Row],[Qty B]]+cadangan[[#This Row],[Qty C]]</f>
        <v>1</v>
      </c>
      <c r="AE910" s="73">
        <f>cadangan[[#This Row],[Harga Normal A]]+cadangan[[#This Row],[Harga Normal B]]+cadangan[[#This Row],[Harga Normal C]]</f>
        <v>150000</v>
      </c>
      <c r="AF910" s="73">
        <f>cadangan[[#This Row],[Harga Diskon A]]+cadangan[[#This Row],[Harga Diskon B]]+cadangan[[#This Row],[Harga Diskon C]]</f>
        <v>135000</v>
      </c>
      <c r="AG910" s="73">
        <f>(cadangan[[#This Row],[Profit Normal A]]+cadangan[[#This Row],[Profit Normal B]]+cadangan[[#This Row],[Profit Normal C]])</f>
        <v>60000</v>
      </c>
      <c r="AH910" s="73">
        <f>cadangan[[#This Row],[Profit Diskon A]]+cadangan[[#This Row],[Profit Diskon B]]+cadangan[[#This Row],[Profit Diskon C]]</f>
        <v>45000</v>
      </c>
      <c r="AI910" s="23" t="s">
        <v>30</v>
      </c>
      <c r="AJ910" s="37">
        <f>IFERROR(INDEX('Kode Diskon'!$D$3:$D$9,MATCH(cadangan[[#This Row],[Kode diskon]],'Kode Diskon'!$C$3:$C$9,0)),"-")</f>
        <v>0.1</v>
      </c>
      <c r="AK910" s="23" t="s">
        <v>29</v>
      </c>
      <c r="AL910" s="23" t="s">
        <v>10</v>
      </c>
      <c r="AM910" s="23" t="s">
        <v>80</v>
      </c>
      <c r="AN910" s="55">
        <v>45017</v>
      </c>
      <c r="AO910" s="53">
        <f>DAY(cadangan[[#This Row],[Tanggal terjual]])</f>
        <v>1</v>
      </c>
      <c r="AP910" s="21" t="str">
        <f>TEXT(cadangan[[#This Row],[Tanggal terjual]],"dddd")</f>
        <v>Saturday</v>
      </c>
      <c r="AQ910" s="23" t="str" cm="1">
        <f t="array" ref="AQ91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0" s="61">
        <f>AVERAGE(cadangan[[#This Row],[Rating A]],cadangan[[#This Row],[Rating B]],cadangan[[#This Row],[Rating C]])</f>
        <v>1</v>
      </c>
    </row>
    <row r="911" spans="1:44" x14ac:dyDescent="0.2">
      <c r="A911" s="20">
        <v>910</v>
      </c>
      <c r="B911" s="21" t="str">
        <f>_xlfn.CONCAT("ORD-",INDEX(Helper!$B$2:$B$5,MATCH(cadangan[[#This Row],[Marketplace]],Helper!$A$2:$A$5,0)),TEXT(cadangan[[#This Row],[No]],"0000"),"-",TEXT(cadangan[[#This Row],[Tanggal terjual]],"dd/mm/yy"))</f>
        <v>ORD-SP0910-27/04/23</v>
      </c>
      <c r="C911" s="39" t="s">
        <v>65</v>
      </c>
      <c r="D911" s="39" t="str">
        <f>IFERROR(INDEX(Katalog!$A$3:$A$12,MATCH(cadangan[[#This Row],[ItemID A]],Katalog!$C$3:$C$12,0)),"-")</f>
        <v>Sepatu Pria</v>
      </c>
      <c r="E911" s="39" t="str">
        <f>IFERROR(INDEX(Katalog!$B$3:$B$12,MATCH(cadangan[[#This Row],[ItemID A]],Katalog!$C$3:$C$12,0)),"-")</f>
        <v>Sneakers</v>
      </c>
      <c r="F911" s="50">
        <v>6</v>
      </c>
      <c r="G911" s="50">
        <v>2</v>
      </c>
      <c r="H911" s="73">
        <f>IFERROR(INDEX(Katalog!$D$3:$D$12,MATCH(cadangan[[#This Row],[ItemID A]],Katalog!$C$3:$C$12,0))*cadangan[[#This Row],[Qty A]],0)</f>
        <v>3000000</v>
      </c>
      <c r="I911" s="73">
        <f>IFERROR(cadangan[[#This Row],[Harga Normal A]]-(cadangan[[#This Row],[Harga Normal A]]*cadangan[[#This Row],[Diskon]]),cadangan[[#This Row],[Harga Normal A]])</f>
        <v>2400000</v>
      </c>
      <c r="J911" s="73">
        <f>INDEX(Katalog!$F$3:$F$12,MATCH(cadangan[[#This Row],[ItemID A]],Katalog!$C$3:$C$12,0))*cadangan[[#This Row],[Qty A]]</f>
        <v>1200000</v>
      </c>
      <c r="K911" s="73">
        <f>IFERROR(cadangan[[#This Row],[Harga Diskon A]]-INDEX(Katalog!$E$3:$E$12,MATCH(cadangan[[#This Row],[ItemID A]],Katalog!$C$3:$C$12,0))*cadangan[[#This Row],[Qty A]],0)</f>
        <v>600000</v>
      </c>
      <c r="L911" s="39" t="s">
        <v>66</v>
      </c>
      <c r="M911" s="39" t="str">
        <f>IFERROR(INDEX(Katalog!$A$3:$A$12,MATCH(cadangan[[#This Row],[ItemID B]],Katalog!$C$3:$C$12,0)),"-")</f>
        <v>Sepatu Pria</v>
      </c>
      <c r="N911" s="39" t="str">
        <f>IFERROR(INDEX(Katalog!$B$3:$B$12,MATCH(cadangan[[#This Row],[ItemID B]],Katalog!$C$3:$C$12,0)),"-")</f>
        <v>Sandal Slip On</v>
      </c>
      <c r="O911" s="50">
        <v>1</v>
      </c>
      <c r="P911" s="50">
        <v>2</v>
      </c>
      <c r="Q911" s="73">
        <f>IFERROR(INDEX(Katalog!$D$3:$D$12,MATCH(cadangan[[#This Row],[ItemID B]],Katalog!$C$3:$C$12,0))*cadangan[[#This Row],[Qty B]],0)</f>
        <v>150000</v>
      </c>
      <c r="R911" s="73">
        <f>IFERROR(cadangan[[#This Row],[Harga Normal B]]-(cadangan[[#This Row],[Harga Normal B]]*cadangan[[#This Row],[Diskon]]),cadangan[[#This Row],[Harga Normal B]])</f>
        <v>120000</v>
      </c>
      <c r="S911" s="73">
        <f>IFERROR(INDEX(Katalog!$F$3:$F$12,MATCH(cadangan[[#This Row],[ItemID B]],Katalog!$C$3:$C$12,0))*cadangan[[#This Row],[Qty B]],0)</f>
        <v>60000</v>
      </c>
      <c r="T911" s="73">
        <f>IFERROR(cadangan[[#This Row],[Harga Diskon B]]-INDEX(Katalog!$E$3:$E$12,MATCH(cadangan[[#This Row],[ItemID B]],Katalog!$C$3:$C$12,0))*cadangan[[#This Row],[Qty B]],0)</f>
        <v>30000</v>
      </c>
      <c r="V911" s="39" t="str">
        <f>IFERROR(INDEX(Katalog!$A$3:$A$12,MATCH(cadangan[[#This Row],[ItemID C]],Katalog!$C$3:$C$12,0)),"-")</f>
        <v>-</v>
      </c>
      <c r="W911" s="39" t="str">
        <f>IFERROR(INDEX(Katalog!$B$3:$B$12,MATCH(cadangan[[#This Row],[ItemID C]],Katalog!$C$3:$C$12,0)),"-")</f>
        <v>-</v>
      </c>
      <c r="Z911" s="73">
        <f>IFERROR(INDEX(Katalog!$D$3:$D$12,MATCH(cadangan[[#This Row],[ItemID C]],Katalog!$C$3:$C$12,0))*cadangan[[#This Row],[Qty C]],0)</f>
        <v>0</v>
      </c>
      <c r="AA911" s="73">
        <f>IFERROR(cadangan[[#This Row],[Harga Normal C]]-(cadangan[[#This Row],[Harga Normal C]]*cadangan[[#This Row],[Diskon]]),cadangan[[#This Row],[Harga Normal C]])</f>
        <v>0</v>
      </c>
      <c r="AB911" s="73">
        <f>IFERROR(INDEX(Katalog!$F$3:$F$12,MATCH(cadangan[[#This Row],[ItemID C]],Katalog!$C$3:$C$12,0))*cadangan[[#This Row],[Qty C]],0)</f>
        <v>0</v>
      </c>
      <c r="AC911" s="73">
        <f>IFERROR(cadangan[[#This Row],[Harga Diskon C]]-INDEX(Katalog!$E$3:$E$12,MATCH(cadangan[[#This Row],[ItemID C]],Katalog!$C$3:$C$12,0))*cadangan[[#This Row],[Qty C]],0)</f>
        <v>0</v>
      </c>
      <c r="AD911" s="53">
        <f>cadangan[[#This Row],[Qty A]]+cadangan[[#This Row],[Qty B]]+cadangan[[#This Row],[Qty C]]</f>
        <v>7</v>
      </c>
      <c r="AE911" s="73">
        <f>cadangan[[#This Row],[Harga Normal A]]+cadangan[[#This Row],[Harga Normal B]]+cadangan[[#This Row],[Harga Normal C]]</f>
        <v>3150000</v>
      </c>
      <c r="AF911" s="73">
        <f>cadangan[[#This Row],[Harga Diskon A]]+cadangan[[#This Row],[Harga Diskon B]]+cadangan[[#This Row],[Harga Diskon C]]</f>
        <v>2520000</v>
      </c>
      <c r="AG911" s="73">
        <f>(cadangan[[#This Row],[Profit Normal A]]+cadangan[[#This Row],[Profit Normal B]]+cadangan[[#This Row],[Profit Normal C]])</f>
        <v>1260000</v>
      </c>
      <c r="AH911" s="73">
        <f>cadangan[[#This Row],[Profit Diskon A]]+cadangan[[#This Row],[Profit Diskon B]]+cadangan[[#This Row],[Profit Diskon C]]</f>
        <v>630000</v>
      </c>
      <c r="AI911" s="23" t="s">
        <v>8</v>
      </c>
      <c r="AJ911" s="37">
        <f>IFERROR(INDEX('Kode Diskon'!$D$3:$D$9,MATCH(cadangan[[#This Row],[Kode diskon]],'Kode Diskon'!$C$3:$C$9,0)),"-")</f>
        <v>0.2</v>
      </c>
      <c r="AK911" s="23" t="s">
        <v>9</v>
      </c>
      <c r="AL911" s="23" t="s">
        <v>7</v>
      </c>
      <c r="AM911" s="23" t="s">
        <v>75</v>
      </c>
      <c r="AN911" s="55">
        <v>45043</v>
      </c>
      <c r="AO911" s="53">
        <f>DAY(cadangan[[#This Row],[Tanggal terjual]])</f>
        <v>27</v>
      </c>
      <c r="AP911" s="21" t="str">
        <f>TEXT(cadangan[[#This Row],[Tanggal terjual]],"dddd")</f>
        <v>Thursday</v>
      </c>
      <c r="AQ911" s="23" t="str" cm="1">
        <f t="array" ref="AQ91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11" s="61">
        <f>AVERAGE(cadangan[[#This Row],[Rating A]],cadangan[[#This Row],[Rating B]],cadangan[[#This Row],[Rating C]])</f>
        <v>2</v>
      </c>
    </row>
    <row r="912" spans="1:44" x14ac:dyDescent="0.2">
      <c r="A912" s="20">
        <v>911</v>
      </c>
      <c r="B912" s="21" t="str">
        <f>_xlfn.CONCAT("ORD-",INDEX(Helper!$B$2:$B$5,MATCH(cadangan[[#This Row],[Marketplace]],Helper!$A$2:$A$5,0)),TEXT(cadangan[[#This Row],[No]],"0000"),"-",TEXT(cadangan[[#This Row],[Tanggal terjual]],"dd/mm/yy"))</f>
        <v>ORD-BB0911-03/04/23</v>
      </c>
      <c r="C912" s="39" t="s">
        <v>58</v>
      </c>
      <c r="D912" s="39" t="str">
        <f>IFERROR(INDEX(Katalog!$A$3:$A$12,MATCH(cadangan[[#This Row],[ItemID A]],Katalog!$C$3:$C$12,0)),"-")</f>
        <v>Pakaian Wanita</v>
      </c>
      <c r="E912" s="39" t="str">
        <f>IFERROR(INDEX(Katalog!$B$3:$B$12,MATCH(cadangan[[#This Row],[ItemID A]],Katalog!$C$3:$C$12,0)),"-")</f>
        <v>Dress</v>
      </c>
      <c r="F912" s="50">
        <v>6</v>
      </c>
      <c r="G912" s="50">
        <v>2</v>
      </c>
      <c r="H912" s="73">
        <f>IFERROR(INDEX(Katalog!$D$3:$D$12,MATCH(cadangan[[#This Row],[ItemID A]],Katalog!$C$3:$C$12,0))*cadangan[[#This Row],[Qty A]],0)</f>
        <v>1800000</v>
      </c>
      <c r="I912" s="73">
        <f>IFERROR(cadangan[[#This Row],[Harga Normal A]]-(cadangan[[#This Row],[Harga Normal A]]*cadangan[[#This Row],[Diskon]]),cadangan[[#This Row],[Harga Normal A]])</f>
        <v>1530000</v>
      </c>
      <c r="J912" s="73">
        <f>INDEX(Katalog!$F$3:$F$12,MATCH(cadangan[[#This Row],[ItemID A]],Katalog!$C$3:$C$12,0))*cadangan[[#This Row],[Qty A]]</f>
        <v>600000</v>
      </c>
      <c r="K912" s="73">
        <f>IFERROR(cadangan[[#This Row],[Harga Diskon A]]-INDEX(Katalog!$E$3:$E$12,MATCH(cadangan[[#This Row],[ItemID A]],Katalog!$C$3:$C$12,0))*cadangan[[#This Row],[Qty A]],0)</f>
        <v>330000</v>
      </c>
      <c r="M912" s="39" t="str">
        <f>IFERROR(INDEX(Katalog!$A$3:$A$12,MATCH(cadangan[[#This Row],[ItemID B]],Katalog!$C$3:$C$12,0)),"-")</f>
        <v>-</v>
      </c>
      <c r="N912" s="39" t="str">
        <f>IFERROR(INDEX(Katalog!$B$3:$B$12,MATCH(cadangan[[#This Row],[ItemID B]],Katalog!$C$3:$C$12,0)),"-")</f>
        <v>-</v>
      </c>
      <c r="Q912" s="73">
        <f>IFERROR(INDEX(Katalog!$D$3:$D$12,MATCH(cadangan[[#This Row],[ItemID B]],Katalog!$C$3:$C$12,0))*cadangan[[#This Row],[Qty B]],0)</f>
        <v>0</v>
      </c>
      <c r="R912" s="73">
        <f>IFERROR(cadangan[[#This Row],[Harga Normal B]]-(cadangan[[#This Row],[Harga Normal B]]*cadangan[[#This Row],[Diskon]]),cadangan[[#This Row],[Harga Normal B]])</f>
        <v>0</v>
      </c>
      <c r="S912" s="73">
        <f>IFERROR(INDEX(Katalog!$F$3:$F$12,MATCH(cadangan[[#This Row],[ItemID B]],Katalog!$C$3:$C$12,0))*cadangan[[#This Row],[Qty B]],0)</f>
        <v>0</v>
      </c>
      <c r="T912" s="73">
        <f>IFERROR(cadangan[[#This Row],[Harga Diskon B]]-INDEX(Katalog!$E$3:$E$12,MATCH(cadangan[[#This Row],[ItemID B]],Katalog!$C$3:$C$12,0))*cadangan[[#This Row],[Qty B]],0)</f>
        <v>0</v>
      </c>
      <c r="V912" s="39" t="str">
        <f>IFERROR(INDEX(Katalog!$A$3:$A$12,MATCH(cadangan[[#This Row],[ItemID C]],Katalog!$C$3:$C$12,0)),"-")</f>
        <v>-</v>
      </c>
      <c r="W912" s="39" t="str">
        <f>IFERROR(INDEX(Katalog!$B$3:$B$12,MATCH(cadangan[[#This Row],[ItemID C]],Katalog!$C$3:$C$12,0)),"-")</f>
        <v>-</v>
      </c>
      <c r="Z912" s="73">
        <f>IFERROR(INDEX(Katalog!$D$3:$D$12,MATCH(cadangan[[#This Row],[ItemID C]],Katalog!$C$3:$C$12,0))*cadangan[[#This Row],[Qty C]],0)</f>
        <v>0</v>
      </c>
      <c r="AA912" s="73">
        <f>IFERROR(cadangan[[#This Row],[Harga Normal C]]-(cadangan[[#This Row],[Harga Normal C]]*cadangan[[#This Row],[Diskon]]),cadangan[[#This Row],[Harga Normal C]])</f>
        <v>0</v>
      </c>
      <c r="AB912" s="73">
        <f>IFERROR(INDEX(Katalog!$F$3:$F$12,MATCH(cadangan[[#This Row],[ItemID C]],Katalog!$C$3:$C$12,0))*cadangan[[#This Row],[Qty C]],0)</f>
        <v>0</v>
      </c>
      <c r="AC912" s="73">
        <f>IFERROR(cadangan[[#This Row],[Harga Diskon C]]-INDEX(Katalog!$E$3:$E$12,MATCH(cadangan[[#This Row],[ItemID C]],Katalog!$C$3:$C$12,0))*cadangan[[#This Row],[Qty C]],0)</f>
        <v>0</v>
      </c>
      <c r="AD912" s="53">
        <f>cadangan[[#This Row],[Qty A]]+cadangan[[#This Row],[Qty B]]+cadangan[[#This Row],[Qty C]]</f>
        <v>6</v>
      </c>
      <c r="AE912" s="73">
        <f>cadangan[[#This Row],[Harga Normal A]]+cadangan[[#This Row],[Harga Normal B]]+cadangan[[#This Row],[Harga Normal C]]</f>
        <v>1800000</v>
      </c>
      <c r="AF912" s="73">
        <f>cadangan[[#This Row],[Harga Diskon A]]+cadangan[[#This Row],[Harga Diskon B]]+cadangan[[#This Row],[Harga Diskon C]]</f>
        <v>1530000</v>
      </c>
      <c r="AG912" s="73">
        <f>(cadangan[[#This Row],[Profit Normal A]]+cadangan[[#This Row],[Profit Normal B]]+cadangan[[#This Row],[Profit Normal C]])</f>
        <v>600000</v>
      </c>
      <c r="AH912" s="73">
        <f>cadangan[[#This Row],[Profit Diskon A]]+cadangan[[#This Row],[Profit Diskon B]]+cadangan[[#This Row],[Profit Diskon C]]</f>
        <v>330000</v>
      </c>
      <c r="AI912" s="23" t="s">
        <v>28</v>
      </c>
      <c r="AJ912" s="37">
        <f>IFERROR(INDEX('Kode Diskon'!$D$3:$D$9,MATCH(cadangan[[#This Row],[Kode diskon]],'Kode Diskon'!$C$3:$C$9,0)),"-")</f>
        <v>0.15</v>
      </c>
      <c r="AK912" s="23" t="s">
        <v>29</v>
      </c>
      <c r="AL912" s="23" t="s">
        <v>14</v>
      </c>
      <c r="AM912" s="23" t="s">
        <v>79</v>
      </c>
      <c r="AN912" s="55">
        <v>45019</v>
      </c>
      <c r="AO912" s="53">
        <f>DAY(cadangan[[#This Row],[Tanggal terjual]])</f>
        <v>3</v>
      </c>
      <c r="AP912" s="21" t="str">
        <f>TEXT(cadangan[[#This Row],[Tanggal terjual]],"dddd")</f>
        <v>Monday</v>
      </c>
      <c r="AQ912" s="23" t="str" cm="1">
        <f t="array" ref="AQ91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2" s="61">
        <f>AVERAGE(cadangan[[#This Row],[Rating A]],cadangan[[#This Row],[Rating B]],cadangan[[#This Row],[Rating C]])</f>
        <v>2</v>
      </c>
    </row>
    <row r="913" spans="1:44" x14ac:dyDescent="0.2">
      <c r="A913" s="20">
        <v>912</v>
      </c>
      <c r="B913" s="21" t="str">
        <f>_xlfn.CONCAT("ORD-",INDEX(Helper!$B$2:$B$5,MATCH(cadangan[[#This Row],[Marketplace]],Helper!$A$2:$A$5,0)),TEXT(cadangan[[#This Row],[No]],"0000"),"-",TEXT(cadangan[[#This Row],[Tanggal terjual]],"dd/mm/yy"))</f>
        <v>ORD-TK0912-28/04/23</v>
      </c>
      <c r="C913" s="39" t="s">
        <v>59</v>
      </c>
      <c r="D913" s="39" t="str">
        <f>IFERROR(INDEX(Katalog!$A$3:$A$12,MATCH(cadangan[[#This Row],[ItemID A]],Katalog!$C$3:$C$12,0)),"-")</f>
        <v>Pakaian Wanita</v>
      </c>
      <c r="E913" s="39" t="str">
        <f>IFERROR(INDEX(Katalog!$B$3:$B$12,MATCH(cadangan[[#This Row],[ItemID A]],Katalog!$C$3:$C$12,0)),"-")</f>
        <v>Blouse</v>
      </c>
      <c r="F913" s="50">
        <v>6</v>
      </c>
      <c r="G913" s="50">
        <v>2</v>
      </c>
      <c r="H913" s="73">
        <f>IFERROR(INDEX(Katalog!$D$3:$D$12,MATCH(cadangan[[#This Row],[ItemID A]],Katalog!$C$3:$C$12,0))*cadangan[[#This Row],[Qty A]],0)</f>
        <v>900000</v>
      </c>
      <c r="I913" s="73">
        <f>IFERROR(cadangan[[#This Row],[Harga Normal A]]-(cadangan[[#This Row],[Harga Normal A]]*cadangan[[#This Row],[Diskon]]),cadangan[[#This Row],[Harga Normal A]])</f>
        <v>810000</v>
      </c>
      <c r="J913" s="73">
        <f>INDEX(Katalog!$F$3:$F$12,MATCH(cadangan[[#This Row],[ItemID A]],Katalog!$C$3:$C$12,0))*cadangan[[#This Row],[Qty A]]</f>
        <v>300000</v>
      </c>
      <c r="K913" s="73">
        <f>IFERROR(cadangan[[#This Row],[Harga Diskon A]]-INDEX(Katalog!$E$3:$E$12,MATCH(cadangan[[#This Row],[ItemID A]],Katalog!$C$3:$C$12,0))*cadangan[[#This Row],[Qty A]],0)</f>
        <v>210000</v>
      </c>
      <c r="L913" s="39" t="s">
        <v>67</v>
      </c>
      <c r="M913" s="39" t="str">
        <f>IFERROR(INDEX(Katalog!$A$3:$A$12,MATCH(cadangan[[#This Row],[ItemID B]],Katalog!$C$3:$C$12,0)),"-")</f>
        <v>Sepatu Wanita</v>
      </c>
      <c r="N913" s="39" t="str">
        <f>IFERROR(INDEX(Katalog!$B$3:$B$12,MATCH(cadangan[[#This Row],[ItemID B]],Katalog!$C$3:$C$12,0)),"-")</f>
        <v>Flat Shoes</v>
      </c>
      <c r="O913" s="50">
        <v>1</v>
      </c>
      <c r="P913" s="50">
        <v>5</v>
      </c>
      <c r="Q913" s="73">
        <f>IFERROR(INDEX(Katalog!$D$3:$D$12,MATCH(cadangan[[#This Row],[ItemID B]],Katalog!$C$3:$C$12,0))*cadangan[[#This Row],[Qty B]],0)</f>
        <v>250000</v>
      </c>
      <c r="R913" s="73">
        <f>IFERROR(cadangan[[#This Row],[Harga Normal B]]-(cadangan[[#This Row],[Harga Normal B]]*cadangan[[#This Row],[Diskon]]),cadangan[[#This Row],[Harga Normal B]])</f>
        <v>225000</v>
      </c>
      <c r="S913" s="73">
        <f>IFERROR(INDEX(Katalog!$F$3:$F$12,MATCH(cadangan[[#This Row],[ItemID B]],Katalog!$C$3:$C$12,0))*cadangan[[#This Row],[Qty B]],0)</f>
        <v>100000</v>
      </c>
      <c r="T913" s="73">
        <f>IFERROR(cadangan[[#This Row],[Harga Diskon B]]-INDEX(Katalog!$E$3:$E$12,MATCH(cadangan[[#This Row],[ItemID B]],Katalog!$C$3:$C$12,0))*cadangan[[#This Row],[Qty B]],0)</f>
        <v>75000</v>
      </c>
      <c r="V913" s="39" t="str">
        <f>IFERROR(INDEX(Katalog!$A$3:$A$12,MATCH(cadangan[[#This Row],[ItemID C]],Katalog!$C$3:$C$12,0)),"-")</f>
        <v>-</v>
      </c>
      <c r="W913" s="39" t="str">
        <f>IFERROR(INDEX(Katalog!$B$3:$B$12,MATCH(cadangan[[#This Row],[ItemID C]],Katalog!$C$3:$C$12,0)),"-")</f>
        <v>-</v>
      </c>
      <c r="Z913" s="73">
        <f>IFERROR(INDEX(Katalog!$D$3:$D$12,MATCH(cadangan[[#This Row],[ItemID C]],Katalog!$C$3:$C$12,0))*cadangan[[#This Row],[Qty C]],0)</f>
        <v>0</v>
      </c>
      <c r="AA913" s="73">
        <f>IFERROR(cadangan[[#This Row],[Harga Normal C]]-(cadangan[[#This Row],[Harga Normal C]]*cadangan[[#This Row],[Diskon]]),cadangan[[#This Row],[Harga Normal C]])</f>
        <v>0</v>
      </c>
      <c r="AB913" s="73">
        <f>IFERROR(INDEX(Katalog!$F$3:$F$12,MATCH(cadangan[[#This Row],[ItemID C]],Katalog!$C$3:$C$12,0))*cadangan[[#This Row],[Qty C]],0)</f>
        <v>0</v>
      </c>
      <c r="AC913" s="73">
        <f>IFERROR(cadangan[[#This Row],[Harga Diskon C]]-INDEX(Katalog!$E$3:$E$12,MATCH(cadangan[[#This Row],[ItemID C]],Katalog!$C$3:$C$12,0))*cadangan[[#This Row],[Qty C]],0)</f>
        <v>0</v>
      </c>
      <c r="AD913" s="53">
        <f>cadangan[[#This Row],[Qty A]]+cadangan[[#This Row],[Qty B]]+cadangan[[#This Row],[Qty C]]</f>
        <v>7</v>
      </c>
      <c r="AE913" s="73">
        <f>cadangan[[#This Row],[Harga Normal A]]+cadangan[[#This Row],[Harga Normal B]]+cadangan[[#This Row],[Harga Normal C]]</f>
        <v>1150000</v>
      </c>
      <c r="AF913" s="73">
        <f>cadangan[[#This Row],[Harga Diskon A]]+cadangan[[#This Row],[Harga Diskon B]]+cadangan[[#This Row],[Harga Diskon C]]</f>
        <v>1035000</v>
      </c>
      <c r="AG913" s="73">
        <f>(cadangan[[#This Row],[Profit Normal A]]+cadangan[[#This Row],[Profit Normal B]]+cadangan[[#This Row],[Profit Normal C]])</f>
        <v>400000</v>
      </c>
      <c r="AH913" s="73">
        <f>cadangan[[#This Row],[Profit Diskon A]]+cadangan[[#This Row],[Profit Diskon B]]+cadangan[[#This Row],[Profit Diskon C]]</f>
        <v>285000</v>
      </c>
      <c r="AI913" s="23" t="s">
        <v>31</v>
      </c>
      <c r="AJ913" s="37">
        <f>IFERROR(INDEX('Kode Diskon'!$D$3:$D$9,MATCH(cadangan[[#This Row],[Kode diskon]],'Kode Diskon'!$C$3:$C$9,0)),"-")</f>
        <v>0.1</v>
      </c>
      <c r="AK913" s="23" t="s">
        <v>9</v>
      </c>
      <c r="AL913" s="23" t="s">
        <v>10</v>
      </c>
      <c r="AM913" s="23" t="s">
        <v>79</v>
      </c>
      <c r="AN913" s="55">
        <v>45044</v>
      </c>
      <c r="AO913" s="53">
        <f>DAY(cadangan[[#This Row],[Tanggal terjual]])</f>
        <v>28</v>
      </c>
      <c r="AP913" s="21" t="str">
        <f>TEXT(cadangan[[#This Row],[Tanggal terjual]],"dddd")</f>
        <v>Friday</v>
      </c>
      <c r="AQ913" s="23" t="str" cm="1">
        <f t="array" ref="AQ91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13" s="61">
        <f>AVERAGE(cadangan[[#This Row],[Rating A]],cadangan[[#This Row],[Rating B]],cadangan[[#This Row],[Rating C]])</f>
        <v>3.5</v>
      </c>
    </row>
    <row r="914" spans="1:44" x14ac:dyDescent="0.2">
      <c r="A914" s="20">
        <v>913</v>
      </c>
      <c r="B914" s="21" t="str">
        <f>_xlfn.CONCAT("ORD-",INDEX(Helper!$B$2:$B$5,MATCH(cadangan[[#This Row],[Marketplace]],Helper!$A$2:$A$5,0)),TEXT(cadangan[[#This Row],[No]],"0000"),"-",TEXT(cadangan[[#This Row],[Tanggal terjual]],"dd/mm/yy"))</f>
        <v>ORD-BL0913-19/04/23</v>
      </c>
      <c r="C914" s="39" t="s">
        <v>59</v>
      </c>
      <c r="D914" s="39" t="str">
        <f>IFERROR(INDEX(Katalog!$A$3:$A$12,MATCH(cadangan[[#This Row],[ItemID A]],Katalog!$C$3:$C$12,0)),"-")</f>
        <v>Pakaian Wanita</v>
      </c>
      <c r="E914" s="39" t="str">
        <f>IFERROR(INDEX(Katalog!$B$3:$B$12,MATCH(cadangan[[#This Row],[ItemID A]],Katalog!$C$3:$C$12,0)),"-")</f>
        <v>Blouse</v>
      </c>
      <c r="F914" s="50">
        <v>2</v>
      </c>
      <c r="G914" s="50">
        <v>3</v>
      </c>
      <c r="H914" s="73">
        <f>IFERROR(INDEX(Katalog!$D$3:$D$12,MATCH(cadangan[[#This Row],[ItemID A]],Katalog!$C$3:$C$12,0))*cadangan[[#This Row],[Qty A]],0)</f>
        <v>300000</v>
      </c>
      <c r="I914" s="73">
        <f>IFERROR(cadangan[[#This Row],[Harga Normal A]]-(cadangan[[#This Row],[Harga Normal A]]*cadangan[[#This Row],[Diskon]]),cadangan[[#This Row],[Harga Normal A]])</f>
        <v>255000</v>
      </c>
      <c r="J914" s="73">
        <f>INDEX(Katalog!$F$3:$F$12,MATCH(cadangan[[#This Row],[ItemID A]],Katalog!$C$3:$C$12,0))*cadangan[[#This Row],[Qty A]]</f>
        <v>100000</v>
      </c>
      <c r="K914" s="73">
        <f>IFERROR(cadangan[[#This Row],[Harga Diskon A]]-INDEX(Katalog!$E$3:$E$12,MATCH(cadangan[[#This Row],[ItemID A]],Katalog!$C$3:$C$12,0))*cadangan[[#This Row],[Qty A]],0)</f>
        <v>55000</v>
      </c>
      <c r="L914" s="39" t="s">
        <v>58</v>
      </c>
      <c r="M914" s="39" t="str">
        <f>IFERROR(INDEX(Katalog!$A$3:$A$12,MATCH(cadangan[[#This Row],[ItemID B]],Katalog!$C$3:$C$12,0)),"-")</f>
        <v>Pakaian Wanita</v>
      </c>
      <c r="N914" s="39" t="str">
        <f>IFERROR(INDEX(Katalog!$B$3:$B$12,MATCH(cadangan[[#This Row],[ItemID B]],Katalog!$C$3:$C$12,0)),"-")</f>
        <v>Dress</v>
      </c>
      <c r="O914" s="50">
        <v>1</v>
      </c>
      <c r="P914" s="50">
        <v>5</v>
      </c>
      <c r="Q914" s="73">
        <f>IFERROR(INDEX(Katalog!$D$3:$D$12,MATCH(cadangan[[#This Row],[ItemID B]],Katalog!$C$3:$C$12,0))*cadangan[[#This Row],[Qty B]],0)</f>
        <v>300000</v>
      </c>
      <c r="R914" s="73">
        <f>IFERROR(cadangan[[#This Row],[Harga Normal B]]-(cadangan[[#This Row],[Harga Normal B]]*cadangan[[#This Row],[Diskon]]),cadangan[[#This Row],[Harga Normal B]])</f>
        <v>255000</v>
      </c>
      <c r="S914" s="73">
        <f>IFERROR(INDEX(Katalog!$F$3:$F$12,MATCH(cadangan[[#This Row],[ItemID B]],Katalog!$C$3:$C$12,0))*cadangan[[#This Row],[Qty B]],0)</f>
        <v>100000</v>
      </c>
      <c r="T914" s="73">
        <f>IFERROR(cadangan[[#This Row],[Harga Diskon B]]-INDEX(Katalog!$E$3:$E$12,MATCH(cadangan[[#This Row],[ItemID B]],Katalog!$C$3:$C$12,0))*cadangan[[#This Row],[Qty B]],0)</f>
        <v>55000</v>
      </c>
      <c r="V914" s="39" t="str">
        <f>IFERROR(INDEX(Katalog!$A$3:$A$12,MATCH(cadangan[[#This Row],[ItemID C]],Katalog!$C$3:$C$12,0)),"-")</f>
        <v>-</v>
      </c>
      <c r="W914" s="39" t="str">
        <f>IFERROR(INDEX(Katalog!$B$3:$B$12,MATCH(cadangan[[#This Row],[ItemID C]],Katalog!$C$3:$C$12,0)),"-")</f>
        <v>-</v>
      </c>
      <c r="Z914" s="73">
        <f>IFERROR(INDEX(Katalog!$D$3:$D$12,MATCH(cadangan[[#This Row],[ItemID C]],Katalog!$C$3:$C$12,0))*cadangan[[#This Row],[Qty C]],0)</f>
        <v>0</v>
      </c>
      <c r="AA914" s="73">
        <f>IFERROR(cadangan[[#This Row],[Harga Normal C]]-(cadangan[[#This Row],[Harga Normal C]]*cadangan[[#This Row],[Diskon]]),cadangan[[#This Row],[Harga Normal C]])</f>
        <v>0</v>
      </c>
      <c r="AB914" s="73">
        <f>IFERROR(INDEX(Katalog!$F$3:$F$12,MATCH(cadangan[[#This Row],[ItemID C]],Katalog!$C$3:$C$12,0))*cadangan[[#This Row],[Qty C]],0)</f>
        <v>0</v>
      </c>
      <c r="AC914" s="73">
        <f>IFERROR(cadangan[[#This Row],[Harga Diskon C]]-INDEX(Katalog!$E$3:$E$12,MATCH(cadangan[[#This Row],[ItemID C]],Katalog!$C$3:$C$12,0))*cadangan[[#This Row],[Qty C]],0)</f>
        <v>0</v>
      </c>
      <c r="AD914" s="53">
        <f>cadangan[[#This Row],[Qty A]]+cadangan[[#This Row],[Qty B]]+cadangan[[#This Row],[Qty C]]</f>
        <v>3</v>
      </c>
      <c r="AE914" s="73">
        <f>cadangan[[#This Row],[Harga Normal A]]+cadangan[[#This Row],[Harga Normal B]]+cadangan[[#This Row],[Harga Normal C]]</f>
        <v>600000</v>
      </c>
      <c r="AF914" s="73">
        <f>cadangan[[#This Row],[Harga Diskon A]]+cadangan[[#This Row],[Harga Diskon B]]+cadangan[[#This Row],[Harga Diskon C]]</f>
        <v>510000</v>
      </c>
      <c r="AG914" s="73">
        <f>(cadangan[[#This Row],[Profit Normal A]]+cadangan[[#This Row],[Profit Normal B]]+cadangan[[#This Row],[Profit Normal C]])</f>
        <v>200000</v>
      </c>
      <c r="AH914" s="73">
        <f>cadangan[[#This Row],[Profit Diskon A]]+cadangan[[#This Row],[Profit Diskon B]]+cadangan[[#This Row],[Profit Diskon C]]</f>
        <v>110000</v>
      </c>
      <c r="AI914" s="23" t="s">
        <v>32</v>
      </c>
      <c r="AJ914" s="37">
        <f>IFERROR(INDEX('Kode Diskon'!$D$3:$D$9,MATCH(cadangan[[#This Row],[Kode diskon]],'Kode Diskon'!$C$3:$C$9,0)),"-")</f>
        <v>0.15</v>
      </c>
      <c r="AK914" s="23" t="s">
        <v>9</v>
      </c>
      <c r="AL914" s="23" t="s">
        <v>12</v>
      </c>
      <c r="AM914" s="23" t="s">
        <v>79</v>
      </c>
      <c r="AN914" s="55">
        <v>45035</v>
      </c>
      <c r="AO914" s="53">
        <f>DAY(cadangan[[#This Row],[Tanggal terjual]])</f>
        <v>19</v>
      </c>
      <c r="AP914" s="21" t="str">
        <f>TEXT(cadangan[[#This Row],[Tanggal terjual]],"dddd")</f>
        <v>Wednesday</v>
      </c>
      <c r="AQ914" s="23" t="str" cm="1">
        <f t="array" ref="AQ91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14" s="61">
        <f>AVERAGE(cadangan[[#This Row],[Rating A]],cadangan[[#This Row],[Rating B]],cadangan[[#This Row],[Rating C]])</f>
        <v>4</v>
      </c>
    </row>
    <row r="915" spans="1:44" x14ac:dyDescent="0.2">
      <c r="A915" s="20">
        <v>914</v>
      </c>
      <c r="B915" s="21" t="str">
        <f>_xlfn.CONCAT("ORD-",INDEX(Helper!$B$2:$B$5,MATCH(cadangan[[#This Row],[Marketplace]],Helper!$A$2:$A$5,0)),TEXT(cadangan[[#This Row],[No]],"0000"),"-",TEXT(cadangan[[#This Row],[Tanggal terjual]],"dd/mm/yy"))</f>
        <v>ORD-BB0914-03/04/23</v>
      </c>
      <c r="C915" s="39" t="s">
        <v>58</v>
      </c>
      <c r="D915" s="39" t="str">
        <f>IFERROR(INDEX(Katalog!$A$3:$A$12,MATCH(cadangan[[#This Row],[ItemID A]],Katalog!$C$3:$C$12,0)),"-")</f>
        <v>Pakaian Wanita</v>
      </c>
      <c r="E915" s="39" t="str">
        <f>IFERROR(INDEX(Katalog!$B$3:$B$12,MATCH(cadangan[[#This Row],[ItemID A]],Katalog!$C$3:$C$12,0)),"-")</f>
        <v>Dress</v>
      </c>
      <c r="F915" s="50">
        <v>4</v>
      </c>
      <c r="G915" s="50">
        <v>1</v>
      </c>
      <c r="H915" s="73">
        <f>IFERROR(INDEX(Katalog!$D$3:$D$12,MATCH(cadangan[[#This Row],[ItemID A]],Katalog!$C$3:$C$12,0))*cadangan[[#This Row],[Qty A]],0)</f>
        <v>1200000</v>
      </c>
      <c r="I915" s="73">
        <f>IFERROR(cadangan[[#This Row],[Harga Normal A]]-(cadangan[[#This Row],[Harga Normal A]]*cadangan[[#This Row],[Diskon]]),cadangan[[#This Row],[Harga Normal A]])</f>
        <v>1020000</v>
      </c>
      <c r="J915" s="73">
        <f>INDEX(Katalog!$F$3:$F$12,MATCH(cadangan[[#This Row],[ItemID A]],Katalog!$C$3:$C$12,0))*cadangan[[#This Row],[Qty A]]</f>
        <v>400000</v>
      </c>
      <c r="K915" s="73">
        <f>IFERROR(cadangan[[#This Row],[Harga Diskon A]]-INDEX(Katalog!$E$3:$E$12,MATCH(cadangan[[#This Row],[ItemID A]],Katalog!$C$3:$C$12,0))*cadangan[[#This Row],[Qty A]],0)</f>
        <v>220000</v>
      </c>
      <c r="M915" s="39" t="str">
        <f>IFERROR(INDEX(Katalog!$A$3:$A$12,MATCH(cadangan[[#This Row],[ItemID B]],Katalog!$C$3:$C$12,0)),"-")</f>
        <v>-</v>
      </c>
      <c r="N915" s="39" t="str">
        <f>IFERROR(INDEX(Katalog!$B$3:$B$12,MATCH(cadangan[[#This Row],[ItemID B]],Katalog!$C$3:$C$12,0)),"-")</f>
        <v>-</v>
      </c>
      <c r="Q915" s="73">
        <f>IFERROR(INDEX(Katalog!$D$3:$D$12,MATCH(cadangan[[#This Row],[ItemID B]],Katalog!$C$3:$C$12,0))*cadangan[[#This Row],[Qty B]],0)</f>
        <v>0</v>
      </c>
      <c r="R915" s="73">
        <f>IFERROR(cadangan[[#This Row],[Harga Normal B]]-(cadangan[[#This Row],[Harga Normal B]]*cadangan[[#This Row],[Diskon]]),cadangan[[#This Row],[Harga Normal B]])</f>
        <v>0</v>
      </c>
      <c r="S915" s="73">
        <f>IFERROR(INDEX(Katalog!$F$3:$F$12,MATCH(cadangan[[#This Row],[ItemID B]],Katalog!$C$3:$C$12,0))*cadangan[[#This Row],[Qty B]],0)</f>
        <v>0</v>
      </c>
      <c r="T915" s="73">
        <f>IFERROR(cadangan[[#This Row],[Harga Diskon B]]-INDEX(Katalog!$E$3:$E$12,MATCH(cadangan[[#This Row],[ItemID B]],Katalog!$C$3:$C$12,0))*cadangan[[#This Row],[Qty B]],0)</f>
        <v>0</v>
      </c>
      <c r="V915" s="39" t="str">
        <f>IFERROR(INDEX(Katalog!$A$3:$A$12,MATCH(cadangan[[#This Row],[ItemID C]],Katalog!$C$3:$C$12,0)),"-")</f>
        <v>-</v>
      </c>
      <c r="W915" s="39" t="str">
        <f>IFERROR(INDEX(Katalog!$B$3:$B$12,MATCH(cadangan[[#This Row],[ItemID C]],Katalog!$C$3:$C$12,0)),"-")</f>
        <v>-</v>
      </c>
      <c r="Z915" s="73">
        <f>IFERROR(INDEX(Katalog!$D$3:$D$12,MATCH(cadangan[[#This Row],[ItemID C]],Katalog!$C$3:$C$12,0))*cadangan[[#This Row],[Qty C]],0)</f>
        <v>0</v>
      </c>
      <c r="AA915" s="73">
        <f>IFERROR(cadangan[[#This Row],[Harga Normal C]]-(cadangan[[#This Row],[Harga Normal C]]*cadangan[[#This Row],[Diskon]]),cadangan[[#This Row],[Harga Normal C]])</f>
        <v>0</v>
      </c>
      <c r="AB915" s="73">
        <f>IFERROR(INDEX(Katalog!$F$3:$F$12,MATCH(cadangan[[#This Row],[ItemID C]],Katalog!$C$3:$C$12,0))*cadangan[[#This Row],[Qty C]],0)</f>
        <v>0</v>
      </c>
      <c r="AC915" s="73">
        <f>IFERROR(cadangan[[#This Row],[Harga Diskon C]]-INDEX(Katalog!$E$3:$E$12,MATCH(cadangan[[#This Row],[ItemID C]],Katalog!$C$3:$C$12,0))*cadangan[[#This Row],[Qty C]],0)</f>
        <v>0</v>
      </c>
      <c r="AD915" s="53">
        <f>cadangan[[#This Row],[Qty A]]+cadangan[[#This Row],[Qty B]]+cadangan[[#This Row],[Qty C]]</f>
        <v>4</v>
      </c>
      <c r="AE915" s="73">
        <f>cadangan[[#This Row],[Harga Normal A]]+cadangan[[#This Row],[Harga Normal B]]+cadangan[[#This Row],[Harga Normal C]]</f>
        <v>1200000</v>
      </c>
      <c r="AF915" s="73">
        <f>cadangan[[#This Row],[Harga Diskon A]]+cadangan[[#This Row],[Harga Diskon B]]+cadangan[[#This Row],[Harga Diskon C]]</f>
        <v>1020000</v>
      </c>
      <c r="AG915" s="73">
        <f>(cadangan[[#This Row],[Profit Normal A]]+cadangan[[#This Row],[Profit Normal B]]+cadangan[[#This Row],[Profit Normal C]])</f>
        <v>400000</v>
      </c>
      <c r="AH915" s="73">
        <f>cadangan[[#This Row],[Profit Diskon A]]+cadangan[[#This Row],[Profit Diskon B]]+cadangan[[#This Row],[Profit Diskon C]]</f>
        <v>220000</v>
      </c>
      <c r="AI915" s="23" t="s">
        <v>28</v>
      </c>
      <c r="AJ915" s="37">
        <f>IFERROR(INDEX('Kode Diskon'!$D$3:$D$9,MATCH(cadangan[[#This Row],[Kode diskon]],'Kode Diskon'!$C$3:$C$9,0)),"-")</f>
        <v>0.15</v>
      </c>
      <c r="AK915" s="23" t="s">
        <v>29</v>
      </c>
      <c r="AL915" s="23" t="s">
        <v>14</v>
      </c>
      <c r="AM915" s="23" t="s">
        <v>80</v>
      </c>
      <c r="AN915" s="55">
        <v>45019</v>
      </c>
      <c r="AO915" s="53">
        <f>DAY(cadangan[[#This Row],[Tanggal terjual]])</f>
        <v>3</v>
      </c>
      <c r="AP915" s="21" t="str">
        <f>TEXT(cadangan[[#This Row],[Tanggal terjual]],"dddd")</f>
        <v>Monday</v>
      </c>
      <c r="AQ915" s="23" t="str" cm="1">
        <f t="array" ref="AQ91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5" s="61">
        <f>AVERAGE(cadangan[[#This Row],[Rating A]],cadangan[[#This Row],[Rating B]],cadangan[[#This Row],[Rating C]])</f>
        <v>1</v>
      </c>
    </row>
    <row r="916" spans="1:44" x14ac:dyDescent="0.2">
      <c r="A916" s="20">
        <v>915</v>
      </c>
      <c r="B916" s="21" t="str">
        <f>_xlfn.CONCAT("ORD-",INDEX(Helper!$B$2:$B$5,MATCH(cadangan[[#This Row],[Marketplace]],Helper!$A$2:$A$5,0)),TEXT(cadangan[[#This Row],[No]],"0000"),"-",TEXT(cadangan[[#This Row],[Tanggal terjual]],"dd/mm/yy"))</f>
        <v>ORD-SP0915-03/04/23</v>
      </c>
      <c r="C916" s="39" t="s">
        <v>59</v>
      </c>
      <c r="D916" s="39" t="str">
        <f>IFERROR(INDEX(Katalog!$A$3:$A$12,MATCH(cadangan[[#This Row],[ItemID A]],Katalog!$C$3:$C$12,0)),"-")</f>
        <v>Pakaian Wanita</v>
      </c>
      <c r="E916" s="39" t="str">
        <f>IFERROR(INDEX(Katalog!$B$3:$B$12,MATCH(cadangan[[#This Row],[ItemID A]],Katalog!$C$3:$C$12,0)),"-")</f>
        <v>Blouse</v>
      </c>
      <c r="F916" s="50">
        <v>1</v>
      </c>
      <c r="G916" s="50">
        <v>3</v>
      </c>
      <c r="H916" s="73">
        <f>IFERROR(INDEX(Katalog!$D$3:$D$12,MATCH(cadangan[[#This Row],[ItemID A]],Katalog!$C$3:$C$12,0))*cadangan[[#This Row],[Qty A]],0)</f>
        <v>150000</v>
      </c>
      <c r="I916" s="73">
        <f>IFERROR(cadangan[[#This Row],[Harga Normal A]]-(cadangan[[#This Row],[Harga Normal A]]*cadangan[[#This Row],[Diskon]]),cadangan[[#This Row],[Harga Normal A]])</f>
        <v>135000</v>
      </c>
      <c r="J916" s="73">
        <f>INDEX(Katalog!$F$3:$F$12,MATCH(cadangan[[#This Row],[ItemID A]],Katalog!$C$3:$C$12,0))*cadangan[[#This Row],[Qty A]]</f>
        <v>50000</v>
      </c>
      <c r="K916" s="73">
        <f>IFERROR(cadangan[[#This Row],[Harga Diskon A]]-INDEX(Katalog!$E$3:$E$12,MATCH(cadangan[[#This Row],[ItemID A]],Katalog!$C$3:$C$12,0))*cadangan[[#This Row],[Qty A]],0)</f>
        <v>35000</v>
      </c>
      <c r="L916" s="39" t="s">
        <v>63</v>
      </c>
      <c r="M916" s="39" t="str">
        <f>IFERROR(INDEX(Katalog!$A$3:$A$12,MATCH(cadangan[[#This Row],[ItemID B]],Katalog!$C$3:$C$12,0)),"-")</f>
        <v>Pakaian Pria</v>
      </c>
      <c r="N916" s="39" t="str">
        <f>IFERROR(INDEX(Katalog!$B$3:$B$12,MATCH(cadangan[[#This Row],[ItemID B]],Katalog!$C$3:$C$12,0)),"-")</f>
        <v>Jaket Jeans</v>
      </c>
      <c r="O916" s="50">
        <v>1</v>
      </c>
      <c r="P916" s="50">
        <v>3</v>
      </c>
      <c r="Q916" s="73">
        <f>IFERROR(INDEX(Katalog!$D$3:$D$12,MATCH(cadangan[[#This Row],[ItemID B]],Katalog!$C$3:$C$12,0))*cadangan[[#This Row],[Qty B]],0)</f>
        <v>400000</v>
      </c>
      <c r="R916" s="73">
        <f>IFERROR(cadangan[[#This Row],[Harga Normal B]]-(cadangan[[#This Row],[Harga Normal B]]*cadangan[[#This Row],[Diskon]]),cadangan[[#This Row],[Harga Normal B]])</f>
        <v>360000</v>
      </c>
      <c r="S916" s="73">
        <f>IFERROR(INDEX(Katalog!$F$3:$F$12,MATCH(cadangan[[#This Row],[ItemID B]],Katalog!$C$3:$C$12,0))*cadangan[[#This Row],[Qty B]],0)</f>
        <v>150000</v>
      </c>
      <c r="T916" s="73">
        <f>IFERROR(cadangan[[#This Row],[Harga Diskon B]]-INDEX(Katalog!$E$3:$E$12,MATCH(cadangan[[#This Row],[ItemID B]],Katalog!$C$3:$C$12,0))*cadangan[[#This Row],[Qty B]],0)</f>
        <v>110000</v>
      </c>
      <c r="V916" s="39" t="str">
        <f>IFERROR(INDEX(Katalog!$A$3:$A$12,MATCH(cadangan[[#This Row],[ItemID C]],Katalog!$C$3:$C$12,0)),"-")</f>
        <v>-</v>
      </c>
      <c r="W916" s="39" t="str">
        <f>IFERROR(INDEX(Katalog!$B$3:$B$12,MATCH(cadangan[[#This Row],[ItemID C]],Katalog!$C$3:$C$12,0)),"-")</f>
        <v>-</v>
      </c>
      <c r="Z916" s="73">
        <f>IFERROR(INDEX(Katalog!$D$3:$D$12,MATCH(cadangan[[#This Row],[ItemID C]],Katalog!$C$3:$C$12,0))*cadangan[[#This Row],[Qty C]],0)</f>
        <v>0</v>
      </c>
      <c r="AA916" s="73">
        <f>IFERROR(cadangan[[#This Row],[Harga Normal C]]-(cadangan[[#This Row],[Harga Normal C]]*cadangan[[#This Row],[Diskon]]),cadangan[[#This Row],[Harga Normal C]])</f>
        <v>0</v>
      </c>
      <c r="AB916" s="73">
        <f>IFERROR(INDEX(Katalog!$F$3:$F$12,MATCH(cadangan[[#This Row],[ItemID C]],Katalog!$C$3:$C$12,0))*cadangan[[#This Row],[Qty C]],0)</f>
        <v>0</v>
      </c>
      <c r="AC916" s="73">
        <f>IFERROR(cadangan[[#This Row],[Harga Diskon C]]-INDEX(Katalog!$E$3:$E$12,MATCH(cadangan[[#This Row],[ItemID C]],Katalog!$C$3:$C$12,0))*cadangan[[#This Row],[Qty C]],0)</f>
        <v>0</v>
      </c>
      <c r="AD916" s="53">
        <f>cadangan[[#This Row],[Qty A]]+cadangan[[#This Row],[Qty B]]+cadangan[[#This Row],[Qty C]]</f>
        <v>2</v>
      </c>
      <c r="AE916" s="73">
        <f>cadangan[[#This Row],[Harga Normal A]]+cadangan[[#This Row],[Harga Normal B]]+cadangan[[#This Row],[Harga Normal C]]</f>
        <v>550000</v>
      </c>
      <c r="AF916" s="73">
        <f>cadangan[[#This Row],[Harga Diskon A]]+cadangan[[#This Row],[Harga Diskon B]]+cadangan[[#This Row],[Harga Diskon C]]</f>
        <v>495000</v>
      </c>
      <c r="AG916" s="73">
        <f>(cadangan[[#This Row],[Profit Normal A]]+cadangan[[#This Row],[Profit Normal B]]+cadangan[[#This Row],[Profit Normal C]])</f>
        <v>200000</v>
      </c>
      <c r="AH916" s="73">
        <f>cadangan[[#This Row],[Profit Diskon A]]+cadangan[[#This Row],[Profit Diskon B]]+cadangan[[#This Row],[Profit Diskon C]]</f>
        <v>145000</v>
      </c>
      <c r="AI916" s="23" t="s">
        <v>6</v>
      </c>
      <c r="AJ916" s="37">
        <f>IFERROR(INDEX('Kode Diskon'!$D$3:$D$9,MATCH(cadangan[[#This Row],[Kode diskon]],'Kode Diskon'!$C$3:$C$9,0)),"-")</f>
        <v>0.1</v>
      </c>
      <c r="AK916" s="23" t="s">
        <v>29</v>
      </c>
      <c r="AL916" s="23" t="s">
        <v>7</v>
      </c>
      <c r="AM916" s="23" t="s">
        <v>76</v>
      </c>
      <c r="AN916" s="55">
        <v>45019</v>
      </c>
      <c r="AO916" s="53">
        <f>DAY(cadangan[[#This Row],[Tanggal terjual]])</f>
        <v>3</v>
      </c>
      <c r="AP916" s="21" t="str">
        <f>TEXT(cadangan[[#This Row],[Tanggal terjual]],"dddd")</f>
        <v>Monday</v>
      </c>
      <c r="AQ916" s="23" t="str" cm="1">
        <f t="array" ref="AQ91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6" s="61">
        <f>AVERAGE(cadangan[[#This Row],[Rating A]],cadangan[[#This Row],[Rating B]],cadangan[[#This Row],[Rating C]])</f>
        <v>3</v>
      </c>
    </row>
    <row r="917" spans="1:44" x14ac:dyDescent="0.2">
      <c r="A917" s="20">
        <v>916</v>
      </c>
      <c r="B917" s="21" t="str">
        <f>_xlfn.CONCAT("ORD-",INDEX(Helper!$B$2:$B$5,MATCH(cadangan[[#This Row],[Marketplace]],Helper!$A$2:$A$5,0)),TEXT(cadangan[[#This Row],[No]],"0000"),"-",TEXT(cadangan[[#This Row],[Tanggal terjual]],"dd/mm/yy"))</f>
        <v>ORD-TK0916-15/04/23</v>
      </c>
      <c r="C917" s="39" t="s">
        <v>58</v>
      </c>
      <c r="D917" s="39" t="str">
        <f>IFERROR(INDEX(Katalog!$A$3:$A$12,MATCH(cadangan[[#This Row],[ItemID A]],Katalog!$C$3:$C$12,0)),"-")</f>
        <v>Pakaian Wanita</v>
      </c>
      <c r="E917" s="39" t="str">
        <f>IFERROR(INDEX(Katalog!$B$3:$B$12,MATCH(cadangan[[#This Row],[ItemID A]],Katalog!$C$3:$C$12,0)),"-")</f>
        <v>Dress</v>
      </c>
      <c r="F917" s="50">
        <v>5</v>
      </c>
      <c r="G917" s="50">
        <v>2</v>
      </c>
      <c r="H917" s="73">
        <f>IFERROR(INDEX(Katalog!$D$3:$D$12,MATCH(cadangan[[#This Row],[ItemID A]],Katalog!$C$3:$C$12,0))*cadangan[[#This Row],[Qty A]],0)</f>
        <v>1500000</v>
      </c>
      <c r="I917" s="73">
        <f>IFERROR(cadangan[[#This Row],[Harga Normal A]]-(cadangan[[#This Row],[Harga Normal A]]*cadangan[[#This Row],[Diskon]]),cadangan[[#This Row],[Harga Normal A]])</f>
        <v>1500000</v>
      </c>
      <c r="J917" s="73">
        <f>INDEX(Katalog!$F$3:$F$12,MATCH(cadangan[[#This Row],[ItemID A]],Katalog!$C$3:$C$12,0))*cadangan[[#This Row],[Qty A]]</f>
        <v>500000</v>
      </c>
      <c r="K917" s="73">
        <f>IFERROR(cadangan[[#This Row],[Harga Diskon A]]-INDEX(Katalog!$E$3:$E$12,MATCH(cadangan[[#This Row],[ItemID A]],Katalog!$C$3:$C$12,0))*cadangan[[#This Row],[Qty A]],0)</f>
        <v>500000</v>
      </c>
      <c r="L917" s="39" t="s">
        <v>64</v>
      </c>
      <c r="M917" s="39" t="str">
        <f>IFERROR(INDEX(Katalog!$A$3:$A$12,MATCH(cadangan[[#This Row],[ItemID B]],Katalog!$C$3:$C$12,0)),"-")</f>
        <v>Pakaian Unisex</v>
      </c>
      <c r="N917" s="39" t="str">
        <f>IFERROR(INDEX(Katalog!$B$3:$B$12,MATCH(cadangan[[#This Row],[ItemID B]],Katalog!$C$3:$C$12,0)),"-")</f>
        <v>Jaket Hoodie</v>
      </c>
      <c r="O917" s="50">
        <v>2</v>
      </c>
      <c r="P917" s="50">
        <v>5</v>
      </c>
      <c r="Q917" s="73">
        <f>IFERROR(INDEX(Katalog!$D$3:$D$12,MATCH(cadangan[[#This Row],[ItemID B]],Katalog!$C$3:$C$12,0))*cadangan[[#This Row],[Qty B]],0)</f>
        <v>700000</v>
      </c>
      <c r="R917" s="73">
        <f>IFERROR(cadangan[[#This Row],[Harga Normal B]]-(cadangan[[#This Row],[Harga Normal B]]*cadangan[[#This Row],[Diskon]]),cadangan[[#This Row],[Harga Normal B]])</f>
        <v>700000</v>
      </c>
      <c r="S917" s="73">
        <f>IFERROR(INDEX(Katalog!$F$3:$F$12,MATCH(cadangan[[#This Row],[ItemID B]],Katalog!$C$3:$C$12,0))*cadangan[[#This Row],[Qty B]],0)</f>
        <v>260000</v>
      </c>
      <c r="T917" s="73">
        <f>IFERROR(cadangan[[#This Row],[Harga Diskon B]]-INDEX(Katalog!$E$3:$E$12,MATCH(cadangan[[#This Row],[ItemID B]],Katalog!$C$3:$C$12,0))*cadangan[[#This Row],[Qty B]],0)</f>
        <v>260000</v>
      </c>
      <c r="V917" s="39" t="str">
        <f>IFERROR(INDEX(Katalog!$A$3:$A$12,MATCH(cadangan[[#This Row],[ItemID C]],Katalog!$C$3:$C$12,0)),"-")</f>
        <v>-</v>
      </c>
      <c r="W917" s="39" t="str">
        <f>IFERROR(INDEX(Katalog!$B$3:$B$12,MATCH(cadangan[[#This Row],[ItemID C]],Katalog!$C$3:$C$12,0)),"-")</f>
        <v>-</v>
      </c>
      <c r="Z917" s="73">
        <f>IFERROR(INDEX(Katalog!$D$3:$D$12,MATCH(cadangan[[#This Row],[ItemID C]],Katalog!$C$3:$C$12,0))*cadangan[[#This Row],[Qty C]],0)</f>
        <v>0</v>
      </c>
      <c r="AA917" s="73">
        <f>IFERROR(cadangan[[#This Row],[Harga Normal C]]-(cadangan[[#This Row],[Harga Normal C]]*cadangan[[#This Row],[Diskon]]),cadangan[[#This Row],[Harga Normal C]])</f>
        <v>0</v>
      </c>
      <c r="AB917" s="73">
        <f>IFERROR(INDEX(Katalog!$F$3:$F$12,MATCH(cadangan[[#This Row],[ItemID C]],Katalog!$C$3:$C$12,0))*cadangan[[#This Row],[Qty C]],0)</f>
        <v>0</v>
      </c>
      <c r="AC917" s="73">
        <f>IFERROR(cadangan[[#This Row],[Harga Diskon C]]-INDEX(Katalog!$E$3:$E$12,MATCH(cadangan[[#This Row],[ItemID C]],Katalog!$C$3:$C$12,0))*cadangan[[#This Row],[Qty C]],0)</f>
        <v>0</v>
      </c>
      <c r="AD917" s="53">
        <f>cadangan[[#This Row],[Qty A]]+cadangan[[#This Row],[Qty B]]+cadangan[[#This Row],[Qty C]]</f>
        <v>7</v>
      </c>
      <c r="AE917" s="73">
        <f>cadangan[[#This Row],[Harga Normal A]]+cadangan[[#This Row],[Harga Normal B]]+cadangan[[#This Row],[Harga Normal C]]</f>
        <v>2200000</v>
      </c>
      <c r="AF917" s="73">
        <f>cadangan[[#This Row],[Harga Diskon A]]+cadangan[[#This Row],[Harga Diskon B]]+cadangan[[#This Row],[Harga Diskon C]]</f>
        <v>2200000</v>
      </c>
      <c r="AG917" s="73">
        <f>(cadangan[[#This Row],[Profit Normal A]]+cadangan[[#This Row],[Profit Normal B]]+cadangan[[#This Row],[Profit Normal C]])</f>
        <v>760000</v>
      </c>
      <c r="AH917" s="73">
        <f>cadangan[[#This Row],[Profit Diskon A]]+cadangan[[#This Row],[Profit Diskon B]]+cadangan[[#This Row],[Profit Diskon C]]</f>
        <v>760000</v>
      </c>
      <c r="AI917" s="23" t="s">
        <v>290</v>
      </c>
      <c r="AJ917" s="37" t="str">
        <f>IFERROR(INDEX('Kode Diskon'!$D$3:$D$9,MATCH(cadangan[[#This Row],[Kode diskon]],'Kode Diskon'!$C$3:$C$9,0)),"-")</f>
        <v>-</v>
      </c>
      <c r="AK917" s="23" t="s">
        <v>290</v>
      </c>
      <c r="AL917" s="23" t="s">
        <v>10</v>
      </c>
      <c r="AM917" s="23" t="s">
        <v>80</v>
      </c>
      <c r="AN917" s="55">
        <v>45031</v>
      </c>
      <c r="AO917" s="53">
        <f>DAY(cadangan[[#This Row],[Tanggal terjual]])</f>
        <v>15</v>
      </c>
      <c r="AP917" s="21" t="str">
        <f>TEXT(cadangan[[#This Row],[Tanggal terjual]],"dddd")</f>
        <v>Saturday</v>
      </c>
      <c r="AQ917" s="23" t="str" cm="1">
        <f t="array" ref="AQ91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17" s="61">
        <f>AVERAGE(cadangan[[#This Row],[Rating A]],cadangan[[#This Row],[Rating B]],cadangan[[#This Row],[Rating C]])</f>
        <v>3.5</v>
      </c>
    </row>
    <row r="918" spans="1:44" x14ac:dyDescent="0.2">
      <c r="A918" s="20">
        <v>917</v>
      </c>
      <c r="B918" s="21" t="str">
        <f>_xlfn.CONCAT("ORD-",INDEX(Helper!$B$2:$B$5,MATCH(cadangan[[#This Row],[Marketplace]],Helper!$A$2:$A$5,0)),TEXT(cadangan[[#This Row],[No]],"0000"),"-",TEXT(cadangan[[#This Row],[Tanggal terjual]],"dd/mm/yy"))</f>
        <v>ORD-BB0917-03/04/23</v>
      </c>
      <c r="C918" s="39" t="s">
        <v>65</v>
      </c>
      <c r="D918" s="39" t="str">
        <f>IFERROR(INDEX(Katalog!$A$3:$A$12,MATCH(cadangan[[#This Row],[ItemID A]],Katalog!$C$3:$C$12,0)),"-")</f>
        <v>Sepatu Pria</v>
      </c>
      <c r="E918" s="39" t="str">
        <f>IFERROR(INDEX(Katalog!$B$3:$B$12,MATCH(cadangan[[#This Row],[ItemID A]],Katalog!$C$3:$C$12,0)),"-")</f>
        <v>Sneakers</v>
      </c>
      <c r="F918" s="50">
        <v>5</v>
      </c>
      <c r="G918" s="50">
        <v>3</v>
      </c>
      <c r="H918" s="73">
        <f>IFERROR(INDEX(Katalog!$D$3:$D$12,MATCH(cadangan[[#This Row],[ItemID A]],Katalog!$C$3:$C$12,0))*cadangan[[#This Row],[Qty A]],0)</f>
        <v>2500000</v>
      </c>
      <c r="I918" s="73">
        <f>IFERROR(cadangan[[#This Row],[Harga Normal A]]-(cadangan[[#This Row],[Harga Normal A]]*cadangan[[#This Row],[Diskon]]),cadangan[[#This Row],[Harga Normal A]])</f>
        <v>2125000</v>
      </c>
      <c r="J918" s="73">
        <f>INDEX(Katalog!$F$3:$F$12,MATCH(cadangan[[#This Row],[ItemID A]],Katalog!$C$3:$C$12,0))*cadangan[[#This Row],[Qty A]]</f>
        <v>1000000</v>
      </c>
      <c r="K918" s="73">
        <f>IFERROR(cadangan[[#This Row],[Harga Diskon A]]-INDEX(Katalog!$E$3:$E$12,MATCH(cadangan[[#This Row],[ItemID A]],Katalog!$C$3:$C$12,0))*cadangan[[#This Row],[Qty A]],0)</f>
        <v>625000</v>
      </c>
      <c r="L918" s="39" t="s">
        <v>63</v>
      </c>
      <c r="M918" s="39" t="str">
        <f>IFERROR(INDEX(Katalog!$A$3:$A$12,MATCH(cadangan[[#This Row],[ItemID B]],Katalog!$C$3:$C$12,0)),"-")</f>
        <v>Pakaian Pria</v>
      </c>
      <c r="N918" s="39" t="str">
        <f>IFERROR(INDEX(Katalog!$B$3:$B$12,MATCH(cadangan[[#This Row],[ItemID B]],Katalog!$C$3:$C$12,0)),"-")</f>
        <v>Jaket Jeans</v>
      </c>
      <c r="O918" s="50">
        <v>1</v>
      </c>
      <c r="P918" s="50">
        <v>1</v>
      </c>
      <c r="Q918" s="73">
        <f>IFERROR(INDEX(Katalog!$D$3:$D$12,MATCH(cadangan[[#This Row],[ItemID B]],Katalog!$C$3:$C$12,0))*cadangan[[#This Row],[Qty B]],0)</f>
        <v>400000</v>
      </c>
      <c r="R918" s="73">
        <f>IFERROR(cadangan[[#This Row],[Harga Normal B]]-(cadangan[[#This Row],[Harga Normal B]]*cadangan[[#This Row],[Diskon]]),cadangan[[#This Row],[Harga Normal B]])</f>
        <v>340000</v>
      </c>
      <c r="S918" s="73">
        <f>IFERROR(INDEX(Katalog!$F$3:$F$12,MATCH(cadangan[[#This Row],[ItemID B]],Katalog!$C$3:$C$12,0))*cadangan[[#This Row],[Qty B]],0)</f>
        <v>150000</v>
      </c>
      <c r="T918" s="73">
        <f>IFERROR(cadangan[[#This Row],[Harga Diskon B]]-INDEX(Katalog!$E$3:$E$12,MATCH(cadangan[[#This Row],[ItemID B]],Katalog!$C$3:$C$12,0))*cadangan[[#This Row],[Qty B]],0)</f>
        <v>90000</v>
      </c>
      <c r="U918" s="39" t="s">
        <v>67</v>
      </c>
      <c r="V918" s="39" t="str">
        <f>IFERROR(INDEX(Katalog!$A$3:$A$12,MATCH(cadangan[[#This Row],[ItemID C]],Katalog!$C$3:$C$12,0)),"-")</f>
        <v>Sepatu Wanita</v>
      </c>
      <c r="W918" s="39" t="str">
        <f>IFERROR(INDEX(Katalog!$B$3:$B$12,MATCH(cadangan[[#This Row],[ItemID C]],Katalog!$C$3:$C$12,0)),"-")</f>
        <v>Flat Shoes</v>
      </c>
      <c r="X918" s="50">
        <v>1</v>
      </c>
      <c r="Y918" s="50">
        <v>3</v>
      </c>
      <c r="Z918" s="73">
        <f>IFERROR(INDEX(Katalog!$D$3:$D$12,MATCH(cadangan[[#This Row],[ItemID C]],Katalog!$C$3:$C$12,0))*cadangan[[#This Row],[Qty C]],0)</f>
        <v>250000</v>
      </c>
      <c r="AA918" s="73">
        <f>IFERROR(cadangan[[#This Row],[Harga Normal C]]-(cadangan[[#This Row],[Harga Normal C]]*cadangan[[#This Row],[Diskon]]),cadangan[[#This Row],[Harga Normal C]])</f>
        <v>212500</v>
      </c>
      <c r="AB918" s="73">
        <f>IFERROR(INDEX(Katalog!$F$3:$F$12,MATCH(cadangan[[#This Row],[ItemID C]],Katalog!$C$3:$C$12,0))*cadangan[[#This Row],[Qty C]],0)</f>
        <v>100000</v>
      </c>
      <c r="AC918" s="73">
        <f>IFERROR(cadangan[[#This Row],[Harga Diskon C]]-INDEX(Katalog!$E$3:$E$12,MATCH(cadangan[[#This Row],[ItemID C]],Katalog!$C$3:$C$12,0))*cadangan[[#This Row],[Qty C]],0)</f>
        <v>62500</v>
      </c>
      <c r="AD918" s="53">
        <f>cadangan[[#This Row],[Qty A]]+cadangan[[#This Row],[Qty B]]+cadangan[[#This Row],[Qty C]]</f>
        <v>7</v>
      </c>
      <c r="AE918" s="73">
        <f>cadangan[[#This Row],[Harga Normal A]]+cadangan[[#This Row],[Harga Normal B]]+cadangan[[#This Row],[Harga Normal C]]</f>
        <v>3150000</v>
      </c>
      <c r="AF918" s="73">
        <f>cadangan[[#This Row],[Harga Diskon A]]+cadangan[[#This Row],[Harga Diskon B]]+cadangan[[#This Row],[Harga Diskon C]]</f>
        <v>2677500</v>
      </c>
      <c r="AG918" s="73">
        <f>(cadangan[[#This Row],[Profit Normal A]]+cadangan[[#This Row],[Profit Normal B]]+cadangan[[#This Row],[Profit Normal C]])</f>
        <v>1250000</v>
      </c>
      <c r="AH918" s="73">
        <f>cadangan[[#This Row],[Profit Diskon A]]+cadangan[[#This Row],[Profit Diskon B]]+cadangan[[#This Row],[Profit Diskon C]]</f>
        <v>777500</v>
      </c>
      <c r="AI918" s="23" t="s">
        <v>28</v>
      </c>
      <c r="AJ918" s="37">
        <f>IFERROR(INDEX('Kode Diskon'!$D$3:$D$9,MATCH(cadangan[[#This Row],[Kode diskon]],'Kode Diskon'!$C$3:$C$9,0)),"-")</f>
        <v>0.15</v>
      </c>
      <c r="AK918" s="23" t="s">
        <v>29</v>
      </c>
      <c r="AL918" s="23" t="s">
        <v>14</v>
      </c>
      <c r="AM918" s="23" t="s">
        <v>80</v>
      </c>
      <c r="AN918" s="55">
        <v>45019</v>
      </c>
      <c r="AO918" s="53">
        <f>DAY(cadangan[[#This Row],[Tanggal terjual]])</f>
        <v>3</v>
      </c>
      <c r="AP918" s="21" t="str">
        <f>TEXT(cadangan[[#This Row],[Tanggal terjual]],"dddd")</f>
        <v>Monday</v>
      </c>
      <c r="AQ918" s="23" t="str" cm="1">
        <f t="array" ref="AQ91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8" s="61">
        <f>AVERAGE(cadangan[[#This Row],[Rating A]],cadangan[[#This Row],[Rating B]],cadangan[[#This Row],[Rating C]])</f>
        <v>2.3333333333333335</v>
      </c>
    </row>
    <row r="919" spans="1:44" x14ac:dyDescent="0.2">
      <c r="A919" s="20">
        <v>918</v>
      </c>
      <c r="B919" s="21" t="str">
        <f>_xlfn.CONCAT("ORD-",INDEX(Helper!$B$2:$B$5,MATCH(cadangan[[#This Row],[Marketplace]],Helper!$A$2:$A$5,0)),TEXT(cadangan[[#This Row],[No]],"0000"),"-",TEXT(cadangan[[#This Row],[Tanggal terjual]],"dd/mm/yy"))</f>
        <v>ORD-SP0918-02/04/23</v>
      </c>
      <c r="C919" s="39" t="s">
        <v>62</v>
      </c>
      <c r="D919" s="39" t="str">
        <f>IFERROR(INDEX(Katalog!$A$3:$A$12,MATCH(cadangan[[#This Row],[ItemID A]],Katalog!$C$3:$C$12,0)),"-")</f>
        <v>Pakaian Pria</v>
      </c>
      <c r="E919" s="39" t="str">
        <f>IFERROR(INDEX(Katalog!$B$3:$B$12,MATCH(cadangan[[#This Row],[ItemID A]],Katalog!$C$3:$C$12,0)),"-")</f>
        <v>Celana Pendek</v>
      </c>
      <c r="F919" s="50">
        <v>1</v>
      </c>
      <c r="G919" s="50">
        <v>4</v>
      </c>
      <c r="H919" s="73">
        <f>IFERROR(INDEX(Katalog!$D$3:$D$12,MATCH(cadangan[[#This Row],[ItemID A]],Katalog!$C$3:$C$12,0))*cadangan[[#This Row],[Qty A]],0)</f>
        <v>180000</v>
      </c>
      <c r="I919" s="73">
        <f>IFERROR(cadangan[[#This Row],[Harga Normal A]]-(cadangan[[#This Row],[Harga Normal A]]*cadangan[[#This Row],[Diskon]]),cadangan[[#This Row],[Harga Normal A]])</f>
        <v>153000</v>
      </c>
      <c r="J919" s="73">
        <f>INDEX(Katalog!$F$3:$F$12,MATCH(cadangan[[#This Row],[ItemID A]],Katalog!$C$3:$C$12,0))*cadangan[[#This Row],[Qty A]]</f>
        <v>70000</v>
      </c>
      <c r="K919" s="73">
        <f>IFERROR(cadangan[[#This Row],[Harga Diskon A]]-INDEX(Katalog!$E$3:$E$12,MATCH(cadangan[[#This Row],[ItemID A]],Katalog!$C$3:$C$12,0))*cadangan[[#This Row],[Qty A]],0)</f>
        <v>43000</v>
      </c>
      <c r="L919" s="39" t="s">
        <v>59</v>
      </c>
      <c r="M919" s="39" t="str">
        <f>IFERROR(INDEX(Katalog!$A$3:$A$12,MATCH(cadangan[[#This Row],[ItemID B]],Katalog!$C$3:$C$12,0)),"-")</f>
        <v>Pakaian Wanita</v>
      </c>
      <c r="N919" s="39" t="str">
        <f>IFERROR(INDEX(Katalog!$B$3:$B$12,MATCH(cadangan[[#This Row],[ItemID B]],Katalog!$C$3:$C$12,0)),"-")</f>
        <v>Blouse</v>
      </c>
      <c r="O919" s="50">
        <v>3</v>
      </c>
      <c r="P919" s="50">
        <v>2</v>
      </c>
      <c r="Q919" s="73">
        <f>IFERROR(INDEX(Katalog!$D$3:$D$12,MATCH(cadangan[[#This Row],[ItemID B]],Katalog!$C$3:$C$12,0))*cadangan[[#This Row],[Qty B]],0)</f>
        <v>450000</v>
      </c>
      <c r="R919" s="73">
        <f>IFERROR(cadangan[[#This Row],[Harga Normal B]]-(cadangan[[#This Row],[Harga Normal B]]*cadangan[[#This Row],[Diskon]]),cadangan[[#This Row],[Harga Normal B]])</f>
        <v>382500</v>
      </c>
      <c r="S919" s="73">
        <f>IFERROR(INDEX(Katalog!$F$3:$F$12,MATCH(cadangan[[#This Row],[ItemID B]],Katalog!$C$3:$C$12,0))*cadangan[[#This Row],[Qty B]],0)</f>
        <v>150000</v>
      </c>
      <c r="T919" s="73">
        <f>IFERROR(cadangan[[#This Row],[Harga Diskon B]]-INDEX(Katalog!$E$3:$E$12,MATCH(cadangan[[#This Row],[ItemID B]],Katalog!$C$3:$C$12,0))*cadangan[[#This Row],[Qty B]],0)</f>
        <v>82500</v>
      </c>
      <c r="U919" s="39" t="s">
        <v>67</v>
      </c>
      <c r="V919" s="39" t="str">
        <f>IFERROR(INDEX(Katalog!$A$3:$A$12,MATCH(cadangan[[#This Row],[ItemID C]],Katalog!$C$3:$C$12,0)),"-")</f>
        <v>Sepatu Wanita</v>
      </c>
      <c r="W919" s="39" t="str">
        <f>IFERROR(INDEX(Katalog!$B$3:$B$12,MATCH(cadangan[[#This Row],[ItemID C]],Katalog!$C$3:$C$12,0)),"-")</f>
        <v>Flat Shoes</v>
      </c>
      <c r="X919" s="50">
        <v>2</v>
      </c>
      <c r="Y919" s="50">
        <v>5</v>
      </c>
      <c r="Z919" s="73">
        <f>IFERROR(INDEX(Katalog!$D$3:$D$12,MATCH(cadangan[[#This Row],[ItemID C]],Katalog!$C$3:$C$12,0))*cadangan[[#This Row],[Qty C]],0)</f>
        <v>500000</v>
      </c>
      <c r="AA919" s="73">
        <f>IFERROR(cadangan[[#This Row],[Harga Normal C]]-(cadangan[[#This Row],[Harga Normal C]]*cadangan[[#This Row],[Diskon]]),cadangan[[#This Row],[Harga Normal C]])</f>
        <v>425000</v>
      </c>
      <c r="AB919" s="73">
        <f>IFERROR(INDEX(Katalog!$F$3:$F$12,MATCH(cadangan[[#This Row],[ItemID C]],Katalog!$C$3:$C$12,0))*cadangan[[#This Row],[Qty C]],0)</f>
        <v>200000</v>
      </c>
      <c r="AC919" s="73">
        <f>IFERROR(cadangan[[#This Row],[Harga Diskon C]]-INDEX(Katalog!$E$3:$E$12,MATCH(cadangan[[#This Row],[ItemID C]],Katalog!$C$3:$C$12,0))*cadangan[[#This Row],[Qty C]],0)</f>
        <v>125000</v>
      </c>
      <c r="AD919" s="53">
        <f>cadangan[[#This Row],[Qty A]]+cadangan[[#This Row],[Qty B]]+cadangan[[#This Row],[Qty C]]</f>
        <v>6</v>
      </c>
      <c r="AE919" s="73">
        <f>cadangan[[#This Row],[Harga Normal A]]+cadangan[[#This Row],[Harga Normal B]]+cadangan[[#This Row],[Harga Normal C]]</f>
        <v>1130000</v>
      </c>
      <c r="AF919" s="73">
        <f>cadangan[[#This Row],[Harga Diskon A]]+cadangan[[#This Row],[Harga Diskon B]]+cadangan[[#This Row],[Harga Diskon C]]</f>
        <v>960500</v>
      </c>
      <c r="AG919" s="73">
        <f>(cadangan[[#This Row],[Profit Normal A]]+cadangan[[#This Row],[Profit Normal B]]+cadangan[[#This Row],[Profit Normal C]])</f>
        <v>420000</v>
      </c>
      <c r="AH919" s="73">
        <f>cadangan[[#This Row],[Profit Diskon A]]+cadangan[[#This Row],[Profit Diskon B]]+cadangan[[#This Row],[Profit Diskon C]]</f>
        <v>250500</v>
      </c>
      <c r="AI919" s="23" t="s">
        <v>13</v>
      </c>
      <c r="AJ919" s="37">
        <f>IFERROR(INDEX('Kode Diskon'!$D$3:$D$9,MATCH(cadangan[[#This Row],[Kode diskon]],'Kode Diskon'!$C$3:$C$9,0)),"-")</f>
        <v>0.15</v>
      </c>
      <c r="AK919" s="23" t="s">
        <v>29</v>
      </c>
      <c r="AL919" s="23" t="s">
        <v>7</v>
      </c>
      <c r="AM919" s="23" t="s">
        <v>77</v>
      </c>
      <c r="AN919" s="55">
        <v>45018</v>
      </c>
      <c r="AO919" s="53">
        <f>DAY(cadangan[[#This Row],[Tanggal terjual]])</f>
        <v>2</v>
      </c>
      <c r="AP919" s="21" t="str">
        <f>TEXT(cadangan[[#This Row],[Tanggal terjual]],"dddd")</f>
        <v>Sunday</v>
      </c>
      <c r="AQ919" s="23" t="str" cm="1">
        <f t="array" ref="AQ91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19" s="61">
        <f>AVERAGE(cadangan[[#This Row],[Rating A]],cadangan[[#This Row],[Rating B]],cadangan[[#This Row],[Rating C]])</f>
        <v>3.6666666666666665</v>
      </c>
    </row>
    <row r="920" spans="1:44" x14ac:dyDescent="0.2">
      <c r="A920" s="20">
        <v>919</v>
      </c>
      <c r="B920" s="21" t="str">
        <f>_xlfn.CONCAT("ORD-",INDEX(Helper!$B$2:$B$5,MATCH(cadangan[[#This Row],[Marketplace]],Helper!$A$2:$A$5,0)),TEXT(cadangan[[#This Row],[No]],"0000"),"-",TEXT(cadangan[[#This Row],[Tanggal terjual]],"dd/mm/yy"))</f>
        <v>ORD-SP0919-13/04/23</v>
      </c>
      <c r="C920" s="39" t="s">
        <v>63</v>
      </c>
      <c r="D920" s="39" t="str">
        <f>IFERROR(INDEX(Katalog!$A$3:$A$12,MATCH(cadangan[[#This Row],[ItemID A]],Katalog!$C$3:$C$12,0)),"-")</f>
        <v>Pakaian Pria</v>
      </c>
      <c r="E920" s="39" t="str">
        <f>IFERROR(INDEX(Katalog!$B$3:$B$12,MATCH(cadangan[[#This Row],[ItemID A]],Katalog!$C$3:$C$12,0)),"-")</f>
        <v>Jaket Jeans</v>
      </c>
      <c r="F920" s="50">
        <v>5</v>
      </c>
      <c r="G920" s="50">
        <v>5</v>
      </c>
      <c r="H920" s="73">
        <f>IFERROR(INDEX(Katalog!$D$3:$D$12,MATCH(cadangan[[#This Row],[ItemID A]],Katalog!$C$3:$C$12,0))*cadangan[[#This Row],[Qty A]],0)</f>
        <v>2000000</v>
      </c>
      <c r="I920" s="73">
        <f>IFERROR(cadangan[[#This Row],[Harga Normal A]]-(cadangan[[#This Row],[Harga Normal A]]*cadangan[[#This Row],[Diskon]]),cadangan[[#This Row],[Harga Normal A]])</f>
        <v>2000000</v>
      </c>
      <c r="J920" s="73">
        <f>INDEX(Katalog!$F$3:$F$12,MATCH(cadangan[[#This Row],[ItemID A]],Katalog!$C$3:$C$12,0))*cadangan[[#This Row],[Qty A]]</f>
        <v>750000</v>
      </c>
      <c r="K920" s="73">
        <f>IFERROR(cadangan[[#This Row],[Harga Diskon A]]-INDEX(Katalog!$E$3:$E$12,MATCH(cadangan[[#This Row],[ItemID A]],Katalog!$C$3:$C$12,0))*cadangan[[#This Row],[Qty A]],0)</f>
        <v>750000</v>
      </c>
      <c r="M920" s="39" t="str">
        <f>IFERROR(INDEX(Katalog!$A$3:$A$12,MATCH(cadangan[[#This Row],[ItemID B]],Katalog!$C$3:$C$12,0)),"-")</f>
        <v>-</v>
      </c>
      <c r="N920" s="39" t="str">
        <f>IFERROR(INDEX(Katalog!$B$3:$B$12,MATCH(cadangan[[#This Row],[ItemID B]],Katalog!$C$3:$C$12,0)),"-")</f>
        <v>-</v>
      </c>
      <c r="Q920" s="73">
        <f>IFERROR(INDEX(Katalog!$D$3:$D$12,MATCH(cadangan[[#This Row],[ItemID B]],Katalog!$C$3:$C$12,0))*cadangan[[#This Row],[Qty B]],0)</f>
        <v>0</v>
      </c>
      <c r="R920" s="73">
        <f>IFERROR(cadangan[[#This Row],[Harga Normal B]]-(cadangan[[#This Row],[Harga Normal B]]*cadangan[[#This Row],[Diskon]]),cadangan[[#This Row],[Harga Normal B]])</f>
        <v>0</v>
      </c>
      <c r="S920" s="73">
        <f>IFERROR(INDEX(Katalog!$F$3:$F$12,MATCH(cadangan[[#This Row],[ItemID B]],Katalog!$C$3:$C$12,0))*cadangan[[#This Row],[Qty B]],0)</f>
        <v>0</v>
      </c>
      <c r="T920" s="73">
        <f>IFERROR(cadangan[[#This Row],[Harga Diskon B]]-INDEX(Katalog!$E$3:$E$12,MATCH(cadangan[[#This Row],[ItemID B]],Katalog!$C$3:$C$12,0))*cadangan[[#This Row],[Qty B]],0)</f>
        <v>0</v>
      </c>
      <c r="V920" s="39" t="str">
        <f>IFERROR(INDEX(Katalog!$A$3:$A$12,MATCH(cadangan[[#This Row],[ItemID C]],Katalog!$C$3:$C$12,0)),"-")</f>
        <v>-</v>
      </c>
      <c r="W920" s="39" t="str">
        <f>IFERROR(INDEX(Katalog!$B$3:$B$12,MATCH(cadangan[[#This Row],[ItemID C]],Katalog!$C$3:$C$12,0)),"-")</f>
        <v>-</v>
      </c>
      <c r="Z920" s="73">
        <f>IFERROR(INDEX(Katalog!$D$3:$D$12,MATCH(cadangan[[#This Row],[ItemID C]],Katalog!$C$3:$C$12,0))*cadangan[[#This Row],[Qty C]],0)</f>
        <v>0</v>
      </c>
      <c r="AA920" s="73">
        <f>IFERROR(cadangan[[#This Row],[Harga Normal C]]-(cadangan[[#This Row],[Harga Normal C]]*cadangan[[#This Row],[Diskon]]),cadangan[[#This Row],[Harga Normal C]])</f>
        <v>0</v>
      </c>
      <c r="AB920" s="73">
        <f>IFERROR(INDEX(Katalog!$F$3:$F$12,MATCH(cadangan[[#This Row],[ItemID C]],Katalog!$C$3:$C$12,0))*cadangan[[#This Row],[Qty C]],0)</f>
        <v>0</v>
      </c>
      <c r="AC920" s="73">
        <f>IFERROR(cadangan[[#This Row],[Harga Diskon C]]-INDEX(Katalog!$E$3:$E$12,MATCH(cadangan[[#This Row],[ItemID C]],Katalog!$C$3:$C$12,0))*cadangan[[#This Row],[Qty C]],0)</f>
        <v>0</v>
      </c>
      <c r="AD920" s="53">
        <f>cadangan[[#This Row],[Qty A]]+cadangan[[#This Row],[Qty B]]+cadangan[[#This Row],[Qty C]]</f>
        <v>5</v>
      </c>
      <c r="AE920" s="73">
        <f>cadangan[[#This Row],[Harga Normal A]]+cadangan[[#This Row],[Harga Normal B]]+cadangan[[#This Row],[Harga Normal C]]</f>
        <v>2000000</v>
      </c>
      <c r="AF920" s="73">
        <f>cadangan[[#This Row],[Harga Diskon A]]+cadangan[[#This Row],[Harga Diskon B]]+cadangan[[#This Row],[Harga Diskon C]]</f>
        <v>2000000</v>
      </c>
      <c r="AG920" s="73">
        <f>(cadangan[[#This Row],[Profit Normal A]]+cadangan[[#This Row],[Profit Normal B]]+cadangan[[#This Row],[Profit Normal C]])</f>
        <v>750000</v>
      </c>
      <c r="AH920" s="73">
        <f>cadangan[[#This Row],[Profit Diskon A]]+cadangan[[#This Row],[Profit Diskon B]]+cadangan[[#This Row],[Profit Diskon C]]</f>
        <v>750000</v>
      </c>
      <c r="AI920" s="23" t="s">
        <v>290</v>
      </c>
      <c r="AJ920" s="37" t="str">
        <f>IFERROR(INDEX('Kode Diskon'!$D$3:$D$9,MATCH(cadangan[[#This Row],[Kode diskon]],'Kode Diskon'!$C$3:$C$9,0)),"-")</f>
        <v>-</v>
      </c>
      <c r="AK920" s="23" t="s">
        <v>290</v>
      </c>
      <c r="AL920" s="23" t="s">
        <v>7</v>
      </c>
      <c r="AM920" s="23" t="s">
        <v>75</v>
      </c>
      <c r="AN920" s="55">
        <v>45029</v>
      </c>
      <c r="AO920" s="53">
        <f>DAY(cadangan[[#This Row],[Tanggal terjual]])</f>
        <v>13</v>
      </c>
      <c r="AP920" s="21" t="str">
        <f>TEXT(cadangan[[#This Row],[Tanggal terjual]],"dddd")</f>
        <v>Thursday</v>
      </c>
      <c r="AQ920" s="23" t="str" cm="1">
        <f t="array" ref="AQ92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20" s="61">
        <f>AVERAGE(cadangan[[#This Row],[Rating A]],cadangan[[#This Row],[Rating B]],cadangan[[#This Row],[Rating C]])</f>
        <v>5</v>
      </c>
    </row>
    <row r="921" spans="1:44" x14ac:dyDescent="0.2">
      <c r="A921" s="20">
        <v>920</v>
      </c>
      <c r="B921" s="21" t="str">
        <f>_xlfn.CONCAT("ORD-",INDEX(Helper!$B$2:$B$5,MATCH(cadangan[[#This Row],[Marketplace]],Helper!$A$2:$A$5,0)),TEXT(cadangan[[#This Row],[No]],"0000"),"-",TEXT(cadangan[[#This Row],[Tanggal terjual]],"dd/mm/yy"))</f>
        <v>ORD-SP0920-01/04/23</v>
      </c>
      <c r="C921" s="39" t="s">
        <v>61</v>
      </c>
      <c r="D921" s="39" t="str">
        <f>IFERROR(INDEX(Katalog!$A$3:$A$12,MATCH(cadangan[[#This Row],[ItemID A]],Katalog!$C$3:$C$12,0)),"-")</f>
        <v>Pakaian Pria</v>
      </c>
      <c r="E921" s="39" t="str">
        <f>IFERROR(INDEX(Katalog!$B$3:$B$12,MATCH(cadangan[[#This Row],[ItemID A]],Katalog!$C$3:$C$12,0)),"-")</f>
        <v>Kaos Polo</v>
      </c>
      <c r="F921" s="50">
        <v>1</v>
      </c>
      <c r="G921" s="50">
        <v>5</v>
      </c>
      <c r="H921" s="73">
        <f>IFERROR(INDEX(Katalog!$D$3:$D$12,MATCH(cadangan[[#This Row],[ItemID A]],Katalog!$C$3:$C$12,0))*cadangan[[#This Row],[Qty A]],0)</f>
        <v>200000</v>
      </c>
      <c r="I921" s="73">
        <f>IFERROR(cadangan[[#This Row],[Harga Normal A]]-(cadangan[[#This Row],[Harga Normal A]]*cadangan[[#This Row],[Diskon]]),cadangan[[#This Row],[Harga Normal A]])</f>
        <v>170000</v>
      </c>
      <c r="J921" s="73">
        <f>INDEX(Katalog!$F$3:$F$12,MATCH(cadangan[[#This Row],[ItemID A]],Katalog!$C$3:$C$12,0))*cadangan[[#This Row],[Qty A]]</f>
        <v>80000</v>
      </c>
      <c r="K921" s="73">
        <f>IFERROR(cadangan[[#This Row],[Harga Diskon A]]-INDEX(Katalog!$E$3:$E$12,MATCH(cadangan[[#This Row],[ItemID A]],Katalog!$C$3:$C$12,0))*cadangan[[#This Row],[Qty A]],0)</f>
        <v>50000</v>
      </c>
      <c r="M921" s="39" t="str">
        <f>IFERROR(INDEX(Katalog!$A$3:$A$12,MATCH(cadangan[[#This Row],[ItemID B]],Katalog!$C$3:$C$12,0)),"-")</f>
        <v>-</v>
      </c>
      <c r="N921" s="39" t="str">
        <f>IFERROR(INDEX(Katalog!$B$3:$B$12,MATCH(cadangan[[#This Row],[ItemID B]],Katalog!$C$3:$C$12,0)),"-")</f>
        <v>-</v>
      </c>
      <c r="Q921" s="73">
        <f>IFERROR(INDEX(Katalog!$D$3:$D$12,MATCH(cadangan[[#This Row],[ItemID B]],Katalog!$C$3:$C$12,0))*cadangan[[#This Row],[Qty B]],0)</f>
        <v>0</v>
      </c>
      <c r="R921" s="73">
        <f>IFERROR(cadangan[[#This Row],[Harga Normal B]]-(cadangan[[#This Row],[Harga Normal B]]*cadangan[[#This Row],[Diskon]]),cadangan[[#This Row],[Harga Normal B]])</f>
        <v>0</v>
      </c>
      <c r="S921" s="73">
        <f>IFERROR(INDEX(Katalog!$F$3:$F$12,MATCH(cadangan[[#This Row],[ItemID B]],Katalog!$C$3:$C$12,0))*cadangan[[#This Row],[Qty B]],0)</f>
        <v>0</v>
      </c>
      <c r="T921" s="73">
        <f>IFERROR(cadangan[[#This Row],[Harga Diskon B]]-INDEX(Katalog!$E$3:$E$12,MATCH(cadangan[[#This Row],[ItemID B]],Katalog!$C$3:$C$12,0))*cadangan[[#This Row],[Qty B]],0)</f>
        <v>0</v>
      </c>
      <c r="V921" s="39" t="str">
        <f>IFERROR(INDEX(Katalog!$A$3:$A$12,MATCH(cadangan[[#This Row],[ItemID C]],Katalog!$C$3:$C$12,0)),"-")</f>
        <v>-</v>
      </c>
      <c r="W921" s="39" t="str">
        <f>IFERROR(INDEX(Katalog!$B$3:$B$12,MATCH(cadangan[[#This Row],[ItemID C]],Katalog!$C$3:$C$12,0)),"-")</f>
        <v>-</v>
      </c>
      <c r="Z921" s="73">
        <f>IFERROR(INDEX(Katalog!$D$3:$D$12,MATCH(cadangan[[#This Row],[ItemID C]],Katalog!$C$3:$C$12,0))*cadangan[[#This Row],[Qty C]],0)</f>
        <v>0</v>
      </c>
      <c r="AA921" s="73">
        <f>IFERROR(cadangan[[#This Row],[Harga Normal C]]-(cadangan[[#This Row],[Harga Normal C]]*cadangan[[#This Row],[Diskon]]),cadangan[[#This Row],[Harga Normal C]])</f>
        <v>0</v>
      </c>
      <c r="AB921" s="73">
        <f>IFERROR(INDEX(Katalog!$F$3:$F$12,MATCH(cadangan[[#This Row],[ItemID C]],Katalog!$C$3:$C$12,0))*cadangan[[#This Row],[Qty C]],0)</f>
        <v>0</v>
      </c>
      <c r="AC921" s="73">
        <f>IFERROR(cadangan[[#This Row],[Harga Diskon C]]-INDEX(Katalog!$E$3:$E$12,MATCH(cadangan[[#This Row],[ItemID C]],Katalog!$C$3:$C$12,0))*cadangan[[#This Row],[Qty C]],0)</f>
        <v>0</v>
      </c>
      <c r="AD921" s="53">
        <f>cadangan[[#This Row],[Qty A]]+cadangan[[#This Row],[Qty B]]+cadangan[[#This Row],[Qty C]]</f>
        <v>1</v>
      </c>
      <c r="AE921" s="73">
        <f>cadangan[[#This Row],[Harga Normal A]]+cadangan[[#This Row],[Harga Normal B]]+cadangan[[#This Row],[Harga Normal C]]</f>
        <v>200000</v>
      </c>
      <c r="AF921" s="73">
        <f>cadangan[[#This Row],[Harga Diskon A]]+cadangan[[#This Row],[Harga Diskon B]]+cadangan[[#This Row],[Harga Diskon C]]</f>
        <v>170000</v>
      </c>
      <c r="AG921" s="73">
        <f>(cadangan[[#This Row],[Profit Normal A]]+cadangan[[#This Row],[Profit Normal B]]+cadangan[[#This Row],[Profit Normal C]])</f>
        <v>80000</v>
      </c>
      <c r="AH921" s="73">
        <f>cadangan[[#This Row],[Profit Diskon A]]+cadangan[[#This Row],[Profit Diskon B]]+cadangan[[#This Row],[Profit Diskon C]]</f>
        <v>50000</v>
      </c>
      <c r="AI921" s="23" t="s">
        <v>13</v>
      </c>
      <c r="AJ921" s="37">
        <f>IFERROR(INDEX('Kode Diskon'!$D$3:$D$9,MATCH(cadangan[[#This Row],[Kode diskon]],'Kode Diskon'!$C$3:$C$9,0)),"-")</f>
        <v>0.15</v>
      </c>
      <c r="AK921" s="23" t="s">
        <v>29</v>
      </c>
      <c r="AL921" s="23" t="s">
        <v>7</v>
      </c>
      <c r="AM921" s="23" t="s">
        <v>79</v>
      </c>
      <c r="AN921" s="55">
        <v>45017</v>
      </c>
      <c r="AO921" s="53">
        <f>DAY(cadangan[[#This Row],[Tanggal terjual]])</f>
        <v>1</v>
      </c>
      <c r="AP921" s="21" t="str">
        <f>TEXT(cadangan[[#This Row],[Tanggal terjual]],"dddd")</f>
        <v>Saturday</v>
      </c>
      <c r="AQ921" s="23" t="str" cm="1">
        <f t="array" ref="AQ92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1" s="61">
        <f>AVERAGE(cadangan[[#This Row],[Rating A]],cadangan[[#This Row],[Rating B]],cadangan[[#This Row],[Rating C]])</f>
        <v>5</v>
      </c>
    </row>
    <row r="922" spans="1:44" x14ac:dyDescent="0.2">
      <c r="A922" s="20">
        <v>921</v>
      </c>
      <c r="B922" s="21" t="str">
        <f>_xlfn.CONCAT("ORD-",INDEX(Helper!$B$2:$B$5,MATCH(cadangan[[#This Row],[Marketplace]],Helper!$A$2:$A$5,0)),TEXT(cadangan[[#This Row],[No]],"0000"),"-",TEXT(cadangan[[#This Row],[Tanggal terjual]],"dd/mm/yy"))</f>
        <v>ORD-SP0921-05/04/23</v>
      </c>
      <c r="C922" s="39" t="s">
        <v>62</v>
      </c>
      <c r="D922" s="39" t="str">
        <f>IFERROR(INDEX(Katalog!$A$3:$A$12,MATCH(cadangan[[#This Row],[ItemID A]],Katalog!$C$3:$C$12,0)),"-")</f>
        <v>Pakaian Pria</v>
      </c>
      <c r="E922" s="39" t="str">
        <f>IFERROR(INDEX(Katalog!$B$3:$B$12,MATCH(cadangan[[#This Row],[ItemID A]],Katalog!$C$3:$C$12,0)),"-")</f>
        <v>Celana Pendek</v>
      </c>
      <c r="F922" s="50">
        <v>1</v>
      </c>
      <c r="G922" s="50">
        <v>1</v>
      </c>
      <c r="H922" s="73">
        <f>IFERROR(INDEX(Katalog!$D$3:$D$12,MATCH(cadangan[[#This Row],[ItemID A]],Katalog!$C$3:$C$12,0))*cadangan[[#This Row],[Qty A]],0)</f>
        <v>180000</v>
      </c>
      <c r="I922" s="73">
        <f>IFERROR(cadangan[[#This Row],[Harga Normal A]]-(cadangan[[#This Row],[Harga Normal A]]*cadangan[[#This Row],[Diskon]]),cadangan[[#This Row],[Harga Normal A]])</f>
        <v>162000</v>
      </c>
      <c r="J922" s="73">
        <f>INDEX(Katalog!$F$3:$F$12,MATCH(cadangan[[#This Row],[ItemID A]],Katalog!$C$3:$C$12,0))*cadangan[[#This Row],[Qty A]]</f>
        <v>70000</v>
      </c>
      <c r="K922" s="73">
        <f>IFERROR(cadangan[[#This Row],[Harga Diskon A]]-INDEX(Katalog!$E$3:$E$12,MATCH(cadangan[[#This Row],[ItemID A]],Katalog!$C$3:$C$12,0))*cadangan[[#This Row],[Qty A]],0)</f>
        <v>52000</v>
      </c>
      <c r="L922" s="39" t="s">
        <v>66</v>
      </c>
      <c r="M922" s="39" t="str">
        <f>IFERROR(INDEX(Katalog!$A$3:$A$12,MATCH(cadangan[[#This Row],[ItemID B]],Katalog!$C$3:$C$12,0)),"-")</f>
        <v>Sepatu Pria</v>
      </c>
      <c r="N922" s="39" t="str">
        <f>IFERROR(INDEX(Katalog!$B$3:$B$12,MATCH(cadangan[[#This Row],[ItemID B]],Katalog!$C$3:$C$12,0)),"-")</f>
        <v>Sandal Slip On</v>
      </c>
      <c r="O922" s="50">
        <v>1</v>
      </c>
      <c r="P922" s="50">
        <v>3</v>
      </c>
      <c r="Q922" s="73">
        <f>IFERROR(INDEX(Katalog!$D$3:$D$12,MATCH(cadangan[[#This Row],[ItemID B]],Katalog!$C$3:$C$12,0))*cadangan[[#This Row],[Qty B]],0)</f>
        <v>150000</v>
      </c>
      <c r="R922" s="73">
        <f>IFERROR(cadangan[[#This Row],[Harga Normal B]]-(cadangan[[#This Row],[Harga Normal B]]*cadangan[[#This Row],[Diskon]]),cadangan[[#This Row],[Harga Normal B]])</f>
        <v>135000</v>
      </c>
      <c r="S922" s="73">
        <f>IFERROR(INDEX(Katalog!$F$3:$F$12,MATCH(cadangan[[#This Row],[ItemID B]],Katalog!$C$3:$C$12,0))*cadangan[[#This Row],[Qty B]],0)</f>
        <v>60000</v>
      </c>
      <c r="T922" s="73">
        <f>IFERROR(cadangan[[#This Row],[Harga Diskon B]]-INDEX(Katalog!$E$3:$E$12,MATCH(cadangan[[#This Row],[ItemID B]],Katalog!$C$3:$C$12,0))*cadangan[[#This Row],[Qty B]],0)</f>
        <v>45000</v>
      </c>
      <c r="V922" s="39" t="str">
        <f>IFERROR(INDEX(Katalog!$A$3:$A$12,MATCH(cadangan[[#This Row],[ItemID C]],Katalog!$C$3:$C$12,0)),"-")</f>
        <v>-</v>
      </c>
      <c r="W922" s="39" t="str">
        <f>IFERROR(INDEX(Katalog!$B$3:$B$12,MATCH(cadangan[[#This Row],[ItemID C]],Katalog!$C$3:$C$12,0)),"-")</f>
        <v>-</v>
      </c>
      <c r="Z922" s="73">
        <f>IFERROR(INDEX(Katalog!$D$3:$D$12,MATCH(cadangan[[#This Row],[ItemID C]],Katalog!$C$3:$C$12,0))*cadangan[[#This Row],[Qty C]],0)</f>
        <v>0</v>
      </c>
      <c r="AA922" s="73">
        <f>IFERROR(cadangan[[#This Row],[Harga Normal C]]-(cadangan[[#This Row],[Harga Normal C]]*cadangan[[#This Row],[Diskon]]),cadangan[[#This Row],[Harga Normal C]])</f>
        <v>0</v>
      </c>
      <c r="AB922" s="73">
        <f>IFERROR(INDEX(Katalog!$F$3:$F$12,MATCH(cadangan[[#This Row],[ItemID C]],Katalog!$C$3:$C$12,0))*cadangan[[#This Row],[Qty C]],0)</f>
        <v>0</v>
      </c>
      <c r="AC922" s="73">
        <f>IFERROR(cadangan[[#This Row],[Harga Diskon C]]-INDEX(Katalog!$E$3:$E$12,MATCH(cadangan[[#This Row],[ItemID C]],Katalog!$C$3:$C$12,0))*cadangan[[#This Row],[Qty C]],0)</f>
        <v>0</v>
      </c>
      <c r="AD922" s="53">
        <f>cadangan[[#This Row],[Qty A]]+cadangan[[#This Row],[Qty B]]+cadangan[[#This Row],[Qty C]]</f>
        <v>2</v>
      </c>
      <c r="AE922" s="73">
        <f>cadangan[[#This Row],[Harga Normal A]]+cadangan[[#This Row],[Harga Normal B]]+cadangan[[#This Row],[Harga Normal C]]</f>
        <v>330000</v>
      </c>
      <c r="AF922" s="73">
        <f>cadangan[[#This Row],[Harga Diskon A]]+cadangan[[#This Row],[Harga Diskon B]]+cadangan[[#This Row],[Harga Diskon C]]</f>
        <v>297000</v>
      </c>
      <c r="AG922" s="73">
        <f>(cadangan[[#This Row],[Profit Normal A]]+cadangan[[#This Row],[Profit Normal B]]+cadangan[[#This Row],[Profit Normal C]])</f>
        <v>130000</v>
      </c>
      <c r="AH922" s="73">
        <f>cadangan[[#This Row],[Profit Diskon A]]+cadangan[[#This Row],[Profit Diskon B]]+cadangan[[#This Row],[Profit Diskon C]]</f>
        <v>97000</v>
      </c>
      <c r="AI922" s="23" t="s">
        <v>6</v>
      </c>
      <c r="AJ922" s="37">
        <f>IFERROR(INDEX('Kode Diskon'!$D$3:$D$9,MATCH(cadangan[[#This Row],[Kode diskon]],'Kode Diskon'!$C$3:$C$9,0)),"-")</f>
        <v>0.1</v>
      </c>
      <c r="AK922" s="23" t="s">
        <v>29</v>
      </c>
      <c r="AL922" s="23" t="s">
        <v>7</v>
      </c>
      <c r="AM922" s="23" t="s">
        <v>75</v>
      </c>
      <c r="AN922" s="55">
        <v>45021</v>
      </c>
      <c r="AO922" s="53">
        <f>DAY(cadangan[[#This Row],[Tanggal terjual]])</f>
        <v>5</v>
      </c>
      <c r="AP922" s="21" t="str">
        <f>TEXT(cadangan[[#This Row],[Tanggal terjual]],"dddd")</f>
        <v>Wednesday</v>
      </c>
      <c r="AQ922" s="23" t="str" cm="1">
        <f t="array" ref="AQ92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2" s="61">
        <f>AVERAGE(cadangan[[#This Row],[Rating A]],cadangan[[#This Row],[Rating B]],cadangan[[#This Row],[Rating C]])</f>
        <v>2</v>
      </c>
    </row>
    <row r="923" spans="1:44" x14ac:dyDescent="0.2">
      <c r="A923" s="20">
        <v>922</v>
      </c>
      <c r="B923" s="21" t="str">
        <f>_xlfn.CONCAT("ORD-",INDEX(Helper!$B$2:$B$5,MATCH(cadangan[[#This Row],[Marketplace]],Helper!$A$2:$A$5,0)),TEXT(cadangan[[#This Row],[No]],"0000"),"-",TEXT(cadangan[[#This Row],[Tanggal terjual]],"dd/mm/yy"))</f>
        <v>ORD-SP0922-02/04/23</v>
      </c>
      <c r="C923" s="39" t="s">
        <v>60</v>
      </c>
      <c r="D923" s="39" t="str">
        <f>IFERROR(INDEX(Katalog!$A$3:$A$12,MATCH(cadangan[[#This Row],[ItemID A]],Katalog!$C$3:$C$12,0)),"-")</f>
        <v>Pakaian Wanita</v>
      </c>
      <c r="E923" s="39" t="str">
        <f>IFERROR(INDEX(Katalog!$B$3:$B$12,MATCH(cadangan[[#This Row],[ItemID A]],Katalog!$C$3:$C$12,0)),"-")</f>
        <v>Kaftan</v>
      </c>
      <c r="F923" s="50">
        <v>1</v>
      </c>
      <c r="G923" s="50">
        <v>1</v>
      </c>
      <c r="H923" s="73">
        <f>IFERROR(INDEX(Katalog!$D$3:$D$12,MATCH(cadangan[[#This Row],[ItemID A]],Katalog!$C$3:$C$12,0))*cadangan[[#This Row],[Qty A]],0)</f>
        <v>250000</v>
      </c>
      <c r="I923" s="73">
        <f>IFERROR(cadangan[[#This Row],[Harga Normal A]]-(cadangan[[#This Row],[Harga Normal A]]*cadangan[[#This Row],[Diskon]]),cadangan[[#This Row],[Harga Normal A]])</f>
        <v>225000</v>
      </c>
      <c r="J923" s="73">
        <f>INDEX(Katalog!$F$3:$F$12,MATCH(cadangan[[#This Row],[ItemID A]],Katalog!$C$3:$C$12,0))*cadangan[[#This Row],[Qty A]]</f>
        <v>100000</v>
      </c>
      <c r="K923" s="73">
        <f>IFERROR(cadangan[[#This Row],[Harga Diskon A]]-INDEX(Katalog!$E$3:$E$12,MATCH(cadangan[[#This Row],[ItemID A]],Katalog!$C$3:$C$12,0))*cadangan[[#This Row],[Qty A]],0)</f>
        <v>75000</v>
      </c>
      <c r="L923" s="39" t="s">
        <v>63</v>
      </c>
      <c r="M923" s="39" t="str">
        <f>IFERROR(INDEX(Katalog!$A$3:$A$12,MATCH(cadangan[[#This Row],[ItemID B]],Katalog!$C$3:$C$12,0)),"-")</f>
        <v>Pakaian Pria</v>
      </c>
      <c r="N923" s="39" t="str">
        <f>IFERROR(INDEX(Katalog!$B$3:$B$12,MATCH(cadangan[[#This Row],[ItemID B]],Katalog!$C$3:$C$12,0)),"-")</f>
        <v>Jaket Jeans</v>
      </c>
      <c r="O923" s="50">
        <v>4</v>
      </c>
      <c r="P923" s="50">
        <v>3</v>
      </c>
      <c r="Q923" s="73">
        <f>IFERROR(INDEX(Katalog!$D$3:$D$12,MATCH(cadangan[[#This Row],[ItemID B]],Katalog!$C$3:$C$12,0))*cadangan[[#This Row],[Qty B]],0)</f>
        <v>1600000</v>
      </c>
      <c r="R923" s="73">
        <f>IFERROR(cadangan[[#This Row],[Harga Normal B]]-(cadangan[[#This Row],[Harga Normal B]]*cadangan[[#This Row],[Diskon]]),cadangan[[#This Row],[Harga Normal B]])</f>
        <v>1440000</v>
      </c>
      <c r="S923" s="73">
        <f>IFERROR(INDEX(Katalog!$F$3:$F$12,MATCH(cadangan[[#This Row],[ItemID B]],Katalog!$C$3:$C$12,0))*cadangan[[#This Row],[Qty B]],0)</f>
        <v>600000</v>
      </c>
      <c r="T923" s="73">
        <f>IFERROR(cadangan[[#This Row],[Harga Diskon B]]-INDEX(Katalog!$E$3:$E$12,MATCH(cadangan[[#This Row],[ItemID B]],Katalog!$C$3:$C$12,0))*cadangan[[#This Row],[Qty B]],0)</f>
        <v>440000</v>
      </c>
      <c r="U923" s="39" t="s">
        <v>64</v>
      </c>
      <c r="V923" s="39" t="str">
        <f>IFERROR(INDEX(Katalog!$A$3:$A$12,MATCH(cadangan[[#This Row],[ItemID C]],Katalog!$C$3:$C$12,0)),"-")</f>
        <v>Pakaian Unisex</v>
      </c>
      <c r="W923" s="39" t="str">
        <f>IFERROR(INDEX(Katalog!$B$3:$B$12,MATCH(cadangan[[#This Row],[ItemID C]],Katalog!$C$3:$C$12,0)),"-")</f>
        <v>Jaket Hoodie</v>
      </c>
      <c r="X923" s="50">
        <v>1</v>
      </c>
      <c r="Y923" s="50">
        <v>5</v>
      </c>
      <c r="Z923" s="73">
        <f>IFERROR(INDEX(Katalog!$D$3:$D$12,MATCH(cadangan[[#This Row],[ItemID C]],Katalog!$C$3:$C$12,0))*cadangan[[#This Row],[Qty C]],0)</f>
        <v>350000</v>
      </c>
      <c r="AA923" s="73">
        <f>IFERROR(cadangan[[#This Row],[Harga Normal C]]-(cadangan[[#This Row],[Harga Normal C]]*cadangan[[#This Row],[Diskon]]),cadangan[[#This Row],[Harga Normal C]])</f>
        <v>315000</v>
      </c>
      <c r="AB923" s="73">
        <f>IFERROR(INDEX(Katalog!$F$3:$F$12,MATCH(cadangan[[#This Row],[ItemID C]],Katalog!$C$3:$C$12,0))*cadangan[[#This Row],[Qty C]],0)</f>
        <v>130000</v>
      </c>
      <c r="AC923" s="73">
        <f>IFERROR(cadangan[[#This Row],[Harga Diskon C]]-INDEX(Katalog!$E$3:$E$12,MATCH(cadangan[[#This Row],[ItemID C]],Katalog!$C$3:$C$12,0))*cadangan[[#This Row],[Qty C]],0)</f>
        <v>95000</v>
      </c>
      <c r="AD923" s="53">
        <f>cadangan[[#This Row],[Qty A]]+cadangan[[#This Row],[Qty B]]+cadangan[[#This Row],[Qty C]]</f>
        <v>6</v>
      </c>
      <c r="AE923" s="73">
        <f>cadangan[[#This Row],[Harga Normal A]]+cadangan[[#This Row],[Harga Normal B]]+cadangan[[#This Row],[Harga Normal C]]</f>
        <v>2200000</v>
      </c>
      <c r="AF923" s="73">
        <f>cadangan[[#This Row],[Harga Diskon A]]+cadangan[[#This Row],[Harga Diskon B]]+cadangan[[#This Row],[Harga Diskon C]]</f>
        <v>1980000</v>
      </c>
      <c r="AG923" s="73">
        <f>(cadangan[[#This Row],[Profit Normal A]]+cadangan[[#This Row],[Profit Normal B]]+cadangan[[#This Row],[Profit Normal C]])</f>
        <v>830000</v>
      </c>
      <c r="AH923" s="73">
        <f>cadangan[[#This Row],[Profit Diskon A]]+cadangan[[#This Row],[Profit Diskon B]]+cadangan[[#This Row],[Profit Diskon C]]</f>
        <v>610000</v>
      </c>
      <c r="AI923" s="23" t="s">
        <v>6</v>
      </c>
      <c r="AJ923" s="37">
        <f>IFERROR(INDEX('Kode Diskon'!$D$3:$D$9,MATCH(cadangan[[#This Row],[Kode diskon]],'Kode Diskon'!$C$3:$C$9,0)),"-")</f>
        <v>0.1</v>
      </c>
      <c r="AK923" s="23" t="s">
        <v>29</v>
      </c>
      <c r="AL923" s="23" t="s">
        <v>7</v>
      </c>
      <c r="AM923" s="23" t="s">
        <v>79</v>
      </c>
      <c r="AN923" s="55">
        <v>45018</v>
      </c>
      <c r="AO923" s="53">
        <f>DAY(cadangan[[#This Row],[Tanggal terjual]])</f>
        <v>2</v>
      </c>
      <c r="AP923" s="21" t="str">
        <f>TEXT(cadangan[[#This Row],[Tanggal terjual]],"dddd")</f>
        <v>Sunday</v>
      </c>
      <c r="AQ923" s="23" t="str" cm="1">
        <f t="array" ref="AQ92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3" s="61">
        <f>AVERAGE(cadangan[[#This Row],[Rating A]],cadangan[[#This Row],[Rating B]],cadangan[[#This Row],[Rating C]])</f>
        <v>3</v>
      </c>
    </row>
    <row r="924" spans="1:44" x14ac:dyDescent="0.2">
      <c r="A924" s="20">
        <v>923</v>
      </c>
      <c r="B924" s="21" t="str">
        <f>_xlfn.CONCAT("ORD-",INDEX(Helper!$B$2:$B$5,MATCH(cadangan[[#This Row],[Marketplace]],Helper!$A$2:$A$5,0)),TEXT(cadangan[[#This Row],[No]],"0000"),"-",TEXT(cadangan[[#This Row],[Tanggal terjual]],"dd/mm/yy"))</f>
        <v>ORD-TK0923-02/04/23</v>
      </c>
      <c r="C924" s="39" t="s">
        <v>59</v>
      </c>
      <c r="D924" s="39" t="str">
        <f>IFERROR(INDEX(Katalog!$A$3:$A$12,MATCH(cadangan[[#This Row],[ItemID A]],Katalog!$C$3:$C$12,0)),"-")</f>
        <v>Pakaian Wanita</v>
      </c>
      <c r="E924" s="39" t="str">
        <f>IFERROR(INDEX(Katalog!$B$3:$B$12,MATCH(cadangan[[#This Row],[ItemID A]],Katalog!$C$3:$C$12,0)),"-")</f>
        <v>Blouse</v>
      </c>
      <c r="F924" s="50">
        <v>2</v>
      </c>
      <c r="G924" s="50">
        <v>2</v>
      </c>
      <c r="H924" s="73">
        <f>IFERROR(INDEX(Katalog!$D$3:$D$12,MATCH(cadangan[[#This Row],[ItemID A]],Katalog!$C$3:$C$12,0))*cadangan[[#This Row],[Qty A]],0)</f>
        <v>300000</v>
      </c>
      <c r="I924" s="73">
        <f>IFERROR(cadangan[[#This Row],[Harga Normal A]]-(cadangan[[#This Row],[Harga Normal A]]*cadangan[[#This Row],[Diskon]]),cadangan[[#This Row],[Harga Normal A]])</f>
        <v>270000</v>
      </c>
      <c r="J924" s="73">
        <f>INDEX(Katalog!$F$3:$F$12,MATCH(cadangan[[#This Row],[ItemID A]],Katalog!$C$3:$C$12,0))*cadangan[[#This Row],[Qty A]]</f>
        <v>100000</v>
      </c>
      <c r="K924" s="73">
        <f>IFERROR(cadangan[[#This Row],[Harga Diskon A]]-INDEX(Katalog!$E$3:$E$12,MATCH(cadangan[[#This Row],[ItemID A]],Katalog!$C$3:$C$12,0))*cadangan[[#This Row],[Qty A]],0)</f>
        <v>70000</v>
      </c>
      <c r="L924" s="39" t="s">
        <v>66</v>
      </c>
      <c r="M924" s="39" t="str">
        <f>IFERROR(INDEX(Katalog!$A$3:$A$12,MATCH(cadangan[[#This Row],[ItemID B]],Katalog!$C$3:$C$12,0)),"-")</f>
        <v>Sepatu Pria</v>
      </c>
      <c r="N924" s="39" t="str">
        <f>IFERROR(INDEX(Katalog!$B$3:$B$12,MATCH(cadangan[[#This Row],[ItemID B]],Katalog!$C$3:$C$12,0)),"-")</f>
        <v>Sandal Slip On</v>
      </c>
      <c r="O924" s="50">
        <v>2</v>
      </c>
      <c r="P924" s="50">
        <v>3</v>
      </c>
      <c r="Q924" s="73">
        <f>IFERROR(INDEX(Katalog!$D$3:$D$12,MATCH(cadangan[[#This Row],[ItemID B]],Katalog!$C$3:$C$12,0))*cadangan[[#This Row],[Qty B]],0)</f>
        <v>300000</v>
      </c>
      <c r="R924" s="73">
        <f>IFERROR(cadangan[[#This Row],[Harga Normal B]]-(cadangan[[#This Row],[Harga Normal B]]*cadangan[[#This Row],[Diskon]]),cadangan[[#This Row],[Harga Normal B]])</f>
        <v>270000</v>
      </c>
      <c r="S924" s="73">
        <f>IFERROR(INDEX(Katalog!$F$3:$F$12,MATCH(cadangan[[#This Row],[ItemID B]],Katalog!$C$3:$C$12,0))*cadangan[[#This Row],[Qty B]],0)</f>
        <v>120000</v>
      </c>
      <c r="T924" s="73">
        <f>IFERROR(cadangan[[#This Row],[Harga Diskon B]]-INDEX(Katalog!$E$3:$E$12,MATCH(cadangan[[#This Row],[ItemID B]],Katalog!$C$3:$C$12,0))*cadangan[[#This Row],[Qty B]],0)</f>
        <v>90000</v>
      </c>
      <c r="U924" s="39" t="s">
        <v>61</v>
      </c>
      <c r="V924" s="39" t="str">
        <f>IFERROR(INDEX(Katalog!$A$3:$A$12,MATCH(cadangan[[#This Row],[ItemID C]],Katalog!$C$3:$C$12,0)),"-")</f>
        <v>Pakaian Pria</v>
      </c>
      <c r="W924" s="39" t="str">
        <f>IFERROR(INDEX(Katalog!$B$3:$B$12,MATCH(cadangan[[#This Row],[ItemID C]],Katalog!$C$3:$C$12,0)),"-")</f>
        <v>Kaos Polo</v>
      </c>
      <c r="X924" s="50">
        <v>1</v>
      </c>
      <c r="Y924" s="50">
        <v>3</v>
      </c>
      <c r="Z924" s="73">
        <f>IFERROR(INDEX(Katalog!$D$3:$D$12,MATCH(cadangan[[#This Row],[ItemID C]],Katalog!$C$3:$C$12,0))*cadangan[[#This Row],[Qty C]],0)</f>
        <v>200000</v>
      </c>
      <c r="AA924" s="73">
        <f>IFERROR(cadangan[[#This Row],[Harga Normal C]]-(cadangan[[#This Row],[Harga Normal C]]*cadangan[[#This Row],[Diskon]]),cadangan[[#This Row],[Harga Normal C]])</f>
        <v>180000</v>
      </c>
      <c r="AB924" s="73">
        <f>IFERROR(INDEX(Katalog!$F$3:$F$12,MATCH(cadangan[[#This Row],[ItemID C]],Katalog!$C$3:$C$12,0))*cadangan[[#This Row],[Qty C]],0)</f>
        <v>80000</v>
      </c>
      <c r="AC924" s="73">
        <f>IFERROR(cadangan[[#This Row],[Harga Diskon C]]-INDEX(Katalog!$E$3:$E$12,MATCH(cadangan[[#This Row],[ItemID C]],Katalog!$C$3:$C$12,0))*cadangan[[#This Row],[Qty C]],0)</f>
        <v>60000</v>
      </c>
      <c r="AD924" s="53">
        <f>cadangan[[#This Row],[Qty A]]+cadangan[[#This Row],[Qty B]]+cadangan[[#This Row],[Qty C]]</f>
        <v>5</v>
      </c>
      <c r="AE924" s="73">
        <f>cadangan[[#This Row],[Harga Normal A]]+cadangan[[#This Row],[Harga Normal B]]+cadangan[[#This Row],[Harga Normal C]]</f>
        <v>800000</v>
      </c>
      <c r="AF924" s="73">
        <f>cadangan[[#This Row],[Harga Diskon A]]+cadangan[[#This Row],[Harga Diskon B]]+cadangan[[#This Row],[Harga Diskon C]]</f>
        <v>720000</v>
      </c>
      <c r="AG924" s="73">
        <f>(cadangan[[#This Row],[Profit Normal A]]+cadangan[[#This Row],[Profit Normal B]]+cadangan[[#This Row],[Profit Normal C]])</f>
        <v>300000</v>
      </c>
      <c r="AH924" s="73">
        <f>cadangan[[#This Row],[Profit Diskon A]]+cadangan[[#This Row],[Profit Diskon B]]+cadangan[[#This Row],[Profit Diskon C]]</f>
        <v>220000</v>
      </c>
      <c r="AI924" s="23" t="s">
        <v>30</v>
      </c>
      <c r="AJ924" s="37">
        <f>IFERROR(INDEX('Kode Diskon'!$D$3:$D$9,MATCH(cadangan[[#This Row],[Kode diskon]],'Kode Diskon'!$C$3:$C$9,0)),"-")</f>
        <v>0.1</v>
      </c>
      <c r="AK924" s="23" t="s">
        <v>29</v>
      </c>
      <c r="AL924" s="23" t="s">
        <v>10</v>
      </c>
      <c r="AM924" s="23" t="s">
        <v>78</v>
      </c>
      <c r="AN924" s="55">
        <v>45018</v>
      </c>
      <c r="AO924" s="53">
        <f>DAY(cadangan[[#This Row],[Tanggal terjual]])</f>
        <v>2</v>
      </c>
      <c r="AP924" s="21" t="str">
        <f>TEXT(cadangan[[#This Row],[Tanggal terjual]],"dddd")</f>
        <v>Sunday</v>
      </c>
      <c r="AQ924" s="23" t="str" cm="1">
        <f t="array" ref="AQ92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4" s="61">
        <f>AVERAGE(cadangan[[#This Row],[Rating A]],cadangan[[#This Row],[Rating B]],cadangan[[#This Row],[Rating C]])</f>
        <v>2.6666666666666665</v>
      </c>
    </row>
    <row r="925" spans="1:44" x14ac:dyDescent="0.2">
      <c r="A925" s="20">
        <v>924</v>
      </c>
      <c r="B925" s="21" t="str">
        <f>_xlfn.CONCAT("ORD-",INDEX(Helper!$B$2:$B$5,MATCH(cadangan[[#This Row],[Marketplace]],Helper!$A$2:$A$5,0)),TEXT(cadangan[[#This Row],[No]],"0000"),"-",TEXT(cadangan[[#This Row],[Tanggal terjual]],"dd/mm/yy"))</f>
        <v>ORD-SP0924-02/04/23</v>
      </c>
      <c r="C925" s="39" t="s">
        <v>64</v>
      </c>
      <c r="D925" s="39" t="str">
        <f>IFERROR(INDEX(Katalog!$A$3:$A$12,MATCH(cadangan[[#This Row],[ItemID A]],Katalog!$C$3:$C$12,0)),"-")</f>
        <v>Pakaian Unisex</v>
      </c>
      <c r="E925" s="39" t="str">
        <f>IFERROR(INDEX(Katalog!$B$3:$B$12,MATCH(cadangan[[#This Row],[ItemID A]],Katalog!$C$3:$C$12,0)),"-")</f>
        <v>Jaket Hoodie</v>
      </c>
      <c r="F925" s="50">
        <v>1</v>
      </c>
      <c r="G925" s="50">
        <v>4</v>
      </c>
      <c r="H925" s="73">
        <f>IFERROR(INDEX(Katalog!$D$3:$D$12,MATCH(cadangan[[#This Row],[ItemID A]],Katalog!$C$3:$C$12,0))*cadangan[[#This Row],[Qty A]],0)</f>
        <v>350000</v>
      </c>
      <c r="I925" s="73">
        <f>IFERROR(cadangan[[#This Row],[Harga Normal A]]-(cadangan[[#This Row],[Harga Normal A]]*cadangan[[#This Row],[Diskon]]),cadangan[[#This Row],[Harga Normal A]])</f>
        <v>297500</v>
      </c>
      <c r="J925" s="73">
        <f>INDEX(Katalog!$F$3:$F$12,MATCH(cadangan[[#This Row],[ItemID A]],Katalog!$C$3:$C$12,0))*cadangan[[#This Row],[Qty A]]</f>
        <v>130000</v>
      </c>
      <c r="K925" s="73">
        <f>IFERROR(cadangan[[#This Row],[Harga Diskon A]]-INDEX(Katalog!$E$3:$E$12,MATCH(cadangan[[#This Row],[ItemID A]],Katalog!$C$3:$C$12,0))*cadangan[[#This Row],[Qty A]],0)</f>
        <v>77500</v>
      </c>
      <c r="L925" s="39" t="s">
        <v>65</v>
      </c>
      <c r="M925" s="39" t="str">
        <f>IFERROR(INDEX(Katalog!$A$3:$A$12,MATCH(cadangan[[#This Row],[ItemID B]],Katalog!$C$3:$C$12,0)),"-")</f>
        <v>Sepatu Pria</v>
      </c>
      <c r="N925" s="39" t="str">
        <f>IFERROR(INDEX(Katalog!$B$3:$B$12,MATCH(cadangan[[#This Row],[ItemID B]],Katalog!$C$3:$C$12,0)),"-")</f>
        <v>Sneakers</v>
      </c>
      <c r="O925" s="50">
        <v>2</v>
      </c>
      <c r="P925" s="50">
        <v>1</v>
      </c>
      <c r="Q925" s="73">
        <f>IFERROR(INDEX(Katalog!$D$3:$D$12,MATCH(cadangan[[#This Row],[ItemID B]],Katalog!$C$3:$C$12,0))*cadangan[[#This Row],[Qty B]],0)</f>
        <v>1000000</v>
      </c>
      <c r="R925" s="73">
        <f>IFERROR(cadangan[[#This Row],[Harga Normal B]]-(cadangan[[#This Row],[Harga Normal B]]*cadangan[[#This Row],[Diskon]]),cadangan[[#This Row],[Harga Normal B]])</f>
        <v>850000</v>
      </c>
      <c r="S925" s="73">
        <f>IFERROR(INDEX(Katalog!$F$3:$F$12,MATCH(cadangan[[#This Row],[ItemID B]],Katalog!$C$3:$C$12,0))*cadangan[[#This Row],[Qty B]],0)</f>
        <v>400000</v>
      </c>
      <c r="T925" s="73">
        <f>IFERROR(cadangan[[#This Row],[Harga Diskon B]]-INDEX(Katalog!$E$3:$E$12,MATCH(cadangan[[#This Row],[ItemID B]],Katalog!$C$3:$C$12,0))*cadangan[[#This Row],[Qty B]],0)</f>
        <v>250000</v>
      </c>
      <c r="V925" s="39" t="str">
        <f>IFERROR(INDEX(Katalog!$A$3:$A$12,MATCH(cadangan[[#This Row],[ItemID C]],Katalog!$C$3:$C$12,0)),"-")</f>
        <v>-</v>
      </c>
      <c r="W925" s="39" t="str">
        <f>IFERROR(INDEX(Katalog!$B$3:$B$12,MATCH(cadangan[[#This Row],[ItemID C]],Katalog!$C$3:$C$12,0)),"-")</f>
        <v>-</v>
      </c>
      <c r="Z925" s="73">
        <f>IFERROR(INDEX(Katalog!$D$3:$D$12,MATCH(cadangan[[#This Row],[ItemID C]],Katalog!$C$3:$C$12,0))*cadangan[[#This Row],[Qty C]],0)</f>
        <v>0</v>
      </c>
      <c r="AA925" s="73">
        <f>IFERROR(cadangan[[#This Row],[Harga Normal C]]-(cadangan[[#This Row],[Harga Normal C]]*cadangan[[#This Row],[Diskon]]),cadangan[[#This Row],[Harga Normal C]])</f>
        <v>0</v>
      </c>
      <c r="AB925" s="73">
        <f>IFERROR(INDEX(Katalog!$F$3:$F$12,MATCH(cadangan[[#This Row],[ItemID C]],Katalog!$C$3:$C$12,0))*cadangan[[#This Row],[Qty C]],0)</f>
        <v>0</v>
      </c>
      <c r="AC925" s="73">
        <f>IFERROR(cadangan[[#This Row],[Harga Diskon C]]-INDEX(Katalog!$E$3:$E$12,MATCH(cadangan[[#This Row],[ItemID C]],Katalog!$C$3:$C$12,0))*cadangan[[#This Row],[Qty C]],0)</f>
        <v>0</v>
      </c>
      <c r="AD925" s="53">
        <f>cadangan[[#This Row],[Qty A]]+cadangan[[#This Row],[Qty B]]+cadangan[[#This Row],[Qty C]]</f>
        <v>3</v>
      </c>
      <c r="AE925" s="73">
        <f>cadangan[[#This Row],[Harga Normal A]]+cadangan[[#This Row],[Harga Normal B]]+cadangan[[#This Row],[Harga Normal C]]</f>
        <v>1350000</v>
      </c>
      <c r="AF925" s="73">
        <f>cadangan[[#This Row],[Harga Diskon A]]+cadangan[[#This Row],[Harga Diskon B]]+cadangan[[#This Row],[Harga Diskon C]]</f>
        <v>1147500</v>
      </c>
      <c r="AG925" s="73">
        <f>(cadangan[[#This Row],[Profit Normal A]]+cadangan[[#This Row],[Profit Normal B]]+cadangan[[#This Row],[Profit Normal C]])</f>
        <v>530000</v>
      </c>
      <c r="AH925" s="73">
        <f>cadangan[[#This Row],[Profit Diskon A]]+cadangan[[#This Row],[Profit Diskon B]]+cadangan[[#This Row],[Profit Diskon C]]</f>
        <v>327500</v>
      </c>
      <c r="AI925" s="23" t="s">
        <v>13</v>
      </c>
      <c r="AJ925" s="37">
        <f>IFERROR(INDEX('Kode Diskon'!$D$3:$D$9,MATCH(cadangan[[#This Row],[Kode diskon]],'Kode Diskon'!$C$3:$C$9,0)),"-")</f>
        <v>0.15</v>
      </c>
      <c r="AK925" s="23" t="s">
        <v>29</v>
      </c>
      <c r="AL925" s="23" t="s">
        <v>7</v>
      </c>
      <c r="AM925" s="23" t="s">
        <v>76</v>
      </c>
      <c r="AN925" s="55">
        <v>45018</v>
      </c>
      <c r="AO925" s="53">
        <f>DAY(cadangan[[#This Row],[Tanggal terjual]])</f>
        <v>2</v>
      </c>
      <c r="AP925" s="21" t="str">
        <f>TEXT(cadangan[[#This Row],[Tanggal terjual]],"dddd")</f>
        <v>Sunday</v>
      </c>
      <c r="AQ925" s="23" t="str" cm="1">
        <f t="array" ref="AQ92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5" s="61">
        <f>AVERAGE(cadangan[[#This Row],[Rating A]],cadangan[[#This Row],[Rating B]],cadangan[[#This Row],[Rating C]])</f>
        <v>2.5</v>
      </c>
    </row>
    <row r="926" spans="1:44" x14ac:dyDescent="0.2">
      <c r="A926" s="20">
        <v>925</v>
      </c>
      <c r="B926" s="21" t="str">
        <f>_xlfn.CONCAT("ORD-",INDEX(Helper!$B$2:$B$5,MATCH(cadangan[[#This Row],[Marketplace]],Helper!$A$2:$A$5,0)),TEXT(cadangan[[#This Row],[No]],"0000"),"-",TEXT(cadangan[[#This Row],[Tanggal terjual]],"dd/mm/yy"))</f>
        <v>ORD-SP0925-02/04/23</v>
      </c>
      <c r="C926" s="39" t="s">
        <v>58</v>
      </c>
      <c r="D926" s="39" t="str">
        <f>IFERROR(INDEX(Katalog!$A$3:$A$12,MATCH(cadangan[[#This Row],[ItemID A]],Katalog!$C$3:$C$12,0)),"-")</f>
        <v>Pakaian Wanita</v>
      </c>
      <c r="E926" s="39" t="str">
        <f>IFERROR(INDEX(Katalog!$B$3:$B$12,MATCH(cadangan[[#This Row],[ItemID A]],Katalog!$C$3:$C$12,0)),"-")</f>
        <v>Dress</v>
      </c>
      <c r="F926" s="50">
        <v>4</v>
      </c>
      <c r="G926" s="50">
        <v>4</v>
      </c>
      <c r="H926" s="73">
        <f>IFERROR(INDEX(Katalog!$D$3:$D$12,MATCH(cadangan[[#This Row],[ItemID A]],Katalog!$C$3:$C$12,0))*cadangan[[#This Row],[Qty A]],0)</f>
        <v>1200000</v>
      </c>
      <c r="I926" s="73">
        <f>IFERROR(cadangan[[#This Row],[Harga Normal A]]-(cadangan[[#This Row],[Harga Normal A]]*cadangan[[#This Row],[Diskon]]),cadangan[[#This Row],[Harga Normal A]])</f>
        <v>1080000</v>
      </c>
      <c r="J926" s="73">
        <f>INDEX(Katalog!$F$3:$F$12,MATCH(cadangan[[#This Row],[ItemID A]],Katalog!$C$3:$C$12,0))*cadangan[[#This Row],[Qty A]]</f>
        <v>400000</v>
      </c>
      <c r="K926" s="73">
        <f>IFERROR(cadangan[[#This Row],[Harga Diskon A]]-INDEX(Katalog!$E$3:$E$12,MATCH(cadangan[[#This Row],[ItemID A]],Katalog!$C$3:$C$12,0))*cadangan[[#This Row],[Qty A]],0)</f>
        <v>280000</v>
      </c>
      <c r="L926" s="39" t="s">
        <v>59</v>
      </c>
      <c r="M926" s="39" t="str">
        <f>IFERROR(INDEX(Katalog!$A$3:$A$12,MATCH(cadangan[[#This Row],[ItemID B]],Katalog!$C$3:$C$12,0)),"-")</f>
        <v>Pakaian Wanita</v>
      </c>
      <c r="N926" s="39" t="str">
        <f>IFERROR(INDEX(Katalog!$B$3:$B$12,MATCH(cadangan[[#This Row],[ItemID B]],Katalog!$C$3:$C$12,0)),"-")</f>
        <v>Blouse</v>
      </c>
      <c r="O926" s="50">
        <v>3</v>
      </c>
      <c r="P926" s="50">
        <v>4</v>
      </c>
      <c r="Q926" s="73">
        <f>IFERROR(INDEX(Katalog!$D$3:$D$12,MATCH(cadangan[[#This Row],[ItemID B]],Katalog!$C$3:$C$12,0))*cadangan[[#This Row],[Qty B]],0)</f>
        <v>450000</v>
      </c>
      <c r="R926" s="73">
        <f>IFERROR(cadangan[[#This Row],[Harga Normal B]]-(cadangan[[#This Row],[Harga Normal B]]*cadangan[[#This Row],[Diskon]]),cadangan[[#This Row],[Harga Normal B]])</f>
        <v>405000</v>
      </c>
      <c r="S926" s="73">
        <f>IFERROR(INDEX(Katalog!$F$3:$F$12,MATCH(cadangan[[#This Row],[ItemID B]],Katalog!$C$3:$C$12,0))*cadangan[[#This Row],[Qty B]],0)</f>
        <v>150000</v>
      </c>
      <c r="T926" s="73">
        <f>IFERROR(cadangan[[#This Row],[Harga Diskon B]]-INDEX(Katalog!$E$3:$E$12,MATCH(cadangan[[#This Row],[ItemID B]],Katalog!$C$3:$C$12,0))*cadangan[[#This Row],[Qty B]],0)</f>
        <v>105000</v>
      </c>
      <c r="V926" s="39" t="str">
        <f>IFERROR(INDEX(Katalog!$A$3:$A$12,MATCH(cadangan[[#This Row],[ItemID C]],Katalog!$C$3:$C$12,0)),"-")</f>
        <v>-</v>
      </c>
      <c r="W926" s="39" t="str">
        <f>IFERROR(INDEX(Katalog!$B$3:$B$12,MATCH(cadangan[[#This Row],[ItemID C]],Katalog!$C$3:$C$12,0)),"-")</f>
        <v>-</v>
      </c>
      <c r="Z926" s="73">
        <f>IFERROR(INDEX(Katalog!$D$3:$D$12,MATCH(cadangan[[#This Row],[ItemID C]],Katalog!$C$3:$C$12,0))*cadangan[[#This Row],[Qty C]],0)</f>
        <v>0</v>
      </c>
      <c r="AA926" s="73">
        <f>IFERROR(cadangan[[#This Row],[Harga Normal C]]-(cadangan[[#This Row],[Harga Normal C]]*cadangan[[#This Row],[Diskon]]),cadangan[[#This Row],[Harga Normal C]])</f>
        <v>0</v>
      </c>
      <c r="AB926" s="73">
        <f>IFERROR(INDEX(Katalog!$F$3:$F$12,MATCH(cadangan[[#This Row],[ItemID C]],Katalog!$C$3:$C$12,0))*cadangan[[#This Row],[Qty C]],0)</f>
        <v>0</v>
      </c>
      <c r="AC926" s="73">
        <f>IFERROR(cadangan[[#This Row],[Harga Diskon C]]-INDEX(Katalog!$E$3:$E$12,MATCH(cadangan[[#This Row],[ItemID C]],Katalog!$C$3:$C$12,0))*cadangan[[#This Row],[Qty C]],0)</f>
        <v>0</v>
      </c>
      <c r="AD926" s="53">
        <f>cadangan[[#This Row],[Qty A]]+cadangan[[#This Row],[Qty B]]+cadangan[[#This Row],[Qty C]]</f>
        <v>7</v>
      </c>
      <c r="AE926" s="73">
        <f>cadangan[[#This Row],[Harga Normal A]]+cadangan[[#This Row],[Harga Normal B]]+cadangan[[#This Row],[Harga Normal C]]</f>
        <v>1650000</v>
      </c>
      <c r="AF926" s="73">
        <f>cadangan[[#This Row],[Harga Diskon A]]+cadangan[[#This Row],[Harga Diskon B]]+cadangan[[#This Row],[Harga Diskon C]]</f>
        <v>1485000</v>
      </c>
      <c r="AG926" s="73">
        <f>(cadangan[[#This Row],[Profit Normal A]]+cadangan[[#This Row],[Profit Normal B]]+cadangan[[#This Row],[Profit Normal C]])</f>
        <v>550000</v>
      </c>
      <c r="AH926" s="73">
        <f>cadangan[[#This Row],[Profit Diskon A]]+cadangan[[#This Row],[Profit Diskon B]]+cadangan[[#This Row],[Profit Diskon C]]</f>
        <v>385000</v>
      </c>
      <c r="AI926" s="23" t="s">
        <v>6</v>
      </c>
      <c r="AJ926" s="37">
        <f>IFERROR(INDEX('Kode Diskon'!$D$3:$D$9,MATCH(cadangan[[#This Row],[Kode diskon]],'Kode Diskon'!$C$3:$C$9,0)),"-")</f>
        <v>0.1</v>
      </c>
      <c r="AK926" s="23" t="s">
        <v>29</v>
      </c>
      <c r="AL926" s="23" t="s">
        <v>7</v>
      </c>
      <c r="AM926" s="23" t="s">
        <v>76</v>
      </c>
      <c r="AN926" s="55">
        <v>45018</v>
      </c>
      <c r="AO926" s="53">
        <f>DAY(cadangan[[#This Row],[Tanggal terjual]])</f>
        <v>2</v>
      </c>
      <c r="AP926" s="21" t="str">
        <f>TEXT(cadangan[[#This Row],[Tanggal terjual]],"dddd")</f>
        <v>Sunday</v>
      </c>
      <c r="AQ926" s="23" t="str" cm="1">
        <f t="array" ref="AQ92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6" s="61">
        <f>AVERAGE(cadangan[[#This Row],[Rating A]],cadangan[[#This Row],[Rating B]],cadangan[[#This Row],[Rating C]])</f>
        <v>4</v>
      </c>
    </row>
    <row r="927" spans="1:44" x14ac:dyDescent="0.2">
      <c r="A927" s="20">
        <v>926</v>
      </c>
      <c r="B927" s="21" t="str">
        <f>_xlfn.CONCAT("ORD-",INDEX(Helper!$B$2:$B$5,MATCH(cadangan[[#This Row],[Marketplace]],Helper!$A$2:$A$5,0)),TEXT(cadangan[[#This Row],[No]],"0000"),"-",TEXT(cadangan[[#This Row],[Tanggal terjual]],"dd/mm/yy"))</f>
        <v>ORD-TK0926-03/04/23</v>
      </c>
      <c r="C927" s="39" t="s">
        <v>63</v>
      </c>
      <c r="D927" s="39" t="str">
        <f>IFERROR(INDEX(Katalog!$A$3:$A$12,MATCH(cadangan[[#This Row],[ItemID A]],Katalog!$C$3:$C$12,0)),"-")</f>
        <v>Pakaian Pria</v>
      </c>
      <c r="E927" s="39" t="str">
        <f>IFERROR(INDEX(Katalog!$B$3:$B$12,MATCH(cadangan[[#This Row],[ItemID A]],Katalog!$C$3:$C$12,0)),"-")</f>
        <v>Jaket Jeans</v>
      </c>
      <c r="F927" s="50">
        <v>2</v>
      </c>
      <c r="G927" s="50">
        <v>2</v>
      </c>
      <c r="H927" s="73">
        <f>IFERROR(INDEX(Katalog!$D$3:$D$12,MATCH(cadangan[[#This Row],[ItemID A]],Katalog!$C$3:$C$12,0))*cadangan[[#This Row],[Qty A]],0)</f>
        <v>800000</v>
      </c>
      <c r="I927" s="73">
        <f>IFERROR(cadangan[[#This Row],[Harga Normal A]]-(cadangan[[#This Row],[Harga Normal A]]*cadangan[[#This Row],[Diskon]]),cadangan[[#This Row],[Harga Normal A]])</f>
        <v>720000</v>
      </c>
      <c r="J927" s="73">
        <f>INDEX(Katalog!$F$3:$F$12,MATCH(cadangan[[#This Row],[ItemID A]],Katalog!$C$3:$C$12,0))*cadangan[[#This Row],[Qty A]]</f>
        <v>300000</v>
      </c>
      <c r="K927" s="73">
        <f>IFERROR(cadangan[[#This Row],[Harga Diskon A]]-INDEX(Katalog!$E$3:$E$12,MATCH(cadangan[[#This Row],[ItemID A]],Katalog!$C$3:$C$12,0))*cadangan[[#This Row],[Qty A]],0)</f>
        <v>220000</v>
      </c>
      <c r="L927" s="39" t="s">
        <v>67</v>
      </c>
      <c r="M927" s="39" t="str">
        <f>IFERROR(INDEX(Katalog!$A$3:$A$12,MATCH(cadangan[[#This Row],[ItemID B]],Katalog!$C$3:$C$12,0)),"-")</f>
        <v>Sepatu Wanita</v>
      </c>
      <c r="N927" s="39" t="str">
        <f>IFERROR(INDEX(Katalog!$B$3:$B$12,MATCH(cadangan[[#This Row],[ItemID B]],Katalog!$C$3:$C$12,0)),"-")</f>
        <v>Flat Shoes</v>
      </c>
      <c r="O927" s="50">
        <v>3</v>
      </c>
      <c r="P927" s="50">
        <v>3</v>
      </c>
      <c r="Q927" s="73">
        <f>IFERROR(INDEX(Katalog!$D$3:$D$12,MATCH(cadangan[[#This Row],[ItemID B]],Katalog!$C$3:$C$12,0))*cadangan[[#This Row],[Qty B]],0)</f>
        <v>750000</v>
      </c>
      <c r="R927" s="73">
        <f>IFERROR(cadangan[[#This Row],[Harga Normal B]]-(cadangan[[#This Row],[Harga Normal B]]*cadangan[[#This Row],[Diskon]]),cadangan[[#This Row],[Harga Normal B]])</f>
        <v>675000</v>
      </c>
      <c r="S927" s="73">
        <f>IFERROR(INDEX(Katalog!$F$3:$F$12,MATCH(cadangan[[#This Row],[ItemID B]],Katalog!$C$3:$C$12,0))*cadangan[[#This Row],[Qty B]],0)</f>
        <v>300000</v>
      </c>
      <c r="T927" s="73">
        <f>IFERROR(cadangan[[#This Row],[Harga Diskon B]]-INDEX(Katalog!$E$3:$E$12,MATCH(cadangan[[#This Row],[ItemID B]],Katalog!$C$3:$C$12,0))*cadangan[[#This Row],[Qty B]],0)</f>
        <v>225000</v>
      </c>
      <c r="U927" s="39" t="s">
        <v>64</v>
      </c>
      <c r="V927" s="39" t="str">
        <f>IFERROR(INDEX(Katalog!$A$3:$A$12,MATCH(cadangan[[#This Row],[ItemID C]],Katalog!$C$3:$C$12,0)),"-")</f>
        <v>Pakaian Unisex</v>
      </c>
      <c r="W927" s="39" t="str">
        <f>IFERROR(INDEX(Katalog!$B$3:$B$12,MATCH(cadangan[[#This Row],[ItemID C]],Katalog!$C$3:$C$12,0)),"-")</f>
        <v>Jaket Hoodie</v>
      </c>
      <c r="X927" s="50">
        <v>2</v>
      </c>
      <c r="Y927" s="50">
        <v>5</v>
      </c>
      <c r="Z927" s="73">
        <f>IFERROR(INDEX(Katalog!$D$3:$D$12,MATCH(cadangan[[#This Row],[ItemID C]],Katalog!$C$3:$C$12,0))*cadangan[[#This Row],[Qty C]],0)</f>
        <v>700000</v>
      </c>
      <c r="AA927" s="73">
        <f>IFERROR(cadangan[[#This Row],[Harga Normal C]]-(cadangan[[#This Row],[Harga Normal C]]*cadangan[[#This Row],[Diskon]]),cadangan[[#This Row],[Harga Normal C]])</f>
        <v>630000</v>
      </c>
      <c r="AB927" s="73">
        <f>IFERROR(INDEX(Katalog!$F$3:$F$12,MATCH(cadangan[[#This Row],[ItemID C]],Katalog!$C$3:$C$12,0))*cadangan[[#This Row],[Qty C]],0)</f>
        <v>260000</v>
      </c>
      <c r="AC927" s="73">
        <f>IFERROR(cadangan[[#This Row],[Harga Diskon C]]-INDEX(Katalog!$E$3:$E$12,MATCH(cadangan[[#This Row],[ItemID C]],Katalog!$C$3:$C$12,0))*cadangan[[#This Row],[Qty C]],0)</f>
        <v>190000</v>
      </c>
      <c r="AD927" s="53">
        <f>cadangan[[#This Row],[Qty A]]+cadangan[[#This Row],[Qty B]]+cadangan[[#This Row],[Qty C]]</f>
        <v>7</v>
      </c>
      <c r="AE927" s="73">
        <f>cadangan[[#This Row],[Harga Normal A]]+cadangan[[#This Row],[Harga Normal B]]+cadangan[[#This Row],[Harga Normal C]]</f>
        <v>2250000</v>
      </c>
      <c r="AF927" s="73">
        <f>cadangan[[#This Row],[Harga Diskon A]]+cadangan[[#This Row],[Harga Diskon B]]+cadangan[[#This Row],[Harga Diskon C]]</f>
        <v>2025000</v>
      </c>
      <c r="AG927" s="73">
        <f>(cadangan[[#This Row],[Profit Normal A]]+cadangan[[#This Row],[Profit Normal B]]+cadangan[[#This Row],[Profit Normal C]])</f>
        <v>860000</v>
      </c>
      <c r="AH927" s="73">
        <f>cadangan[[#This Row],[Profit Diskon A]]+cadangan[[#This Row],[Profit Diskon B]]+cadangan[[#This Row],[Profit Diskon C]]</f>
        <v>635000</v>
      </c>
      <c r="AI927" s="23" t="s">
        <v>30</v>
      </c>
      <c r="AJ927" s="37">
        <f>IFERROR(INDEX('Kode Diskon'!$D$3:$D$9,MATCH(cadangan[[#This Row],[Kode diskon]],'Kode Diskon'!$C$3:$C$9,0)),"-")</f>
        <v>0.1</v>
      </c>
      <c r="AK927" s="23" t="s">
        <v>29</v>
      </c>
      <c r="AL927" s="23" t="s">
        <v>10</v>
      </c>
      <c r="AM927" s="23" t="s">
        <v>79</v>
      </c>
      <c r="AN927" s="55">
        <v>45019</v>
      </c>
      <c r="AO927" s="53">
        <f>DAY(cadangan[[#This Row],[Tanggal terjual]])</f>
        <v>3</v>
      </c>
      <c r="AP927" s="21" t="str">
        <f>TEXT(cadangan[[#This Row],[Tanggal terjual]],"dddd")</f>
        <v>Monday</v>
      </c>
      <c r="AQ927" s="23" t="str" cm="1">
        <f t="array" ref="AQ92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7" s="61">
        <f>AVERAGE(cadangan[[#This Row],[Rating A]],cadangan[[#This Row],[Rating B]],cadangan[[#This Row],[Rating C]])</f>
        <v>3.3333333333333335</v>
      </c>
    </row>
    <row r="928" spans="1:44" x14ac:dyDescent="0.2">
      <c r="A928" s="20">
        <v>927</v>
      </c>
      <c r="B928" s="21" t="str">
        <f>_xlfn.CONCAT("ORD-",INDEX(Helper!$B$2:$B$5,MATCH(cadangan[[#This Row],[Marketplace]],Helper!$A$2:$A$5,0)),TEXT(cadangan[[#This Row],[No]],"0000"),"-",TEXT(cadangan[[#This Row],[Tanggal terjual]],"dd/mm/yy"))</f>
        <v>ORD-BB0927-06/04/23</v>
      </c>
      <c r="C928" s="39" t="s">
        <v>67</v>
      </c>
      <c r="D928" s="39" t="str">
        <f>IFERROR(INDEX(Katalog!$A$3:$A$12,MATCH(cadangan[[#This Row],[ItemID A]],Katalog!$C$3:$C$12,0)),"-")</f>
        <v>Sepatu Wanita</v>
      </c>
      <c r="E928" s="39" t="str">
        <f>IFERROR(INDEX(Katalog!$B$3:$B$12,MATCH(cadangan[[#This Row],[ItemID A]],Katalog!$C$3:$C$12,0)),"-")</f>
        <v>Flat Shoes</v>
      </c>
      <c r="F928" s="50">
        <v>6</v>
      </c>
      <c r="G928" s="50">
        <v>1</v>
      </c>
      <c r="H928" s="73">
        <f>IFERROR(INDEX(Katalog!$D$3:$D$12,MATCH(cadangan[[#This Row],[ItemID A]],Katalog!$C$3:$C$12,0))*cadangan[[#This Row],[Qty A]],0)</f>
        <v>1500000</v>
      </c>
      <c r="I928" s="73">
        <f>IFERROR(cadangan[[#This Row],[Harga Normal A]]-(cadangan[[#This Row],[Harga Normal A]]*cadangan[[#This Row],[Diskon]]),cadangan[[#This Row],[Harga Normal A]])</f>
        <v>1275000</v>
      </c>
      <c r="J928" s="73">
        <f>INDEX(Katalog!$F$3:$F$12,MATCH(cadangan[[#This Row],[ItemID A]],Katalog!$C$3:$C$12,0))*cadangan[[#This Row],[Qty A]]</f>
        <v>600000</v>
      </c>
      <c r="K928" s="73">
        <f>IFERROR(cadangan[[#This Row],[Harga Diskon A]]-INDEX(Katalog!$E$3:$E$12,MATCH(cadangan[[#This Row],[ItemID A]],Katalog!$C$3:$C$12,0))*cadangan[[#This Row],[Qty A]],0)</f>
        <v>375000</v>
      </c>
      <c r="L928" s="39" t="s">
        <v>59</v>
      </c>
      <c r="M928" s="39" t="str">
        <f>IFERROR(INDEX(Katalog!$A$3:$A$12,MATCH(cadangan[[#This Row],[ItemID B]],Katalog!$C$3:$C$12,0)),"-")</f>
        <v>Pakaian Wanita</v>
      </c>
      <c r="N928" s="39" t="str">
        <f>IFERROR(INDEX(Katalog!$B$3:$B$12,MATCH(cadangan[[#This Row],[ItemID B]],Katalog!$C$3:$C$12,0)),"-")</f>
        <v>Blouse</v>
      </c>
      <c r="O928" s="50">
        <v>1</v>
      </c>
      <c r="P928" s="50">
        <v>2</v>
      </c>
      <c r="Q928" s="73">
        <f>IFERROR(INDEX(Katalog!$D$3:$D$12,MATCH(cadangan[[#This Row],[ItemID B]],Katalog!$C$3:$C$12,0))*cadangan[[#This Row],[Qty B]],0)</f>
        <v>150000</v>
      </c>
      <c r="R928" s="73">
        <f>IFERROR(cadangan[[#This Row],[Harga Normal B]]-(cadangan[[#This Row],[Harga Normal B]]*cadangan[[#This Row],[Diskon]]),cadangan[[#This Row],[Harga Normal B]])</f>
        <v>127500</v>
      </c>
      <c r="S928" s="73">
        <f>IFERROR(INDEX(Katalog!$F$3:$F$12,MATCH(cadangan[[#This Row],[ItemID B]],Katalog!$C$3:$C$12,0))*cadangan[[#This Row],[Qty B]],0)</f>
        <v>50000</v>
      </c>
      <c r="T928" s="73">
        <f>IFERROR(cadangan[[#This Row],[Harga Diskon B]]-INDEX(Katalog!$E$3:$E$12,MATCH(cadangan[[#This Row],[ItemID B]],Katalog!$C$3:$C$12,0))*cadangan[[#This Row],[Qty B]],0)</f>
        <v>27500</v>
      </c>
      <c r="V928" s="39" t="str">
        <f>IFERROR(INDEX(Katalog!$A$3:$A$12,MATCH(cadangan[[#This Row],[ItemID C]],Katalog!$C$3:$C$12,0)),"-")</f>
        <v>-</v>
      </c>
      <c r="W928" s="39" t="str">
        <f>IFERROR(INDEX(Katalog!$B$3:$B$12,MATCH(cadangan[[#This Row],[ItemID C]],Katalog!$C$3:$C$12,0)),"-")</f>
        <v>-</v>
      </c>
      <c r="Z928" s="73">
        <f>IFERROR(INDEX(Katalog!$D$3:$D$12,MATCH(cadangan[[#This Row],[ItemID C]],Katalog!$C$3:$C$12,0))*cadangan[[#This Row],[Qty C]],0)</f>
        <v>0</v>
      </c>
      <c r="AA928" s="73">
        <f>IFERROR(cadangan[[#This Row],[Harga Normal C]]-(cadangan[[#This Row],[Harga Normal C]]*cadangan[[#This Row],[Diskon]]),cadangan[[#This Row],[Harga Normal C]])</f>
        <v>0</v>
      </c>
      <c r="AB928" s="73">
        <f>IFERROR(INDEX(Katalog!$F$3:$F$12,MATCH(cadangan[[#This Row],[ItemID C]],Katalog!$C$3:$C$12,0))*cadangan[[#This Row],[Qty C]],0)</f>
        <v>0</v>
      </c>
      <c r="AC928" s="73">
        <f>IFERROR(cadangan[[#This Row],[Harga Diskon C]]-INDEX(Katalog!$E$3:$E$12,MATCH(cadangan[[#This Row],[ItemID C]],Katalog!$C$3:$C$12,0))*cadangan[[#This Row],[Qty C]],0)</f>
        <v>0</v>
      </c>
      <c r="AD928" s="53">
        <f>cadangan[[#This Row],[Qty A]]+cadangan[[#This Row],[Qty B]]+cadangan[[#This Row],[Qty C]]</f>
        <v>7</v>
      </c>
      <c r="AE928" s="73">
        <f>cadangan[[#This Row],[Harga Normal A]]+cadangan[[#This Row],[Harga Normal B]]+cadangan[[#This Row],[Harga Normal C]]</f>
        <v>1650000</v>
      </c>
      <c r="AF928" s="73">
        <f>cadangan[[#This Row],[Harga Diskon A]]+cadangan[[#This Row],[Harga Diskon B]]+cadangan[[#This Row],[Harga Diskon C]]</f>
        <v>1402500</v>
      </c>
      <c r="AG928" s="73">
        <f>(cadangan[[#This Row],[Profit Normal A]]+cadangan[[#This Row],[Profit Normal B]]+cadangan[[#This Row],[Profit Normal C]])</f>
        <v>650000</v>
      </c>
      <c r="AH928" s="73">
        <f>cadangan[[#This Row],[Profit Diskon A]]+cadangan[[#This Row],[Profit Diskon B]]+cadangan[[#This Row],[Profit Diskon C]]</f>
        <v>402500</v>
      </c>
      <c r="AI928" s="23" t="s">
        <v>28</v>
      </c>
      <c r="AJ928" s="37">
        <f>IFERROR(INDEX('Kode Diskon'!$D$3:$D$9,MATCH(cadangan[[#This Row],[Kode diskon]],'Kode Diskon'!$C$3:$C$9,0)),"-")</f>
        <v>0.15</v>
      </c>
      <c r="AK928" s="23" t="s">
        <v>29</v>
      </c>
      <c r="AL928" s="23" t="s">
        <v>14</v>
      </c>
      <c r="AM928" s="23" t="s">
        <v>77</v>
      </c>
      <c r="AN928" s="55">
        <v>45022</v>
      </c>
      <c r="AO928" s="53">
        <f>DAY(cadangan[[#This Row],[Tanggal terjual]])</f>
        <v>6</v>
      </c>
      <c r="AP928" s="21" t="str">
        <f>TEXT(cadangan[[#This Row],[Tanggal terjual]],"dddd")</f>
        <v>Thursday</v>
      </c>
      <c r="AQ928" s="23" t="str" cm="1">
        <f t="array" ref="AQ92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28" s="61">
        <f>AVERAGE(cadangan[[#This Row],[Rating A]],cadangan[[#This Row],[Rating B]],cadangan[[#This Row],[Rating C]])</f>
        <v>1.5</v>
      </c>
    </row>
    <row r="929" spans="1:44" x14ac:dyDescent="0.2">
      <c r="A929" s="20">
        <v>928</v>
      </c>
      <c r="B929" s="21" t="str">
        <f>_xlfn.CONCAT("ORD-",INDEX(Helper!$B$2:$B$5,MATCH(cadangan[[#This Row],[Marketplace]],Helper!$A$2:$A$5,0)),TEXT(cadangan[[#This Row],[No]],"0000"),"-",TEXT(cadangan[[#This Row],[Tanggal terjual]],"dd/mm/yy"))</f>
        <v>ORD-TK0928-26/04/23</v>
      </c>
      <c r="C929" s="39" t="s">
        <v>66</v>
      </c>
      <c r="D929" s="39" t="str">
        <f>IFERROR(INDEX(Katalog!$A$3:$A$12,MATCH(cadangan[[#This Row],[ItemID A]],Katalog!$C$3:$C$12,0)),"-")</f>
        <v>Sepatu Pria</v>
      </c>
      <c r="E929" s="39" t="str">
        <f>IFERROR(INDEX(Katalog!$B$3:$B$12,MATCH(cadangan[[#This Row],[ItemID A]],Katalog!$C$3:$C$12,0)),"-")</f>
        <v>Sandal Slip On</v>
      </c>
      <c r="F929" s="50">
        <v>2</v>
      </c>
      <c r="G929" s="50">
        <v>2</v>
      </c>
      <c r="H929" s="73">
        <f>IFERROR(INDEX(Katalog!$D$3:$D$12,MATCH(cadangan[[#This Row],[ItemID A]],Katalog!$C$3:$C$12,0))*cadangan[[#This Row],[Qty A]],0)</f>
        <v>300000</v>
      </c>
      <c r="I929" s="73">
        <f>IFERROR(cadangan[[#This Row],[Harga Normal A]]-(cadangan[[#This Row],[Harga Normal A]]*cadangan[[#This Row],[Diskon]]),cadangan[[#This Row],[Harga Normal A]])</f>
        <v>270000</v>
      </c>
      <c r="J929" s="73">
        <f>INDEX(Katalog!$F$3:$F$12,MATCH(cadangan[[#This Row],[ItemID A]],Katalog!$C$3:$C$12,0))*cadangan[[#This Row],[Qty A]]</f>
        <v>120000</v>
      </c>
      <c r="K929" s="73">
        <f>IFERROR(cadangan[[#This Row],[Harga Diskon A]]-INDEX(Katalog!$E$3:$E$12,MATCH(cadangan[[#This Row],[ItemID A]],Katalog!$C$3:$C$12,0))*cadangan[[#This Row],[Qty A]],0)</f>
        <v>90000</v>
      </c>
      <c r="M929" s="39" t="str">
        <f>IFERROR(INDEX(Katalog!$A$3:$A$12,MATCH(cadangan[[#This Row],[ItemID B]],Katalog!$C$3:$C$12,0)),"-")</f>
        <v>-</v>
      </c>
      <c r="N929" s="39" t="str">
        <f>IFERROR(INDEX(Katalog!$B$3:$B$12,MATCH(cadangan[[#This Row],[ItemID B]],Katalog!$C$3:$C$12,0)),"-")</f>
        <v>-</v>
      </c>
      <c r="Q929" s="73">
        <f>IFERROR(INDEX(Katalog!$D$3:$D$12,MATCH(cadangan[[#This Row],[ItemID B]],Katalog!$C$3:$C$12,0))*cadangan[[#This Row],[Qty B]],0)</f>
        <v>0</v>
      </c>
      <c r="R929" s="73">
        <f>IFERROR(cadangan[[#This Row],[Harga Normal B]]-(cadangan[[#This Row],[Harga Normal B]]*cadangan[[#This Row],[Diskon]]),cadangan[[#This Row],[Harga Normal B]])</f>
        <v>0</v>
      </c>
      <c r="S929" s="73">
        <f>IFERROR(INDEX(Katalog!$F$3:$F$12,MATCH(cadangan[[#This Row],[ItemID B]],Katalog!$C$3:$C$12,0))*cadangan[[#This Row],[Qty B]],0)</f>
        <v>0</v>
      </c>
      <c r="T929" s="73">
        <f>IFERROR(cadangan[[#This Row],[Harga Diskon B]]-INDEX(Katalog!$E$3:$E$12,MATCH(cadangan[[#This Row],[ItemID B]],Katalog!$C$3:$C$12,0))*cadangan[[#This Row],[Qty B]],0)</f>
        <v>0</v>
      </c>
      <c r="V929" s="39" t="str">
        <f>IFERROR(INDEX(Katalog!$A$3:$A$12,MATCH(cadangan[[#This Row],[ItemID C]],Katalog!$C$3:$C$12,0)),"-")</f>
        <v>-</v>
      </c>
      <c r="W929" s="39" t="str">
        <f>IFERROR(INDEX(Katalog!$B$3:$B$12,MATCH(cadangan[[#This Row],[ItemID C]],Katalog!$C$3:$C$12,0)),"-")</f>
        <v>-</v>
      </c>
      <c r="Z929" s="73">
        <f>IFERROR(INDEX(Katalog!$D$3:$D$12,MATCH(cadangan[[#This Row],[ItemID C]],Katalog!$C$3:$C$12,0))*cadangan[[#This Row],[Qty C]],0)</f>
        <v>0</v>
      </c>
      <c r="AA929" s="73">
        <f>IFERROR(cadangan[[#This Row],[Harga Normal C]]-(cadangan[[#This Row],[Harga Normal C]]*cadangan[[#This Row],[Diskon]]),cadangan[[#This Row],[Harga Normal C]])</f>
        <v>0</v>
      </c>
      <c r="AB929" s="73">
        <f>IFERROR(INDEX(Katalog!$F$3:$F$12,MATCH(cadangan[[#This Row],[ItemID C]],Katalog!$C$3:$C$12,0))*cadangan[[#This Row],[Qty C]],0)</f>
        <v>0</v>
      </c>
      <c r="AC929" s="73">
        <f>IFERROR(cadangan[[#This Row],[Harga Diskon C]]-INDEX(Katalog!$E$3:$E$12,MATCH(cadangan[[#This Row],[ItemID C]],Katalog!$C$3:$C$12,0))*cadangan[[#This Row],[Qty C]],0)</f>
        <v>0</v>
      </c>
      <c r="AD929" s="53">
        <f>cadangan[[#This Row],[Qty A]]+cadangan[[#This Row],[Qty B]]+cadangan[[#This Row],[Qty C]]</f>
        <v>2</v>
      </c>
      <c r="AE929" s="73">
        <f>cadangan[[#This Row],[Harga Normal A]]+cadangan[[#This Row],[Harga Normal B]]+cadangan[[#This Row],[Harga Normal C]]</f>
        <v>300000</v>
      </c>
      <c r="AF929" s="73">
        <f>cadangan[[#This Row],[Harga Diskon A]]+cadangan[[#This Row],[Harga Diskon B]]+cadangan[[#This Row],[Harga Diskon C]]</f>
        <v>270000</v>
      </c>
      <c r="AG929" s="73">
        <f>(cadangan[[#This Row],[Profit Normal A]]+cadangan[[#This Row],[Profit Normal B]]+cadangan[[#This Row],[Profit Normal C]])</f>
        <v>120000</v>
      </c>
      <c r="AH929" s="73">
        <f>cadangan[[#This Row],[Profit Diskon A]]+cadangan[[#This Row],[Profit Diskon B]]+cadangan[[#This Row],[Profit Diskon C]]</f>
        <v>90000</v>
      </c>
      <c r="AI929" s="23" t="s">
        <v>31</v>
      </c>
      <c r="AJ929" s="37">
        <f>IFERROR(INDEX('Kode Diskon'!$D$3:$D$9,MATCH(cadangan[[#This Row],[Kode diskon]],'Kode Diskon'!$C$3:$C$9,0)),"-")</f>
        <v>0.1</v>
      </c>
      <c r="AK929" s="23" t="s">
        <v>9</v>
      </c>
      <c r="AL929" s="23" t="s">
        <v>10</v>
      </c>
      <c r="AM929" s="23" t="s">
        <v>76</v>
      </c>
      <c r="AN929" s="55">
        <v>45042</v>
      </c>
      <c r="AO929" s="53">
        <f>DAY(cadangan[[#This Row],[Tanggal terjual]])</f>
        <v>26</v>
      </c>
      <c r="AP929" s="21" t="str">
        <f>TEXT(cadangan[[#This Row],[Tanggal terjual]],"dddd")</f>
        <v>Wednesday</v>
      </c>
      <c r="AQ929" s="23" t="str" cm="1">
        <f t="array" ref="AQ92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29" s="61">
        <f>AVERAGE(cadangan[[#This Row],[Rating A]],cadangan[[#This Row],[Rating B]],cadangan[[#This Row],[Rating C]])</f>
        <v>2</v>
      </c>
    </row>
    <row r="930" spans="1:44" x14ac:dyDescent="0.2">
      <c r="A930" s="20">
        <v>929</v>
      </c>
      <c r="B930" s="21" t="str">
        <f>_xlfn.CONCAT("ORD-",INDEX(Helper!$B$2:$B$5,MATCH(cadangan[[#This Row],[Marketplace]],Helper!$A$2:$A$5,0)),TEXT(cadangan[[#This Row],[No]],"0000"),"-",TEXT(cadangan[[#This Row],[Tanggal terjual]],"dd/mm/yy"))</f>
        <v>ORD-TK0929-03/04/23</v>
      </c>
      <c r="C930" s="39" t="s">
        <v>63</v>
      </c>
      <c r="D930" s="39" t="str">
        <f>IFERROR(INDEX(Katalog!$A$3:$A$12,MATCH(cadangan[[#This Row],[ItemID A]],Katalog!$C$3:$C$12,0)),"-")</f>
        <v>Pakaian Pria</v>
      </c>
      <c r="E930" s="39" t="str">
        <f>IFERROR(INDEX(Katalog!$B$3:$B$12,MATCH(cadangan[[#This Row],[ItemID A]],Katalog!$C$3:$C$12,0)),"-")</f>
        <v>Jaket Jeans</v>
      </c>
      <c r="F930" s="50">
        <v>1</v>
      </c>
      <c r="G930" s="50">
        <v>5</v>
      </c>
      <c r="H930" s="73">
        <f>IFERROR(INDEX(Katalog!$D$3:$D$12,MATCH(cadangan[[#This Row],[ItemID A]],Katalog!$C$3:$C$12,0))*cadangan[[#This Row],[Qty A]],0)</f>
        <v>400000</v>
      </c>
      <c r="I930" s="73">
        <f>IFERROR(cadangan[[#This Row],[Harga Normal A]]-(cadangan[[#This Row],[Harga Normal A]]*cadangan[[#This Row],[Diskon]]),cadangan[[#This Row],[Harga Normal A]])</f>
        <v>360000</v>
      </c>
      <c r="J930" s="73">
        <f>INDEX(Katalog!$F$3:$F$12,MATCH(cadangan[[#This Row],[ItemID A]],Katalog!$C$3:$C$12,0))*cadangan[[#This Row],[Qty A]]</f>
        <v>150000</v>
      </c>
      <c r="K930" s="73">
        <f>IFERROR(cadangan[[#This Row],[Harga Diskon A]]-INDEX(Katalog!$E$3:$E$12,MATCH(cadangan[[#This Row],[ItemID A]],Katalog!$C$3:$C$12,0))*cadangan[[#This Row],[Qty A]],0)</f>
        <v>110000</v>
      </c>
      <c r="L930" s="39" t="s">
        <v>58</v>
      </c>
      <c r="M930" s="39" t="str">
        <f>IFERROR(INDEX(Katalog!$A$3:$A$12,MATCH(cadangan[[#This Row],[ItemID B]],Katalog!$C$3:$C$12,0)),"-")</f>
        <v>Pakaian Wanita</v>
      </c>
      <c r="N930" s="39" t="str">
        <f>IFERROR(INDEX(Katalog!$B$3:$B$12,MATCH(cadangan[[#This Row],[ItemID B]],Katalog!$C$3:$C$12,0)),"-")</f>
        <v>Dress</v>
      </c>
      <c r="O930" s="50">
        <v>1</v>
      </c>
      <c r="P930" s="50">
        <v>1</v>
      </c>
      <c r="Q930" s="73">
        <f>IFERROR(INDEX(Katalog!$D$3:$D$12,MATCH(cadangan[[#This Row],[ItemID B]],Katalog!$C$3:$C$12,0))*cadangan[[#This Row],[Qty B]],0)</f>
        <v>300000</v>
      </c>
      <c r="R930" s="73">
        <f>IFERROR(cadangan[[#This Row],[Harga Normal B]]-(cadangan[[#This Row],[Harga Normal B]]*cadangan[[#This Row],[Diskon]]),cadangan[[#This Row],[Harga Normal B]])</f>
        <v>270000</v>
      </c>
      <c r="S930" s="73">
        <f>IFERROR(INDEX(Katalog!$F$3:$F$12,MATCH(cadangan[[#This Row],[ItemID B]],Katalog!$C$3:$C$12,0))*cadangan[[#This Row],[Qty B]],0)</f>
        <v>100000</v>
      </c>
      <c r="T930" s="73">
        <f>IFERROR(cadangan[[#This Row],[Harga Diskon B]]-INDEX(Katalog!$E$3:$E$12,MATCH(cadangan[[#This Row],[ItemID B]],Katalog!$C$3:$C$12,0))*cadangan[[#This Row],[Qty B]],0)</f>
        <v>70000</v>
      </c>
      <c r="V930" s="39" t="str">
        <f>IFERROR(INDEX(Katalog!$A$3:$A$12,MATCH(cadangan[[#This Row],[ItemID C]],Katalog!$C$3:$C$12,0)),"-")</f>
        <v>-</v>
      </c>
      <c r="W930" s="39" t="str">
        <f>IFERROR(INDEX(Katalog!$B$3:$B$12,MATCH(cadangan[[#This Row],[ItemID C]],Katalog!$C$3:$C$12,0)),"-")</f>
        <v>-</v>
      </c>
      <c r="Z930" s="73">
        <f>IFERROR(INDEX(Katalog!$D$3:$D$12,MATCH(cadangan[[#This Row],[ItemID C]],Katalog!$C$3:$C$12,0))*cadangan[[#This Row],[Qty C]],0)</f>
        <v>0</v>
      </c>
      <c r="AA930" s="73">
        <f>IFERROR(cadangan[[#This Row],[Harga Normal C]]-(cadangan[[#This Row],[Harga Normal C]]*cadangan[[#This Row],[Diskon]]),cadangan[[#This Row],[Harga Normal C]])</f>
        <v>0</v>
      </c>
      <c r="AB930" s="73">
        <f>IFERROR(INDEX(Katalog!$F$3:$F$12,MATCH(cadangan[[#This Row],[ItemID C]],Katalog!$C$3:$C$12,0))*cadangan[[#This Row],[Qty C]],0)</f>
        <v>0</v>
      </c>
      <c r="AC930" s="73">
        <f>IFERROR(cadangan[[#This Row],[Harga Diskon C]]-INDEX(Katalog!$E$3:$E$12,MATCH(cadangan[[#This Row],[ItemID C]],Katalog!$C$3:$C$12,0))*cadangan[[#This Row],[Qty C]],0)</f>
        <v>0</v>
      </c>
      <c r="AD930" s="53">
        <f>cadangan[[#This Row],[Qty A]]+cadangan[[#This Row],[Qty B]]+cadangan[[#This Row],[Qty C]]</f>
        <v>2</v>
      </c>
      <c r="AE930" s="73">
        <f>cadangan[[#This Row],[Harga Normal A]]+cadangan[[#This Row],[Harga Normal B]]+cadangan[[#This Row],[Harga Normal C]]</f>
        <v>700000</v>
      </c>
      <c r="AF930" s="73">
        <f>cadangan[[#This Row],[Harga Diskon A]]+cadangan[[#This Row],[Harga Diskon B]]+cadangan[[#This Row],[Harga Diskon C]]</f>
        <v>630000</v>
      </c>
      <c r="AG930" s="73">
        <f>(cadangan[[#This Row],[Profit Normal A]]+cadangan[[#This Row],[Profit Normal B]]+cadangan[[#This Row],[Profit Normal C]])</f>
        <v>250000</v>
      </c>
      <c r="AH930" s="73">
        <f>cadangan[[#This Row],[Profit Diskon A]]+cadangan[[#This Row],[Profit Diskon B]]+cadangan[[#This Row],[Profit Diskon C]]</f>
        <v>180000</v>
      </c>
      <c r="AI930" s="23" t="s">
        <v>30</v>
      </c>
      <c r="AJ930" s="37">
        <f>IFERROR(INDEX('Kode Diskon'!$D$3:$D$9,MATCH(cadangan[[#This Row],[Kode diskon]],'Kode Diskon'!$C$3:$C$9,0)),"-")</f>
        <v>0.1</v>
      </c>
      <c r="AK930" s="23" t="s">
        <v>29</v>
      </c>
      <c r="AL930" s="23" t="s">
        <v>10</v>
      </c>
      <c r="AM930" s="23" t="s">
        <v>80</v>
      </c>
      <c r="AN930" s="55">
        <v>45019</v>
      </c>
      <c r="AO930" s="53">
        <f>DAY(cadangan[[#This Row],[Tanggal terjual]])</f>
        <v>3</v>
      </c>
      <c r="AP930" s="21" t="str">
        <f>TEXT(cadangan[[#This Row],[Tanggal terjual]],"dddd")</f>
        <v>Monday</v>
      </c>
      <c r="AQ930" s="23" t="str" cm="1">
        <f t="array" ref="AQ93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0" s="61">
        <f>AVERAGE(cadangan[[#This Row],[Rating A]],cadangan[[#This Row],[Rating B]],cadangan[[#This Row],[Rating C]])</f>
        <v>3</v>
      </c>
    </row>
    <row r="931" spans="1:44" x14ac:dyDescent="0.2">
      <c r="A931" s="20">
        <v>930</v>
      </c>
      <c r="B931" s="21" t="str">
        <f>_xlfn.CONCAT("ORD-",INDEX(Helper!$B$2:$B$5,MATCH(cadangan[[#This Row],[Marketplace]],Helper!$A$2:$A$5,0)),TEXT(cadangan[[#This Row],[No]],"0000"),"-",TEXT(cadangan[[#This Row],[Tanggal terjual]],"dd/mm/yy"))</f>
        <v>ORD-TK0930-03/04/23</v>
      </c>
      <c r="C931" s="39" t="s">
        <v>67</v>
      </c>
      <c r="D931" s="39" t="str">
        <f>IFERROR(INDEX(Katalog!$A$3:$A$12,MATCH(cadangan[[#This Row],[ItemID A]],Katalog!$C$3:$C$12,0)),"-")</f>
        <v>Sepatu Wanita</v>
      </c>
      <c r="E931" s="39" t="str">
        <f>IFERROR(INDEX(Katalog!$B$3:$B$12,MATCH(cadangan[[#This Row],[ItemID A]],Katalog!$C$3:$C$12,0)),"-")</f>
        <v>Flat Shoes</v>
      </c>
      <c r="F931" s="50">
        <v>5</v>
      </c>
      <c r="G931" s="50">
        <v>1</v>
      </c>
      <c r="H931" s="73">
        <f>IFERROR(INDEX(Katalog!$D$3:$D$12,MATCH(cadangan[[#This Row],[ItemID A]],Katalog!$C$3:$C$12,0))*cadangan[[#This Row],[Qty A]],0)</f>
        <v>1250000</v>
      </c>
      <c r="I931" s="73">
        <f>IFERROR(cadangan[[#This Row],[Harga Normal A]]-(cadangan[[#This Row],[Harga Normal A]]*cadangan[[#This Row],[Diskon]]),cadangan[[#This Row],[Harga Normal A]])</f>
        <v>1125000</v>
      </c>
      <c r="J931" s="73">
        <f>INDEX(Katalog!$F$3:$F$12,MATCH(cadangan[[#This Row],[ItemID A]],Katalog!$C$3:$C$12,0))*cadangan[[#This Row],[Qty A]]</f>
        <v>500000</v>
      </c>
      <c r="K931" s="73">
        <f>IFERROR(cadangan[[#This Row],[Harga Diskon A]]-INDEX(Katalog!$E$3:$E$12,MATCH(cadangan[[#This Row],[ItemID A]],Katalog!$C$3:$C$12,0))*cadangan[[#This Row],[Qty A]],0)</f>
        <v>375000</v>
      </c>
      <c r="M931" s="39" t="str">
        <f>IFERROR(INDEX(Katalog!$A$3:$A$12,MATCH(cadangan[[#This Row],[ItemID B]],Katalog!$C$3:$C$12,0)),"-")</f>
        <v>-</v>
      </c>
      <c r="N931" s="39" t="str">
        <f>IFERROR(INDEX(Katalog!$B$3:$B$12,MATCH(cadangan[[#This Row],[ItemID B]],Katalog!$C$3:$C$12,0)),"-")</f>
        <v>-</v>
      </c>
      <c r="Q931" s="73">
        <f>IFERROR(INDEX(Katalog!$D$3:$D$12,MATCH(cadangan[[#This Row],[ItemID B]],Katalog!$C$3:$C$12,0))*cadangan[[#This Row],[Qty B]],0)</f>
        <v>0</v>
      </c>
      <c r="R931" s="73">
        <f>IFERROR(cadangan[[#This Row],[Harga Normal B]]-(cadangan[[#This Row],[Harga Normal B]]*cadangan[[#This Row],[Diskon]]),cadangan[[#This Row],[Harga Normal B]])</f>
        <v>0</v>
      </c>
      <c r="S931" s="73">
        <f>IFERROR(INDEX(Katalog!$F$3:$F$12,MATCH(cadangan[[#This Row],[ItemID B]],Katalog!$C$3:$C$12,0))*cadangan[[#This Row],[Qty B]],0)</f>
        <v>0</v>
      </c>
      <c r="T931" s="73">
        <f>IFERROR(cadangan[[#This Row],[Harga Diskon B]]-INDEX(Katalog!$E$3:$E$12,MATCH(cadangan[[#This Row],[ItemID B]],Katalog!$C$3:$C$12,0))*cadangan[[#This Row],[Qty B]],0)</f>
        <v>0</v>
      </c>
      <c r="V931" s="39" t="str">
        <f>IFERROR(INDEX(Katalog!$A$3:$A$12,MATCH(cadangan[[#This Row],[ItemID C]],Katalog!$C$3:$C$12,0)),"-")</f>
        <v>-</v>
      </c>
      <c r="W931" s="39" t="str">
        <f>IFERROR(INDEX(Katalog!$B$3:$B$12,MATCH(cadangan[[#This Row],[ItemID C]],Katalog!$C$3:$C$12,0)),"-")</f>
        <v>-</v>
      </c>
      <c r="Z931" s="73">
        <f>IFERROR(INDEX(Katalog!$D$3:$D$12,MATCH(cadangan[[#This Row],[ItemID C]],Katalog!$C$3:$C$12,0))*cadangan[[#This Row],[Qty C]],0)</f>
        <v>0</v>
      </c>
      <c r="AA931" s="73">
        <f>IFERROR(cadangan[[#This Row],[Harga Normal C]]-(cadangan[[#This Row],[Harga Normal C]]*cadangan[[#This Row],[Diskon]]),cadangan[[#This Row],[Harga Normal C]])</f>
        <v>0</v>
      </c>
      <c r="AB931" s="73">
        <f>IFERROR(INDEX(Katalog!$F$3:$F$12,MATCH(cadangan[[#This Row],[ItemID C]],Katalog!$C$3:$C$12,0))*cadangan[[#This Row],[Qty C]],0)</f>
        <v>0</v>
      </c>
      <c r="AC931" s="73">
        <f>IFERROR(cadangan[[#This Row],[Harga Diskon C]]-INDEX(Katalog!$E$3:$E$12,MATCH(cadangan[[#This Row],[ItemID C]],Katalog!$C$3:$C$12,0))*cadangan[[#This Row],[Qty C]],0)</f>
        <v>0</v>
      </c>
      <c r="AD931" s="53">
        <f>cadangan[[#This Row],[Qty A]]+cadangan[[#This Row],[Qty B]]+cadangan[[#This Row],[Qty C]]</f>
        <v>5</v>
      </c>
      <c r="AE931" s="73">
        <f>cadangan[[#This Row],[Harga Normal A]]+cadangan[[#This Row],[Harga Normal B]]+cadangan[[#This Row],[Harga Normal C]]</f>
        <v>1250000</v>
      </c>
      <c r="AF931" s="73">
        <f>cadangan[[#This Row],[Harga Diskon A]]+cadangan[[#This Row],[Harga Diskon B]]+cadangan[[#This Row],[Harga Diskon C]]</f>
        <v>1125000</v>
      </c>
      <c r="AG931" s="73">
        <f>(cadangan[[#This Row],[Profit Normal A]]+cadangan[[#This Row],[Profit Normal B]]+cadangan[[#This Row],[Profit Normal C]])</f>
        <v>500000</v>
      </c>
      <c r="AH931" s="73">
        <f>cadangan[[#This Row],[Profit Diskon A]]+cadangan[[#This Row],[Profit Diskon B]]+cadangan[[#This Row],[Profit Diskon C]]</f>
        <v>375000</v>
      </c>
      <c r="AI931" s="23" t="s">
        <v>30</v>
      </c>
      <c r="AJ931" s="37">
        <f>IFERROR(INDEX('Kode Diskon'!$D$3:$D$9,MATCH(cadangan[[#This Row],[Kode diskon]],'Kode Diskon'!$C$3:$C$9,0)),"-")</f>
        <v>0.1</v>
      </c>
      <c r="AK931" s="23" t="s">
        <v>29</v>
      </c>
      <c r="AL931" s="23" t="s">
        <v>10</v>
      </c>
      <c r="AM931" s="23" t="s">
        <v>76</v>
      </c>
      <c r="AN931" s="55">
        <v>45019</v>
      </c>
      <c r="AO931" s="53">
        <f>DAY(cadangan[[#This Row],[Tanggal terjual]])</f>
        <v>3</v>
      </c>
      <c r="AP931" s="21" t="str">
        <f>TEXT(cadangan[[#This Row],[Tanggal terjual]],"dddd")</f>
        <v>Monday</v>
      </c>
      <c r="AQ931" s="23" t="str" cm="1">
        <f t="array" ref="AQ93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1" s="61">
        <f>AVERAGE(cadangan[[#This Row],[Rating A]],cadangan[[#This Row],[Rating B]],cadangan[[#This Row],[Rating C]])</f>
        <v>1</v>
      </c>
    </row>
    <row r="932" spans="1:44" x14ac:dyDescent="0.2">
      <c r="A932" s="20">
        <v>931</v>
      </c>
      <c r="B932" s="21" t="str">
        <f>_xlfn.CONCAT("ORD-",INDEX(Helper!$B$2:$B$5,MATCH(cadangan[[#This Row],[Marketplace]],Helper!$A$2:$A$5,0)),TEXT(cadangan[[#This Row],[No]],"0000"),"-",TEXT(cadangan[[#This Row],[Tanggal terjual]],"dd/mm/yy"))</f>
        <v>ORD-BB0931-06/04/23</v>
      </c>
      <c r="C932" s="39" t="s">
        <v>66</v>
      </c>
      <c r="D932" s="39" t="str">
        <f>IFERROR(INDEX(Katalog!$A$3:$A$12,MATCH(cadangan[[#This Row],[ItemID A]],Katalog!$C$3:$C$12,0)),"-")</f>
        <v>Sepatu Pria</v>
      </c>
      <c r="E932" s="39" t="str">
        <f>IFERROR(INDEX(Katalog!$B$3:$B$12,MATCH(cadangan[[#This Row],[ItemID A]],Katalog!$C$3:$C$12,0)),"-")</f>
        <v>Sandal Slip On</v>
      </c>
      <c r="F932" s="50">
        <v>2</v>
      </c>
      <c r="G932" s="50">
        <v>2</v>
      </c>
      <c r="H932" s="73">
        <f>IFERROR(INDEX(Katalog!$D$3:$D$12,MATCH(cadangan[[#This Row],[ItemID A]],Katalog!$C$3:$C$12,0))*cadangan[[#This Row],[Qty A]],0)</f>
        <v>300000</v>
      </c>
      <c r="I932" s="73">
        <f>IFERROR(cadangan[[#This Row],[Harga Normal A]]-(cadangan[[#This Row],[Harga Normal A]]*cadangan[[#This Row],[Diskon]]),cadangan[[#This Row],[Harga Normal A]])</f>
        <v>255000</v>
      </c>
      <c r="J932" s="73">
        <f>INDEX(Katalog!$F$3:$F$12,MATCH(cadangan[[#This Row],[ItemID A]],Katalog!$C$3:$C$12,0))*cadangan[[#This Row],[Qty A]]</f>
        <v>120000</v>
      </c>
      <c r="K932" s="73">
        <f>IFERROR(cadangan[[#This Row],[Harga Diskon A]]-INDEX(Katalog!$E$3:$E$12,MATCH(cadangan[[#This Row],[ItemID A]],Katalog!$C$3:$C$12,0))*cadangan[[#This Row],[Qty A]],0)</f>
        <v>75000</v>
      </c>
      <c r="L932" s="39" t="s">
        <v>65</v>
      </c>
      <c r="M932" s="39" t="str">
        <f>IFERROR(INDEX(Katalog!$A$3:$A$12,MATCH(cadangan[[#This Row],[ItemID B]],Katalog!$C$3:$C$12,0)),"-")</f>
        <v>Sepatu Pria</v>
      </c>
      <c r="N932" s="39" t="str">
        <f>IFERROR(INDEX(Katalog!$B$3:$B$12,MATCH(cadangan[[#This Row],[ItemID B]],Katalog!$C$3:$C$12,0)),"-")</f>
        <v>Sneakers</v>
      </c>
      <c r="O932" s="50">
        <v>1</v>
      </c>
      <c r="P932" s="50">
        <v>5</v>
      </c>
      <c r="Q932" s="73">
        <f>IFERROR(INDEX(Katalog!$D$3:$D$12,MATCH(cadangan[[#This Row],[ItemID B]],Katalog!$C$3:$C$12,0))*cadangan[[#This Row],[Qty B]],0)</f>
        <v>500000</v>
      </c>
      <c r="R932" s="73">
        <f>IFERROR(cadangan[[#This Row],[Harga Normal B]]-(cadangan[[#This Row],[Harga Normal B]]*cadangan[[#This Row],[Diskon]]),cadangan[[#This Row],[Harga Normal B]])</f>
        <v>425000</v>
      </c>
      <c r="S932" s="73">
        <f>IFERROR(INDEX(Katalog!$F$3:$F$12,MATCH(cadangan[[#This Row],[ItemID B]],Katalog!$C$3:$C$12,0))*cadangan[[#This Row],[Qty B]],0)</f>
        <v>200000</v>
      </c>
      <c r="T932" s="73">
        <f>IFERROR(cadangan[[#This Row],[Harga Diskon B]]-INDEX(Katalog!$E$3:$E$12,MATCH(cadangan[[#This Row],[ItemID B]],Katalog!$C$3:$C$12,0))*cadangan[[#This Row],[Qty B]],0)</f>
        <v>125000</v>
      </c>
      <c r="U932" s="39" t="s">
        <v>67</v>
      </c>
      <c r="V932" s="39" t="str">
        <f>IFERROR(INDEX(Katalog!$A$3:$A$12,MATCH(cadangan[[#This Row],[ItemID C]],Katalog!$C$3:$C$12,0)),"-")</f>
        <v>Sepatu Wanita</v>
      </c>
      <c r="W932" s="39" t="str">
        <f>IFERROR(INDEX(Katalog!$B$3:$B$12,MATCH(cadangan[[#This Row],[ItemID C]],Katalog!$C$3:$C$12,0)),"-")</f>
        <v>Flat Shoes</v>
      </c>
      <c r="X932" s="50">
        <v>2</v>
      </c>
      <c r="Y932" s="50">
        <v>5</v>
      </c>
      <c r="Z932" s="73">
        <f>IFERROR(INDEX(Katalog!$D$3:$D$12,MATCH(cadangan[[#This Row],[ItemID C]],Katalog!$C$3:$C$12,0))*cadangan[[#This Row],[Qty C]],0)</f>
        <v>500000</v>
      </c>
      <c r="AA932" s="73">
        <f>IFERROR(cadangan[[#This Row],[Harga Normal C]]-(cadangan[[#This Row],[Harga Normal C]]*cadangan[[#This Row],[Diskon]]),cadangan[[#This Row],[Harga Normal C]])</f>
        <v>425000</v>
      </c>
      <c r="AB932" s="73">
        <f>IFERROR(INDEX(Katalog!$F$3:$F$12,MATCH(cadangan[[#This Row],[ItemID C]],Katalog!$C$3:$C$12,0))*cadangan[[#This Row],[Qty C]],0)</f>
        <v>200000</v>
      </c>
      <c r="AC932" s="73">
        <f>IFERROR(cadangan[[#This Row],[Harga Diskon C]]-INDEX(Katalog!$E$3:$E$12,MATCH(cadangan[[#This Row],[ItemID C]],Katalog!$C$3:$C$12,0))*cadangan[[#This Row],[Qty C]],0)</f>
        <v>125000</v>
      </c>
      <c r="AD932" s="53">
        <f>cadangan[[#This Row],[Qty A]]+cadangan[[#This Row],[Qty B]]+cadangan[[#This Row],[Qty C]]</f>
        <v>5</v>
      </c>
      <c r="AE932" s="73">
        <f>cadangan[[#This Row],[Harga Normal A]]+cadangan[[#This Row],[Harga Normal B]]+cadangan[[#This Row],[Harga Normal C]]</f>
        <v>1300000</v>
      </c>
      <c r="AF932" s="73">
        <f>cadangan[[#This Row],[Harga Diskon A]]+cadangan[[#This Row],[Harga Diskon B]]+cadangan[[#This Row],[Harga Diskon C]]</f>
        <v>1105000</v>
      </c>
      <c r="AG932" s="73">
        <f>(cadangan[[#This Row],[Profit Normal A]]+cadangan[[#This Row],[Profit Normal B]]+cadangan[[#This Row],[Profit Normal C]])</f>
        <v>520000</v>
      </c>
      <c r="AH932" s="73">
        <f>cadangan[[#This Row],[Profit Diskon A]]+cadangan[[#This Row],[Profit Diskon B]]+cadangan[[#This Row],[Profit Diskon C]]</f>
        <v>325000</v>
      </c>
      <c r="AI932" s="23" t="s">
        <v>28</v>
      </c>
      <c r="AJ932" s="37">
        <f>IFERROR(INDEX('Kode Diskon'!$D$3:$D$9,MATCH(cadangan[[#This Row],[Kode diskon]],'Kode Diskon'!$C$3:$C$9,0)),"-")</f>
        <v>0.15</v>
      </c>
      <c r="AK932" s="23" t="s">
        <v>29</v>
      </c>
      <c r="AL932" s="23" t="s">
        <v>14</v>
      </c>
      <c r="AM932" s="23" t="s">
        <v>78</v>
      </c>
      <c r="AN932" s="55">
        <v>45022</v>
      </c>
      <c r="AO932" s="53">
        <f>DAY(cadangan[[#This Row],[Tanggal terjual]])</f>
        <v>6</v>
      </c>
      <c r="AP932" s="21" t="str">
        <f>TEXT(cadangan[[#This Row],[Tanggal terjual]],"dddd")</f>
        <v>Thursday</v>
      </c>
      <c r="AQ932" s="23" t="str" cm="1">
        <f t="array" ref="AQ93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2" s="61">
        <f>AVERAGE(cadangan[[#This Row],[Rating A]],cadangan[[#This Row],[Rating B]],cadangan[[#This Row],[Rating C]])</f>
        <v>4</v>
      </c>
    </row>
    <row r="933" spans="1:44" x14ac:dyDescent="0.2">
      <c r="A933" s="20">
        <v>932</v>
      </c>
      <c r="B933" s="21" t="str">
        <f>_xlfn.CONCAT("ORD-",INDEX(Helper!$B$2:$B$5,MATCH(cadangan[[#This Row],[Marketplace]],Helper!$A$2:$A$5,0)),TEXT(cadangan[[#This Row],[No]],"0000"),"-",TEXT(cadangan[[#This Row],[Tanggal terjual]],"dd/mm/yy"))</f>
        <v>ORD-SP0932-16/04/23</v>
      </c>
      <c r="C933" s="39" t="s">
        <v>62</v>
      </c>
      <c r="D933" s="39" t="str">
        <f>IFERROR(INDEX(Katalog!$A$3:$A$12,MATCH(cadangan[[#This Row],[ItemID A]],Katalog!$C$3:$C$12,0)),"-")</f>
        <v>Pakaian Pria</v>
      </c>
      <c r="E933" s="39" t="str">
        <f>IFERROR(INDEX(Katalog!$B$3:$B$12,MATCH(cadangan[[#This Row],[ItemID A]],Katalog!$C$3:$C$12,0)),"-")</f>
        <v>Celana Pendek</v>
      </c>
      <c r="F933" s="50">
        <v>3</v>
      </c>
      <c r="G933" s="50">
        <v>2</v>
      </c>
      <c r="H933" s="73">
        <f>IFERROR(INDEX(Katalog!$D$3:$D$12,MATCH(cadangan[[#This Row],[ItemID A]],Katalog!$C$3:$C$12,0))*cadangan[[#This Row],[Qty A]],0)</f>
        <v>540000</v>
      </c>
      <c r="I933" s="73">
        <f>IFERROR(cadangan[[#This Row],[Harga Normal A]]-(cadangan[[#This Row],[Harga Normal A]]*cadangan[[#This Row],[Diskon]]),cadangan[[#This Row],[Harga Normal A]])</f>
        <v>432000</v>
      </c>
      <c r="J933" s="73">
        <f>INDEX(Katalog!$F$3:$F$12,MATCH(cadangan[[#This Row],[ItemID A]],Katalog!$C$3:$C$12,0))*cadangan[[#This Row],[Qty A]]</f>
        <v>210000</v>
      </c>
      <c r="K933" s="73">
        <f>IFERROR(cadangan[[#This Row],[Harga Diskon A]]-INDEX(Katalog!$E$3:$E$12,MATCH(cadangan[[#This Row],[ItemID A]],Katalog!$C$3:$C$12,0))*cadangan[[#This Row],[Qty A]],0)</f>
        <v>102000</v>
      </c>
      <c r="M933" s="39" t="str">
        <f>IFERROR(INDEX(Katalog!$A$3:$A$12,MATCH(cadangan[[#This Row],[ItemID B]],Katalog!$C$3:$C$12,0)),"-")</f>
        <v>-</v>
      </c>
      <c r="N933" s="39" t="str">
        <f>IFERROR(INDEX(Katalog!$B$3:$B$12,MATCH(cadangan[[#This Row],[ItemID B]],Katalog!$C$3:$C$12,0)),"-")</f>
        <v>-</v>
      </c>
      <c r="Q933" s="73">
        <f>IFERROR(INDEX(Katalog!$D$3:$D$12,MATCH(cadangan[[#This Row],[ItemID B]],Katalog!$C$3:$C$12,0))*cadangan[[#This Row],[Qty B]],0)</f>
        <v>0</v>
      </c>
      <c r="R933" s="73">
        <f>IFERROR(cadangan[[#This Row],[Harga Normal B]]-(cadangan[[#This Row],[Harga Normal B]]*cadangan[[#This Row],[Diskon]]),cadangan[[#This Row],[Harga Normal B]])</f>
        <v>0</v>
      </c>
      <c r="S933" s="73">
        <f>IFERROR(INDEX(Katalog!$F$3:$F$12,MATCH(cadangan[[#This Row],[ItemID B]],Katalog!$C$3:$C$12,0))*cadangan[[#This Row],[Qty B]],0)</f>
        <v>0</v>
      </c>
      <c r="T933" s="73">
        <f>IFERROR(cadangan[[#This Row],[Harga Diskon B]]-INDEX(Katalog!$E$3:$E$12,MATCH(cadangan[[#This Row],[ItemID B]],Katalog!$C$3:$C$12,0))*cadangan[[#This Row],[Qty B]],0)</f>
        <v>0</v>
      </c>
      <c r="V933" s="39" t="str">
        <f>IFERROR(INDEX(Katalog!$A$3:$A$12,MATCH(cadangan[[#This Row],[ItemID C]],Katalog!$C$3:$C$12,0)),"-")</f>
        <v>-</v>
      </c>
      <c r="W933" s="39" t="str">
        <f>IFERROR(INDEX(Katalog!$B$3:$B$12,MATCH(cadangan[[#This Row],[ItemID C]],Katalog!$C$3:$C$12,0)),"-")</f>
        <v>-</v>
      </c>
      <c r="Z933" s="73">
        <f>IFERROR(INDEX(Katalog!$D$3:$D$12,MATCH(cadangan[[#This Row],[ItemID C]],Katalog!$C$3:$C$12,0))*cadangan[[#This Row],[Qty C]],0)</f>
        <v>0</v>
      </c>
      <c r="AA933" s="73">
        <f>IFERROR(cadangan[[#This Row],[Harga Normal C]]-(cadangan[[#This Row],[Harga Normal C]]*cadangan[[#This Row],[Diskon]]),cadangan[[#This Row],[Harga Normal C]])</f>
        <v>0</v>
      </c>
      <c r="AB933" s="73">
        <f>IFERROR(INDEX(Katalog!$F$3:$F$12,MATCH(cadangan[[#This Row],[ItemID C]],Katalog!$C$3:$C$12,0))*cadangan[[#This Row],[Qty C]],0)</f>
        <v>0</v>
      </c>
      <c r="AC933" s="73">
        <f>IFERROR(cadangan[[#This Row],[Harga Diskon C]]-INDEX(Katalog!$E$3:$E$12,MATCH(cadangan[[#This Row],[ItemID C]],Katalog!$C$3:$C$12,0))*cadangan[[#This Row],[Qty C]],0)</f>
        <v>0</v>
      </c>
      <c r="AD933" s="53">
        <f>cadangan[[#This Row],[Qty A]]+cadangan[[#This Row],[Qty B]]+cadangan[[#This Row],[Qty C]]</f>
        <v>3</v>
      </c>
      <c r="AE933" s="73">
        <f>cadangan[[#This Row],[Harga Normal A]]+cadangan[[#This Row],[Harga Normal B]]+cadangan[[#This Row],[Harga Normal C]]</f>
        <v>540000</v>
      </c>
      <c r="AF933" s="73">
        <f>cadangan[[#This Row],[Harga Diskon A]]+cadangan[[#This Row],[Harga Diskon B]]+cadangan[[#This Row],[Harga Diskon C]]</f>
        <v>432000</v>
      </c>
      <c r="AG933" s="73">
        <f>(cadangan[[#This Row],[Profit Normal A]]+cadangan[[#This Row],[Profit Normal B]]+cadangan[[#This Row],[Profit Normal C]])</f>
        <v>210000</v>
      </c>
      <c r="AH933" s="73">
        <f>cadangan[[#This Row],[Profit Diskon A]]+cadangan[[#This Row],[Profit Diskon B]]+cadangan[[#This Row],[Profit Diskon C]]</f>
        <v>102000</v>
      </c>
      <c r="AI933" s="23" t="s">
        <v>8</v>
      </c>
      <c r="AJ933" s="37">
        <f>IFERROR(INDEX('Kode Diskon'!$D$3:$D$9,MATCH(cadangan[[#This Row],[Kode diskon]],'Kode Diskon'!$C$3:$C$9,0)),"-")</f>
        <v>0.2</v>
      </c>
      <c r="AK933" s="23" t="s">
        <v>9</v>
      </c>
      <c r="AL933" s="23" t="s">
        <v>7</v>
      </c>
      <c r="AM933" s="23" t="s">
        <v>80</v>
      </c>
      <c r="AN933" s="55">
        <v>45032</v>
      </c>
      <c r="AO933" s="53">
        <f>DAY(cadangan[[#This Row],[Tanggal terjual]])</f>
        <v>16</v>
      </c>
      <c r="AP933" s="21" t="str">
        <f>TEXT(cadangan[[#This Row],[Tanggal terjual]],"dddd")</f>
        <v>Sunday</v>
      </c>
      <c r="AQ933" s="23" t="str" cm="1">
        <f t="array" ref="AQ93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33" s="61">
        <f>AVERAGE(cadangan[[#This Row],[Rating A]],cadangan[[#This Row],[Rating B]],cadangan[[#This Row],[Rating C]])</f>
        <v>2</v>
      </c>
    </row>
    <row r="934" spans="1:44" x14ac:dyDescent="0.2">
      <c r="A934" s="20">
        <v>933</v>
      </c>
      <c r="B934" s="21" t="str">
        <f>_xlfn.CONCAT("ORD-",INDEX(Helper!$B$2:$B$5,MATCH(cadangan[[#This Row],[Marketplace]],Helper!$A$2:$A$5,0)),TEXT(cadangan[[#This Row],[No]],"0000"),"-",TEXT(cadangan[[#This Row],[Tanggal terjual]],"dd/mm/yy"))</f>
        <v>ORD-SP0933-26/04/23</v>
      </c>
      <c r="C934" s="39" t="s">
        <v>59</v>
      </c>
      <c r="D934" s="39" t="str">
        <f>IFERROR(INDEX(Katalog!$A$3:$A$12,MATCH(cadangan[[#This Row],[ItemID A]],Katalog!$C$3:$C$12,0)),"-")</f>
        <v>Pakaian Wanita</v>
      </c>
      <c r="E934" s="39" t="str">
        <f>IFERROR(INDEX(Katalog!$B$3:$B$12,MATCH(cadangan[[#This Row],[ItemID A]],Katalog!$C$3:$C$12,0)),"-")</f>
        <v>Blouse</v>
      </c>
      <c r="F934" s="50">
        <v>5</v>
      </c>
      <c r="G934" s="50">
        <v>1</v>
      </c>
      <c r="H934" s="73">
        <f>IFERROR(INDEX(Katalog!$D$3:$D$12,MATCH(cadangan[[#This Row],[ItemID A]],Katalog!$C$3:$C$12,0))*cadangan[[#This Row],[Qty A]],0)</f>
        <v>750000</v>
      </c>
      <c r="I934" s="73">
        <f>IFERROR(cadangan[[#This Row],[Harga Normal A]]-(cadangan[[#This Row],[Harga Normal A]]*cadangan[[#This Row],[Diskon]]),cadangan[[#This Row],[Harga Normal A]])</f>
        <v>600000</v>
      </c>
      <c r="J934" s="73">
        <f>INDEX(Katalog!$F$3:$F$12,MATCH(cadangan[[#This Row],[ItemID A]],Katalog!$C$3:$C$12,0))*cadangan[[#This Row],[Qty A]]</f>
        <v>250000</v>
      </c>
      <c r="K934" s="73">
        <f>IFERROR(cadangan[[#This Row],[Harga Diskon A]]-INDEX(Katalog!$E$3:$E$12,MATCH(cadangan[[#This Row],[ItemID A]],Katalog!$C$3:$C$12,0))*cadangan[[#This Row],[Qty A]],0)</f>
        <v>100000</v>
      </c>
      <c r="L934" s="39" t="s">
        <v>61</v>
      </c>
      <c r="M934" s="39" t="str">
        <f>IFERROR(INDEX(Katalog!$A$3:$A$12,MATCH(cadangan[[#This Row],[ItemID B]],Katalog!$C$3:$C$12,0)),"-")</f>
        <v>Pakaian Pria</v>
      </c>
      <c r="N934" s="39" t="str">
        <f>IFERROR(INDEX(Katalog!$B$3:$B$12,MATCH(cadangan[[#This Row],[ItemID B]],Katalog!$C$3:$C$12,0)),"-")</f>
        <v>Kaos Polo</v>
      </c>
      <c r="O934" s="50">
        <v>1</v>
      </c>
      <c r="P934" s="50">
        <v>1</v>
      </c>
      <c r="Q934" s="73">
        <f>IFERROR(INDEX(Katalog!$D$3:$D$12,MATCH(cadangan[[#This Row],[ItemID B]],Katalog!$C$3:$C$12,0))*cadangan[[#This Row],[Qty B]],0)</f>
        <v>200000</v>
      </c>
      <c r="R934" s="73">
        <f>IFERROR(cadangan[[#This Row],[Harga Normal B]]-(cadangan[[#This Row],[Harga Normal B]]*cadangan[[#This Row],[Diskon]]),cadangan[[#This Row],[Harga Normal B]])</f>
        <v>160000</v>
      </c>
      <c r="S934" s="73">
        <f>IFERROR(INDEX(Katalog!$F$3:$F$12,MATCH(cadangan[[#This Row],[ItemID B]],Katalog!$C$3:$C$12,0))*cadangan[[#This Row],[Qty B]],0)</f>
        <v>80000</v>
      </c>
      <c r="T934" s="73">
        <f>IFERROR(cadangan[[#This Row],[Harga Diskon B]]-INDEX(Katalog!$E$3:$E$12,MATCH(cadangan[[#This Row],[ItemID B]],Katalog!$C$3:$C$12,0))*cadangan[[#This Row],[Qty B]],0)</f>
        <v>40000</v>
      </c>
      <c r="V934" s="39" t="str">
        <f>IFERROR(INDEX(Katalog!$A$3:$A$12,MATCH(cadangan[[#This Row],[ItemID C]],Katalog!$C$3:$C$12,0)),"-")</f>
        <v>-</v>
      </c>
      <c r="W934" s="39" t="str">
        <f>IFERROR(INDEX(Katalog!$B$3:$B$12,MATCH(cadangan[[#This Row],[ItemID C]],Katalog!$C$3:$C$12,0)),"-")</f>
        <v>-</v>
      </c>
      <c r="Z934" s="73">
        <f>IFERROR(INDEX(Katalog!$D$3:$D$12,MATCH(cadangan[[#This Row],[ItemID C]],Katalog!$C$3:$C$12,0))*cadangan[[#This Row],[Qty C]],0)</f>
        <v>0</v>
      </c>
      <c r="AA934" s="73">
        <f>IFERROR(cadangan[[#This Row],[Harga Normal C]]-(cadangan[[#This Row],[Harga Normal C]]*cadangan[[#This Row],[Diskon]]),cadangan[[#This Row],[Harga Normal C]])</f>
        <v>0</v>
      </c>
      <c r="AB934" s="73">
        <f>IFERROR(INDEX(Katalog!$F$3:$F$12,MATCH(cadangan[[#This Row],[ItemID C]],Katalog!$C$3:$C$12,0))*cadangan[[#This Row],[Qty C]],0)</f>
        <v>0</v>
      </c>
      <c r="AC934" s="73">
        <f>IFERROR(cadangan[[#This Row],[Harga Diskon C]]-INDEX(Katalog!$E$3:$E$12,MATCH(cadangan[[#This Row],[ItemID C]],Katalog!$C$3:$C$12,0))*cadangan[[#This Row],[Qty C]],0)</f>
        <v>0</v>
      </c>
      <c r="AD934" s="53">
        <f>cadangan[[#This Row],[Qty A]]+cadangan[[#This Row],[Qty B]]+cadangan[[#This Row],[Qty C]]</f>
        <v>6</v>
      </c>
      <c r="AE934" s="73">
        <f>cadangan[[#This Row],[Harga Normal A]]+cadangan[[#This Row],[Harga Normal B]]+cadangan[[#This Row],[Harga Normal C]]</f>
        <v>950000</v>
      </c>
      <c r="AF934" s="73">
        <f>cadangan[[#This Row],[Harga Diskon A]]+cadangan[[#This Row],[Harga Diskon B]]+cadangan[[#This Row],[Harga Diskon C]]</f>
        <v>760000</v>
      </c>
      <c r="AG934" s="73">
        <f>(cadangan[[#This Row],[Profit Normal A]]+cadangan[[#This Row],[Profit Normal B]]+cadangan[[#This Row],[Profit Normal C]])</f>
        <v>330000</v>
      </c>
      <c r="AH934" s="73">
        <f>cadangan[[#This Row],[Profit Diskon A]]+cadangan[[#This Row],[Profit Diskon B]]+cadangan[[#This Row],[Profit Diskon C]]</f>
        <v>140000</v>
      </c>
      <c r="AI934" s="23" t="s">
        <v>8</v>
      </c>
      <c r="AJ934" s="37">
        <f>IFERROR(INDEX('Kode Diskon'!$D$3:$D$9,MATCH(cadangan[[#This Row],[Kode diskon]],'Kode Diskon'!$C$3:$C$9,0)),"-")</f>
        <v>0.2</v>
      </c>
      <c r="AK934" s="23" t="s">
        <v>9</v>
      </c>
      <c r="AL934" s="23" t="s">
        <v>7</v>
      </c>
      <c r="AM934" s="23" t="s">
        <v>78</v>
      </c>
      <c r="AN934" s="55">
        <v>45042</v>
      </c>
      <c r="AO934" s="53">
        <f>DAY(cadangan[[#This Row],[Tanggal terjual]])</f>
        <v>26</v>
      </c>
      <c r="AP934" s="21" t="str">
        <f>TEXT(cadangan[[#This Row],[Tanggal terjual]],"dddd")</f>
        <v>Wednesday</v>
      </c>
      <c r="AQ934" s="23" t="str" cm="1">
        <f t="array" ref="AQ93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34" s="61">
        <f>AVERAGE(cadangan[[#This Row],[Rating A]],cadangan[[#This Row],[Rating B]],cadangan[[#This Row],[Rating C]])</f>
        <v>1</v>
      </c>
    </row>
    <row r="935" spans="1:44" x14ac:dyDescent="0.2">
      <c r="A935" s="20">
        <v>934</v>
      </c>
      <c r="B935" s="21" t="str">
        <f>_xlfn.CONCAT("ORD-",INDEX(Helper!$B$2:$B$5,MATCH(cadangan[[#This Row],[Marketplace]],Helper!$A$2:$A$5,0)),TEXT(cadangan[[#This Row],[No]],"0000"),"-",TEXT(cadangan[[#This Row],[Tanggal terjual]],"dd/mm/yy"))</f>
        <v>ORD-SP0934-02/04/23</v>
      </c>
      <c r="C935" s="39" t="s">
        <v>67</v>
      </c>
      <c r="D935" s="39" t="str">
        <f>IFERROR(INDEX(Katalog!$A$3:$A$12,MATCH(cadangan[[#This Row],[ItemID A]],Katalog!$C$3:$C$12,0)),"-")</f>
        <v>Sepatu Wanita</v>
      </c>
      <c r="E935" s="39" t="str">
        <f>IFERROR(INDEX(Katalog!$B$3:$B$12,MATCH(cadangan[[#This Row],[ItemID A]],Katalog!$C$3:$C$12,0)),"-")</f>
        <v>Flat Shoes</v>
      </c>
      <c r="F935" s="50">
        <v>4</v>
      </c>
      <c r="G935" s="50">
        <v>5</v>
      </c>
      <c r="H935" s="73">
        <f>IFERROR(INDEX(Katalog!$D$3:$D$12,MATCH(cadangan[[#This Row],[ItemID A]],Katalog!$C$3:$C$12,0))*cadangan[[#This Row],[Qty A]],0)</f>
        <v>1000000</v>
      </c>
      <c r="I935" s="73">
        <f>IFERROR(cadangan[[#This Row],[Harga Normal A]]-(cadangan[[#This Row],[Harga Normal A]]*cadangan[[#This Row],[Diskon]]),cadangan[[#This Row],[Harga Normal A]])</f>
        <v>850000</v>
      </c>
      <c r="J935" s="73">
        <f>INDEX(Katalog!$F$3:$F$12,MATCH(cadangan[[#This Row],[ItemID A]],Katalog!$C$3:$C$12,0))*cadangan[[#This Row],[Qty A]]</f>
        <v>400000</v>
      </c>
      <c r="K935" s="73">
        <f>IFERROR(cadangan[[#This Row],[Harga Diskon A]]-INDEX(Katalog!$E$3:$E$12,MATCH(cadangan[[#This Row],[ItemID A]],Katalog!$C$3:$C$12,0))*cadangan[[#This Row],[Qty A]],0)</f>
        <v>250000</v>
      </c>
      <c r="L935" s="39" t="s">
        <v>63</v>
      </c>
      <c r="M935" s="39" t="str">
        <f>IFERROR(INDEX(Katalog!$A$3:$A$12,MATCH(cadangan[[#This Row],[ItemID B]],Katalog!$C$3:$C$12,0)),"-")</f>
        <v>Pakaian Pria</v>
      </c>
      <c r="N935" s="39" t="str">
        <f>IFERROR(INDEX(Katalog!$B$3:$B$12,MATCH(cadangan[[#This Row],[ItemID B]],Katalog!$C$3:$C$12,0)),"-")</f>
        <v>Jaket Jeans</v>
      </c>
      <c r="O935" s="50">
        <v>2</v>
      </c>
      <c r="P935" s="50">
        <v>2</v>
      </c>
      <c r="Q935" s="73">
        <f>IFERROR(INDEX(Katalog!$D$3:$D$12,MATCH(cadangan[[#This Row],[ItemID B]],Katalog!$C$3:$C$12,0))*cadangan[[#This Row],[Qty B]],0)</f>
        <v>800000</v>
      </c>
      <c r="R935" s="73">
        <f>IFERROR(cadangan[[#This Row],[Harga Normal B]]-(cadangan[[#This Row],[Harga Normal B]]*cadangan[[#This Row],[Diskon]]),cadangan[[#This Row],[Harga Normal B]])</f>
        <v>680000</v>
      </c>
      <c r="S935" s="73">
        <f>IFERROR(INDEX(Katalog!$F$3:$F$12,MATCH(cadangan[[#This Row],[ItemID B]],Katalog!$C$3:$C$12,0))*cadangan[[#This Row],[Qty B]],0)</f>
        <v>300000</v>
      </c>
      <c r="T935" s="73">
        <f>IFERROR(cadangan[[#This Row],[Harga Diskon B]]-INDEX(Katalog!$E$3:$E$12,MATCH(cadangan[[#This Row],[ItemID B]],Katalog!$C$3:$C$12,0))*cadangan[[#This Row],[Qty B]],0)</f>
        <v>180000</v>
      </c>
      <c r="V935" s="39" t="str">
        <f>IFERROR(INDEX(Katalog!$A$3:$A$12,MATCH(cadangan[[#This Row],[ItemID C]],Katalog!$C$3:$C$12,0)),"-")</f>
        <v>-</v>
      </c>
      <c r="W935" s="39" t="str">
        <f>IFERROR(INDEX(Katalog!$B$3:$B$12,MATCH(cadangan[[#This Row],[ItemID C]],Katalog!$C$3:$C$12,0)),"-")</f>
        <v>-</v>
      </c>
      <c r="Z935" s="73">
        <f>IFERROR(INDEX(Katalog!$D$3:$D$12,MATCH(cadangan[[#This Row],[ItemID C]],Katalog!$C$3:$C$12,0))*cadangan[[#This Row],[Qty C]],0)</f>
        <v>0</v>
      </c>
      <c r="AA935" s="73">
        <f>IFERROR(cadangan[[#This Row],[Harga Normal C]]-(cadangan[[#This Row],[Harga Normal C]]*cadangan[[#This Row],[Diskon]]),cadangan[[#This Row],[Harga Normal C]])</f>
        <v>0</v>
      </c>
      <c r="AB935" s="73">
        <f>IFERROR(INDEX(Katalog!$F$3:$F$12,MATCH(cadangan[[#This Row],[ItemID C]],Katalog!$C$3:$C$12,0))*cadangan[[#This Row],[Qty C]],0)</f>
        <v>0</v>
      </c>
      <c r="AC935" s="73">
        <f>IFERROR(cadangan[[#This Row],[Harga Diskon C]]-INDEX(Katalog!$E$3:$E$12,MATCH(cadangan[[#This Row],[ItemID C]],Katalog!$C$3:$C$12,0))*cadangan[[#This Row],[Qty C]],0)</f>
        <v>0</v>
      </c>
      <c r="AD935" s="53">
        <f>cadangan[[#This Row],[Qty A]]+cadangan[[#This Row],[Qty B]]+cadangan[[#This Row],[Qty C]]</f>
        <v>6</v>
      </c>
      <c r="AE935" s="73">
        <f>cadangan[[#This Row],[Harga Normal A]]+cadangan[[#This Row],[Harga Normal B]]+cadangan[[#This Row],[Harga Normal C]]</f>
        <v>1800000</v>
      </c>
      <c r="AF935" s="73">
        <f>cadangan[[#This Row],[Harga Diskon A]]+cadangan[[#This Row],[Harga Diskon B]]+cadangan[[#This Row],[Harga Diskon C]]</f>
        <v>1530000</v>
      </c>
      <c r="AG935" s="73">
        <f>(cadangan[[#This Row],[Profit Normal A]]+cadangan[[#This Row],[Profit Normal B]]+cadangan[[#This Row],[Profit Normal C]])</f>
        <v>700000</v>
      </c>
      <c r="AH935" s="73">
        <f>cadangan[[#This Row],[Profit Diskon A]]+cadangan[[#This Row],[Profit Diskon B]]+cadangan[[#This Row],[Profit Diskon C]]</f>
        <v>430000</v>
      </c>
      <c r="AI935" s="23" t="s">
        <v>13</v>
      </c>
      <c r="AJ935" s="37">
        <f>IFERROR(INDEX('Kode Diskon'!$D$3:$D$9,MATCH(cadangan[[#This Row],[Kode diskon]],'Kode Diskon'!$C$3:$C$9,0)),"-")</f>
        <v>0.15</v>
      </c>
      <c r="AK935" s="23" t="s">
        <v>29</v>
      </c>
      <c r="AL935" s="23" t="s">
        <v>7</v>
      </c>
      <c r="AM935" s="23" t="s">
        <v>76</v>
      </c>
      <c r="AN935" s="55">
        <v>45018</v>
      </c>
      <c r="AO935" s="53">
        <f>DAY(cadangan[[#This Row],[Tanggal terjual]])</f>
        <v>2</v>
      </c>
      <c r="AP935" s="21" t="str">
        <f>TEXT(cadangan[[#This Row],[Tanggal terjual]],"dddd")</f>
        <v>Sunday</v>
      </c>
      <c r="AQ935" s="23" t="str" cm="1">
        <f t="array" ref="AQ93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5" s="61">
        <f>AVERAGE(cadangan[[#This Row],[Rating A]],cadangan[[#This Row],[Rating B]],cadangan[[#This Row],[Rating C]])</f>
        <v>3.5</v>
      </c>
    </row>
    <row r="936" spans="1:44" x14ac:dyDescent="0.2">
      <c r="A936" s="20">
        <v>935</v>
      </c>
      <c r="B936" s="21" t="str">
        <f>_xlfn.CONCAT("ORD-",INDEX(Helper!$B$2:$B$5,MATCH(cadangan[[#This Row],[Marketplace]],Helper!$A$2:$A$5,0)),TEXT(cadangan[[#This Row],[No]],"0000"),"-",TEXT(cadangan[[#This Row],[Tanggal terjual]],"dd/mm/yy"))</f>
        <v>ORD-BL0935-24/04/23</v>
      </c>
      <c r="C936" s="39" t="s">
        <v>64</v>
      </c>
      <c r="D936" s="39" t="str">
        <f>IFERROR(INDEX(Katalog!$A$3:$A$12,MATCH(cadangan[[#This Row],[ItemID A]],Katalog!$C$3:$C$12,0)),"-")</f>
        <v>Pakaian Unisex</v>
      </c>
      <c r="E936" s="39" t="str">
        <f>IFERROR(INDEX(Katalog!$B$3:$B$12,MATCH(cadangan[[#This Row],[ItemID A]],Katalog!$C$3:$C$12,0)),"-")</f>
        <v>Jaket Hoodie</v>
      </c>
      <c r="F936" s="50">
        <v>5</v>
      </c>
      <c r="G936" s="50">
        <v>2</v>
      </c>
      <c r="H936" s="73">
        <f>IFERROR(INDEX(Katalog!$D$3:$D$12,MATCH(cadangan[[#This Row],[ItemID A]],Katalog!$C$3:$C$12,0))*cadangan[[#This Row],[Qty A]],0)</f>
        <v>1750000</v>
      </c>
      <c r="I936" s="73">
        <f>IFERROR(cadangan[[#This Row],[Harga Normal A]]-(cadangan[[#This Row],[Harga Normal A]]*cadangan[[#This Row],[Diskon]]),cadangan[[#This Row],[Harga Normal A]])</f>
        <v>1487500</v>
      </c>
      <c r="J936" s="73">
        <f>INDEX(Katalog!$F$3:$F$12,MATCH(cadangan[[#This Row],[ItemID A]],Katalog!$C$3:$C$12,0))*cadangan[[#This Row],[Qty A]]</f>
        <v>650000</v>
      </c>
      <c r="K936" s="73">
        <f>IFERROR(cadangan[[#This Row],[Harga Diskon A]]-INDEX(Katalog!$E$3:$E$12,MATCH(cadangan[[#This Row],[ItemID A]],Katalog!$C$3:$C$12,0))*cadangan[[#This Row],[Qty A]],0)</f>
        <v>387500</v>
      </c>
      <c r="L936" s="39" t="s">
        <v>60</v>
      </c>
      <c r="M936" s="39" t="str">
        <f>IFERROR(INDEX(Katalog!$A$3:$A$12,MATCH(cadangan[[#This Row],[ItemID B]],Katalog!$C$3:$C$12,0)),"-")</f>
        <v>Pakaian Wanita</v>
      </c>
      <c r="N936" s="39" t="str">
        <f>IFERROR(INDEX(Katalog!$B$3:$B$12,MATCH(cadangan[[#This Row],[ItemID B]],Katalog!$C$3:$C$12,0)),"-")</f>
        <v>Kaftan</v>
      </c>
      <c r="O936" s="50">
        <v>2</v>
      </c>
      <c r="P936" s="50">
        <v>5</v>
      </c>
      <c r="Q936" s="73">
        <f>IFERROR(INDEX(Katalog!$D$3:$D$12,MATCH(cadangan[[#This Row],[ItemID B]],Katalog!$C$3:$C$12,0))*cadangan[[#This Row],[Qty B]],0)</f>
        <v>500000</v>
      </c>
      <c r="R936" s="73">
        <f>IFERROR(cadangan[[#This Row],[Harga Normal B]]-(cadangan[[#This Row],[Harga Normal B]]*cadangan[[#This Row],[Diskon]]),cadangan[[#This Row],[Harga Normal B]])</f>
        <v>425000</v>
      </c>
      <c r="S936" s="73">
        <f>IFERROR(INDEX(Katalog!$F$3:$F$12,MATCH(cadangan[[#This Row],[ItemID B]],Katalog!$C$3:$C$12,0))*cadangan[[#This Row],[Qty B]],0)</f>
        <v>200000</v>
      </c>
      <c r="T936" s="73">
        <f>IFERROR(cadangan[[#This Row],[Harga Diskon B]]-INDEX(Katalog!$E$3:$E$12,MATCH(cadangan[[#This Row],[ItemID B]],Katalog!$C$3:$C$12,0))*cadangan[[#This Row],[Qty B]],0)</f>
        <v>125000</v>
      </c>
      <c r="V936" s="39" t="str">
        <f>IFERROR(INDEX(Katalog!$A$3:$A$12,MATCH(cadangan[[#This Row],[ItemID C]],Katalog!$C$3:$C$12,0)),"-")</f>
        <v>-</v>
      </c>
      <c r="W936" s="39" t="str">
        <f>IFERROR(INDEX(Katalog!$B$3:$B$12,MATCH(cadangan[[#This Row],[ItemID C]],Katalog!$C$3:$C$12,0)),"-")</f>
        <v>-</v>
      </c>
      <c r="Z936" s="73">
        <f>IFERROR(INDEX(Katalog!$D$3:$D$12,MATCH(cadangan[[#This Row],[ItemID C]],Katalog!$C$3:$C$12,0))*cadangan[[#This Row],[Qty C]],0)</f>
        <v>0</v>
      </c>
      <c r="AA936" s="73">
        <f>IFERROR(cadangan[[#This Row],[Harga Normal C]]-(cadangan[[#This Row],[Harga Normal C]]*cadangan[[#This Row],[Diskon]]),cadangan[[#This Row],[Harga Normal C]])</f>
        <v>0</v>
      </c>
      <c r="AB936" s="73">
        <f>IFERROR(INDEX(Katalog!$F$3:$F$12,MATCH(cadangan[[#This Row],[ItemID C]],Katalog!$C$3:$C$12,0))*cadangan[[#This Row],[Qty C]],0)</f>
        <v>0</v>
      </c>
      <c r="AC936" s="73">
        <f>IFERROR(cadangan[[#This Row],[Harga Diskon C]]-INDEX(Katalog!$E$3:$E$12,MATCH(cadangan[[#This Row],[ItemID C]],Katalog!$C$3:$C$12,0))*cadangan[[#This Row],[Qty C]],0)</f>
        <v>0</v>
      </c>
      <c r="AD936" s="53">
        <f>cadangan[[#This Row],[Qty A]]+cadangan[[#This Row],[Qty B]]+cadangan[[#This Row],[Qty C]]</f>
        <v>7</v>
      </c>
      <c r="AE936" s="73">
        <f>cadangan[[#This Row],[Harga Normal A]]+cadangan[[#This Row],[Harga Normal B]]+cadangan[[#This Row],[Harga Normal C]]</f>
        <v>2250000</v>
      </c>
      <c r="AF936" s="73">
        <f>cadangan[[#This Row],[Harga Diskon A]]+cadangan[[#This Row],[Harga Diskon B]]+cadangan[[#This Row],[Harga Diskon C]]</f>
        <v>1912500</v>
      </c>
      <c r="AG936" s="73">
        <f>(cadangan[[#This Row],[Profit Normal A]]+cadangan[[#This Row],[Profit Normal B]]+cadangan[[#This Row],[Profit Normal C]])</f>
        <v>850000</v>
      </c>
      <c r="AH936" s="73">
        <f>cadangan[[#This Row],[Profit Diskon A]]+cadangan[[#This Row],[Profit Diskon B]]+cadangan[[#This Row],[Profit Diskon C]]</f>
        <v>512500</v>
      </c>
      <c r="AI936" s="23" t="s">
        <v>32</v>
      </c>
      <c r="AJ936" s="37">
        <f>IFERROR(INDEX('Kode Diskon'!$D$3:$D$9,MATCH(cadangan[[#This Row],[Kode diskon]],'Kode Diskon'!$C$3:$C$9,0)),"-")</f>
        <v>0.15</v>
      </c>
      <c r="AK936" s="23" t="s">
        <v>9</v>
      </c>
      <c r="AL936" s="23" t="s">
        <v>12</v>
      </c>
      <c r="AM936" s="23" t="s">
        <v>75</v>
      </c>
      <c r="AN936" s="55">
        <v>45040</v>
      </c>
      <c r="AO936" s="53">
        <f>DAY(cadangan[[#This Row],[Tanggal terjual]])</f>
        <v>24</v>
      </c>
      <c r="AP936" s="21" t="str">
        <f>TEXT(cadangan[[#This Row],[Tanggal terjual]],"dddd")</f>
        <v>Monday</v>
      </c>
      <c r="AQ936" s="23" t="str" cm="1">
        <f t="array" ref="AQ93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36" s="61">
        <f>AVERAGE(cadangan[[#This Row],[Rating A]],cadangan[[#This Row],[Rating B]],cadangan[[#This Row],[Rating C]])</f>
        <v>3.5</v>
      </c>
    </row>
    <row r="937" spans="1:44" x14ac:dyDescent="0.2">
      <c r="A937" s="20">
        <v>936</v>
      </c>
      <c r="B937" s="21" t="str">
        <f>_xlfn.CONCAT("ORD-",INDEX(Helper!$B$2:$B$5,MATCH(cadangan[[#This Row],[Marketplace]],Helper!$A$2:$A$5,0)),TEXT(cadangan[[#This Row],[No]],"0000"),"-",TEXT(cadangan[[#This Row],[Tanggal terjual]],"dd/mm/yy"))</f>
        <v>ORD-BL0936-18/04/23</v>
      </c>
      <c r="C937" s="39" t="s">
        <v>67</v>
      </c>
      <c r="D937" s="39" t="str">
        <f>IFERROR(INDEX(Katalog!$A$3:$A$12,MATCH(cadangan[[#This Row],[ItemID A]],Katalog!$C$3:$C$12,0)),"-")</f>
        <v>Sepatu Wanita</v>
      </c>
      <c r="E937" s="39" t="str">
        <f>IFERROR(INDEX(Katalog!$B$3:$B$12,MATCH(cadangan[[#This Row],[ItemID A]],Katalog!$C$3:$C$12,0)),"-")</f>
        <v>Flat Shoes</v>
      </c>
      <c r="F937" s="50">
        <v>4</v>
      </c>
      <c r="G937" s="50">
        <v>4</v>
      </c>
      <c r="H937" s="73">
        <f>IFERROR(INDEX(Katalog!$D$3:$D$12,MATCH(cadangan[[#This Row],[ItemID A]],Katalog!$C$3:$C$12,0))*cadangan[[#This Row],[Qty A]],0)</f>
        <v>1000000</v>
      </c>
      <c r="I937" s="73">
        <f>IFERROR(cadangan[[#This Row],[Harga Normal A]]-(cadangan[[#This Row],[Harga Normal A]]*cadangan[[#This Row],[Diskon]]),cadangan[[#This Row],[Harga Normal A]])</f>
        <v>850000</v>
      </c>
      <c r="J937" s="73">
        <f>INDEX(Katalog!$F$3:$F$12,MATCH(cadangan[[#This Row],[ItemID A]],Katalog!$C$3:$C$12,0))*cadangan[[#This Row],[Qty A]]</f>
        <v>400000</v>
      </c>
      <c r="K937" s="73">
        <f>IFERROR(cadangan[[#This Row],[Harga Diskon A]]-INDEX(Katalog!$E$3:$E$12,MATCH(cadangan[[#This Row],[ItemID A]],Katalog!$C$3:$C$12,0))*cadangan[[#This Row],[Qty A]],0)</f>
        <v>250000</v>
      </c>
      <c r="L937" s="39" t="s">
        <v>63</v>
      </c>
      <c r="M937" s="39" t="str">
        <f>IFERROR(INDEX(Katalog!$A$3:$A$12,MATCH(cadangan[[#This Row],[ItemID B]],Katalog!$C$3:$C$12,0)),"-")</f>
        <v>Pakaian Pria</v>
      </c>
      <c r="N937" s="39" t="str">
        <f>IFERROR(INDEX(Katalog!$B$3:$B$12,MATCH(cadangan[[#This Row],[ItemID B]],Katalog!$C$3:$C$12,0)),"-")</f>
        <v>Jaket Jeans</v>
      </c>
      <c r="O937" s="50">
        <v>1</v>
      </c>
      <c r="P937" s="50">
        <v>2</v>
      </c>
      <c r="Q937" s="73">
        <f>IFERROR(INDEX(Katalog!$D$3:$D$12,MATCH(cadangan[[#This Row],[ItemID B]],Katalog!$C$3:$C$12,0))*cadangan[[#This Row],[Qty B]],0)</f>
        <v>400000</v>
      </c>
      <c r="R937" s="73">
        <f>IFERROR(cadangan[[#This Row],[Harga Normal B]]-(cadangan[[#This Row],[Harga Normal B]]*cadangan[[#This Row],[Diskon]]),cadangan[[#This Row],[Harga Normal B]])</f>
        <v>340000</v>
      </c>
      <c r="S937" s="73">
        <f>IFERROR(INDEX(Katalog!$F$3:$F$12,MATCH(cadangan[[#This Row],[ItemID B]],Katalog!$C$3:$C$12,0))*cadangan[[#This Row],[Qty B]],0)</f>
        <v>150000</v>
      </c>
      <c r="T937" s="73">
        <f>IFERROR(cadangan[[#This Row],[Harga Diskon B]]-INDEX(Katalog!$E$3:$E$12,MATCH(cadangan[[#This Row],[ItemID B]],Katalog!$C$3:$C$12,0))*cadangan[[#This Row],[Qty B]],0)</f>
        <v>90000</v>
      </c>
      <c r="V937" s="39" t="str">
        <f>IFERROR(INDEX(Katalog!$A$3:$A$12,MATCH(cadangan[[#This Row],[ItemID C]],Katalog!$C$3:$C$12,0)),"-")</f>
        <v>-</v>
      </c>
      <c r="W937" s="39" t="str">
        <f>IFERROR(INDEX(Katalog!$B$3:$B$12,MATCH(cadangan[[#This Row],[ItemID C]],Katalog!$C$3:$C$12,0)),"-")</f>
        <v>-</v>
      </c>
      <c r="Z937" s="73">
        <f>IFERROR(INDEX(Katalog!$D$3:$D$12,MATCH(cadangan[[#This Row],[ItemID C]],Katalog!$C$3:$C$12,0))*cadangan[[#This Row],[Qty C]],0)</f>
        <v>0</v>
      </c>
      <c r="AA937" s="73">
        <f>IFERROR(cadangan[[#This Row],[Harga Normal C]]-(cadangan[[#This Row],[Harga Normal C]]*cadangan[[#This Row],[Diskon]]),cadangan[[#This Row],[Harga Normal C]])</f>
        <v>0</v>
      </c>
      <c r="AB937" s="73">
        <f>IFERROR(INDEX(Katalog!$F$3:$F$12,MATCH(cadangan[[#This Row],[ItemID C]],Katalog!$C$3:$C$12,0))*cadangan[[#This Row],[Qty C]],0)</f>
        <v>0</v>
      </c>
      <c r="AC937" s="73">
        <f>IFERROR(cadangan[[#This Row],[Harga Diskon C]]-INDEX(Katalog!$E$3:$E$12,MATCH(cadangan[[#This Row],[ItemID C]],Katalog!$C$3:$C$12,0))*cadangan[[#This Row],[Qty C]],0)</f>
        <v>0</v>
      </c>
      <c r="AD937" s="53">
        <f>cadangan[[#This Row],[Qty A]]+cadangan[[#This Row],[Qty B]]+cadangan[[#This Row],[Qty C]]</f>
        <v>5</v>
      </c>
      <c r="AE937" s="73">
        <f>cadangan[[#This Row],[Harga Normal A]]+cadangan[[#This Row],[Harga Normal B]]+cadangan[[#This Row],[Harga Normal C]]</f>
        <v>1400000</v>
      </c>
      <c r="AF937" s="73">
        <f>cadangan[[#This Row],[Harga Diskon A]]+cadangan[[#This Row],[Harga Diskon B]]+cadangan[[#This Row],[Harga Diskon C]]</f>
        <v>1190000</v>
      </c>
      <c r="AG937" s="73">
        <f>(cadangan[[#This Row],[Profit Normal A]]+cadangan[[#This Row],[Profit Normal B]]+cadangan[[#This Row],[Profit Normal C]])</f>
        <v>550000</v>
      </c>
      <c r="AH937" s="73">
        <f>cadangan[[#This Row],[Profit Diskon A]]+cadangan[[#This Row],[Profit Diskon B]]+cadangan[[#This Row],[Profit Diskon C]]</f>
        <v>340000</v>
      </c>
      <c r="AI937" s="23" t="s">
        <v>32</v>
      </c>
      <c r="AJ937" s="37">
        <f>IFERROR(INDEX('Kode Diskon'!$D$3:$D$9,MATCH(cadangan[[#This Row],[Kode diskon]],'Kode Diskon'!$C$3:$C$9,0)),"-")</f>
        <v>0.15</v>
      </c>
      <c r="AK937" s="23" t="s">
        <v>9</v>
      </c>
      <c r="AL937" s="23" t="s">
        <v>12</v>
      </c>
      <c r="AM937" s="23" t="s">
        <v>75</v>
      </c>
      <c r="AN937" s="55">
        <v>45034</v>
      </c>
      <c r="AO937" s="53">
        <f>DAY(cadangan[[#This Row],[Tanggal terjual]])</f>
        <v>18</v>
      </c>
      <c r="AP937" s="21" t="str">
        <f>TEXT(cadangan[[#This Row],[Tanggal terjual]],"dddd")</f>
        <v>Tuesday</v>
      </c>
      <c r="AQ937" s="23" t="str" cm="1">
        <f t="array" ref="AQ93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37" s="61">
        <f>AVERAGE(cadangan[[#This Row],[Rating A]],cadangan[[#This Row],[Rating B]],cadangan[[#This Row],[Rating C]])</f>
        <v>3</v>
      </c>
    </row>
    <row r="938" spans="1:44" x14ac:dyDescent="0.2">
      <c r="A938" s="20">
        <v>937</v>
      </c>
      <c r="B938" s="21" t="str">
        <f>_xlfn.CONCAT("ORD-",INDEX(Helper!$B$2:$B$5,MATCH(cadangan[[#This Row],[Marketplace]],Helper!$A$2:$A$5,0)),TEXT(cadangan[[#This Row],[No]],"0000"),"-",TEXT(cadangan[[#This Row],[Tanggal terjual]],"dd/mm/yy"))</f>
        <v>ORD-SP0937-02/04/23</v>
      </c>
      <c r="C938" s="39" t="s">
        <v>62</v>
      </c>
      <c r="D938" s="39" t="str">
        <f>IFERROR(INDEX(Katalog!$A$3:$A$12,MATCH(cadangan[[#This Row],[ItemID A]],Katalog!$C$3:$C$12,0)),"-")</f>
        <v>Pakaian Pria</v>
      </c>
      <c r="E938" s="39" t="str">
        <f>IFERROR(INDEX(Katalog!$B$3:$B$12,MATCH(cadangan[[#This Row],[ItemID A]],Katalog!$C$3:$C$12,0)),"-")</f>
        <v>Celana Pendek</v>
      </c>
      <c r="F938" s="50">
        <v>2</v>
      </c>
      <c r="G938" s="50">
        <v>4</v>
      </c>
      <c r="H938" s="73">
        <f>IFERROR(INDEX(Katalog!$D$3:$D$12,MATCH(cadangan[[#This Row],[ItemID A]],Katalog!$C$3:$C$12,0))*cadangan[[#This Row],[Qty A]],0)</f>
        <v>360000</v>
      </c>
      <c r="I938" s="73">
        <f>IFERROR(cadangan[[#This Row],[Harga Normal A]]-(cadangan[[#This Row],[Harga Normal A]]*cadangan[[#This Row],[Diskon]]),cadangan[[#This Row],[Harga Normal A]])</f>
        <v>324000</v>
      </c>
      <c r="J938" s="73">
        <f>INDEX(Katalog!$F$3:$F$12,MATCH(cadangan[[#This Row],[ItemID A]],Katalog!$C$3:$C$12,0))*cadangan[[#This Row],[Qty A]]</f>
        <v>140000</v>
      </c>
      <c r="K938" s="73">
        <f>IFERROR(cadangan[[#This Row],[Harga Diskon A]]-INDEX(Katalog!$E$3:$E$12,MATCH(cadangan[[#This Row],[ItemID A]],Katalog!$C$3:$C$12,0))*cadangan[[#This Row],[Qty A]],0)</f>
        <v>104000</v>
      </c>
      <c r="L938" s="39" t="s">
        <v>66</v>
      </c>
      <c r="M938" s="39" t="str">
        <f>IFERROR(INDEX(Katalog!$A$3:$A$12,MATCH(cadangan[[#This Row],[ItemID B]],Katalog!$C$3:$C$12,0)),"-")</f>
        <v>Sepatu Pria</v>
      </c>
      <c r="N938" s="39" t="str">
        <f>IFERROR(INDEX(Katalog!$B$3:$B$12,MATCH(cadangan[[#This Row],[ItemID B]],Katalog!$C$3:$C$12,0)),"-")</f>
        <v>Sandal Slip On</v>
      </c>
      <c r="O938" s="50">
        <v>2</v>
      </c>
      <c r="P938" s="50">
        <v>2</v>
      </c>
      <c r="Q938" s="73">
        <f>IFERROR(INDEX(Katalog!$D$3:$D$12,MATCH(cadangan[[#This Row],[ItemID B]],Katalog!$C$3:$C$12,0))*cadangan[[#This Row],[Qty B]],0)</f>
        <v>300000</v>
      </c>
      <c r="R938" s="73">
        <f>IFERROR(cadangan[[#This Row],[Harga Normal B]]-(cadangan[[#This Row],[Harga Normal B]]*cadangan[[#This Row],[Diskon]]),cadangan[[#This Row],[Harga Normal B]])</f>
        <v>270000</v>
      </c>
      <c r="S938" s="73">
        <f>IFERROR(INDEX(Katalog!$F$3:$F$12,MATCH(cadangan[[#This Row],[ItemID B]],Katalog!$C$3:$C$12,0))*cadangan[[#This Row],[Qty B]],0)</f>
        <v>120000</v>
      </c>
      <c r="T938" s="73">
        <f>IFERROR(cadangan[[#This Row],[Harga Diskon B]]-INDEX(Katalog!$E$3:$E$12,MATCH(cadangan[[#This Row],[ItemID B]],Katalog!$C$3:$C$12,0))*cadangan[[#This Row],[Qty B]],0)</f>
        <v>90000</v>
      </c>
      <c r="U938" s="39" t="s">
        <v>65</v>
      </c>
      <c r="V938" s="39" t="str">
        <f>IFERROR(INDEX(Katalog!$A$3:$A$12,MATCH(cadangan[[#This Row],[ItemID C]],Katalog!$C$3:$C$12,0)),"-")</f>
        <v>Sepatu Pria</v>
      </c>
      <c r="W938" s="39" t="str">
        <f>IFERROR(INDEX(Katalog!$B$3:$B$12,MATCH(cadangan[[#This Row],[ItemID C]],Katalog!$C$3:$C$12,0)),"-")</f>
        <v>Sneakers</v>
      </c>
      <c r="X938" s="50">
        <v>1</v>
      </c>
      <c r="Y938" s="50">
        <v>4</v>
      </c>
      <c r="Z938" s="73">
        <f>IFERROR(INDEX(Katalog!$D$3:$D$12,MATCH(cadangan[[#This Row],[ItemID C]],Katalog!$C$3:$C$12,0))*cadangan[[#This Row],[Qty C]],0)</f>
        <v>500000</v>
      </c>
      <c r="AA938" s="73">
        <f>IFERROR(cadangan[[#This Row],[Harga Normal C]]-(cadangan[[#This Row],[Harga Normal C]]*cadangan[[#This Row],[Diskon]]),cadangan[[#This Row],[Harga Normal C]])</f>
        <v>450000</v>
      </c>
      <c r="AB938" s="73">
        <f>IFERROR(INDEX(Katalog!$F$3:$F$12,MATCH(cadangan[[#This Row],[ItemID C]],Katalog!$C$3:$C$12,0))*cadangan[[#This Row],[Qty C]],0)</f>
        <v>200000</v>
      </c>
      <c r="AC938" s="73">
        <f>IFERROR(cadangan[[#This Row],[Harga Diskon C]]-INDEX(Katalog!$E$3:$E$12,MATCH(cadangan[[#This Row],[ItemID C]],Katalog!$C$3:$C$12,0))*cadangan[[#This Row],[Qty C]],0)</f>
        <v>150000</v>
      </c>
      <c r="AD938" s="53">
        <f>cadangan[[#This Row],[Qty A]]+cadangan[[#This Row],[Qty B]]+cadangan[[#This Row],[Qty C]]</f>
        <v>5</v>
      </c>
      <c r="AE938" s="73">
        <f>cadangan[[#This Row],[Harga Normal A]]+cadangan[[#This Row],[Harga Normal B]]+cadangan[[#This Row],[Harga Normal C]]</f>
        <v>1160000</v>
      </c>
      <c r="AF938" s="73">
        <f>cadangan[[#This Row],[Harga Diskon A]]+cadangan[[#This Row],[Harga Diskon B]]+cadangan[[#This Row],[Harga Diskon C]]</f>
        <v>1044000</v>
      </c>
      <c r="AG938" s="73">
        <f>(cadangan[[#This Row],[Profit Normal A]]+cadangan[[#This Row],[Profit Normal B]]+cadangan[[#This Row],[Profit Normal C]])</f>
        <v>460000</v>
      </c>
      <c r="AH938" s="73">
        <f>cadangan[[#This Row],[Profit Diskon A]]+cadangan[[#This Row],[Profit Diskon B]]+cadangan[[#This Row],[Profit Diskon C]]</f>
        <v>344000</v>
      </c>
      <c r="AI938" s="23" t="s">
        <v>6</v>
      </c>
      <c r="AJ938" s="37">
        <f>IFERROR(INDEX('Kode Diskon'!$D$3:$D$9,MATCH(cadangan[[#This Row],[Kode diskon]],'Kode Diskon'!$C$3:$C$9,0)),"-")</f>
        <v>0.1</v>
      </c>
      <c r="AK938" s="23" t="s">
        <v>29</v>
      </c>
      <c r="AL938" s="23" t="s">
        <v>7</v>
      </c>
      <c r="AM938" s="23" t="s">
        <v>79</v>
      </c>
      <c r="AN938" s="55">
        <v>45018</v>
      </c>
      <c r="AO938" s="53">
        <f>DAY(cadangan[[#This Row],[Tanggal terjual]])</f>
        <v>2</v>
      </c>
      <c r="AP938" s="21" t="str">
        <f>TEXT(cadangan[[#This Row],[Tanggal terjual]],"dddd")</f>
        <v>Sunday</v>
      </c>
      <c r="AQ938" s="23" t="str" cm="1">
        <f t="array" ref="AQ93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8" s="61">
        <f>AVERAGE(cadangan[[#This Row],[Rating A]],cadangan[[#This Row],[Rating B]],cadangan[[#This Row],[Rating C]])</f>
        <v>3.3333333333333335</v>
      </c>
    </row>
    <row r="939" spans="1:44" x14ac:dyDescent="0.2">
      <c r="A939" s="20">
        <v>938</v>
      </c>
      <c r="B939" s="21" t="str">
        <f>_xlfn.CONCAT("ORD-",INDEX(Helper!$B$2:$B$5,MATCH(cadangan[[#This Row],[Marketplace]],Helper!$A$2:$A$5,0)),TEXT(cadangan[[#This Row],[No]],"0000"),"-",TEXT(cadangan[[#This Row],[Tanggal terjual]],"dd/mm/yy"))</f>
        <v>ORD-TK0938-02/04/23</v>
      </c>
      <c r="C939" s="39" t="s">
        <v>65</v>
      </c>
      <c r="D939" s="39" t="str">
        <f>IFERROR(INDEX(Katalog!$A$3:$A$12,MATCH(cadangan[[#This Row],[ItemID A]],Katalog!$C$3:$C$12,0)),"-")</f>
        <v>Sepatu Pria</v>
      </c>
      <c r="E939" s="39" t="str">
        <f>IFERROR(INDEX(Katalog!$B$3:$B$12,MATCH(cadangan[[#This Row],[ItemID A]],Katalog!$C$3:$C$12,0)),"-")</f>
        <v>Sneakers</v>
      </c>
      <c r="F939" s="50">
        <v>1</v>
      </c>
      <c r="G939" s="50">
        <v>2</v>
      </c>
      <c r="H939" s="73">
        <f>IFERROR(INDEX(Katalog!$D$3:$D$12,MATCH(cadangan[[#This Row],[ItemID A]],Katalog!$C$3:$C$12,0))*cadangan[[#This Row],[Qty A]],0)</f>
        <v>500000</v>
      </c>
      <c r="I939" s="73">
        <f>IFERROR(cadangan[[#This Row],[Harga Normal A]]-(cadangan[[#This Row],[Harga Normal A]]*cadangan[[#This Row],[Diskon]]),cadangan[[#This Row],[Harga Normal A]])</f>
        <v>450000</v>
      </c>
      <c r="J939" s="73">
        <f>INDEX(Katalog!$F$3:$F$12,MATCH(cadangan[[#This Row],[ItemID A]],Katalog!$C$3:$C$12,0))*cadangan[[#This Row],[Qty A]]</f>
        <v>200000</v>
      </c>
      <c r="K939" s="73">
        <f>IFERROR(cadangan[[#This Row],[Harga Diskon A]]-INDEX(Katalog!$E$3:$E$12,MATCH(cadangan[[#This Row],[ItemID A]],Katalog!$C$3:$C$12,0))*cadangan[[#This Row],[Qty A]],0)</f>
        <v>150000</v>
      </c>
      <c r="L939" s="39" t="s">
        <v>59</v>
      </c>
      <c r="M939" s="39" t="str">
        <f>IFERROR(INDEX(Katalog!$A$3:$A$12,MATCH(cadangan[[#This Row],[ItemID B]],Katalog!$C$3:$C$12,0)),"-")</f>
        <v>Pakaian Wanita</v>
      </c>
      <c r="N939" s="39" t="str">
        <f>IFERROR(INDEX(Katalog!$B$3:$B$12,MATCH(cadangan[[#This Row],[ItemID B]],Katalog!$C$3:$C$12,0)),"-")</f>
        <v>Blouse</v>
      </c>
      <c r="O939" s="50">
        <v>1</v>
      </c>
      <c r="P939" s="50">
        <v>5</v>
      </c>
      <c r="Q939" s="73">
        <f>IFERROR(INDEX(Katalog!$D$3:$D$12,MATCH(cadangan[[#This Row],[ItemID B]],Katalog!$C$3:$C$12,0))*cadangan[[#This Row],[Qty B]],0)</f>
        <v>150000</v>
      </c>
      <c r="R939" s="73">
        <f>IFERROR(cadangan[[#This Row],[Harga Normal B]]-(cadangan[[#This Row],[Harga Normal B]]*cadangan[[#This Row],[Diskon]]),cadangan[[#This Row],[Harga Normal B]])</f>
        <v>135000</v>
      </c>
      <c r="S939" s="73">
        <f>IFERROR(INDEX(Katalog!$F$3:$F$12,MATCH(cadangan[[#This Row],[ItemID B]],Katalog!$C$3:$C$12,0))*cadangan[[#This Row],[Qty B]],0)</f>
        <v>50000</v>
      </c>
      <c r="T939" s="73">
        <f>IFERROR(cadangan[[#This Row],[Harga Diskon B]]-INDEX(Katalog!$E$3:$E$12,MATCH(cadangan[[#This Row],[ItemID B]],Katalog!$C$3:$C$12,0))*cadangan[[#This Row],[Qty B]],0)</f>
        <v>35000</v>
      </c>
      <c r="U939" s="39" t="s">
        <v>67</v>
      </c>
      <c r="V939" s="39" t="str">
        <f>IFERROR(INDEX(Katalog!$A$3:$A$12,MATCH(cadangan[[#This Row],[ItemID C]],Katalog!$C$3:$C$12,0)),"-")</f>
        <v>Sepatu Wanita</v>
      </c>
      <c r="W939" s="39" t="str">
        <f>IFERROR(INDEX(Katalog!$B$3:$B$12,MATCH(cadangan[[#This Row],[ItemID C]],Katalog!$C$3:$C$12,0)),"-")</f>
        <v>Flat Shoes</v>
      </c>
      <c r="X939" s="50">
        <v>1</v>
      </c>
      <c r="Y939" s="50">
        <v>2</v>
      </c>
      <c r="Z939" s="73">
        <f>IFERROR(INDEX(Katalog!$D$3:$D$12,MATCH(cadangan[[#This Row],[ItemID C]],Katalog!$C$3:$C$12,0))*cadangan[[#This Row],[Qty C]],0)</f>
        <v>250000</v>
      </c>
      <c r="AA939" s="73">
        <f>IFERROR(cadangan[[#This Row],[Harga Normal C]]-(cadangan[[#This Row],[Harga Normal C]]*cadangan[[#This Row],[Diskon]]),cadangan[[#This Row],[Harga Normal C]])</f>
        <v>225000</v>
      </c>
      <c r="AB939" s="73">
        <f>IFERROR(INDEX(Katalog!$F$3:$F$12,MATCH(cadangan[[#This Row],[ItemID C]],Katalog!$C$3:$C$12,0))*cadangan[[#This Row],[Qty C]],0)</f>
        <v>100000</v>
      </c>
      <c r="AC939" s="73">
        <f>IFERROR(cadangan[[#This Row],[Harga Diskon C]]-INDEX(Katalog!$E$3:$E$12,MATCH(cadangan[[#This Row],[ItemID C]],Katalog!$C$3:$C$12,0))*cadangan[[#This Row],[Qty C]],0)</f>
        <v>75000</v>
      </c>
      <c r="AD939" s="53">
        <f>cadangan[[#This Row],[Qty A]]+cadangan[[#This Row],[Qty B]]+cadangan[[#This Row],[Qty C]]</f>
        <v>3</v>
      </c>
      <c r="AE939" s="73">
        <f>cadangan[[#This Row],[Harga Normal A]]+cadangan[[#This Row],[Harga Normal B]]+cadangan[[#This Row],[Harga Normal C]]</f>
        <v>900000</v>
      </c>
      <c r="AF939" s="73">
        <f>cadangan[[#This Row],[Harga Diskon A]]+cadangan[[#This Row],[Harga Diskon B]]+cadangan[[#This Row],[Harga Diskon C]]</f>
        <v>810000</v>
      </c>
      <c r="AG939" s="73">
        <f>(cadangan[[#This Row],[Profit Normal A]]+cadangan[[#This Row],[Profit Normal B]]+cadangan[[#This Row],[Profit Normal C]])</f>
        <v>350000</v>
      </c>
      <c r="AH939" s="73">
        <f>cadangan[[#This Row],[Profit Diskon A]]+cadangan[[#This Row],[Profit Diskon B]]+cadangan[[#This Row],[Profit Diskon C]]</f>
        <v>260000</v>
      </c>
      <c r="AI939" s="23" t="s">
        <v>30</v>
      </c>
      <c r="AJ939" s="37">
        <f>IFERROR(INDEX('Kode Diskon'!$D$3:$D$9,MATCH(cadangan[[#This Row],[Kode diskon]],'Kode Diskon'!$C$3:$C$9,0)),"-")</f>
        <v>0.1</v>
      </c>
      <c r="AK939" s="23" t="s">
        <v>29</v>
      </c>
      <c r="AL939" s="23" t="s">
        <v>10</v>
      </c>
      <c r="AM939" s="23" t="s">
        <v>79</v>
      </c>
      <c r="AN939" s="55">
        <v>45018</v>
      </c>
      <c r="AO939" s="53">
        <f>DAY(cadangan[[#This Row],[Tanggal terjual]])</f>
        <v>2</v>
      </c>
      <c r="AP939" s="21" t="str">
        <f>TEXT(cadangan[[#This Row],[Tanggal terjual]],"dddd")</f>
        <v>Sunday</v>
      </c>
      <c r="AQ939" s="23" t="str" cm="1">
        <f t="array" ref="AQ93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39" s="61">
        <f>AVERAGE(cadangan[[#This Row],[Rating A]],cadangan[[#This Row],[Rating B]],cadangan[[#This Row],[Rating C]])</f>
        <v>3</v>
      </c>
    </row>
    <row r="940" spans="1:44" x14ac:dyDescent="0.2">
      <c r="A940" s="20">
        <v>939</v>
      </c>
      <c r="B940" s="21" t="str">
        <f>_xlfn.CONCAT("ORD-",INDEX(Helper!$B$2:$B$5,MATCH(cadangan[[#This Row],[Marketplace]],Helper!$A$2:$A$5,0)),TEXT(cadangan[[#This Row],[No]],"0000"),"-",TEXT(cadangan[[#This Row],[Tanggal terjual]],"dd/mm/yy"))</f>
        <v>ORD-BL0939-08/04/23</v>
      </c>
      <c r="C940" s="39" t="s">
        <v>61</v>
      </c>
      <c r="D940" s="39" t="str">
        <f>IFERROR(INDEX(Katalog!$A$3:$A$12,MATCH(cadangan[[#This Row],[ItemID A]],Katalog!$C$3:$C$12,0)),"-")</f>
        <v>Pakaian Pria</v>
      </c>
      <c r="E940" s="39" t="str">
        <f>IFERROR(INDEX(Katalog!$B$3:$B$12,MATCH(cadangan[[#This Row],[ItemID A]],Katalog!$C$3:$C$12,0)),"-")</f>
        <v>Kaos Polo</v>
      </c>
      <c r="F940" s="50">
        <v>2</v>
      </c>
      <c r="G940" s="50">
        <v>4</v>
      </c>
      <c r="H940" s="73">
        <f>IFERROR(INDEX(Katalog!$D$3:$D$12,MATCH(cadangan[[#This Row],[ItemID A]],Katalog!$C$3:$C$12,0))*cadangan[[#This Row],[Qty A]],0)</f>
        <v>400000</v>
      </c>
      <c r="I940" s="73">
        <f>IFERROR(cadangan[[#This Row],[Harga Normal A]]-(cadangan[[#This Row],[Harga Normal A]]*cadangan[[#This Row],[Diskon]]),cadangan[[#This Row],[Harga Normal A]])</f>
        <v>400000</v>
      </c>
      <c r="J940" s="73">
        <f>INDEX(Katalog!$F$3:$F$12,MATCH(cadangan[[#This Row],[ItemID A]],Katalog!$C$3:$C$12,0))*cadangan[[#This Row],[Qty A]]</f>
        <v>160000</v>
      </c>
      <c r="K940" s="73">
        <f>IFERROR(cadangan[[#This Row],[Harga Diskon A]]-INDEX(Katalog!$E$3:$E$12,MATCH(cadangan[[#This Row],[ItemID A]],Katalog!$C$3:$C$12,0))*cadangan[[#This Row],[Qty A]],0)</f>
        <v>160000</v>
      </c>
      <c r="L940" s="39" t="s">
        <v>65</v>
      </c>
      <c r="M940" s="39" t="str">
        <f>IFERROR(INDEX(Katalog!$A$3:$A$12,MATCH(cadangan[[#This Row],[ItemID B]],Katalog!$C$3:$C$12,0)),"-")</f>
        <v>Sepatu Pria</v>
      </c>
      <c r="N940" s="39" t="str">
        <f>IFERROR(INDEX(Katalog!$B$3:$B$12,MATCH(cadangan[[#This Row],[ItemID B]],Katalog!$C$3:$C$12,0)),"-")</f>
        <v>Sneakers</v>
      </c>
      <c r="O940" s="50">
        <v>1</v>
      </c>
      <c r="P940" s="50">
        <v>2</v>
      </c>
      <c r="Q940" s="73">
        <f>IFERROR(INDEX(Katalog!$D$3:$D$12,MATCH(cadangan[[#This Row],[ItemID B]],Katalog!$C$3:$C$12,0))*cadangan[[#This Row],[Qty B]],0)</f>
        <v>500000</v>
      </c>
      <c r="R940" s="73">
        <f>IFERROR(cadangan[[#This Row],[Harga Normal B]]-(cadangan[[#This Row],[Harga Normal B]]*cadangan[[#This Row],[Diskon]]),cadangan[[#This Row],[Harga Normal B]])</f>
        <v>500000</v>
      </c>
      <c r="S940" s="73">
        <f>IFERROR(INDEX(Katalog!$F$3:$F$12,MATCH(cadangan[[#This Row],[ItemID B]],Katalog!$C$3:$C$12,0))*cadangan[[#This Row],[Qty B]],0)</f>
        <v>200000</v>
      </c>
      <c r="T940" s="73">
        <f>IFERROR(cadangan[[#This Row],[Harga Diskon B]]-INDEX(Katalog!$E$3:$E$12,MATCH(cadangan[[#This Row],[ItemID B]],Katalog!$C$3:$C$12,0))*cadangan[[#This Row],[Qty B]],0)</f>
        <v>200000</v>
      </c>
      <c r="V940" s="39" t="str">
        <f>IFERROR(INDEX(Katalog!$A$3:$A$12,MATCH(cadangan[[#This Row],[ItemID C]],Katalog!$C$3:$C$12,0)),"-")</f>
        <v>-</v>
      </c>
      <c r="W940" s="39" t="str">
        <f>IFERROR(INDEX(Katalog!$B$3:$B$12,MATCH(cadangan[[#This Row],[ItemID C]],Katalog!$C$3:$C$12,0)),"-")</f>
        <v>-</v>
      </c>
      <c r="Z940" s="73">
        <f>IFERROR(INDEX(Katalog!$D$3:$D$12,MATCH(cadangan[[#This Row],[ItemID C]],Katalog!$C$3:$C$12,0))*cadangan[[#This Row],[Qty C]],0)</f>
        <v>0</v>
      </c>
      <c r="AA940" s="73">
        <f>IFERROR(cadangan[[#This Row],[Harga Normal C]]-(cadangan[[#This Row],[Harga Normal C]]*cadangan[[#This Row],[Diskon]]),cadangan[[#This Row],[Harga Normal C]])</f>
        <v>0</v>
      </c>
      <c r="AB940" s="73">
        <f>IFERROR(INDEX(Katalog!$F$3:$F$12,MATCH(cadangan[[#This Row],[ItemID C]],Katalog!$C$3:$C$12,0))*cadangan[[#This Row],[Qty C]],0)</f>
        <v>0</v>
      </c>
      <c r="AC940" s="73">
        <f>IFERROR(cadangan[[#This Row],[Harga Diskon C]]-INDEX(Katalog!$E$3:$E$12,MATCH(cadangan[[#This Row],[ItemID C]],Katalog!$C$3:$C$12,0))*cadangan[[#This Row],[Qty C]],0)</f>
        <v>0</v>
      </c>
      <c r="AD940" s="53">
        <f>cadangan[[#This Row],[Qty A]]+cadangan[[#This Row],[Qty B]]+cadangan[[#This Row],[Qty C]]</f>
        <v>3</v>
      </c>
      <c r="AE940" s="73">
        <f>cadangan[[#This Row],[Harga Normal A]]+cadangan[[#This Row],[Harga Normal B]]+cadangan[[#This Row],[Harga Normal C]]</f>
        <v>900000</v>
      </c>
      <c r="AF940" s="73">
        <f>cadangan[[#This Row],[Harga Diskon A]]+cadangan[[#This Row],[Harga Diskon B]]+cadangan[[#This Row],[Harga Diskon C]]</f>
        <v>900000</v>
      </c>
      <c r="AG940" s="73">
        <f>(cadangan[[#This Row],[Profit Normal A]]+cadangan[[#This Row],[Profit Normal B]]+cadangan[[#This Row],[Profit Normal C]])</f>
        <v>360000</v>
      </c>
      <c r="AH940" s="73">
        <f>cadangan[[#This Row],[Profit Diskon A]]+cadangan[[#This Row],[Profit Diskon B]]+cadangan[[#This Row],[Profit Diskon C]]</f>
        <v>360000</v>
      </c>
      <c r="AI940" s="23" t="s">
        <v>290</v>
      </c>
      <c r="AJ940" s="37" t="str">
        <f>IFERROR(INDEX('Kode Diskon'!$D$3:$D$9,MATCH(cadangan[[#This Row],[Kode diskon]],'Kode Diskon'!$C$3:$C$9,0)),"-")</f>
        <v>-</v>
      </c>
      <c r="AK940" s="23" t="s">
        <v>290</v>
      </c>
      <c r="AL940" s="23" t="s">
        <v>12</v>
      </c>
      <c r="AM940" s="23" t="s">
        <v>75</v>
      </c>
      <c r="AN940" s="55">
        <v>45024</v>
      </c>
      <c r="AO940" s="53">
        <f>DAY(cadangan[[#This Row],[Tanggal terjual]])</f>
        <v>8</v>
      </c>
      <c r="AP940" s="21" t="str">
        <f>TEXT(cadangan[[#This Row],[Tanggal terjual]],"dddd")</f>
        <v>Saturday</v>
      </c>
      <c r="AQ940" s="23" t="str" cm="1">
        <f t="array" ref="AQ94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40" s="61">
        <f>AVERAGE(cadangan[[#This Row],[Rating A]],cadangan[[#This Row],[Rating B]],cadangan[[#This Row],[Rating C]])</f>
        <v>3</v>
      </c>
    </row>
    <row r="941" spans="1:44" x14ac:dyDescent="0.2">
      <c r="A941" s="20">
        <v>940</v>
      </c>
      <c r="B941" s="21" t="str">
        <f>_xlfn.CONCAT("ORD-",INDEX(Helper!$B$2:$B$5,MATCH(cadangan[[#This Row],[Marketplace]],Helper!$A$2:$A$5,0)),TEXT(cadangan[[#This Row],[No]],"0000"),"-",TEXT(cadangan[[#This Row],[Tanggal terjual]],"dd/mm/yy"))</f>
        <v>ORD-TK0940-06/04/23</v>
      </c>
      <c r="C941" s="39" t="s">
        <v>65</v>
      </c>
      <c r="D941" s="39" t="str">
        <f>IFERROR(INDEX(Katalog!$A$3:$A$12,MATCH(cadangan[[#This Row],[ItemID A]],Katalog!$C$3:$C$12,0)),"-")</f>
        <v>Sepatu Pria</v>
      </c>
      <c r="E941" s="39" t="str">
        <f>IFERROR(INDEX(Katalog!$B$3:$B$12,MATCH(cadangan[[#This Row],[ItemID A]],Katalog!$C$3:$C$12,0)),"-")</f>
        <v>Sneakers</v>
      </c>
      <c r="F941" s="50">
        <v>2</v>
      </c>
      <c r="G941" s="50">
        <v>5</v>
      </c>
      <c r="H941" s="73">
        <f>IFERROR(INDEX(Katalog!$D$3:$D$12,MATCH(cadangan[[#This Row],[ItemID A]],Katalog!$C$3:$C$12,0))*cadangan[[#This Row],[Qty A]],0)</f>
        <v>1000000</v>
      </c>
      <c r="I941" s="73">
        <f>IFERROR(cadangan[[#This Row],[Harga Normal A]]-(cadangan[[#This Row],[Harga Normal A]]*cadangan[[#This Row],[Diskon]]),cadangan[[#This Row],[Harga Normal A]])</f>
        <v>900000</v>
      </c>
      <c r="J941" s="73">
        <f>INDEX(Katalog!$F$3:$F$12,MATCH(cadangan[[#This Row],[ItemID A]],Katalog!$C$3:$C$12,0))*cadangan[[#This Row],[Qty A]]</f>
        <v>400000</v>
      </c>
      <c r="K941" s="73">
        <f>IFERROR(cadangan[[#This Row],[Harga Diskon A]]-INDEX(Katalog!$E$3:$E$12,MATCH(cadangan[[#This Row],[ItemID A]],Katalog!$C$3:$C$12,0))*cadangan[[#This Row],[Qty A]],0)</f>
        <v>300000</v>
      </c>
      <c r="M941" s="39" t="str">
        <f>IFERROR(INDEX(Katalog!$A$3:$A$12,MATCH(cadangan[[#This Row],[ItemID B]],Katalog!$C$3:$C$12,0)),"-")</f>
        <v>-</v>
      </c>
      <c r="N941" s="39" t="str">
        <f>IFERROR(INDEX(Katalog!$B$3:$B$12,MATCH(cadangan[[#This Row],[ItemID B]],Katalog!$C$3:$C$12,0)),"-")</f>
        <v>-</v>
      </c>
      <c r="Q941" s="73">
        <f>IFERROR(INDEX(Katalog!$D$3:$D$12,MATCH(cadangan[[#This Row],[ItemID B]],Katalog!$C$3:$C$12,0))*cadangan[[#This Row],[Qty B]],0)</f>
        <v>0</v>
      </c>
      <c r="R941" s="73">
        <f>IFERROR(cadangan[[#This Row],[Harga Normal B]]-(cadangan[[#This Row],[Harga Normal B]]*cadangan[[#This Row],[Diskon]]),cadangan[[#This Row],[Harga Normal B]])</f>
        <v>0</v>
      </c>
      <c r="S941" s="73">
        <f>IFERROR(INDEX(Katalog!$F$3:$F$12,MATCH(cadangan[[#This Row],[ItemID B]],Katalog!$C$3:$C$12,0))*cadangan[[#This Row],[Qty B]],0)</f>
        <v>0</v>
      </c>
      <c r="T941" s="73">
        <f>IFERROR(cadangan[[#This Row],[Harga Diskon B]]-INDEX(Katalog!$E$3:$E$12,MATCH(cadangan[[#This Row],[ItemID B]],Katalog!$C$3:$C$12,0))*cadangan[[#This Row],[Qty B]],0)</f>
        <v>0</v>
      </c>
      <c r="V941" s="39" t="str">
        <f>IFERROR(INDEX(Katalog!$A$3:$A$12,MATCH(cadangan[[#This Row],[ItemID C]],Katalog!$C$3:$C$12,0)),"-")</f>
        <v>-</v>
      </c>
      <c r="W941" s="39" t="str">
        <f>IFERROR(INDEX(Katalog!$B$3:$B$12,MATCH(cadangan[[#This Row],[ItemID C]],Katalog!$C$3:$C$12,0)),"-")</f>
        <v>-</v>
      </c>
      <c r="Z941" s="73">
        <f>IFERROR(INDEX(Katalog!$D$3:$D$12,MATCH(cadangan[[#This Row],[ItemID C]],Katalog!$C$3:$C$12,0))*cadangan[[#This Row],[Qty C]],0)</f>
        <v>0</v>
      </c>
      <c r="AA941" s="73">
        <f>IFERROR(cadangan[[#This Row],[Harga Normal C]]-(cadangan[[#This Row],[Harga Normal C]]*cadangan[[#This Row],[Diskon]]),cadangan[[#This Row],[Harga Normal C]])</f>
        <v>0</v>
      </c>
      <c r="AB941" s="73">
        <f>IFERROR(INDEX(Katalog!$F$3:$F$12,MATCH(cadangan[[#This Row],[ItemID C]],Katalog!$C$3:$C$12,0))*cadangan[[#This Row],[Qty C]],0)</f>
        <v>0</v>
      </c>
      <c r="AC941" s="73">
        <f>IFERROR(cadangan[[#This Row],[Harga Diskon C]]-INDEX(Katalog!$E$3:$E$12,MATCH(cadangan[[#This Row],[ItemID C]],Katalog!$C$3:$C$12,0))*cadangan[[#This Row],[Qty C]],0)</f>
        <v>0</v>
      </c>
      <c r="AD941" s="53">
        <f>cadangan[[#This Row],[Qty A]]+cadangan[[#This Row],[Qty B]]+cadangan[[#This Row],[Qty C]]</f>
        <v>2</v>
      </c>
      <c r="AE941" s="73">
        <f>cadangan[[#This Row],[Harga Normal A]]+cadangan[[#This Row],[Harga Normal B]]+cadangan[[#This Row],[Harga Normal C]]</f>
        <v>1000000</v>
      </c>
      <c r="AF941" s="73">
        <f>cadangan[[#This Row],[Harga Diskon A]]+cadangan[[#This Row],[Harga Diskon B]]+cadangan[[#This Row],[Harga Diskon C]]</f>
        <v>900000</v>
      </c>
      <c r="AG941" s="73">
        <f>(cadangan[[#This Row],[Profit Normal A]]+cadangan[[#This Row],[Profit Normal B]]+cadangan[[#This Row],[Profit Normal C]])</f>
        <v>400000</v>
      </c>
      <c r="AH941" s="73">
        <f>cadangan[[#This Row],[Profit Diskon A]]+cadangan[[#This Row],[Profit Diskon B]]+cadangan[[#This Row],[Profit Diskon C]]</f>
        <v>300000</v>
      </c>
      <c r="AI941" s="23" t="s">
        <v>30</v>
      </c>
      <c r="AJ941" s="37">
        <f>IFERROR(INDEX('Kode Diskon'!$D$3:$D$9,MATCH(cadangan[[#This Row],[Kode diskon]],'Kode Diskon'!$C$3:$C$9,0)),"-")</f>
        <v>0.1</v>
      </c>
      <c r="AK941" s="23" t="s">
        <v>29</v>
      </c>
      <c r="AL941" s="23" t="s">
        <v>10</v>
      </c>
      <c r="AM941" s="23" t="s">
        <v>79</v>
      </c>
      <c r="AN941" s="55">
        <v>45022</v>
      </c>
      <c r="AO941" s="53">
        <f>DAY(cadangan[[#This Row],[Tanggal terjual]])</f>
        <v>6</v>
      </c>
      <c r="AP941" s="21" t="str">
        <f>TEXT(cadangan[[#This Row],[Tanggal terjual]],"dddd")</f>
        <v>Thursday</v>
      </c>
      <c r="AQ941" s="23" t="str" cm="1">
        <f t="array" ref="AQ94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1" s="61">
        <f>AVERAGE(cadangan[[#This Row],[Rating A]],cadangan[[#This Row],[Rating B]],cadangan[[#This Row],[Rating C]])</f>
        <v>5</v>
      </c>
    </row>
    <row r="942" spans="1:44" x14ac:dyDescent="0.2">
      <c r="A942" s="20">
        <v>941</v>
      </c>
      <c r="B942" s="21" t="str">
        <f>_xlfn.CONCAT("ORD-",INDEX(Helper!$B$2:$B$5,MATCH(cadangan[[#This Row],[Marketplace]],Helper!$A$2:$A$5,0)),TEXT(cadangan[[#This Row],[No]],"0000"),"-",TEXT(cadangan[[#This Row],[Tanggal terjual]],"dd/mm/yy"))</f>
        <v>ORD-TK0941-15/04/23</v>
      </c>
      <c r="C942" s="39" t="s">
        <v>62</v>
      </c>
      <c r="D942" s="39" t="str">
        <f>IFERROR(INDEX(Katalog!$A$3:$A$12,MATCH(cadangan[[#This Row],[ItemID A]],Katalog!$C$3:$C$12,0)),"-")</f>
        <v>Pakaian Pria</v>
      </c>
      <c r="E942" s="39" t="str">
        <f>IFERROR(INDEX(Katalog!$B$3:$B$12,MATCH(cadangan[[#This Row],[ItemID A]],Katalog!$C$3:$C$12,0)),"-")</f>
        <v>Celana Pendek</v>
      </c>
      <c r="F942" s="50">
        <v>6</v>
      </c>
      <c r="G942" s="50">
        <v>3</v>
      </c>
      <c r="H942" s="73">
        <f>IFERROR(INDEX(Katalog!$D$3:$D$12,MATCH(cadangan[[#This Row],[ItemID A]],Katalog!$C$3:$C$12,0))*cadangan[[#This Row],[Qty A]],0)</f>
        <v>1080000</v>
      </c>
      <c r="I942" s="73">
        <f>IFERROR(cadangan[[#This Row],[Harga Normal A]]-(cadangan[[#This Row],[Harga Normal A]]*cadangan[[#This Row],[Diskon]]),cadangan[[#This Row],[Harga Normal A]])</f>
        <v>1080000</v>
      </c>
      <c r="J942" s="73">
        <f>INDEX(Katalog!$F$3:$F$12,MATCH(cadangan[[#This Row],[ItemID A]],Katalog!$C$3:$C$12,0))*cadangan[[#This Row],[Qty A]]</f>
        <v>420000</v>
      </c>
      <c r="K942" s="73">
        <f>IFERROR(cadangan[[#This Row],[Harga Diskon A]]-INDEX(Katalog!$E$3:$E$12,MATCH(cadangan[[#This Row],[ItemID A]],Katalog!$C$3:$C$12,0))*cadangan[[#This Row],[Qty A]],0)</f>
        <v>420000</v>
      </c>
      <c r="L942" s="39" t="s">
        <v>60</v>
      </c>
      <c r="M942" s="39" t="str">
        <f>IFERROR(INDEX(Katalog!$A$3:$A$12,MATCH(cadangan[[#This Row],[ItemID B]],Katalog!$C$3:$C$12,0)),"-")</f>
        <v>Pakaian Wanita</v>
      </c>
      <c r="N942" s="39" t="str">
        <f>IFERROR(INDEX(Katalog!$B$3:$B$12,MATCH(cadangan[[#This Row],[ItemID B]],Katalog!$C$3:$C$12,0)),"-")</f>
        <v>Kaftan</v>
      </c>
      <c r="O942" s="50">
        <v>1</v>
      </c>
      <c r="P942" s="50">
        <v>3</v>
      </c>
      <c r="Q942" s="73">
        <f>IFERROR(INDEX(Katalog!$D$3:$D$12,MATCH(cadangan[[#This Row],[ItemID B]],Katalog!$C$3:$C$12,0))*cadangan[[#This Row],[Qty B]],0)</f>
        <v>250000</v>
      </c>
      <c r="R942" s="73">
        <f>IFERROR(cadangan[[#This Row],[Harga Normal B]]-(cadangan[[#This Row],[Harga Normal B]]*cadangan[[#This Row],[Diskon]]),cadangan[[#This Row],[Harga Normal B]])</f>
        <v>250000</v>
      </c>
      <c r="S942" s="73">
        <f>IFERROR(INDEX(Katalog!$F$3:$F$12,MATCH(cadangan[[#This Row],[ItemID B]],Katalog!$C$3:$C$12,0))*cadangan[[#This Row],[Qty B]],0)</f>
        <v>100000</v>
      </c>
      <c r="T942" s="73">
        <f>IFERROR(cadangan[[#This Row],[Harga Diskon B]]-INDEX(Katalog!$E$3:$E$12,MATCH(cadangan[[#This Row],[ItemID B]],Katalog!$C$3:$C$12,0))*cadangan[[#This Row],[Qty B]],0)</f>
        <v>100000</v>
      </c>
      <c r="V942" s="39" t="str">
        <f>IFERROR(INDEX(Katalog!$A$3:$A$12,MATCH(cadangan[[#This Row],[ItemID C]],Katalog!$C$3:$C$12,0)),"-")</f>
        <v>-</v>
      </c>
      <c r="W942" s="39" t="str">
        <f>IFERROR(INDEX(Katalog!$B$3:$B$12,MATCH(cadangan[[#This Row],[ItemID C]],Katalog!$C$3:$C$12,0)),"-")</f>
        <v>-</v>
      </c>
      <c r="Z942" s="73">
        <f>IFERROR(INDEX(Katalog!$D$3:$D$12,MATCH(cadangan[[#This Row],[ItemID C]],Katalog!$C$3:$C$12,0))*cadangan[[#This Row],[Qty C]],0)</f>
        <v>0</v>
      </c>
      <c r="AA942" s="73">
        <f>IFERROR(cadangan[[#This Row],[Harga Normal C]]-(cadangan[[#This Row],[Harga Normal C]]*cadangan[[#This Row],[Diskon]]),cadangan[[#This Row],[Harga Normal C]])</f>
        <v>0</v>
      </c>
      <c r="AB942" s="73">
        <f>IFERROR(INDEX(Katalog!$F$3:$F$12,MATCH(cadangan[[#This Row],[ItemID C]],Katalog!$C$3:$C$12,0))*cadangan[[#This Row],[Qty C]],0)</f>
        <v>0</v>
      </c>
      <c r="AC942" s="73">
        <f>IFERROR(cadangan[[#This Row],[Harga Diskon C]]-INDEX(Katalog!$E$3:$E$12,MATCH(cadangan[[#This Row],[ItemID C]],Katalog!$C$3:$C$12,0))*cadangan[[#This Row],[Qty C]],0)</f>
        <v>0</v>
      </c>
      <c r="AD942" s="53">
        <f>cadangan[[#This Row],[Qty A]]+cadangan[[#This Row],[Qty B]]+cadangan[[#This Row],[Qty C]]</f>
        <v>7</v>
      </c>
      <c r="AE942" s="73">
        <f>cadangan[[#This Row],[Harga Normal A]]+cadangan[[#This Row],[Harga Normal B]]+cadangan[[#This Row],[Harga Normal C]]</f>
        <v>1330000</v>
      </c>
      <c r="AF942" s="73">
        <f>cadangan[[#This Row],[Harga Diskon A]]+cadangan[[#This Row],[Harga Diskon B]]+cadangan[[#This Row],[Harga Diskon C]]</f>
        <v>1330000</v>
      </c>
      <c r="AG942" s="73">
        <f>(cadangan[[#This Row],[Profit Normal A]]+cadangan[[#This Row],[Profit Normal B]]+cadangan[[#This Row],[Profit Normal C]])</f>
        <v>520000</v>
      </c>
      <c r="AH942" s="73">
        <f>cadangan[[#This Row],[Profit Diskon A]]+cadangan[[#This Row],[Profit Diskon B]]+cadangan[[#This Row],[Profit Diskon C]]</f>
        <v>520000</v>
      </c>
      <c r="AI942" s="23" t="s">
        <v>290</v>
      </c>
      <c r="AJ942" s="37" t="str">
        <f>IFERROR(INDEX('Kode Diskon'!$D$3:$D$9,MATCH(cadangan[[#This Row],[Kode diskon]],'Kode Diskon'!$C$3:$C$9,0)),"-")</f>
        <v>-</v>
      </c>
      <c r="AK942" s="23" t="s">
        <v>290</v>
      </c>
      <c r="AL942" s="23" t="s">
        <v>10</v>
      </c>
      <c r="AM942" s="23" t="s">
        <v>76</v>
      </c>
      <c r="AN942" s="55">
        <v>45031</v>
      </c>
      <c r="AO942" s="53">
        <f>DAY(cadangan[[#This Row],[Tanggal terjual]])</f>
        <v>15</v>
      </c>
      <c r="AP942" s="21" t="str">
        <f>TEXT(cadangan[[#This Row],[Tanggal terjual]],"dddd")</f>
        <v>Saturday</v>
      </c>
      <c r="AQ942" s="23" t="str" cm="1">
        <f t="array" ref="AQ94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42" s="61">
        <f>AVERAGE(cadangan[[#This Row],[Rating A]],cadangan[[#This Row],[Rating B]],cadangan[[#This Row],[Rating C]])</f>
        <v>3</v>
      </c>
    </row>
    <row r="943" spans="1:44" x14ac:dyDescent="0.2">
      <c r="A943" s="20">
        <v>942</v>
      </c>
      <c r="B943" s="21" t="str">
        <f>_xlfn.CONCAT("ORD-",INDEX(Helper!$B$2:$B$5,MATCH(cadangan[[#This Row],[Marketplace]],Helper!$A$2:$A$5,0)),TEXT(cadangan[[#This Row],[No]],"0000"),"-",TEXT(cadangan[[#This Row],[Tanggal terjual]],"dd/mm/yy"))</f>
        <v>ORD-BB0942-04/04/23</v>
      </c>
      <c r="C943" s="39" t="s">
        <v>61</v>
      </c>
      <c r="D943" s="39" t="str">
        <f>IFERROR(INDEX(Katalog!$A$3:$A$12,MATCH(cadangan[[#This Row],[ItemID A]],Katalog!$C$3:$C$12,0)),"-")</f>
        <v>Pakaian Pria</v>
      </c>
      <c r="E943" s="39" t="str">
        <f>IFERROR(INDEX(Katalog!$B$3:$B$12,MATCH(cadangan[[#This Row],[ItemID A]],Katalog!$C$3:$C$12,0)),"-")</f>
        <v>Kaos Polo</v>
      </c>
      <c r="F943" s="50">
        <v>5</v>
      </c>
      <c r="G943" s="50">
        <v>5</v>
      </c>
      <c r="H943" s="73">
        <f>IFERROR(INDEX(Katalog!$D$3:$D$12,MATCH(cadangan[[#This Row],[ItemID A]],Katalog!$C$3:$C$12,0))*cadangan[[#This Row],[Qty A]],0)</f>
        <v>1000000</v>
      </c>
      <c r="I943" s="73">
        <f>IFERROR(cadangan[[#This Row],[Harga Normal A]]-(cadangan[[#This Row],[Harga Normal A]]*cadangan[[#This Row],[Diskon]]),cadangan[[#This Row],[Harga Normal A]])</f>
        <v>850000</v>
      </c>
      <c r="J943" s="73">
        <f>INDEX(Katalog!$F$3:$F$12,MATCH(cadangan[[#This Row],[ItemID A]],Katalog!$C$3:$C$12,0))*cadangan[[#This Row],[Qty A]]</f>
        <v>400000</v>
      </c>
      <c r="K943" s="73">
        <f>IFERROR(cadangan[[#This Row],[Harga Diskon A]]-INDEX(Katalog!$E$3:$E$12,MATCH(cadangan[[#This Row],[ItemID A]],Katalog!$C$3:$C$12,0))*cadangan[[#This Row],[Qty A]],0)</f>
        <v>250000</v>
      </c>
      <c r="L943" s="39" t="s">
        <v>60</v>
      </c>
      <c r="M943" s="39" t="str">
        <f>IFERROR(INDEX(Katalog!$A$3:$A$12,MATCH(cadangan[[#This Row],[ItemID B]],Katalog!$C$3:$C$12,0)),"-")</f>
        <v>Pakaian Wanita</v>
      </c>
      <c r="N943" s="39" t="str">
        <f>IFERROR(INDEX(Katalog!$B$3:$B$12,MATCH(cadangan[[#This Row],[ItemID B]],Katalog!$C$3:$C$12,0)),"-")</f>
        <v>Kaftan</v>
      </c>
      <c r="O943" s="50">
        <v>1</v>
      </c>
      <c r="P943" s="50">
        <v>2</v>
      </c>
      <c r="Q943" s="73">
        <f>IFERROR(INDEX(Katalog!$D$3:$D$12,MATCH(cadangan[[#This Row],[ItemID B]],Katalog!$C$3:$C$12,0))*cadangan[[#This Row],[Qty B]],0)</f>
        <v>250000</v>
      </c>
      <c r="R943" s="73">
        <f>IFERROR(cadangan[[#This Row],[Harga Normal B]]-(cadangan[[#This Row],[Harga Normal B]]*cadangan[[#This Row],[Diskon]]),cadangan[[#This Row],[Harga Normal B]])</f>
        <v>212500</v>
      </c>
      <c r="S943" s="73">
        <f>IFERROR(INDEX(Katalog!$F$3:$F$12,MATCH(cadangan[[#This Row],[ItemID B]],Katalog!$C$3:$C$12,0))*cadangan[[#This Row],[Qty B]],0)</f>
        <v>100000</v>
      </c>
      <c r="T943" s="73">
        <f>IFERROR(cadangan[[#This Row],[Harga Diskon B]]-INDEX(Katalog!$E$3:$E$12,MATCH(cadangan[[#This Row],[ItemID B]],Katalog!$C$3:$C$12,0))*cadangan[[#This Row],[Qty B]],0)</f>
        <v>62500</v>
      </c>
      <c r="V943" s="39" t="str">
        <f>IFERROR(INDEX(Katalog!$A$3:$A$12,MATCH(cadangan[[#This Row],[ItemID C]],Katalog!$C$3:$C$12,0)),"-")</f>
        <v>-</v>
      </c>
      <c r="W943" s="39" t="str">
        <f>IFERROR(INDEX(Katalog!$B$3:$B$12,MATCH(cadangan[[#This Row],[ItemID C]],Katalog!$C$3:$C$12,0)),"-")</f>
        <v>-</v>
      </c>
      <c r="Z943" s="73">
        <f>IFERROR(INDEX(Katalog!$D$3:$D$12,MATCH(cadangan[[#This Row],[ItemID C]],Katalog!$C$3:$C$12,0))*cadangan[[#This Row],[Qty C]],0)</f>
        <v>0</v>
      </c>
      <c r="AA943" s="73">
        <f>IFERROR(cadangan[[#This Row],[Harga Normal C]]-(cadangan[[#This Row],[Harga Normal C]]*cadangan[[#This Row],[Diskon]]),cadangan[[#This Row],[Harga Normal C]])</f>
        <v>0</v>
      </c>
      <c r="AB943" s="73">
        <f>IFERROR(INDEX(Katalog!$F$3:$F$12,MATCH(cadangan[[#This Row],[ItemID C]],Katalog!$C$3:$C$12,0))*cadangan[[#This Row],[Qty C]],0)</f>
        <v>0</v>
      </c>
      <c r="AC943" s="73">
        <f>IFERROR(cadangan[[#This Row],[Harga Diskon C]]-INDEX(Katalog!$E$3:$E$12,MATCH(cadangan[[#This Row],[ItemID C]],Katalog!$C$3:$C$12,0))*cadangan[[#This Row],[Qty C]],0)</f>
        <v>0</v>
      </c>
      <c r="AD943" s="53">
        <f>cadangan[[#This Row],[Qty A]]+cadangan[[#This Row],[Qty B]]+cadangan[[#This Row],[Qty C]]</f>
        <v>6</v>
      </c>
      <c r="AE943" s="73">
        <f>cadangan[[#This Row],[Harga Normal A]]+cadangan[[#This Row],[Harga Normal B]]+cadangan[[#This Row],[Harga Normal C]]</f>
        <v>1250000</v>
      </c>
      <c r="AF943" s="73">
        <f>cadangan[[#This Row],[Harga Diskon A]]+cadangan[[#This Row],[Harga Diskon B]]+cadangan[[#This Row],[Harga Diskon C]]</f>
        <v>1062500</v>
      </c>
      <c r="AG943" s="73">
        <f>(cadangan[[#This Row],[Profit Normal A]]+cadangan[[#This Row],[Profit Normal B]]+cadangan[[#This Row],[Profit Normal C]])</f>
        <v>500000</v>
      </c>
      <c r="AH943" s="73">
        <f>cadangan[[#This Row],[Profit Diskon A]]+cadangan[[#This Row],[Profit Diskon B]]+cadangan[[#This Row],[Profit Diskon C]]</f>
        <v>312500</v>
      </c>
      <c r="AI943" s="23" t="s">
        <v>28</v>
      </c>
      <c r="AJ943" s="37">
        <f>IFERROR(INDEX('Kode Diskon'!$D$3:$D$9,MATCH(cadangan[[#This Row],[Kode diskon]],'Kode Diskon'!$C$3:$C$9,0)),"-")</f>
        <v>0.15</v>
      </c>
      <c r="AK943" s="23" t="s">
        <v>29</v>
      </c>
      <c r="AL943" s="23" t="s">
        <v>14</v>
      </c>
      <c r="AM943" s="23" t="s">
        <v>80</v>
      </c>
      <c r="AN943" s="55">
        <v>45020</v>
      </c>
      <c r="AO943" s="53">
        <f>DAY(cadangan[[#This Row],[Tanggal terjual]])</f>
        <v>4</v>
      </c>
      <c r="AP943" s="21" t="str">
        <f>TEXT(cadangan[[#This Row],[Tanggal terjual]],"dddd")</f>
        <v>Tuesday</v>
      </c>
      <c r="AQ943" s="23" t="str" cm="1">
        <f t="array" ref="AQ94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3" s="61">
        <f>AVERAGE(cadangan[[#This Row],[Rating A]],cadangan[[#This Row],[Rating B]],cadangan[[#This Row],[Rating C]])</f>
        <v>3.5</v>
      </c>
    </row>
    <row r="944" spans="1:44" x14ac:dyDescent="0.2">
      <c r="A944" s="20">
        <v>943</v>
      </c>
      <c r="B944" s="21" t="str">
        <f>_xlfn.CONCAT("ORD-",INDEX(Helper!$B$2:$B$5,MATCH(cadangan[[#This Row],[Marketplace]],Helper!$A$2:$A$5,0)),TEXT(cadangan[[#This Row],[No]],"0000"),"-",TEXT(cadangan[[#This Row],[Tanggal terjual]],"dd/mm/yy"))</f>
        <v>ORD-TK0943-03/04/23</v>
      </c>
      <c r="C944" s="39" t="s">
        <v>59</v>
      </c>
      <c r="D944" s="39" t="str">
        <f>IFERROR(INDEX(Katalog!$A$3:$A$12,MATCH(cadangan[[#This Row],[ItemID A]],Katalog!$C$3:$C$12,0)),"-")</f>
        <v>Pakaian Wanita</v>
      </c>
      <c r="E944" s="39" t="str">
        <f>IFERROR(INDEX(Katalog!$B$3:$B$12,MATCH(cadangan[[#This Row],[ItemID A]],Katalog!$C$3:$C$12,0)),"-")</f>
        <v>Blouse</v>
      </c>
      <c r="F944" s="50">
        <v>1</v>
      </c>
      <c r="G944" s="50">
        <v>3</v>
      </c>
      <c r="H944" s="73">
        <f>IFERROR(INDEX(Katalog!$D$3:$D$12,MATCH(cadangan[[#This Row],[ItemID A]],Katalog!$C$3:$C$12,0))*cadangan[[#This Row],[Qty A]],0)</f>
        <v>150000</v>
      </c>
      <c r="I944" s="73">
        <f>IFERROR(cadangan[[#This Row],[Harga Normal A]]-(cadangan[[#This Row],[Harga Normal A]]*cadangan[[#This Row],[Diskon]]),cadangan[[#This Row],[Harga Normal A]])</f>
        <v>135000</v>
      </c>
      <c r="J944" s="73">
        <f>INDEX(Katalog!$F$3:$F$12,MATCH(cadangan[[#This Row],[ItemID A]],Katalog!$C$3:$C$12,0))*cadangan[[#This Row],[Qty A]]</f>
        <v>50000</v>
      </c>
      <c r="K944" s="73">
        <f>IFERROR(cadangan[[#This Row],[Harga Diskon A]]-INDEX(Katalog!$E$3:$E$12,MATCH(cadangan[[#This Row],[ItemID A]],Katalog!$C$3:$C$12,0))*cadangan[[#This Row],[Qty A]],0)</f>
        <v>35000</v>
      </c>
      <c r="L944" s="39" t="s">
        <v>67</v>
      </c>
      <c r="M944" s="39" t="str">
        <f>IFERROR(INDEX(Katalog!$A$3:$A$12,MATCH(cadangan[[#This Row],[ItemID B]],Katalog!$C$3:$C$12,0)),"-")</f>
        <v>Sepatu Wanita</v>
      </c>
      <c r="N944" s="39" t="str">
        <f>IFERROR(INDEX(Katalog!$B$3:$B$12,MATCH(cadangan[[#This Row],[ItemID B]],Katalog!$C$3:$C$12,0)),"-")</f>
        <v>Flat Shoes</v>
      </c>
      <c r="O944" s="50">
        <v>1</v>
      </c>
      <c r="P944" s="50">
        <v>5</v>
      </c>
      <c r="Q944" s="73">
        <f>IFERROR(INDEX(Katalog!$D$3:$D$12,MATCH(cadangan[[#This Row],[ItemID B]],Katalog!$C$3:$C$12,0))*cadangan[[#This Row],[Qty B]],0)</f>
        <v>250000</v>
      </c>
      <c r="R944" s="73">
        <f>IFERROR(cadangan[[#This Row],[Harga Normal B]]-(cadangan[[#This Row],[Harga Normal B]]*cadangan[[#This Row],[Diskon]]),cadangan[[#This Row],[Harga Normal B]])</f>
        <v>225000</v>
      </c>
      <c r="S944" s="73">
        <f>IFERROR(INDEX(Katalog!$F$3:$F$12,MATCH(cadangan[[#This Row],[ItemID B]],Katalog!$C$3:$C$12,0))*cadangan[[#This Row],[Qty B]],0)</f>
        <v>100000</v>
      </c>
      <c r="T944" s="73">
        <f>IFERROR(cadangan[[#This Row],[Harga Diskon B]]-INDEX(Katalog!$E$3:$E$12,MATCH(cadangan[[#This Row],[ItemID B]],Katalog!$C$3:$C$12,0))*cadangan[[#This Row],[Qty B]],0)</f>
        <v>75000</v>
      </c>
      <c r="U944" s="39" t="s">
        <v>62</v>
      </c>
      <c r="V944" s="39" t="str">
        <f>IFERROR(INDEX(Katalog!$A$3:$A$12,MATCH(cadangan[[#This Row],[ItemID C]],Katalog!$C$3:$C$12,0)),"-")</f>
        <v>Pakaian Pria</v>
      </c>
      <c r="W944" s="39" t="str">
        <f>IFERROR(INDEX(Katalog!$B$3:$B$12,MATCH(cadangan[[#This Row],[ItemID C]],Katalog!$C$3:$C$12,0)),"-")</f>
        <v>Celana Pendek</v>
      </c>
      <c r="X944" s="50">
        <v>1</v>
      </c>
      <c r="Y944" s="50">
        <v>5</v>
      </c>
      <c r="Z944" s="73">
        <f>IFERROR(INDEX(Katalog!$D$3:$D$12,MATCH(cadangan[[#This Row],[ItemID C]],Katalog!$C$3:$C$12,0))*cadangan[[#This Row],[Qty C]],0)</f>
        <v>180000</v>
      </c>
      <c r="AA944" s="73">
        <f>IFERROR(cadangan[[#This Row],[Harga Normal C]]-(cadangan[[#This Row],[Harga Normal C]]*cadangan[[#This Row],[Diskon]]),cadangan[[#This Row],[Harga Normal C]])</f>
        <v>162000</v>
      </c>
      <c r="AB944" s="73">
        <f>IFERROR(INDEX(Katalog!$F$3:$F$12,MATCH(cadangan[[#This Row],[ItemID C]],Katalog!$C$3:$C$12,0))*cadangan[[#This Row],[Qty C]],0)</f>
        <v>70000</v>
      </c>
      <c r="AC944" s="73">
        <f>IFERROR(cadangan[[#This Row],[Harga Diskon C]]-INDEX(Katalog!$E$3:$E$12,MATCH(cadangan[[#This Row],[ItemID C]],Katalog!$C$3:$C$12,0))*cadangan[[#This Row],[Qty C]],0)</f>
        <v>52000</v>
      </c>
      <c r="AD944" s="53">
        <f>cadangan[[#This Row],[Qty A]]+cadangan[[#This Row],[Qty B]]+cadangan[[#This Row],[Qty C]]</f>
        <v>3</v>
      </c>
      <c r="AE944" s="73">
        <f>cadangan[[#This Row],[Harga Normal A]]+cadangan[[#This Row],[Harga Normal B]]+cadangan[[#This Row],[Harga Normal C]]</f>
        <v>580000</v>
      </c>
      <c r="AF944" s="73">
        <f>cadangan[[#This Row],[Harga Diskon A]]+cadangan[[#This Row],[Harga Diskon B]]+cadangan[[#This Row],[Harga Diskon C]]</f>
        <v>522000</v>
      </c>
      <c r="AG944" s="73">
        <f>(cadangan[[#This Row],[Profit Normal A]]+cadangan[[#This Row],[Profit Normal B]]+cadangan[[#This Row],[Profit Normal C]])</f>
        <v>220000</v>
      </c>
      <c r="AH944" s="73">
        <f>cadangan[[#This Row],[Profit Diskon A]]+cadangan[[#This Row],[Profit Diskon B]]+cadangan[[#This Row],[Profit Diskon C]]</f>
        <v>162000</v>
      </c>
      <c r="AI944" s="23" t="s">
        <v>30</v>
      </c>
      <c r="AJ944" s="37">
        <f>IFERROR(INDEX('Kode Diskon'!$D$3:$D$9,MATCH(cadangan[[#This Row],[Kode diskon]],'Kode Diskon'!$C$3:$C$9,0)),"-")</f>
        <v>0.1</v>
      </c>
      <c r="AK944" s="23" t="s">
        <v>29</v>
      </c>
      <c r="AL944" s="23" t="s">
        <v>10</v>
      </c>
      <c r="AM944" s="23" t="s">
        <v>80</v>
      </c>
      <c r="AN944" s="55">
        <v>45019</v>
      </c>
      <c r="AO944" s="53">
        <f>DAY(cadangan[[#This Row],[Tanggal terjual]])</f>
        <v>3</v>
      </c>
      <c r="AP944" s="21" t="str">
        <f>TEXT(cadangan[[#This Row],[Tanggal terjual]],"dddd")</f>
        <v>Monday</v>
      </c>
      <c r="AQ944" s="23" t="str" cm="1">
        <f t="array" ref="AQ94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4" s="61">
        <f>AVERAGE(cadangan[[#This Row],[Rating A]],cadangan[[#This Row],[Rating B]],cadangan[[#This Row],[Rating C]])</f>
        <v>4.333333333333333</v>
      </c>
    </row>
    <row r="945" spans="1:44" x14ac:dyDescent="0.2">
      <c r="A945" s="20">
        <v>944</v>
      </c>
      <c r="B945" s="21" t="str">
        <f>_xlfn.CONCAT("ORD-",INDEX(Helper!$B$2:$B$5,MATCH(cadangan[[#This Row],[Marketplace]],Helper!$A$2:$A$5,0)),TEXT(cadangan[[#This Row],[No]],"0000"),"-",TEXT(cadangan[[#This Row],[Tanggal terjual]],"dd/mm/yy"))</f>
        <v>ORD-SP0944-05/04/23</v>
      </c>
      <c r="C945" s="39" t="s">
        <v>66</v>
      </c>
      <c r="D945" s="39" t="str">
        <f>IFERROR(INDEX(Katalog!$A$3:$A$12,MATCH(cadangan[[#This Row],[ItemID A]],Katalog!$C$3:$C$12,0)),"-")</f>
        <v>Sepatu Pria</v>
      </c>
      <c r="E945" s="39" t="str">
        <f>IFERROR(INDEX(Katalog!$B$3:$B$12,MATCH(cadangan[[#This Row],[ItemID A]],Katalog!$C$3:$C$12,0)),"-")</f>
        <v>Sandal Slip On</v>
      </c>
      <c r="F945" s="50">
        <v>5</v>
      </c>
      <c r="G945" s="50">
        <v>4</v>
      </c>
      <c r="H945" s="73">
        <f>IFERROR(INDEX(Katalog!$D$3:$D$12,MATCH(cadangan[[#This Row],[ItemID A]],Katalog!$C$3:$C$12,0))*cadangan[[#This Row],[Qty A]],0)</f>
        <v>750000</v>
      </c>
      <c r="I945" s="73">
        <f>IFERROR(cadangan[[#This Row],[Harga Normal A]]-(cadangan[[#This Row],[Harga Normal A]]*cadangan[[#This Row],[Diskon]]),cadangan[[#This Row],[Harga Normal A]])</f>
        <v>637500</v>
      </c>
      <c r="J945" s="73">
        <f>INDEX(Katalog!$F$3:$F$12,MATCH(cadangan[[#This Row],[ItemID A]],Katalog!$C$3:$C$12,0))*cadangan[[#This Row],[Qty A]]</f>
        <v>300000</v>
      </c>
      <c r="K945" s="73">
        <f>IFERROR(cadangan[[#This Row],[Harga Diskon A]]-INDEX(Katalog!$E$3:$E$12,MATCH(cadangan[[#This Row],[ItemID A]],Katalog!$C$3:$C$12,0))*cadangan[[#This Row],[Qty A]],0)</f>
        <v>187500</v>
      </c>
      <c r="M945" s="39" t="str">
        <f>IFERROR(INDEX(Katalog!$A$3:$A$12,MATCH(cadangan[[#This Row],[ItemID B]],Katalog!$C$3:$C$12,0)),"-")</f>
        <v>-</v>
      </c>
      <c r="N945" s="39" t="str">
        <f>IFERROR(INDEX(Katalog!$B$3:$B$12,MATCH(cadangan[[#This Row],[ItemID B]],Katalog!$C$3:$C$12,0)),"-")</f>
        <v>-</v>
      </c>
      <c r="Q945" s="73">
        <f>IFERROR(INDEX(Katalog!$D$3:$D$12,MATCH(cadangan[[#This Row],[ItemID B]],Katalog!$C$3:$C$12,0))*cadangan[[#This Row],[Qty B]],0)</f>
        <v>0</v>
      </c>
      <c r="R945" s="73">
        <f>IFERROR(cadangan[[#This Row],[Harga Normal B]]-(cadangan[[#This Row],[Harga Normal B]]*cadangan[[#This Row],[Diskon]]),cadangan[[#This Row],[Harga Normal B]])</f>
        <v>0</v>
      </c>
      <c r="S945" s="73">
        <f>IFERROR(INDEX(Katalog!$F$3:$F$12,MATCH(cadangan[[#This Row],[ItemID B]],Katalog!$C$3:$C$12,0))*cadangan[[#This Row],[Qty B]],0)</f>
        <v>0</v>
      </c>
      <c r="T945" s="73">
        <f>IFERROR(cadangan[[#This Row],[Harga Diskon B]]-INDEX(Katalog!$E$3:$E$12,MATCH(cadangan[[#This Row],[ItemID B]],Katalog!$C$3:$C$12,0))*cadangan[[#This Row],[Qty B]],0)</f>
        <v>0</v>
      </c>
      <c r="V945" s="39" t="str">
        <f>IFERROR(INDEX(Katalog!$A$3:$A$12,MATCH(cadangan[[#This Row],[ItemID C]],Katalog!$C$3:$C$12,0)),"-")</f>
        <v>-</v>
      </c>
      <c r="W945" s="39" t="str">
        <f>IFERROR(INDEX(Katalog!$B$3:$B$12,MATCH(cadangan[[#This Row],[ItemID C]],Katalog!$C$3:$C$12,0)),"-")</f>
        <v>-</v>
      </c>
      <c r="Z945" s="73">
        <f>IFERROR(INDEX(Katalog!$D$3:$D$12,MATCH(cadangan[[#This Row],[ItemID C]],Katalog!$C$3:$C$12,0))*cadangan[[#This Row],[Qty C]],0)</f>
        <v>0</v>
      </c>
      <c r="AA945" s="73">
        <f>IFERROR(cadangan[[#This Row],[Harga Normal C]]-(cadangan[[#This Row],[Harga Normal C]]*cadangan[[#This Row],[Diskon]]),cadangan[[#This Row],[Harga Normal C]])</f>
        <v>0</v>
      </c>
      <c r="AB945" s="73">
        <f>IFERROR(INDEX(Katalog!$F$3:$F$12,MATCH(cadangan[[#This Row],[ItemID C]],Katalog!$C$3:$C$12,0))*cadangan[[#This Row],[Qty C]],0)</f>
        <v>0</v>
      </c>
      <c r="AC945" s="73">
        <f>IFERROR(cadangan[[#This Row],[Harga Diskon C]]-INDEX(Katalog!$E$3:$E$12,MATCH(cadangan[[#This Row],[ItemID C]],Katalog!$C$3:$C$12,0))*cadangan[[#This Row],[Qty C]],0)</f>
        <v>0</v>
      </c>
      <c r="AD945" s="53">
        <f>cadangan[[#This Row],[Qty A]]+cadangan[[#This Row],[Qty B]]+cadangan[[#This Row],[Qty C]]</f>
        <v>5</v>
      </c>
      <c r="AE945" s="73">
        <f>cadangan[[#This Row],[Harga Normal A]]+cadangan[[#This Row],[Harga Normal B]]+cadangan[[#This Row],[Harga Normal C]]</f>
        <v>750000</v>
      </c>
      <c r="AF945" s="73">
        <f>cadangan[[#This Row],[Harga Diskon A]]+cadangan[[#This Row],[Harga Diskon B]]+cadangan[[#This Row],[Harga Diskon C]]</f>
        <v>637500</v>
      </c>
      <c r="AG945" s="73">
        <f>(cadangan[[#This Row],[Profit Normal A]]+cadangan[[#This Row],[Profit Normal B]]+cadangan[[#This Row],[Profit Normal C]])</f>
        <v>300000</v>
      </c>
      <c r="AH945" s="73">
        <f>cadangan[[#This Row],[Profit Diskon A]]+cadangan[[#This Row],[Profit Diskon B]]+cadangan[[#This Row],[Profit Diskon C]]</f>
        <v>187500</v>
      </c>
      <c r="AI945" s="23" t="s">
        <v>13</v>
      </c>
      <c r="AJ945" s="37">
        <f>IFERROR(INDEX('Kode Diskon'!$D$3:$D$9,MATCH(cadangan[[#This Row],[Kode diskon]],'Kode Diskon'!$C$3:$C$9,0)),"-")</f>
        <v>0.15</v>
      </c>
      <c r="AK945" s="23" t="s">
        <v>29</v>
      </c>
      <c r="AL945" s="23" t="s">
        <v>7</v>
      </c>
      <c r="AM945" s="23" t="s">
        <v>80</v>
      </c>
      <c r="AN945" s="55">
        <v>45021</v>
      </c>
      <c r="AO945" s="53">
        <f>DAY(cadangan[[#This Row],[Tanggal terjual]])</f>
        <v>5</v>
      </c>
      <c r="AP945" s="21" t="str">
        <f>TEXT(cadangan[[#This Row],[Tanggal terjual]],"dddd")</f>
        <v>Wednesday</v>
      </c>
      <c r="AQ945" s="23" t="str" cm="1">
        <f t="array" ref="AQ94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5" s="61">
        <f>AVERAGE(cadangan[[#This Row],[Rating A]],cadangan[[#This Row],[Rating B]],cadangan[[#This Row],[Rating C]])</f>
        <v>4</v>
      </c>
    </row>
    <row r="946" spans="1:44" x14ac:dyDescent="0.2">
      <c r="A946" s="20">
        <v>945</v>
      </c>
      <c r="B946" s="21" t="str">
        <f>_xlfn.CONCAT("ORD-",INDEX(Helper!$B$2:$B$5,MATCH(cadangan[[#This Row],[Marketplace]],Helper!$A$2:$A$5,0)),TEXT(cadangan[[#This Row],[No]],"0000"),"-",TEXT(cadangan[[#This Row],[Tanggal terjual]],"dd/mm/yy"))</f>
        <v>ORD-TK0945-05/04/23</v>
      </c>
      <c r="C946" s="39" t="s">
        <v>58</v>
      </c>
      <c r="D946" s="39" t="str">
        <f>IFERROR(INDEX(Katalog!$A$3:$A$12,MATCH(cadangan[[#This Row],[ItemID A]],Katalog!$C$3:$C$12,0)),"-")</f>
        <v>Pakaian Wanita</v>
      </c>
      <c r="E946" s="39" t="str">
        <f>IFERROR(INDEX(Katalog!$B$3:$B$12,MATCH(cadangan[[#This Row],[ItemID A]],Katalog!$C$3:$C$12,0)),"-")</f>
        <v>Dress</v>
      </c>
      <c r="F946" s="50">
        <v>6</v>
      </c>
      <c r="G946" s="50">
        <v>5</v>
      </c>
      <c r="H946" s="73">
        <f>IFERROR(INDEX(Katalog!$D$3:$D$12,MATCH(cadangan[[#This Row],[ItemID A]],Katalog!$C$3:$C$12,0))*cadangan[[#This Row],[Qty A]],0)</f>
        <v>1800000</v>
      </c>
      <c r="I946" s="73">
        <f>IFERROR(cadangan[[#This Row],[Harga Normal A]]-(cadangan[[#This Row],[Harga Normal A]]*cadangan[[#This Row],[Diskon]]),cadangan[[#This Row],[Harga Normal A]])</f>
        <v>1620000</v>
      </c>
      <c r="J946" s="73">
        <f>INDEX(Katalog!$F$3:$F$12,MATCH(cadangan[[#This Row],[ItemID A]],Katalog!$C$3:$C$12,0))*cadangan[[#This Row],[Qty A]]</f>
        <v>600000</v>
      </c>
      <c r="K946" s="73">
        <f>IFERROR(cadangan[[#This Row],[Harga Diskon A]]-INDEX(Katalog!$E$3:$E$12,MATCH(cadangan[[#This Row],[ItemID A]],Katalog!$C$3:$C$12,0))*cadangan[[#This Row],[Qty A]],0)</f>
        <v>420000</v>
      </c>
      <c r="L946" s="39" t="s">
        <v>62</v>
      </c>
      <c r="M946" s="39" t="str">
        <f>IFERROR(INDEX(Katalog!$A$3:$A$12,MATCH(cadangan[[#This Row],[ItemID B]],Katalog!$C$3:$C$12,0)),"-")</f>
        <v>Pakaian Pria</v>
      </c>
      <c r="N946" s="39" t="str">
        <f>IFERROR(INDEX(Katalog!$B$3:$B$12,MATCH(cadangan[[#This Row],[ItemID B]],Katalog!$C$3:$C$12,0)),"-")</f>
        <v>Celana Pendek</v>
      </c>
      <c r="O946" s="50">
        <v>1</v>
      </c>
      <c r="P946" s="50">
        <v>3</v>
      </c>
      <c r="Q946" s="73">
        <f>IFERROR(INDEX(Katalog!$D$3:$D$12,MATCH(cadangan[[#This Row],[ItemID B]],Katalog!$C$3:$C$12,0))*cadangan[[#This Row],[Qty B]],0)</f>
        <v>180000</v>
      </c>
      <c r="R946" s="73">
        <f>IFERROR(cadangan[[#This Row],[Harga Normal B]]-(cadangan[[#This Row],[Harga Normal B]]*cadangan[[#This Row],[Diskon]]),cadangan[[#This Row],[Harga Normal B]])</f>
        <v>162000</v>
      </c>
      <c r="S946" s="73">
        <f>IFERROR(INDEX(Katalog!$F$3:$F$12,MATCH(cadangan[[#This Row],[ItemID B]],Katalog!$C$3:$C$12,0))*cadangan[[#This Row],[Qty B]],0)</f>
        <v>70000</v>
      </c>
      <c r="T946" s="73">
        <f>IFERROR(cadangan[[#This Row],[Harga Diskon B]]-INDEX(Katalog!$E$3:$E$12,MATCH(cadangan[[#This Row],[ItemID B]],Katalog!$C$3:$C$12,0))*cadangan[[#This Row],[Qty B]],0)</f>
        <v>52000</v>
      </c>
      <c r="V946" s="39" t="str">
        <f>IFERROR(INDEX(Katalog!$A$3:$A$12,MATCH(cadangan[[#This Row],[ItemID C]],Katalog!$C$3:$C$12,0)),"-")</f>
        <v>-</v>
      </c>
      <c r="W946" s="39" t="str">
        <f>IFERROR(INDEX(Katalog!$B$3:$B$12,MATCH(cadangan[[#This Row],[ItemID C]],Katalog!$C$3:$C$12,0)),"-")</f>
        <v>-</v>
      </c>
      <c r="Z946" s="73">
        <f>IFERROR(INDEX(Katalog!$D$3:$D$12,MATCH(cadangan[[#This Row],[ItemID C]],Katalog!$C$3:$C$12,0))*cadangan[[#This Row],[Qty C]],0)</f>
        <v>0</v>
      </c>
      <c r="AA946" s="73">
        <f>IFERROR(cadangan[[#This Row],[Harga Normal C]]-(cadangan[[#This Row],[Harga Normal C]]*cadangan[[#This Row],[Diskon]]),cadangan[[#This Row],[Harga Normal C]])</f>
        <v>0</v>
      </c>
      <c r="AB946" s="73">
        <f>IFERROR(INDEX(Katalog!$F$3:$F$12,MATCH(cadangan[[#This Row],[ItemID C]],Katalog!$C$3:$C$12,0))*cadangan[[#This Row],[Qty C]],0)</f>
        <v>0</v>
      </c>
      <c r="AC946" s="73">
        <f>IFERROR(cadangan[[#This Row],[Harga Diskon C]]-INDEX(Katalog!$E$3:$E$12,MATCH(cadangan[[#This Row],[ItemID C]],Katalog!$C$3:$C$12,0))*cadangan[[#This Row],[Qty C]],0)</f>
        <v>0</v>
      </c>
      <c r="AD946" s="53">
        <f>cadangan[[#This Row],[Qty A]]+cadangan[[#This Row],[Qty B]]+cadangan[[#This Row],[Qty C]]</f>
        <v>7</v>
      </c>
      <c r="AE946" s="73">
        <f>cadangan[[#This Row],[Harga Normal A]]+cadangan[[#This Row],[Harga Normal B]]+cadangan[[#This Row],[Harga Normal C]]</f>
        <v>1980000</v>
      </c>
      <c r="AF946" s="73">
        <f>cadangan[[#This Row],[Harga Diskon A]]+cadangan[[#This Row],[Harga Diskon B]]+cadangan[[#This Row],[Harga Diskon C]]</f>
        <v>1782000</v>
      </c>
      <c r="AG946" s="73">
        <f>(cadangan[[#This Row],[Profit Normal A]]+cadangan[[#This Row],[Profit Normal B]]+cadangan[[#This Row],[Profit Normal C]])</f>
        <v>670000</v>
      </c>
      <c r="AH946" s="73">
        <f>cadangan[[#This Row],[Profit Diskon A]]+cadangan[[#This Row],[Profit Diskon B]]+cadangan[[#This Row],[Profit Diskon C]]</f>
        <v>472000</v>
      </c>
      <c r="AI946" s="23" t="s">
        <v>30</v>
      </c>
      <c r="AJ946" s="37">
        <f>IFERROR(INDEX('Kode Diskon'!$D$3:$D$9,MATCH(cadangan[[#This Row],[Kode diskon]],'Kode Diskon'!$C$3:$C$9,0)),"-")</f>
        <v>0.1</v>
      </c>
      <c r="AK946" s="23" t="s">
        <v>29</v>
      </c>
      <c r="AL946" s="23" t="s">
        <v>10</v>
      </c>
      <c r="AM946" s="23" t="s">
        <v>77</v>
      </c>
      <c r="AN946" s="55">
        <v>45021</v>
      </c>
      <c r="AO946" s="53">
        <f>DAY(cadangan[[#This Row],[Tanggal terjual]])</f>
        <v>5</v>
      </c>
      <c r="AP946" s="21" t="str">
        <f>TEXT(cadangan[[#This Row],[Tanggal terjual]],"dddd")</f>
        <v>Wednesday</v>
      </c>
      <c r="AQ946" s="23" t="str" cm="1">
        <f t="array" ref="AQ94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46" s="61">
        <f>AVERAGE(cadangan[[#This Row],[Rating A]],cadangan[[#This Row],[Rating B]],cadangan[[#This Row],[Rating C]])</f>
        <v>4</v>
      </c>
    </row>
    <row r="947" spans="1:44" x14ac:dyDescent="0.2">
      <c r="A947" s="20">
        <v>946</v>
      </c>
      <c r="B947" s="21" t="str">
        <f>_xlfn.CONCAT("ORD-",INDEX(Helper!$B$2:$B$5,MATCH(cadangan[[#This Row],[Marketplace]],Helper!$A$2:$A$5,0)),TEXT(cadangan[[#This Row],[No]],"0000"),"-",TEXT(cadangan[[#This Row],[Tanggal terjual]],"dd/mm/yy"))</f>
        <v>ORD-SP0946-13/04/23</v>
      </c>
      <c r="C947" s="39" t="s">
        <v>60</v>
      </c>
      <c r="D947" s="39" t="str">
        <f>IFERROR(INDEX(Katalog!$A$3:$A$12,MATCH(cadangan[[#This Row],[ItemID A]],Katalog!$C$3:$C$12,0)),"-")</f>
        <v>Pakaian Wanita</v>
      </c>
      <c r="E947" s="39" t="str">
        <f>IFERROR(INDEX(Katalog!$B$3:$B$12,MATCH(cadangan[[#This Row],[ItemID A]],Katalog!$C$3:$C$12,0)),"-")</f>
        <v>Kaftan</v>
      </c>
      <c r="F947" s="50">
        <v>2</v>
      </c>
      <c r="G947" s="50">
        <v>4</v>
      </c>
      <c r="H947" s="73">
        <f>IFERROR(INDEX(Katalog!$D$3:$D$12,MATCH(cadangan[[#This Row],[ItemID A]],Katalog!$C$3:$C$12,0))*cadangan[[#This Row],[Qty A]],0)</f>
        <v>500000</v>
      </c>
      <c r="I947" s="73">
        <f>IFERROR(cadangan[[#This Row],[Harga Normal A]]-(cadangan[[#This Row],[Harga Normal A]]*cadangan[[#This Row],[Diskon]]),cadangan[[#This Row],[Harga Normal A]])</f>
        <v>500000</v>
      </c>
      <c r="J947" s="73">
        <f>INDEX(Katalog!$F$3:$F$12,MATCH(cadangan[[#This Row],[ItemID A]],Katalog!$C$3:$C$12,0))*cadangan[[#This Row],[Qty A]]</f>
        <v>200000</v>
      </c>
      <c r="K947" s="73">
        <f>IFERROR(cadangan[[#This Row],[Harga Diskon A]]-INDEX(Katalog!$E$3:$E$12,MATCH(cadangan[[#This Row],[ItemID A]],Katalog!$C$3:$C$12,0))*cadangan[[#This Row],[Qty A]],0)</f>
        <v>200000</v>
      </c>
      <c r="M947" s="39" t="str">
        <f>IFERROR(INDEX(Katalog!$A$3:$A$12,MATCH(cadangan[[#This Row],[ItemID B]],Katalog!$C$3:$C$12,0)),"-")</f>
        <v>-</v>
      </c>
      <c r="N947" s="39" t="str">
        <f>IFERROR(INDEX(Katalog!$B$3:$B$12,MATCH(cadangan[[#This Row],[ItemID B]],Katalog!$C$3:$C$12,0)),"-")</f>
        <v>-</v>
      </c>
      <c r="Q947" s="73">
        <f>IFERROR(INDEX(Katalog!$D$3:$D$12,MATCH(cadangan[[#This Row],[ItemID B]],Katalog!$C$3:$C$12,0))*cadangan[[#This Row],[Qty B]],0)</f>
        <v>0</v>
      </c>
      <c r="R947" s="73">
        <f>IFERROR(cadangan[[#This Row],[Harga Normal B]]-(cadangan[[#This Row],[Harga Normal B]]*cadangan[[#This Row],[Diskon]]),cadangan[[#This Row],[Harga Normal B]])</f>
        <v>0</v>
      </c>
      <c r="S947" s="73">
        <f>IFERROR(INDEX(Katalog!$F$3:$F$12,MATCH(cadangan[[#This Row],[ItemID B]],Katalog!$C$3:$C$12,0))*cadangan[[#This Row],[Qty B]],0)</f>
        <v>0</v>
      </c>
      <c r="T947" s="73">
        <f>IFERROR(cadangan[[#This Row],[Harga Diskon B]]-INDEX(Katalog!$E$3:$E$12,MATCH(cadangan[[#This Row],[ItemID B]],Katalog!$C$3:$C$12,0))*cadangan[[#This Row],[Qty B]],0)</f>
        <v>0</v>
      </c>
      <c r="V947" s="39" t="str">
        <f>IFERROR(INDEX(Katalog!$A$3:$A$12,MATCH(cadangan[[#This Row],[ItemID C]],Katalog!$C$3:$C$12,0)),"-")</f>
        <v>-</v>
      </c>
      <c r="W947" s="39" t="str">
        <f>IFERROR(INDEX(Katalog!$B$3:$B$12,MATCH(cadangan[[#This Row],[ItemID C]],Katalog!$C$3:$C$12,0)),"-")</f>
        <v>-</v>
      </c>
      <c r="Z947" s="73">
        <f>IFERROR(INDEX(Katalog!$D$3:$D$12,MATCH(cadangan[[#This Row],[ItemID C]],Katalog!$C$3:$C$12,0))*cadangan[[#This Row],[Qty C]],0)</f>
        <v>0</v>
      </c>
      <c r="AA947" s="73">
        <f>IFERROR(cadangan[[#This Row],[Harga Normal C]]-(cadangan[[#This Row],[Harga Normal C]]*cadangan[[#This Row],[Diskon]]),cadangan[[#This Row],[Harga Normal C]])</f>
        <v>0</v>
      </c>
      <c r="AB947" s="73">
        <f>IFERROR(INDEX(Katalog!$F$3:$F$12,MATCH(cadangan[[#This Row],[ItemID C]],Katalog!$C$3:$C$12,0))*cadangan[[#This Row],[Qty C]],0)</f>
        <v>0</v>
      </c>
      <c r="AC947" s="73">
        <f>IFERROR(cadangan[[#This Row],[Harga Diskon C]]-INDEX(Katalog!$E$3:$E$12,MATCH(cadangan[[#This Row],[ItemID C]],Katalog!$C$3:$C$12,0))*cadangan[[#This Row],[Qty C]],0)</f>
        <v>0</v>
      </c>
      <c r="AD947" s="53">
        <f>cadangan[[#This Row],[Qty A]]+cadangan[[#This Row],[Qty B]]+cadangan[[#This Row],[Qty C]]</f>
        <v>2</v>
      </c>
      <c r="AE947" s="73">
        <f>cadangan[[#This Row],[Harga Normal A]]+cadangan[[#This Row],[Harga Normal B]]+cadangan[[#This Row],[Harga Normal C]]</f>
        <v>500000</v>
      </c>
      <c r="AF947" s="73">
        <f>cadangan[[#This Row],[Harga Diskon A]]+cadangan[[#This Row],[Harga Diskon B]]+cadangan[[#This Row],[Harga Diskon C]]</f>
        <v>500000</v>
      </c>
      <c r="AG947" s="73">
        <f>(cadangan[[#This Row],[Profit Normal A]]+cadangan[[#This Row],[Profit Normal B]]+cadangan[[#This Row],[Profit Normal C]])</f>
        <v>200000</v>
      </c>
      <c r="AH947" s="73">
        <f>cadangan[[#This Row],[Profit Diskon A]]+cadangan[[#This Row],[Profit Diskon B]]+cadangan[[#This Row],[Profit Diskon C]]</f>
        <v>200000</v>
      </c>
      <c r="AI947" s="23" t="s">
        <v>290</v>
      </c>
      <c r="AJ947" s="37" t="str">
        <f>IFERROR(INDEX('Kode Diskon'!$D$3:$D$9,MATCH(cadangan[[#This Row],[Kode diskon]],'Kode Diskon'!$C$3:$C$9,0)),"-")</f>
        <v>-</v>
      </c>
      <c r="AK947" s="23" t="s">
        <v>290</v>
      </c>
      <c r="AL947" s="23" t="s">
        <v>7</v>
      </c>
      <c r="AM947" s="23" t="s">
        <v>80</v>
      </c>
      <c r="AN947" s="55">
        <v>45029</v>
      </c>
      <c r="AO947" s="53">
        <f>DAY(cadangan[[#This Row],[Tanggal terjual]])</f>
        <v>13</v>
      </c>
      <c r="AP947" s="21" t="str">
        <f>TEXT(cadangan[[#This Row],[Tanggal terjual]],"dddd")</f>
        <v>Thursday</v>
      </c>
      <c r="AQ947" s="23" t="str" cm="1">
        <f t="array" ref="AQ94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47" s="61">
        <f>AVERAGE(cadangan[[#This Row],[Rating A]],cadangan[[#This Row],[Rating B]],cadangan[[#This Row],[Rating C]])</f>
        <v>4</v>
      </c>
    </row>
    <row r="948" spans="1:44" x14ac:dyDescent="0.2">
      <c r="A948" s="20">
        <v>947</v>
      </c>
      <c r="B948" s="21" t="str">
        <f>_xlfn.CONCAT("ORD-",INDEX(Helper!$B$2:$B$5,MATCH(cadangan[[#This Row],[Marketplace]],Helper!$A$2:$A$5,0)),TEXT(cadangan[[#This Row],[No]],"0000"),"-",TEXT(cadangan[[#This Row],[Tanggal terjual]],"dd/mm/yy"))</f>
        <v>ORD-TK0947-18/04/23</v>
      </c>
      <c r="C948" s="39" t="s">
        <v>63</v>
      </c>
      <c r="D948" s="39" t="str">
        <f>IFERROR(INDEX(Katalog!$A$3:$A$12,MATCH(cadangan[[#This Row],[ItemID A]],Katalog!$C$3:$C$12,0)),"-")</f>
        <v>Pakaian Pria</v>
      </c>
      <c r="E948" s="39" t="str">
        <f>IFERROR(INDEX(Katalog!$B$3:$B$12,MATCH(cadangan[[#This Row],[ItemID A]],Katalog!$C$3:$C$12,0)),"-")</f>
        <v>Jaket Jeans</v>
      </c>
      <c r="F948" s="50">
        <v>3</v>
      </c>
      <c r="G948" s="50">
        <v>5</v>
      </c>
      <c r="H948" s="73">
        <f>IFERROR(INDEX(Katalog!$D$3:$D$12,MATCH(cadangan[[#This Row],[ItemID A]],Katalog!$C$3:$C$12,0))*cadangan[[#This Row],[Qty A]],0)</f>
        <v>1200000</v>
      </c>
      <c r="I948" s="73">
        <f>IFERROR(cadangan[[#This Row],[Harga Normal A]]-(cadangan[[#This Row],[Harga Normal A]]*cadangan[[#This Row],[Diskon]]),cadangan[[#This Row],[Harga Normal A]])</f>
        <v>1080000</v>
      </c>
      <c r="J948" s="73">
        <f>INDEX(Katalog!$F$3:$F$12,MATCH(cadangan[[#This Row],[ItemID A]],Katalog!$C$3:$C$12,0))*cadangan[[#This Row],[Qty A]]</f>
        <v>450000</v>
      </c>
      <c r="K948" s="73">
        <f>IFERROR(cadangan[[#This Row],[Harga Diskon A]]-INDEX(Katalog!$E$3:$E$12,MATCH(cadangan[[#This Row],[ItemID A]],Katalog!$C$3:$C$12,0))*cadangan[[#This Row],[Qty A]],0)</f>
        <v>330000</v>
      </c>
      <c r="L948" s="39" t="s">
        <v>62</v>
      </c>
      <c r="M948" s="39" t="str">
        <f>IFERROR(INDEX(Katalog!$A$3:$A$12,MATCH(cadangan[[#This Row],[ItemID B]],Katalog!$C$3:$C$12,0)),"-")</f>
        <v>Pakaian Pria</v>
      </c>
      <c r="N948" s="39" t="str">
        <f>IFERROR(INDEX(Katalog!$B$3:$B$12,MATCH(cadangan[[#This Row],[ItemID B]],Katalog!$C$3:$C$12,0)),"-")</f>
        <v>Celana Pendek</v>
      </c>
      <c r="O948" s="50">
        <v>3</v>
      </c>
      <c r="P948" s="50">
        <v>3</v>
      </c>
      <c r="Q948" s="73">
        <f>IFERROR(INDEX(Katalog!$D$3:$D$12,MATCH(cadangan[[#This Row],[ItemID B]],Katalog!$C$3:$C$12,0))*cadangan[[#This Row],[Qty B]],0)</f>
        <v>540000</v>
      </c>
      <c r="R948" s="73">
        <f>IFERROR(cadangan[[#This Row],[Harga Normal B]]-(cadangan[[#This Row],[Harga Normal B]]*cadangan[[#This Row],[Diskon]]),cadangan[[#This Row],[Harga Normal B]])</f>
        <v>486000</v>
      </c>
      <c r="S948" s="73">
        <f>IFERROR(INDEX(Katalog!$F$3:$F$12,MATCH(cadangan[[#This Row],[ItemID B]],Katalog!$C$3:$C$12,0))*cadangan[[#This Row],[Qty B]],0)</f>
        <v>210000</v>
      </c>
      <c r="T948" s="73">
        <f>IFERROR(cadangan[[#This Row],[Harga Diskon B]]-INDEX(Katalog!$E$3:$E$12,MATCH(cadangan[[#This Row],[ItemID B]],Katalog!$C$3:$C$12,0))*cadangan[[#This Row],[Qty B]],0)</f>
        <v>156000</v>
      </c>
      <c r="V948" s="39" t="str">
        <f>IFERROR(INDEX(Katalog!$A$3:$A$12,MATCH(cadangan[[#This Row],[ItemID C]],Katalog!$C$3:$C$12,0)),"-")</f>
        <v>-</v>
      </c>
      <c r="W948" s="39" t="str">
        <f>IFERROR(INDEX(Katalog!$B$3:$B$12,MATCH(cadangan[[#This Row],[ItemID C]],Katalog!$C$3:$C$12,0)),"-")</f>
        <v>-</v>
      </c>
      <c r="Z948" s="73">
        <f>IFERROR(INDEX(Katalog!$D$3:$D$12,MATCH(cadangan[[#This Row],[ItemID C]],Katalog!$C$3:$C$12,0))*cadangan[[#This Row],[Qty C]],0)</f>
        <v>0</v>
      </c>
      <c r="AA948" s="73">
        <f>IFERROR(cadangan[[#This Row],[Harga Normal C]]-(cadangan[[#This Row],[Harga Normal C]]*cadangan[[#This Row],[Diskon]]),cadangan[[#This Row],[Harga Normal C]])</f>
        <v>0</v>
      </c>
      <c r="AB948" s="73">
        <f>IFERROR(INDEX(Katalog!$F$3:$F$12,MATCH(cadangan[[#This Row],[ItemID C]],Katalog!$C$3:$C$12,0))*cadangan[[#This Row],[Qty C]],0)</f>
        <v>0</v>
      </c>
      <c r="AC948" s="73">
        <f>IFERROR(cadangan[[#This Row],[Harga Diskon C]]-INDEX(Katalog!$E$3:$E$12,MATCH(cadangan[[#This Row],[ItemID C]],Katalog!$C$3:$C$12,0))*cadangan[[#This Row],[Qty C]],0)</f>
        <v>0</v>
      </c>
      <c r="AD948" s="53">
        <f>cadangan[[#This Row],[Qty A]]+cadangan[[#This Row],[Qty B]]+cadangan[[#This Row],[Qty C]]</f>
        <v>6</v>
      </c>
      <c r="AE948" s="73">
        <f>cadangan[[#This Row],[Harga Normal A]]+cadangan[[#This Row],[Harga Normal B]]+cadangan[[#This Row],[Harga Normal C]]</f>
        <v>1740000</v>
      </c>
      <c r="AF948" s="73">
        <f>cadangan[[#This Row],[Harga Diskon A]]+cadangan[[#This Row],[Harga Diskon B]]+cadangan[[#This Row],[Harga Diskon C]]</f>
        <v>1566000</v>
      </c>
      <c r="AG948" s="73">
        <f>(cadangan[[#This Row],[Profit Normal A]]+cadangan[[#This Row],[Profit Normal B]]+cadangan[[#This Row],[Profit Normal C]])</f>
        <v>660000</v>
      </c>
      <c r="AH948" s="73">
        <f>cadangan[[#This Row],[Profit Diskon A]]+cadangan[[#This Row],[Profit Diskon B]]+cadangan[[#This Row],[Profit Diskon C]]</f>
        <v>486000</v>
      </c>
      <c r="AI948" s="23" t="s">
        <v>31</v>
      </c>
      <c r="AJ948" s="37">
        <f>IFERROR(INDEX('Kode Diskon'!$D$3:$D$9,MATCH(cadangan[[#This Row],[Kode diskon]],'Kode Diskon'!$C$3:$C$9,0)),"-")</f>
        <v>0.1</v>
      </c>
      <c r="AK948" s="23" t="s">
        <v>9</v>
      </c>
      <c r="AL948" s="23" t="s">
        <v>10</v>
      </c>
      <c r="AM948" s="23" t="s">
        <v>75</v>
      </c>
      <c r="AN948" s="55">
        <v>45034</v>
      </c>
      <c r="AO948" s="53">
        <f>DAY(cadangan[[#This Row],[Tanggal terjual]])</f>
        <v>18</v>
      </c>
      <c r="AP948" s="21" t="str">
        <f>TEXT(cadangan[[#This Row],[Tanggal terjual]],"dddd")</f>
        <v>Tuesday</v>
      </c>
      <c r="AQ948" s="23" t="str" cm="1">
        <f t="array" ref="AQ94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48" s="61">
        <f>AVERAGE(cadangan[[#This Row],[Rating A]],cadangan[[#This Row],[Rating B]],cadangan[[#This Row],[Rating C]])</f>
        <v>4</v>
      </c>
    </row>
    <row r="949" spans="1:44" x14ac:dyDescent="0.2">
      <c r="A949" s="20">
        <v>948</v>
      </c>
      <c r="B949" s="21" t="str">
        <f>_xlfn.CONCAT("ORD-",INDEX(Helper!$B$2:$B$5,MATCH(cadangan[[#This Row],[Marketplace]],Helper!$A$2:$A$5,0)),TEXT(cadangan[[#This Row],[No]],"0000"),"-",TEXT(cadangan[[#This Row],[Tanggal terjual]],"dd/mm/yy"))</f>
        <v>ORD-TK0948-10/04/23</v>
      </c>
      <c r="C949" s="39" t="s">
        <v>64</v>
      </c>
      <c r="D949" s="39" t="str">
        <f>IFERROR(INDEX(Katalog!$A$3:$A$12,MATCH(cadangan[[#This Row],[ItemID A]],Katalog!$C$3:$C$12,0)),"-")</f>
        <v>Pakaian Unisex</v>
      </c>
      <c r="E949" s="39" t="str">
        <f>IFERROR(INDEX(Katalog!$B$3:$B$12,MATCH(cadangan[[#This Row],[ItemID A]],Katalog!$C$3:$C$12,0)),"-")</f>
        <v>Jaket Hoodie</v>
      </c>
      <c r="F949" s="50">
        <v>2</v>
      </c>
      <c r="G949" s="50">
        <v>5</v>
      </c>
      <c r="H949" s="73">
        <f>IFERROR(INDEX(Katalog!$D$3:$D$12,MATCH(cadangan[[#This Row],[ItemID A]],Katalog!$C$3:$C$12,0))*cadangan[[#This Row],[Qty A]],0)</f>
        <v>700000</v>
      </c>
      <c r="I949" s="73">
        <f>IFERROR(cadangan[[#This Row],[Harga Normal A]]-(cadangan[[#This Row],[Harga Normal A]]*cadangan[[#This Row],[Diskon]]),cadangan[[#This Row],[Harga Normal A]])</f>
        <v>700000</v>
      </c>
      <c r="J949" s="73">
        <f>INDEX(Katalog!$F$3:$F$12,MATCH(cadangan[[#This Row],[ItemID A]],Katalog!$C$3:$C$12,0))*cadangan[[#This Row],[Qty A]]</f>
        <v>260000</v>
      </c>
      <c r="K949" s="73">
        <f>IFERROR(cadangan[[#This Row],[Harga Diskon A]]-INDEX(Katalog!$E$3:$E$12,MATCH(cadangan[[#This Row],[ItemID A]],Katalog!$C$3:$C$12,0))*cadangan[[#This Row],[Qty A]],0)</f>
        <v>260000</v>
      </c>
      <c r="L949" s="39" t="s">
        <v>67</v>
      </c>
      <c r="M949" s="39" t="str">
        <f>IFERROR(INDEX(Katalog!$A$3:$A$12,MATCH(cadangan[[#This Row],[ItemID B]],Katalog!$C$3:$C$12,0)),"-")</f>
        <v>Sepatu Wanita</v>
      </c>
      <c r="N949" s="39" t="str">
        <f>IFERROR(INDEX(Katalog!$B$3:$B$12,MATCH(cadangan[[#This Row],[ItemID B]],Katalog!$C$3:$C$12,0)),"-")</f>
        <v>Flat Shoes</v>
      </c>
      <c r="O949" s="50">
        <v>1</v>
      </c>
      <c r="P949" s="50">
        <v>3</v>
      </c>
      <c r="Q949" s="73">
        <f>IFERROR(INDEX(Katalog!$D$3:$D$12,MATCH(cadangan[[#This Row],[ItemID B]],Katalog!$C$3:$C$12,0))*cadangan[[#This Row],[Qty B]],0)</f>
        <v>250000</v>
      </c>
      <c r="R949" s="73">
        <f>IFERROR(cadangan[[#This Row],[Harga Normal B]]-(cadangan[[#This Row],[Harga Normal B]]*cadangan[[#This Row],[Diskon]]),cadangan[[#This Row],[Harga Normal B]])</f>
        <v>250000</v>
      </c>
      <c r="S949" s="73">
        <f>IFERROR(INDEX(Katalog!$F$3:$F$12,MATCH(cadangan[[#This Row],[ItemID B]],Katalog!$C$3:$C$12,0))*cadangan[[#This Row],[Qty B]],0)</f>
        <v>100000</v>
      </c>
      <c r="T949" s="73">
        <f>IFERROR(cadangan[[#This Row],[Harga Diskon B]]-INDEX(Katalog!$E$3:$E$12,MATCH(cadangan[[#This Row],[ItemID B]],Katalog!$C$3:$C$12,0))*cadangan[[#This Row],[Qty B]],0)</f>
        <v>100000</v>
      </c>
      <c r="U949" s="39" t="s">
        <v>63</v>
      </c>
      <c r="V949" s="39" t="str">
        <f>IFERROR(INDEX(Katalog!$A$3:$A$12,MATCH(cadangan[[#This Row],[ItemID C]],Katalog!$C$3:$C$12,0)),"-")</f>
        <v>Pakaian Pria</v>
      </c>
      <c r="W949" s="39" t="str">
        <f>IFERROR(INDEX(Katalog!$B$3:$B$12,MATCH(cadangan[[#This Row],[ItemID C]],Katalog!$C$3:$C$12,0)),"-")</f>
        <v>Jaket Jeans</v>
      </c>
      <c r="X949" s="50">
        <v>3</v>
      </c>
      <c r="Y949" s="50">
        <v>2</v>
      </c>
      <c r="Z949" s="73">
        <f>IFERROR(INDEX(Katalog!$D$3:$D$12,MATCH(cadangan[[#This Row],[ItemID C]],Katalog!$C$3:$C$12,0))*cadangan[[#This Row],[Qty C]],0)</f>
        <v>1200000</v>
      </c>
      <c r="AA949" s="73">
        <f>IFERROR(cadangan[[#This Row],[Harga Normal C]]-(cadangan[[#This Row],[Harga Normal C]]*cadangan[[#This Row],[Diskon]]),cadangan[[#This Row],[Harga Normal C]])</f>
        <v>1200000</v>
      </c>
      <c r="AB949" s="73">
        <f>IFERROR(INDEX(Katalog!$F$3:$F$12,MATCH(cadangan[[#This Row],[ItemID C]],Katalog!$C$3:$C$12,0))*cadangan[[#This Row],[Qty C]],0)</f>
        <v>450000</v>
      </c>
      <c r="AC949" s="73">
        <f>IFERROR(cadangan[[#This Row],[Harga Diskon C]]-INDEX(Katalog!$E$3:$E$12,MATCH(cadangan[[#This Row],[ItemID C]],Katalog!$C$3:$C$12,0))*cadangan[[#This Row],[Qty C]],0)</f>
        <v>450000</v>
      </c>
      <c r="AD949" s="53">
        <f>cadangan[[#This Row],[Qty A]]+cadangan[[#This Row],[Qty B]]+cadangan[[#This Row],[Qty C]]</f>
        <v>6</v>
      </c>
      <c r="AE949" s="73">
        <f>cadangan[[#This Row],[Harga Normal A]]+cadangan[[#This Row],[Harga Normal B]]+cadangan[[#This Row],[Harga Normal C]]</f>
        <v>2150000</v>
      </c>
      <c r="AF949" s="73">
        <f>cadangan[[#This Row],[Harga Diskon A]]+cadangan[[#This Row],[Harga Diskon B]]+cadangan[[#This Row],[Harga Diskon C]]</f>
        <v>2150000</v>
      </c>
      <c r="AG949" s="73">
        <f>(cadangan[[#This Row],[Profit Normal A]]+cadangan[[#This Row],[Profit Normal B]]+cadangan[[#This Row],[Profit Normal C]])</f>
        <v>810000</v>
      </c>
      <c r="AH949" s="73">
        <f>cadangan[[#This Row],[Profit Diskon A]]+cadangan[[#This Row],[Profit Diskon B]]+cadangan[[#This Row],[Profit Diskon C]]</f>
        <v>810000</v>
      </c>
      <c r="AI949" s="23" t="s">
        <v>290</v>
      </c>
      <c r="AJ949" s="37" t="str">
        <f>IFERROR(INDEX('Kode Diskon'!$D$3:$D$9,MATCH(cadangan[[#This Row],[Kode diskon]],'Kode Diskon'!$C$3:$C$9,0)),"-")</f>
        <v>-</v>
      </c>
      <c r="AK949" s="23" t="s">
        <v>290</v>
      </c>
      <c r="AL949" s="23" t="s">
        <v>10</v>
      </c>
      <c r="AM949" s="23" t="s">
        <v>75</v>
      </c>
      <c r="AN949" s="55">
        <v>45026</v>
      </c>
      <c r="AO949" s="53">
        <f>DAY(cadangan[[#This Row],[Tanggal terjual]])</f>
        <v>10</v>
      </c>
      <c r="AP949" s="21" t="str">
        <f>TEXT(cadangan[[#This Row],[Tanggal terjual]],"dddd")</f>
        <v>Monday</v>
      </c>
      <c r="AQ949" s="23" t="str" cm="1">
        <f t="array" ref="AQ94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49" s="61">
        <f>AVERAGE(cadangan[[#This Row],[Rating A]],cadangan[[#This Row],[Rating B]],cadangan[[#This Row],[Rating C]])</f>
        <v>3.3333333333333335</v>
      </c>
    </row>
    <row r="950" spans="1:44" x14ac:dyDescent="0.2">
      <c r="A950" s="20">
        <v>949</v>
      </c>
      <c r="B950" s="21" t="str">
        <f>_xlfn.CONCAT("ORD-",INDEX(Helper!$B$2:$B$5,MATCH(cadangan[[#This Row],[Marketplace]],Helper!$A$2:$A$5,0)),TEXT(cadangan[[#This Row],[No]],"0000"),"-",TEXT(cadangan[[#This Row],[Tanggal terjual]],"dd/mm/yy"))</f>
        <v>ORD-BL0949-19/04/23</v>
      </c>
      <c r="C950" s="39" t="s">
        <v>59</v>
      </c>
      <c r="D950" s="39" t="str">
        <f>IFERROR(INDEX(Katalog!$A$3:$A$12,MATCH(cadangan[[#This Row],[ItemID A]],Katalog!$C$3:$C$12,0)),"-")</f>
        <v>Pakaian Wanita</v>
      </c>
      <c r="E950" s="39" t="str">
        <f>IFERROR(INDEX(Katalog!$B$3:$B$12,MATCH(cadangan[[#This Row],[ItemID A]],Katalog!$C$3:$C$12,0)),"-")</f>
        <v>Blouse</v>
      </c>
      <c r="F950" s="50">
        <v>3</v>
      </c>
      <c r="G950" s="50">
        <v>3</v>
      </c>
      <c r="H950" s="73">
        <f>IFERROR(INDEX(Katalog!$D$3:$D$12,MATCH(cadangan[[#This Row],[ItemID A]],Katalog!$C$3:$C$12,0))*cadangan[[#This Row],[Qty A]],0)</f>
        <v>450000</v>
      </c>
      <c r="I950" s="73">
        <f>IFERROR(cadangan[[#This Row],[Harga Normal A]]-(cadangan[[#This Row],[Harga Normal A]]*cadangan[[#This Row],[Diskon]]),cadangan[[#This Row],[Harga Normal A]])</f>
        <v>382500</v>
      </c>
      <c r="J950" s="73">
        <f>INDEX(Katalog!$F$3:$F$12,MATCH(cadangan[[#This Row],[ItemID A]],Katalog!$C$3:$C$12,0))*cadangan[[#This Row],[Qty A]]</f>
        <v>150000</v>
      </c>
      <c r="K950" s="73">
        <f>IFERROR(cadangan[[#This Row],[Harga Diskon A]]-INDEX(Katalog!$E$3:$E$12,MATCH(cadangan[[#This Row],[ItemID A]],Katalog!$C$3:$C$12,0))*cadangan[[#This Row],[Qty A]],0)</f>
        <v>82500</v>
      </c>
      <c r="L950" s="39" t="s">
        <v>58</v>
      </c>
      <c r="M950" s="39" t="str">
        <f>IFERROR(INDEX(Katalog!$A$3:$A$12,MATCH(cadangan[[#This Row],[ItemID B]],Katalog!$C$3:$C$12,0)),"-")</f>
        <v>Pakaian Wanita</v>
      </c>
      <c r="N950" s="39" t="str">
        <f>IFERROR(INDEX(Katalog!$B$3:$B$12,MATCH(cadangan[[#This Row],[ItemID B]],Katalog!$C$3:$C$12,0)),"-")</f>
        <v>Dress</v>
      </c>
      <c r="O950" s="50">
        <v>2</v>
      </c>
      <c r="P950" s="50">
        <v>3</v>
      </c>
      <c r="Q950" s="73">
        <f>IFERROR(INDEX(Katalog!$D$3:$D$12,MATCH(cadangan[[#This Row],[ItemID B]],Katalog!$C$3:$C$12,0))*cadangan[[#This Row],[Qty B]],0)</f>
        <v>600000</v>
      </c>
      <c r="R950" s="73">
        <f>IFERROR(cadangan[[#This Row],[Harga Normal B]]-(cadangan[[#This Row],[Harga Normal B]]*cadangan[[#This Row],[Diskon]]),cadangan[[#This Row],[Harga Normal B]])</f>
        <v>510000</v>
      </c>
      <c r="S950" s="73">
        <f>IFERROR(INDEX(Katalog!$F$3:$F$12,MATCH(cadangan[[#This Row],[ItemID B]],Katalog!$C$3:$C$12,0))*cadangan[[#This Row],[Qty B]],0)</f>
        <v>200000</v>
      </c>
      <c r="T950" s="73">
        <f>IFERROR(cadangan[[#This Row],[Harga Diskon B]]-INDEX(Katalog!$E$3:$E$12,MATCH(cadangan[[#This Row],[ItemID B]],Katalog!$C$3:$C$12,0))*cadangan[[#This Row],[Qty B]],0)</f>
        <v>110000</v>
      </c>
      <c r="U950" s="39" t="s">
        <v>61</v>
      </c>
      <c r="V950" s="39" t="str">
        <f>IFERROR(INDEX(Katalog!$A$3:$A$12,MATCH(cadangan[[#This Row],[ItemID C]],Katalog!$C$3:$C$12,0)),"-")</f>
        <v>Pakaian Pria</v>
      </c>
      <c r="W950" s="39" t="str">
        <f>IFERROR(INDEX(Katalog!$B$3:$B$12,MATCH(cadangan[[#This Row],[ItemID C]],Katalog!$C$3:$C$12,0)),"-")</f>
        <v>Kaos Polo</v>
      </c>
      <c r="X950" s="50">
        <v>1</v>
      </c>
      <c r="Y950" s="50">
        <v>3</v>
      </c>
      <c r="Z950" s="73">
        <f>IFERROR(INDEX(Katalog!$D$3:$D$12,MATCH(cadangan[[#This Row],[ItemID C]],Katalog!$C$3:$C$12,0))*cadangan[[#This Row],[Qty C]],0)</f>
        <v>200000</v>
      </c>
      <c r="AA950" s="73">
        <f>IFERROR(cadangan[[#This Row],[Harga Normal C]]-(cadangan[[#This Row],[Harga Normal C]]*cadangan[[#This Row],[Diskon]]),cadangan[[#This Row],[Harga Normal C]])</f>
        <v>170000</v>
      </c>
      <c r="AB950" s="73">
        <f>IFERROR(INDEX(Katalog!$F$3:$F$12,MATCH(cadangan[[#This Row],[ItemID C]],Katalog!$C$3:$C$12,0))*cadangan[[#This Row],[Qty C]],0)</f>
        <v>80000</v>
      </c>
      <c r="AC950" s="73">
        <f>IFERROR(cadangan[[#This Row],[Harga Diskon C]]-INDEX(Katalog!$E$3:$E$12,MATCH(cadangan[[#This Row],[ItemID C]],Katalog!$C$3:$C$12,0))*cadangan[[#This Row],[Qty C]],0)</f>
        <v>50000</v>
      </c>
      <c r="AD950" s="53">
        <f>cadangan[[#This Row],[Qty A]]+cadangan[[#This Row],[Qty B]]+cadangan[[#This Row],[Qty C]]</f>
        <v>6</v>
      </c>
      <c r="AE950" s="73">
        <f>cadangan[[#This Row],[Harga Normal A]]+cadangan[[#This Row],[Harga Normal B]]+cadangan[[#This Row],[Harga Normal C]]</f>
        <v>1250000</v>
      </c>
      <c r="AF950" s="73">
        <f>cadangan[[#This Row],[Harga Diskon A]]+cadangan[[#This Row],[Harga Diskon B]]+cadangan[[#This Row],[Harga Diskon C]]</f>
        <v>1062500</v>
      </c>
      <c r="AG950" s="73">
        <f>(cadangan[[#This Row],[Profit Normal A]]+cadangan[[#This Row],[Profit Normal B]]+cadangan[[#This Row],[Profit Normal C]])</f>
        <v>430000</v>
      </c>
      <c r="AH950" s="73">
        <f>cadangan[[#This Row],[Profit Diskon A]]+cadangan[[#This Row],[Profit Diskon B]]+cadangan[[#This Row],[Profit Diskon C]]</f>
        <v>242500</v>
      </c>
      <c r="AI950" s="23" t="s">
        <v>32</v>
      </c>
      <c r="AJ950" s="37">
        <f>IFERROR(INDEX('Kode Diskon'!$D$3:$D$9,MATCH(cadangan[[#This Row],[Kode diskon]],'Kode Diskon'!$C$3:$C$9,0)),"-")</f>
        <v>0.15</v>
      </c>
      <c r="AK950" s="23" t="s">
        <v>9</v>
      </c>
      <c r="AL950" s="23" t="s">
        <v>12</v>
      </c>
      <c r="AM950" s="23" t="s">
        <v>80</v>
      </c>
      <c r="AN950" s="55">
        <v>45035</v>
      </c>
      <c r="AO950" s="53">
        <f>DAY(cadangan[[#This Row],[Tanggal terjual]])</f>
        <v>19</v>
      </c>
      <c r="AP950" s="21" t="str">
        <f>TEXT(cadangan[[#This Row],[Tanggal terjual]],"dddd")</f>
        <v>Wednesday</v>
      </c>
      <c r="AQ950" s="23" t="str" cm="1">
        <f t="array" ref="AQ95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50" s="61">
        <f>AVERAGE(cadangan[[#This Row],[Rating A]],cadangan[[#This Row],[Rating B]],cadangan[[#This Row],[Rating C]])</f>
        <v>3</v>
      </c>
    </row>
    <row r="951" spans="1:44" x14ac:dyDescent="0.2">
      <c r="A951" s="20">
        <v>950</v>
      </c>
      <c r="B951" s="21" t="str">
        <f>_xlfn.CONCAT("ORD-",INDEX(Helper!$B$2:$B$5,MATCH(cadangan[[#This Row],[Marketplace]],Helper!$A$2:$A$5,0)),TEXT(cadangan[[#This Row],[No]],"0000"),"-",TEXT(cadangan[[#This Row],[Tanggal terjual]],"dd/mm/yy"))</f>
        <v>ORD-TK0950-21/04/23</v>
      </c>
      <c r="C951" s="39" t="s">
        <v>58</v>
      </c>
      <c r="D951" s="39" t="str">
        <f>IFERROR(INDEX(Katalog!$A$3:$A$12,MATCH(cadangan[[#This Row],[ItemID A]],Katalog!$C$3:$C$12,0)),"-")</f>
        <v>Pakaian Wanita</v>
      </c>
      <c r="E951" s="39" t="str">
        <f>IFERROR(INDEX(Katalog!$B$3:$B$12,MATCH(cadangan[[#This Row],[ItemID A]],Katalog!$C$3:$C$12,0)),"-")</f>
        <v>Dress</v>
      </c>
      <c r="F951" s="50">
        <v>2</v>
      </c>
      <c r="G951" s="50">
        <v>3</v>
      </c>
      <c r="H951" s="73">
        <f>IFERROR(INDEX(Katalog!$D$3:$D$12,MATCH(cadangan[[#This Row],[ItemID A]],Katalog!$C$3:$C$12,0))*cadangan[[#This Row],[Qty A]],0)</f>
        <v>600000</v>
      </c>
      <c r="I951" s="73">
        <f>IFERROR(cadangan[[#This Row],[Harga Normal A]]-(cadangan[[#This Row],[Harga Normal A]]*cadangan[[#This Row],[Diskon]]),cadangan[[#This Row],[Harga Normal A]])</f>
        <v>540000</v>
      </c>
      <c r="J951" s="73">
        <f>INDEX(Katalog!$F$3:$F$12,MATCH(cadangan[[#This Row],[ItemID A]],Katalog!$C$3:$C$12,0))*cadangan[[#This Row],[Qty A]]</f>
        <v>200000</v>
      </c>
      <c r="K951" s="73">
        <f>IFERROR(cadangan[[#This Row],[Harga Diskon A]]-INDEX(Katalog!$E$3:$E$12,MATCH(cadangan[[#This Row],[ItemID A]],Katalog!$C$3:$C$12,0))*cadangan[[#This Row],[Qty A]],0)</f>
        <v>140000</v>
      </c>
      <c r="M951" s="39" t="str">
        <f>IFERROR(INDEX(Katalog!$A$3:$A$12,MATCH(cadangan[[#This Row],[ItemID B]],Katalog!$C$3:$C$12,0)),"-")</f>
        <v>-</v>
      </c>
      <c r="N951" s="39" t="str">
        <f>IFERROR(INDEX(Katalog!$B$3:$B$12,MATCH(cadangan[[#This Row],[ItemID B]],Katalog!$C$3:$C$12,0)),"-")</f>
        <v>-</v>
      </c>
      <c r="Q951" s="73">
        <f>IFERROR(INDEX(Katalog!$D$3:$D$12,MATCH(cadangan[[#This Row],[ItemID B]],Katalog!$C$3:$C$12,0))*cadangan[[#This Row],[Qty B]],0)</f>
        <v>0</v>
      </c>
      <c r="R951" s="73">
        <f>IFERROR(cadangan[[#This Row],[Harga Normal B]]-(cadangan[[#This Row],[Harga Normal B]]*cadangan[[#This Row],[Diskon]]),cadangan[[#This Row],[Harga Normal B]])</f>
        <v>0</v>
      </c>
      <c r="S951" s="73">
        <f>IFERROR(INDEX(Katalog!$F$3:$F$12,MATCH(cadangan[[#This Row],[ItemID B]],Katalog!$C$3:$C$12,0))*cadangan[[#This Row],[Qty B]],0)</f>
        <v>0</v>
      </c>
      <c r="T951" s="73">
        <f>IFERROR(cadangan[[#This Row],[Harga Diskon B]]-INDEX(Katalog!$E$3:$E$12,MATCH(cadangan[[#This Row],[ItemID B]],Katalog!$C$3:$C$12,0))*cadangan[[#This Row],[Qty B]],0)</f>
        <v>0</v>
      </c>
      <c r="V951" s="39" t="str">
        <f>IFERROR(INDEX(Katalog!$A$3:$A$12,MATCH(cadangan[[#This Row],[ItemID C]],Katalog!$C$3:$C$12,0)),"-")</f>
        <v>-</v>
      </c>
      <c r="W951" s="39" t="str">
        <f>IFERROR(INDEX(Katalog!$B$3:$B$12,MATCH(cadangan[[#This Row],[ItemID C]],Katalog!$C$3:$C$12,0)),"-")</f>
        <v>-</v>
      </c>
      <c r="Z951" s="73">
        <f>IFERROR(INDEX(Katalog!$D$3:$D$12,MATCH(cadangan[[#This Row],[ItemID C]],Katalog!$C$3:$C$12,0))*cadangan[[#This Row],[Qty C]],0)</f>
        <v>0</v>
      </c>
      <c r="AA951" s="73">
        <f>IFERROR(cadangan[[#This Row],[Harga Normal C]]-(cadangan[[#This Row],[Harga Normal C]]*cadangan[[#This Row],[Diskon]]),cadangan[[#This Row],[Harga Normal C]])</f>
        <v>0</v>
      </c>
      <c r="AB951" s="73">
        <f>IFERROR(INDEX(Katalog!$F$3:$F$12,MATCH(cadangan[[#This Row],[ItemID C]],Katalog!$C$3:$C$12,0))*cadangan[[#This Row],[Qty C]],0)</f>
        <v>0</v>
      </c>
      <c r="AC951" s="73">
        <f>IFERROR(cadangan[[#This Row],[Harga Diskon C]]-INDEX(Katalog!$E$3:$E$12,MATCH(cadangan[[#This Row],[ItemID C]],Katalog!$C$3:$C$12,0))*cadangan[[#This Row],[Qty C]],0)</f>
        <v>0</v>
      </c>
      <c r="AD951" s="53">
        <f>cadangan[[#This Row],[Qty A]]+cadangan[[#This Row],[Qty B]]+cadangan[[#This Row],[Qty C]]</f>
        <v>2</v>
      </c>
      <c r="AE951" s="73">
        <f>cadangan[[#This Row],[Harga Normal A]]+cadangan[[#This Row],[Harga Normal B]]+cadangan[[#This Row],[Harga Normal C]]</f>
        <v>600000</v>
      </c>
      <c r="AF951" s="73">
        <f>cadangan[[#This Row],[Harga Diskon A]]+cadangan[[#This Row],[Harga Diskon B]]+cadangan[[#This Row],[Harga Diskon C]]</f>
        <v>540000</v>
      </c>
      <c r="AG951" s="73">
        <f>(cadangan[[#This Row],[Profit Normal A]]+cadangan[[#This Row],[Profit Normal B]]+cadangan[[#This Row],[Profit Normal C]])</f>
        <v>200000</v>
      </c>
      <c r="AH951" s="73">
        <f>cadangan[[#This Row],[Profit Diskon A]]+cadangan[[#This Row],[Profit Diskon B]]+cadangan[[#This Row],[Profit Diskon C]]</f>
        <v>140000</v>
      </c>
      <c r="AI951" s="23" t="s">
        <v>31</v>
      </c>
      <c r="AJ951" s="37">
        <f>IFERROR(INDEX('Kode Diskon'!$D$3:$D$9,MATCH(cadangan[[#This Row],[Kode diskon]],'Kode Diskon'!$C$3:$C$9,0)),"-")</f>
        <v>0.1</v>
      </c>
      <c r="AK951" s="23" t="s">
        <v>9</v>
      </c>
      <c r="AL951" s="23" t="s">
        <v>10</v>
      </c>
      <c r="AM951" s="23" t="s">
        <v>76</v>
      </c>
      <c r="AN951" s="55">
        <v>45037</v>
      </c>
      <c r="AO951" s="53">
        <f>DAY(cadangan[[#This Row],[Tanggal terjual]])</f>
        <v>21</v>
      </c>
      <c r="AP951" s="21" t="str">
        <f>TEXT(cadangan[[#This Row],[Tanggal terjual]],"dddd")</f>
        <v>Friday</v>
      </c>
      <c r="AQ951" s="23" t="str" cm="1">
        <f t="array" ref="AQ95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51" s="61">
        <f>AVERAGE(cadangan[[#This Row],[Rating A]],cadangan[[#This Row],[Rating B]],cadangan[[#This Row],[Rating C]])</f>
        <v>3</v>
      </c>
    </row>
    <row r="952" spans="1:44" x14ac:dyDescent="0.2">
      <c r="A952" s="20">
        <v>951</v>
      </c>
      <c r="B952" s="21" t="str">
        <f>_xlfn.CONCAT("ORD-",INDEX(Helper!$B$2:$B$5,MATCH(cadangan[[#This Row],[Marketplace]],Helper!$A$2:$A$5,0)),TEXT(cadangan[[#This Row],[No]],"0000"),"-",TEXT(cadangan[[#This Row],[Tanggal terjual]],"dd/mm/yy"))</f>
        <v>ORD-TK0951-28/04/23</v>
      </c>
      <c r="C952" s="39" t="s">
        <v>63</v>
      </c>
      <c r="D952" s="39" t="str">
        <f>IFERROR(INDEX(Katalog!$A$3:$A$12,MATCH(cadangan[[#This Row],[ItemID A]],Katalog!$C$3:$C$12,0)),"-")</f>
        <v>Pakaian Pria</v>
      </c>
      <c r="E952" s="39" t="str">
        <f>IFERROR(INDEX(Katalog!$B$3:$B$12,MATCH(cadangan[[#This Row],[ItemID A]],Katalog!$C$3:$C$12,0)),"-")</f>
        <v>Jaket Jeans</v>
      </c>
      <c r="F952" s="50">
        <v>2</v>
      </c>
      <c r="G952" s="50">
        <v>2</v>
      </c>
      <c r="H952" s="73">
        <f>IFERROR(INDEX(Katalog!$D$3:$D$12,MATCH(cadangan[[#This Row],[ItemID A]],Katalog!$C$3:$C$12,0))*cadangan[[#This Row],[Qty A]],0)</f>
        <v>800000</v>
      </c>
      <c r="I952" s="73">
        <f>IFERROR(cadangan[[#This Row],[Harga Normal A]]-(cadangan[[#This Row],[Harga Normal A]]*cadangan[[#This Row],[Diskon]]),cadangan[[#This Row],[Harga Normal A]])</f>
        <v>720000</v>
      </c>
      <c r="J952" s="73">
        <f>INDEX(Katalog!$F$3:$F$12,MATCH(cadangan[[#This Row],[ItemID A]],Katalog!$C$3:$C$12,0))*cadangan[[#This Row],[Qty A]]</f>
        <v>300000</v>
      </c>
      <c r="K952" s="73">
        <f>IFERROR(cadangan[[#This Row],[Harga Diskon A]]-INDEX(Katalog!$E$3:$E$12,MATCH(cadangan[[#This Row],[ItemID A]],Katalog!$C$3:$C$12,0))*cadangan[[#This Row],[Qty A]],0)</f>
        <v>220000</v>
      </c>
      <c r="L952" s="39" t="s">
        <v>60</v>
      </c>
      <c r="M952" s="39" t="str">
        <f>IFERROR(INDEX(Katalog!$A$3:$A$12,MATCH(cadangan[[#This Row],[ItemID B]],Katalog!$C$3:$C$12,0)),"-")</f>
        <v>Pakaian Wanita</v>
      </c>
      <c r="N952" s="39" t="str">
        <f>IFERROR(INDEX(Katalog!$B$3:$B$12,MATCH(cadangan[[#This Row],[ItemID B]],Katalog!$C$3:$C$12,0)),"-")</f>
        <v>Kaftan</v>
      </c>
      <c r="O952" s="50">
        <v>1</v>
      </c>
      <c r="P952" s="50">
        <v>4</v>
      </c>
      <c r="Q952" s="73">
        <f>IFERROR(INDEX(Katalog!$D$3:$D$12,MATCH(cadangan[[#This Row],[ItemID B]],Katalog!$C$3:$C$12,0))*cadangan[[#This Row],[Qty B]],0)</f>
        <v>250000</v>
      </c>
      <c r="R952" s="73">
        <f>IFERROR(cadangan[[#This Row],[Harga Normal B]]-(cadangan[[#This Row],[Harga Normal B]]*cadangan[[#This Row],[Diskon]]),cadangan[[#This Row],[Harga Normal B]])</f>
        <v>225000</v>
      </c>
      <c r="S952" s="73">
        <f>IFERROR(INDEX(Katalog!$F$3:$F$12,MATCH(cadangan[[#This Row],[ItemID B]],Katalog!$C$3:$C$12,0))*cadangan[[#This Row],[Qty B]],0)</f>
        <v>100000</v>
      </c>
      <c r="T952" s="73">
        <f>IFERROR(cadangan[[#This Row],[Harga Diskon B]]-INDEX(Katalog!$E$3:$E$12,MATCH(cadangan[[#This Row],[ItemID B]],Katalog!$C$3:$C$12,0))*cadangan[[#This Row],[Qty B]],0)</f>
        <v>75000</v>
      </c>
      <c r="U952" s="39" t="s">
        <v>67</v>
      </c>
      <c r="V952" s="39" t="str">
        <f>IFERROR(INDEX(Katalog!$A$3:$A$12,MATCH(cadangan[[#This Row],[ItemID C]],Katalog!$C$3:$C$12,0)),"-")</f>
        <v>Sepatu Wanita</v>
      </c>
      <c r="W952" s="39" t="str">
        <f>IFERROR(INDEX(Katalog!$B$3:$B$12,MATCH(cadangan[[#This Row],[ItemID C]],Katalog!$C$3:$C$12,0)),"-")</f>
        <v>Flat Shoes</v>
      </c>
      <c r="X952" s="50">
        <v>3</v>
      </c>
      <c r="Y952" s="50">
        <v>5</v>
      </c>
      <c r="Z952" s="73">
        <f>IFERROR(INDEX(Katalog!$D$3:$D$12,MATCH(cadangan[[#This Row],[ItemID C]],Katalog!$C$3:$C$12,0))*cadangan[[#This Row],[Qty C]],0)</f>
        <v>750000</v>
      </c>
      <c r="AA952" s="73">
        <f>IFERROR(cadangan[[#This Row],[Harga Normal C]]-(cadangan[[#This Row],[Harga Normal C]]*cadangan[[#This Row],[Diskon]]),cadangan[[#This Row],[Harga Normal C]])</f>
        <v>675000</v>
      </c>
      <c r="AB952" s="73">
        <f>IFERROR(INDEX(Katalog!$F$3:$F$12,MATCH(cadangan[[#This Row],[ItemID C]],Katalog!$C$3:$C$12,0))*cadangan[[#This Row],[Qty C]],0)</f>
        <v>300000</v>
      </c>
      <c r="AC952" s="73">
        <f>IFERROR(cadangan[[#This Row],[Harga Diskon C]]-INDEX(Katalog!$E$3:$E$12,MATCH(cadangan[[#This Row],[ItemID C]],Katalog!$C$3:$C$12,0))*cadangan[[#This Row],[Qty C]],0)</f>
        <v>225000</v>
      </c>
      <c r="AD952" s="53">
        <f>cadangan[[#This Row],[Qty A]]+cadangan[[#This Row],[Qty B]]+cadangan[[#This Row],[Qty C]]</f>
        <v>6</v>
      </c>
      <c r="AE952" s="73">
        <f>cadangan[[#This Row],[Harga Normal A]]+cadangan[[#This Row],[Harga Normal B]]+cadangan[[#This Row],[Harga Normal C]]</f>
        <v>1800000</v>
      </c>
      <c r="AF952" s="73">
        <f>cadangan[[#This Row],[Harga Diskon A]]+cadangan[[#This Row],[Harga Diskon B]]+cadangan[[#This Row],[Harga Diskon C]]</f>
        <v>1620000</v>
      </c>
      <c r="AG952" s="73">
        <f>(cadangan[[#This Row],[Profit Normal A]]+cadangan[[#This Row],[Profit Normal B]]+cadangan[[#This Row],[Profit Normal C]])</f>
        <v>700000</v>
      </c>
      <c r="AH952" s="73">
        <f>cadangan[[#This Row],[Profit Diskon A]]+cadangan[[#This Row],[Profit Diskon B]]+cadangan[[#This Row],[Profit Diskon C]]</f>
        <v>520000</v>
      </c>
      <c r="AI952" s="23" t="s">
        <v>31</v>
      </c>
      <c r="AJ952" s="37">
        <f>IFERROR(INDEX('Kode Diskon'!$D$3:$D$9,MATCH(cadangan[[#This Row],[Kode diskon]],'Kode Diskon'!$C$3:$C$9,0)),"-")</f>
        <v>0.1</v>
      </c>
      <c r="AK952" s="23" t="s">
        <v>9</v>
      </c>
      <c r="AL952" s="23" t="s">
        <v>10</v>
      </c>
      <c r="AM952" s="23" t="s">
        <v>79</v>
      </c>
      <c r="AN952" s="55">
        <v>45044</v>
      </c>
      <c r="AO952" s="53">
        <f>DAY(cadangan[[#This Row],[Tanggal terjual]])</f>
        <v>28</v>
      </c>
      <c r="AP952" s="21" t="str">
        <f>TEXT(cadangan[[#This Row],[Tanggal terjual]],"dddd")</f>
        <v>Friday</v>
      </c>
      <c r="AQ952" s="23" t="str" cm="1">
        <f t="array" ref="AQ95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52" s="61">
        <f>AVERAGE(cadangan[[#This Row],[Rating A]],cadangan[[#This Row],[Rating B]],cadangan[[#This Row],[Rating C]])</f>
        <v>3.6666666666666665</v>
      </c>
    </row>
    <row r="953" spans="1:44" x14ac:dyDescent="0.2">
      <c r="A953" s="20">
        <v>952</v>
      </c>
      <c r="B953" s="21" t="str">
        <f>_xlfn.CONCAT("ORD-",INDEX(Helper!$B$2:$B$5,MATCH(cadangan[[#This Row],[Marketplace]],Helper!$A$2:$A$5,0)),TEXT(cadangan[[#This Row],[No]],"0000"),"-",TEXT(cadangan[[#This Row],[Tanggal terjual]],"dd/mm/yy"))</f>
        <v>ORD-SP0952-01/04/23</v>
      </c>
      <c r="C953" s="39" t="s">
        <v>67</v>
      </c>
      <c r="D953" s="39" t="str">
        <f>IFERROR(INDEX(Katalog!$A$3:$A$12,MATCH(cadangan[[#This Row],[ItemID A]],Katalog!$C$3:$C$12,0)),"-")</f>
        <v>Sepatu Wanita</v>
      </c>
      <c r="E953" s="39" t="str">
        <f>IFERROR(INDEX(Katalog!$B$3:$B$12,MATCH(cadangan[[#This Row],[ItemID A]],Katalog!$C$3:$C$12,0)),"-")</f>
        <v>Flat Shoes</v>
      </c>
      <c r="F953" s="50">
        <v>6</v>
      </c>
      <c r="G953" s="50">
        <v>4</v>
      </c>
      <c r="H953" s="73">
        <f>IFERROR(INDEX(Katalog!$D$3:$D$12,MATCH(cadangan[[#This Row],[ItemID A]],Katalog!$C$3:$C$12,0))*cadangan[[#This Row],[Qty A]],0)</f>
        <v>1500000</v>
      </c>
      <c r="I953" s="73">
        <f>IFERROR(cadangan[[#This Row],[Harga Normal A]]-(cadangan[[#This Row],[Harga Normal A]]*cadangan[[#This Row],[Diskon]]),cadangan[[#This Row],[Harga Normal A]])</f>
        <v>1350000</v>
      </c>
      <c r="J953" s="73">
        <f>INDEX(Katalog!$F$3:$F$12,MATCH(cadangan[[#This Row],[ItemID A]],Katalog!$C$3:$C$12,0))*cadangan[[#This Row],[Qty A]]</f>
        <v>600000</v>
      </c>
      <c r="K953" s="73">
        <f>IFERROR(cadangan[[#This Row],[Harga Diskon A]]-INDEX(Katalog!$E$3:$E$12,MATCH(cadangan[[#This Row],[ItemID A]],Katalog!$C$3:$C$12,0))*cadangan[[#This Row],[Qty A]],0)</f>
        <v>450000</v>
      </c>
      <c r="M953" s="39" t="str">
        <f>IFERROR(INDEX(Katalog!$A$3:$A$12,MATCH(cadangan[[#This Row],[ItemID B]],Katalog!$C$3:$C$12,0)),"-")</f>
        <v>-</v>
      </c>
      <c r="N953" s="39" t="str">
        <f>IFERROR(INDEX(Katalog!$B$3:$B$12,MATCH(cadangan[[#This Row],[ItemID B]],Katalog!$C$3:$C$12,0)),"-")</f>
        <v>-</v>
      </c>
      <c r="Q953" s="73">
        <f>IFERROR(INDEX(Katalog!$D$3:$D$12,MATCH(cadangan[[#This Row],[ItemID B]],Katalog!$C$3:$C$12,0))*cadangan[[#This Row],[Qty B]],0)</f>
        <v>0</v>
      </c>
      <c r="R953" s="73">
        <f>IFERROR(cadangan[[#This Row],[Harga Normal B]]-(cadangan[[#This Row],[Harga Normal B]]*cadangan[[#This Row],[Diskon]]),cadangan[[#This Row],[Harga Normal B]])</f>
        <v>0</v>
      </c>
      <c r="S953" s="73">
        <f>IFERROR(INDEX(Katalog!$F$3:$F$12,MATCH(cadangan[[#This Row],[ItemID B]],Katalog!$C$3:$C$12,0))*cadangan[[#This Row],[Qty B]],0)</f>
        <v>0</v>
      </c>
      <c r="T953" s="73">
        <f>IFERROR(cadangan[[#This Row],[Harga Diskon B]]-INDEX(Katalog!$E$3:$E$12,MATCH(cadangan[[#This Row],[ItemID B]],Katalog!$C$3:$C$12,0))*cadangan[[#This Row],[Qty B]],0)</f>
        <v>0</v>
      </c>
      <c r="V953" s="39" t="str">
        <f>IFERROR(INDEX(Katalog!$A$3:$A$12,MATCH(cadangan[[#This Row],[ItemID C]],Katalog!$C$3:$C$12,0)),"-")</f>
        <v>-</v>
      </c>
      <c r="W953" s="39" t="str">
        <f>IFERROR(INDEX(Katalog!$B$3:$B$12,MATCH(cadangan[[#This Row],[ItemID C]],Katalog!$C$3:$C$12,0)),"-")</f>
        <v>-</v>
      </c>
      <c r="Z953" s="73">
        <f>IFERROR(INDEX(Katalog!$D$3:$D$12,MATCH(cadangan[[#This Row],[ItemID C]],Katalog!$C$3:$C$12,0))*cadangan[[#This Row],[Qty C]],0)</f>
        <v>0</v>
      </c>
      <c r="AA953" s="73">
        <f>IFERROR(cadangan[[#This Row],[Harga Normal C]]-(cadangan[[#This Row],[Harga Normal C]]*cadangan[[#This Row],[Diskon]]),cadangan[[#This Row],[Harga Normal C]])</f>
        <v>0</v>
      </c>
      <c r="AB953" s="73">
        <f>IFERROR(INDEX(Katalog!$F$3:$F$12,MATCH(cadangan[[#This Row],[ItemID C]],Katalog!$C$3:$C$12,0))*cadangan[[#This Row],[Qty C]],0)</f>
        <v>0</v>
      </c>
      <c r="AC953" s="73">
        <f>IFERROR(cadangan[[#This Row],[Harga Diskon C]]-INDEX(Katalog!$E$3:$E$12,MATCH(cadangan[[#This Row],[ItemID C]],Katalog!$C$3:$C$12,0))*cadangan[[#This Row],[Qty C]],0)</f>
        <v>0</v>
      </c>
      <c r="AD953" s="53">
        <f>cadangan[[#This Row],[Qty A]]+cadangan[[#This Row],[Qty B]]+cadangan[[#This Row],[Qty C]]</f>
        <v>6</v>
      </c>
      <c r="AE953" s="73">
        <f>cadangan[[#This Row],[Harga Normal A]]+cadangan[[#This Row],[Harga Normal B]]+cadangan[[#This Row],[Harga Normal C]]</f>
        <v>1500000</v>
      </c>
      <c r="AF953" s="73">
        <f>cadangan[[#This Row],[Harga Diskon A]]+cadangan[[#This Row],[Harga Diskon B]]+cadangan[[#This Row],[Harga Diskon C]]</f>
        <v>1350000</v>
      </c>
      <c r="AG953" s="73">
        <f>(cadangan[[#This Row],[Profit Normal A]]+cadangan[[#This Row],[Profit Normal B]]+cadangan[[#This Row],[Profit Normal C]])</f>
        <v>600000</v>
      </c>
      <c r="AH953" s="73">
        <f>cadangan[[#This Row],[Profit Diskon A]]+cadangan[[#This Row],[Profit Diskon B]]+cadangan[[#This Row],[Profit Diskon C]]</f>
        <v>450000</v>
      </c>
      <c r="AI953" s="23" t="s">
        <v>6</v>
      </c>
      <c r="AJ953" s="37">
        <f>IFERROR(INDEX('Kode Diskon'!$D$3:$D$9,MATCH(cadangan[[#This Row],[Kode diskon]],'Kode Diskon'!$C$3:$C$9,0)),"-")</f>
        <v>0.1</v>
      </c>
      <c r="AK953" s="23" t="s">
        <v>29</v>
      </c>
      <c r="AL953" s="23" t="s">
        <v>7</v>
      </c>
      <c r="AM953" s="23" t="s">
        <v>79</v>
      </c>
      <c r="AN953" s="55">
        <v>45017</v>
      </c>
      <c r="AO953" s="53">
        <f>DAY(cadangan[[#This Row],[Tanggal terjual]])</f>
        <v>1</v>
      </c>
      <c r="AP953" s="21" t="str">
        <f>TEXT(cadangan[[#This Row],[Tanggal terjual]],"dddd")</f>
        <v>Saturday</v>
      </c>
      <c r="AQ953" s="23" t="str" cm="1">
        <f t="array" ref="AQ95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53" s="61">
        <f>AVERAGE(cadangan[[#This Row],[Rating A]],cadangan[[#This Row],[Rating B]],cadangan[[#This Row],[Rating C]])</f>
        <v>4</v>
      </c>
    </row>
    <row r="954" spans="1:44" x14ac:dyDescent="0.2">
      <c r="A954" s="20">
        <v>953</v>
      </c>
      <c r="B954" s="21" t="str">
        <f>_xlfn.CONCAT("ORD-",INDEX(Helper!$B$2:$B$5,MATCH(cadangan[[#This Row],[Marketplace]],Helper!$A$2:$A$5,0)),TEXT(cadangan[[#This Row],[No]],"0000"),"-",TEXT(cadangan[[#This Row],[Tanggal terjual]],"dd/mm/yy"))</f>
        <v>ORD-SP0953-03/04/23</v>
      </c>
      <c r="C954" s="39" t="s">
        <v>65</v>
      </c>
      <c r="D954" s="39" t="str">
        <f>IFERROR(INDEX(Katalog!$A$3:$A$12,MATCH(cadangan[[#This Row],[ItemID A]],Katalog!$C$3:$C$12,0)),"-")</f>
        <v>Sepatu Pria</v>
      </c>
      <c r="E954" s="39" t="str">
        <f>IFERROR(INDEX(Katalog!$B$3:$B$12,MATCH(cadangan[[#This Row],[ItemID A]],Katalog!$C$3:$C$12,0)),"-")</f>
        <v>Sneakers</v>
      </c>
      <c r="F954" s="50">
        <v>5</v>
      </c>
      <c r="G954" s="50">
        <v>5</v>
      </c>
      <c r="H954" s="73">
        <f>IFERROR(INDEX(Katalog!$D$3:$D$12,MATCH(cadangan[[#This Row],[ItemID A]],Katalog!$C$3:$C$12,0))*cadangan[[#This Row],[Qty A]],0)</f>
        <v>2500000</v>
      </c>
      <c r="I954" s="73">
        <f>IFERROR(cadangan[[#This Row],[Harga Normal A]]-(cadangan[[#This Row],[Harga Normal A]]*cadangan[[#This Row],[Diskon]]),cadangan[[#This Row],[Harga Normal A]])</f>
        <v>2125000</v>
      </c>
      <c r="J954" s="73">
        <f>INDEX(Katalog!$F$3:$F$12,MATCH(cadangan[[#This Row],[ItemID A]],Katalog!$C$3:$C$12,0))*cadangan[[#This Row],[Qty A]]</f>
        <v>1000000</v>
      </c>
      <c r="K954" s="73">
        <f>IFERROR(cadangan[[#This Row],[Harga Diskon A]]-INDEX(Katalog!$E$3:$E$12,MATCH(cadangan[[#This Row],[ItemID A]],Katalog!$C$3:$C$12,0))*cadangan[[#This Row],[Qty A]],0)</f>
        <v>625000</v>
      </c>
      <c r="L954" s="39" t="s">
        <v>63</v>
      </c>
      <c r="M954" s="39" t="str">
        <f>IFERROR(INDEX(Katalog!$A$3:$A$12,MATCH(cadangan[[#This Row],[ItemID B]],Katalog!$C$3:$C$12,0)),"-")</f>
        <v>Pakaian Pria</v>
      </c>
      <c r="N954" s="39" t="str">
        <f>IFERROR(INDEX(Katalog!$B$3:$B$12,MATCH(cadangan[[#This Row],[ItemID B]],Katalog!$C$3:$C$12,0)),"-")</f>
        <v>Jaket Jeans</v>
      </c>
      <c r="O954" s="50">
        <v>1</v>
      </c>
      <c r="P954" s="50">
        <v>5</v>
      </c>
      <c r="Q954" s="73">
        <f>IFERROR(INDEX(Katalog!$D$3:$D$12,MATCH(cadangan[[#This Row],[ItemID B]],Katalog!$C$3:$C$12,0))*cadangan[[#This Row],[Qty B]],0)</f>
        <v>400000</v>
      </c>
      <c r="R954" s="73">
        <f>IFERROR(cadangan[[#This Row],[Harga Normal B]]-(cadangan[[#This Row],[Harga Normal B]]*cadangan[[#This Row],[Diskon]]),cadangan[[#This Row],[Harga Normal B]])</f>
        <v>340000</v>
      </c>
      <c r="S954" s="73">
        <f>IFERROR(INDEX(Katalog!$F$3:$F$12,MATCH(cadangan[[#This Row],[ItemID B]],Katalog!$C$3:$C$12,0))*cadangan[[#This Row],[Qty B]],0)</f>
        <v>150000</v>
      </c>
      <c r="T954" s="73">
        <f>IFERROR(cadangan[[#This Row],[Harga Diskon B]]-INDEX(Katalog!$E$3:$E$12,MATCH(cadangan[[#This Row],[ItemID B]],Katalog!$C$3:$C$12,0))*cadangan[[#This Row],[Qty B]],0)</f>
        <v>90000</v>
      </c>
      <c r="V954" s="39" t="str">
        <f>IFERROR(INDEX(Katalog!$A$3:$A$12,MATCH(cadangan[[#This Row],[ItemID C]],Katalog!$C$3:$C$12,0)),"-")</f>
        <v>-</v>
      </c>
      <c r="W954" s="39" t="str">
        <f>IFERROR(INDEX(Katalog!$B$3:$B$12,MATCH(cadangan[[#This Row],[ItemID C]],Katalog!$C$3:$C$12,0)),"-")</f>
        <v>-</v>
      </c>
      <c r="Z954" s="73">
        <f>IFERROR(INDEX(Katalog!$D$3:$D$12,MATCH(cadangan[[#This Row],[ItemID C]],Katalog!$C$3:$C$12,0))*cadangan[[#This Row],[Qty C]],0)</f>
        <v>0</v>
      </c>
      <c r="AA954" s="73">
        <f>IFERROR(cadangan[[#This Row],[Harga Normal C]]-(cadangan[[#This Row],[Harga Normal C]]*cadangan[[#This Row],[Diskon]]),cadangan[[#This Row],[Harga Normal C]])</f>
        <v>0</v>
      </c>
      <c r="AB954" s="73">
        <f>IFERROR(INDEX(Katalog!$F$3:$F$12,MATCH(cadangan[[#This Row],[ItemID C]],Katalog!$C$3:$C$12,0))*cadangan[[#This Row],[Qty C]],0)</f>
        <v>0</v>
      </c>
      <c r="AC954" s="73">
        <f>IFERROR(cadangan[[#This Row],[Harga Diskon C]]-INDEX(Katalog!$E$3:$E$12,MATCH(cadangan[[#This Row],[ItemID C]],Katalog!$C$3:$C$12,0))*cadangan[[#This Row],[Qty C]],0)</f>
        <v>0</v>
      </c>
      <c r="AD954" s="53">
        <f>cadangan[[#This Row],[Qty A]]+cadangan[[#This Row],[Qty B]]+cadangan[[#This Row],[Qty C]]</f>
        <v>6</v>
      </c>
      <c r="AE954" s="73">
        <f>cadangan[[#This Row],[Harga Normal A]]+cadangan[[#This Row],[Harga Normal B]]+cadangan[[#This Row],[Harga Normal C]]</f>
        <v>2900000</v>
      </c>
      <c r="AF954" s="73">
        <f>cadangan[[#This Row],[Harga Diskon A]]+cadangan[[#This Row],[Harga Diskon B]]+cadangan[[#This Row],[Harga Diskon C]]</f>
        <v>2465000</v>
      </c>
      <c r="AG954" s="73">
        <f>(cadangan[[#This Row],[Profit Normal A]]+cadangan[[#This Row],[Profit Normal B]]+cadangan[[#This Row],[Profit Normal C]])</f>
        <v>1150000</v>
      </c>
      <c r="AH954" s="73">
        <f>cadangan[[#This Row],[Profit Diskon A]]+cadangan[[#This Row],[Profit Diskon B]]+cadangan[[#This Row],[Profit Diskon C]]</f>
        <v>715000</v>
      </c>
      <c r="AI954" s="23" t="s">
        <v>13</v>
      </c>
      <c r="AJ954" s="37">
        <f>IFERROR(INDEX('Kode Diskon'!$D$3:$D$9,MATCH(cadangan[[#This Row],[Kode diskon]],'Kode Diskon'!$C$3:$C$9,0)),"-")</f>
        <v>0.15</v>
      </c>
      <c r="AK954" s="23" t="s">
        <v>29</v>
      </c>
      <c r="AL954" s="23" t="s">
        <v>7</v>
      </c>
      <c r="AM954" s="23" t="s">
        <v>80</v>
      </c>
      <c r="AN954" s="55">
        <v>45019</v>
      </c>
      <c r="AO954" s="53">
        <f>DAY(cadangan[[#This Row],[Tanggal terjual]])</f>
        <v>3</v>
      </c>
      <c r="AP954" s="21" t="str">
        <f>TEXT(cadangan[[#This Row],[Tanggal terjual]],"dddd")</f>
        <v>Monday</v>
      </c>
      <c r="AQ954" s="23" t="str" cm="1">
        <f t="array" ref="AQ95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54" s="61">
        <f>AVERAGE(cadangan[[#This Row],[Rating A]],cadangan[[#This Row],[Rating B]],cadangan[[#This Row],[Rating C]])</f>
        <v>5</v>
      </c>
    </row>
    <row r="955" spans="1:44" x14ac:dyDescent="0.2">
      <c r="A955" s="20">
        <v>954</v>
      </c>
      <c r="B955" s="21" t="str">
        <f>_xlfn.CONCAT("ORD-",INDEX(Helper!$B$2:$B$5,MATCH(cadangan[[#This Row],[Marketplace]],Helper!$A$2:$A$5,0)),TEXT(cadangan[[#This Row],[No]],"0000"),"-",TEXT(cadangan[[#This Row],[Tanggal terjual]],"dd/mm/yy"))</f>
        <v>ORD-TK0954-20/04/23</v>
      </c>
      <c r="C955" s="39" t="s">
        <v>63</v>
      </c>
      <c r="D955" s="39" t="str">
        <f>IFERROR(INDEX(Katalog!$A$3:$A$12,MATCH(cadangan[[#This Row],[ItemID A]],Katalog!$C$3:$C$12,0)),"-")</f>
        <v>Pakaian Pria</v>
      </c>
      <c r="E955" s="39" t="str">
        <f>IFERROR(INDEX(Katalog!$B$3:$B$12,MATCH(cadangan[[#This Row],[ItemID A]],Katalog!$C$3:$C$12,0)),"-")</f>
        <v>Jaket Jeans</v>
      </c>
      <c r="F955" s="50">
        <v>2</v>
      </c>
      <c r="G955" s="50">
        <v>3</v>
      </c>
      <c r="H955" s="73">
        <f>IFERROR(INDEX(Katalog!$D$3:$D$12,MATCH(cadangan[[#This Row],[ItemID A]],Katalog!$C$3:$C$12,0))*cadangan[[#This Row],[Qty A]],0)</f>
        <v>800000</v>
      </c>
      <c r="I955" s="73">
        <f>IFERROR(cadangan[[#This Row],[Harga Normal A]]-(cadangan[[#This Row],[Harga Normal A]]*cadangan[[#This Row],[Diskon]]),cadangan[[#This Row],[Harga Normal A]])</f>
        <v>720000</v>
      </c>
      <c r="J955" s="73">
        <f>INDEX(Katalog!$F$3:$F$12,MATCH(cadangan[[#This Row],[ItemID A]],Katalog!$C$3:$C$12,0))*cadangan[[#This Row],[Qty A]]</f>
        <v>300000</v>
      </c>
      <c r="K955" s="73">
        <f>IFERROR(cadangan[[#This Row],[Harga Diskon A]]-INDEX(Katalog!$E$3:$E$12,MATCH(cadangan[[#This Row],[ItemID A]],Katalog!$C$3:$C$12,0))*cadangan[[#This Row],[Qty A]],0)</f>
        <v>220000</v>
      </c>
      <c r="L955" s="39" t="s">
        <v>64</v>
      </c>
      <c r="M955" s="39" t="str">
        <f>IFERROR(INDEX(Katalog!$A$3:$A$12,MATCH(cadangan[[#This Row],[ItemID B]],Katalog!$C$3:$C$12,0)),"-")</f>
        <v>Pakaian Unisex</v>
      </c>
      <c r="N955" s="39" t="str">
        <f>IFERROR(INDEX(Katalog!$B$3:$B$12,MATCH(cadangan[[#This Row],[ItemID B]],Katalog!$C$3:$C$12,0)),"-")</f>
        <v>Jaket Hoodie</v>
      </c>
      <c r="O955" s="50">
        <v>1</v>
      </c>
      <c r="P955" s="50">
        <v>1</v>
      </c>
      <c r="Q955" s="73">
        <f>IFERROR(INDEX(Katalog!$D$3:$D$12,MATCH(cadangan[[#This Row],[ItemID B]],Katalog!$C$3:$C$12,0))*cadangan[[#This Row],[Qty B]],0)</f>
        <v>350000</v>
      </c>
      <c r="R955" s="73">
        <f>IFERROR(cadangan[[#This Row],[Harga Normal B]]-(cadangan[[#This Row],[Harga Normal B]]*cadangan[[#This Row],[Diskon]]),cadangan[[#This Row],[Harga Normal B]])</f>
        <v>315000</v>
      </c>
      <c r="S955" s="73">
        <f>IFERROR(INDEX(Katalog!$F$3:$F$12,MATCH(cadangan[[#This Row],[ItemID B]],Katalog!$C$3:$C$12,0))*cadangan[[#This Row],[Qty B]],0)</f>
        <v>130000</v>
      </c>
      <c r="T955" s="73">
        <f>IFERROR(cadangan[[#This Row],[Harga Diskon B]]-INDEX(Katalog!$E$3:$E$12,MATCH(cadangan[[#This Row],[ItemID B]],Katalog!$C$3:$C$12,0))*cadangan[[#This Row],[Qty B]],0)</f>
        <v>95000</v>
      </c>
      <c r="V955" s="39" t="str">
        <f>IFERROR(INDEX(Katalog!$A$3:$A$12,MATCH(cadangan[[#This Row],[ItemID C]],Katalog!$C$3:$C$12,0)),"-")</f>
        <v>-</v>
      </c>
      <c r="W955" s="39" t="str">
        <f>IFERROR(INDEX(Katalog!$B$3:$B$12,MATCH(cadangan[[#This Row],[ItemID C]],Katalog!$C$3:$C$12,0)),"-")</f>
        <v>-</v>
      </c>
      <c r="Z955" s="73">
        <f>IFERROR(INDEX(Katalog!$D$3:$D$12,MATCH(cadangan[[#This Row],[ItemID C]],Katalog!$C$3:$C$12,0))*cadangan[[#This Row],[Qty C]],0)</f>
        <v>0</v>
      </c>
      <c r="AA955" s="73">
        <f>IFERROR(cadangan[[#This Row],[Harga Normal C]]-(cadangan[[#This Row],[Harga Normal C]]*cadangan[[#This Row],[Diskon]]),cadangan[[#This Row],[Harga Normal C]])</f>
        <v>0</v>
      </c>
      <c r="AB955" s="73">
        <f>IFERROR(INDEX(Katalog!$F$3:$F$12,MATCH(cadangan[[#This Row],[ItemID C]],Katalog!$C$3:$C$12,0))*cadangan[[#This Row],[Qty C]],0)</f>
        <v>0</v>
      </c>
      <c r="AC955" s="73">
        <f>IFERROR(cadangan[[#This Row],[Harga Diskon C]]-INDEX(Katalog!$E$3:$E$12,MATCH(cadangan[[#This Row],[ItemID C]],Katalog!$C$3:$C$12,0))*cadangan[[#This Row],[Qty C]],0)</f>
        <v>0</v>
      </c>
      <c r="AD955" s="53">
        <f>cadangan[[#This Row],[Qty A]]+cadangan[[#This Row],[Qty B]]+cadangan[[#This Row],[Qty C]]</f>
        <v>3</v>
      </c>
      <c r="AE955" s="73">
        <f>cadangan[[#This Row],[Harga Normal A]]+cadangan[[#This Row],[Harga Normal B]]+cadangan[[#This Row],[Harga Normal C]]</f>
        <v>1150000</v>
      </c>
      <c r="AF955" s="73">
        <f>cadangan[[#This Row],[Harga Diskon A]]+cadangan[[#This Row],[Harga Diskon B]]+cadangan[[#This Row],[Harga Diskon C]]</f>
        <v>1035000</v>
      </c>
      <c r="AG955" s="73">
        <f>(cadangan[[#This Row],[Profit Normal A]]+cadangan[[#This Row],[Profit Normal B]]+cadangan[[#This Row],[Profit Normal C]])</f>
        <v>430000</v>
      </c>
      <c r="AH955" s="73">
        <f>cadangan[[#This Row],[Profit Diskon A]]+cadangan[[#This Row],[Profit Diskon B]]+cadangan[[#This Row],[Profit Diskon C]]</f>
        <v>315000</v>
      </c>
      <c r="AI955" s="23" t="s">
        <v>31</v>
      </c>
      <c r="AJ955" s="37">
        <f>IFERROR(INDEX('Kode Diskon'!$D$3:$D$9,MATCH(cadangan[[#This Row],[Kode diskon]],'Kode Diskon'!$C$3:$C$9,0)),"-")</f>
        <v>0.1</v>
      </c>
      <c r="AK955" s="23" t="s">
        <v>9</v>
      </c>
      <c r="AL955" s="23" t="s">
        <v>10</v>
      </c>
      <c r="AM955" s="23" t="s">
        <v>75</v>
      </c>
      <c r="AN955" s="55">
        <v>45036</v>
      </c>
      <c r="AO955" s="53">
        <f>DAY(cadangan[[#This Row],[Tanggal terjual]])</f>
        <v>20</v>
      </c>
      <c r="AP955" s="21" t="str">
        <f>TEXT(cadangan[[#This Row],[Tanggal terjual]],"dddd")</f>
        <v>Thursday</v>
      </c>
      <c r="AQ955" s="23" t="str" cm="1">
        <f t="array" ref="AQ95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55" s="61">
        <f>AVERAGE(cadangan[[#This Row],[Rating A]],cadangan[[#This Row],[Rating B]],cadangan[[#This Row],[Rating C]])</f>
        <v>2</v>
      </c>
    </row>
    <row r="956" spans="1:44" x14ac:dyDescent="0.2">
      <c r="A956" s="20">
        <v>955</v>
      </c>
      <c r="B956" s="21" t="str">
        <f>_xlfn.CONCAT("ORD-",INDEX(Helper!$B$2:$B$5,MATCH(cadangan[[#This Row],[Marketplace]],Helper!$A$2:$A$5,0)),TEXT(cadangan[[#This Row],[No]],"0000"),"-",TEXT(cadangan[[#This Row],[Tanggal terjual]],"dd/mm/yy"))</f>
        <v>ORD-TK0955-04/04/23</v>
      </c>
      <c r="C956" s="39" t="s">
        <v>66</v>
      </c>
      <c r="D956" s="39" t="str">
        <f>IFERROR(INDEX(Katalog!$A$3:$A$12,MATCH(cadangan[[#This Row],[ItemID A]],Katalog!$C$3:$C$12,0)),"-")</f>
        <v>Sepatu Pria</v>
      </c>
      <c r="E956" s="39" t="str">
        <f>IFERROR(INDEX(Katalog!$B$3:$B$12,MATCH(cadangan[[#This Row],[ItemID A]],Katalog!$C$3:$C$12,0)),"-")</f>
        <v>Sandal Slip On</v>
      </c>
      <c r="F956" s="50">
        <v>1</v>
      </c>
      <c r="G956" s="50">
        <v>3</v>
      </c>
      <c r="H956" s="73">
        <f>IFERROR(INDEX(Katalog!$D$3:$D$12,MATCH(cadangan[[#This Row],[ItemID A]],Katalog!$C$3:$C$12,0))*cadangan[[#This Row],[Qty A]],0)</f>
        <v>150000</v>
      </c>
      <c r="I956" s="73">
        <f>IFERROR(cadangan[[#This Row],[Harga Normal A]]-(cadangan[[#This Row],[Harga Normal A]]*cadangan[[#This Row],[Diskon]]),cadangan[[#This Row],[Harga Normal A]])</f>
        <v>135000</v>
      </c>
      <c r="J956" s="73">
        <f>INDEX(Katalog!$F$3:$F$12,MATCH(cadangan[[#This Row],[ItemID A]],Katalog!$C$3:$C$12,0))*cadangan[[#This Row],[Qty A]]</f>
        <v>60000</v>
      </c>
      <c r="K956" s="73">
        <f>IFERROR(cadangan[[#This Row],[Harga Diskon A]]-INDEX(Katalog!$E$3:$E$12,MATCH(cadangan[[#This Row],[ItemID A]],Katalog!$C$3:$C$12,0))*cadangan[[#This Row],[Qty A]],0)</f>
        <v>45000</v>
      </c>
      <c r="L956" s="39" t="s">
        <v>62</v>
      </c>
      <c r="M956" s="39" t="str">
        <f>IFERROR(INDEX(Katalog!$A$3:$A$12,MATCH(cadangan[[#This Row],[ItemID B]],Katalog!$C$3:$C$12,0)),"-")</f>
        <v>Pakaian Pria</v>
      </c>
      <c r="N956" s="39" t="str">
        <f>IFERROR(INDEX(Katalog!$B$3:$B$12,MATCH(cadangan[[#This Row],[ItemID B]],Katalog!$C$3:$C$12,0)),"-")</f>
        <v>Celana Pendek</v>
      </c>
      <c r="O956" s="50">
        <v>3</v>
      </c>
      <c r="P956" s="50">
        <v>2</v>
      </c>
      <c r="Q956" s="73">
        <f>IFERROR(INDEX(Katalog!$D$3:$D$12,MATCH(cadangan[[#This Row],[ItemID B]],Katalog!$C$3:$C$12,0))*cadangan[[#This Row],[Qty B]],0)</f>
        <v>540000</v>
      </c>
      <c r="R956" s="73">
        <f>IFERROR(cadangan[[#This Row],[Harga Normal B]]-(cadangan[[#This Row],[Harga Normal B]]*cadangan[[#This Row],[Diskon]]),cadangan[[#This Row],[Harga Normal B]])</f>
        <v>486000</v>
      </c>
      <c r="S956" s="73">
        <f>IFERROR(INDEX(Katalog!$F$3:$F$12,MATCH(cadangan[[#This Row],[ItemID B]],Katalog!$C$3:$C$12,0))*cadangan[[#This Row],[Qty B]],0)</f>
        <v>210000</v>
      </c>
      <c r="T956" s="73">
        <f>IFERROR(cadangan[[#This Row],[Harga Diskon B]]-INDEX(Katalog!$E$3:$E$12,MATCH(cadangan[[#This Row],[ItemID B]],Katalog!$C$3:$C$12,0))*cadangan[[#This Row],[Qty B]],0)</f>
        <v>156000</v>
      </c>
      <c r="U956" s="39" t="s">
        <v>67</v>
      </c>
      <c r="V956" s="39" t="str">
        <f>IFERROR(INDEX(Katalog!$A$3:$A$12,MATCH(cadangan[[#This Row],[ItemID C]],Katalog!$C$3:$C$12,0)),"-")</f>
        <v>Sepatu Wanita</v>
      </c>
      <c r="W956" s="39" t="str">
        <f>IFERROR(INDEX(Katalog!$B$3:$B$12,MATCH(cadangan[[#This Row],[ItemID C]],Katalog!$C$3:$C$12,0)),"-")</f>
        <v>Flat Shoes</v>
      </c>
      <c r="X956" s="50">
        <v>1</v>
      </c>
      <c r="Y956" s="50">
        <v>1</v>
      </c>
      <c r="Z956" s="73">
        <f>IFERROR(INDEX(Katalog!$D$3:$D$12,MATCH(cadangan[[#This Row],[ItemID C]],Katalog!$C$3:$C$12,0))*cadangan[[#This Row],[Qty C]],0)</f>
        <v>250000</v>
      </c>
      <c r="AA956" s="73">
        <f>IFERROR(cadangan[[#This Row],[Harga Normal C]]-(cadangan[[#This Row],[Harga Normal C]]*cadangan[[#This Row],[Diskon]]),cadangan[[#This Row],[Harga Normal C]])</f>
        <v>225000</v>
      </c>
      <c r="AB956" s="73">
        <f>IFERROR(INDEX(Katalog!$F$3:$F$12,MATCH(cadangan[[#This Row],[ItemID C]],Katalog!$C$3:$C$12,0))*cadangan[[#This Row],[Qty C]],0)</f>
        <v>100000</v>
      </c>
      <c r="AC956" s="73">
        <f>IFERROR(cadangan[[#This Row],[Harga Diskon C]]-INDEX(Katalog!$E$3:$E$12,MATCH(cadangan[[#This Row],[ItemID C]],Katalog!$C$3:$C$12,0))*cadangan[[#This Row],[Qty C]],0)</f>
        <v>75000</v>
      </c>
      <c r="AD956" s="53">
        <f>cadangan[[#This Row],[Qty A]]+cadangan[[#This Row],[Qty B]]+cadangan[[#This Row],[Qty C]]</f>
        <v>5</v>
      </c>
      <c r="AE956" s="73">
        <f>cadangan[[#This Row],[Harga Normal A]]+cadangan[[#This Row],[Harga Normal B]]+cadangan[[#This Row],[Harga Normal C]]</f>
        <v>940000</v>
      </c>
      <c r="AF956" s="73">
        <f>cadangan[[#This Row],[Harga Diskon A]]+cadangan[[#This Row],[Harga Diskon B]]+cadangan[[#This Row],[Harga Diskon C]]</f>
        <v>846000</v>
      </c>
      <c r="AG956" s="73">
        <f>(cadangan[[#This Row],[Profit Normal A]]+cadangan[[#This Row],[Profit Normal B]]+cadangan[[#This Row],[Profit Normal C]])</f>
        <v>370000</v>
      </c>
      <c r="AH956" s="73">
        <f>cadangan[[#This Row],[Profit Diskon A]]+cadangan[[#This Row],[Profit Diskon B]]+cadangan[[#This Row],[Profit Diskon C]]</f>
        <v>276000</v>
      </c>
      <c r="AI956" s="23" t="s">
        <v>30</v>
      </c>
      <c r="AJ956" s="37">
        <f>IFERROR(INDEX('Kode Diskon'!$D$3:$D$9,MATCH(cadangan[[#This Row],[Kode diskon]],'Kode Diskon'!$C$3:$C$9,0)),"-")</f>
        <v>0.1</v>
      </c>
      <c r="AK956" s="23" t="s">
        <v>29</v>
      </c>
      <c r="AL956" s="23" t="s">
        <v>10</v>
      </c>
      <c r="AM956" s="23" t="s">
        <v>76</v>
      </c>
      <c r="AN956" s="55">
        <v>45020</v>
      </c>
      <c r="AO956" s="53">
        <f>DAY(cadangan[[#This Row],[Tanggal terjual]])</f>
        <v>4</v>
      </c>
      <c r="AP956" s="21" t="str">
        <f>TEXT(cadangan[[#This Row],[Tanggal terjual]],"dddd")</f>
        <v>Tuesday</v>
      </c>
      <c r="AQ956" s="23" t="str" cm="1">
        <f t="array" ref="AQ95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56" s="61">
        <f>AVERAGE(cadangan[[#This Row],[Rating A]],cadangan[[#This Row],[Rating B]],cadangan[[#This Row],[Rating C]])</f>
        <v>2</v>
      </c>
    </row>
    <row r="957" spans="1:44" x14ac:dyDescent="0.2">
      <c r="A957" s="20">
        <v>956</v>
      </c>
      <c r="B957" s="21" t="str">
        <f>_xlfn.CONCAT("ORD-",INDEX(Helper!$B$2:$B$5,MATCH(cadangan[[#This Row],[Marketplace]],Helper!$A$2:$A$5,0)),TEXT(cadangan[[#This Row],[No]],"0000"),"-",TEXT(cadangan[[#This Row],[Tanggal terjual]],"dd/mm/yy"))</f>
        <v>ORD-TK0956-19/04/23</v>
      </c>
      <c r="C957" s="39" t="s">
        <v>66</v>
      </c>
      <c r="D957" s="39" t="str">
        <f>IFERROR(INDEX(Katalog!$A$3:$A$12,MATCH(cadangan[[#This Row],[ItemID A]],Katalog!$C$3:$C$12,0)),"-")</f>
        <v>Sepatu Pria</v>
      </c>
      <c r="E957" s="39" t="str">
        <f>IFERROR(INDEX(Katalog!$B$3:$B$12,MATCH(cadangan[[#This Row],[ItemID A]],Katalog!$C$3:$C$12,0)),"-")</f>
        <v>Sandal Slip On</v>
      </c>
      <c r="F957" s="50">
        <v>2</v>
      </c>
      <c r="G957" s="50">
        <v>5</v>
      </c>
      <c r="H957" s="73">
        <f>IFERROR(INDEX(Katalog!$D$3:$D$12,MATCH(cadangan[[#This Row],[ItemID A]],Katalog!$C$3:$C$12,0))*cadangan[[#This Row],[Qty A]],0)</f>
        <v>300000</v>
      </c>
      <c r="I957" s="73">
        <f>IFERROR(cadangan[[#This Row],[Harga Normal A]]-(cadangan[[#This Row],[Harga Normal A]]*cadangan[[#This Row],[Diskon]]),cadangan[[#This Row],[Harga Normal A]])</f>
        <v>270000</v>
      </c>
      <c r="J957" s="73">
        <f>INDEX(Katalog!$F$3:$F$12,MATCH(cadangan[[#This Row],[ItemID A]],Katalog!$C$3:$C$12,0))*cadangan[[#This Row],[Qty A]]</f>
        <v>120000</v>
      </c>
      <c r="K957" s="73">
        <f>IFERROR(cadangan[[#This Row],[Harga Diskon A]]-INDEX(Katalog!$E$3:$E$12,MATCH(cadangan[[#This Row],[ItemID A]],Katalog!$C$3:$C$12,0))*cadangan[[#This Row],[Qty A]],0)</f>
        <v>90000</v>
      </c>
      <c r="L957" s="39" t="s">
        <v>62</v>
      </c>
      <c r="M957" s="39" t="str">
        <f>IFERROR(INDEX(Katalog!$A$3:$A$12,MATCH(cadangan[[#This Row],[ItemID B]],Katalog!$C$3:$C$12,0)),"-")</f>
        <v>Pakaian Pria</v>
      </c>
      <c r="N957" s="39" t="str">
        <f>IFERROR(INDEX(Katalog!$B$3:$B$12,MATCH(cadangan[[#This Row],[ItemID B]],Katalog!$C$3:$C$12,0)),"-")</f>
        <v>Celana Pendek</v>
      </c>
      <c r="O957" s="50">
        <v>1</v>
      </c>
      <c r="P957" s="50">
        <v>4</v>
      </c>
      <c r="Q957" s="73">
        <f>IFERROR(INDEX(Katalog!$D$3:$D$12,MATCH(cadangan[[#This Row],[ItemID B]],Katalog!$C$3:$C$12,0))*cadangan[[#This Row],[Qty B]],0)</f>
        <v>180000</v>
      </c>
      <c r="R957" s="73">
        <f>IFERROR(cadangan[[#This Row],[Harga Normal B]]-(cadangan[[#This Row],[Harga Normal B]]*cadangan[[#This Row],[Diskon]]),cadangan[[#This Row],[Harga Normal B]])</f>
        <v>162000</v>
      </c>
      <c r="S957" s="73">
        <f>IFERROR(INDEX(Katalog!$F$3:$F$12,MATCH(cadangan[[#This Row],[ItemID B]],Katalog!$C$3:$C$12,0))*cadangan[[#This Row],[Qty B]],0)</f>
        <v>70000</v>
      </c>
      <c r="T957" s="73">
        <f>IFERROR(cadangan[[#This Row],[Harga Diskon B]]-INDEX(Katalog!$E$3:$E$12,MATCH(cadangan[[#This Row],[ItemID B]],Katalog!$C$3:$C$12,0))*cadangan[[#This Row],[Qty B]],0)</f>
        <v>52000</v>
      </c>
      <c r="U957" s="39" t="s">
        <v>63</v>
      </c>
      <c r="V957" s="39" t="str">
        <f>IFERROR(INDEX(Katalog!$A$3:$A$12,MATCH(cadangan[[#This Row],[ItemID C]],Katalog!$C$3:$C$12,0)),"-")</f>
        <v>Pakaian Pria</v>
      </c>
      <c r="W957" s="39" t="str">
        <f>IFERROR(INDEX(Katalog!$B$3:$B$12,MATCH(cadangan[[#This Row],[ItemID C]],Katalog!$C$3:$C$12,0)),"-")</f>
        <v>Jaket Jeans</v>
      </c>
      <c r="X957" s="50">
        <v>2</v>
      </c>
      <c r="Y957" s="50">
        <v>4</v>
      </c>
      <c r="Z957" s="73">
        <f>IFERROR(INDEX(Katalog!$D$3:$D$12,MATCH(cadangan[[#This Row],[ItemID C]],Katalog!$C$3:$C$12,0))*cadangan[[#This Row],[Qty C]],0)</f>
        <v>800000</v>
      </c>
      <c r="AA957" s="73">
        <f>IFERROR(cadangan[[#This Row],[Harga Normal C]]-(cadangan[[#This Row],[Harga Normal C]]*cadangan[[#This Row],[Diskon]]),cadangan[[#This Row],[Harga Normal C]])</f>
        <v>720000</v>
      </c>
      <c r="AB957" s="73">
        <f>IFERROR(INDEX(Katalog!$F$3:$F$12,MATCH(cadangan[[#This Row],[ItemID C]],Katalog!$C$3:$C$12,0))*cadangan[[#This Row],[Qty C]],0)</f>
        <v>300000</v>
      </c>
      <c r="AC957" s="73">
        <f>IFERROR(cadangan[[#This Row],[Harga Diskon C]]-INDEX(Katalog!$E$3:$E$12,MATCH(cadangan[[#This Row],[ItemID C]],Katalog!$C$3:$C$12,0))*cadangan[[#This Row],[Qty C]],0)</f>
        <v>220000</v>
      </c>
      <c r="AD957" s="53">
        <f>cadangan[[#This Row],[Qty A]]+cadangan[[#This Row],[Qty B]]+cadangan[[#This Row],[Qty C]]</f>
        <v>5</v>
      </c>
      <c r="AE957" s="73">
        <f>cadangan[[#This Row],[Harga Normal A]]+cadangan[[#This Row],[Harga Normal B]]+cadangan[[#This Row],[Harga Normal C]]</f>
        <v>1280000</v>
      </c>
      <c r="AF957" s="73">
        <f>cadangan[[#This Row],[Harga Diskon A]]+cadangan[[#This Row],[Harga Diskon B]]+cadangan[[#This Row],[Harga Diskon C]]</f>
        <v>1152000</v>
      </c>
      <c r="AG957" s="73">
        <f>(cadangan[[#This Row],[Profit Normal A]]+cadangan[[#This Row],[Profit Normal B]]+cadangan[[#This Row],[Profit Normal C]])</f>
        <v>490000</v>
      </c>
      <c r="AH957" s="73">
        <f>cadangan[[#This Row],[Profit Diskon A]]+cadangan[[#This Row],[Profit Diskon B]]+cadangan[[#This Row],[Profit Diskon C]]</f>
        <v>362000</v>
      </c>
      <c r="AI957" s="23" t="s">
        <v>31</v>
      </c>
      <c r="AJ957" s="37">
        <f>IFERROR(INDEX('Kode Diskon'!$D$3:$D$9,MATCH(cadangan[[#This Row],[Kode diskon]],'Kode Diskon'!$C$3:$C$9,0)),"-")</f>
        <v>0.1</v>
      </c>
      <c r="AK957" s="23" t="s">
        <v>9</v>
      </c>
      <c r="AL957" s="23" t="s">
        <v>10</v>
      </c>
      <c r="AM957" s="23" t="s">
        <v>79</v>
      </c>
      <c r="AN957" s="55">
        <v>45035</v>
      </c>
      <c r="AO957" s="53">
        <f>DAY(cadangan[[#This Row],[Tanggal terjual]])</f>
        <v>19</v>
      </c>
      <c r="AP957" s="21" t="str">
        <f>TEXT(cadangan[[#This Row],[Tanggal terjual]],"dddd")</f>
        <v>Wednesday</v>
      </c>
      <c r="AQ957" s="23" t="str" cm="1">
        <f t="array" ref="AQ95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57" s="61">
        <f>AVERAGE(cadangan[[#This Row],[Rating A]],cadangan[[#This Row],[Rating B]],cadangan[[#This Row],[Rating C]])</f>
        <v>4.333333333333333</v>
      </c>
    </row>
    <row r="958" spans="1:44" x14ac:dyDescent="0.2">
      <c r="A958" s="20">
        <v>957</v>
      </c>
      <c r="B958" s="21" t="str">
        <f>_xlfn.CONCAT("ORD-",INDEX(Helper!$B$2:$B$5,MATCH(cadangan[[#This Row],[Marketplace]],Helper!$A$2:$A$5,0)),TEXT(cadangan[[#This Row],[No]],"0000"),"-",TEXT(cadangan[[#This Row],[Tanggal terjual]],"dd/mm/yy"))</f>
        <v>ORD-BL0957-16/04/23</v>
      </c>
      <c r="C958" s="39" t="s">
        <v>67</v>
      </c>
      <c r="D958" s="39" t="str">
        <f>IFERROR(INDEX(Katalog!$A$3:$A$12,MATCH(cadangan[[#This Row],[ItemID A]],Katalog!$C$3:$C$12,0)),"-")</f>
        <v>Sepatu Wanita</v>
      </c>
      <c r="E958" s="39" t="str">
        <f>IFERROR(INDEX(Katalog!$B$3:$B$12,MATCH(cadangan[[#This Row],[ItemID A]],Katalog!$C$3:$C$12,0)),"-")</f>
        <v>Flat Shoes</v>
      </c>
      <c r="F958" s="50">
        <v>5</v>
      </c>
      <c r="G958" s="50">
        <v>4</v>
      </c>
      <c r="H958" s="73">
        <f>IFERROR(INDEX(Katalog!$D$3:$D$12,MATCH(cadangan[[#This Row],[ItemID A]],Katalog!$C$3:$C$12,0))*cadangan[[#This Row],[Qty A]],0)</f>
        <v>1250000</v>
      </c>
      <c r="I958" s="73">
        <f>IFERROR(cadangan[[#This Row],[Harga Normal A]]-(cadangan[[#This Row],[Harga Normal A]]*cadangan[[#This Row],[Diskon]]),cadangan[[#This Row],[Harga Normal A]])</f>
        <v>1062500</v>
      </c>
      <c r="J958" s="73">
        <f>INDEX(Katalog!$F$3:$F$12,MATCH(cadangan[[#This Row],[ItemID A]],Katalog!$C$3:$C$12,0))*cadangan[[#This Row],[Qty A]]</f>
        <v>500000</v>
      </c>
      <c r="K958" s="73">
        <f>IFERROR(cadangan[[#This Row],[Harga Diskon A]]-INDEX(Katalog!$E$3:$E$12,MATCH(cadangan[[#This Row],[ItemID A]],Katalog!$C$3:$C$12,0))*cadangan[[#This Row],[Qty A]],0)</f>
        <v>312500</v>
      </c>
      <c r="L958" s="39" t="s">
        <v>67</v>
      </c>
      <c r="M958" s="39" t="str">
        <f>IFERROR(INDEX(Katalog!$A$3:$A$12,MATCH(cadangan[[#This Row],[ItemID B]],Katalog!$C$3:$C$12,0)),"-")</f>
        <v>Sepatu Wanita</v>
      </c>
      <c r="N958" s="39" t="str">
        <f>IFERROR(INDEX(Katalog!$B$3:$B$12,MATCH(cadangan[[#This Row],[ItemID B]],Katalog!$C$3:$C$12,0)),"-")</f>
        <v>Flat Shoes</v>
      </c>
      <c r="O958" s="50">
        <v>1</v>
      </c>
      <c r="P958" s="50">
        <v>2</v>
      </c>
      <c r="Q958" s="73">
        <f>IFERROR(INDEX(Katalog!$D$3:$D$12,MATCH(cadangan[[#This Row],[ItemID B]],Katalog!$C$3:$C$12,0))*cadangan[[#This Row],[Qty B]],0)</f>
        <v>250000</v>
      </c>
      <c r="R958" s="73">
        <f>IFERROR(cadangan[[#This Row],[Harga Normal B]]-(cadangan[[#This Row],[Harga Normal B]]*cadangan[[#This Row],[Diskon]]),cadangan[[#This Row],[Harga Normal B]])</f>
        <v>212500</v>
      </c>
      <c r="S958" s="73">
        <f>IFERROR(INDEX(Katalog!$F$3:$F$12,MATCH(cadangan[[#This Row],[ItemID B]],Katalog!$C$3:$C$12,0))*cadangan[[#This Row],[Qty B]],0)</f>
        <v>100000</v>
      </c>
      <c r="T958" s="73">
        <f>IFERROR(cadangan[[#This Row],[Harga Diskon B]]-INDEX(Katalog!$E$3:$E$12,MATCH(cadangan[[#This Row],[ItemID B]],Katalog!$C$3:$C$12,0))*cadangan[[#This Row],[Qty B]],0)</f>
        <v>62500</v>
      </c>
      <c r="V958" s="39" t="str">
        <f>IFERROR(INDEX(Katalog!$A$3:$A$12,MATCH(cadangan[[#This Row],[ItemID C]],Katalog!$C$3:$C$12,0)),"-")</f>
        <v>-</v>
      </c>
      <c r="W958" s="39" t="str">
        <f>IFERROR(INDEX(Katalog!$B$3:$B$12,MATCH(cadangan[[#This Row],[ItemID C]],Katalog!$C$3:$C$12,0)),"-")</f>
        <v>-</v>
      </c>
      <c r="Z958" s="73">
        <f>IFERROR(INDEX(Katalog!$D$3:$D$12,MATCH(cadangan[[#This Row],[ItemID C]],Katalog!$C$3:$C$12,0))*cadangan[[#This Row],[Qty C]],0)</f>
        <v>0</v>
      </c>
      <c r="AA958" s="73">
        <f>IFERROR(cadangan[[#This Row],[Harga Normal C]]-(cadangan[[#This Row],[Harga Normal C]]*cadangan[[#This Row],[Diskon]]),cadangan[[#This Row],[Harga Normal C]])</f>
        <v>0</v>
      </c>
      <c r="AB958" s="73">
        <f>IFERROR(INDEX(Katalog!$F$3:$F$12,MATCH(cadangan[[#This Row],[ItemID C]],Katalog!$C$3:$C$12,0))*cadangan[[#This Row],[Qty C]],0)</f>
        <v>0</v>
      </c>
      <c r="AC958" s="73">
        <f>IFERROR(cadangan[[#This Row],[Harga Diskon C]]-INDEX(Katalog!$E$3:$E$12,MATCH(cadangan[[#This Row],[ItemID C]],Katalog!$C$3:$C$12,0))*cadangan[[#This Row],[Qty C]],0)</f>
        <v>0</v>
      </c>
      <c r="AD958" s="53">
        <f>cadangan[[#This Row],[Qty A]]+cadangan[[#This Row],[Qty B]]+cadangan[[#This Row],[Qty C]]</f>
        <v>6</v>
      </c>
      <c r="AE958" s="73">
        <f>cadangan[[#This Row],[Harga Normal A]]+cadangan[[#This Row],[Harga Normal B]]+cadangan[[#This Row],[Harga Normal C]]</f>
        <v>1500000</v>
      </c>
      <c r="AF958" s="73">
        <f>cadangan[[#This Row],[Harga Diskon A]]+cadangan[[#This Row],[Harga Diskon B]]+cadangan[[#This Row],[Harga Diskon C]]</f>
        <v>1275000</v>
      </c>
      <c r="AG958" s="73">
        <f>(cadangan[[#This Row],[Profit Normal A]]+cadangan[[#This Row],[Profit Normal B]]+cadangan[[#This Row],[Profit Normal C]])</f>
        <v>600000</v>
      </c>
      <c r="AH958" s="73">
        <f>cadangan[[#This Row],[Profit Diskon A]]+cadangan[[#This Row],[Profit Diskon B]]+cadangan[[#This Row],[Profit Diskon C]]</f>
        <v>375000</v>
      </c>
      <c r="AI958" s="23" t="s">
        <v>32</v>
      </c>
      <c r="AJ958" s="37">
        <f>IFERROR(INDEX('Kode Diskon'!$D$3:$D$9,MATCH(cadangan[[#This Row],[Kode diskon]],'Kode Diskon'!$C$3:$C$9,0)),"-")</f>
        <v>0.15</v>
      </c>
      <c r="AK958" s="23" t="s">
        <v>9</v>
      </c>
      <c r="AL958" s="23" t="s">
        <v>12</v>
      </c>
      <c r="AM958" s="23" t="s">
        <v>80</v>
      </c>
      <c r="AN958" s="55">
        <v>45032</v>
      </c>
      <c r="AO958" s="53">
        <f>DAY(cadangan[[#This Row],[Tanggal terjual]])</f>
        <v>16</v>
      </c>
      <c r="AP958" s="21" t="str">
        <f>TEXT(cadangan[[#This Row],[Tanggal terjual]],"dddd")</f>
        <v>Sunday</v>
      </c>
      <c r="AQ958" s="23" t="str" cm="1">
        <f t="array" ref="AQ95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58" s="61">
        <f>AVERAGE(cadangan[[#This Row],[Rating A]],cadangan[[#This Row],[Rating B]],cadangan[[#This Row],[Rating C]])</f>
        <v>3</v>
      </c>
    </row>
    <row r="959" spans="1:44" x14ac:dyDescent="0.2">
      <c r="A959" s="20">
        <v>958</v>
      </c>
      <c r="B959" s="21" t="str">
        <f>_xlfn.CONCAT("ORD-",INDEX(Helper!$B$2:$B$5,MATCH(cadangan[[#This Row],[Marketplace]],Helper!$A$2:$A$5,0)),TEXT(cadangan[[#This Row],[No]],"0000"),"-",TEXT(cadangan[[#This Row],[Tanggal terjual]],"dd/mm/yy"))</f>
        <v>ORD-TK0958-26/04/23</v>
      </c>
      <c r="C959" s="39" t="s">
        <v>65</v>
      </c>
      <c r="D959" s="39" t="str">
        <f>IFERROR(INDEX(Katalog!$A$3:$A$12,MATCH(cadangan[[#This Row],[ItemID A]],Katalog!$C$3:$C$12,0)),"-")</f>
        <v>Sepatu Pria</v>
      </c>
      <c r="E959" s="39" t="str">
        <f>IFERROR(INDEX(Katalog!$B$3:$B$12,MATCH(cadangan[[#This Row],[ItemID A]],Katalog!$C$3:$C$12,0)),"-")</f>
        <v>Sneakers</v>
      </c>
      <c r="F959" s="50">
        <v>6</v>
      </c>
      <c r="G959" s="50">
        <v>2</v>
      </c>
      <c r="H959" s="73">
        <f>IFERROR(INDEX(Katalog!$D$3:$D$12,MATCH(cadangan[[#This Row],[ItemID A]],Katalog!$C$3:$C$12,0))*cadangan[[#This Row],[Qty A]],0)</f>
        <v>3000000</v>
      </c>
      <c r="I959" s="73">
        <f>IFERROR(cadangan[[#This Row],[Harga Normal A]]-(cadangan[[#This Row],[Harga Normal A]]*cadangan[[#This Row],[Diskon]]),cadangan[[#This Row],[Harga Normal A]])</f>
        <v>2700000</v>
      </c>
      <c r="J959" s="73">
        <f>INDEX(Katalog!$F$3:$F$12,MATCH(cadangan[[#This Row],[ItemID A]],Katalog!$C$3:$C$12,0))*cadangan[[#This Row],[Qty A]]</f>
        <v>1200000</v>
      </c>
      <c r="K959" s="73">
        <f>IFERROR(cadangan[[#This Row],[Harga Diskon A]]-INDEX(Katalog!$E$3:$E$12,MATCH(cadangan[[#This Row],[ItemID A]],Katalog!$C$3:$C$12,0))*cadangan[[#This Row],[Qty A]],0)</f>
        <v>900000</v>
      </c>
      <c r="L959" s="39" t="s">
        <v>63</v>
      </c>
      <c r="M959" s="39" t="str">
        <f>IFERROR(INDEX(Katalog!$A$3:$A$12,MATCH(cadangan[[#This Row],[ItemID B]],Katalog!$C$3:$C$12,0)),"-")</f>
        <v>Pakaian Pria</v>
      </c>
      <c r="N959" s="39" t="str">
        <f>IFERROR(INDEX(Katalog!$B$3:$B$12,MATCH(cadangan[[#This Row],[ItemID B]],Katalog!$C$3:$C$12,0)),"-")</f>
        <v>Jaket Jeans</v>
      </c>
      <c r="O959" s="50">
        <v>1</v>
      </c>
      <c r="P959" s="50">
        <v>1</v>
      </c>
      <c r="Q959" s="73">
        <f>IFERROR(INDEX(Katalog!$D$3:$D$12,MATCH(cadangan[[#This Row],[ItemID B]],Katalog!$C$3:$C$12,0))*cadangan[[#This Row],[Qty B]],0)</f>
        <v>400000</v>
      </c>
      <c r="R959" s="73">
        <f>IFERROR(cadangan[[#This Row],[Harga Normal B]]-(cadangan[[#This Row],[Harga Normal B]]*cadangan[[#This Row],[Diskon]]),cadangan[[#This Row],[Harga Normal B]])</f>
        <v>360000</v>
      </c>
      <c r="S959" s="73">
        <f>IFERROR(INDEX(Katalog!$F$3:$F$12,MATCH(cadangan[[#This Row],[ItemID B]],Katalog!$C$3:$C$12,0))*cadangan[[#This Row],[Qty B]],0)</f>
        <v>150000</v>
      </c>
      <c r="T959" s="73">
        <f>IFERROR(cadangan[[#This Row],[Harga Diskon B]]-INDEX(Katalog!$E$3:$E$12,MATCH(cadangan[[#This Row],[ItemID B]],Katalog!$C$3:$C$12,0))*cadangan[[#This Row],[Qty B]],0)</f>
        <v>110000</v>
      </c>
      <c r="V959" s="39" t="str">
        <f>IFERROR(INDEX(Katalog!$A$3:$A$12,MATCH(cadangan[[#This Row],[ItemID C]],Katalog!$C$3:$C$12,0)),"-")</f>
        <v>-</v>
      </c>
      <c r="W959" s="39" t="str">
        <f>IFERROR(INDEX(Katalog!$B$3:$B$12,MATCH(cadangan[[#This Row],[ItemID C]],Katalog!$C$3:$C$12,0)),"-")</f>
        <v>-</v>
      </c>
      <c r="Z959" s="73">
        <f>IFERROR(INDEX(Katalog!$D$3:$D$12,MATCH(cadangan[[#This Row],[ItemID C]],Katalog!$C$3:$C$12,0))*cadangan[[#This Row],[Qty C]],0)</f>
        <v>0</v>
      </c>
      <c r="AA959" s="73">
        <f>IFERROR(cadangan[[#This Row],[Harga Normal C]]-(cadangan[[#This Row],[Harga Normal C]]*cadangan[[#This Row],[Diskon]]),cadangan[[#This Row],[Harga Normal C]])</f>
        <v>0</v>
      </c>
      <c r="AB959" s="73">
        <f>IFERROR(INDEX(Katalog!$F$3:$F$12,MATCH(cadangan[[#This Row],[ItemID C]],Katalog!$C$3:$C$12,0))*cadangan[[#This Row],[Qty C]],0)</f>
        <v>0</v>
      </c>
      <c r="AC959" s="73">
        <f>IFERROR(cadangan[[#This Row],[Harga Diskon C]]-INDEX(Katalog!$E$3:$E$12,MATCH(cadangan[[#This Row],[ItemID C]],Katalog!$C$3:$C$12,0))*cadangan[[#This Row],[Qty C]],0)</f>
        <v>0</v>
      </c>
      <c r="AD959" s="53">
        <f>cadangan[[#This Row],[Qty A]]+cadangan[[#This Row],[Qty B]]+cadangan[[#This Row],[Qty C]]</f>
        <v>7</v>
      </c>
      <c r="AE959" s="73">
        <f>cadangan[[#This Row],[Harga Normal A]]+cadangan[[#This Row],[Harga Normal B]]+cadangan[[#This Row],[Harga Normal C]]</f>
        <v>3400000</v>
      </c>
      <c r="AF959" s="73">
        <f>cadangan[[#This Row],[Harga Diskon A]]+cadangan[[#This Row],[Harga Diskon B]]+cadangan[[#This Row],[Harga Diskon C]]</f>
        <v>3060000</v>
      </c>
      <c r="AG959" s="73">
        <f>(cadangan[[#This Row],[Profit Normal A]]+cadangan[[#This Row],[Profit Normal B]]+cadangan[[#This Row],[Profit Normal C]])</f>
        <v>1350000</v>
      </c>
      <c r="AH959" s="73">
        <f>cadangan[[#This Row],[Profit Diskon A]]+cadangan[[#This Row],[Profit Diskon B]]+cadangan[[#This Row],[Profit Diskon C]]</f>
        <v>1010000</v>
      </c>
      <c r="AI959" s="23" t="s">
        <v>31</v>
      </c>
      <c r="AJ959" s="37">
        <f>IFERROR(INDEX('Kode Diskon'!$D$3:$D$9,MATCH(cadangan[[#This Row],[Kode diskon]],'Kode Diskon'!$C$3:$C$9,0)),"-")</f>
        <v>0.1</v>
      </c>
      <c r="AK959" s="23" t="s">
        <v>9</v>
      </c>
      <c r="AL959" s="23" t="s">
        <v>10</v>
      </c>
      <c r="AM959" s="23" t="s">
        <v>75</v>
      </c>
      <c r="AN959" s="55">
        <v>45042</v>
      </c>
      <c r="AO959" s="53">
        <f>DAY(cadangan[[#This Row],[Tanggal terjual]])</f>
        <v>26</v>
      </c>
      <c r="AP959" s="21" t="str">
        <f>TEXT(cadangan[[#This Row],[Tanggal terjual]],"dddd")</f>
        <v>Wednesday</v>
      </c>
      <c r="AQ959" s="23" t="str" cm="1">
        <f t="array" ref="AQ95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59" s="61">
        <f>AVERAGE(cadangan[[#This Row],[Rating A]],cadangan[[#This Row],[Rating B]],cadangan[[#This Row],[Rating C]])</f>
        <v>1.5</v>
      </c>
    </row>
    <row r="960" spans="1:44" x14ac:dyDescent="0.2">
      <c r="A960" s="20">
        <v>959</v>
      </c>
      <c r="B960" s="21" t="str">
        <f>_xlfn.CONCAT("ORD-",INDEX(Helper!$B$2:$B$5,MATCH(cadangan[[#This Row],[Marketplace]],Helper!$A$2:$A$5,0)),TEXT(cadangan[[#This Row],[No]],"0000"),"-",TEXT(cadangan[[#This Row],[Tanggal terjual]],"dd/mm/yy"))</f>
        <v>ORD-TK0959-27/04/23</v>
      </c>
      <c r="C960" s="39" t="s">
        <v>64</v>
      </c>
      <c r="D960" s="39" t="str">
        <f>IFERROR(INDEX(Katalog!$A$3:$A$12,MATCH(cadangan[[#This Row],[ItemID A]],Katalog!$C$3:$C$12,0)),"-")</f>
        <v>Pakaian Unisex</v>
      </c>
      <c r="E960" s="39" t="str">
        <f>IFERROR(INDEX(Katalog!$B$3:$B$12,MATCH(cadangan[[#This Row],[ItemID A]],Katalog!$C$3:$C$12,0)),"-")</f>
        <v>Jaket Hoodie</v>
      </c>
      <c r="F960" s="50">
        <v>4</v>
      </c>
      <c r="G960" s="50">
        <v>3</v>
      </c>
      <c r="H960" s="73">
        <f>IFERROR(INDEX(Katalog!$D$3:$D$12,MATCH(cadangan[[#This Row],[ItemID A]],Katalog!$C$3:$C$12,0))*cadangan[[#This Row],[Qty A]],0)</f>
        <v>1400000</v>
      </c>
      <c r="I960" s="73">
        <f>IFERROR(cadangan[[#This Row],[Harga Normal A]]-(cadangan[[#This Row],[Harga Normal A]]*cadangan[[#This Row],[Diskon]]),cadangan[[#This Row],[Harga Normal A]])</f>
        <v>1260000</v>
      </c>
      <c r="J960" s="73">
        <f>INDEX(Katalog!$F$3:$F$12,MATCH(cadangan[[#This Row],[ItemID A]],Katalog!$C$3:$C$12,0))*cadangan[[#This Row],[Qty A]]</f>
        <v>520000</v>
      </c>
      <c r="K960" s="73">
        <f>IFERROR(cadangan[[#This Row],[Harga Diskon A]]-INDEX(Katalog!$E$3:$E$12,MATCH(cadangan[[#This Row],[ItemID A]],Katalog!$C$3:$C$12,0))*cadangan[[#This Row],[Qty A]],0)</f>
        <v>380000</v>
      </c>
      <c r="L960" s="39" t="s">
        <v>61</v>
      </c>
      <c r="M960" s="39" t="str">
        <f>IFERROR(INDEX(Katalog!$A$3:$A$12,MATCH(cadangan[[#This Row],[ItemID B]],Katalog!$C$3:$C$12,0)),"-")</f>
        <v>Pakaian Pria</v>
      </c>
      <c r="N960" s="39" t="str">
        <f>IFERROR(INDEX(Katalog!$B$3:$B$12,MATCH(cadangan[[#This Row],[ItemID B]],Katalog!$C$3:$C$12,0)),"-")</f>
        <v>Kaos Polo</v>
      </c>
      <c r="O960" s="50">
        <v>2</v>
      </c>
      <c r="P960" s="50">
        <v>4</v>
      </c>
      <c r="Q960" s="73">
        <f>IFERROR(INDEX(Katalog!$D$3:$D$12,MATCH(cadangan[[#This Row],[ItemID B]],Katalog!$C$3:$C$12,0))*cadangan[[#This Row],[Qty B]],0)</f>
        <v>400000</v>
      </c>
      <c r="R960" s="73">
        <f>IFERROR(cadangan[[#This Row],[Harga Normal B]]-(cadangan[[#This Row],[Harga Normal B]]*cadangan[[#This Row],[Diskon]]),cadangan[[#This Row],[Harga Normal B]])</f>
        <v>360000</v>
      </c>
      <c r="S960" s="73">
        <f>IFERROR(INDEX(Katalog!$F$3:$F$12,MATCH(cadangan[[#This Row],[ItemID B]],Katalog!$C$3:$C$12,0))*cadangan[[#This Row],[Qty B]],0)</f>
        <v>160000</v>
      </c>
      <c r="T960" s="73">
        <f>IFERROR(cadangan[[#This Row],[Harga Diskon B]]-INDEX(Katalog!$E$3:$E$12,MATCH(cadangan[[#This Row],[ItemID B]],Katalog!$C$3:$C$12,0))*cadangan[[#This Row],[Qty B]],0)</f>
        <v>120000</v>
      </c>
      <c r="U960" s="39" t="s">
        <v>59</v>
      </c>
      <c r="V960" s="39" t="str">
        <f>IFERROR(INDEX(Katalog!$A$3:$A$12,MATCH(cadangan[[#This Row],[ItemID C]],Katalog!$C$3:$C$12,0)),"-")</f>
        <v>Pakaian Wanita</v>
      </c>
      <c r="W960" s="39" t="str">
        <f>IFERROR(INDEX(Katalog!$B$3:$B$12,MATCH(cadangan[[#This Row],[ItemID C]],Katalog!$C$3:$C$12,0)),"-")</f>
        <v>Blouse</v>
      </c>
      <c r="X960" s="50">
        <v>1</v>
      </c>
      <c r="Y960" s="50">
        <v>2</v>
      </c>
      <c r="Z960" s="73">
        <f>IFERROR(INDEX(Katalog!$D$3:$D$12,MATCH(cadangan[[#This Row],[ItemID C]],Katalog!$C$3:$C$12,0))*cadangan[[#This Row],[Qty C]],0)</f>
        <v>150000</v>
      </c>
      <c r="AA960" s="73">
        <f>IFERROR(cadangan[[#This Row],[Harga Normal C]]-(cadangan[[#This Row],[Harga Normal C]]*cadangan[[#This Row],[Diskon]]),cadangan[[#This Row],[Harga Normal C]])</f>
        <v>135000</v>
      </c>
      <c r="AB960" s="73">
        <f>IFERROR(INDEX(Katalog!$F$3:$F$12,MATCH(cadangan[[#This Row],[ItemID C]],Katalog!$C$3:$C$12,0))*cadangan[[#This Row],[Qty C]],0)</f>
        <v>50000</v>
      </c>
      <c r="AC960" s="73">
        <f>IFERROR(cadangan[[#This Row],[Harga Diskon C]]-INDEX(Katalog!$E$3:$E$12,MATCH(cadangan[[#This Row],[ItemID C]],Katalog!$C$3:$C$12,0))*cadangan[[#This Row],[Qty C]],0)</f>
        <v>35000</v>
      </c>
      <c r="AD960" s="53">
        <f>cadangan[[#This Row],[Qty A]]+cadangan[[#This Row],[Qty B]]+cadangan[[#This Row],[Qty C]]</f>
        <v>7</v>
      </c>
      <c r="AE960" s="73">
        <f>cadangan[[#This Row],[Harga Normal A]]+cadangan[[#This Row],[Harga Normal B]]+cadangan[[#This Row],[Harga Normal C]]</f>
        <v>1950000</v>
      </c>
      <c r="AF960" s="73">
        <f>cadangan[[#This Row],[Harga Diskon A]]+cadangan[[#This Row],[Harga Diskon B]]+cadangan[[#This Row],[Harga Diskon C]]</f>
        <v>1755000</v>
      </c>
      <c r="AG960" s="73">
        <f>(cadangan[[#This Row],[Profit Normal A]]+cadangan[[#This Row],[Profit Normal B]]+cadangan[[#This Row],[Profit Normal C]])</f>
        <v>730000</v>
      </c>
      <c r="AH960" s="73">
        <f>cadangan[[#This Row],[Profit Diskon A]]+cadangan[[#This Row],[Profit Diskon B]]+cadangan[[#This Row],[Profit Diskon C]]</f>
        <v>535000</v>
      </c>
      <c r="AI960" s="23" t="s">
        <v>31</v>
      </c>
      <c r="AJ960" s="37">
        <f>IFERROR(INDEX('Kode Diskon'!$D$3:$D$9,MATCH(cadangan[[#This Row],[Kode diskon]],'Kode Diskon'!$C$3:$C$9,0)),"-")</f>
        <v>0.1</v>
      </c>
      <c r="AK960" s="23" t="s">
        <v>9</v>
      </c>
      <c r="AL960" s="23" t="s">
        <v>10</v>
      </c>
      <c r="AM960" s="23" t="s">
        <v>79</v>
      </c>
      <c r="AN960" s="55">
        <v>45043</v>
      </c>
      <c r="AO960" s="53">
        <f>DAY(cadangan[[#This Row],[Tanggal terjual]])</f>
        <v>27</v>
      </c>
      <c r="AP960" s="21" t="str">
        <f>TEXT(cadangan[[#This Row],[Tanggal terjual]],"dddd")</f>
        <v>Thursday</v>
      </c>
      <c r="AQ960" s="23" t="str" cm="1">
        <f t="array" ref="AQ96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60" s="61">
        <f>AVERAGE(cadangan[[#This Row],[Rating A]],cadangan[[#This Row],[Rating B]],cadangan[[#This Row],[Rating C]])</f>
        <v>3</v>
      </c>
    </row>
    <row r="961" spans="1:44" x14ac:dyDescent="0.2">
      <c r="A961" s="20">
        <v>960</v>
      </c>
      <c r="B961" s="21" t="str">
        <f>_xlfn.CONCAT("ORD-",INDEX(Helper!$B$2:$B$5,MATCH(cadangan[[#This Row],[Marketplace]],Helper!$A$2:$A$5,0)),TEXT(cadangan[[#This Row],[No]],"0000"),"-",TEXT(cadangan[[#This Row],[Tanggal terjual]],"dd/mm/yy"))</f>
        <v>ORD-SP0960-08/04/23</v>
      </c>
      <c r="C961" s="39" t="s">
        <v>62</v>
      </c>
      <c r="D961" s="39" t="str">
        <f>IFERROR(INDEX(Katalog!$A$3:$A$12,MATCH(cadangan[[#This Row],[ItemID A]],Katalog!$C$3:$C$12,0)),"-")</f>
        <v>Pakaian Pria</v>
      </c>
      <c r="E961" s="39" t="str">
        <f>IFERROR(INDEX(Katalog!$B$3:$B$12,MATCH(cadangan[[#This Row],[ItemID A]],Katalog!$C$3:$C$12,0)),"-")</f>
        <v>Celana Pendek</v>
      </c>
      <c r="F961" s="50">
        <v>4</v>
      </c>
      <c r="G961" s="50">
        <v>5</v>
      </c>
      <c r="H961" s="73">
        <f>IFERROR(INDEX(Katalog!$D$3:$D$12,MATCH(cadangan[[#This Row],[ItemID A]],Katalog!$C$3:$C$12,0))*cadangan[[#This Row],[Qty A]],0)</f>
        <v>720000</v>
      </c>
      <c r="I961" s="73">
        <f>IFERROR(cadangan[[#This Row],[Harga Normal A]]-(cadangan[[#This Row],[Harga Normal A]]*cadangan[[#This Row],[Diskon]]),cadangan[[#This Row],[Harga Normal A]])</f>
        <v>720000</v>
      </c>
      <c r="J961" s="73">
        <f>INDEX(Katalog!$F$3:$F$12,MATCH(cadangan[[#This Row],[ItemID A]],Katalog!$C$3:$C$12,0))*cadangan[[#This Row],[Qty A]]</f>
        <v>280000</v>
      </c>
      <c r="K961" s="73">
        <f>IFERROR(cadangan[[#This Row],[Harga Diskon A]]-INDEX(Katalog!$E$3:$E$12,MATCH(cadangan[[#This Row],[ItemID A]],Katalog!$C$3:$C$12,0))*cadangan[[#This Row],[Qty A]],0)</f>
        <v>280000</v>
      </c>
      <c r="L961" s="39" t="s">
        <v>58</v>
      </c>
      <c r="M961" s="39" t="str">
        <f>IFERROR(INDEX(Katalog!$A$3:$A$12,MATCH(cadangan[[#This Row],[ItemID B]],Katalog!$C$3:$C$12,0)),"-")</f>
        <v>Pakaian Wanita</v>
      </c>
      <c r="N961" s="39" t="str">
        <f>IFERROR(INDEX(Katalog!$B$3:$B$12,MATCH(cadangan[[#This Row],[ItemID B]],Katalog!$C$3:$C$12,0)),"-")</f>
        <v>Dress</v>
      </c>
      <c r="O961" s="50">
        <v>1</v>
      </c>
      <c r="P961" s="50">
        <v>2</v>
      </c>
      <c r="Q961" s="73">
        <f>IFERROR(INDEX(Katalog!$D$3:$D$12,MATCH(cadangan[[#This Row],[ItemID B]],Katalog!$C$3:$C$12,0))*cadangan[[#This Row],[Qty B]],0)</f>
        <v>300000</v>
      </c>
      <c r="R961" s="73">
        <f>IFERROR(cadangan[[#This Row],[Harga Normal B]]-(cadangan[[#This Row],[Harga Normal B]]*cadangan[[#This Row],[Diskon]]),cadangan[[#This Row],[Harga Normal B]])</f>
        <v>300000</v>
      </c>
      <c r="S961" s="73">
        <f>IFERROR(INDEX(Katalog!$F$3:$F$12,MATCH(cadangan[[#This Row],[ItemID B]],Katalog!$C$3:$C$12,0))*cadangan[[#This Row],[Qty B]],0)</f>
        <v>100000</v>
      </c>
      <c r="T961" s="73">
        <f>IFERROR(cadangan[[#This Row],[Harga Diskon B]]-INDEX(Katalog!$E$3:$E$12,MATCH(cadangan[[#This Row],[ItemID B]],Katalog!$C$3:$C$12,0))*cadangan[[#This Row],[Qty B]],0)</f>
        <v>100000</v>
      </c>
      <c r="U961" s="39" t="s">
        <v>62</v>
      </c>
      <c r="V961" s="39" t="str">
        <f>IFERROR(INDEX(Katalog!$A$3:$A$12,MATCH(cadangan[[#This Row],[ItemID C]],Katalog!$C$3:$C$12,0)),"-")</f>
        <v>Pakaian Pria</v>
      </c>
      <c r="W961" s="39" t="str">
        <f>IFERROR(INDEX(Katalog!$B$3:$B$12,MATCH(cadangan[[#This Row],[ItemID C]],Katalog!$C$3:$C$12,0)),"-")</f>
        <v>Celana Pendek</v>
      </c>
      <c r="X961" s="50">
        <v>1</v>
      </c>
      <c r="Y961" s="50">
        <v>3</v>
      </c>
      <c r="Z961" s="73">
        <f>IFERROR(INDEX(Katalog!$D$3:$D$12,MATCH(cadangan[[#This Row],[ItemID C]],Katalog!$C$3:$C$12,0))*cadangan[[#This Row],[Qty C]],0)</f>
        <v>180000</v>
      </c>
      <c r="AA961" s="73">
        <f>IFERROR(cadangan[[#This Row],[Harga Normal C]]-(cadangan[[#This Row],[Harga Normal C]]*cadangan[[#This Row],[Diskon]]),cadangan[[#This Row],[Harga Normal C]])</f>
        <v>180000</v>
      </c>
      <c r="AB961" s="73">
        <f>IFERROR(INDEX(Katalog!$F$3:$F$12,MATCH(cadangan[[#This Row],[ItemID C]],Katalog!$C$3:$C$12,0))*cadangan[[#This Row],[Qty C]],0)</f>
        <v>70000</v>
      </c>
      <c r="AC961" s="73">
        <f>IFERROR(cadangan[[#This Row],[Harga Diskon C]]-INDEX(Katalog!$E$3:$E$12,MATCH(cadangan[[#This Row],[ItemID C]],Katalog!$C$3:$C$12,0))*cadangan[[#This Row],[Qty C]],0)</f>
        <v>70000</v>
      </c>
      <c r="AD961" s="53">
        <f>cadangan[[#This Row],[Qty A]]+cadangan[[#This Row],[Qty B]]+cadangan[[#This Row],[Qty C]]</f>
        <v>6</v>
      </c>
      <c r="AE961" s="73">
        <f>cadangan[[#This Row],[Harga Normal A]]+cadangan[[#This Row],[Harga Normal B]]+cadangan[[#This Row],[Harga Normal C]]</f>
        <v>1200000</v>
      </c>
      <c r="AF961" s="73">
        <f>cadangan[[#This Row],[Harga Diskon A]]+cadangan[[#This Row],[Harga Diskon B]]+cadangan[[#This Row],[Harga Diskon C]]</f>
        <v>1200000</v>
      </c>
      <c r="AG961" s="73">
        <f>(cadangan[[#This Row],[Profit Normal A]]+cadangan[[#This Row],[Profit Normal B]]+cadangan[[#This Row],[Profit Normal C]])</f>
        <v>450000</v>
      </c>
      <c r="AH961" s="73">
        <f>cadangan[[#This Row],[Profit Diskon A]]+cadangan[[#This Row],[Profit Diskon B]]+cadangan[[#This Row],[Profit Diskon C]]</f>
        <v>450000</v>
      </c>
      <c r="AI961" s="23" t="s">
        <v>290</v>
      </c>
      <c r="AJ961" s="37" t="str">
        <f>IFERROR(INDEX('Kode Diskon'!$D$3:$D$9,MATCH(cadangan[[#This Row],[Kode diskon]],'Kode Diskon'!$C$3:$C$9,0)),"-")</f>
        <v>-</v>
      </c>
      <c r="AK961" s="23" t="s">
        <v>290</v>
      </c>
      <c r="AL961" s="23" t="s">
        <v>7</v>
      </c>
      <c r="AM961" s="23" t="s">
        <v>78</v>
      </c>
      <c r="AN961" s="55">
        <v>45024</v>
      </c>
      <c r="AO961" s="53">
        <f>DAY(cadangan[[#This Row],[Tanggal terjual]])</f>
        <v>8</v>
      </c>
      <c r="AP961" s="21" t="str">
        <f>TEXT(cadangan[[#This Row],[Tanggal terjual]],"dddd")</f>
        <v>Saturday</v>
      </c>
      <c r="AQ961" s="23" t="str" cm="1">
        <f t="array" ref="AQ96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61" s="61">
        <f>AVERAGE(cadangan[[#This Row],[Rating A]],cadangan[[#This Row],[Rating B]],cadangan[[#This Row],[Rating C]])</f>
        <v>3.3333333333333335</v>
      </c>
    </row>
    <row r="962" spans="1:44" x14ac:dyDescent="0.2">
      <c r="A962" s="20">
        <v>961</v>
      </c>
      <c r="B962" s="21" t="str">
        <f>_xlfn.CONCAT("ORD-",INDEX(Helper!$B$2:$B$5,MATCH(cadangan[[#This Row],[Marketplace]],Helper!$A$2:$A$5,0)),TEXT(cadangan[[#This Row],[No]],"0000"),"-",TEXT(cadangan[[#This Row],[Tanggal terjual]],"dd/mm/yy"))</f>
        <v>ORD-TK0961-29/04/23</v>
      </c>
      <c r="C962" s="39" t="s">
        <v>66</v>
      </c>
      <c r="D962" s="39" t="str">
        <f>IFERROR(INDEX(Katalog!$A$3:$A$12,MATCH(cadangan[[#This Row],[ItemID A]],Katalog!$C$3:$C$12,0)),"-")</f>
        <v>Sepatu Pria</v>
      </c>
      <c r="E962" s="39" t="str">
        <f>IFERROR(INDEX(Katalog!$B$3:$B$12,MATCH(cadangan[[#This Row],[ItemID A]],Katalog!$C$3:$C$12,0)),"-")</f>
        <v>Sandal Slip On</v>
      </c>
      <c r="F962" s="50">
        <v>2</v>
      </c>
      <c r="G962" s="50">
        <v>3</v>
      </c>
      <c r="H962" s="73">
        <f>IFERROR(INDEX(Katalog!$D$3:$D$12,MATCH(cadangan[[#This Row],[ItemID A]],Katalog!$C$3:$C$12,0))*cadangan[[#This Row],[Qty A]],0)</f>
        <v>300000</v>
      </c>
      <c r="I962" s="73">
        <f>IFERROR(cadangan[[#This Row],[Harga Normal A]]-(cadangan[[#This Row],[Harga Normal A]]*cadangan[[#This Row],[Diskon]]),cadangan[[#This Row],[Harga Normal A]])</f>
        <v>270000</v>
      </c>
      <c r="J962" s="73">
        <f>INDEX(Katalog!$F$3:$F$12,MATCH(cadangan[[#This Row],[ItemID A]],Katalog!$C$3:$C$12,0))*cadangan[[#This Row],[Qty A]]</f>
        <v>120000</v>
      </c>
      <c r="K962" s="73">
        <f>IFERROR(cadangan[[#This Row],[Harga Diskon A]]-INDEX(Katalog!$E$3:$E$12,MATCH(cadangan[[#This Row],[ItemID A]],Katalog!$C$3:$C$12,0))*cadangan[[#This Row],[Qty A]],0)</f>
        <v>90000</v>
      </c>
      <c r="M962" s="39" t="str">
        <f>IFERROR(INDEX(Katalog!$A$3:$A$12,MATCH(cadangan[[#This Row],[ItemID B]],Katalog!$C$3:$C$12,0)),"-")</f>
        <v>-</v>
      </c>
      <c r="N962" s="39" t="str">
        <f>IFERROR(INDEX(Katalog!$B$3:$B$12,MATCH(cadangan[[#This Row],[ItemID B]],Katalog!$C$3:$C$12,0)),"-")</f>
        <v>-</v>
      </c>
      <c r="Q962" s="73">
        <f>IFERROR(INDEX(Katalog!$D$3:$D$12,MATCH(cadangan[[#This Row],[ItemID B]],Katalog!$C$3:$C$12,0))*cadangan[[#This Row],[Qty B]],0)</f>
        <v>0</v>
      </c>
      <c r="R962" s="73">
        <f>IFERROR(cadangan[[#This Row],[Harga Normal B]]-(cadangan[[#This Row],[Harga Normal B]]*cadangan[[#This Row],[Diskon]]),cadangan[[#This Row],[Harga Normal B]])</f>
        <v>0</v>
      </c>
      <c r="S962" s="73">
        <f>IFERROR(INDEX(Katalog!$F$3:$F$12,MATCH(cadangan[[#This Row],[ItemID B]],Katalog!$C$3:$C$12,0))*cadangan[[#This Row],[Qty B]],0)</f>
        <v>0</v>
      </c>
      <c r="T962" s="73">
        <f>IFERROR(cadangan[[#This Row],[Harga Diskon B]]-INDEX(Katalog!$E$3:$E$12,MATCH(cadangan[[#This Row],[ItemID B]],Katalog!$C$3:$C$12,0))*cadangan[[#This Row],[Qty B]],0)</f>
        <v>0</v>
      </c>
      <c r="V962" s="39" t="str">
        <f>IFERROR(INDEX(Katalog!$A$3:$A$12,MATCH(cadangan[[#This Row],[ItemID C]],Katalog!$C$3:$C$12,0)),"-")</f>
        <v>-</v>
      </c>
      <c r="W962" s="39" t="str">
        <f>IFERROR(INDEX(Katalog!$B$3:$B$12,MATCH(cadangan[[#This Row],[ItemID C]],Katalog!$C$3:$C$12,0)),"-")</f>
        <v>-</v>
      </c>
      <c r="Z962" s="73">
        <f>IFERROR(INDEX(Katalog!$D$3:$D$12,MATCH(cadangan[[#This Row],[ItemID C]],Katalog!$C$3:$C$12,0))*cadangan[[#This Row],[Qty C]],0)</f>
        <v>0</v>
      </c>
      <c r="AA962" s="73">
        <f>IFERROR(cadangan[[#This Row],[Harga Normal C]]-(cadangan[[#This Row],[Harga Normal C]]*cadangan[[#This Row],[Diskon]]),cadangan[[#This Row],[Harga Normal C]])</f>
        <v>0</v>
      </c>
      <c r="AB962" s="73">
        <f>IFERROR(INDEX(Katalog!$F$3:$F$12,MATCH(cadangan[[#This Row],[ItemID C]],Katalog!$C$3:$C$12,0))*cadangan[[#This Row],[Qty C]],0)</f>
        <v>0</v>
      </c>
      <c r="AC962" s="73">
        <f>IFERROR(cadangan[[#This Row],[Harga Diskon C]]-INDEX(Katalog!$E$3:$E$12,MATCH(cadangan[[#This Row],[ItemID C]],Katalog!$C$3:$C$12,0))*cadangan[[#This Row],[Qty C]],0)</f>
        <v>0</v>
      </c>
      <c r="AD962" s="53">
        <f>cadangan[[#This Row],[Qty A]]+cadangan[[#This Row],[Qty B]]+cadangan[[#This Row],[Qty C]]</f>
        <v>2</v>
      </c>
      <c r="AE962" s="73">
        <f>cadangan[[#This Row],[Harga Normal A]]+cadangan[[#This Row],[Harga Normal B]]+cadangan[[#This Row],[Harga Normal C]]</f>
        <v>300000</v>
      </c>
      <c r="AF962" s="73">
        <f>cadangan[[#This Row],[Harga Diskon A]]+cadangan[[#This Row],[Harga Diskon B]]+cadangan[[#This Row],[Harga Diskon C]]</f>
        <v>270000</v>
      </c>
      <c r="AG962" s="73">
        <f>(cadangan[[#This Row],[Profit Normal A]]+cadangan[[#This Row],[Profit Normal B]]+cadangan[[#This Row],[Profit Normal C]])</f>
        <v>120000</v>
      </c>
      <c r="AH962" s="73">
        <f>cadangan[[#This Row],[Profit Diskon A]]+cadangan[[#This Row],[Profit Diskon B]]+cadangan[[#This Row],[Profit Diskon C]]</f>
        <v>90000</v>
      </c>
      <c r="AI962" s="23" t="s">
        <v>31</v>
      </c>
      <c r="AJ962" s="37">
        <f>IFERROR(INDEX('Kode Diskon'!$D$3:$D$9,MATCH(cadangan[[#This Row],[Kode diskon]],'Kode Diskon'!$C$3:$C$9,0)),"-")</f>
        <v>0.1</v>
      </c>
      <c r="AK962" s="23" t="s">
        <v>9</v>
      </c>
      <c r="AL962" s="23" t="s">
        <v>10</v>
      </c>
      <c r="AM962" s="23" t="s">
        <v>76</v>
      </c>
      <c r="AN962" s="55">
        <v>45045</v>
      </c>
      <c r="AO962" s="53">
        <f>DAY(cadangan[[#This Row],[Tanggal terjual]])</f>
        <v>29</v>
      </c>
      <c r="AP962" s="21" t="str">
        <f>TEXT(cadangan[[#This Row],[Tanggal terjual]],"dddd")</f>
        <v>Saturday</v>
      </c>
      <c r="AQ962" s="23" t="str" cm="1">
        <f t="array" ref="AQ96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62" s="61">
        <f>AVERAGE(cadangan[[#This Row],[Rating A]],cadangan[[#This Row],[Rating B]],cadangan[[#This Row],[Rating C]])</f>
        <v>3</v>
      </c>
    </row>
    <row r="963" spans="1:44" x14ac:dyDescent="0.2">
      <c r="A963" s="20">
        <v>962</v>
      </c>
      <c r="B963" s="21" t="str">
        <f>_xlfn.CONCAT("ORD-",INDEX(Helper!$B$2:$B$5,MATCH(cadangan[[#This Row],[Marketplace]],Helper!$A$2:$A$5,0)),TEXT(cadangan[[#This Row],[No]],"0000"),"-",TEXT(cadangan[[#This Row],[Tanggal terjual]],"dd/mm/yy"))</f>
        <v>ORD-TK0962-06/04/23</v>
      </c>
      <c r="C963" s="39" t="s">
        <v>62</v>
      </c>
      <c r="D963" s="39" t="str">
        <f>IFERROR(INDEX(Katalog!$A$3:$A$12,MATCH(cadangan[[#This Row],[ItemID A]],Katalog!$C$3:$C$12,0)),"-")</f>
        <v>Pakaian Pria</v>
      </c>
      <c r="E963" s="39" t="str">
        <f>IFERROR(INDEX(Katalog!$B$3:$B$12,MATCH(cadangan[[#This Row],[ItemID A]],Katalog!$C$3:$C$12,0)),"-")</f>
        <v>Celana Pendek</v>
      </c>
      <c r="F963" s="50">
        <v>1</v>
      </c>
      <c r="G963" s="50">
        <v>4</v>
      </c>
      <c r="H963" s="73">
        <f>IFERROR(INDEX(Katalog!$D$3:$D$12,MATCH(cadangan[[#This Row],[ItemID A]],Katalog!$C$3:$C$12,0))*cadangan[[#This Row],[Qty A]],0)</f>
        <v>180000</v>
      </c>
      <c r="I963" s="73">
        <f>IFERROR(cadangan[[#This Row],[Harga Normal A]]-(cadangan[[#This Row],[Harga Normal A]]*cadangan[[#This Row],[Diskon]]),cadangan[[#This Row],[Harga Normal A]])</f>
        <v>162000</v>
      </c>
      <c r="J963" s="73">
        <f>INDEX(Katalog!$F$3:$F$12,MATCH(cadangan[[#This Row],[ItemID A]],Katalog!$C$3:$C$12,0))*cadangan[[#This Row],[Qty A]]</f>
        <v>70000</v>
      </c>
      <c r="K963" s="73">
        <f>IFERROR(cadangan[[#This Row],[Harga Diskon A]]-INDEX(Katalog!$E$3:$E$12,MATCH(cadangan[[#This Row],[ItemID A]],Katalog!$C$3:$C$12,0))*cadangan[[#This Row],[Qty A]],0)</f>
        <v>52000</v>
      </c>
      <c r="L963" s="39" t="s">
        <v>65</v>
      </c>
      <c r="M963" s="39" t="str">
        <f>IFERROR(INDEX(Katalog!$A$3:$A$12,MATCH(cadangan[[#This Row],[ItemID B]],Katalog!$C$3:$C$12,0)),"-")</f>
        <v>Sepatu Pria</v>
      </c>
      <c r="N963" s="39" t="str">
        <f>IFERROR(INDEX(Katalog!$B$3:$B$12,MATCH(cadangan[[#This Row],[ItemID B]],Katalog!$C$3:$C$12,0)),"-")</f>
        <v>Sneakers</v>
      </c>
      <c r="O963" s="50">
        <v>3</v>
      </c>
      <c r="P963" s="50">
        <v>1</v>
      </c>
      <c r="Q963" s="73">
        <f>IFERROR(INDEX(Katalog!$D$3:$D$12,MATCH(cadangan[[#This Row],[ItemID B]],Katalog!$C$3:$C$12,0))*cadangan[[#This Row],[Qty B]],0)</f>
        <v>1500000</v>
      </c>
      <c r="R963" s="73">
        <f>IFERROR(cadangan[[#This Row],[Harga Normal B]]-(cadangan[[#This Row],[Harga Normal B]]*cadangan[[#This Row],[Diskon]]),cadangan[[#This Row],[Harga Normal B]])</f>
        <v>1350000</v>
      </c>
      <c r="S963" s="73">
        <f>IFERROR(INDEX(Katalog!$F$3:$F$12,MATCH(cadangan[[#This Row],[ItemID B]],Katalog!$C$3:$C$12,0))*cadangan[[#This Row],[Qty B]],0)</f>
        <v>600000</v>
      </c>
      <c r="T963" s="73">
        <f>IFERROR(cadangan[[#This Row],[Harga Diskon B]]-INDEX(Katalog!$E$3:$E$12,MATCH(cadangan[[#This Row],[ItemID B]],Katalog!$C$3:$C$12,0))*cadangan[[#This Row],[Qty B]],0)</f>
        <v>450000</v>
      </c>
      <c r="U963" s="39" t="s">
        <v>66</v>
      </c>
      <c r="V963" s="39" t="str">
        <f>IFERROR(INDEX(Katalog!$A$3:$A$12,MATCH(cadangan[[#This Row],[ItemID C]],Katalog!$C$3:$C$12,0)),"-")</f>
        <v>Sepatu Pria</v>
      </c>
      <c r="W963" s="39" t="str">
        <f>IFERROR(INDEX(Katalog!$B$3:$B$12,MATCH(cadangan[[#This Row],[ItemID C]],Katalog!$C$3:$C$12,0)),"-")</f>
        <v>Sandal Slip On</v>
      </c>
      <c r="X963" s="50">
        <v>2</v>
      </c>
      <c r="Y963" s="50">
        <v>4</v>
      </c>
      <c r="Z963" s="73">
        <f>IFERROR(INDEX(Katalog!$D$3:$D$12,MATCH(cadangan[[#This Row],[ItemID C]],Katalog!$C$3:$C$12,0))*cadangan[[#This Row],[Qty C]],0)</f>
        <v>300000</v>
      </c>
      <c r="AA963" s="73">
        <f>IFERROR(cadangan[[#This Row],[Harga Normal C]]-(cadangan[[#This Row],[Harga Normal C]]*cadangan[[#This Row],[Diskon]]),cadangan[[#This Row],[Harga Normal C]])</f>
        <v>270000</v>
      </c>
      <c r="AB963" s="73">
        <f>IFERROR(INDEX(Katalog!$F$3:$F$12,MATCH(cadangan[[#This Row],[ItemID C]],Katalog!$C$3:$C$12,0))*cadangan[[#This Row],[Qty C]],0)</f>
        <v>120000</v>
      </c>
      <c r="AC963" s="73">
        <f>IFERROR(cadangan[[#This Row],[Harga Diskon C]]-INDEX(Katalog!$E$3:$E$12,MATCH(cadangan[[#This Row],[ItemID C]],Katalog!$C$3:$C$12,0))*cadangan[[#This Row],[Qty C]],0)</f>
        <v>90000</v>
      </c>
      <c r="AD963" s="53">
        <f>cadangan[[#This Row],[Qty A]]+cadangan[[#This Row],[Qty B]]+cadangan[[#This Row],[Qty C]]</f>
        <v>6</v>
      </c>
      <c r="AE963" s="73">
        <f>cadangan[[#This Row],[Harga Normal A]]+cadangan[[#This Row],[Harga Normal B]]+cadangan[[#This Row],[Harga Normal C]]</f>
        <v>1980000</v>
      </c>
      <c r="AF963" s="73">
        <f>cadangan[[#This Row],[Harga Diskon A]]+cadangan[[#This Row],[Harga Diskon B]]+cadangan[[#This Row],[Harga Diskon C]]</f>
        <v>1782000</v>
      </c>
      <c r="AG963" s="73">
        <f>(cadangan[[#This Row],[Profit Normal A]]+cadangan[[#This Row],[Profit Normal B]]+cadangan[[#This Row],[Profit Normal C]])</f>
        <v>790000</v>
      </c>
      <c r="AH963" s="73">
        <f>cadangan[[#This Row],[Profit Diskon A]]+cadangan[[#This Row],[Profit Diskon B]]+cadangan[[#This Row],[Profit Diskon C]]</f>
        <v>592000</v>
      </c>
      <c r="AI963" s="23" t="s">
        <v>30</v>
      </c>
      <c r="AJ963" s="37">
        <f>IFERROR(INDEX('Kode Diskon'!$D$3:$D$9,MATCH(cadangan[[#This Row],[Kode diskon]],'Kode Diskon'!$C$3:$C$9,0)),"-")</f>
        <v>0.1</v>
      </c>
      <c r="AK963" s="23" t="s">
        <v>29</v>
      </c>
      <c r="AL963" s="23" t="s">
        <v>10</v>
      </c>
      <c r="AM963" s="23" t="s">
        <v>80</v>
      </c>
      <c r="AN963" s="55">
        <v>45022</v>
      </c>
      <c r="AO963" s="53">
        <f>DAY(cadangan[[#This Row],[Tanggal terjual]])</f>
        <v>6</v>
      </c>
      <c r="AP963" s="21" t="str">
        <f>TEXT(cadangan[[#This Row],[Tanggal terjual]],"dddd")</f>
        <v>Thursday</v>
      </c>
      <c r="AQ963" s="23" t="str" cm="1">
        <f t="array" ref="AQ96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63" s="61">
        <f>AVERAGE(cadangan[[#This Row],[Rating A]],cadangan[[#This Row],[Rating B]],cadangan[[#This Row],[Rating C]])</f>
        <v>3</v>
      </c>
    </row>
    <row r="964" spans="1:44" x14ac:dyDescent="0.2">
      <c r="A964" s="20">
        <v>963</v>
      </c>
      <c r="B964" s="21" t="str">
        <f>_xlfn.CONCAT("ORD-",INDEX(Helper!$B$2:$B$5,MATCH(cadangan[[#This Row],[Marketplace]],Helper!$A$2:$A$5,0)),TEXT(cadangan[[#This Row],[No]],"0000"),"-",TEXT(cadangan[[#This Row],[Tanggal terjual]],"dd/mm/yy"))</f>
        <v>ORD-SP0963-05/04/23</v>
      </c>
      <c r="C964" s="39" t="s">
        <v>63</v>
      </c>
      <c r="D964" s="39" t="str">
        <f>IFERROR(INDEX(Katalog!$A$3:$A$12,MATCH(cadangan[[#This Row],[ItemID A]],Katalog!$C$3:$C$12,0)),"-")</f>
        <v>Pakaian Pria</v>
      </c>
      <c r="E964" s="39" t="str">
        <f>IFERROR(INDEX(Katalog!$B$3:$B$12,MATCH(cadangan[[#This Row],[ItemID A]],Katalog!$C$3:$C$12,0)),"-")</f>
        <v>Jaket Jeans</v>
      </c>
      <c r="F964" s="50">
        <v>4</v>
      </c>
      <c r="G964" s="50">
        <v>3</v>
      </c>
      <c r="H964" s="73">
        <f>IFERROR(INDEX(Katalog!$D$3:$D$12,MATCH(cadangan[[#This Row],[ItemID A]],Katalog!$C$3:$C$12,0))*cadangan[[#This Row],[Qty A]],0)</f>
        <v>1600000</v>
      </c>
      <c r="I964" s="73">
        <f>IFERROR(cadangan[[#This Row],[Harga Normal A]]-(cadangan[[#This Row],[Harga Normal A]]*cadangan[[#This Row],[Diskon]]),cadangan[[#This Row],[Harga Normal A]])</f>
        <v>1440000</v>
      </c>
      <c r="J964" s="73">
        <f>INDEX(Katalog!$F$3:$F$12,MATCH(cadangan[[#This Row],[ItemID A]],Katalog!$C$3:$C$12,0))*cadangan[[#This Row],[Qty A]]</f>
        <v>600000</v>
      </c>
      <c r="K964" s="73">
        <f>IFERROR(cadangan[[#This Row],[Harga Diskon A]]-INDEX(Katalog!$E$3:$E$12,MATCH(cadangan[[#This Row],[ItemID A]],Katalog!$C$3:$C$12,0))*cadangan[[#This Row],[Qty A]],0)</f>
        <v>440000</v>
      </c>
      <c r="M964" s="39" t="str">
        <f>IFERROR(INDEX(Katalog!$A$3:$A$12,MATCH(cadangan[[#This Row],[ItemID B]],Katalog!$C$3:$C$12,0)),"-")</f>
        <v>-</v>
      </c>
      <c r="N964" s="39" t="str">
        <f>IFERROR(INDEX(Katalog!$B$3:$B$12,MATCH(cadangan[[#This Row],[ItemID B]],Katalog!$C$3:$C$12,0)),"-")</f>
        <v>-</v>
      </c>
      <c r="Q964" s="73">
        <f>IFERROR(INDEX(Katalog!$D$3:$D$12,MATCH(cadangan[[#This Row],[ItemID B]],Katalog!$C$3:$C$12,0))*cadangan[[#This Row],[Qty B]],0)</f>
        <v>0</v>
      </c>
      <c r="R964" s="73">
        <f>IFERROR(cadangan[[#This Row],[Harga Normal B]]-(cadangan[[#This Row],[Harga Normal B]]*cadangan[[#This Row],[Diskon]]),cadangan[[#This Row],[Harga Normal B]])</f>
        <v>0</v>
      </c>
      <c r="S964" s="73">
        <f>IFERROR(INDEX(Katalog!$F$3:$F$12,MATCH(cadangan[[#This Row],[ItemID B]],Katalog!$C$3:$C$12,0))*cadangan[[#This Row],[Qty B]],0)</f>
        <v>0</v>
      </c>
      <c r="T964" s="73">
        <f>IFERROR(cadangan[[#This Row],[Harga Diskon B]]-INDEX(Katalog!$E$3:$E$12,MATCH(cadangan[[#This Row],[ItemID B]],Katalog!$C$3:$C$12,0))*cadangan[[#This Row],[Qty B]],0)</f>
        <v>0</v>
      </c>
      <c r="V964" s="39" t="str">
        <f>IFERROR(INDEX(Katalog!$A$3:$A$12,MATCH(cadangan[[#This Row],[ItemID C]],Katalog!$C$3:$C$12,0)),"-")</f>
        <v>-</v>
      </c>
      <c r="W964" s="39" t="str">
        <f>IFERROR(INDEX(Katalog!$B$3:$B$12,MATCH(cadangan[[#This Row],[ItemID C]],Katalog!$C$3:$C$12,0)),"-")</f>
        <v>-</v>
      </c>
      <c r="Z964" s="73">
        <f>IFERROR(INDEX(Katalog!$D$3:$D$12,MATCH(cadangan[[#This Row],[ItemID C]],Katalog!$C$3:$C$12,0))*cadangan[[#This Row],[Qty C]],0)</f>
        <v>0</v>
      </c>
      <c r="AA964" s="73">
        <f>IFERROR(cadangan[[#This Row],[Harga Normal C]]-(cadangan[[#This Row],[Harga Normal C]]*cadangan[[#This Row],[Diskon]]),cadangan[[#This Row],[Harga Normal C]])</f>
        <v>0</v>
      </c>
      <c r="AB964" s="73">
        <f>IFERROR(INDEX(Katalog!$F$3:$F$12,MATCH(cadangan[[#This Row],[ItemID C]],Katalog!$C$3:$C$12,0))*cadangan[[#This Row],[Qty C]],0)</f>
        <v>0</v>
      </c>
      <c r="AC964" s="73">
        <f>IFERROR(cadangan[[#This Row],[Harga Diskon C]]-INDEX(Katalog!$E$3:$E$12,MATCH(cadangan[[#This Row],[ItemID C]],Katalog!$C$3:$C$12,0))*cadangan[[#This Row],[Qty C]],0)</f>
        <v>0</v>
      </c>
      <c r="AD964" s="53">
        <f>cadangan[[#This Row],[Qty A]]+cadangan[[#This Row],[Qty B]]+cadangan[[#This Row],[Qty C]]</f>
        <v>4</v>
      </c>
      <c r="AE964" s="73">
        <f>cadangan[[#This Row],[Harga Normal A]]+cadangan[[#This Row],[Harga Normal B]]+cadangan[[#This Row],[Harga Normal C]]</f>
        <v>1600000</v>
      </c>
      <c r="AF964" s="73">
        <f>cadangan[[#This Row],[Harga Diskon A]]+cadangan[[#This Row],[Harga Diskon B]]+cadangan[[#This Row],[Harga Diskon C]]</f>
        <v>1440000</v>
      </c>
      <c r="AG964" s="73">
        <f>(cadangan[[#This Row],[Profit Normal A]]+cadangan[[#This Row],[Profit Normal B]]+cadangan[[#This Row],[Profit Normal C]])</f>
        <v>600000</v>
      </c>
      <c r="AH964" s="73">
        <f>cadangan[[#This Row],[Profit Diskon A]]+cadangan[[#This Row],[Profit Diskon B]]+cadangan[[#This Row],[Profit Diskon C]]</f>
        <v>440000</v>
      </c>
      <c r="AI964" s="23" t="s">
        <v>6</v>
      </c>
      <c r="AJ964" s="37">
        <f>IFERROR(INDEX('Kode Diskon'!$D$3:$D$9,MATCH(cadangan[[#This Row],[Kode diskon]],'Kode Diskon'!$C$3:$C$9,0)),"-")</f>
        <v>0.1</v>
      </c>
      <c r="AK964" s="23" t="s">
        <v>29</v>
      </c>
      <c r="AL964" s="23" t="s">
        <v>7</v>
      </c>
      <c r="AM964" s="23" t="s">
        <v>80</v>
      </c>
      <c r="AN964" s="55">
        <v>45021</v>
      </c>
      <c r="AO964" s="53">
        <f>DAY(cadangan[[#This Row],[Tanggal terjual]])</f>
        <v>5</v>
      </c>
      <c r="AP964" s="21" t="str">
        <f>TEXT(cadangan[[#This Row],[Tanggal terjual]],"dddd")</f>
        <v>Wednesday</v>
      </c>
      <c r="AQ964" s="23" t="str" cm="1">
        <f t="array" ref="AQ96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64" s="61">
        <f>AVERAGE(cadangan[[#This Row],[Rating A]],cadangan[[#This Row],[Rating B]],cadangan[[#This Row],[Rating C]])</f>
        <v>3</v>
      </c>
    </row>
    <row r="965" spans="1:44" x14ac:dyDescent="0.2">
      <c r="A965" s="20">
        <v>964</v>
      </c>
      <c r="B965" s="21" t="str">
        <f>_xlfn.CONCAT("ORD-",INDEX(Helper!$B$2:$B$5,MATCH(cadangan[[#This Row],[Marketplace]],Helper!$A$2:$A$5,0)),TEXT(cadangan[[#This Row],[No]],"0000"),"-",TEXT(cadangan[[#This Row],[Tanggal terjual]],"dd/mm/yy"))</f>
        <v>ORD-BB0964-06/04/23</v>
      </c>
      <c r="C965" s="39" t="s">
        <v>63</v>
      </c>
      <c r="D965" s="39" t="str">
        <f>IFERROR(INDEX(Katalog!$A$3:$A$12,MATCH(cadangan[[#This Row],[ItemID A]],Katalog!$C$3:$C$12,0)),"-")</f>
        <v>Pakaian Pria</v>
      </c>
      <c r="E965" s="39" t="str">
        <f>IFERROR(INDEX(Katalog!$B$3:$B$12,MATCH(cadangan[[#This Row],[ItemID A]],Katalog!$C$3:$C$12,0)),"-")</f>
        <v>Jaket Jeans</v>
      </c>
      <c r="F965" s="50">
        <v>3</v>
      </c>
      <c r="G965" s="50">
        <v>3</v>
      </c>
      <c r="H965" s="73">
        <f>IFERROR(INDEX(Katalog!$D$3:$D$12,MATCH(cadangan[[#This Row],[ItemID A]],Katalog!$C$3:$C$12,0))*cadangan[[#This Row],[Qty A]],0)</f>
        <v>1200000</v>
      </c>
      <c r="I965" s="73">
        <f>IFERROR(cadangan[[#This Row],[Harga Normal A]]-(cadangan[[#This Row],[Harga Normal A]]*cadangan[[#This Row],[Diskon]]),cadangan[[#This Row],[Harga Normal A]])</f>
        <v>1020000</v>
      </c>
      <c r="J965" s="73">
        <f>INDEX(Katalog!$F$3:$F$12,MATCH(cadangan[[#This Row],[ItemID A]],Katalog!$C$3:$C$12,0))*cadangan[[#This Row],[Qty A]]</f>
        <v>450000</v>
      </c>
      <c r="K965" s="73">
        <f>IFERROR(cadangan[[#This Row],[Harga Diskon A]]-INDEX(Katalog!$E$3:$E$12,MATCH(cadangan[[#This Row],[ItemID A]],Katalog!$C$3:$C$12,0))*cadangan[[#This Row],[Qty A]],0)</f>
        <v>270000</v>
      </c>
      <c r="L965" s="39" t="s">
        <v>59</v>
      </c>
      <c r="M965" s="39" t="str">
        <f>IFERROR(INDEX(Katalog!$A$3:$A$12,MATCH(cadangan[[#This Row],[ItemID B]],Katalog!$C$3:$C$12,0)),"-")</f>
        <v>Pakaian Wanita</v>
      </c>
      <c r="N965" s="39" t="str">
        <f>IFERROR(INDEX(Katalog!$B$3:$B$12,MATCH(cadangan[[#This Row],[ItemID B]],Katalog!$C$3:$C$12,0)),"-")</f>
        <v>Blouse</v>
      </c>
      <c r="O965" s="50">
        <v>3</v>
      </c>
      <c r="P965" s="50">
        <v>2</v>
      </c>
      <c r="Q965" s="73">
        <f>IFERROR(INDEX(Katalog!$D$3:$D$12,MATCH(cadangan[[#This Row],[ItemID B]],Katalog!$C$3:$C$12,0))*cadangan[[#This Row],[Qty B]],0)</f>
        <v>450000</v>
      </c>
      <c r="R965" s="73">
        <f>IFERROR(cadangan[[#This Row],[Harga Normal B]]-(cadangan[[#This Row],[Harga Normal B]]*cadangan[[#This Row],[Diskon]]),cadangan[[#This Row],[Harga Normal B]])</f>
        <v>382500</v>
      </c>
      <c r="S965" s="73">
        <f>IFERROR(INDEX(Katalog!$F$3:$F$12,MATCH(cadangan[[#This Row],[ItemID B]],Katalog!$C$3:$C$12,0))*cadangan[[#This Row],[Qty B]],0)</f>
        <v>150000</v>
      </c>
      <c r="T965" s="73">
        <f>IFERROR(cadangan[[#This Row],[Harga Diskon B]]-INDEX(Katalog!$E$3:$E$12,MATCH(cadangan[[#This Row],[ItemID B]],Katalog!$C$3:$C$12,0))*cadangan[[#This Row],[Qty B]],0)</f>
        <v>82500</v>
      </c>
      <c r="V965" s="39" t="str">
        <f>IFERROR(INDEX(Katalog!$A$3:$A$12,MATCH(cadangan[[#This Row],[ItemID C]],Katalog!$C$3:$C$12,0)),"-")</f>
        <v>-</v>
      </c>
      <c r="W965" s="39" t="str">
        <f>IFERROR(INDEX(Katalog!$B$3:$B$12,MATCH(cadangan[[#This Row],[ItemID C]],Katalog!$C$3:$C$12,0)),"-")</f>
        <v>-</v>
      </c>
      <c r="Z965" s="73">
        <f>IFERROR(INDEX(Katalog!$D$3:$D$12,MATCH(cadangan[[#This Row],[ItemID C]],Katalog!$C$3:$C$12,0))*cadangan[[#This Row],[Qty C]],0)</f>
        <v>0</v>
      </c>
      <c r="AA965" s="73">
        <f>IFERROR(cadangan[[#This Row],[Harga Normal C]]-(cadangan[[#This Row],[Harga Normal C]]*cadangan[[#This Row],[Diskon]]),cadangan[[#This Row],[Harga Normal C]])</f>
        <v>0</v>
      </c>
      <c r="AB965" s="73">
        <f>IFERROR(INDEX(Katalog!$F$3:$F$12,MATCH(cadangan[[#This Row],[ItemID C]],Katalog!$C$3:$C$12,0))*cadangan[[#This Row],[Qty C]],0)</f>
        <v>0</v>
      </c>
      <c r="AC965" s="73">
        <f>IFERROR(cadangan[[#This Row],[Harga Diskon C]]-INDEX(Katalog!$E$3:$E$12,MATCH(cadangan[[#This Row],[ItemID C]],Katalog!$C$3:$C$12,0))*cadangan[[#This Row],[Qty C]],0)</f>
        <v>0</v>
      </c>
      <c r="AD965" s="53">
        <f>cadangan[[#This Row],[Qty A]]+cadangan[[#This Row],[Qty B]]+cadangan[[#This Row],[Qty C]]</f>
        <v>6</v>
      </c>
      <c r="AE965" s="73">
        <f>cadangan[[#This Row],[Harga Normal A]]+cadangan[[#This Row],[Harga Normal B]]+cadangan[[#This Row],[Harga Normal C]]</f>
        <v>1650000</v>
      </c>
      <c r="AF965" s="73">
        <f>cadangan[[#This Row],[Harga Diskon A]]+cadangan[[#This Row],[Harga Diskon B]]+cadangan[[#This Row],[Harga Diskon C]]</f>
        <v>1402500</v>
      </c>
      <c r="AG965" s="73">
        <f>(cadangan[[#This Row],[Profit Normal A]]+cadangan[[#This Row],[Profit Normal B]]+cadangan[[#This Row],[Profit Normal C]])</f>
        <v>600000</v>
      </c>
      <c r="AH965" s="73">
        <f>cadangan[[#This Row],[Profit Diskon A]]+cadangan[[#This Row],[Profit Diskon B]]+cadangan[[#This Row],[Profit Diskon C]]</f>
        <v>352500</v>
      </c>
      <c r="AI965" s="23" t="s">
        <v>28</v>
      </c>
      <c r="AJ965" s="37">
        <f>IFERROR(INDEX('Kode Diskon'!$D$3:$D$9,MATCH(cadangan[[#This Row],[Kode diskon]],'Kode Diskon'!$C$3:$C$9,0)),"-")</f>
        <v>0.15</v>
      </c>
      <c r="AK965" s="23" t="s">
        <v>29</v>
      </c>
      <c r="AL965" s="23" t="s">
        <v>14</v>
      </c>
      <c r="AM965" s="23" t="s">
        <v>75</v>
      </c>
      <c r="AN965" s="55">
        <v>45022</v>
      </c>
      <c r="AO965" s="53">
        <f>DAY(cadangan[[#This Row],[Tanggal terjual]])</f>
        <v>6</v>
      </c>
      <c r="AP965" s="21" t="str">
        <f>TEXT(cadangan[[#This Row],[Tanggal terjual]],"dddd")</f>
        <v>Thursday</v>
      </c>
      <c r="AQ965" s="23" t="str" cm="1">
        <f t="array" ref="AQ96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65" s="61">
        <f>AVERAGE(cadangan[[#This Row],[Rating A]],cadangan[[#This Row],[Rating B]],cadangan[[#This Row],[Rating C]])</f>
        <v>2.5</v>
      </c>
    </row>
    <row r="966" spans="1:44" x14ac:dyDescent="0.2">
      <c r="A966" s="20">
        <v>965</v>
      </c>
      <c r="B966" s="21" t="str">
        <f>_xlfn.CONCAT("ORD-",INDEX(Helper!$B$2:$B$5,MATCH(cadangan[[#This Row],[Marketplace]],Helper!$A$2:$A$5,0)),TEXT(cadangan[[#This Row],[No]],"0000"),"-",TEXT(cadangan[[#This Row],[Tanggal terjual]],"dd/mm/yy"))</f>
        <v>ORD-BL0965-29/04/23</v>
      </c>
      <c r="C966" s="39" t="s">
        <v>65</v>
      </c>
      <c r="D966" s="39" t="str">
        <f>IFERROR(INDEX(Katalog!$A$3:$A$12,MATCH(cadangan[[#This Row],[ItemID A]],Katalog!$C$3:$C$12,0)),"-")</f>
        <v>Sepatu Pria</v>
      </c>
      <c r="E966" s="39" t="str">
        <f>IFERROR(INDEX(Katalog!$B$3:$B$12,MATCH(cadangan[[#This Row],[ItemID A]],Katalog!$C$3:$C$12,0)),"-")</f>
        <v>Sneakers</v>
      </c>
      <c r="F966" s="50">
        <v>4</v>
      </c>
      <c r="G966" s="50">
        <v>5</v>
      </c>
      <c r="H966" s="73">
        <f>IFERROR(INDEX(Katalog!$D$3:$D$12,MATCH(cadangan[[#This Row],[ItemID A]],Katalog!$C$3:$C$12,0))*cadangan[[#This Row],[Qty A]],0)</f>
        <v>2000000</v>
      </c>
      <c r="I966" s="73">
        <f>IFERROR(cadangan[[#This Row],[Harga Normal A]]-(cadangan[[#This Row],[Harga Normal A]]*cadangan[[#This Row],[Diskon]]),cadangan[[#This Row],[Harga Normal A]])</f>
        <v>1700000</v>
      </c>
      <c r="J966" s="73">
        <f>INDEX(Katalog!$F$3:$F$12,MATCH(cadangan[[#This Row],[ItemID A]],Katalog!$C$3:$C$12,0))*cadangan[[#This Row],[Qty A]]</f>
        <v>800000</v>
      </c>
      <c r="K966" s="73">
        <f>IFERROR(cadangan[[#This Row],[Harga Diskon A]]-INDEX(Katalog!$E$3:$E$12,MATCH(cadangan[[#This Row],[ItemID A]],Katalog!$C$3:$C$12,0))*cadangan[[#This Row],[Qty A]],0)</f>
        <v>500000</v>
      </c>
      <c r="M966" s="39" t="str">
        <f>IFERROR(INDEX(Katalog!$A$3:$A$12,MATCH(cadangan[[#This Row],[ItemID B]],Katalog!$C$3:$C$12,0)),"-")</f>
        <v>-</v>
      </c>
      <c r="N966" s="39" t="str">
        <f>IFERROR(INDEX(Katalog!$B$3:$B$12,MATCH(cadangan[[#This Row],[ItemID B]],Katalog!$C$3:$C$12,0)),"-")</f>
        <v>-</v>
      </c>
      <c r="Q966" s="73">
        <f>IFERROR(INDEX(Katalog!$D$3:$D$12,MATCH(cadangan[[#This Row],[ItemID B]],Katalog!$C$3:$C$12,0))*cadangan[[#This Row],[Qty B]],0)</f>
        <v>0</v>
      </c>
      <c r="R966" s="73">
        <f>IFERROR(cadangan[[#This Row],[Harga Normal B]]-(cadangan[[#This Row],[Harga Normal B]]*cadangan[[#This Row],[Diskon]]),cadangan[[#This Row],[Harga Normal B]])</f>
        <v>0</v>
      </c>
      <c r="S966" s="73">
        <f>IFERROR(INDEX(Katalog!$F$3:$F$12,MATCH(cadangan[[#This Row],[ItemID B]],Katalog!$C$3:$C$12,0))*cadangan[[#This Row],[Qty B]],0)</f>
        <v>0</v>
      </c>
      <c r="T966" s="73">
        <f>IFERROR(cadangan[[#This Row],[Harga Diskon B]]-INDEX(Katalog!$E$3:$E$12,MATCH(cadangan[[#This Row],[ItemID B]],Katalog!$C$3:$C$12,0))*cadangan[[#This Row],[Qty B]],0)</f>
        <v>0</v>
      </c>
      <c r="V966" s="39" t="str">
        <f>IFERROR(INDEX(Katalog!$A$3:$A$12,MATCH(cadangan[[#This Row],[ItemID C]],Katalog!$C$3:$C$12,0)),"-")</f>
        <v>-</v>
      </c>
      <c r="W966" s="39" t="str">
        <f>IFERROR(INDEX(Katalog!$B$3:$B$12,MATCH(cadangan[[#This Row],[ItemID C]],Katalog!$C$3:$C$12,0)),"-")</f>
        <v>-</v>
      </c>
      <c r="Z966" s="73">
        <f>IFERROR(INDEX(Katalog!$D$3:$D$12,MATCH(cadangan[[#This Row],[ItemID C]],Katalog!$C$3:$C$12,0))*cadangan[[#This Row],[Qty C]],0)</f>
        <v>0</v>
      </c>
      <c r="AA966" s="73">
        <f>IFERROR(cadangan[[#This Row],[Harga Normal C]]-(cadangan[[#This Row],[Harga Normal C]]*cadangan[[#This Row],[Diskon]]),cadangan[[#This Row],[Harga Normal C]])</f>
        <v>0</v>
      </c>
      <c r="AB966" s="73">
        <f>IFERROR(INDEX(Katalog!$F$3:$F$12,MATCH(cadangan[[#This Row],[ItemID C]],Katalog!$C$3:$C$12,0))*cadangan[[#This Row],[Qty C]],0)</f>
        <v>0</v>
      </c>
      <c r="AC966" s="73">
        <f>IFERROR(cadangan[[#This Row],[Harga Diskon C]]-INDEX(Katalog!$E$3:$E$12,MATCH(cadangan[[#This Row],[ItemID C]],Katalog!$C$3:$C$12,0))*cadangan[[#This Row],[Qty C]],0)</f>
        <v>0</v>
      </c>
      <c r="AD966" s="53">
        <f>cadangan[[#This Row],[Qty A]]+cadangan[[#This Row],[Qty B]]+cadangan[[#This Row],[Qty C]]</f>
        <v>4</v>
      </c>
      <c r="AE966" s="73">
        <f>cadangan[[#This Row],[Harga Normal A]]+cadangan[[#This Row],[Harga Normal B]]+cadangan[[#This Row],[Harga Normal C]]</f>
        <v>2000000</v>
      </c>
      <c r="AF966" s="73">
        <f>cadangan[[#This Row],[Harga Diskon A]]+cadangan[[#This Row],[Harga Diskon B]]+cadangan[[#This Row],[Harga Diskon C]]</f>
        <v>1700000</v>
      </c>
      <c r="AG966" s="73">
        <f>(cadangan[[#This Row],[Profit Normal A]]+cadangan[[#This Row],[Profit Normal B]]+cadangan[[#This Row],[Profit Normal C]])</f>
        <v>800000</v>
      </c>
      <c r="AH966" s="73">
        <f>cadangan[[#This Row],[Profit Diskon A]]+cadangan[[#This Row],[Profit Diskon B]]+cadangan[[#This Row],[Profit Diskon C]]</f>
        <v>500000</v>
      </c>
      <c r="AI966" s="23" t="s">
        <v>32</v>
      </c>
      <c r="AJ966" s="37">
        <f>IFERROR(INDEX('Kode Diskon'!$D$3:$D$9,MATCH(cadangan[[#This Row],[Kode diskon]],'Kode Diskon'!$C$3:$C$9,0)),"-")</f>
        <v>0.15</v>
      </c>
      <c r="AK966" s="23" t="s">
        <v>9</v>
      </c>
      <c r="AL966" s="23" t="s">
        <v>12</v>
      </c>
      <c r="AM966" s="23" t="s">
        <v>75</v>
      </c>
      <c r="AN966" s="55">
        <v>45045</v>
      </c>
      <c r="AO966" s="53">
        <f>DAY(cadangan[[#This Row],[Tanggal terjual]])</f>
        <v>29</v>
      </c>
      <c r="AP966" s="21" t="str">
        <f>TEXT(cadangan[[#This Row],[Tanggal terjual]],"dddd")</f>
        <v>Saturday</v>
      </c>
      <c r="AQ966" s="23" t="str" cm="1">
        <f t="array" ref="AQ96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66" s="61">
        <f>AVERAGE(cadangan[[#This Row],[Rating A]],cadangan[[#This Row],[Rating B]],cadangan[[#This Row],[Rating C]])</f>
        <v>5</v>
      </c>
    </row>
    <row r="967" spans="1:44" x14ac:dyDescent="0.2">
      <c r="A967" s="20">
        <v>966</v>
      </c>
      <c r="B967" s="21" t="str">
        <f>_xlfn.CONCAT("ORD-",INDEX(Helper!$B$2:$B$5,MATCH(cadangan[[#This Row],[Marketplace]],Helper!$A$2:$A$5,0)),TEXT(cadangan[[#This Row],[No]],"0000"),"-",TEXT(cadangan[[#This Row],[Tanggal terjual]],"dd/mm/yy"))</f>
        <v>ORD-SP0966-09/04/23</v>
      </c>
      <c r="C967" s="39" t="s">
        <v>61</v>
      </c>
      <c r="D967" s="39" t="str">
        <f>IFERROR(INDEX(Katalog!$A$3:$A$12,MATCH(cadangan[[#This Row],[ItemID A]],Katalog!$C$3:$C$12,0)),"-")</f>
        <v>Pakaian Pria</v>
      </c>
      <c r="E967" s="39" t="str">
        <f>IFERROR(INDEX(Katalog!$B$3:$B$12,MATCH(cadangan[[#This Row],[ItemID A]],Katalog!$C$3:$C$12,0)),"-")</f>
        <v>Kaos Polo</v>
      </c>
      <c r="F967" s="50">
        <v>2</v>
      </c>
      <c r="G967" s="50">
        <v>1</v>
      </c>
      <c r="H967" s="73">
        <f>IFERROR(INDEX(Katalog!$D$3:$D$12,MATCH(cadangan[[#This Row],[ItemID A]],Katalog!$C$3:$C$12,0))*cadangan[[#This Row],[Qty A]],0)</f>
        <v>400000</v>
      </c>
      <c r="I967" s="73">
        <f>IFERROR(cadangan[[#This Row],[Harga Normal A]]-(cadangan[[#This Row],[Harga Normal A]]*cadangan[[#This Row],[Diskon]]),cadangan[[#This Row],[Harga Normal A]])</f>
        <v>400000</v>
      </c>
      <c r="J967" s="73">
        <f>INDEX(Katalog!$F$3:$F$12,MATCH(cadangan[[#This Row],[ItemID A]],Katalog!$C$3:$C$12,0))*cadangan[[#This Row],[Qty A]]</f>
        <v>160000</v>
      </c>
      <c r="K967" s="73">
        <f>IFERROR(cadangan[[#This Row],[Harga Diskon A]]-INDEX(Katalog!$E$3:$E$12,MATCH(cadangan[[#This Row],[ItemID A]],Katalog!$C$3:$C$12,0))*cadangan[[#This Row],[Qty A]],0)</f>
        <v>160000</v>
      </c>
      <c r="L967" s="39" t="s">
        <v>60</v>
      </c>
      <c r="M967" s="39" t="str">
        <f>IFERROR(INDEX(Katalog!$A$3:$A$12,MATCH(cadangan[[#This Row],[ItemID B]],Katalog!$C$3:$C$12,0)),"-")</f>
        <v>Pakaian Wanita</v>
      </c>
      <c r="N967" s="39" t="str">
        <f>IFERROR(INDEX(Katalog!$B$3:$B$12,MATCH(cadangan[[#This Row],[ItemID B]],Katalog!$C$3:$C$12,0)),"-")</f>
        <v>Kaftan</v>
      </c>
      <c r="O967" s="50">
        <v>1</v>
      </c>
      <c r="P967" s="50">
        <v>4</v>
      </c>
      <c r="Q967" s="73">
        <f>IFERROR(INDEX(Katalog!$D$3:$D$12,MATCH(cadangan[[#This Row],[ItemID B]],Katalog!$C$3:$C$12,0))*cadangan[[#This Row],[Qty B]],0)</f>
        <v>250000</v>
      </c>
      <c r="R967" s="73">
        <f>IFERROR(cadangan[[#This Row],[Harga Normal B]]-(cadangan[[#This Row],[Harga Normal B]]*cadangan[[#This Row],[Diskon]]),cadangan[[#This Row],[Harga Normal B]])</f>
        <v>250000</v>
      </c>
      <c r="S967" s="73">
        <f>IFERROR(INDEX(Katalog!$F$3:$F$12,MATCH(cadangan[[#This Row],[ItemID B]],Katalog!$C$3:$C$12,0))*cadangan[[#This Row],[Qty B]],0)</f>
        <v>100000</v>
      </c>
      <c r="T967" s="73">
        <f>IFERROR(cadangan[[#This Row],[Harga Diskon B]]-INDEX(Katalog!$E$3:$E$12,MATCH(cadangan[[#This Row],[ItemID B]],Katalog!$C$3:$C$12,0))*cadangan[[#This Row],[Qty B]],0)</f>
        <v>100000</v>
      </c>
      <c r="U967" s="39" t="s">
        <v>67</v>
      </c>
      <c r="V967" s="39" t="str">
        <f>IFERROR(INDEX(Katalog!$A$3:$A$12,MATCH(cadangan[[#This Row],[ItemID C]],Katalog!$C$3:$C$12,0)),"-")</f>
        <v>Sepatu Wanita</v>
      </c>
      <c r="W967" s="39" t="str">
        <f>IFERROR(INDEX(Katalog!$B$3:$B$12,MATCH(cadangan[[#This Row],[ItemID C]],Katalog!$C$3:$C$12,0)),"-")</f>
        <v>Flat Shoes</v>
      </c>
      <c r="X967" s="50">
        <v>1</v>
      </c>
      <c r="Y967" s="50">
        <v>3</v>
      </c>
      <c r="Z967" s="73">
        <f>IFERROR(INDEX(Katalog!$D$3:$D$12,MATCH(cadangan[[#This Row],[ItemID C]],Katalog!$C$3:$C$12,0))*cadangan[[#This Row],[Qty C]],0)</f>
        <v>250000</v>
      </c>
      <c r="AA967" s="73">
        <f>IFERROR(cadangan[[#This Row],[Harga Normal C]]-(cadangan[[#This Row],[Harga Normal C]]*cadangan[[#This Row],[Diskon]]),cadangan[[#This Row],[Harga Normal C]])</f>
        <v>250000</v>
      </c>
      <c r="AB967" s="73">
        <f>IFERROR(INDEX(Katalog!$F$3:$F$12,MATCH(cadangan[[#This Row],[ItemID C]],Katalog!$C$3:$C$12,0))*cadangan[[#This Row],[Qty C]],0)</f>
        <v>100000</v>
      </c>
      <c r="AC967" s="73">
        <f>IFERROR(cadangan[[#This Row],[Harga Diskon C]]-INDEX(Katalog!$E$3:$E$12,MATCH(cadangan[[#This Row],[ItemID C]],Katalog!$C$3:$C$12,0))*cadangan[[#This Row],[Qty C]],0)</f>
        <v>100000</v>
      </c>
      <c r="AD967" s="53">
        <f>cadangan[[#This Row],[Qty A]]+cadangan[[#This Row],[Qty B]]+cadangan[[#This Row],[Qty C]]</f>
        <v>4</v>
      </c>
      <c r="AE967" s="73">
        <f>cadangan[[#This Row],[Harga Normal A]]+cadangan[[#This Row],[Harga Normal B]]+cadangan[[#This Row],[Harga Normal C]]</f>
        <v>900000</v>
      </c>
      <c r="AF967" s="73">
        <f>cadangan[[#This Row],[Harga Diskon A]]+cadangan[[#This Row],[Harga Diskon B]]+cadangan[[#This Row],[Harga Diskon C]]</f>
        <v>900000</v>
      </c>
      <c r="AG967" s="73">
        <f>(cadangan[[#This Row],[Profit Normal A]]+cadangan[[#This Row],[Profit Normal B]]+cadangan[[#This Row],[Profit Normal C]])</f>
        <v>360000</v>
      </c>
      <c r="AH967" s="73">
        <f>cadangan[[#This Row],[Profit Diskon A]]+cadangan[[#This Row],[Profit Diskon B]]+cadangan[[#This Row],[Profit Diskon C]]</f>
        <v>360000</v>
      </c>
      <c r="AI967" s="23" t="s">
        <v>290</v>
      </c>
      <c r="AJ967" s="37" t="str">
        <f>IFERROR(INDEX('Kode Diskon'!$D$3:$D$9,MATCH(cadangan[[#This Row],[Kode diskon]],'Kode Diskon'!$C$3:$C$9,0)),"-")</f>
        <v>-</v>
      </c>
      <c r="AK967" s="23" t="s">
        <v>290</v>
      </c>
      <c r="AL967" s="23" t="s">
        <v>7</v>
      </c>
      <c r="AM967" s="23" t="s">
        <v>76</v>
      </c>
      <c r="AN967" s="55">
        <v>45025</v>
      </c>
      <c r="AO967" s="53">
        <f>DAY(cadangan[[#This Row],[Tanggal terjual]])</f>
        <v>9</v>
      </c>
      <c r="AP967" s="21" t="str">
        <f>TEXT(cadangan[[#This Row],[Tanggal terjual]],"dddd")</f>
        <v>Sunday</v>
      </c>
      <c r="AQ967" s="23" t="str" cm="1">
        <f t="array" ref="AQ96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67" s="61">
        <f>AVERAGE(cadangan[[#This Row],[Rating A]],cadangan[[#This Row],[Rating B]],cadangan[[#This Row],[Rating C]])</f>
        <v>2.6666666666666665</v>
      </c>
    </row>
    <row r="968" spans="1:44" x14ac:dyDescent="0.2">
      <c r="A968" s="20">
        <v>967</v>
      </c>
      <c r="B968" s="21" t="str">
        <f>_xlfn.CONCAT("ORD-",INDEX(Helper!$B$2:$B$5,MATCH(cadangan[[#This Row],[Marketplace]],Helper!$A$2:$A$5,0)),TEXT(cadangan[[#This Row],[No]],"0000"),"-",TEXT(cadangan[[#This Row],[Tanggal terjual]],"dd/mm/yy"))</f>
        <v>ORD-TK0967-30/04/23</v>
      </c>
      <c r="C968" s="39" t="s">
        <v>64</v>
      </c>
      <c r="D968" s="39" t="str">
        <f>IFERROR(INDEX(Katalog!$A$3:$A$12,MATCH(cadangan[[#This Row],[ItemID A]],Katalog!$C$3:$C$12,0)),"-")</f>
        <v>Pakaian Unisex</v>
      </c>
      <c r="E968" s="39" t="str">
        <f>IFERROR(INDEX(Katalog!$B$3:$B$12,MATCH(cadangan[[#This Row],[ItemID A]],Katalog!$C$3:$C$12,0)),"-")</f>
        <v>Jaket Hoodie</v>
      </c>
      <c r="F968" s="50">
        <v>2</v>
      </c>
      <c r="G968" s="50">
        <v>4</v>
      </c>
      <c r="H968" s="73">
        <f>IFERROR(INDEX(Katalog!$D$3:$D$12,MATCH(cadangan[[#This Row],[ItemID A]],Katalog!$C$3:$C$12,0))*cadangan[[#This Row],[Qty A]],0)</f>
        <v>700000</v>
      </c>
      <c r="I968" s="73">
        <f>IFERROR(cadangan[[#This Row],[Harga Normal A]]-(cadangan[[#This Row],[Harga Normal A]]*cadangan[[#This Row],[Diskon]]),cadangan[[#This Row],[Harga Normal A]])</f>
        <v>630000</v>
      </c>
      <c r="J968" s="73">
        <f>INDEX(Katalog!$F$3:$F$12,MATCH(cadangan[[#This Row],[ItemID A]],Katalog!$C$3:$C$12,0))*cadangan[[#This Row],[Qty A]]</f>
        <v>260000</v>
      </c>
      <c r="K968" s="73">
        <f>IFERROR(cadangan[[#This Row],[Harga Diskon A]]-INDEX(Katalog!$E$3:$E$12,MATCH(cadangan[[#This Row],[ItemID A]],Katalog!$C$3:$C$12,0))*cadangan[[#This Row],[Qty A]],0)</f>
        <v>190000</v>
      </c>
      <c r="L968" s="39" t="s">
        <v>67</v>
      </c>
      <c r="M968" s="39" t="str">
        <f>IFERROR(INDEX(Katalog!$A$3:$A$12,MATCH(cadangan[[#This Row],[ItemID B]],Katalog!$C$3:$C$12,0)),"-")</f>
        <v>Sepatu Wanita</v>
      </c>
      <c r="N968" s="39" t="str">
        <f>IFERROR(INDEX(Katalog!$B$3:$B$12,MATCH(cadangan[[#This Row],[ItemID B]],Katalog!$C$3:$C$12,0)),"-")</f>
        <v>Flat Shoes</v>
      </c>
      <c r="O968" s="50">
        <v>2</v>
      </c>
      <c r="P968" s="50">
        <v>1</v>
      </c>
      <c r="Q968" s="73">
        <f>IFERROR(INDEX(Katalog!$D$3:$D$12,MATCH(cadangan[[#This Row],[ItemID B]],Katalog!$C$3:$C$12,0))*cadangan[[#This Row],[Qty B]],0)</f>
        <v>500000</v>
      </c>
      <c r="R968" s="73">
        <f>IFERROR(cadangan[[#This Row],[Harga Normal B]]-(cadangan[[#This Row],[Harga Normal B]]*cadangan[[#This Row],[Diskon]]),cadangan[[#This Row],[Harga Normal B]])</f>
        <v>450000</v>
      </c>
      <c r="S968" s="73">
        <f>IFERROR(INDEX(Katalog!$F$3:$F$12,MATCH(cadangan[[#This Row],[ItemID B]],Katalog!$C$3:$C$12,0))*cadangan[[#This Row],[Qty B]],0)</f>
        <v>200000</v>
      </c>
      <c r="T968" s="73">
        <f>IFERROR(cadangan[[#This Row],[Harga Diskon B]]-INDEX(Katalog!$E$3:$E$12,MATCH(cadangan[[#This Row],[ItemID B]],Katalog!$C$3:$C$12,0))*cadangan[[#This Row],[Qty B]],0)</f>
        <v>150000</v>
      </c>
      <c r="U968" s="39" t="s">
        <v>58</v>
      </c>
      <c r="V968" s="39" t="str">
        <f>IFERROR(INDEX(Katalog!$A$3:$A$12,MATCH(cadangan[[#This Row],[ItemID C]],Katalog!$C$3:$C$12,0)),"-")</f>
        <v>Pakaian Wanita</v>
      </c>
      <c r="W968" s="39" t="str">
        <f>IFERROR(INDEX(Katalog!$B$3:$B$12,MATCH(cadangan[[#This Row],[ItemID C]],Katalog!$C$3:$C$12,0)),"-")</f>
        <v>Dress</v>
      </c>
      <c r="X968" s="50">
        <v>1</v>
      </c>
      <c r="Y968" s="50">
        <v>4</v>
      </c>
      <c r="Z968" s="73">
        <f>IFERROR(INDEX(Katalog!$D$3:$D$12,MATCH(cadangan[[#This Row],[ItemID C]],Katalog!$C$3:$C$12,0))*cadangan[[#This Row],[Qty C]],0)</f>
        <v>300000</v>
      </c>
      <c r="AA968" s="73">
        <f>IFERROR(cadangan[[#This Row],[Harga Normal C]]-(cadangan[[#This Row],[Harga Normal C]]*cadangan[[#This Row],[Diskon]]),cadangan[[#This Row],[Harga Normal C]])</f>
        <v>270000</v>
      </c>
      <c r="AB968" s="73">
        <f>IFERROR(INDEX(Katalog!$F$3:$F$12,MATCH(cadangan[[#This Row],[ItemID C]],Katalog!$C$3:$C$12,0))*cadangan[[#This Row],[Qty C]],0)</f>
        <v>100000</v>
      </c>
      <c r="AC968" s="73">
        <f>IFERROR(cadangan[[#This Row],[Harga Diskon C]]-INDEX(Katalog!$E$3:$E$12,MATCH(cadangan[[#This Row],[ItemID C]],Katalog!$C$3:$C$12,0))*cadangan[[#This Row],[Qty C]],0)</f>
        <v>70000</v>
      </c>
      <c r="AD968" s="53">
        <f>cadangan[[#This Row],[Qty A]]+cadangan[[#This Row],[Qty B]]+cadangan[[#This Row],[Qty C]]</f>
        <v>5</v>
      </c>
      <c r="AE968" s="73">
        <f>cadangan[[#This Row],[Harga Normal A]]+cadangan[[#This Row],[Harga Normal B]]+cadangan[[#This Row],[Harga Normal C]]</f>
        <v>1500000</v>
      </c>
      <c r="AF968" s="73">
        <f>cadangan[[#This Row],[Harga Diskon A]]+cadangan[[#This Row],[Harga Diskon B]]+cadangan[[#This Row],[Harga Diskon C]]</f>
        <v>1350000</v>
      </c>
      <c r="AG968" s="73">
        <f>(cadangan[[#This Row],[Profit Normal A]]+cadangan[[#This Row],[Profit Normal B]]+cadangan[[#This Row],[Profit Normal C]])</f>
        <v>560000</v>
      </c>
      <c r="AH968" s="73">
        <f>cadangan[[#This Row],[Profit Diskon A]]+cadangan[[#This Row],[Profit Diskon B]]+cadangan[[#This Row],[Profit Diskon C]]</f>
        <v>410000</v>
      </c>
      <c r="AI968" s="23" t="s">
        <v>31</v>
      </c>
      <c r="AJ968" s="37">
        <f>IFERROR(INDEX('Kode Diskon'!$D$3:$D$9,MATCH(cadangan[[#This Row],[Kode diskon]],'Kode Diskon'!$C$3:$C$9,0)),"-")</f>
        <v>0.1</v>
      </c>
      <c r="AK968" s="23" t="s">
        <v>9</v>
      </c>
      <c r="AL968" s="23" t="s">
        <v>10</v>
      </c>
      <c r="AM968" s="23" t="s">
        <v>80</v>
      </c>
      <c r="AN968" s="55">
        <v>45046</v>
      </c>
      <c r="AO968" s="53">
        <f>DAY(cadangan[[#This Row],[Tanggal terjual]])</f>
        <v>30</v>
      </c>
      <c r="AP968" s="21" t="str">
        <f>TEXT(cadangan[[#This Row],[Tanggal terjual]],"dddd")</f>
        <v>Sunday</v>
      </c>
      <c r="AQ968" s="23" t="str" cm="1">
        <f t="array" ref="AQ96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68" s="61">
        <f>AVERAGE(cadangan[[#This Row],[Rating A]],cadangan[[#This Row],[Rating B]],cadangan[[#This Row],[Rating C]])</f>
        <v>3</v>
      </c>
    </row>
    <row r="969" spans="1:44" x14ac:dyDescent="0.2">
      <c r="A969" s="20">
        <v>968</v>
      </c>
      <c r="B969" s="21" t="str">
        <f>_xlfn.CONCAT("ORD-",INDEX(Helper!$B$2:$B$5,MATCH(cadangan[[#This Row],[Marketplace]],Helper!$A$2:$A$5,0)),TEXT(cadangan[[#This Row],[No]],"0000"),"-",TEXT(cadangan[[#This Row],[Tanggal terjual]],"dd/mm/yy"))</f>
        <v>ORD-BB0968-09/04/23</v>
      </c>
      <c r="C969" s="39" t="s">
        <v>67</v>
      </c>
      <c r="D969" s="39" t="str">
        <f>IFERROR(INDEX(Katalog!$A$3:$A$12,MATCH(cadangan[[#This Row],[ItemID A]],Katalog!$C$3:$C$12,0)),"-")</f>
        <v>Sepatu Wanita</v>
      </c>
      <c r="E969" s="39" t="str">
        <f>IFERROR(INDEX(Katalog!$B$3:$B$12,MATCH(cadangan[[#This Row],[ItemID A]],Katalog!$C$3:$C$12,0)),"-")</f>
        <v>Flat Shoes</v>
      </c>
      <c r="F969" s="50">
        <v>2</v>
      </c>
      <c r="G969" s="50">
        <v>4</v>
      </c>
      <c r="H969" s="73">
        <f>IFERROR(INDEX(Katalog!$D$3:$D$12,MATCH(cadangan[[#This Row],[ItemID A]],Katalog!$C$3:$C$12,0))*cadangan[[#This Row],[Qty A]],0)</f>
        <v>500000</v>
      </c>
      <c r="I969" s="73">
        <f>IFERROR(cadangan[[#This Row],[Harga Normal A]]-(cadangan[[#This Row],[Harga Normal A]]*cadangan[[#This Row],[Diskon]]),cadangan[[#This Row],[Harga Normal A]])</f>
        <v>500000</v>
      </c>
      <c r="J969" s="73">
        <f>INDEX(Katalog!$F$3:$F$12,MATCH(cadangan[[#This Row],[ItemID A]],Katalog!$C$3:$C$12,0))*cadangan[[#This Row],[Qty A]]</f>
        <v>200000</v>
      </c>
      <c r="K969" s="73">
        <f>IFERROR(cadangan[[#This Row],[Harga Diskon A]]-INDEX(Katalog!$E$3:$E$12,MATCH(cadangan[[#This Row],[ItemID A]],Katalog!$C$3:$C$12,0))*cadangan[[#This Row],[Qty A]],0)</f>
        <v>200000</v>
      </c>
      <c r="L969" s="39" t="s">
        <v>65</v>
      </c>
      <c r="M969" s="39" t="str">
        <f>IFERROR(INDEX(Katalog!$A$3:$A$12,MATCH(cadangan[[#This Row],[ItemID B]],Katalog!$C$3:$C$12,0)),"-")</f>
        <v>Sepatu Pria</v>
      </c>
      <c r="N969" s="39" t="str">
        <f>IFERROR(INDEX(Katalog!$B$3:$B$12,MATCH(cadangan[[#This Row],[ItemID B]],Katalog!$C$3:$C$12,0)),"-")</f>
        <v>Sneakers</v>
      </c>
      <c r="O969" s="50">
        <v>3</v>
      </c>
      <c r="P969" s="50">
        <v>4</v>
      </c>
      <c r="Q969" s="73">
        <f>IFERROR(INDEX(Katalog!$D$3:$D$12,MATCH(cadangan[[#This Row],[ItemID B]],Katalog!$C$3:$C$12,0))*cadangan[[#This Row],[Qty B]],0)</f>
        <v>1500000</v>
      </c>
      <c r="R969" s="73">
        <f>IFERROR(cadangan[[#This Row],[Harga Normal B]]-(cadangan[[#This Row],[Harga Normal B]]*cadangan[[#This Row],[Diskon]]),cadangan[[#This Row],[Harga Normal B]])</f>
        <v>1500000</v>
      </c>
      <c r="S969" s="73">
        <f>IFERROR(INDEX(Katalog!$F$3:$F$12,MATCH(cadangan[[#This Row],[ItemID B]],Katalog!$C$3:$C$12,0))*cadangan[[#This Row],[Qty B]],0)</f>
        <v>600000</v>
      </c>
      <c r="T969" s="73">
        <f>IFERROR(cadangan[[#This Row],[Harga Diskon B]]-INDEX(Katalog!$E$3:$E$12,MATCH(cadangan[[#This Row],[ItemID B]],Katalog!$C$3:$C$12,0))*cadangan[[#This Row],[Qty B]],0)</f>
        <v>600000</v>
      </c>
      <c r="U969" s="39" t="s">
        <v>62</v>
      </c>
      <c r="V969" s="39" t="str">
        <f>IFERROR(INDEX(Katalog!$A$3:$A$12,MATCH(cadangan[[#This Row],[ItemID C]],Katalog!$C$3:$C$12,0)),"-")</f>
        <v>Pakaian Pria</v>
      </c>
      <c r="W969" s="39" t="str">
        <f>IFERROR(INDEX(Katalog!$B$3:$B$12,MATCH(cadangan[[#This Row],[ItemID C]],Katalog!$C$3:$C$12,0)),"-")</f>
        <v>Celana Pendek</v>
      </c>
      <c r="X969" s="50">
        <v>1</v>
      </c>
      <c r="Y969" s="50">
        <v>5</v>
      </c>
      <c r="Z969" s="73">
        <f>IFERROR(INDEX(Katalog!$D$3:$D$12,MATCH(cadangan[[#This Row],[ItemID C]],Katalog!$C$3:$C$12,0))*cadangan[[#This Row],[Qty C]],0)</f>
        <v>180000</v>
      </c>
      <c r="AA969" s="73">
        <f>IFERROR(cadangan[[#This Row],[Harga Normal C]]-(cadangan[[#This Row],[Harga Normal C]]*cadangan[[#This Row],[Diskon]]),cadangan[[#This Row],[Harga Normal C]])</f>
        <v>180000</v>
      </c>
      <c r="AB969" s="73">
        <f>IFERROR(INDEX(Katalog!$F$3:$F$12,MATCH(cadangan[[#This Row],[ItemID C]],Katalog!$C$3:$C$12,0))*cadangan[[#This Row],[Qty C]],0)</f>
        <v>70000</v>
      </c>
      <c r="AC969" s="73">
        <f>IFERROR(cadangan[[#This Row],[Harga Diskon C]]-INDEX(Katalog!$E$3:$E$12,MATCH(cadangan[[#This Row],[ItemID C]],Katalog!$C$3:$C$12,0))*cadangan[[#This Row],[Qty C]],0)</f>
        <v>70000</v>
      </c>
      <c r="AD969" s="53">
        <f>cadangan[[#This Row],[Qty A]]+cadangan[[#This Row],[Qty B]]+cadangan[[#This Row],[Qty C]]</f>
        <v>6</v>
      </c>
      <c r="AE969" s="73">
        <f>cadangan[[#This Row],[Harga Normal A]]+cadangan[[#This Row],[Harga Normal B]]+cadangan[[#This Row],[Harga Normal C]]</f>
        <v>2180000</v>
      </c>
      <c r="AF969" s="73">
        <f>cadangan[[#This Row],[Harga Diskon A]]+cadangan[[#This Row],[Harga Diskon B]]+cadangan[[#This Row],[Harga Diskon C]]</f>
        <v>2180000</v>
      </c>
      <c r="AG969" s="73">
        <f>(cadangan[[#This Row],[Profit Normal A]]+cadangan[[#This Row],[Profit Normal B]]+cadangan[[#This Row],[Profit Normal C]])</f>
        <v>870000</v>
      </c>
      <c r="AH969" s="73">
        <f>cadangan[[#This Row],[Profit Diskon A]]+cadangan[[#This Row],[Profit Diskon B]]+cadangan[[#This Row],[Profit Diskon C]]</f>
        <v>870000</v>
      </c>
      <c r="AI969" s="23" t="s">
        <v>290</v>
      </c>
      <c r="AJ969" s="37" t="str">
        <f>IFERROR(INDEX('Kode Diskon'!$D$3:$D$9,MATCH(cadangan[[#This Row],[Kode diskon]],'Kode Diskon'!$C$3:$C$9,0)),"-")</f>
        <v>-</v>
      </c>
      <c r="AK969" s="23" t="s">
        <v>290</v>
      </c>
      <c r="AL969" s="23" t="s">
        <v>14</v>
      </c>
      <c r="AM969" s="23" t="s">
        <v>75</v>
      </c>
      <c r="AN969" s="55">
        <v>45025</v>
      </c>
      <c r="AO969" s="53">
        <f>DAY(cadangan[[#This Row],[Tanggal terjual]])</f>
        <v>9</v>
      </c>
      <c r="AP969" s="21" t="str">
        <f>TEXT(cadangan[[#This Row],[Tanggal terjual]],"dddd")</f>
        <v>Sunday</v>
      </c>
      <c r="AQ969" s="23" t="str" cm="1">
        <f t="array" ref="AQ96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69" s="61">
        <f>AVERAGE(cadangan[[#This Row],[Rating A]],cadangan[[#This Row],[Rating B]],cadangan[[#This Row],[Rating C]])</f>
        <v>4.333333333333333</v>
      </c>
    </row>
    <row r="970" spans="1:44" x14ac:dyDescent="0.2">
      <c r="A970" s="20">
        <v>969</v>
      </c>
      <c r="B970" s="21" t="str">
        <f>_xlfn.CONCAT("ORD-",INDEX(Helper!$B$2:$B$5,MATCH(cadangan[[#This Row],[Marketplace]],Helper!$A$2:$A$5,0)),TEXT(cadangan[[#This Row],[No]],"0000"),"-",TEXT(cadangan[[#This Row],[Tanggal terjual]],"dd/mm/yy"))</f>
        <v>ORD-TK0969-28/04/23</v>
      </c>
      <c r="C970" s="39" t="s">
        <v>63</v>
      </c>
      <c r="D970" s="39" t="str">
        <f>IFERROR(INDEX(Katalog!$A$3:$A$12,MATCH(cadangan[[#This Row],[ItemID A]],Katalog!$C$3:$C$12,0)),"-")</f>
        <v>Pakaian Pria</v>
      </c>
      <c r="E970" s="39" t="str">
        <f>IFERROR(INDEX(Katalog!$B$3:$B$12,MATCH(cadangan[[#This Row],[ItemID A]],Katalog!$C$3:$C$12,0)),"-")</f>
        <v>Jaket Jeans</v>
      </c>
      <c r="F970" s="50">
        <v>3</v>
      </c>
      <c r="G970" s="50">
        <v>5</v>
      </c>
      <c r="H970" s="73">
        <f>IFERROR(INDEX(Katalog!$D$3:$D$12,MATCH(cadangan[[#This Row],[ItemID A]],Katalog!$C$3:$C$12,0))*cadangan[[#This Row],[Qty A]],0)</f>
        <v>1200000</v>
      </c>
      <c r="I970" s="73">
        <f>IFERROR(cadangan[[#This Row],[Harga Normal A]]-(cadangan[[#This Row],[Harga Normal A]]*cadangan[[#This Row],[Diskon]]),cadangan[[#This Row],[Harga Normal A]])</f>
        <v>1080000</v>
      </c>
      <c r="J970" s="73">
        <f>INDEX(Katalog!$F$3:$F$12,MATCH(cadangan[[#This Row],[ItemID A]],Katalog!$C$3:$C$12,0))*cadangan[[#This Row],[Qty A]]</f>
        <v>450000</v>
      </c>
      <c r="K970" s="73">
        <f>IFERROR(cadangan[[#This Row],[Harga Diskon A]]-INDEX(Katalog!$E$3:$E$12,MATCH(cadangan[[#This Row],[ItemID A]],Katalog!$C$3:$C$12,0))*cadangan[[#This Row],[Qty A]],0)</f>
        <v>330000</v>
      </c>
      <c r="L970" s="39" t="s">
        <v>58</v>
      </c>
      <c r="M970" s="39" t="str">
        <f>IFERROR(INDEX(Katalog!$A$3:$A$12,MATCH(cadangan[[#This Row],[ItemID B]],Katalog!$C$3:$C$12,0)),"-")</f>
        <v>Pakaian Wanita</v>
      </c>
      <c r="N970" s="39" t="str">
        <f>IFERROR(INDEX(Katalog!$B$3:$B$12,MATCH(cadangan[[#This Row],[ItemID B]],Katalog!$C$3:$C$12,0)),"-")</f>
        <v>Dress</v>
      </c>
      <c r="O970" s="50">
        <v>1</v>
      </c>
      <c r="P970" s="50">
        <v>4</v>
      </c>
      <c r="Q970" s="73">
        <f>IFERROR(INDEX(Katalog!$D$3:$D$12,MATCH(cadangan[[#This Row],[ItemID B]],Katalog!$C$3:$C$12,0))*cadangan[[#This Row],[Qty B]],0)</f>
        <v>300000</v>
      </c>
      <c r="R970" s="73">
        <f>IFERROR(cadangan[[#This Row],[Harga Normal B]]-(cadangan[[#This Row],[Harga Normal B]]*cadangan[[#This Row],[Diskon]]),cadangan[[#This Row],[Harga Normal B]])</f>
        <v>270000</v>
      </c>
      <c r="S970" s="73">
        <f>IFERROR(INDEX(Katalog!$F$3:$F$12,MATCH(cadangan[[#This Row],[ItemID B]],Katalog!$C$3:$C$12,0))*cadangan[[#This Row],[Qty B]],0)</f>
        <v>100000</v>
      </c>
      <c r="T970" s="73">
        <f>IFERROR(cadangan[[#This Row],[Harga Diskon B]]-INDEX(Katalog!$E$3:$E$12,MATCH(cadangan[[#This Row],[ItemID B]],Katalog!$C$3:$C$12,0))*cadangan[[#This Row],[Qty B]],0)</f>
        <v>70000</v>
      </c>
      <c r="U970" s="39" t="s">
        <v>59</v>
      </c>
      <c r="V970" s="39" t="str">
        <f>IFERROR(INDEX(Katalog!$A$3:$A$12,MATCH(cadangan[[#This Row],[ItemID C]],Katalog!$C$3:$C$12,0)),"-")</f>
        <v>Pakaian Wanita</v>
      </c>
      <c r="W970" s="39" t="str">
        <f>IFERROR(INDEX(Katalog!$B$3:$B$12,MATCH(cadangan[[#This Row],[ItemID C]],Katalog!$C$3:$C$12,0)),"-")</f>
        <v>Blouse</v>
      </c>
      <c r="X970" s="50">
        <v>2</v>
      </c>
      <c r="Y970" s="50">
        <v>5</v>
      </c>
      <c r="Z970" s="73">
        <f>IFERROR(INDEX(Katalog!$D$3:$D$12,MATCH(cadangan[[#This Row],[ItemID C]],Katalog!$C$3:$C$12,0))*cadangan[[#This Row],[Qty C]],0)</f>
        <v>300000</v>
      </c>
      <c r="AA970" s="73">
        <f>IFERROR(cadangan[[#This Row],[Harga Normal C]]-(cadangan[[#This Row],[Harga Normal C]]*cadangan[[#This Row],[Diskon]]),cadangan[[#This Row],[Harga Normal C]])</f>
        <v>270000</v>
      </c>
      <c r="AB970" s="73">
        <f>IFERROR(INDEX(Katalog!$F$3:$F$12,MATCH(cadangan[[#This Row],[ItemID C]],Katalog!$C$3:$C$12,0))*cadangan[[#This Row],[Qty C]],0)</f>
        <v>100000</v>
      </c>
      <c r="AC970" s="73">
        <f>IFERROR(cadangan[[#This Row],[Harga Diskon C]]-INDEX(Katalog!$E$3:$E$12,MATCH(cadangan[[#This Row],[ItemID C]],Katalog!$C$3:$C$12,0))*cadangan[[#This Row],[Qty C]],0)</f>
        <v>70000</v>
      </c>
      <c r="AD970" s="53">
        <f>cadangan[[#This Row],[Qty A]]+cadangan[[#This Row],[Qty B]]+cadangan[[#This Row],[Qty C]]</f>
        <v>6</v>
      </c>
      <c r="AE970" s="73">
        <f>cadangan[[#This Row],[Harga Normal A]]+cadangan[[#This Row],[Harga Normal B]]+cadangan[[#This Row],[Harga Normal C]]</f>
        <v>1800000</v>
      </c>
      <c r="AF970" s="73">
        <f>cadangan[[#This Row],[Harga Diskon A]]+cadangan[[#This Row],[Harga Diskon B]]+cadangan[[#This Row],[Harga Diskon C]]</f>
        <v>1620000</v>
      </c>
      <c r="AG970" s="73">
        <f>(cadangan[[#This Row],[Profit Normal A]]+cadangan[[#This Row],[Profit Normal B]]+cadangan[[#This Row],[Profit Normal C]])</f>
        <v>650000</v>
      </c>
      <c r="AH970" s="73">
        <f>cadangan[[#This Row],[Profit Diskon A]]+cadangan[[#This Row],[Profit Diskon B]]+cadangan[[#This Row],[Profit Diskon C]]</f>
        <v>470000</v>
      </c>
      <c r="AI970" s="23" t="s">
        <v>31</v>
      </c>
      <c r="AJ970" s="37">
        <f>IFERROR(INDEX('Kode Diskon'!$D$3:$D$9,MATCH(cadangan[[#This Row],[Kode diskon]],'Kode Diskon'!$C$3:$C$9,0)),"-")</f>
        <v>0.1</v>
      </c>
      <c r="AK970" s="23" t="s">
        <v>9</v>
      </c>
      <c r="AL970" s="23" t="s">
        <v>10</v>
      </c>
      <c r="AM970" s="23" t="s">
        <v>75</v>
      </c>
      <c r="AN970" s="55">
        <v>45044</v>
      </c>
      <c r="AO970" s="53">
        <f>DAY(cadangan[[#This Row],[Tanggal terjual]])</f>
        <v>28</v>
      </c>
      <c r="AP970" s="21" t="str">
        <f>TEXT(cadangan[[#This Row],[Tanggal terjual]],"dddd")</f>
        <v>Friday</v>
      </c>
      <c r="AQ970" s="23" t="str" cm="1">
        <f t="array" ref="AQ97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70" s="61">
        <f>AVERAGE(cadangan[[#This Row],[Rating A]],cadangan[[#This Row],[Rating B]],cadangan[[#This Row],[Rating C]])</f>
        <v>4.666666666666667</v>
      </c>
    </row>
    <row r="971" spans="1:44" x14ac:dyDescent="0.2">
      <c r="A971" s="20">
        <v>970</v>
      </c>
      <c r="B971" s="21" t="str">
        <f>_xlfn.CONCAT("ORD-",INDEX(Helper!$B$2:$B$5,MATCH(cadangan[[#This Row],[Marketplace]],Helper!$A$2:$A$5,0)),TEXT(cadangan[[#This Row],[No]],"0000"),"-",TEXT(cadangan[[#This Row],[Tanggal terjual]],"dd/mm/yy"))</f>
        <v>ORD-SP0970-04/04/23</v>
      </c>
      <c r="C971" s="39" t="s">
        <v>66</v>
      </c>
      <c r="D971" s="39" t="str">
        <f>IFERROR(INDEX(Katalog!$A$3:$A$12,MATCH(cadangan[[#This Row],[ItemID A]],Katalog!$C$3:$C$12,0)),"-")</f>
        <v>Sepatu Pria</v>
      </c>
      <c r="E971" s="39" t="str">
        <f>IFERROR(INDEX(Katalog!$B$3:$B$12,MATCH(cadangan[[#This Row],[ItemID A]],Katalog!$C$3:$C$12,0)),"-")</f>
        <v>Sandal Slip On</v>
      </c>
      <c r="F971" s="50">
        <v>1</v>
      </c>
      <c r="G971" s="50">
        <v>4</v>
      </c>
      <c r="H971" s="73">
        <f>IFERROR(INDEX(Katalog!$D$3:$D$12,MATCH(cadangan[[#This Row],[ItemID A]],Katalog!$C$3:$C$12,0))*cadangan[[#This Row],[Qty A]],0)</f>
        <v>150000</v>
      </c>
      <c r="I971" s="73">
        <f>IFERROR(cadangan[[#This Row],[Harga Normal A]]-(cadangan[[#This Row],[Harga Normal A]]*cadangan[[#This Row],[Diskon]]),cadangan[[#This Row],[Harga Normal A]])</f>
        <v>135000</v>
      </c>
      <c r="J971" s="73">
        <f>INDEX(Katalog!$F$3:$F$12,MATCH(cadangan[[#This Row],[ItemID A]],Katalog!$C$3:$C$12,0))*cadangan[[#This Row],[Qty A]]</f>
        <v>60000</v>
      </c>
      <c r="K971" s="73">
        <f>IFERROR(cadangan[[#This Row],[Harga Diskon A]]-INDEX(Katalog!$E$3:$E$12,MATCH(cadangan[[#This Row],[ItemID A]],Katalog!$C$3:$C$12,0))*cadangan[[#This Row],[Qty A]],0)</f>
        <v>45000</v>
      </c>
      <c r="L971" s="39" t="s">
        <v>60</v>
      </c>
      <c r="M971" s="39" t="str">
        <f>IFERROR(INDEX(Katalog!$A$3:$A$12,MATCH(cadangan[[#This Row],[ItemID B]],Katalog!$C$3:$C$12,0)),"-")</f>
        <v>Pakaian Wanita</v>
      </c>
      <c r="N971" s="39" t="str">
        <f>IFERROR(INDEX(Katalog!$B$3:$B$12,MATCH(cadangan[[#This Row],[ItemID B]],Katalog!$C$3:$C$12,0)),"-")</f>
        <v>Kaftan</v>
      </c>
      <c r="O971" s="50">
        <v>3</v>
      </c>
      <c r="P971" s="50">
        <v>5</v>
      </c>
      <c r="Q971" s="73">
        <f>IFERROR(INDEX(Katalog!$D$3:$D$12,MATCH(cadangan[[#This Row],[ItemID B]],Katalog!$C$3:$C$12,0))*cadangan[[#This Row],[Qty B]],0)</f>
        <v>750000</v>
      </c>
      <c r="R971" s="73">
        <f>IFERROR(cadangan[[#This Row],[Harga Normal B]]-(cadangan[[#This Row],[Harga Normal B]]*cadangan[[#This Row],[Diskon]]),cadangan[[#This Row],[Harga Normal B]])</f>
        <v>675000</v>
      </c>
      <c r="S971" s="73">
        <f>IFERROR(INDEX(Katalog!$F$3:$F$12,MATCH(cadangan[[#This Row],[ItemID B]],Katalog!$C$3:$C$12,0))*cadangan[[#This Row],[Qty B]],0)</f>
        <v>300000</v>
      </c>
      <c r="T971" s="73">
        <f>IFERROR(cadangan[[#This Row],[Harga Diskon B]]-INDEX(Katalog!$E$3:$E$12,MATCH(cadangan[[#This Row],[ItemID B]],Katalog!$C$3:$C$12,0))*cadangan[[#This Row],[Qty B]],0)</f>
        <v>225000</v>
      </c>
      <c r="V971" s="39" t="str">
        <f>IFERROR(INDEX(Katalog!$A$3:$A$12,MATCH(cadangan[[#This Row],[ItemID C]],Katalog!$C$3:$C$12,0)),"-")</f>
        <v>-</v>
      </c>
      <c r="W971" s="39" t="str">
        <f>IFERROR(INDEX(Katalog!$B$3:$B$12,MATCH(cadangan[[#This Row],[ItemID C]],Katalog!$C$3:$C$12,0)),"-")</f>
        <v>-</v>
      </c>
      <c r="Z971" s="73">
        <f>IFERROR(INDEX(Katalog!$D$3:$D$12,MATCH(cadangan[[#This Row],[ItemID C]],Katalog!$C$3:$C$12,0))*cadangan[[#This Row],[Qty C]],0)</f>
        <v>0</v>
      </c>
      <c r="AA971" s="73">
        <f>IFERROR(cadangan[[#This Row],[Harga Normal C]]-(cadangan[[#This Row],[Harga Normal C]]*cadangan[[#This Row],[Diskon]]),cadangan[[#This Row],[Harga Normal C]])</f>
        <v>0</v>
      </c>
      <c r="AB971" s="73">
        <f>IFERROR(INDEX(Katalog!$F$3:$F$12,MATCH(cadangan[[#This Row],[ItemID C]],Katalog!$C$3:$C$12,0))*cadangan[[#This Row],[Qty C]],0)</f>
        <v>0</v>
      </c>
      <c r="AC971" s="73">
        <f>IFERROR(cadangan[[#This Row],[Harga Diskon C]]-INDEX(Katalog!$E$3:$E$12,MATCH(cadangan[[#This Row],[ItemID C]],Katalog!$C$3:$C$12,0))*cadangan[[#This Row],[Qty C]],0)</f>
        <v>0</v>
      </c>
      <c r="AD971" s="53">
        <f>cadangan[[#This Row],[Qty A]]+cadangan[[#This Row],[Qty B]]+cadangan[[#This Row],[Qty C]]</f>
        <v>4</v>
      </c>
      <c r="AE971" s="73">
        <f>cadangan[[#This Row],[Harga Normal A]]+cadangan[[#This Row],[Harga Normal B]]+cadangan[[#This Row],[Harga Normal C]]</f>
        <v>900000</v>
      </c>
      <c r="AF971" s="73">
        <f>cadangan[[#This Row],[Harga Diskon A]]+cadangan[[#This Row],[Harga Diskon B]]+cadangan[[#This Row],[Harga Diskon C]]</f>
        <v>810000</v>
      </c>
      <c r="AG971" s="73">
        <f>(cadangan[[#This Row],[Profit Normal A]]+cadangan[[#This Row],[Profit Normal B]]+cadangan[[#This Row],[Profit Normal C]])</f>
        <v>360000</v>
      </c>
      <c r="AH971" s="73">
        <f>cadangan[[#This Row],[Profit Diskon A]]+cadangan[[#This Row],[Profit Diskon B]]+cadangan[[#This Row],[Profit Diskon C]]</f>
        <v>270000</v>
      </c>
      <c r="AI971" s="23" t="s">
        <v>6</v>
      </c>
      <c r="AJ971" s="37">
        <f>IFERROR(INDEX('Kode Diskon'!$D$3:$D$9,MATCH(cadangan[[#This Row],[Kode diskon]],'Kode Diskon'!$C$3:$C$9,0)),"-")</f>
        <v>0.1</v>
      </c>
      <c r="AK971" s="23" t="s">
        <v>29</v>
      </c>
      <c r="AL971" s="23" t="s">
        <v>7</v>
      </c>
      <c r="AM971" s="23" t="s">
        <v>79</v>
      </c>
      <c r="AN971" s="55">
        <v>45020</v>
      </c>
      <c r="AO971" s="53">
        <f>DAY(cadangan[[#This Row],[Tanggal terjual]])</f>
        <v>4</v>
      </c>
      <c r="AP971" s="21" t="str">
        <f>TEXT(cadangan[[#This Row],[Tanggal terjual]],"dddd")</f>
        <v>Tuesday</v>
      </c>
      <c r="AQ971" s="23" t="str" cm="1">
        <f t="array" ref="AQ97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71" s="61">
        <f>AVERAGE(cadangan[[#This Row],[Rating A]],cadangan[[#This Row],[Rating B]],cadangan[[#This Row],[Rating C]])</f>
        <v>4.5</v>
      </c>
    </row>
    <row r="972" spans="1:44" x14ac:dyDescent="0.2">
      <c r="A972" s="20">
        <v>971</v>
      </c>
      <c r="B972" s="21" t="str">
        <f>_xlfn.CONCAT("ORD-",INDEX(Helper!$B$2:$B$5,MATCH(cadangan[[#This Row],[Marketplace]],Helper!$A$2:$A$5,0)),TEXT(cadangan[[#This Row],[No]],"0000"),"-",TEXT(cadangan[[#This Row],[Tanggal terjual]],"dd/mm/yy"))</f>
        <v>ORD-BB0971-01/04/23</v>
      </c>
      <c r="C972" s="39" t="s">
        <v>63</v>
      </c>
      <c r="D972" s="39" t="str">
        <f>IFERROR(INDEX(Katalog!$A$3:$A$12,MATCH(cadangan[[#This Row],[ItemID A]],Katalog!$C$3:$C$12,0)),"-")</f>
        <v>Pakaian Pria</v>
      </c>
      <c r="E972" s="39" t="str">
        <f>IFERROR(INDEX(Katalog!$B$3:$B$12,MATCH(cadangan[[#This Row],[ItemID A]],Katalog!$C$3:$C$12,0)),"-")</f>
        <v>Jaket Jeans</v>
      </c>
      <c r="F972" s="50">
        <v>5</v>
      </c>
      <c r="G972" s="50">
        <v>3</v>
      </c>
      <c r="H972" s="73">
        <f>IFERROR(INDEX(Katalog!$D$3:$D$12,MATCH(cadangan[[#This Row],[ItemID A]],Katalog!$C$3:$C$12,0))*cadangan[[#This Row],[Qty A]],0)</f>
        <v>2000000</v>
      </c>
      <c r="I972" s="73">
        <f>IFERROR(cadangan[[#This Row],[Harga Normal A]]-(cadangan[[#This Row],[Harga Normal A]]*cadangan[[#This Row],[Diskon]]),cadangan[[#This Row],[Harga Normal A]])</f>
        <v>1700000</v>
      </c>
      <c r="J972" s="73">
        <f>INDEX(Katalog!$F$3:$F$12,MATCH(cadangan[[#This Row],[ItemID A]],Katalog!$C$3:$C$12,0))*cadangan[[#This Row],[Qty A]]</f>
        <v>750000</v>
      </c>
      <c r="K972" s="73">
        <f>IFERROR(cadangan[[#This Row],[Harga Diskon A]]-INDEX(Katalog!$E$3:$E$12,MATCH(cadangan[[#This Row],[ItemID A]],Katalog!$C$3:$C$12,0))*cadangan[[#This Row],[Qty A]],0)</f>
        <v>450000</v>
      </c>
      <c r="M972" s="39" t="str">
        <f>IFERROR(INDEX(Katalog!$A$3:$A$12,MATCH(cadangan[[#This Row],[ItemID B]],Katalog!$C$3:$C$12,0)),"-")</f>
        <v>-</v>
      </c>
      <c r="N972" s="39" t="str">
        <f>IFERROR(INDEX(Katalog!$B$3:$B$12,MATCH(cadangan[[#This Row],[ItemID B]],Katalog!$C$3:$C$12,0)),"-")</f>
        <v>-</v>
      </c>
      <c r="Q972" s="73">
        <f>IFERROR(INDEX(Katalog!$D$3:$D$12,MATCH(cadangan[[#This Row],[ItemID B]],Katalog!$C$3:$C$12,0))*cadangan[[#This Row],[Qty B]],0)</f>
        <v>0</v>
      </c>
      <c r="R972" s="73">
        <f>IFERROR(cadangan[[#This Row],[Harga Normal B]]-(cadangan[[#This Row],[Harga Normal B]]*cadangan[[#This Row],[Diskon]]),cadangan[[#This Row],[Harga Normal B]])</f>
        <v>0</v>
      </c>
      <c r="S972" s="73">
        <f>IFERROR(INDEX(Katalog!$F$3:$F$12,MATCH(cadangan[[#This Row],[ItemID B]],Katalog!$C$3:$C$12,0))*cadangan[[#This Row],[Qty B]],0)</f>
        <v>0</v>
      </c>
      <c r="T972" s="73">
        <f>IFERROR(cadangan[[#This Row],[Harga Diskon B]]-INDEX(Katalog!$E$3:$E$12,MATCH(cadangan[[#This Row],[ItemID B]],Katalog!$C$3:$C$12,0))*cadangan[[#This Row],[Qty B]],0)</f>
        <v>0</v>
      </c>
      <c r="V972" s="39" t="str">
        <f>IFERROR(INDEX(Katalog!$A$3:$A$12,MATCH(cadangan[[#This Row],[ItemID C]],Katalog!$C$3:$C$12,0)),"-")</f>
        <v>-</v>
      </c>
      <c r="W972" s="39" t="str">
        <f>IFERROR(INDEX(Katalog!$B$3:$B$12,MATCH(cadangan[[#This Row],[ItemID C]],Katalog!$C$3:$C$12,0)),"-")</f>
        <v>-</v>
      </c>
      <c r="Z972" s="73">
        <f>IFERROR(INDEX(Katalog!$D$3:$D$12,MATCH(cadangan[[#This Row],[ItemID C]],Katalog!$C$3:$C$12,0))*cadangan[[#This Row],[Qty C]],0)</f>
        <v>0</v>
      </c>
      <c r="AA972" s="73">
        <f>IFERROR(cadangan[[#This Row],[Harga Normal C]]-(cadangan[[#This Row],[Harga Normal C]]*cadangan[[#This Row],[Diskon]]),cadangan[[#This Row],[Harga Normal C]])</f>
        <v>0</v>
      </c>
      <c r="AB972" s="73">
        <f>IFERROR(INDEX(Katalog!$F$3:$F$12,MATCH(cadangan[[#This Row],[ItemID C]],Katalog!$C$3:$C$12,0))*cadangan[[#This Row],[Qty C]],0)</f>
        <v>0</v>
      </c>
      <c r="AC972" s="73">
        <f>IFERROR(cadangan[[#This Row],[Harga Diskon C]]-INDEX(Katalog!$E$3:$E$12,MATCH(cadangan[[#This Row],[ItemID C]],Katalog!$C$3:$C$12,0))*cadangan[[#This Row],[Qty C]],0)</f>
        <v>0</v>
      </c>
      <c r="AD972" s="53">
        <f>cadangan[[#This Row],[Qty A]]+cadangan[[#This Row],[Qty B]]+cadangan[[#This Row],[Qty C]]</f>
        <v>5</v>
      </c>
      <c r="AE972" s="73">
        <f>cadangan[[#This Row],[Harga Normal A]]+cadangan[[#This Row],[Harga Normal B]]+cadangan[[#This Row],[Harga Normal C]]</f>
        <v>2000000</v>
      </c>
      <c r="AF972" s="73">
        <f>cadangan[[#This Row],[Harga Diskon A]]+cadangan[[#This Row],[Harga Diskon B]]+cadangan[[#This Row],[Harga Diskon C]]</f>
        <v>1700000</v>
      </c>
      <c r="AG972" s="73">
        <f>(cadangan[[#This Row],[Profit Normal A]]+cadangan[[#This Row],[Profit Normal B]]+cadangan[[#This Row],[Profit Normal C]])</f>
        <v>750000</v>
      </c>
      <c r="AH972" s="73">
        <f>cadangan[[#This Row],[Profit Diskon A]]+cadangan[[#This Row],[Profit Diskon B]]+cadangan[[#This Row],[Profit Diskon C]]</f>
        <v>450000</v>
      </c>
      <c r="AI972" s="23" t="s">
        <v>28</v>
      </c>
      <c r="AJ972" s="37">
        <f>IFERROR(INDEX('Kode Diskon'!$D$3:$D$9,MATCH(cadangan[[#This Row],[Kode diskon]],'Kode Diskon'!$C$3:$C$9,0)),"-")</f>
        <v>0.15</v>
      </c>
      <c r="AK972" s="23" t="s">
        <v>29</v>
      </c>
      <c r="AL972" s="23" t="s">
        <v>14</v>
      </c>
      <c r="AM972" s="23" t="s">
        <v>75</v>
      </c>
      <c r="AN972" s="55">
        <v>45017</v>
      </c>
      <c r="AO972" s="53">
        <f>DAY(cadangan[[#This Row],[Tanggal terjual]])</f>
        <v>1</v>
      </c>
      <c r="AP972" s="21" t="str">
        <f>TEXT(cadangan[[#This Row],[Tanggal terjual]],"dddd")</f>
        <v>Saturday</v>
      </c>
      <c r="AQ972" s="23" t="str" cm="1">
        <f t="array" ref="AQ97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72" s="61">
        <f>AVERAGE(cadangan[[#This Row],[Rating A]],cadangan[[#This Row],[Rating B]],cadangan[[#This Row],[Rating C]])</f>
        <v>3</v>
      </c>
    </row>
    <row r="973" spans="1:44" x14ac:dyDescent="0.2">
      <c r="A973" s="20">
        <v>972</v>
      </c>
      <c r="B973" s="21" t="str">
        <f>_xlfn.CONCAT("ORD-",INDEX(Helper!$B$2:$B$5,MATCH(cadangan[[#This Row],[Marketplace]],Helper!$A$2:$A$5,0)),TEXT(cadangan[[#This Row],[No]],"0000"),"-",TEXT(cadangan[[#This Row],[Tanggal terjual]],"dd/mm/yy"))</f>
        <v>ORD-BL0972-22/04/23</v>
      </c>
      <c r="C973" s="39" t="s">
        <v>64</v>
      </c>
      <c r="D973" s="39" t="str">
        <f>IFERROR(INDEX(Katalog!$A$3:$A$12,MATCH(cadangan[[#This Row],[ItemID A]],Katalog!$C$3:$C$12,0)),"-")</f>
        <v>Pakaian Unisex</v>
      </c>
      <c r="E973" s="39" t="str">
        <f>IFERROR(INDEX(Katalog!$B$3:$B$12,MATCH(cadangan[[#This Row],[ItemID A]],Katalog!$C$3:$C$12,0)),"-")</f>
        <v>Jaket Hoodie</v>
      </c>
      <c r="F973" s="50">
        <v>4</v>
      </c>
      <c r="G973" s="50">
        <v>3</v>
      </c>
      <c r="H973" s="73">
        <f>IFERROR(INDEX(Katalog!$D$3:$D$12,MATCH(cadangan[[#This Row],[ItemID A]],Katalog!$C$3:$C$12,0))*cadangan[[#This Row],[Qty A]],0)</f>
        <v>1400000</v>
      </c>
      <c r="I973" s="73">
        <f>IFERROR(cadangan[[#This Row],[Harga Normal A]]-(cadangan[[#This Row],[Harga Normal A]]*cadangan[[#This Row],[Diskon]]),cadangan[[#This Row],[Harga Normal A]])</f>
        <v>1190000</v>
      </c>
      <c r="J973" s="73">
        <f>INDEX(Katalog!$F$3:$F$12,MATCH(cadangan[[#This Row],[ItemID A]],Katalog!$C$3:$C$12,0))*cadangan[[#This Row],[Qty A]]</f>
        <v>520000</v>
      </c>
      <c r="K973" s="73">
        <f>IFERROR(cadangan[[#This Row],[Harga Diskon A]]-INDEX(Katalog!$E$3:$E$12,MATCH(cadangan[[#This Row],[ItemID A]],Katalog!$C$3:$C$12,0))*cadangan[[#This Row],[Qty A]],0)</f>
        <v>310000</v>
      </c>
      <c r="L973" s="39" t="s">
        <v>59</v>
      </c>
      <c r="M973" s="39" t="str">
        <f>IFERROR(INDEX(Katalog!$A$3:$A$12,MATCH(cadangan[[#This Row],[ItemID B]],Katalog!$C$3:$C$12,0)),"-")</f>
        <v>Pakaian Wanita</v>
      </c>
      <c r="N973" s="39" t="str">
        <f>IFERROR(INDEX(Katalog!$B$3:$B$12,MATCH(cadangan[[#This Row],[ItemID B]],Katalog!$C$3:$C$12,0)),"-")</f>
        <v>Blouse</v>
      </c>
      <c r="O973" s="50">
        <v>1</v>
      </c>
      <c r="P973" s="50">
        <v>5</v>
      </c>
      <c r="Q973" s="73">
        <f>IFERROR(INDEX(Katalog!$D$3:$D$12,MATCH(cadangan[[#This Row],[ItemID B]],Katalog!$C$3:$C$12,0))*cadangan[[#This Row],[Qty B]],0)</f>
        <v>150000</v>
      </c>
      <c r="R973" s="73">
        <f>IFERROR(cadangan[[#This Row],[Harga Normal B]]-(cadangan[[#This Row],[Harga Normal B]]*cadangan[[#This Row],[Diskon]]),cadangan[[#This Row],[Harga Normal B]])</f>
        <v>127500</v>
      </c>
      <c r="S973" s="73">
        <f>IFERROR(INDEX(Katalog!$F$3:$F$12,MATCH(cadangan[[#This Row],[ItemID B]],Katalog!$C$3:$C$12,0))*cadangan[[#This Row],[Qty B]],0)</f>
        <v>50000</v>
      </c>
      <c r="T973" s="73">
        <f>IFERROR(cadangan[[#This Row],[Harga Diskon B]]-INDEX(Katalog!$E$3:$E$12,MATCH(cadangan[[#This Row],[ItemID B]],Katalog!$C$3:$C$12,0))*cadangan[[#This Row],[Qty B]],0)</f>
        <v>27500</v>
      </c>
      <c r="U973" s="39" t="s">
        <v>67</v>
      </c>
      <c r="V973" s="39" t="str">
        <f>IFERROR(INDEX(Katalog!$A$3:$A$12,MATCH(cadangan[[#This Row],[ItemID C]],Katalog!$C$3:$C$12,0)),"-")</f>
        <v>Sepatu Wanita</v>
      </c>
      <c r="W973" s="39" t="str">
        <f>IFERROR(INDEX(Katalog!$B$3:$B$12,MATCH(cadangan[[#This Row],[ItemID C]],Katalog!$C$3:$C$12,0)),"-")</f>
        <v>Flat Shoes</v>
      </c>
      <c r="X973" s="50">
        <v>1</v>
      </c>
      <c r="Y973" s="50">
        <v>4</v>
      </c>
      <c r="Z973" s="73">
        <f>IFERROR(INDEX(Katalog!$D$3:$D$12,MATCH(cadangan[[#This Row],[ItemID C]],Katalog!$C$3:$C$12,0))*cadangan[[#This Row],[Qty C]],0)</f>
        <v>250000</v>
      </c>
      <c r="AA973" s="73">
        <f>IFERROR(cadangan[[#This Row],[Harga Normal C]]-(cadangan[[#This Row],[Harga Normal C]]*cadangan[[#This Row],[Diskon]]),cadangan[[#This Row],[Harga Normal C]])</f>
        <v>212500</v>
      </c>
      <c r="AB973" s="73">
        <f>IFERROR(INDEX(Katalog!$F$3:$F$12,MATCH(cadangan[[#This Row],[ItemID C]],Katalog!$C$3:$C$12,0))*cadangan[[#This Row],[Qty C]],0)</f>
        <v>100000</v>
      </c>
      <c r="AC973" s="73">
        <f>IFERROR(cadangan[[#This Row],[Harga Diskon C]]-INDEX(Katalog!$E$3:$E$12,MATCH(cadangan[[#This Row],[ItemID C]],Katalog!$C$3:$C$12,0))*cadangan[[#This Row],[Qty C]],0)</f>
        <v>62500</v>
      </c>
      <c r="AD973" s="53">
        <f>cadangan[[#This Row],[Qty A]]+cadangan[[#This Row],[Qty B]]+cadangan[[#This Row],[Qty C]]</f>
        <v>6</v>
      </c>
      <c r="AE973" s="73">
        <f>cadangan[[#This Row],[Harga Normal A]]+cadangan[[#This Row],[Harga Normal B]]+cadangan[[#This Row],[Harga Normal C]]</f>
        <v>1800000</v>
      </c>
      <c r="AF973" s="73">
        <f>cadangan[[#This Row],[Harga Diskon A]]+cadangan[[#This Row],[Harga Diskon B]]+cadangan[[#This Row],[Harga Diskon C]]</f>
        <v>1530000</v>
      </c>
      <c r="AG973" s="73">
        <f>(cadangan[[#This Row],[Profit Normal A]]+cadangan[[#This Row],[Profit Normal B]]+cadangan[[#This Row],[Profit Normal C]])</f>
        <v>670000</v>
      </c>
      <c r="AH973" s="73">
        <f>cadangan[[#This Row],[Profit Diskon A]]+cadangan[[#This Row],[Profit Diskon B]]+cadangan[[#This Row],[Profit Diskon C]]</f>
        <v>400000</v>
      </c>
      <c r="AI973" s="23" t="s">
        <v>32</v>
      </c>
      <c r="AJ973" s="37">
        <f>IFERROR(INDEX('Kode Diskon'!$D$3:$D$9,MATCH(cadangan[[#This Row],[Kode diskon]],'Kode Diskon'!$C$3:$C$9,0)),"-")</f>
        <v>0.15</v>
      </c>
      <c r="AK973" s="23" t="s">
        <v>9</v>
      </c>
      <c r="AL973" s="23" t="s">
        <v>12</v>
      </c>
      <c r="AM973" s="23" t="s">
        <v>75</v>
      </c>
      <c r="AN973" s="55">
        <v>45038</v>
      </c>
      <c r="AO973" s="53">
        <f>DAY(cadangan[[#This Row],[Tanggal terjual]])</f>
        <v>22</v>
      </c>
      <c r="AP973" s="21" t="str">
        <f>TEXT(cadangan[[#This Row],[Tanggal terjual]],"dddd")</f>
        <v>Saturday</v>
      </c>
      <c r="AQ973" s="23" t="str" cm="1">
        <f t="array" ref="AQ97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73" s="61">
        <f>AVERAGE(cadangan[[#This Row],[Rating A]],cadangan[[#This Row],[Rating B]],cadangan[[#This Row],[Rating C]])</f>
        <v>4</v>
      </c>
    </row>
    <row r="974" spans="1:44" x14ac:dyDescent="0.2">
      <c r="A974" s="20">
        <v>973</v>
      </c>
      <c r="B974" s="21" t="str">
        <f>_xlfn.CONCAT("ORD-",INDEX(Helper!$B$2:$B$5,MATCH(cadangan[[#This Row],[Marketplace]],Helper!$A$2:$A$5,0)),TEXT(cadangan[[#This Row],[No]],"0000"),"-",TEXT(cadangan[[#This Row],[Tanggal terjual]],"dd/mm/yy"))</f>
        <v>ORD-BL0973-20/04/23</v>
      </c>
      <c r="C974" s="39" t="s">
        <v>64</v>
      </c>
      <c r="D974" s="39" t="str">
        <f>IFERROR(INDEX(Katalog!$A$3:$A$12,MATCH(cadangan[[#This Row],[ItemID A]],Katalog!$C$3:$C$12,0)),"-")</f>
        <v>Pakaian Unisex</v>
      </c>
      <c r="E974" s="39" t="str">
        <f>IFERROR(INDEX(Katalog!$B$3:$B$12,MATCH(cadangan[[#This Row],[ItemID A]],Katalog!$C$3:$C$12,0)),"-")</f>
        <v>Jaket Hoodie</v>
      </c>
      <c r="F974" s="50">
        <v>2</v>
      </c>
      <c r="G974" s="50">
        <v>3</v>
      </c>
      <c r="H974" s="73">
        <f>IFERROR(INDEX(Katalog!$D$3:$D$12,MATCH(cadangan[[#This Row],[ItemID A]],Katalog!$C$3:$C$12,0))*cadangan[[#This Row],[Qty A]],0)</f>
        <v>700000</v>
      </c>
      <c r="I974" s="73">
        <f>IFERROR(cadangan[[#This Row],[Harga Normal A]]-(cadangan[[#This Row],[Harga Normal A]]*cadangan[[#This Row],[Diskon]]),cadangan[[#This Row],[Harga Normal A]])</f>
        <v>595000</v>
      </c>
      <c r="J974" s="73">
        <f>INDEX(Katalog!$F$3:$F$12,MATCH(cadangan[[#This Row],[ItemID A]],Katalog!$C$3:$C$12,0))*cadangan[[#This Row],[Qty A]]</f>
        <v>260000</v>
      </c>
      <c r="K974" s="73">
        <f>IFERROR(cadangan[[#This Row],[Harga Diskon A]]-INDEX(Katalog!$E$3:$E$12,MATCH(cadangan[[#This Row],[ItemID A]],Katalog!$C$3:$C$12,0))*cadangan[[#This Row],[Qty A]],0)</f>
        <v>155000</v>
      </c>
      <c r="M974" s="39" t="str">
        <f>IFERROR(INDEX(Katalog!$A$3:$A$12,MATCH(cadangan[[#This Row],[ItemID B]],Katalog!$C$3:$C$12,0)),"-")</f>
        <v>-</v>
      </c>
      <c r="N974" s="39" t="str">
        <f>IFERROR(INDEX(Katalog!$B$3:$B$12,MATCH(cadangan[[#This Row],[ItemID B]],Katalog!$C$3:$C$12,0)),"-")</f>
        <v>-</v>
      </c>
      <c r="Q974" s="73">
        <f>IFERROR(INDEX(Katalog!$D$3:$D$12,MATCH(cadangan[[#This Row],[ItemID B]],Katalog!$C$3:$C$12,0))*cadangan[[#This Row],[Qty B]],0)</f>
        <v>0</v>
      </c>
      <c r="R974" s="73">
        <f>IFERROR(cadangan[[#This Row],[Harga Normal B]]-(cadangan[[#This Row],[Harga Normal B]]*cadangan[[#This Row],[Diskon]]),cadangan[[#This Row],[Harga Normal B]])</f>
        <v>0</v>
      </c>
      <c r="S974" s="73">
        <f>IFERROR(INDEX(Katalog!$F$3:$F$12,MATCH(cadangan[[#This Row],[ItemID B]],Katalog!$C$3:$C$12,0))*cadangan[[#This Row],[Qty B]],0)</f>
        <v>0</v>
      </c>
      <c r="T974" s="73">
        <f>IFERROR(cadangan[[#This Row],[Harga Diskon B]]-INDEX(Katalog!$E$3:$E$12,MATCH(cadangan[[#This Row],[ItemID B]],Katalog!$C$3:$C$12,0))*cadangan[[#This Row],[Qty B]],0)</f>
        <v>0</v>
      </c>
      <c r="V974" s="39" t="str">
        <f>IFERROR(INDEX(Katalog!$A$3:$A$12,MATCH(cadangan[[#This Row],[ItemID C]],Katalog!$C$3:$C$12,0)),"-")</f>
        <v>-</v>
      </c>
      <c r="W974" s="39" t="str">
        <f>IFERROR(INDEX(Katalog!$B$3:$B$12,MATCH(cadangan[[#This Row],[ItemID C]],Katalog!$C$3:$C$12,0)),"-")</f>
        <v>-</v>
      </c>
      <c r="Z974" s="73">
        <f>IFERROR(INDEX(Katalog!$D$3:$D$12,MATCH(cadangan[[#This Row],[ItemID C]],Katalog!$C$3:$C$12,0))*cadangan[[#This Row],[Qty C]],0)</f>
        <v>0</v>
      </c>
      <c r="AA974" s="73">
        <f>IFERROR(cadangan[[#This Row],[Harga Normal C]]-(cadangan[[#This Row],[Harga Normal C]]*cadangan[[#This Row],[Diskon]]),cadangan[[#This Row],[Harga Normal C]])</f>
        <v>0</v>
      </c>
      <c r="AB974" s="73">
        <f>IFERROR(INDEX(Katalog!$F$3:$F$12,MATCH(cadangan[[#This Row],[ItemID C]],Katalog!$C$3:$C$12,0))*cadangan[[#This Row],[Qty C]],0)</f>
        <v>0</v>
      </c>
      <c r="AC974" s="73">
        <f>IFERROR(cadangan[[#This Row],[Harga Diskon C]]-INDEX(Katalog!$E$3:$E$12,MATCH(cadangan[[#This Row],[ItemID C]],Katalog!$C$3:$C$12,0))*cadangan[[#This Row],[Qty C]],0)</f>
        <v>0</v>
      </c>
      <c r="AD974" s="53">
        <f>cadangan[[#This Row],[Qty A]]+cadangan[[#This Row],[Qty B]]+cadangan[[#This Row],[Qty C]]</f>
        <v>2</v>
      </c>
      <c r="AE974" s="73">
        <f>cadangan[[#This Row],[Harga Normal A]]+cadangan[[#This Row],[Harga Normal B]]+cadangan[[#This Row],[Harga Normal C]]</f>
        <v>700000</v>
      </c>
      <c r="AF974" s="73">
        <f>cadangan[[#This Row],[Harga Diskon A]]+cadangan[[#This Row],[Harga Diskon B]]+cadangan[[#This Row],[Harga Diskon C]]</f>
        <v>595000</v>
      </c>
      <c r="AG974" s="73">
        <f>(cadangan[[#This Row],[Profit Normal A]]+cadangan[[#This Row],[Profit Normal B]]+cadangan[[#This Row],[Profit Normal C]])</f>
        <v>260000</v>
      </c>
      <c r="AH974" s="73">
        <f>cadangan[[#This Row],[Profit Diskon A]]+cadangan[[#This Row],[Profit Diskon B]]+cadangan[[#This Row],[Profit Diskon C]]</f>
        <v>155000</v>
      </c>
      <c r="AI974" s="23" t="s">
        <v>32</v>
      </c>
      <c r="AJ974" s="37">
        <f>IFERROR(INDEX('Kode Diskon'!$D$3:$D$9,MATCH(cadangan[[#This Row],[Kode diskon]],'Kode Diskon'!$C$3:$C$9,0)),"-")</f>
        <v>0.15</v>
      </c>
      <c r="AK974" s="23" t="s">
        <v>9</v>
      </c>
      <c r="AL974" s="23" t="s">
        <v>12</v>
      </c>
      <c r="AM974" s="23" t="s">
        <v>79</v>
      </c>
      <c r="AN974" s="55">
        <v>45036</v>
      </c>
      <c r="AO974" s="53">
        <f>DAY(cadangan[[#This Row],[Tanggal terjual]])</f>
        <v>20</v>
      </c>
      <c r="AP974" s="21" t="str">
        <f>TEXT(cadangan[[#This Row],[Tanggal terjual]],"dddd")</f>
        <v>Thursday</v>
      </c>
      <c r="AQ974" s="23" t="str" cm="1">
        <f t="array" ref="AQ97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74" s="61">
        <f>AVERAGE(cadangan[[#This Row],[Rating A]],cadangan[[#This Row],[Rating B]],cadangan[[#This Row],[Rating C]])</f>
        <v>3</v>
      </c>
    </row>
    <row r="975" spans="1:44" x14ac:dyDescent="0.2">
      <c r="A975" s="20">
        <v>974</v>
      </c>
      <c r="B975" s="21" t="str">
        <f>_xlfn.CONCAT("ORD-",INDEX(Helper!$B$2:$B$5,MATCH(cadangan[[#This Row],[Marketplace]],Helper!$A$2:$A$5,0)),TEXT(cadangan[[#This Row],[No]],"0000"),"-",TEXT(cadangan[[#This Row],[Tanggal terjual]],"dd/mm/yy"))</f>
        <v>ORD-SP0974-03/04/23</v>
      </c>
      <c r="C975" s="39" t="s">
        <v>66</v>
      </c>
      <c r="D975" s="39" t="str">
        <f>IFERROR(INDEX(Katalog!$A$3:$A$12,MATCH(cadangan[[#This Row],[ItemID A]],Katalog!$C$3:$C$12,0)),"-")</f>
        <v>Sepatu Pria</v>
      </c>
      <c r="E975" s="39" t="str">
        <f>IFERROR(INDEX(Katalog!$B$3:$B$12,MATCH(cadangan[[#This Row],[ItemID A]],Katalog!$C$3:$C$12,0)),"-")</f>
        <v>Sandal Slip On</v>
      </c>
      <c r="F975" s="50">
        <v>5</v>
      </c>
      <c r="G975" s="50">
        <v>2</v>
      </c>
      <c r="H975" s="73">
        <f>IFERROR(INDEX(Katalog!$D$3:$D$12,MATCH(cadangan[[#This Row],[ItemID A]],Katalog!$C$3:$C$12,0))*cadangan[[#This Row],[Qty A]],0)</f>
        <v>750000</v>
      </c>
      <c r="I975" s="73">
        <f>IFERROR(cadangan[[#This Row],[Harga Normal A]]-(cadangan[[#This Row],[Harga Normal A]]*cadangan[[#This Row],[Diskon]]),cadangan[[#This Row],[Harga Normal A]])</f>
        <v>675000</v>
      </c>
      <c r="J975" s="73">
        <f>INDEX(Katalog!$F$3:$F$12,MATCH(cadangan[[#This Row],[ItemID A]],Katalog!$C$3:$C$12,0))*cadangan[[#This Row],[Qty A]]</f>
        <v>300000</v>
      </c>
      <c r="K975" s="73">
        <f>IFERROR(cadangan[[#This Row],[Harga Diskon A]]-INDEX(Katalog!$E$3:$E$12,MATCH(cadangan[[#This Row],[ItemID A]],Katalog!$C$3:$C$12,0))*cadangan[[#This Row],[Qty A]],0)</f>
        <v>225000</v>
      </c>
      <c r="L975" s="39" t="s">
        <v>64</v>
      </c>
      <c r="M975" s="39" t="str">
        <f>IFERROR(INDEX(Katalog!$A$3:$A$12,MATCH(cadangan[[#This Row],[ItemID B]],Katalog!$C$3:$C$12,0)),"-")</f>
        <v>Pakaian Unisex</v>
      </c>
      <c r="N975" s="39" t="str">
        <f>IFERROR(INDEX(Katalog!$B$3:$B$12,MATCH(cadangan[[#This Row],[ItemID B]],Katalog!$C$3:$C$12,0)),"-")</f>
        <v>Jaket Hoodie</v>
      </c>
      <c r="O975" s="50">
        <v>1</v>
      </c>
      <c r="P975" s="50">
        <v>1</v>
      </c>
      <c r="Q975" s="73">
        <f>IFERROR(INDEX(Katalog!$D$3:$D$12,MATCH(cadangan[[#This Row],[ItemID B]],Katalog!$C$3:$C$12,0))*cadangan[[#This Row],[Qty B]],0)</f>
        <v>350000</v>
      </c>
      <c r="R975" s="73">
        <f>IFERROR(cadangan[[#This Row],[Harga Normal B]]-(cadangan[[#This Row],[Harga Normal B]]*cadangan[[#This Row],[Diskon]]),cadangan[[#This Row],[Harga Normal B]])</f>
        <v>315000</v>
      </c>
      <c r="S975" s="73">
        <f>IFERROR(INDEX(Katalog!$F$3:$F$12,MATCH(cadangan[[#This Row],[ItemID B]],Katalog!$C$3:$C$12,0))*cadangan[[#This Row],[Qty B]],0)</f>
        <v>130000</v>
      </c>
      <c r="T975" s="73">
        <f>IFERROR(cadangan[[#This Row],[Harga Diskon B]]-INDEX(Katalog!$E$3:$E$12,MATCH(cadangan[[#This Row],[ItemID B]],Katalog!$C$3:$C$12,0))*cadangan[[#This Row],[Qty B]],0)</f>
        <v>95000</v>
      </c>
      <c r="U975" s="39" t="s">
        <v>67</v>
      </c>
      <c r="V975" s="39" t="str">
        <f>IFERROR(INDEX(Katalog!$A$3:$A$12,MATCH(cadangan[[#This Row],[ItemID C]],Katalog!$C$3:$C$12,0)),"-")</f>
        <v>Sepatu Wanita</v>
      </c>
      <c r="W975" s="39" t="str">
        <f>IFERROR(INDEX(Katalog!$B$3:$B$12,MATCH(cadangan[[#This Row],[ItemID C]],Katalog!$C$3:$C$12,0)),"-")</f>
        <v>Flat Shoes</v>
      </c>
      <c r="X975" s="50">
        <v>1</v>
      </c>
      <c r="Y975" s="50">
        <v>3</v>
      </c>
      <c r="Z975" s="73">
        <f>IFERROR(INDEX(Katalog!$D$3:$D$12,MATCH(cadangan[[#This Row],[ItemID C]],Katalog!$C$3:$C$12,0))*cadangan[[#This Row],[Qty C]],0)</f>
        <v>250000</v>
      </c>
      <c r="AA975" s="73">
        <f>IFERROR(cadangan[[#This Row],[Harga Normal C]]-(cadangan[[#This Row],[Harga Normal C]]*cadangan[[#This Row],[Diskon]]),cadangan[[#This Row],[Harga Normal C]])</f>
        <v>225000</v>
      </c>
      <c r="AB975" s="73">
        <f>IFERROR(INDEX(Katalog!$F$3:$F$12,MATCH(cadangan[[#This Row],[ItemID C]],Katalog!$C$3:$C$12,0))*cadangan[[#This Row],[Qty C]],0)</f>
        <v>100000</v>
      </c>
      <c r="AC975" s="73">
        <f>IFERROR(cadangan[[#This Row],[Harga Diskon C]]-INDEX(Katalog!$E$3:$E$12,MATCH(cadangan[[#This Row],[ItemID C]],Katalog!$C$3:$C$12,0))*cadangan[[#This Row],[Qty C]],0)</f>
        <v>75000</v>
      </c>
      <c r="AD975" s="53">
        <f>cadangan[[#This Row],[Qty A]]+cadangan[[#This Row],[Qty B]]+cadangan[[#This Row],[Qty C]]</f>
        <v>7</v>
      </c>
      <c r="AE975" s="73">
        <f>cadangan[[#This Row],[Harga Normal A]]+cadangan[[#This Row],[Harga Normal B]]+cadangan[[#This Row],[Harga Normal C]]</f>
        <v>1350000</v>
      </c>
      <c r="AF975" s="73">
        <f>cadangan[[#This Row],[Harga Diskon A]]+cadangan[[#This Row],[Harga Diskon B]]+cadangan[[#This Row],[Harga Diskon C]]</f>
        <v>1215000</v>
      </c>
      <c r="AG975" s="73">
        <f>(cadangan[[#This Row],[Profit Normal A]]+cadangan[[#This Row],[Profit Normal B]]+cadangan[[#This Row],[Profit Normal C]])</f>
        <v>530000</v>
      </c>
      <c r="AH975" s="73">
        <f>cadangan[[#This Row],[Profit Diskon A]]+cadangan[[#This Row],[Profit Diskon B]]+cadangan[[#This Row],[Profit Diskon C]]</f>
        <v>395000</v>
      </c>
      <c r="AI975" s="23" t="s">
        <v>6</v>
      </c>
      <c r="AJ975" s="37">
        <f>IFERROR(INDEX('Kode Diskon'!$D$3:$D$9,MATCH(cadangan[[#This Row],[Kode diskon]],'Kode Diskon'!$C$3:$C$9,0)),"-")</f>
        <v>0.1</v>
      </c>
      <c r="AK975" s="23" t="s">
        <v>29</v>
      </c>
      <c r="AL975" s="23" t="s">
        <v>7</v>
      </c>
      <c r="AM975" s="23" t="s">
        <v>76</v>
      </c>
      <c r="AN975" s="55">
        <v>45019</v>
      </c>
      <c r="AO975" s="53">
        <f>DAY(cadangan[[#This Row],[Tanggal terjual]])</f>
        <v>3</v>
      </c>
      <c r="AP975" s="21" t="str">
        <f>TEXT(cadangan[[#This Row],[Tanggal terjual]],"dddd")</f>
        <v>Monday</v>
      </c>
      <c r="AQ975" s="23" t="str" cm="1">
        <f t="array" ref="AQ97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75" s="61">
        <f>AVERAGE(cadangan[[#This Row],[Rating A]],cadangan[[#This Row],[Rating B]],cadangan[[#This Row],[Rating C]])</f>
        <v>2</v>
      </c>
    </row>
    <row r="976" spans="1:44" x14ac:dyDescent="0.2">
      <c r="A976" s="20">
        <v>975</v>
      </c>
      <c r="B976" s="21" t="str">
        <f>_xlfn.CONCAT("ORD-",INDEX(Helper!$B$2:$B$5,MATCH(cadangan[[#This Row],[Marketplace]],Helper!$A$2:$A$5,0)),TEXT(cadangan[[#This Row],[No]],"0000"),"-",TEXT(cadangan[[#This Row],[Tanggal terjual]],"dd/mm/yy"))</f>
        <v>ORD-TK0975-28/04/23</v>
      </c>
      <c r="C976" s="39" t="s">
        <v>65</v>
      </c>
      <c r="D976" s="39" t="str">
        <f>IFERROR(INDEX(Katalog!$A$3:$A$12,MATCH(cadangan[[#This Row],[ItemID A]],Katalog!$C$3:$C$12,0)),"-")</f>
        <v>Sepatu Pria</v>
      </c>
      <c r="E976" s="39" t="str">
        <f>IFERROR(INDEX(Katalog!$B$3:$B$12,MATCH(cadangan[[#This Row],[ItemID A]],Katalog!$C$3:$C$12,0)),"-")</f>
        <v>Sneakers</v>
      </c>
      <c r="F976" s="50">
        <v>3</v>
      </c>
      <c r="G976" s="50">
        <v>1</v>
      </c>
      <c r="H976" s="73">
        <f>IFERROR(INDEX(Katalog!$D$3:$D$12,MATCH(cadangan[[#This Row],[ItemID A]],Katalog!$C$3:$C$12,0))*cadangan[[#This Row],[Qty A]],0)</f>
        <v>1500000</v>
      </c>
      <c r="I976" s="73">
        <f>IFERROR(cadangan[[#This Row],[Harga Normal A]]-(cadangan[[#This Row],[Harga Normal A]]*cadangan[[#This Row],[Diskon]]),cadangan[[#This Row],[Harga Normal A]])</f>
        <v>1350000</v>
      </c>
      <c r="J976" s="73">
        <f>INDEX(Katalog!$F$3:$F$12,MATCH(cadangan[[#This Row],[ItemID A]],Katalog!$C$3:$C$12,0))*cadangan[[#This Row],[Qty A]]</f>
        <v>600000</v>
      </c>
      <c r="K976" s="73">
        <f>IFERROR(cadangan[[#This Row],[Harga Diskon A]]-INDEX(Katalog!$E$3:$E$12,MATCH(cadangan[[#This Row],[ItemID A]],Katalog!$C$3:$C$12,0))*cadangan[[#This Row],[Qty A]],0)</f>
        <v>450000</v>
      </c>
      <c r="M976" s="39" t="str">
        <f>IFERROR(INDEX(Katalog!$A$3:$A$12,MATCH(cadangan[[#This Row],[ItemID B]],Katalog!$C$3:$C$12,0)),"-")</f>
        <v>-</v>
      </c>
      <c r="N976" s="39" t="str">
        <f>IFERROR(INDEX(Katalog!$B$3:$B$12,MATCH(cadangan[[#This Row],[ItemID B]],Katalog!$C$3:$C$12,0)),"-")</f>
        <v>-</v>
      </c>
      <c r="Q976" s="73">
        <f>IFERROR(INDEX(Katalog!$D$3:$D$12,MATCH(cadangan[[#This Row],[ItemID B]],Katalog!$C$3:$C$12,0))*cadangan[[#This Row],[Qty B]],0)</f>
        <v>0</v>
      </c>
      <c r="R976" s="73">
        <f>IFERROR(cadangan[[#This Row],[Harga Normal B]]-(cadangan[[#This Row],[Harga Normal B]]*cadangan[[#This Row],[Diskon]]),cadangan[[#This Row],[Harga Normal B]])</f>
        <v>0</v>
      </c>
      <c r="S976" s="73">
        <f>IFERROR(INDEX(Katalog!$F$3:$F$12,MATCH(cadangan[[#This Row],[ItemID B]],Katalog!$C$3:$C$12,0))*cadangan[[#This Row],[Qty B]],0)</f>
        <v>0</v>
      </c>
      <c r="T976" s="73">
        <f>IFERROR(cadangan[[#This Row],[Harga Diskon B]]-INDEX(Katalog!$E$3:$E$12,MATCH(cadangan[[#This Row],[ItemID B]],Katalog!$C$3:$C$12,0))*cadangan[[#This Row],[Qty B]],0)</f>
        <v>0</v>
      </c>
      <c r="V976" s="39" t="str">
        <f>IFERROR(INDEX(Katalog!$A$3:$A$12,MATCH(cadangan[[#This Row],[ItemID C]],Katalog!$C$3:$C$12,0)),"-")</f>
        <v>-</v>
      </c>
      <c r="W976" s="39" t="str">
        <f>IFERROR(INDEX(Katalog!$B$3:$B$12,MATCH(cadangan[[#This Row],[ItemID C]],Katalog!$C$3:$C$12,0)),"-")</f>
        <v>-</v>
      </c>
      <c r="Z976" s="73">
        <f>IFERROR(INDEX(Katalog!$D$3:$D$12,MATCH(cadangan[[#This Row],[ItemID C]],Katalog!$C$3:$C$12,0))*cadangan[[#This Row],[Qty C]],0)</f>
        <v>0</v>
      </c>
      <c r="AA976" s="73">
        <f>IFERROR(cadangan[[#This Row],[Harga Normal C]]-(cadangan[[#This Row],[Harga Normal C]]*cadangan[[#This Row],[Diskon]]),cadangan[[#This Row],[Harga Normal C]])</f>
        <v>0</v>
      </c>
      <c r="AB976" s="73">
        <f>IFERROR(INDEX(Katalog!$F$3:$F$12,MATCH(cadangan[[#This Row],[ItemID C]],Katalog!$C$3:$C$12,0))*cadangan[[#This Row],[Qty C]],0)</f>
        <v>0</v>
      </c>
      <c r="AC976" s="73">
        <f>IFERROR(cadangan[[#This Row],[Harga Diskon C]]-INDEX(Katalog!$E$3:$E$12,MATCH(cadangan[[#This Row],[ItemID C]],Katalog!$C$3:$C$12,0))*cadangan[[#This Row],[Qty C]],0)</f>
        <v>0</v>
      </c>
      <c r="AD976" s="53">
        <f>cadangan[[#This Row],[Qty A]]+cadangan[[#This Row],[Qty B]]+cadangan[[#This Row],[Qty C]]</f>
        <v>3</v>
      </c>
      <c r="AE976" s="73">
        <f>cadangan[[#This Row],[Harga Normal A]]+cadangan[[#This Row],[Harga Normal B]]+cadangan[[#This Row],[Harga Normal C]]</f>
        <v>1500000</v>
      </c>
      <c r="AF976" s="73">
        <f>cadangan[[#This Row],[Harga Diskon A]]+cadangan[[#This Row],[Harga Diskon B]]+cadangan[[#This Row],[Harga Diskon C]]</f>
        <v>1350000</v>
      </c>
      <c r="AG976" s="73">
        <f>(cadangan[[#This Row],[Profit Normal A]]+cadangan[[#This Row],[Profit Normal B]]+cadangan[[#This Row],[Profit Normal C]])</f>
        <v>600000</v>
      </c>
      <c r="AH976" s="73">
        <f>cadangan[[#This Row],[Profit Diskon A]]+cadangan[[#This Row],[Profit Diskon B]]+cadangan[[#This Row],[Profit Diskon C]]</f>
        <v>450000</v>
      </c>
      <c r="AI976" s="23" t="s">
        <v>31</v>
      </c>
      <c r="AJ976" s="37">
        <f>IFERROR(INDEX('Kode Diskon'!$D$3:$D$9,MATCH(cadangan[[#This Row],[Kode diskon]],'Kode Diskon'!$C$3:$C$9,0)),"-")</f>
        <v>0.1</v>
      </c>
      <c r="AK976" s="23" t="s">
        <v>9</v>
      </c>
      <c r="AL976" s="23" t="s">
        <v>10</v>
      </c>
      <c r="AM976" s="23" t="s">
        <v>80</v>
      </c>
      <c r="AN976" s="55">
        <v>45044</v>
      </c>
      <c r="AO976" s="53">
        <f>DAY(cadangan[[#This Row],[Tanggal terjual]])</f>
        <v>28</v>
      </c>
      <c r="AP976" s="21" t="str">
        <f>TEXT(cadangan[[#This Row],[Tanggal terjual]],"dddd")</f>
        <v>Friday</v>
      </c>
      <c r="AQ976" s="23" t="str" cm="1">
        <f t="array" ref="AQ97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76" s="61">
        <f>AVERAGE(cadangan[[#This Row],[Rating A]],cadangan[[#This Row],[Rating B]],cadangan[[#This Row],[Rating C]])</f>
        <v>1</v>
      </c>
    </row>
    <row r="977" spans="1:44" x14ac:dyDescent="0.2">
      <c r="A977" s="20">
        <v>976</v>
      </c>
      <c r="B977" s="21" t="str">
        <f>_xlfn.CONCAT("ORD-",INDEX(Helper!$B$2:$B$5,MATCH(cadangan[[#This Row],[Marketplace]],Helper!$A$2:$A$5,0)),TEXT(cadangan[[#This Row],[No]],"0000"),"-",TEXT(cadangan[[#This Row],[Tanggal terjual]],"dd/mm/yy"))</f>
        <v>ORD-SP0976-22/04/23</v>
      </c>
      <c r="C977" s="39" t="s">
        <v>67</v>
      </c>
      <c r="D977" s="39" t="str">
        <f>IFERROR(INDEX(Katalog!$A$3:$A$12,MATCH(cadangan[[#This Row],[ItemID A]],Katalog!$C$3:$C$12,0)),"-")</f>
        <v>Sepatu Wanita</v>
      </c>
      <c r="E977" s="39" t="str">
        <f>IFERROR(INDEX(Katalog!$B$3:$B$12,MATCH(cadangan[[#This Row],[ItemID A]],Katalog!$C$3:$C$12,0)),"-")</f>
        <v>Flat Shoes</v>
      </c>
      <c r="F977" s="50">
        <v>2</v>
      </c>
      <c r="G977" s="50">
        <v>3</v>
      </c>
      <c r="H977" s="73">
        <f>IFERROR(INDEX(Katalog!$D$3:$D$12,MATCH(cadangan[[#This Row],[ItemID A]],Katalog!$C$3:$C$12,0))*cadangan[[#This Row],[Qty A]],0)</f>
        <v>500000</v>
      </c>
      <c r="I977" s="73">
        <f>IFERROR(cadangan[[#This Row],[Harga Normal A]]-(cadangan[[#This Row],[Harga Normal A]]*cadangan[[#This Row],[Diskon]]),cadangan[[#This Row],[Harga Normal A]])</f>
        <v>400000</v>
      </c>
      <c r="J977" s="73">
        <f>INDEX(Katalog!$F$3:$F$12,MATCH(cadangan[[#This Row],[ItemID A]],Katalog!$C$3:$C$12,0))*cadangan[[#This Row],[Qty A]]</f>
        <v>200000</v>
      </c>
      <c r="K977" s="73">
        <f>IFERROR(cadangan[[#This Row],[Harga Diskon A]]-INDEX(Katalog!$E$3:$E$12,MATCH(cadangan[[#This Row],[ItemID A]],Katalog!$C$3:$C$12,0))*cadangan[[#This Row],[Qty A]],0)</f>
        <v>100000</v>
      </c>
      <c r="L977" s="39" t="s">
        <v>65</v>
      </c>
      <c r="M977" s="39" t="str">
        <f>IFERROR(INDEX(Katalog!$A$3:$A$12,MATCH(cadangan[[#This Row],[ItemID B]],Katalog!$C$3:$C$12,0)),"-")</f>
        <v>Sepatu Pria</v>
      </c>
      <c r="N977" s="39" t="str">
        <f>IFERROR(INDEX(Katalog!$B$3:$B$12,MATCH(cadangan[[#This Row],[ItemID B]],Katalog!$C$3:$C$12,0)),"-")</f>
        <v>Sneakers</v>
      </c>
      <c r="O977" s="50">
        <v>1</v>
      </c>
      <c r="P977" s="50">
        <v>1</v>
      </c>
      <c r="Q977" s="73">
        <f>IFERROR(INDEX(Katalog!$D$3:$D$12,MATCH(cadangan[[#This Row],[ItemID B]],Katalog!$C$3:$C$12,0))*cadangan[[#This Row],[Qty B]],0)</f>
        <v>500000</v>
      </c>
      <c r="R977" s="73">
        <f>IFERROR(cadangan[[#This Row],[Harga Normal B]]-(cadangan[[#This Row],[Harga Normal B]]*cadangan[[#This Row],[Diskon]]),cadangan[[#This Row],[Harga Normal B]])</f>
        <v>400000</v>
      </c>
      <c r="S977" s="73">
        <f>IFERROR(INDEX(Katalog!$F$3:$F$12,MATCH(cadangan[[#This Row],[ItemID B]],Katalog!$C$3:$C$12,0))*cadangan[[#This Row],[Qty B]],0)</f>
        <v>200000</v>
      </c>
      <c r="T977" s="73">
        <f>IFERROR(cadangan[[#This Row],[Harga Diskon B]]-INDEX(Katalog!$E$3:$E$12,MATCH(cadangan[[#This Row],[ItemID B]],Katalog!$C$3:$C$12,0))*cadangan[[#This Row],[Qty B]],0)</f>
        <v>100000</v>
      </c>
      <c r="U977" s="39" t="s">
        <v>64</v>
      </c>
      <c r="V977" s="39" t="str">
        <f>IFERROR(INDEX(Katalog!$A$3:$A$12,MATCH(cadangan[[#This Row],[ItemID C]],Katalog!$C$3:$C$12,0)),"-")</f>
        <v>Pakaian Unisex</v>
      </c>
      <c r="W977" s="39" t="str">
        <f>IFERROR(INDEX(Katalog!$B$3:$B$12,MATCH(cadangan[[#This Row],[ItemID C]],Katalog!$C$3:$C$12,0)),"-")</f>
        <v>Jaket Hoodie</v>
      </c>
      <c r="X977" s="50">
        <v>2</v>
      </c>
      <c r="Y977" s="50">
        <v>5</v>
      </c>
      <c r="Z977" s="73">
        <f>IFERROR(INDEX(Katalog!$D$3:$D$12,MATCH(cadangan[[#This Row],[ItemID C]],Katalog!$C$3:$C$12,0))*cadangan[[#This Row],[Qty C]],0)</f>
        <v>700000</v>
      </c>
      <c r="AA977" s="73">
        <f>IFERROR(cadangan[[#This Row],[Harga Normal C]]-(cadangan[[#This Row],[Harga Normal C]]*cadangan[[#This Row],[Diskon]]),cadangan[[#This Row],[Harga Normal C]])</f>
        <v>560000</v>
      </c>
      <c r="AB977" s="73">
        <f>IFERROR(INDEX(Katalog!$F$3:$F$12,MATCH(cadangan[[#This Row],[ItemID C]],Katalog!$C$3:$C$12,0))*cadangan[[#This Row],[Qty C]],0)</f>
        <v>260000</v>
      </c>
      <c r="AC977" s="73">
        <f>IFERROR(cadangan[[#This Row],[Harga Diskon C]]-INDEX(Katalog!$E$3:$E$12,MATCH(cadangan[[#This Row],[ItemID C]],Katalog!$C$3:$C$12,0))*cadangan[[#This Row],[Qty C]],0)</f>
        <v>120000</v>
      </c>
      <c r="AD977" s="53">
        <f>cadangan[[#This Row],[Qty A]]+cadangan[[#This Row],[Qty B]]+cadangan[[#This Row],[Qty C]]</f>
        <v>5</v>
      </c>
      <c r="AE977" s="73">
        <f>cadangan[[#This Row],[Harga Normal A]]+cadangan[[#This Row],[Harga Normal B]]+cadangan[[#This Row],[Harga Normal C]]</f>
        <v>1700000</v>
      </c>
      <c r="AF977" s="73">
        <f>cadangan[[#This Row],[Harga Diskon A]]+cadangan[[#This Row],[Harga Diskon B]]+cadangan[[#This Row],[Harga Diskon C]]</f>
        <v>1360000</v>
      </c>
      <c r="AG977" s="73">
        <f>(cadangan[[#This Row],[Profit Normal A]]+cadangan[[#This Row],[Profit Normal B]]+cadangan[[#This Row],[Profit Normal C]])</f>
        <v>660000</v>
      </c>
      <c r="AH977" s="73">
        <f>cadangan[[#This Row],[Profit Diskon A]]+cadangan[[#This Row],[Profit Diskon B]]+cadangan[[#This Row],[Profit Diskon C]]</f>
        <v>320000</v>
      </c>
      <c r="AI977" s="23" t="s">
        <v>8</v>
      </c>
      <c r="AJ977" s="37">
        <f>IFERROR(INDEX('Kode Diskon'!$D$3:$D$9,MATCH(cadangan[[#This Row],[Kode diskon]],'Kode Diskon'!$C$3:$C$9,0)),"-")</f>
        <v>0.2</v>
      </c>
      <c r="AK977" s="23" t="s">
        <v>9</v>
      </c>
      <c r="AL977" s="23" t="s">
        <v>7</v>
      </c>
      <c r="AM977" s="23" t="s">
        <v>80</v>
      </c>
      <c r="AN977" s="55">
        <v>45038</v>
      </c>
      <c r="AO977" s="53">
        <f>DAY(cadangan[[#This Row],[Tanggal terjual]])</f>
        <v>22</v>
      </c>
      <c r="AP977" s="21" t="str">
        <f>TEXT(cadangan[[#This Row],[Tanggal terjual]],"dddd")</f>
        <v>Saturday</v>
      </c>
      <c r="AQ977" s="23" t="str" cm="1">
        <f t="array" ref="AQ97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77" s="61">
        <f>AVERAGE(cadangan[[#This Row],[Rating A]],cadangan[[#This Row],[Rating B]],cadangan[[#This Row],[Rating C]])</f>
        <v>3</v>
      </c>
    </row>
    <row r="978" spans="1:44" x14ac:dyDescent="0.2">
      <c r="A978" s="20">
        <v>977</v>
      </c>
      <c r="B978" s="21" t="str">
        <f>_xlfn.CONCAT("ORD-",INDEX(Helper!$B$2:$B$5,MATCH(cadangan[[#This Row],[Marketplace]],Helper!$A$2:$A$5,0)),TEXT(cadangan[[#This Row],[No]],"0000"),"-",TEXT(cadangan[[#This Row],[Tanggal terjual]],"dd/mm/yy"))</f>
        <v>ORD-TK0977-16/04/23</v>
      </c>
      <c r="C978" s="39" t="s">
        <v>63</v>
      </c>
      <c r="D978" s="39" t="str">
        <f>IFERROR(INDEX(Katalog!$A$3:$A$12,MATCH(cadangan[[#This Row],[ItemID A]],Katalog!$C$3:$C$12,0)),"-")</f>
        <v>Pakaian Pria</v>
      </c>
      <c r="E978" s="39" t="str">
        <f>IFERROR(INDEX(Katalog!$B$3:$B$12,MATCH(cadangan[[#This Row],[ItemID A]],Katalog!$C$3:$C$12,0)),"-")</f>
        <v>Jaket Jeans</v>
      </c>
      <c r="F978" s="50">
        <v>6</v>
      </c>
      <c r="G978" s="50">
        <v>1</v>
      </c>
      <c r="H978" s="73">
        <f>IFERROR(INDEX(Katalog!$D$3:$D$12,MATCH(cadangan[[#This Row],[ItemID A]],Katalog!$C$3:$C$12,0))*cadangan[[#This Row],[Qty A]],0)</f>
        <v>2400000</v>
      </c>
      <c r="I978" s="73">
        <f>IFERROR(cadangan[[#This Row],[Harga Normal A]]-(cadangan[[#This Row],[Harga Normal A]]*cadangan[[#This Row],[Diskon]]),cadangan[[#This Row],[Harga Normal A]])</f>
        <v>2160000</v>
      </c>
      <c r="J978" s="73">
        <f>INDEX(Katalog!$F$3:$F$12,MATCH(cadangan[[#This Row],[ItemID A]],Katalog!$C$3:$C$12,0))*cadangan[[#This Row],[Qty A]]</f>
        <v>900000</v>
      </c>
      <c r="K978" s="73">
        <f>IFERROR(cadangan[[#This Row],[Harga Diskon A]]-INDEX(Katalog!$E$3:$E$12,MATCH(cadangan[[#This Row],[ItemID A]],Katalog!$C$3:$C$12,0))*cadangan[[#This Row],[Qty A]],0)</f>
        <v>660000</v>
      </c>
      <c r="L978" s="39" t="s">
        <v>61</v>
      </c>
      <c r="M978" s="39" t="str">
        <f>IFERROR(INDEX(Katalog!$A$3:$A$12,MATCH(cadangan[[#This Row],[ItemID B]],Katalog!$C$3:$C$12,0)),"-")</f>
        <v>Pakaian Pria</v>
      </c>
      <c r="N978" s="39" t="str">
        <f>IFERROR(INDEX(Katalog!$B$3:$B$12,MATCH(cadangan[[#This Row],[ItemID B]],Katalog!$C$3:$C$12,0)),"-")</f>
        <v>Kaos Polo</v>
      </c>
      <c r="O978" s="50">
        <v>1</v>
      </c>
      <c r="P978" s="50">
        <v>4</v>
      </c>
      <c r="Q978" s="73">
        <f>IFERROR(INDEX(Katalog!$D$3:$D$12,MATCH(cadangan[[#This Row],[ItemID B]],Katalog!$C$3:$C$12,0))*cadangan[[#This Row],[Qty B]],0)</f>
        <v>200000</v>
      </c>
      <c r="R978" s="73">
        <f>IFERROR(cadangan[[#This Row],[Harga Normal B]]-(cadangan[[#This Row],[Harga Normal B]]*cadangan[[#This Row],[Diskon]]),cadangan[[#This Row],[Harga Normal B]])</f>
        <v>180000</v>
      </c>
      <c r="S978" s="73">
        <f>IFERROR(INDEX(Katalog!$F$3:$F$12,MATCH(cadangan[[#This Row],[ItemID B]],Katalog!$C$3:$C$12,0))*cadangan[[#This Row],[Qty B]],0)</f>
        <v>80000</v>
      </c>
      <c r="T978" s="73">
        <f>IFERROR(cadangan[[#This Row],[Harga Diskon B]]-INDEX(Katalog!$E$3:$E$12,MATCH(cadangan[[#This Row],[ItemID B]],Katalog!$C$3:$C$12,0))*cadangan[[#This Row],[Qty B]],0)</f>
        <v>60000</v>
      </c>
      <c r="V978" s="39" t="str">
        <f>IFERROR(INDEX(Katalog!$A$3:$A$12,MATCH(cadangan[[#This Row],[ItemID C]],Katalog!$C$3:$C$12,0)),"-")</f>
        <v>-</v>
      </c>
      <c r="W978" s="39" t="str">
        <f>IFERROR(INDEX(Katalog!$B$3:$B$12,MATCH(cadangan[[#This Row],[ItemID C]],Katalog!$C$3:$C$12,0)),"-")</f>
        <v>-</v>
      </c>
      <c r="Z978" s="73">
        <f>IFERROR(INDEX(Katalog!$D$3:$D$12,MATCH(cadangan[[#This Row],[ItemID C]],Katalog!$C$3:$C$12,0))*cadangan[[#This Row],[Qty C]],0)</f>
        <v>0</v>
      </c>
      <c r="AA978" s="73">
        <f>IFERROR(cadangan[[#This Row],[Harga Normal C]]-(cadangan[[#This Row],[Harga Normal C]]*cadangan[[#This Row],[Diskon]]),cadangan[[#This Row],[Harga Normal C]])</f>
        <v>0</v>
      </c>
      <c r="AB978" s="73">
        <f>IFERROR(INDEX(Katalog!$F$3:$F$12,MATCH(cadangan[[#This Row],[ItemID C]],Katalog!$C$3:$C$12,0))*cadangan[[#This Row],[Qty C]],0)</f>
        <v>0</v>
      </c>
      <c r="AC978" s="73">
        <f>IFERROR(cadangan[[#This Row],[Harga Diskon C]]-INDEX(Katalog!$E$3:$E$12,MATCH(cadangan[[#This Row],[ItemID C]],Katalog!$C$3:$C$12,0))*cadangan[[#This Row],[Qty C]],0)</f>
        <v>0</v>
      </c>
      <c r="AD978" s="53">
        <f>cadangan[[#This Row],[Qty A]]+cadangan[[#This Row],[Qty B]]+cadangan[[#This Row],[Qty C]]</f>
        <v>7</v>
      </c>
      <c r="AE978" s="73">
        <f>cadangan[[#This Row],[Harga Normal A]]+cadangan[[#This Row],[Harga Normal B]]+cadangan[[#This Row],[Harga Normal C]]</f>
        <v>2600000</v>
      </c>
      <c r="AF978" s="73">
        <f>cadangan[[#This Row],[Harga Diskon A]]+cadangan[[#This Row],[Harga Diskon B]]+cadangan[[#This Row],[Harga Diskon C]]</f>
        <v>2340000</v>
      </c>
      <c r="AG978" s="73">
        <f>(cadangan[[#This Row],[Profit Normal A]]+cadangan[[#This Row],[Profit Normal B]]+cadangan[[#This Row],[Profit Normal C]])</f>
        <v>980000</v>
      </c>
      <c r="AH978" s="73">
        <f>cadangan[[#This Row],[Profit Diskon A]]+cadangan[[#This Row],[Profit Diskon B]]+cadangan[[#This Row],[Profit Diskon C]]</f>
        <v>720000</v>
      </c>
      <c r="AI978" s="23" t="s">
        <v>31</v>
      </c>
      <c r="AJ978" s="37">
        <f>IFERROR(INDEX('Kode Diskon'!$D$3:$D$9,MATCH(cadangan[[#This Row],[Kode diskon]],'Kode Diskon'!$C$3:$C$9,0)),"-")</f>
        <v>0.1</v>
      </c>
      <c r="AK978" s="23" t="s">
        <v>9</v>
      </c>
      <c r="AL978" s="23" t="s">
        <v>10</v>
      </c>
      <c r="AM978" s="23" t="s">
        <v>76</v>
      </c>
      <c r="AN978" s="55">
        <v>45032</v>
      </c>
      <c r="AO978" s="53">
        <f>DAY(cadangan[[#This Row],[Tanggal terjual]])</f>
        <v>16</v>
      </c>
      <c r="AP978" s="21" t="str">
        <f>TEXT(cadangan[[#This Row],[Tanggal terjual]],"dddd")</f>
        <v>Sunday</v>
      </c>
      <c r="AQ978" s="23" t="str" cm="1">
        <f t="array" ref="AQ97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78" s="61">
        <f>AVERAGE(cadangan[[#This Row],[Rating A]],cadangan[[#This Row],[Rating B]],cadangan[[#This Row],[Rating C]])</f>
        <v>2.5</v>
      </c>
    </row>
    <row r="979" spans="1:44" x14ac:dyDescent="0.2">
      <c r="A979" s="20">
        <v>978</v>
      </c>
      <c r="B979" s="21" t="str">
        <f>_xlfn.CONCAT("ORD-",INDEX(Helper!$B$2:$B$5,MATCH(cadangan[[#This Row],[Marketplace]],Helper!$A$2:$A$5,0)),TEXT(cadangan[[#This Row],[No]],"0000"),"-",TEXT(cadangan[[#This Row],[Tanggal terjual]],"dd/mm/yy"))</f>
        <v>ORD-SP0978-20/04/23</v>
      </c>
      <c r="C979" s="39" t="s">
        <v>66</v>
      </c>
      <c r="D979" s="39" t="str">
        <f>IFERROR(INDEX(Katalog!$A$3:$A$12,MATCH(cadangan[[#This Row],[ItemID A]],Katalog!$C$3:$C$12,0)),"-")</f>
        <v>Sepatu Pria</v>
      </c>
      <c r="E979" s="39" t="str">
        <f>IFERROR(INDEX(Katalog!$B$3:$B$12,MATCH(cadangan[[#This Row],[ItemID A]],Katalog!$C$3:$C$12,0)),"-")</f>
        <v>Sandal Slip On</v>
      </c>
      <c r="F979" s="50">
        <v>4</v>
      </c>
      <c r="G979" s="50">
        <v>1</v>
      </c>
      <c r="H979" s="73">
        <f>IFERROR(INDEX(Katalog!$D$3:$D$12,MATCH(cadangan[[#This Row],[ItemID A]],Katalog!$C$3:$C$12,0))*cadangan[[#This Row],[Qty A]],0)</f>
        <v>600000</v>
      </c>
      <c r="I979" s="73">
        <f>IFERROR(cadangan[[#This Row],[Harga Normal A]]-(cadangan[[#This Row],[Harga Normal A]]*cadangan[[#This Row],[Diskon]]),cadangan[[#This Row],[Harga Normal A]])</f>
        <v>480000</v>
      </c>
      <c r="J979" s="73">
        <f>INDEX(Katalog!$F$3:$F$12,MATCH(cadangan[[#This Row],[ItemID A]],Katalog!$C$3:$C$12,0))*cadangan[[#This Row],[Qty A]]</f>
        <v>240000</v>
      </c>
      <c r="K979" s="73">
        <f>IFERROR(cadangan[[#This Row],[Harga Diskon A]]-INDEX(Katalog!$E$3:$E$12,MATCH(cadangan[[#This Row],[ItemID A]],Katalog!$C$3:$C$12,0))*cadangan[[#This Row],[Qty A]],0)</f>
        <v>120000</v>
      </c>
      <c r="L979" s="39" t="s">
        <v>58</v>
      </c>
      <c r="M979" s="39" t="str">
        <f>IFERROR(INDEX(Katalog!$A$3:$A$12,MATCH(cadangan[[#This Row],[ItemID B]],Katalog!$C$3:$C$12,0)),"-")</f>
        <v>Pakaian Wanita</v>
      </c>
      <c r="N979" s="39" t="str">
        <f>IFERROR(INDEX(Katalog!$B$3:$B$12,MATCH(cadangan[[#This Row],[ItemID B]],Katalog!$C$3:$C$12,0)),"-")</f>
        <v>Dress</v>
      </c>
      <c r="O979" s="50">
        <v>1</v>
      </c>
      <c r="P979" s="50">
        <v>5</v>
      </c>
      <c r="Q979" s="73">
        <f>IFERROR(INDEX(Katalog!$D$3:$D$12,MATCH(cadangan[[#This Row],[ItemID B]],Katalog!$C$3:$C$12,0))*cadangan[[#This Row],[Qty B]],0)</f>
        <v>300000</v>
      </c>
      <c r="R979" s="73">
        <f>IFERROR(cadangan[[#This Row],[Harga Normal B]]-(cadangan[[#This Row],[Harga Normal B]]*cadangan[[#This Row],[Diskon]]),cadangan[[#This Row],[Harga Normal B]])</f>
        <v>240000</v>
      </c>
      <c r="S979" s="73">
        <f>IFERROR(INDEX(Katalog!$F$3:$F$12,MATCH(cadangan[[#This Row],[ItemID B]],Katalog!$C$3:$C$12,0))*cadangan[[#This Row],[Qty B]],0)</f>
        <v>100000</v>
      </c>
      <c r="T979" s="73">
        <f>IFERROR(cadangan[[#This Row],[Harga Diskon B]]-INDEX(Katalog!$E$3:$E$12,MATCH(cadangan[[#This Row],[ItemID B]],Katalog!$C$3:$C$12,0))*cadangan[[#This Row],[Qty B]],0)</f>
        <v>40000</v>
      </c>
      <c r="V979" s="39" t="str">
        <f>IFERROR(INDEX(Katalog!$A$3:$A$12,MATCH(cadangan[[#This Row],[ItemID C]],Katalog!$C$3:$C$12,0)),"-")</f>
        <v>-</v>
      </c>
      <c r="W979" s="39" t="str">
        <f>IFERROR(INDEX(Katalog!$B$3:$B$12,MATCH(cadangan[[#This Row],[ItemID C]],Katalog!$C$3:$C$12,0)),"-")</f>
        <v>-</v>
      </c>
      <c r="Z979" s="73">
        <f>IFERROR(INDEX(Katalog!$D$3:$D$12,MATCH(cadangan[[#This Row],[ItemID C]],Katalog!$C$3:$C$12,0))*cadangan[[#This Row],[Qty C]],0)</f>
        <v>0</v>
      </c>
      <c r="AA979" s="73">
        <f>IFERROR(cadangan[[#This Row],[Harga Normal C]]-(cadangan[[#This Row],[Harga Normal C]]*cadangan[[#This Row],[Diskon]]),cadangan[[#This Row],[Harga Normal C]])</f>
        <v>0</v>
      </c>
      <c r="AB979" s="73">
        <f>IFERROR(INDEX(Katalog!$F$3:$F$12,MATCH(cadangan[[#This Row],[ItemID C]],Katalog!$C$3:$C$12,0))*cadangan[[#This Row],[Qty C]],0)</f>
        <v>0</v>
      </c>
      <c r="AC979" s="73">
        <f>IFERROR(cadangan[[#This Row],[Harga Diskon C]]-INDEX(Katalog!$E$3:$E$12,MATCH(cadangan[[#This Row],[ItemID C]],Katalog!$C$3:$C$12,0))*cadangan[[#This Row],[Qty C]],0)</f>
        <v>0</v>
      </c>
      <c r="AD979" s="53">
        <f>cadangan[[#This Row],[Qty A]]+cadangan[[#This Row],[Qty B]]+cadangan[[#This Row],[Qty C]]</f>
        <v>5</v>
      </c>
      <c r="AE979" s="73">
        <f>cadangan[[#This Row],[Harga Normal A]]+cadangan[[#This Row],[Harga Normal B]]+cadangan[[#This Row],[Harga Normal C]]</f>
        <v>900000</v>
      </c>
      <c r="AF979" s="73">
        <f>cadangan[[#This Row],[Harga Diskon A]]+cadangan[[#This Row],[Harga Diskon B]]+cadangan[[#This Row],[Harga Diskon C]]</f>
        <v>720000</v>
      </c>
      <c r="AG979" s="73">
        <f>(cadangan[[#This Row],[Profit Normal A]]+cadangan[[#This Row],[Profit Normal B]]+cadangan[[#This Row],[Profit Normal C]])</f>
        <v>340000</v>
      </c>
      <c r="AH979" s="73">
        <f>cadangan[[#This Row],[Profit Diskon A]]+cadangan[[#This Row],[Profit Diskon B]]+cadangan[[#This Row],[Profit Diskon C]]</f>
        <v>160000</v>
      </c>
      <c r="AI979" s="23" t="s">
        <v>8</v>
      </c>
      <c r="AJ979" s="37">
        <f>IFERROR(INDEX('Kode Diskon'!$D$3:$D$9,MATCH(cadangan[[#This Row],[Kode diskon]],'Kode Diskon'!$C$3:$C$9,0)),"-")</f>
        <v>0.2</v>
      </c>
      <c r="AK979" s="23" t="s">
        <v>9</v>
      </c>
      <c r="AL979" s="23" t="s">
        <v>7</v>
      </c>
      <c r="AM979" s="23" t="s">
        <v>75</v>
      </c>
      <c r="AN979" s="55">
        <v>45036</v>
      </c>
      <c r="AO979" s="53">
        <f>DAY(cadangan[[#This Row],[Tanggal terjual]])</f>
        <v>20</v>
      </c>
      <c r="AP979" s="21" t="str">
        <f>TEXT(cadangan[[#This Row],[Tanggal terjual]],"dddd")</f>
        <v>Thursday</v>
      </c>
      <c r="AQ979" s="23" t="str" cm="1">
        <f t="array" ref="AQ97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79" s="61">
        <f>AVERAGE(cadangan[[#This Row],[Rating A]],cadangan[[#This Row],[Rating B]],cadangan[[#This Row],[Rating C]])</f>
        <v>3</v>
      </c>
    </row>
    <row r="980" spans="1:44" x14ac:dyDescent="0.2">
      <c r="A980" s="20">
        <v>979</v>
      </c>
      <c r="B980" s="21" t="str">
        <f>_xlfn.CONCAT("ORD-",INDEX(Helper!$B$2:$B$5,MATCH(cadangan[[#This Row],[Marketplace]],Helper!$A$2:$A$5,0)),TEXT(cadangan[[#This Row],[No]],"0000"),"-",TEXT(cadangan[[#This Row],[Tanggal terjual]],"dd/mm/yy"))</f>
        <v>ORD-SP0979-01/04/23</v>
      </c>
      <c r="C980" s="39" t="s">
        <v>59</v>
      </c>
      <c r="D980" s="39" t="str">
        <f>IFERROR(INDEX(Katalog!$A$3:$A$12,MATCH(cadangan[[#This Row],[ItemID A]],Katalog!$C$3:$C$12,0)),"-")</f>
        <v>Pakaian Wanita</v>
      </c>
      <c r="E980" s="39" t="str">
        <f>IFERROR(INDEX(Katalog!$B$3:$B$12,MATCH(cadangan[[#This Row],[ItemID A]],Katalog!$C$3:$C$12,0)),"-")</f>
        <v>Blouse</v>
      </c>
      <c r="F980" s="50">
        <v>3</v>
      </c>
      <c r="G980" s="50">
        <v>2</v>
      </c>
      <c r="H980" s="73">
        <f>IFERROR(INDEX(Katalog!$D$3:$D$12,MATCH(cadangan[[#This Row],[ItemID A]],Katalog!$C$3:$C$12,0))*cadangan[[#This Row],[Qty A]],0)</f>
        <v>450000</v>
      </c>
      <c r="I980" s="73">
        <f>IFERROR(cadangan[[#This Row],[Harga Normal A]]-(cadangan[[#This Row],[Harga Normal A]]*cadangan[[#This Row],[Diskon]]),cadangan[[#This Row],[Harga Normal A]])</f>
        <v>405000</v>
      </c>
      <c r="J980" s="73">
        <f>INDEX(Katalog!$F$3:$F$12,MATCH(cadangan[[#This Row],[ItemID A]],Katalog!$C$3:$C$12,0))*cadangan[[#This Row],[Qty A]]</f>
        <v>150000</v>
      </c>
      <c r="K980" s="73">
        <f>IFERROR(cadangan[[#This Row],[Harga Diskon A]]-INDEX(Katalog!$E$3:$E$12,MATCH(cadangan[[#This Row],[ItemID A]],Katalog!$C$3:$C$12,0))*cadangan[[#This Row],[Qty A]],0)</f>
        <v>105000</v>
      </c>
      <c r="M980" s="39" t="str">
        <f>IFERROR(INDEX(Katalog!$A$3:$A$12,MATCH(cadangan[[#This Row],[ItemID B]],Katalog!$C$3:$C$12,0)),"-")</f>
        <v>-</v>
      </c>
      <c r="N980" s="39" t="str">
        <f>IFERROR(INDEX(Katalog!$B$3:$B$12,MATCH(cadangan[[#This Row],[ItemID B]],Katalog!$C$3:$C$12,0)),"-")</f>
        <v>-</v>
      </c>
      <c r="Q980" s="73">
        <f>IFERROR(INDEX(Katalog!$D$3:$D$12,MATCH(cadangan[[#This Row],[ItemID B]],Katalog!$C$3:$C$12,0))*cadangan[[#This Row],[Qty B]],0)</f>
        <v>0</v>
      </c>
      <c r="R980" s="73">
        <f>IFERROR(cadangan[[#This Row],[Harga Normal B]]-(cadangan[[#This Row],[Harga Normal B]]*cadangan[[#This Row],[Diskon]]),cadangan[[#This Row],[Harga Normal B]])</f>
        <v>0</v>
      </c>
      <c r="S980" s="73">
        <f>IFERROR(INDEX(Katalog!$F$3:$F$12,MATCH(cadangan[[#This Row],[ItemID B]],Katalog!$C$3:$C$12,0))*cadangan[[#This Row],[Qty B]],0)</f>
        <v>0</v>
      </c>
      <c r="T980" s="73">
        <f>IFERROR(cadangan[[#This Row],[Harga Diskon B]]-INDEX(Katalog!$E$3:$E$12,MATCH(cadangan[[#This Row],[ItemID B]],Katalog!$C$3:$C$12,0))*cadangan[[#This Row],[Qty B]],0)</f>
        <v>0</v>
      </c>
      <c r="V980" s="39" t="str">
        <f>IFERROR(INDEX(Katalog!$A$3:$A$12,MATCH(cadangan[[#This Row],[ItemID C]],Katalog!$C$3:$C$12,0)),"-")</f>
        <v>-</v>
      </c>
      <c r="W980" s="39" t="str">
        <f>IFERROR(INDEX(Katalog!$B$3:$B$12,MATCH(cadangan[[#This Row],[ItemID C]],Katalog!$C$3:$C$12,0)),"-")</f>
        <v>-</v>
      </c>
      <c r="Z980" s="73">
        <f>IFERROR(INDEX(Katalog!$D$3:$D$12,MATCH(cadangan[[#This Row],[ItemID C]],Katalog!$C$3:$C$12,0))*cadangan[[#This Row],[Qty C]],0)</f>
        <v>0</v>
      </c>
      <c r="AA980" s="73">
        <f>IFERROR(cadangan[[#This Row],[Harga Normal C]]-(cadangan[[#This Row],[Harga Normal C]]*cadangan[[#This Row],[Diskon]]),cadangan[[#This Row],[Harga Normal C]])</f>
        <v>0</v>
      </c>
      <c r="AB980" s="73">
        <f>IFERROR(INDEX(Katalog!$F$3:$F$12,MATCH(cadangan[[#This Row],[ItemID C]],Katalog!$C$3:$C$12,0))*cadangan[[#This Row],[Qty C]],0)</f>
        <v>0</v>
      </c>
      <c r="AC980" s="73">
        <f>IFERROR(cadangan[[#This Row],[Harga Diskon C]]-INDEX(Katalog!$E$3:$E$12,MATCH(cadangan[[#This Row],[ItemID C]],Katalog!$C$3:$C$12,0))*cadangan[[#This Row],[Qty C]],0)</f>
        <v>0</v>
      </c>
      <c r="AD980" s="53">
        <f>cadangan[[#This Row],[Qty A]]+cadangan[[#This Row],[Qty B]]+cadangan[[#This Row],[Qty C]]</f>
        <v>3</v>
      </c>
      <c r="AE980" s="73">
        <f>cadangan[[#This Row],[Harga Normal A]]+cadangan[[#This Row],[Harga Normal B]]+cadangan[[#This Row],[Harga Normal C]]</f>
        <v>450000</v>
      </c>
      <c r="AF980" s="73">
        <f>cadangan[[#This Row],[Harga Diskon A]]+cadangan[[#This Row],[Harga Diskon B]]+cadangan[[#This Row],[Harga Diskon C]]</f>
        <v>405000</v>
      </c>
      <c r="AG980" s="73">
        <f>(cadangan[[#This Row],[Profit Normal A]]+cadangan[[#This Row],[Profit Normal B]]+cadangan[[#This Row],[Profit Normal C]])</f>
        <v>150000</v>
      </c>
      <c r="AH980" s="73">
        <f>cadangan[[#This Row],[Profit Diskon A]]+cadangan[[#This Row],[Profit Diskon B]]+cadangan[[#This Row],[Profit Diskon C]]</f>
        <v>105000</v>
      </c>
      <c r="AI980" s="23" t="s">
        <v>6</v>
      </c>
      <c r="AJ980" s="37">
        <f>IFERROR(INDEX('Kode Diskon'!$D$3:$D$9,MATCH(cadangan[[#This Row],[Kode diskon]],'Kode Diskon'!$C$3:$C$9,0)),"-")</f>
        <v>0.1</v>
      </c>
      <c r="AK980" s="23" t="s">
        <v>29</v>
      </c>
      <c r="AL980" s="23" t="s">
        <v>7</v>
      </c>
      <c r="AM980" s="23" t="s">
        <v>79</v>
      </c>
      <c r="AN980" s="55">
        <v>45017</v>
      </c>
      <c r="AO980" s="53">
        <f>DAY(cadangan[[#This Row],[Tanggal terjual]])</f>
        <v>1</v>
      </c>
      <c r="AP980" s="21" t="str">
        <f>TEXT(cadangan[[#This Row],[Tanggal terjual]],"dddd")</f>
        <v>Saturday</v>
      </c>
      <c r="AQ980" s="23" t="str" cm="1">
        <f t="array" ref="AQ98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0" s="61">
        <f>AVERAGE(cadangan[[#This Row],[Rating A]],cadangan[[#This Row],[Rating B]],cadangan[[#This Row],[Rating C]])</f>
        <v>2</v>
      </c>
    </row>
    <row r="981" spans="1:44" x14ac:dyDescent="0.2">
      <c r="A981" s="20">
        <v>980</v>
      </c>
      <c r="B981" s="21" t="str">
        <f>_xlfn.CONCAT("ORD-",INDEX(Helper!$B$2:$B$5,MATCH(cadangan[[#This Row],[Marketplace]],Helper!$A$2:$A$5,0)),TEXT(cadangan[[#This Row],[No]],"0000"),"-",TEXT(cadangan[[#This Row],[Tanggal terjual]],"dd/mm/yy"))</f>
        <v>ORD-SP0980-07/04/23</v>
      </c>
      <c r="C981" s="39" t="s">
        <v>67</v>
      </c>
      <c r="D981" s="39" t="str">
        <f>IFERROR(INDEX(Katalog!$A$3:$A$12,MATCH(cadangan[[#This Row],[ItemID A]],Katalog!$C$3:$C$12,0)),"-")</f>
        <v>Sepatu Wanita</v>
      </c>
      <c r="E981" s="39" t="str">
        <f>IFERROR(INDEX(Katalog!$B$3:$B$12,MATCH(cadangan[[#This Row],[ItemID A]],Katalog!$C$3:$C$12,0)),"-")</f>
        <v>Flat Shoes</v>
      </c>
      <c r="F981" s="50">
        <v>2</v>
      </c>
      <c r="G981" s="50">
        <v>4</v>
      </c>
      <c r="H981" s="73">
        <f>IFERROR(INDEX(Katalog!$D$3:$D$12,MATCH(cadangan[[#This Row],[ItemID A]],Katalog!$C$3:$C$12,0))*cadangan[[#This Row],[Qty A]],0)</f>
        <v>500000</v>
      </c>
      <c r="I981" s="73">
        <f>IFERROR(cadangan[[#This Row],[Harga Normal A]]-(cadangan[[#This Row],[Harga Normal A]]*cadangan[[#This Row],[Diskon]]),cadangan[[#This Row],[Harga Normal A]])</f>
        <v>500000</v>
      </c>
      <c r="J981" s="73">
        <f>INDEX(Katalog!$F$3:$F$12,MATCH(cadangan[[#This Row],[ItemID A]],Katalog!$C$3:$C$12,0))*cadangan[[#This Row],[Qty A]]</f>
        <v>200000</v>
      </c>
      <c r="K981" s="73">
        <f>IFERROR(cadangan[[#This Row],[Harga Diskon A]]-INDEX(Katalog!$E$3:$E$12,MATCH(cadangan[[#This Row],[ItemID A]],Katalog!$C$3:$C$12,0))*cadangan[[#This Row],[Qty A]],0)</f>
        <v>200000</v>
      </c>
      <c r="L981" s="39" t="s">
        <v>66</v>
      </c>
      <c r="M981" s="39" t="str">
        <f>IFERROR(INDEX(Katalog!$A$3:$A$12,MATCH(cadangan[[#This Row],[ItemID B]],Katalog!$C$3:$C$12,0)),"-")</f>
        <v>Sepatu Pria</v>
      </c>
      <c r="N981" s="39" t="str">
        <f>IFERROR(INDEX(Katalog!$B$3:$B$12,MATCH(cadangan[[#This Row],[ItemID B]],Katalog!$C$3:$C$12,0)),"-")</f>
        <v>Sandal Slip On</v>
      </c>
      <c r="O981" s="50">
        <v>4</v>
      </c>
      <c r="P981" s="50">
        <v>5</v>
      </c>
      <c r="Q981" s="73">
        <f>IFERROR(INDEX(Katalog!$D$3:$D$12,MATCH(cadangan[[#This Row],[ItemID B]],Katalog!$C$3:$C$12,0))*cadangan[[#This Row],[Qty B]],0)</f>
        <v>600000</v>
      </c>
      <c r="R981" s="73">
        <f>IFERROR(cadangan[[#This Row],[Harga Normal B]]-(cadangan[[#This Row],[Harga Normal B]]*cadangan[[#This Row],[Diskon]]),cadangan[[#This Row],[Harga Normal B]])</f>
        <v>600000</v>
      </c>
      <c r="S981" s="73">
        <f>IFERROR(INDEX(Katalog!$F$3:$F$12,MATCH(cadangan[[#This Row],[ItemID B]],Katalog!$C$3:$C$12,0))*cadangan[[#This Row],[Qty B]],0)</f>
        <v>240000</v>
      </c>
      <c r="T981" s="73">
        <f>IFERROR(cadangan[[#This Row],[Harga Diskon B]]-INDEX(Katalog!$E$3:$E$12,MATCH(cadangan[[#This Row],[ItemID B]],Katalog!$C$3:$C$12,0))*cadangan[[#This Row],[Qty B]],0)</f>
        <v>240000</v>
      </c>
      <c r="V981" s="39" t="str">
        <f>IFERROR(INDEX(Katalog!$A$3:$A$12,MATCH(cadangan[[#This Row],[ItemID C]],Katalog!$C$3:$C$12,0)),"-")</f>
        <v>-</v>
      </c>
      <c r="W981" s="39" t="str">
        <f>IFERROR(INDEX(Katalog!$B$3:$B$12,MATCH(cadangan[[#This Row],[ItemID C]],Katalog!$C$3:$C$12,0)),"-")</f>
        <v>-</v>
      </c>
      <c r="Z981" s="73">
        <f>IFERROR(INDEX(Katalog!$D$3:$D$12,MATCH(cadangan[[#This Row],[ItemID C]],Katalog!$C$3:$C$12,0))*cadangan[[#This Row],[Qty C]],0)</f>
        <v>0</v>
      </c>
      <c r="AA981" s="73">
        <f>IFERROR(cadangan[[#This Row],[Harga Normal C]]-(cadangan[[#This Row],[Harga Normal C]]*cadangan[[#This Row],[Diskon]]),cadangan[[#This Row],[Harga Normal C]])</f>
        <v>0</v>
      </c>
      <c r="AB981" s="73">
        <f>IFERROR(INDEX(Katalog!$F$3:$F$12,MATCH(cadangan[[#This Row],[ItemID C]],Katalog!$C$3:$C$12,0))*cadangan[[#This Row],[Qty C]],0)</f>
        <v>0</v>
      </c>
      <c r="AC981" s="73">
        <f>IFERROR(cadangan[[#This Row],[Harga Diskon C]]-INDEX(Katalog!$E$3:$E$12,MATCH(cadangan[[#This Row],[ItemID C]],Katalog!$C$3:$C$12,0))*cadangan[[#This Row],[Qty C]],0)</f>
        <v>0</v>
      </c>
      <c r="AD981" s="53">
        <f>cadangan[[#This Row],[Qty A]]+cadangan[[#This Row],[Qty B]]+cadangan[[#This Row],[Qty C]]</f>
        <v>6</v>
      </c>
      <c r="AE981" s="73">
        <f>cadangan[[#This Row],[Harga Normal A]]+cadangan[[#This Row],[Harga Normal B]]+cadangan[[#This Row],[Harga Normal C]]</f>
        <v>1100000</v>
      </c>
      <c r="AF981" s="73">
        <f>cadangan[[#This Row],[Harga Diskon A]]+cadangan[[#This Row],[Harga Diskon B]]+cadangan[[#This Row],[Harga Diskon C]]</f>
        <v>1100000</v>
      </c>
      <c r="AG981" s="73">
        <f>(cadangan[[#This Row],[Profit Normal A]]+cadangan[[#This Row],[Profit Normal B]]+cadangan[[#This Row],[Profit Normal C]])</f>
        <v>440000</v>
      </c>
      <c r="AH981" s="73">
        <f>cadangan[[#This Row],[Profit Diskon A]]+cadangan[[#This Row],[Profit Diskon B]]+cadangan[[#This Row],[Profit Diskon C]]</f>
        <v>440000</v>
      </c>
      <c r="AI981" s="23" t="s">
        <v>290</v>
      </c>
      <c r="AJ981" s="37" t="str">
        <f>IFERROR(INDEX('Kode Diskon'!$D$3:$D$9,MATCH(cadangan[[#This Row],[Kode diskon]],'Kode Diskon'!$C$3:$C$9,0)),"-")</f>
        <v>-</v>
      </c>
      <c r="AK981" s="23" t="s">
        <v>290</v>
      </c>
      <c r="AL981" s="23" t="s">
        <v>7</v>
      </c>
      <c r="AM981" s="23" t="s">
        <v>79</v>
      </c>
      <c r="AN981" s="55">
        <v>45023</v>
      </c>
      <c r="AO981" s="53">
        <f>DAY(cadangan[[#This Row],[Tanggal terjual]])</f>
        <v>7</v>
      </c>
      <c r="AP981" s="21" t="str">
        <f>TEXT(cadangan[[#This Row],[Tanggal terjual]],"dddd")</f>
        <v>Friday</v>
      </c>
      <c r="AQ981" s="23" t="str" cm="1">
        <f t="array" ref="AQ98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1" s="61">
        <f>AVERAGE(cadangan[[#This Row],[Rating A]],cadangan[[#This Row],[Rating B]],cadangan[[#This Row],[Rating C]])</f>
        <v>4.5</v>
      </c>
    </row>
    <row r="982" spans="1:44" x14ac:dyDescent="0.2">
      <c r="A982" s="20">
        <v>981</v>
      </c>
      <c r="B982" s="21" t="str">
        <f>_xlfn.CONCAT("ORD-",INDEX(Helper!$B$2:$B$5,MATCH(cadangan[[#This Row],[Marketplace]],Helper!$A$2:$A$5,0)),TEXT(cadangan[[#This Row],[No]],"0000"),"-",TEXT(cadangan[[#This Row],[Tanggal terjual]],"dd/mm/yy"))</f>
        <v>ORD-SP0981-01/04/23</v>
      </c>
      <c r="C982" s="39" t="s">
        <v>58</v>
      </c>
      <c r="D982" s="39" t="str">
        <f>IFERROR(INDEX(Katalog!$A$3:$A$12,MATCH(cadangan[[#This Row],[ItemID A]],Katalog!$C$3:$C$12,0)),"-")</f>
        <v>Pakaian Wanita</v>
      </c>
      <c r="E982" s="39" t="str">
        <f>IFERROR(INDEX(Katalog!$B$3:$B$12,MATCH(cadangan[[#This Row],[ItemID A]],Katalog!$C$3:$C$12,0)),"-")</f>
        <v>Dress</v>
      </c>
      <c r="F982" s="50">
        <v>1</v>
      </c>
      <c r="G982" s="50">
        <v>4</v>
      </c>
      <c r="H982" s="73">
        <f>IFERROR(INDEX(Katalog!$D$3:$D$12,MATCH(cadangan[[#This Row],[ItemID A]],Katalog!$C$3:$C$12,0))*cadangan[[#This Row],[Qty A]],0)</f>
        <v>300000</v>
      </c>
      <c r="I982" s="73">
        <f>IFERROR(cadangan[[#This Row],[Harga Normal A]]-(cadangan[[#This Row],[Harga Normal A]]*cadangan[[#This Row],[Diskon]]),cadangan[[#This Row],[Harga Normal A]])</f>
        <v>270000</v>
      </c>
      <c r="J982" s="73">
        <f>INDEX(Katalog!$F$3:$F$12,MATCH(cadangan[[#This Row],[ItemID A]],Katalog!$C$3:$C$12,0))*cadangan[[#This Row],[Qty A]]</f>
        <v>100000</v>
      </c>
      <c r="K982" s="73">
        <f>IFERROR(cadangan[[#This Row],[Harga Diskon A]]-INDEX(Katalog!$E$3:$E$12,MATCH(cadangan[[#This Row],[ItemID A]],Katalog!$C$3:$C$12,0))*cadangan[[#This Row],[Qty A]],0)</f>
        <v>70000</v>
      </c>
      <c r="M982" s="39" t="str">
        <f>IFERROR(INDEX(Katalog!$A$3:$A$12,MATCH(cadangan[[#This Row],[ItemID B]],Katalog!$C$3:$C$12,0)),"-")</f>
        <v>-</v>
      </c>
      <c r="N982" s="39" t="str">
        <f>IFERROR(INDEX(Katalog!$B$3:$B$12,MATCH(cadangan[[#This Row],[ItemID B]],Katalog!$C$3:$C$12,0)),"-")</f>
        <v>-</v>
      </c>
      <c r="Q982" s="73">
        <f>IFERROR(INDEX(Katalog!$D$3:$D$12,MATCH(cadangan[[#This Row],[ItemID B]],Katalog!$C$3:$C$12,0))*cadangan[[#This Row],[Qty B]],0)</f>
        <v>0</v>
      </c>
      <c r="R982" s="73">
        <f>IFERROR(cadangan[[#This Row],[Harga Normal B]]-(cadangan[[#This Row],[Harga Normal B]]*cadangan[[#This Row],[Diskon]]),cadangan[[#This Row],[Harga Normal B]])</f>
        <v>0</v>
      </c>
      <c r="S982" s="73">
        <f>IFERROR(INDEX(Katalog!$F$3:$F$12,MATCH(cadangan[[#This Row],[ItemID B]],Katalog!$C$3:$C$12,0))*cadangan[[#This Row],[Qty B]],0)</f>
        <v>0</v>
      </c>
      <c r="T982" s="73">
        <f>IFERROR(cadangan[[#This Row],[Harga Diskon B]]-INDEX(Katalog!$E$3:$E$12,MATCH(cadangan[[#This Row],[ItemID B]],Katalog!$C$3:$C$12,0))*cadangan[[#This Row],[Qty B]],0)</f>
        <v>0</v>
      </c>
      <c r="V982" s="39" t="str">
        <f>IFERROR(INDEX(Katalog!$A$3:$A$12,MATCH(cadangan[[#This Row],[ItemID C]],Katalog!$C$3:$C$12,0)),"-")</f>
        <v>-</v>
      </c>
      <c r="W982" s="39" t="str">
        <f>IFERROR(INDEX(Katalog!$B$3:$B$12,MATCH(cadangan[[#This Row],[ItemID C]],Katalog!$C$3:$C$12,0)),"-")</f>
        <v>-</v>
      </c>
      <c r="Z982" s="73">
        <f>IFERROR(INDEX(Katalog!$D$3:$D$12,MATCH(cadangan[[#This Row],[ItemID C]],Katalog!$C$3:$C$12,0))*cadangan[[#This Row],[Qty C]],0)</f>
        <v>0</v>
      </c>
      <c r="AA982" s="73">
        <f>IFERROR(cadangan[[#This Row],[Harga Normal C]]-(cadangan[[#This Row],[Harga Normal C]]*cadangan[[#This Row],[Diskon]]),cadangan[[#This Row],[Harga Normal C]])</f>
        <v>0</v>
      </c>
      <c r="AB982" s="73">
        <f>IFERROR(INDEX(Katalog!$F$3:$F$12,MATCH(cadangan[[#This Row],[ItemID C]],Katalog!$C$3:$C$12,0))*cadangan[[#This Row],[Qty C]],0)</f>
        <v>0</v>
      </c>
      <c r="AC982" s="73">
        <f>IFERROR(cadangan[[#This Row],[Harga Diskon C]]-INDEX(Katalog!$E$3:$E$12,MATCH(cadangan[[#This Row],[ItemID C]],Katalog!$C$3:$C$12,0))*cadangan[[#This Row],[Qty C]],0)</f>
        <v>0</v>
      </c>
      <c r="AD982" s="53">
        <f>cadangan[[#This Row],[Qty A]]+cadangan[[#This Row],[Qty B]]+cadangan[[#This Row],[Qty C]]</f>
        <v>1</v>
      </c>
      <c r="AE982" s="73">
        <f>cadangan[[#This Row],[Harga Normal A]]+cadangan[[#This Row],[Harga Normal B]]+cadangan[[#This Row],[Harga Normal C]]</f>
        <v>300000</v>
      </c>
      <c r="AF982" s="73">
        <f>cadangan[[#This Row],[Harga Diskon A]]+cadangan[[#This Row],[Harga Diskon B]]+cadangan[[#This Row],[Harga Diskon C]]</f>
        <v>270000</v>
      </c>
      <c r="AG982" s="73">
        <f>(cadangan[[#This Row],[Profit Normal A]]+cadangan[[#This Row],[Profit Normal B]]+cadangan[[#This Row],[Profit Normal C]])</f>
        <v>100000</v>
      </c>
      <c r="AH982" s="73">
        <f>cadangan[[#This Row],[Profit Diskon A]]+cadangan[[#This Row],[Profit Diskon B]]+cadangan[[#This Row],[Profit Diskon C]]</f>
        <v>70000</v>
      </c>
      <c r="AI982" s="23" t="s">
        <v>6</v>
      </c>
      <c r="AJ982" s="37">
        <f>IFERROR(INDEX('Kode Diskon'!$D$3:$D$9,MATCH(cadangan[[#This Row],[Kode diskon]],'Kode Diskon'!$C$3:$C$9,0)),"-")</f>
        <v>0.1</v>
      </c>
      <c r="AK982" s="23" t="s">
        <v>29</v>
      </c>
      <c r="AL982" s="23" t="s">
        <v>7</v>
      </c>
      <c r="AM982" s="23" t="s">
        <v>79</v>
      </c>
      <c r="AN982" s="55">
        <v>45017</v>
      </c>
      <c r="AO982" s="53">
        <f>DAY(cadangan[[#This Row],[Tanggal terjual]])</f>
        <v>1</v>
      </c>
      <c r="AP982" s="21" t="str">
        <f>TEXT(cadangan[[#This Row],[Tanggal terjual]],"dddd")</f>
        <v>Saturday</v>
      </c>
      <c r="AQ982" s="23" t="str" cm="1">
        <f t="array" ref="AQ98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2" s="61">
        <f>AVERAGE(cadangan[[#This Row],[Rating A]],cadangan[[#This Row],[Rating B]],cadangan[[#This Row],[Rating C]])</f>
        <v>4</v>
      </c>
    </row>
    <row r="983" spans="1:44" x14ac:dyDescent="0.2">
      <c r="A983" s="20">
        <v>982</v>
      </c>
      <c r="B983" s="21" t="str">
        <f>_xlfn.CONCAT("ORD-",INDEX(Helper!$B$2:$B$5,MATCH(cadangan[[#This Row],[Marketplace]],Helper!$A$2:$A$5,0)),TEXT(cadangan[[#This Row],[No]],"0000"),"-",TEXT(cadangan[[#This Row],[Tanggal terjual]],"dd/mm/yy"))</f>
        <v>ORD-BB0982-03/04/23</v>
      </c>
      <c r="C983" s="39" t="s">
        <v>63</v>
      </c>
      <c r="D983" s="39" t="str">
        <f>IFERROR(INDEX(Katalog!$A$3:$A$12,MATCH(cadangan[[#This Row],[ItemID A]],Katalog!$C$3:$C$12,0)),"-")</f>
        <v>Pakaian Pria</v>
      </c>
      <c r="E983" s="39" t="str">
        <f>IFERROR(INDEX(Katalog!$B$3:$B$12,MATCH(cadangan[[#This Row],[ItemID A]],Katalog!$C$3:$C$12,0)),"-")</f>
        <v>Jaket Jeans</v>
      </c>
      <c r="F983" s="50">
        <v>3</v>
      </c>
      <c r="G983" s="50">
        <v>5</v>
      </c>
      <c r="H983" s="73">
        <f>IFERROR(INDEX(Katalog!$D$3:$D$12,MATCH(cadangan[[#This Row],[ItemID A]],Katalog!$C$3:$C$12,0))*cadangan[[#This Row],[Qty A]],0)</f>
        <v>1200000</v>
      </c>
      <c r="I983" s="73">
        <f>IFERROR(cadangan[[#This Row],[Harga Normal A]]-(cadangan[[#This Row],[Harga Normal A]]*cadangan[[#This Row],[Diskon]]),cadangan[[#This Row],[Harga Normal A]])</f>
        <v>1020000</v>
      </c>
      <c r="J983" s="73">
        <f>INDEX(Katalog!$F$3:$F$12,MATCH(cadangan[[#This Row],[ItemID A]],Katalog!$C$3:$C$12,0))*cadangan[[#This Row],[Qty A]]</f>
        <v>450000</v>
      </c>
      <c r="K983" s="73">
        <f>IFERROR(cadangan[[#This Row],[Harga Diskon A]]-INDEX(Katalog!$E$3:$E$12,MATCH(cadangan[[#This Row],[ItemID A]],Katalog!$C$3:$C$12,0))*cadangan[[#This Row],[Qty A]],0)</f>
        <v>270000</v>
      </c>
      <c r="M983" s="39" t="str">
        <f>IFERROR(INDEX(Katalog!$A$3:$A$12,MATCH(cadangan[[#This Row],[ItemID B]],Katalog!$C$3:$C$12,0)),"-")</f>
        <v>-</v>
      </c>
      <c r="N983" s="39" t="str">
        <f>IFERROR(INDEX(Katalog!$B$3:$B$12,MATCH(cadangan[[#This Row],[ItemID B]],Katalog!$C$3:$C$12,0)),"-")</f>
        <v>-</v>
      </c>
      <c r="Q983" s="73">
        <f>IFERROR(INDEX(Katalog!$D$3:$D$12,MATCH(cadangan[[#This Row],[ItemID B]],Katalog!$C$3:$C$12,0))*cadangan[[#This Row],[Qty B]],0)</f>
        <v>0</v>
      </c>
      <c r="R983" s="73">
        <f>IFERROR(cadangan[[#This Row],[Harga Normal B]]-(cadangan[[#This Row],[Harga Normal B]]*cadangan[[#This Row],[Diskon]]),cadangan[[#This Row],[Harga Normal B]])</f>
        <v>0</v>
      </c>
      <c r="S983" s="73">
        <f>IFERROR(INDEX(Katalog!$F$3:$F$12,MATCH(cadangan[[#This Row],[ItemID B]],Katalog!$C$3:$C$12,0))*cadangan[[#This Row],[Qty B]],0)</f>
        <v>0</v>
      </c>
      <c r="T983" s="73">
        <f>IFERROR(cadangan[[#This Row],[Harga Diskon B]]-INDEX(Katalog!$E$3:$E$12,MATCH(cadangan[[#This Row],[ItemID B]],Katalog!$C$3:$C$12,0))*cadangan[[#This Row],[Qty B]],0)</f>
        <v>0</v>
      </c>
      <c r="V983" s="39" t="str">
        <f>IFERROR(INDEX(Katalog!$A$3:$A$12,MATCH(cadangan[[#This Row],[ItemID C]],Katalog!$C$3:$C$12,0)),"-")</f>
        <v>-</v>
      </c>
      <c r="W983" s="39" t="str">
        <f>IFERROR(INDEX(Katalog!$B$3:$B$12,MATCH(cadangan[[#This Row],[ItemID C]],Katalog!$C$3:$C$12,0)),"-")</f>
        <v>-</v>
      </c>
      <c r="Z983" s="73">
        <f>IFERROR(INDEX(Katalog!$D$3:$D$12,MATCH(cadangan[[#This Row],[ItemID C]],Katalog!$C$3:$C$12,0))*cadangan[[#This Row],[Qty C]],0)</f>
        <v>0</v>
      </c>
      <c r="AA983" s="73">
        <f>IFERROR(cadangan[[#This Row],[Harga Normal C]]-(cadangan[[#This Row],[Harga Normal C]]*cadangan[[#This Row],[Diskon]]),cadangan[[#This Row],[Harga Normal C]])</f>
        <v>0</v>
      </c>
      <c r="AB983" s="73">
        <f>IFERROR(INDEX(Katalog!$F$3:$F$12,MATCH(cadangan[[#This Row],[ItemID C]],Katalog!$C$3:$C$12,0))*cadangan[[#This Row],[Qty C]],0)</f>
        <v>0</v>
      </c>
      <c r="AC983" s="73">
        <f>IFERROR(cadangan[[#This Row],[Harga Diskon C]]-INDEX(Katalog!$E$3:$E$12,MATCH(cadangan[[#This Row],[ItemID C]],Katalog!$C$3:$C$12,0))*cadangan[[#This Row],[Qty C]],0)</f>
        <v>0</v>
      </c>
      <c r="AD983" s="53">
        <f>cadangan[[#This Row],[Qty A]]+cadangan[[#This Row],[Qty B]]+cadangan[[#This Row],[Qty C]]</f>
        <v>3</v>
      </c>
      <c r="AE983" s="73">
        <f>cadangan[[#This Row],[Harga Normal A]]+cadangan[[#This Row],[Harga Normal B]]+cadangan[[#This Row],[Harga Normal C]]</f>
        <v>1200000</v>
      </c>
      <c r="AF983" s="73">
        <f>cadangan[[#This Row],[Harga Diskon A]]+cadangan[[#This Row],[Harga Diskon B]]+cadangan[[#This Row],[Harga Diskon C]]</f>
        <v>1020000</v>
      </c>
      <c r="AG983" s="73">
        <f>(cadangan[[#This Row],[Profit Normal A]]+cadangan[[#This Row],[Profit Normal B]]+cadangan[[#This Row],[Profit Normal C]])</f>
        <v>450000</v>
      </c>
      <c r="AH983" s="73">
        <f>cadangan[[#This Row],[Profit Diskon A]]+cadangan[[#This Row],[Profit Diskon B]]+cadangan[[#This Row],[Profit Diskon C]]</f>
        <v>270000</v>
      </c>
      <c r="AI983" s="23" t="s">
        <v>28</v>
      </c>
      <c r="AJ983" s="37">
        <f>IFERROR(INDEX('Kode Diskon'!$D$3:$D$9,MATCH(cadangan[[#This Row],[Kode diskon]],'Kode Diskon'!$C$3:$C$9,0)),"-")</f>
        <v>0.15</v>
      </c>
      <c r="AK983" s="23" t="s">
        <v>29</v>
      </c>
      <c r="AL983" s="23" t="s">
        <v>14</v>
      </c>
      <c r="AM983" s="23" t="s">
        <v>76</v>
      </c>
      <c r="AN983" s="55">
        <v>45019</v>
      </c>
      <c r="AO983" s="53">
        <f>DAY(cadangan[[#This Row],[Tanggal terjual]])</f>
        <v>3</v>
      </c>
      <c r="AP983" s="21" t="str">
        <f>TEXT(cadangan[[#This Row],[Tanggal terjual]],"dddd")</f>
        <v>Monday</v>
      </c>
      <c r="AQ983" s="23" t="str" cm="1">
        <f t="array" ref="AQ98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3" s="61">
        <f>AVERAGE(cadangan[[#This Row],[Rating A]],cadangan[[#This Row],[Rating B]],cadangan[[#This Row],[Rating C]])</f>
        <v>5</v>
      </c>
    </row>
    <row r="984" spans="1:44" x14ac:dyDescent="0.2">
      <c r="A984" s="20">
        <v>983</v>
      </c>
      <c r="B984" s="21" t="str">
        <f>_xlfn.CONCAT("ORD-",INDEX(Helper!$B$2:$B$5,MATCH(cadangan[[#This Row],[Marketplace]],Helper!$A$2:$A$5,0)),TEXT(cadangan[[#This Row],[No]],"0000"),"-",TEXT(cadangan[[#This Row],[Tanggal terjual]],"dd/mm/yy"))</f>
        <v>ORD-SP0983-06/04/23</v>
      </c>
      <c r="C984" s="39" t="s">
        <v>62</v>
      </c>
      <c r="D984" s="39" t="str">
        <f>IFERROR(INDEX(Katalog!$A$3:$A$12,MATCH(cadangan[[#This Row],[ItemID A]],Katalog!$C$3:$C$12,0)),"-")</f>
        <v>Pakaian Pria</v>
      </c>
      <c r="E984" s="39" t="str">
        <f>IFERROR(INDEX(Katalog!$B$3:$B$12,MATCH(cadangan[[#This Row],[ItemID A]],Katalog!$C$3:$C$12,0)),"-")</f>
        <v>Celana Pendek</v>
      </c>
      <c r="F984" s="50">
        <v>5</v>
      </c>
      <c r="G984" s="50">
        <v>1</v>
      </c>
      <c r="H984" s="73">
        <f>IFERROR(INDEX(Katalog!$D$3:$D$12,MATCH(cadangan[[#This Row],[ItemID A]],Katalog!$C$3:$C$12,0))*cadangan[[#This Row],[Qty A]],0)</f>
        <v>900000</v>
      </c>
      <c r="I984" s="73">
        <f>IFERROR(cadangan[[#This Row],[Harga Normal A]]-(cadangan[[#This Row],[Harga Normal A]]*cadangan[[#This Row],[Diskon]]),cadangan[[#This Row],[Harga Normal A]])</f>
        <v>765000</v>
      </c>
      <c r="J984" s="73">
        <f>INDEX(Katalog!$F$3:$F$12,MATCH(cadangan[[#This Row],[ItemID A]],Katalog!$C$3:$C$12,0))*cadangan[[#This Row],[Qty A]]</f>
        <v>350000</v>
      </c>
      <c r="K984" s="73">
        <f>IFERROR(cadangan[[#This Row],[Harga Diskon A]]-INDEX(Katalog!$E$3:$E$12,MATCH(cadangan[[#This Row],[ItemID A]],Katalog!$C$3:$C$12,0))*cadangan[[#This Row],[Qty A]],0)</f>
        <v>215000</v>
      </c>
      <c r="L984" s="39" t="s">
        <v>59</v>
      </c>
      <c r="M984" s="39" t="str">
        <f>IFERROR(INDEX(Katalog!$A$3:$A$12,MATCH(cadangan[[#This Row],[ItemID B]],Katalog!$C$3:$C$12,0)),"-")</f>
        <v>Pakaian Wanita</v>
      </c>
      <c r="N984" s="39" t="str">
        <f>IFERROR(INDEX(Katalog!$B$3:$B$12,MATCH(cadangan[[#This Row],[ItemID B]],Katalog!$C$3:$C$12,0)),"-")</f>
        <v>Blouse</v>
      </c>
      <c r="O984" s="50">
        <v>1</v>
      </c>
      <c r="P984" s="50">
        <v>5</v>
      </c>
      <c r="Q984" s="73">
        <f>IFERROR(INDEX(Katalog!$D$3:$D$12,MATCH(cadangan[[#This Row],[ItemID B]],Katalog!$C$3:$C$12,0))*cadangan[[#This Row],[Qty B]],0)</f>
        <v>150000</v>
      </c>
      <c r="R984" s="73">
        <f>IFERROR(cadangan[[#This Row],[Harga Normal B]]-(cadangan[[#This Row],[Harga Normal B]]*cadangan[[#This Row],[Diskon]]),cadangan[[#This Row],[Harga Normal B]])</f>
        <v>127500</v>
      </c>
      <c r="S984" s="73">
        <f>IFERROR(INDEX(Katalog!$F$3:$F$12,MATCH(cadangan[[#This Row],[ItemID B]],Katalog!$C$3:$C$12,0))*cadangan[[#This Row],[Qty B]],0)</f>
        <v>50000</v>
      </c>
      <c r="T984" s="73">
        <f>IFERROR(cadangan[[#This Row],[Harga Diskon B]]-INDEX(Katalog!$E$3:$E$12,MATCH(cadangan[[#This Row],[ItemID B]],Katalog!$C$3:$C$12,0))*cadangan[[#This Row],[Qty B]],0)</f>
        <v>27500</v>
      </c>
      <c r="V984" s="39" t="str">
        <f>IFERROR(INDEX(Katalog!$A$3:$A$12,MATCH(cadangan[[#This Row],[ItemID C]],Katalog!$C$3:$C$12,0)),"-")</f>
        <v>-</v>
      </c>
      <c r="W984" s="39" t="str">
        <f>IFERROR(INDEX(Katalog!$B$3:$B$12,MATCH(cadangan[[#This Row],[ItemID C]],Katalog!$C$3:$C$12,0)),"-")</f>
        <v>-</v>
      </c>
      <c r="Z984" s="73">
        <f>IFERROR(INDEX(Katalog!$D$3:$D$12,MATCH(cadangan[[#This Row],[ItemID C]],Katalog!$C$3:$C$12,0))*cadangan[[#This Row],[Qty C]],0)</f>
        <v>0</v>
      </c>
      <c r="AA984" s="73">
        <f>IFERROR(cadangan[[#This Row],[Harga Normal C]]-(cadangan[[#This Row],[Harga Normal C]]*cadangan[[#This Row],[Diskon]]),cadangan[[#This Row],[Harga Normal C]])</f>
        <v>0</v>
      </c>
      <c r="AB984" s="73">
        <f>IFERROR(INDEX(Katalog!$F$3:$F$12,MATCH(cadangan[[#This Row],[ItemID C]],Katalog!$C$3:$C$12,0))*cadangan[[#This Row],[Qty C]],0)</f>
        <v>0</v>
      </c>
      <c r="AC984" s="73">
        <f>IFERROR(cadangan[[#This Row],[Harga Diskon C]]-INDEX(Katalog!$E$3:$E$12,MATCH(cadangan[[#This Row],[ItemID C]],Katalog!$C$3:$C$12,0))*cadangan[[#This Row],[Qty C]],0)</f>
        <v>0</v>
      </c>
      <c r="AD984" s="53">
        <f>cadangan[[#This Row],[Qty A]]+cadangan[[#This Row],[Qty B]]+cadangan[[#This Row],[Qty C]]</f>
        <v>6</v>
      </c>
      <c r="AE984" s="73">
        <f>cadangan[[#This Row],[Harga Normal A]]+cadangan[[#This Row],[Harga Normal B]]+cadangan[[#This Row],[Harga Normal C]]</f>
        <v>1050000</v>
      </c>
      <c r="AF984" s="73">
        <f>cadangan[[#This Row],[Harga Diskon A]]+cadangan[[#This Row],[Harga Diskon B]]+cadangan[[#This Row],[Harga Diskon C]]</f>
        <v>892500</v>
      </c>
      <c r="AG984" s="73">
        <f>(cadangan[[#This Row],[Profit Normal A]]+cadangan[[#This Row],[Profit Normal B]]+cadangan[[#This Row],[Profit Normal C]])</f>
        <v>400000</v>
      </c>
      <c r="AH984" s="73">
        <f>cadangan[[#This Row],[Profit Diskon A]]+cadangan[[#This Row],[Profit Diskon B]]+cadangan[[#This Row],[Profit Diskon C]]</f>
        <v>242500</v>
      </c>
      <c r="AI984" s="23" t="s">
        <v>13</v>
      </c>
      <c r="AJ984" s="37">
        <f>IFERROR(INDEX('Kode Diskon'!$D$3:$D$9,MATCH(cadangan[[#This Row],[Kode diskon]],'Kode Diskon'!$C$3:$C$9,0)),"-")</f>
        <v>0.15</v>
      </c>
      <c r="AK984" s="23" t="s">
        <v>29</v>
      </c>
      <c r="AL984" s="23" t="s">
        <v>7</v>
      </c>
      <c r="AM984" s="23" t="s">
        <v>76</v>
      </c>
      <c r="AN984" s="55">
        <v>45022</v>
      </c>
      <c r="AO984" s="53">
        <f>DAY(cadangan[[#This Row],[Tanggal terjual]])</f>
        <v>6</v>
      </c>
      <c r="AP984" s="21" t="str">
        <f>TEXT(cadangan[[#This Row],[Tanggal terjual]],"dddd")</f>
        <v>Thursday</v>
      </c>
      <c r="AQ984" s="23" t="str" cm="1">
        <f t="array" ref="AQ98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4" s="61">
        <f>AVERAGE(cadangan[[#This Row],[Rating A]],cadangan[[#This Row],[Rating B]],cadangan[[#This Row],[Rating C]])</f>
        <v>3</v>
      </c>
    </row>
    <row r="985" spans="1:44" x14ac:dyDescent="0.2">
      <c r="A985" s="20">
        <v>984</v>
      </c>
      <c r="B985" s="21" t="str">
        <f>_xlfn.CONCAT("ORD-",INDEX(Helper!$B$2:$B$5,MATCH(cadangan[[#This Row],[Marketplace]],Helper!$A$2:$A$5,0)),TEXT(cadangan[[#This Row],[No]],"0000"),"-",TEXT(cadangan[[#This Row],[Tanggal terjual]],"dd/mm/yy"))</f>
        <v>ORD-SP0984-05/04/23</v>
      </c>
      <c r="C985" s="39" t="s">
        <v>62</v>
      </c>
      <c r="D985" s="39" t="str">
        <f>IFERROR(INDEX(Katalog!$A$3:$A$12,MATCH(cadangan[[#This Row],[ItemID A]],Katalog!$C$3:$C$12,0)),"-")</f>
        <v>Pakaian Pria</v>
      </c>
      <c r="E985" s="39" t="str">
        <f>IFERROR(INDEX(Katalog!$B$3:$B$12,MATCH(cadangan[[#This Row],[ItemID A]],Katalog!$C$3:$C$12,0)),"-")</f>
        <v>Celana Pendek</v>
      </c>
      <c r="F985" s="50">
        <v>1</v>
      </c>
      <c r="G985" s="50">
        <v>1</v>
      </c>
      <c r="H985" s="73">
        <f>IFERROR(INDEX(Katalog!$D$3:$D$12,MATCH(cadangan[[#This Row],[ItemID A]],Katalog!$C$3:$C$12,0))*cadangan[[#This Row],[Qty A]],0)</f>
        <v>180000</v>
      </c>
      <c r="I985" s="73">
        <f>IFERROR(cadangan[[#This Row],[Harga Normal A]]-(cadangan[[#This Row],[Harga Normal A]]*cadangan[[#This Row],[Diskon]]),cadangan[[#This Row],[Harga Normal A]])</f>
        <v>153000</v>
      </c>
      <c r="J985" s="73">
        <f>INDEX(Katalog!$F$3:$F$12,MATCH(cadangan[[#This Row],[ItemID A]],Katalog!$C$3:$C$12,0))*cadangan[[#This Row],[Qty A]]</f>
        <v>70000</v>
      </c>
      <c r="K985" s="73">
        <f>IFERROR(cadangan[[#This Row],[Harga Diskon A]]-INDEX(Katalog!$E$3:$E$12,MATCH(cadangan[[#This Row],[ItemID A]],Katalog!$C$3:$C$12,0))*cadangan[[#This Row],[Qty A]],0)</f>
        <v>43000</v>
      </c>
      <c r="L985" s="39" t="s">
        <v>64</v>
      </c>
      <c r="M985" s="39" t="str">
        <f>IFERROR(INDEX(Katalog!$A$3:$A$12,MATCH(cadangan[[#This Row],[ItemID B]],Katalog!$C$3:$C$12,0)),"-")</f>
        <v>Pakaian Unisex</v>
      </c>
      <c r="N985" s="39" t="str">
        <f>IFERROR(INDEX(Katalog!$B$3:$B$12,MATCH(cadangan[[#This Row],[ItemID B]],Katalog!$C$3:$C$12,0)),"-")</f>
        <v>Jaket Hoodie</v>
      </c>
      <c r="O985" s="50">
        <v>2</v>
      </c>
      <c r="P985" s="50">
        <v>2</v>
      </c>
      <c r="Q985" s="73">
        <f>IFERROR(INDEX(Katalog!$D$3:$D$12,MATCH(cadangan[[#This Row],[ItemID B]],Katalog!$C$3:$C$12,0))*cadangan[[#This Row],[Qty B]],0)</f>
        <v>700000</v>
      </c>
      <c r="R985" s="73">
        <f>IFERROR(cadangan[[#This Row],[Harga Normal B]]-(cadangan[[#This Row],[Harga Normal B]]*cadangan[[#This Row],[Diskon]]),cadangan[[#This Row],[Harga Normal B]])</f>
        <v>595000</v>
      </c>
      <c r="S985" s="73">
        <f>IFERROR(INDEX(Katalog!$F$3:$F$12,MATCH(cadangan[[#This Row],[ItemID B]],Katalog!$C$3:$C$12,0))*cadangan[[#This Row],[Qty B]],0)</f>
        <v>260000</v>
      </c>
      <c r="T985" s="73">
        <f>IFERROR(cadangan[[#This Row],[Harga Diskon B]]-INDEX(Katalog!$E$3:$E$12,MATCH(cadangan[[#This Row],[ItemID B]],Katalog!$C$3:$C$12,0))*cadangan[[#This Row],[Qty B]],0)</f>
        <v>155000</v>
      </c>
      <c r="U985" s="39" t="s">
        <v>59</v>
      </c>
      <c r="V985" s="39" t="str">
        <f>IFERROR(INDEX(Katalog!$A$3:$A$12,MATCH(cadangan[[#This Row],[ItemID C]],Katalog!$C$3:$C$12,0)),"-")</f>
        <v>Pakaian Wanita</v>
      </c>
      <c r="W985" s="39" t="str">
        <f>IFERROR(INDEX(Katalog!$B$3:$B$12,MATCH(cadangan[[#This Row],[ItemID C]],Katalog!$C$3:$C$12,0)),"-")</f>
        <v>Blouse</v>
      </c>
      <c r="X985" s="50">
        <v>2</v>
      </c>
      <c r="Y985" s="50">
        <v>4</v>
      </c>
      <c r="Z985" s="73">
        <f>IFERROR(INDEX(Katalog!$D$3:$D$12,MATCH(cadangan[[#This Row],[ItemID C]],Katalog!$C$3:$C$12,0))*cadangan[[#This Row],[Qty C]],0)</f>
        <v>300000</v>
      </c>
      <c r="AA985" s="73">
        <f>IFERROR(cadangan[[#This Row],[Harga Normal C]]-(cadangan[[#This Row],[Harga Normal C]]*cadangan[[#This Row],[Diskon]]),cadangan[[#This Row],[Harga Normal C]])</f>
        <v>255000</v>
      </c>
      <c r="AB985" s="73">
        <f>IFERROR(INDEX(Katalog!$F$3:$F$12,MATCH(cadangan[[#This Row],[ItemID C]],Katalog!$C$3:$C$12,0))*cadangan[[#This Row],[Qty C]],0)</f>
        <v>100000</v>
      </c>
      <c r="AC985" s="73">
        <f>IFERROR(cadangan[[#This Row],[Harga Diskon C]]-INDEX(Katalog!$E$3:$E$12,MATCH(cadangan[[#This Row],[ItemID C]],Katalog!$C$3:$C$12,0))*cadangan[[#This Row],[Qty C]],0)</f>
        <v>55000</v>
      </c>
      <c r="AD985" s="53">
        <f>cadangan[[#This Row],[Qty A]]+cadangan[[#This Row],[Qty B]]+cadangan[[#This Row],[Qty C]]</f>
        <v>5</v>
      </c>
      <c r="AE985" s="73">
        <f>cadangan[[#This Row],[Harga Normal A]]+cadangan[[#This Row],[Harga Normal B]]+cadangan[[#This Row],[Harga Normal C]]</f>
        <v>1180000</v>
      </c>
      <c r="AF985" s="73">
        <f>cadangan[[#This Row],[Harga Diskon A]]+cadangan[[#This Row],[Harga Diskon B]]+cadangan[[#This Row],[Harga Diskon C]]</f>
        <v>1003000</v>
      </c>
      <c r="AG985" s="73">
        <f>(cadangan[[#This Row],[Profit Normal A]]+cadangan[[#This Row],[Profit Normal B]]+cadangan[[#This Row],[Profit Normal C]])</f>
        <v>430000</v>
      </c>
      <c r="AH985" s="73">
        <f>cadangan[[#This Row],[Profit Diskon A]]+cadangan[[#This Row],[Profit Diskon B]]+cadangan[[#This Row],[Profit Diskon C]]</f>
        <v>253000</v>
      </c>
      <c r="AI985" s="23" t="s">
        <v>13</v>
      </c>
      <c r="AJ985" s="37">
        <f>IFERROR(INDEX('Kode Diskon'!$D$3:$D$9,MATCH(cadangan[[#This Row],[Kode diskon]],'Kode Diskon'!$C$3:$C$9,0)),"-")</f>
        <v>0.15</v>
      </c>
      <c r="AK985" s="23" t="s">
        <v>29</v>
      </c>
      <c r="AL985" s="23" t="s">
        <v>7</v>
      </c>
      <c r="AM985" s="23" t="s">
        <v>75</v>
      </c>
      <c r="AN985" s="55">
        <v>45021</v>
      </c>
      <c r="AO985" s="53">
        <f>DAY(cadangan[[#This Row],[Tanggal terjual]])</f>
        <v>5</v>
      </c>
      <c r="AP985" s="21" t="str">
        <f>TEXT(cadangan[[#This Row],[Tanggal terjual]],"dddd")</f>
        <v>Wednesday</v>
      </c>
      <c r="AQ985" s="23" t="str" cm="1">
        <f t="array" ref="AQ98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5" s="61">
        <f>AVERAGE(cadangan[[#This Row],[Rating A]],cadangan[[#This Row],[Rating B]],cadangan[[#This Row],[Rating C]])</f>
        <v>2.3333333333333335</v>
      </c>
    </row>
    <row r="986" spans="1:44" x14ac:dyDescent="0.2">
      <c r="A986" s="20">
        <v>985</v>
      </c>
      <c r="B986" s="21" t="str">
        <f>_xlfn.CONCAT("ORD-",INDEX(Helper!$B$2:$B$5,MATCH(cadangan[[#This Row],[Marketplace]],Helper!$A$2:$A$5,0)),TEXT(cadangan[[#This Row],[No]],"0000"),"-",TEXT(cadangan[[#This Row],[Tanggal terjual]],"dd/mm/yy"))</f>
        <v>ORD-SP0985-01/04/23</v>
      </c>
      <c r="C986" s="39" t="s">
        <v>66</v>
      </c>
      <c r="D986" s="39" t="str">
        <f>IFERROR(INDEX(Katalog!$A$3:$A$12,MATCH(cadangan[[#This Row],[ItemID A]],Katalog!$C$3:$C$12,0)),"-")</f>
        <v>Sepatu Pria</v>
      </c>
      <c r="E986" s="39" t="str">
        <f>IFERROR(INDEX(Katalog!$B$3:$B$12,MATCH(cadangan[[#This Row],[ItemID A]],Katalog!$C$3:$C$12,0)),"-")</f>
        <v>Sandal Slip On</v>
      </c>
      <c r="F986" s="50">
        <v>1</v>
      </c>
      <c r="G986" s="50">
        <v>2</v>
      </c>
      <c r="H986" s="73">
        <f>IFERROR(INDEX(Katalog!$D$3:$D$12,MATCH(cadangan[[#This Row],[ItemID A]],Katalog!$C$3:$C$12,0))*cadangan[[#This Row],[Qty A]],0)</f>
        <v>150000</v>
      </c>
      <c r="I986" s="73">
        <f>IFERROR(cadangan[[#This Row],[Harga Normal A]]-(cadangan[[#This Row],[Harga Normal A]]*cadangan[[#This Row],[Diskon]]),cadangan[[#This Row],[Harga Normal A]])</f>
        <v>135000</v>
      </c>
      <c r="J986" s="73">
        <f>INDEX(Katalog!$F$3:$F$12,MATCH(cadangan[[#This Row],[ItemID A]],Katalog!$C$3:$C$12,0))*cadangan[[#This Row],[Qty A]]</f>
        <v>60000</v>
      </c>
      <c r="K986" s="73">
        <f>IFERROR(cadangan[[#This Row],[Harga Diskon A]]-INDEX(Katalog!$E$3:$E$12,MATCH(cadangan[[#This Row],[ItemID A]],Katalog!$C$3:$C$12,0))*cadangan[[#This Row],[Qty A]],0)</f>
        <v>45000</v>
      </c>
      <c r="M986" s="39" t="str">
        <f>IFERROR(INDEX(Katalog!$A$3:$A$12,MATCH(cadangan[[#This Row],[ItemID B]],Katalog!$C$3:$C$12,0)),"-")</f>
        <v>-</v>
      </c>
      <c r="N986" s="39" t="str">
        <f>IFERROR(INDEX(Katalog!$B$3:$B$12,MATCH(cadangan[[#This Row],[ItemID B]],Katalog!$C$3:$C$12,0)),"-")</f>
        <v>-</v>
      </c>
      <c r="Q986" s="73">
        <f>IFERROR(INDEX(Katalog!$D$3:$D$12,MATCH(cadangan[[#This Row],[ItemID B]],Katalog!$C$3:$C$12,0))*cadangan[[#This Row],[Qty B]],0)</f>
        <v>0</v>
      </c>
      <c r="R986" s="73">
        <f>IFERROR(cadangan[[#This Row],[Harga Normal B]]-(cadangan[[#This Row],[Harga Normal B]]*cadangan[[#This Row],[Diskon]]),cadangan[[#This Row],[Harga Normal B]])</f>
        <v>0</v>
      </c>
      <c r="S986" s="73">
        <f>IFERROR(INDEX(Katalog!$F$3:$F$12,MATCH(cadangan[[#This Row],[ItemID B]],Katalog!$C$3:$C$12,0))*cadangan[[#This Row],[Qty B]],0)</f>
        <v>0</v>
      </c>
      <c r="T986" s="73">
        <f>IFERROR(cadangan[[#This Row],[Harga Diskon B]]-INDEX(Katalog!$E$3:$E$12,MATCH(cadangan[[#This Row],[ItemID B]],Katalog!$C$3:$C$12,0))*cadangan[[#This Row],[Qty B]],0)</f>
        <v>0</v>
      </c>
      <c r="V986" s="39" t="str">
        <f>IFERROR(INDEX(Katalog!$A$3:$A$12,MATCH(cadangan[[#This Row],[ItemID C]],Katalog!$C$3:$C$12,0)),"-")</f>
        <v>-</v>
      </c>
      <c r="W986" s="39" t="str">
        <f>IFERROR(INDEX(Katalog!$B$3:$B$12,MATCH(cadangan[[#This Row],[ItemID C]],Katalog!$C$3:$C$12,0)),"-")</f>
        <v>-</v>
      </c>
      <c r="Z986" s="73">
        <f>IFERROR(INDEX(Katalog!$D$3:$D$12,MATCH(cadangan[[#This Row],[ItemID C]],Katalog!$C$3:$C$12,0))*cadangan[[#This Row],[Qty C]],0)</f>
        <v>0</v>
      </c>
      <c r="AA986" s="73">
        <f>IFERROR(cadangan[[#This Row],[Harga Normal C]]-(cadangan[[#This Row],[Harga Normal C]]*cadangan[[#This Row],[Diskon]]),cadangan[[#This Row],[Harga Normal C]])</f>
        <v>0</v>
      </c>
      <c r="AB986" s="73">
        <f>IFERROR(INDEX(Katalog!$F$3:$F$12,MATCH(cadangan[[#This Row],[ItemID C]],Katalog!$C$3:$C$12,0))*cadangan[[#This Row],[Qty C]],0)</f>
        <v>0</v>
      </c>
      <c r="AC986" s="73">
        <f>IFERROR(cadangan[[#This Row],[Harga Diskon C]]-INDEX(Katalog!$E$3:$E$12,MATCH(cadangan[[#This Row],[ItemID C]],Katalog!$C$3:$C$12,0))*cadangan[[#This Row],[Qty C]],0)</f>
        <v>0</v>
      </c>
      <c r="AD986" s="53">
        <f>cadangan[[#This Row],[Qty A]]+cadangan[[#This Row],[Qty B]]+cadangan[[#This Row],[Qty C]]</f>
        <v>1</v>
      </c>
      <c r="AE986" s="73">
        <f>cadangan[[#This Row],[Harga Normal A]]+cadangan[[#This Row],[Harga Normal B]]+cadangan[[#This Row],[Harga Normal C]]</f>
        <v>150000</v>
      </c>
      <c r="AF986" s="73">
        <f>cadangan[[#This Row],[Harga Diskon A]]+cadangan[[#This Row],[Harga Diskon B]]+cadangan[[#This Row],[Harga Diskon C]]</f>
        <v>135000</v>
      </c>
      <c r="AG986" s="73">
        <f>(cadangan[[#This Row],[Profit Normal A]]+cadangan[[#This Row],[Profit Normal B]]+cadangan[[#This Row],[Profit Normal C]])</f>
        <v>60000</v>
      </c>
      <c r="AH986" s="73">
        <f>cadangan[[#This Row],[Profit Diskon A]]+cadangan[[#This Row],[Profit Diskon B]]+cadangan[[#This Row],[Profit Diskon C]]</f>
        <v>45000</v>
      </c>
      <c r="AI986" s="23" t="s">
        <v>6</v>
      </c>
      <c r="AJ986" s="37">
        <f>IFERROR(INDEX('Kode Diskon'!$D$3:$D$9,MATCH(cadangan[[#This Row],[Kode diskon]],'Kode Diskon'!$C$3:$C$9,0)),"-")</f>
        <v>0.1</v>
      </c>
      <c r="AK986" s="23" t="s">
        <v>29</v>
      </c>
      <c r="AL986" s="23" t="s">
        <v>7</v>
      </c>
      <c r="AM986" s="23" t="s">
        <v>79</v>
      </c>
      <c r="AN986" s="55">
        <v>45017</v>
      </c>
      <c r="AO986" s="53">
        <f>DAY(cadangan[[#This Row],[Tanggal terjual]])</f>
        <v>1</v>
      </c>
      <c r="AP986" s="21" t="str">
        <f>TEXT(cadangan[[#This Row],[Tanggal terjual]],"dddd")</f>
        <v>Saturday</v>
      </c>
      <c r="AQ986" s="23" t="str" cm="1">
        <f t="array" ref="AQ98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6" s="61">
        <f>AVERAGE(cadangan[[#This Row],[Rating A]],cadangan[[#This Row],[Rating B]],cadangan[[#This Row],[Rating C]])</f>
        <v>2</v>
      </c>
    </row>
    <row r="987" spans="1:44" x14ac:dyDescent="0.2">
      <c r="A987" s="20">
        <v>986</v>
      </c>
      <c r="B987" s="21" t="str">
        <f>_xlfn.CONCAT("ORD-",INDEX(Helper!$B$2:$B$5,MATCH(cadangan[[#This Row],[Marketplace]],Helper!$A$2:$A$5,0)),TEXT(cadangan[[#This Row],[No]],"0000"),"-",TEXT(cadangan[[#This Row],[Tanggal terjual]],"dd/mm/yy"))</f>
        <v>ORD-BL0986-18/04/23</v>
      </c>
      <c r="C987" s="39" t="s">
        <v>63</v>
      </c>
      <c r="D987" s="39" t="str">
        <f>IFERROR(INDEX(Katalog!$A$3:$A$12,MATCH(cadangan[[#This Row],[ItemID A]],Katalog!$C$3:$C$12,0)),"-")</f>
        <v>Pakaian Pria</v>
      </c>
      <c r="E987" s="39" t="str">
        <f>IFERROR(INDEX(Katalog!$B$3:$B$12,MATCH(cadangan[[#This Row],[ItemID A]],Katalog!$C$3:$C$12,0)),"-")</f>
        <v>Jaket Jeans</v>
      </c>
      <c r="F987" s="50">
        <v>2</v>
      </c>
      <c r="G987" s="50">
        <v>2</v>
      </c>
      <c r="H987" s="73">
        <f>IFERROR(INDEX(Katalog!$D$3:$D$12,MATCH(cadangan[[#This Row],[ItemID A]],Katalog!$C$3:$C$12,0))*cadangan[[#This Row],[Qty A]],0)</f>
        <v>800000</v>
      </c>
      <c r="I987" s="73">
        <f>IFERROR(cadangan[[#This Row],[Harga Normal A]]-(cadangan[[#This Row],[Harga Normal A]]*cadangan[[#This Row],[Diskon]]),cadangan[[#This Row],[Harga Normal A]])</f>
        <v>680000</v>
      </c>
      <c r="J987" s="73">
        <f>INDEX(Katalog!$F$3:$F$12,MATCH(cadangan[[#This Row],[ItemID A]],Katalog!$C$3:$C$12,0))*cadangan[[#This Row],[Qty A]]</f>
        <v>300000</v>
      </c>
      <c r="K987" s="73">
        <f>IFERROR(cadangan[[#This Row],[Harga Diskon A]]-INDEX(Katalog!$E$3:$E$12,MATCH(cadangan[[#This Row],[ItemID A]],Katalog!$C$3:$C$12,0))*cadangan[[#This Row],[Qty A]],0)</f>
        <v>180000</v>
      </c>
      <c r="L987" s="39" t="s">
        <v>62</v>
      </c>
      <c r="M987" s="39" t="str">
        <f>IFERROR(INDEX(Katalog!$A$3:$A$12,MATCH(cadangan[[#This Row],[ItemID B]],Katalog!$C$3:$C$12,0)),"-")</f>
        <v>Pakaian Pria</v>
      </c>
      <c r="N987" s="39" t="str">
        <f>IFERROR(INDEX(Katalog!$B$3:$B$12,MATCH(cadangan[[#This Row],[ItemID B]],Katalog!$C$3:$C$12,0)),"-")</f>
        <v>Celana Pendek</v>
      </c>
      <c r="O987" s="50">
        <v>1</v>
      </c>
      <c r="P987" s="50">
        <v>5</v>
      </c>
      <c r="Q987" s="73">
        <f>IFERROR(INDEX(Katalog!$D$3:$D$12,MATCH(cadangan[[#This Row],[ItemID B]],Katalog!$C$3:$C$12,0))*cadangan[[#This Row],[Qty B]],0)</f>
        <v>180000</v>
      </c>
      <c r="R987" s="73">
        <f>IFERROR(cadangan[[#This Row],[Harga Normal B]]-(cadangan[[#This Row],[Harga Normal B]]*cadangan[[#This Row],[Diskon]]),cadangan[[#This Row],[Harga Normal B]])</f>
        <v>153000</v>
      </c>
      <c r="S987" s="73">
        <f>IFERROR(INDEX(Katalog!$F$3:$F$12,MATCH(cadangan[[#This Row],[ItemID B]],Katalog!$C$3:$C$12,0))*cadangan[[#This Row],[Qty B]],0)</f>
        <v>70000</v>
      </c>
      <c r="T987" s="73">
        <f>IFERROR(cadangan[[#This Row],[Harga Diskon B]]-INDEX(Katalog!$E$3:$E$12,MATCH(cadangan[[#This Row],[ItemID B]],Katalog!$C$3:$C$12,0))*cadangan[[#This Row],[Qty B]],0)</f>
        <v>43000</v>
      </c>
      <c r="V987" s="39" t="str">
        <f>IFERROR(INDEX(Katalog!$A$3:$A$12,MATCH(cadangan[[#This Row],[ItemID C]],Katalog!$C$3:$C$12,0)),"-")</f>
        <v>-</v>
      </c>
      <c r="W987" s="39" t="str">
        <f>IFERROR(INDEX(Katalog!$B$3:$B$12,MATCH(cadangan[[#This Row],[ItemID C]],Katalog!$C$3:$C$12,0)),"-")</f>
        <v>-</v>
      </c>
      <c r="Z987" s="73">
        <f>IFERROR(INDEX(Katalog!$D$3:$D$12,MATCH(cadangan[[#This Row],[ItemID C]],Katalog!$C$3:$C$12,0))*cadangan[[#This Row],[Qty C]],0)</f>
        <v>0</v>
      </c>
      <c r="AA987" s="73">
        <f>IFERROR(cadangan[[#This Row],[Harga Normal C]]-(cadangan[[#This Row],[Harga Normal C]]*cadangan[[#This Row],[Diskon]]),cadangan[[#This Row],[Harga Normal C]])</f>
        <v>0</v>
      </c>
      <c r="AB987" s="73">
        <f>IFERROR(INDEX(Katalog!$F$3:$F$12,MATCH(cadangan[[#This Row],[ItemID C]],Katalog!$C$3:$C$12,0))*cadangan[[#This Row],[Qty C]],0)</f>
        <v>0</v>
      </c>
      <c r="AC987" s="73">
        <f>IFERROR(cadangan[[#This Row],[Harga Diskon C]]-INDEX(Katalog!$E$3:$E$12,MATCH(cadangan[[#This Row],[ItemID C]],Katalog!$C$3:$C$12,0))*cadangan[[#This Row],[Qty C]],0)</f>
        <v>0</v>
      </c>
      <c r="AD987" s="53">
        <f>cadangan[[#This Row],[Qty A]]+cadangan[[#This Row],[Qty B]]+cadangan[[#This Row],[Qty C]]</f>
        <v>3</v>
      </c>
      <c r="AE987" s="73">
        <f>cadangan[[#This Row],[Harga Normal A]]+cadangan[[#This Row],[Harga Normal B]]+cadangan[[#This Row],[Harga Normal C]]</f>
        <v>980000</v>
      </c>
      <c r="AF987" s="73">
        <f>cadangan[[#This Row],[Harga Diskon A]]+cadangan[[#This Row],[Harga Diskon B]]+cadangan[[#This Row],[Harga Diskon C]]</f>
        <v>833000</v>
      </c>
      <c r="AG987" s="73">
        <f>(cadangan[[#This Row],[Profit Normal A]]+cadangan[[#This Row],[Profit Normal B]]+cadangan[[#This Row],[Profit Normal C]])</f>
        <v>370000</v>
      </c>
      <c r="AH987" s="73">
        <f>cadangan[[#This Row],[Profit Diskon A]]+cadangan[[#This Row],[Profit Diskon B]]+cadangan[[#This Row],[Profit Diskon C]]</f>
        <v>223000</v>
      </c>
      <c r="AI987" s="23" t="s">
        <v>32</v>
      </c>
      <c r="AJ987" s="37">
        <f>IFERROR(INDEX('Kode Diskon'!$D$3:$D$9,MATCH(cadangan[[#This Row],[Kode diskon]],'Kode Diskon'!$C$3:$C$9,0)),"-")</f>
        <v>0.15</v>
      </c>
      <c r="AK987" s="23" t="s">
        <v>9</v>
      </c>
      <c r="AL987" s="23" t="s">
        <v>12</v>
      </c>
      <c r="AM987" s="23" t="s">
        <v>80</v>
      </c>
      <c r="AN987" s="55">
        <v>45034</v>
      </c>
      <c r="AO987" s="53">
        <f>DAY(cadangan[[#This Row],[Tanggal terjual]])</f>
        <v>18</v>
      </c>
      <c r="AP987" s="21" t="str">
        <f>TEXT(cadangan[[#This Row],[Tanggal terjual]],"dddd")</f>
        <v>Tuesday</v>
      </c>
      <c r="AQ987" s="23" t="str" cm="1">
        <f t="array" ref="AQ98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87" s="61">
        <f>AVERAGE(cadangan[[#This Row],[Rating A]],cadangan[[#This Row],[Rating B]],cadangan[[#This Row],[Rating C]])</f>
        <v>3.5</v>
      </c>
    </row>
    <row r="988" spans="1:44" x14ac:dyDescent="0.2">
      <c r="A988" s="20">
        <v>987</v>
      </c>
      <c r="B988" s="21" t="str">
        <f>_xlfn.CONCAT("ORD-",INDEX(Helper!$B$2:$B$5,MATCH(cadangan[[#This Row],[Marketplace]],Helper!$A$2:$A$5,0)),TEXT(cadangan[[#This Row],[No]],"0000"),"-",TEXT(cadangan[[#This Row],[Tanggal terjual]],"dd/mm/yy"))</f>
        <v>ORD-SP0987-04/04/23</v>
      </c>
      <c r="C988" s="39" t="s">
        <v>66</v>
      </c>
      <c r="D988" s="39" t="str">
        <f>IFERROR(INDEX(Katalog!$A$3:$A$12,MATCH(cadangan[[#This Row],[ItemID A]],Katalog!$C$3:$C$12,0)),"-")</f>
        <v>Sepatu Pria</v>
      </c>
      <c r="E988" s="39" t="str">
        <f>IFERROR(INDEX(Katalog!$B$3:$B$12,MATCH(cadangan[[#This Row],[ItemID A]],Katalog!$C$3:$C$12,0)),"-")</f>
        <v>Sandal Slip On</v>
      </c>
      <c r="F988" s="50">
        <v>5</v>
      </c>
      <c r="G988" s="50">
        <v>3</v>
      </c>
      <c r="H988" s="73">
        <f>IFERROR(INDEX(Katalog!$D$3:$D$12,MATCH(cadangan[[#This Row],[ItemID A]],Katalog!$C$3:$C$12,0))*cadangan[[#This Row],[Qty A]],0)</f>
        <v>750000</v>
      </c>
      <c r="I988" s="73">
        <f>IFERROR(cadangan[[#This Row],[Harga Normal A]]-(cadangan[[#This Row],[Harga Normal A]]*cadangan[[#This Row],[Diskon]]),cadangan[[#This Row],[Harga Normal A]])</f>
        <v>675000</v>
      </c>
      <c r="J988" s="73">
        <f>INDEX(Katalog!$F$3:$F$12,MATCH(cadangan[[#This Row],[ItemID A]],Katalog!$C$3:$C$12,0))*cadangan[[#This Row],[Qty A]]</f>
        <v>300000</v>
      </c>
      <c r="K988" s="73">
        <f>IFERROR(cadangan[[#This Row],[Harga Diskon A]]-INDEX(Katalog!$E$3:$E$12,MATCH(cadangan[[#This Row],[ItemID A]],Katalog!$C$3:$C$12,0))*cadangan[[#This Row],[Qty A]],0)</f>
        <v>225000</v>
      </c>
      <c r="L988" s="39" t="s">
        <v>67</v>
      </c>
      <c r="M988" s="39" t="str">
        <f>IFERROR(INDEX(Katalog!$A$3:$A$12,MATCH(cadangan[[#This Row],[ItemID B]],Katalog!$C$3:$C$12,0)),"-")</f>
        <v>Sepatu Wanita</v>
      </c>
      <c r="N988" s="39" t="str">
        <f>IFERROR(INDEX(Katalog!$B$3:$B$12,MATCH(cadangan[[#This Row],[ItemID B]],Katalog!$C$3:$C$12,0)),"-")</f>
        <v>Flat Shoes</v>
      </c>
      <c r="O988" s="50">
        <v>1</v>
      </c>
      <c r="P988" s="50">
        <v>1</v>
      </c>
      <c r="Q988" s="73">
        <f>IFERROR(INDEX(Katalog!$D$3:$D$12,MATCH(cadangan[[#This Row],[ItemID B]],Katalog!$C$3:$C$12,0))*cadangan[[#This Row],[Qty B]],0)</f>
        <v>250000</v>
      </c>
      <c r="R988" s="73">
        <f>IFERROR(cadangan[[#This Row],[Harga Normal B]]-(cadangan[[#This Row],[Harga Normal B]]*cadangan[[#This Row],[Diskon]]),cadangan[[#This Row],[Harga Normal B]])</f>
        <v>225000</v>
      </c>
      <c r="S988" s="73">
        <f>IFERROR(INDEX(Katalog!$F$3:$F$12,MATCH(cadangan[[#This Row],[ItemID B]],Katalog!$C$3:$C$12,0))*cadangan[[#This Row],[Qty B]],0)</f>
        <v>100000</v>
      </c>
      <c r="T988" s="73">
        <f>IFERROR(cadangan[[#This Row],[Harga Diskon B]]-INDEX(Katalog!$E$3:$E$12,MATCH(cadangan[[#This Row],[ItemID B]],Katalog!$C$3:$C$12,0))*cadangan[[#This Row],[Qty B]],0)</f>
        <v>75000</v>
      </c>
      <c r="V988" s="39" t="str">
        <f>IFERROR(INDEX(Katalog!$A$3:$A$12,MATCH(cadangan[[#This Row],[ItemID C]],Katalog!$C$3:$C$12,0)),"-")</f>
        <v>-</v>
      </c>
      <c r="W988" s="39" t="str">
        <f>IFERROR(INDEX(Katalog!$B$3:$B$12,MATCH(cadangan[[#This Row],[ItemID C]],Katalog!$C$3:$C$12,0)),"-")</f>
        <v>-</v>
      </c>
      <c r="Z988" s="73">
        <f>IFERROR(INDEX(Katalog!$D$3:$D$12,MATCH(cadangan[[#This Row],[ItemID C]],Katalog!$C$3:$C$12,0))*cadangan[[#This Row],[Qty C]],0)</f>
        <v>0</v>
      </c>
      <c r="AA988" s="73">
        <f>IFERROR(cadangan[[#This Row],[Harga Normal C]]-(cadangan[[#This Row],[Harga Normal C]]*cadangan[[#This Row],[Diskon]]),cadangan[[#This Row],[Harga Normal C]])</f>
        <v>0</v>
      </c>
      <c r="AB988" s="73">
        <f>IFERROR(INDEX(Katalog!$F$3:$F$12,MATCH(cadangan[[#This Row],[ItemID C]],Katalog!$C$3:$C$12,0))*cadangan[[#This Row],[Qty C]],0)</f>
        <v>0</v>
      </c>
      <c r="AC988" s="73">
        <f>IFERROR(cadangan[[#This Row],[Harga Diskon C]]-INDEX(Katalog!$E$3:$E$12,MATCH(cadangan[[#This Row],[ItemID C]],Katalog!$C$3:$C$12,0))*cadangan[[#This Row],[Qty C]],0)</f>
        <v>0</v>
      </c>
      <c r="AD988" s="53">
        <f>cadangan[[#This Row],[Qty A]]+cadangan[[#This Row],[Qty B]]+cadangan[[#This Row],[Qty C]]</f>
        <v>6</v>
      </c>
      <c r="AE988" s="73">
        <f>cadangan[[#This Row],[Harga Normal A]]+cadangan[[#This Row],[Harga Normal B]]+cadangan[[#This Row],[Harga Normal C]]</f>
        <v>1000000</v>
      </c>
      <c r="AF988" s="73">
        <f>cadangan[[#This Row],[Harga Diskon A]]+cadangan[[#This Row],[Harga Diskon B]]+cadangan[[#This Row],[Harga Diskon C]]</f>
        <v>900000</v>
      </c>
      <c r="AG988" s="73">
        <f>(cadangan[[#This Row],[Profit Normal A]]+cadangan[[#This Row],[Profit Normal B]]+cadangan[[#This Row],[Profit Normal C]])</f>
        <v>400000</v>
      </c>
      <c r="AH988" s="73">
        <f>cadangan[[#This Row],[Profit Diskon A]]+cadangan[[#This Row],[Profit Diskon B]]+cadangan[[#This Row],[Profit Diskon C]]</f>
        <v>300000</v>
      </c>
      <c r="AI988" s="23" t="s">
        <v>6</v>
      </c>
      <c r="AJ988" s="37">
        <f>IFERROR(INDEX('Kode Diskon'!$D$3:$D$9,MATCH(cadangan[[#This Row],[Kode diskon]],'Kode Diskon'!$C$3:$C$9,0)),"-")</f>
        <v>0.1</v>
      </c>
      <c r="AK988" s="23" t="s">
        <v>29</v>
      </c>
      <c r="AL988" s="23" t="s">
        <v>7</v>
      </c>
      <c r="AM988" s="23" t="s">
        <v>75</v>
      </c>
      <c r="AN988" s="55">
        <v>45020</v>
      </c>
      <c r="AO988" s="53">
        <f>DAY(cadangan[[#This Row],[Tanggal terjual]])</f>
        <v>4</v>
      </c>
      <c r="AP988" s="21" t="str">
        <f>TEXT(cadangan[[#This Row],[Tanggal terjual]],"dddd")</f>
        <v>Tuesday</v>
      </c>
      <c r="AQ988" s="23" t="str" cm="1">
        <f t="array" ref="AQ98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88" s="61">
        <f>AVERAGE(cadangan[[#This Row],[Rating A]],cadangan[[#This Row],[Rating B]],cadangan[[#This Row],[Rating C]])</f>
        <v>2</v>
      </c>
    </row>
    <row r="989" spans="1:44" x14ac:dyDescent="0.2">
      <c r="A989" s="20">
        <v>988</v>
      </c>
      <c r="B989" s="21" t="str">
        <f>_xlfn.CONCAT("ORD-",INDEX(Helper!$B$2:$B$5,MATCH(cadangan[[#This Row],[Marketplace]],Helper!$A$2:$A$5,0)),TEXT(cadangan[[#This Row],[No]],"0000"),"-",TEXT(cadangan[[#This Row],[Tanggal terjual]],"dd/mm/yy"))</f>
        <v>ORD-BL0988-20/04/23</v>
      </c>
      <c r="C989" s="39" t="s">
        <v>62</v>
      </c>
      <c r="D989" s="39" t="str">
        <f>IFERROR(INDEX(Katalog!$A$3:$A$12,MATCH(cadangan[[#This Row],[ItemID A]],Katalog!$C$3:$C$12,0)),"-")</f>
        <v>Pakaian Pria</v>
      </c>
      <c r="E989" s="39" t="str">
        <f>IFERROR(INDEX(Katalog!$B$3:$B$12,MATCH(cadangan[[#This Row],[ItemID A]],Katalog!$C$3:$C$12,0)),"-")</f>
        <v>Celana Pendek</v>
      </c>
      <c r="F989" s="50">
        <v>1</v>
      </c>
      <c r="G989" s="50">
        <v>4</v>
      </c>
      <c r="H989" s="73">
        <f>IFERROR(INDEX(Katalog!$D$3:$D$12,MATCH(cadangan[[#This Row],[ItemID A]],Katalog!$C$3:$C$12,0))*cadangan[[#This Row],[Qty A]],0)</f>
        <v>180000</v>
      </c>
      <c r="I989" s="73">
        <f>IFERROR(cadangan[[#This Row],[Harga Normal A]]-(cadangan[[#This Row],[Harga Normal A]]*cadangan[[#This Row],[Diskon]]),cadangan[[#This Row],[Harga Normal A]])</f>
        <v>153000</v>
      </c>
      <c r="J989" s="73">
        <f>INDEX(Katalog!$F$3:$F$12,MATCH(cadangan[[#This Row],[ItemID A]],Katalog!$C$3:$C$12,0))*cadangan[[#This Row],[Qty A]]</f>
        <v>70000</v>
      </c>
      <c r="K989" s="73">
        <f>IFERROR(cadangan[[#This Row],[Harga Diskon A]]-INDEX(Katalog!$E$3:$E$12,MATCH(cadangan[[#This Row],[ItemID A]],Katalog!$C$3:$C$12,0))*cadangan[[#This Row],[Qty A]],0)</f>
        <v>43000</v>
      </c>
      <c r="L989" s="39" t="s">
        <v>63</v>
      </c>
      <c r="M989" s="39" t="str">
        <f>IFERROR(INDEX(Katalog!$A$3:$A$12,MATCH(cadangan[[#This Row],[ItemID B]],Katalog!$C$3:$C$12,0)),"-")</f>
        <v>Pakaian Pria</v>
      </c>
      <c r="N989" s="39" t="str">
        <f>IFERROR(INDEX(Katalog!$B$3:$B$12,MATCH(cadangan[[#This Row],[ItemID B]],Katalog!$C$3:$C$12,0)),"-")</f>
        <v>Jaket Jeans</v>
      </c>
      <c r="O989" s="50">
        <v>2</v>
      </c>
      <c r="P989" s="50">
        <v>2</v>
      </c>
      <c r="Q989" s="73">
        <f>IFERROR(INDEX(Katalog!$D$3:$D$12,MATCH(cadangan[[#This Row],[ItemID B]],Katalog!$C$3:$C$12,0))*cadangan[[#This Row],[Qty B]],0)</f>
        <v>800000</v>
      </c>
      <c r="R989" s="73">
        <f>IFERROR(cadangan[[#This Row],[Harga Normal B]]-(cadangan[[#This Row],[Harga Normal B]]*cadangan[[#This Row],[Diskon]]),cadangan[[#This Row],[Harga Normal B]])</f>
        <v>680000</v>
      </c>
      <c r="S989" s="73">
        <f>IFERROR(INDEX(Katalog!$F$3:$F$12,MATCH(cadangan[[#This Row],[ItemID B]],Katalog!$C$3:$C$12,0))*cadangan[[#This Row],[Qty B]],0)</f>
        <v>300000</v>
      </c>
      <c r="T989" s="73">
        <f>IFERROR(cadangan[[#This Row],[Harga Diskon B]]-INDEX(Katalog!$E$3:$E$12,MATCH(cadangan[[#This Row],[ItemID B]],Katalog!$C$3:$C$12,0))*cadangan[[#This Row],[Qty B]],0)</f>
        <v>180000</v>
      </c>
      <c r="U989" s="39" t="s">
        <v>66</v>
      </c>
      <c r="V989" s="39" t="str">
        <f>IFERROR(INDEX(Katalog!$A$3:$A$12,MATCH(cadangan[[#This Row],[ItemID C]],Katalog!$C$3:$C$12,0)),"-")</f>
        <v>Sepatu Pria</v>
      </c>
      <c r="W989" s="39" t="str">
        <f>IFERROR(INDEX(Katalog!$B$3:$B$12,MATCH(cadangan[[#This Row],[ItemID C]],Katalog!$C$3:$C$12,0)),"-")</f>
        <v>Sandal Slip On</v>
      </c>
      <c r="X989" s="50">
        <v>2</v>
      </c>
      <c r="Y989" s="50">
        <v>1</v>
      </c>
      <c r="Z989" s="73">
        <f>IFERROR(INDEX(Katalog!$D$3:$D$12,MATCH(cadangan[[#This Row],[ItemID C]],Katalog!$C$3:$C$12,0))*cadangan[[#This Row],[Qty C]],0)</f>
        <v>300000</v>
      </c>
      <c r="AA989" s="73">
        <f>IFERROR(cadangan[[#This Row],[Harga Normal C]]-(cadangan[[#This Row],[Harga Normal C]]*cadangan[[#This Row],[Diskon]]),cadangan[[#This Row],[Harga Normal C]])</f>
        <v>255000</v>
      </c>
      <c r="AB989" s="73">
        <f>IFERROR(INDEX(Katalog!$F$3:$F$12,MATCH(cadangan[[#This Row],[ItemID C]],Katalog!$C$3:$C$12,0))*cadangan[[#This Row],[Qty C]],0)</f>
        <v>120000</v>
      </c>
      <c r="AC989" s="73">
        <f>IFERROR(cadangan[[#This Row],[Harga Diskon C]]-INDEX(Katalog!$E$3:$E$12,MATCH(cadangan[[#This Row],[ItemID C]],Katalog!$C$3:$C$12,0))*cadangan[[#This Row],[Qty C]],0)</f>
        <v>75000</v>
      </c>
      <c r="AD989" s="53">
        <f>cadangan[[#This Row],[Qty A]]+cadangan[[#This Row],[Qty B]]+cadangan[[#This Row],[Qty C]]</f>
        <v>5</v>
      </c>
      <c r="AE989" s="73">
        <f>cadangan[[#This Row],[Harga Normal A]]+cadangan[[#This Row],[Harga Normal B]]+cadangan[[#This Row],[Harga Normal C]]</f>
        <v>1280000</v>
      </c>
      <c r="AF989" s="73">
        <f>cadangan[[#This Row],[Harga Diskon A]]+cadangan[[#This Row],[Harga Diskon B]]+cadangan[[#This Row],[Harga Diskon C]]</f>
        <v>1088000</v>
      </c>
      <c r="AG989" s="73">
        <f>(cadangan[[#This Row],[Profit Normal A]]+cadangan[[#This Row],[Profit Normal B]]+cadangan[[#This Row],[Profit Normal C]])</f>
        <v>490000</v>
      </c>
      <c r="AH989" s="73">
        <f>cadangan[[#This Row],[Profit Diskon A]]+cadangan[[#This Row],[Profit Diskon B]]+cadangan[[#This Row],[Profit Diskon C]]</f>
        <v>298000</v>
      </c>
      <c r="AI989" s="23" t="s">
        <v>32</v>
      </c>
      <c r="AJ989" s="37">
        <f>IFERROR(INDEX('Kode Diskon'!$D$3:$D$9,MATCH(cadangan[[#This Row],[Kode diskon]],'Kode Diskon'!$C$3:$C$9,0)),"-")</f>
        <v>0.15</v>
      </c>
      <c r="AK989" s="23" t="s">
        <v>9</v>
      </c>
      <c r="AL989" s="23" t="s">
        <v>12</v>
      </c>
      <c r="AM989" s="23" t="s">
        <v>77</v>
      </c>
      <c r="AN989" s="55">
        <v>45036</v>
      </c>
      <c r="AO989" s="53">
        <f>DAY(cadangan[[#This Row],[Tanggal terjual]])</f>
        <v>20</v>
      </c>
      <c r="AP989" s="21" t="str">
        <f>TEXT(cadangan[[#This Row],[Tanggal terjual]],"dddd")</f>
        <v>Thursday</v>
      </c>
      <c r="AQ989" s="23" t="str" cm="1">
        <f t="array" ref="AQ98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89" s="61">
        <f>AVERAGE(cadangan[[#This Row],[Rating A]],cadangan[[#This Row],[Rating B]],cadangan[[#This Row],[Rating C]])</f>
        <v>2.3333333333333335</v>
      </c>
    </row>
    <row r="990" spans="1:44" x14ac:dyDescent="0.2">
      <c r="A990" s="20">
        <v>989</v>
      </c>
      <c r="B990" s="21" t="str">
        <f>_xlfn.CONCAT("ORD-",INDEX(Helper!$B$2:$B$5,MATCH(cadangan[[#This Row],[Marketplace]],Helper!$A$2:$A$5,0)),TEXT(cadangan[[#This Row],[No]],"0000"),"-",TEXT(cadangan[[#This Row],[Tanggal terjual]],"dd/mm/yy"))</f>
        <v>ORD-SP0989-12/04/23</v>
      </c>
      <c r="C990" s="39" t="s">
        <v>63</v>
      </c>
      <c r="D990" s="39" t="str">
        <f>IFERROR(INDEX(Katalog!$A$3:$A$12,MATCH(cadangan[[#This Row],[ItemID A]],Katalog!$C$3:$C$12,0)),"-")</f>
        <v>Pakaian Pria</v>
      </c>
      <c r="E990" s="39" t="str">
        <f>IFERROR(INDEX(Katalog!$B$3:$B$12,MATCH(cadangan[[#This Row],[ItemID A]],Katalog!$C$3:$C$12,0)),"-")</f>
        <v>Jaket Jeans</v>
      </c>
      <c r="F990" s="50">
        <v>1</v>
      </c>
      <c r="G990" s="50">
        <v>1</v>
      </c>
      <c r="H990" s="73">
        <f>IFERROR(INDEX(Katalog!$D$3:$D$12,MATCH(cadangan[[#This Row],[ItemID A]],Katalog!$C$3:$C$12,0))*cadangan[[#This Row],[Qty A]],0)</f>
        <v>400000</v>
      </c>
      <c r="I990" s="73">
        <f>IFERROR(cadangan[[#This Row],[Harga Normal A]]-(cadangan[[#This Row],[Harga Normal A]]*cadangan[[#This Row],[Diskon]]),cadangan[[#This Row],[Harga Normal A]])</f>
        <v>400000</v>
      </c>
      <c r="J990" s="73">
        <f>INDEX(Katalog!$F$3:$F$12,MATCH(cadangan[[#This Row],[ItemID A]],Katalog!$C$3:$C$12,0))*cadangan[[#This Row],[Qty A]]</f>
        <v>150000</v>
      </c>
      <c r="K990" s="73">
        <f>IFERROR(cadangan[[#This Row],[Harga Diskon A]]-INDEX(Katalog!$E$3:$E$12,MATCH(cadangan[[#This Row],[ItemID A]],Katalog!$C$3:$C$12,0))*cadangan[[#This Row],[Qty A]],0)</f>
        <v>150000</v>
      </c>
      <c r="L990" s="39" t="s">
        <v>67</v>
      </c>
      <c r="M990" s="39" t="str">
        <f>IFERROR(INDEX(Katalog!$A$3:$A$12,MATCH(cadangan[[#This Row],[ItemID B]],Katalog!$C$3:$C$12,0)),"-")</f>
        <v>Sepatu Wanita</v>
      </c>
      <c r="N990" s="39" t="str">
        <f>IFERROR(INDEX(Katalog!$B$3:$B$12,MATCH(cadangan[[#This Row],[ItemID B]],Katalog!$C$3:$C$12,0)),"-")</f>
        <v>Flat Shoes</v>
      </c>
      <c r="O990" s="50">
        <v>2</v>
      </c>
      <c r="P990" s="50">
        <v>5</v>
      </c>
      <c r="Q990" s="73">
        <f>IFERROR(INDEX(Katalog!$D$3:$D$12,MATCH(cadangan[[#This Row],[ItemID B]],Katalog!$C$3:$C$12,0))*cadangan[[#This Row],[Qty B]],0)</f>
        <v>500000</v>
      </c>
      <c r="R990" s="73">
        <f>IFERROR(cadangan[[#This Row],[Harga Normal B]]-(cadangan[[#This Row],[Harga Normal B]]*cadangan[[#This Row],[Diskon]]),cadangan[[#This Row],[Harga Normal B]])</f>
        <v>500000</v>
      </c>
      <c r="S990" s="73">
        <f>IFERROR(INDEX(Katalog!$F$3:$F$12,MATCH(cadangan[[#This Row],[ItemID B]],Katalog!$C$3:$C$12,0))*cadangan[[#This Row],[Qty B]],0)</f>
        <v>200000</v>
      </c>
      <c r="T990" s="73">
        <f>IFERROR(cadangan[[#This Row],[Harga Diskon B]]-INDEX(Katalog!$E$3:$E$12,MATCH(cadangan[[#This Row],[ItemID B]],Katalog!$C$3:$C$12,0))*cadangan[[#This Row],[Qty B]],0)</f>
        <v>200000</v>
      </c>
      <c r="U990" s="39" t="s">
        <v>64</v>
      </c>
      <c r="V990" s="39" t="str">
        <f>IFERROR(INDEX(Katalog!$A$3:$A$12,MATCH(cadangan[[#This Row],[ItemID C]],Katalog!$C$3:$C$12,0)),"-")</f>
        <v>Pakaian Unisex</v>
      </c>
      <c r="W990" s="39" t="str">
        <f>IFERROR(INDEX(Katalog!$B$3:$B$12,MATCH(cadangan[[#This Row],[ItemID C]],Katalog!$C$3:$C$12,0)),"-")</f>
        <v>Jaket Hoodie</v>
      </c>
      <c r="X990" s="50">
        <v>1</v>
      </c>
      <c r="Y990" s="50">
        <v>1</v>
      </c>
      <c r="Z990" s="73">
        <f>IFERROR(INDEX(Katalog!$D$3:$D$12,MATCH(cadangan[[#This Row],[ItemID C]],Katalog!$C$3:$C$12,0))*cadangan[[#This Row],[Qty C]],0)</f>
        <v>350000</v>
      </c>
      <c r="AA990" s="73">
        <f>IFERROR(cadangan[[#This Row],[Harga Normal C]]-(cadangan[[#This Row],[Harga Normal C]]*cadangan[[#This Row],[Diskon]]),cadangan[[#This Row],[Harga Normal C]])</f>
        <v>350000</v>
      </c>
      <c r="AB990" s="73">
        <f>IFERROR(INDEX(Katalog!$F$3:$F$12,MATCH(cadangan[[#This Row],[ItemID C]],Katalog!$C$3:$C$12,0))*cadangan[[#This Row],[Qty C]],0)</f>
        <v>130000</v>
      </c>
      <c r="AC990" s="73">
        <f>IFERROR(cadangan[[#This Row],[Harga Diskon C]]-INDEX(Katalog!$E$3:$E$12,MATCH(cadangan[[#This Row],[ItemID C]],Katalog!$C$3:$C$12,0))*cadangan[[#This Row],[Qty C]],0)</f>
        <v>130000</v>
      </c>
      <c r="AD990" s="53">
        <f>cadangan[[#This Row],[Qty A]]+cadangan[[#This Row],[Qty B]]+cadangan[[#This Row],[Qty C]]</f>
        <v>4</v>
      </c>
      <c r="AE990" s="73">
        <f>cadangan[[#This Row],[Harga Normal A]]+cadangan[[#This Row],[Harga Normal B]]+cadangan[[#This Row],[Harga Normal C]]</f>
        <v>1250000</v>
      </c>
      <c r="AF990" s="73">
        <f>cadangan[[#This Row],[Harga Diskon A]]+cadangan[[#This Row],[Harga Diskon B]]+cadangan[[#This Row],[Harga Diskon C]]</f>
        <v>1250000</v>
      </c>
      <c r="AG990" s="73">
        <f>(cadangan[[#This Row],[Profit Normal A]]+cadangan[[#This Row],[Profit Normal B]]+cadangan[[#This Row],[Profit Normal C]])</f>
        <v>480000</v>
      </c>
      <c r="AH990" s="73">
        <f>cadangan[[#This Row],[Profit Diskon A]]+cadangan[[#This Row],[Profit Diskon B]]+cadangan[[#This Row],[Profit Diskon C]]</f>
        <v>480000</v>
      </c>
      <c r="AI990" s="23" t="s">
        <v>290</v>
      </c>
      <c r="AJ990" s="37" t="str">
        <f>IFERROR(INDEX('Kode Diskon'!$D$3:$D$9,MATCH(cadangan[[#This Row],[Kode diskon]],'Kode Diskon'!$C$3:$C$9,0)),"-")</f>
        <v>-</v>
      </c>
      <c r="AK990" s="23" t="s">
        <v>290</v>
      </c>
      <c r="AL990" s="23" t="s">
        <v>7</v>
      </c>
      <c r="AM990" s="23" t="s">
        <v>77</v>
      </c>
      <c r="AN990" s="55">
        <v>45028</v>
      </c>
      <c r="AO990" s="53">
        <f>DAY(cadangan[[#This Row],[Tanggal terjual]])</f>
        <v>12</v>
      </c>
      <c r="AP990" s="21" t="str">
        <f>TEXT(cadangan[[#This Row],[Tanggal terjual]],"dddd")</f>
        <v>Wednesday</v>
      </c>
      <c r="AQ990" s="23" t="str" cm="1">
        <f t="array" ref="AQ99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90" s="61">
        <f>AVERAGE(cadangan[[#This Row],[Rating A]],cadangan[[#This Row],[Rating B]],cadangan[[#This Row],[Rating C]])</f>
        <v>2.3333333333333335</v>
      </c>
    </row>
    <row r="991" spans="1:44" x14ac:dyDescent="0.2">
      <c r="A991" s="20">
        <v>990</v>
      </c>
      <c r="B991" s="21" t="str">
        <f>_xlfn.CONCAT("ORD-",INDEX(Helper!$B$2:$B$5,MATCH(cadangan[[#This Row],[Marketplace]],Helper!$A$2:$A$5,0)),TEXT(cadangan[[#This Row],[No]],"0000"),"-",TEXT(cadangan[[#This Row],[Tanggal terjual]],"dd/mm/yy"))</f>
        <v>ORD-TK0990-06/04/23</v>
      </c>
      <c r="C991" s="39" t="s">
        <v>59</v>
      </c>
      <c r="D991" s="39" t="str">
        <f>IFERROR(INDEX(Katalog!$A$3:$A$12,MATCH(cadangan[[#This Row],[ItemID A]],Katalog!$C$3:$C$12,0)),"-")</f>
        <v>Pakaian Wanita</v>
      </c>
      <c r="E991" s="39" t="str">
        <f>IFERROR(INDEX(Katalog!$B$3:$B$12,MATCH(cadangan[[#This Row],[ItemID A]],Katalog!$C$3:$C$12,0)),"-")</f>
        <v>Blouse</v>
      </c>
      <c r="F991" s="50">
        <v>1</v>
      </c>
      <c r="G991" s="50">
        <v>2</v>
      </c>
      <c r="H991" s="73">
        <f>IFERROR(INDEX(Katalog!$D$3:$D$12,MATCH(cadangan[[#This Row],[ItemID A]],Katalog!$C$3:$C$12,0))*cadangan[[#This Row],[Qty A]],0)</f>
        <v>150000</v>
      </c>
      <c r="I991" s="73">
        <f>IFERROR(cadangan[[#This Row],[Harga Normal A]]-(cadangan[[#This Row],[Harga Normal A]]*cadangan[[#This Row],[Diskon]]),cadangan[[#This Row],[Harga Normal A]])</f>
        <v>135000</v>
      </c>
      <c r="J991" s="73">
        <f>INDEX(Katalog!$F$3:$F$12,MATCH(cadangan[[#This Row],[ItemID A]],Katalog!$C$3:$C$12,0))*cadangan[[#This Row],[Qty A]]</f>
        <v>50000</v>
      </c>
      <c r="K991" s="73">
        <f>IFERROR(cadangan[[#This Row],[Harga Diskon A]]-INDEX(Katalog!$E$3:$E$12,MATCH(cadangan[[#This Row],[ItemID A]],Katalog!$C$3:$C$12,0))*cadangan[[#This Row],[Qty A]],0)</f>
        <v>35000</v>
      </c>
      <c r="L991" s="39" t="s">
        <v>64</v>
      </c>
      <c r="M991" s="39" t="str">
        <f>IFERROR(INDEX(Katalog!$A$3:$A$12,MATCH(cadangan[[#This Row],[ItemID B]],Katalog!$C$3:$C$12,0)),"-")</f>
        <v>Pakaian Unisex</v>
      </c>
      <c r="N991" s="39" t="str">
        <f>IFERROR(INDEX(Katalog!$B$3:$B$12,MATCH(cadangan[[#This Row],[ItemID B]],Katalog!$C$3:$C$12,0)),"-")</f>
        <v>Jaket Hoodie</v>
      </c>
      <c r="O991" s="50">
        <v>5</v>
      </c>
      <c r="P991" s="50">
        <v>1</v>
      </c>
      <c r="Q991" s="73">
        <f>IFERROR(INDEX(Katalog!$D$3:$D$12,MATCH(cadangan[[#This Row],[ItemID B]],Katalog!$C$3:$C$12,0))*cadangan[[#This Row],[Qty B]],0)</f>
        <v>1750000</v>
      </c>
      <c r="R991" s="73">
        <f>IFERROR(cadangan[[#This Row],[Harga Normal B]]-(cadangan[[#This Row],[Harga Normal B]]*cadangan[[#This Row],[Diskon]]),cadangan[[#This Row],[Harga Normal B]])</f>
        <v>1575000</v>
      </c>
      <c r="S991" s="73">
        <f>IFERROR(INDEX(Katalog!$F$3:$F$12,MATCH(cadangan[[#This Row],[ItemID B]],Katalog!$C$3:$C$12,0))*cadangan[[#This Row],[Qty B]],0)</f>
        <v>650000</v>
      </c>
      <c r="T991" s="73">
        <f>IFERROR(cadangan[[#This Row],[Harga Diskon B]]-INDEX(Katalog!$E$3:$E$12,MATCH(cadangan[[#This Row],[ItemID B]],Katalog!$C$3:$C$12,0))*cadangan[[#This Row],[Qty B]],0)</f>
        <v>475000</v>
      </c>
      <c r="U991" s="39" t="s">
        <v>61</v>
      </c>
      <c r="V991" s="39" t="str">
        <f>IFERROR(INDEX(Katalog!$A$3:$A$12,MATCH(cadangan[[#This Row],[ItemID C]],Katalog!$C$3:$C$12,0)),"-")</f>
        <v>Pakaian Pria</v>
      </c>
      <c r="W991" s="39" t="str">
        <f>IFERROR(INDEX(Katalog!$B$3:$B$12,MATCH(cadangan[[#This Row],[ItemID C]],Katalog!$C$3:$C$12,0)),"-")</f>
        <v>Kaos Polo</v>
      </c>
      <c r="X991" s="50">
        <v>1</v>
      </c>
      <c r="Y991" s="50">
        <v>2</v>
      </c>
      <c r="Z991" s="73">
        <f>IFERROR(INDEX(Katalog!$D$3:$D$12,MATCH(cadangan[[#This Row],[ItemID C]],Katalog!$C$3:$C$12,0))*cadangan[[#This Row],[Qty C]],0)</f>
        <v>200000</v>
      </c>
      <c r="AA991" s="73">
        <f>IFERROR(cadangan[[#This Row],[Harga Normal C]]-(cadangan[[#This Row],[Harga Normal C]]*cadangan[[#This Row],[Diskon]]),cadangan[[#This Row],[Harga Normal C]])</f>
        <v>180000</v>
      </c>
      <c r="AB991" s="73">
        <f>IFERROR(INDEX(Katalog!$F$3:$F$12,MATCH(cadangan[[#This Row],[ItemID C]],Katalog!$C$3:$C$12,0))*cadangan[[#This Row],[Qty C]],0)</f>
        <v>80000</v>
      </c>
      <c r="AC991" s="73">
        <f>IFERROR(cadangan[[#This Row],[Harga Diskon C]]-INDEX(Katalog!$E$3:$E$12,MATCH(cadangan[[#This Row],[ItemID C]],Katalog!$C$3:$C$12,0))*cadangan[[#This Row],[Qty C]],0)</f>
        <v>60000</v>
      </c>
      <c r="AD991" s="53">
        <f>cadangan[[#This Row],[Qty A]]+cadangan[[#This Row],[Qty B]]+cadangan[[#This Row],[Qty C]]</f>
        <v>7</v>
      </c>
      <c r="AE991" s="73">
        <f>cadangan[[#This Row],[Harga Normal A]]+cadangan[[#This Row],[Harga Normal B]]+cadangan[[#This Row],[Harga Normal C]]</f>
        <v>2100000</v>
      </c>
      <c r="AF991" s="73">
        <f>cadangan[[#This Row],[Harga Diskon A]]+cadangan[[#This Row],[Harga Diskon B]]+cadangan[[#This Row],[Harga Diskon C]]</f>
        <v>1890000</v>
      </c>
      <c r="AG991" s="73">
        <f>(cadangan[[#This Row],[Profit Normal A]]+cadangan[[#This Row],[Profit Normal B]]+cadangan[[#This Row],[Profit Normal C]])</f>
        <v>780000</v>
      </c>
      <c r="AH991" s="73">
        <f>cadangan[[#This Row],[Profit Diskon A]]+cadangan[[#This Row],[Profit Diskon B]]+cadangan[[#This Row],[Profit Diskon C]]</f>
        <v>570000</v>
      </c>
      <c r="AI991" s="23" t="s">
        <v>30</v>
      </c>
      <c r="AJ991" s="37">
        <f>IFERROR(INDEX('Kode Diskon'!$D$3:$D$9,MATCH(cadangan[[#This Row],[Kode diskon]],'Kode Diskon'!$C$3:$C$9,0)),"-")</f>
        <v>0.1</v>
      </c>
      <c r="AK991" s="23" t="s">
        <v>29</v>
      </c>
      <c r="AL991" s="23" t="s">
        <v>10</v>
      </c>
      <c r="AM991" s="23" t="s">
        <v>76</v>
      </c>
      <c r="AN991" s="55">
        <v>45022</v>
      </c>
      <c r="AO991" s="53">
        <f>DAY(cadangan[[#This Row],[Tanggal terjual]])</f>
        <v>6</v>
      </c>
      <c r="AP991" s="21" t="str">
        <f>TEXT(cadangan[[#This Row],[Tanggal terjual]],"dddd")</f>
        <v>Thursday</v>
      </c>
      <c r="AQ991" s="23" t="str" cm="1">
        <f t="array" ref="AQ99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1" s="61">
        <f>AVERAGE(cadangan[[#This Row],[Rating A]],cadangan[[#This Row],[Rating B]],cadangan[[#This Row],[Rating C]])</f>
        <v>1.6666666666666667</v>
      </c>
    </row>
    <row r="992" spans="1:44" x14ac:dyDescent="0.2">
      <c r="A992" s="20">
        <v>991</v>
      </c>
      <c r="B992" s="21" t="str">
        <f>_xlfn.CONCAT("ORD-",INDEX(Helper!$B$2:$B$5,MATCH(cadangan[[#This Row],[Marketplace]],Helper!$A$2:$A$5,0)),TEXT(cadangan[[#This Row],[No]],"0000"),"-",TEXT(cadangan[[#This Row],[Tanggal terjual]],"dd/mm/yy"))</f>
        <v>ORD-SP0991-01/04/23</v>
      </c>
      <c r="C992" s="39" t="s">
        <v>64</v>
      </c>
      <c r="D992" s="39" t="str">
        <f>IFERROR(INDEX(Katalog!$A$3:$A$12,MATCH(cadangan[[#This Row],[ItemID A]],Katalog!$C$3:$C$12,0)),"-")</f>
        <v>Pakaian Unisex</v>
      </c>
      <c r="E992" s="39" t="str">
        <f>IFERROR(INDEX(Katalog!$B$3:$B$12,MATCH(cadangan[[#This Row],[ItemID A]],Katalog!$C$3:$C$12,0)),"-")</f>
        <v>Jaket Hoodie</v>
      </c>
      <c r="F992" s="50">
        <v>2</v>
      </c>
      <c r="G992" s="50">
        <v>4</v>
      </c>
      <c r="H992" s="73">
        <f>IFERROR(INDEX(Katalog!$D$3:$D$12,MATCH(cadangan[[#This Row],[ItemID A]],Katalog!$C$3:$C$12,0))*cadangan[[#This Row],[Qty A]],0)</f>
        <v>700000</v>
      </c>
      <c r="I992" s="73">
        <f>IFERROR(cadangan[[#This Row],[Harga Normal A]]-(cadangan[[#This Row],[Harga Normal A]]*cadangan[[#This Row],[Diskon]]),cadangan[[#This Row],[Harga Normal A]])</f>
        <v>630000</v>
      </c>
      <c r="J992" s="73">
        <f>INDEX(Katalog!$F$3:$F$12,MATCH(cadangan[[#This Row],[ItemID A]],Katalog!$C$3:$C$12,0))*cadangan[[#This Row],[Qty A]]</f>
        <v>260000</v>
      </c>
      <c r="K992" s="73">
        <f>IFERROR(cadangan[[#This Row],[Harga Diskon A]]-INDEX(Katalog!$E$3:$E$12,MATCH(cadangan[[#This Row],[ItemID A]],Katalog!$C$3:$C$12,0))*cadangan[[#This Row],[Qty A]],0)</f>
        <v>190000</v>
      </c>
      <c r="L992" s="39" t="s">
        <v>61</v>
      </c>
      <c r="M992" s="39" t="str">
        <f>IFERROR(INDEX(Katalog!$A$3:$A$12,MATCH(cadangan[[#This Row],[ItemID B]],Katalog!$C$3:$C$12,0)),"-")</f>
        <v>Pakaian Pria</v>
      </c>
      <c r="N992" s="39" t="str">
        <f>IFERROR(INDEX(Katalog!$B$3:$B$12,MATCH(cadangan[[#This Row],[ItemID B]],Katalog!$C$3:$C$12,0)),"-")</f>
        <v>Kaos Polo</v>
      </c>
      <c r="O992" s="50">
        <v>4</v>
      </c>
      <c r="P992" s="50">
        <v>3</v>
      </c>
      <c r="Q992" s="73">
        <f>IFERROR(INDEX(Katalog!$D$3:$D$12,MATCH(cadangan[[#This Row],[ItemID B]],Katalog!$C$3:$C$12,0))*cadangan[[#This Row],[Qty B]],0)</f>
        <v>800000</v>
      </c>
      <c r="R992" s="73">
        <f>IFERROR(cadangan[[#This Row],[Harga Normal B]]-(cadangan[[#This Row],[Harga Normal B]]*cadangan[[#This Row],[Diskon]]),cadangan[[#This Row],[Harga Normal B]])</f>
        <v>720000</v>
      </c>
      <c r="S992" s="73">
        <f>IFERROR(INDEX(Katalog!$F$3:$F$12,MATCH(cadangan[[#This Row],[ItemID B]],Katalog!$C$3:$C$12,0))*cadangan[[#This Row],[Qty B]],0)</f>
        <v>320000</v>
      </c>
      <c r="T992" s="73">
        <f>IFERROR(cadangan[[#This Row],[Harga Diskon B]]-INDEX(Katalog!$E$3:$E$12,MATCH(cadangan[[#This Row],[ItemID B]],Katalog!$C$3:$C$12,0))*cadangan[[#This Row],[Qty B]],0)</f>
        <v>240000</v>
      </c>
      <c r="V992" s="39" t="str">
        <f>IFERROR(INDEX(Katalog!$A$3:$A$12,MATCH(cadangan[[#This Row],[ItemID C]],Katalog!$C$3:$C$12,0)),"-")</f>
        <v>-</v>
      </c>
      <c r="W992" s="39" t="str">
        <f>IFERROR(INDEX(Katalog!$B$3:$B$12,MATCH(cadangan[[#This Row],[ItemID C]],Katalog!$C$3:$C$12,0)),"-")</f>
        <v>-</v>
      </c>
      <c r="Z992" s="73">
        <f>IFERROR(INDEX(Katalog!$D$3:$D$12,MATCH(cadangan[[#This Row],[ItemID C]],Katalog!$C$3:$C$12,0))*cadangan[[#This Row],[Qty C]],0)</f>
        <v>0</v>
      </c>
      <c r="AA992" s="73">
        <f>IFERROR(cadangan[[#This Row],[Harga Normal C]]-(cadangan[[#This Row],[Harga Normal C]]*cadangan[[#This Row],[Diskon]]),cadangan[[#This Row],[Harga Normal C]])</f>
        <v>0</v>
      </c>
      <c r="AB992" s="73">
        <f>IFERROR(INDEX(Katalog!$F$3:$F$12,MATCH(cadangan[[#This Row],[ItemID C]],Katalog!$C$3:$C$12,0))*cadangan[[#This Row],[Qty C]],0)</f>
        <v>0</v>
      </c>
      <c r="AC992" s="73">
        <f>IFERROR(cadangan[[#This Row],[Harga Diskon C]]-INDEX(Katalog!$E$3:$E$12,MATCH(cadangan[[#This Row],[ItemID C]],Katalog!$C$3:$C$12,0))*cadangan[[#This Row],[Qty C]],0)</f>
        <v>0</v>
      </c>
      <c r="AD992" s="53">
        <f>cadangan[[#This Row],[Qty A]]+cadangan[[#This Row],[Qty B]]+cadangan[[#This Row],[Qty C]]</f>
        <v>6</v>
      </c>
      <c r="AE992" s="73">
        <f>cadangan[[#This Row],[Harga Normal A]]+cadangan[[#This Row],[Harga Normal B]]+cadangan[[#This Row],[Harga Normal C]]</f>
        <v>1500000</v>
      </c>
      <c r="AF992" s="73">
        <f>cadangan[[#This Row],[Harga Diskon A]]+cadangan[[#This Row],[Harga Diskon B]]+cadangan[[#This Row],[Harga Diskon C]]</f>
        <v>1350000</v>
      </c>
      <c r="AG992" s="73">
        <f>(cadangan[[#This Row],[Profit Normal A]]+cadangan[[#This Row],[Profit Normal B]]+cadangan[[#This Row],[Profit Normal C]])</f>
        <v>580000</v>
      </c>
      <c r="AH992" s="73">
        <f>cadangan[[#This Row],[Profit Diskon A]]+cadangan[[#This Row],[Profit Diskon B]]+cadangan[[#This Row],[Profit Diskon C]]</f>
        <v>430000</v>
      </c>
      <c r="AI992" s="23" t="s">
        <v>6</v>
      </c>
      <c r="AJ992" s="37">
        <f>IFERROR(INDEX('Kode Diskon'!$D$3:$D$9,MATCH(cadangan[[#This Row],[Kode diskon]],'Kode Diskon'!$C$3:$C$9,0)),"-")</f>
        <v>0.1</v>
      </c>
      <c r="AK992" s="23" t="s">
        <v>29</v>
      </c>
      <c r="AL992" s="23" t="s">
        <v>7</v>
      </c>
      <c r="AM992" s="23" t="s">
        <v>79</v>
      </c>
      <c r="AN992" s="55">
        <v>45017</v>
      </c>
      <c r="AO992" s="53">
        <f>DAY(cadangan[[#This Row],[Tanggal terjual]])</f>
        <v>1</v>
      </c>
      <c r="AP992" s="21" t="str">
        <f>TEXT(cadangan[[#This Row],[Tanggal terjual]],"dddd")</f>
        <v>Saturday</v>
      </c>
      <c r="AQ992" s="23" t="str" cm="1">
        <f t="array" ref="AQ992">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2" s="61">
        <f>AVERAGE(cadangan[[#This Row],[Rating A]],cadangan[[#This Row],[Rating B]],cadangan[[#This Row],[Rating C]])</f>
        <v>3.5</v>
      </c>
    </row>
    <row r="993" spans="1:44" x14ac:dyDescent="0.2">
      <c r="A993" s="20">
        <v>992</v>
      </c>
      <c r="B993" s="21" t="str">
        <f>_xlfn.CONCAT("ORD-",INDEX(Helper!$B$2:$B$5,MATCH(cadangan[[#This Row],[Marketplace]],Helper!$A$2:$A$5,0)),TEXT(cadangan[[#This Row],[No]],"0000"),"-",TEXT(cadangan[[#This Row],[Tanggal terjual]],"dd/mm/yy"))</f>
        <v>ORD-TK0992-04/04/23</v>
      </c>
      <c r="C993" s="39" t="s">
        <v>59</v>
      </c>
      <c r="D993" s="39" t="str">
        <f>IFERROR(INDEX(Katalog!$A$3:$A$12,MATCH(cadangan[[#This Row],[ItemID A]],Katalog!$C$3:$C$12,0)),"-")</f>
        <v>Pakaian Wanita</v>
      </c>
      <c r="E993" s="39" t="str">
        <f>IFERROR(INDEX(Katalog!$B$3:$B$12,MATCH(cadangan[[#This Row],[ItemID A]],Katalog!$C$3:$C$12,0)),"-")</f>
        <v>Blouse</v>
      </c>
      <c r="F993" s="50">
        <v>1</v>
      </c>
      <c r="G993" s="50">
        <v>5</v>
      </c>
      <c r="H993" s="73">
        <f>IFERROR(INDEX(Katalog!$D$3:$D$12,MATCH(cadangan[[#This Row],[ItemID A]],Katalog!$C$3:$C$12,0))*cadangan[[#This Row],[Qty A]],0)</f>
        <v>150000</v>
      </c>
      <c r="I993" s="73">
        <f>IFERROR(cadangan[[#This Row],[Harga Normal A]]-(cadangan[[#This Row],[Harga Normal A]]*cadangan[[#This Row],[Diskon]]),cadangan[[#This Row],[Harga Normal A]])</f>
        <v>135000</v>
      </c>
      <c r="J993" s="73">
        <f>INDEX(Katalog!$F$3:$F$12,MATCH(cadangan[[#This Row],[ItemID A]],Katalog!$C$3:$C$12,0))*cadangan[[#This Row],[Qty A]]</f>
        <v>50000</v>
      </c>
      <c r="K993" s="73">
        <f>IFERROR(cadangan[[#This Row],[Harga Diskon A]]-INDEX(Katalog!$E$3:$E$12,MATCH(cadangan[[#This Row],[ItemID A]],Katalog!$C$3:$C$12,0))*cadangan[[#This Row],[Qty A]],0)</f>
        <v>35000</v>
      </c>
      <c r="M993" s="39" t="str">
        <f>IFERROR(INDEX(Katalog!$A$3:$A$12,MATCH(cadangan[[#This Row],[ItemID B]],Katalog!$C$3:$C$12,0)),"-")</f>
        <v>-</v>
      </c>
      <c r="N993" s="39" t="str">
        <f>IFERROR(INDEX(Katalog!$B$3:$B$12,MATCH(cadangan[[#This Row],[ItemID B]],Katalog!$C$3:$C$12,0)),"-")</f>
        <v>-</v>
      </c>
      <c r="Q993" s="73">
        <f>IFERROR(INDEX(Katalog!$D$3:$D$12,MATCH(cadangan[[#This Row],[ItemID B]],Katalog!$C$3:$C$12,0))*cadangan[[#This Row],[Qty B]],0)</f>
        <v>0</v>
      </c>
      <c r="R993" s="73">
        <f>IFERROR(cadangan[[#This Row],[Harga Normal B]]-(cadangan[[#This Row],[Harga Normal B]]*cadangan[[#This Row],[Diskon]]),cadangan[[#This Row],[Harga Normal B]])</f>
        <v>0</v>
      </c>
      <c r="S993" s="73">
        <f>IFERROR(INDEX(Katalog!$F$3:$F$12,MATCH(cadangan[[#This Row],[ItemID B]],Katalog!$C$3:$C$12,0))*cadangan[[#This Row],[Qty B]],0)</f>
        <v>0</v>
      </c>
      <c r="T993" s="73">
        <f>IFERROR(cadangan[[#This Row],[Harga Diskon B]]-INDEX(Katalog!$E$3:$E$12,MATCH(cadangan[[#This Row],[ItemID B]],Katalog!$C$3:$C$12,0))*cadangan[[#This Row],[Qty B]],0)</f>
        <v>0</v>
      </c>
      <c r="V993" s="39" t="str">
        <f>IFERROR(INDEX(Katalog!$A$3:$A$12,MATCH(cadangan[[#This Row],[ItemID C]],Katalog!$C$3:$C$12,0)),"-")</f>
        <v>-</v>
      </c>
      <c r="W993" s="39" t="str">
        <f>IFERROR(INDEX(Katalog!$B$3:$B$12,MATCH(cadangan[[#This Row],[ItemID C]],Katalog!$C$3:$C$12,0)),"-")</f>
        <v>-</v>
      </c>
      <c r="Z993" s="73">
        <f>IFERROR(INDEX(Katalog!$D$3:$D$12,MATCH(cadangan[[#This Row],[ItemID C]],Katalog!$C$3:$C$12,0))*cadangan[[#This Row],[Qty C]],0)</f>
        <v>0</v>
      </c>
      <c r="AA993" s="73">
        <f>IFERROR(cadangan[[#This Row],[Harga Normal C]]-(cadangan[[#This Row],[Harga Normal C]]*cadangan[[#This Row],[Diskon]]),cadangan[[#This Row],[Harga Normal C]])</f>
        <v>0</v>
      </c>
      <c r="AB993" s="73">
        <f>IFERROR(INDEX(Katalog!$F$3:$F$12,MATCH(cadangan[[#This Row],[ItemID C]],Katalog!$C$3:$C$12,0))*cadangan[[#This Row],[Qty C]],0)</f>
        <v>0</v>
      </c>
      <c r="AC993" s="73">
        <f>IFERROR(cadangan[[#This Row],[Harga Diskon C]]-INDEX(Katalog!$E$3:$E$12,MATCH(cadangan[[#This Row],[ItemID C]],Katalog!$C$3:$C$12,0))*cadangan[[#This Row],[Qty C]],0)</f>
        <v>0</v>
      </c>
      <c r="AD993" s="53">
        <f>cadangan[[#This Row],[Qty A]]+cadangan[[#This Row],[Qty B]]+cadangan[[#This Row],[Qty C]]</f>
        <v>1</v>
      </c>
      <c r="AE993" s="73">
        <f>cadangan[[#This Row],[Harga Normal A]]+cadangan[[#This Row],[Harga Normal B]]+cadangan[[#This Row],[Harga Normal C]]</f>
        <v>150000</v>
      </c>
      <c r="AF993" s="73">
        <f>cadangan[[#This Row],[Harga Diskon A]]+cadangan[[#This Row],[Harga Diskon B]]+cadangan[[#This Row],[Harga Diskon C]]</f>
        <v>135000</v>
      </c>
      <c r="AG993" s="73">
        <f>(cadangan[[#This Row],[Profit Normal A]]+cadangan[[#This Row],[Profit Normal B]]+cadangan[[#This Row],[Profit Normal C]])</f>
        <v>50000</v>
      </c>
      <c r="AH993" s="73">
        <f>cadangan[[#This Row],[Profit Diskon A]]+cadangan[[#This Row],[Profit Diskon B]]+cadangan[[#This Row],[Profit Diskon C]]</f>
        <v>35000</v>
      </c>
      <c r="AI993" s="23" t="s">
        <v>30</v>
      </c>
      <c r="AJ993" s="37">
        <f>IFERROR(INDEX('Kode Diskon'!$D$3:$D$9,MATCH(cadangan[[#This Row],[Kode diskon]],'Kode Diskon'!$C$3:$C$9,0)),"-")</f>
        <v>0.1</v>
      </c>
      <c r="AK993" s="23" t="s">
        <v>29</v>
      </c>
      <c r="AL993" s="23" t="s">
        <v>10</v>
      </c>
      <c r="AM993" s="23" t="s">
        <v>80</v>
      </c>
      <c r="AN993" s="55">
        <v>45020</v>
      </c>
      <c r="AO993" s="53">
        <f>DAY(cadangan[[#This Row],[Tanggal terjual]])</f>
        <v>4</v>
      </c>
      <c r="AP993" s="21" t="str">
        <f>TEXT(cadangan[[#This Row],[Tanggal terjual]],"dddd")</f>
        <v>Tuesday</v>
      </c>
      <c r="AQ993" s="23" t="str" cm="1">
        <f t="array" ref="AQ993">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3" s="61">
        <f>AVERAGE(cadangan[[#This Row],[Rating A]],cadangan[[#This Row],[Rating B]],cadangan[[#This Row],[Rating C]])</f>
        <v>5</v>
      </c>
    </row>
    <row r="994" spans="1:44" x14ac:dyDescent="0.2">
      <c r="A994" s="20">
        <v>993</v>
      </c>
      <c r="B994" s="21" t="str">
        <f>_xlfn.CONCAT("ORD-",INDEX(Helper!$B$2:$B$5,MATCH(cadangan[[#This Row],[Marketplace]],Helper!$A$2:$A$5,0)),TEXT(cadangan[[#This Row],[No]],"0000"),"-",TEXT(cadangan[[#This Row],[Tanggal terjual]],"dd/mm/yy"))</f>
        <v>ORD-SP0993-10/04/23</v>
      </c>
      <c r="C994" s="39" t="s">
        <v>67</v>
      </c>
      <c r="D994" s="39" t="str">
        <f>IFERROR(INDEX(Katalog!$A$3:$A$12,MATCH(cadangan[[#This Row],[ItemID A]],Katalog!$C$3:$C$12,0)),"-")</f>
        <v>Sepatu Wanita</v>
      </c>
      <c r="E994" s="39" t="str">
        <f>IFERROR(INDEX(Katalog!$B$3:$B$12,MATCH(cadangan[[#This Row],[ItemID A]],Katalog!$C$3:$C$12,0)),"-")</f>
        <v>Flat Shoes</v>
      </c>
      <c r="F994" s="50">
        <v>2</v>
      </c>
      <c r="G994" s="50">
        <v>4</v>
      </c>
      <c r="H994" s="73">
        <f>IFERROR(INDEX(Katalog!$D$3:$D$12,MATCH(cadangan[[#This Row],[ItemID A]],Katalog!$C$3:$C$12,0))*cadangan[[#This Row],[Qty A]],0)</f>
        <v>500000</v>
      </c>
      <c r="I994" s="73">
        <f>IFERROR(cadangan[[#This Row],[Harga Normal A]]-(cadangan[[#This Row],[Harga Normal A]]*cadangan[[#This Row],[Diskon]]),cadangan[[#This Row],[Harga Normal A]])</f>
        <v>500000</v>
      </c>
      <c r="J994" s="73">
        <f>INDEX(Katalog!$F$3:$F$12,MATCH(cadangan[[#This Row],[ItemID A]],Katalog!$C$3:$C$12,0))*cadangan[[#This Row],[Qty A]]</f>
        <v>200000</v>
      </c>
      <c r="K994" s="73">
        <f>IFERROR(cadangan[[#This Row],[Harga Diskon A]]-INDEX(Katalog!$E$3:$E$12,MATCH(cadangan[[#This Row],[ItemID A]],Katalog!$C$3:$C$12,0))*cadangan[[#This Row],[Qty A]],0)</f>
        <v>200000</v>
      </c>
      <c r="L994" s="39" t="s">
        <v>59</v>
      </c>
      <c r="M994" s="39" t="str">
        <f>IFERROR(INDEX(Katalog!$A$3:$A$12,MATCH(cadangan[[#This Row],[ItemID B]],Katalog!$C$3:$C$12,0)),"-")</f>
        <v>Pakaian Wanita</v>
      </c>
      <c r="N994" s="39" t="str">
        <f>IFERROR(INDEX(Katalog!$B$3:$B$12,MATCH(cadangan[[#This Row],[ItemID B]],Katalog!$C$3:$C$12,0)),"-")</f>
        <v>Blouse</v>
      </c>
      <c r="O994" s="50">
        <v>1</v>
      </c>
      <c r="P994" s="50">
        <v>4</v>
      </c>
      <c r="Q994" s="73">
        <f>IFERROR(INDEX(Katalog!$D$3:$D$12,MATCH(cadangan[[#This Row],[ItemID B]],Katalog!$C$3:$C$12,0))*cadangan[[#This Row],[Qty B]],0)</f>
        <v>150000</v>
      </c>
      <c r="R994" s="73">
        <f>IFERROR(cadangan[[#This Row],[Harga Normal B]]-(cadangan[[#This Row],[Harga Normal B]]*cadangan[[#This Row],[Diskon]]),cadangan[[#This Row],[Harga Normal B]])</f>
        <v>150000</v>
      </c>
      <c r="S994" s="73">
        <f>IFERROR(INDEX(Katalog!$F$3:$F$12,MATCH(cadangan[[#This Row],[ItemID B]],Katalog!$C$3:$C$12,0))*cadangan[[#This Row],[Qty B]],0)</f>
        <v>50000</v>
      </c>
      <c r="T994" s="73">
        <f>IFERROR(cadangan[[#This Row],[Harga Diskon B]]-INDEX(Katalog!$E$3:$E$12,MATCH(cadangan[[#This Row],[ItemID B]],Katalog!$C$3:$C$12,0))*cadangan[[#This Row],[Qty B]],0)</f>
        <v>50000</v>
      </c>
      <c r="V994" s="39" t="str">
        <f>IFERROR(INDEX(Katalog!$A$3:$A$12,MATCH(cadangan[[#This Row],[ItemID C]],Katalog!$C$3:$C$12,0)),"-")</f>
        <v>-</v>
      </c>
      <c r="W994" s="39" t="str">
        <f>IFERROR(INDEX(Katalog!$B$3:$B$12,MATCH(cadangan[[#This Row],[ItemID C]],Katalog!$C$3:$C$12,0)),"-")</f>
        <v>-</v>
      </c>
      <c r="Z994" s="73">
        <f>IFERROR(INDEX(Katalog!$D$3:$D$12,MATCH(cadangan[[#This Row],[ItemID C]],Katalog!$C$3:$C$12,0))*cadangan[[#This Row],[Qty C]],0)</f>
        <v>0</v>
      </c>
      <c r="AA994" s="73">
        <f>IFERROR(cadangan[[#This Row],[Harga Normal C]]-(cadangan[[#This Row],[Harga Normal C]]*cadangan[[#This Row],[Diskon]]),cadangan[[#This Row],[Harga Normal C]])</f>
        <v>0</v>
      </c>
      <c r="AB994" s="73">
        <f>IFERROR(INDEX(Katalog!$F$3:$F$12,MATCH(cadangan[[#This Row],[ItemID C]],Katalog!$C$3:$C$12,0))*cadangan[[#This Row],[Qty C]],0)</f>
        <v>0</v>
      </c>
      <c r="AC994" s="73">
        <f>IFERROR(cadangan[[#This Row],[Harga Diskon C]]-INDEX(Katalog!$E$3:$E$12,MATCH(cadangan[[#This Row],[ItemID C]],Katalog!$C$3:$C$12,0))*cadangan[[#This Row],[Qty C]],0)</f>
        <v>0</v>
      </c>
      <c r="AD994" s="53">
        <f>cadangan[[#This Row],[Qty A]]+cadangan[[#This Row],[Qty B]]+cadangan[[#This Row],[Qty C]]</f>
        <v>3</v>
      </c>
      <c r="AE994" s="73">
        <f>cadangan[[#This Row],[Harga Normal A]]+cadangan[[#This Row],[Harga Normal B]]+cadangan[[#This Row],[Harga Normal C]]</f>
        <v>650000</v>
      </c>
      <c r="AF994" s="73">
        <f>cadangan[[#This Row],[Harga Diskon A]]+cadangan[[#This Row],[Harga Diskon B]]+cadangan[[#This Row],[Harga Diskon C]]</f>
        <v>650000</v>
      </c>
      <c r="AG994" s="73">
        <f>(cadangan[[#This Row],[Profit Normal A]]+cadangan[[#This Row],[Profit Normal B]]+cadangan[[#This Row],[Profit Normal C]])</f>
        <v>250000</v>
      </c>
      <c r="AH994" s="73">
        <f>cadangan[[#This Row],[Profit Diskon A]]+cadangan[[#This Row],[Profit Diskon B]]+cadangan[[#This Row],[Profit Diskon C]]</f>
        <v>250000</v>
      </c>
      <c r="AI994" s="23" t="s">
        <v>290</v>
      </c>
      <c r="AJ994" s="37" t="str">
        <f>IFERROR(INDEX('Kode Diskon'!$D$3:$D$9,MATCH(cadangan[[#This Row],[Kode diskon]],'Kode Diskon'!$C$3:$C$9,0)),"-")</f>
        <v>-</v>
      </c>
      <c r="AK994" s="23" t="s">
        <v>290</v>
      </c>
      <c r="AL994" s="23" t="s">
        <v>7</v>
      </c>
      <c r="AM994" s="23" t="s">
        <v>76</v>
      </c>
      <c r="AN994" s="55">
        <v>45026</v>
      </c>
      <c r="AO994" s="53">
        <f>DAY(cadangan[[#This Row],[Tanggal terjual]])</f>
        <v>10</v>
      </c>
      <c r="AP994" s="21" t="str">
        <f>TEXT(cadangan[[#This Row],[Tanggal terjual]],"dddd")</f>
        <v>Monday</v>
      </c>
      <c r="AQ994" s="23" t="str" cm="1">
        <f t="array" ref="AQ994">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ke-2</v>
      </c>
      <c r="AR994" s="61">
        <f>AVERAGE(cadangan[[#This Row],[Rating A]],cadangan[[#This Row],[Rating B]],cadangan[[#This Row],[Rating C]])</f>
        <v>4</v>
      </c>
    </row>
    <row r="995" spans="1:44" x14ac:dyDescent="0.2">
      <c r="A995" s="20">
        <v>994</v>
      </c>
      <c r="B995" s="21" t="str">
        <f>_xlfn.CONCAT("ORD-",INDEX(Helper!$B$2:$B$5,MATCH(cadangan[[#This Row],[Marketplace]],Helper!$A$2:$A$5,0)),TEXT(cadangan[[#This Row],[No]],"0000"),"-",TEXT(cadangan[[#This Row],[Tanggal terjual]],"dd/mm/yy"))</f>
        <v>ORD-BB0994-06/04/23</v>
      </c>
      <c r="C995" s="39" t="s">
        <v>60</v>
      </c>
      <c r="D995" s="39" t="str">
        <f>IFERROR(INDEX(Katalog!$A$3:$A$12,MATCH(cadangan[[#This Row],[ItemID A]],Katalog!$C$3:$C$12,0)),"-")</f>
        <v>Pakaian Wanita</v>
      </c>
      <c r="E995" s="39" t="str">
        <f>IFERROR(INDEX(Katalog!$B$3:$B$12,MATCH(cadangan[[#This Row],[ItemID A]],Katalog!$C$3:$C$12,0)),"-")</f>
        <v>Kaftan</v>
      </c>
      <c r="F995" s="50">
        <v>1</v>
      </c>
      <c r="G995" s="50">
        <v>4</v>
      </c>
      <c r="H995" s="73">
        <f>IFERROR(INDEX(Katalog!$D$3:$D$12,MATCH(cadangan[[#This Row],[ItemID A]],Katalog!$C$3:$C$12,0))*cadangan[[#This Row],[Qty A]],0)</f>
        <v>250000</v>
      </c>
      <c r="I995" s="73">
        <f>IFERROR(cadangan[[#This Row],[Harga Normal A]]-(cadangan[[#This Row],[Harga Normal A]]*cadangan[[#This Row],[Diskon]]),cadangan[[#This Row],[Harga Normal A]])</f>
        <v>212500</v>
      </c>
      <c r="J995" s="73">
        <f>INDEX(Katalog!$F$3:$F$12,MATCH(cadangan[[#This Row],[ItemID A]],Katalog!$C$3:$C$12,0))*cadangan[[#This Row],[Qty A]]</f>
        <v>100000</v>
      </c>
      <c r="K995" s="73">
        <f>IFERROR(cadangan[[#This Row],[Harga Diskon A]]-INDEX(Katalog!$E$3:$E$12,MATCH(cadangan[[#This Row],[ItemID A]],Katalog!$C$3:$C$12,0))*cadangan[[#This Row],[Qty A]],0)</f>
        <v>62500</v>
      </c>
      <c r="L995" s="39" t="s">
        <v>59</v>
      </c>
      <c r="M995" s="39" t="str">
        <f>IFERROR(INDEX(Katalog!$A$3:$A$12,MATCH(cadangan[[#This Row],[ItemID B]],Katalog!$C$3:$C$12,0)),"-")</f>
        <v>Pakaian Wanita</v>
      </c>
      <c r="N995" s="39" t="str">
        <f>IFERROR(INDEX(Katalog!$B$3:$B$12,MATCH(cadangan[[#This Row],[ItemID B]],Katalog!$C$3:$C$12,0)),"-")</f>
        <v>Blouse</v>
      </c>
      <c r="O995" s="50">
        <v>1</v>
      </c>
      <c r="P995" s="50">
        <v>5</v>
      </c>
      <c r="Q995" s="73">
        <f>IFERROR(INDEX(Katalog!$D$3:$D$12,MATCH(cadangan[[#This Row],[ItemID B]],Katalog!$C$3:$C$12,0))*cadangan[[#This Row],[Qty B]],0)</f>
        <v>150000</v>
      </c>
      <c r="R995" s="73">
        <f>IFERROR(cadangan[[#This Row],[Harga Normal B]]-(cadangan[[#This Row],[Harga Normal B]]*cadangan[[#This Row],[Diskon]]),cadangan[[#This Row],[Harga Normal B]])</f>
        <v>127500</v>
      </c>
      <c r="S995" s="73">
        <f>IFERROR(INDEX(Katalog!$F$3:$F$12,MATCH(cadangan[[#This Row],[ItemID B]],Katalog!$C$3:$C$12,0))*cadangan[[#This Row],[Qty B]],0)</f>
        <v>50000</v>
      </c>
      <c r="T995" s="73">
        <f>IFERROR(cadangan[[#This Row],[Harga Diskon B]]-INDEX(Katalog!$E$3:$E$12,MATCH(cadangan[[#This Row],[ItemID B]],Katalog!$C$3:$C$12,0))*cadangan[[#This Row],[Qty B]],0)</f>
        <v>27500</v>
      </c>
      <c r="V995" s="39" t="str">
        <f>IFERROR(INDEX(Katalog!$A$3:$A$12,MATCH(cadangan[[#This Row],[ItemID C]],Katalog!$C$3:$C$12,0)),"-")</f>
        <v>-</v>
      </c>
      <c r="W995" s="39" t="str">
        <f>IFERROR(INDEX(Katalog!$B$3:$B$12,MATCH(cadangan[[#This Row],[ItemID C]],Katalog!$C$3:$C$12,0)),"-")</f>
        <v>-</v>
      </c>
      <c r="Z995" s="73">
        <f>IFERROR(INDEX(Katalog!$D$3:$D$12,MATCH(cadangan[[#This Row],[ItemID C]],Katalog!$C$3:$C$12,0))*cadangan[[#This Row],[Qty C]],0)</f>
        <v>0</v>
      </c>
      <c r="AA995" s="73">
        <f>IFERROR(cadangan[[#This Row],[Harga Normal C]]-(cadangan[[#This Row],[Harga Normal C]]*cadangan[[#This Row],[Diskon]]),cadangan[[#This Row],[Harga Normal C]])</f>
        <v>0</v>
      </c>
      <c r="AB995" s="73">
        <f>IFERROR(INDEX(Katalog!$F$3:$F$12,MATCH(cadangan[[#This Row],[ItemID C]],Katalog!$C$3:$C$12,0))*cadangan[[#This Row],[Qty C]],0)</f>
        <v>0</v>
      </c>
      <c r="AC995" s="73">
        <f>IFERROR(cadangan[[#This Row],[Harga Diskon C]]-INDEX(Katalog!$E$3:$E$12,MATCH(cadangan[[#This Row],[ItemID C]],Katalog!$C$3:$C$12,0))*cadangan[[#This Row],[Qty C]],0)</f>
        <v>0</v>
      </c>
      <c r="AD995" s="53">
        <f>cadangan[[#This Row],[Qty A]]+cadangan[[#This Row],[Qty B]]+cadangan[[#This Row],[Qty C]]</f>
        <v>2</v>
      </c>
      <c r="AE995" s="73">
        <f>cadangan[[#This Row],[Harga Normal A]]+cadangan[[#This Row],[Harga Normal B]]+cadangan[[#This Row],[Harga Normal C]]</f>
        <v>400000</v>
      </c>
      <c r="AF995" s="73">
        <f>cadangan[[#This Row],[Harga Diskon A]]+cadangan[[#This Row],[Harga Diskon B]]+cadangan[[#This Row],[Harga Diskon C]]</f>
        <v>340000</v>
      </c>
      <c r="AG995" s="73">
        <f>(cadangan[[#This Row],[Profit Normal A]]+cadangan[[#This Row],[Profit Normal B]]+cadangan[[#This Row],[Profit Normal C]])</f>
        <v>150000</v>
      </c>
      <c r="AH995" s="73">
        <f>cadangan[[#This Row],[Profit Diskon A]]+cadangan[[#This Row],[Profit Diskon B]]+cadangan[[#This Row],[Profit Diskon C]]</f>
        <v>90000</v>
      </c>
      <c r="AI995" s="23" t="s">
        <v>28</v>
      </c>
      <c r="AJ995" s="37">
        <f>IFERROR(INDEX('Kode Diskon'!$D$3:$D$9,MATCH(cadangan[[#This Row],[Kode diskon]],'Kode Diskon'!$C$3:$C$9,0)),"-")</f>
        <v>0.15</v>
      </c>
      <c r="AK995" s="23" t="s">
        <v>29</v>
      </c>
      <c r="AL995" s="23" t="s">
        <v>14</v>
      </c>
      <c r="AM995" s="23" t="s">
        <v>75</v>
      </c>
      <c r="AN995" s="55">
        <v>45022</v>
      </c>
      <c r="AO995" s="53">
        <f>DAY(cadangan[[#This Row],[Tanggal terjual]])</f>
        <v>6</v>
      </c>
      <c r="AP995" s="21" t="str">
        <f>TEXT(cadangan[[#This Row],[Tanggal terjual]],"dddd")</f>
        <v>Thursday</v>
      </c>
      <c r="AQ995" s="23" t="str" cm="1">
        <f t="array" ref="AQ995">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5" s="61">
        <f>AVERAGE(cadangan[[#This Row],[Rating A]],cadangan[[#This Row],[Rating B]],cadangan[[#This Row],[Rating C]])</f>
        <v>4.5</v>
      </c>
    </row>
    <row r="996" spans="1:44" x14ac:dyDescent="0.2">
      <c r="A996" s="20">
        <v>995</v>
      </c>
      <c r="B996" s="21" t="str">
        <f>_xlfn.CONCAT("ORD-",INDEX(Helper!$B$2:$B$5,MATCH(cadangan[[#This Row],[Marketplace]],Helper!$A$2:$A$5,0)),TEXT(cadangan[[#This Row],[No]],"0000"),"-",TEXT(cadangan[[#This Row],[Tanggal terjual]],"dd/mm/yy"))</f>
        <v>ORD-SP0995-02/04/23</v>
      </c>
      <c r="C996" s="39" t="s">
        <v>67</v>
      </c>
      <c r="D996" s="39" t="str">
        <f>IFERROR(INDEX(Katalog!$A$3:$A$12,MATCH(cadangan[[#This Row],[ItemID A]],Katalog!$C$3:$C$12,0)),"-")</f>
        <v>Sepatu Wanita</v>
      </c>
      <c r="E996" s="39" t="str">
        <f>IFERROR(INDEX(Katalog!$B$3:$B$12,MATCH(cadangan[[#This Row],[ItemID A]],Katalog!$C$3:$C$12,0)),"-")</f>
        <v>Flat Shoes</v>
      </c>
      <c r="F996" s="50">
        <v>5</v>
      </c>
      <c r="G996" s="50">
        <v>5</v>
      </c>
      <c r="H996" s="73">
        <f>IFERROR(INDEX(Katalog!$D$3:$D$12,MATCH(cadangan[[#This Row],[ItemID A]],Katalog!$C$3:$C$12,0))*cadangan[[#This Row],[Qty A]],0)</f>
        <v>1250000</v>
      </c>
      <c r="I996" s="73">
        <f>IFERROR(cadangan[[#This Row],[Harga Normal A]]-(cadangan[[#This Row],[Harga Normal A]]*cadangan[[#This Row],[Diskon]]),cadangan[[#This Row],[Harga Normal A]])</f>
        <v>1125000</v>
      </c>
      <c r="J996" s="73">
        <f>INDEX(Katalog!$F$3:$F$12,MATCH(cadangan[[#This Row],[ItemID A]],Katalog!$C$3:$C$12,0))*cadangan[[#This Row],[Qty A]]</f>
        <v>500000</v>
      </c>
      <c r="K996" s="73">
        <f>IFERROR(cadangan[[#This Row],[Harga Diskon A]]-INDEX(Katalog!$E$3:$E$12,MATCH(cadangan[[#This Row],[ItemID A]],Katalog!$C$3:$C$12,0))*cadangan[[#This Row],[Qty A]],0)</f>
        <v>375000</v>
      </c>
      <c r="L996" s="39" t="s">
        <v>62</v>
      </c>
      <c r="M996" s="39" t="str">
        <f>IFERROR(INDEX(Katalog!$A$3:$A$12,MATCH(cadangan[[#This Row],[ItemID B]],Katalog!$C$3:$C$12,0)),"-")</f>
        <v>Pakaian Pria</v>
      </c>
      <c r="N996" s="39" t="str">
        <f>IFERROR(INDEX(Katalog!$B$3:$B$12,MATCH(cadangan[[#This Row],[ItemID B]],Katalog!$C$3:$C$12,0)),"-")</f>
        <v>Celana Pendek</v>
      </c>
      <c r="O996" s="50">
        <v>1</v>
      </c>
      <c r="P996" s="50">
        <v>3</v>
      </c>
      <c r="Q996" s="73">
        <f>IFERROR(INDEX(Katalog!$D$3:$D$12,MATCH(cadangan[[#This Row],[ItemID B]],Katalog!$C$3:$C$12,0))*cadangan[[#This Row],[Qty B]],0)</f>
        <v>180000</v>
      </c>
      <c r="R996" s="73">
        <f>IFERROR(cadangan[[#This Row],[Harga Normal B]]-(cadangan[[#This Row],[Harga Normal B]]*cadangan[[#This Row],[Diskon]]),cadangan[[#This Row],[Harga Normal B]])</f>
        <v>162000</v>
      </c>
      <c r="S996" s="73">
        <f>IFERROR(INDEX(Katalog!$F$3:$F$12,MATCH(cadangan[[#This Row],[ItemID B]],Katalog!$C$3:$C$12,0))*cadangan[[#This Row],[Qty B]],0)</f>
        <v>70000</v>
      </c>
      <c r="T996" s="73">
        <f>IFERROR(cadangan[[#This Row],[Harga Diskon B]]-INDEX(Katalog!$E$3:$E$12,MATCH(cadangan[[#This Row],[ItemID B]],Katalog!$C$3:$C$12,0))*cadangan[[#This Row],[Qty B]],0)</f>
        <v>52000</v>
      </c>
      <c r="V996" s="39" t="str">
        <f>IFERROR(INDEX(Katalog!$A$3:$A$12,MATCH(cadangan[[#This Row],[ItemID C]],Katalog!$C$3:$C$12,0)),"-")</f>
        <v>-</v>
      </c>
      <c r="W996" s="39" t="str">
        <f>IFERROR(INDEX(Katalog!$B$3:$B$12,MATCH(cadangan[[#This Row],[ItemID C]],Katalog!$C$3:$C$12,0)),"-")</f>
        <v>-</v>
      </c>
      <c r="Z996" s="73">
        <f>IFERROR(INDEX(Katalog!$D$3:$D$12,MATCH(cadangan[[#This Row],[ItemID C]],Katalog!$C$3:$C$12,0))*cadangan[[#This Row],[Qty C]],0)</f>
        <v>0</v>
      </c>
      <c r="AA996" s="73">
        <f>IFERROR(cadangan[[#This Row],[Harga Normal C]]-(cadangan[[#This Row],[Harga Normal C]]*cadangan[[#This Row],[Diskon]]),cadangan[[#This Row],[Harga Normal C]])</f>
        <v>0</v>
      </c>
      <c r="AB996" s="73">
        <f>IFERROR(INDEX(Katalog!$F$3:$F$12,MATCH(cadangan[[#This Row],[ItemID C]],Katalog!$C$3:$C$12,0))*cadangan[[#This Row],[Qty C]],0)</f>
        <v>0</v>
      </c>
      <c r="AC996" s="73">
        <f>IFERROR(cadangan[[#This Row],[Harga Diskon C]]-INDEX(Katalog!$E$3:$E$12,MATCH(cadangan[[#This Row],[ItemID C]],Katalog!$C$3:$C$12,0))*cadangan[[#This Row],[Qty C]],0)</f>
        <v>0</v>
      </c>
      <c r="AD996" s="53">
        <f>cadangan[[#This Row],[Qty A]]+cadangan[[#This Row],[Qty B]]+cadangan[[#This Row],[Qty C]]</f>
        <v>6</v>
      </c>
      <c r="AE996" s="73">
        <f>cadangan[[#This Row],[Harga Normal A]]+cadangan[[#This Row],[Harga Normal B]]+cadangan[[#This Row],[Harga Normal C]]</f>
        <v>1430000</v>
      </c>
      <c r="AF996" s="73">
        <f>cadangan[[#This Row],[Harga Diskon A]]+cadangan[[#This Row],[Harga Diskon B]]+cadangan[[#This Row],[Harga Diskon C]]</f>
        <v>1287000</v>
      </c>
      <c r="AG996" s="73">
        <f>(cadangan[[#This Row],[Profit Normal A]]+cadangan[[#This Row],[Profit Normal B]]+cadangan[[#This Row],[Profit Normal C]])</f>
        <v>570000</v>
      </c>
      <c r="AH996" s="73">
        <f>cadangan[[#This Row],[Profit Diskon A]]+cadangan[[#This Row],[Profit Diskon B]]+cadangan[[#This Row],[Profit Diskon C]]</f>
        <v>427000</v>
      </c>
      <c r="AI996" s="23" t="s">
        <v>6</v>
      </c>
      <c r="AJ996" s="37">
        <f>IFERROR(INDEX('Kode Diskon'!$D$3:$D$9,MATCH(cadangan[[#This Row],[Kode diskon]],'Kode Diskon'!$C$3:$C$9,0)),"-")</f>
        <v>0.1</v>
      </c>
      <c r="AK996" s="23" t="s">
        <v>29</v>
      </c>
      <c r="AL996" s="23" t="s">
        <v>7</v>
      </c>
      <c r="AM996" s="23" t="s">
        <v>80</v>
      </c>
      <c r="AN996" s="55">
        <v>45018</v>
      </c>
      <c r="AO996" s="53">
        <f>DAY(cadangan[[#This Row],[Tanggal terjual]])</f>
        <v>2</v>
      </c>
      <c r="AP996" s="21" t="str">
        <f>TEXT(cadangan[[#This Row],[Tanggal terjual]],"dddd")</f>
        <v>Sunday</v>
      </c>
      <c r="AQ996" s="23" t="str" cm="1">
        <f t="array" ref="AQ996">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6" s="61">
        <f>AVERAGE(cadangan[[#This Row],[Rating A]],cadangan[[#This Row],[Rating B]],cadangan[[#This Row],[Rating C]])</f>
        <v>4</v>
      </c>
    </row>
    <row r="997" spans="1:44" x14ac:dyDescent="0.2">
      <c r="A997" s="20">
        <v>996</v>
      </c>
      <c r="B997" s="21" t="str">
        <f>_xlfn.CONCAT("ORD-",INDEX(Helper!$B$2:$B$5,MATCH(cadangan[[#This Row],[Marketplace]],Helper!$A$2:$A$5,0)),TEXT(cadangan[[#This Row],[No]],"0000"),"-",TEXT(cadangan[[#This Row],[Tanggal terjual]],"dd/mm/yy"))</f>
        <v>ORD-SP0996-19/04/23</v>
      </c>
      <c r="C997" s="39" t="s">
        <v>64</v>
      </c>
      <c r="D997" s="39" t="str">
        <f>IFERROR(INDEX(Katalog!$A$3:$A$12,MATCH(cadangan[[#This Row],[ItemID A]],Katalog!$C$3:$C$12,0)),"-")</f>
        <v>Pakaian Unisex</v>
      </c>
      <c r="E997" s="39" t="str">
        <f>IFERROR(INDEX(Katalog!$B$3:$B$12,MATCH(cadangan[[#This Row],[ItemID A]],Katalog!$C$3:$C$12,0)),"-")</f>
        <v>Jaket Hoodie</v>
      </c>
      <c r="F997" s="50">
        <v>1</v>
      </c>
      <c r="G997" s="50">
        <v>5</v>
      </c>
      <c r="H997" s="73">
        <f>IFERROR(INDEX(Katalog!$D$3:$D$12,MATCH(cadangan[[#This Row],[ItemID A]],Katalog!$C$3:$C$12,0))*cadangan[[#This Row],[Qty A]],0)</f>
        <v>350000</v>
      </c>
      <c r="I997" s="73">
        <f>IFERROR(cadangan[[#This Row],[Harga Normal A]]-(cadangan[[#This Row],[Harga Normal A]]*cadangan[[#This Row],[Diskon]]),cadangan[[#This Row],[Harga Normal A]])</f>
        <v>280000</v>
      </c>
      <c r="J997" s="73">
        <f>INDEX(Katalog!$F$3:$F$12,MATCH(cadangan[[#This Row],[ItemID A]],Katalog!$C$3:$C$12,0))*cadangan[[#This Row],[Qty A]]</f>
        <v>130000</v>
      </c>
      <c r="K997" s="73">
        <f>IFERROR(cadangan[[#This Row],[Harga Diskon A]]-INDEX(Katalog!$E$3:$E$12,MATCH(cadangan[[#This Row],[ItemID A]],Katalog!$C$3:$C$12,0))*cadangan[[#This Row],[Qty A]],0)</f>
        <v>60000</v>
      </c>
      <c r="M997" s="39" t="str">
        <f>IFERROR(INDEX(Katalog!$A$3:$A$12,MATCH(cadangan[[#This Row],[ItemID B]],Katalog!$C$3:$C$12,0)),"-")</f>
        <v>-</v>
      </c>
      <c r="N997" s="39" t="str">
        <f>IFERROR(INDEX(Katalog!$B$3:$B$12,MATCH(cadangan[[#This Row],[ItemID B]],Katalog!$C$3:$C$12,0)),"-")</f>
        <v>-</v>
      </c>
      <c r="Q997" s="73">
        <f>IFERROR(INDEX(Katalog!$D$3:$D$12,MATCH(cadangan[[#This Row],[ItemID B]],Katalog!$C$3:$C$12,0))*cadangan[[#This Row],[Qty B]],0)</f>
        <v>0</v>
      </c>
      <c r="R997" s="73">
        <f>IFERROR(cadangan[[#This Row],[Harga Normal B]]-(cadangan[[#This Row],[Harga Normal B]]*cadangan[[#This Row],[Diskon]]),cadangan[[#This Row],[Harga Normal B]])</f>
        <v>0</v>
      </c>
      <c r="S997" s="73">
        <f>IFERROR(INDEX(Katalog!$F$3:$F$12,MATCH(cadangan[[#This Row],[ItemID B]],Katalog!$C$3:$C$12,0))*cadangan[[#This Row],[Qty B]],0)</f>
        <v>0</v>
      </c>
      <c r="T997" s="73">
        <f>IFERROR(cadangan[[#This Row],[Harga Diskon B]]-INDEX(Katalog!$E$3:$E$12,MATCH(cadangan[[#This Row],[ItemID B]],Katalog!$C$3:$C$12,0))*cadangan[[#This Row],[Qty B]],0)</f>
        <v>0</v>
      </c>
      <c r="V997" s="39" t="str">
        <f>IFERROR(INDEX(Katalog!$A$3:$A$12,MATCH(cadangan[[#This Row],[ItemID C]],Katalog!$C$3:$C$12,0)),"-")</f>
        <v>-</v>
      </c>
      <c r="W997" s="39" t="str">
        <f>IFERROR(INDEX(Katalog!$B$3:$B$12,MATCH(cadangan[[#This Row],[ItemID C]],Katalog!$C$3:$C$12,0)),"-")</f>
        <v>-</v>
      </c>
      <c r="Z997" s="73">
        <f>IFERROR(INDEX(Katalog!$D$3:$D$12,MATCH(cadangan[[#This Row],[ItemID C]],Katalog!$C$3:$C$12,0))*cadangan[[#This Row],[Qty C]],0)</f>
        <v>0</v>
      </c>
      <c r="AA997" s="73">
        <f>IFERROR(cadangan[[#This Row],[Harga Normal C]]-(cadangan[[#This Row],[Harga Normal C]]*cadangan[[#This Row],[Diskon]]),cadangan[[#This Row],[Harga Normal C]])</f>
        <v>0</v>
      </c>
      <c r="AB997" s="73">
        <f>IFERROR(INDEX(Katalog!$F$3:$F$12,MATCH(cadangan[[#This Row],[ItemID C]],Katalog!$C$3:$C$12,0))*cadangan[[#This Row],[Qty C]],0)</f>
        <v>0</v>
      </c>
      <c r="AC997" s="73">
        <f>IFERROR(cadangan[[#This Row],[Harga Diskon C]]-INDEX(Katalog!$E$3:$E$12,MATCH(cadangan[[#This Row],[ItemID C]],Katalog!$C$3:$C$12,0))*cadangan[[#This Row],[Qty C]],0)</f>
        <v>0</v>
      </c>
      <c r="AD997" s="53">
        <f>cadangan[[#This Row],[Qty A]]+cadangan[[#This Row],[Qty B]]+cadangan[[#This Row],[Qty C]]</f>
        <v>1</v>
      </c>
      <c r="AE997" s="73">
        <f>cadangan[[#This Row],[Harga Normal A]]+cadangan[[#This Row],[Harga Normal B]]+cadangan[[#This Row],[Harga Normal C]]</f>
        <v>350000</v>
      </c>
      <c r="AF997" s="73">
        <f>cadangan[[#This Row],[Harga Diskon A]]+cadangan[[#This Row],[Harga Diskon B]]+cadangan[[#This Row],[Harga Diskon C]]</f>
        <v>280000</v>
      </c>
      <c r="AG997" s="73">
        <f>(cadangan[[#This Row],[Profit Normal A]]+cadangan[[#This Row],[Profit Normal B]]+cadangan[[#This Row],[Profit Normal C]])</f>
        <v>130000</v>
      </c>
      <c r="AH997" s="73">
        <f>cadangan[[#This Row],[Profit Diskon A]]+cadangan[[#This Row],[Profit Diskon B]]+cadangan[[#This Row],[Profit Diskon C]]</f>
        <v>60000</v>
      </c>
      <c r="AI997" s="23" t="s">
        <v>8</v>
      </c>
      <c r="AJ997" s="37">
        <f>IFERROR(INDEX('Kode Diskon'!$D$3:$D$9,MATCH(cadangan[[#This Row],[Kode diskon]],'Kode Diskon'!$C$3:$C$9,0)),"-")</f>
        <v>0.2</v>
      </c>
      <c r="AK997" s="23" t="s">
        <v>9</v>
      </c>
      <c r="AL997" s="23" t="s">
        <v>7</v>
      </c>
      <c r="AM997" s="23" t="s">
        <v>78</v>
      </c>
      <c r="AN997" s="55">
        <v>45035</v>
      </c>
      <c r="AO997" s="53">
        <f>DAY(cadangan[[#This Row],[Tanggal terjual]])</f>
        <v>19</v>
      </c>
      <c r="AP997" s="21" t="str">
        <f>TEXT(cadangan[[#This Row],[Tanggal terjual]],"dddd")</f>
        <v>Wednesday</v>
      </c>
      <c r="AQ997" s="23" t="str" cm="1">
        <f t="array" ref="AQ997">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997" s="61">
        <f>AVERAGE(cadangan[[#This Row],[Rating A]],cadangan[[#This Row],[Rating B]],cadangan[[#This Row],[Rating C]])</f>
        <v>5</v>
      </c>
    </row>
    <row r="998" spans="1:44" x14ac:dyDescent="0.2">
      <c r="A998" s="20">
        <v>997</v>
      </c>
      <c r="B998" s="21" t="str">
        <f>_xlfn.CONCAT("ORD-",INDEX(Helper!$B$2:$B$5,MATCH(cadangan[[#This Row],[Marketplace]],Helper!$A$2:$A$5,0)),TEXT(cadangan[[#This Row],[No]],"0000"),"-",TEXT(cadangan[[#This Row],[Tanggal terjual]],"dd/mm/yy"))</f>
        <v>ORD-TK0997-26/04/23</v>
      </c>
      <c r="C998" s="39" t="s">
        <v>62</v>
      </c>
      <c r="D998" s="39" t="str">
        <f>IFERROR(INDEX(Katalog!$A$3:$A$12,MATCH(cadangan[[#This Row],[ItemID A]],Katalog!$C$3:$C$12,0)),"-")</f>
        <v>Pakaian Pria</v>
      </c>
      <c r="E998" s="39" t="str">
        <f>IFERROR(INDEX(Katalog!$B$3:$B$12,MATCH(cadangan[[#This Row],[ItemID A]],Katalog!$C$3:$C$12,0)),"-")</f>
        <v>Celana Pendek</v>
      </c>
      <c r="F998" s="50">
        <v>5</v>
      </c>
      <c r="G998" s="50">
        <v>4</v>
      </c>
      <c r="H998" s="73">
        <f>IFERROR(INDEX(Katalog!$D$3:$D$12,MATCH(cadangan[[#This Row],[ItemID A]],Katalog!$C$3:$C$12,0))*cadangan[[#This Row],[Qty A]],0)</f>
        <v>900000</v>
      </c>
      <c r="I998" s="73">
        <f>IFERROR(cadangan[[#This Row],[Harga Normal A]]-(cadangan[[#This Row],[Harga Normal A]]*cadangan[[#This Row],[Diskon]]),cadangan[[#This Row],[Harga Normal A]])</f>
        <v>810000</v>
      </c>
      <c r="J998" s="73">
        <f>INDEX(Katalog!$F$3:$F$12,MATCH(cadangan[[#This Row],[ItemID A]],Katalog!$C$3:$C$12,0))*cadangan[[#This Row],[Qty A]]</f>
        <v>350000</v>
      </c>
      <c r="K998" s="73">
        <f>IFERROR(cadangan[[#This Row],[Harga Diskon A]]-INDEX(Katalog!$E$3:$E$12,MATCH(cadangan[[#This Row],[ItemID A]],Katalog!$C$3:$C$12,0))*cadangan[[#This Row],[Qty A]],0)</f>
        <v>260000</v>
      </c>
      <c r="M998" s="39" t="str">
        <f>IFERROR(INDEX(Katalog!$A$3:$A$12,MATCH(cadangan[[#This Row],[ItemID B]],Katalog!$C$3:$C$12,0)),"-")</f>
        <v>-</v>
      </c>
      <c r="N998" s="39" t="str">
        <f>IFERROR(INDEX(Katalog!$B$3:$B$12,MATCH(cadangan[[#This Row],[ItemID B]],Katalog!$C$3:$C$12,0)),"-")</f>
        <v>-</v>
      </c>
      <c r="Q998" s="73">
        <f>IFERROR(INDEX(Katalog!$D$3:$D$12,MATCH(cadangan[[#This Row],[ItemID B]],Katalog!$C$3:$C$12,0))*cadangan[[#This Row],[Qty B]],0)</f>
        <v>0</v>
      </c>
      <c r="R998" s="73">
        <f>IFERROR(cadangan[[#This Row],[Harga Normal B]]-(cadangan[[#This Row],[Harga Normal B]]*cadangan[[#This Row],[Diskon]]),cadangan[[#This Row],[Harga Normal B]])</f>
        <v>0</v>
      </c>
      <c r="S998" s="73">
        <f>IFERROR(INDEX(Katalog!$F$3:$F$12,MATCH(cadangan[[#This Row],[ItemID B]],Katalog!$C$3:$C$12,0))*cadangan[[#This Row],[Qty B]],0)</f>
        <v>0</v>
      </c>
      <c r="T998" s="73">
        <f>IFERROR(cadangan[[#This Row],[Harga Diskon B]]-INDEX(Katalog!$E$3:$E$12,MATCH(cadangan[[#This Row],[ItemID B]],Katalog!$C$3:$C$12,0))*cadangan[[#This Row],[Qty B]],0)</f>
        <v>0</v>
      </c>
      <c r="V998" s="39" t="str">
        <f>IFERROR(INDEX(Katalog!$A$3:$A$12,MATCH(cadangan[[#This Row],[ItemID C]],Katalog!$C$3:$C$12,0)),"-")</f>
        <v>-</v>
      </c>
      <c r="W998" s="39" t="str">
        <f>IFERROR(INDEX(Katalog!$B$3:$B$12,MATCH(cadangan[[#This Row],[ItemID C]],Katalog!$C$3:$C$12,0)),"-")</f>
        <v>-</v>
      </c>
      <c r="Z998" s="73">
        <f>IFERROR(INDEX(Katalog!$D$3:$D$12,MATCH(cadangan[[#This Row],[ItemID C]],Katalog!$C$3:$C$12,0))*cadangan[[#This Row],[Qty C]],0)</f>
        <v>0</v>
      </c>
      <c r="AA998" s="73">
        <f>IFERROR(cadangan[[#This Row],[Harga Normal C]]-(cadangan[[#This Row],[Harga Normal C]]*cadangan[[#This Row],[Diskon]]),cadangan[[#This Row],[Harga Normal C]])</f>
        <v>0</v>
      </c>
      <c r="AB998" s="73">
        <f>IFERROR(INDEX(Katalog!$F$3:$F$12,MATCH(cadangan[[#This Row],[ItemID C]],Katalog!$C$3:$C$12,0))*cadangan[[#This Row],[Qty C]],0)</f>
        <v>0</v>
      </c>
      <c r="AC998" s="73">
        <f>IFERROR(cadangan[[#This Row],[Harga Diskon C]]-INDEX(Katalog!$E$3:$E$12,MATCH(cadangan[[#This Row],[ItemID C]],Katalog!$C$3:$C$12,0))*cadangan[[#This Row],[Qty C]],0)</f>
        <v>0</v>
      </c>
      <c r="AD998" s="53">
        <f>cadangan[[#This Row],[Qty A]]+cadangan[[#This Row],[Qty B]]+cadangan[[#This Row],[Qty C]]</f>
        <v>5</v>
      </c>
      <c r="AE998" s="73">
        <f>cadangan[[#This Row],[Harga Normal A]]+cadangan[[#This Row],[Harga Normal B]]+cadangan[[#This Row],[Harga Normal C]]</f>
        <v>900000</v>
      </c>
      <c r="AF998" s="73">
        <f>cadangan[[#This Row],[Harga Diskon A]]+cadangan[[#This Row],[Harga Diskon B]]+cadangan[[#This Row],[Harga Diskon C]]</f>
        <v>810000</v>
      </c>
      <c r="AG998" s="73">
        <f>(cadangan[[#This Row],[Profit Normal A]]+cadangan[[#This Row],[Profit Normal B]]+cadangan[[#This Row],[Profit Normal C]])</f>
        <v>350000</v>
      </c>
      <c r="AH998" s="73">
        <f>cadangan[[#This Row],[Profit Diskon A]]+cadangan[[#This Row],[Profit Diskon B]]+cadangan[[#This Row],[Profit Diskon C]]</f>
        <v>260000</v>
      </c>
      <c r="AI998" s="23" t="s">
        <v>31</v>
      </c>
      <c r="AJ998" s="37">
        <f>IFERROR(INDEX('Kode Diskon'!$D$3:$D$9,MATCH(cadangan[[#This Row],[Kode diskon]],'Kode Diskon'!$C$3:$C$9,0)),"-")</f>
        <v>0.1</v>
      </c>
      <c r="AK998" s="23" t="s">
        <v>9</v>
      </c>
      <c r="AL998" s="23" t="s">
        <v>10</v>
      </c>
      <c r="AM998" s="23" t="s">
        <v>76</v>
      </c>
      <c r="AN998" s="55">
        <v>45042</v>
      </c>
      <c r="AO998" s="53">
        <f>DAY(cadangan[[#This Row],[Tanggal terjual]])</f>
        <v>26</v>
      </c>
      <c r="AP998" s="21" t="str">
        <f>TEXT(cadangan[[#This Row],[Tanggal terjual]],"dddd")</f>
        <v>Wednesday</v>
      </c>
      <c r="AQ998" s="23" t="str" cm="1">
        <f t="array" ref="AQ998">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ke-4</v>
      </c>
      <c r="AR998" s="61">
        <f>AVERAGE(cadangan[[#This Row],[Rating A]],cadangan[[#This Row],[Rating B]],cadangan[[#This Row],[Rating C]])</f>
        <v>4</v>
      </c>
    </row>
    <row r="999" spans="1:44" x14ac:dyDescent="0.2">
      <c r="A999" s="20">
        <v>998</v>
      </c>
      <c r="B999" s="21" t="str">
        <f>_xlfn.CONCAT("ORD-",INDEX(Helper!$B$2:$B$5,MATCH(cadangan[[#This Row],[Marketplace]],Helper!$A$2:$A$5,0)),TEXT(cadangan[[#This Row],[No]],"0000"),"-",TEXT(cadangan[[#This Row],[Tanggal terjual]],"dd/mm/yy"))</f>
        <v>ORD-SP0998-01/04/23</v>
      </c>
      <c r="C999" s="39" t="s">
        <v>58</v>
      </c>
      <c r="D999" s="39" t="str">
        <f>IFERROR(INDEX(Katalog!$A$3:$A$12,MATCH(cadangan[[#This Row],[ItemID A]],Katalog!$C$3:$C$12,0)),"-")</f>
        <v>Pakaian Wanita</v>
      </c>
      <c r="E999" s="39" t="str">
        <f>IFERROR(INDEX(Katalog!$B$3:$B$12,MATCH(cadangan[[#This Row],[ItemID A]],Katalog!$C$3:$C$12,0)),"-")</f>
        <v>Dress</v>
      </c>
      <c r="F999" s="50">
        <v>1</v>
      </c>
      <c r="G999" s="50">
        <v>4</v>
      </c>
      <c r="H999" s="73">
        <f>IFERROR(INDEX(Katalog!$D$3:$D$12,MATCH(cadangan[[#This Row],[ItemID A]],Katalog!$C$3:$C$12,0))*cadangan[[#This Row],[Qty A]],0)</f>
        <v>300000</v>
      </c>
      <c r="I999" s="73">
        <f>IFERROR(cadangan[[#This Row],[Harga Normal A]]-(cadangan[[#This Row],[Harga Normal A]]*cadangan[[#This Row],[Diskon]]),cadangan[[#This Row],[Harga Normal A]])</f>
        <v>270000</v>
      </c>
      <c r="J999" s="73">
        <f>INDEX(Katalog!$F$3:$F$12,MATCH(cadangan[[#This Row],[ItemID A]],Katalog!$C$3:$C$12,0))*cadangan[[#This Row],[Qty A]]</f>
        <v>100000</v>
      </c>
      <c r="K999" s="73">
        <f>IFERROR(cadangan[[#This Row],[Harga Diskon A]]-INDEX(Katalog!$E$3:$E$12,MATCH(cadangan[[#This Row],[ItemID A]],Katalog!$C$3:$C$12,0))*cadangan[[#This Row],[Qty A]],0)</f>
        <v>70000</v>
      </c>
      <c r="M999" s="39" t="str">
        <f>IFERROR(INDEX(Katalog!$A$3:$A$12,MATCH(cadangan[[#This Row],[ItemID B]],Katalog!$C$3:$C$12,0)),"-")</f>
        <v>-</v>
      </c>
      <c r="N999" s="39" t="str">
        <f>IFERROR(INDEX(Katalog!$B$3:$B$12,MATCH(cadangan[[#This Row],[ItemID B]],Katalog!$C$3:$C$12,0)),"-")</f>
        <v>-</v>
      </c>
      <c r="Q999" s="73">
        <f>IFERROR(INDEX(Katalog!$D$3:$D$12,MATCH(cadangan[[#This Row],[ItemID B]],Katalog!$C$3:$C$12,0))*cadangan[[#This Row],[Qty B]],0)</f>
        <v>0</v>
      </c>
      <c r="R999" s="73">
        <f>IFERROR(cadangan[[#This Row],[Harga Normal B]]-(cadangan[[#This Row],[Harga Normal B]]*cadangan[[#This Row],[Diskon]]),cadangan[[#This Row],[Harga Normal B]])</f>
        <v>0</v>
      </c>
      <c r="S999" s="73">
        <f>IFERROR(INDEX(Katalog!$F$3:$F$12,MATCH(cadangan[[#This Row],[ItemID B]],Katalog!$C$3:$C$12,0))*cadangan[[#This Row],[Qty B]],0)</f>
        <v>0</v>
      </c>
      <c r="T999" s="73">
        <f>IFERROR(cadangan[[#This Row],[Harga Diskon B]]-INDEX(Katalog!$E$3:$E$12,MATCH(cadangan[[#This Row],[ItemID B]],Katalog!$C$3:$C$12,0))*cadangan[[#This Row],[Qty B]],0)</f>
        <v>0</v>
      </c>
      <c r="V999" s="39" t="str">
        <f>IFERROR(INDEX(Katalog!$A$3:$A$12,MATCH(cadangan[[#This Row],[ItemID C]],Katalog!$C$3:$C$12,0)),"-")</f>
        <v>-</v>
      </c>
      <c r="W999" s="39" t="str">
        <f>IFERROR(INDEX(Katalog!$B$3:$B$12,MATCH(cadangan[[#This Row],[ItemID C]],Katalog!$C$3:$C$12,0)),"-")</f>
        <v>-</v>
      </c>
      <c r="Z999" s="73">
        <f>IFERROR(INDEX(Katalog!$D$3:$D$12,MATCH(cadangan[[#This Row],[ItemID C]],Katalog!$C$3:$C$12,0))*cadangan[[#This Row],[Qty C]],0)</f>
        <v>0</v>
      </c>
      <c r="AA999" s="73">
        <f>IFERROR(cadangan[[#This Row],[Harga Normal C]]-(cadangan[[#This Row],[Harga Normal C]]*cadangan[[#This Row],[Diskon]]),cadangan[[#This Row],[Harga Normal C]])</f>
        <v>0</v>
      </c>
      <c r="AB999" s="73">
        <f>IFERROR(INDEX(Katalog!$F$3:$F$12,MATCH(cadangan[[#This Row],[ItemID C]],Katalog!$C$3:$C$12,0))*cadangan[[#This Row],[Qty C]],0)</f>
        <v>0</v>
      </c>
      <c r="AC999" s="73">
        <f>IFERROR(cadangan[[#This Row],[Harga Diskon C]]-INDEX(Katalog!$E$3:$E$12,MATCH(cadangan[[#This Row],[ItemID C]],Katalog!$C$3:$C$12,0))*cadangan[[#This Row],[Qty C]],0)</f>
        <v>0</v>
      </c>
      <c r="AD999" s="53">
        <f>cadangan[[#This Row],[Qty A]]+cadangan[[#This Row],[Qty B]]+cadangan[[#This Row],[Qty C]]</f>
        <v>1</v>
      </c>
      <c r="AE999" s="73">
        <f>cadangan[[#This Row],[Harga Normal A]]+cadangan[[#This Row],[Harga Normal B]]+cadangan[[#This Row],[Harga Normal C]]</f>
        <v>300000</v>
      </c>
      <c r="AF999" s="73">
        <f>cadangan[[#This Row],[Harga Diskon A]]+cadangan[[#This Row],[Harga Diskon B]]+cadangan[[#This Row],[Harga Diskon C]]</f>
        <v>270000</v>
      </c>
      <c r="AG999" s="73">
        <f>(cadangan[[#This Row],[Profit Normal A]]+cadangan[[#This Row],[Profit Normal B]]+cadangan[[#This Row],[Profit Normal C]])</f>
        <v>100000</v>
      </c>
      <c r="AH999" s="73">
        <f>cadangan[[#This Row],[Profit Diskon A]]+cadangan[[#This Row],[Profit Diskon B]]+cadangan[[#This Row],[Profit Diskon C]]</f>
        <v>70000</v>
      </c>
      <c r="AI999" s="23" t="s">
        <v>6</v>
      </c>
      <c r="AJ999" s="37">
        <f>IFERROR(INDEX('Kode Diskon'!$D$3:$D$9,MATCH(cadangan[[#This Row],[Kode diskon]],'Kode Diskon'!$C$3:$C$9,0)),"-")</f>
        <v>0.1</v>
      </c>
      <c r="AK999" s="23" t="s">
        <v>29</v>
      </c>
      <c r="AL999" s="23" t="s">
        <v>7</v>
      </c>
      <c r="AM999" s="23" t="s">
        <v>76</v>
      </c>
      <c r="AN999" s="55">
        <v>45017</v>
      </c>
      <c r="AO999" s="53">
        <f>DAY(cadangan[[#This Row],[Tanggal terjual]])</f>
        <v>1</v>
      </c>
      <c r="AP999" s="21" t="str">
        <f>TEXT(cadangan[[#This Row],[Tanggal terjual]],"dddd")</f>
        <v>Saturday</v>
      </c>
      <c r="AQ999" s="23" t="str" cm="1">
        <f t="array" ref="AQ999">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999" s="61">
        <f>AVERAGE(cadangan[[#This Row],[Rating A]],cadangan[[#This Row],[Rating B]],cadangan[[#This Row],[Rating C]])</f>
        <v>4</v>
      </c>
    </row>
    <row r="1000" spans="1:44" x14ac:dyDescent="0.2">
      <c r="A1000" s="20">
        <v>999</v>
      </c>
      <c r="B1000" s="21" t="str">
        <f>_xlfn.CONCAT("ORD-",INDEX(Helper!$B$2:$B$5,MATCH(cadangan[[#This Row],[Marketplace]],Helper!$A$2:$A$5,0)),TEXT(cadangan[[#This Row],[No]],"0000"),"-",TEXT(cadangan[[#This Row],[Tanggal terjual]],"dd/mm/yy"))</f>
        <v>ORD-BL0999-18/04/23</v>
      </c>
      <c r="C1000" s="39" t="s">
        <v>59</v>
      </c>
      <c r="D1000" s="39" t="str">
        <f>IFERROR(INDEX(Katalog!$A$3:$A$12,MATCH(cadangan[[#This Row],[ItemID A]],Katalog!$C$3:$C$12,0)),"-")</f>
        <v>Pakaian Wanita</v>
      </c>
      <c r="E1000" s="39" t="str">
        <f>IFERROR(INDEX(Katalog!$B$3:$B$12,MATCH(cadangan[[#This Row],[ItemID A]],Katalog!$C$3:$C$12,0)),"-")</f>
        <v>Blouse</v>
      </c>
      <c r="F1000" s="50">
        <v>2</v>
      </c>
      <c r="G1000" s="50">
        <v>3</v>
      </c>
      <c r="H1000" s="73">
        <f>IFERROR(INDEX(Katalog!$D$3:$D$12,MATCH(cadangan[[#This Row],[ItemID A]],Katalog!$C$3:$C$12,0))*cadangan[[#This Row],[Qty A]],0)</f>
        <v>300000</v>
      </c>
      <c r="I1000" s="73">
        <f>IFERROR(cadangan[[#This Row],[Harga Normal A]]-(cadangan[[#This Row],[Harga Normal A]]*cadangan[[#This Row],[Diskon]]),cadangan[[#This Row],[Harga Normal A]])</f>
        <v>255000</v>
      </c>
      <c r="J1000" s="73">
        <f>INDEX(Katalog!$F$3:$F$12,MATCH(cadangan[[#This Row],[ItemID A]],Katalog!$C$3:$C$12,0))*cadangan[[#This Row],[Qty A]]</f>
        <v>100000</v>
      </c>
      <c r="K1000" s="73">
        <f>IFERROR(cadangan[[#This Row],[Harga Diskon A]]-INDEX(Katalog!$E$3:$E$12,MATCH(cadangan[[#This Row],[ItemID A]],Katalog!$C$3:$C$12,0))*cadangan[[#This Row],[Qty A]],0)</f>
        <v>55000</v>
      </c>
      <c r="L1000" s="39" t="s">
        <v>64</v>
      </c>
      <c r="M1000" s="39" t="str">
        <f>IFERROR(INDEX(Katalog!$A$3:$A$12,MATCH(cadangan[[#This Row],[ItemID B]],Katalog!$C$3:$C$12,0)),"-")</f>
        <v>Pakaian Unisex</v>
      </c>
      <c r="N1000" s="39" t="str">
        <f>IFERROR(INDEX(Katalog!$B$3:$B$12,MATCH(cadangan[[#This Row],[ItemID B]],Katalog!$C$3:$C$12,0)),"-")</f>
        <v>Jaket Hoodie</v>
      </c>
      <c r="O1000" s="50">
        <v>1</v>
      </c>
      <c r="P1000" s="50">
        <v>3</v>
      </c>
      <c r="Q1000" s="73">
        <f>IFERROR(INDEX(Katalog!$D$3:$D$12,MATCH(cadangan[[#This Row],[ItemID B]],Katalog!$C$3:$C$12,0))*cadangan[[#This Row],[Qty B]],0)</f>
        <v>350000</v>
      </c>
      <c r="R1000" s="73">
        <f>IFERROR(cadangan[[#This Row],[Harga Normal B]]-(cadangan[[#This Row],[Harga Normal B]]*cadangan[[#This Row],[Diskon]]),cadangan[[#This Row],[Harga Normal B]])</f>
        <v>297500</v>
      </c>
      <c r="S1000" s="73">
        <f>IFERROR(INDEX(Katalog!$F$3:$F$12,MATCH(cadangan[[#This Row],[ItemID B]],Katalog!$C$3:$C$12,0))*cadangan[[#This Row],[Qty B]],0)</f>
        <v>130000</v>
      </c>
      <c r="T1000" s="73">
        <f>IFERROR(cadangan[[#This Row],[Harga Diskon B]]-INDEX(Katalog!$E$3:$E$12,MATCH(cadangan[[#This Row],[ItemID B]],Katalog!$C$3:$C$12,0))*cadangan[[#This Row],[Qty B]],0)</f>
        <v>77500</v>
      </c>
      <c r="V1000" s="39" t="str">
        <f>IFERROR(INDEX(Katalog!$A$3:$A$12,MATCH(cadangan[[#This Row],[ItemID C]],Katalog!$C$3:$C$12,0)),"-")</f>
        <v>-</v>
      </c>
      <c r="W1000" s="39" t="str">
        <f>IFERROR(INDEX(Katalog!$B$3:$B$12,MATCH(cadangan[[#This Row],[ItemID C]],Katalog!$C$3:$C$12,0)),"-")</f>
        <v>-</v>
      </c>
      <c r="Z1000" s="73">
        <f>IFERROR(INDEX(Katalog!$D$3:$D$12,MATCH(cadangan[[#This Row],[ItemID C]],Katalog!$C$3:$C$12,0))*cadangan[[#This Row],[Qty C]],0)</f>
        <v>0</v>
      </c>
      <c r="AA1000" s="73">
        <f>IFERROR(cadangan[[#This Row],[Harga Normal C]]-(cadangan[[#This Row],[Harga Normal C]]*cadangan[[#This Row],[Diskon]]),cadangan[[#This Row],[Harga Normal C]])</f>
        <v>0</v>
      </c>
      <c r="AB1000" s="73">
        <f>IFERROR(INDEX(Katalog!$F$3:$F$12,MATCH(cadangan[[#This Row],[ItemID C]],Katalog!$C$3:$C$12,0))*cadangan[[#This Row],[Qty C]],0)</f>
        <v>0</v>
      </c>
      <c r="AC1000" s="73">
        <f>IFERROR(cadangan[[#This Row],[Harga Diskon C]]-INDEX(Katalog!$E$3:$E$12,MATCH(cadangan[[#This Row],[ItemID C]],Katalog!$C$3:$C$12,0))*cadangan[[#This Row],[Qty C]],0)</f>
        <v>0</v>
      </c>
      <c r="AD1000" s="53">
        <f>cadangan[[#This Row],[Qty A]]+cadangan[[#This Row],[Qty B]]+cadangan[[#This Row],[Qty C]]</f>
        <v>3</v>
      </c>
      <c r="AE1000" s="73">
        <f>cadangan[[#This Row],[Harga Normal A]]+cadangan[[#This Row],[Harga Normal B]]+cadangan[[#This Row],[Harga Normal C]]</f>
        <v>650000</v>
      </c>
      <c r="AF1000" s="73">
        <f>cadangan[[#This Row],[Harga Diskon A]]+cadangan[[#This Row],[Harga Diskon B]]+cadangan[[#This Row],[Harga Diskon C]]</f>
        <v>552500</v>
      </c>
      <c r="AG1000" s="73">
        <f>(cadangan[[#This Row],[Profit Normal A]]+cadangan[[#This Row],[Profit Normal B]]+cadangan[[#This Row],[Profit Normal C]])</f>
        <v>230000</v>
      </c>
      <c r="AH1000" s="73">
        <f>cadangan[[#This Row],[Profit Diskon A]]+cadangan[[#This Row],[Profit Diskon B]]+cadangan[[#This Row],[Profit Diskon C]]</f>
        <v>132500</v>
      </c>
      <c r="AI1000" s="23" t="s">
        <v>32</v>
      </c>
      <c r="AJ1000" s="37">
        <f>IFERROR(INDEX('Kode Diskon'!$D$3:$D$9,MATCH(cadangan[[#This Row],[Kode diskon]],'Kode Diskon'!$C$3:$C$9,0)),"-")</f>
        <v>0.15</v>
      </c>
      <c r="AK1000" s="23" t="s">
        <v>9</v>
      </c>
      <c r="AL1000" s="23" t="s">
        <v>12</v>
      </c>
      <c r="AM1000" s="23" t="s">
        <v>79</v>
      </c>
      <c r="AN1000" s="55">
        <v>45034</v>
      </c>
      <c r="AO1000" s="53">
        <f>DAY(cadangan[[#This Row],[Tanggal terjual]])</f>
        <v>18</v>
      </c>
      <c r="AP1000" s="21" t="str">
        <f>TEXT(cadangan[[#This Row],[Tanggal terjual]],"dddd")</f>
        <v>Tuesday</v>
      </c>
      <c r="AQ1000" s="23" t="str" cm="1">
        <f t="array" ref="AQ1000">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ke-3</v>
      </c>
      <c r="AR1000" s="61">
        <f>AVERAGE(cadangan[[#This Row],[Rating A]],cadangan[[#This Row],[Rating B]],cadangan[[#This Row],[Rating C]])</f>
        <v>3</v>
      </c>
    </row>
    <row r="1001" spans="1:44" x14ac:dyDescent="0.2">
      <c r="A1001" s="20">
        <v>1000</v>
      </c>
      <c r="B1001" s="21" t="str">
        <f>_xlfn.CONCAT("ORD-",INDEX(Helper!$B$2:$B$5,MATCH(cadangan[[#This Row],[Marketplace]],Helper!$A$2:$A$5,0)),TEXT(cadangan[[#This Row],[No]],"0000"),"-",TEXT(cadangan[[#This Row],[Tanggal terjual]],"dd/mm/yy"))</f>
        <v>ORD-SP1000-03/04/23</v>
      </c>
      <c r="C1001" s="39" t="s">
        <v>65</v>
      </c>
      <c r="D1001" s="39" t="str">
        <f>IFERROR(INDEX(Katalog!$A$3:$A$12,MATCH(cadangan[[#This Row],[ItemID A]],Katalog!$C$3:$C$12,0)),"-")</f>
        <v>Sepatu Pria</v>
      </c>
      <c r="E1001" s="39" t="str">
        <f>IFERROR(INDEX(Katalog!$B$3:$B$12,MATCH(cadangan[[#This Row],[ItemID A]],Katalog!$C$3:$C$12,0)),"-")</f>
        <v>Sneakers</v>
      </c>
      <c r="F1001" s="50">
        <v>3</v>
      </c>
      <c r="G1001" s="50">
        <v>3</v>
      </c>
      <c r="H1001" s="73">
        <f>IFERROR(INDEX(Katalog!$D$3:$D$12,MATCH(cadangan[[#This Row],[ItemID A]],Katalog!$C$3:$C$12,0))*cadangan[[#This Row],[Qty A]],0)</f>
        <v>1500000</v>
      </c>
      <c r="I1001" s="73">
        <f>IFERROR(cadangan[[#This Row],[Harga Normal A]]-(cadangan[[#This Row],[Harga Normal A]]*cadangan[[#This Row],[Diskon]]),cadangan[[#This Row],[Harga Normal A]])</f>
        <v>1275000</v>
      </c>
      <c r="J1001" s="73">
        <f>INDEX(Katalog!$F$3:$F$12,MATCH(cadangan[[#This Row],[ItemID A]],Katalog!$C$3:$C$12,0))*cadangan[[#This Row],[Qty A]]</f>
        <v>600000</v>
      </c>
      <c r="K1001" s="73">
        <f>IFERROR(cadangan[[#This Row],[Harga Diskon A]]-INDEX(Katalog!$E$3:$E$12,MATCH(cadangan[[#This Row],[ItemID A]],Katalog!$C$3:$C$12,0))*cadangan[[#This Row],[Qty A]],0)</f>
        <v>375000</v>
      </c>
      <c r="L1001" s="39" t="s">
        <v>58</v>
      </c>
      <c r="M1001" s="39" t="str">
        <f>IFERROR(INDEX(Katalog!$A$3:$A$12,MATCH(cadangan[[#This Row],[ItemID B]],Katalog!$C$3:$C$12,0)),"-")</f>
        <v>Pakaian Wanita</v>
      </c>
      <c r="N1001" s="39" t="str">
        <f>IFERROR(INDEX(Katalog!$B$3:$B$12,MATCH(cadangan[[#This Row],[ItemID B]],Katalog!$C$3:$C$12,0)),"-")</f>
        <v>Dress</v>
      </c>
      <c r="O1001" s="50">
        <v>2</v>
      </c>
      <c r="P1001" s="50">
        <v>5</v>
      </c>
      <c r="Q1001" s="73">
        <f>IFERROR(INDEX(Katalog!$D$3:$D$12,MATCH(cadangan[[#This Row],[ItemID B]],Katalog!$C$3:$C$12,0))*cadangan[[#This Row],[Qty B]],0)</f>
        <v>600000</v>
      </c>
      <c r="R1001" s="73">
        <f>IFERROR(cadangan[[#This Row],[Harga Normal B]]-(cadangan[[#This Row],[Harga Normal B]]*cadangan[[#This Row],[Diskon]]),cadangan[[#This Row],[Harga Normal B]])</f>
        <v>510000</v>
      </c>
      <c r="S1001" s="73">
        <f>IFERROR(INDEX(Katalog!$F$3:$F$12,MATCH(cadangan[[#This Row],[ItemID B]],Katalog!$C$3:$C$12,0))*cadangan[[#This Row],[Qty B]],0)</f>
        <v>200000</v>
      </c>
      <c r="T1001" s="73">
        <f>IFERROR(cadangan[[#This Row],[Harga Diskon B]]-INDEX(Katalog!$E$3:$E$12,MATCH(cadangan[[#This Row],[ItemID B]],Katalog!$C$3:$C$12,0))*cadangan[[#This Row],[Qty B]],0)</f>
        <v>110000</v>
      </c>
      <c r="U1001" s="39" t="s">
        <v>61</v>
      </c>
      <c r="V1001" s="39" t="str">
        <f>IFERROR(INDEX(Katalog!$A$3:$A$12,MATCH(cadangan[[#This Row],[ItemID C]],Katalog!$C$3:$C$12,0)),"-")</f>
        <v>Pakaian Pria</v>
      </c>
      <c r="W1001" s="39" t="str">
        <f>IFERROR(INDEX(Katalog!$B$3:$B$12,MATCH(cadangan[[#This Row],[ItemID C]],Katalog!$C$3:$C$12,0)),"-")</f>
        <v>Kaos Polo</v>
      </c>
      <c r="X1001" s="50">
        <v>1</v>
      </c>
      <c r="Y1001" s="50">
        <v>2</v>
      </c>
      <c r="Z1001" s="73">
        <f>IFERROR(INDEX(Katalog!$D$3:$D$12,MATCH(cadangan[[#This Row],[ItemID C]],Katalog!$C$3:$C$12,0))*cadangan[[#This Row],[Qty C]],0)</f>
        <v>200000</v>
      </c>
      <c r="AA1001" s="73">
        <f>IFERROR(cadangan[[#This Row],[Harga Normal C]]-(cadangan[[#This Row],[Harga Normal C]]*cadangan[[#This Row],[Diskon]]),cadangan[[#This Row],[Harga Normal C]])</f>
        <v>170000</v>
      </c>
      <c r="AB1001" s="73">
        <f>IFERROR(INDEX(Katalog!$F$3:$F$12,MATCH(cadangan[[#This Row],[ItemID C]],Katalog!$C$3:$C$12,0))*cadangan[[#This Row],[Qty C]],0)</f>
        <v>80000</v>
      </c>
      <c r="AC1001" s="73">
        <f>IFERROR(cadangan[[#This Row],[Harga Diskon C]]-INDEX(Katalog!$E$3:$E$12,MATCH(cadangan[[#This Row],[ItemID C]],Katalog!$C$3:$C$12,0))*cadangan[[#This Row],[Qty C]],0)</f>
        <v>50000</v>
      </c>
      <c r="AD1001" s="53">
        <f>cadangan[[#This Row],[Qty A]]+cadangan[[#This Row],[Qty B]]+cadangan[[#This Row],[Qty C]]</f>
        <v>6</v>
      </c>
      <c r="AE1001" s="73">
        <f>cadangan[[#This Row],[Harga Normal A]]+cadangan[[#This Row],[Harga Normal B]]+cadangan[[#This Row],[Harga Normal C]]</f>
        <v>2300000</v>
      </c>
      <c r="AF1001" s="73">
        <f>cadangan[[#This Row],[Harga Diskon A]]+cadangan[[#This Row],[Harga Diskon B]]+cadangan[[#This Row],[Harga Diskon C]]</f>
        <v>1955000</v>
      </c>
      <c r="AG1001" s="73">
        <f>(cadangan[[#This Row],[Profit Normal A]]+cadangan[[#This Row],[Profit Normal B]]+cadangan[[#This Row],[Profit Normal C]])</f>
        <v>880000</v>
      </c>
      <c r="AH1001" s="73">
        <f>cadangan[[#This Row],[Profit Diskon A]]+cadangan[[#This Row],[Profit Diskon B]]+cadangan[[#This Row],[Profit Diskon C]]</f>
        <v>535000</v>
      </c>
      <c r="AI1001" s="23" t="s">
        <v>13</v>
      </c>
      <c r="AJ1001" s="37">
        <f>IFERROR(INDEX('Kode Diskon'!$D$3:$D$9,MATCH(cadangan[[#This Row],[Kode diskon]],'Kode Diskon'!$C$3:$C$9,0)),"-")</f>
        <v>0.15</v>
      </c>
      <c r="AK1001" s="23" t="s">
        <v>29</v>
      </c>
      <c r="AL1001" s="23" t="s">
        <v>7</v>
      </c>
      <c r="AM1001" s="23" t="s">
        <v>77</v>
      </c>
      <c r="AN1001" s="55">
        <v>45019</v>
      </c>
      <c r="AO1001" s="53">
        <f>DAY(cadangan[[#This Row],[Tanggal terjual]])</f>
        <v>3</v>
      </c>
      <c r="AP1001" s="21" t="str">
        <f>TEXT(cadangan[[#This Row],[Tanggal terjual]],"dddd")</f>
        <v>Monday</v>
      </c>
      <c r="AQ1001" s="23" t="str" cm="1">
        <f t="array" ref="AQ1001">_xlfn.IFS(cadangan[[#This Row],[Tanggal Terjual2]]&lt;8,"Minggu ke-1",AND(cadangan[[#This Row],[Tanggal Terjual2]]&gt;=8,cadangan[[#This Row],[Tanggal Terjual2]]&lt;15),"Minggu ke-2",AND(cadangan[[#This Row],[Tanggal Terjual2]]&gt;=15,cadangan[[#This Row],[Tanggal Terjual2]]&lt;22),"Minggu ke-3",cadangan[[#This Row],[Tanggal Terjual2]]&gt;=22,"Minggu ke-4")</f>
        <v>Minggu ke-1</v>
      </c>
      <c r="AR1001" s="61">
        <f>AVERAGE(cadangan[[#This Row],[Rating A]],cadangan[[#This Row],[Rating B]],cadangan[[#This Row],[Rating C]])</f>
        <v>3.3333333333333335</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72138-9CD2-4362-97F4-B4D97F8E0929}">
  <dimension ref="V24"/>
  <sheetViews>
    <sheetView showGridLines="0" showRowColHeaders="0" tabSelected="1" view="pageBreakPreview" topLeftCell="A9" zoomScale="85" zoomScaleNormal="50" zoomScaleSheetLayoutView="85" workbookViewId="0">
      <selection activeCell="R73" sqref="R73"/>
    </sheetView>
  </sheetViews>
  <sheetFormatPr defaultColWidth="8.7109375" defaultRowHeight="12.75" x14ac:dyDescent="0.2"/>
  <cols>
    <col min="1" max="16384" width="8.7109375" style="65"/>
  </cols>
  <sheetData>
    <row r="24" spans="22:22" x14ac:dyDescent="0.2">
      <c r="V24" s="65">
        <f>Pivot!D3</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45916-69BA-FA44-8985-46034563C879}">
  <sheetPr codeName="Sheet2">
    <outlinePr summaryBelow="0" summaryRight="0"/>
  </sheetPr>
  <dimension ref="A1:AK1001"/>
  <sheetViews>
    <sheetView zoomScaleNormal="100" workbookViewId="0">
      <pane xSplit="2" topLeftCell="I1" activePane="topRight" state="frozen"/>
      <selection pane="topRight" activeCell="O2" sqref="O2"/>
    </sheetView>
  </sheetViews>
  <sheetFormatPr defaultColWidth="12.7109375" defaultRowHeight="12.75" x14ac:dyDescent="0.2"/>
  <cols>
    <col min="1" max="1" width="8" bestFit="1" customWidth="1"/>
    <col min="2" max="2" width="20.140625" bestFit="1" customWidth="1"/>
    <col min="3" max="3" width="13.28515625" hidden="1" customWidth="1"/>
    <col min="4" max="4" width="15.140625" bestFit="1" customWidth="1"/>
    <col min="5" max="5" width="13.7109375" bestFit="1" customWidth="1"/>
    <col min="6" max="6" width="10.42578125" bestFit="1" customWidth="1"/>
    <col min="7" max="7" width="13.28515625" bestFit="1" customWidth="1"/>
    <col min="8" max="8" width="21.28515625" style="14" bestFit="1" customWidth="1"/>
    <col min="9" max="9" width="13.42578125" style="14" bestFit="1" customWidth="1"/>
    <col min="10" max="10" width="13.28515625" bestFit="1" customWidth="1"/>
    <col min="11" max="11" width="15.140625" bestFit="1" customWidth="1"/>
    <col min="12" max="12" width="13.7109375" bestFit="1" customWidth="1"/>
    <col min="13" max="13" width="10.42578125" bestFit="1" customWidth="1"/>
    <col min="14" max="14" width="13.28515625" bestFit="1" customWidth="1"/>
    <col min="15" max="15" width="21.28515625" style="14" bestFit="1" customWidth="1"/>
    <col min="16" max="16" width="13.42578125" style="14" bestFit="1" customWidth="1"/>
    <col min="17" max="17" width="13.28515625" bestFit="1" customWidth="1"/>
    <col min="18" max="18" width="15.140625" bestFit="1" customWidth="1"/>
    <col min="19" max="19" width="13.7109375" bestFit="1" customWidth="1"/>
    <col min="20" max="20" width="10.42578125" bestFit="1" customWidth="1"/>
    <col min="21" max="21" width="13.28515625" bestFit="1" customWidth="1"/>
    <col min="22" max="22" width="21.28515625" style="14" bestFit="1" customWidth="1"/>
    <col min="23" max="23" width="13.42578125" style="14" bestFit="1" customWidth="1"/>
    <col min="24" max="24" width="13.7109375" bestFit="1" customWidth="1"/>
    <col min="25" max="25" width="16.140625" bestFit="1" customWidth="1"/>
    <col min="26" max="26" width="19.42578125" bestFit="1" customWidth="1"/>
    <col min="27" max="27" width="21.140625" bestFit="1" customWidth="1"/>
    <col min="28" max="28" width="16.140625" customWidth="1"/>
    <col min="29" max="29" width="16.7109375" bestFit="1" customWidth="1"/>
    <col min="30" max="30" width="11.5703125" style="13" bestFit="1" customWidth="1"/>
    <col min="31" max="32" width="16.7109375" bestFit="1" customWidth="1"/>
    <col min="33" max="33" width="19.5703125" bestFit="1" customWidth="1"/>
    <col min="34" max="34" width="19.5703125" style="12" bestFit="1" customWidth="1"/>
    <col min="35" max="35" width="20.5703125" bestFit="1" customWidth="1"/>
  </cols>
  <sheetData>
    <row r="1" spans="1:37" x14ac:dyDescent="0.2">
      <c r="A1" s="15" t="s">
        <v>22</v>
      </c>
      <c r="B1" s="15" t="s">
        <v>23</v>
      </c>
      <c r="C1" s="15" t="s">
        <v>114</v>
      </c>
      <c r="D1" s="15" t="s">
        <v>117</v>
      </c>
      <c r="E1" s="15" t="s">
        <v>68</v>
      </c>
      <c r="F1" s="15" t="s">
        <v>24</v>
      </c>
      <c r="G1" s="15" t="s">
        <v>89</v>
      </c>
      <c r="H1" s="16" t="s">
        <v>71</v>
      </c>
      <c r="I1" s="16" t="s">
        <v>121</v>
      </c>
      <c r="J1" s="15" t="s">
        <v>115</v>
      </c>
      <c r="K1" s="15" t="s">
        <v>118</v>
      </c>
      <c r="L1" s="15" t="s">
        <v>69</v>
      </c>
      <c r="M1" s="15" t="s">
        <v>25</v>
      </c>
      <c r="N1" s="15" t="s">
        <v>90</v>
      </c>
      <c r="O1" s="16" t="s">
        <v>72</v>
      </c>
      <c r="P1" s="16" t="s">
        <v>122</v>
      </c>
      <c r="Q1" s="15" t="s">
        <v>116</v>
      </c>
      <c r="R1" s="15" t="s">
        <v>119</v>
      </c>
      <c r="S1" s="15" t="s">
        <v>70</v>
      </c>
      <c r="T1" s="15" t="s">
        <v>26</v>
      </c>
      <c r="U1" s="15" t="s">
        <v>91</v>
      </c>
      <c r="V1" s="16" t="s">
        <v>73</v>
      </c>
      <c r="W1" s="16" t="s">
        <v>123</v>
      </c>
      <c r="X1" s="15" t="s">
        <v>27</v>
      </c>
      <c r="Y1" s="15" t="s">
        <v>124</v>
      </c>
      <c r="Z1" s="17" t="s">
        <v>74</v>
      </c>
      <c r="AA1" s="17" t="s">
        <v>182</v>
      </c>
      <c r="AB1" s="17" t="s">
        <v>128</v>
      </c>
      <c r="AC1" s="17" t="s">
        <v>0</v>
      </c>
      <c r="AD1" s="18" t="s">
        <v>1</v>
      </c>
      <c r="AE1" s="17" t="s">
        <v>2</v>
      </c>
      <c r="AF1" s="17" t="s">
        <v>3</v>
      </c>
      <c r="AG1" s="17" t="s">
        <v>5</v>
      </c>
      <c r="AH1" s="19" t="s">
        <v>4</v>
      </c>
      <c r="AI1" s="17" t="s">
        <v>125</v>
      </c>
      <c r="AJ1" s="15" t="s">
        <v>184</v>
      </c>
    </row>
    <row r="2" spans="1:37" x14ac:dyDescent="0.2">
      <c r="A2" s="20">
        <v>1</v>
      </c>
      <c r="B2" s="21" t="str">
        <f>_xlfn.CONCAT("ORD-",INDEX(Helper!$B$2:$B$5,MATCH(Data[[#This Row],[Marketplace]],Helper!$A$2:$A$5,0)),TEXT(Data[[#This Row],[No]],"0000"),"-",TEXT(Data[[#This Row],[Tanggal terjual]],"dd/mm/yy"))</f>
        <v>ORD-BB0001-01/04/23</v>
      </c>
      <c r="C2" t="s">
        <v>58</v>
      </c>
      <c r="D2" t="str">
        <f>IFERROR(INDEX(Katalog!$A$3:$A$12,MATCH(Data[[#This Row],[ItemID A]],Katalog!$C$3:$C$12,0)),"-")</f>
        <v>Pakaian Wanita</v>
      </c>
      <c r="E2" t="str">
        <f>IFERROR(INDEX(Katalog!$B$3:$B$12,MATCH(Data[[#This Row],[ItemID A]],Katalog!$C$3:$C$12,0)),"-")</f>
        <v>Dress</v>
      </c>
      <c r="F2">
        <v>1</v>
      </c>
      <c r="G2">
        <v>4</v>
      </c>
      <c r="H2" s="36">
        <f>IFERROR(INDEX(Katalog!$D$3:$D$12,MATCH(Data[[#This Row],[ItemID A]],Katalog!$C$3:$C$12,0))*Data[[#This Row],[Qty A]],"0")</f>
        <v>300000</v>
      </c>
      <c r="I2" s="36">
        <f>IFERROR(INDEX(Katalog!$F$3:$F$12,MATCH(Data[[#This Row],[ItemID A]],Katalog!$C$3:$C$12,0))*Data[[#This Row],[Qty A]],0)</f>
        <v>100000</v>
      </c>
      <c r="J2" s="9" t="s">
        <v>65</v>
      </c>
      <c r="K2" t="str">
        <f>IFERROR(INDEX(Katalog!$A$3:$A$12,MATCH(Data[[#This Row],[ItemID B]],Katalog!$C$3:$C$12,0)),"-")</f>
        <v>Sepatu Pria</v>
      </c>
      <c r="L2" t="str">
        <f>IFERROR(INDEX(Katalog!$B$3:$B$12,MATCH(Data[[#This Row],[ItemID B]],Katalog!$C$3:$C$12,0)),"-")</f>
        <v>Sneakers</v>
      </c>
      <c r="M2">
        <v>3</v>
      </c>
      <c r="N2">
        <v>4</v>
      </c>
      <c r="O2" s="36">
        <f>IFERROR(INDEX(Katalog!$D$3:$D$12,MATCH(Data[[#This Row],[ItemID B]],Katalog!$C$3:$C$12,0))*Data[[#This Row],[Qty B]],"0")</f>
        <v>1500000</v>
      </c>
      <c r="P2" s="36">
        <f>IFERROR(INDEX(Katalog!$F$3:$F$12,MATCH(Data[[#This Row],[ItemID B]],Katalog!$C$3:$C$12,0))*Data[[#This Row],[Qty B]],"0")</f>
        <v>600000</v>
      </c>
      <c r="Q2" t="s">
        <v>67</v>
      </c>
      <c r="R2" t="str">
        <f>IFERROR(INDEX(Katalog!$A$3:$A$12,MATCH(Data[[#This Row],[ItemID C]],Katalog!$C$3:$C$12,0)),"-")</f>
        <v>Sepatu Wanita</v>
      </c>
      <c r="S2" t="str">
        <f>IFERROR(INDEX(Katalog!$B$3:$B$12,MATCH(Data[[#This Row],[ItemID C]],Katalog!$C$3:$C$12,0)),"-")</f>
        <v>Flat Shoes</v>
      </c>
      <c r="T2">
        <v>2</v>
      </c>
      <c r="U2">
        <v>3</v>
      </c>
      <c r="V2" s="36">
        <f>IFERROR(INDEX(Katalog!$D$3:$D$12,MATCH(Data[[#This Row],[ItemID C]],Katalog!$C$3:$C$12,0))*Data[[#This Row],[Qty C]],"0")</f>
        <v>500000</v>
      </c>
      <c r="W2" s="36">
        <f>IFERROR(INDEX(Katalog!$F$3:$F$12,MATCH(Data[[#This Row],[ItemID C]],Katalog!$C$3:$C$12,0))*Data[[#This Row],[Qty C]],"0")</f>
        <v>200000</v>
      </c>
      <c r="X2" s="21">
        <f>Data[[#This Row],[Qty A]]+Data[[#This Row],[Qty B]]+Data[[#This Row],[Qty C]]</f>
        <v>6</v>
      </c>
      <c r="Y2" s="22">
        <f>Data[[#This Row],[Harga Barang A]]+Data[[#This Row],[Harga Barang B]]+Data[[#This Row],[Harga Barang C]]</f>
        <v>2300000</v>
      </c>
      <c r="Z2" s="35">
        <f>IFERROR(Data[[#This Row],[Total Harga]]-(Data[[#This Row],[Total Harga]]*Data[[#This Row],[Diskon]]),Data[[#This Row],[Total Harga]])</f>
        <v>1955000</v>
      </c>
      <c r="AA2" s="35">
        <f>(Data[[#This Row],[Profit A]]+Data[[#This Row],[Profit B]]+Data[[#This Row],[Profit C]])</f>
        <v>900000</v>
      </c>
      <c r="AB2" s="35">
        <f>IFERROR((Data[[#This Row],[Profit non Diskon]]-(Data[[#This Row],[Profit non Diskon]]*Data[[#This Row],[Diskon]])),Data[[#This Row],[Profit non Diskon]])</f>
        <v>765000</v>
      </c>
      <c r="AC2" s="23" t="s">
        <v>28</v>
      </c>
      <c r="AD2" s="37">
        <f>IFERROR(INDEX('Kode Diskon'!$D$3:$D$9,MATCH(Data[[#This Row],[Kode diskon]],'Kode Diskon'!$C$3:$C$9,0)),"-")</f>
        <v>0.15</v>
      </c>
      <c r="AE2" s="23" t="s">
        <v>29</v>
      </c>
      <c r="AF2" s="23" t="s">
        <v>14</v>
      </c>
      <c r="AG2" s="23" t="s">
        <v>75</v>
      </c>
      <c r="AH2" s="24">
        <v>45017</v>
      </c>
      <c r="AI2" s="23" t="str">
        <f>TEXT(Data[[#This Row],[Tanggal terjual]],"dddd")</f>
        <v>Saturday</v>
      </c>
      <c r="AJ2" s="21" t="str">
        <f>TEXT(Data[[#This Row],[Tanggal terjual]],"wwww")</f>
        <v>wwww</v>
      </c>
      <c r="AK2" s="9"/>
    </row>
    <row r="3" spans="1:37" x14ac:dyDescent="0.2">
      <c r="A3" s="20">
        <v>2</v>
      </c>
      <c r="B3" s="21" t="str">
        <f>_xlfn.CONCAT("ORD-",INDEX(Helper!$B$2:$B$5,MATCH(Data[[#This Row],[Marketplace]],Helper!$A$2:$A$5,0)),TEXT(Data[[#This Row],[No]],"0000"),"-",TEXT(Data[[#This Row],[Tanggal terjual]],"dd/mm/yy"))</f>
        <v>ORD-TK0002-02/04/23</v>
      </c>
      <c r="C3" t="s">
        <v>59</v>
      </c>
      <c r="D3" t="str">
        <f>IFERROR(INDEX(Katalog!$A$3:$A$12,MATCH(Data[[#This Row],[ItemID A]],Katalog!$C$3:$C$12,0)),"-")</f>
        <v>Pakaian Wanita</v>
      </c>
      <c r="E3" t="str">
        <f>IFERROR(INDEX(Katalog!$B$3:$B$12,MATCH(Data[[#This Row],[ItemID A]],Katalog!$C$3:$C$12,0)),"-")</f>
        <v>Blouse</v>
      </c>
      <c r="F3">
        <v>1</v>
      </c>
      <c r="G3">
        <v>2</v>
      </c>
      <c r="H3" s="36">
        <f>IFERROR(INDEX(Katalog!$D$3:$D$12,MATCH(Data[[#This Row],[ItemID A]],Katalog!$C$3:$C$12,0))*Data[[#This Row],[Qty A]],"0")</f>
        <v>150000</v>
      </c>
      <c r="I3" s="36">
        <f>IFERROR(INDEX(Katalog!$F$3:$F$12,MATCH(Data[[#This Row],[ItemID A]],Katalog!$C$3:$C$12,0))*Data[[#This Row],[Qty A]],0)</f>
        <v>50000</v>
      </c>
      <c r="J3" t="s">
        <v>63</v>
      </c>
      <c r="K3" t="str">
        <f>IFERROR(INDEX(Katalog!$A$3:$A$12,MATCH(Data[[#This Row],[ItemID B]],Katalog!$C$3:$C$12,0)),"-")</f>
        <v>Pakaian Pria</v>
      </c>
      <c r="L3" t="str">
        <f>IFERROR(INDEX(Katalog!$B$3:$B$12,MATCH(Data[[#This Row],[ItemID B]],Katalog!$C$3:$C$12,0)),"-")</f>
        <v>Jaket Jeans</v>
      </c>
      <c r="M3">
        <v>1</v>
      </c>
      <c r="N3">
        <v>1</v>
      </c>
      <c r="O3" s="36">
        <f>IFERROR(INDEX(Katalog!$D$3:$D$12,MATCH(Data[[#This Row],[ItemID B]],Katalog!$C$3:$C$12,0))*Data[[#This Row],[Qty B]],"0")</f>
        <v>400000</v>
      </c>
      <c r="P3" s="36">
        <f>IFERROR(INDEX(Katalog!$F$3:$F$12,MATCH(Data[[#This Row],[ItemID B]],Katalog!$C$3:$C$12,0))*Data[[#This Row],[Qty B]],"0")</f>
        <v>150000</v>
      </c>
      <c r="Q3" t="s">
        <v>66</v>
      </c>
      <c r="R3" t="str">
        <f>IFERROR(INDEX(Katalog!$A$3:$A$12,MATCH(Data[[#This Row],[ItemID C]],Katalog!$C$3:$C$12,0)),"-")</f>
        <v>Sepatu Pria</v>
      </c>
      <c r="S3" t="str">
        <f>IFERROR(INDEX(Katalog!$B$3:$B$12,MATCH(Data[[#This Row],[ItemID C]],Katalog!$C$3:$C$12,0)),"-")</f>
        <v>Sandal Slip On</v>
      </c>
      <c r="T3">
        <v>2</v>
      </c>
      <c r="U3">
        <v>4</v>
      </c>
      <c r="V3" s="36">
        <f>IFERROR(INDEX(Katalog!$D$3:$D$12,MATCH(Data[[#This Row],[ItemID C]],Katalog!$C$3:$C$12,0))*Data[[#This Row],[Qty C]],"0")</f>
        <v>300000</v>
      </c>
      <c r="W3" s="36">
        <f>IFERROR(INDEX(Katalog!$F$3:$F$12,MATCH(Data[[#This Row],[ItemID C]],Katalog!$C$3:$C$12,0))*Data[[#This Row],[Qty C]],"0")</f>
        <v>120000</v>
      </c>
      <c r="X3" s="21">
        <f>Data[[#This Row],[Qty A]]+Data[[#This Row],[Qty B]]+Data[[#This Row],[Qty C]]</f>
        <v>4</v>
      </c>
      <c r="Y3" s="22">
        <f>Data[[#This Row],[Harga Barang A]]+Data[[#This Row],[Harga Barang B]]+Data[[#This Row],[Harga Barang C]]</f>
        <v>850000</v>
      </c>
      <c r="Z3" s="35">
        <f>IFERROR(Data[[#This Row],[Total Harga]]-(Data[[#This Row],[Total Harga]]*Data[[#This Row],[Diskon]]),Data[[#This Row],[Total Harga]])</f>
        <v>765000</v>
      </c>
      <c r="AA3" s="35">
        <f>(Data[[#This Row],[Profit A]]+Data[[#This Row],[Profit B]]+Data[[#This Row],[Profit C]])</f>
        <v>320000</v>
      </c>
      <c r="AB3" s="35">
        <f>IFERROR((Data[[#This Row],[Profit non Diskon]]-(Data[[#This Row],[Profit non Diskon]]*Data[[#This Row],[Diskon]])),Data[[#This Row],[Profit non Diskon]])</f>
        <v>288000</v>
      </c>
      <c r="AC3" s="23" t="s">
        <v>30</v>
      </c>
      <c r="AD3" s="37">
        <f>IFERROR(INDEX('Kode Diskon'!$D$3:$D$9,MATCH(Data[[#This Row],[Kode diskon]],'Kode Diskon'!$C$3:$C$9,0)),"-")</f>
        <v>0.1</v>
      </c>
      <c r="AE3" s="23" t="s">
        <v>29</v>
      </c>
      <c r="AF3" s="23" t="s">
        <v>10</v>
      </c>
      <c r="AG3" s="23" t="s">
        <v>75</v>
      </c>
      <c r="AH3" s="24">
        <v>45018</v>
      </c>
      <c r="AI3" s="23" t="str">
        <f>TEXT(Data[[#This Row],[Tanggal terjual]],"dddd")</f>
        <v>Sunday</v>
      </c>
      <c r="AJ3" s="21" t="str">
        <f>TEXT(Data[[#This Row],[Tanggal terjual]],"wwww")</f>
        <v>wwww</v>
      </c>
    </row>
    <row r="4" spans="1:37" x14ac:dyDescent="0.2">
      <c r="A4" s="20">
        <v>3</v>
      </c>
      <c r="B4" s="21" t="str">
        <f>_xlfn.CONCAT("ORD-",INDEX(Helper!$B$2:$B$5,MATCH(Data[[#This Row],[Marketplace]],Helper!$A$2:$A$5,0)),TEXT(Data[[#This Row],[No]],"0000"),"-",TEXT(Data[[#This Row],[Tanggal terjual]],"dd/mm/yy"))</f>
        <v>ORD-TK0003-03/04/23</v>
      </c>
      <c r="C4" t="s">
        <v>60</v>
      </c>
      <c r="D4" t="str">
        <f>IFERROR(INDEX(Katalog!$A$3:$A$12,MATCH(Data[[#This Row],[ItemID A]],Katalog!$C$3:$C$12,0)),"-")</f>
        <v>Pakaian Wanita</v>
      </c>
      <c r="E4" t="str">
        <f>IFERROR(INDEX(Katalog!$B$3:$B$12,MATCH(Data[[#This Row],[ItemID A]],Katalog!$C$3:$C$12,0)),"-")</f>
        <v>Kaftan</v>
      </c>
      <c r="F4">
        <v>2</v>
      </c>
      <c r="G4">
        <v>3</v>
      </c>
      <c r="H4" s="36">
        <f>IFERROR(INDEX(Katalog!$D$3:$D$12,MATCH(Data[[#This Row],[ItemID A]],Katalog!$C$3:$C$12,0))*Data[[#This Row],[Qty A]],"0")</f>
        <v>500000</v>
      </c>
      <c r="I4" s="36">
        <f>IFERROR(INDEX(Katalog!$F$3:$F$12,MATCH(Data[[#This Row],[ItemID A]],Katalog!$C$3:$C$12,0))*Data[[#This Row],[Qty A]],0)</f>
        <v>200000</v>
      </c>
      <c r="J4" t="s">
        <v>67</v>
      </c>
      <c r="K4" t="str">
        <f>IFERROR(INDEX(Katalog!$A$3:$A$12,MATCH(Data[[#This Row],[ItemID B]],Katalog!$C$3:$C$12,0)),"-")</f>
        <v>Sepatu Wanita</v>
      </c>
      <c r="L4" t="str">
        <f>IFERROR(INDEX(Katalog!$B$3:$B$12,MATCH(Data[[#This Row],[ItemID B]],Katalog!$C$3:$C$12,0)),"-")</f>
        <v>Flat Shoes</v>
      </c>
      <c r="M4">
        <v>1</v>
      </c>
      <c r="N4">
        <v>5</v>
      </c>
      <c r="O4" s="36">
        <f>IFERROR(INDEX(Katalog!$D$3:$D$12,MATCH(Data[[#This Row],[ItemID B]],Katalog!$C$3:$C$12,0))*Data[[#This Row],[Qty B]],"0")</f>
        <v>250000</v>
      </c>
      <c r="P4" s="36">
        <f>IFERROR(INDEX(Katalog!$F$3:$F$12,MATCH(Data[[#This Row],[ItemID B]],Katalog!$C$3:$C$12,0))*Data[[#This Row],[Qty B]],"0")</f>
        <v>100000</v>
      </c>
      <c r="R4" t="str">
        <f>IFERROR(INDEX(Katalog!$A$3:$A$12,MATCH(Data[[#This Row],[ItemID C]],Katalog!$C$3:$C$12,0)),"-")</f>
        <v>-</v>
      </c>
      <c r="S4" t="str">
        <f>IFERROR(INDEX(Katalog!$B$3:$B$12,MATCH(Data[[#This Row],[ItemID C]],Katalog!$C$3:$C$12,0)),"-")</f>
        <v>-</v>
      </c>
      <c r="V4" s="36" t="str">
        <f>IFERROR(INDEX(Katalog!$D$3:$D$12,MATCH(Data[[#This Row],[ItemID C]],Katalog!$C$3:$C$12,0))*Data[[#This Row],[Qty C]],"0")</f>
        <v>0</v>
      </c>
      <c r="W4" s="36" t="str">
        <f>IFERROR(INDEX(Katalog!$F$3:$F$12,MATCH(Data[[#This Row],[ItemID C]],Katalog!$C$3:$C$12,0))*Data[[#This Row],[Qty C]],"0")</f>
        <v>0</v>
      </c>
      <c r="X4" s="21">
        <f>Data[[#This Row],[Qty A]]+Data[[#This Row],[Qty B]]+Data[[#This Row],[Qty C]]</f>
        <v>3</v>
      </c>
      <c r="Y4" s="22">
        <f>Data[[#This Row],[Harga Barang A]]+Data[[#This Row],[Harga Barang B]]+Data[[#This Row],[Harga Barang C]]</f>
        <v>750000</v>
      </c>
      <c r="Z4" s="35">
        <f>IFERROR(Data[[#This Row],[Total Harga]]-(Data[[#This Row],[Total Harga]]*Data[[#This Row],[Diskon]]),Data[[#This Row],[Total Harga]])</f>
        <v>675000</v>
      </c>
      <c r="AA4" s="35">
        <f>(Data[[#This Row],[Profit A]]+Data[[#This Row],[Profit B]]+Data[[#This Row],[Profit C]])</f>
        <v>300000</v>
      </c>
      <c r="AB4" s="35">
        <f>IFERROR((Data[[#This Row],[Profit non Diskon]]-(Data[[#This Row],[Profit non Diskon]]*Data[[#This Row],[Diskon]])),Data[[#This Row],[Profit non Diskon]])</f>
        <v>270000</v>
      </c>
      <c r="AC4" s="23" t="s">
        <v>30</v>
      </c>
      <c r="AD4" s="37">
        <f>IFERROR(INDEX('Kode Diskon'!$D$3:$D$9,MATCH(Data[[#This Row],[Kode diskon]],'Kode Diskon'!$C$3:$C$9,0)),"-")</f>
        <v>0.1</v>
      </c>
      <c r="AE4" s="23" t="s">
        <v>29</v>
      </c>
      <c r="AF4" s="23" t="s">
        <v>10</v>
      </c>
      <c r="AG4" s="23" t="s">
        <v>76</v>
      </c>
      <c r="AH4" s="24">
        <v>45019</v>
      </c>
      <c r="AI4" s="23" t="str">
        <f>TEXT(Data[[#This Row],[Tanggal terjual]],"dddd")</f>
        <v>Monday</v>
      </c>
      <c r="AJ4" s="21" t="str">
        <f>TEXT(Data[[#This Row],[Tanggal terjual]],"wwww")</f>
        <v>wwww</v>
      </c>
    </row>
    <row r="5" spans="1:37" x14ac:dyDescent="0.2">
      <c r="A5" s="20">
        <v>4</v>
      </c>
      <c r="B5" s="21" t="str">
        <f>_xlfn.CONCAT("ORD-",INDEX(Helper!$B$2:$B$5,MATCH(Data[[#This Row],[Marketplace]],Helper!$A$2:$A$5,0)),TEXT(Data[[#This Row],[No]],"0000"),"-",TEXT(Data[[#This Row],[Tanggal terjual]],"dd/mm/yy"))</f>
        <v>ORD-SP0004-17/04/23</v>
      </c>
      <c r="C5" t="s">
        <v>61</v>
      </c>
      <c r="D5" t="str">
        <f>IFERROR(INDEX(Katalog!$A$3:$A$12,MATCH(Data[[#This Row],[ItemID A]],Katalog!$C$3:$C$12,0)),"-")</f>
        <v>Pakaian Pria</v>
      </c>
      <c r="E5" t="str">
        <f>IFERROR(INDEX(Katalog!$B$3:$B$12,MATCH(Data[[#This Row],[ItemID A]],Katalog!$C$3:$C$12,0)),"-")</f>
        <v>Kaos Polo</v>
      </c>
      <c r="F5">
        <v>1</v>
      </c>
      <c r="G5">
        <v>1</v>
      </c>
      <c r="H5" s="36">
        <f>IFERROR(INDEX(Katalog!$D$3:$D$12,MATCH(Data[[#This Row],[ItemID A]],Katalog!$C$3:$C$12,0))*Data[[#This Row],[Qty A]],"0")</f>
        <v>200000</v>
      </c>
      <c r="I5" s="36">
        <f>IFERROR(INDEX(Katalog!$F$3:$F$12,MATCH(Data[[#This Row],[ItemID A]],Katalog!$C$3:$C$12,0))*Data[[#This Row],[Qty A]],0)</f>
        <v>80000</v>
      </c>
      <c r="J5" t="s">
        <v>62</v>
      </c>
      <c r="K5" t="str">
        <f>IFERROR(INDEX(Katalog!$A$3:$A$12,MATCH(Data[[#This Row],[ItemID B]],Katalog!$C$3:$C$12,0)),"-")</f>
        <v>Pakaian Pria</v>
      </c>
      <c r="L5" t="str">
        <f>IFERROR(INDEX(Katalog!$B$3:$B$12,MATCH(Data[[#This Row],[ItemID B]],Katalog!$C$3:$C$12,0)),"-")</f>
        <v>Celana Pendek</v>
      </c>
      <c r="M5">
        <v>1</v>
      </c>
      <c r="N5">
        <v>3</v>
      </c>
      <c r="O5" s="36">
        <f>IFERROR(INDEX(Katalog!$D$3:$D$12,MATCH(Data[[#This Row],[ItemID B]],Katalog!$C$3:$C$12,0))*Data[[#This Row],[Qty B]],"0")</f>
        <v>180000</v>
      </c>
      <c r="P5" s="36">
        <f>IFERROR(INDEX(Katalog!$F$3:$F$12,MATCH(Data[[#This Row],[ItemID B]],Katalog!$C$3:$C$12,0))*Data[[#This Row],[Qty B]],"0")</f>
        <v>70000</v>
      </c>
      <c r="Q5" t="s">
        <v>64</v>
      </c>
      <c r="R5" t="str">
        <f>IFERROR(INDEX(Katalog!$A$3:$A$12,MATCH(Data[[#This Row],[ItemID C]],Katalog!$C$3:$C$12,0)),"-")</f>
        <v>Pakaian Unisex</v>
      </c>
      <c r="S5" t="str">
        <f>IFERROR(INDEX(Katalog!$B$3:$B$12,MATCH(Data[[#This Row],[ItemID C]],Katalog!$C$3:$C$12,0)),"-")</f>
        <v>Jaket Hoodie</v>
      </c>
      <c r="T5">
        <v>3</v>
      </c>
      <c r="U5">
        <v>2</v>
      </c>
      <c r="V5" s="36">
        <f>IFERROR(INDEX(Katalog!$D$3:$D$12,MATCH(Data[[#This Row],[ItemID C]],Katalog!$C$3:$C$12,0))*Data[[#This Row],[Qty C]],"0")</f>
        <v>1050000</v>
      </c>
      <c r="W5" s="36">
        <f>IFERROR(INDEX(Katalog!$F$3:$F$12,MATCH(Data[[#This Row],[ItemID C]],Katalog!$C$3:$C$12,0))*Data[[#This Row],[Qty C]],"0")</f>
        <v>390000</v>
      </c>
      <c r="X5" s="21">
        <f>Data[[#This Row],[Qty A]]+Data[[#This Row],[Qty B]]+Data[[#This Row],[Qty C]]</f>
        <v>5</v>
      </c>
      <c r="Y5" s="22">
        <f>Data[[#This Row],[Harga Barang A]]+Data[[#This Row],[Harga Barang B]]+Data[[#This Row],[Harga Barang C]]</f>
        <v>1430000</v>
      </c>
      <c r="Z5" s="35">
        <f>IFERROR(Data[[#This Row],[Total Harga]]-(Data[[#This Row],[Total Harga]]*Data[[#This Row],[Diskon]]),Data[[#This Row],[Total Harga]])</f>
        <v>1144000</v>
      </c>
      <c r="AA5" s="35">
        <f>(Data[[#This Row],[Profit A]]+Data[[#This Row],[Profit B]]+Data[[#This Row],[Profit C]])</f>
        <v>540000</v>
      </c>
      <c r="AB5" s="35">
        <f>IFERROR((Data[[#This Row],[Profit non Diskon]]-(Data[[#This Row],[Profit non Diskon]]*Data[[#This Row],[Diskon]])),Data[[#This Row],[Profit non Diskon]])</f>
        <v>432000</v>
      </c>
      <c r="AC5" s="23" t="s">
        <v>8</v>
      </c>
      <c r="AD5" s="37">
        <f>IFERROR(INDEX('Kode Diskon'!$D$3:$D$9,MATCH(Data[[#This Row],[Kode diskon]],'Kode Diskon'!$C$3:$C$9,0)),"-")</f>
        <v>0.2</v>
      </c>
      <c r="AE5" s="23" t="s">
        <v>9</v>
      </c>
      <c r="AF5" s="23" t="s">
        <v>7</v>
      </c>
      <c r="AG5" s="23" t="s">
        <v>77</v>
      </c>
      <c r="AH5" s="24">
        <v>45033</v>
      </c>
      <c r="AI5" s="23" t="str">
        <f>TEXT(Data[[#This Row],[Tanggal terjual]],"dddd")</f>
        <v>Monday</v>
      </c>
      <c r="AJ5" s="21" t="str">
        <f>TEXT(Data[[#This Row],[Tanggal terjual]],"wwww")</f>
        <v>wwww</v>
      </c>
    </row>
    <row r="6" spans="1:37" x14ac:dyDescent="0.2">
      <c r="A6" s="20">
        <v>5</v>
      </c>
      <c r="B6" s="21" t="str">
        <f>_xlfn.CONCAT("ORD-",INDEX(Helper!$B$2:$B$5,MATCH(Data[[#This Row],[Marketplace]],Helper!$A$2:$A$5,0)),TEXT(Data[[#This Row],[No]],"0000"),"-",TEXT(Data[[#This Row],[Tanggal terjual]],"dd/mm/yy"))</f>
        <v>ORD-TK0005-24/04/23</v>
      </c>
      <c r="C6" t="s">
        <v>62</v>
      </c>
      <c r="D6" t="str">
        <f>IFERROR(INDEX(Katalog!$A$3:$A$12,MATCH(Data[[#This Row],[ItemID A]],Katalog!$C$3:$C$12,0)),"-")</f>
        <v>Pakaian Pria</v>
      </c>
      <c r="E6" t="str">
        <f>IFERROR(INDEX(Katalog!$B$3:$B$12,MATCH(Data[[#This Row],[ItemID A]],Katalog!$C$3:$C$12,0)),"-")</f>
        <v>Celana Pendek</v>
      </c>
      <c r="F6">
        <v>2</v>
      </c>
      <c r="G6">
        <v>3</v>
      </c>
      <c r="H6" s="36">
        <f>IFERROR(INDEX(Katalog!$D$3:$D$12,MATCH(Data[[#This Row],[ItemID A]],Katalog!$C$3:$C$12,0))*Data[[#This Row],[Qty A]],"0")</f>
        <v>360000</v>
      </c>
      <c r="I6" s="36">
        <f>IFERROR(INDEX(Katalog!$F$3:$F$12,MATCH(Data[[#This Row],[ItemID A]],Katalog!$C$3:$C$12,0))*Data[[#This Row],[Qty A]],0)</f>
        <v>140000</v>
      </c>
      <c r="J6" t="s">
        <v>62</v>
      </c>
      <c r="K6" t="str">
        <f>IFERROR(INDEX(Katalog!$A$3:$A$12,MATCH(Data[[#This Row],[ItemID B]],Katalog!$C$3:$C$12,0)),"-")</f>
        <v>Pakaian Pria</v>
      </c>
      <c r="L6" t="str">
        <f>IFERROR(INDEX(Katalog!$B$3:$B$12,MATCH(Data[[#This Row],[ItemID B]],Katalog!$C$3:$C$12,0)),"-")</f>
        <v>Celana Pendek</v>
      </c>
      <c r="M6">
        <v>1</v>
      </c>
      <c r="N6">
        <v>2</v>
      </c>
      <c r="O6" s="36">
        <f>IFERROR(INDEX(Katalog!$D$3:$D$12,MATCH(Data[[#This Row],[ItemID B]],Katalog!$C$3:$C$12,0))*Data[[#This Row],[Qty B]],"0")</f>
        <v>180000</v>
      </c>
      <c r="P6" s="36">
        <f>IFERROR(INDEX(Katalog!$F$3:$F$12,MATCH(Data[[#This Row],[ItemID B]],Katalog!$C$3:$C$12,0))*Data[[#This Row],[Qty B]],"0")</f>
        <v>70000</v>
      </c>
      <c r="R6" t="str">
        <f>IFERROR(INDEX(Katalog!$A$3:$A$12,MATCH(Data[[#This Row],[ItemID C]],Katalog!$C$3:$C$12,0)),"-")</f>
        <v>-</v>
      </c>
      <c r="S6" t="str">
        <f>IFERROR(INDEX(Katalog!$B$3:$B$12,MATCH(Data[[#This Row],[ItemID C]],Katalog!$C$3:$C$12,0)),"-")</f>
        <v>-</v>
      </c>
      <c r="V6" s="36" t="str">
        <f>IFERROR(INDEX(Katalog!$D$3:$D$12,MATCH(Data[[#This Row],[ItemID C]],Katalog!$C$3:$C$12,0))*Data[[#This Row],[Qty C]],"0")</f>
        <v>0</v>
      </c>
      <c r="W6" s="36" t="str">
        <f>IFERROR(INDEX(Katalog!$F$3:$F$12,MATCH(Data[[#This Row],[ItemID C]],Katalog!$C$3:$C$12,0))*Data[[#This Row],[Qty C]],"0")</f>
        <v>0</v>
      </c>
      <c r="X6" s="21">
        <f>Data[[#This Row],[Qty A]]+Data[[#This Row],[Qty B]]+Data[[#This Row],[Qty C]]</f>
        <v>3</v>
      </c>
      <c r="Y6" s="22">
        <f>Data[[#This Row],[Harga Barang A]]+Data[[#This Row],[Harga Barang B]]+Data[[#This Row],[Harga Barang C]]</f>
        <v>540000</v>
      </c>
      <c r="Z6" s="35">
        <f>IFERROR(Data[[#This Row],[Total Harga]]-(Data[[#This Row],[Total Harga]]*Data[[#This Row],[Diskon]]),Data[[#This Row],[Total Harga]])</f>
        <v>486000</v>
      </c>
      <c r="AA6" s="35">
        <f>(Data[[#This Row],[Profit A]]+Data[[#This Row],[Profit B]]+Data[[#This Row],[Profit C]])</f>
        <v>210000</v>
      </c>
      <c r="AB6" s="35">
        <f>IFERROR((Data[[#This Row],[Profit non Diskon]]-(Data[[#This Row],[Profit non Diskon]]*Data[[#This Row],[Diskon]])),Data[[#This Row],[Profit non Diskon]])</f>
        <v>189000</v>
      </c>
      <c r="AC6" s="23" t="s">
        <v>31</v>
      </c>
      <c r="AD6" s="37">
        <f>IFERROR(INDEX('Kode Diskon'!$D$3:$D$9,MATCH(Data[[#This Row],[Kode diskon]],'Kode Diskon'!$C$3:$C$9,0)),"-")</f>
        <v>0.1</v>
      </c>
      <c r="AE6" s="23" t="s">
        <v>9</v>
      </c>
      <c r="AF6" s="23" t="s">
        <v>10</v>
      </c>
      <c r="AG6" s="23" t="s">
        <v>78</v>
      </c>
      <c r="AH6" s="24">
        <v>45040</v>
      </c>
      <c r="AI6" s="23" t="str">
        <f>TEXT(Data[[#This Row],[Tanggal terjual]],"dddd")</f>
        <v>Monday</v>
      </c>
      <c r="AJ6" s="21" t="str">
        <f>TEXT(Data[[#This Row],[Tanggal terjual]],"wwww")</f>
        <v>wwww</v>
      </c>
    </row>
    <row r="7" spans="1:37" x14ac:dyDescent="0.2">
      <c r="A7" s="20">
        <v>6</v>
      </c>
      <c r="B7" s="21" t="str">
        <f>_xlfn.CONCAT("ORD-",INDEX(Helper!$B$2:$B$5,MATCH(Data[[#This Row],[Marketplace]],Helper!$A$2:$A$5,0)),TEXT(Data[[#This Row],[No]],"0000"),"-",TEXT(Data[[#This Row],[Tanggal terjual]],"dd/mm/yy"))</f>
        <v>ORD-TK0006-20/04/23</v>
      </c>
      <c r="C7" t="s">
        <v>63</v>
      </c>
      <c r="D7" t="str">
        <f>IFERROR(INDEX(Katalog!$A$3:$A$12,MATCH(Data[[#This Row],[ItemID A]],Katalog!$C$3:$C$12,0)),"-")</f>
        <v>Pakaian Pria</v>
      </c>
      <c r="E7" t="str">
        <f>IFERROR(INDEX(Katalog!$B$3:$B$12,MATCH(Data[[#This Row],[ItemID A]],Katalog!$C$3:$C$12,0)),"-")</f>
        <v>Jaket Jeans</v>
      </c>
      <c r="F7" s="9">
        <v>2</v>
      </c>
      <c r="G7">
        <v>4</v>
      </c>
      <c r="H7" s="36">
        <f>IFERROR(INDEX(Katalog!$D$3:$D$12,MATCH(Data[[#This Row],[ItemID A]],Katalog!$C$3:$C$12,0))*Data[[#This Row],[Qty A]],"0")</f>
        <v>800000</v>
      </c>
      <c r="I7" s="36">
        <f>IFERROR(INDEX(Katalog!$F$3:$F$12,MATCH(Data[[#This Row],[ItemID A]],Katalog!$C$3:$C$12,0))*Data[[#This Row],[Qty A]],0)</f>
        <v>300000</v>
      </c>
      <c r="J7" t="s">
        <v>62</v>
      </c>
      <c r="K7" t="str">
        <f>IFERROR(INDEX(Katalog!$A$3:$A$12,MATCH(Data[[#This Row],[ItemID B]],Katalog!$C$3:$C$12,0)),"-")</f>
        <v>Pakaian Pria</v>
      </c>
      <c r="L7" t="str">
        <f>IFERROR(INDEX(Katalog!$B$3:$B$12,MATCH(Data[[#This Row],[ItemID B]],Katalog!$C$3:$C$12,0)),"-")</f>
        <v>Celana Pendek</v>
      </c>
      <c r="M7">
        <v>2</v>
      </c>
      <c r="N7">
        <v>3</v>
      </c>
      <c r="O7" s="36">
        <f>IFERROR(INDEX(Katalog!$D$3:$D$12,MATCH(Data[[#This Row],[ItemID B]],Katalog!$C$3:$C$12,0))*Data[[#This Row],[Qty B]],"0")</f>
        <v>360000</v>
      </c>
      <c r="P7" s="36">
        <f>IFERROR(INDEX(Katalog!$F$3:$F$12,MATCH(Data[[#This Row],[ItemID B]],Katalog!$C$3:$C$12,0))*Data[[#This Row],[Qty B]],"0")</f>
        <v>140000</v>
      </c>
      <c r="Q7" t="s">
        <v>64</v>
      </c>
      <c r="R7" t="str">
        <f>IFERROR(INDEX(Katalog!$A$3:$A$12,MATCH(Data[[#This Row],[ItemID C]],Katalog!$C$3:$C$12,0)),"-")</f>
        <v>Pakaian Unisex</v>
      </c>
      <c r="S7" t="str">
        <f>IFERROR(INDEX(Katalog!$B$3:$B$12,MATCH(Data[[#This Row],[ItemID C]],Katalog!$C$3:$C$12,0)),"-")</f>
        <v>Jaket Hoodie</v>
      </c>
      <c r="T7">
        <v>1</v>
      </c>
      <c r="U7">
        <v>5</v>
      </c>
      <c r="V7" s="36">
        <f>IFERROR(INDEX(Katalog!$D$3:$D$12,MATCH(Data[[#This Row],[ItemID C]],Katalog!$C$3:$C$12,0))*Data[[#This Row],[Qty C]],"0")</f>
        <v>350000</v>
      </c>
      <c r="W7" s="36">
        <f>IFERROR(INDEX(Katalog!$F$3:$F$12,MATCH(Data[[#This Row],[ItemID C]],Katalog!$C$3:$C$12,0))*Data[[#This Row],[Qty C]],"0")</f>
        <v>130000</v>
      </c>
      <c r="X7" s="21">
        <f>Data[[#This Row],[Qty A]]+Data[[#This Row],[Qty B]]+Data[[#This Row],[Qty C]]</f>
        <v>5</v>
      </c>
      <c r="Y7" s="22">
        <f>Data[[#This Row],[Harga Barang A]]+Data[[#This Row],[Harga Barang B]]+Data[[#This Row],[Harga Barang C]]</f>
        <v>1510000</v>
      </c>
      <c r="Z7" s="35">
        <f>IFERROR(Data[[#This Row],[Total Harga]]-(Data[[#This Row],[Total Harga]]*Data[[#This Row],[Diskon]]),Data[[#This Row],[Total Harga]])</f>
        <v>1359000</v>
      </c>
      <c r="AA7" s="35">
        <f>(Data[[#This Row],[Profit A]]+Data[[#This Row],[Profit B]]+Data[[#This Row],[Profit C]])</f>
        <v>570000</v>
      </c>
      <c r="AB7" s="35">
        <f>IFERROR((Data[[#This Row],[Profit non Diskon]]-(Data[[#This Row],[Profit non Diskon]]*Data[[#This Row],[Diskon]])),Data[[#This Row],[Profit non Diskon]])</f>
        <v>513000</v>
      </c>
      <c r="AC7" s="23" t="s">
        <v>31</v>
      </c>
      <c r="AD7" s="37">
        <f>IFERROR(INDEX('Kode Diskon'!$D$3:$D$9,MATCH(Data[[#This Row],[Kode diskon]],'Kode Diskon'!$C$3:$C$9,0)),"-")</f>
        <v>0.1</v>
      </c>
      <c r="AE7" s="23" t="s">
        <v>9</v>
      </c>
      <c r="AF7" s="23" t="s">
        <v>10</v>
      </c>
      <c r="AG7" s="23" t="s">
        <v>80</v>
      </c>
      <c r="AH7" s="24">
        <v>45036</v>
      </c>
      <c r="AI7" s="23" t="str">
        <f>TEXT(Data[[#This Row],[Tanggal terjual]],"dddd")</f>
        <v>Thursday</v>
      </c>
      <c r="AJ7" s="21" t="str">
        <f>TEXT(Data[[#This Row],[Tanggal terjual]],"wwww")</f>
        <v>wwww</v>
      </c>
    </row>
    <row r="8" spans="1:37" x14ac:dyDescent="0.2">
      <c r="A8" s="20">
        <v>7</v>
      </c>
      <c r="B8" s="21" t="str">
        <f>_xlfn.CONCAT("ORD-",INDEX(Helper!$B$2:$B$5,MATCH(Data[[#This Row],[Marketplace]],Helper!$A$2:$A$5,0)),TEXT(Data[[#This Row],[No]],"0000"),"-",TEXT(Data[[#This Row],[Tanggal terjual]],"dd/mm/yy"))</f>
        <v>ORD-BB0007-01/04/23</v>
      </c>
      <c r="C8" t="s">
        <v>64</v>
      </c>
      <c r="D8" t="str">
        <f>IFERROR(INDEX(Katalog!$A$3:$A$12,MATCH(Data[[#This Row],[ItemID A]],Katalog!$C$3:$C$12,0)),"-")</f>
        <v>Pakaian Unisex</v>
      </c>
      <c r="E8" t="str">
        <f>IFERROR(INDEX(Katalog!$B$3:$B$12,MATCH(Data[[#This Row],[ItemID A]],Katalog!$C$3:$C$12,0)),"-")</f>
        <v>Jaket Hoodie</v>
      </c>
      <c r="F8">
        <v>4</v>
      </c>
      <c r="G8">
        <v>4</v>
      </c>
      <c r="H8" s="36">
        <f>IFERROR(INDEX(Katalog!$D$3:$D$12,MATCH(Data[[#This Row],[ItemID A]],Katalog!$C$3:$C$12,0))*Data[[#This Row],[Qty A]],"0")</f>
        <v>1400000</v>
      </c>
      <c r="I8" s="36">
        <f>IFERROR(INDEX(Katalog!$F$3:$F$12,MATCH(Data[[#This Row],[ItemID A]],Katalog!$C$3:$C$12,0))*Data[[#This Row],[Qty A]],0)</f>
        <v>520000</v>
      </c>
      <c r="K8" t="str">
        <f>IFERROR(INDEX(Katalog!$A$3:$A$12,MATCH(Data[[#This Row],[ItemID B]],Katalog!$C$3:$C$12,0)),"-")</f>
        <v>-</v>
      </c>
      <c r="L8" t="str">
        <f>IFERROR(INDEX(Katalog!$B$3:$B$12,MATCH(Data[[#This Row],[ItemID B]],Katalog!$C$3:$C$12,0)),"-")</f>
        <v>-</v>
      </c>
      <c r="O8" s="36" t="str">
        <f>IFERROR(INDEX(Katalog!$D$3:$D$12,MATCH(Data[[#This Row],[ItemID B]],Katalog!$C$3:$C$12,0))*Data[[#This Row],[Qty B]],"0")</f>
        <v>0</v>
      </c>
      <c r="P8" s="36" t="str">
        <f>IFERROR(INDEX(Katalog!$F$3:$F$12,MATCH(Data[[#This Row],[ItemID B]],Katalog!$C$3:$C$12,0))*Data[[#This Row],[Qty B]],"0")</f>
        <v>0</v>
      </c>
      <c r="R8" t="str">
        <f>IFERROR(INDEX(Katalog!$A$3:$A$12,MATCH(Data[[#This Row],[ItemID C]],Katalog!$C$3:$C$12,0)),"-")</f>
        <v>-</v>
      </c>
      <c r="S8" t="str">
        <f>IFERROR(INDEX(Katalog!$B$3:$B$12,MATCH(Data[[#This Row],[ItemID C]],Katalog!$C$3:$C$12,0)),"-")</f>
        <v>-</v>
      </c>
      <c r="V8" s="36" t="str">
        <f>IFERROR(INDEX(Katalog!$D$3:$D$12,MATCH(Data[[#This Row],[ItemID C]],Katalog!$C$3:$C$12,0))*Data[[#This Row],[Qty C]],"0")</f>
        <v>0</v>
      </c>
      <c r="W8" s="36" t="str">
        <f>IFERROR(INDEX(Katalog!$F$3:$F$12,MATCH(Data[[#This Row],[ItemID C]],Katalog!$C$3:$C$12,0))*Data[[#This Row],[Qty C]],"0")</f>
        <v>0</v>
      </c>
      <c r="X8" s="21">
        <f>Data[[#This Row],[Qty A]]+Data[[#This Row],[Qty B]]+Data[[#This Row],[Qty C]]</f>
        <v>4</v>
      </c>
      <c r="Y8" s="22">
        <f>Data[[#This Row],[Harga Barang A]]+Data[[#This Row],[Harga Barang B]]+Data[[#This Row],[Harga Barang C]]</f>
        <v>1400000</v>
      </c>
      <c r="Z8" s="35">
        <f>IFERROR(Data[[#This Row],[Total Harga]]-(Data[[#This Row],[Total Harga]]*Data[[#This Row],[Diskon]]),Data[[#This Row],[Total Harga]])</f>
        <v>1190000</v>
      </c>
      <c r="AA8" s="35">
        <f>(Data[[#This Row],[Profit A]]+Data[[#This Row],[Profit B]]+Data[[#This Row],[Profit C]])</f>
        <v>520000</v>
      </c>
      <c r="AB8" s="35">
        <f>IFERROR((Data[[#This Row],[Profit non Diskon]]-(Data[[#This Row],[Profit non Diskon]]*Data[[#This Row],[Diskon]])),Data[[#This Row],[Profit non Diskon]])</f>
        <v>442000</v>
      </c>
      <c r="AC8" s="23" t="s">
        <v>28</v>
      </c>
      <c r="AD8" s="37">
        <f>IFERROR(INDEX('Kode Diskon'!$D$3:$D$9,MATCH(Data[[#This Row],[Kode diskon]],'Kode Diskon'!$C$3:$C$9,0)),"-")</f>
        <v>0.15</v>
      </c>
      <c r="AE8" s="23" t="s">
        <v>29</v>
      </c>
      <c r="AF8" s="23" t="s">
        <v>14</v>
      </c>
      <c r="AG8" s="23" t="s">
        <v>79</v>
      </c>
      <c r="AH8" s="24">
        <v>45017</v>
      </c>
      <c r="AI8" s="23" t="str">
        <f>TEXT(Data[[#This Row],[Tanggal terjual]],"dddd")</f>
        <v>Saturday</v>
      </c>
      <c r="AJ8" s="21" t="str">
        <f>TEXT(Data[[#This Row],[Tanggal terjual]],"wwww")</f>
        <v>wwww</v>
      </c>
    </row>
    <row r="9" spans="1:37" x14ac:dyDescent="0.2">
      <c r="A9" s="20">
        <v>8</v>
      </c>
      <c r="B9" s="21" t="str">
        <f>_xlfn.CONCAT("ORD-",INDEX(Helper!$B$2:$B$5,MATCH(Data[[#This Row],[Marketplace]],Helper!$A$2:$A$5,0)),TEXT(Data[[#This Row],[No]],"0000"),"-",TEXT(Data[[#This Row],[Tanggal terjual]],"dd/mm/yy"))</f>
        <v>ORD-BL0008-25/04/23</v>
      </c>
      <c r="C9" t="s">
        <v>65</v>
      </c>
      <c r="D9" t="str">
        <f>IFERROR(INDEX(Katalog!$A$3:$A$12,MATCH(Data[[#This Row],[ItemID A]],Katalog!$C$3:$C$12,0)),"-")</f>
        <v>Sepatu Pria</v>
      </c>
      <c r="E9" t="str">
        <f>IFERROR(INDEX(Katalog!$B$3:$B$12,MATCH(Data[[#This Row],[ItemID A]],Katalog!$C$3:$C$12,0)),"-")</f>
        <v>Sneakers</v>
      </c>
      <c r="F9">
        <v>4</v>
      </c>
      <c r="G9">
        <v>1</v>
      </c>
      <c r="H9" s="36">
        <f>IFERROR(INDEX(Katalog!$D$3:$D$12,MATCH(Data[[#This Row],[ItemID A]],Katalog!$C$3:$C$12,0))*Data[[#This Row],[Qty A]],"0")</f>
        <v>2000000</v>
      </c>
      <c r="I9" s="36">
        <f>IFERROR(INDEX(Katalog!$F$3:$F$12,MATCH(Data[[#This Row],[ItemID A]],Katalog!$C$3:$C$12,0))*Data[[#This Row],[Qty A]],0)</f>
        <v>800000</v>
      </c>
      <c r="J9" t="s">
        <v>62</v>
      </c>
      <c r="K9" t="str">
        <f>IFERROR(INDEX(Katalog!$A$3:$A$12,MATCH(Data[[#This Row],[ItemID B]],Katalog!$C$3:$C$12,0)),"-")</f>
        <v>Pakaian Pria</v>
      </c>
      <c r="L9" t="str">
        <f>IFERROR(INDEX(Katalog!$B$3:$B$12,MATCH(Data[[#This Row],[ItemID B]],Katalog!$C$3:$C$12,0)),"-")</f>
        <v>Celana Pendek</v>
      </c>
      <c r="M9">
        <v>1</v>
      </c>
      <c r="N9">
        <v>3</v>
      </c>
      <c r="O9" s="36">
        <f>IFERROR(INDEX(Katalog!$D$3:$D$12,MATCH(Data[[#This Row],[ItemID B]],Katalog!$C$3:$C$12,0))*Data[[#This Row],[Qty B]],"0")</f>
        <v>180000</v>
      </c>
      <c r="P9" s="36">
        <f>IFERROR(INDEX(Katalog!$F$3:$F$12,MATCH(Data[[#This Row],[ItemID B]],Katalog!$C$3:$C$12,0))*Data[[#This Row],[Qty B]],"0")</f>
        <v>70000</v>
      </c>
      <c r="R9" t="str">
        <f>IFERROR(INDEX(Katalog!$A$3:$A$12,MATCH(Data[[#This Row],[ItemID C]],Katalog!$C$3:$C$12,0)),"-")</f>
        <v>-</v>
      </c>
      <c r="S9" t="str">
        <f>IFERROR(INDEX(Katalog!$B$3:$B$12,MATCH(Data[[#This Row],[ItemID C]],Katalog!$C$3:$C$12,0)),"-")</f>
        <v>-</v>
      </c>
      <c r="V9" s="36" t="str">
        <f>IFERROR(INDEX(Katalog!$D$3:$D$12,MATCH(Data[[#This Row],[ItemID C]],Katalog!$C$3:$C$12,0))*Data[[#This Row],[Qty C]],"0")</f>
        <v>0</v>
      </c>
      <c r="W9" s="36" t="str">
        <f>IFERROR(INDEX(Katalog!$F$3:$F$12,MATCH(Data[[#This Row],[ItemID C]],Katalog!$C$3:$C$12,0))*Data[[#This Row],[Qty C]],"0")</f>
        <v>0</v>
      </c>
      <c r="X9" s="21">
        <f>Data[[#This Row],[Qty A]]+Data[[#This Row],[Qty B]]+Data[[#This Row],[Qty C]]</f>
        <v>5</v>
      </c>
      <c r="Y9" s="22">
        <f>Data[[#This Row],[Harga Barang A]]+Data[[#This Row],[Harga Barang B]]+Data[[#This Row],[Harga Barang C]]</f>
        <v>2180000</v>
      </c>
      <c r="Z9" s="35">
        <f>IFERROR(Data[[#This Row],[Total Harga]]-(Data[[#This Row],[Total Harga]]*Data[[#This Row],[Diskon]]),Data[[#This Row],[Total Harga]])</f>
        <v>1853000</v>
      </c>
      <c r="AA9" s="35">
        <f>(Data[[#This Row],[Profit A]]+Data[[#This Row],[Profit B]]+Data[[#This Row],[Profit C]])</f>
        <v>870000</v>
      </c>
      <c r="AB9" s="35">
        <f>IFERROR((Data[[#This Row],[Profit non Diskon]]-(Data[[#This Row],[Profit non Diskon]]*Data[[#This Row],[Diskon]])),Data[[#This Row],[Profit non Diskon]])</f>
        <v>739500</v>
      </c>
      <c r="AC9" s="23" t="s">
        <v>32</v>
      </c>
      <c r="AD9" s="37">
        <f>IFERROR(INDEX('Kode Diskon'!$D$3:$D$9,MATCH(Data[[#This Row],[Kode diskon]],'Kode Diskon'!$C$3:$C$9,0)),"-")</f>
        <v>0.15</v>
      </c>
      <c r="AE9" s="23" t="s">
        <v>9</v>
      </c>
      <c r="AF9" s="23" t="s">
        <v>12</v>
      </c>
      <c r="AG9" s="23" t="s">
        <v>75</v>
      </c>
      <c r="AH9" s="24">
        <v>45041</v>
      </c>
      <c r="AI9" s="23" t="str">
        <f>TEXT(Data[[#This Row],[Tanggal terjual]],"dddd")</f>
        <v>Tuesday</v>
      </c>
      <c r="AJ9" s="21" t="str">
        <f>TEXT(Data[[#This Row],[Tanggal terjual]],"wwww")</f>
        <v>wwww</v>
      </c>
    </row>
    <row r="10" spans="1:37" x14ac:dyDescent="0.2">
      <c r="A10" s="20">
        <v>9</v>
      </c>
      <c r="B10" s="21" t="str">
        <f>_xlfn.CONCAT("ORD-",INDEX(Helper!$B$2:$B$5,MATCH(Data[[#This Row],[Marketplace]],Helper!$A$2:$A$5,0)),TEXT(Data[[#This Row],[No]],"0000"),"-",TEXT(Data[[#This Row],[Tanggal terjual]],"dd/mm/yy"))</f>
        <v>ORD-TK0009-20/04/23</v>
      </c>
      <c r="C10" t="s">
        <v>59</v>
      </c>
      <c r="D10" t="str">
        <f>IFERROR(INDEX(Katalog!$A$3:$A$12,MATCH(Data[[#This Row],[ItemID A]],Katalog!$C$3:$C$12,0)),"-")</f>
        <v>Pakaian Wanita</v>
      </c>
      <c r="E10" t="str">
        <f>IFERROR(INDEX(Katalog!$B$3:$B$12,MATCH(Data[[#This Row],[ItemID A]],Katalog!$C$3:$C$12,0)),"-")</f>
        <v>Blouse</v>
      </c>
      <c r="F10">
        <v>1</v>
      </c>
      <c r="G10">
        <v>3</v>
      </c>
      <c r="H10" s="36">
        <f>IFERROR(INDEX(Katalog!$D$3:$D$12,MATCH(Data[[#This Row],[ItemID A]],Katalog!$C$3:$C$12,0))*Data[[#This Row],[Qty A]],"0")</f>
        <v>150000</v>
      </c>
      <c r="I10" s="36">
        <f>IFERROR(INDEX(Katalog!$F$3:$F$12,MATCH(Data[[#This Row],[ItemID A]],Katalog!$C$3:$C$12,0))*Data[[#This Row],[Qty A]],0)</f>
        <v>50000</v>
      </c>
      <c r="J10" t="s">
        <v>58</v>
      </c>
      <c r="K10" t="str">
        <f>IFERROR(INDEX(Katalog!$A$3:$A$12,MATCH(Data[[#This Row],[ItemID B]],Katalog!$C$3:$C$12,0)),"-")</f>
        <v>Pakaian Wanita</v>
      </c>
      <c r="L10" t="str">
        <f>IFERROR(INDEX(Katalog!$B$3:$B$12,MATCH(Data[[#This Row],[ItemID B]],Katalog!$C$3:$C$12,0)),"-")</f>
        <v>Dress</v>
      </c>
      <c r="M10">
        <v>1</v>
      </c>
      <c r="N10">
        <v>2</v>
      </c>
      <c r="O10" s="36">
        <f>IFERROR(INDEX(Katalog!$D$3:$D$12,MATCH(Data[[#This Row],[ItemID B]],Katalog!$C$3:$C$12,0))*Data[[#This Row],[Qty B]],"0")</f>
        <v>300000</v>
      </c>
      <c r="P10" s="36">
        <f>IFERROR(INDEX(Katalog!$F$3:$F$12,MATCH(Data[[#This Row],[ItemID B]],Katalog!$C$3:$C$12,0))*Data[[#This Row],[Qty B]],"0")</f>
        <v>100000</v>
      </c>
      <c r="R10" t="str">
        <f>IFERROR(INDEX(Katalog!$A$3:$A$12,MATCH(Data[[#This Row],[ItemID C]],Katalog!$C$3:$C$12,0)),"-")</f>
        <v>-</v>
      </c>
      <c r="S10" t="str">
        <f>IFERROR(INDEX(Katalog!$B$3:$B$12,MATCH(Data[[#This Row],[ItemID C]],Katalog!$C$3:$C$12,0)),"-")</f>
        <v>-</v>
      </c>
      <c r="V10" s="36" t="str">
        <f>IFERROR(INDEX(Katalog!$D$3:$D$12,MATCH(Data[[#This Row],[ItemID C]],Katalog!$C$3:$C$12,0))*Data[[#This Row],[Qty C]],"0")</f>
        <v>0</v>
      </c>
      <c r="W10" s="36" t="str">
        <f>IFERROR(INDEX(Katalog!$F$3:$F$12,MATCH(Data[[#This Row],[ItemID C]],Katalog!$C$3:$C$12,0))*Data[[#This Row],[Qty C]],"0")</f>
        <v>0</v>
      </c>
      <c r="X10" s="21">
        <f>Data[[#This Row],[Qty A]]+Data[[#This Row],[Qty B]]+Data[[#This Row],[Qty C]]</f>
        <v>2</v>
      </c>
      <c r="Y10" s="22">
        <f>Data[[#This Row],[Harga Barang A]]+Data[[#This Row],[Harga Barang B]]+Data[[#This Row],[Harga Barang C]]</f>
        <v>450000</v>
      </c>
      <c r="Z10" s="35">
        <f>IFERROR(Data[[#This Row],[Total Harga]]-(Data[[#This Row],[Total Harga]]*Data[[#This Row],[Diskon]]),Data[[#This Row],[Total Harga]])</f>
        <v>405000</v>
      </c>
      <c r="AA10" s="35">
        <f>(Data[[#This Row],[Profit A]]+Data[[#This Row],[Profit B]]+Data[[#This Row],[Profit C]])</f>
        <v>150000</v>
      </c>
      <c r="AB10" s="35">
        <f>IFERROR((Data[[#This Row],[Profit non Diskon]]-(Data[[#This Row],[Profit non Diskon]]*Data[[#This Row],[Diskon]])),Data[[#This Row],[Profit non Diskon]])</f>
        <v>135000</v>
      </c>
      <c r="AC10" s="23" t="s">
        <v>31</v>
      </c>
      <c r="AD10" s="37">
        <f>IFERROR(INDEX('Kode Diskon'!$D$3:$D$9,MATCH(Data[[#This Row],[Kode diskon]],'Kode Diskon'!$C$3:$C$9,0)),"-")</f>
        <v>0.1</v>
      </c>
      <c r="AE10" s="23" t="s">
        <v>9</v>
      </c>
      <c r="AF10" s="23" t="s">
        <v>10</v>
      </c>
      <c r="AG10" s="23" t="s">
        <v>79</v>
      </c>
      <c r="AH10" s="24">
        <v>45036</v>
      </c>
      <c r="AI10" s="23" t="str">
        <f>TEXT(Data[[#This Row],[Tanggal terjual]],"dddd")</f>
        <v>Thursday</v>
      </c>
      <c r="AJ10" s="21" t="str">
        <f>TEXT(Data[[#This Row],[Tanggal terjual]],"wwww")</f>
        <v>wwww</v>
      </c>
    </row>
    <row r="11" spans="1:37" x14ac:dyDescent="0.2">
      <c r="A11" s="20">
        <v>10</v>
      </c>
      <c r="B11" s="21" t="str">
        <f>_xlfn.CONCAT("ORD-",INDEX(Helper!$B$2:$B$5,MATCH(Data[[#This Row],[Marketplace]],Helper!$A$2:$A$5,0)),TEXT(Data[[#This Row],[No]],"0000"),"-",TEXT(Data[[#This Row],[Tanggal terjual]],"dd/mm/yy"))</f>
        <v>ORD-SP0010-04/04/23</v>
      </c>
      <c r="C11" t="s">
        <v>62</v>
      </c>
      <c r="D11" t="str">
        <f>IFERROR(INDEX(Katalog!$A$3:$A$12,MATCH(Data[[#This Row],[ItemID A]],Katalog!$C$3:$C$12,0)),"-")</f>
        <v>Pakaian Pria</v>
      </c>
      <c r="E11" t="str">
        <f>IFERROR(INDEX(Katalog!$B$3:$B$12,MATCH(Data[[#This Row],[ItemID A]],Katalog!$C$3:$C$12,0)),"-")</f>
        <v>Celana Pendek</v>
      </c>
      <c r="F11">
        <v>3</v>
      </c>
      <c r="G11">
        <v>4</v>
      </c>
      <c r="H11" s="36">
        <f>IFERROR(INDEX(Katalog!$D$3:$D$12,MATCH(Data[[#This Row],[ItemID A]],Katalog!$C$3:$C$12,0))*Data[[#This Row],[Qty A]],"0")</f>
        <v>540000</v>
      </c>
      <c r="I11" s="36">
        <f>IFERROR(INDEX(Katalog!$F$3:$F$12,MATCH(Data[[#This Row],[ItemID A]],Katalog!$C$3:$C$12,0))*Data[[#This Row],[Qty A]],0)</f>
        <v>210000</v>
      </c>
      <c r="J11" t="s">
        <v>61</v>
      </c>
      <c r="K11" t="str">
        <f>IFERROR(INDEX(Katalog!$A$3:$A$12,MATCH(Data[[#This Row],[ItemID B]],Katalog!$C$3:$C$12,0)),"-")</f>
        <v>Pakaian Pria</v>
      </c>
      <c r="L11" t="str">
        <f>IFERROR(INDEX(Katalog!$B$3:$B$12,MATCH(Data[[#This Row],[ItemID B]],Katalog!$C$3:$C$12,0)),"-")</f>
        <v>Kaos Polo</v>
      </c>
      <c r="M11">
        <v>2</v>
      </c>
      <c r="N11">
        <v>5</v>
      </c>
      <c r="O11" s="36">
        <f>IFERROR(INDEX(Katalog!$D$3:$D$12,MATCH(Data[[#This Row],[ItemID B]],Katalog!$C$3:$C$12,0))*Data[[#This Row],[Qty B]],"0")</f>
        <v>400000</v>
      </c>
      <c r="P11" s="36">
        <f>IFERROR(INDEX(Katalog!$F$3:$F$12,MATCH(Data[[#This Row],[ItemID B]],Katalog!$C$3:$C$12,0))*Data[[#This Row],[Qty B]],"0")</f>
        <v>160000</v>
      </c>
      <c r="R11" t="str">
        <f>IFERROR(INDEX(Katalog!$A$3:$A$12,MATCH(Data[[#This Row],[ItemID C]],Katalog!$C$3:$C$12,0)),"-")</f>
        <v>-</v>
      </c>
      <c r="S11" t="str">
        <f>IFERROR(INDEX(Katalog!$B$3:$B$12,MATCH(Data[[#This Row],[ItemID C]],Katalog!$C$3:$C$12,0)),"-")</f>
        <v>-</v>
      </c>
      <c r="V11" s="36" t="str">
        <f>IFERROR(INDEX(Katalog!$D$3:$D$12,MATCH(Data[[#This Row],[ItemID C]],Katalog!$C$3:$C$12,0))*Data[[#This Row],[Qty C]],"0")</f>
        <v>0</v>
      </c>
      <c r="W11" s="36" t="str">
        <f>IFERROR(INDEX(Katalog!$F$3:$F$12,MATCH(Data[[#This Row],[ItemID C]],Katalog!$C$3:$C$12,0))*Data[[#This Row],[Qty C]],"0")</f>
        <v>0</v>
      </c>
      <c r="X11" s="21">
        <f>Data[[#This Row],[Qty A]]+Data[[#This Row],[Qty B]]+Data[[#This Row],[Qty C]]</f>
        <v>5</v>
      </c>
      <c r="Y11" s="22">
        <f>Data[[#This Row],[Harga Barang A]]+Data[[#This Row],[Harga Barang B]]+Data[[#This Row],[Harga Barang C]]</f>
        <v>940000</v>
      </c>
      <c r="Z11" s="35">
        <f>IFERROR(Data[[#This Row],[Total Harga]]-(Data[[#This Row],[Total Harga]]*Data[[#This Row],[Diskon]]),Data[[#This Row],[Total Harga]])</f>
        <v>799000</v>
      </c>
      <c r="AA11" s="35">
        <f>(Data[[#This Row],[Profit A]]+Data[[#This Row],[Profit B]]+Data[[#This Row],[Profit C]])</f>
        <v>370000</v>
      </c>
      <c r="AB11" s="35">
        <f>IFERROR((Data[[#This Row],[Profit non Diskon]]-(Data[[#This Row],[Profit non Diskon]]*Data[[#This Row],[Diskon]])),Data[[#This Row],[Profit non Diskon]])</f>
        <v>314500</v>
      </c>
      <c r="AC11" s="23" t="s">
        <v>13</v>
      </c>
      <c r="AD11" s="37">
        <f>IFERROR(INDEX('Kode Diskon'!$D$3:$D$9,MATCH(Data[[#This Row],[Kode diskon]],'Kode Diskon'!$C$3:$C$9,0)),"-")</f>
        <v>0.15</v>
      </c>
      <c r="AE11" s="23" t="s">
        <v>29</v>
      </c>
      <c r="AF11" s="23" t="s">
        <v>7</v>
      </c>
      <c r="AG11" s="23" t="s">
        <v>76</v>
      </c>
      <c r="AH11" s="24">
        <v>45020</v>
      </c>
      <c r="AI11" s="23" t="str">
        <f>TEXT(Data[[#This Row],[Tanggal terjual]],"dddd")</f>
        <v>Tuesday</v>
      </c>
      <c r="AJ11" s="21" t="str">
        <f>TEXT(Data[[#This Row],[Tanggal terjual]],"wwww")</f>
        <v>wwww</v>
      </c>
    </row>
    <row r="12" spans="1:37" x14ac:dyDescent="0.2">
      <c r="A12" s="20">
        <v>11</v>
      </c>
      <c r="B12" s="21" t="str">
        <f>_xlfn.CONCAT("ORD-",INDEX(Helper!$B$2:$B$5,MATCH(Data[[#This Row],[Marketplace]],Helper!$A$2:$A$5,0)),TEXT(Data[[#This Row],[No]],"0000"),"-",TEXT(Data[[#This Row],[Tanggal terjual]],"dd/mm/yy"))</f>
        <v>ORD-SP0011-06/04/23</v>
      </c>
      <c r="C12" t="s">
        <v>64</v>
      </c>
      <c r="D12" t="str">
        <f>IFERROR(INDEX(Katalog!$A$3:$A$12,MATCH(Data[[#This Row],[ItemID A]],Katalog!$C$3:$C$12,0)),"-")</f>
        <v>Pakaian Unisex</v>
      </c>
      <c r="E12" t="str">
        <f>IFERROR(INDEX(Katalog!$B$3:$B$12,MATCH(Data[[#This Row],[ItemID A]],Katalog!$C$3:$C$12,0)),"-")</f>
        <v>Jaket Hoodie</v>
      </c>
      <c r="F12">
        <v>3</v>
      </c>
      <c r="G12">
        <v>5</v>
      </c>
      <c r="H12" s="36">
        <f>IFERROR(INDEX(Katalog!$D$3:$D$12,MATCH(Data[[#This Row],[ItemID A]],Katalog!$C$3:$C$12,0))*Data[[#This Row],[Qty A]],"0")</f>
        <v>1050000</v>
      </c>
      <c r="I12" s="36">
        <f>IFERROR(INDEX(Katalog!$F$3:$F$12,MATCH(Data[[#This Row],[ItemID A]],Katalog!$C$3:$C$12,0))*Data[[#This Row],[Qty A]],0)</f>
        <v>390000</v>
      </c>
      <c r="J12" t="s">
        <v>58</v>
      </c>
      <c r="K12" t="str">
        <f>IFERROR(INDEX(Katalog!$A$3:$A$12,MATCH(Data[[#This Row],[ItemID B]],Katalog!$C$3:$C$12,0)),"-")</f>
        <v>Pakaian Wanita</v>
      </c>
      <c r="L12" t="str">
        <f>IFERROR(INDEX(Katalog!$B$3:$B$12,MATCH(Data[[#This Row],[ItemID B]],Katalog!$C$3:$C$12,0)),"-")</f>
        <v>Dress</v>
      </c>
      <c r="M12">
        <v>1</v>
      </c>
      <c r="N12">
        <v>5</v>
      </c>
      <c r="O12" s="36">
        <f>IFERROR(INDEX(Katalog!$D$3:$D$12,MATCH(Data[[#This Row],[ItemID B]],Katalog!$C$3:$C$12,0))*Data[[#This Row],[Qty B]],"0")</f>
        <v>300000</v>
      </c>
      <c r="P12" s="36">
        <f>IFERROR(INDEX(Katalog!$F$3:$F$12,MATCH(Data[[#This Row],[ItemID B]],Katalog!$C$3:$C$12,0))*Data[[#This Row],[Qty B]],"0")</f>
        <v>100000</v>
      </c>
      <c r="Q12" t="s">
        <v>61</v>
      </c>
      <c r="R12" t="str">
        <f>IFERROR(INDEX(Katalog!$A$3:$A$12,MATCH(Data[[#This Row],[ItemID C]],Katalog!$C$3:$C$12,0)),"-")</f>
        <v>Pakaian Pria</v>
      </c>
      <c r="S12" t="str">
        <f>IFERROR(INDEX(Katalog!$B$3:$B$12,MATCH(Data[[#This Row],[ItemID C]],Katalog!$C$3:$C$12,0)),"-")</f>
        <v>Kaos Polo</v>
      </c>
      <c r="T12">
        <v>1</v>
      </c>
      <c r="U12">
        <v>4</v>
      </c>
      <c r="V12" s="36">
        <f>IFERROR(INDEX(Katalog!$D$3:$D$12,MATCH(Data[[#This Row],[ItemID C]],Katalog!$C$3:$C$12,0))*Data[[#This Row],[Qty C]],"0")</f>
        <v>200000</v>
      </c>
      <c r="W12" s="36">
        <f>IFERROR(INDEX(Katalog!$F$3:$F$12,MATCH(Data[[#This Row],[ItemID C]],Katalog!$C$3:$C$12,0))*Data[[#This Row],[Qty C]],"0")</f>
        <v>80000</v>
      </c>
      <c r="X12" s="21">
        <f>Data[[#This Row],[Qty A]]+Data[[#This Row],[Qty B]]+Data[[#This Row],[Qty C]]</f>
        <v>5</v>
      </c>
      <c r="Y12" s="22">
        <f>Data[[#This Row],[Harga Barang A]]+Data[[#This Row],[Harga Barang B]]+Data[[#This Row],[Harga Barang C]]</f>
        <v>1550000</v>
      </c>
      <c r="Z12" s="35">
        <f>IFERROR(Data[[#This Row],[Total Harga]]-(Data[[#This Row],[Total Harga]]*Data[[#This Row],[Diskon]]),Data[[#This Row],[Total Harga]])</f>
        <v>1317500</v>
      </c>
      <c r="AA12" s="35">
        <f>(Data[[#This Row],[Profit A]]+Data[[#This Row],[Profit B]]+Data[[#This Row],[Profit C]])</f>
        <v>570000</v>
      </c>
      <c r="AB12" s="35">
        <f>IFERROR((Data[[#This Row],[Profit non Diskon]]-(Data[[#This Row],[Profit non Diskon]]*Data[[#This Row],[Diskon]])),Data[[#This Row],[Profit non Diskon]])</f>
        <v>484500</v>
      </c>
      <c r="AC12" s="23" t="s">
        <v>13</v>
      </c>
      <c r="AD12" s="37">
        <f>IFERROR(INDEX('Kode Diskon'!$D$3:$D$9,MATCH(Data[[#This Row],[Kode diskon]],'Kode Diskon'!$C$3:$C$9,0)),"-")</f>
        <v>0.15</v>
      </c>
      <c r="AE12" s="23" t="s">
        <v>29</v>
      </c>
      <c r="AF12" s="23" t="s">
        <v>7</v>
      </c>
      <c r="AG12" s="23" t="s">
        <v>80</v>
      </c>
      <c r="AH12" s="24">
        <v>45022</v>
      </c>
      <c r="AI12" s="23" t="str">
        <f>TEXT(Data[[#This Row],[Tanggal terjual]],"dddd")</f>
        <v>Thursday</v>
      </c>
      <c r="AJ12" s="21" t="str">
        <f>TEXT(Data[[#This Row],[Tanggal terjual]],"wwww")</f>
        <v>wwww</v>
      </c>
    </row>
    <row r="13" spans="1:37" x14ac:dyDescent="0.2">
      <c r="A13" s="20">
        <v>12</v>
      </c>
      <c r="B13" s="21" t="str">
        <f>_xlfn.CONCAT("ORD-",INDEX(Helper!$B$2:$B$5,MATCH(Data[[#This Row],[Marketplace]],Helper!$A$2:$A$5,0)),TEXT(Data[[#This Row],[No]],"0000"),"-",TEXT(Data[[#This Row],[Tanggal terjual]],"dd/mm/yy"))</f>
        <v>ORD-SP0012-04/04/23</v>
      </c>
      <c r="C13" t="s">
        <v>58</v>
      </c>
      <c r="D13" t="str">
        <f>IFERROR(INDEX(Katalog!$A$3:$A$12,MATCH(Data[[#This Row],[ItemID A]],Katalog!$C$3:$C$12,0)),"-")</f>
        <v>Pakaian Wanita</v>
      </c>
      <c r="E13" t="str">
        <f>IFERROR(INDEX(Katalog!$B$3:$B$12,MATCH(Data[[#This Row],[ItemID A]],Katalog!$C$3:$C$12,0)),"-")</f>
        <v>Dress</v>
      </c>
      <c r="F13">
        <v>1</v>
      </c>
      <c r="G13">
        <v>3</v>
      </c>
      <c r="H13" s="36">
        <f>IFERROR(INDEX(Katalog!$D$3:$D$12,MATCH(Data[[#This Row],[ItemID A]],Katalog!$C$3:$C$12,0))*Data[[#This Row],[Qty A]],"0")</f>
        <v>300000</v>
      </c>
      <c r="I13" s="36">
        <f>IFERROR(INDEX(Katalog!$F$3:$F$12,MATCH(Data[[#This Row],[ItemID A]],Katalog!$C$3:$C$12,0))*Data[[#This Row],[Qty A]],0)</f>
        <v>100000</v>
      </c>
      <c r="K13" t="str">
        <f>IFERROR(INDEX(Katalog!$A$3:$A$12,MATCH(Data[[#This Row],[ItemID B]],Katalog!$C$3:$C$12,0)),"-")</f>
        <v>-</v>
      </c>
      <c r="L13" t="str">
        <f>IFERROR(INDEX(Katalog!$B$3:$B$12,MATCH(Data[[#This Row],[ItemID B]],Katalog!$C$3:$C$12,0)),"-")</f>
        <v>-</v>
      </c>
      <c r="O13" s="36" t="str">
        <f>IFERROR(INDEX(Katalog!$D$3:$D$12,MATCH(Data[[#This Row],[ItemID B]],Katalog!$C$3:$C$12,0))*Data[[#This Row],[Qty B]],"0")</f>
        <v>0</v>
      </c>
      <c r="P13" s="36" t="str">
        <f>IFERROR(INDEX(Katalog!$F$3:$F$12,MATCH(Data[[#This Row],[ItemID B]],Katalog!$C$3:$C$12,0))*Data[[#This Row],[Qty B]],"0")</f>
        <v>0</v>
      </c>
      <c r="R13" t="str">
        <f>IFERROR(INDEX(Katalog!$A$3:$A$12,MATCH(Data[[#This Row],[ItemID C]],Katalog!$C$3:$C$12,0)),"-")</f>
        <v>-</v>
      </c>
      <c r="S13" t="str">
        <f>IFERROR(INDEX(Katalog!$B$3:$B$12,MATCH(Data[[#This Row],[ItemID C]],Katalog!$C$3:$C$12,0)),"-")</f>
        <v>-</v>
      </c>
      <c r="V13" s="36" t="str">
        <f>IFERROR(INDEX(Katalog!$D$3:$D$12,MATCH(Data[[#This Row],[ItemID C]],Katalog!$C$3:$C$12,0))*Data[[#This Row],[Qty C]],"0")</f>
        <v>0</v>
      </c>
      <c r="W13" s="36" t="str">
        <f>IFERROR(INDEX(Katalog!$F$3:$F$12,MATCH(Data[[#This Row],[ItemID C]],Katalog!$C$3:$C$12,0))*Data[[#This Row],[Qty C]],"0")</f>
        <v>0</v>
      </c>
      <c r="X13" s="21">
        <f>Data[[#This Row],[Qty A]]+Data[[#This Row],[Qty B]]+Data[[#This Row],[Qty C]]</f>
        <v>1</v>
      </c>
      <c r="Y13" s="22">
        <f>Data[[#This Row],[Harga Barang A]]+Data[[#This Row],[Harga Barang B]]+Data[[#This Row],[Harga Barang C]]</f>
        <v>300000</v>
      </c>
      <c r="Z13" s="35">
        <f>IFERROR(Data[[#This Row],[Total Harga]]-(Data[[#This Row],[Total Harga]]*Data[[#This Row],[Diskon]]),Data[[#This Row],[Total Harga]])</f>
        <v>255000</v>
      </c>
      <c r="AA13" s="35">
        <f>(Data[[#This Row],[Profit A]]+Data[[#This Row],[Profit B]]+Data[[#This Row],[Profit C]])</f>
        <v>100000</v>
      </c>
      <c r="AB13" s="35">
        <f>IFERROR((Data[[#This Row],[Profit non Diskon]]-(Data[[#This Row],[Profit non Diskon]]*Data[[#This Row],[Diskon]])),Data[[#This Row],[Profit non Diskon]])</f>
        <v>85000</v>
      </c>
      <c r="AC13" s="23" t="s">
        <v>13</v>
      </c>
      <c r="AD13" s="37">
        <f>IFERROR(INDEX('Kode Diskon'!$D$3:$D$9,MATCH(Data[[#This Row],[Kode diskon]],'Kode Diskon'!$C$3:$C$9,0)),"-")</f>
        <v>0.15</v>
      </c>
      <c r="AE13" s="23" t="s">
        <v>29</v>
      </c>
      <c r="AF13" s="23" t="s">
        <v>7</v>
      </c>
      <c r="AG13" s="23" t="s">
        <v>75</v>
      </c>
      <c r="AH13" s="24">
        <v>45020</v>
      </c>
      <c r="AI13" s="23" t="str">
        <f>TEXT(Data[[#This Row],[Tanggal terjual]],"dddd")</f>
        <v>Tuesday</v>
      </c>
      <c r="AJ13" s="21" t="str">
        <f>TEXT(Data[[#This Row],[Tanggal terjual]],"wwww")</f>
        <v>wwww</v>
      </c>
    </row>
    <row r="14" spans="1:37" x14ac:dyDescent="0.2">
      <c r="A14" s="20">
        <v>13</v>
      </c>
      <c r="B14" s="21" t="str">
        <f>_xlfn.CONCAT("ORD-",INDEX(Helper!$B$2:$B$5,MATCH(Data[[#This Row],[Marketplace]],Helper!$A$2:$A$5,0)),TEXT(Data[[#This Row],[No]],"0000"),"-",TEXT(Data[[#This Row],[Tanggal terjual]],"dd/mm/yy"))</f>
        <v>ORD-TK0013-06/04/23</v>
      </c>
      <c r="C14" t="s">
        <v>61</v>
      </c>
      <c r="D14" t="str">
        <f>IFERROR(INDEX(Katalog!$A$3:$A$12,MATCH(Data[[#This Row],[ItemID A]],Katalog!$C$3:$C$12,0)),"-")</f>
        <v>Pakaian Pria</v>
      </c>
      <c r="E14" t="str">
        <f>IFERROR(INDEX(Katalog!$B$3:$B$12,MATCH(Data[[#This Row],[ItemID A]],Katalog!$C$3:$C$12,0)),"-")</f>
        <v>Kaos Polo</v>
      </c>
      <c r="F14">
        <v>3</v>
      </c>
      <c r="G14">
        <v>1</v>
      </c>
      <c r="H14" s="36">
        <f>IFERROR(INDEX(Katalog!$D$3:$D$12,MATCH(Data[[#This Row],[ItemID A]],Katalog!$C$3:$C$12,0))*Data[[#This Row],[Qty A]],"0")</f>
        <v>600000</v>
      </c>
      <c r="I14" s="36">
        <f>IFERROR(INDEX(Katalog!$F$3:$F$12,MATCH(Data[[#This Row],[ItemID A]],Katalog!$C$3:$C$12,0))*Data[[#This Row],[Qty A]],0)</f>
        <v>240000</v>
      </c>
      <c r="J14" t="s">
        <v>61</v>
      </c>
      <c r="K14" t="str">
        <f>IFERROR(INDEX(Katalog!$A$3:$A$12,MATCH(Data[[#This Row],[ItemID B]],Katalog!$C$3:$C$12,0)),"-")</f>
        <v>Pakaian Pria</v>
      </c>
      <c r="L14" t="str">
        <f>IFERROR(INDEX(Katalog!$B$3:$B$12,MATCH(Data[[#This Row],[ItemID B]],Katalog!$C$3:$C$12,0)),"-")</f>
        <v>Kaos Polo</v>
      </c>
      <c r="M14">
        <v>1</v>
      </c>
      <c r="N14">
        <v>1</v>
      </c>
      <c r="O14" s="36">
        <f>IFERROR(INDEX(Katalog!$D$3:$D$12,MATCH(Data[[#This Row],[ItemID B]],Katalog!$C$3:$C$12,0))*Data[[#This Row],[Qty B]],"0")</f>
        <v>200000</v>
      </c>
      <c r="P14" s="36">
        <f>IFERROR(INDEX(Katalog!$F$3:$F$12,MATCH(Data[[#This Row],[ItemID B]],Katalog!$C$3:$C$12,0))*Data[[#This Row],[Qty B]],"0")</f>
        <v>80000</v>
      </c>
      <c r="Q14" t="s">
        <v>61</v>
      </c>
      <c r="R14" t="str">
        <f>IFERROR(INDEX(Katalog!$A$3:$A$12,MATCH(Data[[#This Row],[ItemID C]],Katalog!$C$3:$C$12,0)),"-")</f>
        <v>Pakaian Pria</v>
      </c>
      <c r="S14" t="str">
        <f>IFERROR(INDEX(Katalog!$B$3:$B$12,MATCH(Data[[#This Row],[ItemID C]],Katalog!$C$3:$C$12,0)),"-")</f>
        <v>Kaos Polo</v>
      </c>
      <c r="T14">
        <v>1</v>
      </c>
      <c r="U14">
        <v>4</v>
      </c>
      <c r="V14" s="36">
        <f>IFERROR(INDEX(Katalog!$D$3:$D$12,MATCH(Data[[#This Row],[ItemID C]],Katalog!$C$3:$C$12,0))*Data[[#This Row],[Qty C]],"0")</f>
        <v>200000</v>
      </c>
      <c r="W14" s="36">
        <f>IFERROR(INDEX(Katalog!$F$3:$F$12,MATCH(Data[[#This Row],[ItemID C]],Katalog!$C$3:$C$12,0))*Data[[#This Row],[Qty C]],"0")</f>
        <v>80000</v>
      </c>
      <c r="X14" s="21">
        <f>Data[[#This Row],[Qty A]]+Data[[#This Row],[Qty B]]+Data[[#This Row],[Qty C]]</f>
        <v>5</v>
      </c>
      <c r="Y14" s="22">
        <f>Data[[#This Row],[Harga Barang A]]+Data[[#This Row],[Harga Barang B]]+Data[[#This Row],[Harga Barang C]]</f>
        <v>1000000</v>
      </c>
      <c r="Z14" s="35">
        <f>IFERROR(Data[[#This Row],[Total Harga]]-(Data[[#This Row],[Total Harga]]*Data[[#This Row],[Diskon]]),Data[[#This Row],[Total Harga]])</f>
        <v>900000</v>
      </c>
      <c r="AA14" s="35">
        <f>(Data[[#This Row],[Profit A]]+Data[[#This Row],[Profit B]]+Data[[#This Row],[Profit C]])</f>
        <v>400000</v>
      </c>
      <c r="AB14" s="35">
        <f>IFERROR((Data[[#This Row],[Profit non Diskon]]-(Data[[#This Row],[Profit non Diskon]]*Data[[#This Row],[Diskon]])),Data[[#This Row],[Profit non Diskon]])</f>
        <v>360000</v>
      </c>
      <c r="AC14" s="23" t="s">
        <v>30</v>
      </c>
      <c r="AD14" s="37">
        <f>IFERROR(INDEX('Kode Diskon'!$D$3:$D$9,MATCH(Data[[#This Row],[Kode diskon]],'Kode Diskon'!$C$3:$C$9,0)),"-")</f>
        <v>0.1</v>
      </c>
      <c r="AE14" s="23" t="s">
        <v>29</v>
      </c>
      <c r="AF14" s="23" t="s">
        <v>10</v>
      </c>
      <c r="AG14" s="23" t="s">
        <v>77</v>
      </c>
      <c r="AH14" s="24">
        <v>45022</v>
      </c>
      <c r="AI14" s="23" t="str">
        <f>TEXT(Data[[#This Row],[Tanggal terjual]],"dddd")</f>
        <v>Thursday</v>
      </c>
      <c r="AJ14" s="21" t="str">
        <f>TEXT(Data[[#This Row],[Tanggal terjual]],"wwww")</f>
        <v>wwww</v>
      </c>
    </row>
    <row r="15" spans="1:37" x14ac:dyDescent="0.2">
      <c r="A15" s="20">
        <v>14</v>
      </c>
      <c r="B15" s="21" t="str">
        <f>_xlfn.CONCAT("ORD-",INDEX(Helper!$B$2:$B$5,MATCH(Data[[#This Row],[Marketplace]],Helper!$A$2:$A$5,0)),TEXT(Data[[#This Row],[No]],"0000"),"-",TEXT(Data[[#This Row],[Tanggal terjual]],"dd/mm/yy"))</f>
        <v>ORD-SP0014-05/04/23</v>
      </c>
      <c r="C15" t="s">
        <v>61</v>
      </c>
      <c r="D15" t="str">
        <f>IFERROR(INDEX(Katalog!$A$3:$A$12,MATCH(Data[[#This Row],[ItemID A]],Katalog!$C$3:$C$12,0)),"-")</f>
        <v>Pakaian Pria</v>
      </c>
      <c r="E15" t="str">
        <f>IFERROR(INDEX(Katalog!$B$3:$B$12,MATCH(Data[[#This Row],[ItemID A]],Katalog!$C$3:$C$12,0)),"-")</f>
        <v>Kaos Polo</v>
      </c>
      <c r="F15">
        <v>1</v>
      </c>
      <c r="G15">
        <v>2</v>
      </c>
      <c r="H15" s="36">
        <f>IFERROR(INDEX(Katalog!$D$3:$D$12,MATCH(Data[[#This Row],[ItemID A]],Katalog!$C$3:$C$12,0))*Data[[#This Row],[Qty A]],"0")</f>
        <v>200000</v>
      </c>
      <c r="I15" s="36">
        <f>IFERROR(INDEX(Katalog!$F$3:$F$12,MATCH(Data[[#This Row],[ItemID A]],Katalog!$C$3:$C$12,0))*Data[[#This Row],[Qty A]],0)</f>
        <v>80000</v>
      </c>
      <c r="J15" t="s">
        <v>62</v>
      </c>
      <c r="K15" t="str">
        <f>IFERROR(INDEX(Katalog!$A$3:$A$12,MATCH(Data[[#This Row],[ItemID B]],Katalog!$C$3:$C$12,0)),"-")</f>
        <v>Pakaian Pria</v>
      </c>
      <c r="L15" t="str">
        <f>IFERROR(INDEX(Katalog!$B$3:$B$12,MATCH(Data[[#This Row],[ItemID B]],Katalog!$C$3:$C$12,0)),"-")</f>
        <v>Celana Pendek</v>
      </c>
      <c r="M15">
        <v>1</v>
      </c>
      <c r="N15">
        <v>2</v>
      </c>
      <c r="O15" s="36">
        <f>IFERROR(INDEX(Katalog!$D$3:$D$12,MATCH(Data[[#This Row],[ItemID B]],Katalog!$C$3:$C$12,0))*Data[[#This Row],[Qty B]],"0")</f>
        <v>180000</v>
      </c>
      <c r="P15" s="36">
        <f>IFERROR(INDEX(Katalog!$F$3:$F$12,MATCH(Data[[#This Row],[ItemID B]],Katalog!$C$3:$C$12,0))*Data[[#This Row],[Qty B]],"0")</f>
        <v>70000</v>
      </c>
      <c r="Q15" t="s">
        <v>61</v>
      </c>
      <c r="R15" t="str">
        <f>IFERROR(INDEX(Katalog!$A$3:$A$12,MATCH(Data[[#This Row],[ItemID C]],Katalog!$C$3:$C$12,0)),"-")</f>
        <v>Pakaian Pria</v>
      </c>
      <c r="S15" t="str">
        <f>IFERROR(INDEX(Katalog!$B$3:$B$12,MATCH(Data[[#This Row],[ItemID C]],Katalog!$C$3:$C$12,0)),"-")</f>
        <v>Kaos Polo</v>
      </c>
      <c r="T15">
        <v>1</v>
      </c>
      <c r="U15">
        <v>5</v>
      </c>
      <c r="V15" s="36">
        <f>IFERROR(INDEX(Katalog!$D$3:$D$12,MATCH(Data[[#This Row],[ItemID C]],Katalog!$C$3:$C$12,0))*Data[[#This Row],[Qty C]],"0")</f>
        <v>200000</v>
      </c>
      <c r="W15" s="36">
        <f>IFERROR(INDEX(Katalog!$F$3:$F$12,MATCH(Data[[#This Row],[ItemID C]],Katalog!$C$3:$C$12,0))*Data[[#This Row],[Qty C]],"0")</f>
        <v>80000</v>
      </c>
      <c r="X15" s="21">
        <f>Data[[#This Row],[Qty A]]+Data[[#This Row],[Qty B]]+Data[[#This Row],[Qty C]]</f>
        <v>3</v>
      </c>
      <c r="Y15" s="22">
        <f>Data[[#This Row],[Harga Barang A]]+Data[[#This Row],[Harga Barang B]]+Data[[#This Row],[Harga Barang C]]</f>
        <v>580000</v>
      </c>
      <c r="Z15" s="35">
        <f>IFERROR(Data[[#This Row],[Total Harga]]-(Data[[#This Row],[Total Harga]]*Data[[#This Row],[Diskon]]),Data[[#This Row],[Total Harga]])</f>
        <v>493000</v>
      </c>
      <c r="AA15" s="35">
        <f>(Data[[#This Row],[Profit A]]+Data[[#This Row],[Profit B]]+Data[[#This Row],[Profit C]])</f>
        <v>230000</v>
      </c>
      <c r="AB15" s="35">
        <f>IFERROR((Data[[#This Row],[Profit non Diskon]]-(Data[[#This Row],[Profit non Diskon]]*Data[[#This Row],[Diskon]])),Data[[#This Row],[Profit non Diskon]])</f>
        <v>195500</v>
      </c>
      <c r="AC15" s="23" t="s">
        <v>13</v>
      </c>
      <c r="AD15" s="37">
        <f>IFERROR(INDEX('Kode Diskon'!$D$3:$D$9,MATCH(Data[[#This Row],[Kode diskon]],'Kode Diskon'!$C$3:$C$9,0)),"-")</f>
        <v>0.15</v>
      </c>
      <c r="AE15" s="23" t="s">
        <v>29</v>
      </c>
      <c r="AF15" s="23" t="s">
        <v>7</v>
      </c>
      <c r="AG15" s="23" t="s">
        <v>75</v>
      </c>
      <c r="AH15" s="24">
        <v>45021</v>
      </c>
      <c r="AI15" s="23" t="str">
        <f>TEXT(Data[[#This Row],[Tanggal terjual]],"dddd")</f>
        <v>Wednesday</v>
      </c>
      <c r="AJ15" s="21" t="str">
        <f>TEXT(Data[[#This Row],[Tanggal terjual]],"wwww")</f>
        <v>wwww</v>
      </c>
    </row>
    <row r="16" spans="1:37" x14ac:dyDescent="0.2">
      <c r="A16" s="20">
        <v>15</v>
      </c>
      <c r="B16" s="21" t="str">
        <f>_xlfn.CONCAT("ORD-",INDEX(Helper!$B$2:$B$5,MATCH(Data[[#This Row],[Marketplace]],Helper!$A$2:$A$5,0)),TEXT(Data[[#This Row],[No]],"0000"),"-",TEXT(Data[[#This Row],[Tanggal terjual]],"dd/mm/yy"))</f>
        <v>ORD-BB0015-05/04/23</v>
      </c>
      <c r="C16" t="s">
        <v>62</v>
      </c>
      <c r="D16" t="str">
        <f>IFERROR(INDEX(Katalog!$A$3:$A$12,MATCH(Data[[#This Row],[ItemID A]],Katalog!$C$3:$C$12,0)),"-")</f>
        <v>Pakaian Pria</v>
      </c>
      <c r="E16" t="str">
        <f>IFERROR(INDEX(Katalog!$B$3:$B$12,MATCH(Data[[#This Row],[ItemID A]],Katalog!$C$3:$C$12,0)),"-")</f>
        <v>Celana Pendek</v>
      </c>
      <c r="F16">
        <v>1</v>
      </c>
      <c r="G16">
        <v>2</v>
      </c>
      <c r="H16" s="36">
        <f>IFERROR(INDEX(Katalog!$D$3:$D$12,MATCH(Data[[#This Row],[ItemID A]],Katalog!$C$3:$C$12,0))*Data[[#This Row],[Qty A]],"0")</f>
        <v>180000</v>
      </c>
      <c r="I16" s="36">
        <f>IFERROR(INDEX(Katalog!$F$3:$F$12,MATCH(Data[[#This Row],[ItemID A]],Katalog!$C$3:$C$12,0))*Data[[#This Row],[Qty A]],0)</f>
        <v>70000</v>
      </c>
      <c r="J16" t="s">
        <v>59</v>
      </c>
      <c r="K16" t="str">
        <f>IFERROR(INDEX(Katalog!$A$3:$A$12,MATCH(Data[[#This Row],[ItemID B]],Katalog!$C$3:$C$12,0)),"-")</f>
        <v>Pakaian Wanita</v>
      </c>
      <c r="L16" t="str">
        <f>IFERROR(INDEX(Katalog!$B$3:$B$12,MATCH(Data[[#This Row],[ItemID B]],Katalog!$C$3:$C$12,0)),"-")</f>
        <v>Blouse</v>
      </c>
      <c r="M16">
        <v>1</v>
      </c>
      <c r="N16">
        <v>4</v>
      </c>
      <c r="O16" s="36">
        <f>IFERROR(INDEX(Katalog!$D$3:$D$12,MATCH(Data[[#This Row],[ItemID B]],Katalog!$C$3:$C$12,0))*Data[[#This Row],[Qty B]],"0")</f>
        <v>150000</v>
      </c>
      <c r="P16" s="36">
        <f>IFERROR(INDEX(Katalog!$F$3:$F$12,MATCH(Data[[#This Row],[ItemID B]],Katalog!$C$3:$C$12,0))*Data[[#This Row],[Qty B]],"0")</f>
        <v>50000</v>
      </c>
      <c r="Q16" t="s">
        <v>66</v>
      </c>
      <c r="R16" t="str">
        <f>IFERROR(INDEX(Katalog!$A$3:$A$12,MATCH(Data[[#This Row],[ItemID C]],Katalog!$C$3:$C$12,0)),"-")</f>
        <v>Sepatu Pria</v>
      </c>
      <c r="S16" t="str">
        <f>IFERROR(INDEX(Katalog!$B$3:$B$12,MATCH(Data[[#This Row],[ItemID C]],Katalog!$C$3:$C$12,0)),"-")</f>
        <v>Sandal Slip On</v>
      </c>
      <c r="T16">
        <v>3</v>
      </c>
      <c r="U16">
        <v>5</v>
      </c>
      <c r="V16" s="36">
        <f>IFERROR(INDEX(Katalog!$D$3:$D$12,MATCH(Data[[#This Row],[ItemID C]],Katalog!$C$3:$C$12,0))*Data[[#This Row],[Qty C]],"0")</f>
        <v>450000</v>
      </c>
      <c r="W16" s="36">
        <f>IFERROR(INDEX(Katalog!$F$3:$F$12,MATCH(Data[[#This Row],[ItemID C]],Katalog!$C$3:$C$12,0))*Data[[#This Row],[Qty C]],"0")</f>
        <v>180000</v>
      </c>
      <c r="X16" s="21">
        <f>Data[[#This Row],[Qty A]]+Data[[#This Row],[Qty B]]+Data[[#This Row],[Qty C]]</f>
        <v>5</v>
      </c>
      <c r="Y16" s="22">
        <f>Data[[#This Row],[Harga Barang A]]+Data[[#This Row],[Harga Barang B]]+Data[[#This Row],[Harga Barang C]]</f>
        <v>780000</v>
      </c>
      <c r="Z16" s="35">
        <f>IFERROR(Data[[#This Row],[Total Harga]]-(Data[[#This Row],[Total Harga]]*Data[[#This Row],[Diskon]]),Data[[#This Row],[Total Harga]])</f>
        <v>663000</v>
      </c>
      <c r="AA16" s="35">
        <f>(Data[[#This Row],[Profit A]]+Data[[#This Row],[Profit B]]+Data[[#This Row],[Profit C]])</f>
        <v>300000</v>
      </c>
      <c r="AB16" s="35">
        <f>IFERROR((Data[[#This Row],[Profit non Diskon]]-(Data[[#This Row],[Profit non Diskon]]*Data[[#This Row],[Diskon]])),Data[[#This Row],[Profit non Diskon]])</f>
        <v>255000</v>
      </c>
      <c r="AC16" s="23" t="s">
        <v>28</v>
      </c>
      <c r="AD16" s="37">
        <f>IFERROR(INDEX('Kode Diskon'!$D$3:$D$9,MATCH(Data[[#This Row],[Kode diskon]],'Kode Diskon'!$C$3:$C$9,0)),"-")</f>
        <v>0.15</v>
      </c>
      <c r="AE16" s="23" t="s">
        <v>29</v>
      </c>
      <c r="AF16" s="23" t="s">
        <v>14</v>
      </c>
      <c r="AG16" s="23" t="s">
        <v>75</v>
      </c>
      <c r="AH16" s="24">
        <v>45021</v>
      </c>
      <c r="AI16" s="23" t="str">
        <f>TEXT(Data[[#This Row],[Tanggal terjual]],"dddd")</f>
        <v>Wednesday</v>
      </c>
      <c r="AJ16" s="21" t="str">
        <f>TEXT(Data[[#This Row],[Tanggal terjual]],"wwww")</f>
        <v>wwww</v>
      </c>
    </row>
    <row r="17" spans="1:36" x14ac:dyDescent="0.2">
      <c r="A17" s="20">
        <v>16</v>
      </c>
      <c r="B17" s="21" t="str">
        <f>_xlfn.CONCAT("ORD-",INDEX(Helper!$B$2:$B$5,MATCH(Data[[#This Row],[Marketplace]],Helper!$A$2:$A$5,0)),TEXT(Data[[#This Row],[No]],"0000"),"-",TEXT(Data[[#This Row],[Tanggal terjual]],"dd/mm/yy"))</f>
        <v>ORD-SP0016-01/04/23</v>
      </c>
      <c r="C17" t="s">
        <v>61</v>
      </c>
      <c r="D17" t="str">
        <f>IFERROR(INDEX(Katalog!$A$3:$A$12,MATCH(Data[[#This Row],[ItemID A]],Katalog!$C$3:$C$12,0)),"-")</f>
        <v>Pakaian Pria</v>
      </c>
      <c r="E17" t="str">
        <f>IFERROR(INDEX(Katalog!$B$3:$B$12,MATCH(Data[[#This Row],[ItemID A]],Katalog!$C$3:$C$12,0)),"-")</f>
        <v>Kaos Polo</v>
      </c>
      <c r="F17">
        <v>1</v>
      </c>
      <c r="G17">
        <v>1</v>
      </c>
      <c r="H17" s="36">
        <f>IFERROR(INDEX(Katalog!$D$3:$D$12,MATCH(Data[[#This Row],[ItemID A]],Katalog!$C$3:$C$12,0))*Data[[#This Row],[Qty A]],"0")</f>
        <v>200000</v>
      </c>
      <c r="I17" s="36">
        <f>IFERROR(INDEX(Katalog!$F$3:$F$12,MATCH(Data[[#This Row],[ItemID A]],Katalog!$C$3:$C$12,0))*Data[[#This Row],[Qty A]],0)</f>
        <v>80000</v>
      </c>
      <c r="K17" t="str">
        <f>IFERROR(INDEX(Katalog!$A$3:$A$12,MATCH(Data[[#This Row],[ItemID B]],Katalog!$C$3:$C$12,0)),"-")</f>
        <v>-</v>
      </c>
      <c r="L17" t="str">
        <f>IFERROR(INDEX(Katalog!$B$3:$B$12,MATCH(Data[[#This Row],[ItemID B]],Katalog!$C$3:$C$12,0)),"-")</f>
        <v>-</v>
      </c>
      <c r="O17" s="36" t="str">
        <f>IFERROR(INDEX(Katalog!$D$3:$D$12,MATCH(Data[[#This Row],[ItemID B]],Katalog!$C$3:$C$12,0))*Data[[#This Row],[Qty B]],"0")</f>
        <v>0</v>
      </c>
      <c r="P17" s="36" t="str">
        <f>IFERROR(INDEX(Katalog!$F$3:$F$12,MATCH(Data[[#This Row],[ItemID B]],Katalog!$C$3:$C$12,0))*Data[[#This Row],[Qty B]],"0")</f>
        <v>0</v>
      </c>
      <c r="R17" t="str">
        <f>IFERROR(INDEX(Katalog!$A$3:$A$12,MATCH(Data[[#This Row],[ItemID C]],Katalog!$C$3:$C$12,0)),"-")</f>
        <v>-</v>
      </c>
      <c r="S17" t="str">
        <f>IFERROR(INDEX(Katalog!$B$3:$B$12,MATCH(Data[[#This Row],[ItemID C]],Katalog!$C$3:$C$12,0)),"-")</f>
        <v>-</v>
      </c>
      <c r="V17" s="36" t="str">
        <f>IFERROR(INDEX(Katalog!$D$3:$D$12,MATCH(Data[[#This Row],[ItemID C]],Katalog!$C$3:$C$12,0))*Data[[#This Row],[Qty C]],"0")</f>
        <v>0</v>
      </c>
      <c r="W17" s="36" t="str">
        <f>IFERROR(INDEX(Katalog!$F$3:$F$12,MATCH(Data[[#This Row],[ItemID C]],Katalog!$C$3:$C$12,0))*Data[[#This Row],[Qty C]],"0")</f>
        <v>0</v>
      </c>
      <c r="X17" s="21">
        <f>Data[[#This Row],[Qty A]]+Data[[#This Row],[Qty B]]+Data[[#This Row],[Qty C]]</f>
        <v>1</v>
      </c>
      <c r="Y17" s="22">
        <f>Data[[#This Row],[Harga Barang A]]+Data[[#This Row],[Harga Barang B]]+Data[[#This Row],[Harga Barang C]]</f>
        <v>200000</v>
      </c>
      <c r="Z17" s="35">
        <f>IFERROR(Data[[#This Row],[Total Harga]]-(Data[[#This Row],[Total Harga]]*Data[[#This Row],[Diskon]]),Data[[#This Row],[Total Harga]])</f>
        <v>170000</v>
      </c>
      <c r="AA17" s="35">
        <f>(Data[[#This Row],[Profit A]]+Data[[#This Row],[Profit B]]+Data[[#This Row],[Profit C]])</f>
        <v>80000</v>
      </c>
      <c r="AB17" s="35">
        <f>IFERROR((Data[[#This Row],[Profit non Diskon]]-(Data[[#This Row],[Profit non Diskon]]*Data[[#This Row],[Diskon]])),Data[[#This Row],[Profit non Diskon]])</f>
        <v>68000</v>
      </c>
      <c r="AC17" s="23" t="s">
        <v>13</v>
      </c>
      <c r="AD17" s="37">
        <f>IFERROR(INDEX('Kode Diskon'!$D$3:$D$9,MATCH(Data[[#This Row],[Kode diskon]],'Kode Diskon'!$C$3:$C$9,0)),"-")</f>
        <v>0.15</v>
      </c>
      <c r="AE17" s="23" t="s">
        <v>29</v>
      </c>
      <c r="AF17" s="23" t="s">
        <v>7</v>
      </c>
      <c r="AG17" s="23" t="s">
        <v>78</v>
      </c>
      <c r="AH17" s="24">
        <v>45017</v>
      </c>
      <c r="AI17" s="23" t="str">
        <f>TEXT(Data[[#This Row],[Tanggal terjual]],"dddd")</f>
        <v>Saturday</v>
      </c>
      <c r="AJ17" s="21" t="str">
        <f>TEXT(Data[[#This Row],[Tanggal terjual]],"wwww")</f>
        <v>wwww</v>
      </c>
    </row>
    <row r="18" spans="1:36" x14ac:dyDescent="0.2">
      <c r="A18" s="20">
        <v>17</v>
      </c>
      <c r="B18" s="21" t="str">
        <f>_xlfn.CONCAT("ORD-",INDEX(Helper!$B$2:$B$5,MATCH(Data[[#This Row],[Marketplace]],Helper!$A$2:$A$5,0)),TEXT(Data[[#This Row],[No]],"0000"),"-",TEXT(Data[[#This Row],[Tanggal terjual]],"dd/mm/yy"))</f>
        <v>ORD-BB0017-05/04/23</v>
      </c>
      <c r="C18" t="s">
        <v>64</v>
      </c>
      <c r="D18" t="str">
        <f>IFERROR(INDEX(Katalog!$A$3:$A$12,MATCH(Data[[#This Row],[ItemID A]],Katalog!$C$3:$C$12,0)),"-")</f>
        <v>Pakaian Unisex</v>
      </c>
      <c r="E18" t="str">
        <f>IFERROR(INDEX(Katalog!$B$3:$B$12,MATCH(Data[[#This Row],[ItemID A]],Katalog!$C$3:$C$12,0)),"-")</f>
        <v>Jaket Hoodie</v>
      </c>
      <c r="F18">
        <v>2</v>
      </c>
      <c r="G18">
        <v>4</v>
      </c>
      <c r="H18" s="36">
        <f>IFERROR(INDEX(Katalog!$D$3:$D$12,MATCH(Data[[#This Row],[ItemID A]],Katalog!$C$3:$C$12,0))*Data[[#This Row],[Qty A]],"0")</f>
        <v>700000</v>
      </c>
      <c r="I18" s="36">
        <f>IFERROR(INDEX(Katalog!$F$3:$F$12,MATCH(Data[[#This Row],[ItemID A]],Katalog!$C$3:$C$12,0))*Data[[#This Row],[Qty A]],0)</f>
        <v>260000</v>
      </c>
      <c r="J18" t="s">
        <v>58</v>
      </c>
      <c r="K18" t="str">
        <f>IFERROR(INDEX(Katalog!$A$3:$A$12,MATCH(Data[[#This Row],[ItemID B]],Katalog!$C$3:$C$12,0)),"-")</f>
        <v>Pakaian Wanita</v>
      </c>
      <c r="L18" t="str">
        <f>IFERROR(INDEX(Katalog!$B$3:$B$12,MATCH(Data[[#This Row],[ItemID B]],Katalog!$C$3:$C$12,0)),"-")</f>
        <v>Dress</v>
      </c>
      <c r="M18">
        <v>1</v>
      </c>
      <c r="N18">
        <v>5</v>
      </c>
      <c r="O18" s="36">
        <f>IFERROR(INDEX(Katalog!$D$3:$D$12,MATCH(Data[[#This Row],[ItemID B]],Katalog!$C$3:$C$12,0))*Data[[#This Row],[Qty B]],"0")</f>
        <v>300000</v>
      </c>
      <c r="P18" s="36">
        <f>IFERROR(INDEX(Katalog!$F$3:$F$12,MATCH(Data[[#This Row],[ItemID B]],Katalog!$C$3:$C$12,0))*Data[[#This Row],[Qty B]],"0")</f>
        <v>100000</v>
      </c>
      <c r="R18" t="str">
        <f>IFERROR(INDEX(Katalog!$A$3:$A$12,MATCH(Data[[#This Row],[ItemID C]],Katalog!$C$3:$C$12,0)),"-")</f>
        <v>-</v>
      </c>
      <c r="S18" t="str">
        <f>IFERROR(INDEX(Katalog!$B$3:$B$12,MATCH(Data[[#This Row],[ItemID C]],Katalog!$C$3:$C$12,0)),"-")</f>
        <v>-</v>
      </c>
      <c r="V18" s="36" t="str">
        <f>IFERROR(INDEX(Katalog!$D$3:$D$12,MATCH(Data[[#This Row],[ItemID C]],Katalog!$C$3:$C$12,0))*Data[[#This Row],[Qty C]],"0")</f>
        <v>0</v>
      </c>
      <c r="W18" s="36" t="str">
        <f>IFERROR(INDEX(Katalog!$F$3:$F$12,MATCH(Data[[#This Row],[ItemID C]],Katalog!$C$3:$C$12,0))*Data[[#This Row],[Qty C]],"0")</f>
        <v>0</v>
      </c>
      <c r="X18" s="21">
        <f>Data[[#This Row],[Qty A]]+Data[[#This Row],[Qty B]]+Data[[#This Row],[Qty C]]</f>
        <v>3</v>
      </c>
      <c r="Y18" s="22">
        <f>Data[[#This Row],[Harga Barang A]]+Data[[#This Row],[Harga Barang B]]+Data[[#This Row],[Harga Barang C]]</f>
        <v>1000000</v>
      </c>
      <c r="Z18" s="35">
        <f>IFERROR(Data[[#This Row],[Total Harga]]-(Data[[#This Row],[Total Harga]]*Data[[#This Row],[Diskon]]),Data[[#This Row],[Total Harga]])</f>
        <v>850000</v>
      </c>
      <c r="AA18" s="35">
        <f>(Data[[#This Row],[Profit A]]+Data[[#This Row],[Profit B]]+Data[[#This Row],[Profit C]])</f>
        <v>360000</v>
      </c>
      <c r="AB18" s="35">
        <f>IFERROR((Data[[#This Row],[Profit non Diskon]]-(Data[[#This Row],[Profit non Diskon]]*Data[[#This Row],[Diskon]])),Data[[#This Row],[Profit non Diskon]])</f>
        <v>306000</v>
      </c>
      <c r="AC18" s="23" t="s">
        <v>28</v>
      </c>
      <c r="AD18" s="37">
        <f>IFERROR(INDEX('Kode Diskon'!$D$3:$D$9,MATCH(Data[[#This Row],[Kode diskon]],'Kode Diskon'!$C$3:$C$9,0)),"-")</f>
        <v>0.15</v>
      </c>
      <c r="AE18" s="23" t="s">
        <v>29</v>
      </c>
      <c r="AF18" s="23" t="s">
        <v>14</v>
      </c>
      <c r="AG18" s="23" t="s">
        <v>80</v>
      </c>
      <c r="AH18" s="24">
        <v>45021</v>
      </c>
      <c r="AI18" s="23" t="str">
        <f>TEXT(Data[[#This Row],[Tanggal terjual]],"dddd")</f>
        <v>Wednesday</v>
      </c>
      <c r="AJ18" s="21" t="str">
        <f>TEXT(Data[[#This Row],[Tanggal terjual]],"wwww")</f>
        <v>wwww</v>
      </c>
    </row>
    <row r="19" spans="1:36" x14ac:dyDescent="0.2">
      <c r="A19" s="20">
        <v>18</v>
      </c>
      <c r="B19" s="21" t="str">
        <f>_xlfn.CONCAT("ORD-",INDEX(Helper!$B$2:$B$5,MATCH(Data[[#This Row],[Marketplace]],Helper!$A$2:$A$5,0)),TEXT(Data[[#This Row],[No]],"0000"),"-",TEXT(Data[[#This Row],[Tanggal terjual]],"dd/mm/yy"))</f>
        <v>ORD-BB0018-06/04/23</v>
      </c>
      <c r="C19" t="s">
        <v>58</v>
      </c>
      <c r="D19" t="str">
        <f>IFERROR(INDEX(Katalog!$A$3:$A$12,MATCH(Data[[#This Row],[ItemID A]],Katalog!$C$3:$C$12,0)),"-")</f>
        <v>Pakaian Wanita</v>
      </c>
      <c r="E19" t="str">
        <f>IFERROR(INDEX(Katalog!$B$3:$B$12,MATCH(Data[[#This Row],[ItemID A]],Katalog!$C$3:$C$12,0)),"-")</f>
        <v>Dress</v>
      </c>
      <c r="F19">
        <v>1</v>
      </c>
      <c r="G19">
        <v>4</v>
      </c>
      <c r="H19" s="36">
        <f>IFERROR(INDEX(Katalog!$D$3:$D$12,MATCH(Data[[#This Row],[ItemID A]],Katalog!$C$3:$C$12,0))*Data[[#This Row],[Qty A]],"0")</f>
        <v>300000</v>
      </c>
      <c r="I19" s="36">
        <f>IFERROR(INDEX(Katalog!$F$3:$F$12,MATCH(Data[[#This Row],[ItemID A]],Katalog!$C$3:$C$12,0))*Data[[#This Row],[Qty A]],0)</f>
        <v>100000</v>
      </c>
      <c r="K19" t="str">
        <f>IFERROR(INDEX(Katalog!$A$3:$A$12,MATCH(Data[[#This Row],[ItemID B]],Katalog!$C$3:$C$12,0)),"-")</f>
        <v>-</v>
      </c>
      <c r="L19" t="str">
        <f>IFERROR(INDEX(Katalog!$B$3:$B$12,MATCH(Data[[#This Row],[ItemID B]],Katalog!$C$3:$C$12,0)),"-")</f>
        <v>-</v>
      </c>
      <c r="O19" s="36" t="str">
        <f>IFERROR(INDEX(Katalog!$D$3:$D$12,MATCH(Data[[#This Row],[ItemID B]],Katalog!$C$3:$C$12,0))*Data[[#This Row],[Qty B]],"0")</f>
        <v>0</v>
      </c>
      <c r="P19" s="36" t="str">
        <f>IFERROR(INDEX(Katalog!$F$3:$F$12,MATCH(Data[[#This Row],[ItemID B]],Katalog!$C$3:$C$12,0))*Data[[#This Row],[Qty B]],"0")</f>
        <v>0</v>
      </c>
      <c r="R19" t="str">
        <f>IFERROR(INDEX(Katalog!$A$3:$A$12,MATCH(Data[[#This Row],[ItemID C]],Katalog!$C$3:$C$12,0)),"-")</f>
        <v>-</v>
      </c>
      <c r="S19" t="str">
        <f>IFERROR(INDEX(Katalog!$B$3:$B$12,MATCH(Data[[#This Row],[ItemID C]],Katalog!$C$3:$C$12,0)),"-")</f>
        <v>-</v>
      </c>
      <c r="V19" s="36" t="str">
        <f>IFERROR(INDEX(Katalog!$D$3:$D$12,MATCH(Data[[#This Row],[ItemID C]],Katalog!$C$3:$C$12,0))*Data[[#This Row],[Qty C]],"0")</f>
        <v>0</v>
      </c>
      <c r="W19" s="36" t="str">
        <f>IFERROR(INDEX(Katalog!$F$3:$F$12,MATCH(Data[[#This Row],[ItemID C]],Katalog!$C$3:$C$12,0))*Data[[#This Row],[Qty C]],"0")</f>
        <v>0</v>
      </c>
      <c r="X19" s="21">
        <f>Data[[#This Row],[Qty A]]+Data[[#This Row],[Qty B]]+Data[[#This Row],[Qty C]]</f>
        <v>1</v>
      </c>
      <c r="Y19" s="22">
        <f>Data[[#This Row],[Harga Barang A]]+Data[[#This Row],[Harga Barang B]]+Data[[#This Row],[Harga Barang C]]</f>
        <v>300000</v>
      </c>
      <c r="Z19" s="35">
        <f>IFERROR(Data[[#This Row],[Total Harga]]-(Data[[#This Row],[Total Harga]]*Data[[#This Row],[Diskon]]),Data[[#This Row],[Total Harga]])</f>
        <v>255000</v>
      </c>
      <c r="AA19" s="35">
        <f>(Data[[#This Row],[Profit A]]+Data[[#This Row],[Profit B]]+Data[[#This Row],[Profit C]])</f>
        <v>100000</v>
      </c>
      <c r="AB19" s="35">
        <f>IFERROR((Data[[#This Row],[Profit non Diskon]]-(Data[[#This Row],[Profit non Diskon]]*Data[[#This Row],[Diskon]])),Data[[#This Row],[Profit non Diskon]])</f>
        <v>85000</v>
      </c>
      <c r="AC19" s="23" t="s">
        <v>28</v>
      </c>
      <c r="AD19" s="37">
        <f>IFERROR(INDEX('Kode Diskon'!$D$3:$D$9,MATCH(Data[[#This Row],[Kode diskon]],'Kode Diskon'!$C$3:$C$9,0)),"-")</f>
        <v>0.15</v>
      </c>
      <c r="AE19" s="23" t="s">
        <v>29</v>
      </c>
      <c r="AF19" s="23" t="s">
        <v>14</v>
      </c>
      <c r="AG19" s="23" t="s">
        <v>77</v>
      </c>
      <c r="AH19" s="24">
        <v>45022</v>
      </c>
      <c r="AI19" s="23" t="str">
        <f>TEXT(Data[[#This Row],[Tanggal terjual]],"dddd")</f>
        <v>Thursday</v>
      </c>
      <c r="AJ19" s="21" t="str">
        <f>TEXT(Data[[#This Row],[Tanggal terjual]],"wwww")</f>
        <v>wwww</v>
      </c>
    </row>
    <row r="20" spans="1:36" x14ac:dyDescent="0.2">
      <c r="A20" s="20">
        <v>19</v>
      </c>
      <c r="B20" s="21" t="str">
        <f>_xlfn.CONCAT("ORD-",INDEX(Helper!$B$2:$B$5,MATCH(Data[[#This Row],[Marketplace]],Helper!$A$2:$A$5,0)),TEXT(Data[[#This Row],[No]],"0000"),"-",TEXT(Data[[#This Row],[Tanggal terjual]],"dd/mm/yy"))</f>
        <v>ORD-SP0019-02/04/23</v>
      </c>
      <c r="C20" t="s">
        <v>66</v>
      </c>
      <c r="D20" t="str">
        <f>IFERROR(INDEX(Katalog!$A$3:$A$12,MATCH(Data[[#This Row],[ItemID A]],Katalog!$C$3:$C$12,0)),"-")</f>
        <v>Sepatu Pria</v>
      </c>
      <c r="E20" t="str">
        <f>IFERROR(INDEX(Katalog!$B$3:$B$12,MATCH(Data[[#This Row],[ItemID A]],Katalog!$C$3:$C$12,0)),"-")</f>
        <v>Sandal Slip On</v>
      </c>
      <c r="F20">
        <v>1</v>
      </c>
      <c r="G20">
        <v>4</v>
      </c>
      <c r="H20" s="36">
        <f>IFERROR(INDEX(Katalog!$D$3:$D$12,MATCH(Data[[#This Row],[ItemID A]],Katalog!$C$3:$C$12,0))*Data[[#This Row],[Qty A]],"0")</f>
        <v>150000</v>
      </c>
      <c r="I20" s="36">
        <f>IFERROR(INDEX(Katalog!$F$3:$F$12,MATCH(Data[[#This Row],[ItemID A]],Katalog!$C$3:$C$12,0))*Data[[#This Row],[Qty A]],0)</f>
        <v>60000</v>
      </c>
      <c r="J20" t="s">
        <v>67</v>
      </c>
      <c r="K20" t="str">
        <f>IFERROR(INDEX(Katalog!$A$3:$A$12,MATCH(Data[[#This Row],[ItemID B]],Katalog!$C$3:$C$12,0)),"-")</f>
        <v>Sepatu Wanita</v>
      </c>
      <c r="L20" t="str">
        <f>IFERROR(INDEX(Katalog!$B$3:$B$12,MATCH(Data[[#This Row],[ItemID B]],Katalog!$C$3:$C$12,0)),"-")</f>
        <v>Flat Shoes</v>
      </c>
      <c r="M20">
        <v>2</v>
      </c>
      <c r="N20">
        <v>2</v>
      </c>
      <c r="O20" s="36">
        <f>IFERROR(INDEX(Katalog!$D$3:$D$12,MATCH(Data[[#This Row],[ItemID B]],Katalog!$C$3:$C$12,0))*Data[[#This Row],[Qty B]],"0")</f>
        <v>500000</v>
      </c>
      <c r="P20" s="36">
        <f>IFERROR(INDEX(Katalog!$F$3:$F$12,MATCH(Data[[#This Row],[ItemID B]],Katalog!$C$3:$C$12,0))*Data[[#This Row],[Qty B]],"0")</f>
        <v>200000</v>
      </c>
      <c r="Q20" t="s">
        <v>61</v>
      </c>
      <c r="R20" t="str">
        <f>IFERROR(INDEX(Katalog!$A$3:$A$12,MATCH(Data[[#This Row],[ItemID C]],Katalog!$C$3:$C$12,0)),"-")</f>
        <v>Pakaian Pria</v>
      </c>
      <c r="S20" t="str">
        <f>IFERROR(INDEX(Katalog!$B$3:$B$12,MATCH(Data[[#This Row],[ItemID C]],Katalog!$C$3:$C$12,0)),"-")</f>
        <v>Kaos Polo</v>
      </c>
      <c r="T20">
        <v>1</v>
      </c>
      <c r="U20">
        <v>4</v>
      </c>
      <c r="V20" s="36">
        <f>IFERROR(INDEX(Katalog!$D$3:$D$12,MATCH(Data[[#This Row],[ItemID C]],Katalog!$C$3:$C$12,0))*Data[[#This Row],[Qty C]],"0")</f>
        <v>200000</v>
      </c>
      <c r="W20" s="36">
        <f>IFERROR(INDEX(Katalog!$F$3:$F$12,MATCH(Data[[#This Row],[ItemID C]],Katalog!$C$3:$C$12,0))*Data[[#This Row],[Qty C]],"0")</f>
        <v>80000</v>
      </c>
      <c r="X20" s="21">
        <f>Data[[#This Row],[Qty A]]+Data[[#This Row],[Qty B]]+Data[[#This Row],[Qty C]]</f>
        <v>4</v>
      </c>
      <c r="Y20" s="22">
        <f>Data[[#This Row],[Harga Barang A]]+Data[[#This Row],[Harga Barang B]]+Data[[#This Row],[Harga Barang C]]</f>
        <v>850000</v>
      </c>
      <c r="Z20" s="35">
        <f>IFERROR(Data[[#This Row],[Total Harga]]-(Data[[#This Row],[Total Harga]]*Data[[#This Row],[Diskon]]),Data[[#This Row],[Total Harga]])</f>
        <v>765000</v>
      </c>
      <c r="AA20" s="35">
        <f>(Data[[#This Row],[Profit A]]+Data[[#This Row],[Profit B]]+Data[[#This Row],[Profit C]])</f>
        <v>340000</v>
      </c>
      <c r="AB20" s="35">
        <f>IFERROR((Data[[#This Row],[Profit non Diskon]]-(Data[[#This Row],[Profit non Diskon]]*Data[[#This Row],[Diskon]])),Data[[#This Row],[Profit non Diskon]])</f>
        <v>306000</v>
      </c>
      <c r="AC20" s="23" t="s">
        <v>6</v>
      </c>
      <c r="AD20" s="37">
        <f>IFERROR(INDEX('Kode Diskon'!$D$3:$D$9,MATCH(Data[[#This Row],[Kode diskon]],'Kode Diskon'!$C$3:$C$9,0)),"-")</f>
        <v>0.1</v>
      </c>
      <c r="AE20" s="23" t="s">
        <v>29</v>
      </c>
      <c r="AF20" s="23" t="s">
        <v>7</v>
      </c>
      <c r="AG20" s="23" t="s">
        <v>78</v>
      </c>
      <c r="AH20" s="24">
        <v>45018</v>
      </c>
      <c r="AI20" s="23" t="str">
        <f>TEXT(Data[[#This Row],[Tanggal terjual]],"dddd")</f>
        <v>Sunday</v>
      </c>
      <c r="AJ20" s="21" t="str">
        <f>TEXT(Data[[#This Row],[Tanggal terjual]],"wwww")</f>
        <v>wwww</v>
      </c>
    </row>
    <row r="21" spans="1:36" x14ac:dyDescent="0.2">
      <c r="A21" s="20">
        <v>20</v>
      </c>
      <c r="B21" s="21" t="str">
        <f>_xlfn.CONCAT("ORD-",INDEX(Helper!$B$2:$B$5,MATCH(Data[[#This Row],[Marketplace]],Helper!$A$2:$A$5,0)),TEXT(Data[[#This Row],[No]],"0000"),"-",TEXT(Data[[#This Row],[Tanggal terjual]],"dd/mm/yy"))</f>
        <v>ORD-SP0020-09/04/23</v>
      </c>
      <c r="C21" t="s">
        <v>62</v>
      </c>
      <c r="D21" t="str">
        <f>IFERROR(INDEX(Katalog!$A$3:$A$12,MATCH(Data[[#This Row],[ItemID A]],Katalog!$C$3:$C$12,0)),"-")</f>
        <v>Pakaian Pria</v>
      </c>
      <c r="E21" t="str">
        <f>IFERROR(INDEX(Katalog!$B$3:$B$12,MATCH(Data[[#This Row],[ItemID A]],Katalog!$C$3:$C$12,0)),"-")</f>
        <v>Celana Pendek</v>
      </c>
      <c r="F21">
        <v>1</v>
      </c>
      <c r="G21">
        <v>1</v>
      </c>
      <c r="H21" s="36">
        <f>IFERROR(INDEX(Katalog!$D$3:$D$12,MATCH(Data[[#This Row],[ItemID A]],Katalog!$C$3:$C$12,0))*Data[[#This Row],[Qty A]],"0")</f>
        <v>180000</v>
      </c>
      <c r="I21" s="36">
        <f>IFERROR(INDEX(Katalog!$F$3:$F$12,MATCH(Data[[#This Row],[ItemID A]],Katalog!$C$3:$C$12,0))*Data[[#This Row],[Qty A]],0)</f>
        <v>70000</v>
      </c>
      <c r="K21" t="str">
        <f>IFERROR(INDEX(Katalog!$A$3:$A$12,MATCH(Data[[#This Row],[ItemID B]],Katalog!$C$3:$C$12,0)),"-")</f>
        <v>-</v>
      </c>
      <c r="L21" t="str">
        <f>IFERROR(INDEX(Katalog!$B$3:$B$12,MATCH(Data[[#This Row],[ItemID B]],Katalog!$C$3:$C$12,0)),"-")</f>
        <v>-</v>
      </c>
      <c r="O21" s="36" t="str">
        <f>IFERROR(INDEX(Katalog!$D$3:$D$12,MATCH(Data[[#This Row],[ItemID B]],Katalog!$C$3:$C$12,0))*Data[[#This Row],[Qty B]],"0")</f>
        <v>0</v>
      </c>
      <c r="P21" s="36" t="str">
        <f>IFERROR(INDEX(Katalog!$F$3:$F$12,MATCH(Data[[#This Row],[ItemID B]],Katalog!$C$3:$C$12,0))*Data[[#This Row],[Qty B]],"0")</f>
        <v>0</v>
      </c>
      <c r="R21" t="str">
        <f>IFERROR(INDEX(Katalog!$A$3:$A$12,MATCH(Data[[#This Row],[ItemID C]],Katalog!$C$3:$C$12,0)),"-")</f>
        <v>-</v>
      </c>
      <c r="S21" t="str">
        <f>IFERROR(INDEX(Katalog!$B$3:$B$12,MATCH(Data[[#This Row],[ItemID C]],Katalog!$C$3:$C$12,0)),"-")</f>
        <v>-</v>
      </c>
      <c r="V21" s="36" t="str">
        <f>IFERROR(INDEX(Katalog!$D$3:$D$12,MATCH(Data[[#This Row],[ItemID C]],Katalog!$C$3:$C$12,0))*Data[[#This Row],[Qty C]],"0")</f>
        <v>0</v>
      </c>
      <c r="W21" s="36" t="str">
        <f>IFERROR(INDEX(Katalog!$F$3:$F$12,MATCH(Data[[#This Row],[ItemID C]],Katalog!$C$3:$C$12,0))*Data[[#This Row],[Qty C]],"0")</f>
        <v>0</v>
      </c>
      <c r="X21" s="21">
        <f>Data[[#This Row],[Qty A]]+Data[[#This Row],[Qty B]]+Data[[#This Row],[Qty C]]</f>
        <v>1</v>
      </c>
      <c r="Y21" s="22">
        <f>Data[[#This Row],[Harga Barang A]]+Data[[#This Row],[Harga Barang B]]+Data[[#This Row],[Harga Barang C]]</f>
        <v>180000</v>
      </c>
      <c r="Z21" s="35">
        <f>IFERROR(Data[[#This Row],[Total Harga]]-(Data[[#This Row],[Total Harga]]*Data[[#This Row],[Diskon]]),Data[[#This Row],[Total Harga]])</f>
        <v>180000</v>
      </c>
      <c r="AA21" s="35">
        <f>(Data[[#This Row],[Profit A]]+Data[[#This Row],[Profit B]]+Data[[#This Row],[Profit C]])</f>
        <v>70000</v>
      </c>
      <c r="AB21" s="35">
        <f>IFERROR((Data[[#This Row],[Profit non Diskon]]-(Data[[#This Row],[Profit non Diskon]]*Data[[#This Row],[Diskon]])),Data[[#This Row],[Profit non Diskon]])</f>
        <v>70000</v>
      </c>
      <c r="AC21" s="23" t="s">
        <v>11</v>
      </c>
      <c r="AD21" s="37" t="str">
        <f>IFERROR(INDEX('Kode Diskon'!$D$3:$D$9,MATCH(Data[[#This Row],[Kode diskon]],'Kode Diskon'!$C$3:$C$9,0)),"-")</f>
        <v>-</v>
      </c>
      <c r="AE21" s="23" t="s">
        <v>11</v>
      </c>
      <c r="AF21" s="23" t="s">
        <v>7</v>
      </c>
      <c r="AG21" s="23" t="s">
        <v>77</v>
      </c>
      <c r="AH21" s="24">
        <v>45025</v>
      </c>
      <c r="AI21" s="23" t="str">
        <f>TEXT(Data[[#This Row],[Tanggal terjual]],"dddd")</f>
        <v>Sunday</v>
      </c>
      <c r="AJ21" s="21" t="str">
        <f>TEXT(Data[[#This Row],[Tanggal terjual]],"wwww")</f>
        <v>wwww</v>
      </c>
    </row>
    <row r="22" spans="1:36" x14ac:dyDescent="0.2">
      <c r="A22" s="20">
        <v>21</v>
      </c>
      <c r="B22" s="21" t="str">
        <f>_xlfn.CONCAT("ORD-",INDEX(Helper!$B$2:$B$5,MATCH(Data[[#This Row],[Marketplace]],Helper!$A$2:$A$5,0)),TEXT(Data[[#This Row],[No]],"0000"),"-",TEXT(Data[[#This Row],[Tanggal terjual]],"dd/mm/yy"))</f>
        <v>ORD-SP0021-04/04/23</v>
      </c>
      <c r="C22" t="s">
        <v>59</v>
      </c>
      <c r="D22" t="str">
        <f>IFERROR(INDEX(Katalog!$A$3:$A$12,MATCH(Data[[#This Row],[ItemID A]],Katalog!$C$3:$C$12,0)),"-")</f>
        <v>Pakaian Wanita</v>
      </c>
      <c r="E22" t="str">
        <f>IFERROR(INDEX(Katalog!$B$3:$B$12,MATCH(Data[[#This Row],[ItemID A]],Katalog!$C$3:$C$12,0)),"-")</f>
        <v>Blouse</v>
      </c>
      <c r="F22">
        <v>2</v>
      </c>
      <c r="G22">
        <v>5</v>
      </c>
      <c r="H22" s="36">
        <f>IFERROR(INDEX(Katalog!$D$3:$D$12,MATCH(Data[[#This Row],[ItemID A]],Katalog!$C$3:$C$12,0))*Data[[#This Row],[Qty A]],"0")</f>
        <v>300000</v>
      </c>
      <c r="I22" s="36">
        <f>IFERROR(INDEX(Katalog!$F$3:$F$12,MATCH(Data[[#This Row],[ItemID A]],Katalog!$C$3:$C$12,0))*Data[[#This Row],[Qty A]],0)</f>
        <v>100000</v>
      </c>
      <c r="J22" t="s">
        <v>66</v>
      </c>
      <c r="K22" t="str">
        <f>IFERROR(INDEX(Katalog!$A$3:$A$12,MATCH(Data[[#This Row],[ItemID B]],Katalog!$C$3:$C$12,0)),"-")</f>
        <v>Sepatu Pria</v>
      </c>
      <c r="L22" t="str">
        <f>IFERROR(INDEX(Katalog!$B$3:$B$12,MATCH(Data[[#This Row],[ItemID B]],Katalog!$C$3:$C$12,0)),"-")</f>
        <v>Sandal Slip On</v>
      </c>
      <c r="M22">
        <v>1</v>
      </c>
      <c r="N22">
        <v>2</v>
      </c>
      <c r="O22" s="36">
        <f>IFERROR(INDEX(Katalog!$D$3:$D$12,MATCH(Data[[#This Row],[ItemID B]],Katalog!$C$3:$C$12,0))*Data[[#This Row],[Qty B]],"0")</f>
        <v>150000</v>
      </c>
      <c r="P22" s="36">
        <f>IFERROR(INDEX(Katalog!$F$3:$F$12,MATCH(Data[[#This Row],[ItemID B]],Katalog!$C$3:$C$12,0))*Data[[#This Row],[Qty B]],"0")</f>
        <v>60000</v>
      </c>
      <c r="R22" t="str">
        <f>IFERROR(INDEX(Katalog!$A$3:$A$12,MATCH(Data[[#This Row],[ItemID C]],Katalog!$C$3:$C$12,0)),"-")</f>
        <v>-</v>
      </c>
      <c r="S22" t="str">
        <f>IFERROR(INDEX(Katalog!$B$3:$B$12,MATCH(Data[[#This Row],[ItemID C]],Katalog!$C$3:$C$12,0)),"-")</f>
        <v>-</v>
      </c>
      <c r="V22" s="36" t="str">
        <f>IFERROR(INDEX(Katalog!$D$3:$D$12,MATCH(Data[[#This Row],[ItemID C]],Katalog!$C$3:$C$12,0))*Data[[#This Row],[Qty C]],"0")</f>
        <v>0</v>
      </c>
      <c r="W22" s="36" t="str">
        <f>IFERROR(INDEX(Katalog!$F$3:$F$12,MATCH(Data[[#This Row],[ItemID C]],Katalog!$C$3:$C$12,0))*Data[[#This Row],[Qty C]],"0")</f>
        <v>0</v>
      </c>
      <c r="X22" s="21">
        <f>Data[[#This Row],[Qty A]]+Data[[#This Row],[Qty B]]+Data[[#This Row],[Qty C]]</f>
        <v>3</v>
      </c>
      <c r="Y22" s="22">
        <f>Data[[#This Row],[Harga Barang A]]+Data[[#This Row],[Harga Barang B]]+Data[[#This Row],[Harga Barang C]]</f>
        <v>450000</v>
      </c>
      <c r="Z22" s="35">
        <f>IFERROR(Data[[#This Row],[Total Harga]]-(Data[[#This Row],[Total Harga]]*Data[[#This Row],[Diskon]]),Data[[#This Row],[Total Harga]])</f>
        <v>405000</v>
      </c>
      <c r="AA22" s="35">
        <f>(Data[[#This Row],[Profit A]]+Data[[#This Row],[Profit B]]+Data[[#This Row],[Profit C]])</f>
        <v>160000</v>
      </c>
      <c r="AB22" s="35">
        <f>IFERROR((Data[[#This Row],[Profit non Diskon]]-(Data[[#This Row],[Profit non Diskon]]*Data[[#This Row],[Diskon]])),Data[[#This Row],[Profit non Diskon]])</f>
        <v>144000</v>
      </c>
      <c r="AC22" s="23" t="s">
        <v>6</v>
      </c>
      <c r="AD22" s="37">
        <f>IFERROR(INDEX('Kode Diskon'!$D$3:$D$9,MATCH(Data[[#This Row],[Kode diskon]],'Kode Diskon'!$C$3:$C$9,0)),"-")</f>
        <v>0.1</v>
      </c>
      <c r="AE22" s="23" t="s">
        <v>29</v>
      </c>
      <c r="AF22" s="23" t="s">
        <v>7</v>
      </c>
      <c r="AG22" s="23" t="s">
        <v>80</v>
      </c>
      <c r="AH22" s="24">
        <v>45020</v>
      </c>
      <c r="AI22" s="23" t="str">
        <f>TEXT(Data[[#This Row],[Tanggal terjual]],"dddd")</f>
        <v>Tuesday</v>
      </c>
      <c r="AJ22" s="21" t="str">
        <f>TEXT(Data[[#This Row],[Tanggal terjual]],"wwww")</f>
        <v>wwww</v>
      </c>
    </row>
    <row r="23" spans="1:36" x14ac:dyDescent="0.2">
      <c r="A23" s="20">
        <v>22</v>
      </c>
      <c r="B23" s="21" t="str">
        <f>_xlfn.CONCAT("ORD-",INDEX(Helper!$B$2:$B$5,MATCH(Data[[#This Row],[Marketplace]],Helper!$A$2:$A$5,0)),TEXT(Data[[#This Row],[No]],"0000"),"-",TEXT(Data[[#This Row],[Tanggal terjual]],"dd/mm/yy"))</f>
        <v>ORD-SP0022-28/04/23</v>
      </c>
      <c r="C23" t="s">
        <v>64</v>
      </c>
      <c r="D23" t="str">
        <f>IFERROR(INDEX(Katalog!$A$3:$A$12,MATCH(Data[[#This Row],[ItemID A]],Katalog!$C$3:$C$12,0)),"-")</f>
        <v>Pakaian Unisex</v>
      </c>
      <c r="E23" t="str">
        <f>IFERROR(INDEX(Katalog!$B$3:$B$12,MATCH(Data[[#This Row],[ItemID A]],Katalog!$C$3:$C$12,0)),"-")</f>
        <v>Jaket Hoodie</v>
      </c>
      <c r="F23">
        <v>1</v>
      </c>
      <c r="G23">
        <v>1</v>
      </c>
      <c r="H23" s="36">
        <f>IFERROR(INDEX(Katalog!$D$3:$D$12,MATCH(Data[[#This Row],[ItemID A]],Katalog!$C$3:$C$12,0))*Data[[#This Row],[Qty A]],"0")</f>
        <v>350000</v>
      </c>
      <c r="I23" s="36">
        <f>IFERROR(INDEX(Katalog!$F$3:$F$12,MATCH(Data[[#This Row],[ItemID A]],Katalog!$C$3:$C$12,0))*Data[[#This Row],[Qty A]],0)</f>
        <v>130000</v>
      </c>
      <c r="J23" t="s">
        <v>58</v>
      </c>
      <c r="K23" t="str">
        <f>IFERROR(INDEX(Katalog!$A$3:$A$12,MATCH(Data[[#This Row],[ItemID B]],Katalog!$C$3:$C$12,0)),"-")</f>
        <v>Pakaian Wanita</v>
      </c>
      <c r="L23" t="str">
        <f>IFERROR(INDEX(Katalog!$B$3:$B$12,MATCH(Data[[#This Row],[ItemID B]],Katalog!$C$3:$C$12,0)),"-")</f>
        <v>Dress</v>
      </c>
      <c r="M23">
        <v>3</v>
      </c>
      <c r="N23">
        <v>1</v>
      </c>
      <c r="O23" s="36">
        <f>IFERROR(INDEX(Katalog!$D$3:$D$12,MATCH(Data[[#This Row],[ItemID B]],Katalog!$C$3:$C$12,0))*Data[[#This Row],[Qty B]],"0")</f>
        <v>900000</v>
      </c>
      <c r="P23" s="36">
        <f>IFERROR(INDEX(Katalog!$F$3:$F$12,MATCH(Data[[#This Row],[ItemID B]],Katalog!$C$3:$C$12,0))*Data[[#This Row],[Qty B]],"0")</f>
        <v>300000</v>
      </c>
      <c r="R23" t="str">
        <f>IFERROR(INDEX(Katalog!$A$3:$A$12,MATCH(Data[[#This Row],[ItemID C]],Katalog!$C$3:$C$12,0)),"-")</f>
        <v>-</v>
      </c>
      <c r="S23" t="str">
        <f>IFERROR(INDEX(Katalog!$B$3:$B$12,MATCH(Data[[#This Row],[ItemID C]],Katalog!$C$3:$C$12,0)),"-")</f>
        <v>-</v>
      </c>
      <c r="V23" s="36" t="str">
        <f>IFERROR(INDEX(Katalog!$D$3:$D$12,MATCH(Data[[#This Row],[ItemID C]],Katalog!$C$3:$C$12,0))*Data[[#This Row],[Qty C]],"0")</f>
        <v>0</v>
      </c>
      <c r="W23" s="36" t="str">
        <f>IFERROR(INDEX(Katalog!$F$3:$F$12,MATCH(Data[[#This Row],[ItemID C]],Katalog!$C$3:$C$12,0))*Data[[#This Row],[Qty C]],"0")</f>
        <v>0</v>
      </c>
      <c r="X23" s="21">
        <f>Data[[#This Row],[Qty A]]+Data[[#This Row],[Qty B]]+Data[[#This Row],[Qty C]]</f>
        <v>4</v>
      </c>
      <c r="Y23" s="22">
        <f>Data[[#This Row],[Harga Barang A]]+Data[[#This Row],[Harga Barang B]]+Data[[#This Row],[Harga Barang C]]</f>
        <v>1250000</v>
      </c>
      <c r="Z23" s="35">
        <f>IFERROR(Data[[#This Row],[Total Harga]]-(Data[[#This Row],[Total Harga]]*Data[[#This Row],[Diskon]]),Data[[#This Row],[Total Harga]])</f>
        <v>1000000</v>
      </c>
      <c r="AA23" s="35">
        <f>(Data[[#This Row],[Profit A]]+Data[[#This Row],[Profit B]]+Data[[#This Row],[Profit C]])</f>
        <v>430000</v>
      </c>
      <c r="AB23" s="35">
        <f>IFERROR((Data[[#This Row],[Profit non Diskon]]-(Data[[#This Row],[Profit non Diskon]]*Data[[#This Row],[Diskon]])),Data[[#This Row],[Profit non Diskon]])</f>
        <v>344000</v>
      </c>
      <c r="AC23" s="23" t="s">
        <v>8</v>
      </c>
      <c r="AD23" s="37">
        <f>IFERROR(INDEX('Kode Diskon'!$D$3:$D$9,MATCH(Data[[#This Row],[Kode diskon]],'Kode Diskon'!$C$3:$C$9,0)),"-")</f>
        <v>0.2</v>
      </c>
      <c r="AE23" s="23" t="s">
        <v>9</v>
      </c>
      <c r="AF23" s="23" t="s">
        <v>7</v>
      </c>
      <c r="AG23" s="23" t="s">
        <v>78</v>
      </c>
      <c r="AH23" s="24">
        <v>45044</v>
      </c>
      <c r="AI23" s="23" t="str">
        <f>TEXT(Data[[#This Row],[Tanggal terjual]],"dddd")</f>
        <v>Friday</v>
      </c>
      <c r="AJ23" s="21" t="str">
        <f>TEXT(Data[[#This Row],[Tanggal terjual]],"wwww")</f>
        <v>wwww</v>
      </c>
    </row>
    <row r="24" spans="1:36" x14ac:dyDescent="0.2">
      <c r="A24" s="20">
        <v>23</v>
      </c>
      <c r="B24" s="21" t="str">
        <f>_xlfn.CONCAT("ORD-",INDEX(Helper!$B$2:$B$5,MATCH(Data[[#This Row],[Marketplace]],Helper!$A$2:$A$5,0)),TEXT(Data[[#This Row],[No]],"0000"),"-",TEXT(Data[[#This Row],[Tanggal terjual]],"dd/mm/yy"))</f>
        <v>ORD-SP0023-30/04/23</v>
      </c>
      <c r="C24" t="s">
        <v>59</v>
      </c>
      <c r="D24" t="str">
        <f>IFERROR(INDEX(Katalog!$A$3:$A$12,MATCH(Data[[#This Row],[ItemID A]],Katalog!$C$3:$C$12,0)),"-")</f>
        <v>Pakaian Wanita</v>
      </c>
      <c r="E24" t="str">
        <f>IFERROR(INDEX(Katalog!$B$3:$B$12,MATCH(Data[[#This Row],[ItemID A]],Katalog!$C$3:$C$12,0)),"-")</f>
        <v>Blouse</v>
      </c>
      <c r="F24">
        <v>3</v>
      </c>
      <c r="G24">
        <v>2</v>
      </c>
      <c r="H24" s="36">
        <f>IFERROR(INDEX(Katalog!$D$3:$D$12,MATCH(Data[[#This Row],[ItemID A]],Katalog!$C$3:$C$12,0))*Data[[#This Row],[Qty A]],"0")</f>
        <v>450000</v>
      </c>
      <c r="I24" s="36">
        <f>IFERROR(INDEX(Katalog!$F$3:$F$12,MATCH(Data[[#This Row],[ItemID A]],Katalog!$C$3:$C$12,0))*Data[[#This Row],[Qty A]],0)</f>
        <v>150000</v>
      </c>
      <c r="J24" t="s">
        <v>66</v>
      </c>
      <c r="K24" t="str">
        <f>IFERROR(INDEX(Katalog!$A$3:$A$12,MATCH(Data[[#This Row],[ItemID B]],Katalog!$C$3:$C$12,0)),"-")</f>
        <v>Sepatu Pria</v>
      </c>
      <c r="L24" t="str">
        <f>IFERROR(INDEX(Katalog!$B$3:$B$12,MATCH(Data[[#This Row],[ItemID B]],Katalog!$C$3:$C$12,0)),"-")</f>
        <v>Sandal Slip On</v>
      </c>
      <c r="M24">
        <v>1</v>
      </c>
      <c r="N24">
        <v>5</v>
      </c>
      <c r="O24" s="36">
        <f>IFERROR(INDEX(Katalog!$D$3:$D$12,MATCH(Data[[#This Row],[ItemID B]],Katalog!$C$3:$C$12,0))*Data[[#This Row],[Qty B]],"0")</f>
        <v>150000</v>
      </c>
      <c r="P24" s="36">
        <f>IFERROR(INDEX(Katalog!$F$3:$F$12,MATCH(Data[[#This Row],[ItemID B]],Katalog!$C$3:$C$12,0))*Data[[#This Row],[Qty B]],"0")</f>
        <v>60000</v>
      </c>
      <c r="R24" t="str">
        <f>IFERROR(INDEX(Katalog!$A$3:$A$12,MATCH(Data[[#This Row],[ItemID C]],Katalog!$C$3:$C$12,0)),"-")</f>
        <v>-</v>
      </c>
      <c r="S24" t="str">
        <f>IFERROR(INDEX(Katalog!$B$3:$B$12,MATCH(Data[[#This Row],[ItemID C]],Katalog!$C$3:$C$12,0)),"-")</f>
        <v>-</v>
      </c>
      <c r="V24" s="36" t="str">
        <f>IFERROR(INDEX(Katalog!$D$3:$D$12,MATCH(Data[[#This Row],[ItemID C]],Katalog!$C$3:$C$12,0))*Data[[#This Row],[Qty C]],"0")</f>
        <v>0</v>
      </c>
      <c r="W24" s="36" t="str">
        <f>IFERROR(INDEX(Katalog!$F$3:$F$12,MATCH(Data[[#This Row],[ItemID C]],Katalog!$C$3:$C$12,0))*Data[[#This Row],[Qty C]],"0")</f>
        <v>0</v>
      </c>
      <c r="X24" s="21">
        <f>Data[[#This Row],[Qty A]]+Data[[#This Row],[Qty B]]+Data[[#This Row],[Qty C]]</f>
        <v>4</v>
      </c>
      <c r="Y24" s="22">
        <f>Data[[#This Row],[Harga Barang A]]+Data[[#This Row],[Harga Barang B]]+Data[[#This Row],[Harga Barang C]]</f>
        <v>600000</v>
      </c>
      <c r="Z24" s="35">
        <f>IFERROR(Data[[#This Row],[Total Harga]]-(Data[[#This Row],[Total Harga]]*Data[[#This Row],[Diskon]]),Data[[#This Row],[Total Harga]])</f>
        <v>480000</v>
      </c>
      <c r="AA24" s="35">
        <f>(Data[[#This Row],[Profit A]]+Data[[#This Row],[Profit B]]+Data[[#This Row],[Profit C]])</f>
        <v>210000</v>
      </c>
      <c r="AB24" s="35">
        <f>IFERROR((Data[[#This Row],[Profit non Diskon]]-(Data[[#This Row],[Profit non Diskon]]*Data[[#This Row],[Diskon]])),Data[[#This Row],[Profit non Diskon]])</f>
        <v>168000</v>
      </c>
      <c r="AC24" s="23" t="s">
        <v>8</v>
      </c>
      <c r="AD24" s="37">
        <f>IFERROR(INDEX('Kode Diskon'!$D$3:$D$9,MATCH(Data[[#This Row],[Kode diskon]],'Kode Diskon'!$C$3:$C$9,0)),"-")</f>
        <v>0.2</v>
      </c>
      <c r="AE24" s="23" t="s">
        <v>9</v>
      </c>
      <c r="AF24" s="23" t="s">
        <v>7</v>
      </c>
      <c r="AG24" s="23" t="s">
        <v>75</v>
      </c>
      <c r="AH24" s="24">
        <v>45046</v>
      </c>
      <c r="AI24" s="23" t="str">
        <f>TEXT(Data[[#This Row],[Tanggal terjual]],"dddd")</f>
        <v>Sunday</v>
      </c>
      <c r="AJ24" s="21" t="str">
        <f>TEXT(Data[[#This Row],[Tanggal terjual]],"wwww")</f>
        <v>wwww</v>
      </c>
    </row>
    <row r="25" spans="1:36" x14ac:dyDescent="0.2">
      <c r="A25" s="20">
        <v>24</v>
      </c>
      <c r="B25" s="21" t="str">
        <f>_xlfn.CONCAT("ORD-",INDEX(Helper!$B$2:$B$5,MATCH(Data[[#This Row],[Marketplace]],Helper!$A$2:$A$5,0)),TEXT(Data[[#This Row],[No]],"0000"),"-",TEXT(Data[[#This Row],[Tanggal terjual]],"dd/mm/yy"))</f>
        <v>ORD-TK0024-06/04/23</v>
      </c>
      <c r="C25" t="s">
        <v>60</v>
      </c>
      <c r="D25" t="str">
        <f>IFERROR(INDEX(Katalog!$A$3:$A$12,MATCH(Data[[#This Row],[ItemID A]],Katalog!$C$3:$C$12,0)),"-")</f>
        <v>Pakaian Wanita</v>
      </c>
      <c r="E25" t="str">
        <f>IFERROR(INDEX(Katalog!$B$3:$B$12,MATCH(Data[[#This Row],[ItemID A]],Katalog!$C$3:$C$12,0)),"-")</f>
        <v>Kaftan</v>
      </c>
      <c r="F25">
        <v>7</v>
      </c>
      <c r="G25">
        <v>4</v>
      </c>
      <c r="H25" s="36">
        <f>IFERROR(INDEX(Katalog!$D$3:$D$12,MATCH(Data[[#This Row],[ItemID A]],Katalog!$C$3:$C$12,0))*Data[[#This Row],[Qty A]],"0")</f>
        <v>1750000</v>
      </c>
      <c r="I25" s="36">
        <f>IFERROR(INDEX(Katalog!$F$3:$F$12,MATCH(Data[[#This Row],[ItemID A]],Katalog!$C$3:$C$12,0))*Data[[#This Row],[Qty A]],0)</f>
        <v>700000</v>
      </c>
      <c r="K25" t="str">
        <f>IFERROR(INDEX(Katalog!$A$3:$A$12,MATCH(Data[[#This Row],[ItemID B]],Katalog!$C$3:$C$12,0)),"-")</f>
        <v>-</v>
      </c>
      <c r="L25" t="str">
        <f>IFERROR(INDEX(Katalog!$B$3:$B$12,MATCH(Data[[#This Row],[ItemID B]],Katalog!$C$3:$C$12,0)),"-")</f>
        <v>-</v>
      </c>
      <c r="O25" s="36" t="str">
        <f>IFERROR(INDEX(Katalog!$D$3:$D$12,MATCH(Data[[#This Row],[ItemID B]],Katalog!$C$3:$C$12,0))*Data[[#This Row],[Qty B]],"0")</f>
        <v>0</v>
      </c>
      <c r="P25" s="36" t="str">
        <f>IFERROR(INDEX(Katalog!$F$3:$F$12,MATCH(Data[[#This Row],[ItemID B]],Katalog!$C$3:$C$12,0))*Data[[#This Row],[Qty B]],"0")</f>
        <v>0</v>
      </c>
      <c r="R25" t="str">
        <f>IFERROR(INDEX(Katalog!$A$3:$A$12,MATCH(Data[[#This Row],[ItemID C]],Katalog!$C$3:$C$12,0)),"-")</f>
        <v>-</v>
      </c>
      <c r="S25" t="str">
        <f>IFERROR(INDEX(Katalog!$B$3:$B$12,MATCH(Data[[#This Row],[ItemID C]],Katalog!$C$3:$C$12,0)),"-")</f>
        <v>-</v>
      </c>
      <c r="V25" s="36" t="str">
        <f>IFERROR(INDEX(Katalog!$D$3:$D$12,MATCH(Data[[#This Row],[ItemID C]],Katalog!$C$3:$C$12,0))*Data[[#This Row],[Qty C]],"0")</f>
        <v>0</v>
      </c>
      <c r="W25" s="36" t="str">
        <f>IFERROR(INDEX(Katalog!$F$3:$F$12,MATCH(Data[[#This Row],[ItemID C]],Katalog!$C$3:$C$12,0))*Data[[#This Row],[Qty C]],"0")</f>
        <v>0</v>
      </c>
      <c r="X25" s="21">
        <f>Data[[#This Row],[Qty A]]+Data[[#This Row],[Qty B]]+Data[[#This Row],[Qty C]]</f>
        <v>7</v>
      </c>
      <c r="Y25" s="22">
        <f>Data[[#This Row],[Harga Barang A]]+Data[[#This Row],[Harga Barang B]]+Data[[#This Row],[Harga Barang C]]</f>
        <v>1750000</v>
      </c>
      <c r="Z25" s="35">
        <f>IFERROR(Data[[#This Row],[Total Harga]]-(Data[[#This Row],[Total Harga]]*Data[[#This Row],[Diskon]]),Data[[#This Row],[Total Harga]])</f>
        <v>1575000</v>
      </c>
      <c r="AA25" s="35">
        <f>(Data[[#This Row],[Profit A]]+Data[[#This Row],[Profit B]]+Data[[#This Row],[Profit C]])</f>
        <v>700000</v>
      </c>
      <c r="AB25" s="35">
        <f>IFERROR((Data[[#This Row],[Profit non Diskon]]-(Data[[#This Row],[Profit non Diskon]]*Data[[#This Row],[Diskon]])),Data[[#This Row],[Profit non Diskon]])</f>
        <v>630000</v>
      </c>
      <c r="AC25" s="23" t="s">
        <v>30</v>
      </c>
      <c r="AD25" s="37">
        <f>IFERROR(INDEX('Kode Diskon'!$D$3:$D$9,MATCH(Data[[#This Row],[Kode diskon]],'Kode Diskon'!$C$3:$C$9,0)),"-")</f>
        <v>0.1</v>
      </c>
      <c r="AE25" s="23" t="s">
        <v>29</v>
      </c>
      <c r="AF25" s="23" t="s">
        <v>10</v>
      </c>
      <c r="AG25" s="23" t="s">
        <v>78</v>
      </c>
      <c r="AH25" s="24">
        <v>45022</v>
      </c>
      <c r="AI25" s="23" t="str">
        <f>TEXT(Data[[#This Row],[Tanggal terjual]],"dddd")</f>
        <v>Thursday</v>
      </c>
      <c r="AJ25" s="21" t="str">
        <f>TEXT(Data[[#This Row],[Tanggal terjual]],"wwww")</f>
        <v>wwww</v>
      </c>
    </row>
    <row r="26" spans="1:36" x14ac:dyDescent="0.2">
      <c r="A26" s="20">
        <v>25</v>
      </c>
      <c r="B26" s="21" t="str">
        <f>_xlfn.CONCAT("ORD-",INDEX(Helper!$B$2:$B$5,MATCH(Data[[#This Row],[Marketplace]],Helper!$A$2:$A$5,0)),TEXT(Data[[#This Row],[No]],"0000"),"-",TEXT(Data[[#This Row],[Tanggal terjual]],"dd/mm/yy"))</f>
        <v>ORD-SP0025-02/04/23</v>
      </c>
      <c r="C26" t="s">
        <v>64</v>
      </c>
      <c r="D26" t="str">
        <f>IFERROR(INDEX(Katalog!$A$3:$A$12,MATCH(Data[[#This Row],[ItemID A]],Katalog!$C$3:$C$12,0)),"-")</f>
        <v>Pakaian Unisex</v>
      </c>
      <c r="E26" t="str">
        <f>IFERROR(INDEX(Katalog!$B$3:$B$12,MATCH(Data[[#This Row],[ItemID A]],Katalog!$C$3:$C$12,0)),"-")</f>
        <v>Jaket Hoodie</v>
      </c>
      <c r="F26">
        <v>1</v>
      </c>
      <c r="G26">
        <v>1</v>
      </c>
      <c r="H26" s="36">
        <f>IFERROR(INDEX(Katalog!$D$3:$D$12,MATCH(Data[[#This Row],[ItemID A]],Katalog!$C$3:$C$12,0))*Data[[#This Row],[Qty A]],"0")</f>
        <v>350000</v>
      </c>
      <c r="I26" s="36">
        <f>IFERROR(INDEX(Katalog!$F$3:$F$12,MATCH(Data[[#This Row],[ItemID A]],Katalog!$C$3:$C$12,0))*Data[[#This Row],[Qty A]],0)</f>
        <v>130000</v>
      </c>
      <c r="J26" t="s">
        <v>58</v>
      </c>
      <c r="K26" t="str">
        <f>IFERROR(INDEX(Katalog!$A$3:$A$12,MATCH(Data[[#This Row],[ItemID B]],Katalog!$C$3:$C$12,0)),"-")</f>
        <v>Pakaian Wanita</v>
      </c>
      <c r="L26" t="str">
        <f>IFERROR(INDEX(Katalog!$B$3:$B$12,MATCH(Data[[#This Row],[ItemID B]],Katalog!$C$3:$C$12,0)),"-")</f>
        <v>Dress</v>
      </c>
      <c r="M26">
        <v>6</v>
      </c>
      <c r="N26">
        <v>5</v>
      </c>
      <c r="O26" s="36">
        <f>IFERROR(INDEX(Katalog!$D$3:$D$12,MATCH(Data[[#This Row],[ItemID B]],Katalog!$C$3:$C$12,0))*Data[[#This Row],[Qty B]],"0")</f>
        <v>1800000</v>
      </c>
      <c r="P26" s="36">
        <f>IFERROR(INDEX(Katalog!$F$3:$F$12,MATCH(Data[[#This Row],[ItemID B]],Katalog!$C$3:$C$12,0))*Data[[#This Row],[Qty B]],"0")</f>
        <v>600000</v>
      </c>
      <c r="R26" t="str">
        <f>IFERROR(INDEX(Katalog!$A$3:$A$12,MATCH(Data[[#This Row],[ItemID C]],Katalog!$C$3:$C$12,0)),"-")</f>
        <v>-</v>
      </c>
      <c r="S26" t="str">
        <f>IFERROR(INDEX(Katalog!$B$3:$B$12,MATCH(Data[[#This Row],[ItemID C]],Katalog!$C$3:$C$12,0)),"-")</f>
        <v>-</v>
      </c>
      <c r="V26" s="36" t="str">
        <f>IFERROR(INDEX(Katalog!$D$3:$D$12,MATCH(Data[[#This Row],[ItemID C]],Katalog!$C$3:$C$12,0))*Data[[#This Row],[Qty C]],"0")</f>
        <v>0</v>
      </c>
      <c r="W26" s="36" t="str">
        <f>IFERROR(INDEX(Katalog!$F$3:$F$12,MATCH(Data[[#This Row],[ItemID C]],Katalog!$C$3:$C$12,0))*Data[[#This Row],[Qty C]],"0")</f>
        <v>0</v>
      </c>
      <c r="X26" s="21">
        <f>Data[[#This Row],[Qty A]]+Data[[#This Row],[Qty B]]+Data[[#This Row],[Qty C]]</f>
        <v>7</v>
      </c>
      <c r="Y26" s="22">
        <f>Data[[#This Row],[Harga Barang A]]+Data[[#This Row],[Harga Barang B]]+Data[[#This Row],[Harga Barang C]]</f>
        <v>2150000</v>
      </c>
      <c r="Z26" s="35">
        <f>IFERROR(Data[[#This Row],[Total Harga]]-(Data[[#This Row],[Total Harga]]*Data[[#This Row],[Diskon]]),Data[[#This Row],[Total Harga]])</f>
        <v>1827500</v>
      </c>
      <c r="AA26" s="35">
        <f>(Data[[#This Row],[Profit A]]+Data[[#This Row],[Profit B]]+Data[[#This Row],[Profit C]])</f>
        <v>730000</v>
      </c>
      <c r="AB26" s="35">
        <f>IFERROR((Data[[#This Row],[Profit non Diskon]]-(Data[[#This Row],[Profit non Diskon]]*Data[[#This Row],[Diskon]])),Data[[#This Row],[Profit non Diskon]])</f>
        <v>620500</v>
      </c>
      <c r="AC26" s="23" t="s">
        <v>13</v>
      </c>
      <c r="AD26" s="37">
        <f>IFERROR(INDEX('Kode Diskon'!$D$3:$D$9,MATCH(Data[[#This Row],[Kode diskon]],'Kode Diskon'!$C$3:$C$9,0)),"-")</f>
        <v>0.15</v>
      </c>
      <c r="AE26" s="23" t="s">
        <v>29</v>
      </c>
      <c r="AF26" s="23" t="s">
        <v>7</v>
      </c>
      <c r="AG26" s="23" t="s">
        <v>80</v>
      </c>
      <c r="AH26" s="24">
        <v>45018</v>
      </c>
      <c r="AI26" s="23" t="str">
        <f>TEXT(Data[[#This Row],[Tanggal terjual]],"dddd")</f>
        <v>Sunday</v>
      </c>
      <c r="AJ26" s="21" t="str">
        <f>TEXT(Data[[#This Row],[Tanggal terjual]],"wwww")</f>
        <v>wwww</v>
      </c>
    </row>
    <row r="27" spans="1:36" x14ac:dyDescent="0.2">
      <c r="A27" s="20">
        <v>26</v>
      </c>
      <c r="B27" s="21" t="str">
        <f>_xlfn.CONCAT("ORD-",INDEX(Helper!$B$2:$B$5,MATCH(Data[[#This Row],[Marketplace]],Helper!$A$2:$A$5,0)),TEXT(Data[[#This Row],[No]],"0000"),"-",TEXT(Data[[#This Row],[Tanggal terjual]],"dd/mm/yy"))</f>
        <v>ORD-BL0026-25/04/23</v>
      </c>
      <c r="C27" t="s">
        <v>63</v>
      </c>
      <c r="D27" t="str">
        <f>IFERROR(INDEX(Katalog!$A$3:$A$12,MATCH(Data[[#This Row],[ItemID A]],Katalog!$C$3:$C$12,0)),"-")</f>
        <v>Pakaian Pria</v>
      </c>
      <c r="E27" t="str">
        <f>IFERROR(INDEX(Katalog!$B$3:$B$12,MATCH(Data[[#This Row],[ItemID A]],Katalog!$C$3:$C$12,0)),"-")</f>
        <v>Jaket Jeans</v>
      </c>
      <c r="F27">
        <v>2</v>
      </c>
      <c r="G27">
        <v>3</v>
      </c>
      <c r="H27" s="36">
        <f>IFERROR(INDEX(Katalog!$D$3:$D$12,MATCH(Data[[#This Row],[ItemID A]],Katalog!$C$3:$C$12,0))*Data[[#This Row],[Qty A]],"0")</f>
        <v>800000</v>
      </c>
      <c r="I27" s="36">
        <f>IFERROR(INDEX(Katalog!$F$3:$F$12,MATCH(Data[[#This Row],[ItemID A]],Katalog!$C$3:$C$12,0))*Data[[#This Row],[Qty A]],0)</f>
        <v>300000</v>
      </c>
      <c r="J27" t="s">
        <v>58</v>
      </c>
      <c r="K27" t="str">
        <f>IFERROR(INDEX(Katalog!$A$3:$A$12,MATCH(Data[[#This Row],[ItemID B]],Katalog!$C$3:$C$12,0)),"-")</f>
        <v>Pakaian Wanita</v>
      </c>
      <c r="L27" t="str">
        <f>IFERROR(INDEX(Katalog!$B$3:$B$12,MATCH(Data[[#This Row],[ItemID B]],Katalog!$C$3:$C$12,0)),"-")</f>
        <v>Dress</v>
      </c>
      <c r="M27">
        <v>3</v>
      </c>
      <c r="N27">
        <v>1</v>
      </c>
      <c r="O27" s="36">
        <f>IFERROR(INDEX(Katalog!$D$3:$D$12,MATCH(Data[[#This Row],[ItemID B]],Katalog!$C$3:$C$12,0))*Data[[#This Row],[Qty B]],"0")</f>
        <v>900000</v>
      </c>
      <c r="P27" s="36">
        <f>IFERROR(INDEX(Katalog!$F$3:$F$12,MATCH(Data[[#This Row],[ItemID B]],Katalog!$C$3:$C$12,0))*Data[[#This Row],[Qty B]],"0")</f>
        <v>300000</v>
      </c>
      <c r="R27" t="str">
        <f>IFERROR(INDEX(Katalog!$A$3:$A$12,MATCH(Data[[#This Row],[ItemID C]],Katalog!$C$3:$C$12,0)),"-")</f>
        <v>-</v>
      </c>
      <c r="S27" t="str">
        <f>IFERROR(INDEX(Katalog!$B$3:$B$12,MATCH(Data[[#This Row],[ItemID C]],Katalog!$C$3:$C$12,0)),"-")</f>
        <v>-</v>
      </c>
      <c r="V27" s="36" t="str">
        <f>IFERROR(INDEX(Katalog!$D$3:$D$12,MATCH(Data[[#This Row],[ItemID C]],Katalog!$C$3:$C$12,0))*Data[[#This Row],[Qty C]],"0")</f>
        <v>0</v>
      </c>
      <c r="W27" s="36" t="str">
        <f>IFERROR(INDEX(Katalog!$F$3:$F$12,MATCH(Data[[#This Row],[ItemID C]],Katalog!$C$3:$C$12,0))*Data[[#This Row],[Qty C]],"0")</f>
        <v>0</v>
      </c>
      <c r="X27" s="21">
        <f>Data[[#This Row],[Qty A]]+Data[[#This Row],[Qty B]]+Data[[#This Row],[Qty C]]</f>
        <v>5</v>
      </c>
      <c r="Y27" s="22">
        <f>Data[[#This Row],[Harga Barang A]]+Data[[#This Row],[Harga Barang B]]+Data[[#This Row],[Harga Barang C]]</f>
        <v>1700000</v>
      </c>
      <c r="Z27" s="35">
        <f>IFERROR(Data[[#This Row],[Total Harga]]-(Data[[#This Row],[Total Harga]]*Data[[#This Row],[Diskon]]),Data[[#This Row],[Total Harga]])</f>
        <v>1445000</v>
      </c>
      <c r="AA27" s="35">
        <f>(Data[[#This Row],[Profit A]]+Data[[#This Row],[Profit B]]+Data[[#This Row],[Profit C]])</f>
        <v>600000</v>
      </c>
      <c r="AB27" s="35">
        <f>IFERROR((Data[[#This Row],[Profit non Diskon]]-(Data[[#This Row],[Profit non Diskon]]*Data[[#This Row],[Diskon]])),Data[[#This Row],[Profit non Diskon]])</f>
        <v>510000</v>
      </c>
      <c r="AC27" s="23" t="s">
        <v>32</v>
      </c>
      <c r="AD27" s="37">
        <f>IFERROR(INDEX('Kode Diskon'!$D$3:$D$9,MATCH(Data[[#This Row],[Kode diskon]],'Kode Diskon'!$C$3:$C$9,0)),"-")</f>
        <v>0.15</v>
      </c>
      <c r="AE27" s="23" t="s">
        <v>9</v>
      </c>
      <c r="AF27" s="23" t="s">
        <v>12</v>
      </c>
      <c r="AG27" s="23" t="s">
        <v>80</v>
      </c>
      <c r="AH27" s="24">
        <v>45041</v>
      </c>
      <c r="AI27" s="23" t="str">
        <f>TEXT(Data[[#This Row],[Tanggal terjual]],"dddd")</f>
        <v>Tuesday</v>
      </c>
      <c r="AJ27" s="21" t="str">
        <f>TEXT(Data[[#This Row],[Tanggal terjual]],"wwww")</f>
        <v>wwww</v>
      </c>
    </row>
    <row r="28" spans="1:36" x14ac:dyDescent="0.2">
      <c r="A28" s="20">
        <v>27</v>
      </c>
      <c r="B28" s="21" t="str">
        <f>_xlfn.CONCAT("ORD-",INDEX(Helper!$B$2:$B$5,MATCH(Data[[#This Row],[Marketplace]],Helper!$A$2:$A$5,0)),TEXT(Data[[#This Row],[No]],"0000"),"-",TEXT(Data[[#This Row],[Tanggal terjual]],"dd/mm/yy"))</f>
        <v>ORD-BB0027-01/04/23</v>
      </c>
      <c r="C28" t="s">
        <v>67</v>
      </c>
      <c r="D28" t="str">
        <f>IFERROR(INDEX(Katalog!$A$3:$A$12,MATCH(Data[[#This Row],[ItemID A]],Katalog!$C$3:$C$12,0)),"-")</f>
        <v>Sepatu Wanita</v>
      </c>
      <c r="E28" t="str">
        <f>IFERROR(INDEX(Katalog!$B$3:$B$12,MATCH(Data[[#This Row],[ItemID A]],Katalog!$C$3:$C$12,0)),"-")</f>
        <v>Flat Shoes</v>
      </c>
      <c r="F28">
        <v>3</v>
      </c>
      <c r="G28">
        <v>1</v>
      </c>
      <c r="H28" s="36">
        <f>IFERROR(INDEX(Katalog!$D$3:$D$12,MATCH(Data[[#This Row],[ItemID A]],Katalog!$C$3:$C$12,0))*Data[[#This Row],[Qty A]],"0")</f>
        <v>750000</v>
      </c>
      <c r="I28" s="36">
        <f>IFERROR(INDEX(Katalog!$F$3:$F$12,MATCH(Data[[#This Row],[ItemID A]],Katalog!$C$3:$C$12,0))*Data[[#This Row],[Qty A]],0)</f>
        <v>300000</v>
      </c>
      <c r="J28" t="s">
        <v>61</v>
      </c>
      <c r="K28" t="str">
        <f>IFERROR(INDEX(Katalog!$A$3:$A$12,MATCH(Data[[#This Row],[ItemID B]],Katalog!$C$3:$C$12,0)),"-")</f>
        <v>Pakaian Pria</v>
      </c>
      <c r="L28" t="str">
        <f>IFERROR(INDEX(Katalog!$B$3:$B$12,MATCH(Data[[#This Row],[ItemID B]],Katalog!$C$3:$C$12,0)),"-")</f>
        <v>Kaos Polo</v>
      </c>
      <c r="M28">
        <v>2</v>
      </c>
      <c r="N28">
        <v>3</v>
      </c>
      <c r="O28" s="36">
        <f>IFERROR(INDEX(Katalog!$D$3:$D$12,MATCH(Data[[#This Row],[ItemID B]],Katalog!$C$3:$C$12,0))*Data[[#This Row],[Qty B]],"0")</f>
        <v>400000</v>
      </c>
      <c r="P28" s="36">
        <f>IFERROR(INDEX(Katalog!$F$3:$F$12,MATCH(Data[[#This Row],[ItemID B]],Katalog!$C$3:$C$12,0))*Data[[#This Row],[Qty B]],"0")</f>
        <v>160000</v>
      </c>
      <c r="Q28" t="s">
        <v>58</v>
      </c>
      <c r="R28" t="str">
        <f>IFERROR(INDEX(Katalog!$A$3:$A$12,MATCH(Data[[#This Row],[ItemID C]],Katalog!$C$3:$C$12,0)),"-")</f>
        <v>Pakaian Wanita</v>
      </c>
      <c r="S28" t="str">
        <f>IFERROR(INDEX(Katalog!$B$3:$B$12,MATCH(Data[[#This Row],[ItemID C]],Katalog!$C$3:$C$12,0)),"-")</f>
        <v>Dress</v>
      </c>
      <c r="T28">
        <v>1</v>
      </c>
      <c r="U28">
        <v>3</v>
      </c>
      <c r="V28" s="36">
        <f>IFERROR(INDEX(Katalog!$D$3:$D$12,MATCH(Data[[#This Row],[ItemID C]],Katalog!$C$3:$C$12,0))*Data[[#This Row],[Qty C]],"0")</f>
        <v>300000</v>
      </c>
      <c r="W28" s="36">
        <f>IFERROR(INDEX(Katalog!$F$3:$F$12,MATCH(Data[[#This Row],[ItemID C]],Katalog!$C$3:$C$12,0))*Data[[#This Row],[Qty C]],"0")</f>
        <v>100000</v>
      </c>
      <c r="X28" s="21">
        <f>Data[[#This Row],[Qty A]]+Data[[#This Row],[Qty B]]+Data[[#This Row],[Qty C]]</f>
        <v>6</v>
      </c>
      <c r="Y28" s="22">
        <f>Data[[#This Row],[Harga Barang A]]+Data[[#This Row],[Harga Barang B]]+Data[[#This Row],[Harga Barang C]]</f>
        <v>1450000</v>
      </c>
      <c r="Z28" s="35">
        <f>IFERROR(Data[[#This Row],[Total Harga]]-(Data[[#This Row],[Total Harga]]*Data[[#This Row],[Diskon]]),Data[[#This Row],[Total Harga]])</f>
        <v>1232500</v>
      </c>
      <c r="AA28" s="35">
        <f>(Data[[#This Row],[Profit A]]+Data[[#This Row],[Profit B]]+Data[[#This Row],[Profit C]])</f>
        <v>560000</v>
      </c>
      <c r="AB28" s="35">
        <f>IFERROR((Data[[#This Row],[Profit non Diskon]]-(Data[[#This Row],[Profit non Diskon]]*Data[[#This Row],[Diskon]])),Data[[#This Row],[Profit non Diskon]])</f>
        <v>476000</v>
      </c>
      <c r="AC28" s="23" t="s">
        <v>28</v>
      </c>
      <c r="AD28" s="37">
        <f>IFERROR(INDEX('Kode Diskon'!$D$3:$D$9,MATCH(Data[[#This Row],[Kode diskon]],'Kode Diskon'!$C$3:$C$9,0)),"-")</f>
        <v>0.15</v>
      </c>
      <c r="AE28" s="23" t="s">
        <v>29</v>
      </c>
      <c r="AF28" s="23" t="s">
        <v>14</v>
      </c>
      <c r="AG28" s="23" t="s">
        <v>79</v>
      </c>
      <c r="AH28" s="24">
        <v>45017</v>
      </c>
      <c r="AI28" s="23" t="str">
        <f>TEXT(Data[[#This Row],[Tanggal terjual]],"dddd")</f>
        <v>Saturday</v>
      </c>
      <c r="AJ28" s="21" t="str">
        <f>TEXT(Data[[#This Row],[Tanggal terjual]],"wwww")</f>
        <v>wwww</v>
      </c>
    </row>
    <row r="29" spans="1:36" x14ac:dyDescent="0.2">
      <c r="A29" s="20">
        <v>28</v>
      </c>
      <c r="B29" s="21" t="str">
        <f>_xlfn.CONCAT("ORD-",INDEX(Helper!$B$2:$B$5,MATCH(Data[[#This Row],[Marketplace]],Helper!$A$2:$A$5,0)),TEXT(Data[[#This Row],[No]],"0000"),"-",TEXT(Data[[#This Row],[Tanggal terjual]],"dd/mm/yy"))</f>
        <v>ORD-BL0028-29/04/23</v>
      </c>
      <c r="C29" t="s">
        <v>62</v>
      </c>
      <c r="D29" t="str">
        <f>IFERROR(INDEX(Katalog!$A$3:$A$12,MATCH(Data[[#This Row],[ItemID A]],Katalog!$C$3:$C$12,0)),"-")</f>
        <v>Pakaian Pria</v>
      </c>
      <c r="E29" t="str">
        <f>IFERROR(INDEX(Katalog!$B$3:$B$12,MATCH(Data[[#This Row],[ItemID A]],Katalog!$C$3:$C$12,0)),"-")</f>
        <v>Celana Pendek</v>
      </c>
      <c r="F29">
        <v>5</v>
      </c>
      <c r="G29">
        <v>2</v>
      </c>
      <c r="H29" s="36">
        <f>IFERROR(INDEX(Katalog!$D$3:$D$12,MATCH(Data[[#This Row],[ItemID A]],Katalog!$C$3:$C$12,0))*Data[[#This Row],[Qty A]],"0")</f>
        <v>900000</v>
      </c>
      <c r="I29" s="36">
        <f>IFERROR(INDEX(Katalog!$F$3:$F$12,MATCH(Data[[#This Row],[ItemID A]],Katalog!$C$3:$C$12,0))*Data[[#This Row],[Qty A]],0)</f>
        <v>350000</v>
      </c>
      <c r="J29" t="s">
        <v>58</v>
      </c>
      <c r="K29" t="str">
        <f>IFERROR(INDEX(Katalog!$A$3:$A$12,MATCH(Data[[#This Row],[ItemID B]],Katalog!$C$3:$C$12,0)),"-")</f>
        <v>Pakaian Wanita</v>
      </c>
      <c r="L29" t="str">
        <f>IFERROR(INDEX(Katalog!$B$3:$B$12,MATCH(Data[[#This Row],[ItemID B]],Katalog!$C$3:$C$12,0)),"-")</f>
        <v>Dress</v>
      </c>
      <c r="M29">
        <v>2</v>
      </c>
      <c r="N29">
        <v>1</v>
      </c>
      <c r="O29" s="36">
        <f>IFERROR(INDEX(Katalog!$D$3:$D$12,MATCH(Data[[#This Row],[ItemID B]],Katalog!$C$3:$C$12,0))*Data[[#This Row],[Qty B]],"0")</f>
        <v>600000</v>
      </c>
      <c r="P29" s="36">
        <f>IFERROR(INDEX(Katalog!$F$3:$F$12,MATCH(Data[[#This Row],[ItemID B]],Katalog!$C$3:$C$12,0))*Data[[#This Row],[Qty B]],"0")</f>
        <v>200000</v>
      </c>
      <c r="R29" t="str">
        <f>IFERROR(INDEX(Katalog!$A$3:$A$12,MATCH(Data[[#This Row],[ItemID C]],Katalog!$C$3:$C$12,0)),"-")</f>
        <v>-</v>
      </c>
      <c r="S29" t="str">
        <f>IFERROR(INDEX(Katalog!$B$3:$B$12,MATCH(Data[[#This Row],[ItemID C]],Katalog!$C$3:$C$12,0)),"-")</f>
        <v>-</v>
      </c>
      <c r="V29" s="36" t="str">
        <f>IFERROR(INDEX(Katalog!$D$3:$D$12,MATCH(Data[[#This Row],[ItemID C]],Katalog!$C$3:$C$12,0))*Data[[#This Row],[Qty C]],"0")</f>
        <v>0</v>
      </c>
      <c r="W29" s="36" t="str">
        <f>IFERROR(INDEX(Katalog!$F$3:$F$12,MATCH(Data[[#This Row],[ItemID C]],Katalog!$C$3:$C$12,0))*Data[[#This Row],[Qty C]],"0")</f>
        <v>0</v>
      </c>
      <c r="X29" s="21">
        <f>Data[[#This Row],[Qty A]]+Data[[#This Row],[Qty B]]+Data[[#This Row],[Qty C]]</f>
        <v>7</v>
      </c>
      <c r="Y29" s="22">
        <f>Data[[#This Row],[Harga Barang A]]+Data[[#This Row],[Harga Barang B]]+Data[[#This Row],[Harga Barang C]]</f>
        <v>1500000</v>
      </c>
      <c r="Z29" s="35">
        <f>IFERROR(Data[[#This Row],[Total Harga]]-(Data[[#This Row],[Total Harga]]*Data[[#This Row],[Diskon]]),Data[[#This Row],[Total Harga]])</f>
        <v>1275000</v>
      </c>
      <c r="AA29" s="35">
        <f>(Data[[#This Row],[Profit A]]+Data[[#This Row],[Profit B]]+Data[[#This Row],[Profit C]])</f>
        <v>550000</v>
      </c>
      <c r="AB29" s="35">
        <f>IFERROR((Data[[#This Row],[Profit non Diskon]]-(Data[[#This Row],[Profit non Diskon]]*Data[[#This Row],[Diskon]])),Data[[#This Row],[Profit non Diskon]])</f>
        <v>467500</v>
      </c>
      <c r="AC29" s="23" t="s">
        <v>32</v>
      </c>
      <c r="AD29" s="37">
        <f>IFERROR(INDEX('Kode Diskon'!$D$3:$D$9,MATCH(Data[[#This Row],[Kode diskon]],'Kode Diskon'!$C$3:$C$9,0)),"-")</f>
        <v>0.15</v>
      </c>
      <c r="AE29" s="23" t="s">
        <v>9</v>
      </c>
      <c r="AF29" s="23" t="s">
        <v>12</v>
      </c>
      <c r="AG29" s="23" t="s">
        <v>79</v>
      </c>
      <c r="AH29" s="24">
        <v>45045</v>
      </c>
      <c r="AI29" s="23" t="str">
        <f>TEXT(Data[[#This Row],[Tanggal terjual]],"dddd")</f>
        <v>Saturday</v>
      </c>
      <c r="AJ29" s="21" t="str">
        <f>TEXT(Data[[#This Row],[Tanggal terjual]],"wwww")</f>
        <v>wwww</v>
      </c>
    </row>
    <row r="30" spans="1:36" x14ac:dyDescent="0.2">
      <c r="A30" s="20">
        <v>29</v>
      </c>
      <c r="B30" s="21" t="str">
        <f>_xlfn.CONCAT("ORD-",INDEX(Helper!$B$2:$B$5,MATCH(Data[[#This Row],[Marketplace]],Helper!$A$2:$A$5,0)),TEXT(Data[[#This Row],[No]],"0000"),"-",TEXT(Data[[#This Row],[Tanggal terjual]],"dd/mm/yy"))</f>
        <v>ORD-SP0029-30/04/23</v>
      </c>
      <c r="C30" t="s">
        <v>60</v>
      </c>
      <c r="D30" t="str">
        <f>IFERROR(INDEX(Katalog!$A$3:$A$12,MATCH(Data[[#This Row],[ItemID A]],Katalog!$C$3:$C$12,0)),"-")</f>
        <v>Pakaian Wanita</v>
      </c>
      <c r="E30" t="str">
        <f>IFERROR(INDEX(Katalog!$B$3:$B$12,MATCH(Data[[#This Row],[ItemID A]],Katalog!$C$3:$C$12,0)),"-")</f>
        <v>Kaftan</v>
      </c>
      <c r="F30">
        <v>1</v>
      </c>
      <c r="G30">
        <v>1</v>
      </c>
      <c r="H30" s="36">
        <f>IFERROR(INDEX(Katalog!$D$3:$D$12,MATCH(Data[[#This Row],[ItemID A]],Katalog!$C$3:$C$12,0))*Data[[#This Row],[Qty A]],"0")</f>
        <v>250000</v>
      </c>
      <c r="I30" s="36">
        <f>IFERROR(INDEX(Katalog!$F$3:$F$12,MATCH(Data[[#This Row],[ItemID A]],Katalog!$C$3:$C$12,0))*Data[[#This Row],[Qty A]],0)</f>
        <v>100000</v>
      </c>
      <c r="K30" t="str">
        <f>IFERROR(INDEX(Katalog!$A$3:$A$12,MATCH(Data[[#This Row],[ItemID B]],Katalog!$C$3:$C$12,0)),"-")</f>
        <v>-</v>
      </c>
      <c r="L30" t="str">
        <f>IFERROR(INDEX(Katalog!$B$3:$B$12,MATCH(Data[[#This Row],[ItemID B]],Katalog!$C$3:$C$12,0)),"-")</f>
        <v>-</v>
      </c>
      <c r="O30" s="36" t="str">
        <f>IFERROR(INDEX(Katalog!$D$3:$D$12,MATCH(Data[[#This Row],[ItemID B]],Katalog!$C$3:$C$12,0))*Data[[#This Row],[Qty B]],"0")</f>
        <v>0</v>
      </c>
      <c r="P30" s="36" t="str">
        <f>IFERROR(INDEX(Katalog!$F$3:$F$12,MATCH(Data[[#This Row],[ItemID B]],Katalog!$C$3:$C$12,0))*Data[[#This Row],[Qty B]],"0")</f>
        <v>0</v>
      </c>
      <c r="R30" t="str">
        <f>IFERROR(INDEX(Katalog!$A$3:$A$12,MATCH(Data[[#This Row],[ItemID C]],Katalog!$C$3:$C$12,0)),"-")</f>
        <v>-</v>
      </c>
      <c r="S30" t="str">
        <f>IFERROR(INDEX(Katalog!$B$3:$B$12,MATCH(Data[[#This Row],[ItemID C]],Katalog!$C$3:$C$12,0)),"-")</f>
        <v>-</v>
      </c>
      <c r="V30" s="36" t="str">
        <f>IFERROR(INDEX(Katalog!$D$3:$D$12,MATCH(Data[[#This Row],[ItemID C]],Katalog!$C$3:$C$12,0))*Data[[#This Row],[Qty C]],"0")</f>
        <v>0</v>
      </c>
      <c r="W30" s="36" t="str">
        <f>IFERROR(INDEX(Katalog!$F$3:$F$12,MATCH(Data[[#This Row],[ItemID C]],Katalog!$C$3:$C$12,0))*Data[[#This Row],[Qty C]],"0")</f>
        <v>0</v>
      </c>
      <c r="X30" s="21">
        <f>Data[[#This Row],[Qty A]]+Data[[#This Row],[Qty B]]+Data[[#This Row],[Qty C]]</f>
        <v>1</v>
      </c>
      <c r="Y30" s="22">
        <f>Data[[#This Row],[Harga Barang A]]+Data[[#This Row],[Harga Barang B]]+Data[[#This Row],[Harga Barang C]]</f>
        <v>250000</v>
      </c>
      <c r="Z30" s="35">
        <f>IFERROR(Data[[#This Row],[Total Harga]]-(Data[[#This Row],[Total Harga]]*Data[[#This Row],[Diskon]]),Data[[#This Row],[Total Harga]])</f>
        <v>200000</v>
      </c>
      <c r="AA30" s="35">
        <f>(Data[[#This Row],[Profit A]]+Data[[#This Row],[Profit B]]+Data[[#This Row],[Profit C]])</f>
        <v>100000</v>
      </c>
      <c r="AB30" s="35">
        <f>IFERROR((Data[[#This Row],[Profit non Diskon]]-(Data[[#This Row],[Profit non Diskon]]*Data[[#This Row],[Diskon]])),Data[[#This Row],[Profit non Diskon]])</f>
        <v>80000</v>
      </c>
      <c r="AC30" s="23" t="s">
        <v>8</v>
      </c>
      <c r="AD30" s="37">
        <f>IFERROR(INDEX('Kode Diskon'!$D$3:$D$9,MATCH(Data[[#This Row],[Kode diskon]],'Kode Diskon'!$C$3:$C$9,0)),"-")</f>
        <v>0.2</v>
      </c>
      <c r="AE30" s="23" t="s">
        <v>9</v>
      </c>
      <c r="AF30" s="23" t="s">
        <v>7</v>
      </c>
      <c r="AG30" s="23" t="s">
        <v>80</v>
      </c>
      <c r="AH30" s="24">
        <v>45046</v>
      </c>
      <c r="AI30" s="23" t="str">
        <f>TEXT(Data[[#This Row],[Tanggal terjual]],"dddd")</f>
        <v>Sunday</v>
      </c>
      <c r="AJ30" s="21" t="str">
        <f>TEXT(Data[[#This Row],[Tanggal terjual]],"wwww")</f>
        <v>wwww</v>
      </c>
    </row>
    <row r="31" spans="1:36" x14ac:dyDescent="0.2">
      <c r="A31" s="20">
        <v>30</v>
      </c>
      <c r="B31" s="21" t="str">
        <f>_xlfn.CONCAT("ORD-",INDEX(Helper!$B$2:$B$5,MATCH(Data[[#This Row],[Marketplace]],Helper!$A$2:$A$5,0)),TEXT(Data[[#This Row],[No]],"0000"),"-",TEXT(Data[[#This Row],[Tanggal terjual]],"dd/mm/yy"))</f>
        <v>ORD-BB0030-04/04/23</v>
      </c>
      <c r="C31" t="s">
        <v>62</v>
      </c>
      <c r="D31" t="str">
        <f>IFERROR(INDEX(Katalog!$A$3:$A$12,MATCH(Data[[#This Row],[ItemID A]],Katalog!$C$3:$C$12,0)),"-")</f>
        <v>Pakaian Pria</v>
      </c>
      <c r="E31" t="str">
        <f>IFERROR(INDEX(Katalog!$B$3:$B$12,MATCH(Data[[#This Row],[ItemID A]],Katalog!$C$3:$C$12,0)),"-")</f>
        <v>Celana Pendek</v>
      </c>
      <c r="F31">
        <v>2</v>
      </c>
      <c r="G31">
        <v>2</v>
      </c>
      <c r="H31" s="36">
        <f>IFERROR(INDEX(Katalog!$D$3:$D$12,MATCH(Data[[#This Row],[ItemID A]],Katalog!$C$3:$C$12,0))*Data[[#This Row],[Qty A]],"0")</f>
        <v>360000</v>
      </c>
      <c r="I31" s="36">
        <f>IFERROR(INDEX(Katalog!$F$3:$F$12,MATCH(Data[[#This Row],[ItemID A]],Katalog!$C$3:$C$12,0))*Data[[#This Row],[Qty A]],0)</f>
        <v>140000</v>
      </c>
      <c r="J31" t="s">
        <v>67</v>
      </c>
      <c r="K31" t="str">
        <f>IFERROR(INDEX(Katalog!$A$3:$A$12,MATCH(Data[[#This Row],[ItemID B]],Katalog!$C$3:$C$12,0)),"-")</f>
        <v>Sepatu Wanita</v>
      </c>
      <c r="L31" t="str">
        <f>IFERROR(INDEX(Katalog!$B$3:$B$12,MATCH(Data[[#This Row],[ItemID B]],Katalog!$C$3:$C$12,0)),"-")</f>
        <v>Flat Shoes</v>
      </c>
      <c r="M31">
        <v>1</v>
      </c>
      <c r="N31">
        <v>1</v>
      </c>
      <c r="O31" s="36">
        <f>IFERROR(INDEX(Katalog!$D$3:$D$12,MATCH(Data[[#This Row],[ItemID B]],Katalog!$C$3:$C$12,0))*Data[[#This Row],[Qty B]],"0")</f>
        <v>250000</v>
      </c>
      <c r="P31" s="36">
        <f>IFERROR(INDEX(Katalog!$F$3:$F$12,MATCH(Data[[#This Row],[ItemID B]],Katalog!$C$3:$C$12,0))*Data[[#This Row],[Qty B]],"0")</f>
        <v>100000</v>
      </c>
      <c r="Q31" t="s">
        <v>59</v>
      </c>
      <c r="R31" t="str">
        <f>IFERROR(INDEX(Katalog!$A$3:$A$12,MATCH(Data[[#This Row],[ItemID C]],Katalog!$C$3:$C$12,0)),"-")</f>
        <v>Pakaian Wanita</v>
      </c>
      <c r="S31" t="str">
        <f>IFERROR(INDEX(Katalog!$B$3:$B$12,MATCH(Data[[#This Row],[ItemID C]],Katalog!$C$3:$C$12,0)),"-")</f>
        <v>Blouse</v>
      </c>
      <c r="T31">
        <v>3</v>
      </c>
      <c r="U31">
        <v>1</v>
      </c>
      <c r="V31" s="36">
        <f>IFERROR(INDEX(Katalog!$D$3:$D$12,MATCH(Data[[#This Row],[ItemID C]],Katalog!$C$3:$C$12,0))*Data[[#This Row],[Qty C]],"0")</f>
        <v>450000</v>
      </c>
      <c r="W31" s="36">
        <f>IFERROR(INDEX(Katalog!$F$3:$F$12,MATCH(Data[[#This Row],[ItemID C]],Katalog!$C$3:$C$12,0))*Data[[#This Row],[Qty C]],"0")</f>
        <v>150000</v>
      </c>
      <c r="X31" s="21">
        <f>Data[[#This Row],[Qty A]]+Data[[#This Row],[Qty B]]+Data[[#This Row],[Qty C]]</f>
        <v>6</v>
      </c>
      <c r="Y31" s="22">
        <f>Data[[#This Row],[Harga Barang A]]+Data[[#This Row],[Harga Barang B]]+Data[[#This Row],[Harga Barang C]]</f>
        <v>1060000</v>
      </c>
      <c r="Z31" s="35">
        <f>IFERROR(Data[[#This Row],[Total Harga]]-(Data[[#This Row],[Total Harga]]*Data[[#This Row],[Diskon]]),Data[[#This Row],[Total Harga]])</f>
        <v>901000</v>
      </c>
      <c r="AA31" s="35">
        <f>(Data[[#This Row],[Profit A]]+Data[[#This Row],[Profit B]]+Data[[#This Row],[Profit C]])</f>
        <v>390000</v>
      </c>
      <c r="AB31" s="35">
        <f>IFERROR((Data[[#This Row],[Profit non Diskon]]-(Data[[#This Row],[Profit non Diskon]]*Data[[#This Row],[Diskon]])),Data[[#This Row],[Profit non Diskon]])</f>
        <v>331500</v>
      </c>
      <c r="AC31" s="23" t="s">
        <v>28</v>
      </c>
      <c r="AD31" s="37">
        <f>IFERROR(INDEX('Kode Diskon'!$D$3:$D$9,MATCH(Data[[#This Row],[Kode diskon]],'Kode Diskon'!$C$3:$C$9,0)),"-")</f>
        <v>0.15</v>
      </c>
      <c r="AE31" s="23" t="s">
        <v>29</v>
      </c>
      <c r="AF31" s="23" t="s">
        <v>14</v>
      </c>
      <c r="AG31" s="23" t="s">
        <v>80</v>
      </c>
      <c r="AH31" s="24">
        <v>45020</v>
      </c>
      <c r="AI31" s="23" t="str">
        <f>TEXT(Data[[#This Row],[Tanggal terjual]],"dddd")</f>
        <v>Tuesday</v>
      </c>
      <c r="AJ31" s="21" t="str">
        <f>TEXT(Data[[#This Row],[Tanggal terjual]],"wwww")</f>
        <v>wwww</v>
      </c>
    </row>
    <row r="32" spans="1:36" x14ac:dyDescent="0.2">
      <c r="A32" s="20">
        <v>31</v>
      </c>
      <c r="B32" s="21" t="str">
        <f>_xlfn.CONCAT("ORD-",INDEX(Helper!$B$2:$B$5,MATCH(Data[[#This Row],[Marketplace]],Helper!$A$2:$A$5,0)),TEXT(Data[[#This Row],[No]],"0000"),"-",TEXT(Data[[#This Row],[Tanggal terjual]],"dd/mm/yy"))</f>
        <v>ORD-SP0031-01/04/23</v>
      </c>
      <c r="C32" t="s">
        <v>64</v>
      </c>
      <c r="D32" t="str">
        <f>IFERROR(INDEX(Katalog!$A$3:$A$12,MATCH(Data[[#This Row],[ItemID A]],Katalog!$C$3:$C$12,0)),"-")</f>
        <v>Pakaian Unisex</v>
      </c>
      <c r="E32" t="str">
        <f>IFERROR(INDEX(Katalog!$B$3:$B$12,MATCH(Data[[#This Row],[ItemID A]],Katalog!$C$3:$C$12,0)),"-")</f>
        <v>Jaket Hoodie</v>
      </c>
      <c r="F32">
        <v>2</v>
      </c>
      <c r="G32">
        <v>3</v>
      </c>
      <c r="H32" s="36">
        <f>IFERROR(INDEX(Katalog!$D$3:$D$12,MATCH(Data[[#This Row],[ItemID A]],Katalog!$C$3:$C$12,0))*Data[[#This Row],[Qty A]],"0")</f>
        <v>700000</v>
      </c>
      <c r="I32" s="36">
        <f>IFERROR(INDEX(Katalog!$F$3:$F$12,MATCH(Data[[#This Row],[ItemID A]],Katalog!$C$3:$C$12,0))*Data[[#This Row],[Qty A]],0)</f>
        <v>260000</v>
      </c>
      <c r="J32" t="s">
        <v>58</v>
      </c>
      <c r="K32" t="str">
        <f>IFERROR(INDEX(Katalog!$A$3:$A$12,MATCH(Data[[#This Row],[ItemID B]],Katalog!$C$3:$C$12,0)),"-")</f>
        <v>Pakaian Wanita</v>
      </c>
      <c r="L32" t="str">
        <f>IFERROR(INDEX(Katalog!$B$3:$B$12,MATCH(Data[[#This Row],[ItemID B]],Katalog!$C$3:$C$12,0)),"-")</f>
        <v>Dress</v>
      </c>
      <c r="M32">
        <v>4</v>
      </c>
      <c r="N32">
        <v>3</v>
      </c>
      <c r="O32" s="36">
        <f>IFERROR(INDEX(Katalog!$D$3:$D$12,MATCH(Data[[#This Row],[ItemID B]],Katalog!$C$3:$C$12,0))*Data[[#This Row],[Qty B]],"0")</f>
        <v>1200000</v>
      </c>
      <c r="P32" s="36">
        <f>IFERROR(INDEX(Katalog!$F$3:$F$12,MATCH(Data[[#This Row],[ItemID B]],Katalog!$C$3:$C$12,0))*Data[[#This Row],[Qty B]],"0")</f>
        <v>400000</v>
      </c>
      <c r="R32" t="str">
        <f>IFERROR(INDEX(Katalog!$A$3:$A$12,MATCH(Data[[#This Row],[ItemID C]],Katalog!$C$3:$C$12,0)),"-")</f>
        <v>-</v>
      </c>
      <c r="S32" t="str">
        <f>IFERROR(INDEX(Katalog!$B$3:$B$12,MATCH(Data[[#This Row],[ItemID C]],Katalog!$C$3:$C$12,0)),"-")</f>
        <v>-</v>
      </c>
      <c r="V32" s="36" t="str">
        <f>IFERROR(INDEX(Katalog!$D$3:$D$12,MATCH(Data[[#This Row],[ItemID C]],Katalog!$C$3:$C$12,0))*Data[[#This Row],[Qty C]],"0")</f>
        <v>0</v>
      </c>
      <c r="W32" s="36" t="str">
        <f>IFERROR(INDEX(Katalog!$F$3:$F$12,MATCH(Data[[#This Row],[ItemID C]],Katalog!$C$3:$C$12,0))*Data[[#This Row],[Qty C]],"0")</f>
        <v>0</v>
      </c>
      <c r="X32" s="21">
        <f>Data[[#This Row],[Qty A]]+Data[[#This Row],[Qty B]]+Data[[#This Row],[Qty C]]</f>
        <v>6</v>
      </c>
      <c r="Y32" s="22">
        <f>Data[[#This Row],[Harga Barang A]]+Data[[#This Row],[Harga Barang B]]+Data[[#This Row],[Harga Barang C]]</f>
        <v>1900000</v>
      </c>
      <c r="Z32" s="35">
        <f>IFERROR(Data[[#This Row],[Total Harga]]-(Data[[#This Row],[Total Harga]]*Data[[#This Row],[Diskon]]),Data[[#This Row],[Total Harga]])</f>
        <v>1615000</v>
      </c>
      <c r="AA32" s="35">
        <f>(Data[[#This Row],[Profit A]]+Data[[#This Row],[Profit B]]+Data[[#This Row],[Profit C]])</f>
        <v>660000</v>
      </c>
      <c r="AB32" s="35">
        <f>IFERROR((Data[[#This Row],[Profit non Diskon]]-(Data[[#This Row],[Profit non Diskon]]*Data[[#This Row],[Diskon]])),Data[[#This Row],[Profit non Diskon]])</f>
        <v>561000</v>
      </c>
      <c r="AC32" s="23" t="s">
        <v>13</v>
      </c>
      <c r="AD32" s="37">
        <f>IFERROR(INDEX('Kode Diskon'!$D$3:$D$9,MATCH(Data[[#This Row],[Kode diskon]],'Kode Diskon'!$C$3:$C$9,0)),"-")</f>
        <v>0.15</v>
      </c>
      <c r="AE32" s="23" t="s">
        <v>29</v>
      </c>
      <c r="AF32" s="23" t="s">
        <v>7</v>
      </c>
      <c r="AG32" s="23" t="s">
        <v>79</v>
      </c>
      <c r="AH32" s="24">
        <v>45017</v>
      </c>
      <c r="AI32" s="23" t="str">
        <f>TEXT(Data[[#This Row],[Tanggal terjual]],"dddd")</f>
        <v>Saturday</v>
      </c>
      <c r="AJ32" s="21" t="str">
        <f>TEXT(Data[[#This Row],[Tanggal terjual]],"wwww")</f>
        <v>wwww</v>
      </c>
    </row>
    <row r="33" spans="1:36" x14ac:dyDescent="0.2">
      <c r="A33" s="20">
        <v>32</v>
      </c>
      <c r="B33" s="21" t="str">
        <f>_xlfn.CONCAT("ORD-",INDEX(Helper!$B$2:$B$5,MATCH(Data[[#This Row],[Marketplace]],Helper!$A$2:$A$5,0)),TEXT(Data[[#This Row],[No]],"0000"),"-",TEXT(Data[[#This Row],[Tanggal terjual]],"dd/mm/yy"))</f>
        <v>ORD-SP0032-25/04/23</v>
      </c>
      <c r="C33" t="s">
        <v>63</v>
      </c>
      <c r="D33" t="str">
        <f>IFERROR(INDEX(Katalog!$A$3:$A$12,MATCH(Data[[#This Row],[ItemID A]],Katalog!$C$3:$C$12,0)),"-")</f>
        <v>Pakaian Pria</v>
      </c>
      <c r="E33" t="str">
        <f>IFERROR(INDEX(Katalog!$B$3:$B$12,MATCH(Data[[#This Row],[ItemID A]],Katalog!$C$3:$C$12,0)),"-")</f>
        <v>Jaket Jeans</v>
      </c>
      <c r="F33">
        <v>5</v>
      </c>
      <c r="G33">
        <v>5</v>
      </c>
      <c r="H33" s="36">
        <f>IFERROR(INDEX(Katalog!$D$3:$D$12,MATCH(Data[[#This Row],[ItemID A]],Katalog!$C$3:$C$12,0))*Data[[#This Row],[Qty A]],"0")</f>
        <v>2000000</v>
      </c>
      <c r="I33" s="36">
        <f>IFERROR(INDEX(Katalog!$F$3:$F$12,MATCH(Data[[#This Row],[ItemID A]],Katalog!$C$3:$C$12,0))*Data[[#This Row],[Qty A]],0)</f>
        <v>750000</v>
      </c>
      <c r="K33" t="str">
        <f>IFERROR(INDEX(Katalog!$A$3:$A$12,MATCH(Data[[#This Row],[ItemID B]],Katalog!$C$3:$C$12,0)),"-")</f>
        <v>-</v>
      </c>
      <c r="L33" t="str">
        <f>IFERROR(INDEX(Katalog!$B$3:$B$12,MATCH(Data[[#This Row],[ItemID B]],Katalog!$C$3:$C$12,0)),"-")</f>
        <v>-</v>
      </c>
      <c r="O33" s="36" t="str">
        <f>IFERROR(INDEX(Katalog!$D$3:$D$12,MATCH(Data[[#This Row],[ItemID B]],Katalog!$C$3:$C$12,0))*Data[[#This Row],[Qty B]],"0")</f>
        <v>0</v>
      </c>
      <c r="P33" s="36" t="str">
        <f>IFERROR(INDEX(Katalog!$F$3:$F$12,MATCH(Data[[#This Row],[ItemID B]],Katalog!$C$3:$C$12,0))*Data[[#This Row],[Qty B]],"0")</f>
        <v>0</v>
      </c>
      <c r="R33" t="str">
        <f>IFERROR(INDEX(Katalog!$A$3:$A$12,MATCH(Data[[#This Row],[ItemID C]],Katalog!$C$3:$C$12,0)),"-")</f>
        <v>-</v>
      </c>
      <c r="S33" t="str">
        <f>IFERROR(INDEX(Katalog!$B$3:$B$12,MATCH(Data[[#This Row],[ItemID C]],Katalog!$C$3:$C$12,0)),"-")</f>
        <v>-</v>
      </c>
      <c r="V33" s="36" t="str">
        <f>IFERROR(INDEX(Katalog!$D$3:$D$12,MATCH(Data[[#This Row],[ItemID C]],Katalog!$C$3:$C$12,0))*Data[[#This Row],[Qty C]],"0")</f>
        <v>0</v>
      </c>
      <c r="W33" s="36" t="str">
        <f>IFERROR(INDEX(Katalog!$F$3:$F$12,MATCH(Data[[#This Row],[ItemID C]],Katalog!$C$3:$C$12,0))*Data[[#This Row],[Qty C]],"0")</f>
        <v>0</v>
      </c>
      <c r="X33" s="21">
        <f>Data[[#This Row],[Qty A]]+Data[[#This Row],[Qty B]]+Data[[#This Row],[Qty C]]</f>
        <v>5</v>
      </c>
      <c r="Y33" s="22">
        <f>Data[[#This Row],[Harga Barang A]]+Data[[#This Row],[Harga Barang B]]+Data[[#This Row],[Harga Barang C]]</f>
        <v>2000000</v>
      </c>
      <c r="Z33" s="35">
        <f>IFERROR(Data[[#This Row],[Total Harga]]-(Data[[#This Row],[Total Harga]]*Data[[#This Row],[Diskon]]),Data[[#This Row],[Total Harga]])</f>
        <v>1600000</v>
      </c>
      <c r="AA33" s="35">
        <f>(Data[[#This Row],[Profit A]]+Data[[#This Row],[Profit B]]+Data[[#This Row],[Profit C]])</f>
        <v>750000</v>
      </c>
      <c r="AB33" s="35">
        <f>IFERROR((Data[[#This Row],[Profit non Diskon]]-(Data[[#This Row],[Profit non Diskon]]*Data[[#This Row],[Diskon]])),Data[[#This Row],[Profit non Diskon]])</f>
        <v>600000</v>
      </c>
      <c r="AC33" s="23" t="s">
        <v>8</v>
      </c>
      <c r="AD33" s="37">
        <f>IFERROR(INDEX('Kode Diskon'!$D$3:$D$9,MATCH(Data[[#This Row],[Kode diskon]],'Kode Diskon'!$C$3:$C$9,0)),"-")</f>
        <v>0.2</v>
      </c>
      <c r="AE33" s="23" t="s">
        <v>9</v>
      </c>
      <c r="AF33" s="23" t="s">
        <v>7</v>
      </c>
      <c r="AG33" s="23" t="s">
        <v>77</v>
      </c>
      <c r="AH33" s="24">
        <v>45041</v>
      </c>
      <c r="AI33" s="23" t="str">
        <f>TEXT(Data[[#This Row],[Tanggal terjual]],"dddd")</f>
        <v>Tuesday</v>
      </c>
      <c r="AJ33" s="21" t="str">
        <f>TEXT(Data[[#This Row],[Tanggal terjual]],"wwww")</f>
        <v>wwww</v>
      </c>
    </row>
    <row r="34" spans="1:36" x14ac:dyDescent="0.2">
      <c r="A34" s="20">
        <v>33</v>
      </c>
      <c r="B34" s="21" t="str">
        <f>_xlfn.CONCAT("ORD-",INDEX(Helper!$B$2:$B$5,MATCH(Data[[#This Row],[Marketplace]],Helper!$A$2:$A$5,0)),TEXT(Data[[#This Row],[No]],"0000"),"-",TEXT(Data[[#This Row],[Tanggal terjual]],"dd/mm/yy"))</f>
        <v>ORD-BB0033-06/04/23</v>
      </c>
      <c r="C34" t="s">
        <v>58</v>
      </c>
      <c r="D34" t="str">
        <f>IFERROR(INDEX(Katalog!$A$3:$A$12,MATCH(Data[[#This Row],[ItemID A]],Katalog!$C$3:$C$12,0)),"-")</f>
        <v>Pakaian Wanita</v>
      </c>
      <c r="E34" t="str">
        <f>IFERROR(INDEX(Katalog!$B$3:$B$12,MATCH(Data[[#This Row],[ItemID A]],Katalog!$C$3:$C$12,0)),"-")</f>
        <v>Dress</v>
      </c>
      <c r="F34">
        <v>4</v>
      </c>
      <c r="G34">
        <v>1</v>
      </c>
      <c r="H34" s="36">
        <f>IFERROR(INDEX(Katalog!$D$3:$D$12,MATCH(Data[[#This Row],[ItemID A]],Katalog!$C$3:$C$12,0))*Data[[#This Row],[Qty A]],"0")</f>
        <v>1200000</v>
      </c>
      <c r="I34" s="36">
        <f>IFERROR(INDEX(Katalog!$F$3:$F$12,MATCH(Data[[#This Row],[ItemID A]],Katalog!$C$3:$C$12,0))*Data[[#This Row],[Qty A]],0)</f>
        <v>400000</v>
      </c>
      <c r="K34" t="str">
        <f>IFERROR(INDEX(Katalog!$A$3:$A$12,MATCH(Data[[#This Row],[ItemID B]],Katalog!$C$3:$C$12,0)),"-")</f>
        <v>-</v>
      </c>
      <c r="L34" t="str">
        <f>IFERROR(INDEX(Katalog!$B$3:$B$12,MATCH(Data[[#This Row],[ItemID B]],Katalog!$C$3:$C$12,0)),"-")</f>
        <v>-</v>
      </c>
      <c r="O34" s="36" t="str">
        <f>IFERROR(INDEX(Katalog!$D$3:$D$12,MATCH(Data[[#This Row],[ItemID B]],Katalog!$C$3:$C$12,0))*Data[[#This Row],[Qty B]],"0")</f>
        <v>0</v>
      </c>
      <c r="P34" s="36" t="str">
        <f>IFERROR(INDEX(Katalog!$F$3:$F$12,MATCH(Data[[#This Row],[ItemID B]],Katalog!$C$3:$C$12,0))*Data[[#This Row],[Qty B]],"0")</f>
        <v>0</v>
      </c>
      <c r="R34" t="str">
        <f>IFERROR(INDEX(Katalog!$A$3:$A$12,MATCH(Data[[#This Row],[ItemID C]],Katalog!$C$3:$C$12,0)),"-")</f>
        <v>-</v>
      </c>
      <c r="S34" t="str">
        <f>IFERROR(INDEX(Katalog!$B$3:$B$12,MATCH(Data[[#This Row],[ItemID C]],Katalog!$C$3:$C$12,0)),"-")</f>
        <v>-</v>
      </c>
      <c r="V34" s="36" t="str">
        <f>IFERROR(INDEX(Katalog!$D$3:$D$12,MATCH(Data[[#This Row],[ItemID C]],Katalog!$C$3:$C$12,0))*Data[[#This Row],[Qty C]],"0")</f>
        <v>0</v>
      </c>
      <c r="W34" s="36" t="str">
        <f>IFERROR(INDEX(Katalog!$F$3:$F$12,MATCH(Data[[#This Row],[ItemID C]],Katalog!$C$3:$C$12,0))*Data[[#This Row],[Qty C]],"0")</f>
        <v>0</v>
      </c>
      <c r="X34" s="21">
        <f>Data[[#This Row],[Qty A]]+Data[[#This Row],[Qty B]]+Data[[#This Row],[Qty C]]</f>
        <v>4</v>
      </c>
      <c r="Y34" s="22">
        <f>Data[[#This Row],[Harga Barang A]]+Data[[#This Row],[Harga Barang B]]+Data[[#This Row],[Harga Barang C]]</f>
        <v>1200000</v>
      </c>
      <c r="Z34" s="35">
        <f>IFERROR(Data[[#This Row],[Total Harga]]-(Data[[#This Row],[Total Harga]]*Data[[#This Row],[Diskon]]),Data[[#This Row],[Total Harga]])</f>
        <v>1020000</v>
      </c>
      <c r="AA34" s="35">
        <f>(Data[[#This Row],[Profit A]]+Data[[#This Row],[Profit B]]+Data[[#This Row],[Profit C]])</f>
        <v>400000</v>
      </c>
      <c r="AB34" s="35">
        <f>IFERROR((Data[[#This Row],[Profit non Diskon]]-(Data[[#This Row],[Profit non Diskon]]*Data[[#This Row],[Diskon]])),Data[[#This Row],[Profit non Diskon]])</f>
        <v>340000</v>
      </c>
      <c r="AC34" s="23" t="s">
        <v>28</v>
      </c>
      <c r="AD34" s="37">
        <f>IFERROR(INDEX('Kode Diskon'!$D$3:$D$9,MATCH(Data[[#This Row],[Kode diskon]],'Kode Diskon'!$C$3:$C$9,0)),"-")</f>
        <v>0.15</v>
      </c>
      <c r="AE34" s="23" t="s">
        <v>29</v>
      </c>
      <c r="AF34" s="23" t="s">
        <v>14</v>
      </c>
      <c r="AG34" s="23" t="s">
        <v>80</v>
      </c>
      <c r="AH34" s="24">
        <v>45022</v>
      </c>
      <c r="AI34" s="23" t="str">
        <f>TEXT(Data[[#This Row],[Tanggal terjual]],"dddd")</f>
        <v>Thursday</v>
      </c>
      <c r="AJ34" s="21" t="str">
        <f>TEXT(Data[[#This Row],[Tanggal terjual]],"wwww")</f>
        <v>wwww</v>
      </c>
    </row>
    <row r="35" spans="1:36" x14ac:dyDescent="0.2">
      <c r="A35" s="20">
        <v>34</v>
      </c>
      <c r="B35" s="21" t="str">
        <f>_xlfn.CONCAT("ORD-",INDEX(Helper!$B$2:$B$5,MATCH(Data[[#This Row],[Marketplace]],Helper!$A$2:$A$5,0)),TEXT(Data[[#This Row],[No]],"0000"),"-",TEXT(Data[[#This Row],[Tanggal terjual]],"dd/mm/yy"))</f>
        <v>ORD-TK0034-04/04/23</v>
      </c>
      <c r="C35" t="s">
        <v>64</v>
      </c>
      <c r="D35" t="str">
        <f>IFERROR(INDEX(Katalog!$A$3:$A$12,MATCH(Data[[#This Row],[ItemID A]],Katalog!$C$3:$C$12,0)),"-")</f>
        <v>Pakaian Unisex</v>
      </c>
      <c r="E35" t="str">
        <f>IFERROR(INDEX(Katalog!$B$3:$B$12,MATCH(Data[[#This Row],[ItemID A]],Katalog!$C$3:$C$12,0)),"-")</f>
        <v>Jaket Hoodie</v>
      </c>
      <c r="F35">
        <v>2</v>
      </c>
      <c r="G35">
        <v>1</v>
      </c>
      <c r="H35" s="36">
        <f>IFERROR(INDEX(Katalog!$D$3:$D$12,MATCH(Data[[#This Row],[ItemID A]],Katalog!$C$3:$C$12,0))*Data[[#This Row],[Qty A]],"0")</f>
        <v>700000</v>
      </c>
      <c r="I35" s="36">
        <f>IFERROR(INDEX(Katalog!$F$3:$F$12,MATCH(Data[[#This Row],[ItemID A]],Katalog!$C$3:$C$12,0))*Data[[#This Row],[Qty A]],0)</f>
        <v>260000</v>
      </c>
      <c r="J35" t="s">
        <v>65</v>
      </c>
      <c r="K35" t="str">
        <f>IFERROR(INDEX(Katalog!$A$3:$A$12,MATCH(Data[[#This Row],[ItemID B]],Katalog!$C$3:$C$12,0)),"-")</f>
        <v>Sepatu Pria</v>
      </c>
      <c r="L35" t="str">
        <f>IFERROR(INDEX(Katalog!$B$3:$B$12,MATCH(Data[[#This Row],[ItemID B]],Katalog!$C$3:$C$12,0)),"-")</f>
        <v>Sneakers</v>
      </c>
      <c r="M35">
        <v>2</v>
      </c>
      <c r="N35">
        <v>4</v>
      </c>
      <c r="O35" s="36">
        <f>IFERROR(INDEX(Katalog!$D$3:$D$12,MATCH(Data[[#This Row],[ItemID B]],Katalog!$C$3:$C$12,0))*Data[[#This Row],[Qty B]],"0")</f>
        <v>1000000</v>
      </c>
      <c r="P35" s="36">
        <f>IFERROR(INDEX(Katalog!$F$3:$F$12,MATCH(Data[[#This Row],[ItemID B]],Katalog!$C$3:$C$12,0))*Data[[#This Row],[Qty B]],"0")</f>
        <v>400000</v>
      </c>
      <c r="Q35" t="s">
        <v>62</v>
      </c>
      <c r="R35" t="str">
        <f>IFERROR(INDEX(Katalog!$A$3:$A$12,MATCH(Data[[#This Row],[ItemID C]],Katalog!$C$3:$C$12,0)),"-")</f>
        <v>Pakaian Pria</v>
      </c>
      <c r="S35" t="str">
        <f>IFERROR(INDEX(Katalog!$B$3:$B$12,MATCH(Data[[#This Row],[ItemID C]],Katalog!$C$3:$C$12,0)),"-")</f>
        <v>Celana Pendek</v>
      </c>
      <c r="T35">
        <v>2</v>
      </c>
      <c r="U35">
        <v>2</v>
      </c>
      <c r="V35" s="36">
        <f>IFERROR(INDEX(Katalog!$D$3:$D$12,MATCH(Data[[#This Row],[ItemID C]],Katalog!$C$3:$C$12,0))*Data[[#This Row],[Qty C]],"0")</f>
        <v>360000</v>
      </c>
      <c r="W35" s="36">
        <f>IFERROR(INDEX(Katalog!$F$3:$F$12,MATCH(Data[[#This Row],[ItemID C]],Katalog!$C$3:$C$12,0))*Data[[#This Row],[Qty C]],"0")</f>
        <v>140000</v>
      </c>
      <c r="X35" s="21">
        <f>Data[[#This Row],[Qty A]]+Data[[#This Row],[Qty B]]+Data[[#This Row],[Qty C]]</f>
        <v>6</v>
      </c>
      <c r="Y35" s="22">
        <f>Data[[#This Row],[Harga Barang A]]+Data[[#This Row],[Harga Barang B]]+Data[[#This Row],[Harga Barang C]]</f>
        <v>2060000</v>
      </c>
      <c r="Z35" s="35">
        <f>IFERROR(Data[[#This Row],[Total Harga]]-(Data[[#This Row],[Total Harga]]*Data[[#This Row],[Diskon]]),Data[[#This Row],[Total Harga]])</f>
        <v>1854000</v>
      </c>
      <c r="AA35" s="35">
        <f>(Data[[#This Row],[Profit A]]+Data[[#This Row],[Profit B]]+Data[[#This Row],[Profit C]])</f>
        <v>800000</v>
      </c>
      <c r="AB35" s="35">
        <f>IFERROR((Data[[#This Row],[Profit non Diskon]]-(Data[[#This Row],[Profit non Diskon]]*Data[[#This Row],[Diskon]])),Data[[#This Row],[Profit non Diskon]])</f>
        <v>720000</v>
      </c>
      <c r="AC35" s="23" t="s">
        <v>30</v>
      </c>
      <c r="AD35" s="37">
        <f>IFERROR(INDEX('Kode Diskon'!$D$3:$D$9,MATCH(Data[[#This Row],[Kode diskon]],'Kode Diskon'!$C$3:$C$9,0)),"-")</f>
        <v>0.1</v>
      </c>
      <c r="AE35" s="23" t="s">
        <v>29</v>
      </c>
      <c r="AF35" s="23" t="s">
        <v>10</v>
      </c>
      <c r="AG35" s="23" t="s">
        <v>75</v>
      </c>
      <c r="AH35" s="24">
        <v>45020</v>
      </c>
      <c r="AI35" s="23" t="str">
        <f>TEXT(Data[[#This Row],[Tanggal terjual]],"dddd")</f>
        <v>Tuesday</v>
      </c>
      <c r="AJ35" s="21" t="str">
        <f>TEXT(Data[[#This Row],[Tanggal terjual]],"wwww")</f>
        <v>wwww</v>
      </c>
    </row>
    <row r="36" spans="1:36" x14ac:dyDescent="0.2">
      <c r="A36" s="20">
        <v>35</v>
      </c>
      <c r="B36" s="21" t="str">
        <f>_xlfn.CONCAT("ORD-",INDEX(Helper!$B$2:$B$5,MATCH(Data[[#This Row],[Marketplace]],Helper!$A$2:$A$5,0)),TEXT(Data[[#This Row],[No]],"0000"),"-",TEXT(Data[[#This Row],[Tanggal terjual]],"dd/mm/yy"))</f>
        <v>ORD-TK0035-04/04/23</v>
      </c>
      <c r="C36" t="s">
        <v>60</v>
      </c>
      <c r="D36" t="str">
        <f>IFERROR(INDEX(Katalog!$A$3:$A$12,MATCH(Data[[#This Row],[ItemID A]],Katalog!$C$3:$C$12,0)),"-")</f>
        <v>Pakaian Wanita</v>
      </c>
      <c r="E36" t="str">
        <f>IFERROR(INDEX(Katalog!$B$3:$B$12,MATCH(Data[[#This Row],[ItemID A]],Katalog!$C$3:$C$12,0)),"-")</f>
        <v>Kaftan</v>
      </c>
      <c r="F36">
        <v>2</v>
      </c>
      <c r="G36">
        <v>2</v>
      </c>
      <c r="H36" s="36">
        <f>IFERROR(INDEX(Katalog!$D$3:$D$12,MATCH(Data[[#This Row],[ItemID A]],Katalog!$C$3:$C$12,0))*Data[[#This Row],[Qty A]],"0")</f>
        <v>500000</v>
      </c>
      <c r="I36" s="36">
        <f>IFERROR(INDEX(Katalog!$F$3:$F$12,MATCH(Data[[#This Row],[ItemID A]],Katalog!$C$3:$C$12,0))*Data[[#This Row],[Qty A]],0)</f>
        <v>200000</v>
      </c>
      <c r="J36" t="s">
        <v>63</v>
      </c>
      <c r="K36" t="str">
        <f>IFERROR(INDEX(Katalog!$A$3:$A$12,MATCH(Data[[#This Row],[ItemID B]],Katalog!$C$3:$C$12,0)),"-")</f>
        <v>Pakaian Pria</v>
      </c>
      <c r="L36" t="str">
        <f>IFERROR(INDEX(Katalog!$B$3:$B$12,MATCH(Data[[#This Row],[ItemID B]],Katalog!$C$3:$C$12,0)),"-")</f>
        <v>Jaket Jeans</v>
      </c>
      <c r="M36">
        <v>1</v>
      </c>
      <c r="N36">
        <v>2</v>
      </c>
      <c r="O36" s="36">
        <f>IFERROR(INDEX(Katalog!$D$3:$D$12,MATCH(Data[[#This Row],[ItemID B]],Katalog!$C$3:$C$12,0))*Data[[#This Row],[Qty B]],"0")</f>
        <v>400000</v>
      </c>
      <c r="P36" s="36">
        <f>IFERROR(INDEX(Katalog!$F$3:$F$12,MATCH(Data[[#This Row],[ItemID B]],Katalog!$C$3:$C$12,0))*Data[[#This Row],[Qty B]],"0")</f>
        <v>150000</v>
      </c>
      <c r="R36" t="str">
        <f>IFERROR(INDEX(Katalog!$A$3:$A$12,MATCH(Data[[#This Row],[ItemID C]],Katalog!$C$3:$C$12,0)),"-")</f>
        <v>-</v>
      </c>
      <c r="S36" t="str">
        <f>IFERROR(INDEX(Katalog!$B$3:$B$12,MATCH(Data[[#This Row],[ItemID C]],Katalog!$C$3:$C$12,0)),"-")</f>
        <v>-</v>
      </c>
      <c r="V36" s="36" t="str">
        <f>IFERROR(INDEX(Katalog!$D$3:$D$12,MATCH(Data[[#This Row],[ItemID C]],Katalog!$C$3:$C$12,0))*Data[[#This Row],[Qty C]],"0")</f>
        <v>0</v>
      </c>
      <c r="W36" s="36" t="str">
        <f>IFERROR(INDEX(Katalog!$F$3:$F$12,MATCH(Data[[#This Row],[ItemID C]],Katalog!$C$3:$C$12,0))*Data[[#This Row],[Qty C]],"0")</f>
        <v>0</v>
      </c>
      <c r="X36" s="21">
        <f>Data[[#This Row],[Qty A]]+Data[[#This Row],[Qty B]]+Data[[#This Row],[Qty C]]</f>
        <v>3</v>
      </c>
      <c r="Y36" s="22">
        <f>Data[[#This Row],[Harga Barang A]]+Data[[#This Row],[Harga Barang B]]+Data[[#This Row],[Harga Barang C]]</f>
        <v>900000</v>
      </c>
      <c r="Z36" s="35">
        <f>IFERROR(Data[[#This Row],[Total Harga]]-(Data[[#This Row],[Total Harga]]*Data[[#This Row],[Diskon]]),Data[[#This Row],[Total Harga]])</f>
        <v>810000</v>
      </c>
      <c r="AA36" s="35">
        <f>(Data[[#This Row],[Profit A]]+Data[[#This Row],[Profit B]]+Data[[#This Row],[Profit C]])</f>
        <v>350000</v>
      </c>
      <c r="AB36" s="35">
        <f>IFERROR((Data[[#This Row],[Profit non Diskon]]-(Data[[#This Row],[Profit non Diskon]]*Data[[#This Row],[Diskon]])),Data[[#This Row],[Profit non Diskon]])</f>
        <v>315000</v>
      </c>
      <c r="AC36" s="23" t="s">
        <v>30</v>
      </c>
      <c r="AD36" s="37">
        <f>IFERROR(INDEX('Kode Diskon'!$D$3:$D$9,MATCH(Data[[#This Row],[Kode diskon]],'Kode Diskon'!$C$3:$C$9,0)),"-")</f>
        <v>0.1</v>
      </c>
      <c r="AE36" s="23" t="s">
        <v>29</v>
      </c>
      <c r="AF36" s="23" t="s">
        <v>10</v>
      </c>
      <c r="AG36" s="23" t="s">
        <v>80</v>
      </c>
      <c r="AH36" s="24">
        <v>45020</v>
      </c>
      <c r="AI36" s="23" t="str">
        <f>TEXT(Data[[#This Row],[Tanggal terjual]],"dddd")</f>
        <v>Tuesday</v>
      </c>
      <c r="AJ36" s="21" t="str">
        <f>TEXT(Data[[#This Row],[Tanggal terjual]],"wwww")</f>
        <v>wwww</v>
      </c>
    </row>
    <row r="37" spans="1:36" x14ac:dyDescent="0.2">
      <c r="A37" s="20">
        <v>36</v>
      </c>
      <c r="B37" s="21" t="str">
        <f>_xlfn.CONCAT("ORD-",INDEX(Helper!$B$2:$B$5,MATCH(Data[[#This Row],[Marketplace]],Helper!$A$2:$A$5,0)),TEXT(Data[[#This Row],[No]],"0000"),"-",TEXT(Data[[#This Row],[Tanggal terjual]],"dd/mm/yy"))</f>
        <v>ORD-BL0036-12/04/23</v>
      </c>
      <c r="C37" t="s">
        <v>59</v>
      </c>
      <c r="D37" t="str">
        <f>IFERROR(INDEX(Katalog!$A$3:$A$12,MATCH(Data[[#This Row],[ItemID A]],Katalog!$C$3:$C$12,0)),"-")</f>
        <v>Pakaian Wanita</v>
      </c>
      <c r="E37" t="str">
        <f>IFERROR(INDEX(Katalog!$B$3:$B$12,MATCH(Data[[#This Row],[ItemID A]],Katalog!$C$3:$C$12,0)),"-")</f>
        <v>Blouse</v>
      </c>
      <c r="F37">
        <v>1</v>
      </c>
      <c r="G37">
        <v>1</v>
      </c>
      <c r="H37" s="36">
        <f>IFERROR(INDEX(Katalog!$D$3:$D$12,MATCH(Data[[#This Row],[ItemID A]],Katalog!$C$3:$C$12,0))*Data[[#This Row],[Qty A]],"0")</f>
        <v>150000</v>
      </c>
      <c r="I37" s="36">
        <f>IFERROR(INDEX(Katalog!$F$3:$F$12,MATCH(Data[[#This Row],[ItemID A]],Katalog!$C$3:$C$12,0))*Data[[#This Row],[Qty A]],0)</f>
        <v>50000</v>
      </c>
      <c r="J37" t="s">
        <v>67</v>
      </c>
      <c r="K37" t="str">
        <f>IFERROR(INDEX(Katalog!$A$3:$A$12,MATCH(Data[[#This Row],[ItemID B]],Katalog!$C$3:$C$12,0)),"-")</f>
        <v>Sepatu Wanita</v>
      </c>
      <c r="L37" t="str">
        <f>IFERROR(INDEX(Katalog!$B$3:$B$12,MATCH(Data[[#This Row],[ItemID B]],Katalog!$C$3:$C$12,0)),"-")</f>
        <v>Flat Shoes</v>
      </c>
      <c r="M37">
        <v>1</v>
      </c>
      <c r="N37">
        <v>5</v>
      </c>
      <c r="O37" s="36">
        <f>IFERROR(INDEX(Katalog!$D$3:$D$12,MATCH(Data[[#This Row],[ItemID B]],Katalog!$C$3:$C$12,0))*Data[[#This Row],[Qty B]],"0")</f>
        <v>250000</v>
      </c>
      <c r="P37" s="36">
        <f>IFERROR(INDEX(Katalog!$F$3:$F$12,MATCH(Data[[#This Row],[ItemID B]],Katalog!$C$3:$C$12,0))*Data[[#This Row],[Qty B]],"0")</f>
        <v>100000</v>
      </c>
      <c r="R37" t="str">
        <f>IFERROR(INDEX(Katalog!$A$3:$A$12,MATCH(Data[[#This Row],[ItemID C]],Katalog!$C$3:$C$12,0)),"-")</f>
        <v>-</v>
      </c>
      <c r="S37" t="str">
        <f>IFERROR(INDEX(Katalog!$B$3:$B$12,MATCH(Data[[#This Row],[ItemID C]],Katalog!$C$3:$C$12,0)),"-")</f>
        <v>-</v>
      </c>
      <c r="V37" s="36" t="str">
        <f>IFERROR(INDEX(Katalog!$D$3:$D$12,MATCH(Data[[#This Row],[ItemID C]],Katalog!$C$3:$C$12,0))*Data[[#This Row],[Qty C]],"0")</f>
        <v>0</v>
      </c>
      <c r="W37" s="36" t="str">
        <f>IFERROR(INDEX(Katalog!$F$3:$F$12,MATCH(Data[[#This Row],[ItemID C]],Katalog!$C$3:$C$12,0))*Data[[#This Row],[Qty C]],"0")</f>
        <v>0</v>
      </c>
      <c r="X37" s="21">
        <f>Data[[#This Row],[Qty A]]+Data[[#This Row],[Qty B]]+Data[[#This Row],[Qty C]]</f>
        <v>2</v>
      </c>
      <c r="Y37" s="22">
        <f>Data[[#This Row],[Harga Barang A]]+Data[[#This Row],[Harga Barang B]]+Data[[#This Row],[Harga Barang C]]</f>
        <v>400000</v>
      </c>
      <c r="Z37" s="35">
        <f>IFERROR(Data[[#This Row],[Total Harga]]-(Data[[#This Row],[Total Harga]]*Data[[#This Row],[Diskon]]),Data[[#This Row],[Total Harga]])</f>
        <v>400000</v>
      </c>
      <c r="AA37" s="35">
        <f>(Data[[#This Row],[Profit A]]+Data[[#This Row],[Profit B]]+Data[[#This Row],[Profit C]])</f>
        <v>150000</v>
      </c>
      <c r="AB37" s="35">
        <f>IFERROR((Data[[#This Row],[Profit non Diskon]]-(Data[[#This Row],[Profit non Diskon]]*Data[[#This Row],[Diskon]])),Data[[#This Row],[Profit non Diskon]])</f>
        <v>150000</v>
      </c>
      <c r="AC37" s="23" t="s">
        <v>11</v>
      </c>
      <c r="AD37" s="37" t="str">
        <f>IFERROR(INDEX('Kode Diskon'!$D$3:$D$9,MATCH(Data[[#This Row],[Kode diskon]],'Kode Diskon'!$C$3:$C$9,0)),"-")</f>
        <v>-</v>
      </c>
      <c r="AE37" s="23" t="s">
        <v>11</v>
      </c>
      <c r="AF37" s="23" t="s">
        <v>12</v>
      </c>
      <c r="AG37" s="23" t="s">
        <v>79</v>
      </c>
      <c r="AH37" s="24">
        <v>45028</v>
      </c>
      <c r="AI37" s="23" t="str">
        <f>TEXT(Data[[#This Row],[Tanggal terjual]],"dddd")</f>
        <v>Wednesday</v>
      </c>
      <c r="AJ37" s="21" t="str">
        <f>TEXT(Data[[#This Row],[Tanggal terjual]],"wwww")</f>
        <v>wwww</v>
      </c>
    </row>
    <row r="38" spans="1:36" x14ac:dyDescent="0.2">
      <c r="A38" s="20">
        <v>37</v>
      </c>
      <c r="B38" s="21" t="str">
        <f>_xlfn.CONCAT("ORD-",INDEX(Helper!$B$2:$B$5,MATCH(Data[[#This Row],[Marketplace]],Helper!$A$2:$A$5,0)),TEXT(Data[[#This Row],[No]],"0000"),"-",TEXT(Data[[#This Row],[Tanggal terjual]],"dd/mm/yy"))</f>
        <v>ORD-BL0037-26/04/23</v>
      </c>
      <c r="C38" t="s">
        <v>67</v>
      </c>
      <c r="D38" t="str">
        <f>IFERROR(INDEX(Katalog!$A$3:$A$12,MATCH(Data[[#This Row],[ItemID A]],Katalog!$C$3:$C$12,0)),"-")</f>
        <v>Sepatu Wanita</v>
      </c>
      <c r="E38" t="str">
        <f>IFERROR(INDEX(Katalog!$B$3:$B$12,MATCH(Data[[#This Row],[ItemID A]],Katalog!$C$3:$C$12,0)),"-")</f>
        <v>Flat Shoes</v>
      </c>
      <c r="F38">
        <v>1</v>
      </c>
      <c r="G38">
        <v>3</v>
      </c>
      <c r="H38" s="36">
        <f>IFERROR(INDEX(Katalog!$D$3:$D$12,MATCH(Data[[#This Row],[ItemID A]],Katalog!$C$3:$C$12,0))*Data[[#This Row],[Qty A]],"0")</f>
        <v>250000</v>
      </c>
      <c r="I38" s="36">
        <f>IFERROR(INDEX(Katalog!$F$3:$F$12,MATCH(Data[[#This Row],[ItemID A]],Katalog!$C$3:$C$12,0))*Data[[#This Row],[Qty A]],0)</f>
        <v>100000</v>
      </c>
      <c r="J38" t="s">
        <v>62</v>
      </c>
      <c r="K38" t="str">
        <f>IFERROR(INDEX(Katalog!$A$3:$A$12,MATCH(Data[[#This Row],[ItemID B]],Katalog!$C$3:$C$12,0)),"-")</f>
        <v>Pakaian Pria</v>
      </c>
      <c r="L38" t="str">
        <f>IFERROR(INDEX(Katalog!$B$3:$B$12,MATCH(Data[[#This Row],[ItemID B]],Katalog!$C$3:$C$12,0)),"-")</f>
        <v>Celana Pendek</v>
      </c>
      <c r="M38">
        <v>2</v>
      </c>
      <c r="N38">
        <v>2</v>
      </c>
      <c r="O38" s="36">
        <f>IFERROR(INDEX(Katalog!$D$3:$D$12,MATCH(Data[[#This Row],[ItemID B]],Katalog!$C$3:$C$12,0))*Data[[#This Row],[Qty B]],"0")</f>
        <v>360000</v>
      </c>
      <c r="P38" s="36">
        <f>IFERROR(INDEX(Katalog!$F$3:$F$12,MATCH(Data[[#This Row],[ItemID B]],Katalog!$C$3:$C$12,0))*Data[[#This Row],[Qty B]],"0")</f>
        <v>140000</v>
      </c>
      <c r="R38" t="str">
        <f>IFERROR(INDEX(Katalog!$A$3:$A$12,MATCH(Data[[#This Row],[ItemID C]],Katalog!$C$3:$C$12,0)),"-")</f>
        <v>-</v>
      </c>
      <c r="S38" t="str">
        <f>IFERROR(INDEX(Katalog!$B$3:$B$12,MATCH(Data[[#This Row],[ItemID C]],Katalog!$C$3:$C$12,0)),"-")</f>
        <v>-</v>
      </c>
      <c r="V38" s="36" t="str">
        <f>IFERROR(INDEX(Katalog!$D$3:$D$12,MATCH(Data[[#This Row],[ItemID C]],Katalog!$C$3:$C$12,0))*Data[[#This Row],[Qty C]],"0")</f>
        <v>0</v>
      </c>
      <c r="W38" s="36" t="str">
        <f>IFERROR(INDEX(Katalog!$F$3:$F$12,MATCH(Data[[#This Row],[ItemID C]],Katalog!$C$3:$C$12,0))*Data[[#This Row],[Qty C]],"0")</f>
        <v>0</v>
      </c>
      <c r="X38" s="21">
        <f>Data[[#This Row],[Qty A]]+Data[[#This Row],[Qty B]]+Data[[#This Row],[Qty C]]</f>
        <v>3</v>
      </c>
      <c r="Y38" s="22">
        <f>Data[[#This Row],[Harga Barang A]]+Data[[#This Row],[Harga Barang B]]+Data[[#This Row],[Harga Barang C]]</f>
        <v>610000</v>
      </c>
      <c r="Z38" s="35">
        <f>IFERROR(Data[[#This Row],[Total Harga]]-(Data[[#This Row],[Total Harga]]*Data[[#This Row],[Diskon]]),Data[[#This Row],[Total Harga]])</f>
        <v>518500</v>
      </c>
      <c r="AA38" s="35">
        <f>(Data[[#This Row],[Profit A]]+Data[[#This Row],[Profit B]]+Data[[#This Row],[Profit C]])</f>
        <v>240000</v>
      </c>
      <c r="AB38" s="35">
        <f>IFERROR((Data[[#This Row],[Profit non Diskon]]-(Data[[#This Row],[Profit non Diskon]]*Data[[#This Row],[Diskon]])),Data[[#This Row],[Profit non Diskon]])</f>
        <v>204000</v>
      </c>
      <c r="AC38" s="23" t="s">
        <v>32</v>
      </c>
      <c r="AD38" s="37">
        <f>IFERROR(INDEX('Kode Diskon'!$D$3:$D$9,MATCH(Data[[#This Row],[Kode diskon]],'Kode Diskon'!$C$3:$C$9,0)),"-")</f>
        <v>0.15</v>
      </c>
      <c r="AE38" s="23" t="s">
        <v>9</v>
      </c>
      <c r="AF38" s="23" t="s">
        <v>12</v>
      </c>
      <c r="AG38" s="23" t="s">
        <v>79</v>
      </c>
      <c r="AH38" s="24">
        <v>45042</v>
      </c>
      <c r="AI38" s="23" t="str">
        <f>TEXT(Data[[#This Row],[Tanggal terjual]],"dddd")</f>
        <v>Wednesday</v>
      </c>
      <c r="AJ38" s="21" t="str">
        <f>TEXT(Data[[#This Row],[Tanggal terjual]],"wwww")</f>
        <v>wwww</v>
      </c>
    </row>
    <row r="39" spans="1:36" x14ac:dyDescent="0.2">
      <c r="A39" s="20">
        <v>38</v>
      </c>
      <c r="B39" s="21" t="str">
        <f>_xlfn.CONCAT("ORD-",INDEX(Helper!$B$2:$B$5,MATCH(Data[[#This Row],[Marketplace]],Helper!$A$2:$A$5,0)),TEXT(Data[[#This Row],[No]],"0000"),"-",TEXT(Data[[#This Row],[Tanggal terjual]],"dd/mm/yy"))</f>
        <v>ORD-BB0038-04/04/23</v>
      </c>
      <c r="C39" t="s">
        <v>64</v>
      </c>
      <c r="D39" t="str">
        <f>IFERROR(INDEX(Katalog!$A$3:$A$12,MATCH(Data[[#This Row],[ItemID A]],Katalog!$C$3:$C$12,0)),"-")</f>
        <v>Pakaian Unisex</v>
      </c>
      <c r="E39" t="str">
        <f>IFERROR(INDEX(Katalog!$B$3:$B$12,MATCH(Data[[#This Row],[ItemID A]],Katalog!$C$3:$C$12,0)),"-")</f>
        <v>Jaket Hoodie</v>
      </c>
      <c r="F39">
        <v>7</v>
      </c>
      <c r="G39">
        <v>3</v>
      </c>
      <c r="H39" s="36">
        <f>IFERROR(INDEX(Katalog!$D$3:$D$12,MATCH(Data[[#This Row],[ItemID A]],Katalog!$C$3:$C$12,0))*Data[[#This Row],[Qty A]],"0")</f>
        <v>2450000</v>
      </c>
      <c r="I39" s="36">
        <f>IFERROR(INDEX(Katalog!$F$3:$F$12,MATCH(Data[[#This Row],[ItemID A]],Katalog!$C$3:$C$12,0))*Data[[#This Row],[Qty A]],0)</f>
        <v>910000</v>
      </c>
      <c r="K39" t="str">
        <f>IFERROR(INDEX(Katalog!$A$3:$A$12,MATCH(Data[[#This Row],[ItemID B]],Katalog!$C$3:$C$12,0)),"-")</f>
        <v>-</v>
      </c>
      <c r="L39" t="str">
        <f>IFERROR(INDEX(Katalog!$B$3:$B$12,MATCH(Data[[#This Row],[ItemID B]],Katalog!$C$3:$C$12,0)),"-")</f>
        <v>-</v>
      </c>
      <c r="O39" s="36" t="str">
        <f>IFERROR(INDEX(Katalog!$D$3:$D$12,MATCH(Data[[#This Row],[ItemID B]],Katalog!$C$3:$C$12,0))*Data[[#This Row],[Qty B]],"0")</f>
        <v>0</v>
      </c>
      <c r="P39" s="36" t="str">
        <f>IFERROR(INDEX(Katalog!$F$3:$F$12,MATCH(Data[[#This Row],[ItemID B]],Katalog!$C$3:$C$12,0))*Data[[#This Row],[Qty B]],"0")</f>
        <v>0</v>
      </c>
      <c r="R39" t="str">
        <f>IFERROR(INDEX(Katalog!$A$3:$A$12,MATCH(Data[[#This Row],[ItemID C]],Katalog!$C$3:$C$12,0)),"-")</f>
        <v>-</v>
      </c>
      <c r="S39" t="str">
        <f>IFERROR(INDEX(Katalog!$B$3:$B$12,MATCH(Data[[#This Row],[ItemID C]],Katalog!$C$3:$C$12,0)),"-")</f>
        <v>-</v>
      </c>
      <c r="V39" s="36" t="str">
        <f>IFERROR(INDEX(Katalog!$D$3:$D$12,MATCH(Data[[#This Row],[ItemID C]],Katalog!$C$3:$C$12,0))*Data[[#This Row],[Qty C]],"0")</f>
        <v>0</v>
      </c>
      <c r="W39" s="36" t="str">
        <f>IFERROR(INDEX(Katalog!$F$3:$F$12,MATCH(Data[[#This Row],[ItemID C]],Katalog!$C$3:$C$12,0))*Data[[#This Row],[Qty C]],"0")</f>
        <v>0</v>
      </c>
      <c r="X39" s="21">
        <f>Data[[#This Row],[Qty A]]+Data[[#This Row],[Qty B]]+Data[[#This Row],[Qty C]]</f>
        <v>7</v>
      </c>
      <c r="Y39" s="22">
        <f>Data[[#This Row],[Harga Barang A]]+Data[[#This Row],[Harga Barang B]]+Data[[#This Row],[Harga Barang C]]</f>
        <v>2450000</v>
      </c>
      <c r="Z39" s="35">
        <f>IFERROR(Data[[#This Row],[Total Harga]]-(Data[[#This Row],[Total Harga]]*Data[[#This Row],[Diskon]]),Data[[#This Row],[Total Harga]])</f>
        <v>2082500</v>
      </c>
      <c r="AA39" s="35">
        <f>(Data[[#This Row],[Profit A]]+Data[[#This Row],[Profit B]]+Data[[#This Row],[Profit C]])</f>
        <v>910000</v>
      </c>
      <c r="AB39" s="35">
        <f>IFERROR((Data[[#This Row],[Profit non Diskon]]-(Data[[#This Row],[Profit non Diskon]]*Data[[#This Row],[Diskon]])),Data[[#This Row],[Profit non Diskon]])</f>
        <v>773500</v>
      </c>
      <c r="AC39" s="23" t="s">
        <v>28</v>
      </c>
      <c r="AD39" s="37">
        <f>IFERROR(INDEX('Kode Diskon'!$D$3:$D$9,MATCH(Data[[#This Row],[Kode diskon]],'Kode Diskon'!$C$3:$C$9,0)),"-")</f>
        <v>0.15</v>
      </c>
      <c r="AE39" s="23" t="s">
        <v>29</v>
      </c>
      <c r="AF39" s="23" t="s">
        <v>14</v>
      </c>
      <c r="AG39" s="23" t="s">
        <v>80</v>
      </c>
      <c r="AH39" s="24">
        <v>45020</v>
      </c>
      <c r="AI39" s="23" t="str">
        <f>TEXT(Data[[#This Row],[Tanggal terjual]],"dddd")</f>
        <v>Tuesday</v>
      </c>
      <c r="AJ39" s="21" t="str">
        <f>TEXT(Data[[#This Row],[Tanggal terjual]],"wwww")</f>
        <v>wwww</v>
      </c>
    </row>
    <row r="40" spans="1:36" x14ac:dyDescent="0.2">
      <c r="A40" s="20">
        <v>39</v>
      </c>
      <c r="B40" s="21" t="str">
        <f>_xlfn.CONCAT("ORD-",INDEX(Helper!$B$2:$B$5,MATCH(Data[[#This Row],[Marketplace]],Helper!$A$2:$A$5,0)),TEXT(Data[[#This Row],[No]],"0000"),"-",TEXT(Data[[#This Row],[Tanggal terjual]],"dd/mm/yy"))</f>
        <v>ORD-TK0039-25/04/23</v>
      </c>
      <c r="C40" t="s">
        <v>66</v>
      </c>
      <c r="D40" t="str">
        <f>IFERROR(INDEX(Katalog!$A$3:$A$12,MATCH(Data[[#This Row],[ItemID A]],Katalog!$C$3:$C$12,0)),"-")</f>
        <v>Sepatu Pria</v>
      </c>
      <c r="E40" t="str">
        <f>IFERROR(INDEX(Katalog!$B$3:$B$12,MATCH(Data[[#This Row],[ItemID A]],Katalog!$C$3:$C$12,0)),"-")</f>
        <v>Sandal Slip On</v>
      </c>
      <c r="F40">
        <v>6</v>
      </c>
      <c r="G40">
        <v>4</v>
      </c>
      <c r="H40" s="36">
        <f>IFERROR(INDEX(Katalog!$D$3:$D$12,MATCH(Data[[#This Row],[ItemID A]],Katalog!$C$3:$C$12,0))*Data[[#This Row],[Qty A]],"0")</f>
        <v>900000</v>
      </c>
      <c r="I40" s="36">
        <f>IFERROR(INDEX(Katalog!$F$3:$F$12,MATCH(Data[[#This Row],[ItemID A]],Katalog!$C$3:$C$12,0))*Data[[#This Row],[Qty A]],0)</f>
        <v>360000</v>
      </c>
      <c r="K40" t="str">
        <f>IFERROR(INDEX(Katalog!$A$3:$A$12,MATCH(Data[[#This Row],[ItemID B]],Katalog!$C$3:$C$12,0)),"-")</f>
        <v>-</v>
      </c>
      <c r="L40" t="str">
        <f>IFERROR(INDEX(Katalog!$B$3:$B$12,MATCH(Data[[#This Row],[ItemID B]],Katalog!$C$3:$C$12,0)),"-")</f>
        <v>-</v>
      </c>
      <c r="O40" s="36" t="str">
        <f>IFERROR(INDEX(Katalog!$D$3:$D$12,MATCH(Data[[#This Row],[ItemID B]],Katalog!$C$3:$C$12,0))*Data[[#This Row],[Qty B]],"0")</f>
        <v>0</v>
      </c>
      <c r="P40" s="36" t="str">
        <f>IFERROR(INDEX(Katalog!$F$3:$F$12,MATCH(Data[[#This Row],[ItemID B]],Katalog!$C$3:$C$12,0))*Data[[#This Row],[Qty B]],"0")</f>
        <v>0</v>
      </c>
      <c r="R40" t="str">
        <f>IFERROR(INDEX(Katalog!$A$3:$A$12,MATCH(Data[[#This Row],[ItemID C]],Katalog!$C$3:$C$12,0)),"-")</f>
        <v>-</v>
      </c>
      <c r="S40" t="str">
        <f>IFERROR(INDEX(Katalog!$B$3:$B$12,MATCH(Data[[#This Row],[ItemID C]],Katalog!$C$3:$C$12,0)),"-")</f>
        <v>-</v>
      </c>
      <c r="V40" s="36" t="str">
        <f>IFERROR(INDEX(Katalog!$D$3:$D$12,MATCH(Data[[#This Row],[ItemID C]],Katalog!$C$3:$C$12,0))*Data[[#This Row],[Qty C]],"0")</f>
        <v>0</v>
      </c>
      <c r="W40" s="36" t="str">
        <f>IFERROR(INDEX(Katalog!$F$3:$F$12,MATCH(Data[[#This Row],[ItemID C]],Katalog!$C$3:$C$12,0))*Data[[#This Row],[Qty C]],"0")</f>
        <v>0</v>
      </c>
      <c r="X40" s="21">
        <f>Data[[#This Row],[Qty A]]+Data[[#This Row],[Qty B]]+Data[[#This Row],[Qty C]]</f>
        <v>6</v>
      </c>
      <c r="Y40" s="22">
        <f>Data[[#This Row],[Harga Barang A]]+Data[[#This Row],[Harga Barang B]]+Data[[#This Row],[Harga Barang C]]</f>
        <v>900000</v>
      </c>
      <c r="Z40" s="35">
        <f>IFERROR(Data[[#This Row],[Total Harga]]-(Data[[#This Row],[Total Harga]]*Data[[#This Row],[Diskon]]),Data[[#This Row],[Total Harga]])</f>
        <v>810000</v>
      </c>
      <c r="AA40" s="35">
        <f>(Data[[#This Row],[Profit A]]+Data[[#This Row],[Profit B]]+Data[[#This Row],[Profit C]])</f>
        <v>360000</v>
      </c>
      <c r="AB40" s="35">
        <f>IFERROR((Data[[#This Row],[Profit non Diskon]]-(Data[[#This Row],[Profit non Diskon]]*Data[[#This Row],[Diskon]])),Data[[#This Row],[Profit non Diskon]])</f>
        <v>324000</v>
      </c>
      <c r="AC40" s="23" t="s">
        <v>31</v>
      </c>
      <c r="AD40" s="37">
        <f>IFERROR(INDEX('Kode Diskon'!$D$3:$D$9,MATCH(Data[[#This Row],[Kode diskon]],'Kode Diskon'!$C$3:$C$9,0)),"-")</f>
        <v>0.1</v>
      </c>
      <c r="AE40" s="23" t="s">
        <v>9</v>
      </c>
      <c r="AF40" s="23" t="s">
        <v>10</v>
      </c>
      <c r="AG40" s="23" t="s">
        <v>76</v>
      </c>
      <c r="AH40" s="24">
        <v>45041</v>
      </c>
      <c r="AI40" s="23" t="str">
        <f>TEXT(Data[[#This Row],[Tanggal terjual]],"dddd")</f>
        <v>Tuesday</v>
      </c>
      <c r="AJ40" s="21" t="str">
        <f>TEXT(Data[[#This Row],[Tanggal terjual]],"wwww")</f>
        <v>wwww</v>
      </c>
    </row>
    <row r="41" spans="1:36" x14ac:dyDescent="0.2">
      <c r="A41" s="20">
        <v>40</v>
      </c>
      <c r="B41" s="21" t="str">
        <f>_xlfn.CONCAT("ORD-",INDEX(Helper!$B$2:$B$5,MATCH(Data[[#This Row],[Marketplace]],Helper!$A$2:$A$5,0)),TEXT(Data[[#This Row],[No]],"0000"),"-",TEXT(Data[[#This Row],[Tanggal terjual]],"dd/mm/yy"))</f>
        <v>ORD-TK0040-15/04/23</v>
      </c>
      <c r="C41" t="s">
        <v>60</v>
      </c>
      <c r="D41" t="str">
        <f>IFERROR(INDEX(Katalog!$A$3:$A$12,MATCH(Data[[#This Row],[ItemID A]],Katalog!$C$3:$C$12,0)),"-")</f>
        <v>Pakaian Wanita</v>
      </c>
      <c r="E41" t="str">
        <f>IFERROR(INDEX(Katalog!$B$3:$B$12,MATCH(Data[[#This Row],[ItemID A]],Katalog!$C$3:$C$12,0)),"-")</f>
        <v>Kaftan</v>
      </c>
      <c r="F41">
        <v>2</v>
      </c>
      <c r="G41">
        <v>5</v>
      </c>
      <c r="H41" s="36">
        <f>IFERROR(INDEX(Katalog!$D$3:$D$12,MATCH(Data[[#This Row],[ItemID A]],Katalog!$C$3:$C$12,0))*Data[[#This Row],[Qty A]],"0")</f>
        <v>500000</v>
      </c>
      <c r="I41" s="36">
        <f>IFERROR(INDEX(Katalog!$F$3:$F$12,MATCH(Data[[#This Row],[ItemID A]],Katalog!$C$3:$C$12,0))*Data[[#This Row],[Qty A]],0)</f>
        <v>200000</v>
      </c>
      <c r="J41" t="s">
        <v>62</v>
      </c>
      <c r="K41" t="str">
        <f>IFERROR(INDEX(Katalog!$A$3:$A$12,MATCH(Data[[#This Row],[ItemID B]],Katalog!$C$3:$C$12,0)),"-")</f>
        <v>Pakaian Pria</v>
      </c>
      <c r="L41" t="str">
        <f>IFERROR(INDEX(Katalog!$B$3:$B$12,MATCH(Data[[#This Row],[ItemID B]],Katalog!$C$3:$C$12,0)),"-")</f>
        <v>Celana Pendek</v>
      </c>
      <c r="M41">
        <v>3</v>
      </c>
      <c r="N41">
        <v>3</v>
      </c>
      <c r="O41" s="36">
        <f>IFERROR(INDEX(Katalog!$D$3:$D$12,MATCH(Data[[#This Row],[ItemID B]],Katalog!$C$3:$C$12,0))*Data[[#This Row],[Qty B]],"0")</f>
        <v>540000</v>
      </c>
      <c r="P41" s="36">
        <f>IFERROR(INDEX(Katalog!$F$3:$F$12,MATCH(Data[[#This Row],[ItemID B]],Katalog!$C$3:$C$12,0))*Data[[#This Row],[Qty B]],"0")</f>
        <v>210000</v>
      </c>
      <c r="Q41" t="s">
        <v>61</v>
      </c>
      <c r="R41" t="str">
        <f>IFERROR(INDEX(Katalog!$A$3:$A$12,MATCH(Data[[#This Row],[ItemID C]],Katalog!$C$3:$C$12,0)),"-")</f>
        <v>Pakaian Pria</v>
      </c>
      <c r="S41" t="str">
        <f>IFERROR(INDEX(Katalog!$B$3:$B$12,MATCH(Data[[#This Row],[ItemID C]],Katalog!$C$3:$C$12,0)),"-")</f>
        <v>Kaos Polo</v>
      </c>
      <c r="T41">
        <v>2</v>
      </c>
      <c r="U41">
        <v>3</v>
      </c>
      <c r="V41" s="36">
        <f>IFERROR(INDEX(Katalog!$D$3:$D$12,MATCH(Data[[#This Row],[ItemID C]],Katalog!$C$3:$C$12,0))*Data[[#This Row],[Qty C]],"0")</f>
        <v>400000</v>
      </c>
      <c r="W41" s="36">
        <f>IFERROR(INDEX(Katalog!$F$3:$F$12,MATCH(Data[[#This Row],[ItemID C]],Katalog!$C$3:$C$12,0))*Data[[#This Row],[Qty C]],"0")</f>
        <v>160000</v>
      </c>
      <c r="X41" s="21">
        <f>Data[[#This Row],[Qty A]]+Data[[#This Row],[Qty B]]+Data[[#This Row],[Qty C]]</f>
        <v>7</v>
      </c>
      <c r="Y41" s="22">
        <f>Data[[#This Row],[Harga Barang A]]+Data[[#This Row],[Harga Barang B]]+Data[[#This Row],[Harga Barang C]]</f>
        <v>1440000</v>
      </c>
      <c r="Z41" s="35">
        <f>IFERROR(Data[[#This Row],[Total Harga]]-(Data[[#This Row],[Total Harga]]*Data[[#This Row],[Diskon]]),Data[[#This Row],[Total Harga]])</f>
        <v>1440000</v>
      </c>
      <c r="AA41" s="35">
        <f>(Data[[#This Row],[Profit A]]+Data[[#This Row],[Profit B]]+Data[[#This Row],[Profit C]])</f>
        <v>570000</v>
      </c>
      <c r="AB41" s="35">
        <f>IFERROR((Data[[#This Row],[Profit non Diskon]]-(Data[[#This Row],[Profit non Diskon]]*Data[[#This Row],[Diskon]])),Data[[#This Row],[Profit non Diskon]])</f>
        <v>570000</v>
      </c>
      <c r="AC41" s="23" t="s">
        <v>11</v>
      </c>
      <c r="AD41" s="37" t="str">
        <f>IFERROR(INDEX('Kode Diskon'!$D$3:$D$9,MATCH(Data[[#This Row],[Kode diskon]],'Kode Diskon'!$C$3:$C$9,0)),"-")</f>
        <v>-</v>
      </c>
      <c r="AE41" s="23" t="s">
        <v>11</v>
      </c>
      <c r="AF41" s="23" t="s">
        <v>10</v>
      </c>
      <c r="AG41" s="23" t="s">
        <v>80</v>
      </c>
      <c r="AH41" s="24">
        <v>45031</v>
      </c>
      <c r="AI41" s="23" t="str">
        <f>TEXT(Data[[#This Row],[Tanggal terjual]],"dddd")</f>
        <v>Saturday</v>
      </c>
      <c r="AJ41" s="21" t="str">
        <f>TEXT(Data[[#This Row],[Tanggal terjual]],"wwww")</f>
        <v>wwww</v>
      </c>
    </row>
    <row r="42" spans="1:36" x14ac:dyDescent="0.2">
      <c r="A42" s="20">
        <v>41</v>
      </c>
      <c r="B42" s="21" t="str">
        <f>_xlfn.CONCAT("ORD-",INDEX(Helper!$B$2:$B$5,MATCH(Data[[#This Row],[Marketplace]],Helper!$A$2:$A$5,0)),TEXT(Data[[#This Row],[No]],"0000"),"-",TEXT(Data[[#This Row],[Tanggal terjual]],"dd/mm/yy"))</f>
        <v>ORD-TK0041-01/04/23</v>
      </c>
      <c r="C42" t="s">
        <v>66</v>
      </c>
      <c r="D42" t="str">
        <f>IFERROR(INDEX(Katalog!$A$3:$A$12,MATCH(Data[[#This Row],[ItemID A]],Katalog!$C$3:$C$12,0)),"-")</f>
        <v>Sepatu Pria</v>
      </c>
      <c r="E42" t="str">
        <f>IFERROR(INDEX(Katalog!$B$3:$B$12,MATCH(Data[[#This Row],[ItemID A]],Katalog!$C$3:$C$12,0)),"-")</f>
        <v>Sandal Slip On</v>
      </c>
      <c r="F42">
        <v>2</v>
      </c>
      <c r="G42">
        <v>3</v>
      </c>
      <c r="H42" s="36">
        <f>IFERROR(INDEX(Katalog!$D$3:$D$12,MATCH(Data[[#This Row],[ItemID A]],Katalog!$C$3:$C$12,0))*Data[[#This Row],[Qty A]],"0")</f>
        <v>300000</v>
      </c>
      <c r="I42" s="36">
        <f>IFERROR(INDEX(Katalog!$F$3:$F$12,MATCH(Data[[#This Row],[ItemID A]],Katalog!$C$3:$C$12,0))*Data[[#This Row],[Qty A]],0)</f>
        <v>120000</v>
      </c>
      <c r="K42" t="str">
        <f>IFERROR(INDEX(Katalog!$A$3:$A$12,MATCH(Data[[#This Row],[ItemID B]],Katalog!$C$3:$C$12,0)),"-")</f>
        <v>-</v>
      </c>
      <c r="L42" t="str">
        <f>IFERROR(INDEX(Katalog!$B$3:$B$12,MATCH(Data[[#This Row],[ItemID B]],Katalog!$C$3:$C$12,0)),"-")</f>
        <v>-</v>
      </c>
      <c r="O42" s="36" t="str">
        <f>IFERROR(INDEX(Katalog!$D$3:$D$12,MATCH(Data[[#This Row],[ItemID B]],Katalog!$C$3:$C$12,0))*Data[[#This Row],[Qty B]],"0")</f>
        <v>0</v>
      </c>
      <c r="P42" s="36" t="str">
        <f>IFERROR(INDEX(Katalog!$F$3:$F$12,MATCH(Data[[#This Row],[ItemID B]],Katalog!$C$3:$C$12,0))*Data[[#This Row],[Qty B]],"0")</f>
        <v>0</v>
      </c>
      <c r="R42" t="str">
        <f>IFERROR(INDEX(Katalog!$A$3:$A$12,MATCH(Data[[#This Row],[ItemID C]],Katalog!$C$3:$C$12,0)),"-")</f>
        <v>-</v>
      </c>
      <c r="S42" t="str">
        <f>IFERROR(INDEX(Katalog!$B$3:$B$12,MATCH(Data[[#This Row],[ItemID C]],Katalog!$C$3:$C$12,0)),"-")</f>
        <v>-</v>
      </c>
      <c r="V42" s="36" t="str">
        <f>IFERROR(INDEX(Katalog!$D$3:$D$12,MATCH(Data[[#This Row],[ItemID C]],Katalog!$C$3:$C$12,0))*Data[[#This Row],[Qty C]],"0")</f>
        <v>0</v>
      </c>
      <c r="W42" s="36" t="str">
        <f>IFERROR(INDEX(Katalog!$F$3:$F$12,MATCH(Data[[#This Row],[ItemID C]],Katalog!$C$3:$C$12,0))*Data[[#This Row],[Qty C]],"0")</f>
        <v>0</v>
      </c>
      <c r="X42" s="21">
        <f>Data[[#This Row],[Qty A]]+Data[[#This Row],[Qty B]]+Data[[#This Row],[Qty C]]</f>
        <v>2</v>
      </c>
      <c r="Y42" s="22">
        <f>Data[[#This Row],[Harga Barang A]]+Data[[#This Row],[Harga Barang B]]+Data[[#This Row],[Harga Barang C]]</f>
        <v>300000</v>
      </c>
      <c r="Z42" s="35">
        <f>IFERROR(Data[[#This Row],[Total Harga]]-(Data[[#This Row],[Total Harga]]*Data[[#This Row],[Diskon]]),Data[[#This Row],[Total Harga]])</f>
        <v>270000</v>
      </c>
      <c r="AA42" s="35">
        <f>(Data[[#This Row],[Profit A]]+Data[[#This Row],[Profit B]]+Data[[#This Row],[Profit C]])</f>
        <v>120000</v>
      </c>
      <c r="AB42" s="35">
        <f>IFERROR((Data[[#This Row],[Profit non Diskon]]-(Data[[#This Row],[Profit non Diskon]]*Data[[#This Row],[Diskon]])),Data[[#This Row],[Profit non Diskon]])</f>
        <v>108000</v>
      </c>
      <c r="AC42" s="23" t="s">
        <v>30</v>
      </c>
      <c r="AD42" s="37">
        <f>IFERROR(INDEX('Kode Diskon'!$D$3:$D$9,MATCH(Data[[#This Row],[Kode diskon]],'Kode Diskon'!$C$3:$C$9,0)),"-")</f>
        <v>0.1</v>
      </c>
      <c r="AE42" s="23" t="s">
        <v>29</v>
      </c>
      <c r="AF42" s="23" t="s">
        <v>10</v>
      </c>
      <c r="AG42" s="23" t="s">
        <v>80</v>
      </c>
      <c r="AH42" s="24">
        <v>45017</v>
      </c>
      <c r="AI42" s="23" t="str">
        <f>TEXT(Data[[#This Row],[Tanggal terjual]],"dddd")</f>
        <v>Saturday</v>
      </c>
      <c r="AJ42" s="21" t="str">
        <f>TEXT(Data[[#This Row],[Tanggal terjual]],"wwww")</f>
        <v>wwww</v>
      </c>
    </row>
    <row r="43" spans="1:36" x14ac:dyDescent="0.2">
      <c r="A43" s="20">
        <v>42</v>
      </c>
      <c r="B43" s="21" t="str">
        <f>_xlfn.CONCAT("ORD-",INDEX(Helper!$B$2:$B$5,MATCH(Data[[#This Row],[Marketplace]],Helper!$A$2:$A$5,0)),TEXT(Data[[#This Row],[No]],"0000"),"-",TEXT(Data[[#This Row],[Tanggal terjual]],"dd/mm/yy"))</f>
        <v>ORD-BB0042-15/04/23</v>
      </c>
      <c r="C43" t="s">
        <v>63</v>
      </c>
      <c r="D43" t="str">
        <f>IFERROR(INDEX(Katalog!$A$3:$A$12,MATCH(Data[[#This Row],[ItemID A]],Katalog!$C$3:$C$12,0)),"-")</f>
        <v>Pakaian Pria</v>
      </c>
      <c r="E43" t="str">
        <f>IFERROR(INDEX(Katalog!$B$3:$B$12,MATCH(Data[[#This Row],[ItemID A]],Katalog!$C$3:$C$12,0)),"-")</f>
        <v>Jaket Jeans</v>
      </c>
      <c r="F43">
        <v>1</v>
      </c>
      <c r="G43">
        <v>5</v>
      </c>
      <c r="H43" s="36">
        <f>IFERROR(INDEX(Katalog!$D$3:$D$12,MATCH(Data[[#This Row],[ItemID A]],Katalog!$C$3:$C$12,0))*Data[[#This Row],[Qty A]],"0")</f>
        <v>400000</v>
      </c>
      <c r="I43" s="36">
        <f>IFERROR(INDEX(Katalog!$F$3:$F$12,MATCH(Data[[#This Row],[ItemID A]],Katalog!$C$3:$C$12,0))*Data[[#This Row],[Qty A]],0)</f>
        <v>150000</v>
      </c>
      <c r="K43" t="str">
        <f>IFERROR(INDEX(Katalog!$A$3:$A$12,MATCH(Data[[#This Row],[ItemID B]],Katalog!$C$3:$C$12,0)),"-")</f>
        <v>-</v>
      </c>
      <c r="L43" t="str">
        <f>IFERROR(INDEX(Katalog!$B$3:$B$12,MATCH(Data[[#This Row],[ItemID B]],Katalog!$C$3:$C$12,0)),"-")</f>
        <v>-</v>
      </c>
      <c r="O43" s="36" t="str">
        <f>IFERROR(INDEX(Katalog!$D$3:$D$12,MATCH(Data[[#This Row],[ItemID B]],Katalog!$C$3:$C$12,0))*Data[[#This Row],[Qty B]],"0")</f>
        <v>0</v>
      </c>
      <c r="P43" s="36" t="str">
        <f>IFERROR(INDEX(Katalog!$F$3:$F$12,MATCH(Data[[#This Row],[ItemID B]],Katalog!$C$3:$C$12,0))*Data[[#This Row],[Qty B]],"0")</f>
        <v>0</v>
      </c>
      <c r="R43" t="str">
        <f>IFERROR(INDEX(Katalog!$A$3:$A$12,MATCH(Data[[#This Row],[ItemID C]],Katalog!$C$3:$C$12,0)),"-")</f>
        <v>-</v>
      </c>
      <c r="S43" t="str">
        <f>IFERROR(INDEX(Katalog!$B$3:$B$12,MATCH(Data[[#This Row],[ItemID C]],Katalog!$C$3:$C$12,0)),"-")</f>
        <v>-</v>
      </c>
      <c r="V43" s="36" t="str">
        <f>IFERROR(INDEX(Katalog!$D$3:$D$12,MATCH(Data[[#This Row],[ItemID C]],Katalog!$C$3:$C$12,0))*Data[[#This Row],[Qty C]],"0")</f>
        <v>0</v>
      </c>
      <c r="W43" s="36" t="str">
        <f>IFERROR(INDEX(Katalog!$F$3:$F$12,MATCH(Data[[#This Row],[ItemID C]],Katalog!$C$3:$C$12,0))*Data[[#This Row],[Qty C]],"0")</f>
        <v>0</v>
      </c>
      <c r="X43" s="21">
        <f>Data[[#This Row],[Qty A]]+Data[[#This Row],[Qty B]]+Data[[#This Row],[Qty C]]</f>
        <v>1</v>
      </c>
      <c r="Y43" s="22">
        <f>Data[[#This Row],[Harga Barang A]]+Data[[#This Row],[Harga Barang B]]+Data[[#This Row],[Harga Barang C]]</f>
        <v>400000</v>
      </c>
      <c r="Z43" s="35">
        <f>IFERROR(Data[[#This Row],[Total Harga]]-(Data[[#This Row],[Total Harga]]*Data[[#This Row],[Diskon]]),Data[[#This Row],[Total Harga]])</f>
        <v>400000</v>
      </c>
      <c r="AA43" s="35">
        <f>(Data[[#This Row],[Profit A]]+Data[[#This Row],[Profit B]]+Data[[#This Row],[Profit C]])</f>
        <v>150000</v>
      </c>
      <c r="AB43" s="35">
        <f>IFERROR((Data[[#This Row],[Profit non Diskon]]-(Data[[#This Row],[Profit non Diskon]]*Data[[#This Row],[Diskon]])),Data[[#This Row],[Profit non Diskon]])</f>
        <v>150000</v>
      </c>
      <c r="AC43" s="23" t="s">
        <v>11</v>
      </c>
      <c r="AD43" s="37" t="str">
        <f>IFERROR(INDEX('Kode Diskon'!$D$3:$D$9,MATCH(Data[[#This Row],[Kode diskon]],'Kode Diskon'!$C$3:$C$9,0)),"-")</f>
        <v>-</v>
      </c>
      <c r="AE43" s="23" t="s">
        <v>11</v>
      </c>
      <c r="AF43" s="23" t="s">
        <v>14</v>
      </c>
      <c r="AG43" s="23" t="s">
        <v>77</v>
      </c>
      <c r="AH43" s="24">
        <v>45031</v>
      </c>
      <c r="AI43" s="23" t="str">
        <f>TEXT(Data[[#This Row],[Tanggal terjual]],"dddd")</f>
        <v>Saturday</v>
      </c>
      <c r="AJ43" s="21" t="str">
        <f>TEXT(Data[[#This Row],[Tanggal terjual]],"wwww")</f>
        <v>wwww</v>
      </c>
    </row>
    <row r="44" spans="1:36" x14ac:dyDescent="0.2">
      <c r="A44" s="20">
        <v>43</v>
      </c>
      <c r="B44" s="21" t="str">
        <f>_xlfn.CONCAT("ORD-",INDEX(Helper!$B$2:$B$5,MATCH(Data[[#This Row],[Marketplace]],Helper!$A$2:$A$5,0)),TEXT(Data[[#This Row],[No]],"0000"),"-",TEXT(Data[[#This Row],[Tanggal terjual]],"dd/mm/yy"))</f>
        <v>ORD-BB0043-05/04/23</v>
      </c>
      <c r="C44" t="s">
        <v>65</v>
      </c>
      <c r="D44" t="str">
        <f>IFERROR(INDEX(Katalog!$A$3:$A$12,MATCH(Data[[#This Row],[ItemID A]],Katalog!$C$3:$C$12,0)),"-")</f>
        <v>Sepatu Pria</v>
      </c>
      <c r="E44" t="str">
        <f>IFERROR(INDEX(Katalog!$B$3:$B$12,MATCH(Data[[#This Row],[ItemID A]],Katalog!$C$3:$C$12,0)),"-")</f>
        <v>Sneakers</v>
      </c>
      <c r="F44">
        <v>5</v>
      </c>
      <c r="G44">
        <v>1</v>
      </c>
      <c r="H44" s="36">
        <f>IFERROR(INDEX(Katalog!$D$3:$D$12,MATCH(Data[[#This Row],[ItemID A]],Katalog!$C$3:$C$12,0))*Data[[#This Row],[Qty A]],"0")</f>
        <v>2500000</v>
      </c>
      <c r="I44" s="36">
        <f>IFERROR(INDEX(Katalog!$F$3:$F$12,MATCH(Data[[#This Row],[ItemID A]],Katalog!$C$3:$C$12,0))*Data[[#This Row],[Qty A]],0)</f>
        <v>1000000</v>
      </c>
      <c r="J44" t="s">
        <v>59</v>
      </c>
      <c r="K44" t="str">
        <f>IFERROR(INDEX(Katalog!$A$3:$A$12,MATCH(Data[[#This Row],[ItemID B]],Katalog!$C$3:$C$12,0)),"-")</f>
        <v>Pakaian Wanita</v>
      </c>
      <c r="L44" t="str">
        <f>IFERROR(INDEX(Katalog!$B$3:$B$12,MATCH(Data[[#This Row],[ItemID B]],Katalog!$C$3:$C$12,0)),"-")</f>
        <v>Blouse</v>
      </c>
      <c r="M44">
        <v>2</v>
      </c>
      <c r="N44">
        <v>3</v>
      </c>
      <c r="O44" s="36">
        <f>IFERROR(INDEX(Katalog!$D$3:$D$12,MATCH(Data[[#This Row],[ItemID B]],Katalog!$C$3:$C$12,0))*Data[[#This Row],[Qty B]],"0")</f>
        <v>300000</v>
      </c>
      <c r="P44" s="36">
        <f>IFERROR(INDEX(Katalog!$F$3:$F$12,MATCH(Data[[#This Row],[ItemID B]],Katalog!$C$3:$C$12,0))*Data[[#This Row],[Qty B]],"0")</f>
        <v>100000</v>
      </c>
      <c r="R44" t="str">
        <f>IFERROR(INDEX(Katalog!$A$3:$A$12,MATCH(Data[[#This Row],[ItemID C]],Katalog!$C$3:$C$12,0)),"-")</f>
        <v>-</v>
      </c>
      <c r="S44" t="str">
        <f>IFERROR(INDEX(Katalog!$B$3:$B$12,MATCH(Data[[#This Row],[ItemID C]],Katalog!$C$3:$C$12,0)),"-")</f>
        <v>-</v>
      </c>
      <c r="V44" s="36" t="str">
        <f>IFERROR(INDEX(Katalog!$D$3:$D$12,MATCH(Data[[#This Row],[ItemID C]],Katalog!$C$3:$C$12,0))*Data[[#This Row],[Qty C]],"0")</f>
        <v>0</v>
      </c>
      <c r="W44" s="36" t="str">
        <f>IFERROR(INDEX(Katalog!$F$3:$F$12,MATCH(Data[[#This Row],[ItemID C]],Katalog!$C$3:$C$12,0))*Data[[#This Row],[Qty C]],"0")</f>
        <v>0</v>
      </c>
      <c r="X44" s="21">
        <f>Data[[#This Row],[Qty A]]+Data[[#This Row],[Qty B]]+Data[[#This Row],[Qty C]]</f>
        <v>7</v>
      </c>
      <c r="Y44" s="22">
        <f>Data[[#This Row],[Harga Barang A]]+Data[[#This Row],[Harga Barang B]]+Data[[#This Row],[Harga Barang C]]</f>
        <v>2800000</v>
      </c>
      <c r="Z44" s="35">
        <f>IFERROR(Data[[#This Row],[Total Harga]]-(Data[[#This Row],[Total Harga]]*Data[[#This Row],[Diskon]]),Data[[#This Row],[Total Harga]])</f>
        <v>2380000</v>
      </c>
      <c r="AA44" s="35">
        <f>(Data[[#This Row],[Profit A]]+Data[[#This Row],[Profit B]]+Data[[#This Row],[Profit C]])</f>
        <v>1100000</v>
      </c>
      <c r="AB44" s="35">
        <f>IFERROR((Data[[#This Row],[Profit non Diskon]]-(Data[[#This Row],[Profit non Diskon]]*Data[[#This Row],[Diskon]])),Data[[#This Row],[Profit non Diskon]])</f>
        <v>935000</v>
      </c>
      <c r="AC44" s="23" t="s">
        <v>28</v>
      </c>
      <c r="AD44" s="37">
        <f>IFERROR(INDEX('Kode Diskon'!$D$3:$D$9,MATCH(Data[[#This Row],[Kode diskon]],'Kode Diskon'!$C$3:$C$9,0)),"-")</f>
        <v>0.15</v>
      </c>
      <c r="AE44" s="23" t="s">
        <v>29</v>
      </c>
      <c r="AF44" s="23" t="s">
        <v>14</v>
      </c>
      <c r="AG44" s="23" t="s">
        <v>77</v>
      </c>
      <c r="AH44" s="24">
        <v>45021</v>
      </c>
      <c r="AI44" s="23" t="str">
        <f>TEXT(Data[[#This Row],[Tanggal terjual]],"dddd")</f>
        <v>Wednesday</v>
      </c>
      <c r="AJ44" s="21" t="str">
        <f>TEXT(Data[[#This Row],[Tanggal terjual]],"wwww")</f>
        <v>wwww</v>
      </c>
    </row>
    <row r="45" spans="1:36" x14ac:dyDescent="0.2">
      <c r="A45" s="20">
        <v>44</v>
      </c>
      <c r="B45" s="21" t="str">
        <f>_xlfn.CONCAT("ORD-",INDEX(Helper!$B$2:$B$5,MATCH(Data[[#This Row],[Marketplace]],Helper!$A$2:$A$5,0)),TEXT(Data[[#This Row],[No]],"0000"),"-",TEXT(Data[[#This Row],[Tanggal terjual]],"dd/mm/yy"))</f>
        <v>ORD-SP0044-06/04/23</v>
      </c>
      <c r="C45" t="s">
        <v>58</v>
      </c>
      <c r="D45" t="str">
        <f>IFERROR(INDEX(Katalog!$A$3:$A$12,MATCH(Data[[#This Row],[ItemID A]],Katalog!$C$3:$C$12,0)),"-")</f>
        <v>Pakaian Wanita</v>
      </c>
      <c r="E45" t="str">
        <f>IFERROR(INDEX(Katalog!$B$3:$B$12,MATCH(Data[[#This Row],[ItemID A]],Katalog!$C$3:$C$12,0)),"-")</f>
        <v>Dress</v>
      </c>
      <c r="F45">
        <v>4</v>
      </c>
      <c r="G45">
        <v>3</v>
      </c>
      <c r="H45" s="36">
        <f>IFERROR(INDEX(Katalog!$D$3:$D$12,MATCH(Data[[#This Row],[ItemID A]],Katalog!$C$3:$C$12,0))*Data[[#This Row],[Qty A]],"0")</f>
        <v>1200000</v>
      </c>
      <c r="I45" s="36">
        <f>IFERROR(INDEX(Katalog!$F$3:$F$12,MATCH(Data[[#This Row],[ItemID A]],Katalog!$C$3:$C$12,0))*Data[[#This Row],[Qty A]],0)</f>
        <v>400000</v>
      </c>
      <c r="J45" t="s">
        <v>63</v>
      </c>
      <c r="K45" t="str">
        <f>IFERROR(INDEX(Katalog!$A$3:$A$12,MATCH(Data[[#This Row],[ItemID B]],Katalog!$C$3:$C$12,0)),"-")</f>
        <v>Pakaian Pria</v>
      </c>
      <c r="L45" t="str">
        <f>IFERROR(INDEX(Katalog!$B$3:$B$12,MATCH(Data[[#This Row],[ItemID B]],Katalog!$C$3:$C$12,0)),"-")</f>
        <v>Jaket Jeans</v>
      </c>
      <c r="M45">
        <v>1</v>
      </c>
      <c r="N45">
        <v>5</v>
      </c>
      <c r="O45" s="36">
        <f>IFERROR(INDEX(Katalog!$D$3:$D$12,MATCH(Data[[#This Row],[ItemID B]],Katalog!$C$3:$C$12,0))*Data[[#This Row],[Qty B]],"0")</f>
        <v>400000</v>
      </c>
      <c r="P45" s="36">
        <f>IFERROR(INDEX(Katalog!$F$3:$F$12,MATCH(Data[[#This Row],[ItemID B]],Katalog!$C$3:$C$12,0))*Data[[#This Row],[Qty B]],"0")</f>
        <v>150000</v>
      </c>
      <c r="Q45" t="s">
        <v>60</v>
      </c>
      <c r="R45" t="str">
        <f>IFERROR(INDEX(Katalog!$A$3:$A$12,MATCH(Data[[#This Row],[ItemID C]],Katalog!$C$3:$C$12,0)),"-")</f>
        <v>Pakaian Wanita</v>
      </c>
      <c r="S45" t="str">
        <f>IFERROR(INDEX(Katalog!$B$3:$B$12,MATCH(Data[[#This Row],[ItemID C]],Katalog!$C$3:$C$12,0)),"-")</f>
        <v>Kaftan</v>
      </c>
      <c r="T45">
        <v>2</v>
      </c>
      <c r="U45">
        <v>1</v>
      </c>
      <c r="V45" s="36">
        <f>IFERROR(INDEX(Katalog!$D$3:$D$12,MATCH(Data[[#This Row],[ItemID C]],Katalog!$C$3:$C$12,0))*Data[[#This Row],[Qty C]],"0")</f>
        <v>500000</v>
      </c>
      <c r="W45" s="36">
        <f>IFERROR(INDEX(Katalog!$F$3:$F$12,MATCH(Data[[#This Row],[ItemID C]],Katalog!$C$3:$C$12,0))*Data[[#This Row],[Qty C]],"0")</f>
        <v>200000</v>
      </c>
      <c r="X45" s="21">
        <f>Data[[#This Row],[Qty A]]+Data[[#This Row],[Qty B]]+Data[[#This Row],[Qty C]]</f>
        <v>7</v>
      </c>
      <c r="Y45" s="22">
        <f>Data[[#This Row],[Harga Barang A]]+Data[[#This Row],[Harga Barang B]]+Data[[#This Row],[Harga Barang C]]</f>
        <v>2100000</v>
      </c>
      <c r="Z45" s="35">
        <f>IFERROR(Data[[#This Row],[Total Harga]]-(Data[[#This Row],[Total Harga]]*Data[[#This Row],[Diskon]]),Data[[#This Row],[Total Harga]])</f>
        <v>1785000</v>
      </c>
      <c r="AA45" s="35">
        <f>(Data[[#This Row],[Profit A]]+Data[[#This Row],[Profit B]]+Data[[#This Row],[Profit C]])</f>
        <v>750000</v>
      </c>
      <c r="AB45" s="35">
        <f>IFERROR((Data[[#This Row],[Profit non Diskon]]-(Data[[#This Row],[Profit non Diskon]]*Data[[#This Row],[Diskon]])),Data[[#This Row],[Profit non Diskon]])</f>
        <v>637500</v>
      </c>
      <c r="AC45" s="23" t="s">
        <v>13</v>
      </c>
      <c r="AD45" s="37">
        <f>IFERROR(INDEX('Kode Diskon'!$D$3:$D$9,MATCH(Data[[#This Row],[Kode diskon]],'Kode Diskon'!$C$3:$C$9,0)),"-")</f>
        <v>0.15</v>
      </c>
      <c r="AE45" s="23" t="s">
        <v>29</v>
      </c>
      <c r="AF45" s="23" t="s">
        <v>7</v>
      </c>
      <c r="AG45" s="23" t="s">
        <v>80</v>
      </c>
      <c r="AH45" s="24">
        <v>45022</v>
      </c>
      <c r="AI45" s="23" t="str">
        <f>TEXT(Data[[#This Row],[Tanggal terjual]],"dddd")</f>
        <v>Thursday</v>
      </c>
      <c r="AJ45" s="21" t="str">
        <f>TEXT(Data[[#This Row],[Tanggal terjual]],"wwww")</f>
        <v>wwww</v>
      </c>
    </row>
    <row r="46" spans="1:36" x14ac:dyDescent="0.2">
      <c r="A46" s="20">
        <v>45</v>
      </c>
      <c r="B46" s="21" t="str">
        <f>_xlfn.CONCAT("ORD-",INDEX(Helper!$B$2:$B$5,MATCH(Data[[#This Row],[Marketplace]],Helper!$A$2:$A$5,0)),TEXT(Data[[#This Row],[No]],"0000"),"-",TEXT(Data[[#This Row],[Tanggal terjual]],"dd/mm/yy"))</f>
        <v>ORD-BL0045-16/04/23</v>
      </c>
      <c r="C46" t="s">
        <v>59</v>
      </c>
      <c r="D46" t="str">
        <f>IFERROR(INDEX(Katalog!$A$3:$A$12,MATCH(Data[[#This Row],[ItemID A]],Katalog!$C$3:$C$12,0)),"-")</f>
        <v>Pakaian Wanita</v>
      </c>
      <c r="E46" t="str">
        <f>IFERROR(INDEX(Katalog!$B$3:$B$12,MATCH(Data[[#This Row],[ItemID A]],Katalog!$C$3:$C$12,0)),"-")</f>
        <v>Blouse</v>
      </c>
      <c r="F46">
        <v>2</v>
      </c>
      <c r="G46">
        <v>3</v>
      </c>
      <c r="H46" s="36">
        <f>IFERROR(INDEX(Katalog!$D$3:$D$12,MATCH(Data[[#This Row],[ItemID A]],Katalog!$C$3:$C$12,0))*Data[[#This Row],[Qty A]],"0")</f>
        <v>300000</v>
      </c>
      <c r="I46" s="36">
        <f>IFERROR(INDEX(Katalog!$F$3:$F$12,MATCH(Data[[#This Row],[ItemID A]],Katalog!$C$3:$C$12,0))*Data[[#This Row],[Qty A]],0)</f>
        <v>100000</v>
      </c>
      <c r="K46" t="str">
        <f>IFERROR(INDEX(Katalog!$A$3:$A$12,MATCH(Data[[#This Row],[ItemID B]],Katalog!$C$3:$C$12,0)),"-")</f>
        <v>-</v>
      </c>
      <c r="L46" t="str">
        <f>IFERROR(INDEX(Katalog!$B$3:$B$12,MATCH(Data[[#This Row],[ItemID B]],Katalog!$C$3:$C$12,0)),"-")</f>
        <v>-</v>
      </c>
      <c r="O46" s="36" t="str">
        <f>IFERROR(INDEX(Katalog!$D$3:$D$12,MATCH(Data[[#This Row],[ItemID B]],Katalog!$C$3:$C$12,0))*Data[[#This Row],[Qty B]],"0")</f>
        <v>0</v>
      </c>
      <c r="P46" s="36" t="str">
        <f>IFERROR(INDEX(Katalog!$F$3:$F$12,MATCH(Data[[#This Row],[ItemID B]],Katalog!$C$3:$C$12,0))*Data[[#This Row],[Qty B]],"0")</f>
        <v>0</v>
      </c>
      <c r="R46" t="str">
        <f>IFERROR(INDEX(Katalog!$A$3:$A$12,MATCH(Data[[#This Row],[ItemID C]],Katalog!$C$3:$C$12,0)),"-")</f>
        <v>-</v>
      </c>
      <c r="S46" t="str">
        <f>IFERROR(INDEX(Katalog!$B$3:$B$12,MATCH(Data[[#This Row],[ItemID C]],Katalog!$C$3:$C$12,0)),"-")</f>
        <v>-</v>
      </c>
      <c r="V46" s="36" t="str">
        <f>IFERROR(INDEX(Katalog!$D$3:$D$12,MATCH(Data[[#This Row],[ItemID C]],Katalog!$C$3:$C$12,0))*Data[[#This Row],[Qty C]],"0")</f>
        <v>0</v>
      </c>
      <c r="W46" s="36" t="str">
        <f>IFERROR(INDEX(Katalog!$F$3:$F$12,MATCH(Data[[#This Row],[ItemID C]],Katalog!$C$3:$C$12,0))*Data[[#This Row],[Qty C]],"0")</f>
        <v>0</v>
      </c>
      <c r="X46" s="21">
        <f>Data[[#This Row],[Qty A]]+Data[[#This Row],[Qty B]]+Data[[#This Row],[Qty C]]</f>
        <v>2</v>
      </c>
      <c r="Y46" s="22">
        <f>Data[[#This Row],[Harga Barang A]]+Data[[#This Row],[Harga Barang B]]+Data[[#This Row],[Harga Barang C]]</f>
        <v>300000</v>
      </c>
      <c r="Z46" s="35">
        <f>IFERROR(Data[[#This Row],[Total Harga]]-(Data[[#This Row],[Total Harga]]*Data[[#This Row],[Diskon]]),Data[[#This Row],[Total Harga]])</f>
        <v>255000</v>
      </c>
      <c r="AA46" s="35">
        <f>(Data[[#This Row],[Profit A]]+Data[[#This Row],[Profit B]]+Data[[#This Row],[Profit C]])</f>
        <v>100000</v>
      </c>
      <c r="AB46" s="35">
        <f>IFERROR((Data[[#This Row],[Profit non Diskon]]-(Data[[#This Row],[Profit non Diskon]]*Data[[#This Row],[Diskon]])),Data[[#This Row],[Profit non Diskon]])</f>
        <v>85000</v>
      </c>
      <c r="AC46" s="23" t="s">
        <v>32</v>
      </c>
      <c r="AD46" s="37">
        <f>IFERROR(INDEX('Kode Diskon'!$D$3:$D$9,MATCH(Data[[#This Row],[Kode diskon]],'Kode Diskon'!$C$3:$C$9,0)),"-")</f>
        <v>0.15</v>
      </c>
      <c r="AE46" s="23" t="s">
        <v>9</v>
      </c>
      <c r="AF46" s="23" t="s">
        <v>12</v>
      </c>
      <c r="AG46" s="23" t="s">
        <v>80</v>
      </c>
      <c r="AH46" s="24">
        <v>45032</v>
      </c>
      <c r="AI46" s="23" t="str">
        <f>TEXT(Data[[#This Row],[Tanggal terjual]],"dddd")</f>
        <v>Sunday</v>
      </c>
      <c r="AJ46" s="21" t="str">
        <f>TEXT(Data[[#This Row],[Tanggal terjual]],"wwww")</f>
        <v>wwww</v>
      </c>
    </row>
    <row r="47" spans="1:36" x14ac:dyDescent="0.2">
      <c r="A47" s="20">
        <v>46</v>
      </c>
      <c r="B47" s="21" t="str">
        <f>_xlfn.CONCAT("ORD-",INDEX(Helper!$B$2:$B$5,MATCH(Data[[#This Row],[Marketplace]],Helper!$A$2:$A$5,0)),TEXT(Data[[#This Row],[No]],"0000"),"-",TEXT(Data[[#This Row],[Tanggal terjual]],"dd/mm/yy"))</f>
        <v>ORD-BL0046-28/04/23</v>
      </c>
      <c r="C47" t="s">
        <v>65</v>
      </c>
      <c r="D47" t="str">
        <f>IFERROR(INDEX(Katalog!$A$3:$A$12,MATCH(Data[[#This Row],[ItemID A]],Katalog!$C$3:$C$12,0)),"-")</f>
        <v>Sepatu Pria</v>
      </c>
      <c r="E47" t="str">
        <f>IFERROR(INDEX(Katalog!$B$3:$B$12,MATCH(Data[[#This Row],[ItemID A]],Katalog!$C$3:$C$12,0)),"-")</f>
        <v>Sneakers</v>
      </c>
      <c r="F47">
        <v>1</v>
      </c>
      <c r="G47">
        <v>2</v>
      </c>
      <c r="H47" s="36">
        <f>IFERROR(INDEX(Katalog!$D$3:$D$12,MATCH(Data[[#This Row],[ItemID A]],Katalog!$C$3:$C$12,0))*Data[[#This Row],[Qty A]],"0")</f>
        <v>500000</v>
      </c>
      <c r="I47" s="36">
        <f>IFERROR(INDEX(Katalog!$F$3:$F$12,MATCH(Data[[#This Row],[ItemID A]],Katalog!$C$3:$C$12,0))*Data[[#This Row],[Qty A]],0)</f>
        <v>200000</v>
      </c>
      <c r="J47" t="s">
        <v>58</v>
      </c>
      <c r="K47" t="str">
        <f>IFERROR(INDEX(Katalog!$A$3:$A$12,MATCH(Data[[#This Row],[ItemID B]],Katalog!$C$3:$C$12,0)),"-")</f>
        <v>Pakaian Wanita</v>
      </c>
      <c r="L47" t="str">
        <f>IFERROR(INDEX(Katalog!$B$3:$B$12,MATCH(Data[[#This Row],[ItemID B]],Katalog!$C$3:$C$12,0)),"-")</f>
        <v>Dress</v>
      </c>
      <c r="M47">
        <v>1</v>
      </c>
      <c r="N47">
        <v>1</v>
      </c>
      <c r="O47" s="36">
        <f>IFERROR(INDEX(Katalog!$D$3:$D$12,MATCH(Data[[#This Row],[ItemID B]],Katalog!$C$3:$C$12,0))*Data[[#This Row],[Qty B]],"0")</f>
        <v>300000</v>
      </c>
      <c r="P47" s="36">
        <f>IFERROR(INDEX(Katalog!$F$3:$F$12,MATCH(Data[[#This Row],[ItemID B]],Katalog!$C$3:$C$12,0))*Data[[#This Row],[Qty B]],"0")</f>
        <v>100000</v>
      </c>
      <c r="Q47" t="s">
        <v>63</v>
      </c>
      <c r="R47" t="str">
        <f>IFERROR(INDEX(Katalog!$A$3:$A$12,MATCH(Data[[#This Row],[ItemID C]],Katalog!$C$3:$C$12,0)),"-")</f>
        <v>Pakaian Pria</v>
      </c>
      <c r="S47" t="str">
        <f>IFERROR(INDEX(Katalog!$B$3:$B$12,MATCH(Data[[#This Row],[ItemID C]],Katalog!$C$3:$C$12,0)),"-")</f>
        <v>Jaket Jeans</v>
      </c>
      <c r="T47">
        <v>1</v>
      </c>
      <c r="U47">
        <v>4</v>
      </c>
      <c r="V47" s="36">
        <f>IFERROR(INDEX(Katalog!$D$3:$D$12,MATCH(Data[[#This Row],[ItemID C]],Katalog!$C$3:$C$12,0))*Data[[#This Row],[Qty C]],"0")</f>
        <v>400000</v>
      </c>
      <c r="W47" s="36">
        <f>IFERROR(INDEX(Katalog!$F$3:$F$12,MATCH(Data[[#This Row],[ItemID C]],Katalog!$C$3:$C$12,0))*Data[[#This Row],[Qty C]],"0")</f>
        <v>150000</v>
      </c>
      <c r="X47" s="21">
        <f>Data[[#This Row],[Qty A]]+Data[[#This Row],[Qty B]]+Data[[#This Row],[Qty C]]</f>
        <v>3</v>
      </c>
      <c r="Y47" s="22">
        <f>Data[[#This Row],[Harga Barang A]]+Data[[#This Row],[Harga Barang B]]+Data[[#This Row],[Harga Barang C]]</f>
        <v>1200000</v>
      </c>
      <c r="Z47" s="35">
        <f>IFERROR(Data[[#This Row],[Total Harga]]-(Data[[#This Row],[Total Harga]]*Data[[#This Row],[Diskon]]),Data[[#This Row],[Total Harga]])</f>
        <v>1020000</v>
      </c>
      <c r="AA47" s="35">
        <f>(Data[[#This Row],[Profit A]]+Data[[#This Row],[Profit B]]+Data[[#This Row],[Profit C]])</f>
        <v>450000</v>
      </c>
      <c r="AB47" s="35">
        <f>IFERROR((Data[[#This Row],[Profit non Diskon]]-(Data[[#This Row],[Profit non Diskon]]*Data[[#This Row],[Diskon]])),Data[[#This Row],[Profit non Diskon]])</f>
        <v>382500</v>
      </c>
      <c r="AC47" s="23" t="s">
        <v>32</v>
      </c>
      <c r="AD47" s="37">
        <f>IFERROR(INDEX('Kode Diskon'!$D$3:$D$9,MATCH(Data[[#This Row],[Kode diskon]],'Kode Diskon'!$C$3:$C$9,0)),"-")</f>
        <v>0.15</v>
      </c>
      <c r="AE47" s="23" t="s">
        <v>9</v>
      </c>
      <c r="AF47" s="23" t="s">
        <v>12</v>
      </c>
      <c r="AG47" s="23" t="s">
        <v>77</v>
      </c>
      <c r="AH47" s="24">
        <v>45044</v>
      </c>
      <c r="AI47" s="23" t="str">
        <f>TEXT(Data[[#This Row],[Tanggal terjual]],"dddd")</f>
        <v>Friday</v>
      </c>
      <c r="AJ47" s="21" t="str">
        <f>TEXT(Data[[#This Row],[Tanggal terjual]],"wwww")</f>
        <v>wwww</v>
      </c>
    </row>
    <row r="48" spans="1:36" x14ac:dyDescent="0.2">
      <c r="A48" s="20">
        <v>47</v>
      </c>
      <c r="B48" s="21" t="str">
        <f>_xlfn.CONCAT("ORD-",INDEX(Helper!$B$2:$B$5,MATCH(Data[[#This Row],[Marketplace]],Helper!$A$2:$A$5,0)),TEXT(Data[[#This Row],[No]],"0000"),"-",TEXT(Data[[#This Row],[Tanggal terjual]],"dd/mm/yy"))</f>
        <v>ORD-SP0047-04/04/23</v>
      </c>
      <c r="C48" t="s">
        <v>58</v>
      </c>
      <c r="D48" t="str">
        <f>IFERROR(INDEX(Katalog!$A$3:$A$12,MATCH(Data[[#This Row],[ItemID A]],Katalog!$C$3:$C$12,0)),"-")</f>
        <v>Pakaian Wanita</v>
      </c>
      <c r="E48" t="str">
        <f>IFERROR(INDEX(Katalog!$B$3:$B$12,MATCH(Data[[#This Row],[ItemID A]],Katalog!$C$3:$C$12,0)),"-")</f>
        <v>Dress</v>
      </c>
      <c r="F48">
        <v>1</v>
      </c>
      <c r="G48">
        <v>1</v>
      </c>
      <c r="H48" s="36">
        <f>IFERROR(INDEX(Katalog!$D$3:$D$12,MATCH(Data[[#This Row],[ItemID A]],Katalog!$C$3:$C$12,0))*Data[[#This Row],[Qty A]],"0")</f>
        <v>300000</v>
      </c>
      <c r="I48" s="36">
        <f>IFERROR(INDEX(Katalog!$F$3:$F$12,MATCH(Data[[#This Row],[ItemID A]],Katalog!$C$3:$C$12,0))*Data[[#This Row],[Qty A]],0)</f>
        <v>100000</v>
      </c>
      <c r="J48" t="s">
        <v>63</v>
      </c>
      <c r="K48" t="str">
        <f>IFERROR(INDEX(Katalog!$A$3:$A$12,MATCH(Data[[#This Row],[ItemID B]],Katalog!$C$3:$C$12,0)),"-")</f>
        <v>Pakaian Pria</v>
      </c>
      <c r="L48" t="str">
        <f>IFERROR(INDEX(Katalog!$B$3:$B$12,MATCH(Data[[#This Row],[ItemID B]],Katalog!$C$3:$C$12,0)),"-")</f>
        <v>Jaket Jeans</v>
      </c>
      <c r="M48">
        <v>2</v>
      </c>
      <c r="N48">
        <v>3</v>
      </c>
      <c r="O48" s="36">
        <f>IFERROR(INDEX(Katalog!$D$3:$D$12,MATCH(Data[[#This Row],[ItemID B]],Katalog!$C$3:$C$12,0))*Data[[#This Row],[Qty B]],"0")</f>
        <v>800000</v>
      </c>
      <c r="P48" s="36">
        <f>IFERROR(INDEX(Katalog!$F$3:$F$12,MATCH(Data[[#This Row],[ItemID B]],Katalog!$C$3:$C$12,0))*Data[[#This Row],[Qty B]],"0")</f>
        <v>300000</v>
      </c>
      <c r="R48" t="str">
        <f>IFERROR(INDEX(Katalog!$A$3:$A$12,MATCH(Data[[#This Row],[ItemID C]],Katalog!$C$3:$C$12,0)),"-")</f>
        <v>-</v>
      </c>
      <c r="S48" t="str">
        <f>IFERROR(INDEX(Katalog!$B$3:$B$12,MATCH(Data[[#This Row],[ItemID C]],Katalog!$C$3:$C$12,0)),"-")</f>
        <v>-</v>
      </c>
      <c r="V48" s="36" t="str">
        <f>IFERROR(INDEX(Katalog!$D$3:$D$12,MATCH(Data[[#This Row],[ItemID C]],Katalog!$C$3:$C$12,0))*Data[[#This Row],[Qty C]],"0")</f>
        <v>0</v>
      </c>
      <c r="W48" s="36" t="str">
        <f>IFERROR(INDEX(Katalog!$F$3:$F$12,MATCH(Data[[#This Row],[ItemID C]],Katalog!$C$3:$C$12,0))*Data[[#This Row],[Qty C]],"0")</f>
        <v>0</v>
      </c>
      <c r="X48" s="21">
        <f>Data[[#This Row],[Qty A]]+Data[[#This Row],[Qty B]]+Data[[#This Row],[Qty C]]</f>
        <v>3</v>
      </c>
      <c r="Y48" s="22">
        <f>Data[[#This Row],[Harga Barang A]]+Data[[#This Row],[Harga Barang B]]+Data[[#This Row],[Harga Barang C]]</f>
        <v>1100000</v>
      </c>
      <c r="Z48" s="35">
        <f>IFERROR(Data[[#This Row],[Total Harga]]-(Data[[#This Row],[Total Harga]]*Data[[#This Row],[Diskon]]),Data[[#This Row],[Total Harga]])</f>
        <v>990000</v>
      </c>
      <c r="AA48" s="35">
        <f>(Data[[#This Row],[Profit A]]+Data[[#This Row],[Profit B]]+Data[[#This Row],[Profit C]])</f>
        <v>400000</v>
      </c>
      <c r="AB48" s="35">
        <f>IFERROR((Data[[#This Row],[Profit non Diskon]]-(Data[[#This Row],[Profit non Diskon]]*Data[[#This Row],[Diskon]])),Data[[#This Row],[Profit non Diskon]])</f>
        <v>360000</v>
      </c>
      <c r="AC48" s="23" t="s">
        <v>6</v>
      </c>
      <c r="AD48" s="37">
        <f>IFERROR(INDEX('Kode Diskon'!$D$3:$D$9,MATCH(Data[[#This Row],[Kode diskon]],'Kode Diskon'!$C$3:$C$9,0)),"-")</f>
        <v>0.1</v>
      </c>
      <c r="AE48" s="23" t="s">
        <v>29</v>
      </c>
      <c r="AF48" s="23" t="s">
        <v>7</v>
      </c>
      <c r="AG48" s="23" t="s">
        <v>79</v>
      </c>
      <c r="AH48" s="24">
        <v>45020</v>
      </c>
      <c r="AI48" s="23" t="str">
        <f>TEXT(Data[[#This Row],[Tanggal terjual]],"dddd")</f>
        <v>Tuesday</v>
      </c>
      <c r="AJ48" s="21" t="str">
        <f>TEXT(Data[[#This Row],[Tanggal terjual]],"wwww")</f>
        <v>wwww</v>
      </c>
    </row>
    <row r="49" spans="1:36" x14ac:dyDescent="0.2">
      <c r="A49" s="20">
        <v>48</v>
      </c>
      <c r="B49" s="21" t="str">
        <f>_xlfn.CONCAT("ORD-",INDEX(Helper!$B$2:$B$5,MATCH(Data[[#This Row],[Marketplace]],Helper!$A$2:$A$5,0)),TEXT(Data[[#This Row],[No]],"0000"),"-",TEXT(Data[[#This Row],[Tanggal terjual]],"dd/mm/yy"))</f>
        <v>ORD-SP0048-01/04/23</v>
      </c>
      <c r="C49" t="s">
        <v>61</v>
      </c>
      <c r="D49" t="str">
        <f>IFERROR(INDEX(Katalog!$A$3:$A$12,MATCH(Data[[#This Row],[ItemID A]],Katalog!$C$3:$C$12,0)),"-")</f>
        <v>Pakaian Pria</v>
      </c>
      <c r="E49" t="str">
        <f>IFERROR(INDEX(Katalog!$B$3:$B$12,MATCH(Data[[#This Row],[ItemID A]],Katalog!$C$3:$C$12,0)),"-")</f>
        <v>Kaos Polo</v>
      </c>
      <c r="F49">
        <v>4</v>
      </c>
      <c r="G49">
        <v>1</v>
      </c>
      <c r="H49" s="36">
        <f>IFERROR(INDEX(Katalog!$D$3:$D$12,MATCH(Data[[#This Row],[ItemID A]],Katalog!$C$3:$C$12,0))*Data[[#This Row],[Qty A]],"0")</f>
        <v>800000</v>
      </c>
      <c r="I49" s="36">
        <f>IFERROR(INDEX(Katalog!$F$3:$F$12,MATCH(Data[[#This Row],[ItemID A]],Katalog!$C$3:$C$12,0))*Data[[#This Row],[Qty A]],0)</f>
        <v>320000</v>
      </c>
      <c r="K49" t="str">
        <f>IFERROR(INDEX(Katalog!$A$3:$A$12,MATCH(Data[[#This Row],[ItemID B]],Katalog!$C$3:$C$12,0)),"-")</f>
        <v>-</v>
      </c>
      <c r="L49" t="str">
        <f>IFERROR(INDEX(Katalog!$B$3:$B$12,MATCH(Data[[#This Row],[ItemID B]],Katalog!$C$3:$C$12,0)),"-")</f>
        <v>-</v>
      </c>
      <c r="O49" s="36" t="str">
        <f>IFERROR(INDEX(Katalog!$D$3:$D$12,MATCH(Data[[#This Row],[ItemID B]],Katalog!$C$3:$C$12,0))*Data[[#This Row],[Qty B]],"0")</f>
        <v>0</v>
      </c>
      <c r="P49" s="36" t="str">
        <f>IFERROR(INDEX(Katalog!$F$3:$F$12,MATCH(Data[[#This Row],[ItemID B]],Katalog!$C$3:$C$12,0))*Data[[#This Row],[Qty B]],"0")</f>
        <v>0</v>
      </c>
      <c r="R49" t="str">
        <f>IFERROR(INDEX(Katalog!$A$3:$A$12,MATCH(Data[[#This Row],[ItemID C]],Katalog!$C$3:$C$12,0)),"-")</f>
        <v>-</v>
      </c>
      <c r="S49" t="str">
        <f>IFERROR(INDEX(Katalog!$B$3:$B$12,MATCH(Data[[#This Row],[ItemID C]],Katalog!$C$3:$C$12,0)),"-")</f>
        <v>-</v>
      </c>
      <c r="V49" s="36" t="str">
        <f>IFERROR(INDEX(Katalog!$D$3:$D$12,MATCH(Data[[#This Row],[ItemID C]],Katalog!$C$3:$C$12,0))*Data[[#This Row],[Qty C]],"0")</f>
        <v>0</v>
      </c>
      <c r="W49" s="36" t="str">
        <f>IFERROR(INDEX(Katalog!$F$3:$F$12,MATCH(Data[[#This Row],[ItemID C]],Katalog!$C$3:$C$12,0))*Data[[#This Row],[Qty C]],"0")</f>
        <v>0</v>
      </c>
      <c r="X49" s="21">
        <f>Data[[#This Row],[Qty A]]+Data[[#This Row],[Qty B]]+Data[[#This Row],[Qty C]]</f>
        <v>4</v>
      </c>
      <c r="Y49" s="22">
        <f>Data[[#This Row],[Harga Barang A]]+Data[[#This Row],[Harga Barang B]]+Data[[#This Row],[Harga Barang C]]</f>
        <v>800000</v>
      </c>
      <c r="Z49" s="35">
        <f>IFERROR(Data[[#This Row],[Total Harga]]-(Data[[#This Row],[Total Harga]]*Data[[#This Row],[Diskon]]),Data[[#This Row],[Total Harga]])</f>
        <v>680000</v>
      </c>
      <c r="AA49" s="35">
        <f>(Data[[#This Row],[Profit A]]+Data[[#This Row],[Profit B]]+Data[[#This Row],[Profit C]])</f>
        <v>320000</v>
      </c>
      <c r="AB49" s="35">
        <f>IFERROR((Data[[#This Row],[Profit non Diskon]]-(Data[[#This Row],[Profit non Diskon]]*Data[[#This Row],[Diskon]])),Data[[#This Row],[Profit non Diskon]])</f>
        <v>272000</v>
      </c>
      <c r="AC49" s="23" t="s">
        <v>13</v>
      </c>
      <c r="AD49" s="37">
        <f>IFERROR(INDEX('Kode Diskon'!$D$3:$D$9,MATCH(Data[[#This Row],[Kode diskon]],'Kode Diskon'!$C$3:$C$9,0)),"-")</f>
        <v>0.15</v>
      </c>
      <c r="AE49" s="23" t="s">
        <v>29</v>
      </c>
      <c r="AF49" s="23" t="s">
        <v>7</v>
      </c>
      <c r="AG49" s="23" t="s">
        <v>80</v>
      </c>
      <c r="AH49" s="24">
        <v>45017</v>
      </c>
      <c r="AI49" s="23" t="str">
        <f>TEXT(Data[[#This Row],[Tanggal terjual]],"dddd")</f>
        <v>Saturday</v>
      </c>
      <c r="AJ49" s="21" t="str">
        <f>TEXT(Data[[#This Row],[Tanggal terjual]],"wwww")</f>
        <v>wwww</v>
      </c>
    </row>
    <row r="50" spans="1:36" x14ac:dyDescent="0.2">
      <c r="A50" s="20">
        <v>49</v>
      </c>
      <c r="B50" s="21" t="str">
        <f>_xlfn.CONCAT("ORD-",INDEX(Helper!$B$2:$B$5,MATCH(Data[[#This Row],[Marketplace]],Helper!$A$2:$A$5,0)),TEXT(Data[[#This Row],[No]],"0000"),"-",TEXT(Data[[#This Row],[Tanggal terjual]],"dd/mm/yy"))</f>
        <v>ORD-TK0049-05/04/23</v>
      </c>
      <c r="C50" t="s">
        <v>64</v>
      </c>
      <c r="D50" t="str">
        <f>IFERROR(INDEX(Katalog!$A$3:$A$12,MATCH(Data[[#This Row],[ItemID A]],Katalog!$C$3:$C$12,0)),"-")</f>
        <v>Pakaian Unisex</v>
      </c>
      <c r="E50" t="str">
        <f>IFERROR(INDEX(Katalog!$B$3:$B$12,MATCH(Data[[#This Row],[ItemID A]],Katalog!$C$3:$C$12,0)),"-")</f>
        <v>Jaket Hoodie</v>
      </c>
      <c r="F50">
        <v>1</v>
      </c>
      <c r="G50">
        <v>3</v>
      </c>
      <c r="H50" s="36">
        <f>IFERROR(INDEX(Katalog!$D$3:$D$12,MATCH(Data[[#This Row],[ItemID A]],Katalog!$C$3:$C$12,0))*Data[[#This Row],[Qty A]],"0")</f>
        <v>350000</v>
      </c>
      <c r="I50" s="36">
        <f>IFERROR(INDEX(Katalog!$F$3:$F$12,MATCH(Data[[#This Row],[ItemID A]],Katalog!$C$3:$C$12,0))*Data[[#This Row],[Qty A]],0)</f>
        <v>130000</v>
      </c>
      <c r="J50" t="s">
        <v>67</v>
      </c>
      <c r="K50" t="str">
        <f>IFERROR(INDEX(Katalog!$A$3:$A$12,MATCH(Data[[#This Row],[ItemID B]],Katalog!$C$3:$C$12,0)),"-")</f>
        <v>Sepatu Wanita</v>
      </c>
      <c r="L50" t="str">
        <f>IFERROR(INDEX(Katalog!$B$3:$B$12,MATCH(Data[[#This Row],[ItemID B]],Katalog!$C$3:$C$12,0)),"-")</f>
        <v>Flat Shoes</v>
      </c>
      <c r="M50">
        <v>4</v>
      </c>
      <c r="N50">
        <v>3</v>
      </c>
      <c r="O50" s="36">
        <f>IFERROR(INDEX(Katalog!$D$3:$D$12,MATCH(Data[[#This Row],[ItemID B]],Katalog!$C$3:$C$12,0))*Data[[#This Row],[Qty B]],"0")</f>
        <v>1000000</v>
      </c>
      <c r="P50" s="36">
        <f>IFERROR(INDEX(Katalog!$F$3:$F$12,MATCH(Data[[#This Row],[ItemID B]],Katalog!$C$3:$C$12,0))*Data[[#This Row],[Qty B]],"0")</f>
        <v>400000</v>
      </c>
      <c r="R50" t="str">
        <f>IFERROR(INDEX(Katalog!$A$3:$A$12,MATCH(Data[[#This Row],[ItemID C]],Katalog!$C$3:$C$12,0)),"-")</f>
        <v>-</v>
      </c>
      <c r="S50" t="str">
        <f>IFERROR(INDEX(Katalog!$B$3:$B$12,MATCH(Data[[#This Row],[ItemID C]],Katalog!$C$3:$C$12,0)),"-")</f>
        <v>-</v>
      </c>
      <c r="V50" s="36" t="str">
        <f>IFERROR(INDEX(Katalog!$D$3:$D$12,MATCH(Data[[#This Row],[ItemID C]],Katalog!$C$3:$C$12,0))*Data[[#This Row],[Qty C]],"0")</f>
        <v>0</v>
      </c>
      <c r="W50" s="36" t="str">
        <f>IFERROR(INDEX(Katalog!$F$3:$F$12,MATCH(Data[[#This Row],[ItemID C]],Katalog!$C$3:$C$12,0))*Data[[#This Row],[Qty C]],"0")</f>
        <v>0</v>
      </c>
      <c r="X50" s="21">
        <f>Data[[#This Row],[Qty A]]+Data[[#This Row],[Qty B]]+Data[[#This Row],[Qty C]]</f>
        <v>5</v>
      </c>
      <c r="Y50" s="22">
        <f>Data[[#This Row],[Harga Barang A]]+Data[[#This Row],[Harga Barang B]]+Data[[#This Row],[Harga Barang C]]</f>
        <v>1350000</v>
      </c>
      <c r="Z50" s="35">
        <f>IFERROR(Data[[#This Row],[Total Harga]]-(Data[[#This Row],[Total Harga]]*Data[[#This Row],[Diskon]]),Data[[#This Row],[Total Harga]])</f>
        <v>1215000</v>
      </c>
      <c r="AA50" s="35">
        <f>(Data[[#This Row],[Profit A]]+Data[[#This Row],[Profit B]]+Data[[#This Row],[Profit C]])</f>
        <v>530000</v>
      </c>
      <c r="AB50" s="35">
        <f>IFERROR((Data[[#This Row],[Profit non Diskon]]-(Data[[#This Row],[Profit non Diskon]]*Data[[#This Row],[Diskon]])),Data[[#This Row],[Profit non Diskon]])</f>
        <v>477000</v>
      </c>
      <c r="AC50" s="23" t="s">
        <v>30</v>
      </c>
      <c r="AD50" s="37">
        <f>IFERROR(INDEX('Kode Diskon'!$D$3:$D$9,MATCH(Data[[#This Row],[Kode diskon]],'Kode Diskon'!$C$3:$C$9,0)),"-")</f>
        <v>0.1</v>
      </c>
      <c r="AE50" s="23" t="s">
        <v>29</v>
      </c>
      <c r="AF50" s="23" t="s">
        <v>10</v>
      </c>
      <c r="AG50" s="23" t="s">
        <v>76</v>
      </c>
      <c r="AH50" s="24">
        <v>45021</v>
      </c>
      <c r="AI50" s="23" t="str">
        <f>TEXT(Data[[#This Row],[Tanggal terjual]],"dddd")</f>
        <v>Wednesday</v>
      </c>
      <c r="AJ50" s="21" t="str">
        <f>TEXT(Data[[#This Row],[Tanggal terjual]],"wwww")</f>
        <v>wwww</v>
      </c>
    </row>
    <row r="51" spans="1:36" x14ac:dyDescent="0.2">
      <c r="A51" s="20">
        <v>50</v>
      </c>
      <c r="B51" s="21" t="str">
        <f>_xlfn.CONCAT("ORD-",INDEX(Helper!$B$2:$B$5,MATCH(Data[[#This Row],[Marketplace]],Helper!$A$2:$A$5,0)),TEXT(Data[[#This Row],[No]],"0000"),"-",TEXT(Data[[#This Row],[Tanggal terjual]],"dd/mm/yy"))</f>
        <v>ORD-SP0050-03/04/23</v>
      </c>
      <c r="C51" t="s">
        <v>61</v>
      </c>
      <c r="D51" t="str">
        <f>IFERROR(INDEX(Katalog!$A$3:$A$12,MATCH(Data[[#This Row],[ItemID A]],Katalog!$C$3:$C$12,0)),"-")</f>
        <v>Pakaian Pria</v>
      </c>
      <c r="E51" t="str">
        <f>IFERROR(INDEX(Katalog!$B$3:$B$12,MATCH(Data[[#This Row],[ItemID A]],Katalog!$C$3:$C$12,0)),"-")</f>
        <v>Kaos Polo</v>
      </c>
      <c r="F51">
        <v>1</v>
      </c>
      <c r="G51">
        <v>2</v>
      </c>
      <c r="H51" s="36">
        <f>IFERROR(INDEX(Katalog!$D$3:$D$12,MATCH(Data[[#This Row],[ItemID A]],Katalog!$C$3:$C$12,0))*Data[[#This Row],[Qty A]],"0")</f>
        <v>200000</v>
      </c>
      <c r="I51" s="36">
        <f>IFERROR(INDEX(Katalog!$F$3:$F$12,MATCH(Data[[#This Row],[ItemID A]],Katalog!$C$3:$C$12,0))*Data[[#This Row],[Qty A]],0)</f>
        <v>80000</v>
      </c>
      <c r="J51" t="s">
        <v>67</v>
      </c>
      <c r="K51" t="str">
        <f>IFERROR(INDEX(Katalog!$A$3:$A$12,MATCH(Data[[#This Row],[ItemID B]],Katalog!$C$3:$C$12,0)),"-")</f>
        <v>Sepatu Wanita</v>
      </c>
      <c r="L51" t="str">
        <f>IFERROR(INDEX(Katalog!$B$3:$B$12,MATCH(Data[[#This Row],[ItemID B]],Katalog!$C$3:$C$12,0)),"-")</f>
        <v>Flat Shoes</v>
      </c>
      <c r="M51">
        <v>3</v>
      </c>
      <c r="N51">
        <v>5</v>
      </c>
      <c r="O51" s="36">
        <f>IFERROR(INDEX(Katalog!$D$3:$D$12,MATCH(Data[[#This Row],[ItemID B]],Katalog!$C$3:$C$12,0))*Data[[#This Row],[Qty B]],"0")</f>
        <v>750000</v>
      </c>
      <c r="P51" s="36">
        <f>IFERROR(INDEX(Katalog!$F$3:$F$12,MATCH(Data[[#This Row],[ItemID B]],Katalog!$C$3:$C$12,0))*Data[[#This Row],[Qty B]],"0")</f>
        <v>300000</v>
      </c>
      <c r="Q51" t="s">
        <v>65</v>
      </c>
      <c r="R51" t="str">
        <f>IFERROR(INDEX(Katalog!$A$3:$A$12,MATCH(Data[[#This Row],[ItemID C]],Katalog!$C$3:$C$12,0)),"-")</f>
        <v>Sepatu Pria</v>
      </c>
      <c r="S51" t="str">
        <f>IFERROR(INDEX(Katalog!$B$3:$B$12,MATCH(Data[[#This Row],[ItemID C]],Katalog!$C$3:$C$12,0)),"-")</f>
        <v>Sneakers</v>
      </c>
      <c r="T51">
        <v>3</v>
      </c>
      <c r="U51">
        <v>2</v>
      </c>
      <c r="V51" s="36">
        <f>IFERROR(INDEX(Katalog!$D$3:$D$12,MATCH(Data[[#This Row],[ItemID C]],Katalog!$C$3:$C$12,0))*Data[[#This Row],[Qty C]],"0")</f>
        <v>1500000</v>
      </c>
      <c r="W51" s="36">
        <f>IFERROR(INDEX(Katalog!$F$3:$F$12,MATCH(Data[[#This Row],[ItemID C]],Katalog!$C$3:$C$12,0))*Data[[#This Row],[Qty C]],"0")</f>
        <v>600000</v>
      </c>
      <c r="X51" s="21">
        <f>Data[[#This Row],[Qty A]]+Data[[#This Row],[Qty B]]+Data[[#This Row],[Qty C]]</f>
        <v>7</v>
      </c>
      <c r="Y51" s="22">
        <f>Data[[#This Row],[Harga Barang A]]+Data[[#This Row],[Harga Barang B]]+Data[[#This Row],[Harga Barang C]]</f>
        <v>2450000</v>
      </c>
      <c r="Z51" s="35">
        <f>IFERROR(Data[[#This Row],[Total Harga]]-(Data[[#This Row],[Total Harga]]*Data[[#This Row],[Diskon]]),Data[[#This Row],[Total Harga]])</f>
        <v>2082500</v>
      </c>
      <c r="AA51" s="35">
        <f>(Data[[#This Row],[Profit A]]+Data[[#This Row],[Profit B]]+Data[[#This Row],[Profit C]])</f>
        <v>980000</v>
      </c>
      <c r="AB51" s="35">
        <f>IFERROR((Data[[#This Row],[Profit non Diskon]]-(Data[[#This Row],[Profit non Diskon]]*Data[[#This Row],[Diskon]])),Data[[#This Row],[Profit non Diskon]])</f>
        <v>833000</v>
      </c>
      <c r="AC51" s="23" t="s">
        <v>13</v>
      </c>
      <c r="AD51" s="37">
        <f>IFERROR(INDEX('Kode Diskon'!$D$3:$D$9,MATCH(Data[[#This Row],[Kode diskon]],'Kode Diskon'!$C$3:$C$9,0)),"-")</f>
        <v>0.15</v>
      </c>
      <c r="AE51" s="23" t="s">
        <v>29</v>
      </c>
      <c r="AF51" s="23" t="s">
        <v>7</v>
      </c>
      <c r="AG51" s="23" t="s">
        <v>77</v>
      </c>
      <c r="AH51" s="24">
        <v>45019</v>
      </c>
      <c r="AI51" s="23" t="str">
        <f>TEXT(Data[[#This Row],[Tanggal terjual]],"dddd")</f>
        <v>Monday</v>
      </c>
      <c r="AJ51" s="21" t="str">
        <f>TEXT(Data[[#This Row],[Tanggal terjual]],"wwww")</f>
        <v>wwww</v>
      </c>
    </row>
    <row r="52" spans="1:36" x14ac:dyDescent="0.2">
      <c r="A52" s="20">
        <v>51</v>
      </c>
      <c r="B52" s="21" t="str">
        <f>_xlfn.CONCAT("ORD-",INDEX(Helper!$B$2:$B$5,MATCH(Data[[#This Row],[Marketplace]],Helper!$A$2:$A$5,0)),TEXT(Data[[#This Row],[No]],"0000"),"-",TEXT(Data[[#This Row],[Tanggal terjual]],"dd/mm/yy"))</f>
        <v>ORD-BB0051-05/04/23</v>
      </c>
      <c r="C52" t="s">
        <v>59</v>
      </c>
      <c r="D52" t="str">
        <f>IFERROR(INDEX(Katalog!$A$3:$A$12,MATCH(Data[[#This Row],[ItemID A]],Katalog!$C$3:$C$12,0)),"-")</f>
        <v>Pakaian Wanita</v>
      </c>
      <c r="E52" t="str">
        <f>IFERROR(INDEX(Katalog!$B$3:$B$12,MATCH(Data[[#This Row],[ItemID A]],Katalog!$C$3:$C$12,0)),"-")</f>
        <v>Blouse</v>
      </c>
      <c r="F52">
        <v>5</v>
      </c>
      <c r="G52">
        <v>4</v>
      </c>
      <c r="H52" s="36">
        <f>IFERROR(INDEX(Katalog!$D$3:$D$12,MATCH(Data[[#This Row],[ItemID A]],Katalog!$C$3:$C$12,0))*Data[[#This Row],[Qty A]],"0")</f>
        <v>750000</v>
      </c>
      <c r="I52" s="36">
        <f>IFERROR(INDEX(Katalog!$F$3:$F$12,MATCH(Data[[#This Row],[ItemID A]],Katalog!$C$3:$C$12,0))*Data[[#This Row],[Qty A]],0)</f>
        <v>250000</v>
      </c>
      <c r="J52" t="s">
        <v>65</v>
      </c>
      <c r="K52" t="str">
        <f>IFERROR(INDEX(Katalog!$A$3:$A$12,MATCH(Data[[#This Row],[ItemID B]],Katalog!$C$3:$C$12,0)),"-")</f>
        <v>Sepatu Pria</v>
      </c>
      <c r="L52" t="str">
        <f>IFERROR(INDEX(Katalog!$B$3:$B$12,MATCH(Data[[#This Row],[ItemID B]],Katalog!$C$3:$C$12,0)),"-")</f>
        <v>Sneakers</v>
      </c>
      <c r="M52">
        <v>1</v>
      </c>
      <c r="N52">
        <v>3</v>
      </c>
      <c r="O52" s="36">
        <f>IFERROR(INDEX(Katalog!$D$3:$D$12,MATCH(Data[[#This Row],[ItemID B]],Katalog!$C$3:$C$12,0))*Data[[#This Row],[Qty B]],"0")</f>
        <v>500000</v>
      </c>
      <c r="P52" s="36">
        <f>IFERROR(INDEX(Katalog!$F$3:$F$12,MATCH(Data[[#This Row],[ItemID B]],Katalog!$C$3:$C$12,0))*Data[[#This Row],[Qty B]],"0")</f>
        <v>200000</v>
      </c>
      <c r="R52" t="str">
        <f>IFERROR(INDEX(Katalog!$A$3:$A$12,MATCH(Data[[#This Row],[ItemID C]],Katalog!$C$3:$C$12,0)),"-")</f>
        <v>-</v>
      </c>
      <c r="S52" t="str">
        <f>IFERROR(INDEX(Katalog!$B$3:$B$12,MATCH(Data[[#This Row],[ItemID C]],Katalog!$C$3:$C$12,0)),"-")</f>
        <v>-</v>
      </c>
      <c r="V52" s="36" t="str">
        <f>IFERROR(INDEX(Katalog!$D$3:$D$12,MATCH(Data[[#This Row],[ItemID C]],Katalog!$C$3:$C$12,0))*Data[[#This Row],[Qty C]],"0")</f>
        <v>0</v>
      </c>
      <c r="W52" s="36" t="str">
        <f>IFERROR(INDEX(Katalog!$F$3:$F$12,MATCH(Data[[#This Row],[ItemID C]],Katalog!$C$3:$C$12,0))*Data[[#This Row],[Qty C]],"0")</f>
        <v>0</v>
      </c>
      <c r="X52" s="21">
        <f>Data[[#This Row],[Qty A]]+Data[[#This Row],[Qty B]]+Data[[#This Row],[Qty C]]</f>
        <v>6</v>
      </c>
      <c r="Y52" s="22">
        <f>Data[[#This Row],[Harga Barang A]]+Data[[#This Row],[Harga Barang B]]+Data[[#This Row],[Harga Barang C]]</f>
        <v>1250000</v>
      </c>
      <c r="Z52" s="35">
        <f>IFERROR(Data[[#This Row],[Total Harga]]-(Data[[#This Row],[Total Harga]]*Data[[#This Row],[Diskon]]),Data[[#This Row],[Total Harga]])</f>
        <v>1062500</v>
      </c>
      <c r="AA52" s="35">
        <f>(Data[[#This Row],[Profit A]]+Data[[#This Row],[Profit B]]+Data[[#This Row],[Profit C]])</f>
        <v>450000</v>
      </c>
      <c r="AB52" s="35">
        <f>IFERROR((Data[[#This Row],[Profit non Diskon]]-(Data[[#This Row],[Profit non Diskon]]*Data[[#This Row],[Diskon]])),Data[[#This Row],[Profit non Diskon]])</f>
        <v>382500</v>
      </c>
      <c r="AC52" s="23" t="s">
        <v>28</v>
      </c>
      <c r="AD52" s="37">
        <f>IFERROR(INDEX('Kode Diskon'!$D$3:$D$9,MATCH(Data[[#This Row],[Kode diskon]],'Kode Diskon'!$C$3:$C$9,0)),"-")</f>
        <v>0.15</v>
      </c>
      <c r="AE52" s="23" t="s">
        <v>29</v>
      </c>
      <c r="AF52" s="23" t="s">
        <v>14</v>
      </c>
      <c r="AG52" s="23" t="s">
        <v>77</v>
      </c>
      <c r="AH52" s="24">
        <v>45021</v>
      </c>
      <c r="AI52" s="23" t="str">
        <f>TEXT(Data[[#This Row],[Tanggal terjual]],"dddd")</f>
        <v>Wednesday</v>
      </c>
      <c r="AJ52" s="21" t="str">
        <f>TEXT(Data[[#This Row],[Tanggal terjual]],"wwww")</f>
        <v>wwww</v>
      </c>
    </row>
    <row r="53" spans="1:36" x14ac:dyDescent="0.2">
      <c r="A53" s="20">
        <v>52</v>
      </c>
      <c r="B53" s="21" t="str">
        <f>_xlfn.CONCAT("ORD-",INDEX(Helper!$B$2:$B$5,MATCH(Data[[#This Row],[Marketplace]],Helper!$A$2:$A$5,0)),TEXT(Data[[#This Row],[No]],"0000"),"-",TEXT(Data[[#This Row],[Tanggal terjual]],"dd/mm/yy"))</f>
        <v>ORD-BL0052-27/04/23</v>
      </c>
      <c r="C53" t="s">
        <v>66</v>
      </c>
      <c r="D53" t="str">
        <f>IFERROR(INDEX(Katalog!$A$3:$A$12,MATCH(Data[[#This Row],[ItemID A]],Katalog!$C$3:$C$12,0)),"-")</f>
        <v>Sepatu Pria</v>
      </c>
      <c r="E53" t="str">
        <f>IFERROR(INDEX(Katalog!$B$3:$B$12,MATCH(Data[[#This Row],[ItemID A]],Katalog!$C$3:$C$12,0)),"-")</f>
        <v>Sandal Slip On</v>
      </c>
      <c r="F53">
        <v>2</v>
      </c>
      <c r="G53">
        <v>1</v>
      </c>
      <c r="H53" s="36">
        <f>IFERROR(INDEX(Katalog!$D$3:$D$12,MATCH(Data[[#This Row],[ItemID A]],Katalog!$C$3:$C$12,0))*Data[[#This Row],[Qty A]],"0")</f>
        <v>300000</v>
      </c>
      <c r="I53" s="36">
        <f>IFERROR(INDEX(Katalog!$F$3:$F$12,MATCH(Data[[#This Row],[ItemID A]],Katalog!$C$3:$C$12,0))*Data[[#This Row],[Qty A]],0)</f>
        <v>120000</v>
      </c>
      <c r="J53" t="s">
        <v>65</v>
      </c>
      <c r="K53" t="str">
        <f>IFERROR(INDEX(Katalog!$A$3:$A$12,MATCH(Data[[#This Row],[ItemID B]],Katalog!$C$3:$C$12,0)),"-")</f>
        <v>Sepatu Pria</v>
      </c>
      <c r="L53" t="str">
        <f>IFERROR(INDEX(Katalog!$B$3:$B$12,MATCH(Data[[#This Row],[ItemID B]],Katalog!$C$3:$C$12,0)),"-")</f>
        <v>Sneakers</v>
      </c>
      <c r="M53">
        <v>2</v>
      </c>
      <c r="N53">
        <v>3</v>
      </c>
      <c r="O53" s="36">
        <f>IFERROR(INDEX(Katalog!$D$3:$D$12,MATCH(Data[[#This Row],[ItemID B]],Katalog!$C$3:$C$12,0))*Data[[#This Row],[Qty B]],"0")</f>
        <v>1000000</v>
      </c>
      <c r="P53" s="36">
        <f>IFERROR(INDEX(Katalog!$F$3:$F$12,MATCH(Data[[#This Row],[ItemID B]],Katalog!$C$3:$C$12,0))*Data[[#This Row],[Qty B]],"0")</f>
        <v>400000</v>
      </c>
      <c r="Q53" t="s">
        <v>59</v>
      </c>
      <c r="R53" t="str">
        <f>IFERROR(INDEX(Katalog!$A$3:$A$12,MATCH(Data[[#This Row],[ItemID C]],Katalog!$C$3:$C$12,0)),"-")</f>
        <v>Pakaian Wanita</v>
      </c>
      <c r="S53" t="str">
        <f>IFERROR(INDEX(Katalog!$B$3:$B$12,MATCH(Data[[#This Row],[ItemID C]],Katalog!$C$3:$C$12,0)),"-")</f>
        <v>Blouse</v>
      </c>
      <c r="T53">
        <v>1</v>
      </c>
      <c r="U53">
        <v>5</v>
      </c>
      <c r="V53" s="36">
        <f>IFERROR(INDEX(Katalog!$D$3:$D$12,MATCH(Data[[#This Row],[ItemID C]],Katalog!$C$3:$C$12,0))*Data[[#This Row],[Qty C]],"0")</f>
        <v>150000</v>
      </c>
      <c r="W53" s="36">
        <f>IFERROR(INDEX(Katalog!$F$3:$F$12,MATCH(Data[[#This Row],[ItemID C]],Katalog!$C$3:$C$12,0))*Data[[#This Row],[Qty C]],"0")</f>
        <v>50000</v>
      </c>
      <c r="X53" s="21">
        <f>Data[[#This Row],[Qty A]]+Data[[#This Row],[Qty B]]+Data[[#This Row],[Qty C]]</f>
        <v>5</v>
      </c>
      <c r="Y53" s="22">
        <f>Data[[#This Row],[Harga Barang A]]+Data[[#This Row],[Harga Barang B]]+Data[[#This Row],[Harga Barang C]]</f>
        <v>1450000</v>
      </c>
      <c r="Z53" s="35">
        <f>IFERROR(Data[[#This Row],[Total Harga]]-(Data[[#This Row],[Total Harga]]*Data[[#This Row],[Diskon]]),Data[[#This Row],[Total Harga]])</f>
        <v>1232500</v>
      </c>
      <c r="AA53" s="35">
        <f>(Data[[#This Row],[Profit A]]+Data[[#This Row],[Profit B]]+Data[[#This Row],[Profit C]])</f>
        <v>570000</v>
      </c>
      <c r="AB53" s="35">
        <f>IFERROR((Data[[#This Row],[Profit non Diskon]]-(Data[[#This Row],[Profit non Diskon]]*Data[[#This Row],[Diskon]])),Data[[#This Row],[Profit non Diskon]])</f>
        <v>484500</v>
      </c>
      <c r="AC53" s="23" t="s">
        <v>32</v>
      </c>
      <c r="AD53" s="37">
        <f>IFERROR(INDEX('Kode Diskon'!$D$3:$D$9,MATCH(Data[[#This Row],[Kode diskon]],'Kode Diskon'!$C$3:$C$9,0)),"-")</f>
        <v>0.15</v>
      </c>
      <c r="AE53" s="23" t="s">
        <v>9</v>
      </c>
      <c r="AF53" s="23" t="s">
        <v>12</v>
      </c>
      <c r="AG53" s="23" t="s">
        <v>80</v>
      </c>
      <c r="AH53" s="24">
        <v>45043</v>
      </c>
      <c r="AI53" s="23" t="str">
        <f>TEXT(Data[[#This Row],[Tanggal terjual]],"dddd")</f>
        <v>Thursday</v>
      </c>
      <c r="AJ53" s="21" t="str">
        <f>TEXT(Data[[#This Row],[Tanggal terjual]],"wwww")</f>
        <v>wwww</v>
      </c>
    </row>
    <row r="54" spans="1:36" x14ac:dyDescent="0.2">
      <c r="A54" s="20">
        <v>53</v>
      </c>
      <c r="B54" s="21" t="str">
        <f>_xlfn.CONCAT("ORD-",INDEX(Helper!$B$2:$B$5,MATCH(Data[[#This Row],[Marketplace]],Helper!$A$2:$A$5,0)),TEXT(Data[[#This Row],[No]],"0000"),"-",TEXT(Data[[#This Row],[Tanggal terjual]],"dd/mm/yy"))</f>
        <v>ORD-BB0053-03/04/23</v>
      </c>
      <c r="C54" t="s">
        <v>65</v>
      </c>
      <c r="D54" t="str">
        <f>IFERROR(INDEX(Katalog!$A$3:$A$12,MATCH(Data[[#This Row],[ItemID A]],Katalog!$C$3:$C$12,0)),"-")</f>
        <v>Sepatu Pria</v>
      </c>
      <c r="E54" t="str">
        <f>IFERROR(INDEX(Katalog!$B$3:$B$12,MATCH(Data[[#This Row],[ItemID A]],Katalog!$C$3:$C$12,0)),"-")</f>
        <v>Sneakers</v>
      </c>
      <c r="F54">
        <v>2</v>
      </c>
      <c r="G54">
        <v>1</v>
      </c>
      <c r="H54" s="36">
        <f>IFERROR(INDEX(Katalog!$D$3:$D$12,MATCH(Data[[#This Row],[ItemID A]],Katalog!$C$3:$C$12,0))*Data[[#This Row],[Qty A]],"0")</f>
        <v>1000000</v>
      </c>
      <c r="I54" s="36">
        <f>IFERROR(INDEX(Katalog!$F$3:$F$12,MATCH(Data[[#This Row],[ItemID A]],Katalog!$C$3:$C$12,0))*Data[[#This Row],[Qty A]],0)</f>
        <v>400000</v>
      </c>
      <c r="J54" t="s">
        <v>64</v>
      </c>
      <c r="K54" t="str">
        <f>IFERROR(INDEX(Katalog!$A$3:$A$12,MATCH(Data[[#This Row],[ItemID B]],Katalog!$C$3:$C$12,0)),"-")</f>
        <v>Pakaian Unisex</v>
      </c>
      <c r="L54" t="str">
        <f>IFERROR(INDEX(Katalog!$B$3:$B$12,MATCH(Data[[#This Row],[ItemID B]],Katalog!$C$3:$C$12,0)),"-")</f>
        <v>Jaket Hoodie</v>
      </c>
      <c r="M54">
        <v>1</v>
      </c>
      <c r="N54">
        <v>1</v>
      </c>
      <c r="O54" s="36">
        <f>IFERROR(INDEX(Katalog!$D$3:$D$12,MATCH(Data[[#This Row],[ItemID B]],Katalog!$C$3:$C$12,0))*Data[[#This Row],[Qty B]],"0")</f>
        <v>350000</v>
      </c>
      <c r="P54" s="36">
        <f>IFERROR(INDEX(Katalog!$F$3:$F$12,MATCH(Data[[#This Row],[ItemID B]],Katalog!$C$3:$C$12,0))*Data[[#This Row],[Qty B]],"0")</f>
        <v>130000</v>
      </c>
      <c r="R54" t="str">
        <f>IFERROR(INDEX(Katalog!$A$3:$A$12,MATCH(Data[[#This Row],[ItemID C]],Katalog!$C$3:$C$12,0)),"-")</f>
        <v>-</v>
      </c>
      <c r="S54" t="str">
        <f>IFERROR(INDEX(Katalog!$B$3:$B$12,MATCH(Data[[#This Row],[ItemID C]],Katalog!$C$3:$C$12,0)),"-")</f>
        <v>-</v>
      </c>
      <c r="V54" s="36" t="str">
        <f>IFERROR(INDEX(Katalog!$D$3:$D$12,MATCH(Data[[#This Row],[ItemID C]],Katalog!$C$3:$C$12,0))*Data[[#This Row],[Qty C]],"0")</f>
        <v>0</v>
      </c>
      <c r="W54" s="36" t="str">
        <f>IFERROR(INDEX(Katalog!$F$3:$F$12,MATCH(Data[[#This Row],[ItemID C]],Katalog!$C$3:$C$12,0))*Data[[#This Row],[Qty C]],"0")</f>
        <v>0</v>
      </c>
      <c r="X54" s="21">
        <f>Data[[#This Row],[Qty A]]+Data[[#This Row],[Qty B]]+Data[[#This Row],[Qty C]]</f>
        <v>3</v>
      </c>
      <c r="Y54" s="22">
        <f>Data[[#This Row],[Harga Barang A]]+Data[[#This Row],[Harga Barang B]]+Data[[#This Row],[Harga Barang C]]</f>
        <v>1350000</v>
      </c>
      <c r="Z54" s="35">
        <f>IFERROR(Data[[#This Row],[Total Harga]]-(Data[[#This Row],[Total Harga]]*Data[[#This Row],[Diskon]]),Data[[#This Row],[Total Harga]])</f>
        <v>1147500</v>
      </c>
      <c r="AA54" s="35">
        <f>(Data[[#This Row],[Profit A]]+Data[[#This Row],[Profit B]]+Data[[#This Row],[Profit C]])</f>
        <v>530000</v>
      </c>
      <c r="AB54" s="35">
        <f>IFERROR((Data[[#This Row],[Profit non Diskon]]-(Data[[#This Row],[Profit non Diskon]]*Data[[#This Row],[Diskon]])),Data[[#This Row],[Profit non Diskon]])</f>
        <v>450500</v>
      </c>
      <c r="AC54" s="23" t="s">
        <v>28</v>
      </c>
      <c r="AD54" s="37">
        <f>IFERROR(INDEX('Kode Diskon'!$D$3:$D$9,MATCH(Data[[#This Row],[Kode diskon]],'Kode Diskon'!$C$3:$C$9,0)),"-")</f>
        <v>0.15</v>
      </c>
      <c r="AE54" s="23" t="s">
        <v>29</v>
      </c>
      <c r="AF54" s="23" t="s">
        <v>14</v>
      </c>
      <c r="AG54" s="23" t="s">
        <v>80</v>
      </c>
      <c r="AH54" s="24">
        <v>45019</v>
      </c>
      <c r="AI54" s="23" t="str">
        <f>TEXT(Data[[#This Row],[Tanggal terjual]],"dddd")</f>
        <v>Monday</v>
      </c>
      <c r="AJ54" s="21" t="str">
        <f>TEXT(Data[[#This Row],[Tanggal terjual]],"wwww")</f>
        <v>wwww</v>
      </c>
    </row>
    <row r="55" spans="1:36" x14ac:dyDescent="0.2">
      <c r="A55" s="20">
        <v>54</v>
      </c>
      <c r="B55" s="21" t="str">
        <f>_xlfn.CONCAT("ORD-",INDEX(Helper!$B$2:$B$5,MATCH(Data[[#This Row],[Marketplace]],Helper!$A$2:$A$5,0)),TEXT(Data[[#This Row],[No]],"0000"),"-",TEXT(Data[[#This Row],[Tanggal terjual]],"dd/mm/yy"))</f>
        <v>ORD-SP0054-03/04/23</v>
      </c>
      <c r="C55" t="s">
        <v>58</v>
      </c>
      <c r="D55" t="str">
        <f>IFERROR(INDEX(Katalog!$A$3:$A$12,MATCH(Data[[#This Row],[ItemID A]],Katalog!$C$3:$C$12,0)),"-")</f>
        <v>Pakaian Wanita</v>
      </c>
      <c r="E55" t="str">
        <f>IFERROR(INDEX(Katalog!$B$3:$B$12,MATCH(Data[[#This Row],[ItemID A]],Katalog!$C$3:$C$12,0)),"-")</f>
        <v>Dress</v>
      </c>
      <c r="F55">
        <v>1</v>
      </c>
      <c r="G55">
        <v>1</v>
      </c>
      <c r="H55" s="36">
        <f>IFERROR(INDEX(Katalog!$D$3:$D$12,MATCH(Data[[#This Row],[ItemID A]],Katalog!$C$3:$C$12,0))*Data[[#This Row],[Qty A]],"0")</f>
        <v>300000</v>
      </c>
      <c r="I55" s="36">
        <f>IFERROR(INDEX(Katalog!$F$3:$F$12,MATCH(Data[[#This Row],[ItemID A]],Katalog!$C$3:$C$12,0))*Data[[#This Row],[Qty A]],0)</f>
        <v>100000</v>
      </c>
      <c r="J55" t="s">
        <v>66</v>
      </c>
      <c r="K55" t="str">
        <f>IFERROR(INDEX(Katalog!$A$3:$A$12,MATCH(Data[[#This Row],[ItemID B]],Katalog!$C$3:$C$12,0)),"-")</f>
        <v>Sepatu Pria</v>
      </c>
      <c r="L55" t="str">
        <f>IFERROR(INDEX(Katalog!$B$3:$B$12,MATCH(Data[[#This Row],[ItemID B]],Katalog!$C$3:$C$12,0)),"-")</f>
        <v>Sandal Slip On</v>
      </c>
      <c r="M55">
        <v>5</v>
      </c>
      <c r="N55">
        <v>5</v>
      </c>
      <c r="O55" s="36">
        <f>IFERROR(INDEX(Katalog!$D$3:$D$12,MATCH(Data[[#This Row],[ItemID B]],Katalog!$C$3:$C$12,0))*Data[[#This Row],[Qty B]],"0")</f>
        <v>750000</v>
      </c>
      <c r="P55" s="36">
        <f>IFERROR(INDEX(Katalog!$F$3:$F$12,MATCH(Data[[#This Row],[ItemID B]],Katalog!$C$3:$C$12,0))*Data[[#This Row],[Qty B]],"0")</f>
        <v>300000</v>
      </c>
      <c r="R55" t="str">
        <f>IFERROR(INDEX(Katalog!$A$3:$A$12,MATCH(Data[[#This Row],[ItemID C]],Katalog!$C$3:$C$12,0)),"-")</f>
        <v>-</v>
      </c>
      <c r="S55" t="str">
        <f>IFERROR(INDEX(Katalog!$B$3:$B$12,MATCH(Data[[#This Row],[ItemID C]],Katalog!$C$3:$C$12,0)),"-")</f>
        <v>-</v>
      </c>
      <c r="V55" s="36" t="str">
        <f>IFERROR(INDEX(Katalog!$D$3:$D$12,MATCH(Data[[#This Row],[ItemID C]],Katalog!$C$3:$C$12,0))*Data[[#This Row],[Qty C]],"0")</f>
        <v>0</v>
      </c>
      <c r="W55" s="36" t="str">
        <f>IFERROR(INDEX(Katalog!$F$3:$F$12,MATCH(Data[[#This Row],[ItemID C]],Katalog!$C$3:$C$12,0))*Data[[#This Row],[Qty C]],"0")</f>
        <v>0</v>
      </c>
      <c r="X55" s="21">
        <f>Data[[#This Row],[Qty A]]+Data[[#This Row],[Qty B]]+Data[[#This Row],[Qty C]]</f>
        <v>6</v>
      </c>
      <c r="Y55" s="22">
        <f>Data[[#This Row],[Harga Barang A]]+Data[[#This Row],[Harga Barang B]]+Data[[#This Row],[Harga Barang C]]</f>
        <v>1050000</v>
      </c>
      <c r="Z55" s="35">
        <f>IFERROR(Data[[#This Row],[Total Harga]]-(Data[[#This Row],[Total Harga]]*Data[[#This Row],[Diskon]]),Data[[#This Row],[Total Harga]])</f>
        <v>892500</v>
      </c>
      <c r="AA55" s="35">
        <f>(Data[[#This Row],[Profit A]]+Data[[#This Row],[Profit B]]+Data[[#This Row],[Profit C]])</f>
        <v>400000</v>
      </c>
      <c r="AB55" s="35">
        <f>IFERROR((Data[[#This Row],[Profit non Diskon]]-(Data[[#This Row],[Profit non Diskon]]*Data[[#This Row],[Diskon]])),Data[[#This Row],[Profit non Diskon]])</f>
        <v>340000</v>
      </c>
      <c r="AC55" s="23" t="s">
        <v>13</v>
      </c>
      <c r="AD55" s="37">
        <f>IFERROR(INDEX('Kode Diskon'!$D$3:$D$9,MATCH(Data[[#This Row],[Kode diskon]],'Kode Diskon'!$C$3:$C$9,0)),"-")</f>
        <v>0.15</v>
      </c>
      <c r="AE55" s="23" t="s">
        <v>29</v>
      </c>
      <c r="AF55" s="23" t="s">
        <v>7</v>
      </c>
      <c r="AG55" s="23" t="s">
        <v>79</v>
      </c>
      <c r="AH55" s="24">
        <v>45019</v>
      </c>
      <c r="AI55" s="23" t="str">
        <f>TEXT(Data[[#This Row],[Tanggal terjual]],"dddd")</f>
        <v>Monday</v>
      </c>
      <c r="AJ55" s="21" t="str">
        <f>TEXT(Data[[#This Row],[Tanggal terjual]],"wwww")</f>
        <v>wwww</v>
      </c>
    </row>
    <row r="56" spans="1:36" x14ac:dyDescent="0.2">
      <c r="A56" s="20">
        <v>55</v>
      </c>
      <c r="B56" s="21" t="str">
        <f>_xlfn.CONCAT("ORD-",INDEX(Helper!$B$2:$B$5,MATCH(Data[[#This Row],[Marketplace]],Helper!$A$2:$A$5,0)),TEXT(Data[[#This Row],[No]],"0000"),"-",TEXT(Data[[#This Row],[Tanggal terjual]],"dd/mm/yy"))</f>
        <v>ORD-SP0055-05/04/23</v>
      </c>
      <c r="C56" t="s">
        <v>65</v>
      </c>
      <c r="D56" t="str">
        <f>IFERROR(INDEX(Katalog!$A$3:$A$12,MATCH(Data[[#This Row],[ItemID A]],Katalog!$C$3:$C$12,0)),"-")</f>
        <v>Sepatu Pria</v>
      </c>
      <c r="E56" t="str">
        <f>IFERROR(INDEX(Katalog!$B$3:$B$12,MATCH(Data[[#This Row],[ItemID A]],Katalog!$C$3:$C$12,0)),"-")</f>
        <v>Sneakers</v>
      </c>
      <c r="F56">
        <v>2</v>
      </c>
      <c r="G56">
        <v>1</v>
      </c>
      <c r="H56" s="36">
        <f>IFERROR(INDEX(Katalog!$D$3:$D$12,MATCH(Data[[#This Row],[ItemID A]],Katalog!$C$3:$C$12,0))*Data[[#This Row],[Qty A]],"0")</f>
        <v>1000000</v>
      </c>
      <c r="I56" s="36">
        <f>IFERROR(INDEX(Katalog!$F$3:$F$12,MATCH(Data[[#This Row],[ItemID A]],Katalog!$C$3:$C$12,0))*Data[[#This Row],[Qty A]],0)</f>
        <v>400000</v>
      </c>
      <c r="K56" t="str">
        <f>IFERROR(INDEX(Katalog!$A$3:$A$12,MATCH(Data[[#This Row],[ItemID B]],Katalog!$C$3:$C$12,0)),"-")</f>
        <v>-</v>
      </c>
      <c r="L56" t="str">
        <f>IFERROR(INDEX(Katalog!$B$3:$B$12,MATCH(Data[[#This Row],[ItemID B]],Katalog!$C$3:$C$12,0)),"-")</f>
        <v>-</v>
      </c>
      <c r="O56" s="36" t="str">
        <f>IFERROR(INDEX(Katalog!$D$3:$D$12,MATCH(Data[[#This Row],[ItemID B]],Katalog!$C$3:$C$12,0))*Data[[#This Row],[Qty B]],"0")</f>
        <v>0</v>
      </c>
      <c r="P56" s="36" t="str">
        <f>IFERROR(INDEX(Katalog!$F$3:$F$12,MATCH(Data[[#This Row],[ItemID B]],Katalog!$C$3:$C$12,0))*Data[[#This Row],[Qty B]],"0")</f>
        <v>0</v>
      </c>
      <c r="R56" t="str">
        <f>IFERROR(INDEX(Katalog!$A$3:$A$12,MATCH(Data[[#This Row],[ItemID C]],Katalog!$C$3:$C$12,0)),"-")</f>
        <v>-</v>
      </c>
      <c r="S56" t="str">
        <f>IFERROR(INDEX(Katalog!$B$3:$B$12,MATCH(Data[[#This Row],[ItemID C]],Katalog!$C$3:$C$12,0)),"-")</f>
        <v>-</v>
      </c>
      <c r="V56" s="36" t="str">
        <f>IFERROR(INDEX(Katalog!$D$3:$D$12,MATCH(Data[[#This Row],[ItemID C]],Katalog!$C$3:$C$12,0))*Data[[#This Row],[Qty C]],"0")</f>
        <v>0</v>
      </c>
      <c r="W56" s="36" t="str">
        <f>IFERROR(INDEX(Katalog!$F$3:$F$12,MATCH(Data[[#This Row],[ItemID C]],Katalog!$C$3:$C$12,0))*Data[[#This Row],[Qty C]],"0")</f>
        <v>0</v>
      </c>
      <c r="X56" s="21">
        <f>Data[[#This Row],[Qty A]]+Data[[#This Row],[Qty B]]+Data[[#This Row],[Qty C]]</f>
        <v>2</v>
      </c>
      <c r="Y56" s="22">
        <f>Data[[#This Row],[Harga Barang A]]+Data[[#This Row],[Harga Barang B]]+Data[[#This Row],[Harga Barang C]]</f>
        <v>1000000</v>
      </c>
      <c r="Z56" s="35">
        <f>IFERROR(Data[[#This Row],[Total Harga]]-(Data[[#This Row],[Total Harga]]*Data[[#This Row],[Diskon]]),Data[[#This Row],[Total Harga]])</f>
        <v>900000</v>
      </c>
      <c r="AA56" s="35">
        <f>(Data[[#This Row],[Profit A]]+Data[[#This Row],[Profit B]]+Data[[#This Row],[Profit C]])</f>
        <v>400000</v>
      </c>
      <c r="AB56" s="35">
        <f>IFERROR((Data[[#This Row],[Profit non Diskon]]-(Data[[#This Row],[Profit non Diskon]]*Data[[#This Row],[Diskon]])),Data[[#This Row],[Profit non Diskon]])</f>
        <v>360000</v>
      </c>
      <c r="AC56" s="23" t="s">
        <v>6</v>
      </c>
      <c r="AD56" s="37">
        <f>IFERROR(INDEX('Kode Diskon'!$D$3:$D$9,MATCH(Data[[#This Row],[Kode diskon]],'Kode Diskon'!$C$3:$C$9,0)),"-")</f>
        <v>0.1</v>
      </c>
      <c r="AE56" s="23" t="s">
        <v>29</v>
      </c>
      <c r="AF56" s="23" t="s">
        <v>7</v>
      </c>
      <c r="AG56" s="23" t="s">
        <v>80</v>
      </c>
      <c r="AH56" s="24">
        <v>45021</v>
      </c>
      <c r="AI56" s="23" t="str">
        <f>TEXT(Data[[#This Row],[Tanggal terjual]],"dddd")</f>
        <v>Wednesday</v>
      </c>
      <c r="AJ56" s="21" t="str">
        <f>TEXT(Data[[#This Row],[Tanggal terjual]],"wwww")</f>
        <v>wwww</v>
      </c>
    </row>
    <row r="57" spans="1:36" x14ac:dyDescent="0.2">
      <c r="A57" s="20">
        <v>56</v>
      </c>
      <c r="B57" s="21" t="str">
        <f>_xlfn.CONCAT("ORD-",INDEX(Helper!$B$2:$B$5,MATCH(Data[[#This Row],[Marketplace]],Helper!$A$2:$A$5,0)),TEXT(Data[[#This Row],[No]],"0000"),"-",TEXT(Data[[#This Row],[Tanggal terjual]],"dd/mm/yy"))</f>
        <v>ORD-BB0056-06/04/23</v>
      </c>
      <c r="C57" t="s">
        <v>62</v>
      </c>
      <c r="D57" t="str">
        <f>IFERROR(INDEX(Katalog!$A$3:$A$12,MATCH(Data[[#This Row],[ItemID A]],Katalog!$C$3:$C$12,0)),"-")</f>
        <v>Pakaian Pria</v>
      </c>
      <c r="E57" t="str">
        <f>IFERROR(INDEX(Katalog!$B$3:$B$12,MATCH(Data[[#This Row],[ItemID A]],Katalog!$C$3:$C$12,0)),"-")</f>
        <v>Celana Pendek</v>
      </c>
      <c r="F57">
        <v>1</v>
      </c>
      <c r="G57">
        <v>5</v>
      </c>
      <c r="H57" s="36">
        <f>IFERROR(INDEX(Katalog!$D$3:$D$12,MATCH(Data[[#This Row],[ItemID A]],Katalog!$C$3:$C$12,0))*Data[[#This Row],[Qty A]],"0")</f>
        <v>180000</v>
      </c>
      <c r="I57" s="36">
        <f>IFERROR(INDEX(Katalog!$F$3:$F$12,MATCH(Data[[#This Row],[ItemID A]],Katalog!$C$3:$C$12,0))*Data[[#This Row],[Qty A]],0)</f>
        <v>70000</v>
      </c>
      <c r="J57" t="s">
        <v>64</v>
      </c>
      <c r="K57" t="str">
        <f>IFERROR(INDEX(Katalog!$A$3:$A$12,MATCH(Data[[#This Row],[ItemID B]],Katalog!$C$3:$C$12,0)),"-")</f>
        <v>Pakaian Unisex</v>
      </c>
      <c r="L57" t="str">
        <f>IFERROR(INDEX(Katalog!$B$3:$B$12,MATCH(Data[[#This Row],[ItemID B]],Katalog!$C$3:$C$12,0)),"-")</f>
        <v>Jaket Hoodie</v>
      </c>
      <c r="M57">
        <v>1</v>
      </c>
      <c r="N57">
        <v>5</v>
      </c>
      <c r="O57" s="36">
        <f>IFERROR(INDEX(Katalog!$D$3:$D$12,MATCH(Data[[#This Row],[ItemID B]],Katalog!$C$3:$C$12,0))*Data[[#This Row],[Qty B]],"0")</f>
        <v>350000</v>
      </c>
      <c r="P57" s="36">
        <f>IFERROR(INDEX(Katalog!$F$3:$F$12,MATCH(Data[[#This Row],[ItemID B]],Katalog!$C$3:$C$12,0))*Data[[#This Row],[Qty B]],"0")</f>
        <v>130000</v>
      </c>
      <c r="R57" t="str">
        <f>IFERROR(INDEX(Katalog!$A$3:$A$12,MATCH(Data[[#This Row],[ItemID C]],Katalog!$C$3:$C$12,0)),"-")</f>
        <v>-</v>
      </c>
      <c r="S57" t="str">
        <f>IFERROR(INDEX(Katalog!$B$3:$B$12,MATCH(Data[[#This Row],[ItemID C]],Katalog!$C$3:$C$12,0)),"-")</f>
        <v>-</v>
      </c>
      <c r="V57" s="36" t="str">
        <f>IFERROR(INDEX(Katalog!$D$3:$D$12,MATCH(Data[[#This Row],[ItemID C]],Katalog!$C$3:$C$12,0))*Data[[#This Row],[Qty C]],"0")</f>
        <v>0</v>
      </c>
      <c r="W57" s="36" t="str">
        <f>IFERROR(INDEX(Katalog!$F$3:$F$12,MATCH(Data[[#This Row],[ItemID C]],Katalog!$C$3:$C$12,0))*Data[[#This Row],[Qty C]],"0")</f>
        <v>0</v>
      </c>
      <c r="X57" s="21">
        <f>Data[[#This Row],[Qty A]]+Data[[#This Row],[Qty B]]+Data[[#This Row],[Qty C]]</f>
        <v>2</v>
      </c>
      <c r="Y57" s="22">
        <f>Data[[#This Row],[Harga Barang A]]+Data[[#This Row],[Harga Barang B]]+Data[[#This Row],[Harga Barang C]]</f>
        <v>530000</v>
      </c>
      <c r="Z57" s="35">
        <f>IFERROR(Data[[#This Row],[Total Harga]]-(Data[[#This Row],[Total Harga]]*Data[[#This Row],[Diskon]]),Data[[#This Row],[Total Harga]])</f>
        <v>450500</v>
      </c>
      <c r="AA57" s="35">
        <f>(Data[[#This Row],[Profit A]]+Data[[#This Row],[Profit B]]+Data[[#This Row],[Profit C]])</f>
        <v>200000</v>
      </c>
      <c r="AB57" s="35">
        <f>IFERROR((Data[[#This Row],[Profit non Diskon]]-(Data[[#This Row],[Profit non Diskon]]*Data[[#This Row],[Diskon]])),Data[[#This Row],[Profit non Diskon]])</f>
        <v>170000</v>
      </c>
      <c r="AC57" s="23" t="s">
        <v>28</v>
      </c>
      <c r="AD57" s="37">
        <f>IFERROR(INDEX('Kode Diskon'!$D$3:$D$9,MATCH(Data[[#This Row],[Kode diskon]],'Kode Diskon'!$C$3:$C$9,0)),"-")</f>
        <v>0.15</v>
      </c>
      <c r="AE57" s="23" t="s">
        <v>29</v>
      </c>
      <c r="AF57" s="23" t="s">
        <v>14</v>
      </c>
      <c r="AG57" s="23" t="s">
        <v>76</v>
      </c>
      <c r="AH57" s="24">
        <v>45022</v>
      </c>
      <c r="AI57" s="23" t="str">
        <f>TEXT(Data[[#This Row],[Tanggal terjual]],"dddd")</f>
        <v>Thursday</v>
      </c>
      <c r="AJ57" s="21" t="str">
        <f>TEXT(Data[[#This Row],[Tanggal terjual]],"wwww")</f>
        <v>wwww</v>
      </c>
    </row>
    <row r="58" spans="1:36" x14ac:dyDescent="0.2">
      <c r="A58" s="20">
        <v>57</v>
      </c>
      <c r="B58" s="21" t="str">
        <f>_xlfn.CONCAT("ORD-",INDEX(Helper!$B$2:$B$5,MATCH(Data[[#This Row],[Marketplace]],Helper!$A$2:$A$5,0)),TEXT(Data[[#This Row],[No]],"0000"),"-",TEXT(Data[[#This Row],[Tanggal terjual]],"dd/mm/yy"))</f>
        <v>ORD-SP0057-05/04/23</v>
      </c>
      <c r="C58" t="s">
        <v>67</v>
      </c>
      <c r="D58" t="str">
        <f>IFERROR(INDEX(Katalog!$A$3:$A$12,MATCH(Data[[#This Row],[ItemID A]],Katalog!$C$3:$C$12,0)),"-")</f>
        <v>Sepatu Wanita</v>
      </c>
      <c r="E58" t="str">
        <f>IFERROR(INDEX(Katalog!$B$3:$B$12,MATCH(Data[[#This Row],[ItemID A]],Katalog!$C$3:$C$12,0)),"-")</f>
        <v>Flat Shoes</v>
      </c>
      <c r="F58">
        <v>2</v>
      </c>
      <c r="G58">
        <v>2</v>
      </c>
      <c r="H58" s="36">
        <f>IFERROR(INDEX(Katalog!$D$3:$D$12,MATCH(Data[[#This Row],[ItemID A]],Katalog!$C$3:$C$12,0))*Data[[#This Row],[Qty A]],"0")</f>
        <v>500000</v>
      </c>
      <c r="I58" s="36">
        <f>IFERROR(INDEX(Katalog!$F$3:$F$12,MATCH(Data[[#This Row],[ItemID A]],Katalog!$C$3:$C$12,0))*Data[[#This Row],[Qty A]],0)</f>
        <v>200000</v>
      </c>
      <c r="K58" t="str">
        <f>IFERROR(INDEX(Katalog!$A$3:$A$12,MATCH(Data[[#This Row],[ItemID B]],Katalog!$C$3:$C$12,0)),"-")</f>
        <v>-</v>
      </c>
      <c r="L58" t="str">
        <f>IFERROR(INDEX(Katalog!$B$3:$B$12,MATCH(Data[[#This Row],[ItemID B]],Katalog!$C$3:$C$12,0)),"-")</f>
        <v>-</v>
      </c>
      <c r="O58" s="36" t="str">
        <f>IFERROR(INDEX(Katalog!$D$3:$D$12,MATCH(Data[[#This Row],[ItemID B]],Katalog!$C$3:$C$12,0))*Data[[#This Row],[Qty B]],"0")</f>
        <v>0</v>
      </c>
      <c r="P58" s="36" t="str">
        <f>IFERROR(INDEX(Katalog!$F$3:$F$12,MATCH(Data[[#This Row],[ItemID B]],Katalog!$C$3:$C$12,0))*Data[[#This Row],[Qty B]],"0")</f>
        <v>0</v>
      </c>
      <c r="R58" t="str">
        <f>IFERROR(INDEX(Katalog!$A$3:$A$12,MATCH(Data[[#This Row],[ItemID C]],Katalog!$C$3:$C$12,0)),"-")</f>
        <v>-</v>
      </c>
      <c r="S58" t="str">
        <f>IFERROR(INDEX(Katalog!$B$3:$B$12,MATCH(Data[[#This Row],[ItemID C]],Katalog!$C$3:$C$12,0)),"-")</f>
        <v>-</v>
      </c>
      <c r="V58" s="36" t="str">
        <f>IFERROR(INDEX(Katalog!$D$3:$D$12,MATCH(Data[[#This Row],[ItemID C]],Katalog!$C$3:$C$12,0))*Data[[#This Row],[Qty C]],"0")</f>
        <v>0</v>
      </c>
      <c r="W58" s="36" t="str">
        <f>IFERROR(INDEX(Katalog!$F$3:$F$12,MATCH(Data[[#This Row],[ItemID C]],Katalog!$C$3:$C$12,0))*Data[[#This Row],[Qty C]],"0")</f>
        <v>0</v>
      </c>
      <c r="X58" s="21">
        <f>Data[[#This Row],[Qty A]]+Data[[#This Row],[Qty B]]+Data[[#This Row],[Qty C]]</f>
        <v>2</v>
      </c>
      <c r="Y58" s="22">
        <f>Data[[#This Row],[Harga Barang A]]+Data[[#This Row],[Harga Barang B]]+Data[[#This Row],[Harga Barang C]]</f>
        <v>500000</v>
      </c>
      <c r="Z58" s="35">
        <f>IFERROR(Data[[#This Row],[Total Harga]]-(Data[[#This Row],[Total Harga]]*Data[[#This Row],[Diskon]]),Data[[#This Row],[Total Harga]])</f>
        <v>450000</v>
      </c>
      <c r="AA58" s="35">
        <f>(Data[[#This Row],[Profit A]]+Data[[#This Row],[Profit B]]+Data[[#This Row],[Profit C]])</f>
        <v>200000</v>
      </c>
      <c r="AB58" s="35">
        <f>IFERROR((Data[[#This Row],[Profit non Diskon]]-(Data[[#This Row],[Profit non Diskon]]*Data[[#This Row],[Diskon]])),Data[[#This Row],[Profit non Diskon]])</f>
        <v>180000</v>
      </c>
      <c r="AC58" s="23" t="s">
        <v>6</v>
      </c>
      <c r="AD58" s="37">
        <f>IFERROR(INDEX('Kode Diskon'!$D$3:$D$9,MATCH(Data[[#This Row],[Kode diskon]],'Kode Diskon'!$C$3:$C$9,0)),"-")</f>
        <v>0.1</v>
      </c>
      <c r="AE58" s="23" t="s">
        <v>29</v>
      </c>
      <c r="AF58" s="23" t="s">
        <v>7</v>
      </c>
      <c r="AG58" s="23" t="s">
        <v>77</v>
      </c>
      <c r="AH58" s="24">
        <v>45021</v>
      </c>
      <c r="AI58" s="23" t="str">
        <f>TEXT(Data[[#This Row],[Tanggal terjual]],"dddd")</f>
        <v>Wednesday</v>
      </c>
      <c r="AJ58" s="21" t="str">
        <f>TEXT(Data[[#This Row],[Tanggal terjual]],"wwww")</f>
        <v>wwww</v>
      </c>
    </row>
    <row r="59" spans="1:36" x14ac:dyDescent="0.2">
      <c r="A59" s="20">
        <v>58</v>
      </c>
      <c r="B59" s="21" t="str">
        <f>_xlfn.CONCAT("ORD-",INDEX(Helper!$B$2:$B$5,MATCH(Data[[#This Row],[Marketplace]],Helper!$A$2:$A$5,0)),TEXT(Data[[#This Row],[No]],"0000"),"-",TEXT(Data[[#This Row],[Tanggal terjual]],"dd/mm/yy"))</f>
        <v>ORD-BB0058-06/04/23</v>
      </c>
      <c r="C59" t="s">
        <v>58</v>
      </c>
      <c r="D59" t="str">
        <f>IFERROR(INDEX(Katalog!$A$3:$A$12,MATCH(Data[[#This Row],[ItemID A]],Katalog!$C$3:$C$12,0)),"-")</f>
        <v>Pakaian Wanita</v>
      </c>
      <c r="E59" t="str">
        <f>IFERROR(INDEX(Katalog!$B$3:$B$12,MATCH(Data[[#This Row],[ItemID A]],Katalog!$C$3:$C$12,0)),"-")</f>
        <v>Dress</v>
      </c>
      <c r="F59">
        <v>2</v>
      </c>
      <c r="G59">
        <v>5</v>
      </c>
      <c r="H59" s="36">
        <f>IFERROR(INDEX(Katalog!$D$3:$D$12,MATCH(Data[[#This Row],[ItemID A]],Katalog!$C$3:$C$12,0))*Data[[#This Row],[Qty A]],"0")</f>
        <v>600000</v>
      </c>
      <c r="I59" s="36">
        <f>IFERROR(INDEX(Katalog!$F$3:$F$12,MATCH(Data[[#This Row],[ItemID A]],Katalog!$C$3:$C$12,0))*Data[[#This Row],[Qty A]],0)</f>
        <v>200000</v>
      </c>
      <c r="K59" t="str">
        <f>IFERROR(INDEX(Katalog!$A$3:$A$12,MATCH(Data[[#This Row],[ItemID B]],Katalog!$C$3:$C$12,0)),"-")</f>
        <v>-</v>
      </c>
      <c r="L59" t="str">
        <f>IFERROR(INDEX(Katalog!$B$3:$B$12,MATCH(Data[[#This Row],[ItemID B]],Katalog!$C$3:$C$12,0)),"-")</f>
        <v>-</v>
      </c>
      <c r="O59" s="36" t="str">
        <f>IFERROR(INDEX(Katalog!$D$3:$D$12,MATCH(Data[[#This Row],[ItemID B]],Katalog!$C$3:$C$12,0))*Data[[#This Row],[Qty B]],"0")</f>
        <v>0</v>
      </c>
      <c r="P59" s="36" t="str">
        <f>IFERROR(INDEX(Katalog!$F$3:$F$12,MATCH(Data[[#This Row],[ItemID B]],Katalog!$C$3:$C$12,0))*Data[[#This Row],[Qty B]],"0")</f>
        <v>0</v>
      </c>
      <c r="R59" t="str">
        <f>IFERROR(INDEX(Katalog!$A$3:$A$12,MATCH(Data[[#This Row],[ItemID C]],Katalog!$C$3:$C$12,0)),"-")</f>
        <v>-</v>
      </c>
      <c r="S59" t="str">
        <f>IFERROR(INDEX(Katalog!$B$3:$B$12,MATCH(Data[[#This Row],[ItemID C]],Katalog!$C$3:$C$12,0)),"-")</f>
        <v>-</v>
      </c>
      <c r="V59" s="36" t="str">
        <f>IFERROR(INDEX(Katalog!$D$3:$D$12,MATCH(Data[[#This Row],[ItemID C]],Katalog!$C$3:$C$12,0))*Data[[#This Row],[Qty C]],"0")</f>
        <v>0</v>
      </c>
      <c r="W59" s="36" t="str">
        <f>IFERROR(INDEX(Katalog!$F$3:$F$12,MATCH(Data[[#This Row],[ItemID C]],Katalog!$C$3:$C$12,0))*Data[[#This Row],[Qty C]],"0")</f>
        <v>0</v>
      </c>
      <c r="X59" s="21">
        <f>Data[[#This Row],[Qty A]]+Data[[#This Row],[Qty B]]+Data[[#This Row],[Qty C]]</f>
        <v>2</v>
      </c>
      <c r="Y59" s="22">
        <f>Data[[#This Row],[Harga Barang A]]+Data[[#This Row],[Harga Barang B]]+Data[[#This Row],[Harga Barang C]]</f>
        <v>600000</v>
      </c>
      <c r="Z59" s="35">
        <f>IFERROR(Data[[#This Row],[Total Harga]]-(Data[[#This Row],[Total Harga]]*Data[[#This Row],[Diskon]]),Data[[#This Row],[Total Harga]])</f>
        <v>510000</v>
      </c>
      <c r="AA59" s="35">
        <f>(Data[[#This Row],[Profit A]]+Data[[#This Row],[Profit B]]+Data[[#This Row],[Profit C]])</f>
        <v>200000</v>
      </c>
      <c r="AB59" s="35">
        <f>IFERROR((Data[[#This Row],[Profit non Diskon]]-(Data[[#This Row],[Profit non Diskon]]*Data[[#This Row],[Diskon]])),Data[[#This Row],[Profit non Diskon]])</f>
        <v>170000</v>
      </c>
      <c r="AC59" s="23" t="s">
        <v>28</v>
      </c>
      <c r="AD59" s="37">
        <f>IFERROR(INDEX('Kode Diskon'!$D$3:$D$9,MATCH(Data[[#This Row],[Kode diskon]],'Kode Diskon'!$C$3:$C$9,0)),"-")</f>
        <v>0.15</v>
      </c>
      <c r="AE59" s="23" t="s">
        <v>29</v>
      </c>
      <c r="AF59" s="23" t="s">
        <v>14</v>
      </c>
      <c r="AG59" s="23" t="s">
        <v>80</v>
      </c>
      <c r="AH59" s="24">
        <v>45022</v>
      </c>
      <c r="AI59" s="23" t="str">
        <f>TEXT(Data[[#This Row],[Tanggal terjual]],"dddd")</f>
        <v>Thursday</v>
      </c>
      <c r="AJ59" s="21" t="str">
        <f>TEXT(Data[[#This Row],[Tanggal terjual]],"wwww")</f>
        <v>wwww</v>
      </c>
    </row>
    <row r="60" spans="1:36" x14ac:dyDescent="0.2">
      <c r="A60" s="20">
        <v>59</v>
      </c>
      <c r="B60" s="21" t="str">
        <f>_xlfn.CONCAT("ORD-",INDEX(Helper!$B$2:$B$5,MATCH(Data[[#This Row],[Marketplace]],Helper!$A$2:$A$5,0)),TEXT(Data[[#This Row],[No]],"0000"),"-",TEXT(Data[[#This Row],[Tanggal terjual]],"dd/mm/yy"))</f>
        <v>ORD-SP0059-04/04/23</v>
      </c>
      <c r="C60" t="s">
        <v>66</v>
      </c>
      <c r="D60" t="str">
        <f>IFERROR(INDEX(Katalog!$A$3:$A$12,MATCH(Data[[#This Row],[ItemID A]],Katalog!$C$3:$C$12,0)),"-")</f>
        <v>Sepatu Pria</v>
      </c>
      <c r="E60" t="str">
        <f>IFERROR(INDEX(Katalog!$B$3:$B$12,MATCH(Data[[#This Row],[ItemID A]],Katalog!$C$3:$C$12,0)),"-")</f>
        <v>Sandal Slip On</v>
      </c>
      <c r="F60">
        <v>5</v>
      </c>
      <c r="G60">
        <v>5</v>
      </c>
      <c r="H60" s="36">
        <f>IFERROR(INDEX(Katalog!$D$3:$D$12,MATCH(Data[[#This Row],[ItemID A]],Katalog!$C$3:$C$12,0))*Data[[#This Row],[Qty A]],"0")</f>
        <v>750000</v>
      </c>
      <c r="I60" s="36">
        <f>IFERROR(INDEX(Katalog!$F$3:$F$12,MATCH(Data[[#This Row],[ItemID A]],Katalog!$C$3:$C$12,0))*Data[[#This Row],[Qty A]],0)</f>
        <v>300000</v>
      </c>
      <c r="J60" t="s">
        <v>67</v>
      </c>
      <c r="K60" t="str">
        <f>IFERROR(INDEX(Katalog!$A$3:$A$12,MATCH(Data[[#This Row],[ItemID B]],Katalog!$C$3:$C$12,0)),"-")</f>
        <v>Sepatu Wanita</v>
      </c>
      <c r="L60" t="str">
        <f>IFERROR(INDEX(Katalog!$B$3:$B$12,MATCH(Data[[#This Row],[ItemID B]],Katalog!$C$3:$C$12,0)),"-")</f>
        <v>Flat Shoes</v>
      </c>
      <c r="M60">
        <v>1</v>
      </c>
      <c r="N60">
        <v>4</v>
      </c>
      <c r="O60" s="36">
        <f>IFERROR(INDEX(Katalog!$D$3:$D$12,MATCH(Data[[#This Row],[ItemID B]],Katalog!$C$3:$C$12,0))*Data[[#This Row],[Qty B]],"0")</f>
        <v>250000</v>
      </c>
      <c r="P60" s="36">
        <f>IFERROR(INDEX(Katalog!$F$3:$F$12,MATCH(Data[[#This Row],[ItemID B]],Katalog!$C$3:$C$12,0))*Data[[#This Row],[Qty B]],"0")</f>
        <v>100000</v>
      </c>
      <c r="R60" t="str">
        <f>IFERROR(INDEX(Katalog!$A$3:$A$12,MATCH(Data[[#This Row],[ItemID C]],Katalog!$C$3:$C$12,0)),"-")</f>
        <v>-</v>
      </c>
      <c r="S60" t="str">
        <f>IFERROR(INDEX(Katalog!$B$3:$B$12,MATCH(Data[[#This Row],[ItemID C]],Katalog!$C$3:$C$12,0)),"-")</f>
        <v>-</v>
      </c>
      <c r="V60" s="36" t="str">
        <f>IFERROR(INDEX(Katalog!$D$3:$D$12,MATCH(Data[[#This Row],[ItemID C]],Katalog!$C$3:$C$12,0))*Data[[#This Row],[Qty C]],"0")</f>
        <v>0</v>
      </c>
      <c r="W60" s="36" t="str">
        <f>IFERROR(INDEX(Katalog!$F$3:$F$12,MATCH(Data[[#This Row],[ItemID C]],Katalog!$C$3:$C$12,0))*Data[[#This Row],[Qty C]],"0")</f>
        <v>0</v>
      </c>
      <c r="X60" s="21">
        <f>Data[[#This Row],[Qty A]]+Data[[#This Row],[Qty B]]+Data[[#This Row],[Qty C]]</f>
        <v>6</v>
      </c>
      <c r="Y60" s="22">
        <f>Data[[#This Row],[Harga Barang A]]+Data[[#This Row],[Harga Barang B]]+Data[[#This Row],[Harga Barang C]]</f>
        <v>1000000</v>
      </c>
      <c r="Z60" s="35">
        <f>IFERROR(Data[[#This Row],[Total Harga]]-(Data[[#This Row],[Total Harga]]*Data[[#This Row],[Diskon]]),Data[[#This Row],[Total Harga]])</f>
        <v>850000</v>
      </c>
      <c r="AA60" s="35">
        <f>(Data[[#This Row],[Profit A]]+Data[[#This Row],[Profit B]]+Data[[#This Row],[Profit C]])</f>
        <v>400000</v>
      </c>
      <c r="AB60" s="35">
        <f>IFERROR((Data[[#This Row],[Profit non Diskon]]-(Data[[#This Row],[Profit non Diskon]]*Data[[#This Row],[Diskon]])),Data[[#This Row],[Profit non Diskon]])</f>
        <v>340000</v>
      </c>
      <c r="AC60" s="23" t="s">
        <v>13</v>
      </c>
      <c r="AD60" s="37">
        <f>IFERROR(INDEX('Kode Diskon'!$D$3:$D$9,MATCH(Data[[#This Row],[Kode diskon]],'Kode Diskon'!$C$3:$C$9,0)),"-")</f>
        <v>0.15</v>
      </c>
      <c r="AE60" s="23" t="s">
        <v>29</v>
      </c>
      <c r="AF60" s="23" t="s">
        <v>7</v>
      </c>
      <c r="AG60" s="23" t="s">
        <v>80</v>
      </c>
      <c r="AH60" s="24">
        <v>45020</v>
      </c>
      <c r="AI60" s="23" t="str">
        <f>TEXT(Data[[#This Row],[Tanggal terjual]],"dddd")</f>
        <v>Tuesday</v>
      </c>
      <c r="AJ60" s="21" t="str">
        <f>TEXT(Data[[#This Row],[Tanggal terjual]],"wwww")</f>
        <v>wwww</v>
      </c>
    </row>
    <row r="61" spans="1:36" x14ac:dyDescent="0.2">
      <c r="A61" s="20">
        <v>60</v>
      </c>
      <c r="B61" s="21" t="str">
        <f>_xlfn.CONCAT("ORD-",INDEX(Helper!$B$2:$B$5,MATCH(Data[[#This Row],[Marketplace]],Helper!$A$2:$A$5,0)),TEXT(Data[[#This Row],[No]],"0000"),"-",TEXT(Data[[#This Row],[Tanggal terjual]],"dd/mm/yy"))</f>
        <v>ORD-SP0060-02/04/23</v>
      </c>
      <c r="C61" t="s">
        <v>67</v>
      </c>
      <c r="D61" t="str">
        <f>IFERROR(INDEX(Katalog!$A$3:$A$12,MATCH(Data[[#This Row],[ItemID A]],Katalog!$C$3:$C$12,0)),"-")</f>
        <v>Sepatu Wanita</v>
      </c>
      <c r="E61" t="str">
        <f>IFERROR(INDEX(Katalog!$B$3:$B$12,MATCH(Data[[#This Row],[ItemID A]],Katalog!$C$3:$C$12,0)),"-")</f>
        <v>Flat Shoes</v>
      </c>
      <c r="F61">
        <v>5</v>
      </c>
      <c r="G61">
        <v>5</v>
      </c>
      <c r="H61" s="36">
        <f>IFERROR(INDEX(Katalog!$D$3:$D$12,MATCH(Data[[#This Row],[ItemID A]],Katalog!$C$3:$C$12,0))*Data[[#This Row],[Qty A]],"0")</f>
        <v>1250000</v>
      </c>
      <c r="I61" s="36">
        <f>IFERROR(INDEX(Katalog!$F$3:$F$12,MATCH(Data[[#This Row],[ItemID A]],Katalog!$C$3:$C$12,0))*Data[[#This Row],[Qty A]],0)</f>
        <v>500000</v>
      </c>
      <c r="K61" t="str">
        <f>IFERROR(INDEX(Katalog!$A$3:$A$12,MATCH(Data[[#This Row],[ItemID B]],Katalog!$C$3:$C$12,0)),"-")</f>
        <v>-</v>
      </c>
      <c r="L61" t="str">
        <f>IFERROR(INDEX(Katalog!$B$3:$B$12,MATCH(Data[[#This Row],[ItemID B]],Katalog!$C$3:$C$12,0)),"-")</f>
        <v>-</v>
      </c>
      <c r="O61" s="36" t="str">
        <f>IFERROR(INDEX(Katalog!$D$3:$D$12,MATCH(Data[[#This Row],[ItemID B]],Katalog!$C$3:$C$12,0))*Data[[#This Row],[Qty B]],"0")</f>
        <v>0</v>
      </c>
      <c r="P61" s="36" t="str">
        <f>IFERROR(INDEX(Katalog!$F$3:$F$12,MATCH(Data[[#This Row],[ItemID B]],Katalog!$C$3:$C$12,0))*Data[[#This Row],[Qty B]],"0")</f>
        <v>0</v>
      </c>
      <c r="R61" t="str">
        <f>IFERROR(INDEX(Katalog!$A$3:$A$12,MATCH(Data[[#This Row],[ItemID C]],Katalog!$C$3:$C$12,0)),"-")</f>
        <v>-</v>
      </c>
      <c r="S61" t="str">
        <f>IFERROR(INDEX(Katalog!$B$3:$B$12,MATCH(Data[[#This Row],[ItemID C]],Katalog!$C$3:$C$12,0)),"-")</f>
        <v>-</v>
      </c>
      <c r="V61" s="36" t="str">
        <f>IFERROR(INDEX(Katalog!$D$3:$D$12,MATCH(Data[[#This Row],[ItemID C]],Katalog!$C$3:$C$12,0))*Data[[#This Row],[Qty C]],"0")</f>
        <v>0</v>
      </c>
      <c r="W61" s="36" t="str">
        <f>IFERROR(INDEX(Katalog!$F$3:$F$12,MATCH(Data[[#This Row],[ItemID C]],Katalog!$C$3:$C$12,0))*Data[[#This Row],[Qty C]],"0")</f>
        <v>0</v>
      </c>
      <c r="X61" s="21">
        <f>Data[[#This Row],[Qty A]]+Data[[#This Row],[Qty B]]+Data[[#This Row],[Qty C]]</f>
        <v>5</v>
      </c>
      <c r="Y61" s="22">
        <f>Data[[#This Row],[Harga Barang A]]+Data[[#This Row],[Harga Barang B]]+Data[[#This Row],[Harga Barang C]]</f>
        <v>1250000</v>
      </c>
      <c r="Z61" s="35">
        <f>IFERROR(Data[[#This Row],[Total Harga]]-(Data[[#This Row],[Total Harga]]*Data[[#This Row],[Diskon]]),Data[[#This Row],[Total Harga]])</f>
        <v>1062500</v>
      </c>
      <c r="AA61" s="35">
        <f>(Data[[#This Row],[Profit A]]+Data[[#This Row],[Profit B]]+Data[[#This Row],[Profit C]])</f>
        <v>500000</v>
      </c>
      <c r="AB61" s="35">
        <f>IFERROR((Data[[#This Row],[Profit non Diskon]]-(Data[[#This Row],[Profit non Diskon]]*Data[[#This Row],[Diskon]])),Data[[#This Row],[Profit non Diskon]])</f>
        <v>425000</v>
      </c>
      <c r="AC61" s="23" t="s">
        <v>13</v>
      </c>
      <c r="AD61" s="37">
        <f>IFERROR(INDEX('Kode Diskon'!$D$3:$D$9,MATCH(Data[[#This Row],[Kode diskon]],'Kode Diskon'!$C$3:$C$9,0)),"-")</f>
        <v>0.15</v>
      </c>
      <c r="AE61" s="23" t="s">
        <v>29</v>
      </c>
      <c r="AF61" s="23" t="s">
        <v>7</v>
      </c>
      <c r="AG61" s="23" t="s">
        <v>79</v>
      </c>
      <c r="AH61" s="24">
        <v>45018</v>
      </c>
      <c r="AI61" s="23" t="str">
        <f>TEXT(Data[[#This Row],[Tanggal terjual]],"dddd")</f>
        <v>Sunday</v>
      </c>
      <c r="AJ61" s="21" t="str">
        <f>TEXT(Data[[#This Row],[Tanggal terjual]],"wwww")</f>
        <v>wwww</v>
      </c>
    </row>
    <row r="62" spans="1:36" x14ac:dyDescent="0.2">
      <c r="A62" s="20">
        <v>61</v>
      </c>
      <c r="B62" s="21" t="str">
        <f>_xlfn.CONCAT("ORD-",INDEX(Helper!$B$2:$B$5,MATCH(Data[[#This Row],[Marketplace]],Helper!$A$2:$A$5,0)),TEXT(Data[[#This Row],[No]],"0000"),"-",TEXT(Data[[#This Row],[Tanggal terjual]],"dd/mm/yy"))</f>
        <v>ORD-SP0061-03/04/23</v>
      </c>
      <c r="C62" t="s">
        <v>65</v>
      </c>
      <c r="D62" t="str">
        <f>IFERROR(INDEX(Katalog!$A$3:$A$12,MATCH(Data[[#This Row],[ItemID A]],Katalog!$C$3:$C$12,0)),"-")</f>
        <v>Sepatu Pria</v>
      </c>
      <c r="E62" t="str">
        <f>IFERROR(INDEX(Katalog!$B$3:$B$12,MATCH(Data[[#This Row],[ItemID A]],Katalog!$C$3:$C$12,0)),"-")</f>
        <v>Sneakers</v>
      </c>
      <c r="F62">
        <v>2</v>
      </c>
      <c r="G62">
        <v>1</v>
      </c>
      <c r="H62" s="36">
        <f>IFERROR(INDEX(Katalog!$D$3:$D$12,MATCH(Data[[#This Row],[ItemID A]],Katalog!$C$3:$C$12,0))*Data[[#This Row],[Qty A]],"0")</f>
        <v>1000000</v>
      </c>
      <c r="I62" s="36">
        <f>IFERROR(INDEX(Katalog!$F$3:$F$12,MATCH(Data[[#This Row],[ItemID A]],Katalog!$C$3:$C$12,0))*Data[[#This Row],[Qty A]],0)</f>
        <v>400000</v>
      </c>
      <c r="J62" t="s">
        <v>61</v>
      </c>
      <c r="K62" t="str">
        <f>IFERROR(INDEX(Katalog!$A$3:$A$12,MATCH(Data[[#This Row],[ItemID B]],Katalog!$C$3:$C$12,0)),"-")</f>
        <v>Pakaian Pria</v>
      </c>
      <c r="L62" t="str">
        <f>IFERROR(INDEX(Katalog!$B$3:$B$12,MATCH(Data[[#This Row],[ItemID B]],Katalog!$C$3:$C$12,0)),"-")</f>
        <v>Kaos Polo</v>
      </c>
      <c r="M62">
        <v>1</v>
      </c>
      <c r="N62">
        <v>4</v>
      </c>
      <c r="O62" s="36">
        <f>IFERROR(INDEX(Katalog!$D$3:$D$12,MATCH(Data[[#This Row],[ItemID B]],Katalog!$C$3:$C$12,0))*Data[[#This Row],[Qty B]],"0")</f>
        <v>200000</v>
      </c>
      <c r="P62" s="36">
        <f>IFERROR(INDEX(Katalog!$F$3:$F$12,MATCH(Data[[#This Row],[ItemID B]],Katalog!$C$3:$C$12,0))*Data[[#This Row],[Qty B]],"0")</f>
        <v>80000</v>
      </c>
      <c r="R62" t="str">
        <f>IFERROR(INDEX(Katalog!$A$3:$A$12,MATCH(Data[[#This Row],[ItemID C]],Katalog!$C$3:$C$12,0)),"-")</f>
        <v>-</v>
      </c>
      <c r="S62" t="str">
        <f>IFERROR(INDEX(Katalog!$B$3:$B$12,MATCH(Data[[#This Row],[ItemID C]],Katalog!$C$3:$C$12,0)),"-")</f>
        <v>-</v>
      </c>
      <c r="V62" s="36" t="str">
        <f>IFERROR(INDEX(Katalog!$D$3:$D$12,MATCH(Data[[#This Row],[ItemID C]],Katalog!$C$3:$C$12,0))*Data[[#This Row],[Qty C]],"0")</f>
        <v>0</v>
      </c>
      <c r="W62" s="36" t="str">
        <f>IFERROR(INDEX(Katalog!$F$3:$F$12,MATCH(Data[[#This Row],[ItemID C]],Katalog!$C$3:$C$12,0))*Data[[#This Row],[Qty C]],"0")</f>
        <v>0</v>
      </c>
      <c r="X62" s="21">
        <f>Data[[#This Row],[Qty A]]+Data[[#This Row],[Qty B]]+Data[[#This Row],[Qty C]]</f>
        <v>3</v>
      </c>
      <c r="Y62" s="22">
        <f>Data[[#This Row],[Harga Barang A]]+Data[[#This Row],[Harga Barang B]]+Data[[#This Row],[Harga Barang C]]</f>
        <v>1200000</v>
      </c>
      <c r="Z62" s="35">
        <f>IFERROR(Data[[#This Row],[Total Harga]]-(Data[[#This Row],[Total Harga]]*Data[[#This Row],[Diskon]]),Data[[#This Row],[Total Harga]])</f>
        <v>1080000</v>
      </c>
      <c r="AA62" s="35">
        <f>(Data[[#This Row],[Profit A]]+Data[[#This Row],[Profit B]]+Data[[#This Row],[Profit C]])</f>
        <v>480000</v>
      </c>
      <c r="AB62" s="35">
        <f>IFERROR((Data[[#This Row],[Profit non Diskon]]-(Data[[#This Row],[Profit non Diskon]]*Data[[#This Row],[Diskon]])),Data[[#This Row],[Profit non Diskon]])</f>
        <v>432000</v>
      </c>
      <c r="AC62" s="23" t="s">
        <v>6</v>
      </c>
      <c r="AD62" s="37">
        <f>IFERROR(INDEX('Kode Diskon'!$D$3:$D$9,MATCH(Data[[#This Row],[Kode diskon]],'Kode Diskon'!$C$3:$C$9,0)),"-")</f>
        <v>0.1</v>
      </c>
      <c r="AE62" s="23" t="s">
        <v>29</v>
      </c>
      <c r="AF62" s="23" t="s">
        <v>7</v>
      </c>
      <c r="AG62" s="23" t="s">
        <v>77</v>
      </c>
      <c r="AH62" s="24">
        <v>45019</v>
      </c>
      <c r="AI62" s="23" t="str">
        <f>TEXT(Data[[#This Row],[Tanggal terjual]],"dddd")</f>
        <v>Monday</v>
      </c>
      <c r="AJ62" s="21" t="str">
        <f>TEXT(Data[[#This Row],[Tanggal terjual]],"wwww")</f>
        <v>wwww</v>
      </c>
    </row>
    <row r="63" spans="1:36" x14ac:dyDescent="0.2">
      <c r="A63" s="20">
        <v>62</v>
      </c>
      <c r="B63" s="21" t="str">
        <f>_xlfn.CONCAT("ORD-",INDEX(Helper!$B$2:$B$5,MATCH(Data[[#This Row],[Marketplace]],Helper!$A$2:$A$5,0)),TEXT(Data[[#This Row],[No]],"0000"),"-",TEXT(Data[[#This Row],[Tanggal terjual]],"dd/mm/yy"))</f>
        <v>ORD-BL0062-12/04/23</v>
      </c>
      <c r="C63" t="s">
        <v>64</v>
      </c>
      <c r="D63" t="str">
        <f>IFERROR(INDEX(Katalog!$A$3:$A$12,MATCH(Data[[#This Row],[ItemID A]],Katalog!$C$3:$C$12,0)),"-")</f>
        <v>Pakaian Unisex</v>
      </c>
      <c r="E63" t="str">
        <f>IFERROR(INDEX(Katalog!$B$3:$B$12,MATCH(Data[[#This Row],[ItemID A]],Katalog!$C$3:$C$12,0)),"-")</f>
        <v>Jaket Hoodie</v>
      </c>
      <c r="F63">
        <v>1</v>
      </c>
      <c r="G63">
        <v>4</v>
      </c>
      <c r="H63" s="36">
        <f>IFERROR(INDEX(Katalog!$D$3:$D$12,MATCH(Data[[#This Row],[ItemID A]],Katalog!$C$3:$C$12,0))*Data[[#This Row],[Qty A]],"0")</f>
        <v>350000</v>
      </c>
      <c r="I63" s="36">
        <f>IFERROR(INDEX(Katalog!$F$3:$F$12,MATCH(Data[[#This Row],[ItemID A]],Katalog!$C$3:$C$12,0))*Data[[#This Row],[Qty A]],0)</f>
        <v>130000</v>
      </c>
      <c r="J63" t="s">
        <v>60</v>
      </c>
      <c r="K63" t="str">
        <f>IFERROR(INDEX(Katalog!$A$3:$A$12,MATCH(Data[[#This Row],[ItemID B]],Katalog!$C$3:$C$12,0)),"-")</f>
        <v>Pakaian Wanita</v>
      </c>
      <c r="L63" t="str">
        <f>IFERROR(INDEX(Katalog!$B$3:$B$12,MATCH(Data[[#This Row],[ItemID B]],Katalog!$C$3:$C$12,0)),"-")</f>
        <v>Kaftan</v>
      </c>
      <c r="M63">
        <v>1</v>
      </c>
      <c r="N63">
        <v>2</v>
      </c>
      <c r="O63" s="36">
        <f>IFERROR(INDEX(Katalog!$D$3:$D$12,MATCH(Data[[#This Row],[ItemID B]],Katalog!$C$3:$C$12,0))*Data[[#This Row],[Qty B]],"0")</f>
        <v>250000</v>
      </c>
      <c r="P63" s="36">
        <f>IFERROR(INDEX(Katalog!$F$3:$F$12,MATCH(Data[[#This Row],[ItemID B]],Katalog!$C$3:$C$12,0))*Data[[#This Row],[Qty B]],"0")</f>
        <v>100000</v>
      </c>
      <c r="Q63" t="s">
        <v>62</v>
      </c>
      <c r="R63" t="str">
        <f>IFERROR(INDEX(Katalog!$A$3:$A$12,MATCH(Data[[#This Row],[ItemID C]],Katalog!$C$3:$C$12,0)),"-")</f>
        <v>Pakaian Pria</v>
      </c>
      <c r="S63" t="str">
        <f>IFERROR(INDEX(Katalog!$B$3:$B$12,MATCH(Data[[#This Row],[ItemID C]],Katalog!$C$3:$C$12,0)),"-")</f>
        <v>Celana Pendek</v>
      </c>
      <c r="T63">
        <v>3</v>
      </c>
      <c r="U63">
        <v>5</v>
      </c>
      <c r="V63" s="36">
        <f>IFERROR(INDEX(Katalog!$D$3:$D$12,MATCH(Data[[#This Row],[ItemID C]],Katalog!$C$3:$C$12,0))*Data[[#This Row],[Qty C]],"0")</f>
        <v>540000</v>
      </c>
      <c r="W63" s="36">
        <f>IFERROR(INDEX(Katalog!$F$3:$F$12,MATCH(Data[[#This Row],[ItemID C]],Katalog!$C$3:$C$12,0))*Data[[#This Row],[Qty C]],"0")</f>
        <v>210000</v>
      </c>
      <c r="X63" s="21">
        <f>Data[[#This Row],[Qty A]]+Data[[#This Row],[Qty B]]+Data[[#This Row],[Qty C]]</f>
        <v>5</v>
      </c>
      <c r="Y63" s="22">
        <f>Data[[#This Row],[Harga Barang A]]+Data[[#This Row],[Harga Barang B]]+Data[[#This Row],[Harga Barang C]]</f>
        <v>1140000</v>
      </c>
      <c r="Z63" s="35">
        <f>IFERROR(Data[[#This Row],[Total Harga]]-(Data[[#This Row],[Total Harga]]*Data[[#This Row],[Diskon]]),Data[[#This Row],[Total Harga]])</f>
        <v>1140000</v>
      </c>
      <c r="AA63" s="35">
        <f>(Data[[#This Row],[Profit A]]+Data[[#This Row],[Profit B]]+Data[[#This Row],[Profit C]])</f>
        <v>440000</v>
      </c>
      <c r="AB63" s="35">
        <f>IFERROR((Data[[#This Row],[Profit non Diskon]]-(Data[[#This Row],[Profit non Diskon]]*Data[[#This Row],[Diskon]])),Data[[#This Row],[Profit non Diskon]])</f>
        <v>440000</v>
      </c>
      <c r="AC63" s="23" t="s">
        <v>11</v>
      </c>
      <c r="AD63" s="37" t="str">
        <f>IFERROR(INDEX('Kode Diskon'!$D$3:$D$9,MATCH(Data[[#This Row],[Kode diskon]],'Kode Diskon'!$C$3:$C$9,0)),"-")</f>
        <v>-</v>
      </c>
      <c r="AE63" s="23" t="s">
        <v>11</v>
      </c>
      <c r="AF63" s="23" t="s">
        <v>12</v>
      </c>
      <c r="AG63" s="23" t="s">
        <v>79</v>
      </c>
      <c r="AH63" s="24">
        <v>45028</v>
      </c>
      <c r="AI63" s="23" t="str">
        <f>TEXT(Data[[#This Row],[Tanggal terjual]],"dddd")</f>
        <v>Wednesday</v>
      </c>
      <c r="AJ63" s="21" t="str">
        <f>TEXT(Data[[#This Row],[Tanggal terjual]],"wwww")</f>
        <v>wwww</v>
      </c>
    </row>
    <row r="64" spans="1:36" x14ac:dyDescent="0.2">
      <c r="A64" s="20">
        <v>63</v>
      </c>
      <c r="B64" s="21" t="str">
        <f>_xlfn.CONCAT("ORD-",INDEX(Helper!$B$2:$B$5,MATCH(Data[[#This Row],[Marketplace]],Helper!$A$2:$A$5,0)),TEXT(Data[[#This Row],[No]],"0000"),"-",TEXT(Data[[#This Row],[Tanggal terjual]],"dd/mm/yy"))</f>
        <v>ORD-BL0063-16/04/23</v>
      </c>
      <c r="C64" t="s">
        <v>59</v>
      </c>
      <c r="D64" t="str">
        <f>IFERROR(INDEX(Katalog!$A$3:$A$12,MATCH(Data[[#This Row],[ItemID A]],Katalog!$C$3:$C$12,0)),"-")</f>
        <v>Pakaian Wanita</v>
      </c>
      <c r="E64" t="str">
        <f>IFERROR(INDEX(Katalog!$B$3:$B$12,MATCH(Data[[#This Row],[ItemID A]],Katalog!$C$3:$C$12,0)),"-")</f>
        <v>Blouse</v>
      </c>
      <c r="F64">
        <v>2</v>
      </c>
      <c r="G64">
        <v>5</v>
      </c>
      <c r="H64" s="36">
        <f>IFERROR(INDEX(Katalog!$D$3:$D$12,MATCH(Data[[#This Row],[ItemID A]],Katalog!$C$3:$C$12,0))*Data[[#This Row],[Qty A]],"0")</f>
        <v>300000</v>
      </c>
      <c r="I64" s="36">
        <f>IFERROR(INDEX(Katalog!$F$3:$F$12,MATCH(Data[[#This Row],[ItemID A]],Katalog!$C$3:$C$12,0))*Data[[#This Row],[Qty A]],0)</f>
        <v>100000</v>
      </c>
      <c r="K64" t="str">
        <f>IFERROR(INDEX(Katalog!$A$3:$A$12,MATCH(Data[[#This Row],[ItemID B]],Katalog!$C$3:$C$12,0)),"-")</f>
        <v>-</v>
      </c>
      <c r="L64" t="str">
        <f>IFERROR(INDEX(Katalog!$B$3:$B$12,MATCH(Data[[#This Row],[ItemID B]],Katalog!$C$3:$C$12,0)),"-")</f>
        <v>-</v>
      </c>
      <c r="O64" s="36" t="str">
        <f>IFERROR(INDEX(Katalog!$D$3:$D$12,MATCH(Data[[#This Row],[ItemID B]],Katalog!$C$3:$C$12,0))*Data[[#This Row],[Qty B]],"0")</f>
        <v>0</v>
      </c>
      <c r="P64" s="36" t="str">
        <f>IFERROR(INDEX(Katalog!$F$3:$F$12,MATCH(Data[[#This Row],[ItemID B]],Katalog!$C$3:$C$12,0))*Data[[#This Row],[Qty B]],"0")</f>
        <v>0</v>
      </c>
      <c r="R64" t="str">
        <f>IFERROR(INDEX(Katalog!$A$3:$A$12,MATCH(Data[[#This Row],[ItemID C]],Katalog!$C$3:$C$12,0)),"-")</f>
        <v>-</v>
      </c>
      <c r="S64" t="str">
        <f>IFERROR(INDEX(Katalog!$B$3:$B$12,MATCH(Data[[#This Row],[ItemID C]],Katalog!$C$3:$C$12,0)),"-")</f>
        <v>-</v>
      </c>
      <c r="V64" s="36" t="str">
        <f>IFERROR(INDEX(Katalog!$D$3:$D$12,MATCH(Data[[#This Row],[ItemID C]],Katalog!$C$3:$C$12,0))*Data[[#This Row],[Qty C]],"0")</f>
        <v>0</v>
      </c>
      <c r="W64" s="36" t="str">
        <f>IFERROR(INDEX(Katalog!$F$3:$F$12,MATCH(Data[[#This Row],[ItemID C]],Katalog!$C$3:$C$12,0))*Data[[#This Row],[Qty C]],"0")</f>
        <v>0</v>
      </c>
      <c r="X64" s="21">
        <f>Data[[#This Row],[Qty A]]+Data[[#This Row],[Qty B]]+Data[[#This Row],[Qty C]]</f>
        <v>2</v>
      </c>
      <c r="Y64" s="22">
        <f>Data[[#This Row],[Harga Barang A]]+Data[[#This Row],[Harga Barang B]]+Data[[#This Row],[Harga Barang C]]</f>
        <v>300000</v>
      </c>
      <c r="Z64" s="35">
        <f>IFERROR(Data[[#This Row],[Total Harga]]-(Data[[#This Row],[Total Harga]]*Data[[#This Row],[Diskon]]),Data[[#This Row],[Total Harga]])</f>
        <v>255000</v>
      </c>
      <c r="AA64" s="35">
        <f>(Data[[#This Row],[Profit A]]+Data[[#This Row],[Profit B]]+Data[[#This Row],[Profit C]])</f>
        <v>100000</v>
      </c>
      <c r="AB64" s="35">
        <f>IFERROR((Data[[#This Row],[Profit non Diskon]]-(Data[[#This Row],[Profit non Diskon]]*Data[[#This Row],[Diskon]])),Data[[#This Row],[Profit non Diskon]])</f>
        <v>85000</v>
      </c>
      <c r="AC64" s="23" t="s">
        <v>32</v>
      </c>
      <c r="AD64" s="37">
        <f>IFERROR(INDEX('Kode Diskon'!$D$3:$D$9,MATCH(Data[[#This Row],[Kode diskon]],'Kode Diskon'!$C$3:$C$9,0)),"-")</f>
        <v>0.15</v>
      </c>
      <c r="AE64" s="23" t="s">
        <v>9</v>
      </c>
      <c r="AF64" s="23" t="s">
        <v>12</v>
      </c>
      <c r="AG64" s="23" t="s">
        <v>80</v>
      </c>
      <c r="AH64" s="24">
        <v>45032</v>
      </c>
      <c r="AI64" s="23" t="str">
        <f>TEXT(Data[[#This Row],[Tanggal terjual]],"dddd")</f>
        <v>Sunday</v>
      </c>
      <c r="AJ64" s="21" t="str">
        <f>TEXT(Data[[#This Row],[Tanggal terjual]],"wwww")</f>
        <v>wwww</v>
      </c>
    </row>
    <row r="65" spans="1:36" x14ac:dyDescent="0.2">
      <c r="A65" s="20">
        <v>64</v>
      </c>
      <c r="B65" s="21" t="str">
        <f>_xlfn.CONCAT("ORD-",INDEX(Helper!$B$2:$B$5,MATCH(Data[[#This Row],[Marketplace]],Helper!$A$2:$A$5,0)),TEXT(Data[[#This Row],[No]],"0000"),"-",TEXT(Data[[#This Row],[Tanggal terjual]],"dd/mm/yy"))</f>
        <v>ORD-BB0064-09/04/23</v>
      </c>
      <c r="C65" t="s">
        <v>65</v>
      </c>
      <c r="D65" t="str">
        <f>IFERROR(INDEX(Katalog!$A$3:$A$12,MATCH(Data[[#This Row],[ItemID A]],Katalog!$C$3:$C$12,0)),"-")</f>
        <v>Sepatu Pria</v>
      </c>
      <c r="E65" t="str">
        <f>IFERROR(INDEX(Katalog!$B$3:$B$12,MATCH(Data[[#This Row],[ItemID A]],Katalog!$C$3:$C$12,0)),"-")</f>
        <v>Sneakers</v>
      </c>
      <c r="F65">
        <v>6</v>
      </c>
      <c r="G65">
        <v>1</v>
      </c>
      <c r="H65" s="36">
        <f>IFERROR(INDEX(Katalog!$D$3:$D$12,MATCH(Data[[#This Row],[ItemID A]],Katalog!$C$3:$C$12,0))*Data[[#This Row],[Qty A]],"0")</f>
        <v>3000000</v>
      </c>
      <c r="I65" s="36">
        <f>IFERROR(INDEX(Katalog!$F$3:$F$12,MATCH(Data[[#This Row],[ItemID A]],Katalog!$C$3:$C$12,0))*Data[[#This Row],[Qty A]],0)</f>
        <v>1200000</v>
      </c>
      <c r="J65" t="s">
        <v>62</v>
      </c>
      <c r="K65" t="str">
        <f>IFERROR(INDEX(Katalog!$A$3:$A$12,MATCH(Data[[#This Row],[ItemID B]],Katalog!$C$3:$C$12,0)),"-")</f>
        <v>Pakaian Pria</v>
      </c>
      <c r="L65" t="str">
        <f>IFERROR(INDEX(Katalog!$B$3:$B$12,MATCH(Data[[#This Row],[ItemID B]],Katalog!$C$3:$C$12,0)),"-")</f>
        <v>Celana Pendek</v>
      </c>
      <c r="M65">
        <v>1</v>
      </c>
      <c r="N65">
        <v>2</v>
      </c>
      <c r="O65" s="36">
        <f>IFERROR(INDEX(Katalog!$D$3:$D$12,MATCH(Data[[#This Row],[ItemID B]],Katalog!$C$3:$C$12,0))*Data[[#This Row],[Qty B]],"0")</f>
        <v>180000</v>
      </c>
      <c r="P65" s="36">
        <f>IFERROR(INDEX(Katalog!$F$3:$F$12,MATCH(Data[[#This Row],[ItemID B]],Katalog!$C$3:$C$12,0))*Data[[#This Row],[Qty B]],"0")</f>
        <v>70000</v>
      </c>
      <c r="R65" t="str">
        <f>IFERROR(INDEX(Katalog!$A$3:$A$12,MATCH(Data[[#This Row],[ItemID C]],Katalog!$C$3:$C$12,0)),"-")</f>
        <v>-</v>
      </c>
      <c r="S65" t="str">
        <f>IFERROR(INDEX(Katalog!$B$3:$B$12,MATCH(Data[[#This Row],[ItemID C]],Katalog!$C$3:$C$12,0)),"-")</f>
        <v>-</v>
      </c>
      <c r="V65" s="36" t="str">
        <f>IFERROR(INDEX(Katalog!$D$3:$D$12,MATCH(Data[[#This Row],[ItemID C]],Katalog!$C$3:$C$12,0))*Data[[#This Row],[Qty C]],"0")</f>
        <v>0</v>
      </c>
      <c r="W65" s="36" t="str">
        <f>IFERROR(INDEX(Katalog!$F$3:$F$12,MATCH(Data[[#This Row],[ItemID C]],Katalog!$C$3:$C$12,0))*Data[[#This Row],[Qty C]],"0")</f>
        <v>0</v>
      </c>
      <c r="X65" s="21">
        <f>Data[[#This Row],[Qty A]]+Data[[#This Row],[Qty B]]+Data[[#This Row],[Qty C]]</f>
        <v>7</v>
      </c>
      <c r="Y65" s="22">
        <f>Data[[#This Row],[Harga Barang A]]+Data[[#This Row],[Harga Barang B]]+Data[[#This Row],[Harga Barang C]]</f>
        <v>3180000</v>
      </c>
      <c r="Z65" s="35">
        <f>IFERROR(Data[[#This Row],[Total Harga]]-(Data[[#This Row],[Total Harga]]*Data[[#This Row],[Diskon]]),Data[[#This Row],[Total Harga]])</f>
        <v>3180000</v>
      </c>
      <c r="AA65" s="35">
        <f>(Data[[#This Row],[Profit A]]+Data[[#This Row],[Profit B]]+Data[[#This Row],[Profit C]])</f>
        <v>1270000</v>
      </c>
      <c r="AB65" s="35">
        <f>IFERROR((Data[[#This Row],[Profit non Diskon]]-(Data[[#This Row],[Profit non Diskon]]*Data[[#This Row],[Diskon]])),Data[[#This Row],[Profit non Diskon]])</f>
        <v>1270000</v>
      </c>
      <c r="AC65" s="23" t="s">
        <v>11</v>
      </c>
      <c r="AD65" s="37" t="str">
        <f>IFERROR(INDEX('Kode Diskon'!$D$3:$D$9,MATCH(Data[[#This Row],[Kode diskon]],'Kode Diskon'!$C$3:$C$9,0)),"-")</f>
        <v>-</v>
      </c>
      <c r="AE65" s="23" t="s">
        <v>11</v>
      </c>
      <c r="AF65" s="23" t="s">
        <v>14</v>
      </c>
      <c r="AG65" s="23" t="s">
        <v>76</v>
      </c>
      <c r="AH65" s="24">
        <v>45025</v>
      </c>
      <c r="AI65" s="23" t="str">
        <f>TEXT(Data[[#This Row],[Tanggal terjual]],"dddd")</f>
        <v>Sunday</v>
      </c>
      <c r="AJ65" s="21" t="str">
        <f>TEXT(Data[[#This Row],[Tanggal terjual]],"wwww")</f>
        <v>wwww</v>
      </c>
    </row>
    <row r="66" spans="1:36" x14ac:dyDescent="0.2">
      <c r="A66" s="20">
        <v>65</v>
      </c>
      <c r="B66" s="21" t="str">
        <f>_xlfn.CONCAT("ORD-",INDEX(Helper!$B$2:$B$5,MATCH(Data[[#This Row],[Marketplace]],Helper!$A$2:$A$5,0)),TEXT(Data[[#This Row],[No]],"0000"),"-",TEXT(Data[[#This Row],[Tanggal terjual]],"dd/mm/yy"))</f>
        <v>ORD-SP0065-26/04/23</v>
      </c>
      <c r="C66" t="s">
        <v>58</v>
      </c>
      <c r="D66" t="str">
        <f>IFERROR(INDEX(Katalog!$A$3:$A$12,MATCH(Data[[#This Row],[ItemID A]],Katalog!$C$3:$C$12,0)),"-")</f>
        <v>Pakaian Wanita</v>
      </c>
      <c r="E66" t="str">
        <f>IFERROR(INDEX(Katalog!$B$3:$B$12,MATCH(Data[[#This Row],[ItemID A]],Katalog!$C$3:$C$12,0)),"-")</f>
        <v>Dress</v>
      </c>
      <c r="F66">
        <v>1</v>
      </c>
      <c r="G66">
        <v>5</v>
      </c>
      <c r="H66" s="36">
        <f>IFERROR(INDEX(Katalog!$D$3:$D$12,MATCH(Data[[#This Row],[ItemID A]],Katalog!$C$3:$C$12,0))*Data[[#This Row],[Qty A]],"0")</f>
        <v>300000</v>
      </c>
      <c r="I66" s="36">
        <f>IFERROR(INDEX(Katalog!$F$3:$F$12,MATCH(Data[[#This Row],[ItemID A]],Katalog!$C$3:$C$12,0))*Data[[#This Row],[Qty A]],0)</f>
        <v>100000</v>
      </c>
      <c r="K66" t="str">
        <f>IFERROR(INDEX(Katalog!$A$3:$A$12,MATCH(Data[[#This Row],[ItemID B]],Katalog!$C$3:$C$12,0)),"-")</f>
        <v>-</v>
      </c>
      <c r="L66" t="str">
        <f>IFERROR(INDEX(Katalog!$B$3:$B$12,MATCH(Data[[#This Row],[ItemID B]],Katalog!$C$3:$C$12,0)),"-")</f>
        <v>-</v>
      </c>
      <c r="O66" s="36" t="str">
        <f>IFERROR(INDEX(Katalog!$D$3:$D$12,MATCH(Data[[#This Row],[ItemID B]],Katalog!$C$3:$C$12,0))*Data[[#This Row],[Qty B]],"0")</f>
        <v>0</v>
      </c>
      <c r="P66" s="36" t="str">
        <f>IFERROR(INDEX(Katalog!$F$3:$F$12,MATCH(Data[[#This Row],[ItemID B]],Katalog!$C$3:$C$12,0))*Data[[#This Row],[Qty B]],"0")</f>
        <v>0</v>
      </c>
      <c r="R66" t="str">
        <f>IFERROR(INDEX(Katalog!$A$3:$A$12,MATCH(Data[[#This Row],[ItemID C]],Katalog!$C$3:$C$12,0)),"-")</f>
        <v>-</v>
      </c>
      <c r="S66" t="str">
        <f>IFERROR(INDEX(Katalog!$B$3:$B$12,MATCH(Data[[#This Row],[ItemID C]],Katalog!$C$3:$C$12,0)),"-")</f>
        <v>-</v>
      </c>
      <c r="V66" s="36" t="str">
        <f>IFERROR(INDEX(Katalog!$D$3:$D$12,MATCH(Data[[#This Row],[ItemID C]],Katalog!$C$3:$C$12,0))*Data[[#This Row],[Qty C]],"0")</f>
        <v>0</v>
      </c>
      <c r="W66" s="36" t="str">
        <f>IFERROR(INDEX(Katalog!$F$3:$F$12,MATCH(Data[[#This Row],[ItemID C]],Katalog!$C$3:$C$12,0))*Data[[#This Row],[Qty C]],"0")</f>
        <v>0</v>
      </c>
      <c r="X66" s="21">
        <f>Data[[#This Row],[Qty A]]+Data[[#This Row],[Qty B]]+Data[[#This Row],[Qty C]]</f>
        <v>1</v>
      </c>
      <c r="Y66" s="22">
        <f>Data[[#This Row],[Harga Barang A]]+Data[[#This Row],[Harga Barang B]]+Data[[#This Row],[Harga Barang C]]</f>
        <v>300000</v>
      </c>
      <c r="Z66" s="35">
        <f>IFERROR(Data[[#This Row],[Total Harga]]-(Data[[#This Row],[Total Harga]]*Data[[#This Row],[Diskon]]),Data[[#This Row],[Total Harga]])</f>
        <v>240000</v>
      </c>
      <c r="AA66" s="35">
        <f>(Data[[#This Row],[Profit A]]+Data[[#This Row],[Profit B]]+Data[[#This Row],[Profit C]])</f>
        <v>100000</v>
      </c>
      <c r="AB66" s="35">
        <f>IFERROR((Data[[#This Row],[Profit non Diskon]]-(Data[[#This Row],[Profit non Diskon]]*Data[[#This Row],[Diskon]])),Data[[#This Row],[Profit non Diskon]])</f>
        <v>80000</v>
      </c>
      <c r="AC66" s="23" t="s">
        <v>8</v>
      </c>
      <c r="AD66" s="37">
        <f>IFERROR(INDEX('Kode Diskon'!$D$3:$D$9,MATCH(Data[[#This Row],[Kode diskon]],'Kode Diskon'!$C$3:$C$9,0)),"-")</f>
        <v>0.2</v>
      </c>
      <c r="AE66" s="23" t="s">
        <v>9</v>
      </c>
      <c r="AF66" s="23" t="s">
        <v>7</v>
      </c>
      <c r="AG66" s="23" t="s">
        <v>79</v>
      </c>
      <c r="AH66" s="24">
        <v>45042</v>
      </c>
      <c r="AI66" s="23" t="str">
        <f>TEXT(Data[[#This Row],[Tanggal terjual]],"dddd")</f>
        <v>Wednesday</v>
      </c>
      <c r="AJ66" s="21" t="str">
        <f>TEXT(Data[[#This Row],[Tanggal terjual]],"wwww")</f>
        <v>wwww</v>
      </c>
    </row>
    <row r="67" spans="1:36" x14ac:dyDescent="0.2">
      <c r="A67" s="20">
        <v>66</v>
      </c>
      <c r="B67" s="21" t="str">
        <f>_xlfn.CONCAT("ORD-",INDEX(Helper!$B$2:$B$5,MATCH(Data[[#This Row],[Marketplace]],Helper!$A$2:$A$5,0)),TEXT(Data[[#This Row],[No]],"0000"),"-",TEXT(Data[[#This Row],[Tanggal terjual]],"dd/mm/yy"))</f>
        <v>ORD-TK0066-03/04/23</v>
      </c>
      <c r="C67" t="s">
        <v>59</v>
      </c>
      <c r="D67" t="str">
        <f>IFERROR(INDEX(Katalog!$A$3:$A$12,MATCH(Data[[#This Row],[ItemID A]],Katalog!$C$3:$C$12,0)),"-")</f>
        <v>Pakaian Wanita</v>
      </c>
      <c r="E67" t="str">
        <f>IFERROR(INDEX(Katalog!$B$3:$B$12,MATCH(Data[[#This Row],[ItemID A]],Katalog!$C$3:$C$12,0)),"-")</f>
        <v>Blouse</v>
      </c>
      <c r="F67">
        <v>1</v>
      </c>
      <c r="G67">
        <v>2</v>
      </c>
      <c r="H67" s="36">
        <f>IFERROR(INDEX(Katalog!$D$3:$D$12,MATCH(Data[[#This Row],[ItemID A]],Katalog!$C$3:$C$12,0))*Data[[#This Row],[Qty A]],"0")</f>
        <v>150000</v>
      </c>
      <c r="I67" s="36">
        <f>IFERROR(INDEX(Katalog!$F$3:$F$12,MATCH(Data[[#This Row],[ItemID A]],Katalog!$C$3:$C$12,0))*Data[[#This Row],[Qty A]],0)</f>
        <v>50000</v>
      </c>
      <c r="J67" t="s">
        <v>65</v>
      </c>
      <c r="K67" t="str">
        <f>IFERROR(INDEX(Katalog!$A$3:$A$12,MATCH(Data[[#This Row],[ItemID B]],Katalog!$C$3:$C$12,0)),"-")</f>
        <v>Sepatu Pria</v>
      </c>
      <c r="L67" t="str">
        <f>IFERROR(INDEX(Katalog!$B$3:$B$12,MATCH(Data[[#This Row],[ItemID B]],Katalog!$C$3:$C$12,0)),"-")</f>
        <v>Sneakers</v>
      </c>
      <c r="M67">
        <v>2</v>
      </c>
      <c r="N67">
        <v>1</v>
      </c>
      <c r="O67" s="36">
        <f>IFERROR(INDEX(Katalog!$D$3:$D$12,MATCH(Data[[#This Row],[ItemID B]],Katalog!$C$3:$C$12,0))*Data[[#This Row],[Qty B]],"0")</f>
        <v>1000000</v>
      </c>
      <c r="P67" s="36">
        <f>IFERROR(INDEX(Katalog!$F$3:$F$12,MATCH(Data[[#This Row],[ItemID B]],Katalog!$C$3:$C$12,0))*Data[[#This Row],[Qty B]],"0")</f>
        <v>400000</v>
      </c>
      <c r="Q67" t="s">
        <v>61</v>
      </c>
      <c r="R67" t="str">
        <f>IFERROR(INDEX(Katalog!$A$3:$A$12,MATCH(Data[[#This Row],[ItemID C]],Katalog!$C$3:$C$12,0)),"-")</f>
        <v>Pakaian Pria</v>
      </c>
      <c r="S67" t="str">
        <f>IFERROR(INDEX(Katalog!$B$3:$B$12,MATCH(Data[[#This Row],[ItemID C]],Katalog!$C$3:$C$12,0)),"-")</f>
        <v>Kaos Polo</v>
      </c>
      <c r="T67">
        <v>1</v>
      </c>
      <c r="U67">
        <v>5</v>
      </c>
      <c r="V67" s="36">
        <f>IFERROR(INDEX(Katalog!$D$3:$D$12,MATCH(Data[[#This Row],[ItemID C]],Katalog!$C$3:$C$12,0))*Data[[#This Row],[Qty C]],"0")</f>
        <v>200000</v>
      </c>
      <c r="W67" s="36">
        <f>IFERROR(INDEX(Katalog!$F$3:$F$12,MATCH(Data[[#This Row],[ItemID C]],Katalog!$C$3:$C$12,0))*Data[[#This Row],[Qty C]],"0")</f>
        <v>80000</v>
      </c>
      <c r="X67" s="21">
        <f>Data[[#This Row],[Qty A]]+Data[[#This Row],[Qty B]]+Data[[#This Row],[Qty C]]</f>
        <v>4</v>
      </c>
      <c r="Y67" s="22">
        <f>Data[[#This Row],[Harga Barang A]]+Data[[#This Row],[Harga Barang B]]+Data[[#This Row],[Harga Barang C]]</f>
        <v>1350000</v>
      </c>
      <c r="Z67" s="35">
        <f>IFERROR(Data[[#This Row],[Total Harga]]-(Data[[#This Row],[Total Harga]]*Data[[#This Row],[Diskon]]),Data[[#This Row],[Total Harga]])</f>
        <v>1215000</v>
      </c>
      <c r="AA67" s="35">
        <f>(Data[[#This Row],[Profit A]]+Data[[#This Row],[Profit B]]+Data[[#This Row],[Profit C]])</f>
        <v>530000</v>
      </c>
      <c r="AB67" s="35">
        <f>IFERROR((Data[[#This Row],[Profit non Diskon]]-(Data[[#This Row],[Profit non Diskon]]*Data[[#This Row],[Diskon]])),Data[[#This Row],[Profit non Diskon]])</f>
        <v>477000</v>
      </c>
      <c r="AC67" s="23" t="s">
        <v>30</v>
      </c>
      <c r="AD67" s="37">
        <f>IFERROR(INDEX('Kode Diskon'!$D$3:$D$9,MATCH(Data[[#This Row],[Kode diskon]],'Kode Diskon'!$C$3:$C$9,0)),"-")</f>
        <v>0.1</v>
      </c>
      <c r="AE67" s="23" t="s">
        <v>29</v>
      </c>
      <c r="AF67" s="23" t="s">
        <v>10</v>
      </c>
      <c r="AG67" s="23" t="s">
        <v>80</v>
      </c>
      <c r="AH67" s="24">
        <v>45019</v>
      </c>
      <c r="AI67" s="23" t="str">
        <f>TEXT(Data[[#This Row],[Tanggal terjual]],"dddd")</f>
        <v>Monday</v>
      </c>
      <c r="AJ67" s="21" t="str">
        <f>TEXT(Data[[#This Row],[Tanggal terjual]],"wwww")</f>
        <v>wwww</v>
      </c>
    </row>
    <row r="68" spans="1:36" x14ac:dyDescent="0.2">
      <c r="A68" s="20">
        <v>67</v>
      </c>
      <c r="B68" s="21" t="str">
        <f>_xlfn.CONCAT("ORD-",INDEX(Helper!$B$2:$B$5,MATCH(Data[[#This Row],[Marketplace]],Helper!$A$2:$A$5,0)),TEXT(Data[[#This Row],[No]],"0000"),"-",TEXT(Data[[#This Row],[Tanggal terjual]],"dd/mm/yy"))</f>
        <v>ORD-SP0067-19/04/23</v>
      </c>
      <c r="C68" t="s">
        <v>65</v>
      </c>
      <c r="D68" t="str">
        <f>IFERROR(INDEX(Katalog!$A$3:$A$12,MATCH(Data[[#This Row],[ItemID A]],Katalog!$C$3:$C$12,0)),"-")</f>
        <v>Sepatu Pria</v>
      </c>
      <c r="E68" t="str">
        <f>IFERROR(INDEX(Katalog!$B$3:$B$12,MATCH(Data[[#This Row],[ItemID A]],Katalog!$C$3:$C$12,0)),"-")</f>
        <v>Sneakers</v>
      </c>
      <c r="F68">
        <v>3</v>
      </c>
      <c r="G68">
        <v>1</v>
      </c>
      <c r="H68" s="36">
        <f>IFERROR(INDEX(Katalog!$D$3:$D$12,MATCH(Data[[#This Row],[ItemID A]],Katalog!$C$3:$C$12,0))*Data[[#This Row],[Qty A]],"0")</f>
        <v>1500000</v>
      </c>
      <c r="I68" s="36">
        <f>IFERROR(INDEX(Katalog!$F$3:$F$12,MATCH(Data[[#This Row],[ItemID A]],Katalog!$C$3:$C$12,0))*Data[[#This Row],[Qty A]],0)</f>
        <v>600000</v>
      </c>
      <c r="J68" t="s">
        <v>62</v>
      </c>
      <c r="K68" t="str">
        <f>IFERROR(INDEX(Katalog!$A$3:$A$12,MATCH(Data[[#This Row],[ItemID B]],Katalog!$C$3:$C$12,0)),"-")</f>
        <v>Pakaian Pria</v>
      </c>
      <c r="L68" t="str">
        <f>IFERROR(INDEX(Katalog!$B$3:$B$12,MATCH(Data[[#This Row],[ItemID B]],Katalog!$C$3:$C$12,0)),"-")</f>
        <v>Celana Pendek</v>
      </c>
      <c r="M68">
        <v>1</v>
      </c>
      <c r="N68">
        <v>1</v>
      </c>
      <c r="O68" s="36">
        <f>IFERROR(INDEX(Katalog!$D$3:$D$12,MATCH(Data[[#This Row],[ItemID B]],Katalog!$C$3:$C$12,0))*Data[[#This Row],[Qty B]],"0")</f>
        <v>180000</v>
      </c>
      <c r="P68" s="36">
        <f>IFERROR(INDEX(Katalog!$F$3:$F$12,MATCH(Data[[#This Row],[ItemID B]],Katalog!$C$3:$C$12,0))*Data[[#This Row],[Qty B]],"0")</f>
        <v>70000</v>
      </c>
      <c r="Q68" t="s">
        <v>67</v>
      </c>
      <c r="R68" t="str">
        <f>IFERROR(INDEX(Katalog!$A$3:$A$12,MATCH(Data[[#This Row],[ItemID C]],Katalog!$C$3:$C$12,0)),"-")</f>
        <v>Sepatu Wanita</v>
      </c>
      <c r="S68" t="str">
        <f>IFERROR(INDEX(Katalog!$B$3:$B$12,MATCH(Data[[#This Row],[ItemID C]],Katalog!$C$3:$C$12,0)),"-")</f>
        <v>Flat Shoes</v>
      </c>
      <c r="T68">
        <v>2</v>
      </c>
      <c r="U68">
        <v>3</v>
      </c>
      <c r="V68" s="36">
        <f>IFERROR(INDEX(Katalog!$D$3:$D$12,MATCH(Data[[#This Row],[ItemID C]],Katalog!$C$3:$C$12,0))*Data[[#This Row],[Qty C]],"0")</f>
        <v>500000</v>
      </c>
      <c r="W68" s="36">
        <f>IFERROR(INDEX(Katalog!$F$3:$F$12,MATCH(Data[[#This Row],[ItemID C]],Katalog!$C$3:$C$12,0))*Data[[#This Row],[Qty C]],"0")</f>
        <v>200000</v>
      </c>
      <c r="X68" s="21">
        <f>Data[[#This Row],[Qty A]]+Data[[#This Row],[Qty B]]+Data[[#This Row],[Qty C]]</f>
        <v>6</v>
      </c>
      <c r="Y68" s="22">
        <f>Data[[#This Row],[Harga Barang A]]+Data[[#This Row],[Harga Barang B]]+Data[[#This Row],[Harga Barang C]]</f>
        <v>2180000</v>
      </c>
      <c r="Z68" s="35">
        <f>IFERROR(Data[[#This Row],[Total Harga]]-(Data[[#This Row],[Total Harga]]*Data[[#This Row],[Diskon]]),Data[[#This Row],[Total Harga]])</f>
        <v>1744000</v>
      </c>
      <c r="AA68" s="35">
        <f>(Data[[#This Row],[Profit A]]+Data[[#This Row],[Profit B]]+Data[[#This Row],[Profit C]])</f>
        <v>870000</v>
      </c>
      <c r="AB68" s="35">
        <f>IFERROR((Data[[#This Row],[Profit non Diskon]]-(Data[[#This Row],[Profit non Diskon]]*Data[[#This Row],[Diskon]])),Data[[#This Row],[Profit non Diskon]])</f>
        <v>696000</v>
      </c>
      <c r="AC68" s="23" t="s">
        <v>8</v>
      </c>
      <c r="AD68" s="37">
        <f>IFERROR(INDEX('Kode Diskon'!$D$3:$D$9,MATCH(Data[[#This Row],[Kode diskon]],'Kode Diskon'!$C$3:$C$9,0)),"-")</f>
        <v>0.2</v>
      </c>
      <c r="AE68" s="23" t="s">
        <v>9</v>
      </c>
      <c r="AF68" s="23" t="s">
        <v>7</v>
      </c>
      <c r="AG68" s="23" t="s">
        <v>80</v>
      </c>
      <c r="AH68" s="24">
        <v>45035</v>
      </c>
      <c r="AI68" s="23" t="str">
        <f>TEXT(Data[[#This Row],[Tanggal terjual]],"dddd")</f>
        <v>Wednesday</v>
      </c>
      <c r="AJ68" s="21" t="str">
        <f>TEXT(Data[[#This Row],[Tanggal terjual]],"wwww")</f>
        <v>wwww</v>
      </c>
    </row>
    <row r="69" spans="1:36" x14ac:dyDescent="0.2">
      <c r="A69" s="20">
        <v>68</v>
      </c>
      <c r="B69" s="21" t="str">
        <f>_xlfn.CONCAT("ORD-",INDEX(Helper!$B$2:$B$5,MATCH(Data[[#This Row],[Marketplace]],Helper!$A$2:$A$5,0)),TEXT(Data[[#This Row],[No]],"0000"),"-",TEXT(Data[[#This Row],[Tanggal terjual]],"dd/mm/yy"))</f>
        <v>ORD-SP0068-05/04/23</v>
      </c>
      <c r="C69" t="s">
        <v>59</v>
      </c>
      <c r="D69" t="str">
        <f>IFERROR(INDEX(Katalog!$A$3:$A$12,MATCH(Data[[#This Row],[ItemID A]],Katalog!$C$3:$C$12,0)),"-")</f>
        <v>Pakaian Wanita</v>
      </c>
      <c r="E69" t="str">
        <f>IFERROR(INDEX(Katalog!$B$3:$B$12,MATCH(Data[[#This Row],[ItemID A]],Katalog!$C$3:$C$12,0)),"-")</f>
        <v>Blouse</v>
      </c>
      <c r="F69">
        <v>2</v>
      </c>
      <c r="G69">
        <v>3</v>
      </c>
      <c r="H69" s="36">
        <f>IFERROR(INDEX(Katalog!$D$3:$D$12,MATCH(Data[[#This Row],[ItemID A]],Katalog!$C$3:$C$12,0))*Data[[#This Row],[Qty A]],"0")</f>
        <v>300000</v>
      </c>
      <c r="I69" s="36">
        <f>IFERROR(INDEX(Katalog!$F$3:$F$12,MATCH(Data[[#This Row],[ItemID A]],Katalog!$C$3:$C$12,0))*Data[[#This Row],[Qty A]],0)</f>
        <v>100000</v>
      </c>
      <c r="K69" t="str">
        <f>IFERROR(INDEX(Katalog!$A$3:$A$12,MATCH(Data[[#This Row],[ItemID B]],Katalog!$C$3:$C$12,0)),"-")</f>
        <v>-</v>
      </c>
      <c r="L69" t="str">
        <f>IFERROR(INDEX(Katalog!$B$3:$B$12,MATCH(Data[[#This Row],[ItemID B]],Katalog!$C$3:$C$12,0)),"-")</f>
        <v>-</v>
      </c>
      <c r="O69" s="36" t="str">
        <f>IFERROR(INDEX(Katalog!$D$3:$D$12,MATCH(Data[[#This Row],[ItemID B]],Katalog!$C$3:$C$12,0))*Data[[#This Row],[Qty B]],"0")</f>
        <v>0</v>
      </c>
      <c r="P69" s="36" t="str">
        <f>IFERROR(INDEX(Katalog!$F$3:$F$12,MATCH(Data[[#This Row],[ItemID B]],Katalog!$C$3:$C$12,0))*Data[[#This Row],[Qty B]],"0")</f>
        <v>0</v>
      </c>
      <c r="R69" t="str">
        <f>IFERROR(INDEX(Katalog!$A$3:$A$12,MATCH(Data[[#This Row],[ItemID C]],Katalog!$C$3:$C$12,0)),"-")</f>
        <v>-</v>
      </c>
      <c r="S69" t="str">
        <f>IFERROR(INDEX(Katalog!$B$3:$B$12,MATCH(Data[[#This Row],[ItemID C]],Katalog!$C$3:$C$12,0)),"-")</f>
        <v>-</v>
      </c>
      <c r="V69" s="36" t="str">
        <f>IFERROR(INDEX(Katalog!$D$3:$D$12,MATCH(Data[[#This Row],[ItemID C]],Katalog!$C$3:$C$12,0))*Data[[#This Row],[Qty C]],"0")</f>
        <v>0</v>
      </c>
      <c r="W69" s="36" t="str">
        <f>IFERROR(INDEX(Katalog!$F$3:$F$12,MATCH(Data[[#This Row],[ItemID C]],Katalog!$C$3:$C$12,0))*Data[[#This Row],[Qty C]],"0")</f>
        <v>0</v>
      </c>
      <c r="X69" s="21">
        <f>Data[[#This Row],[Qty A]]+Data[[#This Row],[Qty B]]+Data[[#This Row],[Qty C]]</f>
        <v>2</v>
      </c>
      <c r="Y69" s="22">
        <f>Data[[#This Row],[Harga Barang A]]+Data[[#This Row],[Harga Barang B]]+Data[[#This Row],[Harga Barang C]]</f>
        <v>300000</v>
      </c>
      <c r="Z69" s="35">
        <f>IFERROR(Data[[#This Row],[Total Harga]]-(Data[[#This Row],[Total Harga]]*Data[[#This Row],[Diskon]]),Data[[#This Row],[Total Harga]])</f>
        <v>255000</v>
      </c>
      <c r="AA69" s="35">
        <f>(Data[[#This Row],[Profit A]]+Data[[#This Row],[Profit B]]+Data[[#This Row],[Profit C]])</f>
        <v>100000</v>
      </c>
      <c r="AB69" s="35">
        <f>IFERROR((Data[[#This Row],[Profit non Diskon]]-(Data[[#This Row],[Profit non Diskon]]*Data[[#This Row],[Diskon]])),Data[[#This Row],[Profit non Diskon]])</f>
        <v>85000</v>
      </c>
      <c r="AC69" s="23" t="s">
        <v>13</v>
      </c>
      <c r="AD69" s="37">
        <f>IFERROR(INDEX('Kode Diskon'!$D$3:$D$9,MATCH(Data[[#This Row],[Kode diskon]],'Kode Diskon'!$C$3:$C$9,0)),"-")</f>
        <v>0.15</v>
      </c>
      <c r="AE69" s="23" t="s">
        <v>29</v>
      </c>
      <c r="AF69" s="23" t="s">
        <v>7</v>
      </c>
      <c r="AG69" s="23" t="s">
        <v>79</v>
      </c>
      <c r="AH69" s="24">
        <v>45021</v>
      </c>
      <c r="AI69" s="23" t="str">
        <f>TEXT(Data[[#This Row],[Tanggal terjual]],"dddd")</f>
        <v>Wednesday</v>
      </c>
      <c r="AJ69" s="21" t="str">
        <f>TEXT(Data[[#This Row],[Tanggal terjual]],"wwww")</f>
        <v>wwww</v>
      </c>
    </row>
    <row r="70" spans="1:36" x14ac:dyDescent="0.2">
      <c r="A70" s="20">
        <v>69</v>
      </c>
      <c r="B70" s="21" t="str">
        <f>_xlfn.CONCAT("ORD-",INDEX(Helper!$B$2:$B$5,MATCH(Data[[#This Row],[Marketplace]],Helper!$A$2:$A$5,0)),TEXT(Data[[#This Row],[No]],"0000"),"-",TEXT(Data[[#This Row],[Tanggal terjual]],"dd/mm/yy"))</f>
        <v>ORD-TK0069-16/04/23</v>
      </c>
      <c r="C70" t="s">
        <v>59</v>
      </c>
      <c r="D70" t="str">
        <f>IFERROR(INDEX(Katalog!$A$3:$A$12,MATCH(Data[[#This Row],[ItemID A]],Katalog!$C$3:$C$12,0)),"-")</f>
        <v>Pakaian Wanita</v>
      </c>
      <c r="E70" t="str">
        <f>IFERROR(INDEX(Katalog!$B$3:$B$12,MATCH(Data[[#This Row],[ItemID A]],Katalog!$C$3:$C$12,0)),"-")</f>
        <v>Blouse</v>
      </c>
      <c r="F70">
        <v>4</v>
      </c>
      <c r="G70">
        <v>5</v>
      </c>
      <c r="H70" s="36">
        <f>IFERROR(INDEX(Katalog!$D$3:$D$12,MATCH(Data[[#This Row],[ItemID A]],Katalog!$C$3:$C$12,0))*Data[[#This Row],[Qty A]],"0")</f>
        <v>600000</v>
      </c>
      <c r="I70" s="36">
        <f>IFERROR(INDEX(Katalog!$F$3:$F$12,MATCH(Data[[#This Row],[ItemID A]],Katalog!$C$3:$C$12,0))*Data[[#This Row],[Qty A]],0)</f>
        <v>200000</v>
      </c>
      <c r="J70" t="s">
        <v>63</v>
      </c>
      <c r="K70" t="str">
        <f>IFERROR(INDEX(Katalog!$A$3:$A$12,MATCH(Data[[#This Row],[ItemID B]],Katalog!$C$3:$C$12,0)),"-")</f>
        <v>Pakaian Pria</v>
      </c>
      <c r="L70" t="str">
        <f>IFERROR(INDEX(Katalog!$B$3:$B$12,MATCH(Data[[#This Row],[ItemID B]],Katalog!$C$3:$C$12,0)),"-")</f>
        <v>Jaket Jeans</v>
      </c>
      <c r="M70">
        <v>3</v>
      </c>
      <c r="N70">
        <v>1</v>
      </c>
      <c r="O70" s="36">
        <f>IFERROR(INDEX(Katalog!$D$3:$D$12,MATCH(Data[[#This Row],[ItemID B]],Katalog!$C$3:$C$12,0))*Data[[#This Row],[Qty B]],"0")</f>
        <v>1200000</v>
      </c>
      <c r="P70" s="36">
        <f>IFERROR(INDEX(Katalog!$F$3:$F$12,MATCH(Data[[#This Row],[ItemID B]],Katalog!$C$3:$C$12,0))*Data[[#This Row],[Qty B]],"0")</f>
        <v>450000</v>
      </c>
      <c r="R70" t="str">
        <f>IFERROR(INDEX(Katalog!$A$3:$A$12,MATCH(Data[[#This Row],[ItemID C]],Katalog!$C$3:$C$12,0)),"-")</f>
        <v>-</v>
      </c>
      <c r="S70" t="str">
        <f>IFERROR(INDEX(Katalog!$B$3:$B$12,MATCH(Data[[#This Row],[ItemID C]],Katalog!$C$3:$C$12,0)),"-")</f>
        <v>-</v>
      </c>
      <c r="V70" s="36" t="str">
        <f>IFERROR(INDEX(Katalog!$D$3:$D$12,MATCH(Data[[#This Row],[ItemID C]],Katalog!$C$3:$C$12,0))*Data[[#This Row],[Qty C]],"0")</f>
        <v>0</v>
      </c>
      <c r="W70" s="36" t="str">
        <f>IFERROR(INDEX(Katalog!$F$3:$F$12,MATCH(Data[[#This Row],[ItemID C]],Katalog!$C$3:$C$12,0))*Data[[#This Row],[Qty C]],"0")</f>
        <v>0</v>
      </c>
      <c r="X70" s="21">
        <f>Data[[#This Row],[Qty A]]+Data[[#This Row],[Qty B]]+Data[[#This Row],[Qty C]]</f>
        <v>7</v>
      </c>
      <c r="Y70" s="22">
        <f>Data[[#This Row],[Harga Barang A]]+Data[[#This Row],[Harga Barang B]]+Data[[#This Row],[Harga Barang C]]</f>
        <v>1800000</v>
      </c>
      <c r="Z70" s="35">
        <f>IFERROR(Data[[#This Row],[Total Harga]]-(Data[[#This Row],[Total Harga]]*Data[[#This Row],[Diskon]]),Data[[#This Row],[Total Harga]])</f>
        <v>1620000</v>
      </c>
      <c r="AA70" s="35">
        <f>(Data[[#This Row],[Profit A]]+Data[[#This Row],[Profit B]]+Data[[#This Row],[Profit C]])</f>
        <v>650000</v>
      </c>
      <c r="AB70" s="35">
        <f>IFERROR((Data[[#This Row],[Profit non Diskon]]-(Data[[#This Row],[Profit non Diskon]]*Data[[#This Row],[Diskon]])),Data[[#This Row],[Profit non Diskon]])</f>
        <v>585000</v>
      </c>
      <c r="AC70" s="23" t="s">
        <v>31</v>
      </c>
      <c r="AD70" s="37">
        <f>IFERROR(INDEX('Kode Diskon'!$D$3:$D$9,MATCH(Data[[#This Row],[Kode diskon]],'Kode Diskon'!$C$3:$C$9,0)),"-")</f>
        <v>0.1</v>
      </c>
      <c r="AE70" s="23" t="s">
        <v>9</v>
      </c>
      <c r="AF70" s="23" t="s">
        <v>10</v>
      </c>
      <c r="AG70" s="23" t="s">
        <v>76</v>
      </c>
      <c r="AH70" s="24">
        <v>45032</v>
      </c>
      <c r="AI70" s="23" t="str">
        <f>TEXT(Data[[#This Row],[Tanggal terjual]],"dddd")</f>
        <v>Sunday</v>
      </c>
      <c r="AJ70" s="21" t="str">
        <f>TEXT(Data[[#This Row],[Tanggal terjual]],"wwww")</f>
        <v>wwww</v>
      </c>
    </row>
    <row r="71" spans="1:36" x14ac:dyDescent="0.2">
      <c r="A71" s="20">
        <v>70</v>
      </c>
      <c r="B71" s="21" t="str">
        <f>_xlfn.CONCAT("ORD-",INDEX(Helper!$B$2:$B$5,MATCH(Data[[#This Row],[Marketplace]],Helper!$A$2:$A$5,0)),TEXT(Data[[#This Row],[No]],"0000"),"-",TEXT(Data[[#This Row],[Tanggal terjual]],"dd/mm/yy"))</f>
        <v>ORD-SP0070-01/04/23</v>
      </c>
      <c r="C71" t="s">
        <v>62</v>
      </c>
      <c r="D71" t="str">
        <f>IFERROR(INDEX(Katalog!$A$3:$A$12,MATCH(Data[[#This Row],[ItemID A]],Katalog!$C$3:$C$12,0)),"-")</f>
        <v>Pakaian Pria</v>
      </c>
      <c r="E71" t="str">
        <f>IFERROR(INDEX(Katalog!$B$3:$B$12,MATCH(Data[[#This Row],[ItemID A]],Katalog!$C$3:$C$12,0)),"-")</f>
        <v>Celana Pendek</v>
      </c>
      <c r="F71">
        <v>3</v>
      </c>
      <c r="G71">
        <v>3</v>
      </c>
      <c r="H71" s="36">
        <f>IFERROR(INDEX(Katalog!$D$3:$D$12,MATCH(Data[[#This Row],[ItemID A]],Katalog!$C$3:$C$12,0))*Data[[#This Row],[Qty A]],"0")</f>
        <v>540000</v>
      </c>
      <c r="I71" s="36">
        <f>IFERROR(INDEX(Katalog!$F$3:$F$12,MATCH(Data[[#This Row],[ItemID A]],Katalog!$C$3:$C$12,0))*Data[[#This Row],[Qty A]],0)</f>
        <v>210000</v>
      </c>
      <c r="J71" t="s">
        <v>66</v>
      </c>
      <c r="K71" t="str">
        <f>IFERROR(INDEX(Katalog!$A$3:$A$12,MATCH(Data[[#This Row],[ItemID B]],Katalog!$C$3:$C$12,0)),"-")</f>
        <v>Sepatu Pria</v>
      </c>
      <c r="L71" t="str">
        <f>IFERROR(INDEX(Katalog!$B$3:$B$12,MATCH(Data[[#This Row],[ItemID B]],Katalog!$C$3:$C$12,0)),"-")</f>
        <v>Sandal Slip On</v>
      </c>
      <c r="M71">
        <v>1</v>
      </c>
      <c r="N71">
        <v>4</v>
      </c>
      <c r="O71" s="36">
        <f>IFERROR(INDEX(Katalog!$D$3:$D$12,MATCH(Data[[#This Row],[ItemID B]],Katalog!$C$3:$C$12,0))*Data[[#This Row],[Qty B]],"0")</f>
        <v>150000</v>
      </c>
      <c r="P71" s="36">
        <f>IFERROR(INDEX(Katalog!$F$3:$F$12,MATCH(Data[[#This Row],[ItemID B]],Katalog!$C$3:$C$12,0))*Data[[#This Row],[Qty B]],"0")</f>
        <v>60000</v>
      </c>
      <c r="Q71" t="s">
        <v>62</v>
      </c>
      <c r="R71" t="str">
        <f>IFERROR(INDEX(Katalog!$A$3:$A$12,MATCH(Data[[#This Row],[ItemID C]],Katalog!$C$3:$C$12,0)),"-")</f>
        <v>Pakaian Pria</v>
      </c>
      <c r="S71" t="str">
        <f>IFERROR(INDEX(Katalog!$B$3:$B$12,MATCH(Data[[#This Row],[ItemID C]],Katalog!$C$3:$C$12,0)),"-")</f>
        <v>Celana Pendek</v>
      </c>
      <c r="T71">
        <v>1</v>
      </c>
      <c r="U71">
        <v>5</v>
      </c>
      <c r="V71" s="36">
        <f>IFERROR(INDEX(Katalog!$D$3:$D$12,MATCH(Data[[#This Row],[ItemID C]],Katalog!$C$3:$C$12,0))*Data[[#This Row],[Qty C]],"0")</f>
        <v>180000</v>
      </c>
      <c r="W71" s="36">
        <f>IFERROR(INDEX(Katalog!$F$3:$F$12,MATCH(Data[[#This Row],[ItemID C]],Katalog!$C$3:$C$12,0))*Data[[#This Row],[Qty C]],"0")</f>
        <v>70000</v>
      </c>
      <c r="X71" s="21">
        <f>Data[[#This Row],[Qty A]]+Data[[#This Row],[Qty B]]+Data[[#This Row],[Qty C]]</f>
        <v>5</v>
      </c>
      <c r="Y71" s="22">
        <f>Data[[#This Row],[Harga Barang A]]+Data[[#This Row],[Harga Barang B]]+Data[[#This Row],[Harga Barang C]]</f>
        <v>870000</v>
      </c>
      <c r="Z71" s="35">
        <f>IFERROR(Data[[#This Row],[Total Harga]]-(Data[[#This Row],[Total Harga]]*Data[[#This Row],[Diskon]]),Data[[#This Row],[Total Harga]])</f>
        <v>783000</v>
      </c>
      <c r="AA71" s="35">
        <f>(Data[[#This Row],[Profit A]]+Data[[#This Row],[Profit B]]+Data[[#This Row],[Profit C]])</f>
        <v>340000</v>
      </c>
      <c r="AB71" s="35">
        <f>IFERROR((Data[[#This Row],[Profit non Diskon]]-(Data[[#This Row],[Profit non Diskon]]*Data[[#This Row],[Diskon]])),Data[[#This Row],[Profit non Diskon]])</f>
        <v>306000</v>
      </c>
      <c r="AC71" s="23" t="s">
        <v>6</v>
      </c>
      <c r="AD71" s="37">
        <f>IFERROR(INDEX('Kode Diskon'!$D$3:$D$9,MATCH(Data[[#This Row],[Kode diskon]],'Kode Diskon'!$C$3:$C$9,0)),"-")</f>
        <v>0.1</v>
      </c>
      <c r="AE71" s="23" t="s">
        <v>29</v>
      </c>
      <c r="AF71" s="23" t="s">
        <v>7</v>
      </c>
      <c r="AG71" s="23" t="s">
        <v>75</v>
      </c>
      <c r="AH71" s="24">
        <v>45017</v>
      </c>
      <c r="AI71" s="23" t="str">
        <f>TEXT(Data[[#This Row],[Tanggal terjual]],"dddd")</f>
        <v>Saturday</v>
      </c>
      <c r="AJ71" s="21" t="str">
        <f>TEXT(Data[[#This Row],[Tanggal terjual]],"wwww")</f>
        <v>wwww</v>
      </c>
    </row>
    <row r="72" spans="1:36" x14ac:dyDescent="0.2">
      <c r="A72" s="20">
        <v>71</v>
      </c>
      <c r="B72" s="21" t="str">
        <f>_xlfn.CONCAT("ORD-",INDEX(Helper!$B$2:$B$5,MATCH(Data[[#This Row],[Marketplace]],Helper!$A$2:$A$5,0)),TEXT(Data[[#This Row],[No]],"0000"),"-",TEXT(Data[[#This Row],[Tanggal terjual]],"dd/mm/yy"))</f>
        <v>ORD-SP0071-06/04/23</v>
      </c>
      <c r="C72" t="s">
        <v>58</v>
      </c>
      <c r="D72" t="str">
        <f>IFERROR(INDEX(Katalog!$A$3:$A$12,MATCH(Data[[#This Row],[ItemID A]],Katalog!$C$3:$C$12,0)),"-")</f>
        <v>Pakaian Wanita</v>
      </c>
      <c r="E72" t="str">
        <f>IFERROR(INDEX(Katalog!$B$3:$B$12,MATCH(Data[[#This Row],[ItemID A]],Katalog!$C$3:$C$12,0)),"-")</f>
        <v>Dress</v>
      </c>
      <c r="F72">
        <v>4</v>
      </c>
      <c r="G72">
        <v>2</v>
      </c>
      <c r="H72" s="36">
        <f>IFERROR(INDEX(Katalog!$D$3:$D$12,MATCH(Data[[#This Row],[ItemID A]],Katalog!$C$3:$C$12,0))*Data[[#This Row],[Qty A]],"0")</f>
        <v>1200000</v>
      </c>
      <c r="I72" s="36">
        <f>IFERROR(INDEX(Katalog!$F$3:$F$12,MATCH(Data[[#This Row],[ItemID A]],Katalog!$C$3:$C$12,0))*Data[[#This Row],[Qty A]],0)</f>
        <v>400000</v>
      </c>
      <c r="J72" t="s">
        <v>63</v>
      </c>
      <c r="K72" t="str">
        <f>IFERROR(INDEX(Katalog!$A$3:$A$12,MATCH(Data[[#This Row],[ItemID B]],Katalog!$C$3:$C$12,0)),"-")</f>
        <v>Pakaian Pria</v>
      </c>
      <c r="L72" t="str">
        <f>IFERROR(INDEX(Katalog!$B$3:$B$12,MATCH(Data[[#This Row],[ItemID B]],Katalog!$C$3:$C$12,0)),"-")</f>
        <v>Jaket Jeans</v>
      </c>
      <c r="M72">
        <v>1</v>
      </c>
      <c r="N72">
        <v>3</v>
      </c>
      <c r="O72" s="36">
        <f>IFERROR(INDEX(Katalog!$D$3:$D$12,MATCH(Data[[#This Row],[ItemID B]],Katalog!$C$3:$C$12,0))*Data[[#This Row],[Qty B]],"0")</f>
        <v>400000</v>
      </c>
      <c r="P72" s="36">
        <f>IFERROR(INDEX(Katalog!$F$3:$F$12,MATCH(Data[[#This Row],[ItemID B]],Katalog!$C$3:$C$12,0))*Data[[#This Row],[Qty B]],"0")</f>
        <v>150000</v>
      </c>
      <c r="R72" t="str">
        <f>IFERROR(INDEX(Katalog!$A$3:$A$12,MATCH(Data[[#This Row],[ItemID C]],Katalog!$C$3:$C$12,0)),"-")</f>
        <v>-</v>
      </c>
      <c r="S72" t="str">
        <f>IFERROR(INDEX(Katalog!$B$3:$B$12,MATCH(Data[[#This Row],[ItemID C]],Katalog!$C$3:$C$12,0)),"-")</f>
        <v>-</v>
      </c>
      <c r="V72" s="36" t="str">
        <f>IFERROR(INDEX(Katalog!$D$3:$D$12,MATCH(Data[[#This Row],[ItemID C]],Katalog!$C$3:$C$12,0))*Data[[#This Row],[Qty C]],"0")</f>
        <v>0</v>
      </c>
      <c r="W72" s="36" t="str">
        <f>IFERROR(INDEX(Katalog!$F$3:$F$12,MATCH(Data[[#This Row],[ItemID C]],Katalog!$C$3:$C$12,0))*Data[[#This Row],[Qty C]],"0")</f>
        <v>0</v>
      </c>
      <c r="X72" s="21">
        <f>Data[[#This Row],[Qty A]]+Data[[#This Row],[Qty B]]+Data[[#This Row],[Qty C]]</f>
        <v>5</v>
      </c>
      <c r="Y72" s="22">
        <f>Data[[#This Row],[Harga Barang A]]+Data[[#This Row],[Harga Barang B]]+Data[[#This Row],[Harga Barang C]]</f>
        <v>1600000</v>
      </c>
      <c r="Z72" s="35">
        <f>IFERROR(Data[[#This Row],[Total Harga]]-(Data[[#This Row],[Total Harga]]*Data[[#This Row],[Diskon]]),Data[[#This Row],[Total Harga]])</f>
        <v>1440000</v>
      </c>
      <c r="AA72" s="35">
        <f>(Data[[#This Row],[Profit A]]+Data[[#This Row],[Profit B]]+Data[[#This Row],[Profit C]])</f>
        <v>550000</v>
      </c>
      <c r="AB72" s="35">
        <f>IFERROR((Data[[#This Row],[Profit non Diskon]]-(Data[[#This Row],[Profit non Diskon]]*Data[[#This Row],[Diskon]])),Data[[#This Row],[Profit non Diskon]])</f>
        <v>495000</v>
      </c>
      <c r="AC72" s="23" t="s">
        <v>6</v>
      </c>
      <c r="AD72" s="37">
        <f>IFERROR(INDEX('Kode Diskon'!$D$3:$D$9,MATCH(Data[[#This Row],[Kode diskon]],'Kode Diskon'!$C$3:$C$9,0)),"-")</f>
        <v>0.1</v>
      </c>
      <c r="AE72" s="23" t="s">
        <v>29</v>
      </c>
      <c r="AF72" s="23" t="s">
        <v>7</v>
      </c>
      <c r="AG72" s="23" t="s">
        <v>76</v>
      </c>
      <c r="AH72" s="24">
        <v>45022</v>
      </c>
      <c r="AI72" s="23" t="str">
        <f>TEXT(Data[[#This Row],[Tanggal terjual]],"dddd")</f>
        <v>Thursday</v>
      </c>
      <c r="AJ72" s="21" t="str">
        <f>TEXT(Data[[#This Row],[Tanggal terjual]],"wwww")</f>
        <v>wwww</v>
      </c>
    </row>
    <row r="73" spans="1:36" x14ac:dyDescent="0.2">
      <c r="A73" s="20">
        <v>72</v>
      </c>
      <c r="B73" s="21" t="str">
        <f>_xlfn.CONCAT("ORD-",INDEX(Helper!$B$2:$B$5,MATCH(Data[[#This Row],[Marketplace]],Helper!$A$2:$A$5,0)),TEXT(Data[[#This Row],[No]],"0000"),"-",TEXT(Data[[#This Row],[Tanggal terjual]],"dd/mm/yy"))</f>
        <v>ORD-SP0072-02/04/23</v>
      </c>
      <c r="C73" t="s">
        <v>67</v>
      </c>
      <c r="D73" t="str">
        <f>IFERROR(INDEX(Katalog!$A$3:$A$12,MATCH(Data[[#This Row],[ItemID A]],Katalog!$C$3:$C$12,0)),"-")</f>
        <v>Sepatu Wanita</v>
      </c>
      <c r="E73" t="str">
        <f>IFERROR(INDEX(Katalog!$B$3:$B$12,MATCH(Data[[#This Row],[ItemID A]],Katalog!$C$3:$C$12,0)),"-")</f>
        <v>Flat Shoes</v>
      </c>
      <c r="F73">
        <v>3</v>
      </c>
      <c r="G73">
        <v>4</v>
      </c>
      <c r="H73" s="36">
        <f>IFERROR(INDEX(Katalog!$D$3:$D$12,MATCH(Data[[#This Row],[ItemID A]],Katalog!$C$3:$C$12,0))*Data[[#This Row],[Qty A]],"0")</f>
        <v>750000</v>
      </c>
      <c r="I73" s="36">
        <f>IFERROR(INDEX(Katalog!$F$3:$F$12,MATCH(Data[[#This Row],[ItemID A]],Katalog!$C$3:$C$12,0))*Data[[#This Row],[Qty A]],0)</f>
        <v>300000</v>
      </c>
      <c r="J73" t="s">
        <v>61</v>
      </c>
      <c r="K73" t="str">
        <f>IFERROR(INDEX(Katalog!$A$3:$A$12,MATCH(Data[[#This Row],[ItemID B]],Katalog!$C$3:$C$12,0)),"-")</f>
        <v>Pakaian Pria</v>
      </c>
      <c r="L73" t="str">
        <f>IFERROR(INDEX(Katalog!$B$3:$B$12,MATCH(Data[[#This Row],[ItemID B]],Katalog!$C$3:$C$12,0)),"-")</f>
        <v>Kaos Polo</v>
      </c>
      <c r="M73">
        <v>2</v>
      </c>
      <c r="N73">
        <v>3</v>
      </c>
      <c r="O73" s="36">
        <f>IFERROR(INDEX(Katalog!$D$3:$D$12,MATCH(Data[[#This Row],[ItemID B]],Katalog!$C$3:$C$12,0))*Data[[#This Row],[Qty B]],"0")</f>
        <v>400000</v>
      </c>
      <c r="P73" s="36">
        <f>IFERROR(INDEX(Katalog!$F$3:$F$12,MATCH(Data[[#This Row],[ItemID B]],Katalog!$C$3:$C$12,0))*Data[[#This Row],[Qty B]],"0")</f>
        <v>160000</v>
      </c>
      <c r="Q73" t="s">
        <v>59</v>
      </c>
      <c r="R73" t="str">
        <f>IFERROR(INDEX(Katalog!$A$3:$A$12,MATCH(Data[[#This Row],[ItemID C]],Katalog!$C$3:$C$12,0)),"-")</f>
        <v>Pakaian Wanita</v>
      </c>
      <c r="S73" t="str">
        <f>IFERROR(INDEX(Katalog!$B$3:$B$12,MATCH(Data[[#This Row],[ItemID C]],Katalog!$C$3:$C$12,0)),"-")</f>
        <v>Blouse</v>
      </c>
      <c r="T73">
        <v>1</v>
      </c>
      <c r="U73">
        <v>1</v>
      </c>
      <c r="V73" s="36">
        <f>IFERROR(INDEX(Katalog!$D$3:$D$12,MATCH(Data[[#This Row],[ItemID C]],Katalog!$C$3:$C$12,0))*Data[[#This Row],[Qty C]],"0")</f>
        <v>150000</v>
      </c>
      <c r="W73" s="36">
        <f>IFERROR(INDEX(Katalog!$F$3:$F$12,MATCH(Data[[#This Row],[ItemID C]],Katalog!$C$3:$C$12,0))*Data[[#This Row],[Qty C]],"0")</f>
        <v>50000</v>
      </c>
      <c r="X73" s="21">
        <f>Data[[#This Row],[Qty A]]+Data[[#This Row],[Qty B]]+Data[[#This Row],[Qty C]]</f>
        <v>6</v>
      </c>
      <c r="Y73" s="22">
        <f>Data[[#This Row],[Harga Barang A]]+Data[[#This Row],[Harga Barang B]]+Data[[#This Row],[Harga Barang C]]</f>
        <v>1300000</v>
      </c>
      <c r="Z73" s="35">
        <f>IFERROR(Data[[#This Row],[Total Harga]]-(Data[[#This Row],[Total Harga]]*Data[[#This Row],[Diskon]]),Data[[#This Row],[Total Harga]])</f>
        <v>1170000</v>
      </c>
      <c r="AA73" s="35">
        <f>(Data[[#This Row],[Profit A]]+Data[[#This Row],[Profit B]]+Data[[#This Row],[Profit C]])</f>
        <v>510000</v>
      </c>
      <c r="AB73" s="35">
        <f>IFERROR((Data[[#This Row],[Profit non Diskon]]-(Data[[#This Row],[Profit non Diskon]]*Data[[#This Row],[Diskon]])),Data[[#This Row],[Profit non Diskon]])</f>
        <v>459000</v>
      </c>
      <c r="AC73" s="23" t="s">
        <v>6</v>
      </c>
      <c r="AD73" s="37">
        <f>IFERROR(INDEX('Kode Diskon'!$D$3:$D$9,MATCH(Data[[#This Row],[Kode diskon]],'Kode Diskon'!$C$3:$C$9,0)),"-")</f>
        <v>0.1</v>
      </c>
      <c r="AE73" s="23" t="s">
        <v>29</v>
      </c>
      <c r="AF73" s="23" t="s">
        <v>7</v>
      </c>
      <c r="AG73" s="23" t="s">
        <v>80</v>
      </c>
      <c r="AH73" s="24">
        <v>45018</v>
      </c>
      <c r="AI73" s="23" t="str">
        <f>TEXT(Data[[#This Row],[Tanggal terjual]],"dddd")</f>
        <v>Sunday</v>
      </c>
      <c r="AJ73" s="21" t="str">
        <f>TEXT(Data[[#This Row],[Tanggal terjual]],"wwww")</f>
        <v>wwww</v>
      </c>
    </row>
    <row r="74" spans="1:36" x14ac:dyDescent="0.2">
      <c r="A74" s="20">
        <v>73</v>
      </c>
      <c r="B74" s="21" t="str">
        <f>_xlfn.CONCAT("ORD-",INDEX(Helper!$B$2:$B$5,MATCH(Data[[#This Row],[Marketplace]],Helper!$A$2:$A$5,0)),TEXT(Data[[#This Row],[No]],"0000"),"-",TEXT(Data[[#This Row],[Tanggal terjual]],"dd/mm/yy"))</f>
        <v>ORD-BL0073-28/04/23</v>
      </c>
      <c r="C74" t="s">
        <v>67</v>
      </c>
      <c r="D74" t="str">
        <f>IFERROR(INDEX(Katalog!$A$3:$A$12,MATCH(Data[[#This Row],[ItemID A]],Katalog!$C$3:$C$12,0)),"-")</f>
        <v>Sepatu Wanita</v>
      </c>
      <c r="E74" t="str">
        <f>IFERROR(INDEX(Katalog!$B$3:$B$12,MATCH(Data[[#This Row],[ItemID A]],Katalog!$C$3:$C$12,0)),"-")</f>
        <v>Flat Shoes</v>
      </c>
      <c r="F74">
        <v>1</v>
      </c>
      <c r="G74">
        <v>3</v>
      </c>
      <c r="H74" s="36">
        <f>IFERROR(INDEX(Katalog!$D$3:$D$12,MATCH(Data[[#This Row],[ItemID A]],Katalog!$C$3:$C$12,0))*Data[[#This Row],[Qty A]],"0")</f>
        <v>250000</v>
      </c>
      <c r="I74" s="36">
        <f>IFERROR(INDEX(Katalog!$F$3:$F$12,MATCH(Data[[#This Row],[ItemID A]],Katalog!$C$3:$C$12,0))*Data[[#This Row],[Qty A]],0)</f>
        <v>100000</v>
      </c>
      <c r="J74" t="s">
        <v>65</v>
      </c>
      <c r="K74" t="str">
        <f>IFERROR(INDEX(Katalog!$A$3:$A$12,MATCH(Data[[#This Row],[ItemID B]],Katalog!$C$3:$C$12,0)),"-")</f>
        <v>Sepatu Pria</v>
      </c>
      <c r="L74" t="str">
        <f>IFERROR(INDEX(Katalog!$B$3:$B$12,MATCH(Data[[#This Row],[ItemID B]],Katalog!$C$3:$C$12,0)),"-")</f>
        <v>Sneakers</v>
      </c>
      <c r="M74">
        <v>2</v>
      </c>
      <c r="N74">
        <v>2</v>
      </c>
      <c r="O74" s="36">
        <f>IFERROR(INDEX(Katalog!$D$3:$D$12,MATCH(Data[[#This Row],[ItemID B]],Katalog!$C$3:$C$12,0))*Data[[#This Row],[Qty B]],"0")</f>
        <v>1000000</v>
      </c>
      <c r="P74" s="36">
        <f>IFERROR(INDEX(Katalog!$F$3:$F$12,MATCH(Data[[#This Row],[ItemID B]],Katalog!$C$3:$C$12,0))*Data[[#This Row],[Qty B]],"0")</f>
        <v>400000</v>
      </c>
      <c r="Q74" t="s">
        <v>59</v>
      </c>
      <c r="R74" t="str">
        <f>IFERROR(INDEX(Katalog!$A$3:$A$12,MATCH(Data[[#This Row],[ItemID C]],Katalog!$C$3:$C$12,0)),"-")</f>
        <v>Pakaian Wanita</v>
      </c>
      <c r="S74" t="str">
        <f>IFERROR(INDEX(Katalog!$B$3:$B$12,MATCH(Data[[#This Row],[ItemID C]],Katalog!$C$3:$C$12,0)),"-")</f>
        <v>Blouse</v>
      </c>
      <c r="T74">
        <v>3</v>
      </c>
      <c r="U74">
        <v>4</v>
      </c>
      <c r="V74" s="36">
        <f>IFERROR(INDEX(Katalog!$D$3:$D$12,MATCH(Data[[#This Row],[ItemID C]],Katalog!$C$3:$C$12,0))*Data[[#This Row],[Qty C]],"0")</f>
        <v>450000</v>
      </c>
      <c r="W74" s="36">
        <f>IFERROR(INDEX(Katalog!$F$3:$F$12,MATCH(Data[[#This Row],[ItemID C]],Katalog!$C$3:$C$12,0))*Data[[#This Row],[Qty C]],"0")</f>
        <v>150000</v>
      </c>
      <c r="X74" s="21">
        <f>Data[[#This Row],[Qty A]]+Data[[#This Row],[Qty B]]+Data[[#This Row],[Qty C]]</f>
        <v>6</v>
      </c>
      <c r="Y74" s="22">
        <f>Data[[#This Row],[Harga Barang A]]+Data[[#This Row],[Harga Barang B]]+Data[[#This Row],[Harga Barang C]]</f>
        <v>1700000</v>
      </c>
      <c r="Z74" s="35">
        <f>IFERROR(Data[[#This Row],[Total Harga]]-(Data[[#This Row],[Total Harga]]*Data[[#This Row],[Diskon]]),Data[[#This Row],[Total Harga]])</f>
        <v>1445000</v>
      </c>
      <c r="AA74" s="35">
        <f>(Data[[#This Row],[Profit A]]+Data[[#This Row],[Profit B]]+Data[[#This Row],[Profit C]])</f>
        <v>650000</v>
      </c>
      <c r="AB74" s="35">
        <f>IFERROR((Data[[#This Row],[Profit non Diskon]]-(Data[[#This Row],[Profit non Diskon]]*Data[[#This Row],[Diskon]])),Data[[#This Row],[Profit non Diskon]])</f>
        <v>552500</v>
      </c>
      <c r="AC74" s="23" t="s">
        <v>32</v>
      </c>
      <c r="AD74" s="37">
        <f>IFERROR(INDEX('Kode Diskon'!$D$3:$D$9,MATCH(Data[[#This Row],[Kode diskon]],'Kode Diskon'!$C$3:$C$9,0)),"-")</f>
        <v>0.15</v>
      </c>
      <c r="AE74" s="23" t="s">
        <v>9</v>
      </c>
      <c r="AF74" s="23" t="s">
        <v>12</v>
      </c>
      <c r="AG74" s="23" t="s">
        <v>80</v>
      </c>
      <c r="AH74" s="24">
        <v>45044</v>
      </c>
      <c r="AI74" s="23" t="str">
        <f>TEXT(Data[[#This Row],[Tanggal terjual]],"dddd")</f>
        <v>Friday</v>
      </c>
      <c r="AJ74" s="21" t="str">
        <f>TEXT(Data[[#This Row],[Tanggal terjual]],"wwww")</f>
        <v>wwww</v>
      </c>
    </row>
    <row r="75" spans="1:36" x14ac:dyDescent="0.2">
      <c r="A75" s="20">
        <v>74</v>
      </c>
      <c r="B75" s="21" t="str">
        <f>_xlfn.CONCAT("ORD-",INDEX(Helper!$B$2:$B$5,MATCH(Data[[#This Row],[Marketplace]],Helper!$A$2:$A$5,0)),TEXT(Data[[#This Row],[No]],"0000"),"-",TEXT(Data[[#This Row],[Tanggal terjual]],"dd/mm/yy"))</f>
        <v>ORD-TK0074-05/04/23</v>
      </c>
      <c r="C75" t="s">
        <v>58</v>
      </c>
      <c r="D75" t="str">
        <f>IFERROR(INDEX(Katalog!$A$3:$A$12,MATCH(Data[[#This Row],[ItemID A]],Katalog!$C$3:$C$12,0)),"-")</f>
        <v>Pakaian Wanita</v>
      </c>
      <c r="E75" t="str">
        <f>IFERROR(INDEX(Katalog!$B$3:$B$12,MATCH(Data[[#This Row],[ItemID A]],Katalog!$C$3:$C$12,0)),"-")</f>
        <v>Dress</v>
      </c>
      <c r="F75">
        <v>3</v>
      </c>
      <c r="G75">
        <v>4</v>
      </c>
      <c r="H75" s="36">
        <f>IFERROR(INDEX(Katalog!$D$3:$D$12,MATCH(Data[[#This Row],[ItemID A]],Katalog!$C$3:$C$12,0))*Data[[#This Row],[Qty A]],"0")</f>
        <v>900000</v>
      </c>
      <c r="I75" s="36">
        <f>IFERROR(INDEX(Katalog!$F$3:$F$12,MATCH(Data[[#This Row],[ItemID A]],Katalog!$C$3:$C$12,0))*Data[[#This Row],[Qty A]],0)</f>
        <v>300000</v>
      </c>
      <c r="K75" t="str">
        <f>IFERROR(INDEX(Katalog!$A$3:$A$12,MATCH(Data[[#This Row],[ItemID B]],Katalog!$C$3:$C$12,0)),"-")</f>
        <v>-</v>
      </c>
      <c r="L75" t="str">
        <f>IFERROR(INDEX(Katalog!$B$3:$B$12,MATCH(Data[[#This Row],[ItemID B]],Katalog!$C$3:$C$12,0)),"-")</f>
        <v>-</v>
      </c>
      <c r="O75" s="36" t="str">
        <f>IFERROR(INDEX(Katalog!$D$3:$D$12,MATCH(Data[[#This Row],[ItemID B]],Katalog!$C$3:$C$12,0))*Data[[#This Row],[Qty B]],"0")</f>
        <v>0</v>
      </c>
      <c r="P75" s="36" t="str">
        <f>IFERROR(INDEX(Katalog!$F$3:$F$12,MATCH(Data[[#This Row],[ItemID B]],Katalog!$C$3:$C$12,0))*Data[[#This Row],[Qty B]],"0")</f>
        <v>0</v>
      </c>
      <c r="R75" t="str">
        <f>IFERROR(INDEX(Katalog!$A$3:$A$12,MATCH(Data[[#This Row],[ItemID C]],Katalog!$C$3:$C$12,0)),"-")</f>
        <v>-</v>
      </c>
      <c r="S75" t="str">
        <f>IFERROR(INDEX(Katalog!$B$3:$B$12,MATCH(Data[[#This Row],[ItemID C]],Katalog!$C$3:$C$12,0)),"-")</f>
        <v>-</v>
      </c>
      <c r="V75" s="36" t="str">
        <f>IFERROR(INDEX(Katalog!$D$3:$D$12,MATCH(Data[[#This Row],[ItemID C]],Katalog!$C$3:$C$12,0))*Data[[#This Row],[Qty C]],"0")</f>
        <v>0</v>
      </c>
      <c r="W75" s="36" t="str">
        <f>IFERROR(INDEX(Katalog!$F$3:$F$12,MATCH(Data[[#This Row],[ItemID C]],Katalog!$C$3:$C$12,0))*Data[[#This Row],[Qty C]],"0")</f>
        <v>0</v>
      </c>
      <c r="X75" s="21">
        <f>Data[[#This Row],[Qty A]]+Data[[#This Row],[Qty B]]+Data[[#This Row],[Qty C]]</f>
        <v>3</v>
      </c>
      <c r="Y75" s="22">
        <f>Data[[#This Row],[Harga Barang A]]+Data[[#This Row],[Harga Barang B]]+Data[[#This Row],[Harga Barang C]]</f>
        <v>900000</v>
      </c>
      <c r="Z75" s="35">
        <f>IFERROR(Data[[#This Row],[Total Harga]]-(Data[[#This Row],[Total Harga]]*Data[[#This Row],[Diskon]]),Data[[#This Row],[Total Harga]])</f>
        <v>810000</v>
      </c>
      <c r="AA75" s="35">
        <f>(Data[[#This Row],[Profit A]]+Data[[#This Row],[Profit B]]+Data[[#This Row],[Profit C]])</f>
        <v>300000</v>
      </c>
      <c r="AB75" s="35">
        <f>IFERROR((Data[[#This Row],[Profit non Diskon]]-(Data[[#This Row],[Profit non Diskon]]*Data[[#This Row],[Diskon]])),Data[[#This Row],[Profit non Diskon]])</f>
        <v>270000</v>
      </c>
      <c r="AC75" s="23" t="s">
        <v>30</v>
      </c>
      <c r="AD75" s="37">
        <f>IFERROR(INDEX('Kode Diskon'!$D$3:$D$9,MATCH(Data[[#This Row],[Kode diskon]],'Kode Diskon'!$C$3:$C$9,0)),"-")</f>
        <v>0.1</v>
      </c>
      <c r="AE75" s="23" t="s">
        <v>29</v>
      </c>
      <c r="AF75" s="23" t="s">
        <v>10</v>
      </c>
      <c r="AG75" s="23" t="s">
        <v>79</v>
      </c>
      <c r="AH75" s="24">
        <v>45021</v>
      </c>
      <c r="AI75" s="23" t="str">
        <f>TEXT(Data[[#This Row],[Tanggal terjual]],"dddd")</f>
        <v>Wednesday</v>
      </c>
      <c r="AJ75" s="21" t="str">
        <f>TEXT(Data[[#This Row],[Tanggal terjual]],"wwww")</f>
        <v>wwww</v>
      </c>
    </row>
    <row r="76" spans="1:36" x14ac:dyDescent="0.2">
      <c r="A76" s="20">
        <v>75</v>
      </c>
      <c r="B76" s="21" t="str">
        <f>_xlfn.CONCAT("ORD-",INDEX(Helper!$B$2:$B$5,MATCH(Data[[#This Row],[Marketplace]],Helper!$A$2:$A$5,0)),TEXT(Data[[#This Row],[No]],"0000"),"-",TEXT(Data[[#This Row],[Tanggal terjual]],"dd/mm/yy"))</f>
        <v>ORD-TK0075-03/04/23</v>
      </c>
      <c r="C76" t="s">
        <v>63</v>
      </c>
      <c r="D76" t="str">
        <f>IFERROR(INDEX(Katalog!$A$3:$A$12,MATCH(Data[[#This Row],[ItemID A]],Katalog!$C$3:$C$12,0)),"-")</f>
        <v>Pakaian Pria</v>
      </c>
      <c r="E76" t="str">
        <f>IFERROR(INDEX(Katalog!$B$3:$B$12,MATCH(Data[[#This Row],[ItemID A]],Katalog!$C$3:$C$12,0)),"-")</f>
        <v>Jaket Jeans</v>
      </c>
      <c r="F76">
        <v>6</v>
      </c>
      <c r="G76">
        <v>4</v>
      </c>
      <c r="H76" s="36">
        <f>IFERROR(INDEX(Katalog!$D$3:$D$12,MATCH(Data[[#This Row],[ItemID A]],Katalog!$C$3:$C$12,0))*Data[[#This Row],[Qty A]],"0")</f>
        <v>2400000</v>
      </c>
      <c r="I76" s="36">
        <f>IFERROR(INDEX(Katalog!$F$3:$F$12,MATCH(Data[[#This Row],[ItemID A]],Katalog!$C$3:$C$12,0))*Data[[#This Row],[Qty A]],0)</f>
        <v>900000</v>
      </c>
      <c r="J76" t="s">
        <v>58</v>
      </c>
      <c r="K76" t="str">
        <f>IFERROR(INDEX(Katalog!$A$3:$A$12,MATCH(Data[[#This Row],[ItemID B]],Katalog!$C$3:$C$12,0)),"-")</f>
        <v>Pakaian Wanita</v>
      </c>
      <c r="L76" t="str">
        <f>IFERROR(INDEX(Katalog!$B$3:$B$12,MATCH(Data[[#This Row],[ItemID B]],Katalog!$C$3:$C$12,0)),"-")</f>
        <v>Dress</v>
      </c>
      <c r="M76">
        <v>1</v>
      </c>
      <c r="N76">
        <v>1</v>
      </c>
      <c r="O76" s="36">
        <f>IFERROR(INDEX(Katalog!$D$3:$D$12,MATCH(Data[[#This Row],[ItemID B]],Katalog!$C$3:$C$12,0))*Data[[#This Row],[Qty B]],"0")</f>
        <v>300000</v>
      </c>
      <c r="P76" s="36">
        <f>IFERROR(INDEX(Katalog!$F$3:$F$12,MATCH(Data[[#This Row],[ItemID B]],Katalog!$C$3:$C$12,0))*Data[[#This Row],[Qty B]],"0")</f>
        <v>100000</v>
      </c>
      <c r="R76" t="str">
        <f>IFERROR(INDEX(Katalog!$A$3:$A$12,MATCH(Data[[#This Row],[ItemID C]],Katalog!$C$3:$C$12,0)),"-")</f>
        <v>-</v>
      </c>
      <c r="S76" t="str">
        <f>IFERROR(INDEX(Katalog!$B$3:$B$12,MATCH(Data[[#This Row],[ItemID C]],Katalog!$C$3:$C$12,0)),"-")</f>
        <v>-</v>
      </c>
      <c r="V76" s="36" t="str">
        <f>IFERROR(INDEX(Katalog!$D$3:$D$12,MATCH(Data[[#This Row],[ItemID C]],Katalog!$C$3:$C$12,0))*Data[[#This Row],[Qty C]],"0")</f>
        <v>0</v>
      </c>
      <c r="W76" s="36" t="str">
        <f>IFERROR(INDEX(Katalog!$F$3:$F$12,MATCH(Data[[#This Row],[ItemID C]],Katalog!$C$3:$C$12,0))*Data[[#This Row],[Qty C]],"0")</f>
        <v>0</v>
      </c>
      <c r="X76" s="21">
        <f>Data[[#This Row],[Qty A]]+Data[[#This Row],[Qty B]]+Data[[#This Row],[Qty C]]</f>
        <v>7</v>
      </c>
      <c r="Y76" s="22">
        <f>Data[[#This Row],[Harga Barang A]]+Data[[#This Row],[Harga Barang B]]+Data[[#This Row],[Harga Barang C]]</f>
        <v>2700000</v>
      </c>
      <c r="Z76" s="35">
        <f>IFERROR(Data[[#This Row],[Total Harga]]-(Data[[#This Row],[Total Harga]]*Data[[#This Row],[Diskon]]),Data[[#This Row],[Total Harga]])</f>
        <v>2430000</v>
      </c>
      <c r="AA76" s="35">
        <f>(Data[[#This Row],[Profit A]]+Data[[#This Row],[Profit B]]+Data[[#This Row],[Profit C]])</f>
        <v>1000000</v>
      </c>
      <c r="AB76" s="35">
        <f>IFERROR((Data[[#This Row],[Profit non Diskon]]-(Data[[#This Row],[Profit non Diskon]]*Data[[#This Row],[Diskon]])),Data[[#This Row],[Profit non Diskon]])</f>
        <v>900000</v>
      </c>
      <c r="AC76" s="23" t="s">
        <v>30</v>
      </c>
      <c r="AD76" s="37">
        <f>IFERROR(INDEX('Kode Diskon'!$D$3:$D$9,MATCH(Data[[#This Row],[Kode diskon]],'Kode Diskon'!$C$3:$C$9,0)),"-")</f>
        <v>0.1</v>
      </c>
      <c r="AE76" s="23" t="s">
        <v>29</v>
      </c>
      <c r="AF76" s="23" t="s">
        <v>10</v>
      </c>
      <c r="AG76" s="23" t="s">
        <v>79</v>
      </c>
      <c r="AH76" s="24">
        <v>45019</v>
      </c>
      <c r="AI76" s="23" t="str">
        <f>TEXT(Data[[#This Row],[Tanggal terjual]],"dddd")</f>
        <v>Monday</v>
      </c>
      <c r="AJ76" s="21" t="str">
        <f>TEXT(Data[[#This Row],[Tanggal terjual]],"wwww")</f>
        <v>wwww</v>
      </c>
    </row>
    <row r="77" spans="1:36" x14ac:dyDescent="0.2">
      <c r="A77" s="20">
        <v>76</v>
      </c>
      <c r="B77" s="21" t="str">
        <f>_xlfn.CONCAT("ORD-",INDEX(Helper!$B$2:$B$5,MATCH(Data[[#This Row],[Marketplace]],Helper!$A$2:$A$5,0)),TEXT(Data[[#This Row],[No]],"0000"),"-",TEXT(Data[[#This Row],[Tanggal terjual]],"dd/mm/yy"))</f>
        <v>ORD-SP0076-26/04/23</v>
      </c>
      <c r="C77" t="s">
        <v>59</v>
      </c>
      <c r="D77" t="str">
        <f>IFERROR(INDEX(Katalog!$A$3:$A$12,MATCH(Data[[#This Row],[ItemID A]],Katalog!$C$3:$C$12,0)),"-")</f>
        <v>Pakaian Wanita</v>
      </c>
      <c r="E77" t="str">
        <f>IFERROR(INDEX(Katalog!$B$3:$B$12,MATCH(Data[[#This Row],[ItemID A]],Katalog!$C$3:$C$12,0)),"-")</f>
        <v>Blouse</v>
      </c>
      <c r="F77">
        <v>3</v>
      </c>
      <c r="G77">
        <v>1</v>
      </c>
      <c r="H77" s="36">
        <f>IFERROR(INDEX(Katalog!$D$3:$D$12,MATCH(Data[[#This Row],[ItemID A]],Katalog!$C$3:$C$12,0))*Data[[#This Row],[Qty A]],"0")</f>
        <v>450000</v>
      </c>
      <c r="I77" s="36">
        <f>IFERROR(INDEX(Katalog!$F$3:$F$12,MATCH(Data[[#This Row],[ItemID A]],Katalog!$C$3:$C$12,0))*Data[[#This Row],[Qty A]],0)</f>
        <v>150000</v>
      </c>
      <c r="K77" t="str">
        <f>IFERROR(INDEX(Katalog!$A$3:$A$12,MATCH(Data[[#This Row],[ItemID B]],Katalog!$C$3:$C$12,0)),"-")</f>
        <v>-</v>
      </c>
      <c r="L77" t="str">
        <f>IFERROR(INDEX(Katalog!$B$3:$B$12,MATCH(Data[[#This Row],[ItemID B]],Katalog!$C$3:$C$12,0)),"-")</f>
        <v>-</v>
      </c>
      <c r="O77" s="36" t="str">
        <f>IFERROR(INDEX(Katalog!$D$3:$D$12,MATCH(Data[[#This Row],[ItemID B]],Katalog!$C$3:$C$12,0))*Data[[#This Row],[Qty B]],"0")</f>
        <v>0</v>
      </c>
      <c r="P77" s="36" t="str">
        <f>IFERROR(INDEX(Katalog!$F$3:$F$12,MATCH(Data[[#This Row],[ItemID B]],Katalog!$C$3:$C$12,0))*Data[[#This Row],[Qty B]],"0")</f>
        <v>0</v>
      </c>
      <c r="R77" t="str">
        <f>IFERROR(INDEX(Katalog!$A$3:$A$12,MATCH(Data[[#This Row],[ItemID C]],Katalog!$C$3:$C$12,0)),"-")</f>
        <v>-</v>
      </c>
      <c r="S77" t="str">
        <f>IFERROR(INDEX(Katalog!$B$3:$B$12,MATCH(Data[[#This Row],[ItemID C]],Katalog!$C$3:$C$12,0)),"-")</f>
        <v>-</v>
      </c>
      <c r="V77" s="36" t="str">
        <f>IFERROR(INDEX(Katalog!$D$3:$D$12,MATCH(Data[[#This Row],[ItemID C]],Katalog!$C$3:$C$12,0))*Data[[#This Row],[Qty C]],"0")</f>
        <v>0</v>
      </c>
      <c r="W77" s="36" t="str">
        <f>IFERROR(INDEX(Katalog!$F$3:$F$12,MATCH(Data[[#This Row],[ItemID C]],Katalog!$C$3:$C$12,0))*Data[[#This Row],[Qty C]],"0")</f>
        <v>0</v>
      </c>
      <c r="X77" s="21">
        <f>Data[[#This Row],[Qty A]]+Data[[#This Row],[Qty B]]+Data[[#This Row],[Qty C]]</f>
        <v>3</v>
      </c>
      <c r="Y77" s="22">
        <f>Data[[#This Row],[Harga Barang A]]+Data[[#This Row],[Harga Barang B]]+Data[[#This Row],[Harga Barang C]]</f>
        <v>450000</v>
      </c>
      <c r="Z77" s="35">
        <f>IFERROR(Data[[#This Row],[Total Harga]]-(Data[[#This Row],[Total Harga]]*Data[[#This Row],[Diskon]]),Data[[#This Row],[Total Harga]])</f>
        <v>360000</v>
      </c>
      <c r="AA77" s="35">
        <f>(Data[[#This Row],[Profit A]]+Data[[#This Row],[Profit B]]+Data[[#This Row],[Profit C]])</f>
        <v>150000</v>
      </c>
      <c r="AB77" s="35">
        <f>IFERROR((Data[[#This Row],[Profit non Diskon]]-(Data[[#This Row],[Profit non Diskon]]*Data[[#This Row],[Diskon]])),Data[[#This Row],[Profit non Diskon]])</f>
        <v>120000</v>
      </c>
      <c r="AC77" s="23" t="s">
        <v>8</v>
      </c>
      <c r="AD77" s="37">
        <f>IFERROR(INDEX('Kode Diskon'!$D$3:$D$9,MATCH(Data[[#This Row],[Kode diskon]],'Kode Diskon'!$C$3:$C$9,0)),"-")</f>
        <v>0.2</v>
      </c>
      <c r="AE77" s="23" t="s">
        <v>9</v>
      </c>
      <c r="AF77" s="23" t="s">
        <v>7</v>
      </c>
      <c r="AG77" s="23" t="s">
        <v>76</v>
      </c>
      <c r="AH77" s="24">
        <v>45042</v>
      </c>
      <c r="AI77" s="23" t="str">
        <f>TEXT(Data[[#This Row],[Tanggal terjual]],"dddd")</f>
        <v>Wednesday</v>
      </c>
      <c r="AJ77" s="21" t="str">
        <f>TEXT(Data[[#This Row],[Tanggal terjual]],"wwww")</f>
        <v>wwww</v>
      </c>
    </row>
    <row r="78" spans="1:36" x14ac:dyDescent="0.2">
      <c r="A78" s="20">
        <v>77</v>
      </c>
      <c r="B78" s="21" t="str">
        <f>_xlfn.CONCAT("ORD-",INDEX(Helper!$B$2:$B$5,MATCH(Data[[#This Row],[Marketplace]],Helper!$A$2:$A$5,0)),TEXT(Data[[#This Row],[No]],"0000"),"-",TEXT(Data[[#This Row],[Tanggal terjual]],"dd/mm/yy"))</f>
        <v>ORD-TK0077-17/04/23</v>
      </c>
      <c r="C78" t="s">
        <v>62</v>
      </c>
      <c r="D78" t="str">
        <f>IFERROR(INDEX(Katalog!$A$3:$A$12,MATCH(Data[[#This Row],[ItemID A]],Katalog!$C$3:$C$12,0)),"-")</f>
        <v>Pakaian Pria</v>
      </c>
      <c r="E78" t="str">
        <f>IFERROR(INDEX(Katalog!$B$3:$B$12,MATCH(Data[[#This Row],[ItemID A]],Katalog!$C$3:$C$12,0)),"-")</f>
        <v>Celana Pendek</v>
      </c>
      <c r="F78">
        <v>5</v>
      </c>
      <c r="G78">
        <v>5</v>
      </c>
      <c r="H78" s="36">
        <f>IFERROR(INDEX(Katalog!$D$3:$D$12,MATCH(Data[[#This Row],[ItemID A]],Katalog!$C$3:$C$12,0))*Data[[#This Row],[Qty A]],"0")</f>
        <v>900000</v>
      </c>
      <c r="I78" s="36">
        <f>IFERROR(INDEX(Katalog!$F$3:$F$12,MATCH(Data[[#This Row],[ItemID A]],Katalog!$C$3:$C$12,0))*Data[[#This Row],[Qty A]],0)</f>
        <v>350000</v>
      </c>
      <c r="J78" t="s">
        <v>60</v>
      </c>
      <c r="K78" t="str">
        <f>IFERROR(INDEX(Katalog!$A$3:$A$12,MATCH(Data[[#This Row],[ItemID B]],Katalog!$C$3:$C$12,0)),"-")</f>
        <v>Pakaian Wanita</v>
      </c>
      <c r="L78" t="str">
        <f>IFERROR(INDEX(Katalog!$B$3:$B$12,MATCH(Data[[#This Row],[ItemID B]],Katalog!$C$3:$C$12,0)),"-")</f>
        <v>Kaftan</v>
      </c>
      <c r="M78">
        <v>1</v>
      </c>
      <c r="N78">
        <v>4</v>
      </c>
      <c r="O78" s="36">
        <f>IFERROR(INDEX(Katalog!$D$3:$D$12,MATCH(Data[[#This Row],[ItemID B]],Katalog!$C$3:$C$12,0))*Data[[#This Row],[Qty B]],"0")</f>
        <v>250000</v>
      </c>
      <c r="P78" s="36">
        <f>IFERROR(INDEX(Katalog!$F$3:$F$12,MATCH(Data[[#This Row],[ItemID B]],Katalog!$C$3:$C$12,0))*Data[[#This Row],[Qty B]],"0")</f>
        <v>100000</v>
      </c>
      <c r="Q78" t="s">
        <v>61</v>
      </c>
      <c r="R78" t="str">
        <f>IFERROR(INDEX(Katalog!$A$3:$A$12,MATCH(Data[[#This Row],[ItemID C]],Katalog!$C$3:$C$12,0)),"-")</f>
        <v>Pakaian Pria</v>
      </c>
      <c r="S78" t="str">
        <f>IFERROR(INDEX(Katalog!$B$3:$B$12,MATCH(Data[[#This Row],[ItemID C]],Katalog!$C$3:$C$12,0)),"-")</f>
        <v>Kaos Polo</v>
      </c>
      <c r="T78">
        <v>1</v>
      </c>
      <c r="U78">
        <v>3</v>
      </c>
      <c r="V78" s="36">
        <f>IFERROR(INDEX(Katalog!$D$3:$D$12,MATCH(Data[[#This Row],[ItemID C]],Katalog!$C$3:$C$12,0))*Data[[#This Row],[Qty C]],"0")</f>
        <v>200000</v>
      </c>
      <c r="W78" s="36">
        <f>IFERROR(INDEX(Katalog!$F$3:$F$12,MATCH(Data[[#This Row],[ItemID C]],Katalog!$C$3:$C$12,0))*Data[[#This Row],[Qty C]],"0")</f>
        <v>80000</v>
      </c>
      <c r="X78" s="21">
        <f>Data[[#This Row],[Qty A]]+Data[[#This Row],[Qty B]]+Data[[#This Row],[Qty C]]</f>
        <v>7</v>
      </c>
      <c r="Y78" s="22">
        <f>Data[[#This Row],[Harga Barang A]]+Data[[#This Row],[Harga Barang B]]+Data[[#This Row],[Harga Barang C]]</f>
        <v>1350000</v>
      </c>
      <c r="Z78" s="35">
        <f>IFERROR(Data[[#This Row],[Total Harga]]-(Data[[#This Row],[Total Harga]]*Data[[#This Row],[Diskon]]),Data[[#This Row],[Total Harga]])</f>
        <v>1215000</v>
      </c>
      <c r="AA78" s="35">
        <f>(Data[[#This Row],[Profit A]]+Data[[#This Row],[Profit B]]+Data[[#This Row],[Profit C]])</f>
        <v>530000</v>
      </c>
      <c r="AB78" s="35">
        <f>IFERROR((Data[[#This Row],[Profit non Diskon]]-(Data[[#This Row],[Profit non Diskon]]*Data[[#This Row],[Diskon]])),Data[[#This Row],[Profit non Diskon]])</f>
        <v>477000</v>
      </c>
      <c r="AC78" s="23" t="s">
        <v>31</v>
      </c>
      <c r="AD78" s="37">
        <f>IFERROR(INDEX('Kode Diskon'!$D$3:$D$9,MATCH(Data[[#This Row],[Kode diskon]],'Kode Diskon'!$C$3:$C$9,0)),"-")</f>
        <v>0.1</v>
      </c>
      <c r="AE78" s="23" t="s">
        <v>9</v>
      </c>
      <c r="AF78" s="23" t="s">
        <v>10</v>
      </c>
      <c r="AG78" s="23" t="s">
        <v>75</v>
      </c>
      <c r="AH78" s="24">
        <v>45033</v>
      </c>
      <c r="AI78" s="23" t="str">
        <f>TEXT(Data[[#This Row],[Tanggal terjual]],"dddd")</f>
        <v>Monday</v>
      </c>
      <c r="AJ78" s="21" t="str">
        <f>TEXT(Data[[#This Row],[Tanggal terjual]],"wwww")</f>
        <v>wwww</v>
      </c>
    </row>
    <row r="79" spans="1:36" x14ac:dyDescent="0.2">
      <c r="A79" s="20">
        <v>78</v>
      </c>
      <c r="B79" s="21" t="str">
        <f>_xlfn.CONCAT("ORD-",INDEX(Helper!$B$2:$B$5,MATCH(Data[[#This Row],[Marketplace]],Helper!$A$2:$A$5,0)),TEXT(Data[[#This Row],[No]],"0000"),"-",TEXT(Data[[#This Row],[Tanggal terjual]],"dd/mm/yy"))</f>
        <v>ORD-SP0078-21/04/23</v>
      </c>
      <c r="C79" t="s">
        <v>67</v>
      </c>
      <c r="D79" t="str">
        <f>IFERROR(INDEX(Katalog!$A$3:$A$12,MATCH(Data[[#This Row],[ItemID A]],Katalog!$C$3:$C$12,0)),"-")</f>
        <v>Sepatu Wanita</v>
      </c>
      <c r="E79" t="str">
        <f>IFERROR(INDEX(Katalog!$B$3:$B$12,MATCH(Data[[#This Row],[ItemID A]],Katalog!$C$3:$C$12,0)),"-")</f>
        <v>Flat Shoes</v>
      </c>
      <c r="F79">
        <v>2</v>
      </c>
      <c r="G79">
        <v>5</v>
      </c>
      <c r="H79" s="36">
        <f>IFERROR(INDEX(Katalog!$D$3:$D$12,MATCH(Data[[#This Row],[ItemID A]],Katalog!$C$3:$C$12,0))*Data[[#This Row],[Qty A]],"0")</f>
        <v>500000</v>
      </c>
      <c r="I79" s="36">
        <f>IFERROR(INDEX(Katalog!$F$3:$F$12,MATCH(Data[[#This Row],[ItemID A]],Katalog!$C$3:$C$12,0))*Data[[#This Row],[Qty A]],0)</f>
        <v>200000</v>
      </c>
      <c r="J79" t="s">
        <v>66</v>
      </c>
      <c r="K79" t="str">
        <f>IFERROR(INDEX(Katalog!$A$3:$A$12,MATCH(Data[[#This Row],[ItemID B]],Katalog!$C$3:$C$12,0)),"-")</f>
        <v>Sepatu Pria</v>
      </c>
      <c r="L79" t="str">
        <f>IFERROR(INDEX(Katalog!$B$3:$B$12,MATCH(Data[[#This Row],[ItemID B]],Katalog!$C$3:$C$12,0)),"-")</f>
        <v>Sandal Slip On</v>
      </c>
      <c r="M79">
        <v>2</v>
      </c>
      <c r="N79">
        <v>5</v>
      </c>
      <c r="O79" s="36">
        <f>IFERROR(INDEX(Katalog!$D$3:$D$12,MATCH(Data[[#This Row],[ItemID B]],Katalog!$C$3:$C$12,0))*Data[[#This Row],[Qty B]],"0")</f>
        <v>300000</v>
      </c>
      <c r="P79" s="36">
        <f>IFERROR(INDEX(Katalog!$F$3:$F$12,MATCH(Data[[#This Row],[ItemID B]],Katalog!$C$3:$C$12,0))*Data[[#This Row],[Qty B]],"0")</f>
        <v>120000</v>
      </c>
      <c r="Q79" t="s">
        <v>60</v>
      </c>
      <c r="R79" t="str">
        <f>IFERROR(INDEX(Katalog!$A$3:$A$12,MATCH(Data[[#This Row],[ItemID C]],Katalog!$C$3:$C$12,0)),"-")</f>
        <v>Pakaian Wanita</v>
      </c>
      <c r="S79" t="str">
        <f>IFERROR(INDEX(Katalog!$B$3:$B$12,MATCH(Data[[#This Row],[ItemID C]],Katalog!$C$3:$C$12,0)),"-")</f>
        <v>Kaftan</v>
      </c>
      <c r="T79">
        <v>1</v>
      </c>
      <c r="U79">
        <v>3</v>
      </c>
      <c r="V79" s="36">
        <f>IFERROR(INDEX(Katalog!$D$3:$D$12,MATCH(Data[[#This Row],[ItemID C]],Katalog!$C$3:$C$12,0))*Data[[#This Row],[Qty C]],"0")</f>
        <v>250000</v>
      </c>
      <c r="W79" s="36">
        <f>IFERROR(INDEX(Katalog!$F$3:$F$12,MATCH(Data[[#This Row],[ItemID C]],Katalog!$C$3:$C$12,0))*Data[[#This Row],[Qty C]],"0")</f>
        <v>100000</v>
      </c>
      <c r="X79" s="21">
        <f>Data[[#This Row],[Qty A]]+Data[[#This Row],[Qty B]]+Data[[#This Row],[Qty C]]</f>
        <v>5</v>
      </c>
      <c r="Y79" s="22">
        <f>Data[[#This Row],[Harga Barang A]]+Data[[#This Row],[Harga Barang B]]+Data[[#This Row],[Harga Barang C]]</f>
        <v>1050000</v>
      </c>
      <c r="Z79" s="35">
        <f>IFERROR(Data[[#This Row],[Total Harga]]-(Data[[#This Row],[Total Harga]]*Data[[#This Row],[Diskon]]),Data[[#This Row],[Total Harga]])</f>
        <v>840000</v>
      </c>
      <c r="AA79" s="35">
        <f>(Data[[#This Row],[Profit A]]+Data[[#This Row],[Profit B]]+Data[[#This Row],[Profit C]])</f>
        <v>420000</v>
      </c>
      <c r="AB79" s="35">
        <f>IFERROR((Data[[#This Row],[Profit non Diskon]]-(Data[[#This Row],[Profit non Diskon]]*Data[[#This Row],[Diskon]])),Data[[#This Row],[Profit non Diskon]])</f>
        <v>336000</v>
      </c>
      <c r="AC79" s="23" t="s">
        <v>8</v>
      </c>
      <c r="AD79" s="37">
        <f>IFERROR(INDEX('Kode Diskon'!$D$3:$D$9,MATCH(Data[[#This Row],[Kode diskon]],'Kode Diskon'!$C$3:$C$9,0)),"-")</f>
        <v>0.2</v>
      </c>
      <c r="AE79" s="23" t="s">
        <v>9</v>
      </c>
      <c r="AF79" s="23" t="s">
        <v>7</v>
      </c>
      <c r="AG79" s="23" t="s">
        <v>80</v>
      </c>
      <c r="AH79" s="24">
        <v>45037</v>
      </c>
      <c r="AI79" s="23" t="str">
        <f>TEXT(Data[[#This Row],[Tanggal terjual]],"dddd")</f>
        <v>Friday</v>
      </c>
      <c r="AJ79" s="21" t="str">
        <f>TEXT(Data[[#This Row],[Tanggal terjual]],"wwww")</f>
        <v>wwww</v>
      </c>
    </row>
    <row r="80" spans="1:36" x14ac:dyDescent="0.2">
      <c r="A80" s="20">
        <v>79</v>
      </c>
      <c r="B80" s="21" t="str">
        <f>_xlfn.CONCAT("ORD-",INDEX(Helper!$B$2:$B$5,MATCH(Data[[#This Row],[Marketplace]],Helper!$A$2:$A$5,0)),TEXT(Data[[#This Row],[No]],"0000"),"-",TEXT(Data[[#This Row],[Tanggal terjual]],"dd/mm/yy"))</f>
        <v>ORD-BB0079-02/04/23</v>
      </c>
      <c r="C80" t="s">
        <v>63</v>
      </c>
      <c r="D80" t="str">
        <f>IFERROR(INDEX(Katalog!$A$3:$A$12,MATCH(Data[[#This Row],[ItemID A]],Katalog!$C$3:$C$12,0)),"-")</f>
        <v>Pakaian Pria</v>
      </c>
      <c r="E80" t="str">
        <f>IFERROR(INDEX(Katalog!$B$3:$B$12,MATCH(Data[[#This Row],[ItemID A]],Katalog!$C$3:$C$12,0)),"-")</f>
        <v>Jaket Jeans</v>
      </c>
      <c r="F80">
        <v>1</v>
      </c>
      <c r="G80">
        <v>1</v>
      </c>
      <c r="H80" s="36">
        <f>IFERROR(INDEX(Katalog!$D$3:$D$12,MATCH(Data[[#This Row],[ItemID A]],Katalog!$C$3:$C$12,0))*Data[[#This Row],[Qty A]],"0")</f>
        <v>400000</v>
      </c>
      <c r="I80" s="36">
        <f>IFERROR(INDEX(Katalog!$F$3:$F$12,MATCH(Data[[#This Row],[ItemID A]],Katalog!$C$3:$C$12,0))*Data[[#This Row],[Qty A]],0)</f>
        <v>150000</v>
      </c>
      <c r="J80" t="s">
        <v>60</v>
      </c>
      <c r="K80" t="str">
        <f>IFERROR(INDEX(Katalog!$A$3:$A$12,MATCH(Data[[#This Row],[ItemID B]],Katalog!$C$3:$C$12,0)),"-")</f>
        <v>Pakaian Wanita</v>
      </c>
      <c r="L80" t="str">
        <f>IFERROR(INDEX(Katalog!$B$3:$B$12,MATCH(Data[[#This Row],[ItemID B]],Katalog!$C$3:$C$12,0)),"-")</f>
        <v>Kaftan</v>
      </c>
      <c r="M80">
        <v>1</v>
      </c>
      <c r="N80">
        <v>2</v>
      </c>
      <c r="O80" s="36">
        <f>IFERROR(INDEX(Katalog!$D$3:$D$12,MATCH(Data[[#This Row],[ItemID B]],Katalog!$C$3:$C$12,0))*Data[[#This Row],[Qty B]],"0")</f>
        <v>250000</v>
      </c>
      <c r="P80" s="36">
        <f>IFERROR(INDEX(Katalog!$F$3:$F$12,MATCH(Data[[#This Row],[ItemID B]],Katalog!$C$3:$C$12,0))*Data[[#This Row],[Qty B]],"0")</f>
        <v>100000</v>
      </c>
      <c r="R80" t="str">
        <f>IFERROR(INDEX(Katalog!$A$3:$A$12,MATCH(Data[[#This Row],[ItemID C]],Katalog!$C$3:$C$12,0)),"-")</f>
        <v>-</v>
      </c>
      <c r="S80" t="str">
        <f>IFERROR(INDEX(Katalog!$B$3:$B$12,MATCH(Data[[#This Row],[ItemID C]],Katalog!$C$3:$C$12,0)),"-")</f>
        <v>-</v>
      </c>
      <c r="V80" s="36" t="str">
        <f>IFERROR(INDEX(Katalog!$D$3:$D$12,MATCH(Data[[#This Row],[ItemID C]],Katalog!$C$3:$C$12,0))*Data[[#This Row],[Qty C]],"0")</f>
        <v>0</v>
      </c>
      <c r="W80" s="36" t="str">
        <f>IFERROR(INDEX(Katalog!$F$3:$F$12,MATCH(Data[[#This Row],[ItemID C]],Katalog!$C$3:$C$12,0))*Data[[#This Row],[Qty C]],"0")</f>
        <v>0</v>
      </c>
      <c r="X80" s="21">
        <f>Data[[#This Row],[Qty A]]+Data[[#This Row],[Qty B]]+Data[[#This Row],[Qty C]]</f>
        <v>2</v>
      </c>
      <c r="Y80" s="22">
        <f>Data[[#This Row],[Harga Barang A]]+Data[[#This Row],[Harga Barang B]]+Data[[#This Row],[Harga Barang C]]</f>
        <v>650000</v>
      </c>
      <c r="Z80" s="35">
        <f>IFERROR(Data[[#This Row],[Total Harga]]-(Data[[#This Row],[Total Harga]]*Data[[#This Row],[Diskon]]),Data[[#This Row],[Total Harga]])</f>
        <v>552500</v>
      </c>
      <c r="AA80" s="35">
        <f>(Data[[#This Row],[Profit A]]+Data[[#This Row],[Profit B]]+Data[[#This Row],[Profit C]])</f>
        <v>250000</v>
      </c>
      <c r="AB80" s="35">
        <f>IFERROR((Data[[#This Row],[Profit non Diskon]]-(Data[[#This Row],[Profit non Diskon]]*Data[[#This Row],[Diskon]])),Data[[#This Row],[Profit non Diskon]])</f>
        <v>212500</v>
      </c>
      <c r="AC80" s="23" t="s">
        <v>28</v>
      </c>
      <c r="AD80" s="37">
        <f>IFERROR(INDEX('Kode Diskon'!$D$3:$D$9,MATCH(Data[[#This Row],[Kode diskon]],'Kode Diskon'!$C$3:$C$9,0)),"-")</f>
        <v>0.15</v>
      </c>
      <c r="AE80" s="23" t="s">
        <v>29</v>
      </c>
      <c r="AF80" s="23" t="s">
        <v>14</v>
      </c>
      <c r="AG80" s="23" t="s">
        <v>80</v>
      </c>
      <c r="AH80" s="24">
        <v>45018</v>
      </c>
      <c r="AI80" s="23" t="str">
        <f>TEXT(Data[[#This Row],[Tanggal terjual]],"dddd")</f>
        <v>Sunday</v>
      </c>
      <c r="AJ80" s="21" t="str">
        <f>TEXT(Data[[#This Row],[Tanggal terjual]],"wwww")</f>
        <v>wwww</v>
      </c>
    </row>
    <row r="81" spans="1:36" x14ac:dyDescent="0.2">
      <c r="A81" s="20">
        <v>80</v>
      </c>
      <c r="B81" s="21" t="str">
        <f>_xlfn.CONCAT("ORD-",INDEX(Helper!$B$2:$B$5,MATCH(Data[[#This Row],[Marketplace]],Helper!$A$2:$A$5,0)),TEXT(Data[[#This Row],[No]],"0000"),"-",TEXT(Data[[#This Row],[Tanggal terjual]],"dd/mm/yy"))</f>
        <v>ORD-BB0080-05/04/23</v>
      </c>
      <c r="C81" t="s">
        <v>67</v>
      </c>
      <c r="D81" t="str">
        <f>IFERROR(INDEX(Katalog!$A$3:$A$12,MATCH(Data[[#This Row],[ItemID A]],Katalog!$C$3:$C$12,0)),"-")</f>
        <v>Sepatu Wanita</v>
      </c>
      <c r="E81" t="str">
        <f>IFERROR(INDEX(Katalog!$B$3:$B$12,MATCH(Data[[#This Row],[ItemID A]],Katalog!$C$3:$C$12,0)),"-")</f>
        <v>Flat Shoes</v>
      </c>
      <c r="F81">
        <v>4</v>
      </c>
      <c r="G81">
        <v>1</v>
      </c>
      <c r="H81" s="36">
        <f>IFERROR(INDEX(Katalog!$D$3:$D$12,MATCH(Data[[#This Row],[ItemID A]],Katalog!$C$3:$C$12,0))*Data[[#This Row],[Qty A]],"0")</f>
        <v>1000000</v>
      </c>
      <c r="I81" s="36">
        <f>IFERROR(INDEX(Katalog!$F$3:$F$12,MATCH(Data[[#This Row],[ItemID A]],Katalog!$C$3:$C$12,0))*Data[[#This Row],[Qty A]],0)</f>
        <v>400000</v>
      </c>
      <c r="J81" t="s">
        <v>61</v>
      </c>
      <c r="K81" t="str">
        <f>IFERROR(INDEX(Katalog!$A$3:$A$12,MATCH(Data[[#This Row],[ItemID B]],Katalog!$C$3:$C$12,0)),"-")</f>
        <v>Pakaian Pria</v>
      </c>
      <c r="L81" t="str">
        <f>IFERROR(INDEX(Katalog!$B$3:$B$12,MATCH(Data[[#This Row],[ItemID B]],Katalog!$C$3:$C$12,0)),"-")</f>
        <v>Kaos Polo</v>
      </c>
      <c r="M81">
        <v>1</v>
      </c>
      <c r="N81">
        <v>2</v>
      </c>
      <c r="O81" s="36">
        <f>IFERROR(INDEX(Katalog!$D$3:$D$12,MATCH(Data[[#This Row],[ItemID B]],Katalog!$C$3:$C$12,0))*Data[[#This Row],[Qty B]],"0")</f>
        <v>200000</v>
      </c>
      <c r="P81" s="36">
        <f>IFERROR(INDEX(Katalog!$F$3:$F$12,MATCH(Data[[#This Row],[ItemID B]],Katalog!$C$3:$C$12,0))*Data[[#This Row],[Qty B]],"0")</f>
        <v>80000</v>
      </c>
      <c r="Q81" t="s">
        <v>65</v>
      </c>
      <c r="R81" t="str">
        <f>IFERROR(INDEX(Katalog!$A$3:$A$12,MATCH(Data[[#This Row],[ItemID C]],Katalog!$C$3:$C$12,0)),"-")</f>
        <v>Sepatu Pria</v>
      </c>
      <c r="S81" t="str">
        <f>IFERROR(INDEX(Katalog!$B$3:$B$12,MATCH(Data[[#This Row],[ItemID C]],Katalog!$C$3:$C$12,0)),"-")</f>
        <v>Sneakers</v>
      </c>
      <c r="T81">
        <v>2</v>
      </c>
      <c r="U81">
        <v>1</v>
      </c>
      <c r="V81" s="36">
        <f>IFERROR(INDEX(Katalog!$D$3:$D$12,MATCH(Data[[#This Row],[ItemID C]],Katalog!$C$3:$C$12,0))*Data[[#This Row],[Qty C]],"0")</f>
        <v>1000000</v>
      </c>
      <c r="W81" s="36">
        <f>IFERROR(INDEX(Katalog!$F$3:$F$12,MATCH(Data[[#This Row],[ItemID C]],Katalog!$C$3:$C$12,0))*Data[[#This Row],[Qty C]],"0")</f>
        <v>400000</v>
      </c>
      <c r="X81" s="21">
        <f>Data[[#This Row],[Qty A]]+Data[[#This Row],[Qty B]]+Data[[#This Row],[Qty C]]</f>
        <v>7</v>
      </c>
      <c r="Y81" s="22">
        <f>Data[[#This Row],[Harga Barang A]]+Data[[#This Row],[Harga Barang B]]+Data[[#This Row],[Harga Barang C]]</f>
        <v>2200000</v>
      </c>
      <c r="Z81" s="35">
        <f>IFERROR(Data[[#This Row],[Total Harga]]-(Data[[#This Row],[Total Harga]]*Data[[#This Row],[Diskon]]),Data[[#This Row],[Total Harga]])</f>
        <v>1870000</v>
      </c>
      <c r="AA81" s="35">
        <f>(Data[[#This Row],[Profit A]]+Data[[#This Row],[Profit B]]+Data[[#This Row],[Profit C]])</f>
        <v>880000</v>
      </c>
      <c r="AB81" s="35">
        <f>IFERROR((Data[[#This Row],[Profit non Diskon]]-(Data[[#This Row],[Profit non Diskon]]*Data[[#This Row],[Diskon]])),Data[[#This Row],[Profit non Diskon]])</f>
        <v>748000</v>
      </c>
      <c r="AC81" s="23" t="s">
        <v>28</v>
      </c>
      <c r="AD81" s="37">
        <f>IFERROR(INDEX('Kode Diskon'!$D$3:$D$9,MATCH(Data[[#This Row],[Kode diskon]],'Kode Diskon'!$C$3:$C$9,0)),"-")</f>
        <v>0.15</v>
      </c>
      <c r="AE81" s="23" t="s">
        <v>29</v>
      </c>
      <c r="AF81" s="23" t="s">
        <v>14</v>
      </c>
      <c r="AG81" s="23" t="s">
        <v>78</v>
      </c>
      <c r="AH81" s="24">
        <v>45021</v>
      </c>
      <c r="AI81" s="23" t="str">
        <f>TEXT(Data[[#This Row],[Tanggal terjual]],"dddd")</f>
        <v>Wednesday</v>
      </c>
      <c r="AJ81" s="21" t="str">
        <f>TEXT(Data[[#This Row],[Tanggal terjual]],"wwww")</f>
        <v>wwww</v>
      </c>
    </row>
    <row r="82" spans="1:36" x14ac:dyDescent="0.2">
      <c r="A82" s="20">
        <v>81</v>
      </c>
      <c r="B82" s="21" t="str">
        <f>_xlfn.CONCAT("ORD-",INDEX(Helper!$B$2:$B$5,MATCH(Data[[#This Row],[Marketplace]],Helper!$A$2:$A$5,0)),TEXT(Data[[#This Row],[No]],"0000"),"-",TEXT(Data[[#This Row],[Tanggal terjual]],"dd/mm/yy"))</f>
        <v>ORD-SP0081-06/04/23</v>
      </c>
      <c r="C82" t="s">
        <v>61</v>
      </c>
      <c r="D82" t="str">
        <f>IFERROR(INDEX(Katalog!$A$3:$A$12,MATCH(Data[[#This Row],[ItemID A]],Katalog!$C$3:$C$12,0)),"-")</f>
        <v>Pakaian Pria</v>
      </c>
      <c r="E82" t="str">
        <f>IFERROR(INDEX(Katalog!$B$3:$B$12,MATCH(Data[[#This Row],[ItemID A]],Katalog!$C$3:$C$12,0)),"-")</f>
        <v>Kaos Polo</v>
      </c>
      <c r="F82">
        <v>1</v>
      </c>
      <c r="G82">
        <v>5</v>
      </c>
      <c r="H82" s="36">
        <f>IFERROR(INDEX(Katalog!$D$3:$D$12,MATCH(Data[[#This Row],[ItemID A]],Katalog!$C$3:$C$12,0))*Data[[#This Row],[Qty A]],"0")</f>
        <v>200000</v>
      </c>
      <c r="I82" s="36">
        <f>IFERROR(INDEX(Katalog!$F$3:$F$12,MATCH(Data[[#This Row],[ItemID A]],Katalog!$C$3:$C$12,0))*Data[[#This Row],[Qty A]],0)</f>
        <v>80000</v>
      </c>
      <c r="J82" t="s">
        <v>60</v>
      </c>
      <c r="K82" t="str">
        <f>IFERROR(INDEX(Katalog!$A$3:$A$12,MATCH(Data[[#This Row],[ItemID B]],Katalog!$C$3:$C$12,0)),"-")</f>
        <v>Pakaian Wanita</v>
      </c>
      <c r="L82" t="str">
        <f>IFERROR(INDEX(Katalog!$B$3:$B$12,MATCH(Data[[#This Row],[ItemID B]],Katalog!$C$3:$C$12,0)),"-")</f>
        <v>Kaftan</v>
      </c>
      <c r="M82">
        <v>1</v>
      </c>
      <c r="N82">
        <v>1</v>
      </c>
      <c r="O82" s="36">
        <f>IFERROR(INDEX(Katalog!$D$3:$D$12,MATCH(Data[[#This Row],[ItemID B]],Katalog!$C$3:$C$12,0))*Data[[#This Row],[Qty B]],"0")</f>
        <v>250000</v>
      </c>
      <c r="P82" s="36">
        <f>IFERROR(INDEX(Katalog!$F$3:$F$12,MATCH(Data[[#This Row],[ItemID B]],Katalog!$C$3:$C$12,0))*Data[[#This Row],[Qty B]],"0")</f>
        <v>100000</v>
      </c>
      <c r="Q82" t="s">
        <v>64</v>
      </c>
      <c r="R82" t="str">
        <f>IFERROR(INDEX(Katalog!$A$3:$A$12,MATCH(Data[[#This Row],[ItemID C]],Katalog!$C$3:$C$12,0)),"-")</f>
        <v>Pakaian Unisex</v>
      </c>
      <c r="S82" t="str">
        <f>IFERROR(INDEX(Katalog!$B$3:$B$12,MATCH(Data[[#This Row],[ItemID C]],Katalog!$C$3:$C$12,0)),"-")</f>
        <v>Jaket Hoodie</v>
      </c>
      <c r="T82">
        <v>1</v>
      </c>
      <c r="U82">
        <v>3</v>
      </c>
      <c r="V82" s="36">
        <f>IFERROR(INDEX(Katalog!$D$3:$D$12,MATCH(Data[[#This Row],[ItemID C]],Katalog!$C$3:$C$12,0))*Data[[#This Row],[Qty C]],"0")</f>
        <v>350000</v>
      </c>
      <c r="W82" s="36">
        <f>IFERROR(INDEX(Katalog!$F$3:$F$12,MATCH(Data[[#This Row],[ItemID C]],Katalog!$C$3:$C$12,0))*Data[[#This Row],[Qty C]],"0")</f>
        <v>130000</v>
      </c>
      <c r="X82" s="21">
        <f>Data[[#This Row],[Qty A]]+Data[[#This Row],[Qty B]]+Data[[#This Row],[Qty C]]</f>
        <v>3</v>
      </c>
      <c r="Y82" s="22">
        <f>Data[[#This Row],[Harga Barang A]]+Data[[#This Row],[Harga Barang B]]+Data[[#This Row],[Harga Barang C]]</f>
        <v>800000</v>
      </c>
      <c r="Z82" s="35">
        <f>IFERROR(Data[[#This Row],[Total Harga]]-(Data[[#This Row],[Total Harga]]*Data[[#This Row],[Diskon]]),Data[[#This Row],[Total Harga]])</f>
        <v>720000</v>
      </c>
      <c r="AA82" s="35">
        <f>(Data[[#This Row],[Profit A]]+Data[[#This Row],[Profit B]]+Data[[#This Row],[Profit C]])</f>
        <v>310000</v>
      </c>
      <c r="AB82" s="35">
        <f>IFERROR((Data[[#This Row],[Profit non Diskon]]-(Data[[#This Row],[Profit non Diskon]]*Data[[#This Row],[Diskon]])),Data[[#This Row],[Profit non Diskon]])</f>
        <v>279000</v>
      </c>
      <c r="AC82" s="23" t="s">
        <v>6</v>
      </c>
      <c r="AD82" s="37">
        <f>IFERROR(INDEX('Kode Diskon'!$D$3:$D$9,MATCH(Data[[#This Row],[Kode diskon]],'Kode Diskon'!$C$3:$C$9,0)),"-")</f>
        <v>0.1</v>
      </c>
      <c r="AE82" s="23" t="s">
        <v>29</v>
      </c>
      <c r="AF82" s="23" t="s">
        <v>7</v>
      </c>
      <c r="AG82" s="23" t="s">
        <v>78</v>
      </c>
      <c r="AH82" s="24">
        <v>45022</v>
      </c>
      <c r="AI82" s="23" t="str">
        <f>TEXT(Data[[#This Row],[Tanggal terjual]],"dddd")</f>
        <v>Thursday</v>
      </c>
      <c r="AJ82" s="21" t="str">
        <f>TEXT(Data[[#This Row],[Tanggal terjual]],"wwww")</f>
        <v>wwww</v>
      </c>
    </row>
    <row r="83" spans="1:36" x14ac:dyDescent="0.2">
      <c r="A83" s="20">
        <v>82</v>
      </c>
      <c r="B83" s="21" t="str">
        <f>_xlfn.CONCAT("ORD-",INDEX(Helper!$B$2:$B$5,MATCH(Data[[#This Row],[Marketplace]],Helper!$A$2:$A$5,0)),TEXT(Data[[#This Row],[No]],"0000"),"-",TEXT(Data[[#This Row],[Tanggal terjual]],"dd/mm/yy"))</f>
        <v>ORD-TK0082-04/04/23</v>
      </c>
      <c r="C83" t="s">
        <v>58</v>
      </c>
      <c r="D83" t="str">
        <f>IFERROR(INDEX(Katalog!$A$3:$A$12,MATCH(Data[[#This Row],[ItemID A]],Katalog!$C$3:$C$12,0)),"-")</f>
        <v>Pakaian Wanita</v>
      </c>
      <c r="E83" t="str">
        <f>IFERROR(INDEX(Katalog!$B$3:$B$12,MATCH(Data[[#This Row],[ItemID A]],Katalog!$C$3:$C$12,0)),"-")</f>
        <v>Dress</v>
      </c>
      <c r="F83">
        <v>2</v>
      </c>
      <c r="G83">
        <v>3</v>
      </c>
      <c r="H83" s="36">
        <f>IFERROR(INDEX(Katalog!$D$3:$D$12,MATCH(Data[[#This Row],[ItemID A]],Katalog!$C$3:$C$12,0))*Data[[#This Row],[Qty A]],"0")</f>
        <v>600000</v>
      </c>
      <c r="I83" s="36">
        <f>IFERROR(INDEX(Katalog!$F$3:$F$12,MATCH(Data[[#This Row],[ItemID A]],Katalog!$C$3:$C$12,0))*Data[[#This Row],[Qty A]],0)</f>
        <v>200000</v>
      </c>
      <c r="J83" t="s">
        <v>62</v>
      </c>
      <c r="K83" t="str">
        <f>IFERROR(INDEX(Katalog!$A$3:$A$12,MATCH(Data[[#This Row],[ItemID B]],Katalog!$C$3:$C$12,0)),"-")</f>
        <v>Pakaian Pria</v>
      </c>
      <c r="L83" t="str">
        <f>IFERROR(INDEX(Katalog!$B$3:$B$12,MATCH(Data[[#This Row],[ItemID B]],Katalog!$C$3:$C$12,0)),"-")</f>
        <v>Celana Pendek</v>
      </c>
      <c r="M83">
        <v>1</v>
      </c>
      <c r="N83">
        <v>4</v>
      </c>
      <c r="O83" s="36">
        <f>IFERROR(INDEX(Katalog!$D$3:$D$12,MATCH(Data[[#This Row],[ItemID B]],Katalog!$C$3:$C$12,0))*Data[[#This Row],[Qty B]],"0")</f>
        <v>180000</v>
      </c>
      <c r="P83" s="36">
        <f>IFERROR(INDEX(Katalog!$F$3:$F$12,MATCH(Data[[#This Row],[ItemID B]],Katalog!$C$3:$C$12,0))*Data[[#This Row],[Qty B]],"0")</f>
        <v>70000</v>
      </c>
      <c r="R83" t="str">
        <f>IFERROR(INDEX(Katalog!$A$3:$A$12,MATCH(Data[[#This Row],[ItemID C]],Katalog!$C$3:$C$12,0)),"-")</f>
        <v>-</v>
      </c>
      <c r="S83" t="str">
        <f>IFERROR(INDEX(Katalog!$B$3:$B$12,MATCH(Data[[#This Row],[ItemID C]],Katalog!$C$3:$C$12,0)),"-")</f>
        <v>-</v>
      </c>
      <c r="V83" s="36" t="str">
        <f>IFERROR(INDEX(Katalog!$D$3:$D$12,MATCH(Data[[#This Row],[ItemID C]],Katalog!$C$3:$C$12,0))*Data[[#This Row],[Qty C]],"0")</f>
        <v>0</v>
      </c>
      <c r="W83" s="36" t="str">
        <f>IFERROR(INDEX(Katalog!$F$3:$F$12,MATCH(Data[[#This Row],[ItemID C]],Katalog!$C$3:$C$12,0))*Data[[#This Row],[Qty C]],"0")</f>
        <v>0</v>
      </c>
      <c r="X83" s="21">
        <f>Data[[#This Row],[Qty A]]+Data[[#This Row],[Qty B]]+Data[[#This Row],[Qty C]]</f>
        <v>3</v>
      </c>
      <c r="Y83" s="22">
        <f>Data[[#This Row],[Harga Barang A]]+Data[[#This Row],[Harga Barang B]]+Data[[#This Row],[Harga Barang C]]</f>
        <v>780000</v>
      </c>
      <c r="Z83" s="35">
        <f>IFERROR(Data[[#This Row],[Total Harga]]-(Data[[#This Row],[Total Harga]]*Data[[#This Row],[Diskon]]),Data[[#This Row],[Total Harga]])</f>
        <v>702000</v>
      </c>
      <c r="AA83" s="35">
        <f>(Data[[#This Row],[Profit A]]+Data[[#This Row],[Profit B]]+Data[[#This Row],[Profit C]])</f>
        <v>270000</v>
      </c>
      <c r="AB83" s="35">
        <f>IFERROR((Data[[#This Row],[Profit non Diskon]]-(Data[[#This Row],[Profit non Diskon]]*Data[[#This Row],[Diskon]])),Data[[#This Row],[Profit non Diskon]])</f>
        <v>243000</v>
      </c>
      <c r="AC83" s="23" t="s">
        <v>30</v>
      </c>
      <c r="AD83" s="37">
        <f>IFERROR(INDEX('Kode Diskon'!$D$3:$D$9,MATCH(Data[[#This Row],[Kode diskon]],'Kode Diskon'!$C$3:$C$9,0)),"-")</f>
        <v>0.1</v>
      </c>
      <c r="AE83" s="23" t="s">
        <v>29</v>
      </c>
      <c r="AF83" s="23" t="s">
        <v>10</v>
      </c>
      <c r="AG83" s="23" t="s">
        <v>80</v>
      </c>
      <c r="AH83" s="24">
        <v>45020</v>
      </c>
      <c r="AI83" s="23" t="str">
        <f>TEXT(Data[[#This Row],[Tanggal terjual]],"dddd")</f>
        <v>Tuesday</v>
      </c>
      <c r="AJ83" s="21" t="str">
        <f>TEXT(Data[[#This Row],[Tanggal terjual]],"wwww")</f>
        <v>wwww</v>
      </c>
    </row>
    <row r="84" spans="1:36" x14ac:dyDescent="0.2">
      <c r="A84" s="20">
        <v>83</v>
      </c>
      <c r="B84" s="21" t="str">
        <f>_xlfn.CONCAT("ORD-",INDEX(Helper!$B$2:$B$5,MATCH(Data[[#This Row],[Marketplace]],Helper!$A$2:$A$5,0)),TEXT(Data[[#This Row],[No]],"0000"),"-",TEXT(Data[[#This Row],[Tanggal terjual]],"dd/mm/yy"))</f>
        <v>ORD-SP0083-03/04/23</v>
      </c>
      <c r="C84" t="s">
        <v>60</v>
      </c>
      <c r="D84" t="str">
        <f>IFERROR(INDEX(Katalog!$A$3:$A$12,MATCH(Data[[#This Row],[ItemID A]],Katalog!$C$3:$C$12,0)),"-")</f>
        <v>Pakaian Wanita</v>
      </c>
      <c r="E84" t="str">
        <f>IFERROR(INDEX(Katalog!$B$3:$B$12,MATCH(Data[[#This Row],[ItemID A]],Katalog!$C$3:$C$12,0)),"-")</f>
        <v>Kaftan</v>
      </c>
      <c r="F84">
        <v>1</v>
      </c>
      <c r="G84">
        <v>3</v>
      </c>
      <c r="H84" s="36">
        <f>IFERROR(INDEX(Katalog!$D$3:$D$12,MATCH(Data[[#This Row],[ItemID A]],Katalog!$C$3:$C$12,0))*Data[[#This Row],[Qty A]],"0")</f>
        <v>250000</v>
      </c>
      <c r="I84" s="36">
        <f>IFERROR(INDEX(Katalog!$F$3:$F$12,MATCH(Data[[#This Row],[ItemID A]],Katalog!$C$3:$C$12,0))*Data[[#This Row],[Qty A]],0)</f>
        <v>100000</v>
      </c>
      <c r="K84" t="str">
        <f>IFERROR(INDEX(Katalog!$A$3:$A$12,MATCH(Data[[#This Row],[ItemID B]],Katalog!$C$3:$C$12,0)),"-")</f>
        <v>-</v>
      </c>
      <c r="L84" t="str">
        <f>IFERROR(INDEX(Katalog!$B$3:$B$12,MATCH(Data[[#This Row],[ItemID B]],Katalog!$C$3:$C$12,0)),"-")</f>
        <v>-</v>
      </c>
      <c r="O84" s="36" t="str">
        <f>IFERROR(INDEX(Katalog!$D$3:$D$12,MATCH(Data[[#This Row],[ItemID B]],Katalog!$C$3:$C$12,0))*Data[[#This Row],[Qty B]],"0")</f>
        <v>0</v>
      </c>
      <c r="P84" s="36" t="str">
        <f>IFERROR(INDEX(Katalog!$F$3:$F$12,MATCH(Data[[#This Row],[ItemID B]],Katalog!$C$3:$C$12,0))*Data[[#This Row],[Qty B]],"0")</f>
        <v>0</v>
      </c>
      <c r="R84" t="str">
        <f>IFERROR(INDEX(Katalog!$A$3:$A$12,MATCH(Data[[#This Row],[ItemID C]],Katalog!$C$3:$C$12,0)),"-")</f>
        <v>-</v>
      </c>
      <c r="S84" t="str">
        <f>IFERROR(INDEX(Katalog!$B$3:$B$12,MATCH(Data[[#This Row],[ItemID C]],Katalog!$C$3:$C$12,0)),"-")</f>
        <v>-</v>
      </c>
      <c r="V84" s="36" t="str">
        <f>IFERROR(INDEX(Katalog!$D$3:$D$12,MATCH(Data[[#This Row],[ItemID C]],Katalog!$C$3:$C$12,0))*Data[[#This Row],[Qty C]],"0")</f>
        <v>0</v>
      </c>
      <c r="W84" s="36" t="str">
        <f>IFERROR(INDEX(Katalog!$F$3:$F$12,MATCH(Data[[#This Row],[ItemID C]],Katalog!$C$3:$C$12,0))*Data[[#This Row],[Qty C]],"0")</f>
        <v>0</v>
      </c>
      <c r="X84" s="21">
        <f>Data[[#This Row],[Qty A]]+Data[[#This Row],[Qty B]]+Data[[#This Row],[Qty C]]</f>
        <v>1</v>
      </c>
      <c r="Y84" s="22">
        <f>Data[[#This Row],[Harga Barang A]]+Data[[#This Row],[Harga Barang B]]+Data[[#This Row],[Harga Barang C]]</f>
        <v>250000</v>
      </c>
      <c r="Z84" s="35">
        <f>IFERROR(Data[[#This Row],[Total Harga]]-(Data[[#This Row],[Total Harga]]*Data[[#This Row],[Diskon]]),Data[[#This Row],[Total Harga]])</f>
        <v>212500</v>
      </c>
      <c r="AA84" s="35">
        <f>(Data[[#This Row],[Profit A]]+Data[[#This Row],[Profit B]]+Data[[#This Row],[Profit C]])</f>
        <v>100000</v>
      </c>
      <c r="AB84" s="35">
        <f>IFERROR((Data[[#This Row],[Profit non Diskon]]-(Data[[#This Row],[Profit non Diskon]]*Data[[#This Row],[Diskon]])),Data[[#This Row],[Profit non Diskon]])</f>
        <v>85000</v>
      </c>
      <c r="AC84" s="23" t="s">
        <v>13</v>
      </c>
      <c r="AD84" s="37">
        <f>IFERROR(INDEX('Kode Diskon'!$D$3:$D$9,MATCH(Data[[#This Row],[Kode diskon]],'Kode Diskon'!$C$3:$C$9,0)),"-")</f>
        <v>0.15</v>
      </c>
      <c r="AE84" s="23" t="s">
        <v>29</v>
      </c>
      <c r="AF84" s="23" t="s">
        <v>7</v>
      </c>
      <c r="AG84" s="23" t="s">
        <v>80</v>
      </c>
      <c r="AH84" s="24">
        <v>45019</v>
      </c>
      <c r="AI84" s="23" t="str">
        <f>TEXT(Data[[#This Row],[Tanggal terjual]],"dddd")</f>
        <v>Monday</v>
      </c>
      <c r="AJ84" s="21" t="str">
        <f>TEXT(Data[[#This Row],[Tanggal terjual]],"wwww")</f>
        <v>wwww</v>
      </c>
    </row>
    <row r="85" spans="1:36" x14ac:dyDescent="0.2">
      <c r="A85" s="20">
        <v>84</v>
      </c>
      <c r="B85" s="21" t="str">
        <f>_xlfn.CONCAT("ORD-",INDEX(Helper!$B$2:$B$5,MATCH(Data[[#This Row],[Marketplace]],Helper!$A$2:$A$5,0)),TEXT(Data[[#This Row],[No]],"0000"),"-",TEXT(Data[[#This Row],[Tanggal terjual]],"dd/mm/yy"))</f>
        <v>ORD-BL0084-16/04/23</v>
      </c>
      <c r="C85" t="s">
        <v>58</v>
      </c>
      <c r="D85" t="str">
        <f>IFERROR(INDEX(Katalog!$A$3:$A$12,MATCH(Data[[#This Row],[ItemID A]],Katalog!$C$3:$C$12,0)),"-")</f>
        <v>Pakaian Wanita</v>
      </c>
      <c r="E85" t="str">
        <f>IFERROR(INDEX(Katalog!$B$3:$B$12,MATCH(Data[[#This Row],[ItemID A]],Katalog!$C$3:$C$12,0)),"-")</f>
        <v>Dress</v>
      </c>
      <c r="F85">
        <v>2</v>
      </c>
      <c r="G85">
        <v>4</v>
      </c>
      <c r="H85" s="36">
        <f>IFERROR(INDEX(Katalog!$D$3:$D$12,MATCH(Data[[#This Row],[ItemID A]],Katalog!$C$3:$C$12,0))*Data[[#This Row],[Qty A]],"0")</f>
        <v>600000</v>
      </c>
      <c r="I85" s="36">
        <f>IFERROR(INDEX(Katalog!$F$3:$F$12,MATCH(Data[[#This Row],[ItemID A]],Katalog!$C$3:$C$12,0))*Data[[#This Row],[Qty A]],0)</f>
        <v>200000</v>
      </c>
      <c r="J85" t="s">
        <v>61</v>
      </c>
      <c r="K85" t="str">
        <f>IFERROR(INDEX(Katalog!$A$3:$A$12,MATCH(Data[[#This Row],[ItemID B]],Katalog!$C$3:$C$12,0)),"-")</f>
        <v>Pakaian Pria</v>
      </c>
      <c r="L85" t="str">
        <f>IFERROR(INDEX(Katalog!$B$3:$B$12,MATCH(Data[[#This Row],[ItemID B]],Katalog!$C$3:$C$12,0)),"-")</f>
        <v>Kaos Polo</v>
      </c>
      <c r="M85">
        <v>1</v>
      </c>
      <c r="N85">
        <v>3</v>
      </c>
      <c r="O85" s="36">
        <f>IFERROR(INDEX(Katalog!$D$3:$D$12,MATCH(Data[[#This Row],[ItemID B]],Katalog!$C$3:$C$12,0))*Data[[#This Row],[Qty B]],"0")</f>
        <v>200000</v>
      </c>
      <c r="P85" s="36">
        <f>IFERROR(INDEX(Katalog!$F$3:$F$12,MATCH(Data[[#This Row],[ItemID B]],Katalog!$C$3:$C$12,0))*Data[[#This Row],[Qty B]],"0")</f>
        <v>80000</v>
      </c>
      <c r="R85" t="str">
        <f>IFERROR(INDEX(Katalog!$A$3:$A$12,MATCH(Data[[#This Row],[ItemID C]],Katalog!$C$3:$C$12,0)),"-")</f>
        <v>-</v>
      </c>
      <c r="S85" t="str">
        <f>IFERROR(INDEX(Katalog!$B$3:$B$12,MATCH(Data[[#This Row],[ItemID C]],Katalog!$C$3:$C$12,0)),"-")</f>
        <v>-</v>
      </c>
      <c r="V85" s="36" t="str">
        <f>IFERROR(INDEX(Katalog!$D$3:$D$12,MATCH(Data[[#This Row],[ItemID C]],Katalog!$C$3:$C$12,0))*Data[[#This Row],[Qty C]],"0")</f>
        <v>0</v>
      </c>
      <c r="W85" s="36" t="str">
        <f>IFERROR(INDEX(Katalog!$F$3:$F$12,MATCH(Data[[#This Row],[ItemID C]],Katalog!$C$3:$C$12,0))*Data[[#This Row],[Qty C]],"0")</f>
        <v>0</v>
      </c>
      <c r="X85" s="21">
        <f>Data[[#This Row],[Qty A]]+Data[[#This Row],[Qty B]]+Data[[#This Row],[Qty C]]</f>
        <v>3</v>
      </c>
      <c r="Y85" s="22">
        <f>Data[[#This Row],[Harga Barang A]]+Data[[#This Row],[Harga Barang B]]+Data[[#This Row],[Harga Barang C]]</f>
        <v>800000</v>
      </c>
      <c r="Z85" s="35">
        <f>IFERROR(Data[[#This Row],[Total Harga]]-(Data[[#This Row],[Total Harga]]*Data[[#This Row],[Diskon]]),Data[[#This Row],[Total Harga]])</f>
        <v>680000</v>
      </c>
      <c r="AA85" s="35">
        <f>(Data[[#This Row],[Profit A]]+Data[[#This Row],[Profit B]]+Data[[#This Row],[Profit C]])</f>
        <v>280000</v>
      </c>
      <c r="AB85" s="35">
        <f>IFERROR((Data[[#This Row],[Profit non Diskon]]-(Data[[#This Row],[Profit non Diskon]]*Data[[#This Row],[Diskon]])),Data[[#This Row],[Profit non Diskon]])</f>
        <v>238000</v>
      </c>
      <c r="AC85" s="23" t="s">
        <v>32</v>
      </c>
      <c r="AD85" s="37">
        <f>IFERROR(INDEX('Kode Diskon'!$D$3:$D$9,MATCH(Data[[#This Row],[Kode diskon]],'Kode Diskon'!$C$3:$C$9,0)),"-")</f>
        <v>0.15</v>
      </c>
      <c r="AE85" s="23" t="s">
        <v>9</v>
      </c>
      <c r="AF85" s="23" t="s">
        <v>12</v>
      </c>
      <c r="AG85" s="23" t="s">
        <v>75</v>
      </c>
      <c r="AH85" s="24">
        <v>45032</v>
      </c>
      <c r="AI85" s="23" t="str">
        <f>TEXT(Data[[#This Row],[Tanggal terjual]],"dddd")</f>
        <v>Sunday</v>
      </c>
      <c r="AJ85" s="21" t="str">
        <f>TEXT(Data[[#This Row],[Tanggal terjual]],"wwww")</f>
        <v>wwww</v>
      </c>
    </row>
    <row r="86" spans="1:36" x14ac:dyDescent="0.2">
      <c r="A86" s="20">
        <v>85</v>
      </c>
      <c r="B86" s="21" t="str">
        <f>_xlfn.CONCAT("ORD-",INDEX(Helper!$B$2:$B$5,MATCH(Data[[#This Row],[Marketplace]],Helper!$A$2:$A$5,0)),TEXT(Data[[#This Row],[No]],"0000"),"-",TEXT(Data[[#This Row],[Tanggal terjual]],"dd/mm/yy"))</f>
        <v>ORD-TK0085-02/04/23</v>
      </c>
      <c r="C86" t="s">
        <v>63</v>
      </c>
      <c r="D86" t="str">
        <f>IFERROR(INDEX(Katalog!$A$3:$A$12,MATCH(Data[[#This Row],[ItemID A]],Katalog!$C$3:$C$12,0)),"-")</f>
        <v>Pakaian Pria</v>
      </c>
      <c r="E86" t="str">
        <f>IFERROR(INDEX(Katalog!$B$3:$B$12,MATCH(Data[[#This Row],[ItemID A]],Katalog!$C$3:$C$12,0)),"-")</f>
        <v>Jaket Jeans</v>
      </c>
      <c r="F86">
        <v>2</v>
      </c>
      <c r="G86">
        <v>1</v>
      </c>
      <c r="H86" s="36">
        <f>IFERROR(INDEX(Katalog!$D$3:$D$12,MATCH(Data[[#This Row],[ItemID A]],Katalog!$C$3:$C$12,0))*Data[[#This Row],[Qty A]],"0")</f>
        <v>800000</v>
      </c>
      <c r="I86" s="36">
        <f>IFERROR(INDEX(Katalog!$F$3:$F$12,MATCH(Data[[#This Row],[ItemID A]],Katalog!$C$3:$C$12,0))*Data[[#This Row],[Qty A]],0)</f>
        <v>300000</v>
      </c>
      <c r="J86" t="s">
        <v>59</v>
      </c>
      <c r="K86" t="str">
        <f>IFERROR(INDEX(Katalog!$A$3:$A$12,MATCH(Data[[#This Row],[ItemID B]],Katalog!$C$3:$C$12,0)),"-")</f>
        <v>Pakaian Wanita</v>
      </c>
      <c r="L86" t="str">
        <f>IFERROR(INDEX(Katalog!$B$3:$B$12,MATCH(Data[[#This Row],[ItemID B]],Katalog!$C$3:$C$12,0)),"-")</f>
        <v>Blouse</v>
      </c>
      <c r="M86">
        <v>1</v>
      </c>
      <c r="N86">
        <v>2</v>
      </c>
      <c r="O86" s="36">
        <f>IFERROR(INDEX(Katalog!$D$3:$D$12,MATCH(Data[[#This Row],[ItemID B]],Katalog!$C$3:$C$12,0))*Data[[#This Row],[Qty B]],"0")</f>
        <v>150000</v>
      </c>
      <c r="P86" s="36">
        <f>IFERROR(INDEX(Katalog!$F$3:$F$12,MATCH(Data[[#This Row],[ItemID B]],Katalog!$C$3:$C$12,0))*Data[[#This Row],[Qty B]],"0")</f>
        <v>50000</v>
      </c>
      <c r="Q86" t="s">
        <v>62</v>
      </c>
      <c r="R86" t="str">
        <f>IFERROR(INDEX(Katalog!$A$3:$A$12,MATCH(Data[[#This Row],[ItemID C]],Katalog!$C$3:$C$12,0)),"-")</f>
        <v>Pakaian Pria</v>
      </c>
      <c r="S86" t="str">
        <f>IFERROR(INDEX(Katalog!$B$3:$B$12,MATCH(Data[[#This Row],[ItemID C]],Katalog!$C$3:$C$12,0)),"-")</f>
        <v>Celana Pendek</v>
      </c>
      <c r="T86">
        <v>1</v>
      </c>
      <c r="U86">
        <v>4</v>
      </c>
      <c r="V86" s="36">
        <f>IFERROR(INDEX(Katalog!$D$3:$D$12,MATCH(Data[[#This Row],[ItemID C]],Katalog!$C$3:$C$12,0))*Data[[#This Row],[Qty C]],"0")</f>
        <v>180000</v>
      </c>
      <c r="W86" s="36">
        <f>IFERROR(INDEX(Katalog!$F$3:$F$12,MATCH(Data[[#This Row],[ItemID C]],Katalog!$C$3:$C$12,0))*Data[[#This Row],[Qty C]],"0")</f>
        <v>70000</v>
      </c>
      <c r="X86" s="21">
        <f>Data[[#This Row],[Qty A]]+Data[[#This Row],[Qty B]]+Data[[#This Row],[Qty C]]</f>
        <v>4</v>
      </c>
      <c r="Y86" s="22">
        <f>Data[[#This Row],[Harga Barang A]]+Data[[#This Row],[Harga Barang B]]+Data[[#This Row],[Harga Barang C]]</f>
        <v>1130000</v>
      </c>
      <c r="Z86" s="35">
        <f>IFERROR(Data[[#This Row],[Total Harga]]-(Data[[#This Row],[Total Harga]]*Data[[#This Row],[Diskon]]),Data[[#This Row],[Total Harga]])</f>
        <v>1017000</v>
      </c>
      <c r="AA86" s="35">
        <f>(Data[[#This Row],[Profit A]]+Data[[#This Row],[Profit B]]+Data[[#This Row],[Profit C]])</f>
        <v>420000</v>
      </c>
      <c r="AB86" s="35">
        <f>IFERROR((Data[[#This Row],[Profit non Diskon]]-(Data[[#This Row],[Profit non Diskon]]*Data[[#This Row],[Diskon]])),Data[[#This Row],[Profit non Diskon]])</f>
        <v>378000</v>
      </c>
      <c r="AC86" s="23" t="s">
        <v>30</v>
      </c>
      <c r="AD86" s="37">
        <f>IFERROR(INDEX('Kode Diskon'!$D$3:$D$9,MATCH(Data[[#This Row],[Kode diskon]],'Kode Diskon'!$C$3:$C$9,0)),"-")</f>
        <v>0.1</v>
      </c>
      <c r="AE86" s="23" t="s">
        <v>29</v>
      </c>
      <c r="AF86" s="23" t="s">
        <v>10</v>
      </c>
      <c r="AG86" s="23" t="s">
        <v>75</v>
      </c>
      <c r="AH86" s="24">
        <v>45018</v>
      </c>
      <c r="AI86" s="23" t="str">
        <f>TEXT(Data[[#This Row],[Tanggal terjual]],"dddd")</f>
        <v>Sunday</v>
      </c>
      <c r="AJ86" s="21" t="str">
        <f>TEXT(Data[[#This Row],[Tanggal terjual]],"wwww")</f>
        <v>wwww</v>
      </c>
    </row>
    <row r="87" spans="1:36" x14ac:dyDescent="0.2">
      <c r="A87" s="20">
        <v>86</v>
      </c>
      <c r="B87" s="21" t="str">
        <f>_xlfn.CONCAT("ORD-",INDEX(Helper!$B$2:$B$5,MATCH(Data[[#This Row],[Marketplace]],Helper!$A$2:$A$5,0)),TEXT(Data[[#This Row],[No]],"0000"),"-",TEXT(Data[[#This Row],[Tanggal terjual]],"dd/mm/yy"))</f>
        <v>ORD-SP0086-01/04/23</v>
      </c>
      <c r="C87" t="s">
        <v>60</v>
      </c>
      <c r="D87" t="str">
        <f>IFERROR(INDEX(Katalog!$A$3:$A$12,MATCH(Data[[#This Row],[ItemID A]],Katalog!$C$3:$C$12,0)),"-")</f>
        <v>Pakaian Wanita</v>
      </c>
      <c r="E87" t="str">
        <f>IFERROR(INDEX(Katalog!$B$3:$B$12,MATCH(Data[[#This Row],[ItemID A]],Katalog!$C$3:$C$12,0)),"-")</f>
        <v>Kaftan</v>
      </c>
      <c r="F87">
        <v>4</v>
      </c>
      <c r="G87">
        <v>2</v>
      </c>
      <c r="H87" s="36">
        <f>IFERROR(INDEX(Katalog!$D$3:$D$12,MATCH(Data[[#This Row],[ItemID A]],Katalog!$C$3:$C$12,0))*Data[[#This Row],[Qty A]],"0")</f>
        <v>1000000</v>
      </c>
      <c r="I87" s="36">
        <f>IFERROR(INDEX(Katalog!$F$3:$F$12,MATCH(Data[[#This Row],[ItemID A]],Katalog!$C$3:$C$12,0))*Data[[#This Row],[Qty A]],0)</f>
        <v>400000</v>
      </c>
      <c r="J87" t="s">
        <v>58</v>
      </c>
      <c r="K87" t="str">
        <f>IFERROR(INDEX(Katalog!$A$3:$A$12,MATCH(Data[[#This Row],[ItemID B]],Katalog!$C$3:$C$12,0)),"-")</f>
        <v>Pakaian Wanita</v>
      </c>
      <c r="L87" t="str">
        <f>IFERROR(INDEX(Katalog!$B$3:$B$12,MATCH(Data[[#This Row],[ItemID B]],Katalog!$C$3:$C$12,0)),"-")</f>
        <v>Dress</v>
      </c>
      <c r="M87">
        <v>1</v>
      </c>
      <c r="N87">
        <v>5</v>
      </c>
      <c r="O87" s="36">
        <f>IFERROR(INDEX(Katalog!$D$3:$D$12,MATCH(Data[[#This Row],[ItemID B]],Katalog!$C$3:$C$12,0))*Data[[#This Row],[Qty B]],"0")</f>
        <v>300000</v>
      </c>
      <c r="P87" s="36">
        <f>IFERROR(INDEX(Katalog!$F$3:$F$12,MATCH(Data[[#This Row],[ItemID B]],Katalog!$C$3:$C$12,0))*Data[[#This Row],[Qty B]],"0")</f>
        <v>100000</v>
      </c>
      <c r="R87" t="str">
        <f>IFERROR(INDEX(Katalog!$A$3:$A$12,MATCH(Data[[#This Row],[ItemID C]],Katalog!$C$3:$C$12,0)),"-")</f>
        <v>-</v>
      </c>
      <c r="S87" t="str">
        <f>IFERROR(INDEX(Katalog!$B$3:$B$12,MATCH(Data[[#This Row],[ItemID C]],Katalog!$C$3:$C$12,0)),"-")</f>
        <v>-</v>
      </c>
      <c r="V87" s="36" t="str">
        <f>IFERROR(INDEX(Katalog!$D$3:$D$12,MATCH(Data[[#This Row],[ItemID C]],Katalog!$C$3:$C$12,0))*Data[[#This Row],[Qty C]],"0")</f>
        <v>0</v>
      </c>
      <c r="W87" s="36" t="str">
        <f>IFERROR(INDEX(Katalog!$F$3:$F$12,MATCH(Data[[#This Row],[ItemID C]],Katalog!$C$3:$C$12,0))*Data[[#This Row],[Qty C]],"0")</f>
        <v>0</v>
      </c>
      <c r="X87" s="21">
        <f>Data[[#This Row],[Qty A]]+Data[[#This Row],[Qty B]]+Data[[#This Row],[Qty C]]</f>
        <v>5</v>
      </c>
      <c r="Y87" s="22">
        <f>Data[[#This Row],[Harga Barang A]]+Data[[#This Row],[Harga Barang B]]+Data[[#This Row],[Harga Barang C]]</f>
        <v>1300000</v>
      </c>
      <c r="Z87" s="35">
        <f>IFERROR(Data[[#This Row],[Total Harga]]-(Data[[#This Row],[Total Harga]]*Data[[#This Row],[Diskon]]),Data[[#This Row],[Total Harga]])</f>
        <v>1170000</v>
      </c>
      <c r="AA87" s="35">
        <f>(Data[[#This Row],[Profit A]]+Data[[#This Row],[Profit B]]+Data[[#This Row],[Profit C]])</f>
        <v>500000</v>
      </c>
      <c r="AB87" s="35">
        <f>IFERROR((Data[[#This Row],[Profit non Diskon]]-(Data[[#This Row],[Profit non Diskon]]*Data[[#This Row],[Diskon]])),Data[[#This Row],[Profit non Diskon]])</f>
        <v>450000</v>
      </c>
      <c r="AC87" s="23" t="s">
        <v>6</v>
      </c>
      <c r="AD87" s="37">
        <f>IFERROR(INDEX('Kode Diskon'!$D$3:$D$9,MATCH(Data[[#This Row],[Kode diskon]],'Kode Diskon'!$C$3:$C$9,0)),"-")</f>
        <v>0.1</v>
      </c>
      <c r="AE87" s="23" t="s">
        <v>29</v>
      </c>
      <c r="AF87" s="23" t="s">
        <v>7</v>
      </c>
      <c r="AG87" s="23" t="s">
        <v>79</v>
      </c>
      <c r="AH87" s="24">
        <v>45017</v>
      </c>
      <c r="AI87" s="23" t="str">
        <f>TEXT(Data[[#This Row],[Tanggal terjual]],"dddd")</f>
        <v>Saturday</v>
      </c>
      <c r="AJ87" s="21" t="str">
        <f>TEXT(Data[[#This Row],[Tanggal terjual]],"wwww")</f>
        <v>wwww</v>
      </c>
    </row>
    <row r="88" spans="1:36" x14ac:dyDescent="0.2">
      <c r="A88" s="20">
        <v>87</v>
      </c>
      <c r="B88" s="21" t="str">
        <f>_xlfn.CONCAT("ORD-",INDEX(Helper!$B$2:$B$5,MATCH(Data[[#This Row],[Marketplace]],Helper!$A$2:$A$5,0)),TEXT(Data[[#This Row],[No]],"0000"),"-",TEXT(Data[[#This Row],[Tanggal terjual]],"dd/mm/yy"))</f>
        <v>ORD-BL0087-30/04/23</v>
      </c>
      <c r="C88" t="s">
        <v>62</v>
      </c>
      <c r="D88" t="str">
        <f>IFERROR(INDEX(Katalog!$A$3:$A$12,MATCH(Data[[#This Row],[ItemID A]],Katalog!$C$3:$C$12,0)),"-")</f>
        <v>Pakaian Pria</v>
      </c>
      <c r="E88" t="str">
        <f>IFERROR(INDEX(Katalog!$B$3:$B$12,MATCH(Data[[#This Row],[ItemID A]],Katalog!$C$3:$C$12,0)),"-")</f>
        <v>Celana Pendek</v>
      </c>
      <c r="F88">
        <v>5</v>
      </c>
      <c r="G88">
        <v>2</v>
      </c>
      <c r="H88" s="36">
        <f>IFERROR(INDEX(Katalog!$D$3:$D$12,MATCH(Data[[#This Row],[ItemID A]],Katalog!$C$3:$C$12,0))*Data[[#This Row],[Qty A]],"0")</f>
        <v>900000</v>
      </c>
      <c r="I88" s="36">
        <f>IFERROR(INDEX(Katalog!$F$3:$F$12,MATCH(Data[[#This Row],[ItemID A]],Katalog!$C$3:$C$12,0))*Data[[#This Row],[Qty A]],0)</f>
        <v>350000</v>
      </c>
      <c r="J88" t="s">
        <v>65</v>
      </c>
      <c r="K88" t="str">
        <f>IFERROR(INDEX(Katalog!$A$3:$A$12,MATCH(Data[[#This Row],[ItemID B]],Katalog!$C$3:$C$12,0)),"-")</f>
        <v>Sepatu Pria</v>
      </c>
      <c r="L88" t="str">
        <f>IFERROR(INDEX(Katalog!$B$3:$B$12,MATCH(Data[[#This Row],[ItemID B]],Katalog!$C$3:$C$12,0)),"-")</f>
        <v>Sneakers</v>
      </c>
      <c r="M88">
        <v>1</v>
      </c>
      <c r="N88">
        <v>4</v>
      </c>
      <c r="O88" s="36">
        <f>IFERROR(INDEX(Katalog!$D$3:$D$12,MATCH(Data[[#This Row],[ItemID B]],Katalog!$C$3:$C$12,0))*Data[[#This Row],[Qty B]],"0")</f>
        <v>500000</v>
      </c>
      <c r="P88" s="36">
        <f>IFERROR(INDEX(Katalog!$F$3:$F$12,MATCH(Data[[#This Row],[ItemID B]],Katalog!$C$3:$C$12,0))*Data[[#This Row],[Qty B]],"0")</f>
        <v>200000</v>
      </c>
      <c r="Q88" t="s">
        <v>59</v>
      </c>
      <c r="R88" t="str">
        <f>IFERROR(INDEX(Katalog!$A$3:$A$12,MATCH(Data[[#This Row],[ItemID C]],Katalog!$C$3:$C$12,0)),"-")</f>
        <v>Pakaian Wanita</v>
      </c>
      <c r="S88" t="str">
        <f>IFERROR(INDEX(Katalog!$B$3:$B$12,MATCH(Data[[#This Row],[ItemID C]],Katalog!$C$3:$C$12,0)),"-")</f>
        <v>Blouse</v>
      </c>
      <c r="T88">
        <v>1</v>
      </c>
      <c r="U88">
        <v>4</v>
      </c>
      <c r="V88" s="36">
        <f>IFERROR(INDEX(Katalog!$D$3:$D$12,MATCH(Data[[#This Row],[ItemID C]],Katalog!$C$3:$C$12,0))*Data[[#This Row],[Qty C]],"0")</f>
        <v>150000</v>
      </c>
      <c r="W88" s="36">
        <f>IFERROR(INDEX(Katalog!$F$3:$F$12,MATCH(Data[[#This Row],[ItemID C]],Katalog!$C$3:$C$12,0))*Data[[#This Row],[Qty C]],"0")</f>
        <v>50000</v>
      </c>
      <c r="X88" s="21">
        <f>Data[[#This Row],[Qty A]]+Data[[#This Row],[Qty B]]+Data[[#This Row],[Qty C]]</f>
        <v>7</v>
      </c>
      <c r="Y88" s="22">
        <f>Data[[#This Row],[Harga Barang A]]+Data[[#This Row],[Harga Barang B]]+Data[[#This Row],[Harga Barang C]]</f>
        <v>1550000</v>
      </c>
      <c r="Z88" s="35">
        <f>IFERROR(Data[[#This Row],[Total Harga]]-(Data[[#This Row],[Total Harga]]*Data[[#This Row],[Diskon]]),Data[[#This Row],[Total Harga]])</f>
        <v>1317500</v>
      </c>
      <c r="AA88" s="35">
        <f>(Data[[#This Row],[Profit A]]+Data[[#This Row],[Profit B]]+Data[[#This Row],[Profit C]])</f>
        <v>600000</v>
      </c>
      <c r="AB88" s="35">
        <f>IFERROR((Data[[#This Row],[Profit non Diskon]]-(Data[[#This Row],[Profit non Diskon]]*Data[[#This Row],[Diskon]])),Data[[#This Row],[Profit non Diskon]])</f>
        <v>510000</v>
      </c>
      <c r="AC88" s="23" t="s">
        <v>32</v>
      </c>
      <c r="AD88" s="37">
        <f>IFERROR(INDEX('Kode Diskon'!$D$3:$D$9,MATCH(Data[[#This Row],[Kode diskon]],'Kode Diskon'!$C$3:$C$9,0)),"-")</f>
        <v>0.15</v>
      </c>
      <c r="AE88" s="23" t="s">
        <v>9</v>
      </c>
      <c r="AF88" s="23" t="s">
        <v>12</v>
      </c>
      <c r="AG88" s="23" t="s">
        <v>76</v>
      </c>
      <c r="AH88" s="24">
        <v>45046</v>
      </c>
      <c r="AI88" s="23" t="str">
        <f>TEXT(Data[[#This Row],[Tanggal terjual]],"dddd")</f>
        <v>Sunday</v>
      </c>
      <c r="AJ88" s="21" t="str">
        <f>TEXT(Data[[#This Row],[Tanggal terjual]],"wwww")</f>
        <v>wwww</v>
      </c>
    </row>
    <row r="89" spans="1:36" x14ac:dyDescent="0.2">
      <c r="A89" s="20">
        <v>88</v>
      </c>
      <c r="B89" s="21" t="str">
        <f>_xlfn.CONCAT("ORD-",INDEX(Helper!$B$2:$B$5,MATCH(Data[[#This Row],[Marketplace]],Helper!$A$2:$A$5,0)),TEXT(Data[[#This Row],[No]],"0000"),"-",TEXT(Data[[#This Row],[Tanggal terjual]],"dd/mm/yy"))</f>
        <v>ORD-BL0088-16/04/23</v>
      </c>
      <c r="C89" t="s">
        <v>67</v>
      </c>
      <c r="D89" t="str">
        <f>IFERROR(INDEX(Katalog!$A$3:$A$12,MATCH(Data[[#This Row],[ItemID A]],Katalog!$C$3:$C$12,0)),"-")</f>
        <v>Sepatu Wanita</v>
      </c>
      <c r="E89" t="str">
        <f>IFERROR(INDEX(Katalog!$B$3:$B$12,MATCH(Data[[#This Row],[ItemID A]],Katalog!$C$3:$C$12,0)),"-")</f>
        <v>Flat Shoes</v>
      </c>
      <c r="F89">
        <v>2</v>
      </c>
      <c r="G89">
        <v>3</v>
      </c>
      <c r="H89" s="36">
        <f>IFERROR(INDEX(Katalog!$D$3:$D$12,MATCH(Data[[#This Row],[ItemID A]],Katalog!$C$3:$C$12,0))*Data[[#This Row],[Qty A]],"0")</f>
        <v>500000</v>
      </c>
      <c r="I89" s="36">
        <f>IFERROR(INDEX(Katalog!$F$3:$F$12,MATCH(Data[[#This Row],[ItemID A]],Katalog!$C$3:$C$12,0))*Data[[#This Row],[Qty A]],0)</f>
        <v>200000</v>
      </c>
      <c r="J89" t="s">
        <v>58</v>
      </c>
      <c r="K89" t="str">
        <f>IFERROR(INDEX(Katalog!$A$3:$A$12,MATCH(Data[[#This Row],[ItemID B]],Katalog!$C$3:$C$12,0)),"-")</f>
        <v>Pakaian Wanita</v>
      </c>
      <c r="L89" t="str">
        <f>IFERROR(INDEX(Katalog!$B$3:$B$12,MATCH(Data[[#This Row],[ItemID B]],Katalog!$C$3:$C$12,0)),"-")</f>
        <v>Dress</v>
      </c>
      <c r="M89">
        <v>3</v>
      </c>
      <c r="N89">
        <v>1</v>
      </c>
      <c r="O89" s="36">
        <f>IFERROR(INDEX(Katalog!$D$3:$D$12,MATCH(Data[[#This Row],[ItemID B]],Katalog!$C$3:$C$12,0))*Data[[#This Row],[Qty B]],"0")</f>
        <v>900000</v>
      </c>
      <c r="P89" s="36">
        <f>IFERROR(INDEX(Katalog!$F$3:$F$12,MATCH(Data[[#This Row],[ItemID B]],Katalog!$C$3:$C$12,0))*Data[[#This Row],[Qty B]],"0")</f>
        <v>300000</v>
      </c>
      <c r="R89" t="str">
        <f>IFERROR(INDEX(Katalog!$A$3:$A$12,MATCH(Data[[#This Row],[ItemID C]],Katalog!$C$3:$C$12,0)),"-")</f>
        <v>-</v>
      </c>
      <c r="S89" t="str">
        <f>IFERROR(INDEX(Katalog!$B$3:$B$12,MATCH(Data[[#This Row],[ItemID C]],Katalog!$C$3:$C$12,0)),"-")</f>
        <v>-</v>
      </c>
      <c r="V89" s="36" t="str">
        <f>IFERROR(INDEX(Katalog!$D$3:$D$12,MATCH(Data[[#This Row],[ItemID C]],Katalog!$C$3:$C$12,0))*Data[[#This Row],[Qty C]],"0")</f>
        <v>0</v>
      </c>
      <c r="W89" s="36" t="str">
        <f>IFERROR(INDEX(Katalog!$F$3:$F$12,MATCH(Data[[#This Row],[ItemID C]],Katalog!$C$3:$C$12,0))*Data[[#This Row],[Qty C]],"0")</f>
        <v>0</v>
      </c>
      <c r="X89" s="21">
        <f>Data[[#This Row],[Qty A]]+Data[[#This Row],[Qty B]]+Data[[#This Row],[Qty C]]</f>
        <v>5</v>
      </c>
      <c r="Y89" s="22">
        <f>Data[[#This Row],[Harga Barang A]]+Data[[#This Row],[Harga Barang B]]+Data[[#This Row],[Harga Barang C]]</f>
        <v>1400000</v>
      </c>
      <c r="Z89" s="35">
        <f>IFERROR(Data[[#This Row],[Total Harga]]-(Data[[#This Row],[Total Harga]]*Data[[#This Row],[Diskon]]),Data[[#This Row],[Total Harga]])</f>
        <v>1190000</v>
      </c>
      <c r="AA89" s="35">
        <f>(Data[[#This Row],[Profit A]]+Data[[#This Row],[Profit B]]+Data[[#This Row],[Profit C]])</f>
        <v>500000</v>
      </c>
      <c r="AB89" s="35">
        <f>IFERROR((Data[[#This Row],[Profit non Diskon]]-(Data[[#This Row],[Profit non Diskon]]*Data[[#This Row],[Diskon]])),Data[[#This Row],[Profit non Diskon]])</f>
        <v>425000</v>
      </c>
      <c r="AC89" s="23" t="s">
        <v>32</v>
      </c>
      <c r="AD89" s="37">
        <f>IFERROR(INDEX('Kode Diskon'!$D$3:$D$9,MATCH(Data[[#This Row],[Kode diskon]],'Kode Diskon'!$C$3:$C$9,0)),"-")</f>
        <v>0.15</v>
      </c>
      <c r="AE89" s="23" t="s">
        <v>9</v>
      </c>
      <c r="AF89" s="23" t="s">
        <v>12</v>
      </c>
      <c r="AG89" s="23" t="s">
        <v>80</v>
      </c>
      <c r="AH89" s="24">
        <v>45032</v>
      </c>
      <c r="AI89" s="23" t="str">
        <f>TEXT(Data[[#This Row],[Tanggal terjual]],"dddd")</f>
        <v>Sunday</v>
      </c>
      <c r="AJ89" s="21" t="str">
        <f>TEXT(Data[[#This Row],[Tanggal terjual]],"wwww")</f>
        <v>wwww</v>
      </c>
    </row>
    <row r="90" spans="1:36" x14ac:dyDescent="0.2">
      <c r="A90" s="20">
        <v>89</v>
      </c>
      <c r="B90" s="21" t="str">
        <f>_xlfn.CONCAT("ORD-",INDEX(Helper!$B$2:$B$5,MATCH(Data[[#This Row],[Marketplace]],Helper!$A$2:$A$5,0)),TEXT(Data[[#This Row],[No]],"0000"),"-",TEXT(Data[[#This Row],[Tanggal terjual]],"dd/mm/yy"))</f>
        <v>ORD-SP0089-05/04/23</v>
      </c>
      <c r="C90" t="s">
        <v>60</v>
      </c>
      <c r="D90" t="str">
        <f>IFERROR(INDEX(Katalog!$A$3:$A$12,MATCH(Data[[#This Row],[ItemID A]],Katalog!$C$3:$C$12,0)),"-")</f>
        <v>Pakaian Wanita</v>
      </c>
      <c r="E90" t="str">
        <f>IFERROR(INDEX(Katalog!$B$3:$B$12,MATCH(Data[[#This Row],[ItemID A]],Katalog!$C$3:$C$12,0)),"-")</f>
        <v>Kaftan</v>
      </c>
      <c r="F90">
        <v>1</v>
      </c>
      <c r="G90">
        <v>2</v>
      </c>
      <c r="H90" s="36">
        <f>IFERROR(INDEX(Katalog!$D$3:$D$12,MATCH(Data[[#This Row],[ItemID A]],Katalog!$C$3:$C$12,0))*Data[[#This Row],[Qty A]],"0")</f>
        <v>250000</v>
      </c>
      <c r="I90" s="36">
        <f>IFERROR(INDEX(Katalog!$F$3:$F$12,MATCH(Data[[#This Row],[ItemID A]],Katalog!$C$3:$C$12,0))*Data[[#This Row],[Qty A]],0)</f>
        <v>100000</v>
      </c>
      <c r="J90" t="s">
        <v>62</v>
      </c>
      <c r="K90" t="str">
        <f>IFERROR(INDEX(Katalog!$A$3:$A$12,MATCH(Data[[#This Row],[ItemID B]],Katalog!$C$3:$C$12,0)),"-")</f>
        <v>Pakaian Pria</v>
      </c>
      <c r="L90" t="str">
        <f>IFERROR(INDEX(Katalog!$B$3:$B$12,MATCH(Data[[#This Row],[ItemID B]],Katalog!$C$3:$C$12,0)),"-")</f>
        <v>Celana Pendek</v>
      </c>
      <c r="M90">
        <v>1</v>
      </c>
      <c r="N90">
        <v>5</v>
      </c>
      <c r="O90" s="36">
        <f>IFERROR(INDEX(Katalog!$D$3:$D$12,MATCH(Data[[#This Row],[ItemID B]],Katalog!$C$3:$C$12,0))*Data[[#This Row],[Qty B]],"0")</f>
        <v>180000</v>
      </c>
      <c r="P90" s="36">
        <f>IFERROR(INDEX(Katalog!$F$3:$F$12,MATCH(Data[[#This Row],[ItemID B]],Katalog!$C$3:$C$12,0))*Data[[#This Row],[Qty B]],"0")</f>
        <v>70000</v>
      </c>
      <c r="R90" t="str">
        <f>IFERROR(INDEX(Katalog!$A$3:$A$12,MATCH(Data[[#This Row],[ItemID C]],Katalog!$C$3:$C$12,0)),"-")</f>
        <v>-</v>
      </c>
      <c r="S90" t="str">
        <f>IFERROR(INDEX(Katalog!$B$3:$B$12,MATCH(Data[[#This Row],[ItemID C]],Katalog!$C$3:$C$12,0)),"-")</f>
        <v>-</v>
      </c>
      <c r="V90" s="36" t="str">
        <f>IFERROR(INDEX(Katalog!$D$3:$D$12,MATCH(Data[[#This Row],[ItemID C]],Katalog!$C$3:$C$12,0))*Data[[#This Row],[Qty C]],"0")</f>
        <v>0</v>
      </c>
      <c r="W90" s="36" t="str">
        <f>IFERROR(INDEX(Katalog!$F$3:$F$12,MATCH(Data[[#This Row],[ItemID C]],Katalog!$C$3:$C$12,0))*Data[[#This Row],[Qty C]],"0")</f>
        <v>0</v>
      </c>
      <c r="X90" s="21">
        <f>Data[[#This Row],[Qty A]]+Data[[#This Row],[Qty B]]+Data[[#This Row],[Qty C]]</f>
        <v>2</v>
      </c>
      <c r="Y90" s="22">
        <f>Data[[#This Row],[Harga Barang A]]+Data[[#This Row],[Harga Barang B]]+Data[[#This Row],[Harga Barang C]]</f>
        <v>430000</v>
      </c>
      <c r="Z90" s="35">
        <f>IFERROR(Data[[#This Row],[Total Harga]]-(Data[[#This Row],[Total Harga]]*Data[[#This Row],[Diskon]]),Data[[#This Row],[Total Harga]])</f>
        <v>387000</v>
      </c>
      <c r="AA90" s="35">
        <f>(Data[[#This Row],[Profit A]]+Data[[#This Row],[Profit B]]+Data[[#This Row],[Profit C]])</f>
        <v>170000</v>
      </c>
      <c r="AB90" s="35">
        <f>IFERROR((Data[[#This Row],[Profit non Diskon]]-(Data[[#This Row],[Profit non Diskon]]*Data[[#This Row],[Diskon]])),Data[[#This Row],[Profit non Diskon]])</f>
        <v>153000</v>
      </c>
      <c r="AC90" s="23" t="s">
        <v>6</v>
      </c>
      <c r="AD90" s="37">
        <f>IFERROR(INDEX('Kode Diskon'!$D$3:$D$9,MATCH(Data[[#This Row],[Kode diskon]],'Kode Diskon'!$C$3:$C$9,0)),"-")</f>
        <v>0.1</v>
      </c>
      <c r="AE90" s="23" t="s">
        <v>29</v>
      </c>
      <c r="AF90" s="23" t="s">
        <v>7</v>
      </c>
      <c r="AG90" s="23" t="s">
        <v>76</v>
      </c>
      <c r="AH90" s="24">
        <v>45021</v>
      </c>
      <c r="AI90" s="23" t="str">
        <f>TEXT(Data[[#This Row],[Tanggal terjual]],"dddd")</f>
        <v>Wednesday</v>
      </c>
      <c r="AJ90" s="21" t="str">
        <f>TEXT(Data[[#This Row],[Tanggal terjual]],"wwww")</f>
        <v>wwww</v>
      </c>
    </row>
    <row r="91" spans="1:36" x14ac:dyDescent="0.2">
      <c r="A91" s="20">
        <v>90</v>
      </c>
      <c r="B91" s="21" t="str">
        <f>_xlfn.CONCAT("ORD-",INDEX(Helper!$B$2:$B$5,MATCH(Data[[#This Row],[Marketplace]],Helper!$A$2:$A$5,0)),TEXT(Data[[#This Row],[No]],"0000"),"-",TEXT(Data[[#This Row],[Tanggal terjual]],"dd/mm/yy"))</f>
        <v>ORD-TK0090-01/04/23</v>
      </c>
      <c r="C91" t="s">
        <v>66</v>
      </c>
      <c r="D91" t="str">
        <f>IFERROR(INDEX(Katalog!$A$3:$A$12,MATCH(Data[[#This Row],[ItemID A]],Katalog!$C$3:$C$12,0)),"-")</f>
        <v>Sepatu Pria</v>
      </c>
      <c r="E91" t="str">
        <f>IFERROR(INDEX(Katalog!$B$3:$B$12,MATCH(Data[[#This Row],[ItemID A]],Katalog!$C$3:$C$12,0)),"-")</f>
        <v>Sandal Slip On</v>
      </c>
      <c r="F91">
        <v>1</v>
      </c>
      <c r="G91">
        <v>1</v>
      </c>
      <c r="H91" s="36">
        <f>IFERROR(INDEX(Katalog!$D$3:$D$12,MATCH(Data[[#This Row],[ItemID A]],Katalog!$C$3:$C$12,0))*Data[[#This Row],[Qty A]],"0")</f>
        <v>150000</v>
      </c>
      <c r="I91" s="36">
        <f>IFERROR(INDEX(Katalog!$F$3:$F$12,MATCH(Data[[#This Row],[ItemID A]],Katalog!$C$3:$C$12,0))*Data[[#This Row],[Qty A]],0)</f>
        <v>60000</v>
      </c>
      <c r="K91" t="str">
        <f>IFERROR(INDEX(Katalog!$A$3:$A$12,MATCH(Data[[#This Row],[ItemID B]],Katalog!$C$3:$C$12,0)),"-")</f>
        <v>-</v>
      </c>
      <c r="L91" t="str">
        <f>IFERROR(INDEX(Katalog!$B$3:$B$12,MATCH(Data[[#This Row],[ItemID B]],Katalog!$C$3:$C$12,0)),"-")</f>
        <v>-</v>
      </c>
      <c r="O91" s="36" t="str">
        <f>IFERROR(INDEX(Katalog!$D$3:$D$12,MATCH(Data[[#This Row],[ItemID B]],Katalog!$C$3:$C$12,0))*Data[[#This Row],[Qty B]],"0")</f>
        <v>0</v>
      </c>
      <c r="P91" s="36" t="str">
        <f>IFERROR(INDEX(Katalog!$F$3:$F$12,MATCH(Data[[#This Row],[ItemID B]],Katalog!$C$3:$C$12,0))*Data[[#This Row],[Qty B]],"0")</f>
        <v>0</v>
      </c>
      <c r="R91" t="str">
        <f>IFERROR(INDEX(Katalog!$A$3:$A$12,MATCH(Data[[#This Row],[ItemID C]],Katalog!$C$3:$C$12,0)),"-")</f>
        <v>-</v>
      </c>
      <c r="S91" t="str">
        <f>IFERROR(INDEX(Katalog!$B$3:$B$12,MATCH(Data[[#This Row],[ItemID C]],Katalog!$C$3:$C$12,0)),"-")</f>
        <v>-</v>
      </c>
      <c r="V91" s="36" t="str">
        <f>IFERROR(INDEX(Katalog!$D$3:$D$12,MATCH(Data[[#This Row],[ItemID C]],Katalog!$C$3:$C$12,0))*Data[[#This Row],[Qty C]],"0")</f>
        <v>0</v>
      </c>
      <c r="W91" s="36" t="str">
        <f>IFERROR(INDEX(Katalog!$F$3:$F$12,MATCH(Data[[#This Row],[ItemID C]],Katalog!$C$3:$C$12,0))*Data[[#This Row],[Qty C]],"0")</f>
        <v>0</v>
      </c>
      <c r="X91" s="21">
        <f>Data[[#This Row],[Qty A]]+Data[[#This Row],[Qty B]]+Data[[#This Row],[Qty C]]</f>
        <v>1</v>
      </c>
      <c r="Y91" s="22">
        <f>Data[[#This Row],[Harga Barang A]]+Data[[#This Row],[Harga Barang B]]+Data[[#This Row],[Harga Barang C]]</f>
        <v>150000</v>
      </c>
      <c r="Z91" s="35">
        <f>IFERROR(Data[[#This Row],[Total Harga]]-(Data[[#This Row],[Total Harga]]*Data[[#This Row],[Diskon]]),Data[[#This Row],[Total Harga]])</f>
        <v>135000</v>
      </c>
      <c r="AA91" s="35">
        <f>(Data[[#This Row],[Profit A]]+Data[[#This Row],[Profit B]]+Data[[#This Row],[Profit C]])</f>
        <v>60000</v>
      </c>
      <c r="AB91" s="35">
        <f>IFERROR((Data[[#This Row],[Profit non Diskon]]-(Data[[#This Row],[Profit non Diskon]]*Data[[#This Row],[Diskon]])),Data[[#This Row],[Profit non Diskon]])</f>
        <v>54000</v>
      </c>
      <c r="AC91" s="23" t="s">
        <v>30</v>
      </c>
      <c r="AD91" s="37">
        <f>IFERROR(INDEX('Kode Diskon'!$D$3:$D$9,MATCH(Data[[#This Row],[Kode diskon]],'Kode Diskon'!$C$3:$C$9,0)),"-")</f>
        <v>0.1</v>
      </c>
      <c r="AE91" s="23" t="s">
        <v>29</v>
      </c>
      <c r="AF91" s="23" t="s">
        <v>10</v>
      </c>
      <c r="AG91" s="23" t="s">
        <v>80</v>
      </c>
      <c r="AH91" s="24">
        <v>45017</v>
      </c>
      <c r="AI91" s="23" t="str">
        <f>TEXT(Data[[#This Row],[Tanggal terjual]],"dddd")</f>
        <v>Saturday</v>
      </c>
      <c r="AJ91" s="21" t="str">
        <f>TEXT(Data[[#This Row],[Tanggal terjual]],"wwww")</f>
        <v>wwww</v>
      </c>
    </row>
    <row r="92" spans="1:36" x14ac:dyDescent="0.2">
      <c r="A92" s="20">
        <v>91</v>
      </c>
      <c r="B92" s="21" t="str">
        <f>_xlfn.CONCAT("ORD-",INDEX(Helper!$B$2:$B$5,MATCH(Data[[#This Row],[Marketplace]],Helper!$A$2:$A$5,0)),TEXT(Data[[#This Row],[No]],"0000"),"-",TEXT(Data[[#This Row],[Tanggal terjual]],"dd/mm/yy"))</f>
        <v>ORD-TK0091-28/04/23</v>
      </c>
      <c r="C92" t="s">
        <v>63</v>
      </c>
      <c r="D92" t="str">
        <f>IFERROR(INDEX(Katalog!$A$3:$A$12,MATCH(Data[[#This Row],[ItemID A]],Katalog!$C$3:$C$12,0)),"-")</f>
        <v>Pakaian Pria</v>
      </c>
      <c r="E92" t="str">
        <f>IFERROR(INDEX(Katalog!$B$3:$B$12,MATCH(Data[[#This Row],[ItemID A]],Katalog!$C$3:$C$12,0)),"-")</f>
        <v>Jaket Jeans</v>
      </c>
      <c r="F92">
        <v>1</v>
      </c>
      <c r="G92">
        <v>5</v>
      </c>
      <c r="H92" s="36">
        <f>IFERROR(INDEX(Katalog!$D$3:$D$12,MATCH(Data[[#This Row],[ItemID A]],Katalog!$C$3:$C$12,0))*Data[[#This Row],[Qty A]],"0")</f>
        <v>400000</v>
      </c>
      <c r="I92" s="36">
        <f>IFERROR(INDEX(Katalog!$F$3:$F$12,MATCH(Data[[#This Row],[ItemID A]],Katalog!$C$3:$C$12,0))*Data[[#This Row],[Qty A]],0)</f>
        <v>150000</v>
      </c>
      <c r="K92" t="str">
        <f>IFERROR(INDEX(Katalog!$A$3:$A$12,MATCH(Data[[#This Row],[ItemID B]],Katalog!$C$3:$C$12,0)),"-")</f>
        <v>-</v>
      </c>
      <c r="L92" t="str">
        <f>IFERROR(INDEX(Katalog!$B$3:$B$12,MATCH(Data[[#This Row],[ItemID B]],Katalog!$C$3:$C$12,0)),"-")</f>
        <v>-</v>
      </c>
      <c r="O92" s="36" t="str">
        <f>IFERROR(INDEX(Katalog!$D$3:$D$12,MATCH(Data[[#This Row],[ItemID B]],Katalog!$C$3:$C$12,0))*Data[[#This Row],[Qty B]],"0")</f>
        <v>0</v>
      </c>
      <c r="P92" s="36" t="str">
        <f>IFERROR(INDEX(Katalog!$F$3:$F$12,MATCH(Data[[#This Row],[ItemID B]],Katalog!$C$3:$C$12,0))*Data[[#This Row],[Qty B]],"0")</f>
        <v>0</v>
      </c>
      <c r="R92" t="str">
        <f>IFERROR(INDEX(Katalog!$A$3:$A$12,MATCH(Data[[#This Row],[ItemID C]],Katalog!$C$3:$C$12,0)),"-")</f>
        <v>-</v>
      </c>
      <c r="S92" t="str">
        <f>IFERROR(INDEX(Katalog!$B$3:$B$12,MATCH(Data[[#This Row],[ItemID C]],Katalog!$C$3:$C$12,0)),"-")</f>
        <v>-</v>
      </c>
      <c r="V92" s="36" t="str">
        <f>IFERROR(INDEX(Katalog!$D$3:$D$12,MATCH(Data[[#This Row],[ItemID C]],Katalog!$C$3:$C$12,0))*Data[[#This Row],[Qty C]],"0")</f>
        <v>0</v>
      </c>
      <c r="W92" s="36" t="str">
        <f>IFERROR(INDEX(Katalog!$F$3:$F$12,MATCH(Data[[#This Row],[ItemID C]],Katalog!$C$3:$C$12,0))*Data[[#This Row],[Qty C]],"0")</f>
        <v>0</v>
      </c>
      <c r="X92" s="21">
        <f>Data[[#This Row],[Qty A]]+Data[[#This Row],[Qty B]]+Data[[#This Row],[Qty C]]</f>
        <v>1</v>
      </c>
      <c r="Y92" s="22">
        <f>Data[[#This Row],[Harga Barang A]]+Data[[#This Row],[Harga Barang B]]+Data[[#This Row],[Harga Barang C]]</f>
        <v>400000</v>
      </c>
      <c r="Z92" s="35">
        <f>IFERROR(Data[[#This Row],[Total Harga]]-(Data[[#This Row],[Total Harga]]*Data[[#This Row],[Diskon]]),Data[[#This Row],[Total Harga]])</f>
        <v>360000</v>
      </c>
      <c r="AA92" s="35">
        <f>(Data[[#This Row],[Profit A]]+Data[[#This Row],[Profit B]]+Data[[#This Row],[Profit C]])</f>
        <v>150000</v>
      </c>
      <c r="AB92" s="35">
        <f>IFERROR((Data[[#This Row],[Profit non Diskon]]-(Data[[#This Row],[Profit non Diskon]]*Data[[#This Row],[Diskon]])),Data[[#This Row],[Profit non Diskon]])</f>
        <v>135000</v>
      </c>
      <c r="AC92" s="23" t="s">
        <v>31</v>
      </c>
      <c r="AD92" s="37">
        <f>IFERROR(INDEX('Kode Diskon'!$D$3:$D$9,MATCH(Data[[#This Row],[Kode diskon]],'Kode Diskon'!$C$3:$C$9,0)),"-")</f>
        <v>0.1</v>
      </c>
      <c r="AE92" s="23" t="s">
        <v>9</v>
      </c>
      <c r="AF92" s="23" t="s">
        <v>10</v>
      </c>
      <c r="AG92" s="23" t="s">
        <v>76</v>
      </c>
      <c r="AH92" s="24">
        <v>45044</v>
      </c>
      <c r="AI92" s="23" t="str">
        <f>TEXT(Data[[#This Row],[Tanggal terjual]],"dddd")</f>
        <v>Friday</v>
      </c>
      <c r="AJ92" s="21" t="str">
        <f>TEXT(Data[[#This Row],[Tanggal terjual]],"wwww")</f>
        <v>wwww</v>
      </c>
    </row>
    <row r="93" spans="1:36" x14ac:dyDescent="0.2">
      <c r="A93" s="20">
        <v>92</v>
      </c>
      <c r="B93" s="21" t="str">
        <f>_xlfn.CONCAT("ORD-",INDEX(Helper!$B$2:$B$5,MATCH(Data[[#This Row],[Marketplace]],Helper!$A$2:$A$5,0)),TEXT(Data[[#This Row],[No]],"0000"),"-",TEXT(Data[[#This Row],[Tanggal terjual]],"dd/mm/yy"))</f>
        <v>ORD-TK0092-13/04/23</v>
      </c>
      <c r="C93" t="s">
        <v>61</v>
      </c>
      <c r="D93" t="str">
        <f>IFERROR(INDEX(Katalog!$A$3:$A$12,MATCH(Data[[#This Row],[ItemID A]],Katalog!$C$3:$C$12,0)),"-")</f>
        <v>Pakaian Pria</v>
      </c>
      <c r="E93" t="str">
        <f>IFERROR(INDEX(Katalog!$B$3:$B$12,MATCH(Data[[#This Row],[ItemID A]],Katalog!$C$3:$C$12,0)),"-")</f>
        <v>Kaos Polo</v>
      </c>
      <c r="F93">
        <v>3</v>
      </c>
      <c r="G93">
        <v>1</v>
      </c>
      <c r="H93" s="36">
        <f>IFERROR(INDEX(Katalog!$D$3:$D$12,MATCH(Data[[#This Row],[ItemID A]],Katalog!$C$3:$C$12,0))*Data[[#This Row],[Qty A]],"0")</f>
        <v>600000</v>
      </c>
      <c r="I93" s="36">
        <f>IFERROR(INDEX(Katalog!$F$3:$F$12,MATCH(Data[[#This Row],[ItemID A]],Katalog!$C$3:$C$12,0))*Data[[#This Row],[Qty A]],0)</f>
        <v>240000</v>
      </c>
      <c r="J93" t="s">
        <v>60</v>
      </c>
      <c r="K93" t="str">
        <f>IFERROR(INDEX(Katalog!$A$3:$A$12,MATCH(Data[[#This Row],[ItemID B]],Katalog!$C$3:$C$12,0)),"-")</f>
        <v>Pakaian Wanita</v>
      </c>
      <c r="L93" t="str">
        <f>IFERROR(INDEX(Katalog!$B$3:$B$12,MATCH(Data[[#This Row],[ItemID B]],Katalog!$C$3:$C$12,0)),"-")</f>
        <v>Kaftan</v>
      </c>
      <c r="M93">
        <v>1</v>
      </c>
      <c r="N93">
        <v>2</v>
      </c>
      <c r="O93" s="36">
        <f>IFERROR(INDEX(Katalog!$D$3:$D$12,MATCH(Data[[#This Row],[ItemID B]],Katalog!$C$3:$C$12,0))*Data[[#This Row],[Qty B]],"0")</f>
        <v>250000</v>
      </c>
      <c r="P93" s="36">
        <f>IFERROR(INDEX(Katalog!$F$3:$F$12,MATCH(Data[[#This Row],[ItemID B]],Katalog!$C$3:$C$12,0))*Data[[#This Row],[Qty B]],"0")</f>
        <v>100000</v>
      </c>
      <c r="R93" t="str">
        <f>IFERROR(INDEX(Katalog!$A$3:$A$12,MATCH(Data[[#This Row],[ItemID C]],Katalog!$C$3:$C$12,0)),"-")</f>
        <v>-</v>
      </c>
      <c r="S93" t="str">
        <f>IFERROR(INDEX(Katalog!$B$3:$B$12,MATCH(Data[[#This Row],[ItemID C]],Katalog!$C$3:$C$12,0)),"-")</f>
        <v>-</v>
      </c>
      <c r="V93" s="36" t="str">
        <f>IFERROR(INDEX(Katalog!$D$3:$D$12,MATCH(Data[[#This Row],[ItemID C]],Katalog!$C$3:$C$12,0))*Data[[#This Row],[Qty C]],"0")</f>
        <v>0</v>
      </c>
      <c r="W93" s="36" t="str">
        <f>IFERROR(INDEX(Katalog!$F$3:$F$12,MATCH(Data[[#This Row],[ItemID C]],Katalog!$C$3:$C$12,0))*Data[[#This Row],[Qty C]],"0")</f>
        <v>0</v>
      </c>
      <c r="X93" s="21">
        <f>Data[[#This Row],[Qty A]]+Data[[#This Row],[Qty B]]+Data[[#This Row],[Qty C]]</f>
        <v>4</v>
      </c>
      <c r="Y93" s="22">
        <f>Data[[#This Row],[Harga Barang A]]+Data[[#This Row],[Harga Barang B]]+Data[[#This Row],[Harga Barang C]]</f>
        <v>850000</v>
      </c>
      <c r="Z93" s="35">
        <f>IFERROR(Data[[#This Row],[Total Harga]]-(Data[[#This Row],[Total Harga]]*Data[[#This Row],[Diskon]]),Data[[#This Row],[Total Harga]])</f>
        <v>850000</v>
      </c>
      <c r="AA93" s="35">
        <f>(Data[[#This Row],[Profit A]]+Data[[#This Row],[Profit B]]+Data[[#This Row],[Profit C]])</f>
        <v>340000</v>
      </c>
      <c r="AB93" s="35">
        <f>IFERROR((Data[[#This Row],[Profit non Diskon]]-(Data[[#This Row],[Profit non Diskon]]*Data[[#This Row],[Diskon]])),Data[[#This Row],[Profit non Diskon]])</f>
        <v>340000</v>
      </c>
      <c r="AC93" s="23" t="s">
        <v>11</v>
      </c>
      <c r="AD93" s="37" t="str">
        <f>IFERROR(INDEX('Kode Diskon'!$D$3:$D$9,MATCH(Data[[#This Row],[Kode diskon]],'Kode Diskon'!$C$3:$C$9,0)),"-")</f>
        <v>-</v>
      </c>
      <c r="AE93" s="23" t="s">
        <v>11</v>
      </c>
      <c r="AF93" s="23" t="s">
        <v>10</v>
      </c>
      <c r="AG93" s="23" t="s">
        <v>80</v>
      </c>
      <c r="AH93" s="24">
        <v>45029</v>
      </c>
      <c r="AI93" s="23" t="str">
        <f>TEXT(Data[[#This Row],[Tanggal terjual]],"dddd")</f>
        <v>Thursday</v>
      </c>
      <c r="AJ93" s="21" t="str">
        <f>TEXT(Data[[#This Row],[Tanggal terjual]],"wwww")</f>
        <v>wwww</v>
      </c>
    </row>
    <row r="94" spans="1:36" x14ac:dyDescent="0.2">
      <c r="A94" s="20">
        <v>93</v>
      </c>
      <c r="B94" s="21" t="str">
        <f>_xlfn.CONCAT("ORD-",INDEX(Helper!$B$2:$B$5,MATCH(Data[[#This Row],[Marketplace]],Helper!$A$2:$A$5,0)),TEXT(Data[[#This Row],[No]],"0000"),"-",TEXT(Data[[#This Row],[Tanggal terjual]],"dd/mm/yy"))</f>
        <v>ORD-BB0093-05/04/23</v>
      </c>
      <c r="C94" t="s">
        <v>60</v>
      </c>
      <c r="D94" t="str">
        <f>IFERROR(INDEX(Katalog!$A$3:$A$12,MATCH(Data[[#This Row],[ItemID A]],Katalog!$C$3:$C$12,0)),"-")</f>
        <v>Pakaian Wanita</v>
      </c>
      <c r="E94" t="str">
        <f>IFERROR(INDEX(Katalog!$B$3:$B$12,MATCH(Data[[#This Row],[ItemID A]],Katalog!$C$3:$C$12,0)),"-")</f>
        <v>Kaftan</v>
      </c>
      <c r="F94">
        <v>3</v>
      </c>
      <c r="G94">
        <v>2</v>
      </c>
      <c r="H94" s="36">
        <f>IFERROR(INDEX(Katalog!$D$3:$D$12,MATCH(Data[[#This Row],[ItemID A]],Katalog!$C$3:$C$12,0))*Data[[#This Row],[Qty A]],"0")</f>
        <v>750000</v>
      </c>
      <c r="I94" s="36">
        <f>IFERROR(INDEX(Katalog!$F$3:$F$12,MATCH(Data[[#This Row],[ItemID A]],Katalog!$C$3:$C$12,0))*Data[[#This Row],[Qty A]],0)</f>
        <v>300000</v>
      </c>
      <c r="K94" t="str">
        <f>IFERROR(INDEX(Katalog!$A$3:$A$12,MATCH(Data[[#This Row],[ItemID B]],Katalog!$C$3:$C$12,0)),"-")</f>
        <v>-</v>
      </c>
      <c r="L94" t="str">
        <f>IFERROR(INDEX(Katalog!$B$3:$B$12,MATCH(Data[[#This Row],[ItemID B]],Katalog!$C$3:$C$12,0)),"-")</f>
        <v>-</v>
      </c>
      <c r="O94" s="36" t="str">
        <f>IFERROR(INDEX(Katalog!$D$3:$D$12,MATCH(Data[[#This Row],[ItemID B]],Katalog!$C$3:$C$12,0))*Data[[#This Row],[Qty B]],"0")</f>
        <v>0</v>
      </c>
      <c r="P94" s="36" t="str">
        <f>IFERROR(INDEX(Katalog!$F$3:$F$12,MATCH(Data[[#This Row],[ItemID B]],Katalog!$C$3:$C$12,0))*Data[[#This Row],[Qty B]],"0")</f>
        <v>0</v>
      </c>
      <c r="R94" t="str">
        <f>IFERROR(INDEX(Katalog!$A$3:$A$12,MATCH(Data[[#This Row],[ItemID C]],Katalog!$C$3:$C$12,0)),"-")</f>
        <v>-</v>
      </c>
      <c r="S94" t="str">
        <f>IFERROR(INDEX(Katalog!$B$3:$B$12,MATCH(Data[[#This Row],[ItemID C]],Katalog!$C$3:$C$12,0)),"-")</f>
        <v>-</v>
      </c>
      <c r="V94" s="36" t="str">
        <f>IFERROR(INDEX(Katalog!$D$3:$D$12,MATCH(Data[[#This Row],[ItemID C]],Katalog!$C$3:$C$12,0))*Data[[#This Row],[Qty C]],"0")</f>
        <v>0</v>
      </c>
      <c r="W94" s="36" t="str">
        <f>IFERROR(INDEX(Katalog!$F$3:$F$12,MATCH(Data[[#This Row],[ItemID C]],Katalog!$C$3:$C$12,0))*Data[[#This Row],[Qty C]],"0")</f>
        <v>0</v>
      </c>
      <c r="X94" s="21">
        <f>Data[[#This Row],[Qty A]]+Data[[#This Row],[Qty B]]+Data[[#This Row],[Qty C]]</f>
        <v>3</v>
      </c>
      <c r="Y94" s="22">
        <f>Data[[#This Row],[Harga Barang A]]+Data[[#This Row],[Harga Barang B]]+Data[[#This Row],[Harga Barang C]]</f>
        <v>750000</v>
      </c>
      <c r="Z94" s="35">
        <f>IFERROR(Data[[#This Row],[Total Harga]]-(Data[[#This Row],[Total Harga]]*Data[[#This Row],[Diskon]]),Data[[#This Row],[Total Harga]])</f>
        <v>637500</v>
      </c>
      <c r="AA94" s="35">
        <f>(Data[[#This Row],[Profit A]]+Data[[#This Row],[Profit B]]+Data[[#This Row],[Profit C]])</f>
        <v>300000</v>
      </c>
      <c r="AB94" s="35">
        <f>IFERROR((Data[[#This Row],[Profit non Diskon]]-(Data[[#This Row],[Profit non Diskon]]*Data[[#This Row],[Diskon]])),Data[[#This Row],[Profit non Diskon]])</f>
        <v>255000</v>
      </c>
      <c r="AC94" s="23" t="s">
        <v>28</v>
      </c>
      <c r="AD94" s="37">
        <f>IFERROR(INDEX('Kode Diskon'!$D$3:$D$9,MATCH(Data[[#This Row],[Kode diskon]],'Kode Diskon'!$C$3:$C$9,0)),"-")</f>
        <v>0.15</v>
      </c>
      <c r="AE94" s="23" t="s">
        <v>29</v>
      </c>
      <c r="AF94" s="23" t="s">
        <v>14</v>
      </c>
      <c r="AG94" s="23" t="s">
        <v>80</v>
      </c>
      <c r="AH94" s="24">
        <v>45021</v>
      </c>
      <c r="AI94" s="23" t="str">
        <f>TEXT(Data[[#This Row],[Tanggal terjual]],"dddd")</f>
        <v>Wednesday</v>
      </c>
      <c r="AJ94" s="21" t="str">
        <f>TEXT(Data[[#This Row],[Tanggal terjual]],"wwww")</f>
        <v>wwww</v>
      </c>
    </row>
    <row r="95" spans="1:36" x14ac:dyDescent="0.2">
      <c r="A95" s="20">
        <v>94</v>
      </c>
      <c r="B95" s="21" t="str">
        <f>_xlfn.CONCAT("ORD-",INDEX(Helper!$B$2:$B$5,MATCH(Data[[#This Row],[Marketplace]],Helper!$A$2:$A$5,0)),TEXT(Data[[#This Row],[No]],"0000"),"-",TEXT(Data[[#This Row],[Tanggal terjual]],"dd/mm/yy"))</f>
        <v>ORD-TK0094-26/04/23</v>
      </c>
      <c r="C95" t="s">
        <v>66</v>
      </c>
      <c r="D95" t="str">
        <f>IFERROR(INDEX(Katalog!$A$3:$A$12,MATCH(Data[[#This Row],[ItemID A]],Katalog!$C$3:$C$12,0)),"-")</f>
        <v>Sepatu Pria</v>
      </c>
      <c r="E95" t="str">
        <f>IFERROR(INDEX(Katalog!$B$3:$B$12,MATCH(Data[[#This Row],[ItemID A]],Katalog!$C$3:$C$12,0)),"-")</f>
        <v>Sandal Slip On</v>
      </c>
      <c r="F95">
        <v>1</v>
      </c>
      <c r="G95">
        <v>2</v>
      </c>
      <c r="H95" s="36">
        <f>IFERROR(INDEX(Katalog!$D$3:$D$12,MATCH(Data[[#This Row],[ItemID A]],Katalog!$C$3:$C$12,0))*Data[[#This Row],[Qty A]],"0")</f>
        <v>150000</v>
      </c>
      <c r="I95" s="36">
        <f>IFERROR(INDEX(Katalog!$F$3:$F$12,MATCH(Data[[#This Row],[ItemID A]],Katalog!$C$3:$C$12,0))*Data[[#This Row],[Qty A]],0)</f>
        <v>60000</v>
      </c>
      <c r="J95" t="s">
        <v>62</v>
      </c>
      <c r="K95" t="str">
        <f>IFERROR(INDEX(Katalog!$A$3:$A$12,MATCH(Data[[#This Row],[ItemID B]],Katalog!$C$3:$C$12,0)),"-")</f>
        <v>Pakaian Pria</v>
      </c>
      <c r="L95" t="str">
        <f>IFERROR(INDEX(Katalog!$B$3:$B$12,MATCH(Data[[#This Row],[ItemID B]],Katalog!$C$3:$C$12,0)),"-")</f>
        <v>Celana Pendek</v>
      </c>
      <c r="M95">
        <v>1</v>
      </c>
      <c r="N95">
        <v>1</v>
      </c>
      <c r="O95" s="36">
        <f>IFERROR(INDEX(Katalog!$D$3:$D$12,MATCH(Data[[#This Row],[ItemID B]],Katalog!$C$3:$C$12,0))*Data[[#This Row],[Qty B]],"0")</f>
        <v>180000</v>
      </c>
      <c r="P95" s="36">
        <f>IFERROR(INDEX(Katalog!$F$3:$F$12,MATCH(Data[[#This Row],[ItemID B]],Katalog!$C$3:$C$12,0))*Data[[#This Row],[Qty B]],"0")</f>
        <v>70000</v>
      </c>
      <c r="Q95" t="s">
        <v>63</v>
      </c>
      <c r="R95" t="str">
        <f>IFERROR(INDEX(Katalog!$A$3:$A$12,MATCH(Data[[#This Row],[ItemID C]],Katalog!$C$3:$C$12,0)),"-")</f>
        <v>Pakaian Pria</v>
      </c>
      <c r="S95" t="str">
        <f>IFERROR(INDEX(Katalog!$B$3:$B$12,MATCH(Data[[#This Row],[ItemID C]],Katalog!$C$3:$C$12,0)),"-")</f>
        <v>Jaket Jeans</v>
      </c>
      <c r="T95">
        <v>3</v>
      </c>
      <c r="U95">
        <v>1</v>
      </c>
      <c r="V95" s="36">
        <f>IFERROR(INDEX(Katalog!$D$3:$D$12,MATCH(Data[[#This Row],[ItemID C]],Katalog!$C$3:$C$12,0))*Data[[#This Row],[Qty C]],"0")</f>
        <v>1200000</v>
      </c>
      <c r="W95" s="36">
        <f>IFERROR(INDEX(Katalog!$F$3:$F$12,MATCH(Data[[#This Row],[ItemID C]],Katalog!$C$3:$C$12,0))*Data[[#This Row],[Qty C]],"0")</f>
        <v>450000</v>
      </c>
      <c r="X95" s="21">
        <f>Data[[#This Row],[Qty A]]+Data[[#This Row],[Qty B]]+Data[[#This Row],[Qty C]]</f>
        <v>5</v>
      </c>
      <c r="Y95" s="22">
        <f>Data[[#This Row],[Harga Barang A]]+Data[[#This Row],[Harga Barang B]]+Data[[#This Row],[Harga Barang C]]</f>
        <v>1530000</v>
      </c>
      <c r="Z95" s="35">
        <f>IFERROR(Data[[#This Row],[Total Harga]]-(Data[[#This Row],[Total Harga]]*Data[[#This Row],[Diskon]]),Data[[#This Row],[Total Harga]])</f>
        <v>1377000</v>
      </c>
      <c r="AA95" s="35">
        <f>(Data[[#This Row],[Profit A]]+Data[[#This Row],[Profit B]]+Data[[#This Row],[Profit C]])</f>
        <v>580000</v>
      </c>
      <c r="AB95" s="35">
        <f>IFERROR((Data[[#This Row],[Profit non Diskon]]-(Data[[#This Row],[Profit non Diskon]]*Data[[#This Row],[Diskon]])),Data[[#This Row],[Profit non Diskon]])</f>
        <v>522000</v>
      </c>
      <c r="AC95" s="23" t="s">
        <v>31</v>
      </c>
      <c r="AD95" s="37">
        <f>IFERROR(INDEX('Kode Diskon'!$D$3:$D$9,MATCH(Data[[#This Row],[Kode diskon]],'Kode Diskon'!$C$3:$C$9,0)),"-")</f>
        <v>0.1</v>
      </c>
      <c r="AE95" s="23" t="s">
        <v>9</v>
      </c>
      <c r="AF95" s="23" t="s">
        <v>10</v>
      </c>
      <c r="AG95" s="23" t="s">
        <v>75</v>
      </c>
      <c r="AH95" s="24">
        <v>45042</v>
      </c>
      <c r="AI95" s="23" t="str">
        <f>TEXT(Data[[#This Row],[Tanggal terjual]],"dddd")</f>
        <v>Wednesday</v>
      </c>
      <c r="AJ95" s="21" t="str">
        <f>TEXT(Data[[#This Row],[Tanggal terjual]],"wwww")</f>
        <v>wwww</v>
      </c>
    </row>
    <row r="96" spans="1:36" x14ac:dyDescent="0.2">
      <c r="A96" s="20">
        <v>95</v>
      </c>
      <c r="B96" s="21" t="str">
        <f>_xlfn.CONCAT("ORD-",INDEX(Helper!$B$2:$B$5,MATCH(Data[[#This Row],[Marketplace]],Helper!$A$2:$A$5,0)),TEXT(Data[[#This Row],[No]],"0000"),"-",TEXT(Data[[#This Row],[Tanggal terjual]],"dd/mm/yy"))</f>
        <v>ORD-BB0095-01/04/23</v>
      </c>
      <c r="C96" t="s">
        <v>58</v>
      </c>
      <c r="D96" t="str">
        <f>IFERROR(INDEX(Katalog!$A$3:$A$12,MATCH(Data[[#This Row],[ItemID A]],Katalog!$C$3:$C$12,0)),"-")</f>
        <v>Pakaian Wanita</v>
      </c>
      <c r="E96" t="str">
        <f>IFERROR(INDEX(Katalog!$B$3:$B$12,MATCH(Data[[#This Row],[ItemID A]],Katalog!$C$3:$C$12,0)),"-")</f>
        <v>Dress</v>
      </c>
      <c r="F96">
        <v>5</v>
      </c>
      <c r="G96">
        <v>5</v>
      </c>
      <c r="H96" s="36">
        <f>IFERROR(INDEX(Katalog!$D$3:$D$12,MATCH(Data[[#This Row],[ItemID A]],Katalog!$C$3:$C$12,0))*Data[[#This Row],[Qty A]],"0")</f>
        <v>1500000</v>
      </c>
      <c r="I96" s="36">
        <f>IFERROR(INDEX(Katalog!$F$3:$F$12,MATCH(Data[[#This Row],[ItemID A]],Katalog!$C$3:$C$12,0))*Data[[#This Row],[Qty A]],0)</f>
        <v>500000</v>
      </c>
      <c r="K96" t="str">
        <f>IFERROR(INDEX(Katalog!$A$3:$A$12,MATCH(Data[[#This Row],[ItemID B]],Katalog!$C$3:$C$12,0)),"-")</f>
        <v>-</v>
      </c>
      <c r="L96" t="str">
        <f>IFERROR(INDEX(Katalog!$B$3:$B$12,MATCH(Data[[#This Row],[ItemID B]],Katalog!$C$3:$C$12,0)),"-")</f>
        <v>-</v>
      </c>
      <c r="O96" s="36" t="str">
        <f>IFERROR(INDEX(Katalog!$D$3:$D$12,MATCH(Data[[#This Row],[ItemID B]],Katalog!$C$3:$C$12,0))*Data[[#This Row],[Qty B]],"0")</f>
        <v>0</v>
      </c>
      <c r="P96" s="36" t="str">
        <f>IFERROR(INDEX(Katalog!$F$3:$F$12,MATCH(Data[[#This Row],[ItemID B]],Katalog!$C$3:$C$12,0))*Data[[#This Row],[Qty B]],"0")</f>
        <v>0</v>
      </c>
      <c r="R96" t="str">
        <f>IFERROR(INDEX(Katalog!$A$3:$A$12,MATCH(Data[[#This Row],[ItemID C]],Katalog!$C$3:$C$12,0)),"-")</f>
        <v>-</v>
      </c>
      <c r="S96" t="str">
        <f>IFERROR(INDEX(Katalog!$B$3:$B$12,MATCH(Data[[#This Row],[ItemID C]],Katalog!$C$3:$C$12,0)),"-")</f>
        <v>-</v>
      </c>
      <c r="V96" s="36" t="str">
        <f>IFERROR(INDEX(Katalog!$D$3:$D$12,MATCH(Data[[#This Row],[ItemID C]],Katalog!$C$3:$C$12,0))*Data[[#This Row],[Qty C]],"0")</f>
        <v>0</v>
      </c>
      <c r="W96" s="36" t="str">
        <f>IFERROR(INDEX(Katalog!$F$3:$F$12,MATCH(Data[[#This Row],[ItemID C]],Katalog!$C$3:$C$12,0))*Data[[#This Row],[Qty C]],"0")</f>
        <v>0</v>
      </c>
      <c r="X96" s="21">
        <f>Data[[#This Row],[Qty A]]+Data[[#This Row],[Qty B]]+Data[[#This Row],[Qty C]]</f>
        <v>5</v>
      </c>
      <c r="Y96" s="22">
        <f>Data[[#This Row],[Harga Barang A]]+Data[[#This Row],[Harga Barang B]]+Data[[#This Row],[Harga Barang C]]</f>
        <v>1500000</v>
      </c>
      <c r="Z96" s="35">
        <f>IFERROR(Data[[#This Row],[Total Harga]]-(Data[[#This Row],[Total Harga]]*Data[[#This Row],[Diskon]]),Data[[#This Row],[Total Harga]])</f>
        <v>1275000</v>
      </c>
      <c r="AA96" s="35">
        <f>(Data[[#This Row],[Profit A]]+Data[[#This Row],[Profit B]]+Data[[#This Row],[Profit C]])</f>
        <v>500000</v>
      </c>
      <c r="AB96" s="35">
        <f>IFERROR((Data[[#This Row],[Profit non Diskon]]-(Data[[#This Row],[Profit non Diskon]]*Data[[#This Row],[Diskon]])),Data[[#This Row],[Profit non Diskon]])</f>
        <v>425000</v>
      </c>
      <c r="AC96" s="23" t="s">
        <v>28</v>
      </c>
      <c r="AD96" s="37">
        <f>IFERROR(INDEX('Kode Diskon'!$D$3:$D$9,MATCH(Data[[#This Row],[Kode diskon]],'Kode Diskon'!$C$3:$C$9,0)),"-")</f>
        <v>0.15</v>
      </c>
      <c r="AE96" s="23" t="s">
        <v>29</v>
      </c>
      <c r="AF96" s="23" t="s">
        <v>14</v>
      </c>
      <c r="AG96" s="23" t="s">
        <v>77</v>
      </c>
      <c r="AH96" s="24">
        <v>45017</v>
      </c>
      <c r="AI96" s="23" t="str">
        <f>TEXT(Data[[#This Row],[Tanggal terjual]],"dddd")</f>
        <v>Saturday</v>
      </c>
      <c r="AJ96" s="21" t="str">
        <f>TEXT(Data[[#This Row],[Tanggal terjual]],"wwww")</f>
        <v>wwww</v>
      </c>
    </row>
    <row r="97" spans="1:36" x14ac:dyDescent="0.2">
      <c r="A97" s="20">
        <v>96</v>
      </c>
      <c r="B97" s="21" t="str">
        <f>_xlfn.CONCAT("ORD-",INDEX(Helper!$B$2:$B$5,MATCH(Data[[#This Row],[Marketplace]],Helper!$A$2:$A$5,0)),TEXT(Data[[#This Row],[No]],"0000"),"-",TEXT(Data[[#This Row],[Tanggal terjual]],"dd/mm/yy"))</f>
        <v>ORD-TK0096-17/04/23</v>
      </c>
      <c r="C97" t="s">
        <v>60</v>
      </c>
      <c r="D97" t="str">
        <f>IFERROR(INDEX(Katalog!$A$3:$A$12,MATCH(Data[[#This Row],[ItemID A]],Katalog!$C$3:$C$12,0)),"-")</f>
        <v>Pakaian Wanita</v>
      </c>
      <c r="E97" t="str">
        <f>IFERROR(INDEX(Katalog!$B$3:$B$12,MATCH(Data[[#This Row],[ItemID A]],Katalog!$C$3:$C$12,0)),"-")</f>
        <v>Kaftan</v>
      </c>
      <c r="F97">
        <v>4</v>
      </c>
      <c r="G97">
        <v>5</v>
      </c>
      <c r="H97" s="36">
        <f>IFERROR(INDEX(Katalog!$D$3:$D$12,MATCH(Data[[#This Row],[ItemID A]],Katalog!$C$3:$C$12,0))*Data[[#This Row],[Qty A]],"0")</f>
        <v>1000000</v>
      </c>
      <c r="I97" s="36">
        <f>IFERROR(INDEX(Katalog!$F$3:$F$12,MATCH(Data[[#This Row],[ItemID A]],Katalog!$C$3:$C$12,0))*Data[[#This Row],[Qty A]],0)</f>
        <v>400000</v>
      </c>
      <c r="K97" t="str">
        <f>IFERROR(INDEX(Katalog!$A$3:$A$12,MATCH(Data[[#This Row],[ItemID B]],Katalog!$C$3:$C$12,0)),"-")</f>
        <v>-</v>
      </c>
      <c r="L97" t="str">
        <f>IFERROR(INDEX(Katalog!$B$3:$B$12,MATCH(Data[[#This Row],[ItemID B]],Katalog!$C$3:$C$12,0)),"-")</f>
        <v>-</v>
      </c>
      <c r="O97" s="36" t="str">
        <f>IFERROR(INDEX(Katalog!$D$3:$D$12,MATCH(Data[[#This Row],[ItemID B]],Katalog!$C$3:$C$12,0))*Data[[#This Row],[Qty B]],"0")</f>
        <v>0</v>
      </c>
      <c r="P97" s="36" t="str">
        <f>IFERROR(INDEX(Katalog!$F$3:$F$12,MATCH(Data[[#This Row],[ItemID B]],Katalog!$C$3:$C$12,0))*Data[[#This Row],[Qty B]],"0")</f>
        <v>0</v>
      </c>
      <c r="R97" t="str">
        <f>IFERROR(INDEX(Katalog!$A$3:$A$12,MATCH(Data[[#This Row],[ItemID C]],Katalog!$C$3:$C$12,0)),"-")</f>
        <v>-</v>
      </c>
      <c r="S97" t="str">
        <f>IFERROR(INDEX(Katalog!$B$3:$B$12,MATCH(Data[[#This Row],[ItemID C]],Katalog!$C$3:$C$12,0)),"-")</f>
        <v>-</v>
      </c>
      <c r="V97" s="36" t="str">
        <f>IFERROR(INDEX(Katalog!$D$3:$D$12,MATCH(Data[[#This Row],[ItemID C]],Katalog!$C$3:$C$12,0))*Data[[#This Row],[Qty C]],"0")</f>
        <v>0</v>
      </c>
      <c r="W97" s="36" t="str">
        <f>IFERROR(INDEX(Katalog!$F$3:$F$12,MATCH(Data[[#This Row],[ItemID C]],Katalog!$C$3:$C$12,0))*Data[[#This Row],[Qty C]],"0")</f>
        <v>0</v>
      </c>
      <c r="X97" s="21">
        <f>Data[[#This Row],[Qty A]]+Data[[#This Row],[Qty B]]+Data[[#This Row],[Qty C]]</f>
        <v>4</v>
      </c>
      <c r="Y97" s="22">
        <f>Data[[#This Row],[Harga Barang A]]+Data[[#This Row],[Harga Barang B]]+Data[[#This Row],[Harga Barang C]]</f>
        <v>1000000</v>
      </c>
      <c r="Z97" s="35">
        <f>IFERROR(Data[[#This Row],[Total Harga]]-(Data[[#This Row],[Total Harga]]*Data[[#This Row],[Diskon]]),Data[[#This Row],[Total Harga]])</f>
        <v>900000</v>
      </c>
      <c r="AA97" s="35">
        <f>(Data[[#This Row],[Profit A]]+Data[[#This Row],[Profit B]]+Data[[#This Row],[Profit C]])</f>
        <v>400000</v>
      </c>
      <c r="AB97" s="35">
        <f>IFERROR((Data[[#This Row],[Profit non Diskon]]-(Data[[#This Row],[Profit non Diskon]]*Data[[#This Row],[Diskon]])),Data[[#This Row],[Profit non Diskon]])</f>
        <v>360000</v>
      </c>
      <c r="AC97" s="23" t="s">
        <v>31</v>
      </c>
      <c r="AD97" s="37">
        <f>IFERROR(INDEX('Kode Diskon'!$D$3:$D$9,MATCH(Data[[#This Row],[Kode diskon]],'Kode Diskon'!$C$3:$C$9,0)),"-")</f>
        <v>0.1</v>
      </c>
      <c r="AE97" s="23" t="s">
        <v>9</v>
      </c>
      <c r="AF97" s="23" t="s">
        <v>10</v>
      </c>
      <c r="AG97" s="23" t="s">
        <v>79</v>
      </c>
      <c r="AH97" s="24">
        <v>45033</v>
      </c>
      <c r="AI97" s="23" t="str">
        <f>TEXT(Data[[#This Row],[Tanggal terjual]],"dddd")</f>
        <v>Monday</v>
      </c>
      <c r="AJ97" s="21" t="str">
        <f>TEXT(Data[[#This Row],[Tanggal terjual]],"wwww")</f>
        <v>wwww</v>
      </c>
    </row>
    <row r="98" spans="1:36" x14ac:dyDescent="0.2">
      <c r="A98" s="20">
        <v>97</v>
      </c>
      <c r="B98" s="21" t="str">
        <f>_xlfn.CONCAT("ORD-",INDEX(Helper!$B$2:$B$5,MATCH(Data[[#This Row],[Marketplace]],Helper!$A$2:$A$5,0)),TEXT(Data[[#This Row],[No]],"0000"),"-",TEXT(Data[[#This Row],[Tanggal terjual]],"dd/mm/yy"))</f>
        <v>ORD-SP0097-06/04/23</v>
      </c>
      <c r="C98" t="s">
        <v>58</v>
      </c>
      <c r="D98" t="str">
        <f>IFERROR(INDEX(Katalog!$A$3:$A$12,MATCH(Data[[#This Row],[ItemID A]],Katalog!$C$3:$C$12,0)),"-")</f>
        <v>Pakaian Wanita</v>
      </c>
      <c r="E98" t="str">
        <f>IFERROR(INDEX(Katalog!$B$3:$B$12,MATCH(Data[[#This Row],[ItemID A]],Katalog!$C$3:$C$12,0)),"-")</f>
        <v>Dress</v>
      </c>
      <c r="F98">
        <v>1</v>
      </c>
      <c r="G98">
        <v>1</v>
      </c>
      <c r="H98" s="36">
        <f>IFERROR(INDEX(Katalog!$D$3:$D$12,MATCH(Data[[#This Row],[ItemID A]],Katalog!$C$3:$C$12,0))*Data[[#This Row],[Qty A]],"0")</f>
        <v>300000</v>
      </c>
      <c r="I98" s="36">
        <f>IFERROR(INDEX(Katalog!$F$3:$F$12,MATCH(Data[[#This Row],[ItemID A]],Katalog!$C$3:$C$12,0))*Data[[#This Row],[Qty A]],0)</f>
        <v>100000</v>
      </c>
      <c r="J98" t="s">
        <v>64</v>
      </c>
      <c r="K98" t="str">
        <f>IFERROR(INDEX(Katalog!$A$3:$A$12,MATCH(Data[[#This Row],[ItemID B]],Katalog!$C$3:$C$12,0)),"-")</f>
        <v>Pakaian Unisex</v>
      </c>
      <c r="L98" t="str">
        <f>IFERROR(INDEX(Katalog!$B$3:$B$12,MATCH(Data[[#This Row],[ItemID B]],Katalog!$C$3:$C$12,0)),"-")</f>
        <v>Jaket Hoodie</v>
      </c>
      <c r="M98">
        <v>1</v>
      </c>
      <c r="N98">
        <v>5</v>
      </c>
      <c r="O98" s="36">
        <f>IFERROR(INDEX(Katalog!$D$3:$D$12,MATCH(Data[[#This Row],[ItemID B]],Katalog!$C$3:$C$12,0))*Data[[#This Row],[Qty B]],"0")</f>
        <v>350000</v>
      </c>
      <c r="P98" s="36">
        <f>IFERROR(INDEX(Katalog!$F$3:$F$12,MATCH(Data[[#This Row],[ItemID B]],Katalog!$C$3:$C$12,0))*Data[[#This Row],[Qty B]],"0")</f>
        <v>130000</v>
      </c>
      <c r="R98" t="str">
        <f>IFERROR(INDEX(Katalog!$A$3:$A$12,MATCH(Data[[#This Row],[ItemID C]],Katalog!$C$3:$C$12,0)),"-")</f>
        <v>-</v>
      </c>
      <c r="S98" t="str">
        <f>IFERROR(INDEX(Katalog!$B$3:$B$12,MATCH(Data[[#This Row],[ItemID C]],Katalog!$C$3:$C$12,0)),"-")</f>
        <v>-</v>
      </c>
      <c r="V98" s="36" t="str">
        <f>IFERROR(INDEX(Katalog!$D$3:$D$12,MATCH(Data[[#This Row],[ItemID C]],Katalog!$C$3:$C$12,0))*Data[[#This Row],[Qty C]],"0")</f>
        <v>0</v>
      </c>
      <c r="W98" s="36" t="str">
        <f>IFERROR(INDEX(Katalog!$F$3:$F$12,MATCH(Data[[#This Row],[ItemID C]],Katalog!$C$3:$C$12,0))*Data[[#This Row],[Qty C]],"0")</f>
        <v>0</v>
      </c>
      <c r="X98" s="21">
        <f>Data[[#This Row],[Qty A]]+Data[[#This Row],[Qty B]]+Data[[#This Row],[Qty C]]</f>
        <v>2</v>
      </c>
      <c r="Y98" s="22">
        <f>Data[[#This Row],[Harga Barang A]]+Data[[#This Row],[Harga Barang B]]+Data[[#This Row],[Harga Barang C]]</f>
        <v>650000</v>
      </c>
      <c r="Z98" s="35">
        <f>IFERROR(Data[[#This Row],[Total Harga]]-(Data[[#This Row],[Total Harga]]*Data[[#This Row],[Diskon]]),Data[[#This Row],[Total Harga]])</f>
        <v>585000</v>
      </c>
      <c r="AA98" s="35">
        <f>(Data[[#This Row],[Profit A]]+Data[[#This Row],[Profit B]]+Data[[#This Row],[Profit C]])</f>
        <v>230000</v>
      </c>
      <c r="AB98" s="35">
        <f>IFERROR((Data[[#This Row],[Profit non Diskon]]-(Data[[#This Row],[Profit non Diskon]]*Data[[#This Row],[Diskon]])),Data[[#This Row],[Profit non Diskon]])</f>
        <v>207000</v>
      </c>
      <c r="AC98" s="23" t="s">
        <v>6</v>
      </c>
      <c r="AD98" s="37">
        <f>IFERROR(INDEX('Kode Diskon'!$D$3:$D$9,MATCH(Data[[#This Row],[Kode diskon]],'Kode Diskon'!$C$3:$C$9,0)),"-")</f>
        <v>0.1</v>
      </c>
      <c r="AE98" s="23" t="s">
        <v>29</v>
      </c>
      <c r="AF98" s="23" t="s">
        <v>7</v>
      </c>
      <c r="AG98" s="23" t="s">
        <v>80</v>
      </c>
      <c r="AH98" s="24">
        <v>45022</v>
      </c>
      <c r="AI98" s="23" t="str">
        <f>TEXT(Data[[#This Row],[Tanggal terjual]],"dddd")</f>
        <v>Thursday</v>
      </c>
      <c r="AJ98" s="21" t="str">
        <f>TEXT(Data[[#This Row],[Tanggal terjual]],"wwww")</f>
        <v>wwww</v>
      </c>
    </row>
    <row r="99" spans="1:36" x14ac:dyDescent="0.2">
      <c r="A99" s="20">
        <v>98</v>
      </c>
      <c r="B99" s="21" t="str">
        <f>_xlfn.CONCAT("ORD-",INDEX(Helper!$B$2:$B$5,MATCH(Data[[#This Row],[Marketplace]],Helper!$A$2:$A$5,0)),TEXT(Data[[#This Row],[No]],"0000"),"-",TEXT(Data[[#This Row],[Tanggal terjual]],"dd/mm/yy"))</f>
        <v>ORD-SP0098-20/04/23</v>
      </c>
      <c r="C99" t="s">
        <v>64</v>
      </c>
      <c r="D99" t="str">
        <f>IFERROR(INDEX(Katalog!$A$3:$A$12,MATCH(Data[[#This Row],[ItemID A]],Katalog!$C$3:$C$12,0)),"-")</f>
        <v>Pakaian Unisex</v>
      </c>
      <c r="E99" t="str">
        <f>IFERROR(INDEX(Katalog!$B$3:$B$12,MATCH(Data[[#This Row],[ItemID A]],Katalog!$C$3:$C$12,0)),"-")</f>
        <v>Jaket Hoodie</v>
      </c>
      <c r="F99">
        <v>1</v>
      </c>
      <c r="G99">
        <v>3</v>
      </c>
      <c r="H99" s="36">
        <f>IFERROR(INDEX(Katalog!$D$3:$D$12,MATCH(Data[[#This Row],[ItemID A]],Katalog!$C$3:$C$12,0))*Data[[#This Row],[Qty A]],"0")</f>
        <v>350000</v>
      </c>
      <c r="I99" s="36">
        <f>IFERROR(INDEX(Katalog!$F$3:$F$12,MATCH(Data[[#This Row],[ItemID A]],Katalog!$C$3:$C$12,0))*Data[[#This Row],[Qty A]],0)</f>
        <v>130000</v>
      </c>
      <c r="J99" t="s">
        <v>66</v>
      </c>
      <c r="K99" t="str">
        <f>IFERROR(INDEX(Katalog!$A$3:$A$12,MATCH(Data[[#This Row],[ItemID B]],Katalog!$C$3:$C$12,0)),"-")</f>
        <v>Sepatu Pria</v>
      </c>
      <c r="L99" t="str">
        <f>IFERROR(INDEX(Katalog!$B$3:$B$12,MATCH(Data[[#This Row],[ItemID B]],Katalog!$C$3:$C$12,0)),"-")</f>
        <v>Sandal Slip On</v>
      </c>
      <c r="M99">
        <v>2</v>
      </c>
      <c r="N99">
        <v>4</v>
      </c>
      <c r="O99" s="36">
        <f>IFERROR(INDEX(Katalog!$D$3:$D$12,MATCH(Data[[#This Row],[ItemID B]],Katalog!$C$3:$C$12,0))*Data[[#This Row],[Qty B]],"0")</f>
        <v>300000</v>
      </c>
      <c r="P99" s="36">
        <f>IFERROR(INDEX(Katalog!$F$3:$F$12,MATCH(Data[[#This Row],[ItemID B]],Katalog!$C$3:$C$12,0))*Data[[#This Row],[Qty B]],"0")</f>
        <v>120000</v>
      </c>
      <c r="Q99" t="s">
        <v>58</v>
      </c>
      <c r="R99" t="str">
        <f>IFERROR(INDEX(Katalog!$A$3:$A$12,MATCH(Data[[#This Row],[ItemID C]],Katalog!$C$3:$C$12,0)),"-")</f>
        <v>Pakaian Wanita</v>
      </c>
      <c r="S99" t="str">
        <f>IFERROR(INDEX(Katalog!$B$3:$B$12,MATCH(Data[[#This Row],[ItemID C]],Katalog!$C$3:$C$12,0)),"-")</f>
        <v>Dress</v>
      </c>
      <c r="T99">
        <v>1</v>
      </c>
      <c r="U99">
        <v>5</v>
      </c>
      <c r="V99" s="36">
        <f>IFERROR(INDEX(Katalog!$D$3:$D$12,MATCH(Data[[#This Row],[ItemID C]],Katalog!$C$3:$C$12,0))*Data[[#This Row],[Qty C]],"0")</f>
        <v>300000</v>
      </c>
      <c r="W99" s="36">
        <f>IFERROR(INDEX(Katalog!$F$3:$F$12,MATCH(Data[[#This Row],[ItemID C]],Katalog!$C$3:$C$12,0))*Data[[#This Row],[Qty C]],"0")</f>
        <v>100000</v>
      </c>
      <c r="X99" s="21">
        <f>Data[[#This Row],[Qty A]]+Data[[#This Row],[Qty B]]+Data[[#This Row],[Qty C]]</f>
        <v>4</v>
      </c>
      <c r="Y99" s="22">
        <f>Data[[#This Row],[Harga Barang A]]+Data[[#This Row],[Harga Barang B]]+Data[[#This Row],[Harga Barang C]]</f>
        <v>950000</v>
      </c>
      <c r="Z99" s="35">
        <f>IFERROR(Data[[#This Row],[Total Harga]]-(Data[[#This Row],[Total Harga]]*Data[[#This Row],[Diskon]]),Data[[#This Row],[Total Harga]])</f>
        <v>760000</v>
      </c>
      <c r="AA99" s="35">
        <f>(Data[[#This Row],[Profit A]]+Data[[#This Row],[Profit B]]+Data[[#This Row],[Profit C]])</f>
        <v>350000</v>
      </c>
      <c r="AB99" s="35">
        <f>IFERROR((Data[[#This Row],[Profit non Diskon]]-(Data[[#This Row],[Profit non Diskon]]*Data[[#This Row],[Diskon]])),Data[[#This Row],[Profit non Diskon]])</f>
        <v>280000</v>
      </c>
      <c r="AC99" s="23" t="s">
        <v>8</v>
      </c>
      <c r="AD99" s="37">
        <f>IFERROR(INDEX('Kode Diskon'!$D$3:$D$9,MATCH(Data[[#This Row],[Kode diskon]],'Kode Diskon'!$C$3:$C$9,0)),"-")</f>
        <v>0.2</v>
      </c>
      <c r="AE99" s="23" t="s">
        <v>9</v>
      </c>
      <c r="AF99" s="23" t="s">
        <v>7</v>
      </c>
      <c r="AG99" s="23" t="s">
        <v>79</v>
      </c>
      <c r="AH99" s="24">
        <v>45036</v>
      </c>
      <c r="AI99" s="23" t="str">
        <f>TEXT(Data[[#This Row],[Tanggal terjual]],"dddd")</f>
        <v>Thursday</v>
      </c>
      <c r="AJ99" s="21" t="str">
        <f>TEXT(Data[[#This Row],[Tanggal terjual]],"wwww")</f>
        <v>wwww</v>
      </c>
    </row>
    <row r="100" spans="1:36" x14ac:dyDescent="0.2">
      <c r="A100" s="20">
        <v>99</v>
      </c>
      <c r="B100" s="21" t="str">
        <f>_xlfn.CONCAT("ORD-",INDEX(Helper!$B$2:$B$5,MATCH(Data[[#This Row],[Marketplace]],Helper!$A$2:$A$5,0)),TEXT(Data[[#This Row],[No]],"0000"),"-",TEXT(Data[[#This Row],[Tanggal terjual]],"dd/mm/yy"))</f>
        <v>ORD-TK0099-06/04/23</v>
      </c>
      <c r="C100" t="s">
        <v>62</v>
      </c>
      <c r="D100" t="str">
        <f>IFERROR(INDEX(Katalog!$A$3:$A$12,MATCH(Data[[#This Row],[ItemID A]],Katalog!$C$3:$C$12,0)),"-")</f>
        <v>Pakaian Pria</v>
      </c>
      <c r="E100" t="str">
        <f>IFERROR(INDEX(Katalog!$B$3:$B$12,MATCH(Data[[#This Row],[ItemID A]],Katalog!$C$3:$C$12,0)),"-")</f>
        <v>Celana Pendek</v>
      </c>
      <c r="F100">
        <v>3</v>
      </c>
      <c r="G100">
        <v>5</v>
      </c>
      <c r="H100" s="36">
        <f>IFERROR(INDEX(Katalog!$D$3:$D$12,MATCH(Data[[#This Row],[ItemID A]],Katalog!$C$3:$C$12,0))*Data[[#This Row],[Qty A]],"0")</f>
        <v>540000</v>
      </c>
      <c r="I100" s="36">
        <f>IFERROR(INDEX(Katalog!$F$3:$F$12,MATCH(Data[[#This Row],[ItemID A]],Katalog!$C$3:$C$12,0))*Data[[#This Row],[Qty A]],0)</f>
        <v>210000</v>
      </c>
      <c r="J100" t="s">
        <v>59</v>
      </c>
      <c r="K100" t="str">
        <f>IFERROR(INDEX(Katalog!$A$3:$A$12,MATCH(Data[[#This Row],[ItemID B]],Katalog!$C$3:$C$12,0)),"-")</f>
        <v>Pakaian Wanita</v>
      </c>
      <c r="L100" t="str">
        <f>IFERROR(INDEX(Katalog!$B$3:$B$12,MATCH(Data[[#This Row],[ItemID B]],Katalog!$C$3:$C$12,0)),"-")</f>
        <v>Blouse</v>
      </c>
      <c r="M100">
        <v>1</v>
      </c>
      <c r="N100">
        <v>5</v>
      </c>
      <c r="O100" s="36">
        <f>IFERROR(INDEX(Katalog!$D$3:$D$12,MATCH(Data[[#This Row],[ItemID B]],Katalog!$C$3:$C$12,0))*Data[[#This Row],[Qty B]],"0")</f>
        <v>150000</v>
      </c>
      <c r="P100" s="36">
        <f>IFERROR(INDEX(Katalog!$F$3:$F$12,MATCH(Data[[#This Row],[ItemID B]],Katalog!$C$3:$C$12,0))*Data[[#This Row],[Qty B]],"0")</f>
        <v>50000</v>
      </c>
      <c r="Q100" t="s">
        <v>62</v>
      </c>
      <c r="R100" t="str">
        <f>IFERROR(INDEX(Katalog!$A$3:$A$12,MATCH(Data[[#This Row],[ItemID C]],Katalog!$C$3:$C$12,0)),"-")</f>
        <v>Pakaian Pria</v>
      </c>
      <c r="S100" t="str">
        <f>IFERROR(INDEX(Katalog!$B$3:$B$12,MATCH(Data[[#This Row],[ItemID C]],Katalog!$C$3:$C$12,0)),"-")</f>
        <v>Celana Pendek</v>
      </c>
      <c r="T100">
        <v>1</v>
      </c>
      <c r="U100">
        <v>3</v>
      </c>
      <c r="V100" s="36">
        <f>IFERROR(INDEX(Katalog!$D$3:$D$12,MATCH(Data[[#This Row],[ItemID C]],Katalog!$C$3:$C$12,0))*Data[[#This Row],[Qty C]],"0")</f>
        <v>180000</v>
      </c>
      <c r="W100" s="36">
        <f>IFERROR(INDEX(Katalog!$F$3:$F$12,MATCH(Data[[#This Row],[ItemID C]],Katalog!$C$3:$C$12,0))*Data[[#This Row],[Qty C]],"0")</f>
        <v>70000</v>
      </c>
      <c r="X100" s="21">
        <f>Data[[#This Row],[Qty A]]+Data[[#This Row],[Qty B]]+Data[[#This Row],[Qty C]]</f>
        <v>5</v>
      </c>
      <c r="Y100" s="22">
        <f>Data[[#This Row],[Harga Barang A]]+Data[[#This Row],[Harga Barang B]]+Data[[#This Row],[Harga Barang C]]</f>
        <v>870000</v>
      </c>
      <c r="Z100" s="35">
        <f>IFERROR(Data[[#This Row],[Total Harga]]-(Data[[#This Row],[Total Harga]]*Data[[#This Row],[Diskon]]),Data[[#This Row],[Total Harga]])</f>
        <v>783000</v>
      </c>
      <c r="AA100" s="35">
        <f>(Data[[#This Row],[Profit A]]+Data[[#This Row],[Profit B]]+Data[[#This Row],[Profit C]])</f>
        <v>330000</v>
      </c>
      <c r="AB100" s="35">
        <f>IFERROR((Data[[#This Row],[Profit non Diskon]]-(Data[[#This Row],[Profit non Diskon]]*Data[[#This Row],[Diskon]])),Data[[#This Row],[Profit non Diskon]])</f>
        <v>297000</v>
      </c>
      <c r="AC100" s="23" t="s">
        <v>30</v>
      </c>
      <c r="AD100" s="37">
        <f>IFERROR(INDEX('Kode Diskon'!$D$3:$D$9,MATCH(Data[[#This Row],[Kode diskon]],'Kode Diskon'!$C$3:$C$9,0)),"-")</f>
        <v>0.1</v>
      </c>
      <c r="AE100" s="23" t="s">
        <v>29</v>
      </c>
      <c r="AF100" s="23" t="s">
        <v>10</v>
      </c>
      <c r="AG100" s="23" t="s">
        <v>79</v>
      </c>
      <c r="AH100" s="24">
        <v>45022</v>
      </c>
      <c r="AI100" s="23" t="str">
        <f>TEXT(Data[[#This Row],[Tanggal terjual]],"dddd")</f>
        <v>Thursday</v>
      </c>
      <c r="AJ100" s="21" t="str">
        <f>TEXT(Data[[#This Row],[Tanggal terjual]],"wwww")</f>
        <v>wwww</v>
      </c>
    </row>
    <row r="101" spans="1:36" x14ac:dyDescent="0.2">
      <c r="A101" s="20">
        <v>100</v>
      </c>
      <c r="B101" s="21" t="str">
        <f>_xlfn.CONCAT("ORD-",INDEX(Helper!$B$2:$B$5,MATCH(Data[[#This Row],[Marketplace]],Helper!$A$2:$A$5,0)),TEXT(Data[[#This Row],[No]],"0000"),"-",TEXT(Data[[#This Row],[Tanggal terjual]],"dd/mm/yy"))</f>
        <v>ORD-TK0100-04/04/23</v>
      </c>
      <c r="C101" t="s">
        <v>67</v>
      </c>
      <c r="D101" t="str">
        <f>IFERROR(INDEX(Katalog!$A$3:$A$12,MATCH(Data[[#This Row],[ItemID A]],Katalog!$C$3:$C$12,0)),"-")</f>
        <v>Sepatu Wanita</v>
      </c>
      <c r="E101" t="str">
        <f>IFERROR(INDEX(Katalog!$B$3:$B$12,MATCH(Data[[#This Row],[ItemID A]],Katalog!$C$3:$C$12,0)),"-")</f>
        <v>Flat Shoes</v>
      </c>
      <c r="F101">
        <v>1</v>
      </c>
      <c r="G101">
        <v>1</v>
      </c>
      <c r="H101" s="36">
        <f>IFERROR(INDEX(Katalog!$D$3:$D$12,MATCH(Data[[#This Row],[ItemID A]],Katalog!$C$3:$C$12,0))*Data[[#This Row],[Qty A]],"0")</f>
        <v>250000</v>
      </c>
      <c r="I101" s="36">
        <f>IFERROR(INDEX(Katalog!$F$3:$F$12,MATCH(Data[[#This Row],[ItemID A]],Katalog!$C$3:$C$12,0))*Data[[#This Row],[Qty A]],0)</f>
        <v>100000</v>
      </c>
      <c r="J101" t="s">
        <v>65</v>
      </c>
      <c r="K101" t="str">
        <f>IFERROR(INDEX(Katalog!$A$3:$A$12,MATCH(Data[[#This Row],[ItemID B]],Katalog!$C$3:$C$12,0)),"-")</f>
        <v>Sepatu Pria</v>
      </c>
      <c r="L101" t="str">
        <f>IFERROR(INDEX(Katalog!$B$3:$B$12,MATCH(Data[[#This Row],[ItemID B]],Katalog!$C$3:$C$12,0)),"-")</f>
        <v>Sneakers</v>
      </c>
      <c r="M101">
        <v>1</v>
      </c>
      <c r="N101">
        <v>2</v>
      </c>
      <c r="O101" s="36">
        <f>IFERROR(INDEX(Katalog!$D$3:$D$12,MATCH(Data[[#This Row],[ItemID B]],Katalog!$C$3:$C$12,0))*Data[[#This Row],[Qty B]],"0")</f>
        <v>500000</v>
      </c>
      <c r="P101" s="36">
        <f>IFERROR(INDEX(Katalog!$F$3:$F$12,MATCH(Data[[#This Row],[ItemID B]],Katalog!$C$3:$C$12,0))*Data[[#This Row],[Qty B]],"0")</f>
        <v>200000</v>
      </c>
      <c r="Q101" t="s">
        <v>67</v>
      </c>
      <c r="R101" t="str">
        <f>IFERROR(INDEX(Katalog!$A$3:$A$12,MATCH(Data[[#This Row],[ItemID C]],Katalog!$C$3:$C$12,0)),"-")</f>
        <v>Sepatu Wanita</v>
      </c>
      <c r="S101" t="str">
        <f>IFERROR(INDEX(Katalog!$B$3:$B$12,MATCH(Data[[#This Row],[ItemID C]],Katalog!$C$3:$C$12,0)),"-")</f>
        <v>Flat Shoes</v>
      </c>
      <c r="T101">
        <v>1</v>
      </c>
      <c r="U101">
        <v>1</v>
      </c>
      <c r="V101" s="36">
        <f>IFERROR(INDEX(Katalog!$D$3:$D$12,MATCH(Data[[#This Row],[ItemID C]],Katalog!$C$3:$C$12,0))*Data[[#This Row],[Qty C]],"0")</f>
        <v>250000</v>
      </c>
      <c r="W101" s="36">
        <f>IFERROR(INDEX(Katalog!$F$3:$F$12,MATCH(Data[[#This Row],[ItemID C]],Katalog!$C$3:$C$12,0))*Data[[#This Row],[Qty C]],"0")</f>
        <v>100000</v>
      </c>
      <c r="X101" s="21">
        <f>Data[[#This Row],[Qty A]]+Data[[#This Row],[Qty B]]+Data[[#This Row],[Qty C]]</f>
        <v>3</v>
      </c>
      <c r="Y101" s="22">
        <f>Data[[#This Row],[Harga Barang A]]+Data[[#This Row],[Harga Barang B]]+Data[[#This Row],[Harga Barang C]]</f>
        <v>1000000</v>
      </c>
      <c r="Z101" s="35">
        <f>IFERROR(Data[[#This Row],[Total Harga]]-(Data[[#This Row],[Total Harga]]*Data[[#This Row],[Diskon]]),Data[[#This Row],[Total Harga]])</f>
        <v>900000</v>
      </c>
      <c r="AA101" s="35">
        <f>(Data[[#This Row],[Profit A]]+Data[[#This Row],[Profit B]]+Data[[#This Row],[Profit C]])</f>
        <v>400000</v>
      </c>
      <c r="AB101" s="35">
        <f>IFERROR((Data[[#This Row],[Profit non Diskon]]-(Data[[#This Row],[Profit non Diskon]]*Data[[#This Row],[Diskon]])),Data[[#This Row],[Profit non Diskon]])</f>
        <v>360000</v>
      </c>
      <c r="AC101" s="23" t="s">
        <v>30</v>
      </c>
      <c r="AD101" s="37">
        <f>IFERROR(INDEX('Kode Diskon'!$D$3:$D$9,MATCH(Data[[#This Row],[Kode diskon]],'Kode Diskon'!$C$3:$C$9,0)),"-")</f>
        <v>0.1</v>
      </c>
      <c r="AE101" s="23" t="s">
        <v>29</v>
      </c>
      <c r="AF101" s="23" t="s">
        <v>10</v>
      </c>
      <c r="AG101" s="23" t="s">
        <v>76</v>
      </c>
      <c r="AH101" s="24">
        <v>45020</v>
      </c>
      <c r="AI101" s="23" t="str">
        <f>TEXT(Data[[#This Row],[Tanggal terjual]],"dddd")</f>
        <v>Tuesday</v>
      </c>
      <c r="AJ101" s="21" t="str">
        <f>TEXT(Data[[#This Row],[Tanggal terjual]],"wwww")</f>
        <v>wwww</v>
      </c>
    </row>
    <row r="102" spans="1:36" x14ac:dyDescent="0.2">
      <c r="A102" s="20">
        <v>101</v>
      </c>
      <c r="B102" s="21" t="str">
        <f>_xlfn.CONCAT("ORD-",INDEX(Helper!$B$2:$B$5,MATCH(Data[[#This Row],[Marketplace]],Helper!$A$2:$A$5,0)),TEXT(Data[[#This Row],[No]],"0000"),"-",TEXT(Data[[#This Row],[Tanggal terjual]],"dd/mm/yy"))</f>
        <v>ORD-SP0101-09/04/23</v>
      </c>
      <c r="C102" t="s">
        <v>65</v>
      </c>
      <c r="D102" t="str">
        <f>IFERROR(INDEX(Katalog!$A$3:$A$12,MATCH(Data[[#This Row],[ItemID A]],Katalog!$C$3:$C$12,0)),"-")</f>
        <v>Sepatu Pria</v>
      </c>
      <c r="E102" t="str">
        <f>IFERROR(INDEX(Katalog!$B$3:$B$12,MATCH(Data[[#This Row],[ItemID A]],Katalog!$C$3:$C$12,0)),"-")</f>
        <v>Sneakers</v>
      </c>
      <c r="F102">
        <v>4</v>
      </c>
      <c r="G102">
        <v>5</v>
      </c>
      <c r="H102" s="36">
        <f>IFERROR(INDEX(Katalog!$D$3:$D$12,MATCH(Data[[#This Row],[ItemID A]],Katalog!$C$3:$C$12,0))*Data[[#This Row],[Qty A]],"0")</f>
        <v>2000000</v>
      </c>
      <c r="I102" s="36">
        <f>IFERROR(INDEX(Katalog!$F$3:$F$12,MATCH(Data[[#This Row],[ItemID A]],Katalog!$C$3:$C$12,0))*Data[[#This Row],[Qty A]],0)</f>
        <v>800000</v>
      </c>
      <c r="J102" t="s">
        <v>63</v>
      </c>
      <c r="K102" t="str">
        <f>IFERROR(INDEX(Katalog!$A$3:$A$12,MATCH(Data[[#This Row],[ItemID B]],Katalog!$C$3:$C$12,0)),"-")</f>
        <v>Pakaian Pria</v>
      </c>
      <c r="L102" t="str">
        <f>IFERROR(INDEX(Katalog!$B$3:$B$12,MATCH(Data[[#This Row],[ItemID B]],Katalog!$C$3:$C$12,0)),"-")</f>
        <v>Jaket Jeans</v>
      </c>
      <c r="M102">
        <v>1</v>
      </c>
      <c r="N102">
        <v>1</v>
      </c>
      <c r="O102" s="36">
        <f>IFERROR(INDEX(Katalog!$D$3:$D$12,MATCH(Data[[#This Row],[ItemID B]],Katalog!$C$3:$C$12,0))*Data[[#This Row],[Qty B]],"0")</f>
        <v>400000</v>
      </c>
      <c r="P102" s="36">
        <f>IFERROR(INDEX(Katalog!$F$3:$F$12,MATCH(Data[[#This Row],[ItemID B]],Katalog!$C$3:$C$12,0))*Data[[#This Row],[Qty B]],"0")</f>
        <v>150000</v>
      </c>
      <c r="R102" t="str">
        <f>IFERROR(INDEX(Katalog!$A$3:$A$12,MATCH(Data[[#This Row],[ItemID C]],Katalog!$C$3:$C$12,0)),"-")</f>
        <v>-</v>
      </c>
      <c r="S102" t="str">
        <f>IFERROR(INDEX(Katalog!$B$3:$B$12,MATCH(Data[[#This Row],[ItemID C]],Katalog!$C$3:$C$12,0)),"-")</f>
        <v>-</v>
      </c>
      <c r="V102" s="36" t="str">
        <f>IFERROR(INDEX(Katalog!$D$3:$D$12,MATCH(Data[[#This Row],[ItemID C]],Katalog!$C$3:$C$12,0))*Data[[#This Row],[Qty C]],"0")</f>
        <v>0</v>
      </c>
      <c r="W102" s="36" t="str">
        <f>IFERROR(INDEX(Katalog!$F$3:$F$12,MATCH(Data[[#This Row],[ItemID C]],Katalog!$C$3:$C$12,0))*Data[[#This Row],[Qty C]],"0")</f>
        <v>0</v>
      </c>
      <c r="X102" s="21">
        <f>Data[[#This Row],[Qty A]]+Data[[#This Row],[Qty B]]+Data[[#This Row],[Qty C]]</f>
        <v>5</v>
      </c>
      <c r="Y102" s="22">
        <f>Data[[#This Row],[Harga Barang A]]+Data[[#This Row],[Harga Barang B]]+Data[[#This Row],[Harga Barang C]]</f>
        <v>2400000</v>
      </c>
      <c r="Z102" s="35">
        <f>IFERROR(Data[[#This Row],[Total Harga]]-(Data[[#This Row],[Total Harga]]*Data[[#This Row],[Diskon]]),Data[[#This Row],[Total Harga]])</f>
        <v>2400000</v>
      </c>
      <c r="AA102" s="35">
        <f>(Data[[#This Row],[Profit A]]+Data[[#This Row],[Profit B]]+Data[[#This Row],[Profit C]])</f>
        <v>950000</v>
      </c>
      <c r="AB102" s="35">
        <f>IFERROR((Data[[#This Row],[Profit non Diskon]]-(Data[[#This Row],[Profit non Diskon]]*Data[[#This Row],[Diskon]])),Data[[#This Row],[Profit non Diskon]])</f>
        <v>950000</v>
      </c>
      <c r="AC102" s="23" t="s">
        <v>11</v>
      </c>
      <c r="AD102" s="37" t="str">
        <f>IFERROR(INDEX('Kode Diskon'!$D$3:$D$9,MATCH(Data[[#This Row],[Kode diskon]],'Kode Diskon'!$C$3:$C$9,0)),"-")</f>
        <v>-</v>
      </c>
      <c r="AE102" s="23" t="s">
        <v>11</v>
      </c>
      <c r="AF102" s="23" t="s">
        <v>7</v>
      </c>
      <c r="AG102" s="23" t="s">
        <v>80</v>
      </c>
      <c r="AH102" s="24">
        <v>45025</v>
      </c>
      <c r="AI102" s="23" t="str">
        <f>TEXT(Data[[#This Row],[Tanggal terjual]],"dddd")</f>
        <v>Sunday</v>
      </c>
      <c r="AJ102" s="21" t="str">
        <f>TEXT(Data[[#This Row],[Tanggal terjual]],"wwww")</f>
        <v>wwww</v>
      </c>
    </row>
    <row r="103" spans="1:36" x14ac:dyDescent="0.2">
      <c r="A103" s="20">
        <v>102</v>
      </c>
      <c r="B103" s="21" t="str">
        <f>_xlfn.CONCAT("ORD-",INDEX(Helper!$B$2:$B$5,MATCH(Data[[#This Row],[Marketplace]],Helper!$A$2:$A$5,0)),TEXT(Data[[#This Row],[No]],"0000"),"-",TEXT(Data[[#This Row],[Tanggal terjual]],"dd/mm/yy"))</f>
        <v>ORD-TK0102-04/04/23</v>
      </c>
      <c r="C103" t="s">
        <v>63</v>
      </c>
      <c r="D103" t="str">
        <f>IFERROR(INDEX(Katalog!$A$3:$A$12,MATCH(Data[[#This Row],[ItemID A]],Katalog!$C$3:$C$12,0)),"-")</f>
        <v>Pakaian Pria</v>
      </c>
      <c r="E103" t="str">
        <f>IFERROR(INDEX(Katalog!$B$3:$B$12,MATCH(Data[[#This Row],[ItemID A]],Katalog!$C$3:$C$12,0)),"-")</f>
        <v>Jaket Jeans</v>
      </c>
      <c r="F103">
        <v>3</v>
      </c>
      <c r="G103">
        <v>4</v>
      </c>
      <c r="H103" s="36">
        <f>IFERROR(INDEX(Katalog!$D$3:$D$12,MATCH(Data[[#This Row],[ItemID A]],Katalog!$C$3:$C$12,0))*Data[[#This Row],[Qty A]],"0")</f>
        <v>1200000</v>
      </c>
      <c r="I103" s="36">
        <f>IFERROR(INDEX(Katalog!$F$3:$F$12,MATCH(Data[[#This Row],[ItemID A]],Katalog!$C$3:$C$12,0))*Data[[#This Row],[Qty A]],0)</f>
        <v>450000</v>
      </c>
      <c r="J103" t="s">
        <v>67</v>
      </c>
      <c r="K103" t="str">
        <f>IFERROR(INDEX(Katalog!$A$3:$A$12,MATCH(Data[[#This Row],[ItemID B]],Katalog!$C$3:$C$12,0)),"-")</f>
        <v>Sepatu Wanita</v>
      </c>
      <c r="L103" t="str">
        <f>IFERROR(INDEX(Katalog!$B$3:$B$12,MATCH(Data[[#This Row],[ItemID B]],Katalog!$C$3:$C$12,0)),"-")</f>
        <v>Flat Shoes</v>
      </c>
      <c r="M103">
        <v>1</v>
      </c>
      <c r="N103">
        <v>1</v>
      </c>
      <c r="O103" s="36">
        <f>IFERROR(INDEX(Katalog!$D$3:$D$12,MATCH(Data[[#This Row],[ItemID B]],Katalog!$C$3:$C$12,0))*Data[[#This Row],[Qty B]],"0")</f>
        <v>250000</v>
      </c>
      <c r="P103" s="36">
        <f>IFERROR(INDEX(Katalog!$F$3:$F$12,MATCH(Data[[#This Row],[ItemID B]],Katalog!$C$3:$C$12,0))*Data[[#This Row],[Qty B]],"0")</f>
        <v>100000</v>
      </c>
      <c r="Q103" t="s">
        <v>65</v>
      </c>
      <c r="R103" t="str">
        <f>IFERROR(INDEX(Katalog!$A$3:$A$12,MATCH(Data[[#This Row],[ItemID C]],Katalog!$C$3:$C$12,0)),"-")</f>
        <v>Sepatu Pria</v>
      </c>
      <c r="S103" t="str">
        <f>IFERROR(INDEX(Katalog!$B$3:$B$12,MATCH(Data[[#This Row],[ItemID C]],Katalog!$C$3:$C$12,0)),"-")</f>
        <v>Sneakers</v>
      </c>
      <c r="T103">
        <v>1</v>
      </c>
      <c r="U103">
        <v>5</v>
      </c>
      <c r="V103" s="36">
        <f>IFERROR(INDEX(Katalog!$D$3:$D$12,MATCH(Data[[#This Row],[ItemID C]],Katalog!$C$3:$C$12,0))*Data[[#This Row],[Qty C]],"0")</f>
        <v>500000</v>
      </c>
      <c r="W103" s="36">
        <f>IFERROR(INDEX(Katalog!$F$3:$F$12,MATCH(Data[[#This Row],[ItemID C]],Katalog!$C$3:$C$12,0))*Data[[#This Row],[Qty C]],"0")</f>
        <v>200000</v>
      </c>
      <c r="X103" s="21">
        <f>Data[[#This Row],[Qty A]]+Data[[#This Row],[Qty B]]+Data[[#This Row],[Qty C]]</f>
        <v>5</v>
      </c>
      <c r="Y103" s="22">
        <f>Data[[#This Row],[Harga Barang A]]+Data[[#This Row],[Harga Barang B]]+Data[[#This Row],[Harga Barang C]]</f>
        <v>1950000</v>
      </c>
      <c r="Z103" s="35">
        <f>IFERROR(Data[[#This Row],[Total Harga]]-(Data[[#This Row],[Total Harga]]*Data[[#This Row],[Diskon]]),Data[[#This Row],[Total Harga]])</f>
        <v>1755000</v>
      </c>
      <c r="AA103" s="35">
        <f>(Data[[#This Row],[Profit A]]+Data[[#This Row],[Profit B]]+Data[[#This Row],[Profit C]])</f>
        <v>750000</v>
      </c>
      <c r="AB103" s="35">
        <f>IFERROR((Data[[#This Row],[Profit non Diskon]]-(Data[[#This Row],[Profit non Diskon]]*Data[[#This Row],[Diskon]])),Data[[#This Row],[Profit non Diskon]])</f>
        <v>675000</v>
      </c>
      <c r="AC103" s="23" t="s">
        <v>30</v>
      </c>
      <c r="AD103" s="37">
        <f>IFERROR(INDEX('Kode Diskon'!$D$3:$D$9,MATCH(Data[[#This Row],[Kode diskon]],'Kode Diskon'!$C$3:$C$9,0)),"-")</f>
        <v>0.1</v>
      </c>
      <c r="AE103" s="23" t="s">
        <v>29</v>
      </c>
      <c r="AF103" s="23" t="s">
        <v>10</v>
      </c>
      <c r="AG103" s="23" t="s">
        <v>80</v>
      </c>
      <c r="AH103" s="24">
        <v>45020</v>
      </c>
      <c r="AI103" s="23" t="str">
        <f>TEXT(Data[[#This Row],[Tanggal terjual]],"dddd")</f>
        <v>Tuesday</v>
      </c>
      <c r="AJ103" s="21" t="str">
        <f>TEXT(Data[[#This Row],[Tanggal terjual]],"wwww")</f>
        <v>wwww</v>
      </c>
    </row>
    <row r="104" spans="1:36" x14ac:dyDescent="0.2">
      <c r="A104" s="20">
        <v>103</v>
      </c>
      <c r="B104" s="21" t="str">
        <f>_xlfn.CONCAT("ORD-",INDEX(Helper!$B$2:$B$5,MATCH(Data[[#This Row],[Marketplace]],Helper!$A$2:$A$5,0)),TEXT(Data[[#This Row],[No]],"0000"),"-",TEXT(Data[[#This Row],[Tanggal terjual]],"dd/mm/yy"))</f>
        <v>ORD-TK0103-17/04/23</v>
      </c>
      <c r="C104" t="s">
        <v>64</v>
      </c>
      <c r="D104" t="str">
        <f>IFERROR(INDEX(Katalog!$A$3:$A$12,MATCH(Data[[#This Row],[ItemID A]],Katalog!$C$3:$C$12,0)),"-")</f>
        <v>Pakaian Unisex</v>
      </c>
      <c r="E104" t="str">
        <f>IFERROR(INDEX(Katalog!$B$3:$B$12,MATCH(Data[[#This Row],[ItemID A]],Katalog!$C$3:$C$12,0)),"-")</f>
        <v>Jaket Hoodie</v>
      </c>
      <c r="F104">
        <v>1</v>
      </c>
      <c r="G104">
        <v>5</v>
      </c>
      <c r="H104" s="36">
        <f>IFERROR(INDEX(Katalog!$D$3:$D$12,MATCH(Data[[#This Row],[ItemID A]],Katalog!$C$3:$C$12,0))*Data[[#This Row],[Qty A]],"0")</f>
        <v>350000</v>
      </c>
      <c r="I104" s="36">
        <f>IFERROR(INDEX(Katalog!$F$3:$F$12,MATCH(Data[[#This Row],[ItemID A]],Katalog!$C$3:$C$12,0))*Data[[#This Row],[Qty A]],0)</f>
        <v>130000</v>
      </c>
      <c r="J104" t="s">
        <v>67</v>
      </c>
      <c r="K104" t="str">
        <f>IFERROR(INDEX(Katalog!$A$3:$A$12,MATCH(Data[[#This Row],[ItemID B]],Katalog!$C$3:$C$12,0)),"-")</f>
        <v>Sepatu Wanita</v>
      </c>
      <c r="L104" t="str">
        <f>IFERROR(INDEX(Katalog!$B$3:$B$12,MATCH(Data[[#This Row],[ItemID B]],Katalog!$C$3:$C$12,0)),"-")</f>
        <v>Flat Shoes</v>
      </c>
      <c r="M104">
        <v>1</v>
      </c>
      <c r="N104">
        <v>5</v>
      </c>
      <c r="O104" s="36">
        <f>IFERROR(INDEX(Katalog!$D$3:$D$12,MATCH(Data[[#This Row],[ItemID B]],Katalog!$C$3:$C$12,0))*Data[[#This Row],[Qty B]],"0")</f>
        <v>250000</v>
      </c>
      <c r="P104" s="36">
        <f>IFERROR(INDEX(Katalog!$F$3:$F$12,MATCH(Data[[#This Row],[ItemID B]],Katalog!$C$3:$C$12,0))*Data[[#This Row],[Qty B]],"0")</f>
        <v>100000</v>
      </c>
      <c r="R104" t="str">
        <f>IFERROR(INDEX(Katalog!$A$3:$A$12,MATCH(Data[[#This Row],[ItemID C]],Katalog!$C$3:$C$12,0)),"-")</f>
        <v>-</v>
      </c>
      <c r="S104" t="str">
        <f>IFERROR(INDEX(Katalog!$B$3:$B$12,MATCH(Data[[#This Row],[ItemID C]],Katalog!$C$3:$C$12,0)),"-")</f>
        <v>-</v>
      </c>
      <c r="V104" s="36" t="str">
        <f>IFERROR(INDEX(Katalog!$D$3:$D$12,MATCH(Data[[#This Row],[ItemID C]],Katalog!$C$3:$C$12,0))*Data[[#This Row],[Qty C]],"0")</f>
        <v>0</v>
      </c>
      <c r="W104" s="36" t="str">
        <f>IFERROR(INDEX(Katalog!$F$3:$F$12,MATCH(Data[[#This Row],[ItemID C]],Katalog!$C$3:$C$12,0))*Data[[#This Row],[Qty C]],"0")</f>
        <v>0</v>
      </c>
      <c r="X104" s="21">
        <f>Data[[#This Row],[Qty A]]+Data[[#This Row],[Qty B]]+Data[[#This Row],[Qty C]]</f>
        <v>2</v>
      </c>
      <c r="Y104" s="22">
        <f>Data[[#This Row],[Harga Barang A]]+Data[[#This Row],[Harga Barang B]]+Data[[#This Row],[Harga Barang C]]</f>
        <v>600000</v>
      </c>
      <c r="Z104" s="35">
        <f>IFERROR(Data[[#This Row],[Total Harga]]-(Data[[#This Row],[Total Harga]]*Data[[#This Row],[Diskon]]),Data[[#This Row],[Total Harga]])</f>
        <v>540000</v>
      </c>
      <c r="AA104" s="35">
        <f>(Data[[#This Row],[Profit A]]+Data[[#This Row],[Profit B]]+Data[[#This Row],[Profit C]])</f>
        <v>230000</v>
      </c>
      <c r="AB104" s="35">
        <f>IFERROR((Data[[#This Row],[Profit non Diskon]]-(Data[[#This Row],[Profit non Diskon]]*Data[[#This Row],[Diskon]])),Data[[#This Row],[Profit non Diskon]])</f>
        <v>207000</v>
      </c>
      <c r="AC104" s="23" t="s">
        <v>31</v>
      </c>
      <c r="AD104" s="37">
        <f>IFERROR(INDEX('Kode Diskon'!$D$3:$D$9,MATCH(Data[[#This Row],[Kode diskon]],'Kode Diskon'!$C$3:$C$9,0)),"-")</f>
        <v>0.1</v>
      </c>
      <c r="AE104" s="23" t="s">
        <v>9</v>
      </c>
      <c r="AF104" s="23" t="s">
        <v>10</v>
      </c>
      <c r="AG104" s="23" t="s">
        <v>77</v>
      </c>
      <c r="AH104" s="24">
        <v>45033</v>
      </c>
      <c r="AI104" s="23" t="str">
        <f>TEXT(Data[[#This Row],[Tanggal terjual]],"dddd")</f>
        <v>Monday</v>
      </c>
      <c r="AJ104" s="21" t="str">
        <f>TEXT(Data[[#This Row],[Tanggal terjual]],"wwww")</f>
        <v>wwww</v>
      </c>
    </row>
    <row r="105" spans="1:36" x14ac:dyDescent="0.2">
      <c r="A105" s="20">
        <v>104</v>
      </c>
      <c r="B105" s="21" t="str">
        <f>_xlfn.CONCAT("ORD-",INDEX(Helper!$B$2:$B$5,MATCH(Data[[#This Row],[Marketplace]],Helper!$A$2:$A$5,0)),TEXT(Data[[#This Row],[No]],"0000"),"-",TEXT(Data[[#This Row],[Tanggal terjual]],"dd/mm/yy"))</f>
        <v>ORD-SP0104-06/04/23</v>
      </c>
      <c r="C105" t="s">
        <v>58</v>
      </c>
      <c r="D105" t="str">
        <f>IFERROR(INDEX(Katalog!$A$3:$A$12,MATCH(Data[[#This Row],[ItemID A]],Katalog!$C$3:$C$12,0)),"-")</f>
        <v>Pakaian Wanita</v>
      </c>
      <c r="E105" t="str">
        <f>IFERROR(INDEX(Katalog!$B$3:$B$12,MATCH(Data[[#This Row],[ItemID A]],Katalog!$C$3:$C$12,0)),"-")</f>
        <v>Dress</v>
      </c>
      <c r="F105">
        <v>2</v>
      </c>
      <c r="G105">
        <v>2</v>
      </c>
      <c r="H105" s="36">
        <f>IFERROR(INDEX(Katalog!$D$3:$D$12,MATCH(Data[[#This Row],[ItemID A]],Katalog!$C$3:$C$12,0))*Data[[#This Row],[Qty A]],"0")</f>
        <v>600000</v>
      </c>
      <c r="I105" s="36">
        <f>IFERROR(INDEX(Katalog!$F$3:$F$12,MATCH(Data[[#This Row],[ItemID A]],Katalog!$C$3:$C$12,0))*Data[[#This Row],[Qty A]],0)</f>
        <v>200000</v>
      </c>
      <c r="J105" t="s">
        <v>60</v>
      </c>
      <c r="K105" t="str">
        <f>IFERROR(INDEX(Katalog!$A$3:$A$12,MATCH(Data[[#This Row],[ItemID B]],Katalog!$C$3:$C$12,0)),"-")</f>
        <v>Pakaian Wanita</v>
      </c>
      <c r="L105" t="str">
        <f>IFERROR(INDEX(Katalog!$B$3:$B$12,MATCH(Data[[#This Row],[ItemID B]],Katalog!$C$3:$C$12,0)),"-")</f>
        <v>Kaftan</v>
      </c>
      <c r="M105">
        <v>1</v>
      </c>
      <c r="N105">
        <v>1</v>
      </c>
      <c r="O105" s="36">
        <f>IFERROR(INDEX(Katalog!$D$3:$D$12,MATCH(Data[[#This Row],[ItemID B]],Katalog!$C$3:$C$12,0))*Data[[#This Row],[Qty B]],"0")</f>
        <v>250000</v>
      </c>
      <c r="P105" s="36">
        <f>IFERROR(INDEX(Katalog!$F$3:$F$12,MATCH(Data[[#This Row],[ItemID B]],Katalog!$C$3:$C$12,0))*Data[[#This Row],[Qty B]],"0")</f>
        <v>100000</v>
      </c>
      <c r="R105" t="str">
        <f>IFERROR(INDEX(Katalog!$A$3:$A$12,MATCH(Data[[#This Row],[ItemID C]],Katalog!$C$3:$C$12,0)),"-")</f>
        <v>-</v>
      </c>
      <c r="S105" t="str">
        <f>IFERROR(INDEX(Katalog!$B$3:$B$12,MATCH(Data[[#This Row],[ItemID C]],Katalog!$C$3:$C$12,0)),"-")</f>
        <v>-</v>
      </c>
      <c r="V105" s="36" t="str">
        <f>IFERROR(INDEX(Katalog!$D$3:$D$12,MATCH(Data[[#This Row],[ItemID C]],Katalog!$C$3:$C$12,0))*Data[[#This Row],[Qty C]],"0")</f>
        <v>0</v>
      </c>
      <c r="W105" s="36" t="str">
        <f>IFERROR(INDEX(Katalog!$F$3:$F$12,MATCH(Data[[#This Row],[ItemID C]],Katalog!$C$3:$C$12,0))*Data[[#This Row],[Qty C]],"0")</f>
        <v>0</v>
      </c>
      <c r="X105" s="21">
        <f>Data[[#This Row],[Qty A]]+Data[[#This Row],[Qty B]]+Data[[#This Row],[Qty C]]</f>
        <v>3</v>
      </c>
      <c r="Y105" s="22">
        <f>Data[[#This Row],[Harga Barang A]]+Data[[#This Row],[Harga Barang B]]+Data[[#This Row],[Harga Barang C]]</f>
        <v>850000</v>
      </c>
      <c r="Z105" s="35">
        <f>IFERROR(Data[[#This Row],[Total Harga]]-(Data[[#This Row],[Total Harga]]*Data[[#This Row],[Diskon]]),Data[[#This Row],[Total Harga]])</f>
        <v>722500</v>
      </c>
      <c r="AA105" s="35">
        <f>(Data[[#This Row],[Profit A]]+Data[[#This Row],[Profit B]]+Data[[#This Row],[Profit C]])</f>
        <v>300000</v>
      </c>
      <c r="AB105" s="35">
        <f>IFERROR((Data[[#This Row],[Profit non Diskon]]-(Data[[#This Row],[Profit non Diskon]]*Data[[#This Row],[Diskon]])),Data[[#This Row],[Profit non Diskon]])</f>
        <v>255000</v>
      </c>
      <c r="AC105" s="23" t="s">
        <v>13</v>
      </c>
      <c r="AD105" s="37">
        <f>IFERROR(INDEX('Kode Diskon'!$D$3:$D$9,MATCH(Data[[#This Row],[Kode diskon]],'Kode Diskon'!$C$3:$C$9,0)),"-")</f>
        <v>0.15</v>
      </c>
      <c r="AE105" s="23" t="s">
        <v>29</v>
      </c>
      <c r="AF105" s="23" t="s">
        <v>7</v>
      </c>
      <c r="AG105" s="23" t="s">
        <v>75</v>
      </c>
      <c r="AH105" s="24">
        <v>45022</v>
      </c>
      <c r="AI105" s="23" t="str">
        <f>TEXT(Data[[#This Row],[Tanggal terjual]],"dddd")</f>
        <v>Thursday</v>
      </c>
      <c r="AJ105" s="21" t="str">
        <f>TEXT(Data[[#This Row],[Tanggal terjual]],"wwww")</f>
        <v>wwww</v>
      </c>
    </row>
    <row r="106" spans="1:36" x14ac:dyDescent="0.2">
      <c r="A106" s="20">
        <v>105</v>
      </c>
      <c r="B106" s="21" t="str">
        <f>_xlfn.CONCAT("ORD-",INDEX(Helper!$B$2:$B$5,MATCH(Data[[#This Row],[Marketplace]],Helper!$A$2:$A$5,0)),TEXT(Data[[#This Row],[No]],"0000"),"-",TEXT(Data[[#This Row],[Tanggal terjual]],"dd/mm/yy"))</f>
        <v>ORD-SP0105-14/04/23</v>
      </c>
      <c r="C106" t="s">
        <v>65</v>
      </c>
      <c r="D106" t="str">
        <f>IFERROR(INDEX(Katalog!$A$3:$A$12,MATCH(Data[[#This Row],[ItemID A]],Katalog!$C$3:$C$12,0)),"-")</f>
        <v>Sepatu Pria</v>
      </c>
      <c r="E106" t="str">
        <f>IFERROR(INDEX(Katalog!$B$3:$B$12,MATCH(Data[[#This Row],[ItemID A]],Katalog!$C$3:$C$12,0)),"-")</f>
        <v>Sneakers</v>
      </c>
      <c r="F106">
        <v>3</v>
      </c>
      <c r="G106">
        <v>5</v>
      </c>
      <c r="H106" s="36">
        <f>IFERROR(INDEX(Katalog!$D$3:$D$12,MATCH(Data[[#This Row],[ItemID A]],Katalog!$C$3:$C$12,0))*Data[[#This Row],[Qty A]],"0")</f>
        <v>1500000</v>
      </c>
      <c r="I106" s="36">
        <f>IFERROR(INDEX(Katalog!$F$3:$F$12,MATCH(Data[[#This Row],[ItemID A]],Katalog!$C$3:$C$12,0))*Data[[#This Row],[Qty A]],0)</f>
        <v>600000</v>
      </c>
      <c r="K106" t="str">
        <f>IFERROR(INDEX(Katalog!$A$3:$A$12,MATCH(Data[[#This Row],[ItemID B]],Katalog!$C$3:$C$12,0)),"-")</f>
        <v>-</v>
      </c>
      <c r="L106" t="str">
        <f>IFERROR(INDEX(Katalog!$B$3:$B$12,MATCH(Data[[#This Row],[ItemID B]],Katalog!$C$3:$C$12,0)),"-")</f>
        <v>-</v>
      </c>
      <c r="O106" s="36" t="str">
        <f>IFERROR(INDEX(Katalog!$D$3:$D$12,MATCH(Data[[#This Row],[ItemID B]],Katalog!$C$3:$C$12,0))*Data[[#This Row],[Qty B]],"0")</f>
        <v>0</v>
      </c>
      <c r="P106" s="36" t="str">
        <f>IFERROR(INDEX(Katalog!$F$3:$F$12,MATCH(Data[[#This Row],[ItemID B]],Katalog!$C$3:$C$12,0))*Data[[#This Row],[Qty B]],"0")</f>
        <v>0</v>
      </c>
      <c r="R106" t="str">
        <f>IFERROR(INDEX(Katalog!$A$3:$A$12,MATCH(Data[[#This Row],[ItemID C]],Katalog!$C$3:$C$12,0)),"-")</f>
        <v>-</v>
      </c>
      <c r="S106" t="str">
        <f>IFERROR(INDEX(Katalog!$B$3:$B$12,MATCH(Data[[#This Row],[ItemID C]],Katalog!$C$3:$C$12,0)),"-")</f>
        <v>-</v>
      </c>
      <c r="V106" s="36" t="str">
        <f>IFERROR(INDEX(Katalog!$D$3:$D$12,MATCH(Data[[#This Row],[ItemID C]],Katalog!$C$3:$C$12,0))*Data[[#This Row],[Qty C]],"0")</f>
        <v>0</v>
      </c>
      <c r="W106" s="36" t="str">
        <f>IFERROR(INDEX(Katalog!$F$3:$F$12,MATCH(Data[[#This Row],[ItemID C]],Katalog!$C$3:$C$12,0))*Data[[#This Row],[Qty C]],"0")</f>
        <v>0</v>
      </c>
      <c r="X106" s="21">
        <f>Data[[#This Row],[Qty A]]+Data[[#This Row],[Qty B]]+Data[[#This Row],[Qty C]]</f>
        <v>3</v>
      </c>
      <c r="Y106" s="22">
        <f>Data[[#This Row],[Harga Barang A]]+Data[[#This Row],[Harga Barang B]]+Data[[#This Row],[Harga Barang C]]</f>
        <v>1500000</v>
      </c>
      <c r="Z106" s="35">
        <f>IFERROR(Data[[#This Row],[Total Harga]]-(Data[[#This Row],[Total Harga]]*Data[[#This Row],[Diskon]]),Data[[#This Row],[Total Harga]])</f>
        <v>1500000</v>
      </c>
      <c r="AA106" s="35">
        <f>(Data[[#This Row],[Profit A]]+Data[[#This Row],[Profit B]]+Data[[#This Row],[Profit C]])</f>
        <v>600000</v>
      </c>
      <c r="AB106" s="35">
        <f>IFERROR((Data[[#This Row],[Profit non Diskon]]-(Data[[#This Row],[Profit non Diskon]]*Data[[#This Row],[Diskon]])),Data[[#This Row],[Profit non Diskon]])</f>
        <v>600000</v>
      </c>
      <c r="AC106" s="23" t="s">
        <v>11</v>
      </c>
      <c r="AD106" s="37" t="str">
        <f>IFERROR(INDEX('Kode Diskon'!$D$3:$D$9,MATCH(Data[[#This Row],[Kode diskon]],'Kode Diskon'!$C$3:$C$9,0)),"-")</f>
        <v>-</v>
      </c>
      <c r="AE106" s="23" t="s">
        <v>11</v>
      </c>
      <c r="AF106" s="23" t="s">
        <v>7</v>
      </c>
      <c r="AG106" s="23" t="s">
        <v>75</v>
      </c>
      <c r="AH106" s="24">
        <v>45030</v>
      </c>
      <c r="AI106" s="23" t="str">
        <f>TEXT(Data[[#This Row],[Tanggal terjual]],"dddd")</f>
        <v>Friday</v>
      </c>
      <c r="AJ106" s="21" t="str">
        <f>TEXT(Data[[#This Row],[Tanggal terjual]],"wwww")</f>
        <v>wwww</v>
      </c>
    </row>
    <row r="107" spans="1:36" x14ac:dyDescent="0.2">
      <c r="A107" s="20">
        <v>106</v>
      </c>
      <c r="B107" s="21" t="str">
        <f>_xlfn.CONCAT("ORD-",INDEX(Helper!$B$2:$B$5,MATCH(Data[[#This Row],[Marketplace]],Helper!$A$2:$A$5,0)),TEXT(Data[[#This Row],[No]],"0000"),"-",TEXT(Data[[#This Row],[Tanggal terjual]],"dd/mm/yy"))</f>
        <v>ORD-TK0106-21/04/23</v>
      </c>
      <c r="C107" t="s">
        <v>60</v>
      </c>
      <c r="D107" t="str">
        <f>IFERROR(INDEX(Katalog!$A$3:$A$12,MATCH(Data[[#This Row],[ItemID A]],Katalog!$C$3:$C$12,0)),"-")</f>
        <v>Pakaian Wanita</v>
      </c>
      <c r="E107" t="str">
        <f>IFERROR(INDEX(Katalog!$B$3:$B$12,MATCH(Data[[#This Row],[ItemID A]],Katalog!$C$3:$C$12,0)),"-")</f>
        <v>Kaftan</v>
      </c>
      <c r="F107">
        <v>5</v>
      </c>
      <c r="G107">
        <v>4</v>
      </c>
      <c r="H107" s="36">
        <f>IFERROR(INDEX(Katalog!$D$3:$D$12,MATCH(Data[[#This Row],[ItemID A]],Katalog!$C$3:$C$12,0))*Data[[#This Row],[Qty A]],"0")</f>
        <v>1250000</v>
      </c>
      <c r="I107" s="36">
        <f>IFERROR(INDEX(Katalog!$F$3:$F$12,MATCH(Data[[#This Row],[ItemID A]],Katalog!$C$3:$C$12,0))*Data[[#This Row],[Qty A]],0)</f>
        <v>500000</v>
      </c>
      <c r="K107" t="str">
        <f>IFERROR(INDEX(Katalog!$A$3:$A$12,MATCH(Data[[#This Row],[ItemID B]],Katalog!$C$3:$C$12,0)),"-")</f>
        <v>-</v>
      </c>
      <c r="L107" t="str">
        <f>IFERROR(INDEX(Katalog!$B$3:$B$12,MATCH(Data[[#This Row],[ItemID B]],Katalog!$C$3:$C$12,0)),"-")</f>
        <v>-</v>
      </c>
      <c r="O107" s="36" t="str">
        <f>IFERROR(INDEX(Katalog!$D$3:$D$12,MATCH(Data[[#This Row],[ItemID B]],Katalog!$C$3:$C$12,0))*Data[[#This Row],[Qty B]],"0")</f>
        <v>0</v>
      </c>
      <c r="P107" s="36" t="str">
        <f>IFERROR(INDEX(Katalog!$F$3:$F$12,MATCH(Data[[#This Row],[ItemID B]],Katalog!$C$3:$C$12,0))*Data[[#This Row],[Qty B]],"0")</f>
        <v>0</v>
      </c>
      <c r="R107" t="str">
        <f>IFERROR(INDEX(Katalog!$A$3:$A$12,MATCH(Data[[#This Row],[ItemID C]],Katalog!$C$3:$C$12,0)),"-")</f>
        <v>-</v>
      </c>
      <c r="S107" t="str">
        <f>IFERROR(INDEX(Katalog!$B$3:$B$12,MATCH(Data[[#This Row],[ItemID C]],Katalog!$C$3:$C$12,0)),"-")</f>
        <v>-</v>
      </c>
      <c r="V107" s="36" t="str">
        <f>IFERROR(INDEX(Katalog!$D$3:$D$12,MATCH(Data[[#This Row],[ItemID C]],Katalog!$C$3:$C$12,0))*Data[[#This Row],[Qty C]],"0")</f>
        <v>0</v>
      </c>
      <c r="W107" s="36" t="str">
        <f>IFERROR(INDEX(Katalog!$F$3:$F$12,MATCH(Data[[#This Row],[ItemID C]],Katalog!$C$3:$C$12,0))*Data[[#This Row],[Qty C]],"0")</f>
        <v>0</v>
      </c>
      <c r="X107" s="21">
        <f>Data[[#This Row],[Qty A]]+Data[[#This Row],[Qty B]]+Data[[#This Row],[Qty C]]</f>
        <v>5</v>
      </c>
      <c r="Y107" s="22">
        <f>Data[[#This Row],[Harga Barang A]]+Data[[#This Row],[Harga Barang B]]+Data[[#This Row],[Harga Barang C]]</f>
        <v>1250000</v>
      </c>
      <c r="Z107" s="35">
        <f>IFERROR(Data[[#This Row],[Total Harga]]-(Data[[#This Row],[Total Harga]]*Data[[#This Row],[Diskon]]),Data[[#This Row],[Total Harga]])</f>
        <v>1125000</v>
      </c>
      <c r="AA107" s="35">
        <f>(Data[[#This Row],[Profit A]]+Data[[#This Row],[Profit B]]+Data[[#This Row],[Profit C]])</f>
        <v>500000</v>
      </c>
      <c r="AB107" s="35">
        <f>IFERROR((Data[[#This Row],[Profit non Diskon]]-(Data[[#This Row],[Profit non Diskon]]*Data[[#This Row],[Diskon]])),Data[[#This Row],[Profit non Diskon]])</f>
        <v>450000</v>
      </c>
      <c r="AC107" s="23" t="s">
        <v>31</v>
      </c>
      <c r="AD107" s="37">
        <f>IFERROR(INDEX('Kode Diskon'!$D$3:$D$9,MATCH(Data[[#This Row],[Kode diskon]],'Kode Diskon'!$C$3:$C$9,0)),"-")</f>
        <v>0.1</v>
      </c>
      <c r="AE107" s="23" t="s">
        <v>9</v>
      </c>
      <c r="AF107" s="23" t="s">
        <v>10</v>
      </c>
      <c r="AG107" s="23" t="s">
        <v>80</v>
      </c>
      <c r="AH107" s="24">
        <v>45037</v>
      </c>
      <c r="AI107" s="23" t="str">
        <f>TEXT(Data[[#This Row],[Tanggal terjual]],"dddd")</f>
        <v>Friday</v>
      </c>
      <c r="AJ107" s="21" t="str">
        <f>TEXT(Data[[#This Row],[Tanggal terjual]],"wwww")</f>
        <v>wwww</v>
      </c>
    </row>
    <row r="108" spans="1:36" x14ac:dyDescent="0.2">
      <c r="A108" s="20">
        <v>107</v>
      </c>
      <c r="B108" s="21" t="str">
        <f>_xlfn.CONCAT("ORD-",INDEX(Helper!$B$2:$B$5,MATCH(Data[[#This Row],[Marketplace]],Helper!$A$2:$A$5,0)),TEXT(Data[[#This Row],[No]],"0000"),"-",TEXT(Data[[#This Row],[Tanggal terjual]],"dd/mm/yy"))</f>
        <v>ORD-BL0107-24/04/23</v>
      </c>
      <c r="C108" t="s">
        <v>58</v>
      </c>
      <c r="D108" t="str">
        <f>IFERROR(INDEX(Katalog!$A$3:$A$12,MATCH(Data[[#This Row],[ItemID A]],Katalog!$C$3:$C$12,0)),"-")</f>
        <v>Pakaian Wanita</v>
      </c>
      <c r="E108" t="str">
        <f>IFERROR(INDEX(Katalog!$B$3:$B$12,MATCH(Data[[#This Row],[ItemID A]],Katalog!$C$3:$C$12,0)),"-")</f>
        <v>Dress</v>
      </c>
      <c r="F108">
        <v>1</v>
      </c>
      <c r="G108">
        <v>5</v>
      </c>
      <c r="H108" s="36">
        <f>IFERROR(INDEX(Katalog!$D$3:$D$12,MATCH(Data[[#This Row],[ItemID A]],Katalog!$C$3:$C$12,0))*Data[[#This Row],[Qty A]],"0")</f>
        <v>300000</v>
      </c>
      <c r="I108" s="36">
        <f>IFERROR(INDEX(Katalog!$F$3:$F$12,MATCH(Data[[#This Row],[ItemID A]],Katalog!$C$3:$C$12,0))*Data[[#This Row],[Qty A]],0)</f>
        <v>100000</v>
      </c>
      <c r="J108" t="s">
        <v>64</v>
      </c>
      <c r="K108" t="str">
        <f>IFERROR(INDEX(Katalog!$A$3:$A$12,MATCH(Data[[#This Row],[ItemID B]],Katalog!$C$3:$C$12,0)),"-")</f>
        <v>Pakaian Unisex</v>
      </c>
      <c r="L108" t="str">
        <f>IFERROR(INDEX(Katalog!$B$3:$B$12,MATCH(Data[[#This Row],[ItemID B]],Katalog!$C$3:$C$12,0)),"-")</f>
        <v>Jaket Hoodie</v>
      </c>
      <c r="M108">
        <v>1</v>
      </c>
      <c r="N108">
        <v>3</v>
      </c>
      <c r="O108" s="36">
        <f>IFERROR(INDEX(Katalog!$D$3:$D$12,MATCH(Data[[#This Row],[ItemID B]],Katalog!$C$3:$C$12,0))*Data[[#This Row],[Qty B]],"0")</f>
        <v>350000</v>
      </c>
      <c r="P108" s="36">
        <f>IFERROR(INDEX(Katalog!$F$3:$F$12,MATCH(Data[[#This Row],[ItemID B]],Katalog!$C$3:$C$12,0))*Data[[#This Row],[Qty B]],"0")</f>
        <v>130000</v>
      </c>
      <c r="R108" t="str">
        <f>IFERROR(INDEX(Katalog!$A$3:$A$12,MATCH(Data[[#This Row],[ItemID C]],Katalog!$C$3:$C$12,0)),"-")</f>
        <v>-</v>
      </c>
      <c r="S108" t="str">
        <f>IFERROR(INDEX(Katalog!$B$3:$B$12,MATCH(Data[[#This Row],[ItemID C]],Katalog!$C$3:$C$12,0)),"-")</f>
        <v>-</v>
      </c>
      <c r="V108" s="36" t="str">
        <f>IFERROR(INDEX(Katalog!$D$3:$D$12,MATCH(Data[[#This Row],[ItemID C]],Katalog!$C$3:$C$12,0))*Data[[#This Row],[Qty C]],"0")</f>
        <v>0</v>
      </c>
      <c r="W108" s="36" t="str">
        <f>IFERROR(INDEX(Katalog!$F$3:$F$12,MATCH(Data[[#This Row],[ItemID C]],Katalog!$C$3:$C$12,0))*Data[[#This Row],[Qty C]],"0")</f>
        <v>0</v>
      </c>
      <c r="X108" s="21">
        <f>Data[[#This Row],[Qty A]]+Data[[#This Row],[Qty B]]+Data[[#This Row],[Qty C]]</f>
        <v>2</v>
      </c>
      <c r="Y108" s="22">
        <f>Data[[#This Row],[Harga Barang A]]+Data[[#This Row],[Harga Barang B]]+Data[[#This Row],[Harga Barang C]]</f>
        <v>650000</v>
      </c>
      <c r="Z108" s="35">
        <f>IFERROR(Data[[#This Row],[Total Harga]]-(Data[[#This Row],[Total Harga]]*Data[[#This Row],[Diskon]]),Data[[#This Row],[Total Harga]])</f>
        <v>552500</v>
      </c>
      <c r="AA108" s="35">
        <f>(Data[[#This Row],[Profit A]]+Data[[#This Row],[Profit B]]+Data[[#This Row],[Profit C]])</f>
        <v>230000</v>
      </c>
      <c r="AB108" s="35">
        <f>IFERROR((Data[[#This Row],[Profit non Diskon]]-(Data[[#This Row],[Profit non Diskon]]*Data[[#This Row],[Diskon]])),Data[[#This Row],[Profit non Diskon]])</f>
        <v>195500</v>
      </c>
      <c r="AC108" s="23" t="s">
        <v>32</v>
      </c>
      <c r="AD108" s="37">
        <f>IFERROR(INDEX('Kode Diskon'!$D$3:$D$9,MATCH(Data[[#This Row],[Kode diskon]],'Kode Diskon'!$C$3:$C$9,0)),"-")</f>
        <v>0.15</v>
      </c>
      <c r="AE108" s="23" t="s">
        <v>9</v>
      </c>
      <c r="AF108" s="23" t="s">
        <v>12</v>
      </c>
      <c r="AG108" s="23" t="s">
        <v>78</v>
      </c>
      <c r="AH108" s="24">
        <v>45040</v>
      </c>
      <c r="AI108" s="23" t="str">
        <f>TEXT(Data[[#This Row],[Tanggal terjual]],"dddd")</f>
        <v>Monday</v>
      </c>
      <c r="AJ108" s="21" t="str">
        <f>TEXT(Data[[#This Row],[Tanggal terjual]],"wwww")</f>
        <v>wwww</v>
      </c>
    </row>
    <row r="109" spans="1:36" x14ac:dyDescent="0.2">
      <c r="A109" s="20">
        <v>108</v>
      </c>
      <c r="B109" s="21" t="str">
        <f>_xlfn.CONCAT("ORD-",INDEX(Helper!$B$2:$B$5,MATCH(Data[[#This Row],[Marketplace]],Helper!$A$2:$A$5,0)),TEXT(Data[[#This Row],[No]],"0000"),"-",TEXT(Data[[#This Row],[Tanggal terjual]],"dd/mm/yy"))</f>
        <v>ORD-BB0108-05/04/23</v>
      </c>
      <c r="C109" t="s">
        <v>64</v>
      </c>
      <c r="D109" t="str">
        <f>IFERROR(INDEX(Katalog!$A$3:$A$12,MATCH(Data[[#This Row],[ItemID A]],Katalog!$C$3:$C$12,0)),"-")</f>
        <v>Pakaian Unisex</v>
      </c>
      <c r="E109" t="str">
        <f>IFERROR(INDEX(Katalog!$B$3:$B$12,MATCH(Data[[#This Row],[ItemID A]],Katalog!$C$3:$C$12,0)),"-")</f>
        <v>Jaket Hoodie</v>
      </c>
      <c r="F109">
        <v>7</v>
      </c>
      <c r="G109">
        <v>4</v>
      </c>
      <c r="H109" s="36">
        <f>IFERROR(INDEX(Katalog!$D$3:$D$12,MATCH(Data[[#This Row],[ItemID A]],Katalog!$C$3:$C$12,0))*Data[[#This Row],[Qty A]],"0")</f>
        <v>2450000</v>
      </c>
      <c r="I109" s="36">
        <f>IFERROR(INDEX(Katalog!$F$3:$F$12,MATCH(Data[[#This Row],[ItemID A]],Katalog!$C$3:$C$12,0))*Data[[#This Row],[Qty A]],0)</f>
        <v>910000</v>
      </c>
      <c r="K109" t="str">
        <f>IFERROR(INDEX(Katalog!$A$3:$A$12,MATCH(Data[[#This Row],[ItemID B]],Katalog!$C$3:$C$12,0)),"-")</f>
        <v>-</v>
      </c>
      <c r="L109" t="str">
        <f>IFERROR(INDEX(Katalog!$B$3:$B$12,MATCH(Data[[#This Row],[ItemID B]],Katalog!$C$3:$C$12,0)),"-")</f>
        <v>-</v>
      </c>
      <c r="O109" s="36" t="str">
        <f>IFERROR(INDEX(Katalog!$D$3:$D$12,MATCH(Data[[#This Row],[ItemID B]],Katalog!$C$3:$C$12,0))*Data[[#This Row],[Qty B]],"0")</f>
        <v>0</v>
      </c>
      <c r="P109" s="36" t="str">
        <f>IFERROR(INDEX(Katalog!$F$3:$F$12,MATCH(Data[[#This Row],[ItemID B]],Katalog!$C$3:$C$12,0))*Data[[#This Row],[Qty B]],"0")</f>
        <v>0</v>
      </c>
      <c r="R109" t="str">
        <f>IFERROR(INDEX(Katalog!$A$3:$A$12,MATCH(Data[[#This Row],[ItemID C]],Katalog!$C$3:$C$12,0)),"-")</f>
        <v>-</v>
      </c>
      <c r="S109" t="str">
        <f>IFERROR(INDEX(Katalog!$B$3:$B$12,MATCH(Data[[#This Row],[ItemID C]],Katalog!$C$3:$C$12,0)),"-")</f>
        <v>-</v>
      </c>
      <c r="V109" s="36" t="str">
        <f>IFERROR(INDEX(Katalog!$D$3:$D$12,MATCH(Data[[#This Row],[ItemID C]],Katalog!$C$3:$C$12,0))*Data[[#This Row],[Qty C]],"0")</f>
        <v>0</v>
      </c>
      <c r="W109" s="36" t="str">
        <f>IFERROR(INDEX(Katalog!$F$3:$F$12,MATCH(Data[[#This Row],[ItemID C]],Katalog!$C$3:$C$12,0))*Data[[#This Row],[Qty C]],"0")</f>
        <v>0</v>
      </c>
      <c r="X109" s="21">
        <f>Data[[#This Row],[Qty A]]+Data[[#This Row],[Qty B]]+Data[[#This Row],[Qty C]]</f>
        <v>7</v>
      </c>
      <c r="Y109" s="22">
        <f>Data[[#This Row],[Harga Barang A]]+Data[[#This Row],[Harga Barang B]]+Data[[#This Row],[Harga Barang C]]</f>
        <v>2450000</v>
      </c>
      <c r="Z109" s="35">
        <f>IFERROR(Data[[#This Row],[Total Harga]]-(Data[[#This Row],[Total Harga]]*Data[[#This Row],[Diskon]]),Data[[#This Row],[Total Harga]])</f>
        <v>2082500</v>
      </c>
      <c r="AA109" s="35">
        <f>(Data[[#This Row],[Profit A]]+Data[[#This Row],[Profit B]]+Data[[#This Row],[Profit C]])</f>
        <v>910000</v>
      </c>
      <c r="AB109" s="35">
        <f>IFERROR((Data[[#This Row],[Profit non Diskon]]-(Data[[#This Row],[Profit non Diskon]]*Data[[#This Row],[Diskon]])),Data[[#This Row],[Profit non Diskon]])</f>
        <v>773500</v>
      </c>
      <c r="AC109" s="23" t="s">
        <v>28</v>
      </c>
      <c r="AD109" s="37">
        <f>IFERROR(INDEX('Kode Diskon'!$D$3:$D$9,MATCH(Data[[#This Row],[Kode diskon]],'Kode Diskon'!$C$3:$C$9,0)),"-")</f>
        <v>0.15</v>
      </c>
      <c r="AE109" s="23" t="s">
        <v>29</v>
      </c>
      <c r="AF109" s="23" t="s">
        <v>14</v>
      </c>
      <c r="AG109" s="23" t="s">
        <v>80</v>
      </c>
      <c r="AH109" s="24">
        <v>45021</v>
      </c>
      <c r="AI109" s="23" t="str">
        <f>TEXT(Data[[#This Row],[Tanggal terjual]],"dddd")</f>
        <v>Wednesday</v>
      </c>
      <c r="AJ109" s="21" t="str">
        <f>TEXT(Data[[#This Row],[Tanggal terjual]],"wwww")</f>
        <v>wwww</v>
      </c>
    </row>
    <row r="110" spans="1:36" x14ac:dyDescent="0.2">
      <c r="A110" s="20">
        <v>109</v>
      </c>
      <c r="B110" s="21" t="str">
        <f>_xlfn.CONCAT("ORD-",INDEX(Helper!$B$2:$B$5,MATCH(Data[[#This Row],[Marketplace]],Helper!$A$2:$A$5,0)),TEXT(Data[[#This Row],[No]],"0000"),"-",TEXT(Data[[#This Row],[Tanggal terjual]],"dd/mm/yy"))</f>
        <v>ORD-SP0109-17/04/23</v>
      </c>
      <c r="C110" t="s">
        <v>67</v>
      </c>
      <c r="D110" t="str">
        <f>IFERROR(INDEX(Katalog!$A$3:$A$12,MATCH(Data[[#This Row],[ItemID A]],Katalog!$C$3:$C$12,0)),"-")</f>
        <v>Sepatu Wanita</v>
      </c>
      <c r="E110" t="str">
        <f>IFERROR(INDEX(Katalog!$B$3:$B$12,MATCH(Data[[#This Row],[ItemID A]],Katalog!$C$3:$C$12,0)),"-")</f>
        <v>Flat Shoes</v>
      </c>
      <c r="F110">
        <v>1</v>
      </c>
      <c r="G110">
        <v>4</v>
      </c>
      <c r="H110" s="36">
        <f>IFERROR(INDEX(Katalog!$D$3:$D$12,MATCH(Data[[#This Row],[ItemID A]],Katalog!$C$3:$C$12,0))*Data[[#This Row],[Qty A]],"0")</f>
        <v>250000</v>
      </c>
      <c r="I110" s="36">
        <f>IFERROR(INDEX(Katalog!$F$3:$F$12,MATCH(Data[[#This Row],[ItemID A]],Katalog!$C$3:$C$12,0))*Data[[#This Row],[Qty A]],0)</f>
        <v>100000</v>
      </c>
      <c r="J110" t="s">
        <v>62</v>
      </c>
      <c r="K110" t="str">
        <f>IFERROR(INDEX(Katalog!$A$3:$A$12,MATCH(Data[[#This Row],[ItemID B]],Katalog!$C$3:$C$12,0)),"-")</f>
        <v>Pakaian Pria</v>
      </c>
      <c r="L110" t="str">
        <f>IFERROR(INDEX(Katalog!$B$3:$B$12,MATCH(Data[[#This Row],[ItemID B]],Katalog!$C$3:$C$12,0)),"-")</f>
        <v>Celana Pendek</v>
      </c>
      <c r="M110">
        <v>1</v>
      </c>
      <c r="N110">
        <v>3</v>
      </c>
      <c r="O110" s="36">
        <f>IFERROR(INDEX(Katalog!$D$3:$D$12,MATCH(Data[[#This Row],[ItemID B]],Katalog!$C$3:$C$12,0))*Data[[#This Row],[Qty B]],"0")</f>
        <v>180000</v>
      </c>
      <c r="P110" s="36">
        <f>IFERROR(INDEX(Katalog!$F$3:$F$12,MATCH(Data[[#This Row],[ItemID B]],Katalog!$C$3:$C$12,0))*Data[[#This Row],[Qty B]],"0")</f>
        <v>70000</v>
      </c>
      <c r="R110" t="str">
        <f>IFERROR(INDEX(Katalog!$A$3:$A$12,MATCH(Data[[#This Row],[ItemID C]],Katalog!$C$3:$C$12,0)),"-")</f>
        <v>-</v>
      </c>
      <c r="S110" t="str">
        <f>IFERROR(INDEX(Katalog!$B$3:$B$12,MATCH(Data[[#This Row],[ItemID C]],Katalog!$C$3:$C$12,0)),"-")</f>
        <v>-</v>
      </c>
      <c r="V110" s="36" t="str">
        <f>IFERROR(INDEX(Katalog!$D$3:$D$12,MATCH(Data[[#This Row],[ItemID C]],Katalog!$C$3:$C$12,0))*Data[[#This Row],[Qty C]],"0")</f>
        <v>0</v>
      </c>
      <c r="W110" s="36" t="str">
        <f>IFERROR(INDEX(Katalog!$F$3:$F$12,MATCH(Data[[#This Row],[ItemID C]],Katalog!$C$3:$C$12,0))*Data[[#This Row],[Qty C]],"0")</f>
        <v>0</v>
      </c>
      <c r="X110" s="21">
        <f>Data[[#This Row],[Qty A]]+Data[[#This Row],[Qty B]]+Data[[#This Row],[Qty C]]</f>
        <v>2</v>
      </c>
      <c r="Y110" s="22">
        <f>Data[[#This Row],[Harga Barang A]]+Data[[#This Row],[Harga Barang B]]+Data[[#This Row],[Harga Barang C]]</f>
        <v>430000</v>
      </c>
      <c r="Z110" s="35">
        <f>IFERROR(Data[[#This Row],[Total Harga]]-(Data[[#This Row],[Total Harga]]*Data[[#This Row],[Diskon]]),Data[[#This Row],[Total Harga]])</f>
        <v>344000</v>
      </c>
      <c r="AA110" s="35">
        <f>(Data[[#This Row],[Profit A]]+Data[[#This Row],[Profit B]]+Data[[#This Row],[Profit C]])</f>
        <v>170000</v>
      </c>
      <c r="AB110" s="35">
        <f>IFERROR((Data[[#This Row],[Profit non Diskon]]-(Data[[#This Row],[Profit non Diskon]]*Data[[#This Row],[Diskon]])),Data[[#This Row],[Profit non Diskon]])</f>
        <v>136000</v>
      </c>
      <c r="AC110" s="23" t="s">
        <v>8</v>
      </c>
      <c r="AD110" s="37">
        <f>IFERROR(INDEX('Kode Diskon'!$D$3:$D$9,MATCH(Data[[#This Row],[Kode diskon]],'Kode Diskon'!$C$3:$C$9,0)),"-")</f>
        <v>0.2</v>
      </c>
      <c r="AE110" s="23" t="s">
        <v>9</v>
      </c>
      <c r="AF110" s="23" t="s">
        <v>7</v>
      </c>
      <c r="AG110" s="23" t="s">
        <v>77</v>
      </c>
      <c r="AH110" s="24">
        <v>45033</v>
      </c>
      <c r="AI110" s="23" t="str">
        <f>TEXT(Data[[#This Row],[Tanggal terjual]],"dddd")</f>
        <v>Monday</v>
      </c>
      <c r="AJ110" s="21" t="str">
        <f>TEXT(Data[[#This Row],[Tanggal terjual]],"wwww")</f>
        <v>wwww</v>
      </c>
    </row>
    <row r="111" spans="1:36" x14ac:dyDescent="0.2">
      <c r="A111" s="20">
        <v>110</v>
      </c>
      <c r="B111" s="21" t="str">
        <f>_xlfn.CONCAT("ORD-",INDEX(Helper!$B$2:$B$5,MATCH(Data[[#This Row],[Marketplace]],Helper!$A$2:$A$5,0)),TEXT(Data[[#This Row],[No]],"0000"),"-",TEXT(Data[[#This Row],[Tanggal terjual]],"dd/mm/yy"))</f>
        <v>ORD-SP0110-06/04/23</v>
      </c>
      <c r="C111" t="s">
        <v>58</v>
      </c>
      <c r="D111" t="str">
        <f>IFERROR(INDEX(Katalog!$A$3:$A$12,MATCH(Data[[#This Row],[ItemID A]],Katalog!$C$3:$C$12,0)),"-")</f>
        <v>Pakaian Wanita</v>
      </c>
      <c r="E111" t="str">
        <f>IFERROR(INDEX(Katalog!$B$3:$B$12,MATCH(Data[[#This Row],[ItemID A]],Katalog!$C$3:$C$12,0)),"-")</f>
        <v>Dress</v>
      </c>
      <c r="F111">
        <v>4</v>
      </c>
      <c r="G111">
        <v>2</v>
      </c>
      <c r="H111" s="36">
        <f>IFERROR(INDEX(Katalog!$D$3:$D$12,MATCH(Data[[#This Row],[ItemID A]],Katalog!$C$3:$C$12,0))*Data[[#This Row],[Qty A]],"0")</f>
        <v>1200000</v>
      </c>
      <c r="I111" s="36">
        <f>IFERROR(INDEX(Katalog!$F$3:$F$12,MATCH(Data[[#This Row],[ItemID A]],Katalog!$C$3:$C$12,0))*Data[[#This Row],[Qty A]],0)</f>
        <v>400000</v>
      </c>
      <c r="K111" t="str">
        <f>IFERROR(INDEX(Katalog!$A$3:$A$12,MATCH(Data[[#This Row],[ItemID B]],Katalog!$C$3:$C$12,0)),"-")</f>
        <v>-</v>
      </c>
      <c r="L111" t="str">
        <f>IFERROR(INDEX(Katalog!$B$3:$B$12,MATCH(Data[[#This Row],[ItemID B]],Katalog!$C$3:$C$12,0)),"-")</f>
        <v>-</v>
      </c>
      <c r="O111" s="36" t="str">
        <f>IFERROR(INDEX(Katalog!$D$3:$D$12,MATCH(Data[[#This Row],[ItemID B]],Katalog!$C$3:$C$12,0))*Data[[#This Row],[Qty B]],"0")</f>
        <v>0</v>
      </c>
      <c r="P111" s="36" t="str">
        <f>IFERROR(INDEX(Katalog!$F$3:$F$12,MATCH(Data[[#This Row],[ItemID B]],Katalog!$C$3:$C$12,0))*Data[[#This Row],[Qty B]],"0")</f>
        <v>0</v>
      </c>
      <c r="R111" t="str">
        <f>IFERROR(INDEX(Katalog!$A$3:$A$12,MATCH(Data[[#This Row],[ItemID C]],Katalog!$C$3:$C$12,0)),"-")</f>
        <v>-</v>
      </c>
      <c r="S111" t="str">
        <f>IFERROR(INDEX(Katalog!$B$3:$B$12,MATCH(Data[[#This Row],[ItemID C]],Katalog!$C$3:$C$12,0)),"-")</f>
        <v>-</v>
      </c>
      <c r="V111" s="36" t="str">
        <f>IFERROR(INDEX(Katalog!$D$3:$D$12,MATCH(Data[[#This Row],[ItemID C]],Katalog!$C$3:$C$12,0))*Data[[#This Row],[Qty C]],"0")</f>
        <v>0</v>
      </c>
      <c r="W111" s="36" t="str">
        <f>IFERROR(INDEX(Katalog!$F$3:$F$12,MATCH(Data[[#This Row],[ItemID C]],Katalog!$C$3:$C$12,0))*Data[[#This Row],[Qty C]],"0")</f>
        <v>0</v>
      </c>
      <c r="X111" s="21">
        <f>Data[[#This Row],[Qty A]]+Data[[#This Row],[Qty B]]+Data[[#This Row],[Qty C]]</f>
        <v>4</v>
      </c>
      <c r="Y111" s="22">
        <f>Data[[#This Row],[Harga Barang A]]+Data[[#This Row],[Harga Barang B]]+Data[[#This Row],[Harga Barang C]]</f>
        <v>1200000</v>
      </c>
      <c r="Z111" s="35">
        <f>IFERROR(Data[[#This Row],[Total Harga]]-(Data[[#This Row],[Total Harga]]*Data[[#This Row],[Diskon]]),Data[[#This Row],[Total Harga]])</f>
        <v>1080000</v>
      </c>
      <c r="AA111" s="35">
        <f>(Data[[#This Row],[Profit A]]+Data[[#This Row],[Profit B]]+Data[[#This Row],[Profit C]])</f>
        <v>400000</v>
      </c>
      <c r="AB111" s="35">
        <f>IFERROR((Data[[#This Row],[Profit non Diskon]]-(Data[[#This Row],[Profit non Diskon]]*Data[[#This Row],[Diskon]])),Data[[#This Row],[Profit non Diskon]])</f>
        <v>360000</v>
      </c>
      <c r="AC111" s="23" t="s">
        <v>6</v>
      </c>
      <c r="AD111" s="37">
        <f>IFERROR(INDEX('Kode Diskon'!$D$3:$D$9,MATCH(Data[[#This Row],[Kode diskon]],'Kode Diskon'!$C$3:$C$9,0)),"-")</f>
        <v>0.1</v>
      </c>
      <c r="AE111" s="23" t="s">
        <v>29</v>
      </c>
      <c r="AF111" s="23" t="s">
        <v>7</v>
      </c>
      <c r="AG111" s="23" t="s">
        <v>75</v>
      </c>
      <c r="AH111" s="24">
        <v>45022</v>
      </c>
      <c r="AI111" s="23" t="str">
        <f>TEXT(Data[[#This Row],[Tanggal terjual]],"dddd")</f>
        <v>Thursday</v>
      </c>
      <c r="AJ111" s="21" t="str">
        <f>TEXT(Data[[#This Row],[Tanggal terjual]],"wwww")</f>
        <v>wwww</v>
      </c>
    </row>
    <row r="112" spans="1:36" x14ac:dyDescent="0.2">
      <c r="A112" s="20">
        <v>111</v>
      </c>
      <c r="B112" s="21" t="str">
        <f>_xlfn.CONCAT("ORD-",INDEX(Helper!$B$2:$B$5,MATCH(Data[[#This Row],[Marketplace]],Helper!$A$2:$A$5,0)),TEXT(Data[[#This Row],[No]],"0000"),"-",TEXT(Data[[#This Row],[Tanggal terjual]],"dd/mm/yy"))</f>
        <v>ORD-BL0111-10/04/23</v>
      </c>
      <c r="C112" t="s">
        <v>63</v>
      </c>
      <c r="D112" t="str">
        <f>IFERROR(INDEX(Katalog!$A$3:$A$12,MATCH(Data[[#This Row],[ItemID A]],Katalog!$C$3:$C$12,0)),"-")</f>
        <v>Pakaian Pria</v>
      </c>
      <c r="E112" t="str">
        <f>IFERROR(INDEX(Katalog!$B$3:$B$12,MATCH(Data[[#This Row],[ItemID A]],Katalog!$C$3:$C$12,0)),"-")</f>
        <v>Jaket Jeans</v>
      </c>
      <c r="F112">
        <v>3</v>
      </c>
      <c r="G112">
        <v>4</v>
      </c>
      <c r="H112" s="36">
        <f>IFERROR(INDEX(Katalog!$D$3:$D$12,MATCH(Data[[#This Row],[ItemID A]],Katalog!$C$3:$C$12,0))*Data[[#This Row],[Qty A]],"0")</f>
        <v>1200000</v>
      </c>
      <c r="I112" s="36">
        <f>IFERROR(INDEX(Katalog!$F$3:$F$12,MATCH(Data[[#This Row],[ItemID A]],Katalog!$C$3:$C$12,0))*Data[[#This Row],[Qty A]],0)</f>
        <v>450000</v>
      </c>
      <c r="J112" t="s">
        <v>61</v>
      </c>
      <c r="K112" t="str">
        <f>IFERROR(INDEX(Katalog!$A$3:$A$12,MATCH(Data[[#This Row],[ItemID B]],Katalog!$C$3:$C$12,0)),"-")</f>
        <v>Pakaian Pria</v>
      </c>
      <c r="L112" t="str">
        <f>IFERROR(INDEX(Katalog!$B$3:$B$12,MATCH(Data[[#This Row],[ItemID B]],Katalog!$C$3:$C$12,0)),"-")</f>
        <v>Kaos Polo</v>
      </c>
      <c r="M112">
        <v>2</v>
      </c>
      <c r="N112">
        <v>5</v>
      </c>
      <c r="O112" s="36">
        <f>IFERROR(INDEX(Katalog!$D$3:$D$12,MATCH(Data[[#This Row],[ItemID B]],Katalog!$C$3:$C$12,0))*Data[[#This Row],[Qty B]],"0")</f>
        <v>400000</v>
      </c>
      <c r="P112" s="36">
        <f>IFERROR(INDEX(Katalog!$F$3:$F$12,MATCH(Data[[#This Row],[ItemID B]],Katalog!$C$3:$C$12,0))*Data[[#This Row],[Qty B]],"0")</f>
        <v>160000</v>
      </c>
      <c r="Q112" t="s">
        <v>65</v>
      </c>
      <c r="R112" t="str">
        <f>IFERROR(INDEX(Katalog!$A$3:$A$12,MATCH(Data[[#This Row],[ItemID C]],Katalog!$C$3:$C$12,0)),"-")</f>
        <v>Sepatu Pria</v>
      </c>
      <c r="S112" t="str">
        <f>IFERROR(INDEX(Katalog!$B$3:$B$12,MATCH(Data[[#This Row],[ItemID C]],Katalog!$C$3:$C$12,0)),"-")</f>
        <v>Sneakers</v>
      </c>
      <c r="T112">
        <v>1</v>
      </c>
      <c r="U112">
        <v>5</v>
      </c>
      <c r="V112" s="36">
        <f>IFERROR(INDEX(Katalog!$D$3:$D$12,MATCH(Data[[#This Row],[ItemID C]],Katalog!$C$3:$C$12,0))*Data[[#This Row],[Qty C]],"0")</f>
        <v>500000</v>
      </c>
      <c r="W112" s="36">
        <f>IFERROR(INDEX(Katalog!$F$3:$F$12,MATCH(Data[[#This Row],[ItemID C]],Katalog!$C$3:$C$12,0))*Data[[#This Row],[Qty C]],"0")</f>
        <v>200000</v>
      </c>
      <c r="X112" s="21">
        <f>Data[[#This Row],[Qty A]]+Data[[#This Row],[Qty B]]+Data[[#This Row],[Qty C]]</f>
        <v>6</v>
      </c>
      <c r="Y112" s="22">
        <f>Data[[#This Row],[Harga Barang A]]+Data[[#This Row],[Harga Barang B]]+Data[[#This Row],[Harga Barang C]]</f>
        <v>2100000</v>
      </c>
      <c r="Z112" s="35">
        <f>IFERROR(Data[[#This Row],[Total Harga]]-(Data[[#This Row],[Total Harga]]*Data[[#This Row],[Diskon]]),Data[[#This Row],[Total Harga]])</f>
        <v>2100000</v>
      </c>
      <c r="AA112" s="35">
        <f>(Data[[#This Row],[Profit A]]+Data[[#This Row],[Profit B]]+Data[[#This Row],[Profit C]])</f>
        <v>810000</v>
      </c>
      <c r="AB112" s="35">
        <f>IFERROR((Data[[#This Row],[Profit non Diskon]]-(Data[[#This Row],[Profit non Diskon]]*Data[[#This Row],[Diskon]])),Data[[#This Row],[Profit non Diskon]])</f>
        <v>810000</v>
      </c>
      <c r="AC112" s="23" t="s">
        <v>11</v>
      </c>
      <c r="AD112" s="37" t="str">
        <f>IFERROR(INDEX('Kode Diskon'!$D$3:$D$9,MATCH(Data[[#This Row],[Kode diskon]],'Kode Diskon'!$C$3:$C$9,0)),"-")</f>
        <v>-</v>
      </c>
      <c r="AE112" s="23" t="s">
        <v>11</v>
      </c>
      <c r="AF112" s="23" t="s">
        <v>12</v>
      </c>
      <c r="AG112" s="23" t="s">
        <v>77</v>
      </c>
      <c r="AH112" s="24">
        <v>45026</v>
      </c>
      <c r="AI112" s="23" t="str">
        <f>TEXT(Data[[#This Row],[Tanggal terjual]],"dddd")</f>
        <v>Monday</v>
      </c>
      <c r="AJ112" s="21" t="str">
        <f>TEXT(Data[[#This Row],[Tanggal terjual]],"wwww")</f>
        <v>wwww</v>
      </c>
    </row>
    <row r="113" spans="1:36" x14ac:dyDescent="0.2">
      <c r="A113" s="20">
        <v>112</v>
      </c>
      <c r="B113" s="21" t="str">
        <f>_xlfn.CONCAT("ORD-",INDEX(Helper!$B$2:$B$5,MATCH(Data[[#This Row],[Marketplace]],Helper!$A$2:$A$5,0)),TEXT(Data[[#This Row],[No]],"0000"),"-",TEXT(Data[[#This Row],[Tanggal terjual]],"dd/mm/yy"))</f>
        <v>ORD-TK0112-18/04/23</v>
      </c>
      <c r="C113" t="s">
        <v>67</v>
      </c>
      <c r="D113" t="str">
        <f>IFERROR(INDEX(Katalog!$A$3:$A$12,MATCH(Data[[#This Row],[ItemID A]],Katalog!$C$3:$C$12,0)),"-")</f>
        <v>Sepatu Wanita</v>
      </c>
      <c r="E113" t="str">
        <f>IFERROR(INDEX(Katalog!$B$3:$B$12,MATCH(Data[[#This Row],[ItemID A]],Katalog!$C$3:$C$12,0)),"-")</f>
        <v>Flat Shoes</v>
      </c>
      <c r="F113">
        <v>1</v>
      </c>
      <c r="G113">
        <v>2</v>
      </c>
      <c r="H113" s="36">
        <f>IFERROR(INDEX(Katalog!$D$3:$D$12,MATCH(Data[[#This Row],[ItemID A]],Katalog!$C$3:$C$12,0))*Data[[#This Row],[Qty A]],"0")</f>
        <v>250000</v>
      </c>
      <c r="I113" s="36">
        <f>IFERROR(INDEX(Katalog!$F$3:$F$12,MATCH(Data[[#This Row],[ItemID A]],Katalog!$C$3:$C$12,0))*Data[[#This Row],[Qty A]],0)</f>
        <v>100000</v>
      </c>
      <c r="J113" t="s">
        <v>65</v>
      </c>
      <c r="K113" t="str">
        <f>IFERROR(INDEX(Katalog!$A$3:$A$12,MATCH(Data[[#This Row],[ItemID B]],Katalog!$C$3:$C$12,0)),"-")</f>
        <v>Sepatu Pria</v>
      </c>
      <c r="L113" t="str">
        <f>IFERROR(INDEX(Katalog!$B$3:$B$12,MATCH(Data[[#This Row],[ItemID B]],Katalog!$C$3:$C$12,0)),"-")</f>
        <v>Sneakers</v>
      </c>
      <c r="M113">
        <v>1</v>
      </c>
      <c r="N113">
        <v>2</v>
      </c>
      <c r="O113" s="36">
        <f>IFERROR(INDEX(Katalog!$D$3:$D$12,MATCH(Data[[#This Row],[ItemID B]],Katalog!$C$3:$C$12,0))*Data[[#This Row],[Qty B]],"0")</f>
        <v>500000</v>
      </c>
      <c r="P113" s="36">
        <f>IFERROR(INDEX(Katalog!$F$3:$F$12,MATCH(Data[[#This Row],[ItemID B]],Katalog!$C$3:$C$12,0))*Data[[#This Row],[Qty B]],"0")</f>
        <v>200000</v>
      </c>
      <c r="Q113" t="s">
        <v>67</v>
      </c>
      <c r="R113" t="str">
        <f>IFERROR(INDEX(Katalog!$A$3:$A$12,MATCH(Data[[#This Row],[ItemID C]],Katalog!$C$3:$C$12,0)),"-")</f>
        <v>Sepatu Wanita</v>
      </c>
      <c r="S113" t="str">
        <f>IFERROR(INDEX(Katalog!$B$3:$B$12,MATCH(Data[[#This Row],[ItemID C]],Katalog!$C$3:$C$12,0)),"-")</f>
        <v>Flat Shoes</v>
      </c>
      <c r="T113">
        <v>2</v>
      </c>
      <c r="U113">
        <v>5</v>
      </c>
      <c r="V113" s="36">
        <f>IFERROR(INDEX(Katalog!$D$3:$D$12,MATCH(Data[[#This Row],[ItemID C]],Katalog!$C$3:$C$12,0))*Data[[#This Row],[Qty C]],"0")</f>
        <v>500000</v>
      </c>
      <c r="W113" s="36">
        <f>IFERROR(INDEX(Katalog!$F$3:$F$12,MATCH(Data[[#This Row],[ItemID C]],Katalog!$C$3:$C$12,0))*Data[[#This Row],[Qty C]],"0")</f>
        <v>200000</v>
      </c>
      <c r="X113" s="21">
        <f>Data[[#This Row],[Qty A]]+Data[[#This Row],[Qty B]]+Data[[#This Row],[Qty C]]</f>
        <v>4</v>
      </c>
      <c r="Y113" s="22">
        <f>Data[[#This Row],[Harga Barang A]]+Data[[#This Row],[Harga Barang B]]+Data[[#This Row],[Harga Barang C]]</f>
        <v>1250000</v>
      </c>
      <c r="Z113" s="35">
        <f>IFERROR(Data[[#This Row],[Total Harga]]-(Data[[#This Row],[Total Harga]]*Data[[#This Row],[Diskon]]),Data[[#This Row],[Total Harga]])</f>
        <v>1125000</v>
      </c>
      <c r="AA113" s="35">
        <f>(Data[[#This Row],[Profit A]]+Data[[#This Row],[Profit B]]+Data[[#This Row],[Profit C]])</f>
        <v>500000</v>
      </c>
      <c r="AB113" s="35">
        <f>IFERROR((Data[[#This Row],[Profit non Diskon]]-(Data[[#This Row],[Profit non Diskon]]*Data[[#This Row],[Diskon]])),Data[[#This Row],[Profit non Diskon]])</f>
        <v>450000</v>
      </c>
      <c r="AC113" s="23" t="s">
        <v>31</v>
      </c>
      <c r="AD113" s="37">
        <f>IFERROR(INDEX('Kode Diskon'!$D$3:$D$9,MATCH(Data[[#This Row],[Kode diskon]],'Kode Diskon'!$C$3:$C$9,0)),"-")</f>
        <v>0.1</v>
      </c>
      <c r="AE113" s="23" t="s">
        <v>9</v>
      </c>
      <c r="AF113" s="23" t="s">
        <v>10</v>
      </c>
      <c r="AG113" s="23" t="s">
        <v>76</v>
      </c>
      <c r="AH113" s="24">
        <v>45034</v>
      </c>
      <c r="AI113" s="23" t="str">
        <f>TEXT(Data[[#This Row],[Tanggal terjual]],"dddd")</f>
        <v>Tuesday</v>
      </c>
      <c r="AJ113" s="21" t="str">
        <f>TEXT(Data[[#This Row],[Tanggal terjual]],"wwww")</f>
        <v>wwww</v>
      </c>
    </row>
    <row r="114" spans="1:36" x14ac:dyDescent="0.2">
      <c r="A114" s="20">
        <v>113</v>
      </c>
      <c r="B114" s="21" t="str">
        <f>_xlfn.CONCAT("ORD-",INDEX(Helper!$B$2:$B$5,MATCH(Data[[#This Row],[Marketplace]],Helper!$A$2:$A$5,0)),TEXT(Data[[#This Row],[No]],"0000"),"-",TEXT(Data[[#This Row],[Tanggal terjual]],"dd/mm/yy"))</f>
        <v>ORD-BB0113-14/04/23</v>
      </c>
      <c r="C114" t="s">
        <v>65</v>
      </c>
      <c r="D114" t="str">
        <f>IFERROR(INDEX(Katalog!$A$3:$A$12,MATCH(Data[[#This Row],[ItemID A]],Katalog!$C$3:$C$12,0)),"-")</f>
        <v>Sepatu Pria</v>
      </c>
      <c r="E114" t="str">
        <f>IFERROR(INDEX(Katalog!$B$3:$B$12,MATCH(Data[[#This Row],[ItemID A]],Katalog!$C$3:$C$12,0)),"-")</f>
        <v>Sneakers</v>
      </c>
      <c r="F114">
        <v>3</v>
      </c>
      <c r="G114">
        <v>1</v>
      </c>
      <c r="H114" s="36">
        <f>IFERROR(INDEX(Katalog!$D$3:$D$12,MATCH(Data[[#This Row],[ItemID A]],Katalog!$C$3:$C$12,0))*Data[[#This Row],[Qty A]],"0")</f>
        <v>1500000</v>
      </c>
      <c r="I114" s="36">
        <f>IFERROR(INDEX(Katalog!$F$3:$F$12,MATCH(Data[[#This Row],[ItemID A]],Katalog!$C$3:$C$12,0))*Data[[#This Row],[Qty A]],0)</f>
        <v>600000</v>
      </c>
      <c r="J114" t="s">
        <v>60</v>
      </c>
      <c r="K114" t="str">
        <f>IFERROR(INDEX(Katalog!$A$3:$A$12,MATCH(Data[[#This Row],[ItemID B]],Katalog!$C$3:$C$12,0)),"-")</f>
        <v>Pakaian Wanita</v>
      </c>
      <c r="L114" t="str">
        <f>IFERROR(INDEX(Katalog!$B$3:$B$12,MATCH(Data[[#This Row],[ItemID B]],Katalog!$C$3:$C$12,0)),"-")</f>
        <v>Kaftan</v>
      </c>
      <c r="M114">
        <v>1</v>
      </c>
      <c r="N114">
        <v>4</v>
      </c>
      <c r="O114" s="36">
        <f>IFERROR(INDEX(Katalog!$D$3:$D$12,MATCH(Data[[#This Row],[ItemID B]],Katalog!$C$3:$C$12,0))*Data[[#This Row],[Qty B]],"0")</f>
        <v>250000</v>
      </c>
      <c r="P114" s="36">
        <f>IFERROR(INDEX(Katalog!$F$3:$F$12,MATCH(Data[[#This Row],[ItemID B]],Katalog!$C$3:$C$12,0))*Data[[#This Row],[Qty B]],"0")</f>
        <v>100000</v>
      </c>
      <c r="R114" t="str">
        <f>IFERROR(INDEX(Katalog!$A$3:$A$12,MATCH(Data[[#This Row],[ItemID C]],Katalog!$C$3:$C$12,0)),"-")</f>
        <v>-</v>
      </c>
      <c r="S114" t="str">
        <f>IFERROR(INDEX(Katalog!$B$3:$B$12,MATCH(Data[[#This Row],[ItemID C]],Katalog!$C$3:$C$12,0)),"-")</f>
        <v>-</v>
      </c>
      <c r="V114" s="36" t="str">
        <f>IFERROR(INDEX(Katalog!$D$3:$D$12,MATCH(Data[[#This Row],[ItemID C]],Katalog!$C$3:$C$12,0))*Data[[#This Row],[Qty C]],"0")</f>
        <v>0</v>
      </c>
      <c r="W114" s="36" t="str">
        <f>IFERROR(INDEX(Katalog!$F$3:$F$12,MATCH(Data[[#This Row],[ItemID C]],Katalog!$C$3:$C$12,0))*Data[[#This Row],[Qty C]],"0")</f>
        <v>0</v>
      </c>
      <c r="X114" s="21">
        <f>Data[[#This Row],[Qty A]]+Data[[#This Row],[Qty B]]+Data[[#This Row],[Qty C]]</f>
        <v>4</v>
      </c>
      <c r="Y114" s="22">
        <f>Data[[#This Row],[Harga Barang A]]+Data[[#This Row],[Harga Barang B]]+Data[[#This Row],[Harga Barang C]]</f>
        <v>1750000</v>
      </c>
      <c r="Z114" s="35">
        <f>IFERROR(Data[[#This Row],[Total Harga]]-(Data[[#This Row],[Total Harga]]*Data[[#This Row],[Diskon]]),Data[[#This Row],[Total Harga]])</f>
        <v>1750000</v>
      </c>
      <c r="AA114" s="35">
        <f>(Data[[#This Row],[Profit A]]+Data[[#This Row],[Profit B]]+Data[[#This Row],[Profit C]])</f>
        <v>700000</v>
      </c>
      <c r="AB114" s="35">
        <f>IFERROR((Data[[#This Row],[Profit non Diskon]]-(Data[[#This Row],[Profit non Diskon]]*Data[[#This Row],[Diskon]])),Data[[#This Row],[Profit non Diskon]])</f>
        <v>700000</v>
      </c>
      <c r="AC114" s="23" t="s">
        <v>11</v>
      </c>
      <c r="AD114" s="37" t="str">
        <f>IFERROR(INDEX('Kode Diskon'!$D$3:$D$9,MATCH(Data[[#This Row],[Kode diskon]],'Kode Diskon'!$C$3:$C$9,0)),"-")</f>
        <v>-</v>
      </c>
      <c r="AE114" s="23" t="s">
        <v>11</v>
      </c>
      <c r="AF114" s="23" t="s">
        <v>14</v>
      </c>
      <c r="AG114" s="23" t="s">
        <v>75</v>
      </c>
      <c r="AH114" s="24">
        <v>45030</v>
      </c>
      <c r="AI114" s="23" t="str">
        <f>TEXT(Data[[#This Row],[Tanggal terjual]],"dddd")</f>
        <v>Friday</v>
      </c>
      <c r="AJ114" s="21" t="str">
        <f>TEXT(Data[[#This Row],[Tanggal terjual]],"wwww")</f>
        <v>wwww</v>
      </c>
    </row>
    <row r="115" spans="1:36" x14ac:dyDescent="0.2">
      <c r="A115" s="20">
        <v>114</v>
      </c>
      <c r="B115" s="21" t="str">
        <f>_xlfn.CONCAT("ORD-",INDEX(Helper!$B$2:$B$5,MATCH(Data[[#This Row],[Marketplace]],Helper!$A$2:$A$5,0)),TEXT(Data[[#This Row],[No]],"0000"),"-",TEXT(Data[[#This Row],[Tanggal terjual]],"dd/mm/yy"))</f>
        <v>ORD-TK0114-04/04/23</v>
      </c>
      <c r="C115" t="s">
        <v>64</v>
      </c>
      <c r="D115" t="str">
        <f>IFERROR(INDEX(Katalog!$A$3:$A$12,MATCH(Data[[#This Row],[ItemID A]],Katalog!$C$3:$C$12,0)),"-")</f>
        <v>Pakaian Unisex</v>
      </c>
      <c r="E115" t="str">
        <f>IFERROR(INDEX(Katalog!$B$3:$B$12,MATCH(Data[[#This Row],[ItemID A]],Katalog!$C$3:$C$12,0)),"-")</f>
        <v>Jaket Hoodie</v>
      </c>
      <c r="F115">
        <v>2</v>
      </c>
      <c r="G115">
        <v>3</v>
      </c>
      <c r="H115" s="36">
        <f>IFERROR(INDEX(Katalog!$D$3:$D$12,MATCH(Data[[#This Row],[ItemID A]],Katalog!$C$3:$C$12,0))*Data[[#This Row],[Qty A]],"0")</f>
        <v>700000</v>
      </c>
      <c r="I115" s="36">
        <f>IFERROR(INDEX(Katalog!$F$3:$F$12,MATCH(Data[[#This Row],[ItemID A]],Katalog!$C$3:$C$12,0))*Data[[#This Row],[Qty A]],0)</f>
        <v>260000</v>
      </c>
      <c r="K115" t="str">
        <f>IFERROR(INDEX(Katalog!$A$3:$A$12,MATCH(Data[[#This Row],[ItemID B]],Katalog!$C$3:$C$12,0)),"-")</f>
        <v>-</v>
      </c>
      <c r="L115" t="str">
        <f>IFERROR(INDEX(Katalog!$B$3:$B$12,MATCH(Data[[#This Row],[ItemID B]],Katalog!$C$3:$C$12,0)),"-")</f>
        <v>-</v>
      </c>
      <c r="O115" s="36" t="str">
        <f>IFERROR(INDEX(Katalog!$D$3:$D$12,MATCH(Data[[#This Row],[ItemID B]],Katalog!$C$3:$C$12,0))*Data[[#This Row],[Qty B]],"0")</f>
        <v>0</v>
      </c>
      <c r="P115" s="36" t="str">
        <f>IFERROR(INDEX(Katalog!$F$3:$F$12,MATCH(Data[[#This Row],[ItemID B]],Katalog!$C$3:$C$12,0))*Data[[#This Row],[Qty B]],"0")</f>
        <v>0</v>
      </c>
      <c r="R115" t="str">
        <f>IFERROR(INDEX(Katalog!$A$3:$A$12,MATCH(Data[[#This Row],[ItemID C]],Katalog!$C$3:$C$12,0)),"-")</f>
        <v>-</v>
      </c>
      <c r="S115" t="str">
        <f>IFERROR(INDEX(Katalog!$B$3:$B$12,MATCH(Data[[#This Row],[ItemID C]],Katalog!$C$3:$C$12,0)),"-")</f>
        <v>-</v>
      </c>
      <c r="V115" s="36" t="str">
        <f>IFERROR(INDEX(Katalog!$D$3:$D$12,MATCH(Data[[#This Row],[ItemID C]],Katalog!$C$3:$C$12,0))*Data[[#This Row],[Qty C]],"0")</f>
        <v>0</v>
      </c>
      <c r="W115" s="36" t="str">
        <f>IFERROR(INDEX(Katalog!$F$3:$F$12,MATCH(Data[[#This Row],[ItemID C]],Katalog!$C$3:$C$12,0))*Data[[#This Row],[Qty C]],"0")</f>
        <v>0</v>
      </c>
      <c r="X115" s="21">
        <f>Data[[#This Row],[Qty A]]+Data[[#This Row],[Qty B]]+Data[[#This Row],[Qty C]]</f>
        <v>2</v>
      </c>
      <c r="Y115" s="22">
        <f>Data[[#This Row],[Harga Barang A]]+Data[[#This Row],[Harga Barang B]]+Data[[#This Row],[Harga Barang C]]</f>
        <v>700000</v>
      </c>
      <c r="Z115" s="35">
        <f>IFERROR(Data[[#This Row],[Total Harga]]-(Data[[#This Row],[Total Harga]]*Data[[#This Row],[Diskon]]),Data[[#This Row],[Total Harga]])</f>
        <v>630000</v>
      </c>
      <c r="AA115" s="35">
        <f>(Data[[#This Row],[Profit A]]+Data[[#This Row],[Profit B]]+Data[[#This Row],[Profit C]])</f>
        <v>260000</v>
      </c>
      <c r="AB115" s="35">
        <f>IFERROR((Data[[#This Row],[Profit non Diskon]]-(Data[[#This Row],[Profit non Diskon]]*Data[[#This Row],[Diskon]])),Data[[#This Row],[Profit non Diskon]])</f>
        <v>234000</v>
      </c>
      <c r="AC115" s="23" t="s">
        <v>30</v>
      </c>
      <c r="AD115" s="37">
        <f>IFERROR(INDEX('Kode Diskon'!$D$3:$D$9,MATCH(Data[[#This Row],[Kode diskon]],'Kode Diskon'!$C$3:$C$9,0)),"-")</f>
        <v>0.1</v>
      </c>
      <c r="AE115" s="23" t="s">
        <v>29</v>
      </c>
      <c r="AF115" s="23" t="s">
        <v>10</v>
      </c>
      <c r="AG115" s="23" t="s">
        <v>76</v>
      </c>
      <c r="AH115" s="24">
        <v>45020</v>
      </c>
      <c r="AI115" s="23" t="str">
        <f>TEXT(Data[[#This Row],[Tanggal terjual]],"dddd")</f>
        <v>Tuesday</v>
      </c>
      <c r="AJ115" s="21" t="str">
        <f>TEXT(Data[[#This Row],[Tanggal terjual]],"wwww")</f>
        <v>wwww</v>
      </c>
    </row>
    <row r="116" spans="1:36" x14ac:dyDescent="0.2">
      <c r="A116" s="20">
        <v>115</v>
      </c>
      <c r="B116" s="21" t="str">
        <f>_xlfn.CONCAT("ORD-",INDEX(Helper!$B$2:$B$5,MATCH(Data[[#This Row],[Marketplace]],Helper!$A$2:$A$5,0)),TEXT(Data[[#This Row],[No]],"0000"),"-",TEXT(Data[[#This Row],[Tanggal terjual]],"dd/mm/yy"))</f>
        <v>ORD-TK0115-01/04/23</v>
      </c>
      <c r="C116" t="s">
        <v>62</v>
      </c>
      <c r="D116" t="str">
        <f>IFERROR(INDEX(Katalog!$A$3:$A$12,MATCH(Data[[#This Row],[ItemID A]],Katalog!$C$3:$C$12,0)),"-")</f>
        <v>Pakaian Pria</v>
      </c>
      <c r="E116" t="str">
        <f>IFERROR(INDEX(Katalog!$B$3:$B$12,MATCH(Data[[#This Row],[ItemID A]],Katalog!$C$3:$C$12,0)),"-")</f>
        <v>Celana Pendek</v>
      </c>
      <c r="F116">
        <v>2</v>
      </c>
      <c r="G116">
        <v>3</v>
      </c>
      <c r="H116" s="36">
        <f>IFERROR(INDEX(Katalog!$D$3:$D$12,MATCH(Data[[#This Row],[ItemID A]],Katalog!$C$3:$C$12,0))*Data[[#This Row],[Qty A]],"0")</f>
        <v>360000</v>
      </c>
      <c r="I116" s="36">
        <f>IFERROR(INDEX(Katalog!$F$3:$F$12,MATCH(Data[[#This Row],[ItemID A]],Katalog!$C$3:$C$12,0))*Data[[#This Row],[Qty A]],0)</f>
        <v>140000</v>
      </c>
      <c r="J116" t="s">
        <v>60</v>
      </c>
      <c r="K116" t="str">
        <f>IFERROR(INDEX(Katalog!$A$3:$A$12,MATCH(Data[[#This Row],[ItemID B]],Katalog!$C$3:$C$12,0)),"-")</f>
        <v>Pakaian Wanita</v>
      </c>
      <c r="L116" t="str">
        <f>IFERROR(INDEX(Katalog!$B$3:$B$12,MATCH(Data[[#This Row],[ItemID B]],Katalog!$C$3:$C$12,0)),"-")</f>
        <v>Kaftan</v>
      </c>
      <c r="M116">
        <v>1</v>
      </c>
      <c r="N116">
        <v>4</v>
      </c>
      <c r="O116" s="36">
        <f>IFERROR(INDEX(Katalog!$D$3:$D$12,MATCH(Data[[#This Row],[ItemID B]],Katalog!$C$3:$C$12,0))*Data[[#This Row],[Qty B]],"0")</f>
        <v>250000</v>
      </c>
      <c r="P116" s="36">
        <f>IFERROR(INDEX(Katalog!$F$3:$F$12,MATCH(Data[[#This Row],[ItemID B]],Katalog!$C$3:$C$12,0))*Data[[#This Row],[Qty B]],"0")</f>
        <v>100000</v>
      </c>
      <c r="R116" t="str">
        <f>IFERROR(INDEX(Katalog!$A$3:$A$12,MATCH(Data[[#This Row],[ItemID C]],Katalog!$C$3:$C$12,0)),"-")</f>
        <v>-</v>
      </c>
      <c r="S116" t="str">
        <f>IFERROR(INDEX(Katalog!$B$3:$B$12,MATCH(Data[[#This Row],[ItemID C]],Katalog!$C$3:$C$12,0)),"-")</f>
        <v>-</v>
      </c>
      <c r="V116" s="36" t="str">
        <f>IFERROR(INDEX(Katalog!$D$3:$D$12,MATCH(Data[[#This Row],[ItemID C]],Katalog!$C$3:$C$12,0))*Data[[#This Row],[Qty C]],"0")</f>
        <v>0</v>
      </c>
      <c r="W116" s="36" t="str">
        <f>IFERROR(INDEX(Katalog!$F$3:$F$12,MATCH(Data[[#This Row],[ItemID C]],Katalog!$C$3:$C$12,0))*Data[[#This Row],[Qty C]],"0")</f>
        <v>0</v>
      </c>
      <c r="X116" s="21">
        <f>Data[[#This Row],[Qty A]]+Data[[#This Row],[Qty B]]+Data[[#This Row],[Qty C]]</f>
        <v>3</v>
      </c>
      <c r="Y116" s="22">
        <f>Data[[#This Row],[Harga Barang A]]+Data[[#This Row],[Harga Barang B]]+Data[[#This Row],[Harga Barang C]]</f>
        <v>610000</v>
      </c>
      <c r="Z116" s="35">
        <f>IFERROR(Data[[#This Row],[Total Harga]]-(Data[[#This Row],[Total Harga]]*Data[[#This Row],[Diskon]]),Data[[#This Row],[Total Harga]])</f>
        <v>549000</v>
      </c>
      <c r="AA116" s="35">
        <f>(Data[[#This Row],[Profit A]]+Data[[#This Row],[Profit B]]+Data[[#This Row],[Profit C]])</f>
        <v>240000</v>
      </c>
      <c r="AB116" s="35">
        <f>IFERROR((Data[[#This Row],[Profit non Diskon]]-(Data[[#This Row],[Profit non Diskon]]*Data[[#This Row],[Diskon]])),Data[[#This Row],[Profit non Diskon]])</f>
        <v>216000</v>
      </c>
      <c r="AC116" s="23" t="s">
        <v>30</v>
      </c>
      <c r="AD116" s="37">
        <f>IFERROR(INDEX('Kode Diskon'!$D$3:$D$9,MATCH(Data[[#This Row],[Kode diskon]],'Kode Diskon'!$C$3:$C$9,0)),"-")</f>
        <v>0.1</v>
      </c>
      <c r="AE116" s="23" t="s">
        <v>29</v>
      </c>
      <c r="AF116" s="23" t="s">
        <v>10</v>
      </c>
      <c r="AG116" s="23" t="s">
        <v>75</v>
      </c>
      <c r="AH116" s="24">
        <v>45017</v>
      </c>
      <c r="AI116" s="23" t="str">
        <f>TEXT(Data[[#This Row],[Tanggal terjual]],"dddd")</f>
        <v>Saturday</v>
      </c>
      <c r="AJ116" s="21" t="str">
        <f>TEXT(Data[[#This Row],[Tanggal terjual]],"wwww")</f>
        <v>wwww</v>
      </c>
    </row>
    <row r="117" spans="1:36" x14ac:dyDescent="0.2">
      <c r="A117" s="20">
        <v>116</v>
      </c>
      <c r="B117" s="21" t="str">
        <f>_xlfn.CONCAT("ORD-",INDEX(Helper!$B$2:$B$5,MATCH(Data[[#This Row],[Marketplace]],Helper!$A$2:$A$5,0)),TEXT(Data[[#This Row],[No]],"0000"),"-",TEXT(Data[[#This Row],[Tanggal terjual]],"dd/mm/yy"))</f>
        <v>ORD-BB0116-01/04/23</v>
      </c>
      <c r="C117" t="s">
        <v>60</v>
      </c>
      <c r="D117" t="str">
        <f>IFERROR(INDEX(Katalog!$A$3:$A$12,MATCH(Data[[#This Row],[ItemID A]],Katalog!$C$3:$C$12,0)),"-")</f>
        <v>Pakaian Wanita</v>
      </c>
      <c r="E117" t="str">
        <f>IFERROR(INDEX(Katalog!$B$3:$B$12,MATCH(Data[[#This Row],[ItemID A]],Katalog!$C$3:$C$12,0)),"-")</f>
        <v>Kaftan</v>
      </c>
      <c r="F117">
        <v>1</v>
      </c>
      <c r="G117">
        <v>1</v>
      </c>
      <c r="H117" s="36">
        <f>IFERROR(INDEX(Katalog!$D$3:$D$12,MATCH(Data[[#This Row],[ItemID A]],Katalog!$C$3:$C$12,0))*Data[[#This Row],[Qty A]],"0")</f>
        <v>250000</v>
      </c>
      <c r="I117" s="36">
        <f>IFERROR(INDEX(Katalog!$F$3:$F$12,MATCH(Data[[#This Row],[ItemID A]],Katalog!$C$3:$C$12,0))*Data[[#This Row],[Qty A]],0)</f>
        <v>100000</v>
      </c>
      <c r="K117" t="str">
        <f>IFERROR(INDEX(Katalog!$A$3:$A$12,MATCH(Data[[#This Row],[ItemID B]],Katalog!$C$3:$C$12,0)),"-")</f>
        <v>-</v>
      </c>
      <c r="L117" t="str">
        <f>IFERROR(INDEX(Katalog!$B$3:$B$12,MATCH(Data[[#This Row],[ItemID B]],Katalog!$C$3:$C$12,0)),"-")</f>
        <v>-</v>
      </c>
      <c r="O117" s="36" t="str">
        <f>IFERROR(INDEX(Katalog!$D$3:$D$12,MATCH(Data[[#This Row],[ItemID B]],Katalog!$C$3:$C$12,0))*Data[[#This Row],[Qty B]],"0")</f>
        <v>0</v>
      </c>
      <c r="P117" s="36" t="str">
        <f>IFERROR(INDEX(Katalog!$F$3:$F$12,MATCH(Data[[#This Row],[ItemID B]],Katalog!$C$3:$C$12,0))*Data[[#This Row],[Qty B]],"0")</f>
        <v>0</v>
      </c>
      <c r="R117" t="str">
        <f>IFERROR(INDEX(Katalog!$A$3:$A$12,MATCH(Data[[#This Row],[ItemID C]],Katalog!$C$3:$C$12,0)),"-")</f>
        <v>-</v>
      </c>
      <c r="S117" t="str">
        <f>IFERROR(INDEX(Katalog!$B$3:$B$12,MATCH(Data[[#This Row],[ItemID C]],Katalog!$C$3:$C$12,0)),"-")</f>
        <v>-</v>
      </c>
      <c r="V117" s="36" t="str">
        <f>IFERROR(INDEX(Katalog!$D$3:$D$12,MATCH(Data[[#This Row],[ItemID C]],Katalog!$C$3:$C$12,0))*Data[[#This Row],[Qty C]],"0")</f>
        <v>0</v>
      </c>
      <c r="W117" s="36" t="str">
        <f>IFERROR(INDEX(Katalog!$F$3:$F$12,MATCH(Data[[#This Row],[ItemID C]],Katalog!$C$3:$C$12,0))*Data[[#This Row],[Qty C]],"0")</f>
        <v>0</v>
      </c>
      <c r="X117" s="21">
        <f>Data[[#This Row],[Qty A]]+Data[[#This Row],[Qty B]]+Data[[#This Row],[Qty C]]</f>
        <v>1</v>
      </c>
      <c r="Y117" s="22">
        <f>Data[[#This Row],[Harga Barang A]]+Data[[#This Row],[Harga Barang B]]+Data[[#This Row],[Harga Barang C]]</f>
        <v>250000</v>
      </c>
      <c r="Z117" s="35">
        <f>IFERROR(Data[[#This Row],[Total Harga]]-(Data[[#This Row],[Total Harga]]*Data[[#This Row],[Diskon]]),Data[[#This Row],[Total Harga]])</f>
        <v>212500</v>
      </c>
      <c r="AA117" s="35">
        <f>(Data[[#This Row],[Profit A]]+Data[[#This Row],[Profit B]]+Data[[#This Row],[Profit C]])</f>
        <v>100000</v>
      </c>
      <c r="AB117" s="35">
        <f>IFERROR((Data[[#This Row],[Profit non Diskon]]-(Data[[#This Row],[Profit non Diskon]]*Data[[#This Row],[Diskon]])),Data[[#This Row],[Profit non Diskon]])</f>
        <v>85000</v>
      </c>
      <c r="AC117" s="23" t="s">
        <v>28</v>
      </c>
      <c r="AD117" s="37">
        <f>IFERROR(INDEX('Kode Diskon'!$D$3:$D$9,MATCH(Data[[#This Row],[Kode diskon]],'Kode Diskon'!$C$3:$C$9,0)),"-")</f>
        <v>0.15</v>
      </c>
      <c r="AE117" s="23" t="s">
        <v>29</v>
      </c>
      <c r="AF117" s="23" t="s">
        <v>14</v>
      </c>
      <c r="AG117" s="23" t="s">
        <v>77</v>
      </c>
      <c r="AH117" s="24">
        <v>45017</v>
      </c>
      <c r="AI117" s="23" t="str">
        <f>TEXT(Data[[#This Row],[Tanggal terjual]],"dddd")</f>
        <v>Saturday</v>
      </c>
      <c r="AJ117" s="21" t="str">
        <f>TEXT(Data[[#This Row],[Tanggal terjual]],"wwww")</f>
        <v>wwww</v>
      </c>
    </row>
    <row r="118" spans="1:36" x14ac:dyDescent="0.2">
      <c r="A118" s="20">
        <v>117</v>
      </c>
      <c r="B118" s="21" t="str">
        <f>_xlfn.CONCAT("ORD-",INDEX(Helper!$B$2:$B$5,MATCH(Data[[#This Row],[Marketplace]],Helper!$A$2:$A$5,0)),TEXT(Data[[#This Row],[No]],"0000"),"-",TEXT(Data[[#This Row],[Tanggal terjual]],"dd/mm/yy"))</f>
        <v>ORD-TK0117-02/04/23</v>
      </c>
      <c r="C118" t="s">
        <v>67</v>
      </c>
      <c r="D118" t="str">
        <f>IFERROR(INDEX(Katalog!$A$3:$A$12,MATCH(Data[[#This Row],[ItemID A]],Katalog!$C$3:$C$12,0)),"-")</f>
        <v>Sepatu Wanita</v>
      </c>
      <c r="E118" t="str">
        <f>IFERROR(INDEX(Katalog!$B$3:$B$12,MATCH(Data[[#This Row],[ItemID A]],Katalog!$C$3:$C$12,0)),"-")</f>
        <v>Flat Shoes</v>
      </c>
      <c r="F118">
        <v>4</v>
      </c>
      <c r="G118">
        <v>4</v>
      </c>
      <c r="H118" s="36">
        <f>IFERROR(INDEX(Katalog!$D$3:$D$12,MATCH(Data[[#This Row],[ItemID A]],Katalog!$C$3:$C$12,0))*Data[[#This Row],[Qty A]],"0")</f>
        <v>1000000</v>
      </c>
      <c r="I118" s="36">
        <f>IFERROR(INDEX(Katalog!$F$3:$F$12,MATCH(Data[[#This Row],[ItemID A]],Katalog!$C$3:$C$12,0))*Data[[#This Row],[Qty A]],0)</f>
        <v>400000</v>
      </c>
      <c r="K118" t="str">
        <f>IFERROR(INDEX(Katalog!$A$3:$A$12,MATCH(Data[[#This Row],[ItemID B]],Katalog!$C$3:$C$12,0)),"-")</f>
        <v>-</v>
      </c>
      <c r="L118" t="str">
        <f>IFERROR(INDEX(Katalog!$B$3:$B$12,MATCH(Data[[#This Row],[ItemID B]],Katalog!$C$3:$C$12,0)),"-")</f>
        <v>-</v>
      </c>
      <c r="O118" s="36" t="str">
        <f>IFERROR(INDEX(Katalog!$D$3:$D$12,MATCH(Data[[#This Row],[ItemID B]],Katalog!$C$3:$C$12,0))*Data[[#This Row],[Qty B]],"0")</f>
        <v>0</v>
      </c>
      <c r="P118" s="36" t="str">
        <f>IFERROR(INDEX(Katalog!$F$3:$F$12,MATCH(Data[[#This Row],[ItemID B]],Katalog!$C$3:$C$12,0))*Data[[#This Row],[Qty B]],"0")</f>
        <v>0</v>
      </c>
      <c r="R118" t="str">
        <f>IFERROR(INDEX(Katalog!$A$3:$A$12,MATCH(Data[[#This Row],[ItemID C]],Katalog!$C$3:$C$12,0)),"-")</f>
        <v>-</v>
      </c>
      <c r="S118" t="str">
        <f>IFERROR(INDEX(Katalog!$B$3:$B$12,MATCH(Data[[#This Row],[ItemID C]],Katalog!$C$3:$C$12,0)),"-")</f>
        <v>-</v>
      </c>
      <c r="V118" s="36" t="str">
        <f>IFERROR(INDEX(Katalog!$D$3:$D$12,MATCH(Data[[#This Row],[ItemID C]],Katalog!$C$3:$C$12,0))*Data[[#This Row],[Qty C]],"0")</f>
        <v>0</v>
      </c>
      <c r="W118" s="36" t="str">
        <f>IFERROR(INDEX(Katalog!$F$3:$F$12,MATCH(Data[[#This Row],[ItemID C]],Katalog!$C$3:$C$12,0))*Data[[#This Row],[Qty C]],"0")</f>
        <v>0</v>
      </c>
      <c r="X118" s="21">
        <f>Data[[#This Row],[Qty A]]+Data[[#This Row],[Qty B]]+Data[[#This Row],[Qty C]]</f>
        <v>4</v>
      </c>
      <c r="Y118" s="22">
        <f>Data[[#This Row],[Harga Barang A]]+Data[[#This Row],[Harga Barang B]]+Data[[#This Row],[Harga Barang C]]</f>
        <v>1000000</v>
      </c>
      <c r="Z118" s="35">
        <f>IFERROR(Data[[#This Row],[Total Harga]]-(Data[[#This Row],[Total Harga]]*Data[[#This Row],[Diskon]]),Data[[#This Row],[Total Harga]])</f>
        <v>900000</v>
      </c>
      <c r="AA118" s="35">
        <f>(Data[[#This Row],[Profit A]]+Data[[#This Row],[Profit B]]+Data[[#This Row],[Profit C]])</f>
        <v>400000</v>
      </c>
      <c r="AB118" s="35">
        <f>IFERROR((Data[[#This Row],[Profit non Diskon]]-(Data[[#This Row],[Profit non Diskon]]*Data[[#This Row],[Diskon]])),Data[[#This Row],[Profit non Diskon]])</f>
        <v>360000</v>
      </c>
      <c r="AC118" s="23" t="s">
        <v>30</v>
      </c>
      <c r="AD118" s="37">
        <f>IFERROR(INDEX('Kode Diskon'!$D$3:$D$9,MATCH(Data[[#This Row],[Kode diskon]],'Kode Diskon'!$C$3:$C$9,0)),"-")</f>
        <v>0.1</v>
      </c>
      <c r="AE118" s="23" t="s">
        <v>29</v>
      </c>
      <c r="AF118" s="23" t="s">
        <v>10</v>
      </c>
      <c r="AG118" s="23" t="s">
        <v>80</v>
      </c>
      <c r="AH118" s="24">
        <v>45018</v>
      </c>
      <c r="AI118" s="23" t="str">
        <f>TEXT(Data[[#This Row],[Tanggal terjual]],"dddd")</f>
        <v>Sunday</v>
      </c>
      <c r="AJ118" s="21" t="str">
        <f>TEXT(Data[[#This Row],[Tanggal terjual]],"wwww")</f>
        <v>wwww</v>
      </c>
    </row>
    <row r="119" spans="1:36" x14ac:dyDescent="0.2">
      <c r="A119" s="20">
        <v>118</v>
      </c>
      <c r="B119" s="21" t="str">
        <f>_xlfn.CONCAT("ORD-",INDEX(Helper!$B$2:$B$5,MATCH(Data[[#This Row],[Marketplace]],Helper!$A$2:$A$5,0)),TEXT(Data[[#This Row],[No]],"0000"),"-",TEXT(Data[[#This Row],[Tanggal terjual]],"dd/mm/yy"))</f>
        <v>ORD-TK0118-23/04/23</v>
      </c>
      <c r="C119" t="s">
        <v>67</v>
      </c>
      <c r="D119" t="str">
        <f>IFERROR(INDEX(Katalog!$A$3:$A$12,MATCH(Data[[#This Row],[ItemID A]],Katalog!$C$3:$C$12,0)),"-")</f>
        <v>Sepatu Wanita</v>
      </c>
      <c r="E119" t="str">
        <f>IFERROR(INDEX(Katalog!$B$3:$B$12,MATCH(Data[[#This Row],[ItemID A]],Katalog!$C$3:$C$12,0)),"-")</f>
        <v>Flat Shoes</v>
      </c>
      <c r="F119">
        <v>1</v>
      </c>
      <c r="G119">
        <v>5</v>
      </c>
      <c r="H119" s="36">
        <f>IFERROR(INDEX(Katalog!$D$3:$D$12,MATCH(Data[[#This Row],[ItemID A]],Katalog!$C$3:$C$12,0))*Data[[#This Row],[Qty A]],"0")</f>
        <v>250000</v>
      </c>
      <c r="I119" s="36">
        <f>IFERROR(INDEX(Katalog!$F$3:$F$12,MATCH(Data[[#This Row],[ItemID A]],Katalog!$C$3:$C$12,0))*Data[[#This Row],[Qty A]],0)</f>
        <v>100000</v>
      </c>
      <c r="J119" t="s">
        <v>60</v>
      </c>
      <c r="K119" t="str">
        <f>IFERROR(INDEX(Katalog!$A$3:$A$12,MATCH(Data[[#This Row],[ItemID B]],Katalog!$C$3:$C$12,0)),"-")</f>
        <v>Pakaian Wanita</v>
      </c>
      <c r="L119" t="str">
        <f>IFERROR(INDEX(Katalog!$B$3:$B$12,MATCH(Data[[#This Row],[ItemID B]],Katalog!$C$3:$C$12,0)),"-")</f>
        <v>Kaftan</v>
      </c>
      <c r="M119">
        <v>1</v>
      </c>
      <c r="N119">
        <v>2</v>
      </c>
      <c r="O119" s="36">
        <f>IFERROR(INDEX(Katalog!$D$3:$D$12,MATCH(Data[[#This Row],[ItemID B]],Katalog!$C$3:$C$12,0))*Data[[#This Row],[Qty B]],"0")</f>
        <v>250000</v>
      </c>
      <c r="P119" s="36">
        <f>IFERROR(INDEX(Katalog!$F$3:$F$12,MATCH(Data[[#This Row],[ItemID B]],Katalog!$C$3:$C$12,0))*Data[[#This Row],[Qty B]],"0")</f>
        <v>100000</v>
      </c>
      <c r="R119" t="str">
        <f>IFERROR(INDEX(Katalog!$A$3:$A$12,MATCH(Data[[#This Row],[ItemID C]],Katalog!$C$3:$C$12,0)),"-")</f>
        <v>-</v>
      </c>
      <c r="S119" t="str">
        <f>IFERROR(INDEX(Katalog!$B$3:$B$12,MATCH(Data[[#This Row],[ItemID C]],Katalog!$C$3:$C$12,0)),"-")</f>
        <v>-</v>
      </c>
      <c r="V119" s="36" t="str">
        <f>IFERROR(INDEX(Katalog!$D$3:$D$12,MATCH(Data[[#This Row],[ItemID C]],Katalog!$C$3:$C$12,0))*Data[[#This Row],[Qty C]],"0")</f>
        <v>0</v>
      </c>
      <c r="W119" s="36" t="str">
        <f>IFERROR(INDEX(Katalog!$F$3:$F$12,MATCH(Data[[#This Row],[ItemID C]],Katalog!$C$3:$C$12,0))*Data[[#This Row],[Qty C]],"0")</f>
        <v>0</v>
      </c>
      <c r="X119" s="21">
        <f>Data[[#This Row],[Qty A]]+Data[[#This Row],[Qty B]]+Data[[#This Row],[Qty C]]</f>
        <v>2</v>
      </c>
      <c r="Y119" s="22">
        <f>Data[[#This Row],[Harga Barang A]]+Data[[#This Row],[Harga Barang B]]+Data[[#This Row],[Harga Barang C]]</f>
        <v>500000</v>
      </c>
      <c r="Z119" s="35">
        <f>IFERROR(Data[[#This Row],[Total Harga]]-(Data[[#This Row],[Total Harga]]*Data[[#This Row],[Diskon]]),Data[[#This Row],[Total Harga]])</f>
        <v>450000</v>
      </c>
      <c r="AA119" s="35">
        <f>(Data[[#This Row],[Profit A]]+Data[[#This Row],[Profit B]]+Data[[#This Row],[Profit C]])</f>
        <v>200000</v>
      </c>
      <c r="AB119" s="35">
        <f>IFERROR((Data[[#This Row],[Profit non Diskon]]-(Data[[#This Row],[Profit non Diskon]]*Data[[#This Row],[Diskon]])),Data[[#This Row],[Profit non Diskon]])</f>
        <v>180000</v>
      </c>
      <c r="AC119" s="23" t="s">
        <v>31</v>
      </c>
      <c r="AD119" s="37">
        <f>IFERROR(INDEX('Kode Diskon'!$D$3:$D$9,MATCH(Data[[#This Row],[Kode diskon]],'Kode Diskon'!$C$3:$C$9,0)),"-")</f>
        <v>0.1</v>
      </c>
      <c r="AE119" s="23" t="s">
        <v>9</v>
      </c>
      <c r="AF119" s="23" t="s">
        <v>10</v>
      </c>
      <c r="AG119" s="23" t="s">
        <v>79</v>
      </c>
      <c r="AH119" s="24">
        <v>45039</v>
      </c>
      <c r="AI119" s="23" t="str">
        <f>TEXT(Data[[#This Row],[Tanggal terjual]],"dddd")</f>
        <v>Sunday</v>
      </c>
      <c r="AJ119" s="21" t="str">
        <f>TEXT(Data[[#This Row],[Tanggal terjual]],"wwww")</f>
        <v>wwww</v>
      </c>
    </row>
    <row r="120" spans="1:36" x14ac:dyDescent="0.2">
      <c r="A120" s="20">
        <v>119</v>
      </c>
      <c r="B120" s="21" t="str">
        <f>_xlfn.CONCAT("ORD-",INDEX(Helper!$B$2:$B$5,MATCH(Data[[#This Row],[Marketplace]],Helper!$A$2:$A$5,0)),TEXT(Data[[#This Row],[No]],"0000"),"-",TEXT(Data[[#This Row],[Tanggal terjual]],"dd/mm/yy"))</f>
        <v>ORD-SP0119-02/04/23</v>
      </c>
      <c r="C120" t="s">
        <v>58</v>
      </c>
      <c r="D120" t="str">
        <f>IFERROR(INDEX(Katalog!$A$3:$A$12,MATCH(Data[[#This Row],[ItemID A]],Katalog!$C$3:$C$12,0)),"-")</f>
        <v>Pakaian Wanita</v>
      </c>
      <c r="E120" t="str">
        <f>IFERROR(INDEX(Katalog!$B$3:$B$12,MATCH(Data[[#This Row],[ItemID A]],Katalog!$C$3:$C$12,0)),"-")</f>
        <v>Dress</v>
      </c>
      <c r="F120">
        <v>5</v>
      </c>
      <c r="G120">
        <v>4</v>
      </c>
      <c r="H120" s="36">
        <f>IFERROR(INDEX(Katalog!$D$3:$D$12,MATCH(Data[[#This Row],[ItemID A]],Katalog!$C$3:$C$12,0))*Data[[#This Row],[Qty A]],"0")</f>
        <v>1500000</v>
      </c>
      <c r="I120" s="36">
        <f>IFERROR(INDEX(Katalog!$F$3:$F$12,MATCH(Data[[#This Row],[ItemID A]],Katalog!$C$3:$C$12,0))*Data[[#This Row],[Qty A]],0)</f>
        <v>500000</v>
      </c>
      <c r="K120" t="str">
        <f>IFERROR(INDEX(Katalog!$A$3:$A$12,MATCH(Data[[#This Row],[ItemID B]],Katalog!$C$3:$C$12,0)),"-")</f>
        <v>-</v>
      </c>
      <c r="L120" t="str">
        <f>IFERROR(INDEX(Katalog!$B$3:$B$12,MATCH(Data[[#This Row],[ItemID B]],Katalog!$C$3:$C$12,0)),"-")</f>
        <v>-</v>
      </c>
      <c r="O120" s="36" t="str">
        <f>IFERROR(INDEX(Katalog!$D$3:$D$12,MATCH(Data[[#This Row],[ItemID B]],Katalog!$C$3:$C$12,0))*Data[[#This Row],[Qty B]],"0")</f>
        <v>0</v>
      </c>
      <c r="P120" s="36" t="str">
        <f>IFERROR(INDEX(Katalog!$F$3:$F$12,MATCH(Data[[#This Row],[ItemID B]],Katalog!$C$3:$C$12,0))*Data[[#This Row],[Qty B]],"0")</f>
        <v>0</v>
      </c>
      <c r="R120" t="str">
        <f>IFERROR(INDEX(Katalog!$A$3:$A$12,MATCH(Data[[#This Row],[ItemID C]],Katalog!$C$3:$C$12,0)),"-")</f>
        <v>-</v>
      </c>
      <c r="S120" t="str">
        <f>IFERROR(INDEX(Katalog!$B$3:$B$12,MATCH(Data[[#This Row],[ItemID C]],Katalog!$C$3:$C$12,0)),"-")</f>
        <v>-</v>
      </c>
      <c r="V120" s="36" t="str">
        <f>IFERROR(INDEX(Katalog!$D$3:$D$12,MATCH(Data[[#This Row],[ItemID C]],Katalog!$C$3:$C$12,0))*Data[[#This Row],[Qty C]],"0")</f>
        <v>0</v>
      </c>
      <c r="W120" s="36" t="str">
        <f>IFERROR(INDEX(Katalog!$F$3:$F$12,MATCH(Data[[#This Row],[ItemID C]],Katalog!$C$3:$C$12,0))*Data[[#This Row],[Qty C]],"0")</f>
        <v>0</v>
      </c>
      <c r="X120" s="21">
        <f>Data[[#This Row],[Qty A]]+Data[[#This Row],[Qty B]]+Data[[#This Row],[Qty C]]</f>
        <v>5</v>
      </c>
      <c r="Y120" s="22">
        <f>Data[[#This Row],[Harga Barang A]]+Data[[#This Row],[Harga Barang B]]+Data[[#This Row],[Harga Barang C]]</f>
        <v>1500000</v>
      </c>
      <c r="Z120" s="35">
        <f>IFERROR(Data[[#This Row],[Total Harga]]-(Data[[#This Row],[Total Harga]]*Data[[#This Row],[Diskon]]),Data[[#This Row],[Total Harga]])</f>
        <v>1275000</v>
      </c>
      <c r="AA120" s="35">
        <f>(Data[[#This Row],[Profit A]]+Data[[#This Row],[Profit B]]+Data[[#This Row],[Profit C]])</f>
        <v>500000</v>
      </c>
      <c r="AB120" s="35">
        <f>IFERROR((Data[[#This Row],[Profit non Diskon]]-(Data[[#This Row],[Profit non Diskon]]*Data[[#This Row],[Diskon]])),Data[[#This Row],[Profit non Diskon]])</f>
        <v>425000</v>
      </c>
      <c r="AC120" s="23" t="s">
        <v>13</v>
      </c>
      <c r="AD120" s="37">
        <f>IFERROR(INDEX('Kode Diskon'!$D$3:$D$9,MATCH(Data[[#This Row],[Kode diskon]],'Kode Diskon'!$C$3:$C$9,0)),"-")</f>
        <v>0.15</v>
      </c>
      <c r="AE120" s="23" t="s">
        <v>29</v>
      </c>
      <c r="AF120" s="23" t="s">
        <v>7</v>
      </c>
      <c r="AG120" s="23" t="s">
        <v>76</v>
      </c>
      <c r="AH120" s="24">
        <v>45018</v>
      </c>
      <c r="AI120" s="23" t="str">
        <f>TEXT(Data[[#This Row],[Tanggal terjual]],"dddd")</f>
        <v>Sunday</v>
      </c>
      <c r="AJ120" s="21" t="str">
        <f>TEXT(Data[[#This Row],[Tanggal terjual]],"wwww")</f>
        <v>wwww</v>
      </c>
    </row>
    <row r="121" spans="1:36" x14ac:dyDescent="0.2">
      <c r="A121" s="20">
        <v>120</v>
      </c>
      <c r="B121" s="21" t="str">
        <f>_xlfn.CONCAT("ORD-",INDEX(Helper!$B$2:$B$5,MATCH(Data[[#This Row],[Marketplace]],Helper!$A$2:$A$5,0)),TEXT(Data[[#This Row],[No]],"0000"),"-",TEXT(Data[[#This Row],[Tanggal terjual]],"dd/mm/yy"))</f>
        <v>ORD-BL0120-21/04/23</v>
      </c>
      <c r="C121" t="s">
        <v>64</v>
      </c>
      <c r="D121" t="str">
        <f>IFERROR(INDEX(Katalog!$A$3:$A$12,MATCH(Data[[#This Row],[ItemID A]],Katalog!$C$3:$C$12,0)),"-")</f>
        <v>Pakaian Unisex</v>
      </c>
      <c r="E121" t="str">
        <f>IFERROR(INDEX(Katalog!$B$3:$B$12,MATCH(Data[[#This Row],[ItemID A]],Katalog!$C$3:$C$12,0)),"-")</f>
        <v>Jaket Hoodie</v>
      </c>
      <c r="F121">
        <v>2</v>
      </c>
      <c r="G121">
        <v>1</v>
      </c>
      <c r="H121" s="36">
        <f>IFERROR(INDEX(Katalog!$D$3:$D$12,MATCH(Data[[#This Row],[ItemID A]],Katalog!$C$3:$C$12,0))*Data[[#This Row],[Qty A]],"0")</f>
        <v>700000</v>
      </c>
      <c r="I121" s="36">
        <f>IFERROR(INDEX(Katalog!$F$3:$F$12,MATCH(Data[[#This Row],[ItemID A]],Katalog!$C$3:$C$12,0))*Data[[#This Row],[Qty A]],0)</f>
        <v>260000</v>
      </c>
      <c r="J121" t="s">
        <v>58</v>
      </c>
      <c r="K121" t="str">
        <f>IFERROR(INDEX(Katalog!$A$3:$A$12,MATCH(Data[[#This Row],[ItemID B]],Katalog!$C$3:$C$12,0)),"-")</f>
        <v>Pakaian Wanita</v>
      </c>
      <c r="L121" t="str">
        <f>IFERROR(INDEX(Katalog!$B$3:$B$12,MATCH(Data[[#This Row],[ItemID B]],Katalog!$C$3:$C$12,0)),"-")</f>
        <v>Dress</v>
      </c>
      <c r="M121">
        <v>2</v>
      </c>
      <c r="N121">
        <v>5</v>
      </c>
      <c r="O121" s="36">
        <f>IFERROR(INDEX(Katalog!$D$3:$D$12,MATCH(Data[[#This Row],[ItemID B]],Katalog!$C$3:$C$12,0))*Data[[#This Row],[Qty B]],"0")</f>
        <v>600000</v>
      </c>
      <c r="P121" s="36">
        <f>IFERROR(INDEX(Katalog!$F$3:$F$12,MATCH(Data[[#This Row],[ItemID B]],Katalog!$C$3:$C$12,0))*Data[[#This Row],[Qty B]],"0")</f>
        <v>200000</v>
      </c>
      <c r="Q121" t="s">
        <v>66</v>
      </c>
      <c r="R121" t="str">
        <f>IFERROR(INDEX(Katalog!$A$3:$A$12,MATCH(Data[[#This Row],[ItemID C]],Katalog!$C$3:$C$12,0)),"-")</f>
        <v>Sepatu Pria</v>
      </c>
      <c r="S121" t="str">
        <f>IFERROR(INDEX(Katalog!$B$3:$B$12,MATCH(Data[[#This Row],[ItemID C]],Katalog!$C$3:$C$12,0)),"-")</f>
        <v>Sandal Slip On</v>
      </c>
      <c r="T121">
        <v>3</v>
      </c>
      <c r="U121">
        <v>3</v>
      </c>
      <c r="V121" s="36">
        <f>IFERROR(INDEX(Katalog!$D$3:$D$12,MATCH(Data[[#This Row],[ItemID C]],Katalog!$C$3:$C$12,0))*Data[[#This Row],[Qty C]],"0")</f>
        <v>450000</v>
      </c>
      <c r="W121" s="36">
        <f>IFERROR(INDEX(Katalog!$F$3:$F$12,MATCH(Data[[#This Row],[ItemID C]],Katalog!$C$3:$C$12,0))*Data[[#This Row],[Qty C]],"0")</f>
        <v>180000</v>
      </c>
      <c r="X121" s="21">
        <f>Data[[#This Row],[Qty A]]+Data[[#This Row],[Qty B]]+Data[[#This Row],[Qty C]]</f>
        <v>7</v>
      </c>
      <c r="Y121" s="22">
        <f>Data[[#This Row],[Harga Barang A]]+Data[[#This Row],[Harga Barang B]]+Data[[#This Row],[Harga Barang C]]</f>
        <v>1750000</v>
      </c>
      <c r="Z121" s="35">
        <f>IFERROR(Data[[#This Row],[Total Harga]]-(Data[[#This Row],[Total Harga]]*Data[[#This Row],[Diskon]]),Data[[#This Row],[Total Harga]])</f>
        <v>1487500</v>
      </c>
      <c r="AA121" s="35">
        <f>(Data[[#This Row],[Profit A]]+Data[[#This Row],[Profit B]]+Data[[#This Row],[Profit C]])</f>
        <v>640000</v>
      </c>
      <c r="AB121" s="35">
        <f>IFERROR((Data[[#This Row],[Profit non Diskon]]-(Data[[#This Row],[Profit non Diskon]]*Data[[#This Row],[Diskon]])),Data[[#This Row],[Profit non Diskon]])</f>
        <v>544000</v>
      </c>
      <c r="AC121" s="23" t="s">
        <v>32</v>
      </c>
      <c r="AD121" s="37">
        <f>IFERROR(INDEX('Kode Diskon'!$D$3:$D$9,MATCH(Data[[#This Row],[Kode diskon]],'Kode Diskon'!$C$3:$C$9,0)),"-")</f>
        <v>0.15</v>
      </c>
      <c r="AE121" s="23" t="s">
        <v>9</v>
      </c>
      <c r="AF121" s="23" t="s">
        <v>12</v>
      </c>
      <c r="AG121" s="23" t="s">
        <v>76</v>
      </c>
      <c r="AH121" s="24">
        <v>45037</v>
      </c>
      <c r="AI121" s="23" t="str">
        <f>TEXT(Data[[#This Row],[Tanggal terjual]],"dddd")</f>
        <v>Friday</v>
      </c>
      <c r="AJ121" s="21" t="str">
        <f>TEXT(Data[[#This Row],[Tanggal terjual]],"wwww")</f>
        <v>wwww</v>
      </c>
    </row>
    <row r="122" spans="1:36" x14ac:dyDescent="0.2">
      <c r="A122" s="20">
        <v>121</v>
      </c>
      <c r="B122" s="21" t="str">
        <f>_xlfn.CONCAT("ORD-",INDEX(Helper!$B$2:$B$5,MATCH(Data[[#This Row],[Marketplace]],Helper!$A$2:$A$5,0)),TEXT(Data[[#This Row],[No]],"0000"),"-",TEXT(Data[[#This Row],[Tanggal terjual]],"dd/mm/yy"))</f>
        <v>ORD-TK0121-16/04/23</v>
      </c>
      <c r="C122" t="s">
        <v>65</v>
      </c>
      <c r="D122" t="str">
        <f>IFERROR(INDEX(Katalog!$A$3:$A$12,MATCH(Data[[#This Row],[ItemID A]],Katalog!$C$3:$C$12,0)),"-")</f>
        <v>Sepatu Pria</v>
      </c>
      <c r="E122" t="str">
        <f>IFERROR(INDEX(Katalog!$B$3:$B$12,MATCH(Data[[#This Row],[ItemID A]],Katalog!$C$3:$C$12,0)),"-")</f>
        <v>Sneakers</v>
      </c>
      <c r="F122">
        <v>2</v>
      </c>
      <c r="G122">
        <v>3</v>
      </c>
      <c r="H122" s="36">
        <f>IFERROR(INDEX(Katalog!$D$3:$D$12,MATCH(Data[[#This Row],[ItemID A]],Katalog!$C$3:$C$12,0))*Data[[#This Row],[Qty A]],"0")</f>
        <v>1000000</v>
      </c>
      <c r="I122" s="36">
        <f>IFERROR(INDEX(Katalog!$F$3:$F$12,MATCH(Data[[#This Row],[ItemID A]],Katalog!$C$3:$C$12,0))*Data[[#This Row],[Qty A]],0)</f>
        <v>400000</v>
      </c>
      <c r="J122" t="s">
        <v>67</v>
      </c>
      <c r="K122" t="str">
        <f>IFERROR(INDEX(Katalog!$A$3:$A$12,MATCH(Data[[#This Row],[ItemID B]],Katalog!$C$3:$C$12,0)),"-")</f>
        <v>Sepatu Wanita</v>
      </c>
      <c r="L122" t="str">
        <f>IFERROR(INDEX(Katalog!$B$3:$B$12,MATCH(Data[[#This Row],[ItemID B]],Katalog!$C$3:$C$12,0)),"-")</f>
        <v>Flat Shoes</v>
      </c>
      <c r="M122">
        <v>1</v>
      </c>
      <c r="N122">
        <v>2</v>
      </c>
      <c r="O122" s="36">
        <f>IFERROR(INDEX(Katalog!$D$3:$D$12,MATCH(Data[[#This Row],[ItemID B]],Katalog!$C$3:$C$12,0))*Data[[#This Row],[Qty B]],"0")</f>
        <v>250000</v>
      </c>
      <c r="P122" s="36">
        <f>IFERROR(INDEX(Katalog!$F$3:$F$12,MATCH(Data[[#This Row],[ItemID B]],Katalog!$C$3:$C$12,0))*Data[[#This Row],[Qty B]],"0")</f>
        <v>100000</v>
      </c>
      <c r="R122" t="str">
        <f>IFERROR(INDEX(Katalog!$A$3:$A$12,MATCH(Data[[#This Row],[ItemID C]],Katalog!$C$3:$C$12,0)),"-")</f>
        <v>-</v>
      </c>
      <c r="S122" t="str">
        <f>IFERROR(INDEX(Katalog!$B$3:$B$12,MATCH(Data[[#This Row],[ItemID C]],Katalog!$C$3:$C$12,0)),"-")</f>
        <v>-</v>
      </c>
      <c r="V122" s="36" t="str">
        <f>IFERROR(INDEX(Katalog!$D$3:$D$12,MATCH(Data[[#This Row],[ItemID C]],Katalog!$C$3:$C$12,0))*Data[[#This Row],[Qty C]],"0")</f>
        <v>0</v>
      </c>
      <c r="W122" s="36" t="str">
        <f>IFERROR(INDEX(Katalog!$F$3:$F$12,MATCH(Data[[#This Row],[ItemID C]],Katalog!$C$3:$C$12,0))*Data[[#This Row],[Qty C]],"0")</f>
        <v>0</v>
      </c>
      <c r="X122" s="21">
        <f>Data[[#This Row],[Qty A]]+Data[[#This Row],[Qty B]]+Data[[#This Row],[Qty C]]</f>
        <v>3</v>
      </c>
      <c r="Y122" s="22">
        <f>Data[[#This Row],[Harga Barang A]]+Data[[#This Row],[Harga Barang B]]+Data[[#This Row],[Harga Barang C]]</f>
        <v>1250000</v>
      </c>
      <c r="Z122" s="35">
        <f>IFERROR(Data[[#This Row],[Total Harga]]-(Data[[#This Row],[Total Harga]]*Data[[#This Row],[Diskon]]),Data[[#This Row],[Total Harga]])</f>
        <v>1125000</v>
      </c>
      <c r="AA122" s="35">
        <f>(Data[[#This Row],[Profit A]]+Data[[#This Row],[Profit B]]+Data[[#This Row],[Profit C]])</f>
        <v>500000</v>
      </c>
      <c r="AB122" s="35">
        <f>IFERROR((Data[[#This Row],[Profit non Diskon]]-(Data[[#This Row],[Profit non Diskon]]*Data[[#This Row],[Diskon]])),Data[[#This Row],[Profit non Diskon]])</f>
        <v>450000</v>
      </c>
      <c r="AC122" s="23" t="s">
        <v>31</v>
      </c>
      <c r="AD122" s="37">
        <f>IFERROR(INDEX('Kode Diskon'!$D$3:$D$9,MATCH(Data[[#This Row],[Kode diskon]],'Kode Diskon'!$C$3:$C$9,0)),"-")</f>
        <v>0.1</v>
      </c>
      <c r="AE122" s="23" t="s">
        <v>9</v>
      </c>
      <c r="AF122" s="23" t="s">
        <v>10</v>
      </c>
      <c r="AG122" s="23" t="s">
        <v>80</v>
      </c>
      <c r="AH122" s="24">
        <v>45032</v>
      </c>
      <c r="AI122" s="23" t="str">
        <f>TEXT(Data[[#This Row],[Tanggal terjual]],"dddd")</f>
        <v>Sunday</v>
      </c>
      <c r="AJ122" s="21" t="str">
        <f>TEXT(Data[[#This Row],[Tanggal terjual]],"wwww")</f>
        <v>wwww</v>
      </c>
    </row>
    <row r="123" spans="1:36" x14ac:dyDescent="0.2">
      <c r="A123" s="20">
        <v>122</v>
      </c>
      <c r="B123" s="21" t="str">
        <f>_xlfn.CONCAT("ORD-",INDEX(Helper!$B$2:$B$5,MATCH(Data[[#This Row],[Marketplace]],Helper!$A$2:$A$5,0)),TEXT(Data[[#This Row],[No]],"0000"),"-",TEXT(Data[[#This Row],[Tanggal terjual]],"dd/mm/yy"))</f>
        <v>ORD-TK0122-28/04/23</v>
      </c>
      <c r="C123" t="s">
        <v>58</v>
      </c>
      <c r="D123" t="str">
        <f>IFERROR(INDEX(Katalog!$A$3:$A$12,MATCH(Data[[#This Row],[ItemID A]],Katalog!$C$3:$C$12,0)),"-")</f>
        <v>Pakaian Wanita</v>
      </c>
      <c r="E123" t="str">
        <f>IFERROR(INDEX(Katalog!$B$3:$B$12,MATCH(Data[[#This Row],[ItemID A]],Katalog!$C$3:$C$12,0)),"-")</f>
        <v>Dress</v>
      </c>
      <c r="F123">
        <v>2</v>
      </c>
      <c r="G123">
        <v>1</v>
      </c>
      <c r="H123" s="36">
        <f>IFERROR(INDEX(Katalog!$D$3:$D$12,MATCH(Data[[#This Row],[ItemID A]],Katalog!$C$3:$C$12,0))*Data[[#This Row],[Qty A]],"0")</f>
        <v>600000</v>
      </c>
      <c r="I123" s="36">
        <f>IFERROR(INDEX(Katalog!$F$3:$F$12,MATCH(Data[[#This Row],[ItemID A]],Katalog!$C$3:$C$12,0))*Data[[#This Row],[Qty A]],0)</f>
        <v>200000</v>
      </c>
      <c r="K123" t="str">
        <f>IFERROR(INDEX(Katalog!$A$3:$A$12,MATCH(Data[[#This Row],[ItemID B]],Katalog!$C$3:$C$12,0)),"-")</f>
        <v>-</v>
      </c>
      <c r="L123" t="str">
        <f>IFERROR(INDEX(Katalog!$B$3:$B$12,MATCH(Data[[#This Row],[ItemID B]],Katalog!$C$3:$C$12,0)),"-")</f>
        <v>-</v>
      </c>
      <c r="O123" s="36" t="str">
        <f>IFERROR(INDEX(Katalog!$D$3:$D$12,MATCH(Data[[#This Row],[ItemID B]],Katalog!$C$3:$C$12,0))*Data[[#This Row],[Qty B]],"0")</f>
        <v>0</v>
      </c>
      <c r="P123" s="36" t="str">
        <f>IFERROR(INDEX(Katalog!$F$3:$F$12,MATCH(Data[[#This Row],[ItemID B]],Katalog!$C$3:$C$12,0))*Data[[#This Row],[Qty B]],"0")</f>
        <v>0</v>
      </c>
      <c r="R123" t="str">
        <f>IFERROR(INDEX(Katalog!$A$3:$A$12,MATCH(Data[[#This Row],[ItemID C]],Katalog!$C$3:$C$12,0)),"-")</f>
        <v>-</v>
      </c>
      <c r="S123" t="str">
        <f>IFERROR(INDEX(Katalog!$B$3:$B$12,MATCH(Data[[#This Row],[ItemID C]],Katalog!$C$3:$C$12,0)),"-")</f>
        <v>-</v>
      </c>
      <c r="V123" s="36" t="str">
        <f>IFERROR(INDEX(Katalog!$D$3:$D$12,MATCH(Data[[#This Row],[ItemID C]],Katalog!$C$3:$C$12,0))*Data[[#This Row],[Qty C]],"0")</f>
        <v>0</v>
      </c>
      <c r="W123" s="36" t="str">
        <f>IFERROR(INDEX(Katalog!$F$3:$F$12,MATCH(Data[[#This Row],[ItemID C]],Katalog!$C$3:$C$12,0))*Data[[#This Row],[Qty C]],"0")</f>
        <v>0</v>
      </c>
      <c r="X123" s="21">
        <f>Data[[#This Row],[Qty A]]+Data[[#This Row],[Qty B]]+Data[[#This Row],[Qty C]]</f>
        <v>2</v>
      </c>
      <c r="Y123" s="22">
        <f>Data[[#This Row],[Harga Barang A]]+Data[[#This Row],[Harga Barang B]]+Data[[#This Row],[Harga Barang C]]</f>
        <v>600000</v>
      </c>
      <c r="Z123" s="35">
        <f>IFERROR(Data[[#This Row],[Total Harga]]-(Data[[#This Row],[Total Harga]]*Data[[#This Row],[Diskon]]),Data[[#This Row],[Total Harga]])</f>
        <v>540000</v>
      </c>
      <c r="AA123" s="35">
        <f>(Data[[#This Row],[Profit A]]+Data[[#This Row],[Profit B]]+Data[[#This Row],[Profit C]])</f>
        <v>200000</v>
      </c>
      <c r="AB123" s="35">
        <f>IFERROR((Data[[#This Row],[Profit non Diskon]]-(Data[[#This Row],[Profit non Diskon]]*Data[[#This Row],[Diskon]])),Data[[#This Row],[Profit non Diskon]])</f>
        <v>180000</v>
      </c>
      <c r="AC123" s="23" t="s">
        <v>31</v>
      </c>
      <c r="AD123" s="37">
        <f>IFERROR(INDEX('Kode Diskon'!$D$3:$D$9,MATCH(Data[[#This Row],[Kode diskon]],'Kode Diskon'!$C$3:$C$9,0)),"-")</f>
        <v>0.1</v>
      </c>
      <c r="AE123" s="23" t="s">
        <v>9</v>
      </c>
      <c r="AF123" s="23" t="s">
        <v>10</v>
      </c>
      <c r="AG123" s="23" t="s">
        <v>80</v>
      </c>
      <c r="AH123" s="24">
        <v>45044</v>
      </c>
      <c r="AI123" s="23" t="str">
        <f>TEXT(Data[[#This Row],[Tanggal terjual]],"dddd")</f>
        <v>Friday</v>
      </c>
      <c r="AJ123" s="21" t="str">
        <f>TEXT(Data[[#This Row],[Tanggal terjual]],"wwww")</f>
        <v>wwww</v>
      </c>
    </row>
    <row r="124" spans="1:36" x14ac:dyDescent="0.2">
      <c r="A124" s="20">
        <v>123</v>
      </c>
      <c r="B124" s="21" t="str">
        <f>_xlfn.CONCAT("ORD-",INDEX(Helper!$B$2:$B$5,MATCH(Data[[#This Row],[Marketplace]],Helper!$A$2:$A$5,0)),TEXT(Data[[#This Row],[No]],"0000"),"-",TEXT(Data[[#This Row],[Tanggal terjual]],"dd/mm/yy"))</f>
        <v>ORD-SP0123-04/04/23</v>
      </c>
      <c r="C124" t="s">
        <v>63</v>
      </c>
      <c r="D124" t="str">
        <f>IFERROR(INDEX(Katalog!$A$3:$A$12,MATCH(Data[[#This Row],[ItemID A]],Katalog!$C$3:$C$12,0)),"-")</f>
        <v>Pakaian Pria</v>
      </c>
      <c r="E124" t="str">
        <f>IFERROR(INDEX(Katalog!$B$3:$B$12,MATCH(Data[[#This Row],[ItemID A]],Katalog!$C$3:$C$12,0)),"-")</f>
        <v>Jaket Jeans</v>
      </c>
      <c r="F124">
        <v>3</v>
      </c>
      <c r="G124">
        <v>5</v>
      </c>
      <c r="H124" s="36">
        <f>IFERROR(INDEX(Katalog!$D$3:$D$12,MATCH(Data[[#This Row],[ItemID A]],Katalog!$C$3:$C$12,0))*Data[[#This Row],[Qty A]],"0")</f>
        <v>1200000</v>
      </c>
      <c r="I124" s="36">
        <f>IFERROR(INDEX(Katalog!$F$3:$F$12,MATCH(Data[[#This Row],[ItemID A]],Katalog!$C$3:$C$12,0))*Data[[#This Row],[Qty A]],0)</f>
        <v>450000</v>
      </c>
      <c r="J124" t="s">
        <v>65</v>
      </c>
      <c r="K124" t="str">
        <f>IFERROR(INDEX(Katalog!$A$3:$A$12,MATCH(Data[[#This Row],[ItemID B]],Katalog!$C$3:$C$12,0)),"-")</f>
        <v>Sepatu Pria</v>
      </c>
      <c r="L124" t="str">
        <f>IFERROR(INDEX(Katalog!$B$3:$B$12,MATCH(Data[[#This Row],[ItemID B]],Katalog!$C$3:$C$12,0)),"-")</f>
        <v>Sneakers</v>
      </c>
      <c r="M124">
        <v>1</v>
      </c>
      <c r="N124">
        <v>3</v>
      </c>
      <c r="O124" s="36">
        <f>IFERROR(INDEX(Katalog!$D$3:$D$12,MATCH(Data[[#This Row],[ItemID B]],Katalog!$C$3:$C$12,0))*Data[[#This Row],[Qty B]],"0")</f>
        <v>500000</v>
      </c>
      <c r="P124" s="36">
        <f>IFERROR(INDEX(Katalog!$F$3:$F$12,MATCH(Data[[#This Row],[ItemID B]],Katalog!$C$3:$C$12,0))*Data[[#This Row],[Qty B]],"0")</f>
        <v>200000</v>
      </c>
      <c r="R124" t="str">
        <f>IFERROR(INDEX(Katalog!$A$3:$A$12,MATCH(Data[[#This Row],[ItemID C]],Katalog!$C$3:$C$12,0)),"-")</f>
        <v>-</v>
      </c>
      <c r="S124" t="str">
        <f>IFERROR(INDEX(Katalog!$B$3:$B$12,MATCH(Data[[#This Row],[ItemID C]],Katalog!$C$3:$C$12,0)),"-")</f>
        <v>-</v>
      </c>
      <c r="V124" s="36" t="str">
        <f>IFERROR(INDEX(Katalog!$D$3:$D$12,MATCH(Data[[#This Row],[ItemID C]],Katalog!$C$3:$C$12,0))*Data[[#This Row],[Qty C]],"0")</f>
        <v>0</v>
      </c>
      <c r="W124" s="36" t="str">
        <f>IFERROR(INDEX(Katalog!$F$3:$F$12,MATCH(Data[[#This Row],[ItemID C]],Katalog!$C$3:$C$12,0))*Data[[#This Row],[Qty C]],"0")</f>
        <v>0</v>
      </c>
      <c r="X124" s="21">
        <f>Data[[#This Row],[Qty A]]+Data[[#This Row],[Qty B]]+Data[[#This Row],[Qty C]]</f>
        <v>4</v>
      </c>
      <c r="Y124" s="22">
        <f>Data[[#This Row],[Harga Barang A]]+Data[[#This Row],[Harga Barang B]]+Data[[#This Row],[Harga Barang C]]</f>
        <v>1700000</v>
      </c>
      <c r="Z124" s="35">
        <f>IFERROR(Data[[#This Row],[Total Harga]]-(Data[[#This Row],[Total Harga]]*Data[[#This Row],[Diskon]]),Data[[#This Row],[Total Harga]])</f>
        <v>1530000</v>
      </c>
      <c r="AA124" s="35">
        <f>(Data[[#This Row],[Profit A]]+Data[[#This Row],[Profit B]]+Data[[#This Row],[Profit C]])</f>
        <v>650000</v>
      </c>
      <c r="AB124" s="35">
        <f>IFERROR((Data[[#This Row],[Profit non Diskon]]-(Data[[#This Row],[Profit non Diskon]]*Data[[#This Row],[Diskon]])),Data[[#This Row],[Profit non Diskon]])</f>
        <v>585000</v>
      </c>
      <c r="AC124" s="23" t="s">
        <v>6</v>
      </c>
      <c r="AD124" s="37">
        <f>IFERROR(INDEX('Kode Diskon'!$D$3:$D$9,MATCH(Data[[#This Row],[Kode diskon]],'Kode Diskon'!$C$3:$C$9,0)),"-")</f>
        <v>0.1</v>
      </c>
      <c r="AE124" s="23" t="s">
        <v>29</v>
      </c>
      <c r="AF124" s="23" t="s">
        <v>7</v>
      </c>
      <c r="AG124" s="23" t="s">
        <v>76</v>
      </c>
      <c r="AH124" s="24">
        <v>45020</v>
      </c>
      <c r="AI124" s="23" t="str">
        <f>TEXT(Data[[#This Row],[Tanggal terjual]],"dddd")</f>
        <v>Tuesday</v>
      </c>
      <c r="AJ124" s="21" t="str">
        <f>TEXT(Data[[#This Row],[Tanggal terjual]],"wwww")</f>
        <v>wwww</v>
      </c>
    </row>
    <row r="125" spans="1:36" x14ac:dyDescent="0.2">
      <c r="A125" s="20">
        <v>124</v>
      </c>
      <c r="B125" s="21" t="str">
        <f>_xlfn.CONCAT("ORD-",INDEX(Helper!$B$2:$B$5,MATCH(Data[[#This Row],[Marketplace]],Helper!$A$2:$A$5,0)),TEXT(Data[[#This Row],[No]],"0000"),"-",TEXT(Data[[#This Row],[Tanggal terjual]],"dd/mm/yy"))</f>
        <v>ORD-SP0124-04/04/23</v>
      </c>
      <c r="C125" t="s">
        <v>60</v>
      </c>
      <c r="D125" t="str">
        <f>IFERROR(INDEX(Katalog!$A$3:$A$12,MATCH(Data[[#This Row],[ItemID A]],Katalog!$C$3:$C$12,0)),"-")</f>
        <v>Pakaian Wanita</v>
      </c>
      <c r="E125" t="str">
        <f>IFERROR(INDEX(Katalog!$B$3:$B$12,MATCH(Data[[#This Row],[ItemID A]],Katalog!$C$3:$C$12,0)),"-")</f>
        <v>Kaftan</v>
      </c>
      <c r="F125">
        <v>2</v>
      </c>
      <c r="G125">
        <v>5</v>
      </c>
      <c r="H125" s="36">
        <f>IFERROR(INDEX(Katalog!$D$3:$D$12,MATCH(Data[[#This Row],[ItemID A]],Katalog!$C$3:$C$12,0))*Data[[#This Row],[Qty A]],"0")</f>
        <v>500000</v>
      </c>
      <c r="I125" s="36">
        <f>IFERROR(INDEX(Katalog!$F$3:$F$12,MATCH(Data[[#This Row],[ItemID A]],Katalog!$C$3:$C$12,0))*Data[[#This Row],[Qty A]],0)</f>
        <v>200000</v>
      </c>
      <c r="J125" t="s">
        <v>63</v>
      </c>
      <c r="K125" t="str">
        <f>IFERROR(INDEX(Katalog!$A$3:$A$12,MATCH(Data[[#This Row],[ItemID B]],Katalog!$C$3:$C$12,0)),"-")</f>
        <v>Pakaian Pria</v>
      </c>
      <c r="L125" t="str">
        <f>IFERROR(INDEX(Katalog!$B$3:$B$12,MATCH(Data[[#This Row],[ItemID B]],Katalog!$C$3:$C$12,0)),"-")</f>
        <v>Jaket Jeans</v>
      </c>
      <c r="M125">
        <v>2</v>
      </c>
      <c r="N125">
        <v>2</v>
      </c>
      <c r="O125" s="36">
        <f>IFERROR(INDEX(Katalog!$D$3:$D$12,MATCH(Data[[#This Row],[ItemID B]],Katalog!$C$3:$C$12,0))*Data[[#This Row],[Qty B]],"0")</f>
        <v>800000</v>
      </c>
      <c r="P125" s="36">
        <f>IFERROR(INDEX(Katalog!$F$3:$F$12,MATCH(Data[[#This Row],[ItemID B]],Katalog!$C$3:$C$12,0))*Data[[#This Row],[Qty B]],"0")</f>
        <v>300000</v>
      </c>
      <c r="R125" t="str">
        <f>IFERROR(INDEX(Katalog!$A$3:$A$12,MATCH(Data[[#This Row],[ItemID C]],Katalog!$C$3:$C$12,0)),"-")</f>
        <v>-</v>
      </c>
      <c r="S125" t="str">
        <f>IFERROR(INDEX(Katalog!$B$3:$B$12,MATCH(Data[[#This Row],[ItemID C]],Katalog!$C$3:$C$12,0)),"-")</f>
        <v>-</v>
      </c>
      <c r="V125" s="36" t="str">
        <f>IFERROR(INDEX(Katalog!$D$3:$D$12,MATCH(Data[[#This Row],[ItemID C]],Katalog!$C$3:$C$12,0))*Data[[#This Row],[Qty C]],"0")</f>
        <v>0</v>
      </c>
      <c r="W125" s="36" t="str">
        <f>IFERROR(INDEX(Katalog!$F$3:$F$12,MATCH(Data[[#This Row],[ItemID C]],Katalog!$C$3:$C$12,0))*Data[[#This Row],[Qty C]],"0")</f>
        <v>0</v>
      </c>
      <c r="X125" s="21">
        <f>Data[[#This Row],[Qty A]]+Data[[#This Row],[Qty B]]+Data[[#This Row],[Qty C]]</f>
        <v>4</v>
      </c>
      <c r="Y125" s="22">
        <f>Data[[#This Row],[Harga Barang A]]+Data[[#This Row],[Harga Barang B]]+Data[[#This Row],[Harga Barang C]]</f>
        <v>1300000</v>
      </c>
      <c r="Z125" s="35">
        <f>IFERROR(Data[[#This Row],[Total Harga]]-(Data[[#This Row],[Total Harga]]*Data[[#This Row],[Diskon]]),Data[[#This Row],[Total Harga]])</f>
        <v>1105000</v>
      </c>
      <c r="AA125" s="35">
        <f>(Data[[#This Row],[Profit A]]+Data[[#This Row],[Profit B]]+Data[[#This Row],[Profit C]])</f>
        <v>500000</v>
      </c>
      <c r="AB125" s="35">
        <f>IFERROR((Data[[#This Row],[Profit non Diskon]]-(Data[[#This Row],[Profit non Diskon]]*Data[[#This Row],[Diskon]])),Data[[#This Row],[Profit non Diskon]])</f>
        <v>425000</v>
      </c>
      <c r="AC125" s="23" t="s">
        <v>13</v>
      </c>
      <c r="AD125" s="37">
        <f>IFERROR(INDEX('Kode Diskon'!$D$3:$D$9,MATCH(Data[[#This Row],[Kode diskon]],'Kode Diskon'!$C$3:$C$9,0)),"-")</f>
        <v>0.15</v>
      </c>
      <c r="AE125" s="23" t="s">
        <v>29</v>
      </c>
      <c r="AF125" s="23" t="s">
        <v>7</v>
      </c>
      <c r="AG125" s="23" t="s">
        <v>76</v>
      </c>
      <c r="AH125" s="24">
        <v>45020</v>
      </c>
      <c r="AI125" s="23" t="str">
        <f>TEXT(Data[[#This Row],[Tanggal terjual]],"dddd")</f>
        <v>Tuesday</v>
      </c>
      <c r="AJ125" s="21" t="str">
        <f>TEXT(Data[[#This Row],[Tanggal terjual]],"wwww")</f>
        <v>wwww</v>
      </c>
    </row>
    <row r="126" spans="1:36" x14ac:dyDescent="0.2">
      <c r="A126" s="20">
        <v>125</v>
      </c>
      <c r="B126" s="21" t="str">
        <f>_xlfn.CONCAT("ORD-",INDEX(Helper!$B$2:$B$5,MATCH(Data[[#This Row],[Marketplace]],Helper!$A$2:$A$5,0)),TEXT(Data[[#This Row],[No]],"0000"),"-",TEXT(Data[[#This Row],[Tanggal terjual]],"dd/mm/yy"))</f>
        <v>ORD-SP0125-06/04/23</v>
      </c>
      <c r="C126" t="s">
        <v>65</v>
      </c>
      <c r="D126" t="str">
        <f>IFERROR(INDEX(Katalog!$A$3:$A$12,MATCH(Data[[#This Row],[ItemID A]],Katalog!$C$3:$C$12,0)),"-")</f>
        <v>Sepatu Pria</v>
      </c>
      <c r="E126" t="str">
        <f>IFERROR(INDEX(Katalog!$B$3:$B$12,MATCH(Data[[#This Row],[ItemID A]],Katalog!$C$3:$C$12,0)),"-")</f>
        <v>Sneakers</v>
      </c>
      <c r="F126">
        <v>1</v>
      </c>
      <c r="G126">
        <v>5</v>
      </c>
      <c r="H126" s="36">
        <f>IFERROR(INDEX(Katalog!$D$3:$D$12,MATCH(Data[[#This Row],[ItemID A]],Katalog!$C$3:$C$12,0))*Data[[#This Row],[Qty A]],"0")</f>
        <v>500000</v>
      </c>
      <c r="I126" s="36">
        <f>IFERROR(INDEX(Katalog!$F$3:$F$12,MATCH(Data[[#This Row],[ItemID A]],Katalog!$C$3:$C$12,0))*Data[[#This Row],[Qty A]],0)</f>
        <v>200000</v>
      </c>
      <c r="J126" t="s">
        <v>67</v>
      </c>
      <c r="K126" t="str">
        <f>IFERROR(INDEX(Katalog!$A$3:$A$12,MATCH(Data[[#This Row],[ItemID B]],Katalog!$C$3:$C$12,0)),"-")</f>
        <v>Sepatu Wanita</v>
      </c>
      <c r="L126" t="str">
        <f>IFERROR(INDEX(Katalog!$B$3:$B$12,MATCH(Data[[#This Row],[ItemID B]],Katalog!$C$3:$C$12,0)),"-")</f>
        <v>Flat Shoes</v>
      </c>
      <c r="M126">
        <v>1</v>
      </c>
      <c r="N126">
        <v>4</v>
      </c>
      <c r="O126" s="36">
        <f>IFERROR(INDEX(Katalog!$D$3:$D$12,MATCH(Data[[#This Row],[ItemID B]],Katalog!$C$3:$C$12,0))*Data[[#This Row],[Qty B]],"0")</f>
        <v>250000</v>
      </c>
      <c r="P126" s="36">
        <f>IFERROR(INDEX(Katalog!$F$3:$F$12,MATCH(Data[[#This Row],[ItemID B]],Katalog!$C$3:$C$12,0))*Data[[#This Row],[Qty B]],"0")</f>
        <v>100000</v>
      </c>
      <c r="R126" t="str">
        <f>IFERROR(INDEX(Katalog!$A$3:$A$12,MATCH(Data[[#This Row],[ItemID C]],Katalog!$C$3:$C$12,0)),"-")</f>
        <v>-</v>
      </c>
      <c r="S126" t="str">
        <f>IFERROR(INDEX(Katalog!$B$3:$B$12,MATCH(Data[[#This Row],[ItemID C]],Katalog!$C$3:$C$12,0)),"-")</f>
        <v>-</v>
      </c>
      <c r="V126" s="36" t="str">
        <f>IFERROR(INDEX(Katalog!$D$3:$D$12,MATCH(Data[[#This Row],[ItemID C]],Katalog!$C$3:$C$12,0))*Data[[#This Row],[Qty C]],"0")</f>
        <v>0</v>
      </c>
      <c r="W126" s="36" t="str">
        <f>IFERROR(INDEX(Katalog!$F$3:$F$12,MATCH(Data[[#This Row],[ItemID C]],Katalog!$C$3:$C$12,0))*Data[[#This Row],[Qty C]],"0")</f>
        <v>0</v>
      </c>
      <c r="X126" s="21">
        <f>Data[[#This Row],[Qty A]]+Data[[#This Row],[Qty B]]+Data[[#This Row],[Qty C]]</f>
        <v>2</v>
      </c>
      <c r="Y126" s="22">
        <f>Data[[#This Row],[Harga Barang A]]+Data[[#This Row],[Harga Barang B]]+Data[[#This Row],[Harga Barang C]]</f>
        <v>750000</v>
      </c>
      <c r="Z126" s="35">
        <f>IFERROR(Data[[#This Row],[Total Harga]]-(Data[[#This Row],[Total Harga]]*Data[[#This Row],[Diskon]]),Data[[#This Row],[Total Harga]])</f>
        <v>675000</v>
      </c>
      <c r="AA126" s="35">
        <f>(Data[[#This Row],[Profit A]]+Data[[#This Row],[Profit B]]+Data[[#This Row],[Profit C]])</f>
        <v>300000</v>
      </c>
      <c r="AB126" s="35">
        <f>IFERROR((Data[[#This Row],[Profit non Diskon]]-(Data[[#This Row],[Profit non Diskon]]*Data[[#This Row],[Diskon]])),Data[[#This Row],[Profit non Diskon]])</f>
        <v>270000</v>
      </c>
      <c r="AC126" s="23" t="s">
        <v>6</v>
      </c>
      <c r="AD126" s="37">
        <f>IFERROR(INDEX('Kode Diskon'!$D$3:$D$9,MATCH(Data[[#This Row],[Kode diskon]],'Kode Diskon'!$C$3:$C$9,0)),"-")</f>
        <v>0.1</v>
      </c>
      <c r="AE126" s="23" t="s">
        <v>29</v>
      </c>
      <c r="AF126" s="23" t="s">
        <v>7</v>
      </c>
      <c r="AG126" s="23" t="s">
        <v>80</v>
      </c>
      <c r="AH126" s="24">
        <v>45022</v>
      </c>
      <c r="AI126" s="23" t="str">
        <f>TEXT(Data[[#This Row],[Tanggal terjual]],"dddd")</f>
        <v>Thursday</v>
      </c>
      <c r="AJ126" s="21" t="str">
        <f>TEXT(Data[[#This Row],[Tanggal terjual]],"wwww")</f>
        <v>wwww</v>
      </c>
    </row>
    <row r="127" spans="1:36" x14ac:dyDescent="0.2">
      <c r="A127" s="20">
        <v>126</v>
      </c>
      <c r="B127" s="21" t="str">
        <f>_xlfn.CONCAT("ORD-",INDEX(Helper!$B$2:$B$5,MATCH(Data[[#This Row],[Marketplace]],Helper!$A$2:$A$5,0)),TEXT(Data[[#This Row],[No]],"0000"),"-",TEXT(Data[[#This Row],[Tanggal terjual]],"dd/mm/yy"))</f>
        <v>ORD-TK0126-17/04/23</v>
      </c>
      <c r="C127" t="s">
        <v>60</v>
      </c>
      <c r="D127" t="str">
        <f>IFERROR(INDEX(Katalog!$A$3:$A$12,MATCH(Data[[#This Row],[ItemID A]],Katalog!$C$3:$C$12,0)),"-")</f>
        <v>Pakaian Wanita</v>
      </c>
      <c r="E127" t="str">
        <f>IFERROR(INDEX(Katalog!$B$3:$B$12,MATCH(Data[[#This Row],[ItemID A]],Katalog!$C$3:$C$12,0)),"-")</f>
        <v>Kaftan</v>
      </c>
      <c r="F127">
        <v>4</v>
      </c>
      <c r="G127">
        <v>5</v>
      </c>
      <c r="H127" s="36">
        <f>IFERROR(INDEX(Katalog!$D$3:$D$12,MATCH(Data[[#This Row],[ItemID A]],Katalog!$C$3:$C$12,0))*Data[[#This Row],[Qty A]],"0")</f>
        <v>1000000</v>
      </c>
      <c r="I127" s="36">
        <f>IFERROR(INDEX(Katalog!$F$3:$F$12,MATCH(Data[[#This Row],[ItemID A]],Katalog!$C$3:$C$12,0))*Data[[#This Row],[Qty A]],0)</f>
        <v>400000</v>
      </c>
      <c r="J127" t="s">
        <v>67</v>
      </c>
      <c r="K127" t="str">
        <f>IFERROR(INDEX(Katalog!$A$3:$A$12,MATCH(Data[[#This Row],[ItemID B]],Katalog!$C$3:$C$12,0)),"-")</f>
        <v>Sepatu Wanita</v>
      </c>
      <c r="L127" t="str">
        <f>IFERROR(INDEX(Katalog!$B$3:$B$12,MATCH(Data[[#This Row],[ItemID B]],Katalog!$C$3:$C$12,0)),"-")</f>
        <v>Flat Shoes</v>
      </c>
      <c r="M127">
        <v>1</v>
      </c>
      <c r="N127">
        <v>2</v>
      </c>
      <c r="O127" s="36">
        <f>IFERROR(INDEX(Katalog!$D$3:$D$12,MATCH(Data[[#This Row],[ItemID B]],Katalog!$C$3:$C$12,0))*Data[[#This Row],[Qty B]],"0")</f>
        <v>250000</v>
      </c>
      <c r="P127" s="36">
        <f>IFERROR(INDEX(Katalog!$F$3:$F$12,MATCH(Data[[#This Row],[ItemID B]],Katalog!$C$3:$C$12,0))*Data[[#This Row],[Qty B]],"0")</f>
        <v>100000</v>
      </c>
      <c r="Q127" t="s">
        <v>59</v>
      </c>
      <c r="R127" t="str">
        <f>IFERROR(INDEX(Katalog!$A$3:$A$12,MATCH(Data[[#This Row],[ItemID C]],Katalog!$C$3:$C$12,0)),"-")</f>
        <v>Pakaian Wanita</v>
      </c>
      <c r="S127" t="str">
        <f>IFERROR(INDEX(Katalog!$B$3:$B$12,MATCH(Data[[#This Row],[ItemID C]],Katalog!$C$3:$C$12,0)),"-")</f>
        <v>Blouse</v>
      </c>
      <c r="T127">
        <v>2</v>
      </c>
      <c r="U127">
        <v>5</v>
      </c>
      <c r="V127" s="36">
        <f>IFERROR(INDEX(Katalog!$D$3:$D$12,MATCH(Data[[#This Row],[ItemID C]],Katalog!$C$3:$C$12,0))*Data[[#This Row],[Qty C]],"0")</f>
        <v>300000</v>
      </c>
      <c r="W127" s="36">
        <f>IFERROR(INDEX(Katalog!$F$3:$F$12,MATCH(Data[[#This Row],[ItemID C]],Katalog!$C$3:$C$12,0))*Data[[#This Row],[Qty C]],"0")</f>
        <v>100000</v>
      </c>
      <c r="X127" s="21">
        <f>Data[[#This Row],[Qty A]]+Data[[#This Row],[Qty B]]+Data[[#This Row],[Qty C]]</f>
        <v>7</v>
      </c>
      <c r="Y127" s="22">
        <f>Data[[#This Row],[Harga Barang A]]+Data[[#This Row],[Harga Barang B]]+Data[[#This Row],[Harga Barang C]]</f>
        <v>1550000</v>
      </c>
      <c r="Z127" s="35">
        <f>IFERROR(Data[[#This Row],[Total Harga]]-(Data[[#This Row],[Total Harga]]*Data[[#This Row],[Diskon]]),Data[[#This Row],[Total Harga]])</f>
        <v>1395000</v>
      </c>
      <c r="AA127" s="35">
        <f>(Data[[#This Row],[Profit A]]+Data[[#This Row],[Profit B]]+Data[[#This Row],[Profit C]])</f>
        <v>600000</v>
      </c>
      <c r="AB127" s="35">
        <f>IFERROR((Data[[#This Row],[Profit non Diskon]]-(Data[[#This Row],[Profit non Diskon]]*Data[[#This Row],[Diskon]])),Data[[#This Row],[Profit non Diskon]])</f>
        <v>540000</v>
      </c>
      <c r="AC127" s="23" t="s">
        <v>31</v>
      </c>
      <c r="AD127" s="37">
        <f>IFERROR(INDEX('Kode Diskon'!$D$3:$D$9,MATCH(Data[[#This Row],[Kode diskon]],'Kode Diskon'!$C$3:$C$9,0)),"-")</f>
        <v>0.1</v>
      </c>
      <c r="AE127" s="23" t="s">
        <v>9</v>
      </c>
      <c r="AF127" s="23" t="s">
        <v>10</v>
      </c>
      <c r="AG127" s="23" t="s">
        <v>78</v>
      </c>
      <c r="AH127" s="24">
        <v>45033</v>
      </c>
      <c r="AI127" s="23" t="str">
        <f>TEXT(Data[[#This Row],[Tanggal terjual]],"dddd")</f>
        <v>Monday</v>
      </c>
      <c r="AJ127" s="21" t="str">
        <f>TEXT(Data[[#This Row],[Tanggal terjual]],"wwww")</f>
        <v>wwww</v>
      </c>
    </row>
    <row r="128" spans="1:36" x14ac:dyDescent="0.2">
      <c r="A128" s="20">
        <v>127</v>
      </c>
      <c r="B128" s="21" t="str">
        <f>_xlfn.CONCAT("ORD-",INDEX(Helper!$B$2:$B$5,MATCH(Data[[#This Row],[Marketplace]],Helper!$A$2:$A$5,0)),TEXT(Data[[#This Row],[No]],"0000"),"-",TEXT(Data[[#This Row],[Tanggal terjual]],"dd/mm/yy"))</f>
        <v>ORD-BB0127-02/04/23</v>
      </c>
      <c r="C128" t="s">
        <v>59</v>
      </c>
      <c r="D128" t="str">
        <f>IFERROR(INDEX(Katalog!$A$3:$A$12,MATCH(Data[[#This Row],[ItemID A]],Katalog!$C$3:$C$12,0)),"-")</f>
        <v>Pakaian Wanita</v>
      </c>
      <c r="E128" t="str">
        <f>IFERROR(INDEX(Katalog!$B$3:$B$12,MATCH(Data[[#This Row],[ItemID A]],Katalog!$C$3:$C$12,0)),"-")</f>
        <v>Blouse</v>
      </c>
      <c r="F128">
        <v>3</v>
      </c>
      <c r="G128">
        <v>2</v>
      </c>
      <c r="H128" s="36">
        <f>IFERROR(INDEX(Katalog!$D$3:$D$12,MATCH(Data[[#This Row],[ItemID A]],Katalog!$C$3:$C$12,0))*Data[[#This Row],[Qty A]],"0")</f>
        <v>450000</v>
      </c>
      <c r="I128" s="36">
        <f>IFERROR(INDEX(Katalog!$F$3:$F$12,MATCH(Data[[#This Row],[ItemID A]],Katalog!$C$3:$C$12,0))*Data[[#This Row],[Qty A]],0)</f>
        <v>150000</v>
      </c>
      <c r="J128" t="s">
        <v>67</v>
      </c>
      <c r="K128" t="str">
        <f>IFERROR(INDEX(Katalog!$A$3:$A$12,MATCH(Data[[#This Row],[ItemID B]],Katalog!$C$3:$C$12,0)),"-")</f>
        <v>Sepatu Wanita</v>
      </c>
      <c r="L128" t="str">
        <f>IFERROR(INDEX(Katalog!$B$3:$B$12,MATCH(Data[[#This Row],[ItemID B]],Katalog!$C$3:$C$12,0)),"-")</f>
        <v>Flat Shoes</v>
      </c>
      <c r="M128">
        <v>2</v>
      </c>
      <c r="N128">
        <v>4</v>
      </c>
      <c r="O128" s="36">
        <f>IFERROR(INDEX(Katalog!$D$3:$D$12,MATCH(Data[[#This Row],[ItemID B]],Katalog!$C$3:$C$12,0))*Data[[#This Row],[Qty B]],"0")</f>
        <v>500000</v>
      </c>
      <c r="P128" s="36">
        <f>IFERROR(INDEX(Katalog!$F$3:$F$12,MATCH(Data[[#This Row],[ItemID B]],Katalog!$C$3:$C$12,0))*Data[[#This Row],[Qty B]],"0")</f>
        <v>200000</v>
      </c>
      <c r="Q128" t="s">
        <v>64</v>
      </c>
      <c r="R128" t="str">
        <f>IFERROR(INDEX(Katalog!$A$3:$A$12,MATCH(Data[[#This Row],[ItemID C]],Katalog!$C$3:$C$12,0)),"-")</f>
        <v>Pakaian Unisex</v>
      </c>
      <c r="S128" t="str">
        <f>IFERROR(INDEX(Katalog!$B$3:$B$12,MATCH(Data[[#This Row],[ItemID C]],Katalog!$C$3:$C$12,0)),"-")</f>
        <v>Jaket Hoodie</v>
      </c>
      <c r="T128">
        <v>1</v>
      </c>
      <c r="U128">
        <v>1</v>
      </c>
      <c r="V128" s="36">
        <f>IFERROR(INDEX(Katalog!$D$3:$D$12,MATCH(Data[[#This Row],[ItemID C]],Katalog!$C$3:$C$12,0))*Data[[#This Row],[Qty C]],"0")</f>
        <v>350000</v>
      </c>
      <c r="W128" s="36">
        <f>IFERROR(INDEX(Katalog!$F$3:$F$12,MATCH(Data[[#This Row],[ItemID C]],Katalog!$C$3:$C$12,0))*Data[[#This Row],[Qty C]],"0")</f>
        <v>130000</v>
      </c>
      <c r="X128" s="21">
        <f>Data[[#This Row],[Qty A]]+Data[[#This Row],[Qty B]]+Data[[#This Row],[Qty C]]</f>
        <v>6</v>
      </c>
      <c r="Y128" s="22">
        <f>Data[[#This Row],[Harga Barang A]]+Data[[#This Row],[Harga Barang B]]+Data[[#This Row],[Harga Barang C]]</f>
        <v>1300000</v>
      </c>
      <c r="Z128" s="35">
        <f>IFERROR(Data[[#This Row],[Total Harga]]-(Data[[#This Row],[Total Harga]]*Data[[#This Row],[Diskon]]),Data[[#This Row],[Total Harga]])</f>
        <v>1105000</v>
      </c>
      <c r="AA128" s="35">
        <f>(Data[[#This Row],[Profit A]]+Data[[#This Row],[Profit B]]+Data[[#This Row],[Profit C]])</f>
        <v>480000</v>
      </c>
      <c r="AB128" s="35">
        <f>IFERROR((Data[[#This Row],[Profit non Diskon]]-(Data[[#This Row],[Profit non Diskon]]*Data[[#This Row],[Diskon]])),Data[[#This Row],[Profit non Diskon]])</f>
        <v>408000</v>
      </c>
      <c r="AC128" s="23" t="s">
        <v>28</v>
      </c>
      <c r="AD128" s="37">
        <f>IFERROR(INDEX('Kode Diskon'!$D$3:$D$9,MATCH(Data[[#This Row],[Kode diskon]],'Kode Diskon'!$C$3:$C$9,0)),"-")</f>
        <v>0.15</v>
      </c>
      <c r="AE128" s="23" t="s">
        <v>29</v>
      </c>
      <c r="AF128" s="23" t="s">
        <v>14</v>
      </c>
      <c r="AG128" s="23" t="s">
        <v>76</v>
      </c>
      <c r="AH128" s="24">
        <v>45018</v>
      </c>
      <c r="AI128" s="23" t="str">
        <f>TEXT(Data[[#This Row],[Tanggal terjual]],"dddd")</f>
        <v>Sunday</v>
      </c>
      <c r="AJ128" s="21" t="str">
        <f>TEXT(Data[[#This Row],[Tanggal terjual]],"wwww")</f>
        <v>wwww</v>
      </c>
    </row>
    <row r="129" spans="1:36" x14ac:dyDescent="0.2">
      <c r="A129" s="20">
        <v>128</v>
      </c>
      <c r="B129" s="21" t="str">
        <f>_xlfn.CONCAT("ORD-",INDEX(Helper!$B$2:$B$5,MATCH(Data[[#This Row],[Marketplace]],Helper!$A$2:$A$5,0)),TEXT(Data[[#This Row],[No]],"0000"),"-",TEXT(Data[[#This Row],[Tanggal terjual]],"dd/mm/yy"))</f>
        <v>ORD-BL0128-28/04/23</v>
      </c>
      <c r="C129" t="s">
        <v>64</v>
      </c>
      <c r="D129" t="str">
        <f>IFERROR(INDEX(Katalog!$A$3:$A$12,MATCH(Data[[#This Row],[ItemID A]],Katalog!$C$3:$C$12,0)),"-")</f>
        <v>Pakaian Unisex</v>
      </c>
      <c r="E129" t="str">
        <f>IFERROR(INDEX(Katalog!$B$3:$B$12,MATCH(Data[[#This Row],[ItemID A]],Katalog!$C$3:$C$12,0)),"-")</f>
        <v>Jaket Hoodie</v>
      </c>
      <c r="F129">
        <v>7</v>
      </c>
      <c r="G129">
        <v>3</v>
      </c>
      <c r="H129" s="36">
        <f>IFERROR(INDEX(Katalog!$D$3:$D$12,MATCH(Data[[#This Row],[ItemID A]],Katalog!$C$3:$C$12,0))*Data[[#This Row],[Qty A]],"0")</f>
        <v>2450000</v>
      </c>
      <c r="I129" s="36">
        <f>IFERROR(INDEX(Katalog!$F$3:$F$12,MATCH(Data[[#This Row],[ItemID A]],Katalog!$C$3:$C$12,0))*Data[[#This Row],[Qty A]],0)</f>
        <v>910000</v>
      </c>
      <c r="K129" t="str">
        <f>IFERROR(INDEX(Katalog!$A$3:$A$12,MATCH(Data[[#This Row],[ItemID B]],Katalog!$C$3:$C$12,0)),"-")</f>
        <v>-</v>
      </c>
      <c r="L129" t="str">
        <f>IFERROR(INDEX(Katalog!$B$3:$B$12,MATCH(Data[[#This Row],[ItemID B]],Katalog!$C$3:$C$12,0)),"-")</f>
        <v>-</v>
      </c>
      <c r="O129" s="36" t="str">
        <f>IFERROR(INDEX(Katalog!$D$3:$D$12,MATCH(Data[[#This Row],[ItemID B]],Katalog!$C$3:$C$12,0))*Data[[#This Row],[Qty B]],"0")</f>
        <v>0</v>
      </c>
      <c r="P129" s="36" t="str">
        <f>IFERROR(INDEX(Katalog!$F$3:$F$12,MATCH(Data[[#This Row],[ItemID B]],Katalog!$C$3:$C$12,0))*Data[[#This Row],[Qty B]],"0")</f>
        <v>0</v>
      </c>
      <c r="R129" t="str">
        <f>IFERROR(INDEX(Katalog!$A$3:$A$12,MATCH(Data[[#This Row],[ItemID C]],Katalog!$C$3:$C$12,0)),"-")</f>
        <v>-</v>
      </c>
      <c r="S129" t="str">
        <f>IFERROR(INDEX(Katalog!$B$3:$B$12,MATCH(Data[[#This Row],[ItemID C]],Katalog!$C$3:$C$12,0)),"-")</f>
        <v>-</v>
      </c>
      <c r="V129" s="36" t="str">
        <f>IFERROR(INDEX(Katalog!$D$3:$D$12,MATCH(Data[[#This Row],[ItemID C]],Katalog!$C$3:$C$12,0))*Data[[#This Row],[Qty C]],"0")</f>
        <v>0</v>
      </c>
      <c r="W129" s="36" t="str">
        <f>IFERROR(INDEX(Katalog!$F$3:$F$12,MATCH(Data[[#This Row],[ItemID C]],Katalog!$C$3:$C$12,0))*Data[[#This Row],[Qty C]],"0")</f>
        <v>0</v>
      </c>
      <c r="X129" s="21">
        <f>Data[[#This Row],[Qty A]]+Data[[#This Row],[Qty B]]+Data[[#This Row],[Qty C]]</f>
        <v>7</v>
      </c>
      <c r="Y129" s="22">
        <f>Data[[#This Row],[Harga Barang A]]+Data[[#This Row],[Harga Barang B]]+Data[[#This Row],[Harga Barang C]]</f>
        <v>2450000</v>
      </c>
      <c r="Z129" s="35">
        <f>IFERROR(Data[[#This Row],[Total Harga]]-(Data[[#This Row],[Total Harga]]*Data[[#This Row],[Diskon]]),Data[[#This Row],[Total Harga]])</f>
        <v>2082500</v>
      </c>
      <c r="AA129" s="35">
        <f>(Data[[#This Row],[Profit A]]+Data[[#This Row],[Profit B]]+Data[[#This Row],[Profit C]])</f>
        <v>910000</v>
      </c>
      <c r="AB129" s="35">
        <f>IFERROR((Data[[#This Row],[Profit non Diskon]]-(Data[[#This Row],[Profit non Diskon]]*Data[[#This Row],[Diskon]])),Data[[#This Row],[Profit non Diskon]])</f>
        <v>773500</v>
      </c>
      <c r="AC129" s="23" t="s">
        <v>32</v>
      </c>
      <c r="AD129" s="37">
        <f>IFERROR(INDEX('Kode Diskon'!$D$3:$D$9,MATCH(Data[[#This Row],[Kode diskon]],'Kode Diskon'!$C$3:$C$9,0)),"-")</f>
        <v>0.15</v>
      </c>
      <c r="AE129" s="23" t="s">
        <v>9</v>
      </c>
      <c r="AF129" s="23" t="s">
        <v>12</v>
      </c>
      <c r="AG129" s="23" t="s">
        <v>80</v>
      </c>
      <c r="AH129" s="24">
        <v>45044</v>
      </c>
      <c r="AI129" s="23" t="str">
        <f>TEXT(Data[[#This Row],[Tanggal terjual]],"dddd")</f>
        <v>Friday</v>
      </c>
      <c r="AJ129" s="21" t="str">
        <f>TEXT(Data[[#This Row],[Tanggal terjual]],"wwww")</f>
        <v>wwww</v>
      </c>
    </row>
    <row r="130" spans="1:36" x14ac:dyDescent="0.2">
      <c r="A130" s="20">
        <v>129</v>
      </c>
      <c r="B130" s="21" t="str">
        <f>_xlfn.CONCAT("ORD-",INDEX(Helper!$B$2:$B$5,MATCH(Data[[#This Row],[Marketplace]],Helper!$A$2:$A$5,0)),TEXT(Data[[#This Row],[No]],"0000"),"-",TEXT(Data[[#This Row],[Tanggal terjual]],"dd/mm/yy"))</f>
        <v>ORD-BB0129-06/04/23</v>
      </c>
      <c r="C130" t="s">
        <v>61</v>
      </c>
      <c r="D130" t="str">
        <f>IFERROR(INDEX(Katalog!$A$3:$A$12,MATCH(Data[[#This Row],[ItemID A]],Katalog!$C$3:$C$12,0)),"-")</f>
        <v>Pakaian Pria</v>
      </c>
      <c r="E130" t="str">
        <f>IFERROR(INDEX(Katalog!$B$3:$B$12,MATCH(Data[[#This Row],[ItemID A]],Katalog!$C$3:$C$12,0)),"-")</f>
        <v>Kaos Polo</v>
      </c>
      <c r="F130">
        <v>3</v>
      </c>
      <c r="G130">
        <v>2</v>
      </c>
      <c r="H130" s="36">
        <f>IFERROR(INDEX(Katalog!$D$3:$D$12,MATCH(Data[[#This Row],[ItemID A]],Katalog!$C$3:$C$12,0))*Data[[#This Row],[Qty A]],"0")</f>
        <v>600000</v>
      </c>
      <c r="I130" s="36">
        <f>IFERROR(INDEX(Katalog!$F$3:$F$12,MATCH(Data[[#This Row],[ItemID A]],Katalog!$C$3:$C$12,0))*Data[[#This Row],[Qty A]],0)</f>
        <v>240000</v>
      </c>
      <c r="K130" t="str">
        <f>IFERROR(INDEX(Katalog!$A$3:$A$12,MATCH(Data[[#This Row],[ItemID B]],Katalog!$C$3:$C$12,0)),"-")</f>
        <v>-</v>
      </c>
      <c r="L130" t="str">
        <f>IFERROR(INDEX(Katalog!$B$3:$B$12,MATCH(Data[[#This Row],[ItemID B]],Katalog!$C$3:$C$12,0)),"-")</f>
        <v>-</v>
      </c>
      <c r="O130" s="36" t="str">
        <f>IFERROR(INDEX(Katalog!$D$3:$D$12,MATCH(Data[[#This Row],[ItemID B]],Katalog!$C$3:$C$12,0))*Data[[#This Row],[Qty B]],"0")</f>
        <v>0</v>
      </c>
      <c r="P130" s="36" t="str">
        <f>IFERROR(INDEX(Katalog!$F$3:$F$12,MATCH(Data[[#This Row],[ItemID B]],Katalog!$C$3:$C$12,0))*Data[[#This Row],[Qty B]],"0")</f>
        <v>0</v>
      </c>
      <c r="R130" t="str">
        <f>IFERROR(INDEX(Katalog!$A$3:$A$12,MATCH(Data[[#This Row],[ItemID C]],Katalog!$C$3:$C$12,0)),"-")</f>
        <v>-</v>
      </c>
      <c r="S130" t="str">
        <f>IFERROR(INDEX(Katalog!$B$3:$B$12,MATCH(Data[[#This Row],[ItemID C]],Katalog!$C$3:$C$12,0)),"-")</f>
        <v>-</v>
      </c>
      <c r="V130" s="36" t="str">
        <f>IFERROR(INDEX(Katalog!$D$3:$D$12,MATCH(Data[[#This Row],[ItemID C]],Katalog!$C$3:$C$12,0))*Data[[#This Row],[Qty C]],"0")</f>
        <v>0</v>
      </c>
      <c r="W130" s="36" t="str">
        <f>IFERROR(INDEX(Katalog!$F$3:$F$12,MATCH(Data[[#This Row],[ItemID C]],Katalog!$C$3:$C$12,0))*Data[[#This Row],[Qty C]],"0")</f>
        <v>0</v>
      </c>
      <c r="X130" s="21">
        <f>Data[[#This Row],[Qty A]]+Data[[#This Row],[Qty B]]+Data[[#This Row],[Qty C]]</f>
        <v>3</v>
      </c>
      <c r="Y130" s="22">
        <f>Data[[#This Row],[Harga Barang A]]+Data[[#This Row],[Harga Barang B]]+Data[[#This Row],[Harga Barang C]]</f>
        <v>600000</v>
      </c>
      <c r="Z130" s="35">
        <f>IFERROR(Data[[#This Row],[Total Harga]]-(Data[[#This Row],[Total Harga]]*Data[[#This Row],[Diskon]]),Data[[#This Row],[Total Harga]])</f>
        <v>510000</v>
      </c>
      <c r="AA130" s="35">
        <f>(Data[[#This Row],[Profit A]]+Data[[#This Row],[Profit B]]+Data[[#This Row],[Profit C]])</f>
        <v>240000</v>
      </c>
      <c r="AB130" s="35">
        <f>IFERROR((Data[[#This Row],[Profit non Diskon]]-(Data[[#This Row],[Profit non Diskon]]*Data[[#This Row],[Diskon]])),Data[[#This Row],[Profit non Diskon]])</f>
        <v>204000</v>
      </c>
      <c r="AC130" s="23" t="s">
        <v>28</v>
      </c>
      <c r="AD130" s="37">
        <f>IFERROR(INDEX('Kode Diskon'!$D$3:$D$9,MATCH(Data[[#This Row],[Kode diskon]],'Kode Diskon'!$C$3:$C$9,0)),"-")</f>
        <v>0.15</v>
      </c>
      <c r="AE130" s="23" t="s">
        <v>29</v>
      </c>
      <c r="AF130" s="23" t="s">
        <v>14</v>
      </c>
      <c r="AG130" s="23" t="s">
        <v>80</v>
      </c>
      <c r="AH130" s="24">
        <v>45022</v>
      </c>
      <c r="AI130" s="23" t="str">
        <f>TEXT(Data[[#This Row],[Tanggal terjual]],"dddd")</f>
        <v>Thursday</v>
      </c>
      <c r="AJ130" s="21" t="str">
        <f>TEXT(Data[[#This Row],[Tanggal terjual]],"wwww")</f>
        <v>wwww</v>
      </c>
    </row>
    <row r="131" spans="1:36" x14ac:dyDescent="0.2">
      <c r="A131" s="20">
        <v>130</v>
      </c>
      <c r="B131" s="21" t="str">
        <f>_xlfn.CONCAT("ORD-",INDEX(Helper!$B$2:$B$5,MATCH(Data[[#This Row],[Marketplace]],Helper!$A$2:$A$5,0)),TEXT(Data[[#This Row],[No]],"0000"),"-",TEXT(Data[[#This Row],[Tanggal terjual]],"dd/mm/yy"))</f>
        <v>ORD-TK0130-05/04/23</v>
      </c>
      <c r="C131" t="s">
        <v>66</v>
      </c>
      <c r="D131" t="str">
        <f>IFERROR(INDEX(Katalog!$A$3:$A$12,MATCH(Data[[#This Row],[ItemID A]],Katalog!$C$3:$C$12,0)),"-")</f>
        <v>Sepatu Pria</v>
      </c>
      <c r="E131" t="str">
        <f>IFERROR(INDEX(Katalog!$B$3:$B$12,MATCH(Data[[#This Row],[ItemID A]],Katalog!$C$3:$C$12,0)),"-")</f>
        <v>Sandal Slip On</v>
      </c>
      <c r="F131">
        <v>2</v>
      </c>
      <c r="G131">
        <v>2</v>
      </c>
      <c r="H131" s="36">
        <f>IFERROR(INDEX(Katalog!$D$3:$D$12,MATCH(Data[[#This Row],[ItemID A]],Katalog!$C$3:$C$12,0))*Data[[#This Row],[Qty A]],"0")</f>
        <v>300000</v>
      </c>
      <c r="I131" s="36">
        <f>IFERROR(INDEX(Katalog!$F$3:$F$12,MATCH(Data[[#This Row],[ItemID A]],Katalog!$C$3:$C$12,0))*Data[[#This Row],[Qty A]],0)</f>
        <v>120000</v>
      </c>
      <c r="K131" t="str">
        <f>IFERROR(INDEX(Katalog!$A$3:$A$12,MATCH(Data[[#This Row],[ItemID B]],Katalog!$C$3:$C$12,0)),"-")</f>
        <v>-</v>
      </c>
      <c r="L131" t="str">
        <f>IFERROR(INDEX(Katalog!$B$3:$B$12,MATCH(Data[[#This Row],[ItemID B]],Katalog!$C$3:$C$12,0)),"-")</f>
        <v>-</v>
      </c>
      <c r="O131" s="36" t="str">
        <f>IFERROR(INDEX(Katalog!$D$3:$D$12,MATCH(Data[[#This Row],[ItemID B]],Katalog!$C$3:$C$12,0))*Data[[#This Row],[Qty B]],"0")</f>
        <v>0</v>
      </c>
      <c r="P131" s="36" t="str">
        <f>IFERROR(INDEX(Katalog!$F$3:$F$12,MATCH(Data[[#This Row],[ItemID B]],Katalog!$C$3:$C$12,0))*Data[[#This Row],[Qty B]],"0")</f>
        <v>0</v>
      </c>
      <c r="R131" t="str">
        <f>IFERROR(INDEX(Katalog!$A$3:$A$12,MATCH(Data[[#This Row],[ItemID C]],Katalog!$C$3:$C$12,0)),"-")</f>
        <v>-</v>
      </c>
      <c r="S131" t="str">
        <f>IFERROR(INDEX(Katalog!$B$3:$B$12,MATCH(Data[[#This Row],[ItemID C]],Katalog!$C$3:$C$12,0)),"-")</f>
        <v>-</v>
      </c>
      <c r="V131" s="36" t="str">
        <f>IFERROR(INDEX(Katalog!$D$3:$D$12,MATCH(Data[[#This Row],[ItemID C]],Katalog!$C$3:$C$12,0))*Data[[#This Row],[Qty C]],"0")</f>
        <v>0</v>
      </c>
      <c r="W131" s="36" t="str">
        <f>IFERROR(INDEX(Katalog!$F$3:$F$12,MATCH(Data[[#This Row],[ItemID C]],Katalog!$C$3:$C$12,0))*Data[[#This Row],[Qty C]],"0")</f>
        <v>0</v>
      </c>
      <c r="X131" s="21">
        <f>Data[[#This Row],[Qty A]]+Data[[#This Row],[Qty B]]+Data[[#This Row],[Qty C]]</f>
        <v>2</v>
      </c>
      <c r="Y131" s="22">
        <f>Data[[#This Row],[Harga Barang A]]+Data[[#This Row],[Harga Barang B]]+Data[[#This Row],[Harga Barang C]]</f>
        <v>300000</v>
      </c>
      <c r="Z131" s="35">
        <f>IFERROR(Data[[#This Row],[Total Harga]]-(Data[[#This Row],[Total Harga]]*Data[[#This Row],[Diskon]]),Data[[#This Row],[Total Harga]])</f>
        <v>270000</v>
      </c>
      <c r="AA131" s="35">
        <f>(Data[[#This Row],[Profit A]]+Data[[#This Row],[Profit B]]+Data[[#This Row],[Profit C]])</f>
        <v>120000</v>
      </c>
      <c r="AB131" s="35">
        <f>IFERROR((Data[[#This Row],[Profit non Diskon]]-(Data[[#This Row],[Profit non Diskon]]*Data[[#This Row],[Diskon]])),Data[[#This Row],[Profit non Diskon]])</f>
        <v>108000</v>
      </c>
      <c r="AC131" s="23" t="s">
        <v>30</v>
      </c>
      <c r="AD131" s="37">
        <f>IFERROR(INDEX('Kode Diskon'!$D$3:$D$9,MATCH(Data[[#This Row],[Kode diskon]],'Kode Diskon'!$C$3:$C$9,0)),"-")</f>
        <v>0.1</v>
      </c>
      <c r="AE131" s="23" t="s">
        <v>29</v>
      </c>
      <c r="AF131" s="23" t="s">
        <v>10</v>
      </c>
      <c r="AG131" s="23" t="s">
        <v>80</v>
      </c>
      <c r="AH131" s="24">
        <v>45021</v>
      </c>
      <c r="AI131" s="23" t="str">
        <f>TEXT(Data[[#This Row],[Tanggal terjual]],"dddd")</f>
        <v>Wednesday</v>
      </c>
      <c r="AJ131" s="21" t="str">
        <f>TEXT(Data[[#This Row],[Tanggal terjual]],"wwww")</f>
        <v>wwww</v>
      </c>
    </row>
    <row r="132" spans="1:36" x14ac:dyDescent="0.2">
      <c r="A132" s="20">
        <v>131</v>
      </c>
      <c r="B132" s="21" t="str">
        <f>_xlfn.CONCAT("ORD-",INDEX(Helper!$B$2:$B$5,MATCH(Data[[#This Row],[Marketplace]],Helper!$A$2:$A$5,0)),TEXT(Data[[#This Row],[No]],"0000"),"-",TEXT(Data[[#This Row],[Tanggal terjual]],"dd/mm/yy"))</f>
        <v>ORD-BB0131-08/04/23</v>
      </c>
      <c r="C132" t="s">
        <v>61</v>
      </c>
      <c r="D132" t="str">
        <f>IFERROR(INDEX(Katalog!$A$3:$A$12,MATCH(Data[[#This Row],[ItemID A]],Katalog!$C$3:$C$12,0)),"-")</f>
        <v>Pakaian Pria</v>
      </c>
      <c r="E132" t="str">
        <f>IFERROR(INDEX(Katalog!$B$3:$B$12,MATCH(Data[[#This Row],[ItemID A]],Katalog!$C$3:$C$12,0)),"-")</f>
        <v>Kaos Polo</v>
      </c>
      <c r="F132">
        <v>1</v>
      </c>
      <c r="G132">
        <v>4</v>
      </c>
      <c r="H132" s="36">
        <f>IFERROR(INDEX(Katalog!$D$3:$D$12,MATCH(Data[[#This Row],[ItemID A]],Katalog!$C$3:$C$12,0))*Data[[#This Row],[Qty A]],"0")</f>
        <v>200000</v>
      </c>
      <c r="I132" s="36">
        <f>IFERROR(INDEX(Katalog!$F$3:$F$12,MATCH(Data[[#This Row],[ItemID A]],Katalog!$C$3:$C$12,0))*Data[[#This Row],[Qty A]],0)</f>
        <v>80000</v>
      </c>
      <c r="J132" t="s">
        <v>67</v>
      </c>
      <c r="K132" t="str">
        <f>IFERROR(INDEX(Katalog!$A$3:$A$12,MATCH(Data[[#This Row],[ItemID B]],Katalog!$C$3:$C$12,0)),"-")</f>
        <v>Sepatu Wanita</v>
      </c>
      <c r="L132" t="str">
        <f>IFERROR(INDEX(Katalog!$B$3:$B$12,MATCH(Data[[#This Row],[ItemID B]],Katalog!$C$3:$C$12,0)),"-")</f>
        <v>Flat Shoes</v>
      </c>
      <c r="M132">
        <v>1</v>
      </c>
      <c r="N132">
        <v>1</v>
      </c>
      <c r="O132" s="36">
        <f>IFERROR(INDEX(Katalog!$D$3:$D$12,MATCH(Data[[#This Row],[ItemID B]],Katalog!$C$3:$C$12,0))*Data[[#This Row],[Qty B]],"0")</f>
        <v>250000</v>
      </c>
      <c r="P132" s="36">
        <f>IFERROR(INDEX(Katalog!$F$3:$F$12,MATCH(Data[[#This Row],[ItemID B]],Katalog!$C$3:$C$12,0))*Data[[#This Row],[Qty B]],"0")</f>
        <v>100000</v>
      </c>
      <c r="R132" t="str">
        <f>IFERROR(INDEX(Katalog!$A$3:$A$12,MATCH(Data[[#This Row],[ItemID C]],Katalog!$C$3:$C$12,0)),"-")</f>
        <v>-</v>
      </c>
      <c r="S132" t="str">
        <f>IFERROR(INDEX(Katalog!$B$3:$B$12,MATCH(Data[[#This Row],[ItemID C]],Katalog!$C$3:$C$12,0)),"-")</f>
        <v>-</v>
      </c>
      <c r="V132" s="36" t="str">
        <f>IFERROR(INDEX(Katalog!$D$3:$D$12,MATCH(Data[[#This Row],[ItemID C]],Katalog!$C$3:$C$12,0))*Data[[#This Row],[Qty C]],"0")</f>
        <v>0</v>
      </c>
      <c r="W132" s="36" t="str">
        <f>IFERROR(INDEX(Katalog!$F$3:$F$12,MATCH(Data[[#This Row],[ItemID C]],Katalog!$C$3:$C$12,0))*Data[[#This Row],[Qty C]],"0")</f>
        <v>0</v>
      </c>
      <c r="X132" s="21">
        <f>Data[[#This Row],[Qty A]]+Data[[#This Row],[Qty B]]+Data[[#This Row],[Qty C]]</f>
        <v>2</v>
      </c>
      <c r="Y132" s="22">
        <f>Data[[#This Row],[Harga Barang A]]+Data[[#This Row],[Harga Barang B]]+Data[[#This Row],[Harga Barang C]]</f>
        <v>450000</v>
      </c>
      <c r="Z132" s="35">
        <f>IFERROR(Data[[#This Row],[Total Harga]]-(Data[[#This Row],[Total Harga]]*Data[[#This Row],[Diskon]]),Data[[#This Row],[Total Harga]])</f>
        <v>450000</v>
      </c>
      <c r="AA132" s="35">
        <f>(Data[[#This Row],[Profit A]]+Data[[#This Row],[Profit B]]+Data[[#This Row],[Profit C]])</f>
        <v>180000</v>
      </c>
      <c r="AB132" s="35">
        <f>IFERROR((Data[[#This Row],[Profit non Diskon]]-(Data[[#This Row],[Profit non Diskon]]*Data[[#This Row],[Diskon]])),Data[[#This Row],[Profit non Diskon]])</f>
        <v>180000</v>
      </c>
      <c r="AC132" s="23" t="s">
        <v>11</v>
      </c>
      <c r="AD132" s="37" t="str">
        <f>IFERROR(INDEX('Kode Diskon'!$D$3:$D$9,MATCH(Data[[#This Row],[Kode diskon]],'Kode Diskon'!$C$3:$C$9,0)),"-")</f>
        <v>-</v>
      </c>
      <c r="AE132" s="23" t="s">
        <v>11</v>
      </c>
      <c r="AF132" s="23" t="s">
        <v>14</v>
      </c>
      <c r="AG132" s="23" t="s">
        <v>75</v>
      </c>
      <c r="AH132" s="24">
        <v>45024</v>
      </c>
      <c r="AI132" s="23" t="str">
        <f>TEXT(Data[[#This Row],[Tanggal terjual]],"dddd")</f>
        <v>Saturday</v>
      </c>
      <c r="AJ132" s="21" t="str">
        <f>TEXT(Data[[#This Row],[Tanggal terjual]],"wwww")</f>
        <v>wwww</v>
      </c>
    </row>
    <row r="133" spans="1:36" x14ac:dyDescent="0.2">
      <c r="A133" s="20">
        <v>132</v>
      </c>
      <c r="B133" s="21" t="str">
        <f>_xlfn.CONCAT("ORD-",INDEX(Helper!$B$2:$B$5,MATCH(Data[[#This Row],[Marketplace]],Helper!$A$2:$A$5,0)),TEXT(Data[[#This Row],[No]],"0000"),"-",TEXT(Data[[#This Row],[Tanggal terjual]],"dd/mm/yy"))</f>
        <v>ORD-SP0132-30/04/23</v>
      </c>
      <c r="C133" t="s">
        <v>63</v>
      </c>
      <c r="D133" t="str">
        <f>IFERROR(INDEX(Katalog!$A$3:$A$12,MATCH(Data[[#This Row],[ItemID A]],Katalog!$C$3:$C$12,0)),"-")</f>
        <v>Pakaian Pria</v>
      </c>
      <c r="E133" t="str">
        <f>IFERROR(INDEX(Katalog!$B$3:$B$12,MATCH(Data[[#This Row],[ItemID A]],Katalog!$C$3:$C$12,0)),"-")</f>
        <v>Jaket Jeans</v>
      </c>
      <c r="F133">
        <v>5</v>
      </c>
      <c r="G133">
        <v>5</v>
      </c>
      <c r="H133" s="36">
        <f>IFERROR(INDEX(Katalog!$D$3:$D$12,MATCH(Data[[#This Row],[ItemID A]],Katalog!$C$3:$C$12,0))*Data[[#This Row],[Qty A]],"0")</f>
        <v>2000000</v>
      </c>
      <c r="I133" s="36">
        <f>IFERROR(INDEX(Katalog!$F$3:$F$12,MATCH(Data[[#This Row],[ItemID A]],Katalog!$C$3:$C$12,0))*Data[[#This Row],[Qty A]],0)</f>
        <v>750000</v>
      </c>
      <c r="J133" t="s">
        <v>59</v>
      </c>
      <c r="K133" t="str">
        <f>IFERROR(INDEX(Katalog!$A$3:$A$12,MATCH(Data[[#This Row],[ItemID B]],Katalog!$C$3:$C$12,0)),"-")</f>
        <v>Pakaian Wanita</v>
      </c>
      <c r="L133" t="str">
        <f>IFERROR(INDEX(Katalog!$B$3:$B$12,MATCH(Data[[#This Row],[ItemID B]],Katalog!$C$3:$C$12,0)),"-")</f>
        <v>Blouse</v>
      </c>
      <c r="M133">
        <v>1</v>
      </c>
      <c r="N133">
        <v>1</v>
      </c>
      <c r="O133" s="36">
        <f>IFERROR(INDEX(Katalog!$D$3:$D$12,MATCH(Data[[#This Row],[ItemID B]],Katalog!$C$3:$C$12,0))*Data[[#This Row],[Qty B]],"0")</f>
        <v>150000</v>
      </c>
      <c r="P133" s="36">
        <f>IFERROR(INDEX(Katalog!$F$3:$F$12,MATCH(Data[[#This Row],[ItemID B]],Katalog!$C$3:$C$12,0))*Data[[#This Row],[Qty B]],"0")</f>
        <v>50000</v>
      </c>
      <c r="R133" t="str">
        <f>IFERROR(INDEX(Katalog!$A$3:$A$12,MATCH(Data[[#This Row],[ItemID C]],Katalog!$C$3:$C$12,0)),"-")</f>
        <v>-</v>
      </c>
      <c r="S133" t="str">
        <f>IFERROR(INDEX(Katalog!$B$3:$B$12,MATCH(Data[[#This Row],[ItemID C]],Katalog!$C$3:$C$12,0)),"-")</f>
        <v>-</v>
      </c>
      <c r="V133" s="36" t="str">
        <f>IFERROR(INDEX(Katalog!$D$3:$D$12,MATCH(Data[[#This Row],[ItemID C]],Katalog!$C$3:$C$12,0))*Data[[#This Row],[Qty C]],"0")</f>
        <v>0</v>
      </c>
      <c r="W133" s="36" t="str">
        <f>IFERROR(INDEX(Katalog!$F$3:$F$12,MATCH(Data[[#This Row],[ItemID C]],Katalog!$C$3:$C$12,0))*Data[[#This Row],[Qty C]],"0")</f>
        <v>0</v>
      </c>
      <c r="X133" s="21">
        <f>Data[[#This Row],[Qty A]]+Data[[#This Row],[Qty B]]+Data[[#This Row],[Qty C]]</f>
        <v>6</v>
      </c>
      <c r="Y133" s="22">
        <f>Data[[#This Row],[Harga Barang A]]+Data[[#This Row],[Harga Barang B]]+Data[[#This Row],[Harga Barang C]]</f>
        <v>2150000</v>
      </c>
      <c r="Z133" s="35">
        <f>IFERROR(Data[[#This Row],[Total Harga]]-(Data[[#This Row],[Total Harga]]*Data[[#This Row],[Diskon]]),Data[[#This Row],[Total Harga]])</f>
        <v>1720000</v>
      </c>
      <c r="AA133" s="35">
        <f>(Data[[#This Row],[Profit A]]+Data[[#This Row],[Profit B]]+Data[[#This Row],[Profit C]])</f>
        <v>800000</v>
      </c>
      <c r="AB133" s="35">
        <f>IFERROR((Data[[#This Row],[Profit non Diskon]]-(Data[[#This Row],[Profit non Diskon]]*Data[[#This Row],[Diskon]])),Data[[#This Row],[Profit non Diskon]])</f>
        <v>640000</v>
      </c>
      <c r="AC133" s="23" t="s">
        <v>8</v>
      </c>
      <c r="AD133" s="37">
        <f>IFERROR(INDEX('Kode Diskon'!$D$3:$D$9,MATCH(Data[[#This Row],[Kode diskon]],'Kode Diskon'!$C$3:$C$9,0)),"-")</f>
        <v>0.2</v>
      </c>
      <c r="AE133" s="23" t="s">
        <v>9</v>
      </c>
      <c r="AF133" s="23" t="s">
        <v>7</v>
      </c>
      <c r="AG133" s="23" t="s">
        <v>80</v>
      </c>
      <c r="AH133" s="24">
        <v>45046</v>
      </c>
      <c r="AI133" s="23" t="str">
        <f>TEXT(Data[[#This Row],[Tanggal terjual]],"dddd")</f>
        <v>Sunday</v>
      </c>
      <c r="AJ133" s="21" t="str">
        <f>TEXT(Data[[#This Row],[Tanggal terjual]],"wwww")</f>
        <v>wwww</v>
      </c>
    </row>
    <row r="134" spans="1:36" x14ac:dyDescent="0.2">
      <c r="A134" s="20">
        <v>133</v>
      </c>
      <c r="B134" s="21" t="str">
        <f>_xlfn.CONCAT("ORD-",INDEX(Helper!$B$2:$B$5,MATCH(Data[[#This Row],[Marketplace]],Helper!$A$2:$A$5,0)),TEXT(Data[[#This Row],[No]],"0000"),"-",TEXT(Data[[#This Row],[Tanggal terjual]],"dd/mm/yy"))</f>
        <v>ORD-SP0133-05/04/23</v>
      </c>
      <c r="C134" t="s">
        <v>59</v>
      </c>
      <c r="D134" t="str">
        <f>IFERROR(INDEX(Katalog!$A$3:$A$12,MATCH(Data[[#This Row],[ItemID A]],Katalog!$C$3:$C$12,0)),"-")</f>
        <v>Pakaian Wanita</v>
      </c>
      <c r="E134" t="str">
        <f>IFERROR(INDEX(Katalog!$B$3:$B$12,MATCH(Data[[#This Row],[ItemID A]],Katalog!$C$3:$C$12,0)),"-")</f>
        <v>Blouse</v>
      </c>
      <c r="F134">
        <v>1</v>
      </c>
      <c r="G134">
        <v>4</v>
      </c>
      <c r="H134" s="36">
        <f>IFERROR(INDEX(Katalog!$D$3:$D$12,MATCH(Data[[#This Row],[ItemID A]],Katalog!$C$3:$C$12,0))*Data[[#This Row],[Qty A]],"0")</f>
        <v>150000</v>
      </c>
      <c r="I134" s="36">
        <f>IFERROR(INDEX(Katalog!$F$3:$F$12,MATCH(Data[[#This Row],[ItemID A]],Katalog!$C$3:$C$12,0))*Data[[#This Row],[Qty A]],0)</f>
        <v>50000</v>
      </c>
      <c r="J134" t="s">
        <v>61</v>
      </c>
      <c r="K134" t="str">
        <f>IFERROR(INDEX(Katalog!$A$3:$A$12,MATCH(Data[[#This Row],[ItemID B]],Katalog!$C$3:$C$12,0)),"-")</f>
        <v>Pakaian Pria</v>
      </c>
      <c r="L134" t="str">
        <f>IFERROR(INDEX(Katalog!$B$3:$B$12,MATCH(Data[[#This Row],[ItemID B]],Katalog!$C$3:$C$12,0)),"-")</f>
        <v>Kaos Polo</v>
      </c>
      <c r="M134">
        <v>1</v>
      </c>
      <c r="N134">
        <v>3</v>
      </c>
      <c r="O134" s="36">
        <f>IFERROR(INDEX(Katalog!$D$3:$D$12,MATCH(Data[[#This Row],[ItemID B]],Katalog!$C$3:$C$12,0))*Data[[#This Row],[Qty B]],"0")</f>
        <v>200000</v>
      </c>
      <c r="P134" s="36">
        <f>IFERROR(INDEX(Katalog!$F$3:$F$12,MATCH(Data[[#This Row],[ItemID B]],Katalog!$C$3:$C$12,0))*Data[[#This Row],[Qty B]],"0")</f>
        <v>80000</v>
      </c>
      <c r="Q134" t="s">
        <v>67</v>
      </c>
      <c r="R134" t="str">
        <f>IFERROR(INDEX(Katalog!$A$3:$A$12,MATCH(Data[[#This Row],[ItemID C]],Katalog!$C$3:$C$12,0)),"-")</f>
        <v>Sepatu Wanita</v>
      </c>
      <c r="S134" t="str">
        <f>IFERROR(INDEX(Katalog!$B$3:$B$12,MATCH(Data[[#This Row],[ItemID C]],Katalog!$C$3:$C$12,0)),"-")</f>
        <v>Flat Shoes</v>
      </c>
      <c r="T134">
        <v>5</v>
      </c>
      <c r="U134">
        <v>5</v>
      </c>
      <c r="V134" s="36">
        <f>IFERROR(INDEX(Katalog!$D$3:$D$12,MATCH(Data[[#This Row],[ItemID C]],Katalog!$C$3:$C$12,0))*Data[[#This Row],[Qty C]],"0")</f>
        <v>1250000</v>
      </c>
      <c r="W134" s="36">
        <f>IFERROR(INDEX(Katalog!$F$3:$F$12,MATCH(Data[[#This Row],[ItemID C]],Katalog!$C$3:$C$12,0))*Data[[#This Row],[Qty C]],"0")</f>
        <v>500000</v>
      </c>
      <c r="X134" s="21">
        <f>Data[[#This Row],[Qty A]]+Data[[#This Row],[Qty B]]+Data[[#This Row],[Qty C]]</f>
        <v>7</v>
      </c>
      <c r="Y134" s="22">
        <f>Data[[#This Row],[Harga Barang A]]+Data[[#This Row],[Harga Barang B]]+Data[[#This Row],[Harga Barang C]]</f>
        <v>1600000</v>
      </c>
      <c r="Z134" s="35">
        <f>IFERROR(Data[[#This Row],[Total Harga]]-(Data[[#This Row],[Total Harga]]*Data[[#This Row],[Diskon]]),Data[[#This Row],[Total Harga]])</f>
        <v>1360000</v>
      </c>
      <c r="AA134" s="35">
        <f>(Data[[#This Row],[Profit A]]+Data[[#This Row],[Profit B]]+Data[[#This Row],[Profit C]])</f>
        <v>630000</v>
      </c>
      <c r="AB134" s="35">
        <f>IFERROR((Data[[#This Row],[Profit non Diskon]]-(Data[[#This Row],[Profit non Diskon]]*Data[[#This Row],[Diskon]])),Data[[#This Row],[Profit non Diskon]])</f>
        <v>535500</v>
      </c>
      <c r="AC134" s="23" t="s">
        <v>13</v>
      </c>
      <c r="AD134" s="37">
        <f>IFERROR(INDEX('Kode Diskon'!$D$3:$D$9,MATCH(Data[[#This Row],[Kode diskon]],'Kode Diskon'!$C$3:$C$9,0)),"-")</f>
        <v>0.15</v>
      </c>
      <c r="AE134" s="23" t="s">
        <v>29</v>
      </c>
      <c r="AF134" s="23" t="s">
        <v>7</v>
      </c>
      <c r="AG134" s="23" t="s">
        <v>75</v>
      </c>
      <c r="AH134" s="24">
        <v>45021</v>
      </c>
      <c r="AI134" s="23" t="str">
        <f>TEXT(Data[[#This Row],[Tanggal terjual]],"dddd")</f>
        <v>Wednesday</v>
      </c>
      <c r="AJ134" s="21" t="str">
        <f>TEXT(Data[[#This Row],[Tanggal terjual]],"wwww")</f>
        <v>wwww</v>
      </c>
    </row>
    <row r="135" spans="1:36" x14ac:dyDescent="0.2">
      <c r="A135" s="20">
        <v>134</v>
      </c>
      <c r="B135" s="21" t="str">
        <f>_xlfn.CONCAT("ORD-",INDEX(Helper!$B$2:$B$5,MATCH(Data[[#This Row],[Marketplace]],Helper!$A$2:$A$5,0)),TEXT(Data[[#This Row],[No]],"0000"),"-",TEXT(Data[[#This Row],[Tanggal terjual]],"dd/mm/yy"))</f>
        <v>ORD-TK0134-06/04/23</v>
      </c>
      <c r="C135" t="s">
        <v>59</v>
      </c>
      <c r="D135" t="str">
        <f>IFERROR(INDEX(Katalog!$A$3:$A$12,MATCH(Data[[#This Row],[ItemID A]],Katalog!$C$3:$C$12,0)),"-")</f>
        <v>Pakaian Wanita</v>
      </c>
      <c r="E135" t="str">
        <f>IFERROR(INDEX(Katalog!$B$3:$B$12,MATCH(Data[[#This Row],[ItemID A]],Katalog!$C$3:$C$12,0)),"-")</f>
        <v>Blouse</v>
      </c>
      <c r="F135">
        <v>5</v>
      </c>
      <c r="G135">
        <v>5</v>
      </c>
      <c r="H135" s="36">
        <f>IFERROR(INDEX(Katalog!$D$3:$D$12,MATCH(Data[[#This Row],[ItemID A]],Katalog!$C$3:$C$12,0))*Data[[#This Row],[Qty A]],"0")</f>
        <v>750000</v>
      </c>
      <c r="I135" s="36">
        <f>IFERROR(INDEX(Katalog!$F$3:$F$12,MATCH(Data[[#This Row],[ItemID A]],Katalog!$C$3:$C$12,0))*Data[[#This Row],[Qty A]],0)</f>
        <v>250000</v>
      </c>
      <c r="J135" t="s">
        <v>63</v>
      </c>
      <c r="K135" t="str">
        <f>IFERROR(INDEX(Katalog!$A$3:$A$12,MATCH(Data[[#This Row],[ItemID B]],Katalog!$C$3:$C$12,0)),"-")</f>
        <v>Pakaian Pria</v>
      </c>
      <c r="L135" t="str">
        <f>IFERROR(INDEX(Katalog!$B$3:$B$12,MATCH(Data[[#This Row],[ItemID B]],Katalog!$C$3:$C$12,0)),"-")</f>
        <v>Jaket Jeans</v>
      </c>
      <c r="M135">
        <v>1</v>
      </c>
      <c r="N135">
        <v>1</v>
      </c>
      <c r="O135" s="36">
        <f>IFERROR(INDEX(Katalog!$D$3:$D$12,MATCH(Data[[#This Row],[ItemID B]],Katalog!$C$3:$C$12,0))*Data[[#This Row],[Qty B]],"0")</f>
        <v>400000</v>
      </c>
      <c r="P135" s="36">
        <f>IFERROR(INDEX(Katalog!$F$3:$F$12,MATCH(Data[[#This Row],[ItemID B]],Katalog!$C$3:$C$12,0))*Data[[#This Row],[Qty B]],"0")</f>
        <v>150000</v>
      </c>
      <c r="Q135" t="s">
        <v>61</v>
      </c>
      <c r="R135" t="str">
        <f>IFERROR(INDEX(Katalog!$A$3:$A$12,MATCH(Data[[#This Row],[ItemID C]],Katalog!$C$3:$C$12,0)),"-")</f>
        <v>Pakaian Pria</v>
      </c>
      <c r="S135" t="str">
        <f>IFERROR(INDEX(Katalog!$B$3:$B$12,MATCH(Data[[#This Row],[ItemID C]],Katalog!$C$3:$C$12,0)),"-")</f>
        <v>Kaos Polo</v>
      </c>
      <c r="T135">
        <v>1</v>
      </c>
      <c r="U135">
        <v>5</v>
      </c>
      <c r="V135" s="36">
        <f>IFERROR(INDEX(Katalog!$D$3:$D$12,MATCH(Data[[#This Row],[ItemID C]],Katalog!$C$3:$C$12,0))*Data[[#This Row],[Qty C]],"0")</f>
        <v>200000</v>
      </c>
      <c r="W135" s="36">
        <f>IFERROR(INDEX(Katalog!$F$3:$F$12,MATCH(Data[[#This Row],[ItemID C]],Katalog!$C$3:$C$12,0))*Data[[#This Row],[Qty C]],"0")</f>
        <v>80000</v>
      </c>
      <c r="X135" s="21">
        <f>Data[[#This Row],[Qty A]]+Data[[#This Row],[Qty B]]+Data[[#This Row],[Qty C]]</f>
        <v>7</v>
      </c>
      <c r="Y135" s="22">
        <f>Data[[#This Row],[Harga Barang A]]+Data[[#This Row],[Harga Barang B]]+Data[[#This Row],[Harga Barang C]]</f>
        <v>1350000</v>
      </c>
      <c r="Z135" s="35">
        <f>IFERROR(Data[[#This Row],[Total Harga]]-(Data[[#This Row],[Total Harga]]*Data[[#This Row],[Diskon]]),Data[[#This Row],[Total Harga]])</f>
        <v>1215000</v>
      </c>
      <c r="AA135" s="35">
        <f>(Data[[#This Row],[Profit A]]+Data[[#This Row],[Profit B]]+Data[[#This Row],[Profit C]])</f>
        <v>480000</v>
      </c>
      <c r="AB135" s="35">
        <f>IFERROR((Data[[#This Row],[Profit non Diskon]]-(Data[[#This Row],[Profit non Diskon]]*Data[[#This Row],[Diskon]])),Data[[#This Row],[Profit non Diskon]])</f>
        <v>432000</v>
      </c>
      <c r="AC135" s="23" t="s">
        <v>30</v>
      </c>
      <c r="AD135" s="37">
        <f>IFERROR(INDEX('Kode Diskon'!$D$3:$D$9,MATCH(Data[[#This Row],[Kode diskon]],'Kode Diskon'!$C$3:$C$9,0)),"-")</f>
        <v>0.1</v>
      </c>
      <c r="AE135" s="23" t="s">
        <v>29</v>
      </c>
      <c r="AF135" s="23" t="s">
        <v>10</v>
      </c>
      <c r="AG135" s="23" t="s">
        <v>80</v>
      </c>
      <c r="AH135" s="24">
        <v>45022</v>
      </c>
      <c r="AI135" s="23" t="str">
        <f>TEXT(Data[[#This Row],[Tanggal terjual]],"dddd")</f>
        <v>Thursday</v>
      </c>
      <c r="AJ135" s="21" t="str">
        <f>TEXT(Data[[#This Row],[Tanggal terjual]],"wwww")</f>
        <v>wwww</v>
      </c>
    </row>
    <row r="136" spans="1:36" x14ac:dyDescent="0.2">
      <c r="A136" s="20">
        <v>135</v>
      </c>
      <c r="B136" s="21" t="str">
        <f>_xlfn.CONCAT("ORD-",INDEX(Helper!$B$2:$B$5,MATCH(Data[[#This Row],[Marketplace]],Helper!$A$2:$A$5,0)),TEXT(Data[[#This Row],[No]],"0000"),"-",TEXT(Data[[#This Row],[Tanggal terjual]],"dd/mm/yy"))</f>
        <v>ORD-BL0135-09/04/23</v>
      </c>
      <c r="C136" t="s">
        <v>62</v>
      </c>
      <c r="D136" t="str">
        <f>IFERROR(INDEX(Katalog!$A$3:$A$12,MATCH(Data[[#This Row],[ItemID A]],Katalog!$C$3:$C$12,0)),"-")</f>
        <v>Pakaian Pria</v>
      </c>
      <c r="E136" t="str">
        <f>IFERROR(INDEX(Katalog!$B$3:$B$12,MATCH(Data[[#This Row],[ItemID A]],Katalog!$C$3:$C$12,0)),"-")</f>
        <v>Celana Pendek</v>
      </c>
      <c r="F136">
        <v>2</v>
      </c>
      <c r="G136">
        <v>3</v>
      </c>
      <c r="H136" s="36">
        <f>IFERROR(INDEX(Katalog!$D$3:$D$12,MATCH(Data[[#This Row],[ItemID A]],Katalog!$C$3:$C$12,0))*Data[[#This Row],[Qty A]],"0")</f>
        <v>360000</v>
      </c>
      <c r="I136" s="36">
        <f>IFERROR(INDEX(Katalog!$F$3:$F$12,MATCH(Data[[#This Row],[ItemID A]],Katalog!$C$3:$C$12,0))*Data[[#This Row],[Qty A]],0)</f>
        <v>140000</v>
      </c>
      <c r="J136" t="s">
        <v>64</v>
      </c>
      <c r="K136" t="str">
        <f>IFERROR(INDEX(Katalog!$A$3:$A$12,MATCH(Data[[#This Row],[ItemID B]],Katalog!$C$3:$C$12,0)),"-")</f>
        <v>Pakaian Unisex</v>
      </c>
      <c r="L136" t="str">
        <f>IFERROR(INDEX(Katalog!$B$3:$B$12,MATCH(Data[[#This Row],[ItemID B]],Katalog!$C$3:$C$12,0)),"-")</f>
        <v>Jaket Hoodie</v>
      </c>
      <c r="M136">
        <v>2</v>
      </c>
      <c r="N136">
        <v>3</v>
      </c>
      <c r="O136" s="36">
        <f>IFERROR(INDEX(Katalog!$D$3:$D$12,MATCH(Data[[#This Row],[ItemID B]],Katalog!$C$3:$C$12,0))*Data[[#This Row],[Qty B]],"0")</f>
        <v>700000</v>
      </c>
      <c r="P136" s="36">
        <f>IFERROR(INDEX(Katalog!$F$3:$F$12,MATCH(Data[[#This Row],[ItemID B]],Katalog!$C$3:$C$12,0))*Data[[#This Row],[Qty B]],"0")</f>
        <v>260000</v>
      </c>
      <c r="Q136" t="s">
        <v>65</v>
      </c>
      <c r="R136" t="str">
        <f>IFERROR(INDEX(Katalog!$A$3:$A$12,MATCH(Data[[#This Row],[ItemID C]],Katalog!$C$3:$C$12,0)),"-")</f>
        <v>Sepatu Pria</v>
      </c>
      <c r="S136" t="str">
        <f>IFERROR(INDEX(Katalog!$B$3:$B$12,MATCH(Data[[#This Row],[ItemID C]],Katalog!$C$3:$C$12,0)),"-")</f>
        <v>Sneakers</v>
      </c>
      <c r="T136">
        <v>1</v>
      </c>
      <c r="U136">
        <v>5</v>
      </c>
      <c r="V136" s="36">
        <f>IFERROR(INDEX(Katalog!$D$3:$D$12,MATCH(Data[[#This Row],[ItemID C]],Katalog!$C$3:$C$12,0))*Data[[#This Row],[Qty C]],"0")</f>
        <v>500000</v>
      </c>
      <c r="W136" s="36">
        <f>IFERROR(INDEX(Katalog!$F$3:$F$12,MATCH(Data[[#This Row],[ItemID C]],Katalog!$C$3:$C$12,0))*Data[[#This Row],[Qty C]],"0")</f>
        <v>200000</v>
      </c>
      <c r="X136" s="21">
        <f>Data[[#This Row],[Qty A]]+Data[[#This Row],[Qty B]]+Data[[#This Row],[Qty C]]</f>
        <v>5</v>
      </c>
      <c r="Y136" s="22">
        <f>Data[[#This Row],[Harga Barang A]]+Data[[#This Row],[Harga Barang B]]+Data[[#This Row],[Harga Barang C]]</f>
        <v>1560000</v>
      </c>
      <c r="Z136" s="35">
        <f>IFERROR(Data[[#This Row],[Total Harga]]-(Data[[#This Row],[Total Harga]]*Data[[#This Row],[Diskon]]),Data[[#This Row],[Total Harga]])</f>
        <v>1560000</v>
      </c>
      <c r="AA136" s="35">
        <f>(Data[[#This Row],[Profit A]]+Data[[#This Row],[Profit B]]+Data[[#This Row],[Profit C]])</f>
        <v>600000</v>
      </c>
      <c r="AB136" s="35">
        <f>IFERROR((Data[[#This Row],[Profit non Diskon]]-(Data[[#This Row],[Profit non Diskon]]*Data[[#This Row],[Diskon]])),Data[[#This Row],[Profit non Diskon]])</f>
        <v>600000</v>
      </c>
      <c r="AC136" s="23" t="s">
        <v>11</v>
      </c>
      <c r="AD136" s="37" t="str">
        <f>IFERROR(INDEX('Kode Diskon'!$D$3:$D$9,MATCH(Data[[#This Row],[Kode diskon]],'Kode Diskon'!$C$3:$C$9,0)),"-")</f>
        <v>-</v>
      </c>
      <c r="AE136" s="23" t="s">
        <v>11</v>
      </c>
      <c r="AF136" s="23" t="s">
        <v>12</v>
      </c>
      <c r="AG136" s="23" t="s">
        <v>80</v>
      </c>
      <c r="AH136" s="24">
        <v>45025</v>
      </c>
      <c r="AI136" s="23" t="str">
        <f>TEXT(Data[[#This Row],[Tanggal terjual]],"dddd")</f>
        <v>Sunday</v>
      </c>
      <c r="AJ136" s="21" t="str">
        <f>TEXT(Data[[#This Row],[Tanggal terjual]],"wwww")</f>
        <v>wwww</v>
      </c>
    </row>
    <row r="137" spans="1:36" x14ac:dyDescent="0.2">
      <c r="A137" s="20">
        <v>136</v>
      </c>
      <c r="B137" s="21" t="str">
        <f>_xlfn.CONCAT("ORD-",INDEX(Helper!$B$2:$B$5,MATCH(Data[[#This Row],[Marketplace]],Helper!$A$2:$A$5,0)),TEXT(Data[[#This Row],[No]],"0000"),"-",TEXT(Data[[#This Row],[Tanggal terjual]],"dd/mm/yy"))</f>
        <v>ORD-SP0136-24/04/23</v>
      </c>
      <c r="C137" t="s">
        <v>67</v>
      </c>
      <c r="D137" t="str">
        <f>IFERROR(INDEX(Katalog!$A$3:$A$12,MATCH(Data[[#This Row],[ItemID A]],Katalog!$C$3:$C$12,0)),"-")</f>
        <v>Sepatu Wanita</v>
      </c>
      <c r="E137" t="str">
        <f>IFERROR(INDEX(Katalog!$B$3:$B$12,MATCH(Data[[#This Row],[ItemID A]],Katalog!$C$3:$C$12,0)),"-")</f>
        <v>Flat Shoes</v>
      </c>
      <c r="F137">
        <v>3</v>
      </c>
      <c r="G137">
        <v>4</v>
      </c>
      <c r="H137" s="36">
        <f>IFERROR(INDEX(Katalog!$D$3:$D$12,MATCH(Data[[#This Row],[ItemID A]],Katalog!$C$3:$C$12,0))*Data[[#This Row],[Qty A]],"0")</f>
        <v>750000</v>
      </c>
      <c r="I137" s="36">
        <f>IFERROR(INDEX(Katalog!$F$3:$F$12,MATCH(Data[[#This Row],[ItemID A]],Katalog!$C$3:$C$12,0))*Data[[#This Row],[Qty A]],0)</f>
        <v>300000</v>
      </c>
      <c r="J137" t="s">
        <v>58</v>
      </c>
      <c r="K137" t="str">
        <f>IFERROR(INDEX(Katalog!$A$3:$A$12,MATCH(Data[[#This Row],[ItemID B]],Katalog!$C$3:$C$12,0)),"-")</f>
        <v>Pakaian Wanita</v>
      </c>
      <c r="L137" t="str">
        <f>IFERROR(INDEX(Katalog!$B$3:$B$12,MATCH(Data[[#This Row],[ItemID B]],Katalog!$C$3:$C$12,0)),"-")</f>
        <v>Dress</v>
      </c>
      <c r="M137">
        <v>1</v>
      </c>
      <c r="N137">
        <v>4</v>
      </c>
      <c r="O137" s="36">
        <f>IFERROR(INDEX(Katalog!$D$3:$D$12,MATCH(Data[[#This Row],[ItemID B]],Katalog!$C$3:$C$12,0))*Data[[#This Row],[Qty B]],"0")</f>
        <v>300000</v>
      </c>
      <c r="P137" s="36">
        <f>IFERROR(INDEX(Katalog!$F$3:$F$12,MATCH(Data[[#This Row],[ItemID B]],Katalog!$C$3:$C$12,0))*Data[[#This Row],[Qty B]],"0")</f>
        <v>100000</v>
      </c>
      <c r="R137" t="str">
        <f>IFERROR(INDEX(Katalog!$A$3:$A$12,MATCH(Data[[#This Row],[ItemID C]],Katalog!$C$3:$C$12,0)),"-")</f>
        <v>-</v>
      </c>
      <c r="S137" t="str">
        <f>IFERROR(INDEX(Katalog!$B$3:$B$12,MATCH(Data[[#This Row],[ItemID C]],Katalog!$C$3:$C$12,0)),"-")</f>
        <v>-</v>
      </c>
      <c r="V137" s="36" t="str">
        <f>IFERROR(INDEX(Katalog!$D$3:$D$12,MATCH(Data[[#This Row],[ItemID C]],Katalog!$C$3:$C$12,0))*Data[[#This Row],[Qty C]],"0")</f>
        <v>0</v>
      </c>
      <c r="W137" s="36" t="str">
        <f>IFERROR(INDEX(Katalog!$F$3:$F$12,MATCH(Data[[#This Row],[ItemID C]],Katalog!$C$3:$C$12,0))*Data[[#This Row],[Qty C]],"0")</f>
        <v>0</v>
      </c>
      <c r="X137" s="21">
        <f>Data[[#This Row],[Qty A]]+Data[[#This Row],[Qty B]]+Data[[#This Row],[Qty C]]</f>
        <v>4</v>
      </c>
      <c r="Y137" s="22">
        <f>Data[[#This Row],[Harga Barang A]]+Data[[#This Row],[Harga Barang B]]+Data[[#This Row],[Harga Barang C]]</f>
        <v>1050000</v>
      </c>
      <c r="Z137" s="35">
        <f>IFERROR(Data[[#This Row],[Total Harga]]-(Data[[#This Row],[Total Harga]]*Data[[#This Row],[Diskon]]),Data[[#This Row],[Total Harga]])</f>
        <v>840000</v>
      </c>
      <c r="AA137" s="35">
        <f>(Data[[#This Row],[Profit A]]+Data[[#This Row],[Profit B]]+Data[[#This Row],[Profit C]])</f>
        <v>400000</v>
      </c>
      <c r="AB137" s="35">
        <f>IFERROR((Data[[#This Row],[Profit non Diskon]]-(Data[[#This Row],[Profit non Diskon]]*Data[[#This Row],[Diskon]])),Data[[#This Row],[Profit non Diskon]])</f>
        <v>320000</v>
      </c>
      <c r="AC137" s="23" t="s">
        <v>8</v>
      </c>
      <c r="AD137" s="37">
        <f>IFERROR(INDEX('Kode Diskon'!$D$3:$D$9,MATCH(Data[[#This Row],[Kode diskon]],'Kode Diskon'!$C$3:$C$9,0)),"-")</f>
        <v>0.2</v>
      </c>
      <c r="AE137" s="23" t="s">
        <v>9</v>
      </c>
      <c r="AF137" s="23" t="s">
        <v>7</v>
      </c>
      <c r="AG137" s="23" t="s">
        <v>80</v>
      </c>
      <c r="AH137" s="24">
        <v>45040</v>
      </c>
      <c r="AI137" s="23" t="str">
        <f>TEXT(Data[[#This Row],[Tanggal terjual]],"dddd")</f>
        <v>Monday</v>
      </c>
      <c r="AJ137" s="21" t="str">
        <f>TEXT(Data[[#This Row],[Tanggal terjual]],"wwww")</f>
        <v>wwww</v>
      </c>
    </row>
    <row r="138" spans="1:36" x14ac:dyDescent="0.2">
      <c r="A138" s="20">
        <v>137</v>
      </c>
      <c r="B138" s="21" t="str">
        <f>_xlfn.CONCAT("ORD-",INDEX(Helper!$B$2:$B$5,MATCH(Data[[#This Row],[Marketplace]],Helper!$A$2:$A$5,0)),TEXT(Data[[#This Row],[No]],"0000"),"-",TEXT(Data[[#This Row],[Tanggal terjual]],"dd/mm/yy"))</f>
        <v>ORD-BL0137-25/04/23</v>
      </c>
      <c r="C138" t="s">
        <v>63</v>
      </c>
      <c r="D138" t="str">
        <f>IFERROR(INDEX(Katalog!$A$3:$A$12,MATCH(Data[[#This Row],[ItemID A]],Katalog!$C$3:$C$12,0)),"-")</f>
        <v>Pakaian Pria</v>
      </c>
      <c r="E138" t="str">
        <f>IFERROR(INDEX(Katalog!$B$3:$B$12,MATCH(Data[[#This Row],[ItemID A]],Katalog!$C$3:$C$12,0)),"-")</f>
        <v>Jaket Jeans</v>
      </c>
      <c r="F138">
        <v>1</v>
      </c>
      <c r="G138">
        <v>2</v>
      </c>
      <c r="H138" s="36">
        <f>IFERROR(INDEX(Katalog!$D$3:$D$12,MATCH(Data[[#This Row],[ItemID A]],Katalog!$C$3:$C$12,0))*Data[[#This Row],[Qty A]],"0")</f>
        <v>400000</v>
      </c>
      <c r="I138" s="36">
        <f>IFERROR(INDEX(Katalog!$F$3:$F$12,MATCH(Data[[#This Row],[ItemID A]],Katalog!$C$3:$C$12,0))*Data[[#This Row],[Qty A]],0)</f>
        <v>150000</v>
      </c>
      <c r="K138" t="str">
        <f>IFERROR(INDEX(Katalog!$A$3:$A$12,MATCH(Data[[#This Row],[ItemID B]],Katalog!$C$3:$C$12,0)),"-")</f>
        <v>-</v>
      </c>
      <c r="L138" t="str">
        <f>IFERROR(INDEX(Katalog!$B$3:$B$12,MATCH(Data[[#This Row],[ItemID B]],Katalog!$C$3:$C$12,0)),"-")</f>
        <v>-</v>
      </c>
      <c r="O138" s="36" t="str">
        <f>IFERROR(INDEX(Katalog!$D$3:$D$12,MATCH(Data[[#This Row],[ItemID B]],Katalog!$C$3:$C$12,0))*Data[[#This Row],[Qty B]],"0")</f>
        <v>0</v>
      </c>
      <c r="P138" s="36" t="str">
        <f>IFERROR(INDEX(Katalog!$F$3:$F$12,MATCH(Data[[#This Row],[ItemID B]],Katalog!$C$3:$C$12,0))*Data[[#This Row],[Qty B]],"0")</f>
        <v>0</v>
      </c>
      <c r="R138" t="str">
        <f>IFERROR(INDEX(Katalog!$A$3:$A$12,MATCH(Data[[#This Row],[ItemID C]],Katalog!$C$3:$C$12,0)),"-")</f>
        <v>-</v>
      </c>
      <c r="S138" t="str">
        <f>IFERROR(INDEX(Katalog!$B$3:$B$12,MATCH(Data[[#This Row],[ItemID C]],Katalog!$C$3:$C$12,0)),"-")</f>
        <v>-</v>
      </c>
      <c r="V138" s="36" t="str">
        <f>IFERROR(INDEX(Katalog!$D$3:$D$12,MATCH(Data[[#This Row],[ItemID C]],Katalog!$C$3:$C$12,0))*Data[[#This Row],[Qty C]],"0")</f>
        <v>0</v>
      </c>
      <c r="W138" s="36" t="str">
        <f>IFERROR(INDEX(Katalog!$F$3:$F$12,MATCH(Data[[#This Row],[ItemID C]],Katalog!$C$3:$C$12,0))*Data[[#This Row],[Qty C]],"0")</f>
        <v>0</v>
      </c>
      <c r="X138" s="21">
        <f>Data[[#This Row],[Qty A]]+Data[[#This Row],[Qty B]]+Data[[#This Row],[Qty C]]</f>
        <v>1</v>
      </c>
      <c r="Y138" s="22">
        <f>Data[[#This Row],[Harga Barang A]]+Data[[#This Row],[Harga Barang B]]+Data[[#This Row],[Harga Barang C]]</f>
        <v>400000</v>
      </c>
      <c r="Z138" s="35">
        <f>IFERROR(Data[[#This Row],[Total Harga]]-(Data[[#This Row],[Total Harga]]*Data[[#This Row],[Diskon]]),Data[[#This Row],[Total Harga]])</f>
        <v>340000</v>
      </c>
      <c r="AA138" s="35">
        <f>(Data[[#This Row],[Profit A]]+Data[[#This Row],[Profit B]]+Data[[#This Row],[Profit C]])</f>
        <v>150000</v>
      </c>
      <c r="AB138" s="35">
        <f>IFERROR((Data[[#This Row],[Profit non Diskon]]-(Data[[#This Row],[Profit non Diskon]]*Data[[#This Row],[Diskon]])),Data[[#This Row],[Profit non Diskon]])</f>
        <v>127500</v>
      </c>
      <c r="AC138" s="23" t="s">
        <v>32</v>
      </c>
      <c r="AD138" s="37">
        <f>IFERROR(INDEX('Kode Diskon'!$D$3:$D$9,MATCH(Data[[#This Row],[Kode diskon]],'Kode Diskon'!$C$3:$C$9,0)),"-")</f>
        <v>0.15</v>
      </c>
      <c r="AE138" s="23" t="s">
        <v>9</v>
      </c>
      <c r="AF138" s="23" t="s">
        <v>12</v>
      </c>
      <c r="AG138" s="23" t="s">
        <v>76</v>
      </c>
      <c r="AH138" s="24">
        <v>45041</v>
      </c>
      <c r="AI138" s="23" t="str">
        <f>TEXT(Data[[#This Row],[Tanggal terjual]],"dddd")</f>
        <v>Tuesday</v>
      </c>
      <c r="AJ138" s="21" t="str">
        <f>TEXT(Data[[#This Row],[Tanggal terjual]],"wwww")</f>
        <v>wwww</v>
      </c>
    </row>
    <row r="139" spans="1:36" x14ac:dyDescent="0.2">
      <c r="A139" s="20">
        <v>138</v>
      </c>
      <c r="B139" s="21" t="str">
        <f>_xlfn.CONCAT("ORD-",INDEX(Helper!$B$2:$B$5,MATCH(Data[[#This Row],[Marketplace]],Helper!$A$2:$A$5,0)),TEXT(Data[[#This Row],[No]],"0000"),"-",TEXT(Data[[#This Row],[Tanggal terjual]],"dd/mm/yy"))</f>
        <v>ORD-TK0138-23/04/23</v>
      </c>
      <c r="C139" t="s">
        <v>67</v>
      </c>
      <c r="D139" t="str">
        <f>IFERROR(INDEX(Katalog!$A$3:$A$12,MATCH(Data[[#This Row],[ItemID A]],Katalog!$C$3:$C$12,0)),"-")</f>
        <v>Sepatu Wanita</v>
      </c>
      <c r="E139" t="str">
        <f>IFERROR(INDEX(Katalog!$B$3:$B$12,MATCH(Data[[#This Row],[ItemID A]],Katalog!$C$3:$C$12,0)),"-")</f>
        <v>Flat Shoes</v>
      </c>
      <c r="F139">
        <v>1</v>
      </c>
      <c r="G139">
        <v>2</v>
      </c>
      <c r="H139" s="36">
        <f>IFERROR(INDEX(Katalog!$D$3:$D$12,MATCH(Data[[#This Row],[ItemID A]],Katalog!$C$3:$C$12,0))*Data[[#This Row],[Qty A]],"0")</f>
        <v>250000</v>
      </c>
      <c r="I139" s="36">
        <f>IFERROR(INDEX(Katalog!$F$3:$F$12,MATCH(Data[[#This Row],[ItemID A]],Katalog!$C$3:$C$12,0))*Data[[#This Row],[Qty A]],0)</f>
        <v>100000</v>
      </c>
      <c r="J139" t="s">
        <v>64</v>
      </c>
      <c r="K139" t="str">
        <f>IFERROR(INDEX(Katalog!$A$3:$A$12,MATCH(Data[[#This Row],[ItemID B]],Katalog!$C$3:$C$12,0)),"-")</f>
        <v>Pakaian Unisex</v>
      </c>
      <c r="L139" t="str">
        <f>IFERROR(INDEX(Katalog!$B$3:$B$12,MATCH(Data[[#This Row],[ItemID B]],Katalog!$C$3:$C$12,0)),"-")</f>
        <v>Jaket Hoodie</v>
      </c>
      <c r="M139">
        <v>1</v>
      </c>
      <c r="N139">
        <v>4</v>
      </c>
      <c r="O139" s="36">
        <f>IFERROR(INDEX(Katalog!$D$3:$D$12,MATCH(Data[[#This Row],[ItemID B]],Katalog!$C$3:$C$12,0))*Data[[#This Row],[Qty B]],"0")</f>
        <v>350000</v>
      </c>
      <c r="P139" s="36">
        <f>IFERROR(INDEX(Katalog!$F$3:$F$12,MATCH(Data[[#This Row],[ItemID B]],Katalog!$C$3:$C$12,0))*Data[[#This Row],[Qty B]],"0")</f>
        <v>130000</v>
      </c>
      <c r="Q139" t="s">
        <v>58</v>
      </c>
      <c r="R139" t="str">
        <f>IFERROR(INDEX(Katalog!$A$3:$A$12,MATCH(Data[[#This Row],[ItemID C]],Katalog!$C$3:$C$12,0)),"-")</f>
        <v>Pakaian Wanita</v>
      </c>
      <c r="S139" t="str">
        <f>IFERROR(INDEX(Katalog!$B$3:$B$12,MATCH(Data[[#This Row],[ItemID C]],Katalog!$C$3:$C$12,0)),"-")</f>
        <v>Dress</v>
      </c>
      <c r="T139">
        <v>3</v>
      </c>
      <c r="U139">
        <v>3</v>
      </c>
      <c r="V139" s="36">
        <f>IFERROR(INDEX(Katalog!$D$3:$D$12,MATCH(Data[[#This Row],[ItemID C]],Katalog!$C$3:$C$12,0))*Data[[#This Row],[Qty C]],"0")</f>
        <v>900000</v>
      </c>
      <c r="W139" s="36">
        <f>IFERROR(INDEX(Katalog!$F$3:$F$12,MATCH(Data[[#This Row],[ItemID C]],Katalog!$C$3:$C$12,0))*Data[[#This Row],[Qty C]],"0")</f>
        <v>300000</v>
      </c>
      <c r="X139" s="21">
        <f>Data[[#This Row],[Qty A]]+Data[[#This Row],[Qty B]]+Data[[#This Row],[Qty C]]</f>
        <v>5</v>
      </c>
      <c r="Y139" s="22">
        <f>Data[[#This Row],[Harga Barang A]]+Data[[#This Row],[Harga Barang B]]+Data[[#This Row],[Harga Barang C]]</f>
        <v>1500000</v>
      </c>
      <c r="Z139" s="35">
        <f>IFERROR(Data[[#This Row],[Total Harga]]-(Data[[#This Row],[Total Harga]]*Data[[#This Row],[Diskon]]),Data[[#This Row],[Total Harga]])</f>
        <v>1350000</v>
      </c>
      <c r="AA139" s="35">
        <f>(Data[[#This Row],[Profit A]]+Data[[#This Row],[Profit B]]+Data[[#This Row],[Profit C]])</f>
        <v>530000</v>
      </c>
      <c r="AB139" s="35">
        <f>IFERROR((Data[[#This Row],[Profit non Diskon]]-(Data[[#This Row],[Profit non Diskon]]*Data[[#This Row],[Diskon]])),Data[[#This Row],[Profit non Diskon]])</f>
        <v>477000</v>
      </c>
      <c r="AC139" s="23" t="s">
        <v>31</v>
      </c>
      <c r="AD139" s="37">
        <f>IFERROR(INDEX('Kode Diskon'!$D$3:$D$9,MATCH(Data[[#This Row],[Kode diskon]],'Kode Diskon'!$C$3:$C$9,0)),"-")</f>
        <v>0.1</v>
      </c>
      <c r="AE139" s="23" t="s">
        <v>9</v>
      </c>
      <c r="AF139" s="23" t="s">
        <v>10</v>
      </c>
      <c r="AG139" s="23" t="s">
        <v>75</v>
      </c>
      <c r="AH139" s="24">
        <v>45039</v>
      </c>
      <c r="AI139" s="23" t="str">
        <f>TEXT(Data[[#This Row],[Tanggal terjual]],"dddd")</f>
        <v>Sunday</v>
      </c>
      <c r="AJ139" s="21" t="str">
        <f>TEXT(Data[[#This Row],[Tanggal terjual]],"wwww")</f>
        <v>wwww</v>
      </c>
    </row>
    <row r="140" spans="1:36" x14ac:dyDescent="0.2">
      <c r="A140" s="20">
        <v>139</v>
      </c>
      <c r="B140" s="21" t="str">
        <f>_xlfn.CONCAT("ORD-",INDEX(Helper!$B$2:$B$5,MATCH(Data[[#This Row],[Marketplace]],Helper!$A$2:$A$5,0)),TEXT(Data[[#This Row],[No]],"0000"),"-",TEXT(Data[[#This Row],[Tanggal terjual]],"dd/mm/yy"))</f>
        <v>ORD-SP0139-23/04/23</v>
      </c>
      <c r="C140" t="s">
        <v>59</v>
      </c>
      <c r="D140" t="str">
        <f>IFERROR(INDEX(Katalog!$A$3:$A$12,MATCH(Data[[#This Row],[ItemID A]],Katalog!$C$3:$C$12,0)),"-")</f>
        <v>Pakaian Wanita</v>
      </c>
      <c r="E140" t="str">
        <f>IFERROR(INDEX(Katalog!$B$3:$B$12,MATCH(Data[[#This Row],[ItemID A]],Katalog!$C$3:$C$12,0)),"-")</f>
        <v>Blouse</v>
      </c>
      <c r="F140">
        <v>4</v>
      </c>
      <c r="G140">
        <v>4</v>
      </c>
      <c r="H140" s="36">
        <f>IFERROR(INDEX(Katalog!$D$3:$D$12,MATCH(Data[[#This Row],[ItemID A]],Katalog!$C$3:$C$12,0))*Data[[#This Row],[Qty A]],"0")</f>
        <v>600000</v>
      </c>
      <c r="I140" s="36">
        <f>IFERROR(INDEX(Katalog!$F$3:$F$12,MATCH(Data[[#This Row],[ItemID A]],Katalog!$C$3:$C$12,0))*Data[[#This Row],[Qty A]],0)</f>
        <v>200000</v>
      </c>
      <c r="K140" t="str">
        <f>IFERROR(INDEX(Katalog!$A$3:$A$12,MATCH(Data[[#This Row],[ItemID B]],Katalog!$C$3:$C$12,0)),"-")</f>
        <v>-</v>
      </c>
      <c r="L140" t="str">
        <f>IFERROR(INDEX(Katalog!$B$3:$B$12,MATCH(Data[[#This Row],[ItemID B]],Katalog!$C$3:$C$12,0)),"-")</f>
        <v>-</v>
      </c>
      <c r="O140" s="36" t="str">
        <f>IFERROR(INDEX(Katalog!$D$3:$D$12,MATCH(Data[[#This Row],[ItemID B]],Katalog!$C$3:$C$12,0))*Data[[#This Row],[Qty B]],"0")</f>
        <v>0</v>
      </c>
      <c r="P140" s="36" t="str">
        <f>IFERROR(INDEX(Katalog!$F$3:$F$12,MATCH(Data[[#This Row],[ItemID B]],Katalog!$C$3:$C$12,0))*Data[[#This Row],[Qty B]],"0")</f>
        <v>0</v>
      </c>
      <c r="R140" t="str">
        <f>IFERROR(INDEX(Katalog!$A$3:$A$12,MATCH(Data[[#This Row],[ItemID C]],Katalog!$C$3:$C$12,0)),"-")</f>
        <v>-</v>
      </c>
      <c r="S140" t="str">
        <f>IFERROR(INDEX(Katalog!$B$3:$B$12,MATCH(Data[[#This Row],[ItemID C]],Katalog!$C$3:$C$12,0)),"-")</f>
        <v>-</v>
      </c>
      <c r="V140" s="36" t="str">
        <f>IFERROR(INDEX(Katalog!$D$3:$D$12,MATCH(Data[[#This Row],[ItemID C]],Katalog!$C$3:$C$12,0))*Data[[#This Row],[Qty C]],"0")</f>
        <v>0</v>
      </c>
      <c r="W140" s="36" t="str">
        <f>IFERROR(INDEX(Katalog!$F$3:$F$12,MATCH(Data[[#This Row],[ItemID C]],Katalog!$C$3:$C$12,0))*Data[[#This Row],[Qty C]],"0")</f>
        <v>0</v>
      </c>
      <c r="X140" s="21">
        <f>Data[[#This Row],[Qty A]]+Data[[#This Row],[Qty B]]+Data[[#This Row],[Qty C]]</f>
        <v>4</v>
      </c>
      <c r="Y140" s="22">
        <f>Data[[#This Row],[Harga Barang A]]+Data[[#This Row],[Harga Barang B]]+Data[[#This Row],[Harga Barang C]]</f>
        <v>600000</v>
      </c>
      <c r="Z140" s="35">
        <f>IFERROR(Data[[#This Row],[Total Harga]]-(Data[[#This Row],[Total Harga]]*Data[[#This Row],[Diskon]]),Data[[#This Row],[Total Harga]])</f>
        <v>480000</v>
      </c>
      <c r="AA140" s="35">
        <f>(Data[[#This Row],[Profit A]]+Data[[#This Row],[Profit B]]+Data[[#This Row],[Profit C]])</f>
        <v>200000</v>
      </c>
      <c r="AB140" s="35">
        <f>IFERROR((Data[[#This Row],[Profit non Diskon]]-(Data[[#This Row],[Profit non Diskon]]*Data[[#This Row],[Diskon]])),Data[[#This Row],[Profit non Diskon]])</f>
        <v>160000</v>
      </c>
      <c r="AC140" s="23" t="s">
        <v>8</v>
      </c>
      <c r="AD140" s="37">
        <f>IFERROR(INDEX('Kode Diskon'!$D$3:$D$9,MATCH(Data[[#This Row],[Kode diskon]],'Kode Diskon'!$C$3:$C$9,0)),"-")</f>
        <v>0.2</v>
      </c>
      <c r="AE140" s="23" t="s">
        <v>9</v>
      </c>
      <c r="AF140" s="23" t="s">
        <v>7</v>
      </c>
      <c r="AG140" s="23" t="s">
        <v>79</v>
      </c>
      <c r="AH140" s="24">
        <v>45039</v>
      </c>
      <c r="AI140" s="23" t="str">
        <f>TEXT(Data[[#This Row],[Tanggal terjual]],"dddd")</f>
        <v>Sunday</v>
      </c>
      <c r="AJ140" s="21" t="str">
        <f>TEXT(Data[[#This Row],[Tanggal terjual]],"wwww")</f>
        <v>wwww</v>
      </c>
    </row>
    <row r="141" spans="1:36" x14ac:dyDescent="0.2">
      <c r="A141" s="20">
        <v>140</v>
      </c>
      <c r="B141" s="21" t="str">
        <f>_xlfn.CONCAT("ORD-",INDEX(Helper!$B$2:$B$5,MATCH(Data[[#This Row],[Marketplace]],Helper!$A$2:$A$5,0)),TEXT(Data[[#This Row],[No]],"0000"),"-",TEXT(Data[[#This Row],[Tanggal terjual]],"dd/mm/yy"))</f>
        <v>ORD-BL0140-21/04/23</v>
      </c>
      <c r="C141" t="s">
        <v>66</v>
      </c>
      <c r="D141" t="str">
        <f>IFERROR(INDEX(Katalog!$A$3:$A$12,MATCH(Data[[#This Row],[ItemID A]],Katalog!$C$3:$C$12,0)),"-")</f>
        <v>Sepatu Pria</v>
      </c>
      <c r="E141" t="str">
        <f>IFERROR(INDEX(Katalog!$B$3:$B$12,MATCH(Data[[#This Row],[ItemID A]],Katalog!$C$3:$C$12,0)),"-")</f>
        <v>Sandal Slip On</v>
      </c>
      <c r="F141">
        <v>3</v>
      </c>
      <c r="G141">
        <v>3</v>
      </c>
      <c r="H141" s="36">
        <f>IFERROR(INDEX(Katalog!$D$3:$D$12,MATCH(Data[[#This Row],[ItemID A]],Katalog!$C$3:$C$12,0))*Data[[#This Row],[Qty A]],"0")</f>
        <v>450000</v>
      </c>
      <c r="I141" s="36">
        <f>IFERROR(INDEX(Katalog!$F$3:$F$12,MATCH(Data[[#This Row],[ItemID A]],Katalog!$C$3:$C$12,0))*Data[[#This Row],[Qty A]],0)</f>
        <v>180000</v>
      </c>
      <c r="J141" t="s">
        <v>58</v>
      </c>
      <c r="K141" t="str">
        <f>IFERROR(INDEX(Katalog!$A$3:$A$12,MATCH(Data[[#This Row],[ItemID B]],Katalog!$C$3:$C$12,0)),"-")</f>
        <v>Pakaian Wanita</v>
      </c>
      <c r="L141" t="str">
        <f>IFERROR(INDEX(Katalog!$B$3:$B$12,MATCH(Data[[#This Row],[ItemID B]],Katalog!$C$3:$C$12,0)),"-")</f>
        <v>Dress</v>
      </c>
      <c r="M141">
        <v>1</v>
      </c>
      <c r="N141">
        <v>3</v>
      </c>
      <c r="O141" s="36">
        <f>IFERROR(INDEX(Katalog!$D$3:$D$12,MATCH(Data[[#This Row],[ItemID B]],Katalog!$C$3:$C$12,0))*Data[[#This Row],[Qty B]],"0")</f>
        <v>300000</v>
      </c>
      <c r="P141" s="36">
        <f>IFERROR(INDEX(Katalog!$F$3:$F$12,MATCH(Data[[#This Row],[ItemID B]],Katalog!$C$3:$C$12,0))*Data[[#This Row],[Qty B]],"0")</f>
        <v>100000</v>
      </c>
      <c r="Q141" t="s">
        <v>66</v>
      </c>
      <c r="R141" t="str">
        <f>IFERROR(INDEX(Katalog!$A$3:$A$12,MATCH(Data[[#This Row],[ItemID C]],Katalog!$C$3:$C$12,0)),"-")</f>
        <v>Sepatu Pria</v>
      </c>
      <c r="S141" t="str">
        <f>IFERROR(INDEX(Katalog!$B$3:$B$12,MATCH(Data[[#This Row],[ItemID C]],Katalog!$C$3:$C$12,0)),"-")</f>
        <v>Sandal Slip On</v>
      </c>
      <c r="T141">
        <v>1</v>
      </c>
      <c r="U141">
        <v>4</v>
      </c>
      <c r="V141" s="36">
        <f>IFERROR(INDEX(Katalog!$D$3:$D$12,MATCH(Data[[#This Row],[ItemID C]],Katalog!$C$3:$C$12,0))*Data[[#This Row],[Qty C]],"0")</f>
        <v>150000</v>
      </c>
      <c r="W141" s="36">
        <f>IFERROR(INDEX(Katalog!$F$3:$F$12,MATCH(Data[[#This Row],[ItemID C]],Katalog!$C$3:$C$12,0))*Data[[#This Row],[Qty C]],"0")</f>
        <v>60000</v>
      </c>
      <c r="X141" s="21">
        <f>Data[[#This Row],[Qty A]]+Data[[#This Row],[Qty B]]+Data[[#This Row],[Qty C]]</f>
        <v>5</v>
      </c>
      <c r="Y141" s="22">
        <f>Data[[#This Row],[Harga Barang A]]+Data[[#This Row],[Harga Barang B]]+Data[[#This Row],[Harga Barang C]]</f>
        <v>900000</v>
      </c>
      <c r="Z141" s="35">
        <f>IFERROR(Data[[#This Row],[Total Harga]]-(Data[[#This Row],[Total Harga]]*Data[[#This Row],[Diskon]]),Data[[#This Row],[Total Harga]])</f>
        <v>765000</v>
      </c>
      <c r="AA141" s="35">
        <f>(Data[[#This Row],[Profit A]]+Data[[#This Row],[Profit B]]+Data[[#This Row],[Profit C]])</f>
        <v>340000</v>
      </c>
      <c r="AB141" s="35">
        <f>IFERROR((Data[[#This Row],[Profit non Diskon]]-(Data[[#This Row],[Profit non Diskon]]*Data[[#This Row],[Diskon]])),Data[[#This Row],[Profit non Diskon]])</f>
        <v>289000</v>
      </c>
      <c r="AC141" s="23" t="s">
        <v>32</v>
      </c>
      <c r="AD141" s="37">
        <f>IFERROR(INDEX('Kode Diskon'!$D$3:$D$9,MATCH(Data[[#This Row],[Kode diskon]],'Kode Diskon'!$C$3:$C$9,0)),"-")</f>
        <v>0.15</v>
      </c>
      <c r="AE141" s="23" t="s">
        <v>9</v>
      </c>
      <c r="AF141" s="23" t="s">
        <v>12</v>
      </c>
      <c r="AG141" s="23" t="s">
        <v>75</v>
      </c>
      <c r="AH141" s="24">
        <v>45037</v>
      </c>
      <c r="AI141" s="23" t="str">
        <f>TEXT(Data[[#This Row],[Tanggal terjual]],"dddd")</f>
        <v>Friday</v>
      </c>
      <c r="AJ141" s="21" t="str">
        <f>TEXT(Data[[#This Row],[Tanggal terjual]],"wwww")</f>
        <v>wwww</v>
      </c>
    </row>
    <row r="142" spans="1:36" x14ac:dyDescent="0.2">
      <c r="A142" s="20">
        <v>141</v>
      </c>
      <c r="B142" s="21" t="str">
        <f>_xlfn.CONCAT("ORD-",INDEX(Helper!$B$2:$B$5,MATCH(Data[[#This Row],[Marketplace]],Helper!$A$2:$A$5,0)),TEXT(Data[[#This Row],[No]],"0000"),"-",TEXT(Data[[#This Row],[Tanggal terjual]],"dd/mm/yy"))</f>
        <v>ORD-BB0141-06/04/23</v>
      </c>
      <c r="C142" t="s">
        <v>64</v>
      </c>
      <c r="D142" t="str">
        <f>IFERROR(INDEX(Katalog!$A$3:$A$12,MATCH(Data[[#This Row],[ItemID A]],Katalog!$C$3:$C$12,0)),"-")</f>
        <v>Pakaian Unisex</v>
      </c>
      <c r="E142" t="str">
        <f>IFERROR(INDEX(Katalog!$B$3:$B$12,MATCH(Data[[#This Row],[ItemID A]],Katalog!$C$3:$C$12,0)),"-")</f>
        <v>Jaket Hoodie</v>
      </c>
      <c r="F142">
        <v>2</v>
      </c>
      <c r="G142">
        <v>1</v>
      </c>
      <c r="H142" s="36">
        <f>IFERROR(INDEX(Katalog!$D$3:$D$12,MATCH(Data[[#This Row],[ItemID A]],Katalog!$C$3:$C$12,0))*Data[[#This Row],[Qty A]],"0")</f>
        <v>700000</v>
      </c>
      <c r="I142" s="36">
        <f>IFERROR(INDEX(Katalog!$F$3:$F$12,MATCH(Data[[#This Row],[ItemID A]],Katalog!$C$3:$C$12,0))*Data[[#This Row],[Qty A]],0)</f>
        <v>260000</v>
      </c>
      <c r="J142" t="s">
        <v>67</v>
      </c>
      <c r="K142" t="str">
        <f>IFERROR(INDEX(Katalog!$A$3:$A$12,MATCH(Data[[#This Row],[ItemID B]],Katalog!$C$3:$C$12,0)),"-")</f>
        <v>Sepatu Wanita</v>
      </c>
      <c r="L142" t="str">
        <f>IFERROR(INDEX(Katalog!$B$3:$B$12,MATCH(Data[[#This Row],[ItemID B]],Katalog!$C$3:$C$12,0)),"-")</f>
        <v>Flat Shoes</v>
      </c>
      <c r="M142">
        <v>1</v>
      </c>
      <c r="N142">
        <v>2</v>
      </c>
      <c r="O142" s="36">
        <f>IFERROR(INDEX(Katalog!$D$3:$D$12,MATCH(Data[[#This Row],[ItemID B]],Katalog!$C$3:$C$12,0))*Data[[#This Row],[Qty B]],"0")</f>
        <v>250000</v>
      </c>
      <c r="P142" s="36">
        <f>IFERROR(INDEX(Katalog!$F$3:$F$12,MATCH(Data[[#This Row],[ItemID B]],Katalog!$C$3:$C$12,0))*Data[[#This Row],[Qty B]],"0")</f>
        <v>100000</v>
      </c>
      <c r="R142" t="str">
        <f>IFERROR(INDEX(Katalog!$A$3:$A$12,MATCH(Data[[#This Row],[ItemID C]],Katalog!$C$3:$C$12,0)),"-")</f>
        <v>-</v>
      </c>
      <c r="S142" t="str">
        <f>IFERROR(INDEX(Katalog!$B$3:$B$12,MATCH(Data[[#This Row],[ItemID C]],Katalog!$C$3:$C$12,0)),"-")</f>
        <v>-</v>
      </c>
      <c r="V142" s="36" t="str">
        <f>IFERROR(INDEX(Katalog!$D$3:$D$12,MATCH(Data[[#This Row],[ItemID C]],Katalog!$C$3:$C$12,0))*Data[[#This Row],[Qty C]],"0")</f>
        <v>0</v>
      </c>
      <c r="W142" s="36" t="str">
        <f>IFERROR(INDEX(Katalog!$F$3:$F$12,MATCH(Data[[#This Row],[ItemID C]],Katalog!$C$3:$C$12,0))*Data[[#This Row],[Qty C]],"0")</f>
        <v>0</v>
      </c>
      <c r="X142" s="21">
        <f>Data[[#This Row],[Qty A]]+Data[[#This Row],[Qty B]]+Data[[#This Row],[Qty C]]</f>
        <v>3</v>
      </c>
      <c r="Y142" s="22">
        <f>Data[[#This Row],[Harga Barang A]]+Data[[#This Row],[Harga Barang B]]+Data[[#This Row],[Harga Barang C]]</f>
        <v>950000</v>
      </c>
      <c r="Z142" s="35">
        <f>IFERROR(Data[[#This Row],[Total Harga]]-(Data[[#This Row],[Total Harga]]*Data[[#This Row],[Diskon]]),Data[[#This Row],[Total Harga]])</f>
        <v>807500</v>
      </c>
      <c r="AA142" s="35">
        <f>(Data[[#This Row],[Profit A]]+Data[[#This Row],[Profit B]]+Data[[#This Row],[Profit C]])</f>
        <v>360000</v>
      </c>
      <c r="AB142" s="35">
        <f>IFERROR((Data[[#This Row],[Profit non Diskon]]-(Data[[#This Row],[Profit non Diskon]]*Data[[#This Row],[Diskon]])),Data[[#This Row],[Profit non Diskon]])</f>
        <v>306000</v>
      </c>
      <c r="AC142" s="23" t="s">
        <v>28</v>
      </c>
      <c r="AD142" s="37">
        <f>IFERROR(INDEX('Kode Diskon'!$D$3:$D$9,MATCH(Data[[#This Row],[Kode diskon]],'Kode Diskon'!$C$3:$C$9,0)),"-")</f>
        <v>0.15</v>
      </c>
      <c r="AE142" s="23" t="s">
        <v>29</v>
      </c>
      <c r="AF142" s="23" t="s">
        <v>14</v>
      </c>
      <c r="AG142" s="23" t="s">
        <v>79</v>
      </c>
      <c r="AH142" s="24">
        <v>45022</v>
      </c>
      <c r="AI142" s="23" t="str">
        <f>TEXT(Data[[#This Row],[Tanggal terjual]],"dddd")</f>
        <v>Thursday</v>
      </c>
      <c r="AJ142" s="21" t="str">
        <f>TEXT(Data[[#This Row],[Tanggal terjual]],"wwww")</f>
        <v>wwww</v>
      </c>
    </row>
    <row r="143" spans="1:36" x14ac:dyDescent="0.2">
      <c r="A143" s="20">
        <v>142</v>
      </c>
      <c r="B143" s="21" t="str">
        <f>_xlfn.CONCAT("ORD-",INDEX(Helper!$B$2:$B$5,MATCH(Data[[#This Row],[Marketplace]],Helper!$A$2:$A$5,0)),TEXT(Data[[#This Row],[No]],"0000"),"-",TEXT(Data[[#This Row],[Tanggal terjual]],"dd/mm/yy"))</f>
        <v>ORD-BL0142-25/04/23</v>
      </c>
      <c r="C143" t="s">
        <v>67</v>
      </c>
      <c r="D143" t="str">
        <f>IFERROR(INDEX(Katalog!$A$3:$A$12,MATCH(Data[[#This Row],[ItemID A]],Katalog!$C$3:$C$12,0)),"-")</f>
        <v>Sepatu Wanita</v>
      </c>
      <c r="E143" t="str">
        <f>IFERROR(INDEX(Katalog!$B$3:$B$12,MATCH(Data[[#This Row],[ItemID A]],Katalog!$C$3:$C$12,0)),"-")</f>
        <v>Flat Shoes</v>
      </c>
      <c r="F143">
        <v>2</v>
      </c>
      <c r="G143">
        <v>1</v>
      </c>
      <c r="H143" s="36">
        <f>IFERROR(INDEX(Katalog!$D$3:$D$12,MATCH(Data[[#This Row],[ItemID A]],Katalog!$C$3:$C$12,0))*Data[[#This Row],[Qty A]],"0")</f>
        <v>500000</v>
      </c>
      <c r="I143" s="36">
        <f>IFERROR(INDEX(Katalog!$F$3:$F$12,MATCH(Data[[#This Row],[ItemID A]],Katalog!$C$3:$C$12,0))*Data[[#This Row],[Qty A]],0)</f>
        <v>200000</v>
      </c>
      <c r="J143" t="s">
        <v>64</v>
      </c>
      <c r="K143" t="str">
        <f>IFERROR(INDEX(Katalog!$A$3:$A$12,MATCH(Data[[#This Row],[ItemID B]],Katalog!$C$3:$C$12,0)),"-")</f>
        <v>Pakaian Unisex</v>
      </c>
      <c r="L143" t="str">
        <f>IFERROR(INDEX(Katalog!$B$3:$B$12,MATCH(Data[[#This Row],[ItemID B]],Katalog!$C$3:$C$12,0)),"-")</f>
        <v>Jaket Hoodie</v>
      </c>
      <c r="M143">
        <v>1</v>
      </c>
      <c r="N143">
        <v>3</v>
      </c>
      <c r="O143" s="36">
        <f>IFERROR(INDEX(Katalog!$D$3:$D$12,MATCH(Data[[#This Row],[ItemID B]],Katalog!$C$3:$C$12,0))*Data[[#This Row],[Qty B]],"0")</f>
        <v>350000</v>
      </c>
      <c r="P143" s="36">
        <f>IFERROR(INDEX(Katalog!$F$3:$F$12,MATCH(Data[[#This Row],[ItemID B]],Katalog!$C$3:$C$12,0))*Data[[#This Row],[Qty B]],"0")</f>
        <v>130000</v>
      </c>
      <c r="Q143" t="s">
        <v>65</v>
      </c>
      <c r="R143" t="str">
        <f>IFERROR(INDEX(Katalog!$A$3:$A$12,MATCH(Data[[#This Row],[ItemID C]],Katalog!$C$3:$C$12,0)),"-")</f>
        <v>Sepatu Pria</v>
      </c>
      <c r="S143" t="str">
        <f>IFERROR(INDEX(Katalog!$B$3:$B$12,MATCH(Data[[#This Row],[ItemID C]],Katalog!$C$3:$C$12,0)),"-")</f>
        <v>Sneakers</v>
      </c>
      <c r="T143">
        <v>4</v>
      </c>
      <c r="U143">
        <v>3</v>
      </c>
      <c r="V143" s="36">
        <f>IFERROR(INDEX(Katalog!$D$3:$D$12,MATCH(Data[[#This Row],[ItemID C]],Katalog!$C$3:$C$12,0))*Data[[#This Row],[Qty C]],"0")</f>
        <v>2000000</v>
      </c>
      <c r="W143" s="36">
        <f>IFERROR(INDEX(Katalog!$F$3:$F$12,MATCH(Data[[#This Row],[ItemID C]],Katalog!$C$3:$C$12,0))*Data[[#This Row],[Qty C]],"0")</f>
        <v>800000</v>
      </c>
      <c r="X143" s="21">
        <f>Data[[#This Row],[Qty A]]+Data[[#This Row],[Qty B]]+Data[[#This Row],[Qty C]]</f>
        <v>7</v>
      </c>
      <c r="Y143" s="22">
        <f>Data[[#This Row],[Harga Barang A]]+Data[[#This Row],[Harga Barang B]]+Data[[#This Row],[Harga Barang C]]</f>
        <v>2850000</v>
      </c>
      <c r="Z143" s="35">
        <f>IFERROR(Data[[#This Row],[Total Harga]]-(Data[[#This Row],[Total Harga]]*Data[[#This Row],[Diskon]]),Data[[#This Row],[Total Harga]])</f>
        <v>2422500</v>
      </c>
      <c r="AA143" s="35">
        <f>(Data[[#This Row],[Profit A]]+Data[[#This Row],[Profit B]]+Data[[#This Row],[Profit C]])</f>
        <v>1130000</v>
      </c>
      <c r="AB143" s="35">
        <f>IFERROR((Data[[#This Row],[Profit non Diskon]]-(Data[[#This Row],[Profit non Diskon]]*Data[[#This Row],[Diskon]])),Data[[#This Row],[Profit non Diskon]])</f>
        <v>960500</v>
      </c>
      <c r="AC143" s="23" t="s">
        <v>32</v>
      </c>
      <c r="AD143" s="37">
        <f>IFERROR(INDEX('Kode Diskon'!$D$3:$D$9,MATCH(Data[[#This Row],[Kode diskon]],'Kode Diskon'!$C$3:$C$9,0)),"-")</f>
        <v>0.15</v>
      </c>
      <c r="AE143" s="23" t="s">
        <v>9</v>
      </c>
      <c r="AF143" s="23" t="s">
        <v>12</v>
      </c>
      <c r="AG143" s="23" t="s">
        <v>80</v>
      </c>
      <c r="AH143" s="24">
        <v>45041</v>
      </c>
      <c r="AI143" s="23" t="str">
        <f>TEXT(Data[[#This Row],[Tanggal terjual]],"dddd")</f>
        <v>Tuesday</v>
      </c>
      <c r="AJ143" s="21" t="str">
        <f>TEXT(Data[[#This Row],[Tanggal terjual]],"wwww")</f>
        <v>wwww</v>
      </c>
    </row>
    <row r="144" spans="1:36" x14ac:dyDescent="0.2">
      <c r="A144" s="20">
        <v>143</v>
      </c>
      <c r="B144" s="21" t="str">
        <f>_xlfn.CONCAT("ORD-",INDEX(Helper!$B$2:$B$5,MATCH(Data[[#This Row],[Marketplace]],Helper!$A$2:$A$5,0)),TEXT(Data[[#This Row],[No]],"0000"),"-",TEXT(Data[[#This Row],[Tanggal terjual]],"dd/mm/yy"))</f>
        <v>ORD-SP0143-18/04/23</v>
      </c>
      <c r="C144" t="s">
        <v>66</v>
      </c>
      <c r="D144" t="str">
        <f>IFERROR(INDEX(Katalog!$A$3:$A$12,MATCH(Data[[#This Row],[ItemID A]],Katalog!$C$3:$C$12,0)),"-")</f>
        <v>Sepatu Pria</v>
      </c>
      <c r="E144" t="str">
        <f>IFERROR(INDEX(Katalog!$B$3:$B$12,MATCH(Data[[#This Row],[ItemID A]],Katalog!$C$3:$C$12,0)),"-")</f>
        <v>Sandal Slip On</v>
      </c>
      <c r="F144">
        <v>2</v>
      </c>
      <c r="G144">
        <v>5</v>
      </c>
      <c r="H144" s="36">
        <f>IFERROR(INDEX(Katalog!$D$3:$D$12,MATCH(Data[[#This Row],[ItemID A]],Katalog!$C$3:$C$12,0))*Data[[#This Row],[Qty A]],"0")</f>
        <v>300000</v>
      </c>
      <c r="I144" s="36">
        <f>IFERROR(INDEX(Katalog!$F$3:$F$12,MATCH(Data[[#This Row],[ItemID A]],Katalog!$C$3:$C$12,0))*Data[[#This Row],[Qty A]],0)</f>
        <v>120000</v>
      </c>
      <c r="J144" t="s">
        <v>62</v>
      </c>
      <c r="K144" t="str">
        <f>IFERROR(INDEX(Katalog!$A$3:$A$12,MATCH(Data[[#This Row],[ItemID B]],Katalog!$C$3:$C$12,0)),"-")</f>
        <v>Pakaian Pria</v>
      </c>
      <c r="L144" t="str">
        <f>IFERROR(INDEX(Katalog!$B$3:$B$12,MATCH(Data[[#This Row],[ItemID B]],Katalog!$C$3:$C$12,0)),"-")</f>
        <v>Celana Pendek</v>
      </c>
      <c r="M144">
        <v>3</v>
      </c>
      <c r="N144">
        <v>5</v>
      </c>
      <c r="O144" s="36">
        <f>IFERROR(INDEX(Katalog!$D$3:$D$12,MATCH(Data[[#This Row],[ItemID B]],Katalog!$C$3:$C$12,0))*Data[[#This Row],[Qty B]],"0")</f>
        <v>540000</v>
      </c>
      <c r="P144" s="36">
        <f>IFERROR(INDEX(Katalog!$F$3:$F$12,MATCH(Data[[#This Row],[ItemID B]],Katalog!$C$3:$C$12,0))*Data[[#This Row],[Qty B]],"0")</f>
        <v>210000</v>
      </c>
      <c r="R144" t="str">
        <f>IFERROR(INDEX(Katalog!$A$3:$A$12,MATCH(Data[[#This Row],[ItemID C]],Katalog!$C$3:$C$12,0)),"-")</f>
        <v>-</v>
      </c>
      <c r="S144" t="str">
        <f>IFERROR(INDEX(Katalog!$B$3:$B$12,MATCH(Data[[#This Row],[ItemID C]],Katalog!$C$3:$C$12,0)),"-")</f>
        <v>-</v>
      </c>
      <c r="V144" s="36" t="str">
        <f>IFERROR(INDEX(Katalog!$D$3:$D$12,MATCH(Data[[#This Row],[ItemID C]],Katalog!$C$3:$C$12,0))*Data[[#This Row],[Qty C]],"0")</f>
        <v>0</v>
      </c>
      <c r="W144" s="36" t="str">
        <f>IFERROR(INDEX(Katalog!$F$3:$F$12,MATCH(Data[[#This Row],[ItemID C]],Katalog!$C$3:$C$12,0))*Data[[#This Row],[Qty C]],"0")</f>
        <v>0</v>
      </c>
      <c r="X144" s="21">
        <f>Data[[#This Row],[Qty A]]+Data[[#This Row],[Qty B]]+Data[[#This Row],[Qty C]]</f>
        <v>5</v>
      </c>
      <c r="Y144" s="22">
        <f>Data[[#This Row],[Harga Barang A]]+Data[[#This Row],[Harga Barang B]]+Data[[#This Row],[Harga Barang C]]</f>
        <v>840000</v>
      </c>
      <c r="Z144" s="35">
        <f>IFERROR(Data[[#This Row],[Total Harga]]-(Data[[#This Row],[Total Harga]]*Data[[#This Row],[Diskon]]),Data[[#This Row],[Total Harga]])</f>
        <v>672000</v>
      </c>
      <c r="AA144" s="35">
        <f>(Data[[#This Row],[Profit A]]+Data[[#This Row],[Profit B]]+Data[[#This Row],[Profit C]])</f>
        <v>330000</v>
      </c>
      <c r="AB144" s="35">
        <f>IFERROR((Data[[#This Row],[Profit non Diskon]]-(Data[[#This Row],[Profit non Diskon]]*Data[[#This Row],[Diskon]])),Data[[#This Row],[Profit non Diskon]])</f>
        <v>264000</v>
      </c>
      <c r="AC144" s="23" t="s">
        <v>8</v>
      </c>
      <c r="AD144" s="37">
        <f>IFERROR(INDEX('Kode Diskon'!$D$3:$D$9,MATCH(Data[[#This Row],[Kode diskon]],'Kode Diskon'!$C$3:$C$9,0)),"-")</f>
        <v>0.2</v>
      </c>
      <c r="AE144" s="23" t="s">
        <v>9</v>
      </c>
      <c r="AF144" s="23" t="s">
        <v>7</v>
      </c>
      <c r="AG144" s="23" t="s">
        <v>80</v>
      </c>
      <c r="AH144" s="24">
        <v>45034</v>
      </c>
      <c r="AI144" s="23" t="str">
        <f>TEXT(Data[[#This Row],[Tanggal terjual]],"dddd")</f>
        <v>Tuesday</v>
      </c>
      <c r="AJ144" s="21" t="str">
        <f>TEXT(Data[[#This Row],[Tanggal terjual]],"wwww")</f>
        <v>wwww</v>
      </c>
    </row>
    <row r="145" spans="1:36" x14ac:dyDescent="0.2">
      <c r="A145" s="20">
        <v>144</v>
      </c>
      <c r="B145" s="21" t="str">
        <f>_xlfn.CONCAT("ORD-",INDEX(Helper!$B$2:$B$5,MATCH(Data[[#This Row],[Marketplace]],Helper!$A$2:$A$5,0)),TEXT(Data[[#This Row],[No]],"0000"),"-",TEXT(Data[[#This Row],[Tanggal terjual]],"dd/mm/yy"))</f>
        <v>ORD-BL0144-23/04/23</v>
      </c>
      <c r="C145" t="s">
        <v>64</v>
      </c>
      <c r="D145" t="str">
        <f>IFERROR(INDEX(Katalog!$A$3:$A$12,MATCH(Data[[#This Row],[ItemID A]],Katalog!$C$3:$C$12,0)),"-")</f>
        <v>Pakaian Unisex</v>
      </c>
      <c r="E145" t="str">
        <f>IFERROR(INDEX(Katalog!$B$3:$B$12,MATCH(Data[[#This Row],[ItemID A]],Katalog!$C$3:$C$12,0)),"-")</f>
        <v>Jaket Hoodie</v>
      </c>
      <c r="F145">
        <v>1</v>
      </c>
      <c r="G145">
        <v>1</v>
      </c>
      <c r="H145" s="36">
        <f>IFERROR(INDEX(Katalog!$D$3:$D$12,MATCH(Data[[#This Row],[ItemID A]],Katalog!$C$3:$C$12,0))*Data[[#This Row],[Qty A]],"0")</f>
        <v>350000</v>
      </c>
      <c r="I145" s="36">
        <f>IFERROR(INDEX(Katalog!$F$3:$F$12,MATCH(Data[[#This Row],[ItemID A]],Katalog!$C$3:$C$12,0))*Data[[#This Row],[Qty A]],0)</f>
        <v>130000</v>
      </c>
      <c r="K145" t="str">
        <f>IFERROR(INDEX(Katalog!$A$3:$A$12,MATCH(Data[[#This Row],[ItemID B]],Katalog!$C$3:$C$12,0)),"-")</f>
        <v>-</v>
      </c>
      <c r="L145" t="str">
        <f>IFERROR(INDEX(Katalog!$B$3:$B$12,MATCH(Data[[#This Row],[ItemID B]],Katalog!$C$3:$C$12,0)),"-")</f>
        <v>-</v>
      </c>
      <c r="O145" s="36" t="str">
        <f>IFERROR(INDEX(Katalog!$D$3:$D$12,MATCH(Data[[#This Row],[ItemID B]],Katalog!$C$3:$C$12,0))*Data[[#This Row],[Qty B]],"0")</f>
        <v>0</v>
      </c>
      <c r="P145" s="36" t="str">
        <f>IFERROR(INDEX(Katalog!$F$3:$F$12,MATCH(Data[[#This Row],[ItemID B]],Katalog!$C$3:$C$12,0))*Data[[#This Row],[Qty B]],"0")</f>
        <v>0</v>
      </c>
      <c r="R145" t="str">
        <f>IFERROR(INDEX(Katalog!$A$3:$A$12,MATCH(Data[[#This Row],[ItemID C]],Katalog!$C$3:$C$12,0)),"-")</f>
        <v>-</v>
      </c>
      <c r="S145" t="str">
        <f>IFERROR(INDEX(Katalog!$B$3:$B$12,MATCH(Data[[#This Row],[ItemID C]],Katalog!$C$3:$C$12,0)),"-")</f>
        <v>-</v>
      </c>
      <c r="V145" s="36" t="str">
        <f>IFERROR(INDEX(Katalog!$D$3:$D$12,MATCH(Data[[#This Row],[ItemID C]],Katalog!$C$3:$C$12,0))*Data[[#This Row],[Qty C]],"0")</f>
        <v>0</v>
      </c>
      <c r="W145" s="36" t="str">
        <f>IFERROR(INDEX(Katalog!$F$3:$F$12,MATCH(Data[[#This Row],[ItemID C]],Katalog!$C$3:$C$12,0))*Data[[#This Row],[Qty C]],"0")</f>
        <v>0</v>
      </c>
      <c r="X145" s="21">
        <f>Data[[#This Row],[Qty A]]+Data[[#This Row],[Qty B]]+Data[[#This Row],[Qty C]]</f>
        <v>1</v>
      </c>
      <c r="Y145" s="22">
        <f>Data[[#This Row],[Harga Barang A]]+Data[[#This Row],[Harga Barang B]]+Data[[#This Row],[Harga Barang C]]</f>
        <v>350000</v>
      </c>
      <c r="Z145" s="35">
        <f>IFERROR(Data[[#This Row],[Total Harga]]-(Data[[#This Row],[Total Harga]]*Data[[#This Row],[Diskon]]),Data[[#This Row],[Total Harga]])</f>
        <v>297500</v>
      </c>
      <c r="AA145" s="35">
        <f>(Data[[#This Row],[Profit A]]+Data[[#This Row],[Profit B]]+Data[[#This Row],[Profit C]])</f>
        <v>130000</v>
      </c>
      <c r="AB145" s="35">
        <f>IFERROR((Data[[#This Row],[Profit non Diskon]]-(Data[[#This Row],[Profit non Diskon]]*Data[[#This Row],[Diskon]])),Data[[#This Row],[Profit non Diskon]])</f>
        <v>110500</v>
      </c>
      <c r="AC145" s="23" t="s">
        <v>32</v>
      </c>
      <c r="AD145" s="37">
        <f>IFERROR(INDEX('Kode Diskon'!$D$3:$D$9,MATCH(Data[[#This Row],[Kode diskon]],'Kode Diskon'!$C$3:$C$9,0)),"-")</f>
        <v>0.15</v>
      </c>
      <c r="AE145" s="23" t="s">
        <v>9</v>
      </c>
      <c r="AF145" s="23" t="s">
        <v>12</v>
      </c>
      <c r="AG145" s="23" t="s">
        <v>76</v>
      </c>
      <c r="AH145" s="24">
        <v>45039</v>
      </c>
      <c r="AI145" s="23" t="str">
        <f>TEXT(Data[[#This Row],[Tanggal terjual]],"dddd")</f>
        <v>Sunday</v>
      </c>
      <c r="AJ145" s="21" t="str">
        <f>TEXT(Data[[#This Row],[Tanggal terjual]],"wwww")</f>
        <v>wwww</v>
      </c>
    </row>
    <row r="146" spans="1:36" x14ac:dyDescent="0.2">
      <c r="A146" s="20">
        <v>145</v>
      </c>
      <c r="B146" s="21" t="str">
        <f>_xlfn.CONCAT("ORD-",INDEX(Helper!$B$2:$B$5,MATCH(Data[[#This Row],[Marketplace]],Helper!$A$2:$A$5,0)),TEXT(Data[[#This Row],[No]],"0000"),"-",TEXT(Data[[#This Row],[Tanggal terjual]],"dd/mm/yy"))</f>
        <v>ORD-SP0145-04/04/23</v>
      </c>
      <c r="C146" t="s">
        <v>66</v>
      </c>
      <c r="D146" t="str">
        <f>IFERROR(INDEX(Katalog!$A$3:$A$12,MATCH(Data[[#This Row],[ItemID A]],Katalog!$C$3:$C$12,0)),"-")</f>
        <v>Sepatu Pria</v>
      </c>
      <c r="E146" t="str">
        <f>IFERROR(INDEX(Katalog!$B$3:$B$12,MATCH(Data[[#This Row],[ItemID A]],Katalog!$C$3:$C$12,0)),"-")</f>
        <v>Sandal Slip On</v>
      </c>
      <c r="F146">
        <v>3</v>
      </c>
      <c r="G146">
        <v>4</v>
      </c>
      <c r="H146" s="36">
        <f>IFERROR(INDEX(Katalog!$D$3:$D$12,MATCH(Data[[#This Row],[ItemID A]],Katalog!$C$3:$C$12,0))*Data[[#This Row],[Qty A]],"0")</f>
        <v>450000</v>
      </c>
      <c r="I146" s="36">
        <f>IFERROR(INDEX(Katalog!$F$3:$F$12,MATCH(Data[[#This Row],[ItemID A]],Katalog!$C$3:$C$12,0))*Data[[#This Row],[Qty A]],0)</f>
        <v>180000</v>
      </c>
      <c r="J146" t="s">
        <v>66</v>
      </c>
      <c r="K146" t="str">
        <f>IFERROR(INDEX(Katalog!$A$3:$A$12,MATCH(Data[[#This Row],[ItemID B]],Katalog!$C$3:$C$12,0)),"-")</f>
        <v>Sepatu Pria</v>
      </c>
      <c r="L146" t="str">
        <f>IFERROR(INDEX(Katalog!$B$3:$B$12,MATCH(Data[[#This Row],[ItemID B]],Katalog!$C$3:$C$12,0)),"-")</f>
        <v>Sandal Slip On</v>
      </c>
      <c r="M146">
        <v>3</v>
      </c>
      <c r="N146">
        <v>2</v>
      </c>
      <c r="O146" s="36">
        <f>IFERROR(INDEX(Katalog!$D$3:$D$12,MATCH(Data[[#This Row],[ItemID B]],Katalog!$C$3:$C$12,0))*Data[[#This Row],[Qty B]],"0")</f>
        <v>450000</v>
      </c>
      <c r="P146" s="36">
        <f>IFERROR(INDEX(Katalog!$F$3:$F$12,MATCH(Data[[#This Row],[ItemID B]],Katalog!$C$3:$C$12,0))*Data[[#This Row],[Qty B]],"0")</f>
        <v>180000</v>
      </c>
      <c r="Q146" t="s">
        <v>59</v>
      </c>
      <c r="R146" t="str">
        <f>IFERROR(INDEX(Katalog!$A$3:$A$12,MATCH(Data[[#This Row],[ItemID C]],Katalog!$C$3:$C$12,0)),"-")</f>
        <v>Pakaian Wanita</v>
      </c>
      <c r="S146" t="str">
        <f>IFERROR(INDEX(Katalog!$B$3:$B$12,MATCH(Data[[#This Row],[ItemID C]],Katalog!$C$3:$C$12,0)),"-")</f>
        <v>Blouse</v>
      </c>
      <c r="T146">
        <v>1</v>
      </c>
      <c r="U146">
        <v>5</v>
      </c>
      <c r="V146" s="36">
        <f>IFERROR(INDEX(Katalog!$D$3:$D$12,MATCH(Data[[#This Row],[ItemID C]],Katalog!$C$3:$C$12,0))*Data[[#This Row],[Qty C]],"0")</f>
        <v>150000</v>
      </c>
      <c r="W146" s="36">
        <f>IFERROR(INDEX(Katalog!$F$3:$F$12,MATCH(Data[[#This Row],[ItemID C]],Katalog!$C$3:$C$12,0))*Data[[#This Row],[Qty C]],"0")</f>
        <v>50000</v>
      </c>
      <c r="X146" s="21">
        <f>Data[[#This Row],[Qty A]]+Data[[#This Row],[Qty B]]+Data[[#This Row],[Qty C]]</f>
        <v>7</v>
      </c>
      <c r="Y146" s="22">
        <f>Data[[#This Row],[Harga Barang A]]+Data[[#This Row],[Harga Barang B]]+Data[[#This Row],[Harga Barang C]]</f>
        <v>1050000</v>
      </c>
      <c r="Z146" s="35">
        <f>IFERROR(Data[[#This Row],[Total Harga]]-(Data[[#This Row],[Total Harga]]*Data[[#This Row],[Diskon]]),Data[[#This Row],[Total Harga]])</f>
        <v>945000</v>
      </c>
      <c r="AA146" s="35">
        <f>(Data[[#This Row],[Profit A]]+Data[[#This Row],[Profit B]]+Data[[#This Row],[Profit C]])</f>
        <v>410000</v>
      </c>
      <c r="AB146" s="35">
        <f>IFERROR((Data[[#This Row],[Profit non Diskon]]-(Data[[#This Row],[Profit non Diskon]]*Data[[#This Row],[Diskon]])),Data[[#This Row],[Profit non Diskon]])</f>
        <v>369000</v>
      </c>
      <c r="AC146" s="23" t="s">
        <v>6</v>
      </c>
      <c r="AD146" s="37">
        <f>IFERROR(INDEX('Kode Diskon'!$D$3:$D$9,MATCH(Data[[#This Row],[Kode diskon]],'Kode Diskon'!$C$3:$C$9,0)),"-")</f>
        <v>0.1</v>
      </c>
      <c r="AE146" s="23" t="s">
        <v>29</v>
      </c>
      <c r="AF146" s="23" t="s">
        <v>7</v>
      </c>
      <c r="AG146" s="23" t="s">
        <v>80</v>
      </c>
      <c r="AH146" s="24">
        <v>45020</v>
      </c>
      <c r="AI146" s="23" t="str">
        <f>TEXT(Data[[#This Row],[Tanggal terjual]],"dddd")</f>
        <v>Tuesday</v>
      </c>
      <c r="AJ146" s="21" t="str">
        <f>TEXT(Data[[#This Row],[Tanggal terjual]],"wwww")</f>
        <v>wwww</v>
      </c>
    </row>
    <row r="147" spans="1:36" x14ac:dyDescent="0.2">
      <c r="A147" s="20">
        <v>146</v>
      </c>
      <c r="B147" s="21" t="str">
        <f>_xlfn.CONCAT("ORD-",INDEX(Helper!$B$2:$B$5,MATCH(Data[[#This Row],[Marketplace]],Helper!$A$2:$A$5,0)),TEXT(Data[[#This Row],[No]],"0000"),"-",TEXT(Data[[#This Row],[Tanggal terjual]],"dd/mm/yy"))</f>
        <v>ORD-TK0146-26/04/23</v>
      </c>
      <c r="C147" t="s">
        <v>59</v>
      </c>
      <c r="D147" t="str">
        <f>IFERROR(INDEX(Katalog!$A$3:$A$12,MATCH(Data[[#This Row],[ItemID A]],Katalog!$C$3:$C$12,0)),"-")</f>
        <v>Pakaian Wanita</v>
      </c>
      <c r="E147" t="str">
        <f>IFERROR(INDEX(Katalog!$B$3:$B$12,MATCH(Data[[#This Row],[ItemID A]],Katalog!$C$3:$C$12,0)),"-")</f>
        <v>Blouse</v>
      </c>
      <c r="F147">
        <v>6</v>
      </c>
      <c r="G147">
        <v>1</v>
      </c>
      <c r="H147" s="36">
        <f>IFERROR(INDEX(Katalog!$D$3:$D$12,MATCH(Data[[#This Row],[ItemID A]],Katalog!$C$3:$C$12,0))*Data[[#This Row],[Qty A]],"0")</f>
        <v>900000</v>
      </c>
      <c r="I147" s="36">
        <f>IFERROR(INDEX(Katalog!$F$3:$F$12,MATCH(Data[[#This Row],[ItemID A]],Katalog!$C$3:$C$12,0))*Data[[#This Row],[Qty A]],0)</f>
        <v>300000</v>
      </c>
      <c r="J147" t="s">
        <v>60</v>
      </c>
      <c r="K147" t="str">
        <f>IFERROR(INDEX(Katalog!$A$3:$A$12,MATCH(Data[[#This Row],[ItemID B]],Katalog!$C$3:$C$12,0)),"-")</f>
        <v>Pakaian Wanita</v>
      </c>
      <c r="L147" t="str">
        <f>IFERROR(INDEX(Katalog!$B$3:$B$12,MATCH(Data[[#This Row],[ItemID B]],Katalog!$C$3:$C$12,0)),"-")</f>
        <v>Kaftan</v>
      </c>
      <c r="M147">
        <v>1</v>
      </c>
      <c r="N147">
        <v>3</v>
      </c>
      <c r="O147" s="36">
        <f>IFERROR(INDEX(Katalog!$D$3:$D$12,MATCH(Data[[#This Row],[ItemID B]],Katalog!$C$3:$C$12,0))*Data[[#This Row],[Qty B]],"0")</f>
        <v>250000</v>
      </c>
      <c r="P147" s="36">
        <f>IFERROR(INDEX(Katalog!$F$3:$F$12,MATCH(Data[[#This Row],[ItemID B]],Katalog!$C$3:$C$12,0))*Data[[#This Row],[Qty B]],"0")</f>
        <v>100000</v>
      </c>
      <c r="R147" t="str">
        <f>IFERROR(INDEX(Katalog!$A$3:$A$12,MATCH(Data[[#This Row],[ItemID C]],Katalog!$C$3:$C$12,0)),"-")</f>
        <v>-</v>
      </c>
      <c r="S147" t="str">
        <f>IFERROR(INDEX(Katalog!$B$3:$B$12,MATCH(Data[[#This Row],[ItemID C]],Katalog!$C$3:$C$12,0)),"-")</f>
        <v>-</v>
      </c>
      <c r="V147" s="36" t="str">
        <f>IFERROR(INDEX(Katalog!$D$3:$D$12,MATCH(Data[[#This Row],[ItemID C]],Katalog!$C$3:$C$12,0))*Data[[#This Row],[Qty C]],"0")</f>
        <v>0</v>
      </c>
      <c r="W147" s="36" t="str">
        <f>IFERROR(INDEX(Katalog!$F$3:$F$12,MATCH(Data[[#This Row],[ItemID C]],Katalog!$C$3:$C$12,0))*Data[[#This Row],[Qty C]],"0")</f>
        <v>0</v>
      </c>
      <c r="X147" s="21">
        <f>Data[[#This Row],[Qty A]]+Data[[#This Row],[Qty B]]+Data[[#This Row],[Qty C]]</f>
        <v>7</v>
      </c>
      <c r="Y147" s="22">
        <f>Data[[#This Row],[Harga Barang A]]+Data[[#This Row],[Harga Barang B]]+Data[[#This Row],[Harga Barang C]]</f>
        <v>1150000</v>
      </c>
      <c r="Z147" s="35">
        <f>IFERROR(Data[[#This Row],[Total Harga]]-(Data[[#This Row],[Total Harga]]*Data[[#This Row],[Diskon]]),Data[[#This Row],[Total Harga]])</f>
        <v>1035000</v>
      </c>
      <c r="AA147" s="35">
        <f>(Data[[#This Row],[Profit A]]+Data[[#This Row],[Profit B]]+Data[[#This Row],[Profit C]])</f>
        <v>400000</v>
      </c>
      <c r="AB147" s="35">
        <f>IFERROR((Data[[#This Row],[Profit non Diskon]]-(Data[[#This Row],[Profit non Diskon]]*Data[[#This Row],[Diskon]])),Data[[#This Row],[Profit non Diskon]])</f>
        <v>360000</v>
      </c>
      <c r="AC147" s="23" t="s">
        <v>31</v>
      </c>
      <c r="AD147" s="37">
        <f>IFERROR(INDEX('Kode Diskon'!$D$3:$D$9,MATCH(Data[[#This Row],[Kode diskon]],'Kode Diskon'!$C$3:$C$9,0)),"-")</f>
        <v>0.1</v>
      </c>
      <c r="AE147" s="23" t="s">
        <v>9</v>
      </c>
      <c r="AF147" s="23" t="s">
        <v>10</v>
      </c>
      <c r="AG147" s="23" t="s">
        <v>80</v>
      </c>
      <c r="AH147" s="24">
        <v>45042</v>
      </c>
      <c r="AI147" s="23" t="str">
        <f>TEXT(Data[[#This Row],[Tanggal terjual]],"dddd")</f>
        <v>Wednesday</v>
      </c>
      <c r="AJ147" s="21" t="str">
        <f>TEXT(Data[[#This Row],[Tanggal terjual]],"wwww")</f>
        <v>wwww</v>
      </c>
    </row>
    <row r="148" spans="1:36" x14ac:dyDescent="0.2">
      <c r="A148" s="20">
        <v>147</v>
      </c>
      <c r="B148" s="21" t="str">
        <f>_xlfn.CONCAT("ORD-",INDEX(Helper!$B$2:$B$5,MATCH(Data[[#This Row],[Marketplace]],Helper!$A$2:$A$5,0)),TEXT(Data[[#This Row],[No]],"0000"),"-",TEXT(Data[[#This Row],[Tanggal terjual]],"dd/mm/yy"))</f>
        <v>ORD-SP0147-06/04/23</v>
      </c>
      <c r="C148" t="s">
        <v>60</v>
      </c>
      <c r="D148" t="str">
        <f>IFERROR(INDEX(Katalog!$A$3:$A$12,MATCH(Data[[#This Row],[ItemID A]],Katalog!$C$3:$C$12,0)),"-")</f>
        <v>Pakaian Wanita</v>
      </c>
      <c r="E148" t="str">
        <f>IFERROR(INDEX(Katalog!$B$3:$B$12,MATCH(Data[[#This Row],[ItemID A]],Katalog!$C$3:$C$12,0)),"-")</f>
        <v>Kaftan</v>
      </c>
      <c r="F148">
        <v>2</v>
      </c>
      <c r="G148">
        <v>5</v>
      </c>
      <c r="H148" s="36">
        <f>IFERROR(INDEX(Katalog!$D$3:$D$12,MATCH(Data[[#This Row],[ItemID A]],Katalog!$C$3:$C$12,0))*Data[[#This Row],[Qty A]],"0")</f>
        <v>500000</v>
      </c>
      <c r="I148" s="36">
        <f>IFERROR(INDEX(Katalog!$F$3:$F$12,MATCH(Data[[#This Row],[ItemID A]],Katalog!$C$3:$C$12,0))*Data[[#This Row],[Qty A]],0)</f>
        <v>200000</v>
      </c>
      <c r="K148" t="str">
        <f>IFERROR(INDEX(Katalog!$A$3:$A$12,MATCH(Data[[#This Row],[ItemID B]],Katalog!$C$3:$C$12,0)),"-")</f>
        <v>-</v>
      </c>
      <c r="L148" t="str">
        <f>IFERROR(INDEX(Katalog!$B$3:$B$12,MATCH(Data[[#This Row],[ItemID B]],Katalog!$C$3:$C$12,0)),"-")</f>
        <v>-</v>
      </c>
      <c r="O148" s="36" t="str">
        <f>IFERROR(INDEX(Katalog!$D$3:$D$12,MATCH(Data[[#This Row],[ItemID B]],Katalog!$C$3:$C$12,0))*Data[[#This Row],[Qty B]],"0")</f>
        <v>0</v>
      </c>
      <c r="P148" s="36" t="str">
        <f>IFERROR(INDEX(Katalog!$F$3:$F$12,MATCH(Data[[#This Row],[ItemID B]],Katalog!$C$3:$C$12,0))*Data[[#This Row],[Qty B]],"0")</f>
        <v>0</v>
      </c>
      <c r="R148" t="str">
        <f>IFERROR(INDEX(Katalog!$A$3:$A$12,MATCH(Data[[#This Row],[ItemID C]],Katalog!$C$3:$C$12,0)),"-")</f>
        <v>-</v>
      </c>
      <c r="S148" t="str">
        <f>IFERROR(INDEX(Katalog!$B$3:$B$12,MATCH(Data[[#This Row],[ItemID C]],Katalog!$C$3:$C$12,0)),"-")</f>
        <v>-</v>
      </c>
      <c r="V148" s="36" t="str">
        <f>IFERROR(INDEX(Katalog!$D$3:$D$12,MATCH(Data[[#This Row],[ItemID C]],Katalog!$C$3:$C$12,0))*Data[[#This Row],[Qty C]],"0")</f>
        <v>0</v>
      </c>
      <c r="W148" s="36" t="str">
        <f>IFERROR(INDEX(Katalog!$F$3:$F$12,MATCH(Data[[#This Row],[ItemID C]],Katalog!$C$3:$C$12,0))*Data[[#This Row],[Qty C]],"0")</f>
        <v>0</v>
      </c>
      <c r="X148" s="21">
        <f>Data[[#This Row],[Qty A]]+Data[[#This Row],[Qty B]]+Data[[#This Row],[Qty C]]</f>
        <v>2</v>
      </c>
      <c r="Y148" s="22">
        <f>Data[[#This Row],[Harga Barang A]]+Data[[#This Row],[Harga Barang B]]+Data[[#This Row],[Harga Barang C]]</f>
        <v>500000</v>
      </c>
      <c r="Z148" s="35">
        <f>IFERROR(Data[[#This Row],[Total Harga]]-(Data[[#This Row],[Total Harga]]*Data[[#This Row],[Diskon]]),Data[[#This Row],[Total Harga]])</f>
        <v>450000</v>
      </c>
      <c r="AA148" s="35">
        <f>(Data[[#This Row],[Profit A]]+Data[[#This Row],[Profit B]]+Data[[#This Row],[Profit C]])</f>
        <v>200000</v>
      </c>
      <c r="AB148" s="35">
        <f>IFERROR((Data[[#This Row],[Profit non Diskon]]-(Data[[#This Row],[Profit non Diskon]]*Data[[#This Row],[Diskon]])),Data[[#This Row],[Profit non Diskon]])</f>
        <v>180000</v>
      </c>
      <c r="AC148" s="23" t="s">
        <v>6</v>
      </c>
      <c r="AD148" s="37">
        <f>IFERROR(INDEX('Kode Diskon'!$D$3:$D$9,MATCH(Data[[#This Row],[Kode diskon]],'Kode Diskon'!$C$3:$C$9,0)),"-")</f>
        <v>0.1</v>
      </c>
      <c r="AE148" s="23" t="s">
        <v>29</v>
      </c>
      <c r="AF148" s="23" t="s">
        <v>7</v>
      </c>
      <c r="AG148" s="23" t="s">
        <v>80</v>
      </c>
      <c r="AH148" s="24">
        <v>45022</v>
      </c>
      <c r="AI148" s="23" t="str">
        <f>TEXT(Data[[#This Row],[Tanggal terjual]],"dddd")</f>
        <v>Thursday</v>
      </c>
      <c r="AJ148" s="21" t="str">
        <f>TEXT(Data[[#This Row],[Tanggal terjual]],"wwww")</f>
        <v>wwww</v>
      </c>
    </row>
    <row r="149" spans="1:36" x14ac:dyDescent="0.2">
      <c r="A149" s="20">
        <v>148</v>
      </c>
      <c r="B149" s="21" t="str">
        <f>_xlfn.CONCAT("ORD-",INDEX(Helper!$B$2:$B$5,MATCH(Data[[#This Row],[Marketplace]],Helper!$A$2:$A$5,0)),TEXT(Data[[#This Row],[No]],"0000"),"-",TEXT(Data[[#This Row],[Tanggal terjual]],"dd/mm/yy"))</f>
        <v>ORD-SP0148-06/04/23</v>
      </c>
      <c r="C149" t="s">
        <v>67</v>
      </c>
      <c r="D149" t="str">
        <f>IFERROR(INDEX(Katalog!$A$3:$A$12,MATCH(Data[[#This Row],[ItemID A]],Katalog!$C$3:$C$12,0)),"-")</f>
        <v>Sepatu Wanita</v>
      </c>
      <c r="E149" t="str">
        <f>IFERROR(INDEX(Katalog!$B$3:$B$12,MATCH(Data[[#This Row],[ItemID A]],Katalog!$C$3:$C$12,0)),"-")</f>
        <v>Flat Shoes</v>
      </c>
      <c r="F149">
        <v>2</v>
      </c>
      <c r="G149">
        <v>5</v>
      </c>
      <c r="H149" s="36">
        <f>IFERROR(INDEX(Katalog!$D$3:$D$12,MATCH(Data[[#This Row],[ItemID A]],Katalog!$C$3:$C$12,0))*Data[[#This Row],[Qty A]],"0")</f>
        <v>500000</v>
      </c>
      <c r="I149" s="36">
        <f>IFERROR(INDEX(Katalog!$F$3:$F$12,MATCH(Data[[#This Row],[ItemID A]],Katalog!$C$3:$C$12,0))*Data[[#This Row],[Qty A]],0)</f>
        <v>200000</v>
      </c>
      <c r="K149" t="str">
        <f>IFERROR(INDEX(Katalog!$A$3:$A$12,MATCH(Data[[#This Row],[ItemID B]],Katalog!$C$3:$C$12,0)),"-")</f>
        <v>-</v>
      </c>
      <c r="L149" t="str">
        <f>IFERROR(INDEX(Katalog!$B$3:$B$12,MATCH(Data[[#This Row],[ItemID B]],Katalog!$C$3:$C$12,0)),"-")</f>
        <v>-</v>
      </c>
      <c r="O149" s="36" t="str">
        <f>IFERROR(INDEX(Katalog!$D$3:$D$12,MATCH(Data[[#This Row],[ItemID B]],Katalog!$C$3:$C$12,0))*Data[[#This Row],[Qty B]],"0")</f>
        <v>0</v>
      </c>
      <c r="P149" s="36" t="str">
        <f>IFERROR(INDEX(Katalog!$F$3:$F$12,MATCH(Data[[#This Row],[ItemID B]],Katalog!$C$3:$C$12,0))*Data[[#This Row],[Qty B]],"0")</f>
        <v>0</v>
      </c>
      <c r="R149" t="str">
        <f>IFERROR(INDEX(Katalog!$A$3:$A$12,MATCH(Data[[#This Row],[ItemID C]],Katalog!$C$3:$C$12,0)),"-")</f>
        <v>-</v>
      </c>
      <c r="S149" t="str">
        <f>IFERROR(INDEX(Katalog!$B$3:$B$12,MATCH(Data[[#This Row],[ItemID C]],Katalog!$C$3:$C$12,0)),"-")</f>
        <v>-</v>
      </c>
      <c r="V149" s="36" t="str">
        <f>IFERROR(INDEX(Katalog!$D$3:$D$12,MATCH(Data[[#This Row],[ItemID C]],Katalog!$C$3:$C$12,0))*Data[[#This Row],[Qty C]],"0")</f>
        <v>0</v>
      </c>
      <c r="W149" s="36" t="str">
        <f>IFERROR(INDEX(Katalog!$F$3:$F$12,MATCH(Data[[#This Row],[ItemID C]],Katalog!$C$3:$C$12,0))*Data[[#This Row],[Qty C]],"0")</f>
        <v>0</v>
      </c>
      <c r="X149" s="21">
        <f>Data[[#This Row],[Qty A]]+Data[[#This Row],[Qty B]]+Data[[#This Row],[Qty C]]</f>
        <v>2</v>
      </c>
      <c r="Y149" s="22">
        <f>Data[[#This Row],[Harga Barang A]]+Data[[#This Row],[Harga Barang B]]+Data[[#This Row],[Harga Barang C]]</f>
        <v>500000</v>
      </c>
      <c r="Z149" s="35">
        <f>IFERROR(Data[[#This Row],[Total Harga]]-(Data[[#This Row],[Total Harga]]*Data[[#This Row],[Diskon]]),Data[[#This Row],[Total Harga]])</f>
        <v>450000</v>
      </c>
      <c r="AA149" s="35">
        <f>(Data[[#This Row],[Profit A]]+Data[[#This Row],[Profit B]]+Data[[#This Row],[Profit C]])</f>
        <v>200000</v>
      </c>
      <c r="AB149" s="35">
        <f>IFERROR((Data[[#This Row],[Profit non Diskon]]-(Data[[#This Row],[Profit non Diskon]]*Data[[#This Row],[Diskon]])),Data[[#This Row],[Profit non Diskon]])</f>
        <v>180000</v>
      </c>
      <c r="AC149" s="23" t="s">
        <v>6</v>
      </c>
      <c r="AD149" s="37">
        <f>IFERROR(INDEX('Kode Diskon'!$D$3:$D$9,MATCH(Data[[#This Row],[Kode diskon]],'Kode Diskon'!$C$3:$C$9,0)),"-")</f>
        <v>0.1</v>
      </c>
      <c r="AE149" s="23" t="s">
        <v>29</v>
      </c>
      <c r="AF149" s="23" t="s">
        <v>7</v>
      </c>
      <c r="AG149" s="23" t="s">
        <v>79</v>
      </c>
      <c r="AH149" s="24">
        <v>45022</v>
      </c>
      <c r="AI149" s="23" t="str">
        <f>TEXT(Data[[#This Row],[Tanggal terjual]],"dddd")</f>
        <v>Thursday</v>
      </c>
      <c r="AJ149" s="21" t="str">
        <f>TEXT(Data[[#This Row],[Tanggal terjual]],"wwww")</f>
        <v>wwww</v>
      </c>
    </row>
    <row r="150" spans="1:36" x14ac:dyDescent="0.2">
      <c r="A150" s="20">
        <v>149</v>
      </c>
      <c r="B150" s="21" t="str">
        <f>_xlfn.CONCAT("ORD-",INDEX(Helper!$B$2:$B$5,MATCH(Data[[#This Row],[Marketplace]],Helper!$A$2:$A$5,0)),TEXT(Data[[#This Row],[No]],"0000"),"-",TEXT(Data[[#This Row],[Tanggal terjual]],"dd/mm/yy"))</f>
        <v>ORD-BL0149-18/04/23</v>
      </c>
      <c r="C150" t="s">
        <v>61</v>
      </c>
      <c r="D150" t="str">
        <f>IFERROR(INDEX(Katalog!$A$3:$A$12,MATCH(Data[[#This Row],[ItemID A]],Katalog!$C$3:$C$12,0)),"-")</f>
        <v>Pakaian Pria</v>
      </c>
      <c r="E150" t="str">
        <f>IFERROR(INDEX(Katalog!$B$3:$B$12,MATCH(Data[[#This Row],[ItemID A]],Katalog!$C$3:$C$12,0)),"-")</f>
        <v>Kaos Polo</v>
      </c>
      <c r="F150">
        <v>2</v>
      </c>
      <c r="G150">
        <v>4</v>
      </c>
      <c r="H150" s="36">
        <f>IFERROR(INDEX(Katalog!$D$3:$D$12,MATCH(Data[[#This Row],[ItemID A]],Katalog!$C$3:$C$12,0))*Data[[#This Row],[Qty A]],"0")</f>
        <v>400000</v>
      </c>
      <c r="I150" s="36">
        <f>IFERROR(INDEX(Katalog!$F$3:$F$12,MATCH(Data[[#This Row],[ItemID A]],Katalog!$C$3:$C$12,0))*Data[[#This Row],[Qty A]],0)</f>
        <v>160000</v>
      </c>
      <c r="J150" t="s">
        <v>65</v>
      </c>
      <c r="K150" t="str">
        <f>IFERROR(INDEX(Katalog!$A$3:$A$12,MATCH(Data[[#This Row],[ItemID B]],Katalog!$C$3:$C$12,0)),"-")</f>
        <v>Sepatu Pria</v>
      </c>
      <c r="L150" t="str">
        <f>IFERROR(INDEX(Katalog!$B$3:$B$12,MATCH(Data[[#This Row],[ItemID B]],Katalog!$C$3:$C$12,0)),"-")</f>
        <v>Sneakers</v>
      </c>
      <c r="M150">
        <v>1</v>
      </c>
      <c r="N150">
        <v>2</v>
      </c>
      <c r="O150" s="36">
        <f>IFERROR(INDEX(Katalog!$D$3:$D$12,MATCH(Data[[#This Row],[ItemID B]],Katalog!$C$3:$C$12,0))*Data[[#This Row],[Qty B]],"0")</f>
        <v>500000</v>
      </c>
      <c r="P150" s="36">
        <f>IFERROR(INDEX(Katalog!$F$3:$F$12,MATCH(Data[[#This Row],[ItemID B]],Katalog!$C$3:$C$12,0))*Data[[#This Row],[Qty B]],"0")</f>
        <v>200000</v>
      </c>
      <c r="Q150" t="s">
        <v>59</v>
      </c>
      <c r="R150" t="str">
        <f>IFERROR(INDEX(Katalog!$A$3:$A$12,MATCH(Data[[#This Row],[ItemID C]],Katalog!$C$3:$C$12,0)),"-")</f>
        <v>Pakaian Wanita</v>
      </c>
      <c r="S150" t="str">
        <f>IFERROR(INDEX(Katalog!$B$3:$B$12,MATCH(Data[[#This Row],[ItemID C]],Katalog!$C$3:$C$12,0)),"-")</f>
        <v>Blouse</v>
      </c>
      <c r="T150">
        <v>1</v>
      </c>
      <c r="U150">
        <v>5</v>
      </c>
      <c r="V150" s="36">
        <f>IFERROR(INDEX(Katalog!$D$3:$D$12,MATCH(Data[[#This Row],[ItemID C]],Katalog!$C$3:$C$12,0))*Data[[#This Row],[Qty C]],"0")</f>
        <v>150000</v>
      </c>
      <c r="W150" s="36">
        <f>IFERROR(INDEX(Katalog!$F$3:$F$12,MATCH(Data[[#This Row],[ItemID C]],Katalog!$C$3:$C$12,0))*Data[[#This Row],[Qty C]],"0")</f>
        <v>50000</v>
      </c>
      <c r="X150" s="21">
        <f>Data[[#This Row],[Qty A]]+Data[[#This Row],[Qty B]]+Data[[#This Row],[Qty C]]</f>
        <v>4</v>
      </c>
      <c r="Y150" s="22">
        <f>Data[[#This Row],[Harga Barang A]]+Data[[#This Row],[Harga Barang B]]+Data[[#This Row],[Harga Barang C]]</f>
        <v>1050000</v>
      </c>
      <c r="Z150" s="35">
        <f>IFERROR(Data[[#This Row],[Total Harga]]-(Data[[#This Row],[Total Harga]]*Data[[#This Row],[Diskon]]),Data[[#This Row],[Total Harga]])</f>
        <v>892500</v>
      </c>
      <c r="AA150" s="35">
        <f>(Data[[#This Row],[Profit A]]+Data[[#This Row],[Profit B]]+Data[[#This Row],[Profit C]])</f>
        <v>410000</v>
      </c>
      <c r="AB150" s="35">
        <f>IFERROR((Data[[#This Row],[Profit non Diskon]]-(Data[[#This Row],[Profit non Diskon]]*Data[[#This Row],[Diskon]])),Data[[#This Row],[Profit non Diskon]])</f>
        <v>348500</v>
      </c>
      <c r="AC150" s="23" t="s">
        <v>32</v>
      </c>
      <c r="AD150" s="37">
        <f>IFERROR(INDEX('Kode Diskon'!$D$3:$D$9,MATCH(Data[[#This Row],[Kode diskon]],'Kode Diskon'!$C$3:$C$9,0)),"-")</f>
        <v>0.15</v>
      </c>
      <c r="AE150" s="23" t="s">
        <v>9</v>
      </c>
      <c r="AF150" s="23" t="s">
        <v>12</v>
      </c>
      <c r="AG150" s="23" t="s">
        <v>76</v>
      </c>
      <c r="AH150" s="24">
        <v>45034</v>
      </c>
      <c r="AI150" s="23" t="str">
        <f>TEXT(Data[[#This Row],[Tanggal terjual]],"dddd")</f>
        <v>Tuesday</v>
      </c>
      <c r="AJ150" s="21" t="str">
        <f>TEXT(Data[[#This Row],[Tanggal terjual]],"wwww")</f>
        <v>wwww</v>
      </c>
    </row>
    <row r="151" spans="1:36" x14ac:dyDescent="0.2">
      <c r="A151" s="20">
        <v>150</v>
      </c>
      <c r="B151" s="21" t="str">
        <f>_xlfn.CONCAT("ORD-",INDEX(Helper!$B$2:$B$5,MATCH(Data[[#This Row],[Marketplace]],Helper!$A$2:$A$5,0)),TEXT(Data[[#This Row],[No]],"0000"),"-",TEXT(Data[[#This Row],[Tanggal terjual]],"dd/mm/yy"))</f>
        <v>ORD-SP0150-05/04/23</v>
      </c>
      <c r="C151" t="s">
        <v>58</v>
      </c>
      <c r="D151" t="str">
        <f>IFERROR(INDEX(Katalog!$A$3:$A$12,MATCH(Data[[#This Row],[ItemID A]],Katalog!$C$3:$C$12,0)),"-")</f>
        <v>Pakaian Wanita</v>
      </c>
      <c r="E151" t="str">
        <f>IFERROR(INDEX(Katalog!$B$3:$B$12,MATCH(Data[[#This Row],[ItemID A]],Katalog!$C$3:$C$12,0)),"-")</f>
        <v>Dress</v>
      </c>
      <c r="F151">
        <v>1</v>
      </c>
      <c r="G151">
        <v>4</v>
      </c>
      <c r="H151" s="36">
        <f>IFERROR(INDEX(Katalog!$D$3:$D$12,MATCH(Data[[#This Row],[ItemID A]],Katalog!$C$3:$C$12,0))*Data[[#This Row],[Qty A]],"0")</f>
        <v>300000</v>
      </c>
      <c r="I151" s="36">
        <f>IFERROR(INDEX(Katalog!$F$3:$F$12,MATCH(Data[[#This Row],[ItemID A]],Katalog!$C$3:$C$12,0))*Data[[#This Row],[Qty A]],0)</f>
        <v>100000</v>
      </c>
      <c r="J151" t="s">
        <v>66</v>
      </c>
      <c r="K151" t="str">
        <f>IFERROR(INDEX(Katalog!$A$3:$A$12,MATCH(Data[[#This Row],[ItemID B]],Katalog!$C$3:$C$12,0)),"-")</f>
        <v>Sepatu Pria</v>
      </c>
      <c r="L151" t="str">
        <f>IFERROR(INDEX(Katalog!$B$3:$B$12,MATCH(Data[[#This Row],[ItemID B]],Katalog!$C$3:$C$12,0)),"-")</f>
        <v>Sandal Slip On</v>
      </c>
      <c r="M151">
        <v>2</v>
      </c>
      <c r="N151">
        <v>2</v>
      </c>
      <c r="O151" s="36">
        <f>IFERROR(INDEX(Katalog!$D$3:$D$12,MATCH(Data[[#This Row],[ItemID B]],Katalog!$C$3:$C$12,0))*Data[[#This Row],[Qty B]],"0")</f>
        <v>300000</v>
      </c>
      <c r="P151" s="36">
        <f>IFERROR(INDEX(Katalog!$F$3:$F$12,MATCH(Data[[#This Row],[ItemID B]],Katalog!$C$3:$C$12,0))*Data[[#This Row],[Qty B]],"0")</f>
        <v>120000</v>
      </c>
      <c r="Q151" t="s">
        <v>59</v>
      </c>
      <c r="R151" t="str">
        <f>IFERROR(INDEX(Katalog!$A$3:$A$12,MATCH(Data[[#This Row],[ItemID C]],Katalog!$C$3:$C$12,0)),"-")</f>
        <v>Pakaian Wanita</v>
      </c>
      <c r="S151" t="str">
        <f>IFERROR(INDEX(Katalog!$B$3:$B$12,MATCH(Data[[#This Row],[ItemID C]],Katalog!$C$3:$C$12,0)),"-")</f>
        <v>Blouse</v>
      </c>
      <c r="T151">
        <v>3</v>
      </c>
      <c r="U151">
        <v>4</v>
      </c>
      <c r="V151" s="36">
        <f>IFERROR(INDEX(Katalog!$D$3:$D$12,MATCH(Data[[#This Row],[ItemID C]],Katalog!$C$3:$C$12,0))*Data[[#This Row],[Qty C]],"0")</f>
        <v>450000</v>
      </c>
      <c r="W151" s="36">
        <f>IFERROR(INDEX(Katalog!$F$3:$F$12,MATCH(Data[[#This Row],[ItemID C]],Katalog!$C$3:$C$12,0))*Data[[#This Row],[Qty C]],"0")</f>
        <v>150000</v>
      </c>
      <c r="X151" s="21">
        <f>Data[[#This Row],[Qty A]]+Data[[#This Row],[Qty B]]+Data[[#This Row],[Qty C]]</f>
        <v>6</v>
      </c>
      <c r="Y151" s="22">
        <f>Data[[#This Row],[Harga Barang A]]+Data[[#This Row],[Harga Barang B]]+Data[[#This Row],[Harga Barang C]]</f>
        <v>1050000</v>
      </c>
      <c r="Z151" s="35">
        <f>IFERROR(Data[[#This Row],[Total Harga]]-(Data[[#This Row],[Total Harga]]*Data[[#This Row],[Diskon]]),Data[[#This Row],[Total Harga]])</f>
        <v>892500</v>
      </c>
      <c r="AA151" s="35">
        <f>(Data[[#This Row],[Profit A]]+Data[[#This Row],[Profit B]]+Data[[#This Row],[Profit C]])</f>
        <v>370000</v>
      </c>
      <c r="AB151" s="35">
        <f>IFERROR((Data[[#This Row],[Profit non Diskon]]-(Data[[#This Row],[Profit non Diskon]]*Data[[#This Row],[Diskon]])),Data[[#This Row],[Profit non Diskon]])</f>
        <v>314500</v>
      </c>
      <c r="AC151" s="23" t="s">
        <v>13</v>
      </c>
      <c r="AD151" s="37">
        <f>IFERROR(INDEX('Kode Diskon'!$D$3:$D$9,MATCH(Data[[#This Row],[Kode diskon]],'Kode Diskon'!$C$3:$C$9,0)),"-")</f>
        <v>0.15</v>
      </c>
      <c r="AE151" s="23" t="s">
        <v>29</v>
      </c>
      <c r="AF151" s="23" t="s">
        <v>7</v>
      </c>
      <c r="AG151" s="23" t="s">
        <v>79</v>
      </c>
      <c r="AH151" s="24">
        <v>45021</v>
      </c>
      <c r="AI151" s="23" t="str">
        <f>TEXT(Data[[#This Row],[Tanggal terjual]],"dddd")</f>
        <v>Wednesday</v>
      </c>
      <c r="AJ151" s="21" t="str">
        <f>TEXT(Data[[#This Row],[Tanggal terjual]],"wwww")</f>
        <v>wwww</v>
      </c>
    </row>
    <row r="152" spans="1:36" x14ac:dyDescent="0.2">
      <c r="A152" s="20">
        <v>151</v>
      </c>
      <c r="B152" s="21" t="str">
        <f>_xlfn.CONCAT("ORD-",INDEX(Helper!$B$2:$B$5,MATCH(Data[[#This Row],[Marketplace]],Helper!$A$2:$A$5,0)),TEXT(Data[[#This Row],[No]],"0000"),"-",TEXT(Data[[#This Row],[Tanggal terjual]],"dd/mm/yy"))</f>
        <v>ORD-BL0151-27/04/23</v>
      </c>
      <c r="C152" t="s">
        <v>67</v>
      </c>
      <c r="D152" t="str">
        <f>IFERROR(INDEX(Katalog!$A$3:$A$12,MATCH(Data[[#This Row],[ItemID A]],Katalog!$C$3:$C$12,0)),"-")</f>
        <v>Sepatu Wanita</v>
      </c>
      <c r="E152" t="str">
        <f>IFERROR(INDEX(Katalog!$B$3:$B$12,MATCH(Data[[#This Row],[ItemID A]],Katalog!$C$3:$C$12,0)),"-")</f>
        <v>Flat Shoes</v>
      </c>
      <c r="F152">
        <v>4</v>
      </c>
      <c r="G152">
        <v>2</v>
      </c>
      <c r="H152" s="36">
        <f>IFERROR(INDEX(Katalog!$D$3:$D$12,MATCH(Data[[#This Row],[ItemID A]],Katalog!$C$3:$C$12,0))*Data[[#This Row],[Qty A]],"0")</f>
        <v>1000000</v>
      </c>
      <c r="I152" s="36">
        <f>IFERROR(INDEX(Katalog!$F$3:$F$12,MATCH(Data[[#This Row],[ItemID A]],Katalog!$C$3:$C$12,0))*Data[[#This Row],[Qty A]],0)</f>
        <v>400000</v>
      </c>
      <c r="J152" t="s">
        <v>61</v>
      </c>
      <c r="K152" t="str">
        <f>IFERROR(INDEX(Katalog!$A$3:$A$12,MATCH(Data[[#This Row],[ItemID B]],Katalog!$C$3:$C$12,0)),"-")</f>
        <v>Pakaian Pria</v>
      </c>
      <c r="L152" t="str">
        <f>IFERROR(INDEX(Katalog!$B$3:$B$12,MATCH(Data[[#This Row],[ItemID B]],Katalog!$C$3:$C$12,0)),"-")</f>
        <v>Kaos Polo</v>
      </c>
      <c r="M152">
        <v>1</v>
      </c>
      <c r="N152">
        <v>5</v>
      </c>
      <c r="O152" s="36">
        <f>IFERROR(INDEX(Katalog!$D$3:$D$12,MATCH(Data[[#This Row],[ItemID B]],Katalog!$C$3:$C$12,0))*Data[[#This Row],[Qty B]],"0")</f>
        <v>200000</v>
      </c>
      <c r="P152" s="36">
        <f>IFERROR(INDEX(Katalog!$F$3:$F$12,MATCH(Data[[#This Row],[ItemID B]],Katalog!$C$3:$C$12,0))*Data[[#This Row],[Qty B]],"0")</f>
        <v>80000</v>
      </c>
      <c r="R152" t="str">
        <f>IFERROR(INDEX(Katalog!$A$3:$A$12,MATCH(Data[[#This Row],[ItemID C]],Katalog!$C$3:$C$12,0)),"-")</f>
        <v>-</v>
      </c>
      <c r="S152" t="str">
        <f>IFERROR(INDEX(Katalog!$B$3:$B$12,MATCH(Data[[#This Row],[ItemID C]],Katalog!$C$3:$C$12,0)),"-")</f>
        <v>-</v>
      </c>
      <c r="V152" s="36" t="str">
        <f>IFERROR(INDEX(Katalog!$D$3:$D$12,MATCH(Data[[#This Row],[ItemID C]],Katalog!$C$3:$C$12,0))*Data[[#This Row],[Qty C]],"0")</f>
        <v>0</v>
      </c>
      <c r="W152" s="36" t="str">
        <f>IFERROR(INDEX(Katalog!$F$3:$F$12,MATCH(Data[[#This Row],[ItemID C]],Katalog!$C$3:$C$12,0))*Data[[#This Row],[Qty C]],"0")</f>
        <v>0</v>
      </c>
      <c r="X152" s="21">
        <f>Data[[#This Row],[Qty A]]+Data[[#This Row],[Qty B]]+Data[[#This Row],[Qty C]]</f>
        <v>5</v>
      </c>
      <c r="Y152" s="22">
        <f>Data[[#This Row],[Harga Barang A]]+Data[[#This Row],[Harga Barang B]]+Data[[#This Row],[Harga Barang C]]</f>
        <v>1200000</v>
      </c>
      <c r="Z152" s="35">
        <f>IFERROR(Data[[#This Row],[Total Harga]]-(Data[[#This Row],[Total Harga]]*Data[[#This Row],[Diskon]]),Data[[#This Row],[Total Harga]])</f>
        <v>1020000</v>
      </c>
      <c r="AA152" s="35">
        <f>(Data[[#This Row],[Profit A]]+Data[[#This Row],[Profit B]]+Data[[#This Row],[Profit C]])</f>
        <v>480000</v>
      </c>
      <c r="AB152" s="35">
        <f>IFERROR((Data[[#This Row],[Profit non Diskon]]-(Data[[#This Row],[Profit non Diskon]]*Data[[#This Row],[Diskon]])),Data[[#This Row],[Profit non Diskon]])</f>
        <v>408000</v>
      </c>
      <c r="AC152" s="23" t="s">
        <v>32</v>
      </c>
      <c r="AD152" s="37">
        <f>IFERROR(INDEX('Kode Diskon'!$D$3:$D$9,MATCH(Data[[#This Row],[Kode diskon]],'Kode Diskon'!$C$3:$C$9,0)),"-")</f>
        <v>0.15</v>
      </c>
      <c r="AE152" s="23" t="s">
        <v>9</v>
      </c>
      <c r="AF152" s="23" t="s">
        <v>12</v>
      </c>
      <c r="AG152" s="23" t="s">
        <v>79</v>
      </c>
      <c r="AH152" s="24">
        <v>45043</v>
      </c>
      <c r="AI152" s="23" t="str">
        <f>TEXT(Data[[#This Row],[Tanggal terjual]],"dddd")</f>
        <v>Thursday</v>
      </c>
      <c r="AJ152" s="21" t="str">
        <f>TEXT(Data[[#This Row],[Tanggal terjual]],"wwww")</f>
        <v>wwww</v>
      </c>
    </row>
    <row r="153" spans="1:36" x14ac:dyDescent="0.2">
      <c r="A153" s="20">
        <v>152</v>
      </c>
      <c r="B153" s="21" t="str">
        <f>_xlfn.CONCAT("ORD-",INDEX(Helper!$B$2:$B$5,MATCH(Data[[#This Row],[Marketplace]],Helper!$A$2:$A$5,0)),TEXT(Data[[#This Row],[No]],"0000"),"-",TEXT(Data[[#This Row],[Tanggal terjual]],"dd/mm/yy"))</f>
        <v>ORD-BB0152-02/04/23</v>
      </c>
      <c r="C153" t="s">
        <v>60</v>
      </c>
      <c r="D153" t="str">
        <f>IFERROR(INDEX(Katalog!$A$3:$A$12,MATCH(Data[[#This Row],[ItemID A]],Katalog!$C$3:$C$12,0)),"-")</f>
        <v>Pakaian Wanita</v>
      </c>
      <c r="E153" t="str">
        <f>IFERROR(INDEX(Katalog!$B$3:$B$12,MATCH(Data[[#This Row],[ItemID A]],Katalog!$C$3:$C$12,0)),"-")</f>
        <v>Kaftan</v>
      </c>
      <c r="F153">
        <v>4</v>
      </c>
      <c r="G153">
        <v>3</v>
      </c>
      <c r="H153" s="36">
        <f>IFERROR(INDEX(Katalog!$D$3:$D$12,MATCH(Data[[#This Row],[ItemID A]],Katalog!$C$3:$C$12,0))*Data[[#This Row],[Qty A]],"0")</f>
        <v>1000000</v>
      </c>
      <c r="I153" s="36">
        <f>IFERROR(INDEX(Katalog!$F$3:$F$12,MATCH(Data[[#This Row],[ItemID A]],Katalog!$C$3:$C$12,0))*Data[[#This Row],[Qty A]],0)</f>
        <v>400000</v>
      </c>
      <c r="K153" t="str">
        <f>IFERROR(INDEX(Katalog!$A$3:$A$12,MATCH(Data[[#This Row],[ItemID B]],Katalog!$C$3:$C$12,0)),"-")</f>
        <v>-</v>
      </c>
      <c r="L153" t="str">
        <f>IFERROR(INDEX(Katalog!$B$3:$B$12,MATCH(Data[[#This Row],[ItemID B]],Katalog!$C$3:$C$12,0)),"-")</f>
        <v>-</v>
      </c>
      <c r="O153" s="36" t="str">
        <f>IFERROR(INDEX(Katalog!$D$3:$D$12,MATCH(Data[[#This Row],[ItemID B]],Katalog!$C$3:$C$12,0))*Data[[#This Row],[Qty B]],"0")</f>
        <v>0</v>
      </c>
      <c r="P153" s="36" t="str">
        <f>IFERROR(INDEX(Katalog!$F$3:$F$12,MATCH(Data[[#This Row],[ItemID B]],Katalog!$C$3:$C$12,0))*Data[[#This Row],[Qty B]],"0")</f>
        <v>0</v>
      </c>
      <c r="R153" t="str">
        <f>IFERROR(INDEX(Katalog!$A$3:$A$12,MATCH(Data[[#This Row],[ItemID C]],Katalog!$C$3:$C$12,0)),"-")</f>
        <v>-</v>
      </c>
      <c r="S153" t="str">
        <f>IFERROR(INDEX(Katalog!$B$3:$B$12,MATCH(Data[[#This Row],[ItemID C]],Katalog!$C$3:$C$12,0)),"-")</f>
        <v>-</v>
      </c>
      <c r="V153" s="36" t="str">
        <f>IFERROR(INDEX(Katalog!$D$3:$D$12,MATCH(Data[[#This Row],[ItemID C]],Katalog!$C$3:$C$12,0))*Data[[#This Row],[Qty C]],"0")</f>
        <v>0</v>
      </c>
      <c r="W153" s="36" t="str">
        <f>IFERROR(INDEX(Katalog!$F$3:$F$12,MATCH(Data[[#This Row],[ItemID C]],Katalog!$C$3:$C$12,0))*Data[[#This Row],[Qty C]],"0")</f>
        <v>0</v>
      </c>
      <c r="X153" s="21">
        <f>Data[[#This Row],[Qty A]]+Data[[#This Row],[Qty B]]+Data[[#This Row],[Qty C]]</f>
        <v>4</v>
      </c>
      <c r="Y153" s="22">
        <f>Data[[#This Row],[Harga Barang A]]+Data[[#This Row],[Harga Barang B]]+Data[[#This Row],[Harga Barang C]]</f>
        <v>1000000</v>
      </c>
      <c r="Z153" s="35">
        <f>IFERROR(Data[[#This Row],[Total Harga]]-(Data[[#This Row],[Total Harga]]*Data[[#This Row],[Diskon]]),Data[[#This Row],[Total Harga]])</f>
        <v>850000</v>
      </c>
      <c r="AA153" s="35">
        <f>(Data[[#This Row],[Profit A]]+Data[[#This Row],[Profit B]]+Data[[#This Row],[Profit C]])</f>
        <v>400000</v>
      </c>
      <c r="AB153" s="35">
        <f>IFERROR((Data[[#This Row],[Profit non Diskon]]-(Data[[#This Row],[Profit non Diskon]]*Data[[#This Row],[Diskon]])),Data[[#This Row],[Profit non Diskon]])</f>
        <v>340000</v>
      </c>
      <c r="AC153" s="23" t="s">
        <v>28</v>
      </c>
      <c r="AD153" s="37">
        <f>IFERROR(INDEX('Kode Diskon'!$D$3:$D$9,MATCH(Data[[#This Row],[Kode diskon]],'Kode Diskon'!$C$3:$C$9,0)),"-")</f>
        <v>0.15</v>
      </c>
      <c r="AE153" s="23" t="s">
        <v>29</v>
      </c>
      <c r="AF153" s="23" t="s">
        <v>14</v>
      </c>
      <c r="AG153" s="23" t="s">
        <v>80</v>
      </c>
      <c r="AH153" s="24">
        <v>45018</v>
      </c>
      <c r="AI153" s="23" t="str">
        <f>TEXT(Data[[#This Row],[Tanggal terjual]],"dddd")</f>
        <v>Sunday</v>
      </c>
      <c r="AJ153" s="21" t="str">
        <f>TEXT(Data[[#This Row],[Tanggal terjual]],"wwww")</f>
        <v>wwww</v>
      </c>
    </row>
    <row r="154" spans="1:36" x14ac:dyDescent="0.2">
      <c r="A154" s="20">
        <v>153</v>
      </c>
      <c r="B154" s="21" t="str">
        <f>_xlfn.CONCAT("ORD-",INDEX(Helper!$B$2:$B$5,MATCH(Data[[#This Row],[Marketplace]],Helper!$A$2:$A$5,0)),TEXT(Data[[#This Row],[No]],"0000"),"-",TEXT(Data[[#This Row],[Tanggal terjual]],"dd/mm/yy"))</f>
        <v>ORD-SP0153-04/04/23</v>
      </c>
      <c r="C154" t="s">
        <v>67</v>
      </c>
      <c r="D154" t="str">
        <f>IFERROR(INDEX(Katalog!$A$3:$A$12,MATCH(Data[[#This Row],[ItemID A]],Katalog!$C$3:$C$12,0)),"-")</f>
        <v>Sepatu Wanita</v>
      </c>
      <c r="E154" t="str">
        <f>IFERROR(INDEX(Katalog!$B$3:$B$12,MATCH(Data[[#This Row],[ItemID A]],Katalog!$C$3:$C$12,0)),"-")</f>
        <v>Flat Shoes</v>
      </c>
      <c r="F154">
        <v>2</v>
      </c>
      <c r="G154">
        <v>1</v>
      </c>
      <c r="H154" s="36">
        <f>IFERROR(INDEX(Katalog!$D$3:$D$12,MATCH(Data[[#This Row],[ItemID A]],Katalog!$C$3:$C$12,0))*Data[[#This Row],[Qty A]],"0")</f>
        <v>500000</v>
      </c>
      <c r="I154" s="36">
        <f>IFERROR(INDEX(Katalog!$F$3:$F$12,MATCH(Data[[#This Row],[ItemID A]],Katalog!$C$3:$C$12,0))*Data[[#This Row],[Qty A]],0)</f>
        <v>200000</v>
      </c>
      <c r="J154" t="s">
        <v>61</v>
      </c>
      <c r="K154" t="str">
        <f>IFERROR(INDEX(Katalog!$A$3:$A$12,MATCH(Data[[#This Row],[ItemID B]],Katalog!$C$3:$C$12,0)),"-")</f>
        <v>Pakaian Pria</v>
      </c>
      <c r="L154" t="str">
        <f>IFERROR(INDEX(Katalog!$B$3:$B$12,MATCH(Data[[#This Row],[ItemID B]],Katalog!$C$3:$C$12,0)),"-")</f>
        <v>Kaos Polo</v>
      </c>
      <c r="M154">
        <v>1</v>
      </c>
      <c r="N154">
        <v>5</v>
      </c>
      <c r="O154" s="36">
        <f>IFERROR(INDEX(Katalog!$D$3:$D$12,MATCH(Data[[#This Row],[ItemID B]],Katalog!$C$3:$C$12,0))*Data[[#This Row],[Qty B]],"0")</f>
        <v>200000</v>
      </c>
      <c r="P154" s="36">
        <f>IFERROR(INDEX(Katalog!$F$3:$F$12,MATCH(Data[[#This Row],[ItemID B]],Katalog!$C$3:$C$12,0))*Data[[#This Row],[Qty B]],"0")</f>
        <v>80000</v>
      </c>
      <c r="R154" t="str">
        <f>IFERROR(INDEX(Katalog!$A$3:$A$12,MATCH(Data[[#This Row],[ItemID C]],Katalog!$C$3:$C$12,0)),"-")</f>
        <v>-</v>
      </c>
      <c r="S154" t="str">
        <f>IFERROR(INDEX(Katalog!$B$3:$B$12,MATCH(Data[[#This Row],[ItemID C]],Katalog!$C$3:$C$12,0)),"-")</f>
        <v>-</v>
      </c>
      <c r="V154" s="36" t="str">
        <f>IFERROR(INDEX(Katalog!$D$3:$D$12,MATCH(Data[[#This Row],[ItemID C]],Katalog!$C$3:$C$12,0))*Data[[#This Row],[Qty C]],"0")</f>
        <v>0</v>
      </c>
      <c r="W154" s="36" t="str">
        <f>IFERROR(INDEX(Katalog!$F$3:$F$12,MATCH(Data[[#This Row],[ItemID C]],Katalog!$C$3:$C$12,0))*Data[[#This Row],[Qty C]],"0")</f>
        <v>0</v>
      </c>
      <c r="X154" s="21">
        <f>Data[[#This Row],[Qty A]]+Data[[#This Row],[Qty B]]+Data[[#This Row],[Qty C]]</f>
        <v>3</v>
      </c>
      <c r="Y154" s="22">
        <f>Data[[#This Row],[Harga Barang A]]+Data[[#This Row],[Harga Barang B]]+Data[[#This Row],[Harga Barang C]]</f>
        <v>700000</v>
      </c>
      <c r="Z154" s="35">
        <f>IFERROR(Data[[#This Row],[Total Harga]]-(Data[[#This Row],[Total Harga]]*Data[[#This Row],[Diskon]]),Data[[#This Row],[Total Harga]])</f>
        <v>630000</v>
      </c>
      <c r="AA154" s="35">
        <f>(Data[[#This Row],[Profit A]]+Data[[#This Row],[Profit B]]+Data[[#This Row],[Profit C]])</f>
        <v>280000</v>
      </c>
      <c r="AB154" s="35">
        <f>IFERROR((Data[[#This Row],[Profit non Diskon]]-(Data[[#This Row],[Profit non Diskon]]*Data[[#This Row],[Diskon]])),Data[[#This Row],[Profit non Diskon]])</f>
        <v>252000</v>
      </c>
      <c r="AC154" s="23" t="s">
        <v>6</v>
      </c>
      <c r="AD154" s="37">
        <f>IFERROR(INDEX('Kode Diskon'!$D$3:$D$9,MATCH(Data[[#This Row],[Kode diskon]],'Kode Diskon'!$C$3:$C$9,0)),"-")</f>
        <v>0.1</v>
      </c>
      <c r="AE154" s="23" t="s">
        <v>29</v>
      </c>
      <c r="AF154" s="23" t="s">
        <v>7</v>
      </c>
      <c r="AG154" s="23" t="s">
        <v>79</v>
      </c>
      <c r="AH154" s="24">
        <v>45020</v>
      </c>
      <c r="AI154" s="23" t="str">
        <f>TEXT(Data[[#This Row],[Tanggal terjual]],"dddd")</f>
        <v>Tuesday</v>
      </c>
      <c r="AJ154" s="21" t="str">
        <f>TEXT(Data[[#This Row],[Tanggal terjual]],"wwww")</f>
        <v>wwww</v>
      </c>
    </row>
    <row r="155" spans="1:36" x14ac:dyDescent="0.2">
      <c r="A155" s="20">
        <v>154</v>
      </c>
      <c r="B155" s="21" t="str">
        <f>_xlfn.CONCAT("ORD-",INDEX(Helper!$B$2:$B$5,MATCH(Data[[#This Row],[Marketplace]],Helper!$A$2:$A$5,0)),TEXT(Data[[#This Row],[No]],"0000"),"-",TEXT(Data[[#This Row],[Tanggal terjual]],"dd/mm/yy"))</f>
        <v>ORD-SP0154-09/04/23</v>
      </c>
      <c r="C155" t="s">
        <v>61</v>
      </c>
      <c r="D155" t="str">
        <f>IFERROR(INDEX(Katalog!$A$3:$A$12,MATCH(Data[[#This Row],[ItemID A]],Katalog!$C$3:$C$12,0)),"-")</f>
        <v>Pakaian Pria</v>
      </c>
      <c r="E155" t="str">
        <f>IFERROR(INDEX(Katalog!$B$3:$B$12,MATCH(Data[[#This Row],[ItemID A]],Katalog!$C$3:$C$12,0)),"-")</f>
        <v>Kaos Polo</v>
      </c>
      <c r="F155">
        <v>7</v>
      </c>
      <c r="G155">
        <v>1</v>
      </c>
      <c r="H155" s="36">
        <f>IFERROR(INDEX(Katalog!$D$3:$D$12,MATCH(Data[[#This Row],[ItemID A]],Katalog!$C$3:$C$12,0))*Data[[#This Row],[Qty A]],"0")</f>
        <v>1400000</v>
      </c>
      <c r="I155" s="36">
        <f>IFERROR(INDEX(Katalog!$F$3:$F$12,MATCH(Data[[#This Row],[ItemID A]],Katalog!$C$3:$C$12,0))*Data[[#This Row],[Qty A]],0)</f>
        <v>560000</v>
      </c>
      <c r="K155" t="str">
        <f>IFERROR(INDEX(Katalog!$A$3:$A$12,MATCH(Data[[#This Row],[ItemID B]],Katalog!$C$3:$C$12,0)),"-")</f>
        <v>-</v>
      </c>
      <c r="L155" t="str">
        <f>IFERROR(INDEX(Katalog!$B$3:$B$12,MATCH(Data[[#This Row],[ItemID B]],Katalog!$C$3:$C$12,0)),"-")</f>
        <v>-</v>
      </c>
      <c r="O155" s="36" t="str">
        <f>IFERROR(INDEX(Katalog!$D$3:$D$12,MATCH(Data[[#This Row],[ItemID B]],Katalog!$C$3:$C$12,0))*Data[[#This Row],[Qty B]],"0")</f>
        <v>0</v>
      </c>
      <c r="P155" s="36" t="str">
        <f>IFERROR(INDEX(Katalog!$F$3:$F$12,MATCH(Data[[#This Row],[ItemID B]],Katalog!$C$3:$C$12,0))*Data[[#This Row],[Qty B]],"0")</f>
        <v>0</v>
      </c>
      <c r="R155" t="str">
        <f>IFERROR(INDEX(Katalog!$A$3:$A$12,MATCH(Data[[#This Row],[ItemID C]],Katalog!$C$3:$C$12,0)),"-")</f>
        <v>-</v>
      </c>
      <c r="S155" t="str">
        <f>IFERROR(INDEX(Katalog!$B$3:$B$12,MATCH(Data[[#This Row],[ItemID C]],Katalog!$C$3:$C$12,0)),"-")</f>
        <v>-</v>
      </c>
      <c r="V155" s="36" t="str">
        <f>IFERROR(INDEX(Katalog!$D$3:$D$12,MATCH(Data[[#This Row],[ItemID C]],Katalog!$C$3:$C$12,0))*Data[[#This Row],[Qty C]],"0")</f>
        <v>0</v>
      </c>
      <c r="W155" s="36" t="str">
        <f>IFERROR(INDEX(Katalog!$F$3:$F$12,MATCH(Data[[#This Row],[ItemID C]],Katalog!$C$3:$C$12,0))*Data[[#This Row],[Qty C]],"0")</f>
        <v>0</v>
      </c>
      <c r="X155" s="21">
        <f>Data[[#This Row],[Qty A]]+Data[[#This Row],[Qty B]]+Data[[#This Row],[Qty C]]</f>
        <v>7</v>
      </c>
      <c r="Y155" s="22">
        <f>Data[[#This Row],[Harga Barang A]]+Data[[#This Row],[Harga Barang B]]+Data[[#This Row],[Harga Barang C]]</f>
        <v>1400000</v>
      </c>
      <c r="Z155" s="35">
        <f>IFERROR(Data[[#This Row],[Total Harga]]-(Data[[#This Row],[Total Harga]]*Data[[#This Row],[Diskon]]),Data[[#This Row],[Total Harga]])</f>
        <v>1400000</v>
      </c>
      <c r="AA155" s="35">
        <f>(Data[[#This Row],[Profit A]]+Data[[#This Row],[Profit B]]+Data[[#This Row],[Profit C]])</f>
        <v>560000</v>
      </c>
      <c r="AB155" s="35">
        <f>IFERROR((Data[[#This Row],[Profit non Diskon]]-(Data[[#This Row],[Profit non Diskon]]*Data[[#This Row],[Diskon]])),Data[[#This Row],[Profit non Diskon]])</f>
        <v>560000</v>
      </c>
      <c r="AC155" s="23" t="s">
        <v>11</v>
      </c>
      <c r="AD155" s="37" t="str">
        <f>IFERROR(INDEX('Kode Diskon'!$D$3:$D$9,MATCH(Data[[#This Row],[Kode diskon]],'Kode Diskon'!$C$3:$C$9,0)),"-")</f>
        <v>-</v>
      </c>
      <c r="AE155" s="23" t="s">
        <v>11</v>
      </c>
      <c r="AF155" s="23" t="s">
        <v>7</v>
      </c>
      <c r="AG155" s="23" t="s">
        <v>77</v>
      </c>
      <c r="AH155" s="24">
        <v>45025</v>
      </c>
      <c r="AI155" s="23" t="str">
        <f>TEXT(Data[[#This Row],[Tanggal terjual]],"dddd")</f>
        <v>Sunday</v>
      </c>
      <c r="AJ155" s="21" t="str">
        <f>TEXT(Data[[#This Row],[Tanggal terjual]],"wwww")</f>
        <v>wwww</v>
      </c>
    </row>
    <row r="156" spans="1:36" x14ac:dyDescent="0.2">
      <c r="A156" s="20">
        <v>155</v>
      </c>
      <c r="B156" s="21" t="str">
        <f>_xlfn.CONCAT("ORD-",INDEX(Helper!$B$2:$B$5,MATCH(Data[[#This Row],[Marketplace]],Helper!$A$2:$A$5,0)),TEXT(Data[[#This Row],[No]],"0000"),"-",TEXT(Data[[#This Row],[Tanggal terjual]],"dd/mm/yy"))</f>
        <v>ORD-BB0155-03/04/23</v>
      </c>
      <c r="C156" t="s">
        <v>61</v>
      </c>
      <c r="D156" t="str">
        <f>IFERROR(INDEX(Katalog!$A$3:$A$12,MATCH(Data[[#This Row],[ItemID A]],Katalog!$C$3:$C$12,0)),"-")</f>
        <v>Pakaian Pria</v>
      </c>
      <c r="E156" t="str">
        <f>IFERROR(INDEX(Katalog!$B$3:$B$12,MATCH(Data[[#This Row],[ItemID A]],Katalog!$C$3:$C$12,0)),"-")</f>
        <v>Kaos Polo</v>
      </c>
      <c r="F156">
        <v>4</v>
      </c>
      <c r="G156">
        <v>5</v>
      </c>
      <c r="H156" s="36">
        <f>IFERROR(INDEX(Katalog!$D$3:$D$12,MATCH(Data[[#This Row],[ItemID A]],Katalog!$C$3:$C$12,0))*Data[[#This Row],[Qty A]],"0")</f>
        <v>800000</v>
      </c>
      <c r="I156" s="36">
        <f>IFERROR(INDEX(Katalog!$F$3:$F$12,MATCH(Data[[#This Row],[ItemID A]],Katalog!$C$3:$C$12,0))*Data[[#This Row],[Qty A]],0)</f>
        <v>320000</v>
      </c>
      <c r="J156" t="s">
        <v>66</v>
      </c>
      <c r="K156" t="str">
        <f>IFERROR(INDEX(Katalog!$A$3:$A$12,MATCH(Data[[#This Row],[ItemID B]],Katalog!$C$3:$C$12,0)),"-")</f>
        <v>Sepatu Pria</v>
      </c>
      <c r="L156" t="str">
        <f>IFERROR(INDEX(Katalog!$B$3:$B$12,MATCH(Data[[#This Row],[ItemID B]],Katalog!$C$3:$C$12,0)),"-")</f>
        <v>Sandal Slip On</v>
      </c>
      <c r="M156">
        <v>1</v>
      </c>
      <c r="N156">
        <v>3</v>
      </c>
      <c r="O156" s="36">
        <f>IFERROR(INDEX(Katalog!$D$3:$D$12,MATCH(Data[[#This Row],[ItemID B]],Katalog!$C$3:$C$12,0))*Data[[#This Row],[Qty B]],"0")</f>
        <v>150000</v>
      </c>
      <c r="P156" s="36">
        <f>IFERROR(INDEX(Katalog!$F$3:$F$12,MATCH(Data[[#This Row],[ItemID B]],Katalog!$C$3:$C$12,0))*Data[[#This Row],[Qty B]],"0")</f>
        <v>60000</v>
      </c>
      <c r="Q156" t="s">
        <v>67</v>
      </c>
      <c r="R156" t="str">
        <f>IFERROR(INDEX(Katalog!$A$3:$A$12,MATCH(Data[[#This Row],[ItemID C]],Katalog!$C$3:$C$12,0)),"-")</f>
        <v>Sepatu Wanita</v>
      </c>
      <c r="S156" t="str">
        <f>IFERROR(INDEX(Katalog!$B$3:$B$12,MATCH(Data[[#This Row],[ItemID C]],Katalog!$C$3:$C$12,0)),"-")</f>
        <v>Flat Shoes</v>
      </c>
      <c r="T156">
        <v>1</v>
      </c>
      <c r="U156">
        <v>2</v>
      </c>
      <c r="V156" s="36">
        <f>IFERROR(INDEX(Katalog!$D$3:$D$12,MATCH(Data[[#This Row],[ItemID C]],Katalog!$C$3:$C$12,0))*Data[[#This Row],[Qty C]],"0")</f>
        <v>250000</v>
      </c>
      <c r="W156" s="36">
        <f>IFERROR(INDEX(Katalog!$F$3:$F$12,MATCH(Data[[#This Row],[ItemID C]],Katalog!$C$3:$C$12,0))*Data[[#This Row],[Qty C]],"0")</f>
        <v>100000</v>
      </c>
      <c r="X156" s="21">
        <f>Data[[#This Row],[Qty A]]+Data[[#This Row],[Qty B]]+Data[[#This Row],[Qty C]]</f>
        <v>6</v>
      </c>
      <c r="Y156" s="22">
        <f>Data[[#This Row],[Harga Barang A]]+Data[[#This Row],[Harga Barang B]]+Data[[#This Row],[Harga Barang C]]</f>
        <v>1200000</v>
      </c>
      <c r="Z156" s="35">
        <f>IFERROR(Data[[#This Row],[Total Harga]]-(Data[[#This Row],[Total Harga]]*Data[[#This Row],[Diskon]]),Data[[#This Row],[Total Harga]])</f>
        <v>1020000</v>
      </c>
      <c r="AA156" s="35">
        <f>(Data[[#This Row],[Profit A]]+Data[[#This Row],[Profit B]]+Data[[#This Row],[Profit C]])</f>
        <v>480000</v>
      </c>
      <c r="AB156" s="35">
        <f>IFERROR((Data[[#This Row],[Profit non Diskon]]-(Data[[#This Row],[Profit non Diskon]]*Data[[#This Row],[Diskon]])),Data[[#This Row],[Profit non Diskon]])</f>
        <v>408000</v>
      </c>
      <c r="AC156" s="23" t="s">
        <v>28</v>
      </c>
      <c r="AD156" s="37">
        <f>IFERROR(INDEX('Kode Diskon'!$D$3:$D$9,MATCH(Data[[#This Row],[Kode diskon]],'Kode Diskon'!$C$3:$C$9,0)),"-")</f>
        <v>0.15</v>
      </c>
      <c r="AE156" s="23" t="s">
        <v>29</v>
      </c>
      <c r="AF156" s="23" t="s">
        <v>14</v>
      </c>
      <c r="AG156" s="23" t="s">
        <v>76</v>
      </c>
      <c r="AH156" s="24">
        <v>45019</v>
      </c>
      <c r="AI156" s="23" t="str">
        <f>TEXT(Data[[#This Row],[Tanggal terjual]],"dddd")</f>
        <v>Monday</v>
      </c>
      <c r="AJ156" s="21" t="str">
        <f>TEXT(Data[[#This Row],[Tanggal terjual]],"wwww")</f>
        <v>wwww</v>
      </c>
    </row>
    <row r="157" spans="1:36" x14ac:dyDescent="0.2">
      <c r="A157" s="20">
        <v>156</v>
      </c>
      <c r="B157" s="21" t="str">
        <f>_xlfn.CONCAT("ORD-",INDEX(Helper!$B$2:$B$5,MATCH(Data[[#This Row],[Marketplace]],Helper!$A$2:$A$5,0)),TEXT(Data[[#This Row],[No]],"0000"),"-",TEXT(Data[[#This Row],[Tanggal terjual]],"dd/mm/yy"))</f>
        <v>ORD-SP0156-01/04/23</v>
      </c>
      <c r="C157" t="s">
        <v>61</v>
      </c>
      <c r="D157" t="str">
        <f>IFERROR(INDEX(Katalog!$A$3:$A$12,MATCH(Data[[#This Row],[ItemID A]],Katalog!$C$3:$C$12,0)),"-")</f>
        <v>Pakaian Pria</v>
      </c>
      <c r="E157" t="str">
        <f>IFERROR(INDEX(Katalog!$B$3:$B$12,MATCH(Data[[#This Row],[ItemID A]],Katalog!$C$3:$C$12,0)),"-")</f>
        <v>Kaos Polo</v>
      </c>
      <c r="F157">
        <v>1</v>
      </c>
      <c r="G157">
        <v>2</v>
      </c>
      <c r="H157" s="36">
        <f>IFERROR(INDEX(Katalog!$D$3:$D$12,MATCH(Data[[#This Row],[ItemID A]],Katalog!$C$3:$C$12,0))*Data[[#This Row],[Qty A]],"0")</f>
        <v>200000</v>
      </c>
      <c r="I157" s="36">
        <f>IFERROR(INDEX(Katalog!$F$3:$F$12,MATCH(Data[[#This Row],[ItemID A]],Katalog!$C$3:$C$12,0))*Data[[#This Row],[Qty A]],0)</f>
        <v>80000</v>
      </c>
      <c r="J157" t="s">
        <v>63</v>
      </c>
      <c r="K157" t="str">
        <f>IFERROR(INDEX(Katalog!$A$3:$A$12,MATCH(Data[[#This Row],[ItemID B]],Katalog!$C$3:$C$12,0)),"-")</f>
        <v>Pakaian Pria</v>
      </c>
      <c r="L157" t="str">
        <f>IFERROR(INDEX(Katalog!$B$3:$B$12,MATCH(Data[[#This Row],[ItemID B]],Katalog!$C$3:$C$12,0)),"-")</f>
        <v>Jaket Jeans</v>
      </c>
      <c r="M157">
        <v>2</v>
      </c>
      <c r="N157">
        <v>5</v>
      </c>
      <c r="O157" s="36">
        <f>IFERROR(INDEX(Katalog!$D$3:$D$12,MATCH(Data[[#This Row],[ItemID B]],Katalog!$C$3:$C$12,0))*Data[[#This Row],[Qty B]],"0")</f>
        <v>800000</v>
      </c>
      <c r="P157" s="36">
        <f>IFERROR(INDEX(Katalog!$F$3:$F$12,MATCH(Data[[#This Row],[ItemID B]],Katalog!$C$3:$C$12,0))*Data[[#This Row],[Qty B]],"0")</f>
        <v>300000</v>
      </c>
      <c r="Q157" t="s">
        <v>58</v>
      </c>
      <c r="R157" t="str">
        <f>IFERROR(INDEX(Katalog!$A$3:$A$12,MATCH(Data[[#This Row],[ItemID C]],Katalog!$C$3:$C$12,0)),"-")</f>
        <v>Pakaian Wanita</v>
      </c>
      <c r="S157" t="str">
        <f>IFERROR(INDEX(Katalog!$B$3:$B$12,MATCH(Data[[#This Row],[ItemID C]],Katalog!$C$3:$C$12,0)),"-")</f>
        <v>Dress</v>
      </c>
      <c r="T157">
        <v>1</v>
      </c>
      <c r="U157">
        <v>2</v>
      </c>
      <c r="V157" s="36">
        <f>IFERROR(INDEX(Katalog!$D$3:$D$12,MATCH(Data[[#This Row],[ItemID C]],Katalog!$C$3:$C$12,0))*Data[[#This Row],[Qty C]],"0")</f>
        <v>300000</v>
      </c>
      <c r="W157" s="36">
        <f>IFERROR(INDEX(Katalog!$F$3:$F$12,MATCH(Data[[#This Row],[ItemID C]],Katalog!$C$3:$C$12,0))*Data[[#This Row],[Qty C]],"0")</f>
        <v>100000</v>
      </c>
      <c r="X157" s="21">
        <f>Data[[#This Row],[Qty A]]+Data[[#This Row],[Qty B]]+Data[[#This Row],[Qty C]]</f>
        <v>4</v>
      </c>
      <c r="Y157" s="22">
        <f>Data[[#This Row],[Harga Barang A]]+Data[[#This Row],[Harga Barang B]]+Data[[#This Row],[Harga Barang C]]</f>
        <v>1300000</v>
      </c>
      <c r="Z157" s="35">
        <f>IFERROR(Data[[#This Row],[Total Harga]]-(Data[[#This Row],[Total Harga]]*Data[[#This Row],[Diskon]]),Data[[#This Row],[Total Harga]])</f>
        <v>1105000</v>
      </c>
      <c r="AA157" s="35">
        <f>(Data[[#This Row],[Profit A]]+Data[[#This Row],[Profit B]]+Data[[#This Row],[Profit C]])</f>
        <v>480000</v>
      </c>
      <c r="AB157" s="35">
        <f>IFERROR((Data[[#This Row],[Profit non Diskon]]-(Data[[#This Row],[Profit non Diskon]]*Data[[#This Row],[Diskon]])),Data[[#This Row],[Profit non Diskon]])</f>
        <v>408000</v>
      </c>
      <c r="AC157" s="23" t="s">
        <v>13</v>
      </c>
      <c r="AD157" s="37">
        <f>IFERROR(INDEX('Kode Diskon'!$D$3:$D$9,MATCH(Data[[#This Row],[Kode diskon]],'Kode Diskon'!$C$3:$C$9,0)),"-")</f>
        <v>0.15</v>
      </c>
      <c r="AE157" s="23" t="s">
        <v>29</v>
      </c>
      <c r="AF157" s="23" t="s">
        <v>7</v>
      </c>
      <c r="AG157" s="23" t="s">
        <v>76</v>
      </c>
      <c r="AH157" s="24">
        <v>45017</v>
      </c>
      <c r="AI157" s="23" t="str">
        <f>TEXT(Data[[#This Row],[Tanggal terjual]],"dddd")</f>
        <v>Saturday</v>
      </c>
      <c r="AJ157" s="21" t="str">
        <f>TEXT(Data[[#This Row],[Tanggal terjual]],"wwww")</f>
        <v>wwww</v>
      </c>
    </row>
    <row r="158" spans="1:36" x14ac:dyDescent="0.2">
      <c r="A158" s="20">
        <v>157</v>
      </c>
      <c r="B158" s="21" t="str">
        <f>_xlfn.CONCAT("ORD-",INDEX(Helper!$B$2:$B$5,MATCH(Data[[#This Row],[Marketplace]],Helper!$A$2:$A$5,0)),TEXT(Data[[#This Row],[No]],"0000"),"-",TEXT(Data[[#This Row],[Tanggal terjual]],"dd/mm/yy"))</f>
        <v>ORD-SP0157-02/04/23</v>
      </c>
      <c r="C158" t="s">
        <v>67</v>
      </c>
      <c r="D158" t="str">
        <f>IFERROR(INDEX(Katalog!$A$3:$A$12,MATCH(Data[[#This Row],[ItemID A]],Katalog!$C$3:$C$12,0)),"-")</f>
        <v>Sepatu Wanita</v>
      </c>
      <c r="E158" t="str">
        <f>IFERROR(INDEX(Katalog!$B$3:$B$12,MATCH(Data[[#This Row],[ItemID A]],Katalog!$C$3:$C$12,0)),"-")</f>
        <v>Flat Shoes</v>
      </c>
      <c r="F158">
        <v>4</v>
      </c>
      <c r="G158">
        <v>2</v>
      </c>
      <c r="H158" s="36">
        <f>IFERROR(INDEX(Katalog!$D$3:$D$12,MATCH(Data[[#This Row],[ItemID A]],Katalog!$C$3:$C$12,0))*Data[[#This Row],[Qty A]],"0")</f>
        <v>1000000</v>
      </c>
      <c r="I158" s="36">
        <f>IFERROR(INDEX(Katalog!$F$3:$F$12,MATCH(Data[[#This Row],[ItemID A]],Katalog!$C$3:$C$12,0))*Data[[#This Row],[Qty A]],0)</f>
        <v>400000</v>
      </c>
      <c r="K158" t="str">
        <f>IFERROR(INDEX(Katalog!$A$3:$A$12,MATCH(Data[[#This Row],[ItemID B]],Katalog!$C$3:$C$12,0)),"-")</f>
        <v>-</v>
      </c>
      <c r="L158" t="str">
        <f>IFERROR(INDEX(Katalog!$B$3:$B$12,MATCH(Data[[#This Row],[ItemID B]],Katalog!$C$3:$C$12,0)),"-")</f>
        <v>-</v>
      </c>
      <c r="O158" s="36" t="str">
        <f>IFERROR(INDEX(Katalog!$D$3:$D$12,MATCH(Data[[#This Row],[ItemID B]],Katalog!$C$3:$C$12,0))*Data[[#This Row],[Qty B]],"0")</f>
        <v>0</v>
      </c>
      <c r="P158" s="36" t="str">
        <f>IFERROR(INDEX(Katalog!$F$3:$F$12,MATCH(Data[[#This Row],[ItemID B]],Katalog!$C$3:$C$12,0))*Data[[#This Row],[Qty B]],"0")</f>
        <v>0</v>
      </c>
      <c r="R158" t="str">
        <f>IFERROR(INDEX(Katalog!$A$3:$A$12,MATCH(Data[[#This Row],[ItemID C]],Katalog!$C$3:$C$12,0)),"-")</f>
        <v>-</v>
      </c>
      <c r="S158" t="str">
        <f>IFERROR(INDEX(Katalog!$B$3:$B$12,MATCH(Data[[#This Row],[ItemID C]],Katalog!$C$3:$C$12,0)),"-")</f>
        <v>-</v>
      </c>
      <c r="V158" s="36" t="str">
        <f>IFERROR(INDEX(Katalog!$D$3:$D$12,MATCH(Data[[#This Row],[ItemID C]],Katalog!$C$3:$C$12,0))*Data[[#This Row],[Qty C]],"0")</f>
        <v>0</v>
      </c>
      <c r="W158" s="36" t="str">
        <f>IFERROR(INDEX(Katalog!$F$3:$F$12,MATCH(Data[[#This Row],[ItemID C]],Katalog!$C$3:$C$12,0))*Data[[#This Row],[Qty C]],"0")</f>
        <v>0</v>
      </c>
      <c r="X158" s="21">
        <f>Data[[#This Row],[Qty A]]+Data[[#This Row],[Qty B]]+Data[[#This Row],[Qty C]]</f>
        <v>4</v>
      </c>
      <c r="Y158" s="22">
        <f>Data[[#This Row],[Harga Barang A]]+Data[[#This Row],[Harga Barang B]]+Data[[#This Row],[Harga Barang C]]</f>
        <v>1000000</v>
      </c>
      <c r="Z158" s="35">
        <f>IFERROR(Data[[#This Row],[Total Harga]]-(Data[[#This Row],[Total Harga]]*Data[[#This Row],[Diskon]]),Data[[#This Row],[Total Harga]])</f>
        <v>850000</v>
      </c>
      <c r="AA158" s="35">
        <f>(Data[[#This Row],[Profit A]]+Data[[#This Row],[Profit B]]+Data[[#This Row],[Profit C]])</f>
        <v>400000</v>
      </c>
      <c r="AB158" s="35">
        <f>IFERROR((Data[[#This Row],[Profit non Diskon]]-(Data[[#This Row],[Profit non Diskon]]*Data[[#This Row],[Diskon]])),Data[[#This Row],[Profit non Diskon]])</f>
        <v>340000</v>
      </c>
      <c r="AC158" s="23" t="s">
        <v>13</v>
      </c>
      <c r="AD158" s="37">
        <f>IFERROR(INDEX('Kode Diskon'!$D$3:$D$9,MATCH(Data[[#This Row],[Kode diskon]],'Kode Diskon'!$C$3:$C$9,0)),"-")</f>
        <v>0.15</v>
      </c>
      <c r="AE158" s="23" t="s">
        <v>29</v>
      </c>
      <c r="AF158" s="23" t="s">
        <v>7</v>
      </c>
      <c r="AG158" s="23" t="s">
        <v>76</v>
      </c>
      <c r="AH158" s="24">
        <v>45018</v>
      </c>
      <c r="AI158" s="23" t="str">
        <f>TEXT(Data[[#This Row],[Tanggal terjual]],"dddd")</f>
        <v>Sunday</v>
      </c>
      <c r="AJ158" s="21" t="str">
        <f>TEXT(Data[[#This Row],[Tanggal terjual]],"wwww")</f>
        <v>wwww</v>
      </c>
    </row>
    <row r="159" spans="1:36" x14ac:dyDescent="0.2">
      <c r="A159" s="20">
        <v>158</v>
      </c>
      <c r="B159" s="21" t="str">
        <f>_xlfn.CONCAT("ORD-",INDEX(Helper!$B$2:$B$5,MATCH(Data[[#This Row],[Marketplace]],Helper!$A$2:$A$5,0)),TEXT(Data[[#This Row],[No]],"0000"),"-",TEXT(Data[[#This Row],[Tanggal terjual]],"dd/mm/yy"))</f>
        <v>ORD-SP0158-06/04/23</v>
      </c>
      <c r="C159" t="s">
        <v>64</v>
      </c>
      <c r="D159" t="str">
        <f>IFERROR(INDEX(Katalog!$A$3:$A$12,MATCH(Data[[#This Row],[ItemID A]],Katalog!$C$3:$C$12,0)),"-")</f>
        <v>Pakaian Unisex</v>
      </c>
      <c r="E159" t="str">
        <f>IFERROR(INDEX(Katalog!$B$3:$B$12,MATCH(Data[[#This Row],[ItemID A]],Katalog!$C$3:$C$12,0)),"-")</f>
        <v>Jaket Hoodie</v>
      </c>
      <c r="F159">
        <v>4</v>
      </c>
      <c r="G159">
        <v>3</v>
      </c>
      <c r="H159" s="36">
        <f>IFERROR(INDEX(Katalog!$D$3:$D$12,MATCH(Data[[#This Row],[ItemID A]],Katalog!$C$3:$C$12,0))*Data[[#This Row],[Qty A]],"0")</f>
        <v>1400000</v>
      </c>
      <c r="I159" s="36">
        <f>IFERROR(INDEX(Katalog!$F$3:$F$12,MATCH(Data[[#This Row],[ItemID A]],Katalog!$C$3:$C$12,0))*Data[[#This Row],[Qty A]],0)</f>
        <v>520000</v>
      </c>
      <c r="J159" t="s">
        <v>63</v>
      </c>
      <c r="K159" t="str">
        <f>IFERROR(INDEX(Katalog!$A$3:$A$12,MATCH(Data[[#This Row],[ItemID B]],Katalog!$C$3:$C$12,0)),"-")</f>
        <v>Pakaian Pria</v>
      </c>
      <c r="L159" t="str">
        <f>IFERROR(INDEX(Katalog!$B$3:$B$12,MATCH(Data[[#This Row],[ItemID B]],Katalog!$C$3:$C$12,0)),"-")</f>
        <v>Jaket Jeans</v>
      </c>
      <c r="M159">
        <v>2</v>
      </c>
      <c r="N159">
        <v>5</v>
      </c>
      <c r="O159" s="36">
        <f>IFERROR(INDEX(Katalog!$D$3:$D$12,MATCH(Data[[#This Row],[ItemID B]],Katalog!$C$3:$C$12,0))*Data[[#This Row],[Qty B]],"0")</f>
        <v>800000</v>
      </c>
      <c r="P159" s="36">
        <f>IFERROR(INDEX(Katalog!$F$3:$F$12,MATCH(Data[[#This Row],[ItemID B]],Katalog!$C$3:$C$12,0))*Data[[#This Row],[Qty B]],"0")</f>
        <v>300000</v>
      </c>
      <c r="R159" t="str">
        <f>IFERROR(INDEX(Katalog!$A$3:$A$12,MATCH(Data[[#This Row],[ItemID C]],Katalog!$C$3:$C$12,0)),"-")</f>
        <v>-</v>
      </c>
      <c r="S159" t="str">
        <f>IFERROR(INDEX(Katalog!$B$3:$B$12,MATCH(Data[[#This Row],[ItemID C]],Katalog!$C$3:$C$12,0)),"-")</f>
        <v>-</v>
      </c>
      <c r="V159" s="36" t="str">
        <f>IFERROR(INDEX(Katalog!$D$3:$D$12,MATCH(Data[[#This Row],[ItemID C]],Katalog!$C$3:$C$12,0))*Data[[#This Row],[Qty C]],"0")</f>
        <v>0</v>
      </c>
      <c r="W159" s="36" t="str">
        <f>IFERROR(INDEX(Katalog!$F$3:$F$12,MATCH(Data[[#This Row],[ItemID C]],Katalog!$C$3:$C$12,0))*Data[[#This Row],[Qty C]],"0")</f>
        <v>0</v>
      </c>
      <c r="X159" s="21">
        <f>Data[[#This Row],[Qty A]]+Data[[#This Row],[Qty B]]+Data[[#This Row],[Qty C]]</f>
        <v>6</v>
      </c>
      <c r="Y159" s="22">
        <f>Data[[#This Row],[Harga Barang A]]+Data[[#This Row],[Harga Barang B]]+Data[[#This Row],[Harga Barang C]]</f>
        <v>2200000</v>
      </c>
      <c r="Z159" s="35">
        <f>IFERROR(Data[[#This Row],[Total Harga]]-(Data[[#This Row],[Total Harga]]*Data[[#This Row],[Diskon]]),Data[[#This Row],[Total Harga]])</f>
        <v>1870000</v>
      </c>
      <c r="AA159" s="35">
        <f>(Data[[#This Row],[Profit A]]+Data[[#This Row],[Profit B]]+Data[[#This Row],[Profit C]])</f>
        <v>820000</v>
      </c>
      <c r="AB159" s="35">
        <f>IFERROR((Data[[#This Row],[Profit non Diskon]]-(Data[[#This Row],[Profit non Diskon]]*Data[[#This Row],[Diskon]])),Data[[#This Row],[Profit non Diskon]])</f>
        <v>697000</v>
      </c>
      <c r="AC159" s="23" t="s">
        <v>13</v>
      </c>
      <c r="AD159" s="37">
        <f>IFERROR(INDEX('Kode Diskon'!$D$3:$D$9,MATCH(Data[[#This Row],[Kode diskon]],'Kode Diskon'!$C$3:$C$9,0)),"-")</f>
        <v>0.15</v>
      </c>
      <c r="AE159" s="23" t="s">
        <v>29</v>
      </c>
      <c r="AF159" s="23" t="s">
        <v>7</v>
      </c>
      <c r="AG159" s="23" t="s">
        <v>76</v>
      </c>
      <c r="AH159" s="24">
        <v>45022</v>
      </c>
      <c r="AI159" s="23" t="str">
        <f>TEXT(Data[[#This Row],[Tanggal terjual]],"dddd")</f>
        <v>Thursday</v>
      </c>
      <c r="AJ159" s="21" t="str">
        <f>TEXT(Data[[#This Row],[Tanggal terjual]],"wwww")</f>
        <v>wwww</v>
      </c>
    </row>
    <row r="160" spans="1:36" x14ac:dyDescent="0.2">
      <c r="A160" s="20">
        <v>159</v>
      </c>
      <c r="B160" s="21" t="str">
        <f>_xlfn.CONCAT("ORD-",INDEX(Helper!$B$2:$B$5,MATCH(Data[[#This Row],[Marketplace]],Helper!$A$2:$A$5,0)),TEXT(Data[[#This Row],[No]],"0000"),"-",TEXT(Data[[#This Row],[Tanggal terjual]],"dd/mm/yy"))</f>
        <v>ORD-SP0159-08/04/23</v>
      </c>
      <c r="C160" t="s">
        <v>60</v>
      </c>
      <c r="D160" t="str">
        <f>IFERROR(INDEX(Katalog!$A$3:$A$12,MATCH(Data[[#This Row],[ItemID A]],Katalog!$C$3:$C$12,0)),"-")</f>
        <v>Pakaian Wanita</v>
      </c>
      <c r="E160" t="str">
        <f>IFERROR(INDEX(Katalog!$B$3:$B$12,MATCH(Data[[#This Row],[ItemID A]],Katalog!$C$3:$C$12,0)),"-")</f>
        <v>Kaftan</v>
      </c>
      <c r="F160">
        <v>1</v>
      </c>
      <c r="G160">
        <v>1</v>
      </c>
      <c r="H160" s="36">
        <f>IFERROR(INDEX(Katalog!$D$3:$D$12,MATCH(Data[[#This Row],[ItemID A]],Katalog!$C$3:$C$12,0))*Data[[#This Row],[Qty A]],"0")</f>
        <v>250000</v>
      </c>
      <c r="I160" s="36">
        <f>IFERROR(INDEX(Katalog!$F$3:$F$12,MATCH(Data[[#This Row],[ItemID A]],Katalog!$C$3:$C$12,0))*Data[[#This Row],[Qty A]],0)</f>
        <v>100000</v>
      </c>
      <c r="K160" t="str">
        <f>IFERROR(INDEX(Katalog!$A$3:$A$12,MATCH(Data[[#This Row],[ItemID B]],Katalog!$C$3:$C$12,0)),"-")</f>
        <v>-</v>
      </c>
      <c r="L160" t="str">
        <f>IFERROR(INDEX(Katalog!$B$3:$B$12,MATCH(Data[[#This Row],[ItemID B]],Katalog!$C$3:$C$12,0)),"-")</f>
        <v>-</v>
      </c>
      <c r="O160" s="36" t="str">
        <f>IFERROR(INDEX(Katalog!$D$3:$D$12,MATCH(Data[[#This Row],[ItemID B]],Katalog!$C$3:$C$12,0))*Data[[#This Row],[Qty B]],"0")</f>
        <v>0</v>
      </c>
      <c r="P160" s="36" t="str">
        <f>IFERROR(INDEX(Katalog!$F$3:$F$12,MATCH(Data[[#This Row],[ItemID B]],Katalog!$C$3:$C$12,0))*Data[[#This Row],[Qty B]],"0")</f>
        <v>0</v>
      </c>
      <c r="R160" t="str">
        <f>IFERROR(INDEX(Katalog!$A$3:$A$12,MATCH(Data[[#This Row],[ItemID C]],Katalog!$C$3:$C$12,0)),"-")</f>
        <v>-</v>
      </c>
      <c r="S160" t="str">
        <f>IFERROR(INDEX(Katalog!$B$3:$B$12,MATCH(Data[[#This Row],[ItemID C]],Katalog!$C$3:$C$12,0)),"-")</f>
        <v>-</v>
      </c>
      <c r="V160" s="36" t="str">
        <f>IFERROR(INDEX(Katalog!$D$3:$D$12,MATCH(Data[[#This Row],[ItemID C]],Katalog!$C$3:$C$12,0))*Data[[#This Row],[Qty C]],"0")</f>
        <v>0</v>
      </c>
      <c r="W160" s="36" t="str">
        <f>IFERROR(INDEX(Katalog!$F$3:$F$12,MATCH(Data[[#This Row],[ItemID C]],Katalog!$C$3:$C$12,0))*Data[[#This Row],[Qty C]],"0")</f>
        <v>0</v>
      </c>
      <c r="X160" s="21">
        <f>Data[[#This Row],[Qty A]]+Data[[#This Row],[Qty B]]+Data[[#This Row],[Qty C]]</f>
        <v>1</v>
      </c>
      <c r="Y160" s="22">
        <f>Data[[#This Row],[Harga Barang A]]+Data[[#This Row],[Harga Barang B]]+Data[[#This Row],[Harga Barang C]]</f>
        <v>250000</v>
      </c>
      <c r="Z160" s="35">
        <f>IFERROR(Data[[#This Row],[Total Harga]]-(Data[[#This Row],[Total Harga]]*Data[[#This Row],[Diskon]]),Data[[#This Row],[Total Harga]])</f>
        <v>250000</v>
      </c>
      <c r="AA160" s="35">
        <f>(Data[[#This Row],[Profit A]]+Data[[#This Row],[Profit B]]+Data[[#This Row],[Profit C]])</f>
        <v>100000</v>
      </c>
      <c r="AB160" s="35">
        <f>IFERROR((Data[[#This Row],[Profit non Diskon]]-(Data[[#This Row],[Profit non Diskon]]*Data[[#This Row],[Diskon]])),Data[[#This Row],[Profit non Diskon]])</f>
        <v>100000</v>
      </c>
      <c r="AC160" s="23" t="s">
        <v>11</v>
      </c>
      <c r="AD160" s="37" t="str">
        <f>IFERROR(INDEX('Kode Diskon'!$D$3:$D$9,MATCH(Data[[#This Row],[Kode diskon]],'Kode Diskon'!$C$3:$C$9,0)),"-")</f>
        <v>-</v>
      </c>
      <c r="AE160" s="23" t="s">
        <v>11</v>
      </c>
      <c r="AF160" s="23" t="s">
        <v>7</v>
      </c>
      <c r="AG160" s="23" t="s">
        <v>80</v>
      </c>
      <c r="AH160" s="24">
        <v>45024</v>
      </c>
      <c r="AI160" s="23" t="str">
        <f>TEXT(Data[[#This Row],[Tanggal terjual]],"dddd")</f>
        <v>Saturday</v>
      </c>
      <c r="AJ160" s="21" t="str">
        <f>TEXT(Data[[#This Row],[Tanggal terjual]],"wwww")</f>
        <v>wwww</v>
      </c>
    </row>
    <row r="161" spans="1:36" x14ac:dyDescent="0.2">
      <c r="A161" s="20">
        <v>160</v>
      </c>
      <c r="B161" s="21" t="str">
        <f>_xlfn.CONCAT("ORD-",INDEX(Helper!$B$2:$B$5,MATCH(Data[[#This Row],[Marketplace]],Helper!$A$2:$A$5,0)),TEXT(Data[[#This Row],[No]],"0000"),"-",TEXT(Data[[#This Row],[Tanggal terjual]],"dd/mm/yy"))</f>
        <v>ORD-SP0160-08/04/23</v>
      </c>
      <c r="C161" t="s">
        <v>58</v>
      </c>
      <c r="D161" t="str">
        <f>IFERROR(INDEX(Katalog!$A$3:$A$12,MATCH(Data[[#This Row],[ItemID A]],Katalog!$C$3:$C$12,0)),"-")</f>
        <v>Pakaian Wanita</v>
      </c>
      <c r="E161" t="str">
        <f>IFERROR(INDEX(Katalog!$B$3:$B$12,MATCH(Data[[#This Row],[ItemID A]],Katalog!$C$3:$C$12,0)),"-")</f>
        <v>Dress</v>
      </c>
      <c r="F161">
        <v>1</v>
      </c>
      <c r="G161">
        <v>4</v>
      </c>
      <c r="H161" s="36">
        <f>IFERROR(INDEX(Katalog!$D$3:$D$12,MATCH(Data[[#This Row],[ItemID A]],Katalog!$C$3:$C$12,0))*Data[[#This Row],[Qty A]],"0")</f>
        <v>300000</v>
      </c>
      <c r="I161" s="36">
        <f>IFERROR(INDEX(Katalog!$F$3:$F$12,MATCH(Data[[#This Row],[ItemID A]],Katalog!$C$3:$C$12,0))*Data[[#This Row],[Qty A]],0)</f>
        <v>100000</v>
      </c>
      <c r="J161" t="s">
        <v>61</v>
      </c>
      <c r="K161" t="str">
        <f>IFERROR(INDEX(Katalog!$A$3:$A$12,MATCH(Data[[#This Row],[ItemID B]],Katalog!$C$3:$C$12,0)),"-")</f>
        <v>Pakaian Pria</v>
      </c>
      <c r="L161" t="str">
        <f>IFERROR(INDEX(Katalog!$B$3:$B$12,MATCH(Data[[#This Row],[ItemID B]],Katalog!$C$3:$C$12,0)),"-")</f>
        <v>Kaos Polo</v>
      </c>
      <c r="M161">
        <v>2</v>
      </c>
      <c r="N161">
        <v>3</v>
      </c>
      <c r="O161" s="36">
        <f>IFERROR(INDEX(Katalog!$D$3:$D$12,MATCH(Data[[#This Row],[ItemID B]],Katalog!$C$3:$C$12,0))*Data[[#This Row],[Qty B]],"0")</f>
        <v>400000</v>
      </c>
      <c r="P161" s="36">
        <f>IFERROR(INDEX(Katalog!$F$3:$F$12,MATCH(Data[[#This Row],[ItemID B]],Katalog!$C$3:$C$12,0))*Data[[#This Row],[Qty B]],"0")</f>
        <v>160000</v>
      </c>
      <c r="Q161" t="s">
        <v>66</v>
      </c>
      <c r="R161" t="str">
        <f>IFERROR(INDEX(Katalog!$A$3:$A$12,MATCH(Data[[#This Row],[ItemID C]],Katalog!$C$3:$C$12,0)),"-")</f>
        <v>Sepatu Pria</v>
      </c>
      <c r="S161" t="str">
        <f>IFERROR(INDEX(Katalog!$B$3:$B$12,MATCH(Data[[#This Row],[ItemID C]],Katalog!$C$3:$C$12,0)),"-")</f>
        <v>Sandal Slip On</v>
      </c>
      <c r="T161">
        <v>2</v>
      </c>
      <c r="U161">
        <v>1</v>
      </c>
      <c r="V161" s="36">
        <f>IFERROR(INDEX(Katalog!$D$3:$D$12,MATCH(Data[[#This Row],[ItemID C]],Katalog!$C$3:$C$12,0))*Data[[#This Row],[Qty C]],"0")</f>
        <v>300000</v>
      </c>
      <c r="W161" s="36">
        <f>IFERROR(INDEX(Katalog!$F$3:$F$12,MATCH(Data[[#This Row],[ItemID C]],Katalog!$C$3:$C$12,0))*Data[[#This Row],[Qty C]],"0")</f>
        <v>120000</v>
      </c>
      <c r="X161" s="21">
        <f>Data[[#This Row],[Qty A]]+Data[[#This Row],[Qty B]]+Data[[#This Row],[Qty C]]</f>
        <v>5</v>
      </c>
      <c r="Y161" s="22">
        <f>Data[[#This Row],[Harga Barang A]]+Data[[#This Row],[Harga Barang B]]+Data[[#This Row],[Harga Barang C]]</f>
        <v>1000000</v>
      </c>
      <c r="Z161" s="35">
        <f>IFERROR(Data[[#This Row],[Total Harga]]-(Data[[#This Row],[Total Harga]]*Data[[#This Row],[Diskon]]),Data[[#This Row],[Total Harga]])</f>
        <v>1000000</v>
      </c>
      <c r="AA161" s="35">
        <f>(Data[[#This Row],[Profit A]]+Data[[#This Row],[Profit B]]+Data[[#This Row],[Profit C]])</f>
        <v>380000</v>
      </c>
      <c r="AB161" s="35">
        <f>IFERROR((Data[[#This Row],[Profit non Diskon]]-(Data[[#This Row],[Profit non Diskon]]*Data[[#This Row],[Diskon]])),Data[[#This Row],[Profit non Diskon]])</f>
        <v>380000</v>
      </c>
      <c r="AC161" s="23" t="s">
        <v>11</v>
      </c>
      <c r="AD161" s="37" t="str">
        <f>IFERROR(INDEX('Kode Diskon'!$D$3:$D$9,MATCH(Data[[#This Row],[Kode diskon]],'Kode Diskon'!$C$3:$C$9,0)),"-")</f>
        <v>-</v>
      </c>
      <c r="AE161" s="23" t="s">
        <v>11</v>
      </c>
      <c r="AF161" s="23" t="s">
        <v>7</v>
      </c>
      <c r="AG161" s="23" t="s">
        <v>80</v>
      </c>
      <c r="AH161" s="24">
        <v>45024</v>
      </c>
      <c r="AI161" s="23" t="str">
        <f>TEXT(Data[[#This Row],[Tanggal terjual]],"dddd")</f>
        <v>Saturday</v>
      </c>
      <c r="AJ161" s="21" t="str">
        <f>TEXT(Data[[#This Row],[Tanggal terjual]],"wwww")</f>
        <v>wwww</v>
      </c>
    </row>
    <row r="162" spans="1:36" x14ac:dyDescent="0.2">
      <c r="A162" s="20">
        <v>161</v>
      </c>
      <c r="B162" s="21" t="str">
        <f>_xlfn.CONCAT("ORD-",INDEX(Helper!$B$2:$B$5,MATCH(Data[[#This Row],[Marketplace]],Helper!$A$2:$A$5,0)),TEXT(Data[[#This Row],[No]],"0000"),"-",TEXT(Data[[#This Row],[Tanggal terjual]],"dd/mm/yy"))</f>
        <v>ORD-SP0161-17/04/23</v>
      </c>
      <c r="C162" t="s">
        <v>63</v>
      </c>
      <c r="D162" t="str">
        <f>IFERROR(INDEX(Katalog!$A$3:$A$12,MATCH(Data[[#This Row],[ItemID A]],Katalog!$C$3:$C$12,0)),"-")</f>
        <v>Pakaian Pria</v>
      </c>
      <c r="E162" t="str">
        <f>IFERROR(INDEX(Katalog!$B$3:$B$12,MATCH(Data[[#This Row],[ItemID A]],Katalog!$C$3:$C$12,0)),"-")</f>
        <v>Jaket Jeans</v>
      </c>
      <c r="F162">
        <v>3</v>
      </c>
      <c r="G162">
        <v>2</v>
      </c>
      <c r="H162" s="36">
        <f>IFERROR(INDEX(Katalog!$D$3:$D$12,MATCH(Data[[#This Row],[ItemID A]],Katalog!$C$3:$C$12,0))*Data[[#This Row],[Qty A]],"0")</f>
        <v>1200000</v>
      </c>
      <c r="I162" s="36">
        <f>IFERROR(INDEX(Katalog!$F$3:$F$12,MATCH(Data[[#This Row],[ItemID A]],Katalog!$C$3:$C$12,0))*Data[[#This Row],[Qty A]],0)</f>
        <v>450000</v>
      </c>
      <c r="J162" t="s">
        <v>67</v>
      </c>
      <c r="K162" t="str">
        <f>IFERROR(INDEX(Katalog!$A$3:$A$12,MATCH(Data[[#This Row],[ItemID B]],Katalog!$C$3:$C$12,0)),"-")</f>
        <v>Sepatu Wanita</v>
      </c>
      <c r="L162" t="str">
        <f>IFERROR(INDEX(Katalog!$B$3:$B$12,MATCH(Data[[#This Row],[ItemID B]],Katalog!$C$3:$C$12,0)),"-")</f>
        <v>Flat Shoes</v>
      </c>
      <c r="M162">
        <v>1</v>
      </c>
      <c r="N162">
        <v>5</v>
      </c>
      <c r="O162" s="36">
        <f>IFERROR(INDEX(Katalog!$D$3:$D$12,MATCH(Data[[#This Row],[ItemID B]],Katalog!$C$3:$C$12,0))*Data[[#This Row],[Qty B]],"0")</f>
        <v>250000</v>
      </c>
      <c r="P162" s="36">
        <f>IFERROR(INDEX(Katalog!$F$3:$F$12,MATCH(Data[[#This Row],[ItemID B]],Katalog!$C$3:$C$12,0))*Data[[#This Row],[Qty B]],"0")</f>
        <v>100000</v>
      </c>
      <c r="R162" t="str">
        <f>IFERROR(INDEX(Katalog!$A$3:$A$12,MATCH(Data[[#This Row],[ItemID C]],Katalog!$C$3:$C$12,0)),"-")</f>
        <v>-</v>
      </c>
      <c r="S162" t="str">
        <f>IFERROR(INDEX(Katalog!$B$3:$B$12,MATCH(Data[[#This Row],[ItemID C]],Katalog!$C$3:$C$12,0)),"-")</f>
        <v>-</v>
      </c>
      <c r="V162" s="36" t="str">
        <f>IFERROR(INDEX(Katalog!$D$3:$D$12,MATCH(Data[[#This Row],[ItemID C]],Katalog!$C$3:$C$12,0))*Data[[#This Row],[Qty C]],"0")</f>
        <v>0</v>
      </c>
      <c r="W162" s="36" t="str">
        <f>IFERROR(INDEX(Katalog!$F$3:$F$12,MATCH(Data[[#This Row],[ItemID C]],Katalog!$C$3:$C$12,0))*Data[[#This Row],[Qty C]],"0")</f>
        <v>0</v>
      </c>
      <c r="X162" s="21">
        <f>Data[[#This Row],[Qty A]]+Data[[#This Row],[Qty B]]+Data[[#This Row],[Qty C]]</f>
        <v>4</v>
      </c>
      <c r="Y162" s="22">
        <f>Data[[#This Row],[Harga Barang A]]+Data[[#This Row],[Harga Barang B]]+Data[[#This Row],[Harga Barang C]]</f>
        <v>1450000</v>
      </c>
      <c r="Z162" s="35">
        <f>IFERROR(Data[[#This Row],[Total Harga]]-(Data[[#This Row],[Total Harga]]*Data[[#This Row],[Diskon]]),Data[[#This Row],[Total Harga]])</f>
        <v>1160000</v>
      </c>
      <c r="AA162" s="35">
        <f>(Data[[#This Row],[Profit A]]+Data[[#This Row],[Profit B]]+Data[[#This Row],[Profit C]])</f>
        <v>550000</v>
      </c>
      <c r="AB162" s="35">
        <f>IFERROR((Data[[#This Row],[Profit non Diskon]]-(Data[[#This Row],[Profit non Diskon]]*Data[[#This Row],[Diskon]])),Data[[#This Row],[Profit non Diskon]])</f>
        <v>440000</v>
      </c>
      <c r="AC162" s="23" t="s">
        <v>8</v>
      </c>
      <c r="AD162" s="37">
        <f>IFERROR(INDEX('Kode Diskon'!$D$3:$D$9,MATCH(Data[[#This Row],[Kode diskon]],'Kode Diskon'!$C$3:$C$9,0)),"-")</f>
        <v>0.2</v>
      </c>
      <c r="AE162" s="23" t="s">
        <v>9</v>
      </c>
      <c r="AF162" s="23" t="s">
        <v>7</v>
      </c>
      <c r="AG162" s="23" t="s">
        <v>76</v>
      </c>
      <c r="AH162" s="24">
        <v>45033</v>
      </c>
      <c r="AI162" s="23" t="str">
        <f>TEXT(Data[[#This Row],[Tanggal terjual]],"dddd")</f>
        <v>Monday</v>
      </c>
      <c r="AJ162" s="21" t="str">
        <f>TEXT(Data[[#This Row],[Tanggal terjual]],"wwww")</f>
        <v>wwww</v>
      </c>
    </row>
    <row r="163" spans="1:36" x14ac:dyDescent="0.2">
      <c r="A163" s="20">
        <v>162</v>
      </c>
      <c r="B163" s="21" t="str">
        <f>_xlfn.CONCAT("ORD-",INDEX(Helper!$B$2:$B$5,MATCH(Data[[#This Row],[Marketplace]],Helper!$A$2:$A$5,0)),TEXT(Data[[#This Row],[No]],"0000"),"-",TEXT(Data[[#This Row],[Tanggal terjual]],"dd/mm/yy"))</f>
        <v>ORD-SP0162-02/04/23</v>
      </c>
      <c r="C163" t="s">
        <v>64</v>
      </c>
      <c r="D163" t="str">
        <f>IFERROR(INDEX(Katalog!$A$3:$A$12,MATCH(Data[[#This Row],[ItemID A]],Katalog!$C$3:$C$12,0)),"-")</f>
        <v>Pakaian Unisex</v>
      </c>
      <c r="E163" t="str">
        <f>IFERROR(INDEX(Katalog!$B$3:$B$12,MATCH(Data[[#This Row],[ItemID A]],Katalog!$C$3:$C$12,0)),"-")</f>
        <v>Jaket Hoodie</v>
      </c>
      <c r="F163">
        <v>2</v>
      </c>
      <c r="G163">
        <v>3</v>
      </c>
      <c r="H163" s="36">
        <f>IFERROR(INDEX(Katalog!$D$3:$D$12,MATCH(Data[[#This Row],[ItemID A]],Katalog!$C$3:$C$12,0))*Data[[#This Row],[Qty A]],"0")</f>
        <v>700000</v>
      </c>
      <c r="I163" s="36">
        <f>IFERROR(INDEX(Katalog!$F$3:$F$12,MATCH(Data[[#This Row],[ItemID A]],Katalog!$C$3:$C$12,0))*Data[[#This Row],[Qty A]],0)</f>
        <v>260000</v>
      </c>
      <c r="J163" t="s">
        <v>64</v>
      </c>
      <c r="K163" t="str">
        <f>IFERROR(INDEX(Katalog!$A$3:$A$12,MATCH(Data[[#This Row],[ItemID B]],Katalog!$C$3:$C$12,0)),"-")</f>
        <v>Pakaian Unisex</v>
      </c>
      <c r="L163" t="str">
        <f>IFERROR(INDEX(Katalog!$B$3:$B$12,MATCH(Data[[#This Row],[ItemID B]],Katalog!$C$3:$C$12,0)),"-")</f>
        <v>Jaket Hoodie</v>
      </c>
      <c r="M163">
        <v>2</v>
      </c>
      <c r="N163">
        <v>1</v>
      </c>
      <c r="O163" s="36">
        <f>IFERROR(INDEX(Katalog!$D$3:$D$12,MATCH(Data[[#This Row],[ItemID B]],Katalog!$C$3:$C$12,0))*Data[[#This Row],[Qty B]],"0")</f>
        <v>700000</v>
      </c>
      <c r="P163" s="36">
        <f>IFERROR(INDEX(Katalog!$F$3:$F$12,MATCH(Data[[#This Row],[ItemID B]],Katalog!$C$3:$C$12,0))*Data[[#This Row],[Qty B]],"0")</f>
        <v>260000</v>
      </c>
      <c r="Q163" t="s">
        <v>64</v>
      </c>
      <c r="R163" t="str">
        <f>IFERROR(INDEX(Katalog!$A$3:$A$12,MATCH(Data[[#This Row],[ItemID C]],Katalog!$C$3:$C$12,0)),"-")</f>
        <v>Pakaian Unisex</v>
      </c>
      <c r="S163" t="str">
        <f>IFERROR(INDEX(Katalog!$B$3:$B$12,MATCH(Data[[#This Row],[ItemID C]],Katalog!$C$3:$C$12,0)),"-")</f>
        <v>Jaket Hoodie</v>
      </c>
      <c r="T163">
        <v>2</v>
      </c>
      <c r="U163">
        <v>4</v>
      </c>
      <c r="V163" s="36">
        <f>IFERROR(INDEX(Katalog!$D$3:$D$12,MATCH(Data[[#This Row],[ItemID C]],Katalog!$C$3:$C$12,0))*Data[[#This Row],[Qty C]],"0")</f>
        <v>700000</v>
      </c>
      <c r="W163" s="36">
        <f>IFERROR(INDEX(Katalog!$F$3:$F$12,MATCH(Data[[#This Row],[ItemID C]],Katalog!$C$3:$C$12,0))*Data[[#This Row],[Qty C]],"0")</f>
        <v>260000</v>
      </c>
      <c r="X163" s="21">
        <f>Data[[#This Row],[Qty A]]+Data[[#This Row],[Qty B]]+Data[[#This Row],[Qty C]]</f>
        <v>6</v>
      </c>
      <c r="Y163" s="22">
        <f>Data[[#This Row],[Harga Barang A]]+Data[[#This Row],[Harga Barang B]]+Data[[#This Row],[Harga Barang C]]</f>
        <v>2100000</v>
      </c>
      <c r="Z163" s="35">
        <f>IFERROR(Data[[#This Row],[Total Harga]]-(Data[[#This Row],[Total Harga]]*Data[[#This Row],[Diskon]]),Data[[#This Row],[Total Harga]])</f>
        <v>1890000</v>
      </c>
      <c r="AA163" s="35">
        <f>(Data[[#This Row],[Profit A]]+Data[[#This Row],[Profit B]]+Data[[#This Row],[Profit C]])</f>
        <v>780000</v>
      </c>
      <c r="AB163" s="35">
        <f>IFERROR((Data[[#This Row],[Profit non Diskon]]-(Data[[#This Row],[Profit non Diskon]]*Data[[#This Row],[Diskon]])),Data[[#This Row],[Profit non Diskon]])</f>
        <v>702000</v>
      </c>
      <c r="AC163" s="23" t="s">
        <v>6</v>
      </c>
      <c r="AD163" s="37">
        <f>IFERROR(INDEX('Kode Diskon'!$D$3:$D$9,MATCH(Data[[#This Row],[Kode diskon]],'Kode Diskon'!$C$3:$C$9,0)),"-")</f>
        <v>0.1</v>
      </c>
      <c r="AE163" s="23" t="s">
        <v>29</v>
      </c>
      <c r="AF163" s="23" t="s">
        <v>7</v>
      </c>
      <c r="AG163" s="23" t="s">
        <v>78</v>
      </c>
      <c r="AH163" s="24">
        <v>45018</v>
      </c>
      <c r="AI163" s="23" t="str">
        <f>TEXT(Data[[#This Row],[Tanggal terjual]],"dddd")</f>
        <v>Sunday</v>
      </c>
      <c r="AJ163" s="21" t="str">
        <f>TEXT(Data[[#This Row],[Tanggal terjual]],"wwww")</f>
        <v>wwww</v>
      </c>
    </row>
    <row r="164" spans="1:36" x14ac:dyDescent="0.2">
      <c r="A164" s="20">
        <v>163</v>
      </c>
      <c r="B164" s="21" t="str">
        <f>_xlfn.CONCAT("ORD-",INDEX(Helper!$B$2:$B$5,MATCH(Data[[#This Row],[Marketplace]],Helper!$A$2:$A$5,0)),TEXT(Data[[#This Row],[No]],"0000"),"-",TEXT(Data[[#This Row],[Tanggal terjual]],"dd/mm/yy"))</f>
        <v>ORD-BL0163-19/04/23</v>
      </c>
      <c r="C164" t="s">
        <v>61</v>
      </c>
      <c r="D164" t="str">
        <f>IFERROR(INDEX(Katalog!$A$3:$A$12,MATCH(Data[[#This Row],[ItemID A]],Katalog!$C$3:$C$12,0)),"-")</f>
        <v>Pakaian Pria</v>
      </c>
      <c r="E164" t="str">
        <f>IFERROR(INDEX(Katalog!$B$3:$B$12,MATCH(Data[[#This Row],[ItemID A]],Katalog!$C$3:$C$12,0)),"-")</f>
        <v>Kaos Polo</v>
      </c>
      <c r="F164">
        <v>2</v>
      </c>
      <c r="G164">
        <v>3</v>
      </c>
      <c r="H164" s="36">
        <f>IFERROR(INDEX(Katalog!$D$3:$D$12,MATCH(Data[[#This Row],[ItemID A]],Katalog!$C$3:$C$12,0))*Data[[#This Row],[Qty A]],"0")</f>
        <v>400000</v>
      </c>
      <c r="I164" s="36">
        <f>IFERROR(INDEX(Katalog!$F$3:$F$12,MATCH(Data[[#This Row],[ItemID A]],Katalog!$C$3:$C$12,0))*Data[[#This Row],[Qty A]],0)</f>
        <v>160000</v>
      </c>
      <c r="J164" t="s">
        <v>66</v>
      </c>
      <c r="K164" t="str">
        <f>IFERROR(INDEX(Katalog!$A$3:$A$12,MATCH(Data[[#This Row],[ItemID B]],Katalog!$C$3:$C$12,0)),"-")</f>
        <v>Sepatu Pria</v>
      </c>
      <c r="L164" t="str">
        <f>IFERROR(INDEX(Katalog!$B$3:$B$12,MATCH(Data[[#This Row],[ItemID B]],Katalog!$C$3:$C$12,0)),"-")</f>
        <v>Sandal Slip On</v>
      </c>
      <c r="M164">
        <v>1</v>
      </c>
      <c r="N164">
        <v>2</v>
      </c>
      <c r="O164" s="36">
        <f>IFERROR(INDEX(Katalog!$D$3:$D$12,MATCH(Data[[#This Row],[ItemID B]],Katalog!$C$3:$C$12,0))*Data[[#This Row],[Qty B]],"0")</f>
        <v>150000</v>
      </c>
      <c r="P164" s="36">
        <f>IFERROR(INDEX(Katalog!$F$3:$F$12,MATCH(Data[[#This Row],[ItemID B]],Katalog!$C$3:$C$12,0))*Data[[#This Row],[Qty B]],"0")</f>
        <v>60000</v>
      </c>
      <c r="Q164" t="s">
        <v>64</v>
      </c>
      <c r="R164" t="str">
        <f>IFERROR(INDEX(Katalog!$A$3:$A$12,MATCH(Data[[#This Row],[ItemID C]],Katalog!$C$3:$C$12,0)),"-")</f>
        <v>Pakaian Unisex</v>
      </c>
      <c r="S164" t="str">
        <f>IFERROR(INDEX(Katalog!$B$3:$B$12,MATCH(Data[[#This Row],[ItemID C]],Katalog!$C$3:$C$12,0)),"-")</f>
        <v>Jaket Hoodie</v>
      </c>
      <c r="T164">
        <v>1</v>
      </c>
      <c r="U164">
        <v>1</v>
      </c>
      <c r="V164" s="36">
        <f>IFERROR(INDEX(Katalog!$D$3:$D$12,MATCH(Data[[#This Row],[ItemID C]],Katalog!$C$3:$C$12,0))*Data[[#This Row],[Qty C]],"0")</f>
        <v>350000</v>
      </c>
      <c r="W164" s="36">
        <f>IFERROR(INDEX(Katalog!$F$3:$F$12,MATCH(Data[[#This Row],[ItemID C]],Katalog!$C$3:$C$12,0))*Data[[#This Row],[Qty C]],"0")</f>
        <v>130000</v>
      </c>
      <c r="X164" s="21">
        <f>Data[[#This Row],[Qty A]]+Data[[#This Row],[Qty B]]+Data[[#This Row],[Qty C]]</f>
        <v>4</v>
      </c>
      <c r="Y164" s="22">
        <f>Data[[#This Row],[Harga Barang A]]+Data[[#This Row],[Harga Barang B]]+Data[[#This Row],[Harga Barang C]]</f>
        <v>900000</v>
      </c>
      <c r="Z164" s="35">
        <f>IFERROR(Data[[#This Row],[Total Harga]]-(Data[[#This Row],[Total Harga]]*Data[[#This Row],[Diskon]]),Data[[#This Row],[Total Harga]])</f>
        <v>765000</v>
      </c>
      <c r="AA164" s="35">
        <f>(Data[[#This Row],[Profit A]]+Data[[#This Row],[Profit B]]+Data[[#This Row],[Profit C]])</f>
        <v>350000</v>
      </c>
      <c r="AB164" s="35">
        <f>IFERROR((Data[[#This Row],[Profit non Diskon]]-(Data[[#This Row],[Profit non Diskon]]*Data[[#This Row],[Diskon]])),Data[[#This Row],[Profit non Diskon]])</f>
        <v>297500</v>
      </c>
      <c r="AC164" s="23" t="s">
        <v>32</v>
      </c>
      <c r="AD164" s="37">
        <f>IFERROR(INDEX('Kode Diskon'!$D$3:$D$9,MATCH(Data[[#This Row],[Kode diskon]],'Kode Diskon'!$C$3:$C$9,0)),"-")</f>
        <v>0.15</v>
      </c>
      <c r="AE164" s="23" t="s">
        <v>9</v>
      </c>
      <c r="AF164" s="23" t="s">
        <v>12</v>
      </c>
      <c r="AG164" s="23" t="s">
        <v>76</v>
      </c>
      <c r="AH164" s="24">
        <v>45035</v>
      </c>
      <c r="AI164" s="23" t="str">
        <f>TEXT(Data[[#This Row],[Tanggal terjual]],"dddd")</f>
        <v>Wednesday</v>
      </c>
      <c r="AJ164" s="21" t="str">
        <f>TEXT(Data[[#This Row],[Tanggal terjual]],"wwww")</f>
        <v>wwww</v>
      </c>
    </row>
    <row r="165" spans="1:36" x14ac:dyDescent="0.2">
      <c r="A165" s="20">
        <v>164</v>
      </c>
      <c r="B165" s="21" t="str">
        <f>_xlfn.CONCAT("ORD-",INDEX(Helper!$B$2:$B$5,MATCH(Data[[#This Row],[Marketplace]],Helper!$A$2:$A$5,0)),TEXT(Data[[#This Row],[No]],"0000"),"-",TEXT(Data[[#This Row],[Tanggal terjual]],"dd/mm/yy"))</f>
        <v>ORD-SP0164-01/04/23</v>
      </c>
      <c r="C165" t="s">
        <v>63</v>
      </c>
      <c r="D165" t="str">
        <f>IFERROR(INDEX(Katalog!$A$3:$A$12,MATCH(Data[[#This Row],[ItemID A]],Katalog!$C$3:$C$12,0)),"-")</f>
        <v>Pakaian Pria</v>
      </c>
      <c r="E165" t="str">
        <f>IFERROR(INDEX(Katalog!$B$3:$B$12,MATCH(Data[[#This Row],[ItemID A]],Katalog!$C$3:$C$12,0)),"-")</f>
        <v>Jaket Jeans</v>
      </c>
      <c r="F165">
        <v>2</v>
      </c>
      <c r="G165">
        <v>5</v>
      </c>
      <c r="H165" s="36">
        <f>IFERROR(INDEX(Katalog!$D$3:$D$12,MATCH(Data[[#This Row],[ItemID A]],Katalog!$C$3:$C$12,0))*Data[[#This Row],[Qty A]],"0")</f>
        <v>800000</v>
      </c>
      <c r="I165" s="36">
        <f>IFERROR(INDEX(Katalog!$F$3:$F$12,MATCH(Data[[#This Row],[ItemID A]],Katalog!$C$3:$C$12,0))*Data[[#This Row],[Qty A]],0)</f>
        <v>300000</v>
      </c>
      <c r="K165" t="str">
        <f>IFERROR(INDEX(Katalog!$A$3:$A$12,MATCH(Data[[#This Row],[ItemID B]],Katalog!$C$3:$C$12,0)),"-")</f>
        <v>-</v>
      </c>
      <c r="L165" t="str">
        <f>IFERROR(INDEX(Katalog!$B$3:$B$12,MATCH(Data[[#This Row],[ItemID B]],Katalog!$C$3:$C$12,0)),"-")</f>
        <v>-</v>
      </c>
      <c r="O165" s="36" t="str">
        <f>IFERROR(INDEX(Katalog!$D$3:$D$12,MATCH(Data[[#This Row],[ItemID B]],Katalog!$C$3:$C$12,0))*Data[[#This Row],[Qty B]],"0")</f>
        <v>0</v>
      </c>
      <c r="P165" s="36" t="str">
        <f>IFERROR(INDEX(Katalog!$F$3:$F$12,MATCH(Data[[#This Row],[ItemID B]],Katalog!$C$3:$C$12,0))*Data[[#This Row],[Qty B]],"0")</f>
        <v>0</v>
      </c>
      <c r="R165" t="str">
        <f>IFERROR(INDEX(Katalog!$A$3:$A$12,MATCH(Data[[#This Row],[ItemID C]],Katalog!$C$3:$C$12,0)),"-")</f>
        <v>-</v>
      </c>
      <c r="S165" t="str">
        <f>IFERROR(INDEX(Katalog!$B$3:$B$12,MATCH(Data[[#This Row],[ItemID C]],Katalog!$C$3:$C$12,0)),"-")</f>
        <v>-</v>
      </c>
      <c r="V165" s="36" t="str">
        <f>IFERROR(INDEX(Katalog!$D$3:$D$12,MATCH(Data[[#This Row],[ItemID C]],Katalog!$C$3:$C$12,0))*Data[[#This Row],[Qty C]],"0")</f>
        <v>0</v>
      </c>
      <c r="W165" s="36" t="str">
        <f>IFERROR(INDEX(Katalog!$F$3:$F$12,MATCH(Data[[#This Row],[ItemID C]],Katalog!$C$3:$C$12,0))*Data[[#This Row],[Qty C]],"0")</f>
        <v>0</v>
      </c>
      <c r="X165" s="21">
        <f>Data[[#This Row],[Qty A]]+Data[[#This Row],[Qty B]]+Data[[#This Row],[Qty C]]</f>
        <v>2</v>
      </c>
      <c r="Y165" s="22">
        <f>Data[[#This Row],[Harga Barang A]]+Data[[#This Row],[Harga Barang B]]+Data[[#This Row],[Harga Barang C]]</f>
        <v>800000</v>
      </c>
      <c r="Z165" s="35">
        <f>IFERROR(Data[[#This Row],[Total Harga]]-(Data[[#This Row],[Total Harga]]*Data[[#This Row],[Diskon]]),Data[[#This Row],[Total Harga]])</f>
        <v>720000</v>
      </c>
      <c r="AA165" s="35">
        <f>(Data[[#This Row],[Profit A]]+Data[[#This Row],[Profit B]]+Data[[#This Row],[Profit C]])</f>
        <v>300000</v>
      </c>
      <c r="AB165" s="35">
        <f>IFERROR((Data[[#This Row],[Profit non Diskon]]-(Data[[#This Row],[Profit non Diskon]]*Data[[#This Row],[Diskon]])),Data[[#This Row],[Profit non Diskon]])</f>
        <v>270000</v>
      </c>
      <c r="AC165" s="23" t="s">
        <v>6</v>
      </c>
      <c r="AD165" s="37">
        <f>IFERROR(INDEX('Kode Diskon'!$D$3:$D$9,MATCH(Data[[#This Row],[Kode diskon]],'Kode Diskon'!$C$3:$C$9,0)),"-")</f>
        <v>0.1</v>
      </c>
      <c r="AE165" s="23" t="s">
        <v>29</v>
      </c>
      <c r="AF165" s="23" t="s">
        <v>7</v>
      </c>
      <c r="AG165" s="23" t="s">
        <v>75</v>
      </c>
      <c r="AH165" s="24">
        <v>45017</v>
      </c>
      <c r="AI165" s="23" t="str">
        <f>TEXT(Data[[#This Row],[Tanggal terjual]],"dddd")</f>
        <v>Saturday</v>
      </c>
      <c r="AJ165" s="21" t="str">
        <f>TEXT(Data[[#This Row],[Tanggal terjual]],"wwww")</f>
        <v>wwww</v>
      </c>
    </row>
    <row r="166" spans="1:36" x14ac:dyDescent="0.2">
      <c r="A166" s="20">
        <v>165</v>
      </c>
      <c r="B166" s="21" t="str">
        <f>_xlfn.CONCAT("ORD-",INDEX(Helper!$B$2:$B$5,MATCH(Data[[#This Row],[Marketplace]],Helper!$A$2:$A$5,0)),TEXT(Data[[#This Row],[No]],"0000"),"-",TEXT(Data[[#This Row],[Tanggal terjual]],"dd/mm/yy"))</f>
        <v>ORD-SP0165-02/04/23</v>
      </c>
      <c r="C166" t="s">
        <v>67</v>
      </c>
      <c r="D166" t="str">
        <f>IFERROR(INDEX(Katalog!$A$3:$A$12,MATCH(Data[[#This Row],[ItemID A]],Katalog!$C$3:$C$12,0)),"-")</f>
        <v>Sepatu Wanita</v>
      </c>
      <c r="E166" t="str">
        <f>IFERROR(INDEX(Katalog!$B$3:$B$12,MATCH(Data[[#This Row],[ItemID A]],Katalog!$C$3:$C$12,0)),"-")</f>
        <v>Flat Shoes</v>
      </c>
      <c r="F166">
        <v>2</v>
      </c>
      <c r="G166">
        <v>4</v>
      </c>
      <c r="H166" s="36">
        <f>IFERROR(INDEX(Katalog!$D$3:$D$12,MATCH(Data[[#This Row],[ItemID A]],Katalog!$C$3:$C$12,0))*Data[[#This Row],[Qty A]],"0")</f>
        <v>500000</v>
      </c>
      <c r="I166" s="36">
        <f>IFERROR(INDEX(Katalog!$F$3:$F$12,MATCH(Data[[#This Row],[ItemID A]],Katalog!$C$3:$C$12,0))*Data[[#This Row],[Qty A]],0)</f>
        <v>200000</v>
      </c>
      <c r="K166" t="str">
        <f>IFERROR(INDEX(Katalog!$A$3:$A$12,MATCH(Data[[#This Row],[ItemID B]],Katalog!$C$3:$C$12,0)),"-")</f>
        <v>-</v>
      </c>
      <c r="L166" t="str">
        <f>IFERROR(INDEX(Katalog!$B$3:$B$12,MATCH(Data[[#This Row],[ItemID B]],Katalog!$C$3:$C$12,0)),"-")</f>
        <v>-</v>
      </c>
      <c r="O166" s="36" t="str">
        <f>IFERROR(INDEX(Katalog!$D$3:$D$12,MATCH(Data[[#This Row],[ItemID B]],Katalog!$C$3:$C$12,0))*Data[[#This Row],[Qty B]],"0")</f>
        <v>0</v>
      </c>
      <c r="P166" s="36" t="str">
        <f>IFERROR(INDEX(Katalog!$F$3:$F$12,MATCH(Data[[#This Row],[ItemID B]],Katalog!$C$3:$C$12,0))*Data[[#This Row],[Qty B]],"0")</f>
        <v>0</v>
      </c>
      <c r="R166" t="str">
        <f>IFERROR(INDEX(Katalog!$A$3:$A$12,MATCH(Data[[#This Row],[ItemID C]],Katalog!$C$3:$C$12,0)),"-")</f>
        <v>-</v>
      </c>
      <c r="S166" t="str">
        <f>IFERROR(INDEX(Katalog!$B$3:$B$12,MATCH(Data[[#This Row],[ItemID C]],Katalog!$C$3:$C$12,0)),"-")</f>
        <v>-</v>
      </c>
      <c r="V166" s="36" t="str">
        <f>IFERROR(INDEX(Katalog!$D$3:$D$12,MATCH(Data[[#This Row],[ItemID C]],Katalog!$C$3:$C$12,0))*Data[[#This Row],[Qty C]],"0")</f>
        <v>0</v>
      </c>
      <c r="W166" s="36" t="str">
        <f>IFERROR(INDEX(Katalog!$F$3:$F$12,MATCH(Data[[#This Row],[ItemID C]],Katalog!$C$3:$C$12,0))*Data[[#This Row],[Qty C]],"0")</f>
        <v>0</v>
      </c>
      <c r="X166" s="21">
        <f>Data[[#This Row],[Qty A]]+Data[[#This Row],[Qty B]]+Data[[#This Row],[Qty C]]</f>
        <v>2</v>
      </c>
      <c r="Y166" s="22">
        <f>Data[[#This Row],[Harga Barang A]]+Data[[#This Row],[Harga Barang B]]+Data[[#This Row],[Harga Barang C]]</f>
        <v>500000</v>
      </c>
      <c r="Z166" s="35">
        <f>IFERROR(Data[[#This Row],[Total Harga]]-(Data[[#This Row],[Total Harga]]*Data[[#This Row],[Diskon]]),Data[[#This Row],[Total Harga]])</f>
        <v>450000</v>
      </c>
      <c r="AA166" s="35">
        <f>(Data[[#This Row],[Profit A]]+Data[[#This Row],[Profit B]]+Data[[#This Row],[Profit C]])</f>
        <v>200000</v>
      </c>
      <c r="AB166" s="35">
        <f>IFERROR((Data[[#This Row],[Profit non Diskon]]-(Data[[#This Row],[Profit non Diskon]]*Data[[#This Row],[Diskon]])),Data[[#This Row],[Profit non Diskon]])</f>
        <v>180000</v>
      </c>
      <c r="AC166" s="23" t="s">
        <v>6</v>
      </c>
      <c r="AD166" s="37">
        <f>IFERROR(INDEX('Kode Diskon'!$D$3:$D$9,MATCH(Data[[#This Row],[Kode diskon]],'Kode Diskon'!$C$3:$C$9,0)),"-")</f>
        <v>0.1</v>
      </c>
      <c r="AE166" s="23" t="s">
        <v>29</v>
      </c>
      <c r="AF166" s="23" t="s">
        <v>7</v>
      </c>
      <c r="AG166" s="23" t="s">
        <v>80</v>
      </c>
      <c r="AH166" s="24">
        <v>45018</v>
      </c>
      <c r="AI166" s="23" t="str">
        <f>TEXT(Data[[#This Row],[Tanggal terjual]],"dddd")</f>
        <v>Sunday</v>
      </c>
      <c r="AJ166" s="21" t="str">
        <f>TEXT(Data[[#This Row],[Tanggal terjual]],"wwww")</f>
        <v>wwww</v>
      </c>
    </row>
    <row r="167" spans="1:36" x14ac:dyDescent="0.2">
      <c r="A167" s="20">
        <v>166</v>
      </c>
      <c r="B167" s="21" t="str">
        <f>_xlfn.CONCAT("ORD-",INDEX(Helper!$B$2:$B$5,MATCH(Data[[#This Row],[Marketplace]],Helper!$A$2:$A$5,0)),TEXT(Data[[#This Row],[No]],"0000"),"-",TEXT(Data[[#This Row],[Tanggal terjual]],"dd/mm/yy"))</f>
        <v>ORD-TK0166-27/04/23</v>
      </c>
      <c r="C167" t="s">
        <v>62</v>
      </c>
      <c r="D167" t="str">
        <f>IFERROR(INDEX(Katalog!$A$3:$A$12,MATCH(Data[[#This Row],[ItemID A]],Katalog!$C$3:$C$12,0)),"-")</f>
        <v>Pakaian Pria</v>
      </c>
      <c r="E167" t="str">
        <f>IFERROR(INDEX(Katalog!$B$3:$B$12,MATCH(Data[[#This Row],[ItemID A]],Katalog!$C$3:$C$12,0)),"-")</f>
        <v>Celana Pendek</v>
      </c>
      <c r="F167">
        <v>1</v>
      </c>
      <c r="G167">
        <v>4</v>
      </c>
      <c r="H167" s="36">
        <f>IFERROR(INDEX(Katalog!$D$3:$D$12,MATCH(Data[[#This Row],[ItemID A]],Katalog!$C$3:$C$12,0))*Data[[#This Row],[Qty A]],"0")</f>
        <v>180000</v>
      </c>
      <c r="I167" s="36">
        <f>IFERROR(INDEX(Katalog!$F$3:$F$12,MATCH(Data[[#This Row],[ItemID A]],Katalog!$C$3:$C$12,0))*Data[[#This Row],[Qty A]],0)</f>
        <v>70000</v>
      </c>
      <c r="J167" t="s">
        <v>61</v>
      </c>
      <c r="K167" t="str">
        <f>IFERROR(INDEX(Katalog!$A$3:$A$12,MATCH(Data[[#This Row],[ItemID B]],Katalog!$C$3:$C$12,0)),"-")</f>
        <v>Pakaian Pria</v>
      </c>
      <c r="L167" t="str">
        <f>IFERROR(INDEX(Katalog!$B$3:$B$12,MATCH(Data[[#This Row],[ItemID B]],Katalog!$C$3:$C$12,0)),"-")</f>
        <v>Kaos Polo</v>
      </c>
      <c r="M167">
        <v>4</v>
      </c>
      <c r="N167">
        <v>1</v>
      </c>
      <c r="O167" s="36">
        <f>IFERROR(INDEX(Katalog!$D$3:$D$12,MATCH(Data[[#This Row],[ItemID B]],Katalog!$C$3:$C$12,0))*Data[[#This Row],[Qty B]],"0")</f>
        <v>800000</v>
      </c>
      <c r="P167" s="36">
        <f>IFERROR(INDEX(Katalog!$F$3:$F$12,MATCH(Data[[#This Row],[ItemID B]],Katalog!$C$3:$C$12,0))*Data[[#This Row],[Qty B]],"0")</f>
        <v>320000</v>
      </c>
      <c r="R167" t="str">
        <f>IFERROR(INDEX(Katalog!$A$3:$A$12,MATCH(Data[[#This Row],[ItemID C]],Katalog!$C$3:$C$12,0)),"-")</f>
        <v>-</v>
      </c>
      <c r="S167" t="str">
        <f>IFERROR(INDEX(Katalog!$B$3:$B$12,MATCH(Data[[#This Row],[ItemID C]],Katalog!$C$3:$C$12,0)),"-")</f>
        <v>-</v>
      </c>
      <c r="V167" s="36" t="str">
        <f>IFERROR(INDEX(Katalog!$D$3:$D$12,MATCH(Data[[#This Row],[ItemID C]],Katalog!$C$3:$C$12,0))*Data[[#This Row],[Qty C]],"0")</f>
        <v>0</v>
      </c>
      <c r="W167" s="36" t="str">
        <f>IFERROR(INDEX(Katalog!$F$3:$F$12,MATCH(Data[[#This Row],[ItemID C]],Katalog!$C$3:$C$12,0))*Data[[#This Row],[Qty C]],"0")</f>
        <v>0</v>
      </c>
      <c r="X167" s="21">
        <f>Data[[#This Row],[Qty A]]+Data[[#This Row],[Qty B]]+Data[[#This Row],[Qty C]]</f>
        <v>5</v>
      </c>
      <c r="Y167" s="22">
        <f>Data[[#This Row],[Harga Barang A]]+Data[[#This Row],[Harga Barang B]]+Data[[#This Row],[Harga Barang C]]</f>
        <v>980000</v>
      </c>
      <c r="Z167" s="35">
        <f>IFERROR(Data[[#This Row],[Total Harga]]-(Data[[#This Row],[Total Harga]]*Data[[#This Row],[Diskon]]),Data[[#This Row],[Total Harga]])</f>
        <v>882000</v>
      </c>
      <c r="AA167" s="35">
        <f>(Data[[#This Row],[Profit A]]+Data[[#This Row],[Profit B]]+Data[[#This Row],[Profit C]])</f>
        <v>390000</v>
      </c>
      <c r="AB167" s="35">
        <f>IFERROR((Data[[#This Row],[Profit non Diskon]]-(Data[[#This Row],[Profit non Diskon]]*Data[[#This Row],[Diskon]])),Data[[#This Row],[Profit non Diskon]])</f>
        <v>351000</v>
      </c>
      <c r="AC167" s="23" t="s">
        <v>31</v>
      </c>
      <c r="AD167" s="37">
        <f>IFERROR(INDEX('Kode Diskon'!$D$3:$D$9,MATCH(Data[[#This Row],[Kode diskon]],'Kode Diskon'!$C$3:$C$9,0)),"-")</f>
        <v>0.1</v>
      </c>
      <c r="AE167" s="23" t="s">
        <v>9</v>
      </c>
      <c r="AF167" s="23" t="s">
        <v>10</v>
      </c>
      <c r="AG167" s="23" t="s">
        <v>75</v>
      </c>
      <c r="AH167" s="24">
        <v>45043</v>
      </c>
      <c r="AI167" s="23" t="str">
        <f>TEXT(Data[[#This Row],[Tanggal terjual]],"dddd")</f>
        <v>Thursday</v>
      </c>
      <c r="AJ167" s="21" t="str">
        <f>TEXT(Data[[#This Row],[Tanggal terjual]],"wwww")</f>
        <v>wwww</v>
      </c>
    </row>
    <row r="168" spans="1:36" x14ac:dyDescent="0.2">
      <c r="A168" s="20">
        <v>167</v>
      </c>
      <c r="B168" s="21" t="str">
        <f>_xlfn.CONCAT("ORD-",INDEX(Helper!$B$2:$B$5,MATCH(Data[[#This Row],[Marketplace]],Helper!$A$2:$A$5,0)),TEXT(Data[[#This Row],[No]],"0000"),"-",TEXT(Data[[#This Row],[Tanggal terjual]],"dd/mm/yy"))</f>
        <v>ORD-BB0167-15/04/23</v>
      </c>
      <c r="C168" t="s">
        <v>63</v>
      </c>
      <c r="D168" t="str">
        <f>IFERROR(INDEX(Katalog!$A$3:$A$12,MATCH(Data[[#This Row],[ItemID A]],Katalog!$C$3:$C$12,0)),"-")</f>
        <v>Pakaian Pria</v>
      </c>
      <c r="E168" t="str">
        <f>IFERROR(INDEX(Katalog!$B$3:$B$12,MATCH(Data[[#This Row],[ItemID A]],Katalog!$C$3:$C$12,0)),"-")</f>
        <v>Jaket Jeans</v>
      </c>
      <c r="F168">
        <v>5</v>
      </c>
      <c r="G168">
        <v>2</v>
      </c>
      <c r="H168" s="36">
        <f>IFERROR(INDEX(Katalog!$D$3:$D$12,MATCH(Data[[#This Row],[ItemID A]],Katalog!$C$3:$C$12,0))*Data[[#This Row],[Qty A]],"0")</f>
        <v>2000000</v>
      </c>
      <c r="I168" s="36">
        <f>IFERROR(INDEX(Katalog!$F$3:$F$12,MATCH(Data[[#This Row],[ItemID A]],Katalog!$C$3:$C$12,0))*Data[[#This Row],[Qty A]],0)</f>
        <v>750000</v>
      </c>
      <c r="J168" t="s">
        <v>66</v>
      </c>
      <c r="K168" t="str">
        <f>IFERROR(INDEX(Katalog!$A$3:$A$12,MATCH(Data[[#This Row],[ItemID B]],Katalog!$C$3:$C$12,0)),"-")</f>
        <v>Sepatu Pria</v>
      </c>
      <c r="L168" t="str">
        <f>IFERROR(INDEX(Katalog!$B$3:$B$12,MATCH(Data[[#This Row],[ItemID B]],Katalog!$C$3:$C$12,0)),"-")</f>
        <v>Sandal Slip On</v>
      </c>
      <c r="M168">
        <v>2</v>
      </c>
      <c r="N168">
        <v>4</v>
      </c>
      <c r="O168" s="36">
        <f>IFERROR(INDEX(Katalog!$D$3:$D$12,MATCH(Data[[#This Row],[ItemID B]],Katalog!$C$3:$C$12,0))*Data[[#This Row],[Qty B]],"0")</f>
        <v>300000</v>
      </c>
      <c r="P168" s="36">
        <f>IFERROR(INDEX(Katalog!$F$3:$F$12,MATCH(Data[[#This Row],[ItemID B]],Katalog!$C$3:$C$12,0))*Data[[#This Row],[Qty B]],"0")</f>
        <v>120000</v>
      </c>
      <c r="R168" t="str">
        <f>IFERROR(INDEX(Katalog!$A$3:$A$12,MATCH(Data[[#This Row],[ItemID C]],Katalog!$C$3:$C$12,0)),"-")</f>
        <v>-</v>
      </c>
      <c r="S168" t="str">
        <f>IFERROR(INDEX(Katalog!$B$3:$B$12,MATCH(Data[[#This Row],[ItemID C]],Katalog!$C$3:$C$12,0)),"-")</f>
        <v>-</v>
      </c>
      <c r="V168" s="36" t="str">
        <f>IFERROR(INDEX(Katalog!$D$3:$D$12,MATCH(Data[[#This Row],[ItemID C]],Katalog!$C$3:$C$12,0))*Data[[#This Row],[Qty C]],"0")</f>
        <v>0</v>
      </c>
      <c r="W168" s="36" t="str">
        <f>IFERROR(INDEX(Katalog!$F$3:$F$12,MATCH(Data[[#This Row],[ItemID C]],Katalog!$C$3:$C$12,0))*Data[[#This Row],[Qty C]],"0")</f>
        <v>0</v>
      </c>
      <c r="X168" s="21">
        <f>Data[[#This Row],[Qty A]]+Data[[#This Row],[Qty B]]+Data[[#This Row],[Qty C]]</f>
        <v>7</v>
      </c>
      <c r="Y168" s="22">
        <f>Data[[#This Row],[Harga Barang A]]+Data[[#This Row],[Harga Barang B]]+Data[[#This Row],[Harga Barang C]]</f>
        <v>2300000</v>
      </c>
      <c r="Z168" s="35">
        <f>IFERROR(Data[[#This Row],[Total Harga]]-(Data[[#This Row],[Total Harga]]*Data[[#This Row],[Diskon]]),Data[[#This Row],[Total Harga]])</f>
        <v>2300000</v>
      </c>
      <c r="AA168" s="35">
        <f>(Data[[#This Row],[Profit A]]+Data[[#This Row],[Profit B]]+Data[[#This Row],[Profit C]])</f>
        <v>870000</v>
      </c>
      <c r="AB168" s="35">
        <f>IFERROR((Data[[#This Row],[Profit non Diskon]]-(Data[[#This Row],[Profit non Diskon]]*Data[[#This Row],[Diskon]])),Data[[#This Row],[Profit non Diskon]])</f>
        <v>870000</v>
      </c>
      <c r="AC168" s="23" t="s">
        <v>11</v>
      </c>
      <c r="AD168" s="37" t="str">
        <f>IFERROR(INDEX('Kode Diskon'!$D$3:$D$9,MATCH(Data[[#This Row],[Kode diskon]],'Kode Diskon'!$C$3:$C$9,0)),"-")</f>
        <v>-</v>
      </c>
      <c r="AE168" s="23" t="s">
        <v>11</v>
      </c>
      <c r="AF168" s="23" t="s">
        <v>14</v>
      </c>
      <c r="AG168" s="23" t="s">
        <v>80</v>
      </c>
      <c r="AH168" s="24">
        <v>45031</v>
      </c>
      <c r="AI168" s="23" t="str">
        <f>TEXT(Data[[#This Row],[Tanggal terjual]],"dddd")</f>
        <v>Saturday</v>
      </c>
      <c r="AJ168" s="21" t="str">
        <f>TEXT(Data[[#This Row],[Tanggal terjual]],"wwww")</f>
        <v>wwww</v>
      </c>
    </row>
    <row r="169" spans="1:36" x14ac:dyDescent="0.2">
      <c r="A169" s="20">
        <v>168</v>
      </c>
      <c r="B169" s="21" t="str">
        <f>_xlfn.CONCAT("ORD-",INDEX(Helper!$B$2:$B$5,MATCH(Data[[#This Row],[Marketplace]],Helper!$A$2:$A$5,0)),TEXT(Data[[#This Row],[No]],"0000"),"-",TEXT(Data[[#This Row],[Tanggal terjual]],"dd/mm/yy"))</f>
        <v>ORD-TK0168-09/04/23</v>
      </c>
      <c r="C169" t="s">
        <v>58</v>
      </c>
      <c r="D169" t="str">
        <f>IFERROR(INDEX(Katalog!$A$3:$A$12,MATCH(Data[[#This Row],[ItemID A]],Katalog!$C$3:$C$12,0)),"-")</f>
        <v>Pakaian Wanita</v>
      </c>
      <c r="E169" t="str">
        <f>IFERROR(INDEX(Katalog!$B$3:$B$12,MATCH(Data[[#This Row],[ItemID A]],Katalog!$C$3:$C$12,0)),"-")</f>
        <v>Dress</v>
      </c>
      <c r="F169">
        <v>2</v>
      </c>
      <c r="G169">
        <v>3</v>
      </c>
      <c r="H169" s="36">
        <f>IFERROR(INDEX(Katalog!$D$3:$D$12,MATCH(Data[[#This Row],[ItemID A]],Katalog!$C$3:$C$12,0))*Data[[#This Row],[Qty A]],"0")</f>
        <v>600000</v>
      </c>
      <c r="I169" s="36">
        <f>IFERROR(INDEX(Katalog!$F$3:$F$12,MATCH(Data[[#This Row],[ItemID A]],Katalog!$C$3:$C$12,0))*Data[[#This Row],[Qty A]],0)</f>
        <v>200000</v>
      </c>
      <c r="J169" t="s">
        <v>60</v>
      </c>
      <c r="K169" t="str">
        <f>IFERROR(INDEX(Katalog!$A$3:$A$12,MATCH(Data[[#This Row],[ItemID B]],Katalog!$C$3:$C$12,0)),"-")</f>
        <v>Pakaian Wanita</v>
      </c>
      <c r="L169" t="str">
        <f>IFERROR(INDEX(Katalog!$B$3:$B$12,MATCH(Data[[#This Row],[ItemID B]],Katalog!$C$3:$C$12,0)),"-")</f>
        <v>Kaftan</v>
      </c>
      <c r="M169">
        <v>1</v>
      </c>
      <c r="N169">
        <v>4</v>
      </c>
      <c r="O169" s="36">
        <f>IFERROR(INDEX(Katalog!$D$3:$D$12,MATCH(Data[[#This Row],[ItemID B]],Katalog!$C$3:$C$12,0))*Data[[#This Row],[Qty B]],"0")</f>
        <v>250000</v>
      </c>
      <c r="P169" s="36">
        <f>IFERROR(INDEX(Katalog!$F$3:$F$12,MATCH(Data[[#This Row],[ItemID B]],Katalog!$C$3:$C$12,0))*Data[[#This Row],[Qty B]],"0")</f>
        <v>100000</v>
      </c>
      <c r="R169" t="str">
        <f>IFERROR(INDEX(Katalog!$A$3:$A$12,MATCH(Data[[#This Row],[ItemID C]],Katalog!$C$3:$C$12,0)),"-")</f>
        <v>-</v>
      </c>
      <c r="S169" t="str">
        <f>IFERROR(INDEX(Katalog!$B$3:$B$12,MATCH(Data[[#This Row],[ItemID C]],Katalog!$C$3:$C$12,0)),"-")</f>
        <v>-</v>
      </c>
      <c r="V169" s="36" t="str">
        <f>IFERROR(INDEX(Katalog!$D$3:$D$12,MATCH(Data[[#This Row],[ItemID C]],Katalog!$C$3:$C$12,0))*Data[[#This Row],[Qty C]],"0")</f>
        <v>0</v>
      </c>
      <c r="W169" s="36" t="str">
        <f>IFERROR(INDEX(Katalog!$F$3:$F$12,MATCH(Data[[#This Row],[ItemID C]],Katalog!$C$3:$C$12,0))*Data[[#This Row],[Qty C]],"0")</f>
        <v>0</v>
      </c>
      <c r="X169" s="21">
        <f>Data[[#This Row],[Qty A]]+Data[[#This Row],[Qty B]]+Data[[#This Row],[Qty C]]</f>
        <v>3</v>
      </c>
      <c r="Y169" s="22">
        <f>Data[[#This Row],[Harga Barang A]]+Data[[#This Row],[Harga Barang B]]+Data[[#This Row],[Harga Barang C]]</f>
        <v>850000</v>
      </c>
      <c r="Z169" s="35">
        <f>IFERROR(Data[[#This Row],[Total Harga]]-(Data[[#This Row],[Total Harga]]*Data[[#This Row],[Diskon]]),Data[[#This Row],[Total Harga]])</f>
        <v>850000</v>
      </c>
      <c r="AA169" s="35">
        <f>(Data[[#This Row],[Profit A]]+Data[[#This Row],[Profit B]]+Data[[#This Row],[Profit C]])</f>
        <v>300000</v>
      </c>
      <c r="AB169" s="35">
        <f>IFERROR((Data[[#This Row],[Profit non Diskon]]-(Data[[#This Row],[Profit non Diskon]]*Data[[#This Row],[Diskon]])),Data[[#This Row],[Profit non Diskon]])</f>
        <v>300000</v>
      </c>
      <c r="AC169" s="23" t="s">
        <v>11</v>
      </c>
      <c r="AD169" s="37" t="str">
        <f>IFERROR(INDEX('Kode Diskon'!$D$3:$D$9,MATCH(Data[[#This Row],[Kode diskon]],'Kode Diskon'!$C$3:$C$9,0)),"-")</f>
        <v>-</v>
      </c>
      <c r="AE169" s="23" t="s">
        <v>11</v>
      </c>
      <c r="AF169" s="23" t="s">
        <v>10</v>
      </c>
      <c r="AG169" s="23" t="s">
        <v>77</v>
      </c>
      <c r="AH169" s="24">
        <v>45025</v>
      </c>
      <c r="AI169" s="23" t="str">
        <f>TEXT(Data[[#This Row],[Tanggal terjual]],"dddd")</f>
        <v>Sunday</v>
      </c>
      <c r="AJ169" s="21" t="str">
        <f>TEXT(Data[[#This Row],[Tanggal terjual]],"wwww")</f>
        <v>wwww</v>
      </c>
    </row>
    <row r="170" spans="1:36" x14ac:dyDescent="0.2">
      <c r="A170" s="20">
        <v>169</v>
      </c>
      <c r="B170" s="21" t="str">
        <f>_xlfn.CONCAT("ORD-",INDEX(Helper!$B$2:$B$5,MATCH(Data[[#This Row],[Marketplace]],Helper!$A$2:$A$5,0)),TEXT(Data[[#This Row],[No]],"0000"),"-",TEXT(Data[[#This Row],[Tanggal terjual]],"dd/mm/yy"))</f>
        <v>ORD-TK0169-22/04/23</v>
      </c>
      <c r="C170" t="s">
        <v>58</v>
      </c>
      <c r="D170" t="str">
        <f>IFERROR(INDEX(Katalog!$A$3:$A$12,MATCH(Data[[#This Row],[ItemID A]],Katalog!$C$3:$C$12,0)),"-")</f>
        <v>Pakaian Wanita</v>
      </c>
      <c r="E170" t="str">
        <f>IFERROR(INDEX(Katalog!$B$3:$B$12,MATCH(Data[[#This Row],[ItemID A]],Katalog!$C$3:$C$12,0)),"-")</f>
        <v>Dress</v>
      </c>
      <c r="F170">
        <v>1</v>
      </c>
      <c r="G170">
        <v>5</v>
      </c>
      <c r="H170" s="36">
        <f>IFERROR(INDEX(Katalog!$D$3:$D$12,MATCH(Data[[#This Row],[ItemID A]],Katalog!$C$3:$C$12,0))*Data[[#This Row],[Qty A]],"0")</f>
        <v>300000</v>
      </c>
      <c r="I170" s="36">
        <f>IFERROR(INDEX(Katalog!$F$3:$F$12,MATCH(Data[[#This Row],[ItemID A]],Katalog!$C$3:$C$12,0))*Data[[#This Row],[Qty A]],0)</f>
        <v>100000</v>
      </c>
      <c r="J170" t="s">
        <v>66</v>
      </c>
      <c r="K170" t="str">
        <f>IFERROR(INDEX(Katalog!$A$3:$A$12,MATCH(Data[[#This Row],[ItemID B]],Katalog!$C$3:$C$12,0)),"-")</f>
        <v>Sepatu Pria</v>
      </c>
      <c r="L170" t="str">
        <f>IFERROR(INDEX(Katalog!$B$3:$B$12,MATCH(Data[[#This Row],[ItemID B]],Katalog!$C$3:$C$12,0)),"-")</f>
        <v>Sandal Slip On</v>
      </c>
      <c r="M170">
        <v>2</v>
      </c>
      <c r="N170">
        <v>5</v>
      </c>
      <c r="O170" s="36">
        <f>IFERROR(INDEX(Katalog!$D$3:$D$12,MATCH(Data[[#This Row],[ItemID B]],Katalog!$C$3:$C$12,0))*Data[[#This Row],[Qty B]],"0")</f>
        <v>300000</v>
      </c>
      <c r="P170" s="36">
        <f>IFERROR(INDEX(Katalog!$F$3:$F$12,MATCH(Data[[#This Row],[ItemID B]],Katalog!$C$3:$C$12,0))*Data[[#This Row],[Qty B]],"0")</f>
        <v>120000</v>
      </c>
      <c r="R170" t="str">
        <f>IFERROR(INDEX(Katalog!$A$3:$A$12,MATCH(Data[[#This Row],[ItemID C]],Katalog!$C$3:$C$12,0)),"-")</f>
        <v>-</v>
      </c>
      <c r="S170" t="str">
        <f>IFERROR(INDEX(Katalog!$B$3:$B$12,MATCH(Data[[#This Row],[ItemID C]],Katalog!$C$3:$C$12,0)),"-")</f>
        <v>-</v>
      </c>
      <c r="V170" s="36" t="str">
        <f>IFERROR(INDEX(Katalog!$D$3:$D$12,MATCH(Data[[#This Row],[ItemID C]],Katalog!$C$3:$C$12,0))*Data[[#This Row],[Qty C]],"0")</f>
        <v>0</v>
      </c>
      <c r="W170" s="36" t="str">
        <f>IFERROR(INDEX(Katalog!$F$3:$F$12,MATCH(Data[[#This Row],[ItemID C]],Katalog!$C$3:$C$12,0))*Data[[#This Row],[Qty C]],"0")</f>
        <v>0</v>
      </c>
      <c r="X170" s="21">
        <f>Data[[#This Row],[Qty A]]+Data[[#This Row],[Qty B]]+Data[[#This Row],[Qty C]]</f>
        <v>3</v>
      </c>
      <c r="Y170" s="22">
        <f>Data[[#This Row],[Harga Barang A]]+Data[[#This Row],[Harga Barang B]]+Data[[#This Row],[Harga Barang C]]</f>
        <v>600000</v>
      </c>
      <c r="Z170" s="35">
        <f>IFERROR(Data[[#This Row],[Total Harga]]-(Data[[#This Row],[Total Harga]]*Data[[#This Row],[Diskon]]),Data[[#This Row],[Total Harga]])</f>
        <v>540000</v>
      </c>
      <c r="AA170" s="35">
        <f>(Data[[#This Row],[Profit A]]+Data[[#This Row],[Profit B]]+Data[[#This Row],[Profit C]])</f>
        <v>220000</v>
      </c>
      <c r="AB170" s="35">
        <f>IFERROR((Data[[#This Row],[Profit non Diskon]]-(Data[[#This Row],[Profit non Diskon]]*Data[[#This Row],[Diskon]])),Data[[#This Row],[Profit non Diskon]])</f>
        <v>198000</v>
      </c>
      <c r="AC170" s="23" t="s">
        <v>31</v>
      </c>
      <c r="AD170" s="37">
        <f>IFERROR(INDEX('Kode Diskon'!$D$3:$D$9,MATCH(Data[[#This Row],[Kode diskon]],'Kode Diskon'!$C$3:$C$9,0)),"-")</f>
        <v>0.1</v>
      </c>
      <c r="AE170" s="23" t="s">
        <v>9</v>
      </c>
      <c r="AF170" s="23" t="s">
        <v>10</v>
      </c>
      <c r="AG170" s="23" t="s">
        <v>80</v>
      </c>
      <c r="AH170" s="24">
        <v>45038</v>
      </c>
      <c r="AI170" s="23" t="str">
        <f>TEXT(Data[[#This Row],[Tanggal terjual]],"dddd")</f>
        <v>Saturday</v>
      </c>
      <c r="AJ170" s="21" t="str">
        <f>TEXT(Data[[#This Row],[Tanggal terjual]],"wwww")</f>
        <v>wwww</v>
      </c>
    </row>
    <row r="171" spans="1:36" x14ac:dyDescent="0.2">
      <c r="A171" s="20">
        <v>170</v>
      </c>
      <c r="B171" s="21" t="str">
        <f>_xlfn.CONCAT("ORD-",INDEX(Helper!$B$2:$B$5,MATCH(Data[[#This Row],[Marketplace]],Helper!$A$2:$A$5,0)),TEXT(Data[[#This Row],[No]],"0000"),"-",TEXT(Data[[#This Row],[Tanggal terjual]],"dd/mm/yy"))</f>
        <v>ORD-SP0170-27/04/23</v>
      </c>
      <c r="C171" t="s">
        <v>63</v>
      </c>
      <c r="D171" t="str">
        <f>IFERROR(INDEX(Katalog!$A$3:$A$12,MATCH(Data[[#This Row],[ItemID A]],Katalog!$C$3:$C$12,0)),"-")</f>
        <v>Pakaian Pria</v>
      </c>
      <c r="E171" t="str">
        <f>IFERROR(INDEX(Katalog!$B$3:$B$12,MATCH(Data[[#This Row],[ItemID A]],Katalog!$C$3:$C$12,0)),"-")</f>
        <v>Jaket Jeans</v>
      </c>
      <c r="F171">
        <v>1</v>
      </c>
      <c r="G171">
        <v>3</v>
      </c>
      <c r="H171" s="36">
        <f>IFERROR(INDEX(Katalog!$D$3:$D$12,MATCH(Data[[#This Row],[ItemID A]],Katalog!$C$3:$C$12,0))*Data[[#This Row],[Qty A]],"0")</f>
        <v>400000</v>
      </c>
      <c r="I171" s="36">
        <f>IFERROR(INDEX(Katalog!$F$3:$F$12,MATCH(Data[[#This Row],[ItemID A]],Katalog!$C$3:$C$12,0))*Data[[#This Row],[Qty A]],0)</f>
        <v>150000</v>
      </c>
      <c r="K171" t="str">
        <f>IFERROR(INDEX(Katalog!$A$3:$A$12,MATCH(Data[[#This Row],[ItemID B]],Katalog!$C$3:$C$12,0)),"-")</f>
        <v>-</v>
      </c>
      <c r="L171" t="str">
        <f>IFERROR(INDEX(Katalog!$B$3:$B$12,MATCH(Data[[#This Row],[ItemID B]],Katalog!$C$3:$C$12,0)),"-")</f>
        <v>-</v>
      </c>
      <c r="O171" s="36" t="str">
        <f>IFERROR(INDEX(Katalog!$D$3:$D$12,MATCH(Data[[#This Row],[ItemID B]],Katalog!$C$3:$C$12,0))*Data[[#This Row],[Qty B]],"0")</f>
        <v>0</v>
      </c>
      <c r="P171" s="36" t="str">
        <f>IFERROR(INDEX(Katalog!$F$3:$F$12,MATCH(Data[[#This Row],[ItemID B]],Katalog!$C$3:$C$12,0))*Data[[#This Row],[Qty B]],"0")</f>
        <v>0</v>
      </c>
      <c r="R171" t="str">
        <f>IFERROR(INDEX(Katalog!$A$3:$A$12,MATCH(Data[[#This Row],[ItemID C]],Katalog!$C$3:$C$12,0)),"-")</f>
        <v>-</v>
      </c>
      <c r="S171" t="str">
        <f>IFERROR(INDEX(Katalog!$B$3:$B$12,MATCH(Data[[#This Row],[ItemID C]],Katalog!$C$3:$C$12,0)),"-")</f>
        <v>-</v>
      </c>
      <c r="V171" s="36" t="str">
        <f>IFERROR(INDEX(Katalog!$D$3:$D$12,MATCH(Data[[#This Row],[ItemID C]],Katalog!$C$3:$C$12,0))*Data[[#This Row],[Qty C]],"0")</f>
        <v>0</v>
      </c>
      <c r="W171" s="36" t="str">
        <f>IFERROR(INDEX(Katalog!$F$3:$F$12,MATCH(Data[[#This Row],[ItemID C]],Katalog!$C$3:$C$12,0))*Data[[#This Row],[Qty C]],"0")</f>
        <v>0</v>
      </c>
      <c r="X171" s="21">
        <f>Data[[#This Row],[Qty A]]+Data[[#This Row],[Qty B]]+Data[[#This Row],[Qty C]]</f>
        <v>1</v>
      </c>
      <c r="Y171" s="22">
        <f>Data[[#This Row],[Harga Barang A]]+Data[[#This Row],[Harga Barang B]]+Data[[#This Row],[Harga Barang C]]</f>
        <v>400000</v>
      </c>
      <c r="Z171" s="35">
        <f>IFERROR(Data[[#This Row],[Total Harga]]-(Data[[#This Row],[Total Harga]]*Data[[#This Row],[Diskon]]),Data[[#This Row],[Total Harga]])</f>
        <v>320000</v>
      </c>
      <c r="AA171" s="35">
        <f>(Data[[#This Row],[Profit A]]+Data[[#This Row],[Profit B]]+Data[[#This Row],[Profit C]])</f>
        <v>150000</v>
      </c>
      <c r="AB171" s="35">
        <f>IFERROR((Data[[#This Row],[Profit non Diskon]]-(Data[[#This Row],[Profit non Diskon]]*Data[[#This Row],[Diskon]])),Data[[#This Row],[Profit non Diskon]])</f>
        <v>120000</v>
      </c>
      <c r="AC171" s="23" t="s">
        <v>8</v>
      </c>
      <c r="AD171" s="37">
        <f>IFERROR(INDEX('Kode Diskon'!$D$3:$D$9,MATCH(Data[[#This Row],[Kode diskon]],'Kode Diskon'!$C$3:$C$9,0)),"-")</f>
        <v>0.2</v>
      </c>
      <c r="AE171" s="23" t="s">
        <v>9</v>
      </c>
      <c r="AF171" s="23" t="s">
        <v>7</v>
      </c>
      <c r="AG171" s="23" t="s">
        <v>79</v>
      </c>
      <c r="AH171" s="24">
        <v>45043</v>
      </c>
      <c r="AI171" s="23" t="str">
        <f>TEXT(Data[[#This Row],[Tanggal terjual]],"dddd")</f>
        <v>Thursday</v>
      </c>
      <c r="AJ171" s="21" t="str">
        <f>TEXT(Data[[#This Row],[Tanggal terjual]],"wwww")</f>
        <v>wwww</v>
      </c>
    </row>
    <row r="172" spans="1:36" x14ac:dyDescent="0.2">
      <c r="A172" s="20">
        <v>171</v>
      </c>
      <c r="B172" s="21" t="str">
        <f>_xlfn.CONCAT("ORD-",INDEX(Helper!$B$2:$B$5,MATCH(Data[[#This Row],[Marketplace]],Helper!$A$2:$A$5,0)),TEXT(Data[[#This Row],[No]],"0000"),"-",TEXT(Data[[#This Row],[Tanggal terjual]],"dd/mm/yy"))</f>
        <v>ORD-SP0171-08/04/23</v>
      </c>
      <c r="C172" t="s">
        <v>62</v>
      </c>
      <c r="D172" t="str">
        <f>IFERROR(INDEX(Katalog!$A$3:$A$12,MATCH(Data[[#This Row],[ItemID A]],Katalog!$C$3:$C$12,0)),"-")</f>
        <v>Pakaian Pria</v>
      </c>
      <c r="E172" t="str">
        <f>IFERROR(INDEX(Katalog!$B$3:$B$12,MATCH(Data[[#This Row],[ItemID A]],Katalog!$C$3:$C$12,0)),"-")</f>
        <v>Celana Pendek</v>
      </c>
      <c r="F172">
        <v>3</v>
      </c>
      <c r="G172">
        <v>1</v>
      </c>
      <c r="H172" s="36">
        <f>IFERROR(INDEX(Katalog!$D$3:$D$12,MATCH(Data[[#This Row],[ItemID A]],Katalog!$C$3:$C$12,0))*Data[[#This Row],[Qty A]],"0")</f>
        <v>540000</v>
      </c>
      <c r="I172" s="36">
        <f>IFERROR(INDEX(Katalog!$F$3:$F$12,MATCH(Data[[#This Row],[ItemID A]],Katalog!$C$3:$C$12,0))*Data[[#This Row],[Qty A]],0)</f>
        <v>210000</v>
      </c>
      <c r="J172" t="s">
        <v>66</v>
      </c>
      <c r="K172" t="str">
        <f>IFERROR(INDEX(Katalog!$A$3:$A$12,MATCH(Data[[#This Row],[ItemID B]],Katalog!$C$3:$C$12,0)),"-")</f>
        <v>Sepatu Pria</v>
      </c>
      <c r="L172" t="str">
        <f>IFERROR(INDEX(Katalog!$B$3:$B$12,MATCH(Data[[#This Row],[ItemID B]],Katalog!$C$3:$C$12,0)),"-")</f>
        <v>Sandal Slip On</v>
      </c>
      <c r="M172">
        <v>1</v>
      </c>
      <c r="N172">
        <v>2</v>
      </c>
      <c r="O172" s="36">
        <f>IFERROR(INDEX(Katalog!$D$3:$D$12,MATCH(Data[[#This Row],[ItemID B]],Katalog!$C$3:$C$12,0))*Data[[#This Row],[Qty B]],"0")</f>
        <v>150000</v>
      </c>
      <c r="P172" s="36">
        <f>IFERROR(INDEX(Katalog!$F$3:$F$12,MATCH(Data[[#This Row],[ItemID B]],Katalog!$C$3:$C$12,0))*Data[[#This Row],[Qty B]],"0")</f>
        <v>60000</v>
      </c>
      <c r="Q172" t="s">
        <v>60</v>
      </c>
      <c r="R172" t="str">
        <f>IFERROR(INDEX(Katalog!$A$3:$A$12,MATCH(Data[[#This Row],[ItemID C]],Katalog!$C$3:$C$12,0)),"-")</f>
        <v>Pakaian Wanita</v>
      </c>
      <c r="S172" t="str">
        <f>IFERROR(INDEX(Katalog!$B$3:$B$12,MATCH(Data[[#This Row],[ItemID C]],Katalog!$C$3:$C$12,0)),"-")</f>
        <v>Kaftan</v>
      </c>
      <c r="T172">
        <v>2</v>
      </c>
      <c r="U172">
        <v>1</v>
      </c>
      <c r="V172" s="36">
        <f>IFERROR(INDEX(Katalog!$D$3:$D$12,MATCH(Data[[#This Row],[ItemID C]],Katalog!$C$3:$C$12,0))*Data[[#This Row],[Qty C]],"0")</f>
        <v>500000</v>
      </c>
      <c r="W172" s="36">
        <f>IFERROR(INDEX(Katalog!$F$3:$F$12,MATCH(Data[[#This Row],[ItemID C]],Katalog!$C$3:$C$12,0))*Data[[#This Row],[Qty C]],"0")</f>
        <v>200000</v>
      </c>
      <c r="X172" s="21">
        <f>Data[[#This Row],[Qty A]]+Data[[#This Row],[Qty B]]+Data[[#This Row],[Qty C]]</f>
        <v>6</v>
      </c>
      <c r="Y172" s="22">
        <f>Data[[#This Row],[Harga Barang A]]+Data[[#This Row],[Harga Barang B]]+Data[[#This Row],[Harga Barang C]]</f>
        <v>1190000</v>
      </c>
      <c r="Z172" s="35">
        <f>IFERROR(Data[[#This Row],[Total Harga]]-(Data[[#This Row],[Total Harga]]*Data[[#This Row],[Diskon]]),Data[[#This Row],[Total Harga]])</f>
        <v>1190000</v>
      </c>
      <c r="AA172" s="35">
        <f>(Data[[#This Row],[Profit A]]+Data[[#This Row],[Profit B]]+Data[[#This Row],[Profit C]])</f>
        <v>470000</v>
      </c>
      <c r="AB172" s="35">
        <f>IFERROR((Data[[#This Row],[Profit non Diskon]]-(Data[[#This Row],[Profit non Diskon]]*Data[[#This Row],[Diskon]])),Data[[#This Row],[Profit non Diskon]])</f>
        <v>470000</v>
      </c>
      <c r="AC172" s="23" t="s">
        <v>11</v>
      </c>
      <c r="AD172" s="37" t="str">
        <f>IFERROR(INDEX('Kode Diskon'!$D$3:$D$9,MATCH(Data[[#This Row],[Kode diskon]],'Kode Diskon'!$C$3:$C$9,0)),"-")</f>
        <v>-</v>
      </c>
      <c r="AE172" s="23" t="s">
        <v>11</v>
      </c>
      <c r="AF172" s="23" t="s">
        <v>7</v>
      </c>
      <c r="AG172" s="23" t="s">
        <v>77</v>
      </c>
      <c r="AH172" s="24">
        <v>45024</v>
      </c>
      <c r="AI172" s="23" t="str">
        <f>TEXT(Data[[#This Row],[Tanggal terjual]],"dddd")</f>
        <v>Saturday</v>
      </c>
      <c r="AJ172" s="21" t="str">
        <f>TEXT(Data[[#This Row],[Tanggal terjual]],"wwww")</f>
        <v>wwww</v>
      </c>
    </row>
    <row r="173" spans="1:36" x14ac:dyDescent="0.2">
      <c r="A173" s="20">
        <v>172</v>
      </c>
      <c r="B173" s="21" t="str">
        <f>_xlfn.CONCAT("ORD-",INDEX(Helper!$B$2:$B$5,MATCH(Data[[#This Row],[Marketplace]],Helper!$A$2:$A$5,0)),TEXT(Data[[#This Row],[No]],"0000"),"-",TEXT(Data[[#This Row],[Tanggal terjual]],"dd/mm/yy"))</f>
        <v>ORD-TK0172-04/04/23</v>
      </c>
      <c r="C173" t="s">
        <v>63</v>
      </c>
      <c r="D173" t="str">
        <f>IFERROR(INDEX(Katalog!$A$3:$A$12,MATCH(Data[[#This Row],[ItemID A]],Katalog!$C$3:$C$12,0)),"-")</f>
        <v>Pakaian Pria</v>
      </c>
      <c r="E173" t="str">
        <f>IFERROR(INDEX(Katalog!$B$3:$B$12,MATCH(Data[[#This Row],[ItemID A]],Katalog!$C$3:$C$12,0)),"-")</f>
        <v>Jaket Jeans</v>
      </c>
      <c r="F173">
        <v>3</v>
      </c>
      <c r="G173">
        <v>3</v>
      </c>
      <c r="H173" s="36">
        <f>IFERROR(INDEX(Katalog!$D$3:$D$12,MATCH(Data[[#This Row],[ItemID A]],Katalog!$C$3:$C$12,0))*Data[[#This Row],[Qty A]],"0")</f>
        <v>1200000</v>
      </c>
      <c r="I173" s="36">
        <f>IFERROR(INDEX(Katalog!$F$3:$F$12,MATCH(Data[[#This Row],[ItemID A]],Katalog!$C$3:$C$12,0))*Data[[#This Row],[Qty A]],0)</f>
        <v>450000</v>
      </c>
      <c r="J173" t="s">
        <v>66</v>
      </c>
      <c r="K173" t="str">
        <f>IFERROR(INDEX(Katalog!$A$3:$A$12,MATCH(Data[[#This Row],[ItemID B]],Katalog!$C$3:$C$12,0)),"-")</f>
        <v>Sepatu Pria</v>
      </c>
      <c r="L173" t="str">
        <f>IFERROR(INDEX(Katalog!$B$3:$B$12,MATCH(Data[[#This Row],[ItemID B]],Katalog!$C$3:$C$12,0)),"-")</f>
        <v>Sandal Slip On</v>
      </c>
      <c r="M173">
        <v>1</v>
      </c>
      <c r="N173">
        <v>1</v>
      </c>
      <c r="O173" s="36">
        <f>IFERROR(INDEX(Katalog!$D$3:$D$12,MATCH(Data[[#This Row],[ItemID B]],Katalog!$C$3:$C$12,0))*Data[[#This Row],[Qty B]],"0")</f>
        <v>150000</v>
      </c>
      <c r="P173" s="36">
        <f>IFERROR(INDEX(Katalog!$F$3:$F$12,MATCH(Data[[#This Row],[ItemID B]],Katalog!$C$3:$C$12,0))*Data[[#This Row],[Qty B]],"0")</f>
        <v>60000</v>
      </c>
      <c r="R173" t="str">
        <f>IFERROR(INDEX(Katalog!$A$3:$A$12,MATCH(Data[[#This Row],[ItemID C]],Katalog!$C$3:$C$12,0)),"-")</f>
        <v>-</v>
      </c>
      <c r="S173" t="str">
        <f>IFERROR(INDEX(Katalog!$B$3:$B$12,MATCH(Data[[#This Row],[ItemID C]],Katalog!$C$3:$C$12,0)),"-")</f>
        <v>-</v>
      </c>
      <c r="V173" s="36" t="str">
        <f>IFERROR(INDEX(Katalog!$D$3:$D$12,MATCH(Data[[#This Row],[ItemID C]],Katalog!$C$3:$C$12,0))*Data[[#This Row],[Qty C]],"0")</f>
        <v>0</v>
      </c>
      <c r="W173" s="36" t="str">
        <f>IFERROR(INDEX(Katalog!$F$3:$F$12,MATCH(Data[[#This Row],[ItemID C]],Katalog!$C$3:$C$12,0))*Data[[#This Row],[Qty C]],"0")</f>
        <v>0</v>
      </c>
      <c r="X173" s="21">
        <f>Data[[#This Row],[Qty A]]+Data[[#This Row],[Qty B]]+Data[[#This Row],[Qty C]]</f>
        <v>4</v>
      </c>
      <c r="Y173" s="22">
        <f>Data[[#This Row],[Harga Barang A]]+Data[[#This Row],[Harga Barang B]]+Data[[#This Row],[Harga Barang C]]</f>
        <v>1350000</v>
      </c>
      <c r="Z173" s="35">
        <f>IFERROR(Data[[#This Row],[Total Harga]]-(Data[[#This Row],[Total Harga]]*Data[[#This Row],[Diskon]]),Data[[#This Row],[Total Harga]])</f>
        <v>1215000</v>
      </c>
      <c r="AA173" s="35">
        <f>(Data[[#This Row],[Profit A]]+Data[[#This Row],[Profit B]]+Data[[#This Row],[Profit C]])</f>
        <v>510000</v>
      </c>
      <c r="AB173" s="35">
        <f>IFERROR((Data[[#This Row],[Profit non Diskon]]-(Data[[#This Row],[Profit non Diskon]]*Data[[#This Row],[Diskon]])),Data[[#This Row],[Profit non Diskon]])</f>
        <v>459000</v>
      </c>
      <c r="AC173" s="23" t="s">
        <v>30</v>
      </c>
      <c r="AD173" s="37">
        <f>IFERROR(INDEX('Kode Diskon'!$D$3:$D$9,MATCH(Data[[#This Row],[Kode diskon]],'Kode Diskon'!$C$3:$C$9,0)),"-")</f>
        <v>0.1</v>
      </c>
      <c r="AE173" s="23" t="s">
        <v>29</v>
      </c>
      <c r="AF173" s="23" t="s">
        <v>10</v>
      </c>
      <c r="AG173" s="23" t="s">
        <v>76</v>
      </c>
      <c r="AH173" s="24">
        <v>45020</v>
      </c>
      <c r="AI173" s="23" t="str">
        <f>TEXT(Data[[#This Row],[Tanggal terjual]],"dddd")</f>
        <v>Tuesday</v>
      </c>
      <c r="AJ173" s="21" t="str">
        <f>TEXT(Data[[#This Row],[Tanggal terjual]],"wwww")</f>
        <v>wwww</v>
      </c>
    </row>
    <row r="174" spans="1:36" x14ac:dyDescent="0.2">
      <c r="A174" s="20">
        <v>173</v>
      </c>
      <c r="B174" s="21" t="str">
        <f>_xlfn.CONCAT("ORD-",INDEX(Helper!$B$2:$B$5,MATCH(Data[[#This Row],[Marketplace]],Helper!$A$2:$A$5,0)),TEXT(Data[[#This Row],[No]],"0000"),"-",TEXT(Data[[#This Row],[Tanggal terjual]],"dd/mm/yy"))</f>
        <v>ORD-BB0173-03/04/23</v>
      </c>
      <c r="C174" t="s">
        <v>59</v>
      </c>
      <c r="D174" t="str">
        <f>IFERROR(INDEX(Katalog!$A$3:$A$12,MATCH(Data[[#This Row],[ItemID A]],Katalog!$C$3:$C$12,0)),"-")</f>
        <v>Pakaian Wanita</v>
      </c>
      <c r="E174" t="str">
        <f>IFERROR(INDEX(Katalog!$B$3:$B$12,MATCH(Data[[#This Row],[ItemID A]],Katalog!$C$3:$C$12,0)),"-")</f>
        <v>Blouse</v>
      </c>
      <c r="F174">
        <v>6</v>
      </c>
      <c r="G174">
        <v>3</v>
      </c>
      <c r="H174" s="36">
        <f>IFERROR(INDEX(Katalog!$D$3:$D$12,MATCH(Data[[#This Row],[ItemID A]],Katalog!$C$3:$C$12,0))*Data[[#This Row],[Qty A]],"0")</f>
        <v>900000</v>
      </c>
      <c r="I174" s="36">
        <f>IFERROR(INDEX(Katalog!$F$3:$F$12,MATCH(Data[[#This Row],[ItemID A]],Katalog!$C$3:$C$12,0))*Data[[#This Row],[Qty A]],0)</f>
        <v>300000</v>
      </c>
      <c r="J174" t="s">
        <v>67</v>
      </c>
      <c r="K174" t="str">
        <f>IFERROR(INDEX(Katalog!$A$3:$A$12,MATCH(Data[[#This Row],[ItemID B]],Katalog!$C$3:$C$12,0)),"-")</f>
        <v>Sepatu Wanita</v>
      </c>
      <c r="L174" t="str">
        <f>IFERROR(INDEX(Katalog!$B$3:$B$12,MATCH(Data[[#This Row],[ItemID B]],Katalog!$C$3:$C$12,0)),"-")</f>
        <v>Flat Shoes</v>
      </c>
      <c r="M174">
        <v>1</v>
      </c>
      <c r="N174">
        <v>4</v>
      </c>
      <c r="O174" s="36">
        <f>IFERROR(INDEX(Katalog!$D$3:$D$12,MATCH(Data[[#This Row],[ItemID B]],Katalog!$C$3:$C$12,0))*Data[[#This Row],[Qty B]],"0")</f>
        <v>250000</v>
      </c>
      <c r="P174" s="36">
        <f>IFERROR(INDEX(Katalog!$F$3:$F$12,MATCH(Data[[#This Row],[ItemID B]],Katalog!$C$3:$C$12,0))*Data[[#This Row],[Qty B]],"0")</f>
        <v>100000</v>
      </c>
      <c r="R174" t="str">
        <f>IFERROR(INDEX(Katalog!$A$3:$A$12,MATCH(Data[[#This Row],[ItemID C]],Katalog!$C$3:$C$12,0)),"-")</f>
        <v>-</v>
      </c>
      <c r="S174" t="str">
        <f>IFERROR(INDEX(Katalog!$B$3:$B$12,MATCH(Data[[#This Row],[ItemID C]],Katalog!$C$3:$C$12,0)),"-")</f>
        <v>-</v>
      </c>
      <c r="V174" s="36" t="str">
        <f>IFERROR(INDEX(Katalog!$D$3:$D$12,MATCH(Data[[#This Row],[ItemID C]],Katalog!$C$3:$C$12,0))*Data[[#This Row],[Qty C]],"0")</f>
        <v>0</v>
      </c>
      <c r="W174" s="36" t="str">
        <f>IFERROR(INDEX(Katalog!$F$3:$F$12,MATCH(Data[[#This Row],[ItemID C]],Katalog!$C$3:$C$12,0))*Data[[#This Row],[Qty C]],"0")</f>
        <v>0</v>
      </c>
      <c r="X174" s="21">
        <f>Data[[#This Row],[Qty A]]+Data[[#This Row],[Qty B]]+Data[[#This Row],[Qty C]]</f>
        <v>7</v>
      </c>
      <c r="Y174" s="22">
        <f>Data[[#This Row],[Harga Barang A]]+Data[[#This Row],[Harga Barang B]]+Data[[#This Row],[Harga Barang C]]</f>
        <v>1150000</v>
      </c>
      <c r="Z174" s="35">
        <f>IFERROR(Data[[#This Row],[Total Harga]]-(Data[[#This Row],[Total Harga]]*Data[[#This Row],[Diskon]]),Data[[#This Row],[Total Harga]])</f>
        <v>977500</v>
      </c>
      <c r="AA174" s="35">
        <f>(Data[[#This Row],[Profit A]]+Data[[#This Row],[Profit B]]+Data[[#This Row],[Profit C]])</f>
        <v>400000</v>
      </c>
      <c r="AB174" s="35">
        <f>IFERROR((Data[[#This Row],[Profit non Diskon]]-(Data[[#This Row],[Profit non Diskon]]*Data[[#This Row],[Diskon]])),Data[[#This Row],[Profit non Diskon]])</f>
        <v>340000</v>
      </c>
      <c r="AC174" s="23" t="s">
        <v>28</v>
      </c>
      <c r="AD174" s="37">
        <f>IFERROR(INDEX('Kode Diskon'!$D$3:$D$9,MATCH(Data[[#This Row],[Kode diskon]],'Kode Diskon'!$C$3:$C$9,0)),"-")</f>
        <v>0.15</v>
      </c>
      <c r="AE174" s="23" t="s">
        <v>29</v>
      </c>
      <c r="AF174" s="23" t="s">
        <v>14</v>
      </c>
      <c r="AG174" s="23" t="s">
        <v>79</v>
      </c>
      <c r="AH174" s="24">
        <v>45019</v>
      </c>
      <c r="AI174" s="23" t="str">
        <f>TEXT(Data[[#This Row],[Tanggal terjual]],"dddd")</f>
        <v>Monday</v>
      </c>
      <c r="AJ174" s="21" t="str">
        <f>TEXT(Data[[#This Row],[Tanggal terjual]],"wwww")</f>
        <v>wwww</v>
      </c>
    </row>
    <row r="175" spans="1:36" x14ac:dyDescent="0.2">
      <c r="A175" s="20">
        <v>174</v>
      </c>
      <c r="B175" s="21" t="str">
        <f>_xlfn.CONCAT("ORD-",INDEX(Helper!$B$2:$B$5,MATCH(Data[[#This Row],[Marketplace]],Helper!$A$2:$A$5,0)),TEXT(Data[[#This Row],[No]],"0000"),"-",TEXT(Data[[#This Row],[Tanggal terjual]],"dd/mm/yy"))</f>
        <v>ORD-SP0174-24/04/23</v>
      </c>
      <c r="C175" t="s">
        <v>64</v>
      </c>
      <c r="D175" t="str">
        <f>IFERROR(INDEX(Katalog!$A$3:$A$12,MATCH(Data[[#This Row],[ItemID A]],Katalog!$C$3:$C$12,0)),"-")</f>
        <v>Pakaian Unisex</v>
      </c>
      <c r="E175" t="str">
        <f>IFERROR(INDEX(Katalog!$B$3:$B$12,MATCH(Data[[#This Row],[ItemID A]],Katalog!$C$3:$C$12,0)),"-")</f>
        <v>Jaket Hoodie</v>
      </c>
      <c r="F175">
        <v>1</v>
      </c>
      <c r="G175">
        <v>2</v>
      </c>
      <c r="H175" s="36">
        <f>IFERROR(INDEX(Katalog!$D$3:$D$12,MATCH(Data[[#This Row],[ItemID A]],Katalog!$C$3:$C$12,0))*Data[[#This Row],[Qty A]],"0")</f>
        <v>350000</v>
      </c>
      <c r="I175" s="36">
        <f>IFERROR(INDEX(Katalog!$F$3:$F$12,MATCH(Data[[#This Row],[ItemID A]],Katalog!$C$3:$C$12,0))*Data[[#This Row],[Qty A]],0)</f>
        <v>130000</v>
      </c>
      <c r="K175" t="str">
        <f>IFERROR(INDEX(Katalog!$A$3:$A$12,MATCH(Data[[#This Row],[ItemID B]],Katalog!$C$3:$C$12,0)),"-")</f>
        <v>-</v>
      </c>
      <c r="L175" t="str">
        <f>IFERROR(INDEX(Katalog!$B$3:$B$12,MATCH(Data[[#This Row],[ItemID B]],Katalog!$C$3:$C$12,0)),"-")</f>
        <v>-</v>
      </c>
      <c r="O175" s="36" t="str">
        <f>IFERROR(INDEX(Katalog!$D$3:$D$12,MATCH(Data[[#This Row],[ItemID B]],Katalog!$C$3:$C$12,0))*Data[[#This Row],[Qty B]],"0")</f>
        <v>0</v>
      </c>
      <c r="P175" s="36" t="str">
        <f>IFERROR(INDEX(Katalog!$F$3:$F$12,MATCH(Data[[#This Row],[ItemID B]],Katalog!$C$3:$C$12,0))*Data[[#This Row],[Qty B]],"0")</f>
        <v>0</v>
      </c>
      <c r="R175" t="str">
        <f>IFERROR(INDEX(Katalog!$A$3:$A$12,MATCH(Data[[#This Row],[ItemID C]],Katalog!$C$3:$C$12,0)),"-")</f>
        <v>-</v>
      </c>
      <c r="S175" t="str">
        <f>IFERROR(INDEX(Katalog!$B$3:$B$12,MATCH(Data[[#This Row],[ItemID C]],Katalog!$C$3:$C$12,0)),"-")</f>
        <v>-</v>
      </c>
      <c r="V175" s="36" t="str">
        <f>IFERROR(INDEX(Katalog!$D$3:$D$12,MATCH(Data[[#This Row],[ItemID C]],Katalog!$C$3:$C$12,0))*Data[[#This Row],[Qty C]],"0")</f>
        <v>0</v>
      </c>
      <c r="W175" s="36" t="str">
        <f>IFERROR(INDEX(Katalog!$F$3:$F$12,MATCH(Data[[#This Row],[ItemID C]],Katalog!$C$3:$C$12,0))*Data[[#This Row],[Qty C]],"0")</f>
        <v>0</v>
      </c>
      <c r="X175" s="21">
        <f>Data[[#This Row],[Qty A]]+Data[[#This Row],[Qty B]]+Data[[#This Row],[Qty C]]</f>
        <v>1</v>
      </c>
      <c r="Y175" s="22">
        <f>Data[[#This Row],[Harga Barang A]]+Data[[#This Row],[Harga Barang B]]+Data[[#This Row],[Harga Barang C]]</f>
        <v>350000</v>
      </c>
      <c r="Z175" s="35">
        <f>IFERROR(Data[[#This Row],[Total Harga]]-(Data[[#This Row],[Total Harga]]*Data[[#This Row],[Diskon]]),Data[[#This Row],[Total Harga]])</f>
        <v>280000</v>
      </c>
      <c r="AA175" s="35">
        <f>(Data[[#This Row],[Profit A]]+Data[[#This Row],[Profit B]]+Data[[#This Row],[Profit C]])</f>
        <v>130000</v>
      </c>
      <c r="AB175" s="35">
        <f>IFERROR((Data[[#This Row],[Profit non Diskon]]-(Data[[#This Row],[Profit non Diskon]]*Data[[#This Row],[Diskon]])),Data[[#This Row],[Profit non Diskon]])</f>
        <v>104000</v>
      </c>
      <c r="AC175" s="23" t="s">
        <v>8</v>
      </c>
      <c r="AD175" s="37">
        <f>IFERROR(INDEX('Kode Diskon'!$D$3:$D$9,MATCH(Data[[#This Row],[Kode diskon]],'Kode Diskon'!$C$3:$C$9,0)),"-")</f>
        <v>0.2</v>
      </c>
      <c r="AE175" s="23" t="s">
        <v>9</v>
      </c>
      <c r="AF175" s="23" t="s">
        <v>7</v>
      </c>
      <c r="AG175" s="23" t="s">
        <v>80</v>
      </c>
      <c r="AH175" s="24">
        <v>45040</v>
      </c>
      <c r="AI175" s="23" t="str">
        <f>TEXT(Data[[#This Row],[Tanggal terjual]],"dddd")</f>
        <v>Monday</v>
      </c>
      <c r="AJ175" s="21" t="str">
        <f>TEXT(Data[[#This Row],[Tanggal terjual]],"wwww")</f>
        <v>wwww</v>
      </c>
    </row>
    <row r="176" spans="1:36" x14ac:dyDescent="0.2">
      <c r="A176" s="20">
        <v>175</v>
      </c>
      <c r="B176" s="21" t="str">
        <f>_xlfn.CONCAT("ORD-",INDEX(Helper!$B$2:$B$5,MATCH(Data[[#This Row],[Marketplace]],Helper!$A$2:$A$5,0)),TEXT(Data[[#This Row],[No]],"0000"),"-",TEXT(Data[[#This Row],[Tanggal terjual]],"dd/mm/yy"))</f>
        <v>ORD-BB0175-06/04/23</v>
      </c>
      <c r="C176" t="s">
        <v>62</v>
      </c>
      <c r="D176" t="str">
        <f>IFERROR(INDEX(Katalog!$A$3:$A$12,MATCH(Data[[#This Row],[ItemID A]],Katalog!$C$3:$C$12,0)),"-")</f>
        <v>Pakaian Pria</v>
      </c>
      <c r="E176" t="str">
        <f>IFERROR(INDEX(Katalog!$B$3:$B$12,MATCH(Data[[#This Row],[ItemID A]],Katalog!$C$3:$C$12,0)),"-")</f>
        <v>Celana Pendek</v>
      </c>
      <c r="F176">
        <v>2</v>
      </c>
      <c r="G176">
        <v>4</v>
      </c>
      <c r="H176" s="36">
        <f>IFERROR(INDEX(Katalog!$D$3:$D$12,MATCH(Data[[#This Row],[ItemID A]],Katalog!$C$3:$C$12,0))*Data[[#This Row],[Qty A]],"0")</f>
        <v>360000</v>
      </c>
      <c r="I176" s="36">
        <f>IFERROR(INDEX(Katalog!$F$3:$F$12,MATCH(Data[[#This Row],[ItemID A]],Katalog!$C$3:$C$12,0))*Data[[#This Row],[Qty A]],0)</f>
        <v>140000</v>
      </c>
      <c r="K176" t="str">
        <f>IFERROR(INDEX(Katalog!$A$3:$A$12,MATCH(Data[[#This Row],[ItemID B]],Katalog!$C$3:$C$12,0)),"-")</f>
        <v>-</v>
      </c>
      <c r="L176" t="str">
        <f>IFERROR(INDEX(Katalog!$B$3:$B$12,MATCH(Data[[#This Row],[ItemID B]],Katalog!$C$3:$C$12,0)),"-")</f>
        <v>-</v>
      </c>
      <c r="O176" s="36" t="str">
        <f>IFERROR(INDEX(Katalog!$D$3:$D$12,MATCH(Data[[#This Row],[ItemID B]],Katalog!$C$3:$C$12,0))*Data[[#This Row],[Qty B]],"0")</f>
        <v>0</v>
      </c>
      <c r="P176" s="36" t="str">
        <f>IFERROR(INDEX(Katalog!$F$3:$F$12,MATCH(Data[[#This Row],[ItemID B]],Katalog!$C$3:$C$12,0))*Data[[#This Row],[Qty B]],"0")</f>
        <v>0</v>
      </c>
      <c r="R176" t="str">
        <f>IFERROR(INDEX(Katalog!$A$3:$A$12,MATCH(Data[[#This Row],[ItemID C]],Katalog!$C$3:$C$12,0)),"-")</f>
        <v>-</v>
      </c>
      <c r="S176" t="str">
        <f>IFERROR(INDEX(Katalog!$B$3:$B$12,MATCH(Data[[#This Row],[ItemID C]],Katalog!$C$3:$C$12,0)),"-")</f>
        <v>-</v>
      </c>
      <c r="V176" s="36" t="str">
        <f>IFERROR(INDEX(Katalog!$D$3:$D$12,MATCH(Data[[#This Row],[ItemID C]],Katalog!$C$3:$C$12,0))*Data[[#This Row],[Qty C]],"0")</f>
        <v>0</v>
      </c>
      <c r="W176" s="36" t="str">
        <f>IFERROR(INDEX(Katalog!$F$3:$F$12,MATCH(Data[[#This Row],[ItemID C]],Katalog!$C$3:$C$12,0))*Data[[#This Row],[Qty C]],"0")</f>
        <v>0</v>
      </c>
      <c r="X176" s="21">
        <f>Data[[#This Row],[Qty A]]+Data[[#This Row],[Qty B]]+Data[[#This Row],[Qty C]]</f>
        <v>2</v>
      </c>
      <c r="Y176" s="22">
        <f>Data[[#This Row],[Harga Barang A]]+Data[[#This Row],[Harga Barang B]]+Data[[#This Row],[Harga Barang C]]</f>
        <v>360000</v>
      </c>
      <c r="Z176" s="35">
        <f>IFERROR(Data[[#This Row],[Total Harga]]-(Data[[#This Row],[Total Harga]]*Data[[#This Row],[Diskon]]),Data[[#This Row],[Total Harga]])</f>
        <v>306000</v>
      </c>
      <c r="AA176" s="35">
        <f>(Data[[#This Row],[Profit A]]+Data[[#This Row],[Profit B]]+Data[[#This Row],[Profit C]])</f>
        <v>140000</v>
      </c>
      <c r="AB176" s="35">
        <f>IFERROR((Data[[#This Row],[Profit non Diskon]]-(Data[[#This Row],[Profit non Diskon]]*Data[[#This Row],[Diskon]])),Data[[#This Row],[Profit non Diskon]])</f>
        <v>119000</v>
      </c>
      <c r="AC176" s="23" t="s">
        <v>28</v>
      </c>
      <c r="AD176" s="37">
        <f>IFERROR(INDEX('Kode Diskon'!$D$3:$D$9,MATCH(Data[[#This Row],[Kode diskon]],'Kode Diskon'!$C$3:$C$9,0)),"-")</f>
        <v>0.15</v>
      </c>
      <c r="AE176" s="23" t="s">
        <v>29</v>
      </c>
      <c r="AF176" s="23" t="s">
        <v>14</v>
      </c>
      <c r="AG176" s="23" t="s">
        <v>75</v>
      </c>
      <c r="AH176" s="24">
        <v>45022</v>
      </c>
      <c r="AI176" s="23" t="str">
        <f>TEXT(Data[[#This Row],[Tanggal terjual]],"dddd")</f>
        <v>Thursday</v>
      </c>
      <c r="AJ176" s="21" t="str">
        <f>TEXT(Data[[#This Row],[Tanggal terjual]],"wwww")</f>
        <v>wwww</v>
      </c>
    </row>
    <row r="177" spans="1:36" x14ac:dyDescent="0.2">
      <c r="A177" s="20">
        <v>176</v>
      </c>
      <c r="B177" s="21" t="str">
        <f>_xlfn.CONCAT("ORD-",INDEX(Helper!$B$2:$B$5,MATCH(Data[[#This Row],[Marketplace]],Helper!$A$2:$A$5,0)),TEXT(Data[[#This Row],[No]],"0000"),"-",TEXT(Data[[#This Row],[Tanggal terjual]],"dd/mm/yy"))</f>
        <v>ORD-BL0176-17/04/23</v>
      </c>
      <c r="C177" t="s">
        <v>64</v>
      </c>
      <c r="D177" t="str">
        <f>IFERROR(INDEX(Katalog!$A$3:$A$12,MATCH(Data[[#This Row],[ItemID A]],Katalog!$C$3:$C$12,0)),"-")</f>
        <v>Pakaian Unisex</v>
      </c>
      <c r="E177" t="str">
        <f>IFERROR(INDEX(Katalog!$B$3:$B$12,MATCH(Data[[#This Row],[ItemID A]],Katalog!$C$3:$C$12,0)),"-")</f>
        <v>Jaket Hoodie</v>
      </c>
      <c r="F177">
        <v>1</v>
      </c>
      <c r="G177">
        <v>3</v>
      </c>
      <c r="H177" s="36">
        <f>IFERROR(INDEX(Katalog!$D$3:$D$12,MATCH(Data[[#This Row],[ItemID A]],Katalog!$C$3:$C$12,0))*Data[[#This Row],[Qty A]],"0")</f>
        <v>350000</v>
      </c>
      <c r="I177" s="36">
        <f>IFERROR(INDEX(Katalog!$F$3:$F$12,MATCH(Data[[#This Row],[ItemID A]],Katalog!$C$3:$C$12,0))*Data[[#This Row],[Qty A]],0)</f>
        <v>130000</v>
      </c>
      <c r="J177" t="s">
        <v>60</v>
      </c>
      <c r="K177" t="str">
        <f>IFERROR(INDEX(Katalog!$A$3:$A$12,MATCH(Data[[#This Row],[ItemID B]],Katalog!$C$3:$C$12,0)),"-")</f>
        <v>Pakaian Wanita</v>
      </c>
      <c r="L177" t="str">
        <f>IFERROR(INDEX(Katalog!$B$3:$B$12,MATCH(Data[[#This Row],[ItemID B]],Katalog!$C$3:$C$12,0)),"-")</f>
        <v>Kaftan</v>
      </c>
      <c r="M177">
        <v>1</v>
      </c>
      <c r="N177">
        <v>4</v>
      </c>
      <c r="O177" s="36">
        <f>IFERROR(INDEX(Katalog!$D$3:$D$12,MATCH(Data[[#This Row],[ItemID B]],Katalog!$C$3:$C$12,0))*Data[[#This Row],[Qty B]],"0")</f>
        <v>250000</v>
      </c>
      <c r="P177" s="36">
        <f>IFERROR(INDEX(Katalog!$F$3:$F$12,MATCH(Data[[#This Row],[ItemID B]],Katalog!$C$3:$C$12,0))*Data[[#This Row],[Qty B]],"0")</f>
        <v>100000</v>
      </c>
      <c r="R177" t="str">
        <f>IFERROR(INDEX(Katalog!$A$3:$A$12,MATCH(Data[[#This Row],[ItemID C]],Katalog!$C$3:$C$12,0)),"-")</f>
        <v>-</v>
      </c>
      <c r="S177" t="str">
        <f>IFERROR(INDEX(Katalog!$B$3:$B$12,MATCH(Data[[#This Row],[ItemID C]],Katalog!$C$3:$C$12,0)),"-")</f>
        <v>-</v>
      </c>
      <c r="V177" s="36" t="str">
        <f>IFERROR(INDEX(Katalog!$D$3:$D$12,MATCH(Data[[#This Row],[ItemID C]],Katalog!$C$3:$C$12,0))*Data[[#This Row],[Qty C]],"0")</f>
        <v>0</v>
      </c>
      <c r="W177" s="36" t="str">
        <f>IFERROR(INDEX(Katalog!$F$3:$F$12,MATCH(Data[[#This Row],[ItemID C]],Katalog!$C$3:$C$12,0))*Data[[#This Row],[Qty C]],"0")</f>
        <v>0</v>
      </c>
      <c r="X177" s="21">
        <f>Data[[#This Row],[Qty A]]+Data[[#This Row],[Qty B]]+Data[[#This Row],[Qty C]]</f>
        <v>2</v>
      </c>
      <c r="Y177" s="22">
        <f>Data[[#This Row],[Harga Barang A]]+Data[[#This Row],[Harga Barang B]]+Data[[#This Row],[Harga Barang C]]</f>
        <v>600000</v>
      </c>
      <c r="Z177" s="35">
        <f>IFERROR(Data[[#This Row],[Total Harga]]-(Data[[#This Row],[Total Harga]]*Data[[#This Row],[Diskon]]),Data[[#This Row],[Total Harga]])</f>
        <v>510000</v>
      </c>
      <c r="AA177" s="35">
        <f>(Data[[#This Row],[Profit A]]+Data[[#This Row],[Profit B]]+Data[[#This Row],[Profit C]])</f>
        <v>230000</v>
      </c>
      <c r="AB177" s="35">
        <f>IFERROR((Data[[#This Row],[Profit non Diskon]]-(Data[[#This Row],[Profit non Diskon]]*Data[[#This Row],[Diskon]])),Data[[#This Row],[Profit non Diskon]])</f>
        <v>195500</v>
      </c>
      <c r="AC177" s="23" t="s">
        <v>32</v>
      </c>
      <c r="AD177" s="37">
        <f>IFERROR(INDEX('Kode Diskon'!$D$3:$D$9,MATCH(Data[[#This Row],[Kode diskon]],'Kode Diskon'!$C$3:$C$9,0)),"-")</f>
        <v>0.15</v>
      </c>
      <c r="AE177" s="23" t="s">
        <v>9</v>
      </c>
      <c r="AF177" s="23" t="s">
        <v>12</v>
      </c>
      <c r="AG177" s="23" t="s">
        <v>79</v>
      </c>
      <c r="AH177" s="24">
        <v>45033</v>
      </c>
      <c r="AI177" s="23" t="str">
        <f>TEXT(Data[[#This Row],[Tanggal terjual]],"dddd")</f>
        <v>Monday</v>
      </c>
      <c r="AJ177" s="21" t="str">
        <f>TEXT(Data[[#This Row],[Tanggal terjual]],"wwww")</f>
        <v>wwww</v>
      </c>
    </row>
    <row r="178" spans="1:36" x14ac:dyDescent="0.2">
      <c r="A178" s="20">
        <v>177</v>
      </c>
      <c r="B178" s="21" t="str">
        <f>_xlfn.CONCAT("ORD-",INDEX(Helper!$B$2:$B$5,MATCH(Data[[#This Row],[Marketplace]],Helper!$A$2:$A$5,0)),TEXT(Data[[#This Row],[No]],"0000"),"-",TEXT(Data[[#This Row],[Tanggal terjual]],"dd/mm/yy"))</f>
        <v>ORD-SP0177-29/04/23</v>
      </c>
      <c r="C178" t="s">
        <v>62</v>
      </c>
      <c r="D178" t="str">
        <f>IFERROR(INDEX(Katalog!$A$3:$A$12,MATCH(Data[[#This Row],[ItemID A]],Katalog!$C$3:$C$12,0)),"-")</f>
        <v>Pakaian Pria</v>
      </c>
      <c r="E178" t="str">
        <f>IFERROR(INDEX(Katalog!$B$3:$B$12,MATCH(Data[[#This Row],[ItemID A]],Katalog!$C$3:$C$12,0)),"-")</f>
        <v>Celana Pendek</v>
      </c>
      <c r="F178">
        <v>1</v>
      </c>
      <c r="G178">
        <v>3</v>
      </c>
      <c r="H178" s="36">
        <f>IFERROR(INDEX(Katalog!$D$3:$D$12,MATCH(Data[[#This Row],[ItemID A]],Katalog!$C$3:$C$12,0))*Data[[#This Row],[Qty A]],"0")</f>
        <v>180000</v>
      </c>
      <c r="I178" s="36">
        <f>IFERROR(INDEX(Katalog!$F$3:$F$12,MATCH(Data[[#This Row],[ItemID A]],Katalog!$C$3:$C$12,0))*Data[[#This Row],[Qty A]],0)</f>
        <v>70000</v>
      </c>
      <c r="J178" t="s">
        <v>65</v>
      </c>
      <c r="K178" t="str">
        <f>IFERROR(INDEX(Katalog!$A$3:$A$12,MATCH(Data[[#This Row],[ItemID B]],Katalog!$C$3:$C$12,0)),"-")</f>
        <v>Sepatu Pria</v>
      </c>
      <c r="L178" t="str">
        <f>IFERROR(INDEX(Katalog!$B$3:$B$12,MATCH(Data[[#This Row],[ItemID B]],Katalog!$C$3:$C$12,0)),"-")</f>
        <v>Sneakers</v>
      </c>
      <c r="M178">
        <v>1</v>
      </c>
      <c r="N178">
        <v>4</v>
      </c>
      <c r="O178" s="36">
        <f>IFERROR(INDEX(Katalog!$D$3:$D$12,MATCH(Data[[#This Row],[ItemID B]],Katalog!$C$3:$C$12,0))*Data[[#This Row],[Qty B]],"0")</f>
        <v>500000</v>
      </c>
      <c r="P178" s="36">
        <f>IFERROR(INDEX(Katalog!$F$3:$F$12,MATCH(Data[[#This Row],[ItemID B]],Katalog!$C$3:$C$12,0))*Data[[#This Row],[Qty B]],"0")</f>
        <v>200000</v>
      </c>
      <c r="Q178" t="s">
        <v>60</v>
      </c>
      <c r="R178" t="str">
        <f>IFERROR(INDEX(Katalog!$A$3:$A$12,MATCH(Data[[#This Row],[ItemID C]],Katalog!$C$3:$C$12,0)),"-")</f>
        <v>Pakaian Wanita</v>
      </c>
      <c r="S178" t="str">
        <f>IFERROR(INDEX(Katalog!$B$3:$B$12,MATCH(Data[[#This Row],[ItemID C]],Katalog!$C$3:$C$12,0)),"-")</f>
        <v>Kaftan</v>
      </c>
      <c r="T178">
        <v>1</v>
      </c>
      <c r="U178">
        <v>2</v>
      </c>
      <c r="V178" s="36">
        <f>IFERROR(INDEX(Katalog!$D$3:$D$12,MATCH(Data[[#This Row],[ItemID C]],Katalog!$C$3:$C$12,0))*Data[[#This Row],[Qty C]],"0")</f>
        <v>250000</v>
      </c>
      <c r="W178" s="36">
        <f>IFERROR(INDEX(Katalog!$F$3:$F$12,MATCH(Data[[#This Row],[ItemID C]],Katalog!$C$3:$C$12,0))*Data[[#This Row],[Qty C]],"0")</f>
        <v>100000</v>
      </c>
      <c r="X178" s="21">
        <f>Data[[#This Row],[Qty A]]+Data[[#This Row],[Qty B]]+Data[[#This Row],[Qty C]]</f>
        <v>3</v>
      </c>
      <c r="Y178" s="22">
        <f>Data[[#This Row],[Harga Barang A]]+Data[[#This Row],[Harga Barang B]]+Data[[#This Row],[Harga Barang C]]</f>
        <v>930000</v>
      </c>
      <c r="Z178" s="35">
        <f>IFERROR(Data[[#This Row],[Total Harga]]-(Data[[#This Row],[Total Harga]]*Data[[#This Row],[Diskon]]),Data[[#This Row],[Total Harga]])</f>
        <v>744000</v>
      </c>
      <c r="AA178" s="35">
        <f>(Data[[#This Row],[Profit A]]+Data[[#This Row],[Profit B]]+Data[[#This Row],[Profit C]])</f>
        <v>370000</v>
      </c>
      <c r="AB178" s="35">
        <f>IFERROR((Data[[#This Row],[Profit non Diskon]]-(Data[[#This Row],[Profit non Diskon]]*Data[[#This Row],[Diskon]])),Data[[#This Row],[Profit non Diskon]])</f>
        <v>296000</v>
      </c>
      <c r="AC178" s="23" t="s">
        <v>8</v>
      </c>
      <c r="AD178" s="37">
        <f>IFERROR(INDEX('Kode Diskon'!$D$3:$D$9,MATCH(Data[[#This Row],[Kode diskon]],'Kode Diskon'!$C$3:$C$9,0)),"-")</f>
        <v>0.2</v>
      </c>
      <c r="AE178" s="23" t="s">
        <v>9</v>
      </c>
      <c r="AF178" s="23" t="s">
        <v>7</v>
      </c>
      <c r="AG178" s="23" t="s">
        <v>79</v>
      </c>
      <c r="AH178" s="24">
        <v>45045</v>
      </c>
      <c r="AI178" s="23" t="str">
        <f>TEXT(Data[[#This Row],[Tanggal terjual]],"dddd")</f>
        <v>Saturday</v>
      </c>
      <c r="AJ178" s="21" t="str">
        <f>TEXT(Data[[#This Row],[Tanggal terjual]],"wwww")</f>
        <v>wwww</v>
      </c>
    </row>
    <row r="179" spans="1:36" x14ac:dyDescent="0.2">
      <c r="A179" s="20">
        <v>178</v>
      </c>
      <c r="B179" s="21" t="str">
        <f>_xlfn.CONCAT("ORD-",INDEX(Helper!$B$2:$B$5,MATCH(Data[[#This Row],[Marketplace]],Helper!$A$2:$A$5,0)),TEXT(Data[[#This Row],[No]],"0000"),"-",TEXT(Data[[#This Row],[Tanggal terjual]],"dd/mm/yy"))</f>
        <v>ORD-SP0178-03/04/23</v>
      </c>
      <c r="C179" t="s">
        <v>64</v>
      </c>
      <c r="D179" t="str">
        <f>IFERROR(INDEX(Katalog!$A$3:$A$12,MATCH(Data[[#This Row],[ItemID A]],Katalog!$C$3:$C$12,0)),"-")</f>
        <v>Pakaian Unisex</v>
      </c>
      <c r="E179" t="str">
        <f>IFERROR(INDEX(Katalog!$B$3:$B$12,MATCH(Data[[#This Row],[ItemID A]],Katalog!$C$3:$C$12,0)),"-")</f>
        <v>Jaket Hoodie</v>
      </c>
      <c r="F179">
        <v>1</v>
      </c>
      <c r="G179">
        <v>3</v>
      </c>
      <c r="H179" s="36">
        <f>IFERROR(INDEX(Katalog!$D$3:$D$12,MATCH(Data[[#This Row],[ItemID A]],Katalog!$C$3:$C$12,0))*Data[[#This Row],[Qty A]],"0")</f>
        <v>350000</v>
      </c>
      <c r="I179" s="36">
        <f>IFERROR(INDEX(Katalog!$F$3:$F$12,MATCH(Data[[#This Row],[ItemID A]],Katalog!$C$3:$C$12,0))*Data[[#This Row],[Qty A]],0)</f>
        <v>130000</v>
      </c>
      <c r="J179" t="s">
        <v>66</v>
      </c>
      <c r="K179" t="str">
        <f>IFERROR(INDEX(Katalog!$A$3:$A$12,MATCH(Data[[#This Row],[ItemID B]],Katalog!$C$3:$C$12,0)),"-")</f>
        <v>Sepatu Pria</v>
      </c>
      <c r="L179" t="str">
        <f>IFERROR(INDEX(Katalog!$B$3:$B$12,MATCH(Data[[#This Row],[ItemID B]],Katalog!$C$3:$C$12,0)),"-")</f>
        <v>Sandal Slip On</v>
      </c>
      <c r="M179">
        <v>1</v>
      </c>
      <c r="N179">
        <v>5</v>
      </c>
      <c r="O179" s="36">
        <f>IFERROR(INDEX(Katalog!$D$3:$D$12,MATCH(Data[[#This Row],[ItemID B]],Katalog!$C$3:$C$12,0))*Data[[#This Row],[Qty B]],"0")</f>
        <v>150000</v>
      </c>
      <c r="P179" s="36">
        <f>IFERROR(INDEX(Katalog!$F$3:$F$12,MATCH(Data[[#This Row],[ItemID B]],Katalog!$C$3:$C$12,0))*Data[[#This Row],[Qty B]],"0")</f>
        <v>60000</v>
      </c>
      <c r="R179" t="str">
        <f>IFERROR(INDEX(Katalog!$A$3:$A$12,MATCH(Data[[#This Row],[ItemID C]],Katalog!$C$3:$C$12,0)),"-")</f>
        <v>-</v>
      </c>
      <c r="S179" t="str">
        <f>IFERROR(INDEX(Katalog!$B$3:$B$12,MATCH(Data[[#This Row],[ItemID C]],Katalog!$C$3:$C$12,0)),"-")</f>
        <v>-</v>
      </c>
      <c r="V179" s="36" t="str">
        <f>IFERROR(INDEX(Katalog!$D$3:$D$12,MATCH(Data[[#This Row],[ItemID C]],Katalog!$C$3:$C$12,0))*Data[[#This Row],[Qty C]],"0")</f>
        <v>0</v>
      </c>
      <c r="W179" s="36" t="str">
        <f>IFERROR(INDEX(Katalog!$F$3:$F$12,MATCH(Data[[#This Row],[ItemID C]],Katalog!$C$3:$C$12,0))*Data[[#This Row],[Qty C]],"0")</f>
        <v>0</v>
      </c>
      <c r="X179" s="21">
        <f>Data[[#This Row],[Qty A]]+Data[[#This Row],[Qty B]]+Data[[#This Row],[Qty C]]</f>
        <v>2</v>
      </c>
      <c r="Y179" s="22">
        <f>Data[[#This Row],[Harga Barang A]]+Data[[#This Row],[Harga Barang B]]+Data[[#This Row],[Harga Barang C]]</f>
        <v>500000</v>
      </c>
      <c r="Z179" s="35">
        <f>IFERROR(Data[[#This Row],[Total Harga]]-(Data[[#This Row],[Total Harga]]*Data[[#This Row],[Diskon]]),Data[[#This Row],[Total Harga]])</f>
        <v>450000</v>
      </c>
      <c r="AA179" s="35">
        <f>(Data[[#This Row],[Profit A]]+Data[[#This Row],[Profit B]]+Data[[#This Row],[Profit C]])</f>
        <v>190000</v>
      </c>
      <c r="AB179" s="35">
        <f>IFERROR((Data[[#This Row],[Profit non Diskon]]-(Data[[#This Row],[Profit non Diskon]]*Data[[#This Row],[Diskon]])),Data[[#This Row],[Profit non Diskon]])</f>
        <v>171000</v>
      </c>
      <c r="AC179" s="23" t="s">
        <v>6</v>
      </c>
      <c r="AD179" s="37">
        <f>IFERROR(INDEX('Kode Diskon'!$D$3:$D$9,MATCH(Data[[#This Row],[Kode diskon]],'Kode Diskon'!$C$3:$C$9,0)),"-")</f>
        <v>0.1</v>
      </c>
      <c r="AE179" s="23" t="s">
        <v>29</v>
      </c>
      <c r="AF179" s="23" t="s">
        <v>7</v>
      </c>
      <c r="AG179" s="23" t="s">
        <v>76</v>
      </c>
      <c r="AH179" s="24">
        <v>45019</v>
      </c>
      <c r="AI179" s="23" t="str">
        <f>TEXT(Data[[#This Row],[Tanggal terjual]],"dddd")</f>
        <v>Monday</v>
      </c>
      <c r="AJ179" s="21" t="str">
        <f>TEXT(Data[[#This Row],[Tanggal terjual]],"wwww")</f>
        <v>wwww</v>
      </c>
    </row>
    <row r="180" spans="1:36" x14ac:dyDescent="0.2">
      <c r="A180" s="20">
        <v>179</v>
      </c>
      <c r="B180" s="21" t="str">
        <f>_xlfn.CONCAT("ORD-",INDEX(Helper!$B$2:$B$5,MATCH(Data[[#This Row],[Marketplace]],Helper!$A$2:$A$5,0)),TEXT(Data[[#This Row],[No]],"0000"),"-",TEXT(Data[[#This Row],[Tanggal terjual]],"dd/mm/yy"))</f>
        <v>ORD-SP0179-16/04/23</v>
      </c>
      <c r="C180" t="s">
        <v>67</v>
      </c>
      <c r="D180" t="str">
        <f>IFERROR(INDEX(Katalog!$A$3:$A$12,MATCH(Data[[#This Row],[ItemID A]],Katalog!$C$3:$C$12,0)),"-")</f>
        <v>Sepatu Wanita</v>
      </c>
      <c r="E180" t="str">
        <f>IFERROR(INDEX(Katalog!$B$3:$B$12,MATCH(Data[[#This Row],[ItemID A]],Katalog!$C$3:$C$12,0)),"-")</f>
        <v>Flat Shoes</v>
      </c>
      <c r="F180">
        <v>1</v>
      </c>
      <c r="G180">
        <v>5</v>
      </c>
      <c r="H180" s="36">
        <f>IFERROR(INDEX(Katalog!$D$3:$D$12,MATCH(Data[[#This Row],[ItemID A]],Katalog!$C$3:$C$12,0))*Data[[#This Row],[Qty A]],"0")</f>
        <v>250000</v>
      </c>
      <c r="I180" s="36">
        <f>IFERROR(INDEX(Katalog!$F$3:$F$12,MATCH(Data[[#This Row],[ItemID A]],Katalog!$C$3:$C$12,0))*Data[[#This Row],[Qty A]],0)</f>
        <v>100000</v>
      </c>
      <c r="K180" t="str">
        <f>IFERROR(INDEX(Katalog!$A$3:$A$12,MATCH(Data[[#This Row],[ItemID B]],Katalog!$C$3:$C$12,0)),"-")</f>
        <v>-</v>
      </c>
      <c r="L180" t="str">
        <f>IFERROR(INDEX(Katalog!$B$3:$B$12,MATCH(Data[[#This Row],[ItemID B]],Katalog!$C$3:$C$12,0)),"-")</f>
        <v>-</v>
      </c>
      <c r="O180" s="36" t="str">
        <f>IFERROR(INDEX(Katalog!$D$3:$D$12,MATCH(Data[[#This Row],[ItemID B]],Katalog!$C$3:$C$12,0))*Data[[#This Row],[Qty B]],"0")</f>
        <v>0</v>
      </c>
      <c r="P180" s="36" t="str">
        <f>IFERROR(INDEX(Katalog!$F$3:$F$12,MATCH(Data[[#This Row],[ItemID B]],Katalog!$C$3:$C$12,0))*Data[[#This Row],[Qty B]],"0")</f>
        <v>0</v>
      </c>
      <c r="R180" t="str">
        <f>IFERROR(INDEX(Katalog!$A$3:$A$12,MATCH(Data[[#This Row],[ItemID C]],Katalog!$C$3:$C$12,0)),"-")</f>
        <v>-</v>
      </c>
      <c r="S180" t="str">
        <f>IFERROR(INDEX(Katalog!$B$3:$B$12,MATCH(Data[[#This Row],[ItemID C]],Katalog!$C$3:$C$12,0)),"-")</f>
        <v>-</v>
      </c>
      <c r="V180" s="36" t="str">
        <f>IFERROR(INDEX(Katalog!$D$3:$D$12,MATCH(Data[[#This Row],[ItemID C]],Katalog!$C$3:$C$12,0))*Data[[#This Row],[Qty C]],"0")</f>
        <v>0</v>
      </c>
      <c r="W180" s="36" t="str">
        <f>IFERROR(INDEX(Katalog!$F$3:$F$12,MATCH(Data[[#This Row],[ItemID C]],Katalog!$C$3:$C$12,0))*Data[[#This Row],[Qty C]],"0")</f>
        <v>0</v>
      </c>
      <c r="X180" s="21">
        <f>Data[[#This Row],[Qty A]]+Data[[#This Row],[Qty B]]+Data[[#This Row],[Qty C]]</f>
        <v>1</v>
      </c>
      <c r="Y180" s="22">
        <f>Data[[#This Row],[Harga Barang A]]+Data[[#This Row],[Harga Barang B]]+Data[[#This Row],[Harga Barang C]]</f>
        <v>250000</v>
      </c>
      <c r="Z180" s="35">
        <f>IFERROR(Data[[#This Row],[Total Harga]]-(Data[[#This Row],[Total Harga]]*Data[[#This Row],[Diskon]]),Data[[#This Row],[Total Harga]])</f>
        <v>200000</v>
      </c>
      <c r="AA180" s="35">
        <f>(Data[[#This Row],[Profit A]]+Data[[#This Row],[Profit B]]+Data[[#This Row],[Profit C]])</f>
        <v>100000</v>
      </c>
      <c r="AB180" s="35">
        <f>IFERROR((Data[[#This Row],[Profit non Diskon]]-(Data[[#This Row],[Profit non Diskon]]*Data[[#This Row],[Diskon]])),Data[[#This Row],[Profit non Diskon]])</f>
        <v>80000</v>
      </c>
      <c r="AC180" s="23" t="s">
        <v>8</v>
      </c>
      <c r="AD180" s="37">
        <f>IFERROR(INDEX('Kode Diskon'!$D$3:$D$9,MATCH(Data[[#This Row],[Kode diskon]],'Kode Diskon'!$C$3:$C$9,0)),"-")</f>
        <v>0.2</v>
      </c>
      <c r="AE180" s="23" t="s">
        <v>9</v>
      </c>
      <c r="AF180" s="23" t="s">
        <v>7</v>
      </c>
      <c r="AG180" s="23" t="s">
        <v>76</v>
      </c>
      <c r="AH180" s="24">
        <v>45032</v>
      </c>
      <c r="AI180" s="23" t="str">
        <f>TEXT(Data[[#This Row],[Tanggal terjual]],"dddd")</f>
        <v>Sunday</v>
      </c>
      <c r="AJ180" s="21" t="str">
        <f>TEXT(Data[[#This Row],[Tanggal terjual]],"wwww")</f>
        <v>wwww</v>
      </c>
    </row>
    <row r="181" spans="1:36" x14ac:dyDescent="0.2">
      <c r="A181" s="20">
        <v>180</v>
      </c>
      <c r="B181" s="21" t="str">
        <f>_xlfn.CONCAT("ORD-",INDEX(Helper!$B$2:$B$5,MATCH(Data[[#This Row],[Marketplace]],Helper!$A$2:$A$5,0)),TEXT(Data[[#This Row],[No]],"0000"),"-",TEXT(Data[[#This Row],[Tanggal terjual]],"dd/mm/yy"))</f>
        <v>ORD-TK0180-03/04/23</v>
      </c>
      <c r="C181" t="s">
        <v>63</v>
      </c>
      <c r="D181" t="str">
        <f>IFERROR(INDEX(Katalog!$A$3:$A$12,MATCH(Data[[#This Row],[ItemID A]],Katalog!$C$3:$C$12,0)),"-")</f>
        <v>Pakaian Pria</v>
      </c>
      <c r="E181" t="str">
        <f>IFERROR(INDEX(Katalog!$B$3:$B$12,MATCH(Data[[#This Row],[ItemID A]],Katalog!$C$3:$C$12,0)),"-")</f>
        <v>Jaket Jeans</v>
      </c>
      <c r="F181">
        <v>2</v>
      </c>
      <c r="G181">
        <v>4</v>
      </c>
      <c r="H181" s="36">
        <f>IFERROR(INDEX(Katalog!$D$3:$D$12,MATCH(Data[[#This Row],[ItemID A]],Katalog!$C$3:$C$12,0))*Data[[#This Row],[Qty A]],"0")</f>
        <v>800000</v>
      </c>
      <c r="I181" s="36">
        <f>IFERROR(INDEX(Katalog!$F$3:$F$12,MATCH(Data[[#This Row],[ItemID A]],Katalog!$C$3:$C$12,0))*Data[[#This Row],[Qty A]],0)</f>
        <v>300000</v>
      </c>
      <c r="J181" t="s">
        <v>60</v>
      </c>
      <c r="K181" t="str">
        <f>IFERROR(INDEX(Katalog!$A$3:$A$12,MATCH(Data[[#This Row],[ItemID B]],Katalog!$C$3:$C$12,0)),"-")</f>
        <v>Pakaian Wanita</v>
      </c>
      <c r="L181" t="str">
        <f>IFERROR(INDEX(Katalog!$B$3:$B$12,MATCH(Data[[#This Row],[ItemID B]],Katalog!$C$3:$C$12,0)),"-")</f>
        <v>Kaftan</v>
      </c>
      <c r="M181">
        <v>1</v>
      </c>
      <c r="N181">
        <v>1</v>
      </c>
      <c r="O181" s="36">
        <f>IFERROR(INDEX(Katalog!$D$3:$D$12,MATCH(Data[[#This Row],[ItemID B]],Katalog!$C$3:$C$12,0))*Data[[#This Row],[Qty B]],"0")</f>
        <v>250000</v>
      </c>
      <c r="P181" s="36">
        <f>IFERROR(INDEX(Katalog!$F$3:$F$12,MATCH(Data[[#This Row],[ItemID B]],Katalog!$C$3:$C$12,0))*Data[[#This Row],[Qty B]],"0")</f>
        <v>100000</v>
      </c>
      <c r="Q181" t="s">
        <v>66</v>
      </c>
      <c r="R181" t="str">
        <f>IFERROR(INDEX(Katalog!$A$3:$A$12,MATCH(Data[[#This Row],[ItemID C]],Katalog!$C$3:$C$12,0)),"-")</f>
        <v>Sepatu Pria</v>
      </c>
      <c r="S181" t="str">
        <f>IFERROR(INDEX(Katalog!$B$3:$B$12,MATCH(Data[[#This Row],[ItemID C]],Katalog!$C$3:$C$12,0)),"-")</f>
        <v>Sandal Slip On</v>
      </c>
      <c r="T181">
        <v>1</v>
      </c>
      <c r="U181">
        <v>1</v>
      </c>
      <c r="V181" s="36">
        <f>IFERROR(INDEX(Katalog!$D$3:$D$12,MATCH(Data[[#This Row],[ItemID C]],Katalog!$C$3:$C$12,0))*Data[[#This Row],[Qty C]],"0")</f>
        <v>150000</v>
      </c>
      <c r="W181" s="36">
        <f>IFERROR(INDEX(Katalog!$F$3:$F$12,MATCH(Data[[#This Row],[ItemID C]],Katalog!$C$3:$C$12,0))*Data[[#This Row],[Qty C]],"0")</f>
        <v>60000</v>
      </c>
      <c r="X181" s="21">
        <f>Data[[#This Row],[Qty A]]+Data[[#This Row],[Qty B]]+Data[[#This Row],[Qty C]]</f>
        <v>4</v>
      </c>
      <c r="Y181" s="22">
        <f>Data[[#This Row],[Harga Barang A]]+Data[[#This Row],[Harga Barang B]]+Data[[#This Row],[Harga Barang C]]</f>
        <v>1200000</v>
      </c>
      <c r="Z181" s="35">
        <f>IFERROR(Data[[#This Row],[Total Harga]]-(Data[[#This Row],[Total Harga]]*Data[[#This Row],[Diskon]]),Data[[#This Row],[Total Harga]])</f>
        <v>1080000</v>
      </c>
      <c r="AA181" s="35">
        <f>(Data[[#This Row],[Profit A]]+Data[[#This Row],[Profit B]]+Data[[#This Row],[Profit C]])</f>
        <v>460000</v>
      </c>
      <c r="AB181" s="35">
        <f>IFERROR((Data[[#This Row],[Profit non Diskon]]-(Data[[#This Row],[Profit non Diskon]]*Data[[#This Row],[Diskon]])),Data[[#This Row],[Profit non Diskon]])</f>
        <v>414000</v>
      </c>
      <c r="AC181" s="23" t="s">
        <v>30</v>
      </c>
      <c r="AD181" s="37">
        <f>IFERROR(INDEX('Kode Diskon'!$D$3:$D$9,MATCH(Data[[#This Row],[Kode diskon]],'Kode Diskon'!$C$3:$C$9,0)),"-")</f>
        <v>0.1</v>
      </c>
      <c r="AE181" s="23" t="s">
        <v>29</v>
      </c>
      <c r="AF181" s="23" t="s">
        <v>10</v>
      </c>
      <c r="AG181" s="23" t="s">
        <v>75</v>
      </c>
      <c r="AH181" s="24">
        <v>45019</v>
      </c>
      <c r="AI181" s="23" t="str">
        <f>TEXT(Data[[#This Row],[Tanggal terjual]],"dddd")</f>
        <v>Monday</v>
      </c>
      <c r="AJ181" s="21" t="str">
        <f>TEXT(Data[[#This Row],[Tanggal terjual]],"wwww")</f>
        <v>wwww</v>
      </c>
    </row>
    <row r="182" spans="1:36" x14ac:dyDescent="0.2">
      <c r="A182" s="20">
        <v>181</v>
      </c>
      <c r="B182" s="21" t="str">
        <f>_xlfn.CONCAT("ORD-",INDEX(Helper!$B$2:$B$5,MATCH(Data[[#This Row],[Marketplace]],Helper!$A$2:$A$5,0)),TEXT(Data[[#This Row],[No]],"0000"),"-",TEXT(Data[[#This Row],[Tanggal terjual]],"dd/mm/yy"))</f>
        <v>ORD-SP0181-01/04/23</v>
      </c>
      <c r="C182" t="s">
        <v>59</v>
      </c>
      <c r="D182" t="str">
        <f>IFERROR(INDEX(Katalog!$A$3:$A$12,MATCH(Data[[#This Row],[ItemID A]],Katalog!$C$3:$C$12,0)),"-")</f>
        <v>Pakaian Wanita</v>
      </c>
      <c r="E182" t="str">
        <f>IFERROR(INDEX(Katalog!$B$3:$B$12,MATCH(Data[[#This Row],[ItemID A]],Katalog!$C$3:$C$12,0)),"-")</f>
        <v>Blouse</v>
      </c>
      <c r="F182">
        <v>5</v>
      </c>
      <c r="G182">
        <v>5</v>
      </c>
      <c r="H182" s="36">
        <f>IFERROR(INDEX(Katalog!$D$3:$D$12,MATCH(Data[[#This Row],[ItemID A]],Katalog!$C$3:$C$12,0))*Data[[#This Row],[Qty A]],"0")</f>
        <v>750000</v>
      </c>
      <c r="I182" s="36">
        <f>IFERROR(INDEX(Katalog!$F$3:$F$12,MATCH(Data[[#This Row],[ItemID A]],Katalog!$C$3:$C$12,0))*Data[[#This Row],[Qty A]],0)</f>
        <v>250000</v>
      </c>
      <c r="J182" t="s">
        <v>63</v>
      </c>
      <c r="K182" t="str">
        <f>IFERROR(INDEX(Katalog!$A$3:$A$12,MATCH(Data[[#This Row],[ItemID B]],Katalog!$C$3:$C$12,0)),"-")</f>
        <v>Pakaian Pria</v>
      </c>
      <c r="L182" t="str">
        <f>IFERROR(INDEX(Katalog!$B$3:$B$12,MATCH(Data[[#This Row],[ItemID B]],Katalog!$C$3:$C$12,0)),"-")</f>
        <v>Jaket Jeans</v>
      </c>
      <c r="M182">
        <v>2</v>
      </c>
      <c r="N182">
        <v>2</v>
      </c>
      <c r="O182" s="36">
        <f>IFERROR(INDEX(Katalog!$D$3:$D$12,MATCH(Data[[#This Row],[ItemID B]],Katalog!$C$3:$C$12,0))*Data[[#This Row],[Qty B]],"0")</f>
        <v>800000</v>
      </c>
      <c r="P182" s="36">
        <f>IFERROR(INDEX(Katalog!$F$3:$F$12,MATCH(Data[[#This Row],[ItemID B]],Katalog!$C$3:$C$12,0))*Data[[#This Row],[Qty B]],"0")</f>
        <v>300000</v>
      </c>
      <c r="R182" t="str">
        <f>IFERROR(INDEX(Katalog!$A$3:$A$12,MATCH(Data[[#This Row],[ItemID C]],Katalog!$C$3:$C$12,0)),"-")</f>
        <v>-</v>
      </c>
      <c r="S182" t="str">
        <f>IFERROR(INDEX(Katalog!$B$3:$B$12,MATCH(Data[[#This Row],[ItemID C]],Katalog!$C$3:$C$12,0)),"-")</f>
        <v>-</v>
      </c>
      <c r="V182" s="36" t="str">
        <f>IFERROR(INDEX(Katalog!$D$3:$D$12,MATCH(Data[[#This Row],[ItemID C]],Katalog!$C$3:$C$12,0))*Data[[#This Row],[Qty C]],"0")</f>
        <v>0</v>
      </c>
      <c r="W182" s="36" t="str">
        <f>IFERROR(INDEX(Katalog!$F$3:$F$12,MATCH(Data[[#This Row],[ItemID C]],Katalog!$C$3:$C$12,0))*Data[[#This Row],[Qty C]],"0")</f>
        <v>0</v>
      </c>
      <c r="X182" s="21">
        <f>Data[[#This Row],[Qty A]]+Data[[#This Row],[Qty B]]+Data[[#This Row],[Qty C]]</f>
        <v>7</v>
      </c>
      <c r="Y182" s="22">
        <f>Data[[#This Row],[Harga Barang A]]+Data[[#This Row],[Harga Barang B]]+Data[[#This Row],[Harga Barang C]]</f>
        <v>1550000</v>
      </c>
      <c r="Z182" s="35">
        <f>IFERROR(Data[[#This Row],[Total Harga]]-(Data[[#This Row],[Total Harga]]*Data[[#This Row],[Diskon]]),Data[[#This Row],[Total Harga]])</f>
        <v>1395000</v>
      </c>
      <c r="AA182" s="35">
        <f>(Data[[#This Row],[Profit A]]+Data[[#This Row],[Profit B]]+Data[[#This Row],[Profit C]])</f>
        <v>550000</v>
      </c>
      <c r="AB182" s="35">
        <f>IFERROR((Data[[#This Row],[Profit non Diskon]]-(Data[[#This Row],[Profit non Diskon]]*Data[[#This Row],[Diskon]])),Data[[#This Row],[Profit non Diskon]])</f>
        <v>495000</v>
      </c>
      <c r="AC182" s="23" t="s">
        <v>6</v>
      </c>
      <c r="AD182" s="37">
        <f>IFERROR(INDEX('Kode Diskon'!$D$3:$D$9,MATCH(Data[[#This Row],[Kode diskon]],'Kode Diskon'!$C$3:$C$9,0)),"-")</f>
        <v>0.1</v>
      </c>
      <c r="AE182" s="23" t="s">
        <v>29</v>
      </c>
      <c r="AF182" s="23" t="s">
        <v>7</v>
      </c>
      <c r="AG182" s="23" t="s">
        <v>80</v>
      </c>
      <c r="AH182" s="24">
        <v>45017</v>
      </c>
      <c r="AI182" s="23" t="str">
        <f>TEXT(Data[[#This Row],[Tanggal terjual]],"dddd")</f>
        <v>Saturday</v>
      </c>
      <c r="AJ182" s="21" t="str">
        <f>TEXT(Data[[#This Row],[Tanggal terjual]],"wwww")</f>
        <v>wwww</v>
      </c>
    </row>
    <row r="183" spans="1:36" x14ac:dyDescent="0.2">
      <c r="A183" s="20">
        <v>182</v>
      </c>
      <c r="B183" s="21" t="str">
        <f>_xlfn.CONCAT("ORD-",INDEX(Helper!$B$2:$B$5,MATCH(Data[[#This Row],[Marketplace]],Helper!$A$2:$A$5,0)),TEXT(Data[[#This Row],[No]],"0000"),"-",TEXT(Data[[#This Row],[Tanggal terjual]],"dd/mm/yy"))</f>
        <v>ORD-SP0182-04/04/23</v>
      </c>
      <c r="C183" t="s">
        <v>61</v>
      </c>
      <c r="D183" t="str">
        <f>IFERROR(INDEX(Katalog!$A$3:$A$12,MATCH(Data[[#This Row],[ItemID A]],Katalog!$C$3:$C$12,0)),"-")</f>
        <v>Pakaian Pria</v>
      </c>
      <c r="E183" t="str">
        <f>IFERROR(INDEX(Katalog!$B$3:$B$12,MATCH(Data[[#This Row],[ItemID A]],Katalog!$C$3:$C$12,0)),"-")</f>
        <v>Kaos Polo</v>
      </c>
      <c r="F183">
        <v>1</v>
      </c>
      <c r="G183">
        <v>3</v>
      </c>
      <c r="H183" s="36">
        <f>IFERROR(INDEX(Katalog!$D$3:$D$12,MATCH(Data[[#This Row],[ItemID A]],Katalog!$C$3:$C$12,0))*Data[[#This Row],[Qty A]],"0")</f>
        <v>200000</v>
      </c>
      <c r="I183" s="36">
        <f>IFERROR(INDEX(Katalog!$F$3:$F$12,MATCH(Data[[#This Row],[ItemID A]],Katalog!$C$3:$C$12,0))*Data[[#This Row],[Qty A]],0)</f>
        <v>80000</v>
      </c>
      <c r="J183" t="s">
        <v>63</v>
      </c>
      <c r="K183" t="str">
        <f>IFERROR(INDEX(Katalog!$A$3:$A$12,MATCH(Data[[#This Row],[ItemID B]],Katalog!$C$3:$C$12,0)),"-")</f>
        <v>Pakaian Pria</v>
      </c>
      <c r="L183" t="str">
        <f>IFERROR(INDEX(Katalog!$B$3:$B$12,MATCH(Data[[#This Row],[ItemID B]],Katalog!$C$3:$C$12,0)),"-")</f>
        <v>Jaket Jeans</v>
      </c>
      <c r="M183">
        <v>1</v>
      </c>
      <c r="N183">
        <v>4</v>
      </c>
      <c r="O183" s="36">
        <f>IFERROR(INDEX(Katalog!$D$3:$D$12,MATCH(Data[[#This Row],[ItemID B]],Katalog!$C$3:$C$12,0))*Data[[#This Row],[Qty B]],"0")</f>
        <v>400000</v>
      </c>
      <c r="P183" s="36">
        <f>IFERROR(INDEX(Katalog!$F$3:$F$12,MATCH(Data[[#This Row],[ItemID B]],Katalog!$C$3:$C$12,0))*Data[[#This Row],[Qty B]],"0")</f>
        <v>150000</v>
      </c>
      <c r="R183" t="str">
        <f>IFERROR(INDEX(Katalog!$A$3:$A$12,MATCH(Data[[#This Row],[ItemID C]],Katalog!$C$3:$C$12,0)),"-")</f>
        <v>-</v>
      </c>
      <c r="S183" t="str">
        <f>IFERROR(INDEX(Katalog!$B$3:$B$12,MATCH(Data[[#This Row],[ItemID C]],Katalog!$C$3:$C$12,0)),"-")</f>
        <v>-</v>
      </c>
      <c r="V183" s="36" t="str">
        <f>IFERROR(INDEX(Katalog!$D$3:$D$12,MATCH(Data[[#This Row],[ItemID C]],Katalog!$C$3:$C$12,0))*Data[[#This Row],[Qty C]],"0")</f>
        <v>0</v>
      </c>
      <c r="W183" s="36" t="str">
        <f>IFERROR(INDEX(Katalog!$F$3:$F$12,MATCH(Data[[#This Row],[ItemID C]],Katalog!$C$3:$C$12,0))*Data[[#This Row],[Qty C]],"0")</f>
        <v>0</v>
      </c>
      <c r="X183" s="21">
        <f>Data[[#This Row],[Qty A]]+Data[[#This Row],[Qty B]]+Data[[#This Row],[Qty C]]</f>
        <v>2</v>
      </c>
      <c r="Y183" s="22">
        <f>Data[[#This Row],[Harga Barang A]]+Data[[#This Row],[Harga Barang B]]+Data[[#This Row],[Harga Barang C]]</f>
        <v>600000</v>
      </c>
      <c r="Z183" s="35">
        <f>IFERROR(Data[[#This Row],[Total Harga]]-(Data[[#This Row],[Total Harga]]*Data[[#This Row],[Diskon]]),Data[[#This Row],[Total Harga]])</f>
        <v>510000</v>
      </c>
      <c r="AA183" s="35">
        <f>(Data[[#This Row],[Profit A]]+Data[[#This Row],[Profit B]]+Data[[#This Row],[Profit C]])</f>
        <v>230000</v>
      </c>
      <c r="AB183" s="35">
        <f>IFERROR((Data[[#This Row],[Profit non Diskon]]-(Data[[#This Row],[Profit non Diskon]]*Data[[#This Row],[Diskon]])),Data[[#This Row],[Profit non Diskon]])</f>
        <v>195500</v>
      </c>
      <c r="AC183" s="23" t="s">
        <v>13</v>
      </c>
      <c r="AD183" s="37">
        <f>IFERROR(INDEX('Kode Diskon'!$D$3:$D$9,MATCH(Data[[#This Row],[Kode diskon]],'Kode Diskon'!$C$3:$C$9,0)),"-")</f>
        <v>0.15</v>
      </c>
      <c r="AE183" s="23" t="s">
        <v>29</v>
      </c>
      <c r="AF183" s="23" t="s">
        <v>7</v>
      </c>
      <c r="AG183" s="23" t="s">
        <v>79</v>
      </c>
      <c r="AH183" s="24">
        <v>45020</v>
      </c>
      <c r="AI183" s="23" t="str">
        <f>TEXT(Data[[#This Row],[Tanggal terjual]],"dddd")</f>
        <v>Tuesday</v>
      </c>
      <c r="AJ183" s="21" t="str">
        <f>TEXT(Data[[#This Row],[Tanggal terjual]],"wwww")</f>
        <v>wwww</v>
      </c>
    </row>
    <row r="184" spans="1:36" x14ac:dyDescent="0.2">
      <c r="A184" s="20">
        <v>183</v>
      </c>
      <c r="B184" s="21" t="str">
        <f>_xlfn.CONCAT("ORD-",INDEX(Helper!$B$2:$B$5,MATCH(Data[[#This Row],[Marketplace]],Helper!$A$2:$A$5,0)),TEXT(Data[[#This Row],[No]],"0000"),"-",TEXT(Data[[#This Row],[Tanggal terjual]],"dd/mm/yy"))</f>
        <v>ORD-BL0183-20/04/23</v>
      </c>
      <c r="C184" t="s">
        <v>59</v>
      </c>
      <c r="D184" t="str">
        <f>IFERROR(INDEX(Katalog!$A$3:$A$12,MATCH(Data[[#This Row],[ItemID A]],Katalog!$C$3:$C$12,0)),"-")</f>
        <v>Pakaian Wanita</v>
      </c>
      <c r="E184" t="str">
        <f>IFERROR(INDEX(Katalog!$B$3:$B$12,MATCH(Data[[#This Row],[ItemID A]],Katalog!$C$3:$C$12,0)),"-")</f>
        <v>Blouse</v>
      </c>
      <c r="F184">
        <v>7</v>
      </c>
      <c r="G184">
        <v>4</v>
      </c>
      <c r="H184" s="36">
        <f>IFERROR(INDEX(Katalog!$D$3:$D$12,MATCH(Data[[#This Row],[ItemID A]],Katalog!$C$3:$C$12,0))*Data[[#This Row],[Qty A]],"0")</f>
        <v>1050000</v>
      </c>
      <c r="I184" s="36">
        <f>IFERROR(INDEX(Katalog!$F$3:$F$12,MATCH(Data[[#This Row],[ItemID A]],Katalog!$C$3:$C$12,0))*Data[[#This Row],[Qty A]],0)</f>
        <v>350000</v>
      </c>
      <c r="K184" t="str">
        <f>IFERROR(INDEX(Katalog!$A$3:$A$12,MATCH(Data[[#This Row],[ItemID B]],Katalog!$C$3:$C$12,0)),"-")</f>
        <v>-</v>
      </c>
      <c r="L184" t="str">
        <f>IFERROR(INDEX(Katalog!$B$3:$B$12,MATCH(Data[[#This Row],[ItemID B]],Katalog!$C$3:$C$12,0)),"-")</f>
        <v>-</v>
      </c>
      <c r="O184" s="36" t="str">
        <f>IFERROR(INDEX(Katalog!$D$3:$D$12,MATCH(Data[[#This Row],[ItemID B]],Katalog!$C$3:$C$12,0))*Data[[#This Row],[Qty B]],"0")</f>
        <v>0</v>
      </c>
      <c r="P184" s="36" t="str">
        <f>IFERROR(INDEX(Katalog!$F$3:$F$12,MATCH(Data[[#This Row],[ItemID B]],Katalog!$C$3:$C$12,0))*Data[[#This Row],[Qty B]],"0")</f>
        <v>0</v>
      </c>
      <c r="R184" t="str">
        <f>IFERROR(INDEX(Katalog!$A$3:$A$12,MATCH(Data[[#This Row],[ItemID C]],Katalog!$C$3:$C$12,0)),"-")</f>
        <v>-</v>
      </c>
      <c r="S184" t="str">
        <f>IFERROR(INDEX(Katalog!$B$3:$B$12,MATCH(Data[[#This Row],[ItemID C]],Katalog!$C$3:$C$12,0)),"-")</f>
        <v>-</v>
      </c>
      <c r="V184" s="36" t="str">
        <f>IFERROR(INDEX(Katalog!$D$3:$D$12,MATCH(Data[[#This Row],[ItemID C]],Katalog!$C$3:$C$12,0))*Data[[#This Row],[Qty C]],"0")</f>
        <v>0</v>
      </c>
      <c r="W184" s="36" t="str">
        <f>IFERROR(INDEX(Katalog!$F$3:$F$12,MATCH(Data[[#This Row],[ItemID C]],Katalog!$C$3:$C$12,0))*Data[[#This Row],[Qty C]],"0")</f>
        <v>0</v>
      </c>
      <c r="X184" s="21">
        <f>Data[[#This Row],[Qty A]]+Data[[#This Row],[Qty B]]+Data[[#This Row],[Qty C]]</f>
        <v>7</v>
      </c>
      <c r="Y184" s="22">
        <f>Data[[#This Row],[Harga Barang A]]+Data[[#This Row],[Harga Barang B]]+Data[[#This Row],[Harga Barang C]]</f>
        <v>1050000</v>
      </c>
      <c r="Z184" s="35">
        <f>IFERROR(Data[[#This Row],[Total Harga]]-(Data[[#This Row],[Total Harga]]*Data[[#This Row],[Diskon]]),Data[[#This Row],[Total Harga]])</f>
        <v>892500</v>
      </c>
      <c r="AA184" s="35">
        <f>(Data[[#This Row],[Profit A]]+Data[[#This Row],[Profit B]]+Data[[#This Row],[Profit C]])</f>
        <v>350000</v>
      </c>
      <c r="AB184" s="35">
        <f>IFERROR((Data[[#This Row],[Profit non Diskon]]-(Data[[#This Row],[Profit non Diskon]]*Data[[#This Row],[Diskon]])),Data[[#This Row],[Profit non Diskon]])</f>
        <v>297500</v>
      </c>
      <c r="AC184" s="23" t="s">
        <v>32</v>
      </c>
      <c r="AD184" s="37">
        <f>IFERROR(INDEX('Kode Diskon'!$D$3:$D$9,MATCH(Data[[#This Row],[Kode diskon]],'Kode Diskon'!$C$3:$C$9,0)),"-")</f>
        <v>0.15</v>
      </c>
      <c r="AE184" s="23" t="s">
        <v>9</v>
      </c>
      <c r="AF184" s="23" t="s">
        <v>12</v>
      </c>
      <c r="AG184" s="23" t="s">
        <v>77</v>
      </c>
      <c r="AH184" s="24">
        <v>45036</v>
      </c>
      <c r="AI184" s="23" t="str">
        <f>TEXT(Data[[#This Row],[Tanggal terjual]],"dddd")</f>
        <v>Thursday</v>
      </c>
      <c r="AJ184" s="21" t="str">
        <f>TEXT(Data[[#This Row],[Tanggal terjual]],"wwww")</f>
        <v>wwww</v>
      </c>
    </row>
    <row r="185" spans="1:36" x14ac:dyDescent="0.2">
      <c r="A185" s="20">
        <v>184</v>
      </c>
      <c r="B185" s="21" t="str">
        <f>_xlfn.CONCAT("ORD-",INDEX(Helper!$B$2:$B$5,MATCH(Data[[#This Row],[Marketplace]],Helper!$A$2:$A$5,0)),TEXT(Data[[#This Row],[No]],"0000"),"-",TEXT(Data[[#This Row],[Tanggal terjual]],"dd/mm/yy"))</f>
        <v>ORD-TK0184-24/04/23</v>
      </c>
      <c r="C185" t="s">
        <v>66</v>
      </c>
      <c r="D185" t="str">
        <f>IFERROR(INDEX(Katalog!$A$3:$A$12,MATCH(Data[[#This Row],[ItemID A]],Katalog!$C$3:$C$12,0)),"-")</f>
        <v>Sepatu Pria</v>
      </c>
      <c r="E185" t="str">
        <f>IFERROR(INDEX(Katalog!$B$3:$B$12,MATCH(Data[[#This Row],[ItemID A]],Katalog!$C$3:$C$12,0)),"-")</f>
        <v>Sandal Slip On</v>
      </c>
      <c r="F185">
        <v>2</v>
      </c>
      <c r="G185">
        <v>2</v>
      </c>
      <c r="H185" s="36">
        <f>IFERROR(INDEX(Katalog!$D$3:$D$12,MATCH(Data[[#This Row],[ItemID A]],Katalog!$C$3:$C$12,0))*Data[[#This Row],[Qty A]],"0")</f>
        <v>300000</v>
      </c>
      <c r="I185" s="36">
        <f>IFERROR(INDEX(Katalog!$F$3:$F$12,MATCH(Data[[#This Row],[ItemID A]],Katalog!$C$3:$C$12,0))*Data[[#This Row],[Qty A]],0)</f>
        <v>120000</v>
      </c>
      <c r="J185" t="s">
        <v>64</v>
      </c>
      <c r="K185" t="str">
        <f>IFERROR(INDEX(Katalog!$A$3:$A$12,MATCH(Data[[#This Row],[ItemID B]],Katalog!$C$3:$C$12,0)),"-")</f>
        <v>Pakaian Unisex</v>
      </c>
      <c r="L185" t="str">
        <f>IFERROR(INDEX(Katalog!$B$3:$B$12,MATCH(Data[[#This Row],[ItemID B]],Katalog!$C$3:$C$12,0)),"-")</f>
        <v>Jaket Hoodie</v>
      </c>
      <c r="M185">
        <v>2</v>
      </c>
      <c r="N185">
        <v>2</v>
      </c>
      <c r="O185" s="36">
        <f>IFERROR(INDEX(Katalog!$D$3:$D$12,MATCH(Data[[#This Row],[ItemID B]],Katalog!$C$3:$C$12,0))*Data[[#This Row],[Qty B]],"0")</f>
        <v>700000</v>
      </c>
      <c r="P185" s="36">
        <f>IFERROR(INDEX(Katalog!$F$3:$F$12,MATCH(Data[[#This Row],[ItemID B]],Katalog!$C$3:$C$12,0))*Data[[#This Row],[Qty B]],"0")</f>
        <v>260000</v>
      </c>
      <c r="R185" t="str">
        <f>IFERROR(INDEX(Katalog!$A$3:$A$12,MATCH(Data[[#This Row],[ItemID C]],Katalog!$C$3:$C$12,0)),"-")</f>
        <v>-</v>
      </c>
      <c r="S185" t="str">
        <f>IFERROR(INDEX(Katalog!$B$3:$B$12,MATCH(Data[[#This Row],[ItemID C]],Katalog!$C$3:$C$12,0)),"-")</f>
        <v>-</v>
      </c>
      <c r="V185" s="36" t="str">
        <f>IFERROR(INDEX(Katalog!$D$3:$D$12,MATCH(Data[[#This Row],[ItemID C]],Katalog!$C$3:$C$12,0))*Data[[#This Row],[Qty C]],"0")</f>
        <v>0</v>
      </c>
      <c r="W185" s="36" t="str">
        <f>IFERROR(INDEX(Katalog!$F$3:$F$12,MATCH(Data[[#This Row],[ItemID C]],Katalog!$C$3:$C$12,0))*Data[[#This Row],[Qty C]],"0")</f>
        <v>0</v>
      </c>
      <c r="X185" s="21">
        <f>Data[[#This Row],[Qty A]]+Data[[#This Row],[Qty B]]+Data[[#This Row],[Qty C]]</f>
        <v>4</v>
      </c>
      <c r="Y185" s="22">
        <f>Data[[#This Row],[Harga Barang A]]+Data[[#This Row],[Harga Barang B]]+Data[[#This Row],[Harga Barang C]]</f>
        <v>1000000</v>
      </c>
      <c r="Z185" s="35">
        <f>IFERROR(Data[[#This Row],[Total Harga]]-(Data[[#This Row],[Total Harga]]*Data[[#This Row],[Diskon]]),Data[[#This Row],[Total Harga]])</f>
        <v>900000</v>
      </c>
      <c r="AA185" s="35">
        <f>(Data[[#This Row],[Profit A]]+Data[[#This Row],[Profit B]]+Data[[#This Row],[Profit C]])</f>
        <v>380000</v>
      </c>
      <c r="AB185" s="35">
        <f>IFERROR((Data[[#This Row],[Profit non Diskon]]-(Data[[#This Row],[Profit non Diskon]]*Data[[#This Row],[Diskon]])),Data[[#This Row],[Profit non Diskon]])</f>
        <v>342000</v>
      </c>
      <c r="AC185" s="23" t="s">
        <v>31</v>
      </c>
      <c r="AD185" s="37">
        <f>IFERROR(INDEX('Kode Diskon'!$D$3:$D$9,MATCH(Data[[#This Row],[Kode diskon]],'Kode Diskon'!$C$3:$C$9,0)),"-")</f>
        <v>0.1</v>
      </c>
      <c r="AE185" s="23" t="s">
        <v>9</v>
      </c>
      <c r="AF185" s="23" t="s">
        <v>10</v>
      </c>
      <c r="AG185" s="23" t="s">
        <v>80</v>
      </c>
      <c r="AH185" s="24">
        <v>45040</v>
      </c>
      <c r="AI185" s="23" t="str">
        <f>TEXT(Data[[#This Row],[Tanggal terjual]],"dddd")</f>
        <v>Monday</v>
      </c>
      <c r="AJ185" s="21" t="str">
        <f>TEXT(Data[[#This Row],[Tanggal terjual]],"wwww")</f>
        <v>wwww</v>
      </c>
    </row>
    <row r="186" spans="1:36" x14ac:dyDescent="0.2">
      <c r="A186" s="20">
        <v>185</v>
      </c>
      <c r="B186" s="21" t="str">
        <f>_xlfn.CONCAT("ORD-",INDEX(Helper!$B$2:$B$5,MATCH(Data[[#This Row],[Marketplace]],Helper!$A$2:$A$5,0)),TEXT(Data[[#This Row],[No]],"0000"),"-",TEXT(Data[[#This Row],[Tanggal terjual]],"dd/mm/yy"))</f>
        <v>ORD-SP0185-06/04/23</v>
      </c>
      <c r="C186" t="s">
        <v>63</v>
      </c>
      <c r="D186" t="str">
        <f>IFERROR(INDEX(Katalog!$A$3:$A$12,MATCH(Data[[#This Row],[ItemID A]],Katalog!$C$3:$C$12,0)),"-")</f>
        <v>Pakaian Pria</v>
      </c>
      <c r="E186" t="str">
        <f>IFERROR(INDEX(Katalog!$B$3:$B$12,MATCH(Data[[#This Row],[ItemID A]],Katalog!$C$3:$C$12,0)),"-")</f>
        <v>Jaket Jeans</v>
      </c>
      <c r="F186">
        <v>3</v>
      </c>
      <c r="G186">
        <v>2</v>
      </c>
      <c r="H186" s="36">
        <f>IFERROR(INDEX(Katalog!$D$3:$D$12,MATCH(Data[[#This Row],[ItemID A]],Katalog!$C$3:$C$12,0))*Data[[#This Row],[Qty A]],"0")</f>
        <v>1200000</v>
      </c>
      <c r="I186" s="36">
        <f>IFERROR(INDEX(Katalog!$F$3:$F$12,MATCH(Data[[#This Row],[ItemID A]],Katalog!$C$3:$C$12,0))*Data[[#This Row],[Qty A]],0)</f>
        <v>450000</v>
      </c>
      <c r="J186" t="s">
        <v>65</v>
      </c>
      <c r="K186" t="str">
        <f>IFERROR(INDEX(Katalog!$A$3:$A$12,MATCH(Data[[#This Row],[ItemID B]],Katalog!$C$3:$C$12,0)),"-")</f>
        <v>Sepatu Pria</v>
      </c>
      <c r="L186" t="str">
        <f>IFERROR(INDEX(Katalog!$B$3:$B$12,MATCH(Data[[#This Row],[ItemID B]],Katalog!$C$3:$C$12,0)),"-")</f>
        <v>Sneakers</v>
      </c>
      <c r="M186">
        <v>1</v>
      </c>
      <c r="N186">
        <v>5</v>
      </c>
      <c r="O186" s="36">
        <f>IFERROR(INDEX(Katalog!$D$3:$D$12,MATCH(Data[[#This Row],[ItemID B]],Katalog!$C$3:$C$12,0))*Data[[#This Row],[Qty B]],"0")</f>
        <v>500000</v>
      </c>
      <c r="P186" s="36">
        <f>IFERROR(INDEX(Katalog!$F$3:$F$12,MATCH(Data[[#This Row],[ItemID B]],Katalog!$C$3:$C$12,0))*Data[[#This Row],[Qty B]],"0")</f>
        <v>200000</v>
      </c>
      <c r="R186" t="str">
        <f>IFERROR(INDEX(Katalog!$A$3:$A$12,MATCH(Data[[#This Row],[ItemID C]],Katalog!$C$3:$C$12,0)),"-")</f>
        <v>-</v>
      </c>
      <c r="S186" t="str">
        <f>IFERROR(INDEX(Katalog!$B$3:$B$12,MATCH(Data[[#This Row],[ItemID C]],Katalog!$C$3:$C$12,0)),"-")</f>
        <v>-</v>
      </c>
      <c r="V186" s="36" t="str">
        <f>IFERROR(INDEX(Katalog!$D$3:$D$12,MATCH(Data[[#This Row],[ItemID C]],Katalog!$C$3:$C$12,0))*Data[[#This Row],[Qty C]],"0")</f>
        <v>0</v>
      </c>
      <c r="W186" s="36" t="str">
        <f>IFERROR(INDEX(Katalog!$F$3:$F$12,MATCH(Data[[#This Row],[ItemID C]],Katalog!$C$3:$C$12,0))*Data[[#This Row],[Qty C]],"0")</f>
        <v>0</v>
      </c>
      <c r="X186" s="21">
        <f>Data[[#This Row],[Qty A]]+Data[[#This Row],[Qty B]]+Data[[#This Row],[Qty C]]</f>
        <v>4</v>
      </c>
      <c r="Y186" s="22">
        <f>Data[[#This Row],[Harga Barang A]]+Data[[#This Row],[Harga Barang B]]+Data[[#This Row],[Harga Barang C]]</f>
        <v>1700000</v>
      </c>
      <c r="Z186" s="35">
        <f>IFERROR(Data[[#This Row],[Total Harga]]-(Data[[#This Row],[Total Harga]]*Data[[#This Row],[Diskon]]),Data[[#This Row],[Total Harga]])</f>
        <v>1445000</v>
      </c>
      <c r="AA186" s="35">
        <f>(Data[[#This Row],[Profit A]]+Data[[#This Row],[Profit B]]+Data[[#This Row],[Profit C]])</f>
        <v>650000</v>
      </c>
      <c r="AB186" s="35">
        <f>IFERROR((Data[[#This Row],[Profit non Diskon]]-(Data[[#This Row],[Profit non Diskon]]*Data[[#This Row],[Diskon]])),Data[[#This Row],[Profit non Diskon]])</f>
        <v>552500</v>
      </c>
      <c r="AC186" s="23" t="s">
        <v>13</v>
      </c>
      <c r="AD186" s="37">
        <f>IFERROR(INDEX('Kode Diskon'!$D$3:$D$9,MATCH(Data[[#This Row],[Kode diskon]],'Kode Diskon'!$C$3:$C$9,0)),"-")</f>
        <v>0.15</v>
      </c>
      <c r="AE186" s="23" t="s">
        <v>29</v>
      </c>
      <c r="AF186" s="23" t="s">
        <v>7</v>
      </c>
      <c r="AG186" s="23" t="s">
        <v>75</v>
      </c>
      <c r="AH186" s="24">
        <v>45022</v>
      </c>
      <c r="AI186" s="23" t="str">
        <f>TEXT(Data[[#This Row],[Tanggal terjual]],"dddd")</f>
        <v>Thursday</v>
      </c>
      <c r="AJ186" s="21" t="str">
        <f>TEXT(Data[[#This Row],[Tanggal terjual]],"wwww")</f>
        <v>wwww</v>
      </c>
    </row>
    <row r="187" spans="1:36" x14ac:dyDescent="0.2">
      <c r="A187" s="20">
        <v>186</v>
      </c>
      <c r="B187" s="21" t="str">
        <f>_xlfn.CONCAT("ORD-",INDEX(Helper!$B$2:$B$5,MATCH(Data[[#This Row],[Marketplace]],Helper!$A$2:$A$5,0)),TEXT(Data[[#This Row],[No]],"0000"),"-",TEXT(Data[[#This Row],[Tanggal terjual]],"dd/mm/yy"))</f>
        <v>ORD-BB0186-05/04/23</v>
      </c>
      <c r="C187" t="s">
        <v>61</v>
      </c>
      <c r="D187" t="str">
        <f>IFERROR(INDEX(Katalog!$A$3:$A$12,MATCH(Data[[#This Row],[ItemID A]],Katalog!$C$3:$C$12,0)),"-")</f>
        <v>Pakaian Pria</v>
      </c>
      <c r="E187" t="str">
        <f>IFERROR(INDEX(Katalog!$B$3:$B$12,MATCH(Data[[#This Row],[ItemID A]],Katalog!$C$3:$C$12,0)),"-")</f>
        <v>Kaos Polo</v>
      </c>
      <c r="F187">
        <v>4</v>
      </c>
      <c r="G187">
        <v>2</v>
      </c>
      <c r="H187" s="36">
        <f>IFERROR(INDEX(Katalog!$D$3:$D$12,MATCH(Data[[#This Row],[ItemID A]],Katalog!$C$3:$C$12,0))*Data[[#This Row],[Qty A]],"0")</f>
        <v>800000</v>
      </c>
      <c r="I187" s="36">
        <f>IFERROR(INDEX(Katalog!$F$3:$F$12,MATCH(Data[[#This Row],[ItemID A]],Katalog!$C$3:$C$12,0))*Data[[#This Row],[Qty A]],0)</f>
        <v>320000</v>
      </c>
      <c r="J187" t="s">
        <v>58</v>
      </c>
      <c r="K187" t="str">
        <f>IFERROR(INDEX(Katalog!$A$3:$A$12,MATCH(Data[[#This Row],[ItemID B]],Katalog!$C$3:$C$12,0)),"-")</f>
        <v>Pakaian Wanita</v>
      </c>
      <c r="L187" t="str">
        <f>IFERROR(INDEX(Katalog!$B$3:$B$12,MATCH(Data[[#This Row],[ItemID B]],Katalog!$C$3:$C$12,0)),"-")</f>
        <v>Dress</v>
      </c>
      <c r="M187">
        <v>1</v>
      </c>
      <c r="N187">
        <v>4</v>
      </c>
      <c r="O187" s="36">
        <f>IFERROR(INDEX(Katalog!$D$3:$D$12,MATCH(Data[[#This Row],[ItemID B]],Katalog!$C$3:$C$12,0))*Data[[#This Row],[Qty B]],"0")</f>
        <v>300000</v>
      </c>
      <c r="P187" s="36">
        <f>IFERROR(INDEX(Katalog!$F$3:$F$12,MATCH(Data[[#This Row],[ItemID B]],Katalog!$C$3:$C$12,0))*Data[[#This Row],[Qty B]],"0")</f>
        <v>100000</v>
      </c>
      <c r="R187" t="str">
        <f>IFERROR(INDEX(Katalog!$A$3:$A$12,MATCH(Data[[#This Row],[ItemID C]],Katalog!$C$3:$C$12,0)),"-")</f>
        <v>-</v>
      </c>
      <c r="S187" t="str">
        <f>IFERROR(INDEX(Katalog!$B$3:$B$12,MATCH(Data[[#This Row],[ItemID C]],Katalog!$C$3:$C$12,0)),"-")</f>
        <v>-</v>
      </c>
      <c r="V187" s="36" t="str">
        <f>IFERROR(INDEX(Katalog!$D$3:$D$12,MATCH(Data[[#This Row],[ItemID C]],Katalog!$C$3:$C$12,0))*Data[[#This Row],[Qty C]],"0")</f>
        <v>0</v>
      </c>
      <c r="W187" s="36" t="str">
        <f>IFERROR(INDEX(Katalog!$F$3:$F$12,MATCH(Data[[#This Row],[ItemID C]],Katalog!$C$3:$C$12,0))*Data[[#This Row],[Qty C]],"0")</f>
        <v>0</v>
      </c>
      <c r="X187" s="21">
        <f>Data[[#This Row],[Qty A]]+Data[[#This Row],[Qty B]]+Data[[#This Row],[Qty C]]</f>
        <v>5</v>
      </c>
      <c r="Y187" s="22">
        <f>Data[[#This Row],[Harga Barang A]]+Data[[#This Row],[Harga Barang B]]+Data[[#This Row],[Harga Barang C]]</f>
        <v>1100000</v>
      </c>
      <c r="Z187" s="35">
        <f>IFERROR(Data[[#This Row],[Total Harga]]-(Data[[#This Row],[Total Harga]]*Data[[#This Row],[Diskon]]),Data[[#This Row],[Total Harga]])</f>
        <v>935000</v>
      </c>
      <c r="AA187" s="35">
        <f>(Data[[#This Row],[Profit A]]+Data[[#This Row],[Profit B]]+Data[[#This Row],[Profit C]])</f>
        <v>420000</v>
      </c>
      <c r="AB187" s="35">
        <f>IFERROR((Data[[#This Row],[Profit non Diskon]]-(Data[[#This Row],[Profit non Diskon]]*Data[[#This Row],[Diskon]])),Data[[#This Row],[Profit non Diskon]])</f>
        <v>357000</v>
      </c>
      <c r="AC187" s="23" t="s">
        <v>28</v>
      </c>
      <c r="AD187" s="37">
        <f>IFERROR(INDEX('Kode Diskon'!$D$3:$D$9,MATCH(Data[[#This Row],[Kode diskon]],'Kode Diskon'!$C$3:$C$9,0)),"-")</f>
        <v>0.15</v>
      </c>
      <c r="AE187" s="23" t="s">
        <v>29</v>
      </c>
      <c r="AF187" s="23" t="s">
        <v>14</v>
      </c>
      <c r="AG187" s="23" t="s">
        <v>80</v>
      </c>
      <c r="AH187" s="24">
        <v>45021</v>
      </c>
      <c r="AI187" s="23" t="str">
        <f>TEXT(Data[[#This Row],[Tanggal terjual]],"dddd")</f>
        <v>Wednesday</v>
      </c>
      <c r="AJ187" s="21" t="str">
        <f>TEXT(Data[[#This Row],[Tanggal terjual]],"wwww")</f>
        <v>wwww</v>
      </c>
    </row>
    <row r="188" spans="1:36" x14ac:dyDescent="0.2">
      <c r="A188" s="20">
        <v>187</v>
      </c>
      <c r="B188" s="21" t="str">
        <f>_xlfn.CONCAT("ORD-",INDEX(Helper!$B$2:$B$5,MATCH(Data[[#This Row],[Marketplace]],Helper!$A$2:$A$5,0)),TEXT(Data[[#This Row],[No]],"0000"),"-",TEXT(Data[[#This Row],[Tanggal terjual]],"dd/mm/yy"))</f>
        <v>ORD-TK0187-29/04/23</v>
      </c>
      <c r="C188" t="s">
        <v>64</v>
      </c>
      <c r="D188" t="str">
        <f>IFERROR(INDEX(Katalog!$A$3:$A$12,MATCH(Data[[#This Row],[ItemID A]],Katalog!$C$3:$C$12,0)),"-")</f>
        <v>Pakaian Unisex</v>
      </c>
      <c r="E188" t="str">
        <f>IFERROR(INDEX(Katalog!$B$3:$B$12,MATCH(Data[[#This Row],[ItemID A]],Katalog!$C$3:$C$12,0)),"-")</f>
        <v>Jaket Hoodie</v>
      </c>
      <c r="F188">
        <v>1</v>
      </c>
      <c r="G188">
        <v>2</v>
      </c>
      <c r="H188" s="36">
        <f>IFERROR(INDEX(Katalog!$D$3:$D$12,MATCH(Data[[#This Row],[ItemID A]],Katalog!$C$3:$C$12,0))*Data[[#This Row],[Qty A]],"0")</f>
        <v>350000</v>
      </c>
      <c r="I188" s="36">
        <f>IFERROR(INDEX(Katalog!$F$3:$F$12,MATCH(Data[[#This Row],[ItemID A]],Katalog!$C$3:$C$12,0))*Data[[#This Row],[Qty A]],0)</f>
        <v>130000</v>
      </c>
      <c r="J188" t="s">
        <v>61</v>
      </c>
      <c r="K188" t="str">
        <f>IFERROR(INDEX(Katalog!$A$3:$A$12,MATCH(Data[[#This Row],[ItemID B]],Katalog!$C$3:$C$12,0)),"-")</f>
        <v>Pakaian Pria</v>
      </c>
      <c r="L188" t="str">
        <f>IFERROR(INDEX(Katalog!$B$3:$B$12,MATCH(Data[[#This Row],[ItemID B]],Katalog!$C$3:$C$12,0)),"-")</f>
        <v>Kaos Polo</v>
      </c>
      <c r="M188">
        <v>1</v>
      </c>
      <c r="N188">
        <v>5</v>
      </c>
      <c r="O188" s="36">
        <f>IFERROR(INDEX(Katalog!$D$3:$D$12,MATCH(Data[[#This Row],[ItemID B]],Katalog!$C$3:$C$12,0))*Data[[#This Row],[Qty B]],"0")</f>
        <v>200000</v>
      </c>
      <c r="P188" s="36">
        <f>IFERROR(INDEX(Katalog!$F$3:$F$12,MATCH(Data[[#This Row],[ItemID B]],Katalog!$C$3:$C$12,0))*Data[[#This Row],[Qty B]],"0")</f>
        <v>80000</v>
      </c>
      <c r="R188" t="str">
        <f>IFERROR(INDEX(Katalog!$A$3:$A$12,MATCH(Data[[#This Row],[ItemID C]],Katalog!$C$3:$C$12,0)),"-")</f>
        <v>-</v>
      </c>
      <c r="S188" t="str">
        <f>IFERROR(INDEX(Katalog!$B$3:$B$12,MATCH(Data[[#This Row],[ItemID C]],Katalog!$C$3:$C$12,0)),"-")</f>
        <v>-</v>
      </c>
      <c r="V188" s="36" t="str">
        <f>IFERROR(INDEX(Katalog!$D$3:$D$12,MATCH(Data[[#This Row],[ItemID C]],Katalog!$C$3:$C$12,0))*Data[[#This Row],[Qty C]],"0")</f>
        <v>0</v>
      </c>
      <c r="W188" s="36" t="str">
        <f>IFERROR(INDEX(Katalog!$F$3:$F$12,MATCH(Data[[#This Row],[ItemID C]],Katalog!$C$3:$C$12,0))*Data[[#This Row],[Qty C]],"0")</f>
        <v>0</v>
      </c>
      <c r="X188" s="21">
        <f>Data[[#This Row],[Qty A]]+Data[[#This Row],[Qty B]]+Data[[#This Row],[Qty C]]</f>
        <v>2</v>
      </c>
      <c r="Y188" s="22">
        <f>Data[[#This Row],[Harga Barang A]]+Data[[#This Row],[Harga Barang B]]+Data[[#This Row],[Harga Barang C]]</f>
        <v>550000</v>
      </c>
      <c r="Z188" s="35">
        <f>IFERROR(Data[[#This Row],[Total Harga]]-(Data[[#This Row],[Total Harga]]*Data[[#This Row],[Diskon]]),Data[[#This Row],[Total Harga]])</f>
        <v>495000</v>
      </c>
      <c r="AA188" s="35">
        <f>(Data[[#This Row],[Profit A]]+Data[[#This Row],[Profit B]]+Data[[#This Row],[Profit C]])</f>
        <v>210000</v>
      </c>
      <c r="AB188" s="35">
        <f>IFERROR((Data[[#This Row],[Profit non Diskon]]-(Data[[#This Row],[Profit non Diskon]]*Data[[#This Row],[Diskon]])),Data[[#This Row],[Profit non Diskon]])</f>
        <v>189000</v>
      </c>
      <c r="AC188" s="23" t="s">
        <v>31</v>
      </c>
      <c r="AD188" s="37">
        <f>IFERROR(INDEX('Kode Diskon'!$D$3:$D$9,MATCH(Data[[#This Row],[Kode diskon]],'Kode Diskon'!$C$3:$C$9,0)),"-")</f>
        <v>0.1</v>
      </c>
      <c r="AE188" s="23" t="s">
        <v>9</v>
      </c>
      <c r="AF188" s="23" t="s">
        <v>10</v>
      </c>
      <c r="AG188" s="23" t="s">
        <v>76</v>
      </c>
      <c r="AH188" s="24">
        <v>45045</v>
      </c>
      <c r="AI188" s="23" t="str">
        <f>TEXT(Data[[#This Row],[Tanggal terjual]],"dddd")</f>
        <v>Saturday</v>
      </c>
      <c r="AJ188" s="21" t="str">
        <f>TEXT(Data[[#This Row],[Tanggal terjual]],"wwww")</f>
        <v>wwww</v>
      </c>
    </row>
    <row r="189" spans="1:36" x14ac:dyDescent="0.2">
      <c r="A189" s="20">
        <v>188</v>
      </c>
      <c r="B189" s="21" t="str">
        <f>_xlfn.CONCAT("ORD-",INDEX(Helper!$B$2:$B$5,MATCH(Data[[#This Row],[Marketplace]],Helper!$A$2:$A$5,0)),TEXT(Data[[#This Row],[No]],"0000"),"-",TEXT(Data[[#This Row],[Tanggal terjual]],"dd/mm/yy"))</f>
        <v>ORD-SP0188-28/04/23</v>
      </c>
      <c r="C189" t="s">
        <v>62</v>
      </c>
      <c r="D189" t="str">
        <f>IFERROR(INDEX(Katalog!$A$3:$A$12,MATCH(Data[[#This Row],[ItemID A]],Katalog!$C$3:$C$12,0)),"-")</f>
        <v>Pakaian Pria</v>
      </c>
      <c r="E189" t="str">
        <f>IFERROR(INDEX(Katalog!$B$3:$B$12,MATCH(Data[[#This Row],[ItemID A]],Katalog!$C$3:$C$12,0)),"-")</f>
        <v>Celana Pendek</v>
      </c>
      <c r="F189">
        <v>5</v>
      </c>
      <c r="G189">
        <v>1</v>
      </c>
      <c r="H189" s="36">
        <f>IFERROR(INDEX(Katalog!$D$3:$D$12,MATCH(Data[[#This Row],[ItemID A]],Katalog!$C$3:$C$12,0))*Data[[#This Row],[Qty A]],"0")</f>
        <v>900000</v>
      </c>
      <c r="I189" s="36">
        <f>IFERROR(INDEX(Katalog!$F$3:$F$12,MATCH(Data[[#This Row],[ItemID A]],Katalog!$C$3:$C$12,0))*Data[[#This Row],[Qty A]],0)</f>
        <v>350000</v>
      </c>
      <c r="J189" t="s">
        <v>58</v>
      </c>
      <c r="K189" t="str">
        <f>IFERROR(INDEX(Katalog!$A$3:$A$12,MATCH(Data[[#This Row],[ItemID B]],Katalog!$C$3:$C$12,0)),"-")</f>
        <v>Pakaian Wanita</v>
      </c>
      <c r="L189" t="str">
        <f>IFERROR(INDEX(Katalog!$B$3:$B$12,MATCH(Data[[#This Row],[ItemID B]],Katalog!$C$3:$C$12,0)),"-")</f>
        <v>Dress</v>
      </c>
      <c r="M189">
        <v>1</v>
      </c>
      <c r="N189">
        <v>5</v>
      </c>
      <c r="O189" s="36">
        <f>IFERROR(INDEX(Katalog!$D$3:$D$12,MATCH(Data[[#This Row],[ItemID B]],Katalog!$C$3:$C$12,0))*Data[[#This Row],[Qty B]],"0")</f>
        <v>300000</v>
      </c>
      <c r="P189" s="36">
        <f>IFERROR(INDEX(Katalog!$F$3:$F$12,MATCH(Data[[#This Row],[ItemID B]],Katalog!$C$3:$C$12,0))*Data[[#This Row],[Qty B]],"0")</f>
        <v>100000</v>
      </c>
      <c r="R189" t="str">
        <f>IFERROR(INDEX(Katalog!$A$3:$A$12,MATCH(Data[[#This Row],[ItemID C]],Katalog!$C$3:$C$12,0)),"-")</f>
        <v>-</v>
      </c>
      <c r="S189" t="str">
        <f>IFERROR(INDEX(Katalog!$B$3:$B$12,MATCH(Data[[#This Row],[ItemID C]],Katalog!$C$3:$C$12,0)),"-")</f>
        <v>-</v>
      </c>
      <c r="V189" s="36" t="str">
        <f>IFERROR(INDEX(Katalog!$D$3:$D$12,MATCH(Data[[#This Row],[ItemID C]],Katalog!$C$3:$C$12,0))*Data[[#This Row],[Qty C]],"0")</f>
        <v>0</v>
      </c>
      <c r="W189" s="36" t="str">
        <f>IFERROR(INDEX(Katalog!$F$3:$F$12,MATCH(Data[[#This Row],[ItemID C]],Katalog!$C$3:$C$12,0))*Data[[#This Row],[Qty C]],"0")</f>
        <v>0</v>
      </c>
      <c r="X189" s="21">
        <f>Data[[#This Row],[Qty A]]+Data[[#This Row],[Qty B]]+Data[[#This Row],[Qty C]]</f>
        <v>6</v>
      </c>
      <c r="Y189" s="22">
        <f>Data[[#This Row],[Harga Barang A]]+Data[[#This Row],[Harga Barang B]]+Data[[#This Row],[Harga Barang C]]</f>
        <v>1200000</v>
      </c>
      <c r="Z189" s="35">
        <f>IFERROR(Data[[#This Row],[Total Harga]]-(Data[[#This Row],[Total Harga]]*Data[[#This Row],[Diskon]]),Data[[#This Row],[Total Harga]])</f>
        <v>960000</v>
      </c>
      <c r="AA189" s="35">
        <f>(Data[[#This Row],[Profit A]]+Data[[#This Row],[Profit B]]+Data[[#This Row],[Profit C]])</f>
        <v>450000</v>
      </c>
      <c r="AB189" s="35">
        <f>IFERROR((Data[[#This Row],[Profit non Diskon]]-(Data[[#This Row],[Profit non Diskon]]*Data[[#This Row],[Diskon]])),Data[[#This Row],[Profit non Diskon]])</f>
        <v>360000</v>
      </c>
      <c r="AC189" s="23" t="s">
        <v>8</v>
      </c>
      <c r="AD189" s="37">
        <f>IFERROR(INDEX('Kode Diskon'!$D$3:$D$9,MATCH(Data[[#This Row],[Kode diskon]],'Kode Diskon'!$C$3:$C$9,0)),"-")</f>
        <v>0.2</v>
      </c>
      <c r="AE189" s="23" t="s">
        <v>9</v>
      </c>
      <c r="AF189" s="23" t="s">
        <v>7</v>
      </c>
      <c r="AG189" s="23" t="s">
        <v>80</v>
      </c>
      <c r="AH189" s="24">
        <v>45044</v>
      </c>
      <c r="AI189" s="23" t="str">
        <f>TEXT(Data[[#This Row],[Tanggal terjual]],"dddd")</f>
        <v>Friday</v>
      </c>
      <c r="AJ189" s="21" t="str">
        <f>TEXT(Data[[#This Row],[Tanggal terjual]],"wwww")</f>
        <v>wwww</v>
      </c>
    </row>
    <row r="190" spans="1:36" x14ac:dyDescent="0.2">
      <c r="A190" s="20">
        <v>189</v>
      </c>
      <c r="B190" s="21" t="str">
        <f>_xlfn.CONCAT("ORD-",INDEX(Helper!$B$2:$B$5,MATCH(Data[[#This Row],[Marketplace]],Helper!$A$2:$A$5,0)),TEXT(Data[[#This Row],[No]],"0000"),"-",TEXT(Data[[#This Row],[Tanggal terjual]],"dd/mm/yy"))</f>
        <v>ORD-TK0189-01/04/23</v>
      </c>
      <c r="C190" t="s">
        <v>58</v>
      </c>
      <c r="D190" t="str">
        <f>IFERROR(INDEX(Katalog!$A$3:$A$12,MATCH(Data[[#This Row],[ItemID A]],Katalog!$C$3:$C$12,0)),"-")</f>
        <v>Pakaian Wanita</v>
      </c>
      <c r="E190" t="str">
        <f>IFERROR(INDEX(Katalog!$B$3:$B$12,MATCH(Data[[#This Row],[ItemID A]],Katalog!$C$3:$C$12,0)),"-")</f>
        <v>Dress</v>
      </c>
      <c r="F190">
        <v>1</v>
      </c>
      <c r="G190">
        <v>4</v>
      </c>
      <c r="H190" s="36">
        <f>IFERROR(INDEX(Katalog!$D$3:$D$12,MATCH(Data[[#This Row],[ItemID A]],Katalog!$C$3:$C$12,0))*Data[[#This Row],[Qty A]],"0")</f>
        <v>300000</v>
      </c>
      <c r="I190" s="36">
        <f>IFERROR(INDEX(Katalog!$F$3:$F$12,MATCH(Data[[#This Row],[ItemID A]],Katalog!$C$3:$C$12,0))*Data[[#This Row],[Qty A]],0)</f>
        <v>100000</v>
      </c>
      <c r="J190" t="s">
        <v>67</v>
      </c>
      <c r="K190" t="str">
        <f>IFERROR(INDEX(Katalog!$A$3:$A$12,MATCH(Data[[#This Row],[ItemID B]],Katalog!$C$3:$C$12,0)),"-")</f>
        <v>Sepatu Wanita</v>
      </c>
      <c r="L190" t="str">
        <f>IFERROR(INDEX(Katalog!$B$3:$B$12,MATCH(Data[[#This Row],[ItemID B]],Katalog!$C$3:$C$12,0)),"-")</f>
        <v>Flat Shoes</v>
      </c>
      <c r="M190">
        <v>4</v>
      </c>
      <c r="N190">
        <v>1</v>
      </c>
      <c r="O190" s="36">
        <f>IFERROR(INDEX(Katalog!$D$3:$D$12,MATCH(Data[[#This Row],[ItemID B]],Katalog!$C$3:$C$12,0))*Data[[#This Row],[Qty B]],"0")</f>
        <v>1000000</v>
      </c>
      <c r="P190" s="36">
        <f>IFERROR(INDEX(Katalog!$F$3:$F$12,MATCH(Data[[#This Row],[ItemID B]],Katalog!$C$3:$C$12,0))*Data[[#This Row],[Qty B]],"0")</f>
        <v>400000</v>
      </c>
      <c r="Q190" t="s">
        <v>65</v>
      </c>
      <c r="R190" t="str">
        <f>IFERROR(INDEX(Katalog!$A$3:$A$12,MATCH(Data[[#This Row],[ItemID C]],Katalog!$C$3:$C$12,0)),"-")</f>
        <v>Sepatu Pria</v>
      </c>
      <c r="S190" t="str">
        <f>IFERROR(INDEX(Katalog!$B$3:$B$12,MATCH(Data[[#This Row],[ItemID C]],Katalog!$C$3:$C$12,0)),"-")</f>
        <v>Sneakers</v>
      </c>
      <c r="T190">
        <v>1</v>
      </c>
      <c r="U190">
        <v>5</v>
      </c>
      <c r="V190" s="36">
        <f>IFERROR(INDEX(Katalog!$D$3:$D$12,MATCH(Data[[#This Row],[ItemID C]],Katalog!$C$3:$C$12,0))*Data[[#This Row],[Qty C]],"0")</f>
        <v>500000</v>
      </c>
      <c r="W190" s="36">
        <f>IFERROR(INDEX(Katalog!$F$3:$F$12,MATCH(Data[[#This Row],[ItemID C]],Katalog!$C$3:$C$12,0))*Data[[#This Row],[Qty C]],"0")</f>
        <v>200000</v>
      </c>
      <c r="X190" s="21">
        <f>Data[[#This Row],[Qty A]]+Data[[#This Row],[Qty B]]+Data[[#This Row],[Qty C]]</f>
        <v>6</v>
      </c>
      <c r="Y190" s="22">
        <f>Data[[#This Row],[Harga Barang A]]+Data[[#This Row],[Harga Barang B]]+Data[[#This Row],[Harga Barang C]]</f>
        <v>1800000</v>
      </c>
      <c r="Z190" s="35">
        <f>IFERROR(Data[[#This Row],[Total Harga]]-(Data[[#This Row],[Total Harga]]*Data[[#This Row],[Diskon]]),Data[[#This Row],[Total Harga]])</f>
        <v>1620000</v>
      </c>
      <c r="AA190" s="35">
        <f>(Data[[#This Row],[Profit A]]+Data[[#This Row],[Profit B]]+Data[[#This Row],[Profit C]])</f>
        <v>700000</v>
      </c>
      <c r="AB190" s="35">
        <f>IFERROR((Data[[#This Row],[Profit non Diskon]]-(Data[[#This Row],[Profit non Diskon]]*Data[[#This Row],[Diskon]])),Data[[#This Row],[Profit non Diskon]])</f>
        <v>630000</v>
      </c>
      <c r="AC190" s="23" t="s">
        <v>30</v>
      </c>
      <c r="AD190" s="37">
        <f>IFERROR(INDEX('Kode Diskon'!$D$3:$D$9,MATCH(Data[[#This Row],[Kode diskon]],'Kode Diskon'!$C$3:$C$9,0)),"-")</f>
        <v>0.1</v>
      </c>
      <c r="AE190" s="23" t="s">
        <v>29</v>
      </c>
      <c r="AF190" s="23" t="s">
        <v>10</v>
      </c>
      <c r="AG190" s="23" t="s">
        <v>80</v>
      </c>
      <c r="AH190" s="24">
        <v>45017</v>
      </c>
      <c r="AI190" s="23" t="str">
        <f>TEXT(Data[[#This Row],[Tanggal terjual]],"dddd")</f>
        <v>Saturday</v>
      </c>
      <c r="AJ190" s="21" t="str">
        <f>TEXT(Data[[#This Row],[Tanggal terjual]],"wwww")</f>
        <v>wwww</v>
      </c>
    </row>
    <row r="191" spans="1:36" x14ac:dyDescent="0.2">
      <c r="A191" s="20">
        <v>190</v>
      </c>
      <c r="B191" s="21" t="str">
        <f>_xlfn.CONCAT("ORD-",INDEX(Helper!$B$2:$B$5,MATCH(Data[[#This Row],[Marketplace]],Helper!$A$2:$A$5,0)),TEXT(Data[[#This Row],[No]],"0000"),"-",TEXT(Data[[#This Row],[Tanggal terjual]],"dd/mm/yy"))</f>
        <v>ORD-TK0190-05/04/23</v>
      </c>
      <c r="C191" t="s">
        <v>65</v>
      </c>
      <c r="D191" t="str">
        <f>IFERROR(INDEX(Katalog!$A$3:$A$12,MATCH(Data[[#This Row],[ItemID A]],Katalog!$C$3:$C$12,0)),"-")</f>
        <v>Sepatu Pria</v>
      </c>
      <c r="E191" t="str">
        <f>IFERROR(INDEX(Katalog!$B$3:$B$12,MATCH(Data[[#This Row],[ItemID A]],Katalog!$C$3:$C$12,0)),"-")</f>
        <v>Sneakers</v>
      </c>
      <c r="F191">
        <v>2</v>
      </c>
      <c r="G191">
        <v>3</v>
      </c>
      <c r="H191" s="36">
        <f>IFERROR(INDEX(Katalog!$D$3:$D$12,MATCH(Data[[#This Row],[ItemID A]],Katalog!$C$3:$C$12,0))*Data[[#This Row],[Qty A]],"0")</f>
        <v>1000000</v>
      </c>
      <c r="I191" s="36">
        <f>IFERROR(INDEX(Katalog!$F$3:$F$12,MATCH(Data[[#This Row],[ItemID A]],Katalog!$C$3:$C$12,0))*Data[[#This Row],[Qty A]],0)</f>
        <v>400000</v>
      </c>
      <c r="J191" t="s">
        <v>67</v>
      </c>
      <c r="K191" t="str">
        <f>IFERROR(INDEX(Katalog!$A$3:$A$12,MATCH(Data[[#This Row],[ItemID B]],Katalog!$C$3:$C$12,0)),"-")</f>
        <v>Sepatu Wanita</v>
      </c>
      <c r="L191" t="str">
        <f>IFERROR(INDEX(Katalog!$B$3:$B$12,MATCH(Data[[#This Row],[ItemID B]],Katalog!$C$3:$C$12,0)),"-")</f>
        <v>Flat Shoes</v>
      </c>
      <c r="M191">
        <v>1</v>
      </c>
      <c r="N191">
        <v>3</v>
      </c>
      <c r="O191" s="36">
        <f>IFERROR(INDEX(Katalog!$D$3:$D$12,MATCH(Data[[#This Row],[ItemID B]],Katalog!$C$3:$C$12,0))*Data[[#This Row],[Qty B]],"0")</f>
        <v>250000</v>
      </c>
      <c r="P191" s="36">
        <f>IFERROR(INDEX(Katalog!$F$3:$F$12,MATCH(Data[[#This Row],[ItemID B]],Katalog!$C$3:$C$12,0))*Data[[#This Row],[Qty B]],"0")</f>
        <v>100000</v>
      </c>
      <c r="R191" t="str">
        <f>IFERROR(INDEX(Katalog!$A$3:$A$12,MATCH(Data[[#This Row],[ItemID C]],Katalog!$C$3:$C$12,0)),"-")</f>
        <v>-</v>
      </c>
      <c r="S191" t="str">
        <f>IFERROR(INDEX(Katalog!$B$3:$B$12,MATCH(Data[[#This Row],[ItemID C]],Katalog!$C$3:$C$12,0)),"-")</f>
        <v>-</v>
      </c>
      <c r="V191" s="36" t="str">
        <f>IFERROR(INDEX(Katalog!$D$3:$D$12,MATCH(Data[[#This Row],[ItemID C]],Katalog!$C$3:$C$12,0))*Data[[#This Row],[Qty C]],"0")</f>
        <v>0</v>
      </c>
      <c r="W191" s="36" t="str">
        <f>IFERROR(INDEX(Katalog!$F$3:$F$12,MATCH(Data[[#This Row],[ItemID C]],Katalog!$C$3:$C$12,0))*Data[[#This Row],[Qty C]],"0")</f>
        <v>0</v>
      </c>
      <c r="X191" s="21">
        <f>Data[[#This Row],[Qty A]]+Data[[#This Row],[Qty B]]+Data[[#This Row],[Qty C]]</f>
        <v>3</v>
      </c>
      <c r="Y191" s="22">
        <f>Data[[#This Row],[Harga Barang A]]+Data[[#This Row],[Harga Barang B]]+Data[[#This Row],[Harga Barang C]]</f>
        <v>1250000</v>
      </c>
      <c r="Z191" s="35">
        <f>IFERROR(Data[[#This Row],[Total Harga]]-(Data[[#This Row],[Total Harga]]*Data[[#This Row],[Diskon]]),Data[[#This Row],[Total Harga]])</f>
        <v>1125000</v>
      </c>
      <c r="AA191" s="35">
        <f>(Data[[#This Row],[Profit A]]+Data[[#This Row],[Profit B]]+Data[[#This Row],[Profit C]])</f>
        <v>500000</v>
      </c>
      <c r="AB191" s="35">
        <f>IFERROR((Data[[#This Row],[Profit non Diskon]]-(Data[[#This Row],[Profit non Diskon]]*Data[[#This Row],[Diskon]])),Data[[#This Row],[Profit non Diskon]])</f>
        <v>450000</v>
      </c>
      <c r="AC191" s="23" t="s">
        <v>30</v>
      </c>
      <c r="AD191" s="37">
        <f>IFERROR(INDEX('Kode Diskon'!$D$3:$D$9,MATCH(Data[[#This Row],[Kode diskon]],'Kode Diskon'!$C$3:$C$9,0)),"-")</f>
        <v>0.1</v>
      </c>
      <c r="AE191" s="23" t="s">
        <v>29</v>
      </c>
      <c r="AF191" s="23" t="s">
        <v>10</v>
      </c>
      <c r="AG191" s="23" t="s">
        <v>80</v>
      </c>
      <c r="AH191" s="24">
        <v>45021</v>
      </c>
      <c r="AI191" s="23" t="str">
        <f>TEXT(Data[[#This Row],[Tanggal terjual]],"dddd")</f>
        <v>Wednesday</v>
      </c>
      <c r="AJ191" s="21" t="str">
        <f>TEXT(Data[[#This Row],[Tanggal terjual]],"wwww")</f>
        <v>wwww</v>
      </c>
    </row>
    <row r="192" spans="1:36" x14ac:dyDescent="0.2">
      <c r="A192" s="20">
        <v>191</v>
      </c>
      <c r="B192" s="21" t="str">
        <f>_xlfn.CONCAT("ORD-",INDEX(Helper!$B$2:$B$5,MATCH(Data[[#This Row],[Marketplace]],Helper!$A$2:$A$5,0)),TEXT(Data[[#This Row],[No]],"0000"),"-",TEXT(Data[[#This Row],[Tanggal terjual]],"dd/mm/yy"))</f>
        <v>ORD-TK0191-18/04/23</v>
      </c>
      <c r="C192" t="s">
        <v>61</v>
      </c>
      <c r="D192" t="str">
        <f>IFERROR(INDEX(Katalog!$A$3:$A$12,MATCH(Data[[#This Row],[ItemID A]],Katalog!$C$3:$C$12,0)),"-")</f>
        <v>Pakaian Pria</v>
      </c>
      <c r="E192" t="str">
        <f>IFERROR(INDEX(Katalog!$B$3:$B$12,MATCH(Data[[#This Row],[ItemID A]],Katalog!$C$3:$C$12,0)),"-")</f>
        <v>Kaos Polo</v>
      </c>
      <c r="F192">
        <v>3</v>
      </c>
      <c r="G192">
        <v>2</v>
      </c>
      <c r="H192" s="36">
        <f>IFERROR(INDEX(Katalog!$D$3:$D$12,MATCH(Data[[#This Row],[ItemID A]],Katalog!$C$3:$C$12,0))*Data[[#This Row],[Qty A]],"0")</f>
        <v>600000</v>
      </c>
      <c r="I192" s="36">
        <f>IFERROR(INDEX(Katalog!$F$3:$F$12,MATCH(Data[[#This Row],[ItemID A]],Katalog!$C$3:$C$12,0))*Data[[#This Row],[Qty A]],0)</f>
        <v>240000</v>
      </c>
      <c r="J192" t="s">
        <v>60</v>
      </c>
      <c r="K192" t="str">
        <f>IFERROR(INDEX(Katalog!$A$3:$A$12,MATCH(Data[[#This Row],[ItemID B]],Katalog!$C$3:$C$12,0)),"-")</f>
        <v>Pakaian Wanita</v>
      </c>
      <c r="L192" t="str">
        <f>IFERROR(INDEX(Katalog!$B$3:$B$12,MATCH(Data[[#This Row],[ItemID B]],Katalog!$C$3:$C$12,0)),"-")</f>
        <v>Kaftan</v>
      </c>
      <c r="M192">
        <v>2</v>
      </c>
      <c r="N192">
        <v>5</v>
      </c>
      <c r="O192" s="36">
        <f>IFERROR(INDEX(Katalog!$D$3:$D$12,MATCH(Data[[#This Row],[ItemID B]],Katalog!$C$3:$C$12,0))*Data[[#This Row],[Qty B]],"0")</f>
        <v>500000</v>
      </c>
      <c r="P192" s="36">
        <f>IFERROR(INDEX(Katalog!$F$3:$F$12,MATCH(Data[[#This Row],[ItemID B]],Katalog!$C$3:$C$12,0))*Data[[#This Row],[Qty B]],"0")</f>
        <v>200000</v>
      </c>
      <c r="Q192" t="s">
        <v>58</v>
      </c>
      <c r="R192" t="str">
        <f>IFERROR(INDEX(Katalog!$A$3:$A$12,MATCH(Data[[#This Row],[ItemID C]],Katalog!$C$3:$C$12,0)),"-")</f>
        <v>Pakaian Wanita</v>
      </c>
      <c r="S192" t="str">
        <f>IFERROR(INDEX(Katalog!$B$3:$B$12,MATCH(Data[[#This Row],[ItemID C]],Katalog!$C$3:$C$12,0)),"-")</f>
        <v>Dress</v>
      </c>
      <c r="T192">
        <v>1</v>
      </c>
      <c r="U192">
        <v>1</v>
      </c>
      <c r="V192" s="36">
        <f>IFERROR(INDEX(Katalog!$D$3:$D$12,MATCH(Data[[#This Row],[ItemID C]],Katalog!$C$3:$C$12,0))*Data[[#This Row],[Qty C]],"0")</f>
        <v>300000</v>
      </c>
      <c r="W192" s="36">
        <f>IFERROR(INDEX(Katalog!$F$3:$F$12,MATCH(Data[[#This Row],[ItemID C]],Katalog!$C$3:$C$12,0))*Data[[#This Row],[Qty C]],"0")</f>
        <v>100000</v>
      </c>
      <c r="X192" s="21">
        <f>Data[[#This Row],[Qty A]]+Data[[#This Row],[Qty B]]+Data[[#This Row],[Qty C]]</f>
        <v>6</v>
      </c>
      <c r="Y192" s="22">
        <f>Data[[#This Row],[Harga Barang A]]+Data[[#This Row],[Harga Barang B]]+Data[[#This Row],[Harga Barang C]]</f>
        <v>1400000</v>
      </c>
      <c r="Z192" s="35">
        <f>IFERROR(Data[[#This Row],[Total Harga]]-(Data[[#This Row],[Total Harga]]*Data[[#This Row],[Diskon]]),Data[[#This Row],[Total Harga]])</f>
        <v>1260000</v>
      </c>
      <c r="AA192" s="35">
        <f>(Data[[#This Row],[Profit A]]+Data[[#This Row],[Profit B]]+Data[[#This Row],[Profit C]])</f>
        <v>540000</v>
      </c>
      <c r="AB192" s="35">
        <f>IFERROR((Data[[#This Row],[Profit non Diskon]]-(Data[[#This Row],[Profit non Diskon]]*Data[[#This Row],[Diskon]])),Data[[#This Row],[Profit non Diskon]])</f>
        <v>486000</v>
      </c>
      <c r="AC192" s="23" t="s">
        <v>31</v>
      </c>
      <c r="AD192" s="37">
        <f>IFERROR(INDEX('Kode Diskon'!$D$3:$D$9,MATCH(Data[[#This Row],[Kode diskon]],'Kode Diskon'!$C$3:$C$9,0)),"-")</f>
        <v>0.1</v>
      </c>
      <c r="AE192" s="23" t="s">
        <v>9</v>
      </c>
      <c r="AF192" s="23" t="s">
        <v>10</v>
      </c>
      <c r="AG192" s="23" t="s">
        <v>80</v>
      </c>
      <c r="AH192" s="24">
        <v>45034</v>
      </c>
      <c r="AI192" s="23" t="str">
        <f>TEXT(Data[[#This Row],[Tanggal terjual]],"dddd")</f>
        <v>Tuesday</v>
      </c>
      <c r="AJ192" s="21" t="str">
        <f>TEXT(Data[[#This Row],[Tanggal terjual]],"wwww")</f>
        <v>wwww</v>
      </c>
    </row>
    <row r="193" spans="1:36" x14ac:dyDescent="0.2">
      <c r="A193" s="20">
        <v>192</v>
      </c>
      <c r="B193" s="21" t="str">
        <f>_xlfn.CONCAT("ORD-",INDEX(Helper!$B$2:$B$5,MATCH(Data[[#This Row],[Marketplace]],Helper!$A$2:$A$5,0)),TEXT(Data[[#This Row],[No]],"0000"),"-",TEXT(Data[[#This Row],[Tanggal terjual]],"dd/mm/yy"))</f>
        <v>ORD-BB0192-05/04/23</v>
      </c>
      <c r="C193" t="s">
        <v>58</v>
      </c>
      <c r="D193" t="str">
        <f>IFERROR(INDEX(Katalog!$A$3:$A$12,MATCH(Data[[#This Row],[ItemID A]],Katalog!$C$3:$C$12,0)),"-")</f>
        <v>Pakaian Wanita</v>
      </c>
      <c r="E193" t="str">
        <f>IFERROR(INDEX(Katalog!$B$3:$B$12,MATCH(Data[[#This Row],[ItemID A]],Katalog!$C$3:$C$12,0)),"-")</f>
        <v>Dress</v>
      </c>
      <c r="F193">
        <v>1</v>
      </c>
      <c r="G193">
        <v>2</v>
      </c>
      <c r="H193" s="36">
        <f>IFERROR(INDEX(Katalog!$D$3:$D$12,MATCH(Data[[#This Row],[ItemID A]],Katalog!$C$3:$C$12,0))*Data[[#This Row],[Qty A]],"0")</f>
        <v>300000</v>
      </c>
      <c r="I193" s="36">
        <f>IFERROR(INDEX(Katalog!$F$3:$F$12,MATCH(Data[[#This Row],[ItemID A]],Katalog!$C$3:$C$12,0))*Data[[#This Row],[Qty A]],0)</f>
        <v>100000</v>
      </c>
      <c r="J193" t="s">
        <v>67</v>
      </c>
      <c r="K193" t="str">
        <f>IFERROR(INDEX(Katalog!$A$3:$A$12,MATCH(Data[[#This Row],[ItemID B]],Katalog!$C$3:$C$12,0)),"-")</f>
        <v>Sepatu Wanita</v>
      </c>
      <c r="L193" t="str">
        <f>IFERROR(INDEX(Katalog!$B$3:$B$12,MATCH(Data[[#This Row],[ItemID B]],Katalog!$C$3:$C$12,0)),"-")</f>
        <v>Flat Shoes</v>
      </c>
      <c r="M193">
        <v>1</v>
      </c>
      <c r="N193">
        <v>3</v>
      </c>
      <c r="O193" s="36">
        <f>IFERROR(INDEX(Katalog!$D$3:$D$12,MATCH(Data[[#This Row],[ItemID B]],Katalog!$C$3:$C$12,0))*Data[[#This Row],[Qty B]],"0")</f>
        <v>250000</v>
      </c>
      <c r="P193" s="36">
        <f>IFERROR(INDEX(Katalog!$F$3:$F$12,MATCH(Data[[#This Row],[ItemID B]],Katalog!$C$3:$C$12,0))*Data[[#This Row],[Qty B]],"0")</f>
        <v>100000</v>
      </c>
      <c r="R193" t="str">
        <f>IFERROR(INDEX(Katalog!$A$3:$A$12,MATCH(Data[[#This Row],[ItemID C]],Katalog!$C$3:$C$12,0)),"-")</f>
        <v>-</v>
      </c>
      <c r="S193" t="str">
        <f>IFERROR(INDEX(Katalog!$B$3:$B$12,MATCH(Data[[#This Row],[ItemID C]],Katalog!$C$3:$C$12,0)),"-")</f>
        <v>-</v>
      </c>
      <c r="V193" s="36" t="str">
        <f>IFERROR(INDEX(Katalog!$D$3:$D$12,MATCH(Data[[#This Row],[ItemID C]],Katalog!$C$3:$C$12,0))*Data[[#This Row],[Qty C]],"0")</f>
        <v>0</v>
      </c>
      <c r="W193" s="36" t="str">
        <f>IFERROR(INDEX(Katalog!$F$3:$F$12,MATCH(Data[[#This Row],[ItemID C]],Katalog!$C$3:$C$12,0))*Data[[#This Row],[Qty C]],"0")</f>
        <v>0</v>
      </c>
      <c r="X193" s="21">
        <f>Data[[#This Row],[Qty A]]+Data[[#This Row],[Qty B]]+Data[[#This Row],[Qty C]]</f>
        <v>2</v>
      </c>
      <c r="Y193" s="22">
        <f>Data[[#This Row],[Harga Barang A]]+Data[[#This Row],[Harga Barang B]]+Data[[#This Row],[Harga Barang C]]</f>
        <v>550000</v>
      </c>
      <c r="Z193" s="35">
        <f>IFERROR(Data[[#This Row],[Total Harga]]-(Data[[#This Row],[Total Harga]]*Data[[#This Row],[Diskon]]),Data[[#This Row],[Total Harga]])</f>
        <v>467500</v>
      </c>
      <c r="AA193" s="35">
        <f>(Data[[#This Row],[Profit A]]+Data[[#This Row],[Profit B]]+Data[[#This Row],[Profit C]])</f>
        <v>200000</v>
      </c>
      <c r="AB193" s="35">
        <f>IFERROR((Data[[#This Row],[Profit non Diskon]]-(Data[[#This Row],[Profit non Diskon]]*Data[[#This Row],[Diskon]])),Data[[#This Row],[Profit non Diskon]])</f>
        <v>170000</v>
      </c>
      <c r="AC193" s="23" t="s">
        <v>28</v>
      </c>
      <c r="AD193" s="37">
        <f>IFERROR(INDEX('Kode Diskon'!$D$3:$D$9,MATCH(Data[[#This Row],[Kode diskon]],'Kode Diskon'!$C$3:$C$9,0)),"-")</f>
        <v>0.15</v>
      </c>
      <c r="AE193" s="23" t="s">
        <v>29</v>
      </c>
      <c r="AF193" s="23" t="s">
        <v>14</v>
      </c>
      <c r="AG193" s="23" t="s">
        <v>80</v>
      </c>
      <c r="AH193" s="24">
        <v>45021</v>
      </c>
      <c r="AI193" s="23" t="str">
        <f>TEXT(Data[[#This Row],[Tanggal terjual]],"dddd")</f>
        <v>Wednesday</v>
      </c>
      <c r="AJ193" s="21" t="str">
        <f>TEXT(Data[[#This Row],[Tanggal terjual]],"wwww")</f>
        <v>wwww</v>
      </c>
    </row>
    <row r="194" spans="1:36" x14ac:dyDescent="0.2">
      <c r="A194" s="20">
        <v>193</v>
      </c>
      <c r="B194" s="21" t="str">
        <f>_xlfn.CONCAT("ORD-",INDEX(Helper!$B$2:$B$5,MATCH(Data[[#This Row],[Marketplace]],Helper!$A$2:$A$5,0)),TEXT(Data[[#This Row],[No]],"0000"),"-",TEXT(Data[[#This Row],[Tanggal terjual]],"dd/mm/yy"))</f>
        <v>ORD-TK0193-01/04/23</v>
      </c>
      <c r="C194" t="s">
        <v>62</v>
      </c>
      <c r="D194" t="str">
        <f>IFERROR(INDEX(Katalog!$A$3:$A$12,MATCH(Data[[#This Row],[ItemID A]],Katalog!$C$3:$C$12,0)),"-")</f>
        <v>Pakaian Pria</v>
      </c>
      <c r="E194" t="str">
        <f>IFERROR(INDEX(Katalog!$B$3:$B$12,MATCH(Data[[#This Row],[ItemID A]],Katalog!$C$3:$C$12,0)),"-")</f>
        <v>Celana Pendek</v>
      </c>
      <c r="F194">
        <v>4</v>
      </c>
      <c r="G194">
        <v>5</v>
      </c>
      <c r="H194" s="36">
        <f>IFERROR(INDEX(Katalog!$D$3:$D$12,MATCH(Data[[#This Row],[ItemID A]],Katalog!$C$3:$C$12,0))*Data[[#This Row],[Qty A]],"0")</f>
        <v>720000</v>
      </c>
      <c r="I194" s="36">
        <f>IFERROR(INDEX(Katalog!$F$3:$F$12,MATCH(Data[[#This Row],[ItemID A]],Katalog!$C$3:$C$12,0))*Data[[#This Row],[Qty A]],0)</f>
        <v>280000</v>
      </c>
      <c r="J194" t="s">
        <v>66</v>
      </c>
      <c r="K194" t="str">
        <f>IFERROR(INDEX(Katalog!$A$3:$A$12,MATCH(Data[[#This Row],[ItemID B]],Katalog!$C$3:$C$12,0)),"-")</f>
        <v>Sepatu Pria</v>
      </c>
      <c r="L194" t="str">
        <f>IFERROR(INDEX(Katalog!$B$3:$B$12,MATCH(Data[[#This Row],[ItemID B]],Katalog!$C$3:$C$12,0)),"-")</f>
        <v>Sandal Slip On</v>
      </c>
      <c r="M194">
        <v>2</v>
      </c>
      <c r="N194">
        <v>3</v>
      </c>
      <c r="O194" s="36">
        <f>IFERROR(INDEX(Katalog!$D$3:$D$12,MATCH(Data[[#This Row],[ItemID B]],Katalog!$C$3:$C$12,0))*Data[[#This Row],[Qty B]],"0")</f>
        <v>300000</v>
      </c>
      <c r="P194" s="36">
        <f>IFERROR(INDEX(Katalog!$F$3:$F$12,MATCH(Data[[#This Row],[ItemID B]],Katalog!$C$3:$C$12,0))*Data[[#This Row],[Qty B]],"0")</f>
        <v>120000</v>
      </c>
      <c r="Q194" t="s">
        <v>58</v>
      </c>
      <c r="R194" t="str">
        <f>IFERROR(INDEX(Katalog!$A$3:$A$12,MATCH(Data[[#This Row],[ItemID C]],Katalog!$C$3:$C$12,0)),"-")</f>
        <v>Pakaian Wanita</v>
      </c>
      <c r="S194" t="str">
        <f>IFERROR(INDEX(Katalog!$B$3:$B$12,MATCH(Data[[#This Row],[ItemID C]],Katalog!$C$3:$C$12,0)),"-")</f>
        <v>Dress</v>
      </c>
      <c r="T194">
        <v>1</v>
      </c>
      <c r="U194">
        <v>1</v>
      </c>
      <c r="V194" s="36">
        <f>IFERROR(INDEX(Katalog!$D$3:$D$12,MATCH(Data[[#This Row],[ItemID C]],Katalog!$C$3:$C$12,0))*Data[[#This Row],[Qty C]],"0")</f>
        <v>300000</v>
      </c>
      <c r="W194" s="36">
        <f>IFERROR(INDEX(Katalog!$F$3:$F$12,MATCH(Data[[#This Row],[ItemID C]],Katalog!$C$3:$C$12,0))*Data[[#This Row],[Qty C]],"0")</f>
        <v>100000</v>
      </c>
      <c r="X194" s="21">
        <f>Data[[#This Row],[Qty A]]+Data[[#This Row],[Qty B]]+Data[[#This Row],[Qty C]]</f>
        <v>7</v>
      </c>
      <c r="Y194" s="22">
        <f>Data[[#This Row],[Harga Barang A]]+Data[[#This Row],[Harga Barang B]]+Data[[#This Row],[Harga Barang C]]</f>
        <v>1320000</v>
      </c>
      <c r="Z194" s="35">
        <f>IFERROR(Data[[#This Row],[Total Harga]]-(Data[[#This Row],[Total Harga]]*Data[[#This Row],[Diskon]]),Data[[#This Row],[Total Harga]])</f>
        <v>1188000</v>
      </c>
      <c r="AA194" s="35">
        <f>(Data[[#This Row],[Profit A]]+Data[[#This Row],[Profit B]]+Data[[#This Row],[Profit C]])</f>
        <v>500000</v>
      </c>
      <c r="AB194" s="35">
        <f>IFERROR((Data[[#This Row],[Profit non Diskon]]-(Data[[#This Row],[Profit non Diskon]]*Data[[#This Row],[Diskon]])),Data[[#This Row],[Profit non Diskon]])</f>
        <v>450000</v>
      </c>
      <c r="AC194" s="23" t="s">
        <v>30</v>
      </c>
      <c r="AD194" s="37">
        <f>IFERROR(INDEX('Kode Diskon'!$D$3:$D$9,MATCH(Data[[#This Row],[Kode diskon]],'Kode Diskon'!$C$3:$C$9,0)),"-")</f>
        <v>0.1</v>
      </c>
      <c r="AE194" s="23" t="s">
        <v>29</v>
      </c>
      <c r="AF194" s="23" t="s">
        <v>10</v>
      </c>
      <c r="AG194" s="23" t="s">
        <v>79</v>
      </c>
      <c r="AH194" s="24">
        <v>45017</v>
      </c>
      <c r="AI194" s="23" t="str">
        <f>TEXT(Data[[#This Row],[Tanggal terjual]],"dddd")</f>
        <v>Saturday</v>
      </c>
      <c r="AJ194" s="21" t="str">
        <f>TEXT(Data[[#This Row],[Tanggal terjual]],"wwww")</f>
        <v>wwww</v>
      </c>
    </row>
    <row r="195" spans="1:36" x14ac:dyDescent="0.2">
      <c r="A195" s="20">
        <v>194</v>
      </c>
      <c r="B195" s="21" t="str">
        <f>_xlfn.CONCAT("ORD-",INDEX(Helper!$B$2:$B$5,MATCH(Data[[#This Row],[Marketplace]],Helper!$A$2:$A$5,0)),TEXT(Data[[#This Row],[No]],"0000"),"-",TEXT(Data[[#This Row],[Tanggal terjual]],"dd/mm/yy"))</f>
        <v>ORD-SP0194-06/04/23</v>
      </c>
      <c r="C195" t="s">
        <v>59</v>
      </c>
      <c r="D195" t="str">
        <f>IFERROR(INDEX(Katalog!$A$3:$A$12,MATCH(Data[[#This Row],[ItemID A]],Katalog!$C$3:$C$12,0)),"-")</f>
        <v>Pakaian Wanita</v>
      </c>
      <c r="E195" t="str">
        <f>IFERROR(INDEX(Katalog!$B$3:$B$12,MATCH(Data[[#This Row],[ItemID A]],Katalog!$C$3:$C$12,0)),"-")</f>
        <v>Blouse</v>
      </c>
      <c r="F195">
        <v>1</v>
      </c>
      <c r="G195">
        <v>3</v>
      </c>
      <c r="H195" s="36">
        <f>IFERROR(INDEX(Katalog!$D$3:$D$12,MATCH(Data[[#This Row],[ItemID A]],Katalog!$C$3:$C$12,0))*Data[[#This Row],[Qty A]],"0")</f>
        <v>150000</v>
      </c>
      <c r="I195" s="36">
        <f>IFERROR(INDEX(Katalog!$F$3:$F$12,MATCH(Data[[#This Row],[ItemID A]],Katalog!$C$3:$C$12,0))*Data[[#This Row],[Qty A]],0)</f>
        <v>50000</v>
      </c>
      <c r="K195" t="str">
        <f>IFERROR(INDEX(Katalog!$A$3:$A$12,MATCH(Data[[#This Row],[ItemID B]],Katalog!$C$3:$C$12,0)),"-")</f>
        <v>-</v>
      </c>
      <c r="L195" t="str">
        <f>IFERROR(INDEX(Katalog!$B$3:$B$12,MATCH(Data[[#This Row],[ItemID B]],Katalog!$C$3:$C$12,0)),"-")</f>
        <v>-</v>
      </c>
      <c r="O195" s="36" t="str">
        <f>IFERROR(INDEX(Katalog!$D$3:$D$12,MATCH(Data[[#This Row],[ItemID B]],Katalog!$C$3:$C$12,0))*Data[[#This Row],[Qty B]],"0")</f>
        <v>0</v>
      </c>
      <c r="P195" s="36" t="str">
        <f>IFERROR(INDEX(Katalog!$F$3:$F$12,MATCH(Data[[#This Row],[ItemID B]],Katalog!$C$3:$C$12,0))*Data[[#This Row],[Qty B]],"0")</f>
        <v>0</v>
      </c>
      <c r="R195" t="str">
        <f>IFERROR(INDEX(Katalog!$A$3:$A$12,MATCH(Data[[#This Row],[ItemID C]],Katalog!$C$3:$C$12,0)),"-")</f>
        <v>-</v>
      </c>
      <c r="S195" t="str">
        <f>IFERROR(INDEX(Katalog!$B$3:$B$12,MATCH(Data[[#This Row],[ItemID C]],Katalog!$C$3:$C$12,0)),"-")</f>
        <v>-</v>
      </c>
      <c r="V195" s="36" t="str">
        <f>IFERROR(INDEX(Katalog!$D$3:$D$12,MATCH(Data[[#This Row],[ItemID C]],Katalog!$C$3:$C$12,0))*Data[[#This Row],[Qty C]],"0")</f>
        <v>0</v>
      </c>
      <c r="W195" s="36" t="str">
        <f>IFERROR(INDEX(Katalog!$F$3:$F$12,MATCH(Data[[#This Row],[ItemID C]],Katalog!$C$3:$C$12,0))*Data[[#This Row],[Qty C]],"0")</f>
        <v>0</v>
      </c>
      <c r="X195" s="21">
        <f>Data[[#This Row],[Qty A]]+Data[[#This Row],[Qty B]]+Data[[#This Row],[Qty C]]</f>
        <v>1</v>
      </c>
      <c r="Y195" s="22">
        <f>Data[[#This Row],[Harga Barang A]]+Data[[#This Row],[Harga Barang B]]+Data[[#This Row],[Harga Barang C]]</f>
        <v>150000</v>
      </c>
      <c r="Z195" s="35">
        <f>IFERROR(Data[[#This Row],[Total Harga]]-(Data[[#This Row],[Total Harga]]*Data[[#This Row],[Diskon]]),Data[[#This Row],[Total Harga]])</f>
        <v>135000</v>
      </c>
      <c r="AA195" s="35">
        <f>(Data[[#This Row],[Profit A]]+Data[[#This Row],[Profit B]]+Data[[#This Row],[Profit C]])</f>
        <v>50000</v>
      </c>
      <c r="AB195" s="35">
        <f>IFERROR((Data[[#This Row],[Profit non Diskon]]-(Data[[#This Row],[Profit non Diskon]]*Data[[#This Row],[Diskon]])),Data[[#This Row],[Profit non Diskon]])</f>
        <v>45000</v>
      </c>
      <c r="AC195" s="23" t="s">
        <v>6</v>
      </c>
      <c r="AD195" s="37">
        <f>IFERROR(INDEX('Kode Diskon'!$D$3:$D$9,MATCH(Data[[#This Row],[Kode diskon]],'Kode Diskon'!$C$3:$C$9,0)),"-")</f>
        <v>0.1</v>
      </c>
      <c r="AE195" s="23" t="s">
        <v>29</v>
      </c>
      <c r="AF195" s="23" t="s">
        <v>7</v>
      </c>
      <c r="AG195" s="23" t="s">
        <v>80</v>
      </c>
      <c r="AH195" s="24">
        <v>45022</v>
      </c>
      <c r="AI195" s="23" t="str">
        <f>TEXT(Data[[#This Row],[Tanggal terjual]],"dddd")</f>
        <v>Thursday</v>
      </c>
      <c r="AJ195" s="21" t="str">
        <f>TEXT(Data[[#This Row],[Tanggal terjual]],"wwww")</f>
        <v>wwww</v>
      </c>
    </row>
    <row r="196" spans="1:36" x14ac:dyDescent="0.2">
      <c r="A196" s="20">
        <v>195</v>
      </c>
      <c r="B196" s="21" t="str">
        <f>_xlfn.CONCAT("ORD-",INDEX(Helper!$B$2:$B$5,MATCH(Data[[#This Row],[Marketplace]],Helper!$A$2:$A$5,0)),TEXT(Data[[#This Row],[No]],"0000"),"-",TEXT(Data[[#This Row],[Tanggal terjual]],"dd/mm/yy"))</f>
        <v>ORD-SP0195-01/04/23</v>
      </c>
      <c r="C196" t="s">
        <v>67</v>
      </c>
      <c r="D196" t="str">
        <f>IFERROR(INDEX(Katalog!$A$3:$A$12,MATCH(Data[[#This Row],[ItemID A]],Katalog!$C$3:$C$12,0)),"-")</f>
        <v>Sepatu Wanita</v>
      </c>
      <c r="E196" t="str">
        <f>IFERROR(INDEX(Katalog!$B$3:$B$12,MATCH(Data[[#This Row],[ItemID A]],Katalog!$C$3:$C$12,0)),"-")</f>
        <v>Flat Shoes</v>
      </c>
      <c r="F196">
        <v>2</v>
      </c>
      <c r="G196">
        <v>5</v>
      </c>
      <c r="H196" s="36">
        <f>IFERROR(INDEX(Katalog!$D$3:$D$12,MATCH(Data[[#This Row],[ItemID A]],Katalog!$C$3:$C$12,0))*Data[[#This Row],[Qty A]],"0")</f>
        <v>500000</v>
      </c>
      <c r="I196" s="36">
        <f>IFERROR(INDEX(Katalog!$F$3:$F$12,MATCH(Data[[#This Row],[ItemID A]],Katalog!$C$3:$C$12,0))*Data[[#This Row],[Qty A]],0)</f>
        <v>200000</v>
      </c>
      <c r="J196" t="s">
        <v>58</v>
      </c>
      <c r="K196" t="str">
        <f>IFERROR(INDEX(Katalog!$A$3:$A$12,MATCH(Data[[#This Row],[ItemID B]],Katalog!$C$3:$C$12,0)),"-")</f>
        <v>Pakaian Wanita</v>
      </c>
      <c r="L196" t="str">
        <f>IFERROR(INDEX(Katalog!$B$3:$B$12,MATCH(Data[[#This Row],[ItemID B]],Katalog!$C$3:$C$12,0)),"-")</f>
        <v>Dress</v>
      </c>
      <c r="M196">
        <v>2</v>
      </c>
      <c r="N196">
        <v>1</v>
      </c>
      <c r="O196" s="36">
        <f>IFERROR(INDEX(Katalog!$D$3:$D$12,MATCH(Data[[#This Row],[ItemID B]],Katalog!$C$3:$C$12,0))*Data[[#This Row],[Qty B]],"0")</f>
        <v>600000</v>
      </c>
      <c r="P196" s="36">
        <f>IFERROR(INDEX(Katalog!$F$3:$F$12,MATCH(Data[[#This Row],[ItemID B]],Katalog!$C$3:$C$12,0))*Data[[#This Row],[Qty B]],"0")</f>
        <v>200000</v>
      </c>
      <c r="Q196" t="s">
        <v>63</v>
      </c>
      <c r="R196" t="str">
        <f>IFERROR(INDEX(Katalog!$A$3:$A$12,MATCH(Data[[#This Row],[ItemID C]],Katalog!$C$3:$C$12,0)),"-")</f>
        <v>Pakaian Pria</v>
      </c>
      <c r="S196" t="str">
        <f>IFERROR(INDEX(Katalog!$B$3:$B$12,MATCH(Data[[#This Row],[ItemID C]],Katalog!$C$3:$C$12,0)),"-")</f>
        <v>Jaket Jeans</v>
      </c>
      <c r="T196">
        <v>2</v>
      </c>
      <c r="U196">
        <v>2</v>
      </c>
      <c r="V196" s="36">
        <f>IFERROR(INDEX(Katalog!$D$3:$D$12,MATCH(Data[[#This Row],[ItemID C]],Katalog!$C$3:$C$12,0))*Data[[#This Row],[Qty C]],"0")</f>
        <v>800000</v>
      </c>
      <c r="W196" s="36">
        <f>IFERROR(INDEX(Katalog!$F$3:$F$12,MATCH(Data[[#This Row],[ItemID C]],Katalog!$C$3:$C$12,0))*Data[[#This Row],[Qty C]],"0")</f>
        <v>300000</v>
      </c>
      <c r="X196" s="21">
        <f>Data[[#This Row],[Qty A]]+Data[[#This Row],[Qty B]]+Data[[#This Row],[Qty C]]</f>
        <v>6</v>
      </c>
      <c r="Y196" s="22">
        <f>Data[[#This Row],[Harga Barang A]]+Data[[#This Row],[Harga Barang B]]+Data[[#This Row],[Harga Barang C]]</f>
        <v>1900000</v>
      </c>
      <c r="Z196" s="35">
        <f>IFERROR(Data[[#This Row],[Total Harga]]-(Data[[#This Row],[Total Harga]]*Data[[#This Row],[Diskon]]),Data[[#This Row],[Total Harga]])</f>
        <v>1615000</v>
      </c>
      <c r="AA196" s="35">
        <f>(Data[[#This Row],[Profit A]]+Data[[#This Row],[Profit B]]+Data[[#This Row],[Profit C]])</f>
        <v>700000</v>
      </c>
      <c r="AB196" s="35">
        <f>IFERROR((Data[[#This Row],[Profit non Diskon]]-(Data[[#This Row],[Profit non Diskon]]*Data[[#This Row],[Diskon]])),Data[[#This Row],[Profit non Diskon]])</f>
        <v>595000</v>
      </c>
      <c r="AC196" s="23" t="s">
        <v>13</v>
      </c>
      <c r="AD196" s="37">
        <f>IFERROR(INDEX('Kode Diskon'!$D$3:$D$9,MATCH(Data[[#This Row],[Kode diskon]],'Kode Diskon'!$C$3:$C$9,0)),"-")</f>
        <v>0.15</v>
      </c>
      <c r="AE196" s="23" t="s">
        <v>29</v>
      </c>
      <c r="AF196" s="23" t="s">
        <v>7</v>
      </c>
      <c r="AG196" s="23" t="s">
        <v>75</v>
      </c>
      <c r="AH196" s="24">
        <v>45017</v>
      </c>
      <c r="AI196" s="23" t="str">
        <f>TEXT(Data[[#This Row],[Tanggal terjual]],"dddd")</f>
        <v>Saturday</v>
      </c>
      <c r="AJ196" s="21" t="str">
        <f>TEXT(Data[[#This Row],[Tanggal terjual]],"wwww")</f>
        <v>wwww</v>
      </c>
    </row>
    <row r="197" spans="1:36" x14ac:dyDescent="0.2">
      <c r="A197" s="20">
        <v>196</v>
      </c>
      <c r="B197" s="21" t="str">
        <f>_xlfn.CONCAT("ORD-",INDEX(Helper!$B$2:$B$5,MATCH(Data[[#This Row],[Marketplace]],Helper!$A$2:$A$5,0)),TEXT(Data[[#This Row],[No]],"0000"),"-",TEXT(Data[[#This Row],[Tanggal terjual]],"dd/mm/yy"))</f>
        <v>ORD-BB0196-02/04/23</v>
      </c>
      <c r="C197" t="s">
        <v>65</v>
      </c>
      <c r="D197" t="str">
        <f>IFERROR(INDEX(Katalog!$A$3:$A$12,MATCH(Data[[#This Row],[ItemID A]],Katalog!$C$3:$C$12,0)),"-")</f>
        <v>Sepatu Pria</v>
      </c>
      <c r="E197" t="str">
        <f>IFERROR(INDEX(Katalog!$B$3:$B$12,MATCH(Data[[#This Row],[ItemID A]],Katalog!$C$3:$C$12,0)),"-")</f>
        <v>Sneakers</v>
      </c>
      <c r="F197">
        <v>6</v>
      </c>
      <c r="G197">
        <v>4</v>
      </c>
      <c r="H197" s="36">
        <f>IFERROR(INDEX(Katalog!$D$3:$D$12,MATCH(Data[[#This Row],[ItemID A]],Katalog!$C$3:$C$12,0))*Data[[#This Row],[Qty A]],"0")</f>
        <v>3000000</v>
      </c>
      <c r="I197" s="36">
        <f>IFERROR(INDEX(Katalog!$F$3:$F$12,MATCH(Data[[#This Row],[ItemID A]],Katalog!$C$3:$C$12,0))*Data[[#This Row],[Qty A]],0)</f>
        <v>1200000</v>
      </c>
      <c r="J197" t="s">
        <v>61</v>
      </c>
      <c r="K197" t="str">
        <f>IFERROR(INDEX(Katalog!$A$3:$A$12,MATCH(Data[[#This Row],[ItemID B]],Katalog!$C$3:$C$12,0)),"-")</f>
        <v>Pakaian Pria</v>
      </c>
      <c r="L197" t="str">
        <f>IFERROR(INDEX(Katalog!$B$3:$B$12,MATCH(Data[[#This Row],[ItemID B]],Katalog!$C$3:$C$12,0)),"-")</f>
        <v>Kaos Polo</v>
      </c>
      <c r="M197">
        <v>1</v>
      </c>
      <c r="N197">
        <v>4</v>
      </c>
      <c r="O197" s="36">
        <f>IFERROR(INDEX(Katalog!$D$3:$D$12,MATCH(Data[[#This Row],[ItemID B]],Katalog!$C$3:$C$12,0))*Data[[#This Row],[Qty B]],"0")</f>
        <v>200000</v>
      </c>
      <c r="P197" s="36">
        <f>IFERROR(INDEX(Katalog!$F$3:$F$12,MATCH(Data[[#This Row],[ItemID B]],Katalog!$C$3:$C$12,0))*Data[[#This Row],[Qty B]],"0")</f>
        <v>80000</v>
      </c>
      <c r="R197" t="str">
        <f>IFERROR(INDEX(Katalog!$A$3:$A$12,MATCH(Data[[#This Row],[ItemID C]],Katalog!$C$3:$C$12,0)),"-")</f>
        <v>-</v>
      </c>
      <c r="S197" t="str">
        <f>IFERROR(INDEX(Katalog!$B$3:$B$12,MATCH(Data[[#This Row],[ItemID C]],Katalog!$C$3:$C$12,0)),"-")</f>
        <v>-</v>
      </c>
      <c r="V197" s="36" t="str">
        <f>IFERROR(INDEX(Katalog!$D$3:$D$12,MATCH(Data[[#This Row],[ItemID C]],Katalog!$C$3:$C$12,0))*Data[[#This Row],[Qty C]],"0")</f>
        <v>0</v>
      </c>
      <c r="W197" s="36" t="str">
        <f>IFERROR(INDEX(Katalog!$F$3:$F$12,MATCH(Data[[#This Row],[ItemID C]],Katalog!$C$3:$C$12,0))*Data[[#This Row],[Qty C]],"0")</f>
        <v>0</v>
      </c>
      <c r="X197" s="21">
        <f>Data[[#This Row],[Qty A]]+Data[[#This Row],[Qty B]]+Data[[#This Row],[Qty C]]</f>
        <v>7</v>
      </c>
      <c r="Y197" s="22">
        <f>Data[[#This Row],[Harga Barang A]]+Data[[#This Row],[Harga Barang B]]+Data[[#This Row],[Harga Barang C]]</f>
        <v>3200000</v>
      </c>
      <c r="Z197" s="35">
        <f>IFERROR(Data[[#This Row],[Total Harga]]-(Data[[#This Row],[Total Harga]]*Data[[#This Row],[Diskon]]),Data[[#This Row],[Total Harga]])</f>
        <v>2720000</v>
      </c>
      <c r="AA197" s="35">
        <f>(Data[[#This Row],[Profit A]]+Data[[#This Row],[Profit B]]+Data[[#This Row],[Profit C]])</f>
        <v>1280000</v>
      </c>
      <c r="AB197" s="35">
        <f>IFERROR((Data[[#This Row],[Profit non Diskon]]-(Data[[#This Row],[Profit non Diskon]]*Data[[#This Row],[Diskon]])),Data[[#This Row],[Profit non Diskon]])</f>
        <v>1088000</v>
      </c>
      <c r="AC197" s="23" t="s">
        <v>28</v>
      </c>
      <c r="AD197" s="37">
        <f>IFERROR(INDEX('Kode Diskon'!$D$3:$D$9,MATCH(Data[[#This Row],[Kode diskon]],'Kode Diskon'!$C$3:$C$9,0)),"-")</f>
        <v>0.15</v>
      </c>
      <c r="AE197" s="23" t="s">
        <v>29</v>
      </c>
      <c r="AF197" s="23" t="s">
        <v>14</v>
      </c>
      <c r="AG197" s="23" t="s">
        <v>80</v>
      </c>
      <c r="AH197" s="24">
        <v>45018</v>
      </c>
      <c r="AI197" s="23" t="str">
        <f>TEXT(Data[[#This Row],[Tanggal terjual]],"dddd")</f>
        <v>Sunday</v>
      </c>
      <c r="AJ197" s="21" t="str">
        <f>TEXT(Data[[#This Row],[Tanggal terjual]],"wwww")</f>
        <v>wwww</v>
      </c>
    </row>
    <row r="198" spans="1:36" x14ac:dyDescent="0.2">
      <c r="A198" s="20">
        <v>197</v>
      </c>
      <c r="B198" s="21" t="str">
        <f>_xlfn.CONCAT("ORD-",INDEX(Helper!$B$2:$B$5,MATCH(Data[[#This Row],[Marketplace]],Helper!$A$2:$A$5,0)),TEXT(Data[[#This Row],[No]],"0000"),"-",TEXT(Data[[#This Row],[Tanggal terjual]],"dd/mm/yy"))</f>
        <v>ORD-SP0197-02/04/23</v>
      </c>
      <c r="C198" t="s">
        <v>66</v>
      </c>
      <c r="D198" t="str">
        <f>IFERROR(INDEX(Katalog!$A$3:$A$12,MATCH(Data[[#This Row],[ItemID A]],Katalog!$C$3:$C$12,0)),"-")</f>
        <v>Sepatu Pria</v>
      </c>
      <c r="E198" t="str">
        <f>IFERROR(INDEX(Katalog!$B$3:$B$12,MATCH(Data[[#This Row],[ItemID A]],Katalog!$C$3:$C$12,0)),"-")</f>
        <v>Sandal Slip On</v>
      </c>
      <c r="F198">
        <v>4</v>
      </c>
      <c r="G198">
        <v>2</v>
      </c>
      <c r="H198" s="36">
        <f>IFERROR(INDEX(Katalog!$D$3:$D$12,MATCH(Data[[#This Row],[ItemID A]],Katalog!$C$3:$C$12,0))*Data[[#This Row],[Qty A]],"0")</f>
        <v>600000</v>
      </c>
      <c r="I198" s="36">
        <f>IFERROR(INDEX(Katalog!$F$3:$F$12,MATCH(Data[[#This Row],[ItemID A]],Katalog!$C$3:$C$12,0))*Data[[#This Row],[Qty A]],0)</f>
        <v>240000</v>
      </c>
      <c r="J198" t="s">
        <v>60</v>
      </c>
      <c r="K198" t="str">
        <f>IFERROR(INDEX(Katalog!$A$3:$A$12,MATCH(Data[[#This Row],[ItemID B]],Katalog!$C$3:$C$12,0)),"-")</f>
        <v>Pakaian Wanita</v>
      </c>
      <c r="L198" t="str">
        <f>IFERROR(INDEX(Katalog!$B$3:$B$12,MATCH(Data[[#This Row],[ItemID B]],Katalog!$C$3:$C$12,0)),"-")</f>
        <v>Kaftan</v>
      </c>
      <c r="M198">
        <v>1</v>
      </c>
      <c r="N198">
        <v>5</v>
      </c>
      <c r="O198" s="36">
        <f>IFERROR(INDEX(Katalog!$D$3:$D$12,MATCH(Data[[#This Row],[ItemID B]],Katalog!$C$3:$C$12,0))*Data[[#This Row],[Qty B]],"0")</f>
        <v>250000</v>
      </c>
      <c r="P198" s="36">
        <f>IFERROR(INDEX(Katalog!$F$3:$F$12,MATCH(Data[[#This Row],[ItemID B]],Katalog!$C$3:$C$12,0))*Data[[#This Row],[Qty B]],"0")</f>
        <v>100000</v>
      </c>
      <c r="Q198" t="s">
        <v>65</v>
      </c>
      <c r="R198" t="str">
        <f>IFERROR(INDEX(Katalog!$A$3:$A$12,MATCH(Data[[#This Row],[ItemID C]],Katalog!$C$3:$C$12,0)),"-")</f>
        <v>Sepatu Pria</v>
      </c>
      <c r="S198" t="str">
        <f>IFERROR(INDEX(Katalog!$B$3:$B$12,MATCH(Data[[#This Row],[ItemID C]],Katalog!$C$3:$C$12,0)),"-")</f>
        <v>Sneakers</v>
      </c>
      <c r="T198">
        <v>1</v>
      </c>
      <c r="U198">
        <v>5</v>
      </c>
      <c r="V198" s="36">
        <f>IFERROR(INDEX(Katalog!$D$3:$D$12,MATCH(Data[[#This Row],[ItemID C]],Katalog!$C$3:$C$12,0))*Data[[#This Row],[Qty C]],"0")</f>
        <v>500000</v>
      </c>
      <c r="W198" s="36">
        <f>IFERROR(INDEX(Katalog!$F$3:$F$12,MATCH(Data[[#This Row],[ItemID C]],Katalog!$C$3:$C$12,0))*Data[[#This Row],[Qty C]],"0")</f>
        <v>200000</v>
      </c>
      <c r="X198" s="21">
        <f>Data[[#This Row],[Qty A]]+Data[[#This Row],[Qty B]]+Data[[#This Row],[Qty C]]</f>
        <v>6</v>
      </c>
      <c r="Y198" s="22">
        <f>Data[[#This Row],[Harga Barang A]]+Data[[#This Row],[Harga Barang B]]+Data[[#This Row],[Harga Barang C]]</f>
        <v>1350000</v>
      </c>
      <c r="Z198" s="35">
        <f>IFERROR(Data[[#This Row],[Total Harga]]-(Data[[#This Row],[Total Harga]]*Data[[#This Row],[Diskon]]),Data[[#This Row],[Total Harga]])</f>
        <v>1147500</v>
      </c>
      <c r="AA198" s="35">
        <f>(Data[[#This Row],[Profit A]]+Data[[#This Row],[Profit B]]+Data[[#This Row],[Profit C]])</f>
        <v>540000</v>
      </c>
      <c r="AB198" s="35">
        <f>IFERROR((Data[[#This Row],[Profit non Diskon]]-(Data[[#This Row],[Profit non Diskon]]*Data[[#This Row],[Diskon]])),Data[[#This Row],[Profit non Diskon]])</f>
        <v>459000</v>
      </c>
      <c r="AC198" s="23" t="s">
        <v>13</v>
      </c>
      <c r="AD198" s="37">
        <f>IFERROR(INDEX('Kode Diskon'!$D$3:$D$9,MATCH(Data[[#This Row],[Kode diskon]],'Kode Diskon'!$C$3:$C$9,0)),"-")</f>
        <v>0.15</v>
      </c>
      <c r="AE198" s="23" t="s">
        <v>29</v>
      </c>
      <c r="AF198" s="23" t="s">
        <v>7</v>
      </c>
      <c r="AG198" s="23" t="s">
        <v>76</v>
      </c>
      <c r="AH198" s="24">
        <v>45018</v>
      </c>
      <c r="AI198" s="23" t="str">
        <f>TEXT(Data[[#This Row],[Tanggal terjual]],"dddd")</f>
        <v>Sunday</v>
      </c>
      <c r="AJ198" s="21" t="str">
        <f>TEXT(Data[[#This Row],[Tanggal terjual]],"wwww")</f>
        <v>wwww</v>
      </c>
    </row>
    <row r="199" spans="1:36" x14ac:dyDescent="0.2">
      <c r="A199" s="20">
        <v>198</v>
      </c>
      <c r="B199" s="21" t="str">
        <f>_xlfn.CONCAT("ORD-",INDEX(Helper!$B$2:$B$5,MATCH(Data[[#This Row],[Marketplace]],Helper!$A$2:$A$5,0)),TEXT(Data[[#This Row],[No]],"0000"),"-",TEXT(Data[[#This Row],[Tanggal terjual]],"dd/mm/yy"))</f>
        <v>ORD-SP0198-26/04/23</v>
      </c>
      <c r="C199" t="s">
        <v>59</v>
      </c>
      <c r="D199" t="str">
        <f>IFERROR(INDEX(Katalog!$A$3:$A$12,MATCH(Data[[#This Row],[ItemID A]],Katalog!$C$3:$C$12,0)),"-")</f>
        <v>Pakaian Wanita</v>
      </c>
      <c r="E199" t="str">
        <f>IFERROR(INDEX(Katalog!$B$3:$B$12,MATCH(Data[[#This Row],[ItemID A]],Katalog!$C$3:$C$12,0)),"-")</f>
        <v>Blouse</v>
      </c>
      <c r="F199">
        <v>2</v>
      </c>
      <c r="G199">
        <v>1</v>
      </c>
      <c r="H199" s="36">
        <f>IFERROR(INDEX(Katalog!$D$3:$D$12,MATCH(Data[[#This Row],[ItemID A]],Katalog!$C$3:$C$12,0))*Data[[#This Row],[Qty A]],"0")</f>
        <v>300000</v>
      </c>
      <c r="I199" s="36">
        <f>IFERROR(INDEX(Katalog!$F$3:$F$12,MATCH(Data[[#This Row],[ItemID A]],Katalog!$C$3:$C$12,0))*Data[[#This Row],[Qty A]],0)</f>
        <v>100000</v>
      </c>
      <c r="K199" t="str">
        <f>IFERROR(INDEX(Katalog!$A$3:$A$12,MATCH(Data[[#This Row],[ItemID B]],Katalog!$C$3:$C$12,0)),"-")</f>
        <v>-</v>
      </c>
      <c r="L199" t="str">
        <f>IFERROR(INDEX(Katalog!$B$3:$B$12,MATCH(Data[[#This Row],[ItemID B]],Katalog!$C$3:$C$12,0)),"-")</f>
        <v>-</v>
      </c>
      <c r="O199" s="36" t="str">
        <f>IFERROR(INDEX(Katalog!$D$3:$D$12,MATCH(Data[[#This Row],[ItemID B]],Katalog!$C$3:$C$12,0))*Data[[#This Row],[Qty B]],"0")</f>
        <v>0</v>
      </c>
      <c r="P199" s="36" t="str">
        <f>IFERROR(INDEX(Katalog!$F$3:$F$12,MATCH(Data[[#This Row],[ItemID B]],Katalog!$C$3:$C$12,0))*Data[[#This Row],[Qty B]],"0")</f>
        <v>0</v>
      </c>
      <c r="R199" t="str">
        <f>IFERROR(INDEX(Katalog!$A$3:$A$12,MATCH(Data[[#This Row],[ItemID C]],Katalog!$C$3:$C$12,0)),"-")</f>
        <v>-</v>
      </c>
      <c r="S199" t="str">
        <f>IFERROR(INDEX(Katalog!$B$3:$B$12,MATCH(Data[[#This Row],[ItemID C]],Katalog!$C$3:$C$12,0)),"-")</f>
        <v>-</v>
      </c>
      <c r="V199" s="36" t="str">
        <f>IFERROR(INDEX(Katalog!$D$3:$D$12,MATCH(Data[[#This Row],[ItemID C]],Katalog!$C$3:$C$12,0))*Data[[#This Row],[Qty C]],"0")</f>
        <v>0</v>
      </c>
      <c r="W199" s="36" t="str">
        <f>IFERROR(INDEX(Katalog!$F$3:$F$12,MATCH(Data[[#This Row],[ItemID C]],Katalog!$C$3:$C$12,0))*Data[[#This Row],[Qty C]],"0")</f>
        <v>0</v>
      </c>
      <c r="X199" s="21">
        <f>Data[[#This Row],[Qty A]]+Data[[#This Row],[Qty B]]+Data[[#This Row],[Qty C]]</f>
        <v>2</v>
      </c>
      <c r="Y199" s="22">
        <f>Data[[#This Row],[Harga Barang A]]+Data[[#This Row],[Harga Barang B]]+Data[[#This Row],[Harga Barang C]]</f>
        <v>300000</v>
      </c>
      <c r="Z199" s="35">
        <f>IFERROR(Data[[#This Row],[Total Harga]]-(Data[[#This Row],[Total Harga]]*Data[[#This Row],[Diskon]]),Data[[#This Row],[Total Harga]])</f>
        <v>240000</v>
      </c>
      <c r="AA199" s="35">
        <f>(Data[[#This Row],[Profit A]]+Data[[#This Row],[Profit B]]+Data[[#This Row],[Profit C]])</f>
        <v>100000</v>
      </c>
      <c r="AB199" s="35">
        <f>IFERROR((Data[[#This Row],[Profit non Diskon]]-(Data[[#This Row],[Profit non Diskon]]*Data[[#This Row],[Diskon]])),Data[[#This Row],[Profit non Diskon]])</f>
        <v>80000</v>
      </c>
      <c r="AC199" s="23" t="s">
        <v>8</v>
      </c>
      <c r="AD199" s="37">
        <f>IFERROR(INDEX('Kode Diskon'!$D$3:$D$9,MATCH(Data[[#This Row],[Kode diskon]],'Kode Diskon'!$C$3:$C$9,0)),"-")</f>
        <v>0.2</v>
      </c>
      <c r="AE199" s="23" t="s">
        <v>9</v>
      </c>
      <c r="AF199" s="23" t="s">
        <v>7</v>
      </c>
      <c r="AG199" s="23" t="s">
        <v>80</v>
      </c>
      <c r="AH199" s="24">
        <v>45042</v>
      </c>
      <c r="AI199" s="23" t="str">
        <f>TEXT(Data[[#This Row],[Tanggal terjual]],"dddd")</f>
        <v>Wednesday</v>
      </c>
      <c r="AJ199" s="21" t="str">
        <f>TEXT(Data[[#This Row],[Tanggal terjual]],"wwww")</f>
        <v>wwww</v>
      </c>
    </row>
    <row r="200" spans="1:36" x14ac:dyDescent="0.2">
      <c r="A200" s="20">
        <v>199</v>
      </c>
      <c r="B200" s="21" t="str">
        <f>_xlfn.CONCAT("ORD-",INDEX(Helper!$B$2:$B$5,MATCH(Data[[#This Row],[Marketplace]],Helper!$A$2:$A$5,0)),TEXT(Data[[#This Row],[No]],"0000"),"-",TEXT(Data[[#This Row],[Tanggal terjual]],"dd/mm/yy"))</f>
        <v>ORD-SP0199-05/04/23</v>
      </c>
      <c r="C200" t="s">
        <v>59</v>
      </c>
      <c r="D200" t="str">
        <f>IFERROR(INDEX(Katalog!$A$3:$A$12,MATCH(Data[[#This Row],[ItemID A]],Katalog!$C$3:$C$12,0)),"-")</f>
        <v>Pakaian Wanita</v>
      </c>
      <c r="E200" t="str">
        <f>IFERROR(INDEX(Katalog!$B$3:$B$12,MATCH(Data[[#This Row],[ItemID A]],Katalog!$C$3:$C$12,0)),"-")</f>
        <v>Blouse</v>
      </c>
      <c r="F200">
        <v>1</v>
      </c>
      <c r="G200">
        <v>4</v>
      </c>
      <c r="H200" s="36">
        <f>IFERROR(INDEX(Katalog!$D$3:$D$12,MATCH(Data[[#This Row],[ItemID A]],Katalog!$C$3:$C$12,0))*Data[[#This Row],[Qty A]],"0")</f>
        <v>150000</v>
      </c>
      <c r="I200" s="36">
        <f>IFERROR(INDEX(Katalog!$F$3:$F$12,MATCH(Data[[#This Row],[ItemID A]],Katalog!$C$3:$C$12,0))*Data[[#This Row],[Qty A]],0)</f>
        <v>50000</v>
      </c>
      <c r="K200" t="str">
        <f>IFERROR(INDEX(Katalog!$A$3:$A$12,MATCH(Data[[#This Row],[ItemID B]],Katalog!$C$3:$C$12,0)),"-")</f>
        <v>-</v>
      </c>
      <c r="L200" t="str">
        <f>IFERROR(INDEX(Katalog!$B$3:$B$12,MATCH(Data[[#This Row],[ItemID B]],Katalog!$C$3:$C$12,0)),"-")</f>
        <v>-</v>
      </c>
      <c r="O200" s="36" t="str">
        <f>IFERROR(INDEX(Katalog!$D$3:$D$12,MATCH(Data[[#This Row],[ItemID B]],Katalog!$C$3:$C$12,0))*Data[[#This Row],[Qty B]],"0")</f>
        <v>0</v>
      </c>
      <c r="P200" s="36" t="str">
        <f>IFERROR(INDEX(Katalog!$F$3:$F$12,MATCH(Data[[#This Row],[ItemID B]],Katalog!$C$3:$C$12,0))*Data[[#This Row],[Qty B]],"0")</f>
        <v>0</v>
      </c>
      <c r="R200" t="str">
        <f>IFERROR(INDEX(Katalog!$A$3:$A$12,MATCH(Data[[#This Row],[ItemID C]],Katalog!$C$3:$C$12,0)),"-")</f>
        <v>-</v>
      </c>
      <c r="S200" t="str">
        <f>IFERROR(INDEX(Katalog!$B$3:$B$12,MATCH(Data[[#This Row],[ItemID C]],Katalog!$C$3:$C$12,0)),"-")</f>
        <v>-</v>
      </c>
      <c r="V200" s="36" t="str">
        <f>IFERROR(INDEX(Katalog!$D$3:$D$12,MATCH(Data[[#This Row],[ItemID C]],Katalog!$C$3:$C$12,0))*Data[[#This Row],[Qty C]],"0")</f>
        <v>0</v>
      </c>
      <c r="W200" s="36" t="str">
        <f>IFERROR(INDEX(Katalog!$F$3:$F$12,MATCH(Data[[#This Row],[ItemID C]],Katalog!$C$3:$C$12,0))*Data[[#This Row],[Qty C]],"0")</f>
        <v>0</v>
      </c>
      <c r="X200" s="21">
        <f>Data[[#This Row],[Qty A]]+Data[[#This Row],[Qty B]]+Data[[#This Row],[Qty C]]</f>
        <v>1</v>
      </c>
      <c r="Y200" s="22">
        <f>Data[[#This Row],[Harga Barang A]]+Data[[#This Row],[Harga Barang B]]+Data[[#This Row],[Harga Barang C]]</f>
        <v>150000</v>
      </c>
      <c r="Z200" s="35">
        <f>IFERROR(Data[[#This Row],[Total Harga]]-(Data[[#This Row],[Total Harga]]*Data[[#This Row],[Diskon]]),Data[[#This Row],[Total Harga]])</f>
        <v>127500</v>
      </c>
      <c r="AA200" s="35">
        <f>(Data[[#This Row],[Profit A]]+Data[[#This Row],[Profit B]]+Data[[#This Row],[Profit C]])</f>
        <v>50000</v>
      </c>
      <c r="AB200" s="35">
        <f>IFERROR((Data[[#This Row],[Profit non Diskon]]-(Data[[#This Row],[Profit non Diskon]]*Data[[#This Row],[Diskon]])),Data[[#This Row],[Profit non Diskon]])</f>
        <v>42500</v>
      </c>
      <c r="AC200" s="23" t="s">
        <v>13</v>
      </c>
      <c r="AD200" s="37">
        <f>IFERROR(INDEX('Kode Diskon'!$D$3:$D$9,MATCH(Data[[#This Row],[Kode diskon]],'Kode Diskon'!$C$3:$C$9,0)),"-")</f>
        <v>0.15</v>
      </c>
      <c r="AE200" s="23" t="s">
        <v>29</v>
      </c>
      <c r="AF200" s="23" t="s">
        <v>7</v>
      </c>
      <c r="AG200" s="23" t="s">
        <v>79</v>
      </c>
      <c r="AH200" s="24">
        <v>45021</v>
      </c>
      <c r="AI200" s="23" t="str">
        <f>TEXT(Data[[#This Row],[Tanggal terjual]],"dddd")</f>
        <v>Wednesday</v>
      </c>
      <c r="AJ200" s="21" t="str">
        <f>TEXT(Data[[#This Row],[Tanggal terjual]],"wwww")</f>
        <v>wwww</v>
      </c>
    </row>
    <row r="201" spans="1:36" x14ac:dyDescent="0.2">
      <c r="A201" s="20">
        <v>200</v>
      </c>
      <c r="B201" s="21" t="str">
        <f>_xlfn.CONCAT("ORD-",INDEX(Helper!$B$2:$B$5,MATCH(Data[[#This Row],[Marketplace]],Helper!$A$2:$A$5,0)),TEXT(Data[[#This Row],[No]],"0000"),"-",TEXT(Data[[#This Row],[Tanggal terjual]],"dd/mm/yy"))</f>
        <v>ORD-SP0200-26/04/23</v>
      </c>
      <c r="C201" t="s">
        <v>59</v>
      </c>
      <c r="D201" t="str">
        <f>IFERROR(INDEX(Katalog!$A$3:$A$12,MATCH(Data[[#This Row],[ItemID A]],Katalog!$C$3:$C$12,0)),"-")</f>
        <v>Pakaian Wanita</v>
      </c>
      <c r="E201" t="str">
        <f>IFERROR(INDEX(Katalog!$B$3:$B$12,MATCH(Data[[#This Row],[ItemID A]],Katalog!$C$3:$C$12,0)),"-")</f>
        <v>Blouse</v>
      </c>
      <c r="F201">
        <v>1</v>
      </c>
      <c r="G201">
        <v>4</v>
      </c>
      <c r="H201" s="36">
        <f>IFERROR(INDEX(Katalog!$D$3:$D$12,MATCH(Data[[#This Row],[ItemID A]],Katalog!$C$3:$C$12,0))*Data[[#This Row],[Qty A]],"0")</f>
        <v>150000</v>
      </c>
      <c r="I201" s="36">
        <f>IFERROR(INDEX(Katalog!$F$3:$F$12,MATCH(Data[[#This Row],[ItemID A]],Katalog!$C$3:$C$12,0))*Data[[#This Row],[Qty A]],0)</f>
        <v>50000</v>
      </c>
      <c r="J201" t="s">
        <v>64</v>
      </c>
      <c r="K201" t="str">
        <f>IFERROR(INDEX(Katalog!$A$3:$A$12,MATCH(Data[[#This Row],[ItemID B]],Katalog!$C$3:$C$12,0)),"-")</f>
        <v>Pakaian Unisex</v>
      </c>
      <c r="L201" t="str">
        <f>IFERROR(INDEX(Katalog!$B$3:$B$12,MATCH(Data[[#This Row],[ItemID B]],Katalog!$C$3:$C$12,0)),"-")</f>
        <v>Jaket Hoodie</v>
      </c>
      <c r="M201">
        <v>1</v>
      </c>
      <c r="N201">
        <v>4</v>
      </c>
      <c r="O201" s="36">
        <f>IFERROR(INDEX(Katalog!$D$3:$D$12,MATCH(Data[[#This Row],[ItemID B]],Katalog!$C$3:$C$12,0))*Data[[#This Row],[Qty B]],"0")</f>
        <v>350000</v>
      </c>
      <c r="P201" s="36">
        <f>IFERROR(INDEX(Katalog!$F$3:$F$12,MATCH(Data[[#This Row],[ItemID B]],Katalog!$C$3:$C$12,0))*Data[[#This Row],[Qty B]],"0")</f>
        <v>130000</v>
      </c>
      <c r="Q201" t="s">
        <v>65</v>
      </c>
      <c r="R201" t="str">
        <f>IFERROR(INDEX(Katalog!$A$3:$A$12,MATCH(Data[[#This Row],[ItemID C]],Katalog!$C$3:$C$12,0)),"-")</f>
        <v>Sepatu Pria</v>
      </c>
      <c r="S201" t="str">
        <f>IFERROR(INDEX(Katalog!$B$3:$B$12,MATCH(Data[[#This Row],[ItemID C]],Katalog!$C$3:$C$12,0)),"-")</f>
        <v>Sneakers</v>
      </c>
      <c r="T201">
        <v>1</v>
      </c>
      <c r="U201">
        <v>2</v>
      </c>
      <c r="V201" s="36">
        <f>IFERROR(INDEX(Katalog!$D$3:$D$12,MATCH(Data[[#This Row],[ItemID C]],Katalog!$C$3:$C$12,0))*Data[[#This Row],[Qty C]],"0")</f>
        <v>500000</v>
      </c>
      <c r="W201" s="36">
        <f>IFERROR(INDEX(Katalog!$F$3:$F$12,MATCH(Data[[#This Row],[ItemID C]],Katalog!$C$3:$C$12,0))*Data[[#This Row],[Qty C]],"0")</f>
        <v>200000</v>
      </c>
      <c r="X201" s="21">
        <f>Data[[#This Row],[Qty A]]+Data[[#This Row],[Qty B]]+Data[[#This Row],[Qty C]]</f>
        <v>3</v>
      </c>
      <c r="Y201" s="22">
        <f>Data[[#This Row],[Harga Barang A]]+Data[[#This Row],[Harga Barang B]]+Data[[#This Row],[Harga Barang C]]</f>
        <v>1000000</v>
      </c>
      <c r="Z201" s="35">
        <f>IFERROR(Data[[#This Row],[Total Harga]]-(Data[[#This Row],[Total Harga]]*Data[[#This Row],[Diskon]]),Data[[#This Row],[Total Harga]])</f>
        <v>800000</v>
      </c>
      <c r="AA201" s="35">
        <f>(Data[[#This Row],[Profit A]]+Data[[#This Row],[Profit B]]+Data[[#This Row],[Profit C]])</f>
        <v>380000</v>
      </c>
      <c r="AB201" s="35">
        <f>IFERROR((Data[[#This Row],[Profit non Diskon]]-(Data[[#This Row],[Profit non Diskon]]*Data[[#This Row],[Diskon]])),Data[[#This Row],[Profit non Diskon]])</f>
        <v>304000</v>
      </c>
      <c r="AC201" s="23" t="s">
        <v>8</v>
      </c>
      <c r="AD201" s="37">
        <f>IFERROR(INDEX('Kode Diskon'!$D$3:$D$9,MATCH(Data[[#This Row],[Kode diskon]],'Kode Diskon'!$C$3:$C$9,0)),"-")</f>
        <v>0.2</v>
      </c>
      <c r="AE201" s="23" t="s">
        <v>9</v>
      </c>
      <c r="AF201" s="23" t="s">
        <v>7</v>
      </c>
      <c r="AG201" s="23" t="s">
        <v>75</v>
      </c>
      <c r="AH201" s="24">
        <v>45042</v>
      </c>
      <c r="AI201" s="23" t="str">
        <f>TEXT(Data[[#This Row],[Tanggal terjual]],"dddd")</f>
        <v>Wednesday</v>
      </c>
      <c r="AJ201" s="21" t="str">
        <f>TEXT(Data[[#This Row],[Tanggal terjual]],"wwww")</f>
        <v>wwww</v>
      </c>
    </row>
    <row r="202" spans="1:36" x14ac:dyDescent="0.2">
      <c r="A202" s="20">
        <v>201</v>
      </c>
      <c r="B202" s="21" t="str">
        <f>_xlfn.CONCAT("ORD-",INDEX(Helper!$B$2:$B$5,MATCH(Data[[#This Row],[Marketplace]],Helper!$A$2:$A$5,0)),TEXT(Data[[#This Row],[No]],"0000"),"-",TEXT(Data[[#This Row],[Tanggal terjual]],"dd/mm/yy"))</f>
        <v>ORD-TK0201-30/04/23</v>
      </c>
      <c r="C202" t="s">
        <v>63</v>
      </c>
      <c r="D202" t="str">
        <f>IFERROR(INDEX(Katalog!$A$3:$A$12,MATCH(Data[[#This Row],[ItemID A]],Katalog!$C$3:$C$12,0)),"-")</f>
        <v>Pakaian Pria</v>
      </c>
      <c r="E202" t="str">
        <f>IFERROR(INDEX(Katalog!$B$3:$B$12,MATCH(Data[[#This Row],[ItemID A]],Katalog!$C$3:$C$12,0)),"-")</f>
        <v>Jaket Jeans</v>
      </c>
      <c r="F202">
        <v>1</v>
      </c>
      <c r="G202">
        <v>1</v>
      </c>
      <c r="H202" s="36">
        <f>IFERROR(INDEX(Katalog!$D$3:$D$12,MATCH(Data[[#This Row],[ItemID A]],Katalog!$C$3:$C$12,0))*Data[[#This Row],[Qty A]],"0")</f>
        <v>400000</v>
      </c>
      <c r="I202" s="36">
        <f>IFERROR(INDEX(Katalog!$F$3:$F$12,MATCH(Data[[#This Row],[ItemID A]],Katalog!$C$3:$C$12,0))*Data[[#This Row],[Qty A]],0)</f>
        <v>150000</v>
      </c>
      <c r="K202" t="str">
        <f>IFERROR(INDEX(Katalog!$A$3:$A$12,MATCH(Data[[#This Row],[ItemID B]],Katalog!$C$3:$C$12,0)),"-")</f>
        <v>-</v>
      </c>
      <c r="L202" t="str">
        <f>IFERROR(INDEX(Katalog!$B$3:$B$12,MATCH(Data[[#This Row],[ItemID B]],Katalog!$C$3:$C$12,0)),"-")</f>
        <v>-</v>
      </c>
      <c r="O202" s="36" t="str">
        <f>IFERROR(INDEX(Katalog!$D$3:$D$12,MATCH(Data[[#This Row],[ItemID B]],Katalog!$C$3:$C$12,0))*Data[[#This Row],[Qty B]],"0")</f>
        <v>0</v>
      </c>
      <c r="P202" s="36" t="str">
        <f>IFERROR(INDEX(Katalog!$F$3:$F$12,MATCH(Data[[#This Row],[ItemID B]],Katalog!$C$3:$C$12,0))*Data[[#This Row],[Qty B]],"0")</f>
        <v>0</v>
      </c>
      <c r="R202" t="str">
        <f>IFERROR(INDEX(Katalog!$A$3:$A$12,MATCH(Data[[#This Row],[ItemID C]],Katalog!$C$3:$C$12,0)),"-")</f>
        <v>-</v>
      </c>
      <c r="S202" t="str">
        <f>IFERROR(INDEX(Katalog!$B$3:$B$12,MATCH(Data[[#This Row],[ItemID C]],Katalog!$C$3:$C$12,0)),"-")</f>
        <v>-</v>
      </c>
      <c r="V202" s="36" t="str">
        <f>IFERROR(INDEX(Katalog!$D$3:$D$12,MATCH(Data[[#This Row],[ItemID C]],Katalog!$C$3:$C$12,0))*Data[[#This Row],[Qty C]],"0")</f>
        <v>0</v>
      </c>
      <c r="W202" s="36" t="str">
        <f>IFERROR(INDEX(Katalog!$F$3:$F$12,MATCH(Data[[#This Row],[ItemID C]],Katalog!$C$3:$C$12,0))*Data[[#This Row],[Qty C]],"0")</f>
        <v>0</v>
      </c>
      <c r="X202" s="21">
        <f>Data[[#This Row],[Qty A]]+Data[[#This Row],[Qty B]]+Data[[#This Row],[Qty C]]</f>
        <v>1</v>
      </c>
      <c r="Y202" s="22">
        <f>Data[[#This Row],[Harga Barang A]]+Data[[#This Row],[Harga Barang B]]+Data[[#This Row],[Harga Barang C]]</f>
        <v>400000</v>
      </c>
      <c r="Z202" s="35">
        <f>IFERROR(Data[[#This Row],[Total Harga]]-(Data[[#This Row],[Total Harga]]*Data[[#This Row],[Diskon]]),Data[[#This Row],[Total Harga]])</f>
        <v>360000</v>
      </c>
      <c r="AA202" s="35">
        <f>(Data[[#This Row],[Profit A]]+Data[[#This Row],[Profit B]]+Data[[#This Row],[Profit C]])</f>
        <v>150000</v>
      </c>
      <c r="AB202" s="35">
        <f>IFERROR((Data[[#This Row],[Profit non Diskon]]-(Data[[#This Row],[Profit non Diskon]]*Data[[#This Row],[Diskon]])),Data[[#This Row],[Profit non Diskon]])</f>
        <v>135000</v>
      </c>
      <c r="AC202" s="23" t="s">
        <v>31</v>
      </c>
      <c r="AD202" s="37">
        <f>IFERROR(INDEX('Kode Diskon'!$D$3:$D$9,MATCH(Data[[#This Row],[Kode diskon]],'Kode Diskon'!$C$3:$C$9,0)),"-")</f>
        <v>0.1</v>
      </c>
      <c r="AE202" s="23" t="s">
        <v>9</v>
      </c>
      <c r="AF202" s="23" t="s">
        <v>10</v>
      </c>
      <c r="AG202" s="23" t="s">
        <v>80</v>
      </c>
      <c r="AH202" s="24">
        <v>45046</v>
      </c>
      <c r="AI202" s="23" t="str">
        <f>TEXT(Data[[#This Row],[Tanggal terjual]],"dddd")</f>
        <v>Sunday</v>
      </c>
      <c r="AJ202" s="21" t="str">
        <f>TEXT(Data[[#This Row],[Tanggal terjual]],"wwww")</f>
        <v>wwww</v>
      </c>
    </row>
    <row r="203" spans="1:36" x14ac:dyDescent="0.2">
      <c r="A203" s="20">
        <v>202</v>
      </c>
      <c r="B203" s="21" t="str">
        <f>_xlfn.CONCAT("ORD-",INDEX(Helper!$B$2:$B$5,MATCH(Data[[#This Row],[Marketplace]],Helper!$A$2:$A$5,0)),TEXT(Data[[#This Row],[No]],"0000"),"-",TEXT(Data[[#This Row],[Tanggal terjual]],"dd/mm/yy"))</f>
        <v>ORD-SP0202-05/04/23</v>
      </c>
      <c r="C203" t="s">
        <v>61</v>
      </c>
      <c r="D203" t="str">
        <f>IFERROR(INDEX(Katalog!$A$3:$A$12,MATCH(Data[[#This Row],[ItemID A]],Katalog!$C$3:$C$12,0)),"-")</f>
        <v>Pakaian Pria</v>
      </c>
      <c r="E203" t="str">
        <f>IFERROR(INDEX(Katalog!$B$3:$B$12,MATCH(Data[[#This Row],[ItemID A]],Katalog!$C$3:$C$12,0)),"-")</f>
        <v>Kaos Polo</v>
      </c>
      <c r="F203">
        <v>1</v>
      </c>
      <c r="G203">
        <v>3</v>
      </c>
      <c r="H203" s="36">
        <f>IFERROR(INDEX(Katalog!$D$3:$D$12,MATCH(Data[[#This Row],[ItemID A]],Katalog!$C$3:$C$12,0))*Data[[#This Row],[Qty A]],"0")</f>
        <v>200000</v>
      </c>
      <c r="I203" s="36">
        <f>IFERROR(INDEX(Katalog!$F$3:$F$12,MATCH(Data[[#This Row],[ItemID A]],Katalog!$C$3:$C$12,0))*Data[[#This Row],[Qty A]],0)</f>
        <v>80000</v>
      </c>
      <c r="J203" t="s">
        <v>65</v>
      </c>
      <c r="K203" t="str">
        <f>IFERROR(INDEX(Katalog!$A$3:$A$12,MATCH(Data[[#This Row],[ItemID B]],Katalog!$C$3:$C$12,0)),"-")</f>
        <v>Sepatu Pria</v>
      </c>
      <c r="L203" t="str">
        <f>IFERROR(INDEX(Katalog!$B$3:$B$12,MATCH(Data[[#This Row],[ItemID B]],Katalog!$C$3:$C$12,0)),"-")</f>
        <v>Sneakers</v>
      </c>
      <c r="M203">
        <v>1</v>
      </c>
      <c r="N203">
        <v>2</v>
      </c>
      <c r="O203" s="36">
        <f>IFERROR(INDEX(Katalog!$D$3:$D$12,MATCH(Data[[#This Row],[ItemID B]],Katalog!$C$3:$C$12,0))*Data[[#This Row],[Qty B]],"0")</f>
        <v>500000</v>
      </c>
      <c r="P203" s="36">
        <f>IFERROR(INDEX(Katalog!$F$3:$F$12,MATCH(Data[[#This Row],[ItemID B]],Katalog!$C$3:$C$12,0))*Data[[#This Row],[Qty B]],"0")</f>
        <v>200000</v>
      </c>
      <c r="Q203" t="s">
        <v>60</v>
      </c>
      <c r="R203" t="str">
        <f>IFERROR(INDEX(Katalog!$A$3:$A$12,MATCH(Data[[#This Row],[ItemID C]],Katalog!$C$3:$C$12,0)),"-")</f>
        <v>Pakaian Wanita</v>
      </c>
      <c r="S203" t="str">
        <f>IFERROR(INDEX(Katalog!$B$3:$B$12,MATCH(Data[[#This Row],[ItemID C]],Katalog!$C$3:$C$12,0)),"-")</f>
        <v>Kaftan</v>
      </c>
      <c r="T203">
        <v>1</v>
      </c>
      <c r="U203">
        <v>1</v>
      </c>
      <c r="V203" s="36">
        <f>IFERROR(INDEX(Katalog!$D$3:$D$12,MATCH(Data[[#This Row],[ItemID C]],Katalog!$C$3:$C$12,0))*Data[[#This Row],[Qty C]],"0")</f>
        <v>250000</v>
      </c>
      <c r="W203" s="36">
        <f>IFERROR(INDEX(Katalog!$F$3:$F$12,MATCH(Data[[#This Row],[ItemID C]],Katalog!$C$3:$C$12,0))*Data[[#This Row],[Qty C]],"0")</f>
        <v>100000</v>
      </c>
      <c r="X203" s="21">
        <f>Data[[#This Row],[Qty A]]+Data[[#This Row],[Qty B]]+Data[[#This Row],[Qty C]]</f>
        <v>3</v>
      </c>
      <c r="Y203" s="22">
        <f>Data[[#This Row],[Harga Barang A]]+Data[[#This Row],[Harga Barang B]]+Data[[#This Row],[Harga Barang C]]</f>
        <v>950000</v>
      </c>
      <c r="Z203" s="35">
        <f>IFERROR(Data[[#This Row],[Total Harga]]-(Data[[#This Row],[Total Harga]]*Data[[#This Row],[Diskon]]),Data[[#This Row],[Total Harga]])</f>
        <v>807500</v>
      </c>
      <c r="AA203" s="35">
        <f>(Data[[#This Row],[Profit A]]+Data[[#This Row],[Profit B]]+Data[[#This Row],[Profit C]])</f>
        <v>380000</v>
      </c>
      <c r="AB203" s="35">
        <f>IFERROR((Data[[#This Row],[Profit non Diskon]]-(Data[[#This Row],[Profit non Diskon]]*Data[[#This Row],[Diskon]])),Data[[#This Row],[Profit non Diskon]])</f>
        <v>323000</v>
      </c>
      <c r="AC203" s="23" t="s">
        <v>13</v>
      </c>
      <c r="AD203" s="37">
        <f>IFERROR(INDEX('Kode Diskon'!$D$3:$D$9,MATCH(Data[[#This Row],[Kode diskon]],'Kode Diskon'!$C$3:$C$9,0)),"-")</f>
        <v>0.15</v>
      </c>
      <c r="AE203" s="23" t="s">
        <v>29</v>
      </c>
      <c r="AF203" s="23" t="s">
        <v>7</v>
      </c>
      <c r="AG203" s="23" t="s">
        <v>79</v>
      </c>
      <c r="AH203" s="24">
        <v>45021</v>
      </c>
      <c r="AI203" s="23" t="str">
        <f>TEXT(Data[[#This Row],[Tanggal terjual]],"dddd")</f>
        <v>Wednesday</v>
      </c>
      <c r="AJ203" s="21" t="str">
        <f>TEXT(Data[[#This Row],[Tanggal terjual]],"wwww")</f>
        <v>wwww</v>
      </c>
    </row>
    <row r="204" spans="1:36" x14ac:dyDescent="0.2">
      <c r="A204" s="20">
        <v>203</v>
      </c>
      <c r="B204" s="21" t="str">
        <f>_xlfn.CONCAT("ORD-",INDEX(Helper!$B$2:$B$5,MATCH(Data[[#This Row],[Marketplace]],Helper!$A$2:$A$5,0)),TEXT(Data[[#This Row],[No]],"0000"),"-",TEXT(Data[[#This Row],[Tanggal terjual]],"dd/mm/yy"))</f>
        <v>ORD-SP0203-06/04/23</v>
      </c>
      <c r="C204" t="s">
        <v>66</v>
      </c>
      <c r="D204" t="str">
        <f>IFERROR(INDEX(Katalog!$A$3:$A$12,MATCH(Data[[#This Row],[ItemID A]],Katalog!$C$3:$C$12,0)),"-")</f>
        <v>Sepatu Pria</v>
      </c>
      <c r="E204" t="str">
        <f>IFERROR(INDEX(Katalog!$B$3:$B$12,MATCH(Data[[#This Row],[ItemID A]],Katalog!$C$3:$C$12,0)),"-")</f>
        <v>Sandal Slip On</v>
      </c>
      <c r="F204">
        <v>5</v>
      </c>
      <c r="G204">
        <v>2</v>
      </c>
      <c r="H204" s="36">
        <f>IFERROR(INDEX(Katalog!$D$3:$D$12,MATCH(Data[[#This Row],[ItemID A]],Katalog!$C$3:$C$12,0))*Data[[#This Row],[Qty A]],"0")</f>
        <v>750000</v>
      </c>
      <c r="I204" s="36">
        <f>IFERROR(INDEX(Katalog!$F$3:$F$12,MATCH(Data[[#This Row],[ItemID A]],Katalog!$C$3:$C$12,0))*Data[[#This Row],[Qty A]],0)</f>
        <v>300000</v>
      </c>
      <c r="J204" t="s">
        <v>59</v>
      </c>
      <c r="K204" t="str">
        <f>IFERROR(INDEX(Katalog!$A$3:$A$12,MATCH(Data[[#This Row],[ItemID B]],Katalog!$C$3:$C$12,0)),"-")</f>
        <v>Pakaian Wanita</v>
      </c>
      <c r="L204" t="str">
        <f>IFERROR(INDEX(Katalog!$B$3:$B$12,MATCH(Data[[#This Row],[ItemID B]],Katalog!$C$3:$C$12,0)),"-")</f>
        <v>Blouse</v>
      </c>
      <c r="M204">
        <v>2</v>
      </c>
      <c r="N204">
        <v>1</v>
      </c>
      <c r="O204" s="36">
        <f>IFERROR(INDEX(Katalog!$D$3:$D$12,MATCH(Data[[#This Row],[ItemID B]],Katalog!$C$3:$C$12,0))*Data[[#This Row],[Qty B]],"0")</f>
        <v>300000</v>
      </c>
      <c r="P204" s="36">
        <f>IFERROR(INDEX(Katalog!$F$3:$F$12,MATCH(Data[[#This Row],[ItemID B]],Katalog!$C$3:$C$12,0))*Data[[#This Row],[Qty B]],"0")</f>
        <v>100000</v>
      </c>
      <c r="R204" t="str">
        <f>IFERROR(INDEX(Katalog!$A$3:$A$12,MATCH(Data[[#This Row],[ItemID C]],Katalog!$C$3:$C$12,0)),"-")</f>
        <v>-</v>
      </c>
      <c r="S204" t="str">
        <f>IFERROR(INDEX(Katalog!$B$3:$B$12,MATCH(Data[[#This Row],[ItemID C]],Katalog!$C$3:$C$12,0)),"-")</f>
        <v>-</v>
      </c>
      <c r="V204" s="36" t="str">
        <f>IFERROR(INDEX(Katalog!$D$3:$D$12,MATCH(Data[[#This Row],[ItemID C]],Katalog!$C$3:$C$12,0))*Data[[#This Row],[Qty C]],"0")</f>
        <v>0</v>
      </c>
      <c r="W204" s="36" t="str">
        <f>IFERROR(INDEX(Katalog!$F$3:$F$12,MATCH(Data[[#This Row],[ItemID C]],Katalog!$C$3:$C$12,0))*Data[[#This Row],[Qty C]],"0")</f>
        <v>0</v>
      </c>
      <c r="X204" s="21">
        <f>Data[[#This Row],[Qty A]]+Data[[#This Row],[Qty B]]+Data[[#This Row],[Qty C]]</f>
        <v>7</v>
      </c>
      <c r="Y204" s="22">
        <f>Data[[#This Row],[Harga Barang A]]+Data[[#This Row],[Harga Barang B]]+Data[[#This Row],[Harga Barang C]]</f>
        <v>1050000</v>
      </c>
      <c r="Z204" s="35">
        <f>IFERROR(Data[[#This Row],[Total Harga]]-(Data[[#This Row],[Total Harga]]*Data[[#This Row],[Diskon]]),Data[[#This Row],[Total Harga]])</f>
        <v>892500</v>
      </c>
      <c r="AA204" s="35">
        <f>(Data[[#This Row],[Profit A]]+Data[[#This Row],[Profit B]]+Data[[#This Row],[Profit C]])</f>
        <v>400000</v>
      </c>
      <c r="AB204" s="35">
        <f>IFERROR((Data[[#This Row],[Profit non Diskon]]-(Data[[#This Row],[Profit non Diskon]]*Data[[#This Row],[Diskon]])),Data[[#This Row],[Profit non Diskon]])</f>
        <v>340000</v>
      </c>
      <c r="AC204" s="23" t="s">
        <v>13</v>
      </c>
      <c r="AD204" s="37">
        <f>IFERROR(INDEX('Kode Diskon'!$D$3:$D$9,MATCH(Data[[#This Row],[Kode diskon]],'Kode Diskon'!$C$3:$C$9,0)),"-")</f>
        <v>0.15</v>
      </c>
      <c r="AE204" s="23" t="s">
        <v>29</v>
      </c>
      <c r="AF204" s="23" t="s">
        <v>7</v>
      </c>
      <c r="AG204" s="23" t="s">
        <v>80</v>
      </c>
      <c r="AH204" s="24">
        <v>45022</v>
      </c>
      <c r="AI204" s="23" t="str">
        <f>TEXT(Data[[#This Row],[Tanggal terjual]],"dddd")</f>
        <v>Thursday</v>
      </c>
      <c r="AJ204" s="21" t="str">
        <f>TEXT(Data[[#This Row],[Tanggal terjual]],"wwww")</f>
        <v>wwww</v>
      </c>
    </row>
    <row r="205" spans="1:36" x14ac:dyDescent="0.2">
      <c r="A205" s="20">
        <v>204</v>
      </c>
      <c r="B205" s="21" t="str">
        <f>_xlfn.CONCAT("ORD-",INDEX(Helper!$B$2:$B$5,MATCH(Data[[#This Row],[Marketplace]],Helper!$A$2:$A$5,0)),TEXT(Data[[#This Row],[No]],"0000"),"-",TEXT(Data[[#This Row],[Tanggal terjual]],"dd/mm/yy"))</f>
        <v>ORD-BL0204-29/04/23</v>
      </c>
      <c r="C205" t="s">
        <v>58</v>
      </c>
      <c r="D205" t="str">
        <f>IFERROR(INDEX(Katalog!$A$3:$A$12,MATCH(Data[[#This Row],[ItemID A]],Katalog!$C$3:$C$12,0)),"-")</f>
        <v>Pakaian Wanita</v>
      </c>
      <c r="E205" t="str">
        <f>IFERROR(INDEX(Katalog!$B$3:$B$12,MATCH(Data[[#This Row],[ItemID A]],Katalog!$C$3:$C$12,0)),"-")</f>
        <v>Dress</v>
      </c>
      <c r="F205">
        <v>2</v>
      </c>
      <c r="G205">
        <v>2</v>
      </c>
      <c r="H205" s="36">
        <f>IFERROR(INDEX(Katalog!$D$3:$D$12,MATCH(Data[[#This Row],[ItemID A]],Katalog!$C$3:$C$12,0))*Data[[#This Row],[Qty A]],"0")</f>
        <v>600000</v>
      </c>
      <c r="I205" s="36">
        <f>IFERROR(INDEX(Katalog!$F$3:$F$12,MATCH(Data[[#This Row],[ItemID A]],Katalog!$C$3:$C$12,0))*Data[[#This Row],[Qty A]],0)</f>
        <v>200000</v>
      </c>
      <c r="J205" t="s">
        <v>60</v>
      </c>
      <c r="K205" t="str">
        <f>IFERROR(INDEX(Katalog!$A$3:$A$12,MATCH(Data[[#This Row],[ItemID B]],Katalog!$C$3:$C$12,0)),"-")</f>
        <v>Pakaian Wanita</v>
      </c>
      <c r="L205" t="str">
        <f>IFERROR(INDEX(Katalog!$B$3:$B$12,MATCH(Data[[#This Row],[ItemID B]],Katalog!$C$3:$C$12,0)),"-")</f>
        <v>Kaftan</v>
      </c>
      <c r="M205">
        <v>1</v>
      </c>
      <c r="N205">
        <v>2</v>
      </c>
      <c r="O205" s="36">
        <f>IFERROR(INDEX(Katalog!$D$3:$D$12,MATCH(Data[[#This Row],[ItemID B]],Katalog!$C$3:$C$12,0))*Data[[#This Row],[Qty B]],"0")</f>
        <v>250000</v>
      </c>
      <c r="P205" s="36">
        <f>IFERROR(INDEX(Katalog!$F$3:$F$12,MATCH(Data[[#This Row],[ItemID B]],Katalog!$C$3:$C$12,0))*Data[[#This Row],[Qty B]],"0")</f>
        <v>100000</v>
      </c>
      <c r="R205" t="str">
        <f>IFERROR(INDEX(Katalog!$A$3:$A$12,MATCH(Data[[#This Row],[ItemID C]],Katalog!$C$3:$C$12,0)),"-")</f>
        <v>-</v>
      </c>
      <c r="S205" t="str">
        <f>IFERROR(INDEX(Katalog!$B$3:$B$12,MATCH(Data[[#This Row],[ItemID C]],Katalog!$C$3:$C$12,0)),"-")</f>
        <v>-</v>
      </c>
      <c r="V205" s="36" t="str">
        <f>IFERROR(INDEX(Katalog!$D$3:$D$12,MATCH(Data[[#This Row],[ItemID C]],Katalog!$C$3:$C$12,0))*Data[[#This Row],[Qty C]],"0")</f>
        <v>0</v>
      </c>
      <c r="W205" s="36" t="str">
        <f>IFERROR(INDEX(Katalog!$F$3:$F$12,MATCH(Data[[#This Row],[ItemID C]],Katalog!$C$3:$C$12,0))*Data[[#This Row],[Qty C]],"0")</f>
        <v>0</v>
      </c>
      <c r="X205" s="21">
        <f>Data[[#This Row],[Qty A]]+Data[[#This Row],[Qty B]]+Data[[#This Row],[Qty C]]</f>
        <v>3</v>
      </c>
      <c r="Y205" s="22">
        <f>Data[[#This Row],[Harga Barang A]]+Data[[#This Row],[Harga Barang B]]+Data[[#This Row],[Harga Barang C]]</f>
        <v>850000</v>
      </c>
      <c r="Z205" s="35">
        <f>IFERROR(Data[[#This Row],[Total Harga]]-(Data[[#This Row],[Total Harga]]*Data[[#This Row],[Diskon]]),Data[[#This Row],[Total Harga]])</f>
        <v>722500</v>
      </c>
      <c r="AA205" s="35">
        <f>(Data[[#This Row],[Profit A]]+Data[[#This Row],[Profit B]]+Data[[#This Row],[Profit C]])</f>
        <v>300000</v>
      </c>
      <c r="AB205" s="35">
        <f>IFERROR((Data[[#This Row],[Profit non Diskon]]-(Data[[#This Row],[Profit non Diskon]]*Data[[#This Row],[Diskon]])),Data[[#This Row],[Profit non Diskon]])</f>
        <v>255000</v>
      </c>
      <c r="AC205" s="23" t="s">
        <v>32</v>
      </c>
      <c r="AD205" s="37">
        <f>IFERROR(INDEX('Kode Diskon'!$D$3:$D$9,MATCH(Data[[#This Row],[Kode diskon]],'Kode Diskon'!$C$3:$C$9,0)),"-")</f>
        <v>0.15</v>
      </c>
      <c r="AE205" s="23" t="s">
        <v>9</v>
      </c>
      <c r="AF205" s="23" t="s">
        <v>12</v>
      </c>
      <c r="AG205" s="23" t="s">
        <v>80</v>
      </c>
      <c r="AH205" s="24">
        <v>45045</v>
      </c>
      <c r="AI205" s="23" t="str">
        <f>TEXT(Data[[#This Row],[Tanggal terjual]],"dddd")</f>
        <v>Saturday</v>
      </c>
      <c r="AJ205" s="21" t="str">
        <f>TEXT(Data[[#This Row],[Tanggal terjual]],"wwww")</f>
        <v>wwww</v>
      </c>
    </row>
    <row r="206" spans="1:36" x14ac:dyDescent="0.2">
      <c r="A206" s="20">
        <v>205</v>
      </c>
      <c r="B206" s="21" t="str">
        <f>_xlfn.CONCAT("ORD-",INDEX(Helper!$B$2:$B$5,MATCH(Data[[#This Row],[Marketplace]],Helper!$A$2:$A$5,0)),TEXT(Data[[#This Row],[No]],"0000"),"-",TEXT(Data[[#This Row],[Tanggal terjual]],"dd/mm/yy"))</f>
        <v>ORD-BL0205-21/04/23</v>
      </c>
      <c r="C206" t="s">
        <v>66</v>
      </c>
      <c r="D206" t="str">
        <f>IFERROR(INDEX(Katalog!$A$3:$A$12,MATCH(Data[[#This Row],[ItemID A]],Katalog!$C$3:$C$12,0)),"-")</f>
        <v>Sepatu Pria</v>
      </c>
      <c r="E206" t="str">
        <f>IFERROR(INDEX(Katalog!$B$3:$B$12,MATCH(Data[[#This Row],[ItemID A]],Katalog!$C$3:$C$12,0)),"-")</f>
        <v>Sandal Slip On</v>
      </c>
      <c r="F206">
        <v>1</v>
      </c>
      <c r="G206">
        <v>5</v>
      </c>
      <c r="H206" s="36">
        <f>IFERROR(INDEX(Katalog!$D$3:$D$12,MATCH(Data[[#This Row],[ItemID A]],Katalog!$C$3:$C$12,0))*Data[[#This Row],[Qty A]],"0")</f>
        <v>150000</v>
      </c>
      <c r="I206" s="36">
        <f>IFERROR(INDEX(Katalog!$F$3:$F$12,MATCH(Data[[#This Row],[ItemID A]],Katalog!$C$3:$C$12,0))*Data[[#This Row],[Qty A]],0)</f>
        <v>60000</v>
      </c>
      <c r="K206" t="str">
        <f>IFERROR(INDEX(Katalog!$A$3:$A$12,MATCH(Data[[#This Row],[ItemID B]],Katalog!$C$3:$C$12,0)),"-")</f>
        <v>-</v>
      </c>
      <c r="L206" t="str">
        <f>IFERROR(INDEX(Katalog!$B$3:$B$12,MATCH(Data[[#This Row],[ItemID B]],Katalog!$C$3:$C$12,0)),"-")</f>
        <v>-</v>
      </c>
      <c r="O206" s="36" t="str">
        <f>IFERROR(INDEX(Katalog!$D$3:$D$12,MATCH(Data[[#This Row],[ItemID B]],Katalog!$C$3:$C$12,0))*Data[[#This Row],[Qty B]],"0")</f>
        <v>0</v>
      </c>
      <c r="P206" s="36" t="str">
        <f>IFERROR(INDEX(Katalog!$F$3:$F$12,MATCH(Data[[#This Row],[ItemID B]],Katalog!$C$3:$C$12,0))*Data[[#This Row],[Qty B]],"0")</f>
        <v>0</v>
      </c>
      <c r="R206" t="str">
        <f>IFERROR(INDEX(Katalog!$A$3:$A$12,MATCH(Data[[#This Row],[ItemID C]],Katalog!$C$3:$C$12,0)),"-")</f>
        <v>-</v>
      </c>
      <c r="S206" t="str">
        <f>IFERROR(INDEX(Katalog!$B$3:$B$12,MATCH(Data[[#This Row],[ItemID C]],Katalog!$C$3:$C$12,0)),"-")</f>
        <v>-</v>
      </c>
      <c r="V206" s="36" t="str">
        <f>IFERROR(INDEX(Katalog!$D$3:$D$12,MATCH(Data[[#This Row],[ItemID C]],Katalog!$C$3:$C$12,0))*Data[[#This Row],[Qty C]],"0")</f>
        <v>0</v>
      </c>
      <c r="W206" s="36" t="str">
        <f>IFERROR(INDEX(Katalog!$F$3:$F$12,MATCH(Data[[#This Row],[ItemID C]],Katalog!$C$3:$C$12,0))*Data[[#This Row],[Qty C]],"0")</f>
        <v>0</v>
      </c>
      <c r="X206" s="21">
        <f>Data[[#This Row],[Qty A]]+Data[[#This Row],[Qty B]]+Data[[#This Row],[Qty C]]</f>
        <v>1</v>
      </c>
      <c r="Y206" s="22">
        <f>Data[[#This Row],[Harga Barang A]]+Data[[#This Row],[Harga Barang B]]+Data[[#This Row],[Harga Barang C]]</f>
        <v>150000</v>
      </c>
      <c r="Z206" s="35">
        <f>IFERROR(Data[[#This Row],[Total Harga]]-(Data[[#This Row],[Total Harga]]*Data[[#This Row],[Diskon]]),Data[[#This Row],[Total Harga]])</f>
        <v>127500</v>
      </c>
      <c r="AA206" s="35">
        <f>(Data[[#This Row],[Profit A]]+Data[[#This Row],[Profit B]]+Data[[#This Row],[Profit C]])</f>
        <v>60000</v>
      </c>
      <c r="AB206" s="35">
        <f>IFERROR((Data[[#This Row],[Profit non Diskon]]-(Data[[#This Row],[Profit non Diskon]]*Data[[#This Row],[Diskon]])),Data[[#This Row],[Profit non Diskon]])</f>
        <v>51000</v>
      </c>
      <c r="AC206" s="23" t="s">
        <v>32</v>
      </c>
      <c r="AD206" s="37">
        <f>IFERROR(INDEX('Kode Diskon'!$D$3:$D$9,MATCH(Data[[#This Row],[Kode diskon]],'Kode Diskon'!$C$3:$C$9,0)),"-")</f>
        <v>0.15</v>
      </c>
      <c r="AE206" s="23" t="s">
        <v>9</v>
      </c>
      <c r="AF206" s="23" t="s">
        <v>12</v>
      </c>
      <c r="AG206" s="23" t="s">
        <v>77</v>
      </c>
      <c r="AH206" s="24">
        <v>45037</v>
      </c>
      <c r="AI206" s="23" t="str">
        <f>TEXT(Data[[#This Row],[Tanggal terjual]],"dddd")</f>
        <v>Friday</v>
      </c>
      <c r="AJ206" s="21" t="str">
        <f>TEXT(Data[[#This Row],[Tanggal terjual]],"wwww")</f>
        <v>wwww</v>
      </c>
    </row>
    <row r="207" spans="1:36" x14ac:dyDescent="0.2">
      <c r="A207" s="20">
        <v>206</v>
      </c>
      <c r="B207" s="21" t="str">
        <f>_xlfn.CONCAT("ORD-",INDEX(Helper!$B$2:$B$5,MATCH(Data[[#This Row],[Marketplace]],Helper!$A$2:$A$5,0)),TEXT(Data[[#This Row],[No]],"0000"),"-",TEXT(Data[[#This Row],[Tanggal terjual]],"dd/mm/yy"))</f>
        <v>ORD-SP0206-04/04/23</v>
      </c>
      <c r="C207" t="s">
        <v>62</v>
      </c>
      <c r="D207" t="str">
        <f>IFERROR(INDEX(Katalog!$A$3:$A$12,MATCH(Data[[#This Row],[ItemID A]],Katalog!$C$3:$C$12,0)),"-")</f>
        <v>Pakaian Pria</v>
      </c>
      <c r="E207" t="str">
        <f>IFERROR(INDEX(Katalog!$B$3:$B$12,MATCH(Data[[#This Row],[ItemID A]],Katalog!$C$3:$C$12,0)),"-")</f>
        <v>Celana Pendek</v>
      </c>
      <c r="F207">
        <v>3</v>
      </c>
      <c r="G207">
        <v>4</v>
      </c>
      <c r="H207" s="36">
        <f>IFERROR(INDEX(Katalog!$D$3:$D$12,MATCH(Data[[#This Row],[ItemID A]],Katalog!$C$3:$C$12,0))*Data[[#This Row],[Qty A]],"0")</f>
        <v>540000</v>
      </c>
      <c r="I207" s="36">
        <f>IFERROR(INDEX(Katalog!$F$3:$F$12,MATCH(Data[[#This Row],[ItemID A]],Katalog!$C$3:$C$12,0))*Data[[#This Row],[Qty A]],0)</f>
        <v>210000</v>
      </c>
      <c r="J207" t="s">
        <v>61</v>
      </c>
      <c r="K207" t="str">
        <f>IFERROR(INDEX(Katalog!$A$3:$A$12,MATCH(Data[[#This Row],[ItemID B]],Katalog!$C$3:$C$12,0)),"-")</f>
        <v>Pakaian Pria</v>
      </c>
      <c r="L207" t="str">
        <f>IFERROR(INDEX(Katalog!$B$3:$B$12,MATCH(Data[[#This Row],[ItemID B]],Katalog!$C$3:$C$12,0)),"-")</f>
        <v>Kaos Polo</v>
      </c>
      <c r="M207">
        <v>1</v>
      </c>
      <c r="N207">
        <v>4</v>
      </c>
      <c r="O207" s="36">
        <f>IFERROR(INDEX(Katalog!$D$3:$D$12,MATCH(Data[[#This Row],[ItemID B]],Katalog!$C$3:$C$12,0))*Data[[#This Row],[Qty B]],"0")</f>
        <v>200000</v>
      </c>
      <c r="P207" s="36">
        <f>IFERROR(INDEX(Katalog!$F$3:$F$12,MATCH(Data[[#This Row],[ItemID B]],Katalog!$C$3:$C$12,0))*Data[[#This Row],[Qty B]],"0")</f>
        <v>80000</v>
      </c>
      <c r="R207" t="str">
        <f>IFERROR(INDEX(Katalog!$A$3:$A$12,MATCH(Data[[#This Row],[ItemID C]],Katalog!$C$3:$C$12,0)),"-")</f>
        <v>-</v>
      </c>
      <c r="S207" t="str">
        <f>IFERROR(INDEX(Katalog!$B$3:$B$12,MATCH(Data[[#This Row],[ItemID C]],Katalog!$C$3:$C$12,0)),"-")</f>
        <v>-</v>
      </c>
      <c r="V207" s="36" t="str">
        <f>IFERROR(INDEX(Katalog!$D$3:$D$12,MATCH(Data[[#This Row],[ItemID C]],Katalog!$C$3:$C$12,0))*Data[[#This Row],[Qty C]],"0")</f>
        <v>0</v>
      </c>
      <c r="W207" s="36" t="str">
        <f>IFERROR(INDEX(Katalog!$F$3:$F$12,MATCH(Data[[#This Row],[ItemID C]],Katalog!$C$3:$C$12,0))*Data[[#This Row],[Qty C]],"0")</f>
        <v>0</v>
      </c>
      <c r="X207" s="21">
        <f>Data[[#This Row],[Qty A]]+Data[[#This Row],[Qty B]]+Data[[#This Row],[Qty C]]</f>
        <v>4</v>
      </c>
      <c r="Y207" s="22">
        <f>Data[[#This Row],[Harga Barang A]]+Data[[#This Row],[Harga Barang B]]+Data[[#This Row],[Harga Barang C]]</f>
        <v>740000</v>
      </c>
      <c r="Z207" s="35">
        <f>IFERROR(Data[[#This Row],[Total Harga]]-(Data[[#This Row],[Total Harga]]*Data[[#This Row],[Diskon]]),Data[[#This Row],[Total Harga]])</f>
        <v>629000</v>
      </c>
      <c r="AA207" s="35">
        <f>(Data[[#This Row],[Profit A]]+Data[[#This Row],[Profit B]]+Data[[#This Row],[Profit C]])</f>
        <v>290000</v>
      </c>
      <c r="AB207" s="35">
        <f>IFERROR((Data[[#This Row],[Profit non Diskon]]-(Data[[#This Row],[Profit non Diskon]]*Data[[#This Row],[Diskon]])),Data[[#This Row],[Profit non Diskon]])</f>
        <v>246500</v>
      </c>
      <c r="AC207" s="23" t="s">
        <v>13</v>
      </c>
      <c r="AD207" s="37">
        <f>IFERROR(INDEX('Kode Diskon'!$D$3:$D$9,MATCH(Data[[#This Row],[Kode diskon]],'Kode Diskon'!$C$3:$C$9,0)),"-")</f>
        <v>0.15</v>
      </c>
      <c r="AE207" s="23" t="s">
        <v>29</v>
      </c>
      <c r="AF207" s="23" t="s">
        <v>7</v>
      </c>
      <c r="AG207" s="23" t="s">
        <v>77</v>
      </c>
      <c r="AH207" s="24">
        <v>45020</v>
      </c>
      <c r="AI207" s="23" t="str">
        <f>TEXT(Data[[#This Row],[Tanggal terjual]],"dddd")</f>
        <v>Tuesday</v>
      </c>
      <c r="AJ207" s="21" t="str">
        <f>TEXT(Data[[#This Row],[Tanggal terjual]],"wwww")</f>
        <v>wwww</v>
      </c>
    </row>
    <row r="208" spans="1:36" x14ac:dyDescent="0.2">
      <c r="A208" s="20">
        <v>207</v>
      </c>
      <c r="B208" s="21" t="str">
        <f>_xlfn.CONCAT("ORD-",INDEX(Helper!$B$2:$B$5,MATCH(Data[[#This Row],[Marketplace]],Helper!$A$2:$A$5,0)),TEXT(Data[[#This Row],[No]],"0000"),"-",TEXT(Data[[#This Row],[Tanggal terjual]],"dd/mm/yy"))</f>
        <v>ORD-SP0207-22/04/23</v>
      </c>
      <c r="C208" t="s">
        <v>65</v>
      </c>
      <c r="D208" t="str">
        <f>IFERROR(INDEX(Katalog!$A$3:$A$12,MATCH(Data[[#This Row],[ItemID A]],Katalog!$C$3:$C$12,0)),"-")</f>
        <v>Sepatu Pria</v>
      </c>
      <c r="E208" t="str">
        <f>IFERROR(INDEX(Katalog!$B$3:$B$12,MATCH(Data[[#This Row],[ItemID A]],Katalog!$C$3:$C$12,0)),"-")</f>
        <v>Sneakers</v>
      </c>
      <c r="F208">
        <v>2</v>
      </c>
      <c r="G208">
        <v>2</v>
      </c>
      <c r="H208" s="36">
        <f>IFERROR(INDEX(Katalog!$D$3:$D$12,MATCH(Data[[#This Row],[ItemID A]],Katalog!$C$3:$C$12,0))*Data[[#This Row],[Qty A]],"0")</f>
        <v>1000000</v>
      </c>
      <c r="I208" s="36">
        <f>IFERROR(INDEX(Katalog!$F$3:$F$12,MATCH(Data[[#This Row],[ItemID A]],Katalog!$C$3:$C$12,0))*Data[[#This Row],[Qty A]],0)</f>
        <v>400000</v>
      </c>
      <c r="J208" t="s">
        <v>67</v>
      </c>
      <c r="K208" t="str">
        <f>IFERROR(INDEX(Katalog!$A$3:$A$12,MATCH(Data[[#This Row],[ItemID B]],Katalog!$C$3:$C$12,0)),"-")</f>
        <v>Sepatu Wanita</v>
      </c>
      <c r="L208" t="str">
        <f>IFERROR(INDEX(Katalog!$B$3:$B$12,MATCH(Data[[#This Row],[ItemID B]],Katalog!$C$3:$C$12,0)),"-")</f>
        <v>Flat Shoes</v>
      </c>
      <c r="M208">
        <v>1</v>
      </c>
      <c r="N208">
        <v>4</v>
      </c>
      <c r="O208" s="36">
        <f>IFERROR(INDEX(Katalog!$D$3:$D$12,MATCH(Data[[#This Row],[ItemID B]],Katalog!$C$3:$C$12,0))*Data[[#This Row],[Qty B]],"0")</f>
        <v>250000</v>
      </c>
      <c r="P208" s="36">
        <f>IFERROR(INDEX(Katalog!$F$3:$F$12,MATCH(Data[[#This Row],[ItemID B]],Katalog!$C$3:$C$12,0))*Data[[#This Row],[Qty B]],"0")</f>
        <v>100000</v>
      </c>
      <c r="Q208" t="s">
        <v>59</v>
      </c>
      <c r="R208" t="str">
        <f>IFERROR(INDEX(Katalog!$A$3:$A$12,MATCH(Data[[#This Row],[ItemID C]],Katalog!$C$3:$C$12,0)),"-")</f>
        <v>Pakaian Wanita</v>
      </c>
      <c r="S208" t="str">
        <f>IFERROR(INDEX(Katalog!$B$3:$B$12,MATCH(Data[[#This Row],[ItemID C]],Katalog!$C$3:$C$12,0)),"-")</f>
        <v>Blouse</v>
      </c>
      <c r="T208">
        <v>1</v>
      </c>
      <c r="U208">
        <v>2</v>
      </c>
      <c r="V208" s="36">
        <f>IFERROR(INDEX(Katalog!$D$3:$D$12,MATCH(Data[[#This Row],[ItemID C]],Katalog!$C$3:$C$12,0))*Data[[#This Row],[Qty C]],"0")</f>
        <v>150000</v>
      </c>
      <c r="W208" s="36">
        <f>IFERROR(INDEX(Katalog!$F$3:$F$12,MATCH(Data[[#This Row],[ItemID C]],Katalog!$C$3:$C$12,0))*Data[[#This Row],[Qty C]],"0")</f>
        <v>50000</v>
      </c>
      <c r="X208" s="21">
        <f>Data[[#This Row],[Qty A]]+Data[[#This Row],[Qty B]]+Data[[#This Row],[Qty C]]</f>
        <v>4</v>
      </c>
      <c r="Y208" s="22">
        <f>Data[[#This Row],[Harga Barang A]]+Data[[#This Row],[Harga Barang B]]+Data[[#This Row],[Harga Barang C]]</f>
        <v>1400000</v>
      </c>
      <c r="Z208" s="35">
        <f>IFERROR(Data[[#This Row],[Total Harga]]-(Data[[#This Row],[Total Harga]]*Data[[#This Row],[Diskon]]),Data[[#This Row],[Total Harga]])</f>
        <v>1120000</v>
      </c>
      <c r="AA208" s="35">
        <f>(Data[[#This Row],[Profit A]]+Data[[#This Row],[Profit B]]+Data[[#This Row],[Profit C]])</f>
        <v>550000</v>
      </c>
      <c r="AB208" s="35">
        <f>IFERROR((Data[[#This Row],[Profit non Diskon]]-(Data[[#This Row],[Profit non Diskon]]*Data[[#This Row],[Diskon]])),Data[[#This Row],[Profit non Diskon]])</f>
        <v>440000</v>
      </c>
      <c r="AC208" s="23" t="s">
        <v>8</v>
      </c>
      <c r="AD208" s="37">
        <f>IFERROR(INDEX('Kode Diskon'!$D$3:$D$9,MATCH(Data[[#This Row],[Kode diskon]],'Kode Diskon'!$C$3:$C$9,0)),"-")</f>
        <v>0.2</v>
      </c>
      <c r="AE208" s="23" t="s">
        <v>9</v>
      </c>
      <c r="AF208" s="23" t="s">
        <v>7</v>
      </c>
      <c r="AG208" s="23" t="s">
        <v>80</v>
      </c>
      <c r="AH208" s="24">
        <v>45038</v>
      </c>
      <c r="AI208" s="23" t="str">
        <f>TEXT(Data[[#This Row],[Tanggal terjual]],"dddd")</f>
        <v>Saturday</v>
      </c>
      <c r="AJ208" s="21" t="str">
        <f>TEXT(Data[[#This Row],[Tanggal terjual]],"wwww")</f>
        <v>wwww</v>
      </c>
    </row>
    <row r="209" spans="1:36" x14ac:dyDescent="0.2">
      <c r="A209" s="20">
        <v>208</v>
      </c>
      <c r="B209" s="21" t="str">
        <f>_xlfn.CONCAT("ORD-",INDEX(Helper!$B$2:$B$5,MATCH(Data[[#This Row],[Marketplace]],Helper!$A$2:$A$5,0)),TEXT(Data[[#This Row],[No]],"0000"),"-",TEXT(Data[[#This Row],[Tanggal terjual]],"dd/mm/yy"))</f>
        <v>ORD-TK0208-22/04/23</v>
      </c>
      <c r="C209" t="s">
        <v>59</v>
      </c>
      <c r="D209" t="str">
        <f>IFERROR(INDEX(Katalog!$A$3:$A$12,MATCH(Data[[#This Row],[ItemID A]],Katalog!$C$3:$C$12,0)),"-")</f>
        <v>Pakaian Wanita</v>
      </c>
      <c r="E209" t="str">
        <f>IFERROR(INDEX(Katalog!$B$3:$B$12,MATCH(Data[[#This Row],[ItemID A]],Katalog!$C$3:$C$12,0)),"-")</f>
        <v>Blouse</v>
      </c>
      <c r="F209">
        <v>1</v>
      </c>
      <c r="G209">
        <v>3</v>
      </c>
      <c r="H209" s="36">
        <f>IFERROR(INDEX(Katalog!$D$3:$D$12,MATCH(Data[[#This Row],[ItemID A]],Katalog!$C$3:$C$12,0))*Data[[#This Row],[Qty A]],"0")</f>
        <v>150000</v>
      </c>
      <c r="I209" s="36">
        <f>IFERROR(INDEX(Katalog!$F$3:$F$12,MATCH(Data[[#This Row],[ItemID A]],Katalog!$C$3:$C$12,0))*Data[[#This Row],[Qty A]],0)</f>
        <v>50000</v>
      </c>
      <c r="J209" t="s">
        <v>64</v>
      </c>
      <c r="K209" t="str">
        <f>IFERROR(INDEX(Katalog!$A$3:$A$12,MATCH(Data[[#This Row],[ItemID B]],Katalog!$C$3:$C$12,0)),"-")</f>
        <v>Pakaian Unisex</v>
      </c>
      <c r="L209" t="str">
        <f>IFERROR(INDEX(Katalog!$B$3:$B$12,MATCH(Data[[#This Row],[ItemID B]],Katalog!$C$3:$C$12,0)),"-")</f>
        <v>Jaket Hoodie</v>
      </c>
      <c r="M209">
        <v>5</v>
      </c>
      <c r="N209">
        <v>5</v>
      </c>
      <c r="O209" s="36">
        <f>IFERROR(INDEX(Katalog!$D$3:$D$12,MATCH(Data[[#This Row],[ItemID B]],Katalog!$C$3:$C$12,0))*Data[[#This Row],[Qty B]],"0")</f>
        <v>1750000</v>
      </c>
      <c r="P209" s="36">
        <f>IFERROR(INDEX(Katalog!$F$3:$F$12,MATCH(Data[[#This Row],[ItemID B]],Katalog!$C$3:$C$12,0))*Data[[#This Row],[Qty B]],"0")</f>
        <v>650000</v>
      </c>
      <c r="R209" t="str">
        <f>IFERROR(INDEX(Katalog!$A$3:$A$12,MATCH(Data[[#This Row],[ItemID C]],Katalog!$C$3:$C$12,0)),"-")</f>
        <v>-</v>
      </c>
      <c r="S209" t="str">
        <f>IFERROR(INDEX(Katalog!$B$3:$B$12,MATCH(Data[[#This Row],[ItemID C]],Katalog!$C$3:$C$12,0)),"-")</f>
        <v>-</v>
      </c>
      <c r="V209" s="36" t="str">
        <f>IFERROR(INDEX(Katalog!$D$3:$D$12,MATCH(Data[[#This Row],[ItemID C]],Katalog!$C$3:$C$12,0))*Data[[#This Row],[Qty C]],"0")</f>
        <v>0</v>
      </c>
      <c r="W209" s="36" t="str">
        <f>IFERROR(INDEX(Katalog!$F$3:$F$12,MATCH(Data[[#This Row],[ItemID C]],Katalog!$C$3:$C$12,0))*Data[[#This Row],[Qty C]],"0")</f>
        <v>0</v>
      </c>
      <c r="X209" s="21">
        <f>Data[[#This Row],[Qty A]]+Data[[#This Row],[Qty B]]+Data[[#This Row],[Qty C]]</f>
        <v>6</v>
      </c>
      <c r="Y209" s="22">
        <f>Data[[#This Row],[Harga Barang A]]+Data[[#This Row],[Harga Barang B]]+Data[[#This Row],[Harga Barang C]]</f>
        <v>1900000</v>
      </c>
      <c r="Z209" s="35">
        <f>IFERROR(Data[[#This Row],[Total Harga]]-(Data[[#This Row],[Total Harga]]*Data[[#This Row],[Diskon]]),Data[[#This Row],[Total Harga]])</f>
        <v>1710000</v>
      </c>
      <c r="AA209" s="35">
        <f>(Data[[#This Row],[Profit A]]+Data[[#This Row],[Profit B]]+Data[[#This Row],[Profit C]])</f>
        <v>700000</v>
      </c>
      <c r="AB209" s="35">
        <f>IFERROR((Data[[#This Row],[Profit non Diskon]]-(Data[[#This Row],[Profit non Diskon]]*Data[[#This Row],[Diskon]])),Data[[#This Row],[Profit non Diskon]])</f>
        <v>630000</v>
      </c>
      <c r="AC209" s="23" t="s">
        <v>31</v>
      </c>
      <c r="AD209" s="37">
        <f>IFERROR(INDEX('Kode Diskon'!$D$3:$D$9,MATCH(Data[[#This Row],[Kode diskon]],'Kode Diskon'!$C$3:$C$9,0)),"-")</f>
        <v>0.1</v>
      </c>
      <c r="AE209" s="23" t="s">
        <v>9</v>
      </c>
      <c r="AF209" s="23" t="s">
        <v>10</v>
      </c>
      <c r="AG209" s="23" t="s">
        <v>77</v>
      </c>
      <c r="AH209" s="24">
        <v>45038</v>
      </c>
      <c r="AI209" s="23" t="str">
        <f>TEXT(Data[[#This Row],[Tanggal terjual]],"dddd")</f>
        <v>Saturday</v>
      </c>
      <c r="AJ209" s="21" t="str">
        <f>TEXT(Data[[#This Row],[Tanggal terjual]],"wwww")</f>
        <v>wwww</v>
      </c>
    </row>
    <row r="210" spans="1:36" x14ac:dyDescent="0.2">
      <c r="A210" s="20">
        <v>209</v>
      </c>
      <c r="B210" s="21" t="str">
        <f>_xlfn.CONCAT("ORD-",INDEX(Helper!$B$2:$B$5,MATCH(Data[[#This Row],[Marketplace]],Helper!$A$2:$A$5,0)),TEXT(Data[[#This Row],[No]],"0000"),"-",TEXT(Data[[#This Row],[Tanggal terjual]],"dd/mm/yy"))</f>
        <v>ORD-SP0209-05/04/23</v>
      </c>
      <c r="C210" t="s">
        <v>60</v>
      </c>
      <c r="D210" t="str">
        <f>IFERROR(INDEX(Katalog!$A$3:$A$12,MATCH(Data[[#This Row],[ItemID A]],Katalog!$C$3:$C$12,0)),"-")</f>
        <v>Pakaian Wanita</v>
      </c>
      <c r="E210" t="str">
        <f>IFERROR(INDEX(Katalog!$B$3:$B$12,MATCH(Data[[#This Row],[ItemID A]],Katalog!$C$3:$C$12,0)),"-")</f>
        <v>Kaftan</v>
      </c>
      <c r="F210">
        <v>1</v>
      </c>
      <c r="G210">
        <v>4</v>
      </c>
      <c r="H210" s="36">
        <f>IFERROR(INDEX(Katalog!$D$3:$D$12,MATCH(Data[[#This Row],[ItemID A]],Katalog!$C$3:$C$12,0))*Data[[#This Row],[Qty A]],"0")</f>
        <v>250000</v>
      </c>
      <c r="I210" s="36">
        <f>IFERROR(INDEX(Katalog!$F$3:$F$12,MATCH(Data[[#This Row],[ItemID A]],Katalog!$C$3:$C$12,0))*Data[[#This Row],[Qty A]],0)</f>
        <v>100000</v>
      </c>
      <c r="J210" t="s">
        <v>67</v>
      </c>
      <c r="K210" t="str">
        <f>IFERROR(INDEX(Katalog!$A$3:$A$12,MATCH(Data[[#This Row],[ItemID B]],Katalog!$C$3:$C$12,0)),"-")</f>
        <v>Sepatu Wanita</v>
      </c>
      <c r="L210" t="str">
        <f>IFERROR(INDEX(Katalog!$B$3:$B$12,MATCH(Data[[#This Row],[ItemID B]],Katalog!$C$3:$C$12,0)),"-")</f>
        <v>Flat Shoes</v>
      </c>
      <c r="M210">
        <v>1</v>
      </c>
      <c r="N210">
        <v>4</v>
      </c>
      <c r="O210" s="36">
        <f>IFERROR(INDEX(Katalog!$D$3:$D$12,MATCH(Data[[#This Row],[ItemID B]],Katalog!$C$3:$C$12,0))*Data[[#This Row],[Qty B]],"0")</f>
        <v>250000</v>
      </c>
      <c r="P210" s="36">
        <f>IFERROR(INDEX(Katalog!$F$3:$F$12,MATCH(Data[[#This Row],[ItemID B]],Katalog!$C$3:$C$12,0))*Data[[#This Row],[Qty B]],"0")</f>
        <v>100000</v>
      </c>
      <c r="R210" t="str">
        <f>IFERROR(INDEX(Katalog!$A$3:$A$12,MATCH(Data[[#This Row],[ItemID C]],Katalog!$C$3:$C$12,0)),"-")</f>
        <v>-</v>
      </c>
      <c r="S210" t="str">
        <f>IFERROR(INDEX(Katalog!$B$3:$B$12,MATCH(Data[[#This Row],[ItemID C]],Katalog!$C$3:$C$12,0)),"-")</f>
        <v>-</v>
      </c>
      <c r="V210" s="36" t="str">
        <f>IFERROR(INDEX(Katalog!$D$3:$D$12,MATCH(Data[[#This Row],[ItemID C]],Katalog!$C$3:$C$12,0))*Data[[#This Row],[Qty C]],"0")</f>
        <v>0</v>
      </c>
      <c r="W210" s="36" t="str">
        <f>IFERROR(INDEX(Katalog!$F$3:$F$12,MATCH(Data[[#This Row],[ItemID C]],Katalog!$C$3:$C$12,0))*Data[[#This Row],[Qty C]],"0")</f>
        <v>0</v>
      </c>
      <c r="X210" s="21">
        <f>Data[[#This Row],[Qty A]]+Data[[#This Row],[Qty B]]+Data[[#This Row],[Qty C]]</f>
        <v>2</v>
      </c>
      <c r="Y210" s="22">
        <f>Data[[#This Row],[Harga Barang A]]+Data[[#This Row],[Harga Barang B]]+Data[[#This Row],[Harga Barang C]]</f>
        <v>500000</v>
      </c>
      <c r="Z210" s="35">
        <f>IFERROR(Data[[#This Row],[Total Harga]]-(Data[[#This Row],[Total Harga]]*Data[[#This Row],[Diskon]]),Data[[#This Row],[Total Harga]])</f>
        <v>425000</v>
      </c>
      <c r="AA210" s="35">
        <f>(Data[[#This Row],[Profit A]]+Data[[#This Row],[Profit B]]+Data[[#This Row],[Profit C]])</f>
        <v>200000</v>
      </c>
      <c r="AB210" s="35">
        <f>IFERROR((Data[[#This Row],[Profit non Diskon]]-(Data[[#This Row],[Profit non Diskon]]*Data[[#This Row],[Diskon]])),Data[[#This Row],[Profit non Diskon]])</f>
        <v>170000</v>
      </c>
      <c r="AC210" s="23" t="s">
        <v>13</v>
      </c>
      <c r="AD210" s="37">
        <f>IFERROR(INDEX('Kode Diskon'!$D$3:$D$9,MATCH(Data[[#This Row],[Kode diskon]],'Kode Diskon'!$C$3:$C$9,0)),"-")</f>
        <v>0.15</v>
      </c>
      <c r="AE210" s="23" t="s">
        <v>29</v>
      </c>
      <c r="AF210" s="23" t="s">
        <v>7</v>
      </c>
      <c r="AG210" s="23" t="s">
        <v>80</v>
      </c>
      <c r="AH210" s="24">
        <v>45021</v>
      </c>
      <c r="AI210" s="23" t="str">
        <f>TEXT(Data[[#This Row],[Tanggal terjual]],"dddd")</f>
        <v>Wednesday</v>
      </c>
      <c r="AJ210" s="21" t="str">
        <f>TEXT(Data[[#This Row],[Tanggal terjual]],"wwww")</f>
        <v>wwww</v>
      </c>
    </row>
    <row r="211" spans="1:36" x14ac:dyDescent="0.2">
      <c r="A211" s="20">
        <v>210</v>
      </c>
      <c r="B211" s="21" t="str">
        <f>_xlfn.CONCAT("ORD-",INDEX(Helper!$B$2:$B$5,MATCH(Data[[#This Row],[Marketplace]],Helper!$A$2:$A$5,0)),TEXT(Data[[#This Row],[No]],"0000"),"-",TEXT(Data[[#This Row],[Tanggal terjual]],"dd/mm/yy"))</f>
        <v>ORD-TK0210-23/04/23</v>
      </c>
      <c r="C211" t="s">
        <v>63</v>
      </c>
      <c r="D211" t="str">
        <f>IFERROR(INDEX(Katalog!$A$3:$A$12,MATCH(Data[[#This Row],[ItemID A]],Katalog!$C$3:$C$12,0)),"-")</f>
        <v>Pakaian Pria</v>
      </c>
      <c r="E211" t="str">
        <f>IFERROR(INDEX(Katalog!$B$3:$B$12,MATCH(Data[[#This Row],[ItemID A]],Katalog!$C$3:$C$12,0)),"-")</f>
        <v>Jaket Jeans</v>
      </c>
      <c r="F211">
        <v>2</v>
      </c>
      <c r="G211">
        <v>5</v>
      </c>
      <c r="H211" s="36">
        <f>IFERROR(INDEX(Katalog!$D$3:$D$12,MATCH(Data[[#This Row],[ItemID A]],Katalog!$C$3:$C$12,0))*Data[[#This Row],[Qty A]],"0")</f>
        <v>800000</v>
      </c>
      <c r="I211" s="36">
        <f>IFERROR(INDEX(Katalog!$F$3:$F$12,MATCH(Data[[#This Row],[ItemID A]],Katalog!$C$3:$C$12,0))*Data[[#This Row],[Qty A]],0)</f>
        <v>300000</v>
      </c>
      <c r="J211" t="s">
        <v>58</v>
      </c>
      <c r="K211" t="str">
        <f>IFERROR(INDEX(Katalog!$A$3:$A$12,MATCH(Data[[#This Row],[ItemID B]],Katalog!$C$3:$C$12,0)),"-")</f>
        <v>Pakaian Wanita</v>
      </c>
      <c r="L211" t="str">
        <f>IFERROR(INDEX(Katalog!$B$3:$B$12,MATCH(Data[[#This Row],[ItemID B]],Katalog!$C$3:$C$12,0)),"-")</f>
        <v>Dress</v>
      </c>
      <c r="M211">
        <v>1</v>
      </c>
      <c r="N211">
        <v>1</v>
      </c>
      <c r="O211" s="36">
        <f>IFERROR(INDEX(Katalog!$D$3:$D$12,MATCH(Data[[#This Row],[ItemID B]],Katalog!$C$3:$C$12,0))*Data[[#This Row],[Qty B]],"0")</f>
        <v>300000</v>
      </c>
      <c r="P211" s="36">
        <f>IFERROR(INDEX(Katalog!$F$3:$F$12,MATCH(Data[[#This Row],[ItemID B]],Katalog!$C$3:$C$12,0))*Data[[#This Row],[Qty B]],"0")</f>
        <v>100000</v>
      </c>
      <c r="Q211" t="s">
        <v>59</v>
      </c>
      <c r="R211" t="str">
        <f>IFERROR(INDEX(Katalog!$A$3:$A$12,MATCH(Data[[#This Row],[ItemID C]],Katalog!$C$3:$C$12,0)),"-")</f>
        <v>Pakaian Wanita</v>
      </c>
      <c r="S211" t="str">
        <f>IFERROR(INDEX(Katalog!$B$3:$B$12,MATCH(Data[[#This Row],[ItemID C]],Katalog!$C$3:$C$12,0)),"-")</f>
        <v>Blouse</v>
      </c>
      <c r="T211">
        <v>2</v>
      </c>
      <c r="U211">
        <v>2</v>
      </c>
      <c r="V211" s="36">
        <f>IFERROR(INDEX(Katalog!$D$3:$D$12,MATCH(Data[[#This Row],[ItemID C]],Katalog!$C$3:$C$12,0))*Data[[#This Row],[Qty C]],"0")</f>
        <v>300000</v>
      </c>
      <c r="W211" s="36">
        <f>IFERROR(INDEX(Katalog!$F$3:$F$12,MATCH(Data[[#This Row],[ItemID C]],Katalog!$C$3:$C$12,0))*Data[[#This Row],[Qty C]],"0")</f>
        <v>100000</v>
      </c>
      <c r="X211" s="21">
        <f>Data[[#This Row],[Qty A]]+Data[[#This Row],[Qty B]]+Data[[#This Row],[Qty C]]</f>
        <v>5</v>
      </c>
      <c r="Y211" s="22">
        <f>Data[[#This Row],[Harga Barang A]]+Data[[#This Row],[Harga Barang B]]+Data[[#This Row],[Harga Barang C]]</f>
        <v>1400000</v>
      </c>
      <c r="Z211" s="35">
        <f>IFERROR(Data[[#This Row],[Total Harga]]-(Data[[#This Row],[Total Harga]]*Data[[#This Row],[Diskon]]),Data[[#This Row],[Total Harga]])</f>
        <v>1260000</v>
      </c>
      <c r="AA211" s="35">
        <f>(Data[[#This Row],[Profit A]]+Data[[#This Row],[Profit B]]+Data[[#This Row],[Profit C]])</f>
        <v>500000</v>
      </c>
      <c r="AB211" s="35">
        <f>IFERROR((Data[[#This Row],[Profit non Diskon]]-(Data[[#This Row],[Profit non Diskon]]*Data[[#This Row],[Diskon]])),Data[[#This Row],[Profit non Diskon]])</f>
        <v>450000</v>
      </c>
      <c r="AC211" s="23" t="s">
        <v>31</v>
      </c>
      <c r="AD211" s="37">
        <f>IFERROR(INDEX('Kode Diskon'!$D$3:$D$9,MATCH(Data[[#This Row],[Kode diskon]],'Kode Diskon'!$C$3:$C$9,0)),"-")</f>
        <v>0.1</v>
      </c>
      <c r="AE211" s="23" t="s">
        <v>9</v>
      </c>
      <c r="AF211" s="23" t="s">
        <v>10</v>
      </c>
      <c r="AG211" s="23" t="s">
        <v>80</v>
      </c>
      <c r="AH211" s="24">
        <v>45039</v>
      </c>
      <c r="AI211" s="23" t="str">
        <f>TEXT(Data[[#This Row],[Tanggal terjual]],"dddd")</f>
        <v>Sunday</v>
      </c>
      <c r="AJ211" s="21" t="str">
        <f>TEXT(Data[[#This Row],[Tanggal terjual]],"wwww")</f>
        <v>wwww</v>
      </c>
    </row>
    <row r="212" spans="1:36" x14ac:dyDescent="0.2">
      <c r="A212" s="20">
        <v>211</v>
      </c>
      <c r="B212" s="21" t="str">
        <f>_xlfn.CONCAT("ORD-",INDEX(Helper!$B$2:$B$5,MATCH(Data[[#This Row],[Marketplace]],Helper!$A$2:$A$5,0)),TEXT(Data[[#This Row],[No]],"0000"),"-",TEXT(Data[[#This Row],[Tanggal terjual]],"dd/mm/yy"))</f>
        <v>ORD-TK0211-08/04/23</v>
      </c>
      <c r="C212" t="s">
        <v>65</v>
      </c>
      <c r="D212" t="str">
        <f>IFERROR(INDEX(Katalog!$A$3:$A$12,MATCH(Data[[#This Row],[ItemID A]],Katalog!$C$3:$C$12,0)),"-")</f>
        <v>Sepatu Pria</v>
      </c>
      <c r="E212" t="str">
        <f>IFERROR(INDEX(Katalog!$B$3:$B$12,MATCH(Data[[#This Row],[ItemID A]],Katalog!$C$3:$C$12,0)),"-")</f>
        <v>Sneakers</v>
      </c>
      <c r="F212">
        <v>4</v>
      </c>
      <c r="G212">
        <v>1</v>
      </c>
      <c r="H212" s="36">
        <f>IFERROR(INDEX(Katalog!$D$3:$D$12,MATCH(Data[[#This Row],[ItemID A]],Katalog!$C$3:$C$12,0))*Data[[#This Row],[Qty A]],"0")</f>
        <v>2000000</v>
      </c>
      <c r="I212" s="36">
        <f>IFERROR(INDEX(Katalog!$F$3:$F$12,MATCH(Data[[#This Row],[ItemID A]],Katalog!$C$3:$C$12,0))*Data[[#This Row],[Qty A]],0)</f>
        <v>800000</v>
      </c>
      <c r="J212" t="s">
        <v>64</v>
      </c>
      <c r="K212" t="str">
        <f>IFERROR(INDEX(Katalog!$A$3:$A$12,MATCH(Data[[#This Row],[ItemID B]],Katalog!$C$3:$C$12,0)),"-")</f>
        <v>Pakaian Unisex</v>
      </c>
      <c r="L212" t="str">
        <f>IFERROR(INDEX(Katalog!$B$3:$B$12,MATCH(Data[[#This Row],[ItemID B]],Katalog!$C$3:$C$12,0)),"-")</f>
        <v>Jaket Hoodie</v>
      </c>
      <c r="M212">
        <v>3</v>
      </c>
      <c r="N212">
        <v>4</v>
      </c>
      <c r="O212" s="36">
        <f>IFERROR(INDEX(Katalog!$D$3:$D$12,MATCH(Data[[#This Row],[ItemID B]],Katalog!$C$3:$C$12,0))*Data[[#This Row],[Qty B]],"0")</f>
        <v>1050000</v>
      </c>
      <c r="P212" s="36">
        <f>IFERROR(INDEX(Katalog!$F$3:$F$12,MATCH(Data[[#This Row],[ItemID B]],Katalog!$C$3:$C$12,0))*Data[[#This Row],[Qty B]],"0")</f>
        <v>390000</v>
      </c>
      <c r="R212" t="str">
        <f>IFERROR(INDEX(Katalog!$A$3:$A$12,MATCH(Data[[#This Row],[ItemID C]],Katalog!$C$3:$C$12,0)),"-")</f>
        <v>-</v>
      </c>
      <c r="S212" t="str">
        <f>IFERROR(INDEX(Katalog!$B$3:$B$12,MATCH(Data[[#This Row],[ItemID C]],Katalog!$C$3:$C$12,0)),"-")</f>
        <v>-</v>
      </c>
      <c r="V212" s="36" t="str">
        <f>IFERROR(INDEX(Katalog!$D$3:$D$12,MATCH(Data[[#This Row],[ItemID C]],Katalog!$C$3:$C$12,0))*Data[[#This Row],[Qty C]],"0")</f>
        <v>0</v>
      </c>
      <c r="W212" s="36" t="str">
        <f>IFERROR(INDEX(Katalog!$F$3:$F$12,MATCH(Data[[#This Row],[ItemID C]],Katalog!$C$3:$C$12,0))*Data[[#This Row],[Qty C]],"0")</f>
        <v>0</v>
      </c>
      <c r="X212" s="21">
        <f>Data[[#This Row],[Qty A]]+Data[[#This Row],[Qty B]]+Data[[#This Row],[Qty C]]</f>
        <v>7</v>
      </c>
      <c r="Y212" s="22">
        <f>Data[[#This Row],[Harga Barang A]]+Data[[#This Row],[Harga Barang B]]+Data[[#This Row],[Harga Barang C]]</f>
        <v>3050000</v>
      </c>
      <c r="Z212" s="35">
        <f>IFERROR(Data[[#This Row],[Total Harga]]-(Data[[#This Row],[Total Harga]]*Data[[#This Row],[Diskon]]),Data[[#This Row],[Total Harga]])</f>
        <v>3050000</v>
      </c>
      <c r="AA212" s="35">
        <f>(Data[[#This Row],[Profit A]]+Data[[#This Row],[Profit B]]+Data[[#This Row],[Profit C]])</f>
        <v>1190000</v>
      </c>
      <c r="AB212" s="35">
        <f>IFERROR((Data[[#This Row],[Profit non Diskon]]-(Data[[#This Row],[Profit non Diskon]]*Data[[#This Row],[Diskon]])),Data[[#This Row],[Profit non Diskon]])</f>
        <v>1190000</v>
      </c>
      <c r="AC212" s="23" t="s">
        <v>11</v>
      </c>
      <c r="AD212" s="37" t="str">
        <f>IFERROR(INDEX('Kode Diskon'!$D$3:$D$9,MATCH(Data[[#This Row],[Kode diskon]],'Kode Diskon'!$C$3:$C$9,0)),"-")</f>
        <v>-</v>
      </c>
      <c r="AE212" s="23" t="s">
        <v>11</v>
      </c>
      <c r="AF212" s="23" t="s">
        <v>10</v>
      </c>
      <c r="AG212" s="23" t="s">
        <v>80</v>
      </c>
      <c r="AH212" s="24">
        <v>45024</v>
      </c>
      <c r="AI212" s="23" t="str">
        <f>TEXT(Data[[#This Row],[Tanggal terjual]],"dddd")</f>
        <v>Saturday</v>
      </c>
      <c r="AJ212" s="21" t="str">
        <f>TEXT(Data[[#This Row],[Tanggal terjual]],"wwww")</f>
        <v>wwww</v>
      </c>
    </row>
    <row r="213" spans="1:36" x14ac:dyDescent="0.2">
      <c r="A213" s="20">
        <v>212</v>
      </c>
      <c r="B213" s="21" t="str">
        <f>_xlfn.CONCAT("ORD-",INDEX(Helper!$B$2:$B$5,MATCH(Data[[#This Row],[Marketplace]],Helper!$A$2:$A$5,0)),TEXT(Data[[#This Row],[No]],"0000"),"-",TEXT(Data[[#This Row],[Tanggal terjual]],"dd/mm/yy"))</f>
        <v>ORD-BB0212-06/04/23</v>
      </c>
      <c r="C213" t="s">
        <v>60</v>
      </c>
      <c r="D213" t="str">
        <f>IFERROR(INDEX(Katalog!$A$3:$A$12,MATCH(Data[[#This Row],[ItemID A]],Katalog!$C$3:$C$12,0)),"-")</f>
        <v>Pakaian Wanita</v>
      </c>
      <c r="E213" t="str">
        <f>IFERROR(INDEX(Katalog!$B$3:$B$12,MATCH(Data[[#This Row],[ItemID A]],Katalog!$C$3:$C$12,0)),"-")</f>
        <v>Kaftan</v>
      </c>
      <c r="F213">
        <v>1</v>
      </c>
      <c r="G213">
        <v>5</v>
      </c>
      <c r="H213" s="36">
        <f>IFERROR(INDEX(Katalog!$D$3:$D$12,MATCH(Data[[#This Row],[ItemID A]],Katalog!$C$3:$C$12,0))*Data[[#This Row],[Qty A]],"0")</f>
        <v>250000</v>
      </c>
      <c r="I213" s="36">
        <f>IFERROR(INDEX(Katalog!$F$3:$F$12,MATCH(Data[[#This Row],[ItemID A]],Katalog!$C$3:$C$12,0))*Data[[#This Row],[Qty A]],0)</f>
        <v>100000</v>
      </c>
      <c r="K213" t="str">
        <f>IFERROR(INDEX(Katalog!$A$3:$A$12,MATCH(Data[[#This Row],[ItemID B]],Katalog!$C$3:$C$12,0)),"-")</f>
        <v>-</v>
      </c>
      <c r="L213" t="str">
        <f>IFERROR(INDEX(Katalog!$B$3:$B$12,MATCH(Data[[#This Row],[ItemID B]],Katalog!$C$3:$C$12,0)),"-")</f>
        <v>-</v>
      </c>
      <c r="O213" s="36" t="str">
        <f>IFERROR(INDEX(Katalog!$D$3:$D$12,MATCH(Data[[#This Row],[ItemID B]],Katalog!$C$3:$C$12,0))*Data[[#This Row],[Qty B]],"0")</f>
        <v>0</v>
      </c>
      <c r="P213" s="36" t="str">
        <f>IFERROR(INDEX(Katalog!$F$3:$F$12,MATCH(Data[[#This Row],[ItemID B]],Katalog!$C$3:$C$12,0))*Data[[#This Row],[Qty B]],"0")</f>
        <v>0</v>
      </c>
      <c r="R213" t="str">
        <f>IFERROR(INDEX(Katalog!$A$3:$A$12,MATCH(Data[[#This Row],[ItemID C]],Katalog!$C$3:$C$12,0)),"-")</f>
        <v>-</v>
      </c>
      <c r="S213" t="str">
        <f>IFERROR(INDEX(Katalog!$B$3:$B$12,MATCH(Data[[#This Row],[ItemID C]],Katalog!$C$3:$C$12,0)),"-")</f>
        <v>-</v>
      </c>
      <c r="V213" s="36" t="str">
        <f>IFERROR(INDEX(Katalog!$D$3:$D$12,MATCH(Data[[#This Row],[ItemID C]],Katalog!$C$3:$C$12,0))*Data[[#This Row],[Qty C]],"0")</f>
        <v>0</v>
      </c>
      <c r="W213" s="36" t="str">
        <f>IFERROR(INDEX(Katalog!$F$3:$F$12,MATCH(Data[[#This Row],[ItemID C]],Katalog!$C$3:$C$12,0))*Data[[#This Row],[Qty C]],"0")</f>
        <v>0</v>
      </c>
      <c r="X213" s="21">
        <f>Data[[#This Row],[Qty A]]+Data[[#This Row],[Qty B]]+Data[[#This Row],[Qty C]]</f>
        <v>1</v>
      </c>
      <c r="Y213" s="22">
        <f>Data[[#This Row],[Harga Barang A]]+Data[[#This Row],[Harga Barang B]]+Data[[#This Row],[Harga Barang C]]</f>
        <v>250000</v>
      </c>
      <c r="Z213" s="35">
        <f>IFERROR(Data[[#This Row],[Total Harga]]-(Data[[#This Row],[Total Harga]]*Data[[#This Row],[Diskon]]),Data[[#This Row],[Total Harga]])</f>
        <v>212500</v>
      </c>
      <c r="AA213" s="35">
        <f>(Data[[#This Row],[Profit A]]+Data[[#This Row],[Profit B]]+Data[[#This Row],[Profit C]])</f>
        <v>100000</v>
      </c>
      <c r="AB213" s="35">
        <f>IFERROR((Data[[#This Row],[Profit non Diskon]]-(Data[[#This Row],[Profit non Diskon]]*Data[[#This Row],[Diskon]])),Data[[#This Row],[Profit non Diskon]])</f>
        <v>85000</v>
      </c>
      <c r="AC213" s="23" t="s">
        <v>28</v>
      </c>
      <c r="AD213" s="37">
        <f>IFERROR(INDEX('Kode Diskon'!$D$3:$D$9,MATCH(Data[[#This Row],[Kode diskon]],'Kode Diskon'!$C$3:$C$9,0)),"-")</f>
        <v>0.15</v>
      </c>
      <c r="AE213" s="23" t="s">
        <v>29</v>
      </c>
      <c r="AF213" s="23" t="s">
        <v>14</v>
      </c>
      <c r="AG213" s="23" t="s">
        <v>76</v>
      </c>
      <c r="AH213" s="24">
        <v>45022</v>
      </c>
      <c r="AI213" s="23" t="str">
        <f>TEXT(Data[[#This Row],[Tanggal terjual]],"dddd")</f>
        <v>Thursday</v>
      </c>
      <c r="AJ213" s="21" t="str">
        <f>TEXT(Data[[#This Row],[Tanggal terjual]],"wwww")</f>
        <v>wwww</v>
      </c>
    </row>
    <row r="214" spans="1:36" x14ac:dyDescent="0.2">
      <c r="A214" s="20">
        <v>213</v>
      </c>
      <c r="B214" s="21" t="str">
        <f>_xlfn.CONCAT("ORD-",INDEX(Helper!$B$2:$B$5,MATCH(Data[[#This Row],[Marketplace]],Helper!$A$2:$A$5,0)),TEXT(Data[[#This Row],[No]],"0000"),"-",TEXT(Data[[#This Row],[Tanggal terjual]],"dd/mm/yy"))</f>
        <v>ORD-BB0213-06/04/23</v>
      </c>
      <c r="C214" t="s">
        <v>59</v>
      </c>
      <c r="D214" t="str">
        <f>IFERROR(INDEX(Katalog!$A$3:$A$12,MATCH(Data[[#This Row],[ItemID A]],Katalog!$C$3:$C$12,0)),"-")</f>
        <v>Pakaian Wanita</v>
      </c>
      <c r="E214" t="str">
        <f>IFERROR(INDEX(Katalog!$B$3:$B$12,MATCH(Data[[#This Row],[ItemID A]],Katalog!$C$3:$C$12,0)),"-")</f>
        <v>Blouse</v>
      </c>
      <c r="F214">
        <v>3</v>
      </c>
      <c r="G214">
        <v>5</v>
      </c>
      <c r="H214" s="36">
        <f>IFERROR(INDEX(Katalog!$D$3:$D$12,MATCH(Data[[#This Row],[ItemID A]],Katalog!$C$3:$C$12,0))*Data[[#This Row],[Qty A]],"0")</f>
        <v>450000</v>
      </c>
      <c r="I214" s="36">
        <f>IFERROR(INDEX(Katalog!$F$3:$F$12,MATCH(Data[[#This Row],[ItemID A]],Katalog!$C$3:$C$12,0))*Data[[#This Row],[Qty A]],0)</f>
        <v>150000</v>
      </c>
      <c r="J214" t="s">
        <v>60</v>
      </c>
      <c r="K214" t="str">
        <f>IFERROR(INDEX(Katalog!$A$3:$A$12,MATCH(Data[[#This Row],[ItemID B]],Katalog!$C$3:$C$12,0)),"-")</f>
        <v>Pakaian Wanita</v>
      </c>
      <c r="L214" t="str">
        <f>IFERROR(INDEX(Katalog!$B$3:$B$12,MATCH(Data[[#This Row],[ItemID B]],Katalog!$C$3:$C$12,0)),"-")</f>
        <v>Kaftan</v>
      </c>
      <c r="M214">
        <v>1</v>
      </c>
      <c r="N214">
        <v>5</v>
      </c>
      <c r="O214" s="36">
        <f>IFERROR(INDEX(Katalog!$D$3:$D$12,MATCH(Data[[#This Row],[ItemID B]],Katalog!$C$3:$C$12,0))*Data[[#This Row],[Qty B]],"0")</f>
        <v>250000</v>
      </c>
      <c r="P214" s="36">
        <f>IFERROR(INDEX(Katalog!$F$3:$F$12,MATCH(Data[[#This Row],[ItemID B]],Katalog!$C$3:$C$12,0))*Data[[#This Row],[Qty B]],"0")</f>
        <v>100000</v>
      </c>
      <c r="R214" t="str">
        <f>IFERROR(INDEX(Katalog!$A$3:$A$12,MATCH(Data[[#This Row],[ItemID C]],Katalog!$C$3:$C$12,0)),"-")</f>
        <v>-</v>
      </c>
      <c r="S214" t="str">
        <f>IFERROR(INDEX(Katalog!$B$3:$B$12,MATCH(Data[[#This Row],[ItemID C]],Katalog!$C$3:$C$12,0)),"-")</f>
        <v>-</v>
      </c>
      <c r="V214" s="36" t="str">
        <f>IFERROR(INDEX(Katalog!$D$3:$D$12,MATCH(Data[[#This Row],[ItemID C]],Katalog!$C$3:$C$12,0))*Data[[#This Row],[Qty C]],"0")</f>
        <v>0</v>
      </c>
      <c r="W214" s="36" t="str">
        <f>IFERROR(INDEX(Katalog!$F$3:$F$12,MATCH(Data[[#This Row],[ItemID C]],Katalog!$C$3:$C$12,0))*Data[[#This Row],[Qty C]],"0")</f>
        <v>0</v>
      </c>
      <c r="X214" s="21">
        <f>Data[[#This Row],[Qty A]]+Data[[#This Row],[Qty B]]+Data[[#This Row],[Qty C]]</f>
        <v>4</v>
      </c>
      <c r="Y214" s="22">
        <f>Data[[#This Row],[Harga Barang A]]+Data[[#This Row],[Harga Barang B]]+Data[[#This Row],[Harga Barang C]]</f>
        <v>700000</v>
      </c>
      <c r="Z214" s="35">
        <f>IFERROR(Data[[#This Row],[Total Harga]]-(Data[[#This Row],[Total Harga]]*Data[[#This Row],[Diskon]]),Data[[#This Row],[Total Harga]])</f>
        <v>595000</v>
      </c>
      <c r="AA214" s="35">
        <f>(Data[[#This Row],[Profit A]]+Data[[#This Row],[Profit B]]+Data[[#This Row],[Profit C]])</f>
        <v>250000</v>
      </c>
      <c r="AB214" s="35">
        <f>IFERROR((Data[[#This Row],[Profit non Diskon]]-(Data[[#This Row],[Profit non Diskon]]*Data[[#This Row],[Diskon]])),Data[[#This Row],[Profit non Diskon]])</f>
        <v>212500</v>
      </c>
      <c r="AC214" s="23" t="s">
        <v>28</v>
      </c>
      <c r="AD214" s="37">
        <f>IFERROR(INDEX('Kode Diskon'!$D$3:$D$9,MATCH(Data[[#This Row],[Kode diskon]],'Kode Diskon'!$C$3:$C$9,0)),"-")</f>
        <v>0.15</v>
      </c>
      <c r="AE214" s="23" t="s">
        <v>29</v>
      </c>
      <c r="AF214" s="23" t="s">
        <v>14</v>
      </c>
      <c r="AG214" s="23" t="s">
        <v>80</v>
      </c>
      <c r="AH214" s="24">
        <v>45022</v>
      </c>
      <c r="AI214" s="23" t="str">
        <f>TEXT(Data[[#This Row],[Tanggal terjual]],"dddd")</f>
        <v>Thursday</v>
      </c>
      <c r="AJ214" s="21" t="str">
        <f>TEXT(Data[[#This Row],[Tanggal terjual]],"wwww")</f>
        <v>wwww</v>
      </c>
    </row>
    <row r="215" spans="1:36" x14ac:dyDescent="0.2">
      <c r="A215" s="20">
        <v>214</v>
      </c>
      <c r="B215" s="21" t="str">
        <f>_xlfn.CONCAT("ORD-",INDEX(Helper!$B$2:$B$5,MATCH(Data[[#This Row],[Marketplace]],Helper!$A$2:$A$5,0)),TEXT(Data[[#This Row],[No]],"0000"),"-",TEXT(Data[[#This Row],[Tanggal terjual]],"dd/mm/yy"))</f>
        <v>ORD-SP0214-21/04/23</v>
      </c>
      <c r="C215" t="s">
        <v>62</v>
      </c>
      <c r="D215" t="str">
        <f>IFERROR(INDEX(Katalog!$A$3:$A$12,MATCH(Data[[#This Row],[ItemID A]],Katalog!$C$3:$C$12,0)),"-")</f>
        <v>Pakaian Pria</v>
      </c>
      <c r="E215" t="str">
        <f>IFERROR(INDEX(Katalog!$B$3:$B$12,MATCH(Data[[#This Row],[ItemID A]],Katalog!$C$3:$C$12,0)),"-")</f>
        <v>Celana Pendek</v>
      </c>
      <c r="F215">
        <v>1</v>
      </c>
      <c r="G215">
        <v>1</v>
      </c>
      <c r="H215" s="36">
        <f>IFERROR(INDEX(Katalog!$D$3:$D$12,MATCH(Data[[#This Row],[ItemID A]],Katalog!$C$3:$C$12,0))*Data[[#This Row],[Qty A]],"0")</f>
        <v>180000</v>
      </c>
      <c r="I215" s="36">
        <f>IFERROR(INDEX(Katalog!$F$3:$F$12,MATCH(Data[[#This Row],[ItemID A]],Katalog!$C$3:$C$12,0))*Data[[#This Row],[Qty A]],0)</f>
        <v>70000</v>
      </c>
      <c r="K215" t="str">
        <f>IFERROR(INDEX(Katalog!$A$3:$A$12,MATCH(Data[[#This Row],[ItemID B]],Katalog!$C$3:$C$12,0)),"-")</f>
        <v>-</v>
      </c>
      <c r="L215" t="str">
        <f>IFERROR(INDEX(Katalog!$B$3:$B$12,MATCH(Data[[#This Row],[ItemID B]],Katalog!$C$3:$C$12,0)),"-")</f>
        <v>-</v>
      </c>
      <c r="O215" s="36" t="str">
        <f>IFERROR(INDEX(Katalog!$D$3:$D$12,MATCH(Data[[#This Row],[ItemID B]],Katalog!$C$3:$C$12,0))*Data[[#This Row],[Qty B]],"0")</f>
        <v>0</v>
      </c>
      <c r="P215" s="36" t="str">
        <f>IFERROR(INDEX(Katalog!$F$3:$F$12,MATCH(Data[[#This Row],[ItemID B]],Katalog!$C$3:$C$12,0))*Data[[#This Row],[Qty B]],"0")</f>
        <v>0</v>
      </c>
      <c r="R215" t="str">
        <f>IFERROR(INDEX(Katalog!$A$3:$A$12,MATCH(Data[[#This Row],[ItemID C]],Katalog!$C$3:$C$12,0)),"-")</f>
        <v>-</v>
      </c>
      <c r="S215" t="str">
        <f>IFERROR(INDEX(Katalog!$B$3:$B$12,MATCH(Data[[#This Row],[ItemID C]],Katalog!$C$3:$C$12,0)),"-")</f>
        <v>-</v>
      </c>
      <c r="V215" s="36" t="str">
        <f>IFERROR(INDEX(Katalog!$D$3:$D$12,MATCH(Data[[#This Row],[ItemID C]],Katalog!$C$3:$C$12,0))*Data[[#This Row],[Qty C]],"0")</f>
        <v>0</v>
      </c>
      <c r="W215" s="36" t="str">
        <f>IFERROR(INDEX(Katalog!$F$3:$F$12,MATCH(Data[[#This Row],[ItemID C]],Katalog!$C$3:$C$12,0))*Data[[#This Row],[Qty C]],"0")</f>
        <v>0</v>
      </c>
      <c r="X215" s="21">
        <f>Data[[#This Row],[Qty A]]+Data[[#This Row],[Qty B]]+Data[[#This Row],[Qty C]]</f>
        <v>1</v>
      </c>
      <c r="Y215" s="22">
        <f>Data[[#This Row],[Harga Barang A]]+Data[[#This Row],[Harga Barang B]]+Data[[#This Row],[Harga Barang C]]</f>
        <v>180000</v>
      </c>
      <c r="Z215" s="35">
        <f>IFERROR(Data[[#This Row],[Total Harga]]-(Data[[#This Row],[Total Harga]]*Data[[#This Row],[Diskon]]),Data[[#This Row],[Total Harga]])</f>
        <v>144000</v>
      </c>
      <c r="AA215" s="35">
        <f>(Data[[#This Row],[Profit A]]+Data[[#This Row],[Profit B]]+Data[[#This Row],[Profit C]])</f>
        <v>70000</v>
      </c>
      <c r="AB215" s="35">
        <f>IFERROR((Data[[#This Row],[Profit non Diskon]]-(Data[[#This Row],[Profit non Diskon]]*Data[[#This Row],[Diskon]])),Data[[#This Row],[Profit non Diskon]])</f>
        <v>56000</v>
      </c>
      <c r="AC215" s="23" t="s">
        <v>8</v>
      </c>
      <c r="AD215" s="37">
        <f>IFERROR(INDEX('Kode Diskon'!$D$3:$D$9,MATCH(Data[[#This Row],[Kode diskon]],'Kode Diskon'!$C$3:$C$9,0)),"-")</f>
        <v>0.2</v>
      </c>
      <c r="AE215" s="23" t="s">
        <v>9</v>
      </c>
      <c r="AF215" s="23" t="s">
        <v>7</v>
      </c>
      <c r="AG215" s="23" t="s">
        <v>75</v>
      </c>
      <c r="AH215" s="24">
        <v>45037</v>
      </c>
      <c r="AI215" s="23" t="str">
        <f>TEXT(Data[[#This Row],[Tanggal terjual]],"dddd")</f>
        <v>Friday</v>
      </c>
      <c r="AJ215" s="21" t="str">
        <f>TEXT(Data[[#This Row],[Tanggal terjual]],"wwww")</f>
        <v>wwww</v>
      </c>
    </row>
    <row r="216" spans="1:36" x14ac:dyDescent="0.2">
      <c r="A216" s="20">
        <v>215</v>
      </c>
      <c r="B216" s="21" t="str">
        <f>_xlfn.CONCAT("ORD-",INDEX(Helper!$B$2:$B$5,MATCH(Data[[#This Row],[Marketplace]],Helper!$A$2:$A$5,0)),TEXT(Data[[#This Row],[No]],"0000"),"-",TEXT(Data[[#This Row],[Tanggal terjual]],"dd/mm/yy"))</f>
        <v>ORD-BL0215-25/04/23</v>
      </c>
      <c r="C216" t="s">
        <v>61</v>
      </c>
      <c r="D216" t="str">
        <f>IFERROR(INDEX(Katalog!$A$3:$A$12,MATCH(Data[[#This Row],[ItemID A]],Katalog!$C$3:$C$12,0)),"-")</f>
        <v>Pakaian Pria</v>
      </c>
      <c r="E216" t="str">
        <f>IFERROR(INDEX(Katalog!$B$3:$B$12,MATCH(Data[[#This Row],[ItemID A]],Katalog!$C$3:$C$12,0)),"-")</f>
        <v>Kaos Polo</v>
      </c>
      <c r="F216">
        <v>4</v>
      </c>
      <c r="G216">
        <v>4</v>
      </c>
      <c r="H216" s="36">
        <f>IFERROR(INDEX(Katalog!$D$3:$D$12,MATCH(Data[[#This Row],[ItemID A]],Katalog!$C$3:$C$12,0))*Data[[#This Row],[Qty A]],"0")</f>
        <v>800000</v>
      </c>
      <c r="I216" s="36">
        <f>IFERROR(INDEX(Katalog!$F$3:$F$12,MATCH(Data[[#This Row],[ItemID A]],Katalog!$C$3:$C$12,0))*Data[[#This Row],[Qty A]],0)</f>
        <v>320000</v>
      </c>
      <c r="J216" t="s">
        <v>65</v>
      </c>
      <c r="K216" t="str">
        <f>IFERROR(INDEX(Katalog!$A$3:$A$12,MATCH(Data[[#This Row],[ItemID B]],Katalog!$C$3:$C$12,0)),"-")</f>
        <v>Sepatu Pria</v>
      </c>
      <c r="L216" t="str">
        <f>IFERROR(INDEX(Katalog!$B$3:$B$12,MATCH(Data[[#This Row],[ItemID B]],Katalog!$C$3:$C$12,0)),"-")</f>
        <v>Sneakers</v>
      </c>
      <c r="M216">
        <v>1</v>
      </c>
      <c r="N216">
        <v>2</v>
      </c>
      <c r="O216" s="36">
        <f>IFERROR(INDEX(Katalog!$D$3:$D$12,MATCH(Data[[#This Row],[ItemID B]],Katalog!$C$3:$C$12,0))*Data[[#This Row],[Qty B]],"0")</f>
        <v>500000</v>
      </c>
      <c r="P216" s="36">
        <f>IFERROR(INDEX(Katalog!$F$3:$F$12,MATCH(Data[[#This Row],[ItemID B]],Katalog!$C$3:$C$12,0))*Data[[#This Row],[Qty B]],"0")</f>
        <v>200000</v>
      </c>
      <c r="R216" t="str">
        <f>IFERROR(INDEX(Katalog!$A$3:$A$12,MATCH(Data[[#This Row],[ItemID C]],Katalog!$C$3:$C$12,0)),"-")</f>
        <v>-</v>
      </c>
      <c r="S216" t="str">
        <f>IFERROR(INDEX(Katalog!$B$3:$B$12,MATCH(Data[[#This Row],[ItemID C]],Katalog!$C$3:$C$12,0)),"-")</f>
        <v>-</v>
      </c>
      <c r="V216" s="36" t="str">
        <f>IFERROR(INDEX(Katalog!$D$3:$D$12,MATCH(Data[[#This Row],[ItemID C]],Katalog!$C$3:$C$12,0))*Data[[#This Row],[Qty C]],"0")</f>
        <v>0</v>
      </c>
      <c r="W216" s="36" t="str">
        <f>IFERROR(INDEX(Katalog!$F$3:$F$12,MATCH(Data[[#This Row],[ItemID C]],Katalog!$C$3:$C$12,0))*Data[[#This Row],[Qty C]],"0")</f>
        <v>0</v>
      </c>
      <c r="X216" s="21">
        <f>Data[[#This Row],[Qty A]]+Data[[#This Row],[Qty B]]+Data[[#This Row],[Qty C]]</f>
        <v>5</v>
      </c>
      <c r="Y216" s="22">
        <f>Data[[#This Row],[Harga Barang A]]+Data[[#This Row],[Harga Barang B]]+Data[[#This Row],[Harga Barang C]]</f>
        <v>1300000</v>
      </c>
      <c r="Z216" s="35">
        <f>IFERROR(Data[[#This Row],[Total Harga]]-(Data[[#This Row],[Total Harga]]*Data[[#This Row],[Diskon]]),Data[[#This Row],[Total Harga]])</f>
        <v>1105000</v>
      </c>
      <c r="AA216" s="35">
        <f>(Data[[#This Row],[Profit A]]+Data[[#This Row],[Profit B]]+Data[[#This Row],[Profit C]])</f>
        <v>520000</v>
      </c>
      <c r="AB216" s="35">
        <f>IFERROR((Data[[#This Row],[Profit non Diskon]]-(Data[[#This Row],[Profit non Diskon]]*Data[[#This Row],[Diskon]])),Data[[#This Row],[Profit non Diskon]])</f>
        <v>442000</v>
      </c>
      <c r="AC216" s="23" t="s">
        <v>32</v>
      </c>
      <c r="AD216" s="37">
        <f>IFERROR(INDEX('Kode Diskon'!$D$3:$D$9,MATCH(Data[[#This Row],[Kode diskon]],'Kode Diskon'!$C$3:$C$9,0)),"-")</f>
        <v>0.15</v>
      </c>
      <c r="AE216" s="23" t="s">
        <v>9</v>
      </c>
      <c r="AF216" s="23" t="s">
        <v>12</v>
      </c>
      <c r="AG216" s="23" t="s">
        <v>78</v>
      </c>
      <c r="AH216" s="24">
        <v>45041</v>
      </c>
      <c r="AI216" s="23" t="str">
        <f>TEXT(Data[[#This Row],[Tanggal terjual]],"dddd")</f>
        <v>Tuesday</v>
      </c>
      <c r="AJ216" s="21" t="str">
        <f>TEXT(Data[[#This Row],[Tanggal terjual]],"wwww")</f>
        <v>wwww</v>
      </c>
    </row>
    <row r="217" spans="1:36" x14ac:dyDescent="0.2">
      <c r="A217" s="20">
        <v>216</v>
      </c>
      <c r="B217" s="21" t="str">
        <f>_xlfn.CONCAT("ORD-",INDEX(Helper!$B$2:$B$5,MATCH(Data[[#This Row],[Marketplace]],Helper!$A$2:$A$5,0)),TEXT(Data[[#This Row],[No]],"0000"),"-",TEXT(Data[[#This Row],[Tanggal terjual]],"dd/mm/yy"))</f>
        <v>ORD-BB0216-13/04/23</v>
      </c>
      <c r="C217" t="s">
        <v>63</v>
      </c>
      <c r="D217" t="str">
        <f>IFERROR(INDEX(Katalog!$A$3:$A$12,MATCH(Data[[#This Row],[ItemID A]],Katalog!$C$3:$C$12,0)),"-")</f>
        <v>Pakaian Pria</v>
      </c>
      <c r="E217" t="str">
        <f>IFERROR(INDEX(Katalog!$B$3:$B$12,MATCH(Data[[#This Row],[ItemID A]],Katalog!$C$3:$C$12,0)),"-")</f>
        <v>Jaket Jeans</v>
      </c>
      <c r="F217">
        <v>2</v>
      </c>
      <c r="G217">
        <v>3</v>
      </c>
      <c r="H217" s="36">
        <f>IFERROR(INDEX(Katalog!$D$3:$D$12,MATCH(Data[[#This Row],[ItemID A]],Katalog!$C$3:$C$12,0))*Data[[#This Row],[Qty A]],"0")</f>
        <v>800000</v>
      </c>
      <c r="I217" s="36">
        <f>IFERROR(INDEX(Katalog!$F$3:$F$12,MATCH(Data[[#This Row],[ItemID A]],Katalog!$C$3:$C$12,0))*Data[[#This Row],[Qty A]],0)</f>
        <v>300000</v>
      </c>
      <c r="J217" t="s">
        <v>58</v>
      </c>
      <c r="K217" t="str">
        <f>IFERROR(INDEX(Katalog!$A$3:$A$12,MATCH(Data[[#This Row],[ItemID B]],Katalog!$C$3:$C$12,0)),"-")</f>
        <v>Pakaian Wanita</v>
      </c>
      <c r="L217" t="str">
        <f>IFERROR(INDEX(Katalog!$B$3:$B$12,MATCH(Data[[#This Row],[ItemID B]],Katalog!$C$3:$C$12,0)),"-")</f>
        <v>Dress</v>
      </c>
      <c r="M217">
        <v>1</v>
      </c>
      <c r="N217">
        <v>2</v>
      </c>
      <c r="O217" s="36">
        <f>IFERROR(INDEX(Katalog!$D$3:$D$12,MATCH(Data[[#This Row],[ItemID B]],Katalog!$C$3:$C$12,0))*Data[[#This Row],[Qty B]],"0")</f>
        <v>300000</v>
      </c>
      <c r="P217" s="36">
        <f>IFERROR(INDEX(Katalog!$F$3:$F$12,MATCH(Data[[#This Row],[ItemID B]],Katalog!$C$3:$C$12,0))*Data[[#This Row],[Qty B]],"0")</f>
        <v>100000</v>
      </c>
      <c r="Q217" t="s">
        <v>59</v>
      </c>
      <c r="R217" t="str">
        <f>IFERROR(INDEX(Katalog!$A$3:$A$12,MATCH(Data[[#This Row],[ItemID C]],Katalog!$C$3:$C$12,0)),"-")</f>
        <v>Pakaian Wanita</v>
      </c>
      <c r="S217" t="str">
        <f>IFERROR(INDEX(Katalog!$B$3:$B$12,MATCH(Data[[#This Row],[ItemID C]],Katalog!$C$3:$C$12,0)),"-")</f>
        <v>Blouse</v>
      </c>
      <c r="T217">
        <v>2</v>
      </c>
      <c r="U217">
        <v>2</v>
      </c>
      <c r="V217" s="36">
        <f>IFERROR(INDEX(Katalog!$D$3:$D$12,MATCH(Data[[#This Row],[ItemID C]],Katalog!$C$3:$C$12,0))*Data[[#This Row],[Qty C]],"0")</f>
        <v>300000</v>
      </c>
      <c r="W217" s="36">
        <f>IFERROR(INDEX(Katalog!$F$3:$F$12,MATCH(Data[[#This Row],[ItemID C]],Katalog!$C$3:$C$12,0))*Data[[#This Row],[Qty C]],"0")</f>
        <v>100000</v>
      </c>
      <c r="X217" s="21">
        <f>Data[[#This Row],[Qty A]]+Data[[#This Row],[Qty B]]+Data[[#This Row],[Qty C]]</f>
        <v>5</v>
      </c>
      <c r="Y217" s="22">
        <f>Data[[#This Row],[Harga Barang A]]+Data[[#This Row],[Harga Barang B]]+Data[[#This Row],[Harga Barang C]]</f>
        <v>1400000</v>
      </c>
      <c r="Z217" s="35">
        <f>IFERROR(Data[[#This Row],[Total Harga]]-(Data[[#This Row],[Total Harga]]*Data[[#This Row],[Diskon]]),Data[[#This Row],[Total Harga]])</f>
        <v>1400000</v>
      </c>
      <c r="AA217" s="35">
        <f>(Data[[#This Row],[Profit A]]+Data[[#This Row],[Profit B]]+Data[[#This Row],[Profit C]])</f>
        <v>500000</v>
      </c>
      <c r="AB217" s="35">
        <f>IFERROR((Data[[#This Row],[Profit non Diskon]]-(Data[[#This Row],[Profit non Diskon]]*Data[[#This Row],[Diskon]])),Data[[#This Row],[Profit non Diskon]])</f>
        <v>500000</v>
      </c>
      <c r="AC217" s="23" t="s">
        <v>11</v>
      </c>
      <c r="AD217" s="37" t="str">
        <f>IFERROR(INDEX('Kode Diskon'!$D$3:$D$9,MATCH(Data[[#This Row],[Kode diskon]],'Kode Diskon'!$C$3:$C$9,0)),"-")</f>
        <v>-</v>
      </c>
      <c r="AE217" s="23" t="s">
        <v>11</v>
      </c>
      <c r="AF217" s="23" t="s">
        <v>14</v>
      </c>
      <c r="AG217" s="23" t="s">
        <v>80</v>
      </c>
      <c r="AH217" s="24">
        <v>45029</v>
      </c>
      <c r="AI217" s="23" t="str">
        <f>TEXT(Data[[#This Row],[Tanggal terjual]],"dddd")</f>
        <v>Thursday</v>
      </c>
      <c r="AJ217" s="21" t="str">
        <f>TEXT(Data[[#This Row],[Tanggal terjual]],"wwww")</f>
        <v>wwww</v>
      </c>
    </row>
    <row r="218" spans="1:36" x14ac:dyDescent="0.2">
      <c r="A218" s="20">
        <v>217</v>
      </c>
      <c r="B218" s="21" t="str">
        <f>_xlfn.CONCAT("ORD-",INDEX(Helper!$B$2:$B$5,MATCH(Data[[#This Row],[Marketplace]],Helper!$A$2:$A$5,0)),TEXT(Data[[#This Row],[No]],"0000"),"-",TEXT(Data[[#This Row],[Tanggal terjual]],"dd/mm/yy"))</f>
        <v>ORD-SP0217-16/04/23</v>
      </c>
      <c r="C218" t="s">
        <v>64</v>
      </c>
      <c r="D218" t="str">
        <f>IFERROR(INDEX(Katalog!$A$3:$A$12,MATCH(Data[[#This Row],[ItemID A]],Katalog!$C$3:$C$12,0)),"-")</f>
        <v>Pakaian Unisex</v>
      </c>
      <c r="E218" t="str">
        <f>IFERROR(INDEX(Katalog!$B$3:$B$12,MATCH(Data[[#This Row],[ItemID A]],Katalog!$C$3:$C$12,0)),"-")</f>
        <v>Jaket Hoodie</v>
      </c>
      <c r="F218">
        <v>1</v>
      </c>
      <c r="G218">
        <v>3</v>
      </c>
      <c r="H218" s="36">
        <f>IFERROR(INDEX(Katalog!$D$3:$D$12,MATCH(Data[[#This Row],[ItemID A]],Katalog!$C$3:$C$12,0))*Data[[#This Row],[Qty A]],"0")</f>
        <v>350000</v>
      </c>
      <c r="I218" s="36">
        <f>IFERROR(INDEX(Katalog!$F$3:$F$12,MATCH(Data[[#This Row],[ItemID A]],Katalog!$C$3:$C$12,0))*Data[[#This Row],[Qty A]],0)</f>
        <v>130000</v>
      </c>
      <c r="K218" t="str">
        <f>IFERROR(INDEX(Katalog!$A$3:$A$12,MATCH(Data[[#This Row],[ItemID B]],Katalog!$C$3:$C$12,0)),"-")</f>
        <v>-</v>
      </c>
      <c r="L218" t="str">
        <f>IFERROR(INDEX(Katalog!$B$3:$B$12,MATCH(Data[[#This Row],[ItemID B]],Katalog!$C$3:$C$12,0)),"-")</f>
        <v>-</v>
      </c>
      <c r="O218" s="36" t="str">
        <f>IFERROR(INDEX(Katalog!$D$3:$D$12,MATCH(Data[[#This Row],[ItemID B]],Katalog!$C$3:$C$12,0))*Data[[#This Row],[Qty B]],"0")</f>
        <v>0</v>
      </c>
      <c r="P218" s="36" t="str">
        <f>IFERROR(INDEX(Katalog!$F$3:$F$12,MATCH(Data[[#This Row],[ItemID B]],Katalog!$C$3:$C$12,0))*Data[[#This Row],[Qty B]],"0")</f>
        <v>0</v>
      </c>
      <c r="R218" t="str">
        <f>IFERROR(INDEX(Katalog!$A$3:$A$12,MATCH(Data[[#This Row],[ItemID C]],Katalog!$C$3:$C$12,0)),"-")</f>
        <v>-</v>
      </c>
      <c r="S218" t="str">
        <f>IFERROR(INDEX(Katalog!$B$3:$B$12,MATCH(Data[[#This Row],[ItemID C]],Katalog!$C$3:$C$12,0)),"-")</f>
        <v>-</v>
      </c>
      <c r="V218" s="36" t="str">
        <f>IFERROR(INDEX(Katalog!$D$3:$D$12,MATCH(Data[[#This Row],[ItemID C]],Katalog!$C$3:$C$12,0))*Data[[#This Row],[Qty C]],"0")</f>
        <v>0</v>
      </c>
      <c r="W218" s="36" t="str">
        <f>IFERROR(INDEX(Katalog!$F$3:$F$12,MATCH(Data[[#This Row],[ItemID C]],Katalog!$C$3:$C$12,0))*Data[[#This Row],[Qty C]],"0")</f>
        <v>0</v>
      </c>
      <c r="X218" s="21">
        <f>Data[[#This Row],[Qty A]]+Data[[#This Row],[Qty B]]+Data[[#This Row],[Qty C]]</f>
        <v>1</v>
      </c>
      <c r="Y218" s="22">
        <f>Data[[#This Row],[Harga Barang A]]+Data[[#This Row],[Harga Barang B]]+Data[[#This Row],[Harga Barang C]]</f>
        <v>350000</v>
      </c>
      <c r="Z218" s="35">
        <f>IFERROR(Data[[#This Row],[Total Harga]]-(Data[[#This Row],[Total Harga]]*Data[[#This Row],[Diskon]]),Data[[#This Row],[Total Harga]])</f>
        <v>280000</v>
      </c>
      <c r="AA218" s="35">
        <f>(Data[[#This Row],[Profit A]]+Data[[#This Row],[Profit B]]+Data[[#This Row],[Profit C]])</f>
        <v>130000</v>
      </c>
      <c r="AB218" s="35">
        <f>IFERROR((Data[[#This Row],[Profit non Diskon]]-(Data[[#This Row],[Profit non Diskon]]*Data[[#This Row],[Diskon]])),Data[[#This Row],[Profit non Diskon]])</f>
        <v>104000</v>
      </c>
      <c r="AC218" s="23" t="s">
        <v>8</v>
      </c>
      <c r="AD218" s="37">
        <f>IFERROR(INDEX('Kode Diskon'!$D$3:$D$9,MATCH(Data[[#This Row],[Kode diskon]],'Kode Diskon'!$C$3:$C$9,0)),"-")</f>
        <v>0.2</v>
      </c>
      <c r="AE218" s="23" t="s">
        <v>9</v>
      </c>
      <c r="AF218" s="23" t="s">
        <v>7</v>
      </c>
      <c r="AG218" s="23" t="s">
        <v>75</v>
      </c>
      <c r="AH218" s="24">
        <v>45032</v>
      </c>
      <c r="AI218" s="23" t="str">
        <f>TEXT(Data[[#This Row],[Tanggal terjual]],"dddd")</f>
        <v>Sunday</v>
      </c>
      <c r="AJ218" s="21" t="str">
        <f>TEXT(Data[[#This Row],[Tanggal terjual]],"wwww")</f>
        <v>wwww</v>
      </c>
    </row>
    <row r="219" spans="1:36" x14ac:dyDescent="0.2">
      <c r="A219" s="20">
        <v>218</v>
      </c>
      <c r="B219" s="21" t="str">
        <f>_xlfn.CONCAT("ORD-",INDEX(Helper!$B$2:$B$5,MATCH(Data[[#This Row],[Marketplace]],Helper!$A$2:$A$5,0)),TEXT(Data[[#This Row],[No]],"0000"),"-",TEXT(Data[[#This Row],[Tanggal terjual]],"dd/mm/yy"))</f>
        <v>ORD-SP0218-04/04/23</v>
      </c>
      <c r="C219" t="s">
        <v>66</v>
      </c>
      <c r="D219" t="str">
        <f>IFERROR(INDEX(Katalog!$A$3:$A$12,MATCH(Data[[#This Row],[ItemID A]],Katalog!$C$3:$C$12,0)),"-")</f>
        <v>Sepatu Pria</v>
      </c>
      <c r="E219" t="str">
        <f>IFERROR(INDEX(Katalog!$B$3:$B$12,MATCH(Data[[#This Row],[ItemID A]],Katalog!$C$3:$C$12,0)),"-")</f>
        <v>Sandal Slip On</v>
      </c>
      <c r="F219">
        <v>3</v>
      </c>
      <c r="G219">
        <v>1</v>
      </c>
      <c r="H219" s="36">
        <f>IFERROR(INDEX(Katalog!$D$3:$D$12,MATCH(Data[[#This Row],[ItemID A]],Katalog!$C$3:$C$12,0))*Data[[#This Row],[Qty A]],"0")</f>
        <v>450000</v>
      </c>
      <c r="I219" s="36">
        <f>IFERROR(INDEX(Katalog!$F$3:$F$12,MATCH(Data[[#This Row],[ItemID A]],Katalog!$C$3:$C$12,0))*Data[[#This Row],[Qty A]],0)</f>
        <v>180000</v>
      </c>
      <c r="J219" t="s">
        <v>62</v>
      </c>
      <c r="K219" t="str">
        <f>IFERROR(INDEX(Katalog!$A$3:$A$12,MATCH(Data[[#This Row],[ItemID B]],Katalog!$C$3:$C$12,0)),"-")</f>
        <v>Pakaian Pria</v>
      </c>
      <c r="L219" t="str">
        <f>IFERROR(INDEX(Katalog!$B$3:$B$12,MATCH(Data[[#This Row],[ItemID B]],Katalog!$C$3:$C$12,0)),"-")</f>
        <v>Celana Pendek</v>
      </c>
      <c r="M219">
        <v>2</v>
      </c>
      <c r="N219">
        <v>4</v>
      </c>
      <c r="O219" s="36">
        <f>IFERROR(INDEX(Katalog!$D$3:$D$12,MATCH(Data[[#This Row],[ItemID B]],Katalog!$C$3:$C$12,0))*Data[[#This Row],[Qty B]],"0")</f>
        <v>360000</v>
      </c>
      <c r="P219" s="36">
        <f>IFERROR(INDEX(Katalog!$F$3:$F$12,MATCH(Data[[#This Row],[ItemID B]],Katalog!$C$3:$C$12,0))*Data[[#This Row],[Qty B]],"0")</f>
        <v>140000</v>
      </c>
      <c r="R219" t="str">
        <f>IFERROR(INDEX(Katalog!$A$3:$A$12,MATCH(Data[[#This Row],[ItemID C]],Katalog!$C$3:$C$12,0)),"-")</f>
        <v>-</v>
      </c>
      <c r="S219" t="str">
        <f>IFERROR(INDEX(Katalog!$B$3:$B$12,MATCH(Data[[#This Row],[ItemID C]],Katalog!$C$3:$C$12,0)),"-")</f>
        <v>-</v>
      </c>
      <c r="V219" s="36" t="str">
        <f>IFERROR(INDEX(Katalog!$D$3:$D$12,MATCH(Data[[#This Row],[ItemID C]],Katalog!$C$3:$C$12,0))*Data[[#This Row],[Qty C]],"0")</f>
        <v>0</v>
      </c>
      <c r="W219" s="36" t="str">
        <f>IFERROR(INDEX(Katalog!$F$3:$F$12,MATCH(Data[[#This Row],[ItemID C]],Katalog!$C$3:$C$12,0))*Data[[#This Row],[Qty C]],"0")</f>
        <v>0</v>
      </c>
      <c r="X219" s="21">
        <f>Data[[#This Row],[Qty A]]+Data[[#This Row],[Qty B]]+Data[[#This Row],[Qty C]]</f>
        <v>5</v>
      </c>
      <c r="Y219" s="22">
        <f>Data[[#This Row],[Harga Barang A]]+Data[[#This Row],[Harga Barang B]]+Data[[#This Row],[Harga Barang C]]</f>
        <v>810000</v>
      </c>
      <c r="Z219" s="35">
        <f>IFERROR(Data[[#This Row],[Total Harga]]-(Data[[#This Row],[Total Harga]]*Data[[#This Row],[Diskon]]),Data[[#This Row],[Total Harga]])</f>
        <v>688500</v>
      </c>
      <c r="AA219" s="35">
        <f>(Data[[#This Row],[Profit A]]+Data[[#This Row],[Profit B]]+Data[[#This Row],[Profit C]])</f>
        <v>320000</v>
      </c>
      <c r="AB219" s="35">
        <f>IFERROR((Data[[#This Row],[Profit non Diskon]]-(Data[[#This Row],[Profit non Diskon]]*Data[[#This Row],[Diskon]])),Data[[#This Row],[Profit non Diskon]])</f>
        <v>272000</v>
      </c>
      <c r="AC219" s="23" t="s">
        <v>13</v>
      </c>
      <c r="AD219" s="37">
        <f>IFERROR(INDEX('Kode Diskon'!$D$3:$D$9,MATCH(Data[[#This Row],[Kode diskon]],'Kode Diskon'!$C$3:$C$9,0)),"-")</f>
        <v>0.15</v>
      </c>
      <c r="AE219" s="23" t="s">
        <v>29</v>
      </c>
      <c r="AF219" s="23" t="s">
        <v>7</v>
      </c>
      <c r="AG219" s="23" t="s">
        <v>79</v>
      </c>
      <c r="AH219" s="24">
        <v>45020</v>
      </c>
      <c r="AI219" s="23" t="str">
        <f>TEXT(Data[[#This Row],[Tanggal terjual]],"dddd")</f>
        <v>Tuesday</v>
      </c>
      <c r="AJ219" s="21" t="str">
        <f>TEXT(Data[[#This Row],[Tanggal terjual]],"wwww")</f>
        <v>wwww</v>
      </c>
    </row>
    <row r="220" spans="1:36" x14ac:dyDescent="0.2">
      <c r="A220" s="20">
        <v>219</v>
      </c>
      <c r="B220" s="21" t="str">
        <f>_xlfn.CONCAT("ORD-",INDEX(Helper!$B$2:$B$5,MATCH(Data[[#This Row],[Marketplace]],Helper!$A$2:$A$5,0)),TEXT(Data[[#This Row],[No]],"0000"),"-",TEXT(Data[[#This Row],[Tanggal terjual]],"dd/mm/yy"))</f>
        <v>ORD-TK0219-19/04/23</v>
      </c>
      <c r="C220" t="s">
        <v>60</v>
      </c>
      <c r="D220" t="str">
        <f>IFERROR(INDEX(Katalog!$A$3:$A$12,MATCH(Data[[#This Row],[ItemID A]],Katalog!$C$3:$C$12,0)),"-")</f>
        <v>Pakaian Wanita</v>
      </c>
      <c r="E220" t="str">
        <f>IFERROR(INDEX(Katalog!$B$3:$B$12,MATCH(Data[[#This Row],[ItemID A]],Katalog!$C$3:$C$12,0)),"-")</f>
        <v>Kaftan</v>
      </c>
      <c r="F220">
        <v>3</v>
      </c>
      <c r="G220">
        <v>5</v>
      </c>
      <c r="H220" s="36">
        <f>IFERROR(INDEX(Katalog!$D$3:$D$12,MATCH(Data[[#This Row],[ItemID A]],Katalog!$C$3:$C$12,0))*Data[[#This Row],[Qty A]],"0")</f>
        <v>750000</v>
      </c>
      <c r="I220" s="36">
        <f>IFERROR(INDEX(Katalog!$F$3:$F$12,MATCH(Data[[#This Row],[ItemID A]],Katalog!$C$3:$C$12,0))*Data[[#This Row],[Qty A]],0)</f>
        <v>300000</v>
      </c>
      <c r="J220" t="s">
        <v>62</v>
      </c>
      <c r="K220" t="str">
        <f>IFERROR(INDEX(Katalog!$A$3:$A$12,MATCH(Data[[#This Row],[ItemID B]],Katalog!$C$3:$C$12,0)),"-")</f>
        <v>Pakaian Pria</v>
      </c>
      <c r="L220" t="str">
        <f>IFERROR(INDEX(Katalog!$B$3:$B$12,MATCH(Data[[#This Row],[ItemID B]],Katalog!$C$3:$C$12,0)),"-")</f>
        <v>Celana Pendek</v>
      </c>
      <c r="M220">
        <v>2</v>
      </c>
      <c r="N220">
        <v>4</v>
      </c>
      <c r="O220" s="36">
        <f>IFERROR(INDEX(Katalog!$D$3:$D$12,MATCH(Data[[#This Row],[ItemID B]],Katalog!$C$3:$C$12,0))*Data[[#This Row],[Qty B]],"0")</f>
        <v>360000</v>
      </c>
      <c r="P220" s="36">
        <f>IFERROR(INDEX(Katalog!$F$3:$F$12,MATCH(Data[[#This Row],[ItemID B]],Katalog!$C$3:$C$12,0))*Data[[#This Row],[Qty B]],"0")</f>
        <v>140000</v>
      </c>
      <c r="R220" t="str">
        <f>IFERROR(INDEX(Katalog!$A$3:$A$12,MATCH(Data[[#This Row],[ItemID C]],Katalog!$C$3:$C$12,0)),"-")</f>
        <v>-</v>
      </c>
      <c r="S220" t="str">
        <f>IFERROR(INDEX(Katalog!$B$3:$B$12,MATCH(Data[[#This Row],[ItemID C]],Katalog!$C$3:$C$12,0)),"-")</f>
        <v>-</v>
      </c>
      <c r="V220" s="36" t="str">
        <f>IFERROR(INDEX(Katalog!$D$3:$D$12,MATCH(Data[[#This Row],[ItemID C]],Katalog!$C$3:$C$12,0))*Data[[#This Row],[Qty C]],"0")</f>
        <v>0</v>
      </c>
      <c r="W220" s="36" t="str">
        <f>IFERROR(INDEX(Katalog!$F$3:$F$12,MATCH(Data[[#This Row],[ItemID C]],Katalog!$C$3:$C$12,0))*Data[[#This Row],[Qty C]],"0")</f>
        <v>0</v>
      </c>
      <c r="X220" s="21">
        <f>Data[[#This Row],[Qty A]]+Data[[#This Row],[Qty B]]+Data[[#This Row],[Qty C]]</f>
        <v>5</v>
      </c>
      <c r="Y220" s="22">
        <f>Data[[#This Row],[Harga Barang A]]+Data[[#This Row],[Harga Barang B]]+Data[[#This Row],[Harga Barang C]]</f>
        <v>1110000</v>
      </c>
      <c r="Z220" s="35">
        <f>IFERROR(Data[[#This Row],[Total Harga]]-(Data[[#This Row],[Total Harga]]*Data[[#This Row],[Diskon]]),Data[[#This Row],[Total Harga]])</f>
        <v>999000</v>
      </c>
      <c r="AA220" s="35">
        <f>(Data[[#This Row],[Profit A]]+Data[[#This Row],[Profit B]]+Data[[#This Row],[Profit C]])</f>
        <v>440000</v>
      </c>
      <c r="AB220" s="35">
        <f>IFERROR((Data[[#This Row],[Profit non Diskon]]-(Data[[#This Row],[Profit non Diskon]]*Data[[#This Row],[Diskon]])),Data[[#This Row],[Profit non Diskon]])</f>
        <v>396000</v>
      </c>
      <c r="AC220" s="23" t="s">
        <v>31</v>
      </c>
      <c r="AD220" s="37">
        <f>IFERROR(INDEX('Kode Diskon'!$D$3:$D$9,MATCH(Data[[#This Row],[Kode diskon]],'Kode Diskon'!$C$3:$C$9,0)),"-")</f>
        <v>0.1</v>
      </c>
      <c r="AE220" s="23" t="s">
        <v>9</v>
      </c>
      <c r="AF220" s="23" t="s">
        <v>10</v>
      </c>
      <c r="AG220" s="23" t="s">
        <v>75</v>
      </c>
      <c r="AH220" s="24">
        <v>45035</v>
      </c>
      <c r="AI220" s="23" t="str">
        <f>TEXT(Data[[#This Row],[Tanggal terjual]],"dddd")</f>
        <v>Wednesday</v>
      </c>
      <c r="AJ220" s="21" t="str">
        <f>TEXT(Data[[#This Row],[Tanggal terjual]],"wwww")</f>
        <v>wwww</v>
      </c>
    </row>
    <row r="221" spans="1:36" x14ac:dyDescent="0.2">
      <c r="A221" s="20">
        <v>220</v>
      </c>
      <c r="B221" s="21" t="str">
        <f>_xlfn.CONCAT("ORD-",INDEX(Helper!$B$2:$B$5,MATCH(Data[[#This Row],[Marketplace]],Helper!$A$2:$A$5,0)),TEXT(Data[[#This Row],[No]],"0000"),"-",TEXT(Data[[#This Row],[Tanggal terjual]],"dd/mm/yy"))</f>
        <v>ORD-TK0220-05/04/23</v>
      </c>
      <c r="C221" t="s">
        <v>66</v>
      </c>
      <c r="D221" t="str">
        <f>IFERROR(INDEX(Katalog!$A$3:$A$12,MATCH(Data[[#This Row],[ItemID A]],Katalog!$C$3:$C$12,0)),"-")</f>
        <v>Sepatu Pria</v>
      </c>
      <c r="E221" t="str">
        <f>IFERROR(INDEX(Katalog!$B$3:$B$12,MATCH(Data[[#This Row],[ItemID A]],Katalog!$C$3:$C$12,0)),"-")</f>
        <v>Sandal Slip On</v>
      </c>
      <c r="F221">
        <v>1</v>
      </c>
      <c r="G221">
        <v>2</v>
      </c>
      <c r="H221" s="36">
        <f>IFERROR(INDEX(Katalog!$D$3:$D$12,MATCH(Data[[#This Row],[ItemID A]],Katalog!$C$3:$C$12,0))*Data[[#This Row],[Qty A]],"0")</f>
        <v>150000</v>
      </c>
      <c r="I221" s="36">
        <f>IFERROR(INDEX(Katalog!$F$3:$F$12,MATCH(Data[[#This Row],[ItemID A]],Katalog!$C$3:$C$12,0))*Data[[#This Row],[Qty A]],0)</f>
        <v>60000</v>
      </c>
      <c r="J221" t="s">
        <v>60</v>
      </c>
      <c r="K221" t="str">
        <f>IFERROR(INDEX(Katalog!$A$3:$A$12,MATCH(Data[[#This Row],[ItemID B]],Katalog!$C$3:$C$12,0)),"-")</f>
        <v>Pakaian Wanita</v>
      </c>
      <c r="L221" t="str">
        <f>IFERROR(INDEX(Katalog!$B$3:$B$12,MATCH(Data[[#This Row],[ItemID B]],Katalog!$C$3:$C$12,0)),"-")</f>
        <v>Kaftan</v>
      </c>
      <c r="M221">
        <v>3</v>
      </c>
      <c r="N221">
        <v>5</v>
      </c>
      <c r="O221" s="36">
        <f>IFERROR(INDEX(Katalog!$D$3:$D$12,MATCH(Data[[#This Row],[ItemID B]],Katalog!$C$3:$C$12,0))*Data[[#This Row],[Qty B]],"0")</f>
        <v>750000</v>
      </c>
      <c r="P221" s="36">
        <f>IFERROR(INDEX(Katalog!$F$3:$F$12,MATCH(Data[[#This Row],[ItemID B]],Katalog!$C$3:$C$12,0))*Data[[#This Row],[Qty B]],"0")</f>
        <v>300000</v>
      </c>
      <c r="Q221" t="s">
        <v>67</v>
      </c>
      <c r="R221" t="str">
        <f>IFERROR(INDEX(Katalog!$A$3:$A$12,MATCH(Data[[#This Row],[ItemID C]],Katalog!$C$3:$C$12,0)),"-")</f>
        <v>Sepatu Wanita</v>
      </c>
      <c r="S221" t="str">
        <f>IFERROR(INDEX(Katalog!$B$3:$B$12,MATCH(Data[[#This Row],[ItemID C]],Katalog!$C$3:$C$12,0)),"-")</f>
        <v>Flat Shoes</v>
      </c>
      <c r="T221">
        <v>3</v>
      </c>
      <c r="U221">
        <v>5</v>
      </c>
      <c r="V221" s="36">
        <f>IFERROR(INDEX(Katalog!$D$3:$D$12,MATCH(Data[[#This Row],[ItemID C]],Katalog!$C$3:$C$12,0))*Data[[#This Row],[Qty C]],"0")</f>
        <v>750000</v>
      </c>
      <c r="W221" s="36">
        <f>IFERROR(INDEX(Katalog!$F$3:$F$12,MATCH(Data[[#This Row],[ItemID C]],Katalog!$C$3:$C$12,0))*Data[[#This Row],[Qty C]],"0")</f>
        <v>300000</v>
      </c>
      <c r="X221" s="21">
        <f>Data[[#This Row],[Qty A]]+Data[[#This Row],[Qty B]]+Data[[#This Row],[Qty C]]</f>
        <v>7</v>
      </c>
      <c r="Y221" s="22">
        <f>Data[[#This Row],[Harga Barang A]]+Data[[#This Row],[Harga Barang B]]+Data[[#This Row],[Harga Barang C]]</f>
        <v>1650000</v>
      </c>
      <c r="Z221" s="35">
        <f>IFERROR(Data[[#This Row],[Total Harga]]-(Data[[#This Row],[Total Harga]]*Data[[#This Row],[Diskon]]),Data[[#This Row],[Total Harga]])</f>
        <v>1485000</v>
      </c>
      <c r="AA221" s="35">
        <f>(Data[[#This Row],[Profit A]]+Data[[#This Row],[Profit B]]+Data[[#This Row],[Profit C]])</f>
        <v>660000</v>
      </c>
      <c r="AB221" s="35">
        <f>IFERROR((Data[[#This Row],[Profit non Diskon]]-(Data[[#This Row],[Profit non Diskon]]*Data[[#This Row],[Diskon]])),Data[[#This Row],[Profit non Diskon]])</f>
        <v>594000</v>
      </c>
      <c r="AC221" s="23" t="s">
        <v>30</v>
      </c>
      <c r="AD221" s="37">
        <f>IFERROR(INDEX('Kode Diskon'!$D$3:$D$9,MATCH(Data[[#This Row],[Kode diskon]],'Kode Diskon'!$C$3:$C$9,0)),"-")</f>
        <v>0.1</v>
      </c>
      <c r="AE221" s="23" t="s">
        <v>29</v>
      </c>
      <c r="AF221" s="23" t="s">
        <v>10</v>
      </c>
      <c r="AG221" s="23" t="s">
        <v>79</v>
      </c>
      <c r="AH221" s="24">
        <v>45021</v>
      </c>
      <c r="AI221" s="23" t="str">
        <f>TEXT(Data[[#This Row],[Tanggal terjual]],"dddd")</f>
        <v>Wednesday</v>
      </c>
      <c r="AJ221" s="21" t="str">
        <f>TEXT(Data[[#This Row],[Tanggal terjual]],"wwww")</f>
        <v>wwww</v>
      </c>
    </row>
    <row r="222" spans="1:36" x14ac:dyDescent="0.2">
      <c r="A222" s="20">
        <v>221</v>
      </c>
      <c r="B222" s="21" t="str">
        <f>_xlfn.CONCAT("ORD-",INDEX(Helper!$B$2:$B$5,MATCH(Data[[#This Row],[Marketplace]],Helper!$A$2:$A$5,0)),TEXT(Data[[#This Row],[No]],"0000"),"-",TEXT(Data[[#This Row],[Tanggal terjual]],"dd/mm/yy"))</f>
        <v>ORD-SP0221-03/04/23</v>
      </c>
      <c r="C222" t="s">
        <v>65</v>
      </c>
      <c r="D222" t="str">
        <f>IFERROR(INDEX(Katalog!$A$3:$A$12,MATCH(Data[[#This Row],[ItemID A]],Katalog!$C$3:$C$12,0)),"-")</f>
        <v>Sepatu Pria</v>
      </c>
      <c r="E222" t="str">
        <f>IFERROR(INDEX(Katalog!$B$3:$B$12,MATCH(Data[[#This Row],[ItemID A]],Katalog!$C$3:$C$12,0)),"-")</f>
        <v>Sneakers</v>
      </c>
      <c r="F222">
        <v>2</v>
      </c>
      <c r="G222">
        <v>2</v>
      </c>
      <c r="H222" s="36">
        <f>IFERROR(INDEX(Katalog!$D$3:$D$12,MATCH(Data[[#This Row],[ItemID A]],Katalog!$C$3:$C$12,0))*Data[[#This Row],[Qty A]],"0")</f>
        <v>1000000</v>
      </c>
      <c r="I222" s="36">
        <f>IFERROR(INDEX(Katalog!$F$3:$F$12,MATCH(Data[[#This Row],[ItemID A]],Katalog!$C$3:$C$12,0))*Data[[#This Row],[Qty A]],0)</f>
        <v>400000</v>
      </c>
      <c r="J222" t="s">
        <v>61</v>
      </c>
      <c r="K222" t="str">
        <f>IFERROR(INDEX(Katalog!$A$3:$A$12,MATCH(Data[[#This Row],[ItemID B]],Katalog!$C$3:$C$12,0)),"-")</f>
        <v>Pakaian Pria</v>
      </c>
      <c r="L222" t="str">
        <f>IFERROR(INDEX(Katalog!$B$3:$B$12,MATCH(Data[[#This Row],[ItemID B]],Katalog!$C$3:$C$12,0)),"-")</f>
        <v>Kaos Polo</v>
      </c>
      <c r="M222">
        <v>1</v>
      </c>
      <c r="N222">
        <v>4</v>
      </c>
      <c r="O222" s="36">
        <f>IFERROR(INDEX(Katalog!$D$3:$D$12,MATCH(Data[[#This Row],[ItemID B]],Katalog!$C$3:$C$12,0))*Data[[#This Row],[Qty B]],"0")</f>
        <v>200000</v>
      </c>
      <c r="P222" s="36">
        <f>IFERROR(INDEX(Katalog!$F$3:$F$12,MATCH(Data[[#This Row],[ItemID B]],Katalog!$C$3:$C$12,0))*Data[[#This Row],[Qty B]],"0")</f>
        <v>80000</v>
      </c>
      <c r="R222" t="str">
        <f>IFERROR(INDEX(Katalog!$A$3:$A$12,MATCH(Data[[#This Row],[ItemID C]],Katalog!$C$3:$C$12,0)),"-")</f>
        <v>-</v>
      </c>
      <c r="S222" t="str">
        <f>IFERROR(INDEX(Katalog!$B$3:$B$12,MATCH(Data[[#This Row],[ItemID C]],Katalog!$C$3:$C$12,0)),"-")</f>
        <v>-</v>
      </c>
      <c r="V222" s="36" t="str">
        <f>IFERROR(INDEX(Katalog!$D$3:$D$12,MATCH(Data[[#This Row],[ItemID C]],Katalog!$C$3:$C$12,0))*Data[[#This Row],[Qty C]],"0")</f>
        <v>0</v>
      </c>
      <c r="W222" s="36" t="str">
        <f>IFERROR(INDEX(Katalog!$F$3:$F$12,MATCH(Data[[#This Row],[ItemID C]],Katalog!$C$3:$C$12,0))*Data[[#This Row],[Qty C]],"0")</f>
        <v>0</v>
      </c>
      <c r="X222" s="21">
        <f>Data[[#This Row],[Qty A]]+Data[[#This Row],[Qty B]]+Data[[#This Row],[Qty C]]</f>
        <v>3</v>
      </c>
      <c r="Y222" s="22">
        <f>Data[[#This Row],[Harga Barang A]]+Data[[#This Row],[Harga Barang B]]+Data[[#This Row],[Harga Barang C]]</f>
        <v>1200000</v>
      </c>
      <c r="Z222" s="35">
        <f>IFERROR(Data[[#This Row],[Total Harga]]-(Data[[#This Row],[Total Harga]]*Data[[#This Row],[Diskon]]),Data[[#This Row],[Total Harga]])</f>
        <v>1080000</v>
      </c>
      <c r="AA222" s="35">
        <f>(Data[[#This Row],[Profit A]]+Data[[#This Row],[Profit B]]+Data[[#This Row],[Profit C]])</f>
        <v>480000</v>
      </c>
      <c r="AB222" s="35">
        <f>IFERROR((Data[[#This Row],[Profit non Diskon]]-(Data[[#This Row],[Profit non Diskon]]*Data[[#This Row],[Diskon]])),Data[[#This Row],[Profit non Diskon]])</f>
        <v>432000</v>
      </c>
      <c r="AC222" s="23" t="s">
        <v>6</v>
      </c>
      <c r="AD222" s="37">
        <f>IFERROR(INDEX('Kode Diskon'!$D$3:$D$9,MATCH(Data[[#This Row],[Kode diskon]],'Kode Diskon'!$C$3:$C$9,0)),"-")</f>
        <v>0.1</v>
      </c>
      <c r="AE222" s="23" t="s">
        <v>29</v>
      </c>
      <c r="AF222" s="23" t="s">
        <v>7</v>
      </c>
      <c r="AG222" s="23" t="s">
        <v>77</v>
      </c>
      <c r="AH222" s="24">
        <v>45019</v>
      </c>
      <c r="AI222" s="23" t="str">
        <f>TEXT(Data[[#This Row],[Tanggal terjual]],"dddd")</f>
        <v>Monday</v>
      </c>
      <c r="AJ222" s="21" t="str">
        <f>TEXT(Data[[#This Row],[Tanggal terjual]],"wwww")</f>
        <v>wwww</v>
      </c>
    </row>
    <row r="223" spans="1:36" x14ac:dyDescent="0.2">
      <c r="A223" s="20">
        <v>222</v>
      </c>
      <c r="B223" s="21" t="str">
        <f>_xlfn.CONCAT("ORD-",INDEX(Helper!$B$2:$B$5,MATCH(Data[[#This Row],[Marketplace]],Helper!$A$2:$A$5,0)),TEXT(Data[[#This Row],[No]],"0000"),"-",TEXT(Data[[#This Row],[Tanggal terjual]],"dd/mm/yy"))</f>
        <v>ORD-TK0222-22/04/23</v>
      </c>
      <c r="C223" t="s">
        <v>61</v>
      </c>
      <c r="D223" t="str">
        <f>IFERROR(INDEX(Katalog!$A$3:$A$12,MATCH(Data[[#This Row],[ItemID A]],Katalog!$C$3:$C$12,0)),"-")</f>
        <v>Pakaian Pria</v>
      </c>
      <c r="E223" t="str">
        <f>IFERROR(INDEX(Katalog!$B$3:$B$12,MATCH(Data[[#This Row],[ItemID A]],Katalog!$C$3:$C$12,0)),"-")</f>
        <v>Kaos Polo</v>
      </c>
      <c r="F223">
        <v>2</v>
      </c>
      <c r="G223">
        <v>3</v>
      </c>
      <c r="H223" s="36">
        <f>IFERROR(INDEX(Katalog!$D$3:$D$12,MATCH(Data[[#This Row],[ItemID A]],Katalog!$C$3:$C$12,0))*Data[[#This Row],[Qty A]],"0")</f>
        <v>400000</v>
      </c>
      <c r="I223" s="36">
        <f>IFERROR(INDEX(Katalog!$F$3:$F$12,MATCH(Data[[#This Row],[ItemID A]],Katalog!$C$3:$C$12,0))*Data[[#This Row],[Qty A]],0)</f>
        <v>160000</v>
      </c>
      <c r="K223" t="str">
        <f>IFERROR(INDEX(Katalog!$A$3:$A$12,MATCH(Data[[#This Row],[ItemID B]],Katalog!$C$3:$C$12,0)),"-")</f>
        <v>-</v>
      </c>
      <c r="L223" t="str">
        <f>IFERROR(INDEX(Katalog!$B$3:$B$12,MATCH(Data[[#This Row],[ItemID B]],Katalog!$C$3:$C$12,0)),"-")</f>
        <v>-</v>
      </c>
      <c r="O223" s="36" t="str">
        <f>IFERROR(INDEX(Katalog!$D$3:$D$12,MATCH(Data[[#This Row],[ItemID B]],Katalog!$C$3:$C$12,0))*Data[[#This Row],[Qty B]],"0")</f>
        <v>0</v>
      </c>
      <c r="P223" s="36" t="str">
        <f>IFERROR(INDEX(Katalog!$F$3:$F$12,MATCH(Data[[#This Row],[ItemID B]],Katalog!$C$3:$C$12,0))*Data[[#This Row],[Qty B]],"0")</f>
        <v>0</v>
      </c>
      <c r="R223" t="str">
        <f>IFERROR(INDEX(Katalog!$A$3:$A$12,MATCH(Data[[#This Row],[ItemID C]],Katalog!$C$3:$C$12,0)),"-")</f>
        <v>-</v>
      </c>
      <c r="S223" t="str">
        <f>IFERROR(INDEX(Katalog!$B$3:$B$12,MATCH(Data[[#This Row],[ItemID C]],Katalog!$C$3:$C$12,0)),"-")</f>
        <v>-</v>
      </c>
      <c r="V223" s="36" t="str">
        <f>IFERROR(INDEX(Katalog!$D$3:$D$12,MATCH(Data[[#This Row],[ItemID C]],Katalog!$C$3:$C$12,0))*Data[[#This Row],[Qty C]],"0")</f>
        <v>0</v>
      </c>
      <c r="W223" s="36" t="str">
        <f>IFERROR(INDEX(Katalog!$F$3:$F$12,MATCH(Data[[#This Row],[ItemID C]],Katalog!$C$3:$C$12,0))*Data[[#This Row],[Qty C]],"0")</f>
        <v>0</v>
      </c>
      <c r="X223" s="21">
        <f>Data[[#This Row],[Qty A]]+Data[[#This Row],[Qty B]]+Data[[#This Row],[Qty C]]</f>
        <v>2</v>
      </c>
      <c r="Y223" s="22">
        <f>Data[[#This Row],[Harga Barang A]]+Data[[#This Row],[Harga Barang B]]+Data[[#This Row],[Harga Barang C]]</f>
        <v>400000</v>
      </c>
      <c r="Z223" s="35">
        <f>IFERROR(Data[[#This Row],[Total Harga]]-(Data[[#This Row],[Total Harga]]*Data[[#This Row],[Diskon]]),Data[[#This Row],[Total Harga]])</f>
        <v>360000</v>
      </c>
      <c r="AA223" s="35">
        <f>(Data[[#This Row],[Profit A]]+Data[[#This Row],[Profit B]]+Data[[#This Row],[Profit C]])</f>
        <v>160000</v>
      </c>
      <c r="AB223" s="35">
        <f>IFERROR((Data[[#This Row],[Profit non Diskon]]-(Data[[#This Row],[Profit non Diskon]]*Data[[#This Row],[Diskon]])),Data[[#This Row],[Profit non Diskon]])</f>
        <v>144000</v>
      </c>
      <c r="AC223" s="23" t="s">
        <v>31</v>
      </c>
      <c r="AD223" s="37">
        <f>IFERROR(INDEX('Kode Diskon'!$D$3:$D$9,MATCH(Data[[#This Row],[Kode diskon]],'Kode Diskon'!$C$3:$C$9,0)),"-")</f>
        <v>0.1</v>
      </c>
      <c r="AE223" s="23" t="s">
        <v>9</v>
      </c>
      <c r="AF223" s="23" t="s">
        <v>10</v>
      </c>
      <c r="AG223" s="23" t="s">
        <v>79</v>
      </c>
      <c r="AH223" s="24">
        <v>45038</v>
      </c>
      <c r="AI223" s="23" t="str">
        <f>TEXT(Data[[#This Row],[Tanggal terjual]],"dddd")</f>
        <v>Saturday</v>
      </c>
      <c r="AJ223" s="21" t="str">
        <f>TEXT(Data[[#This Row],[Tanggal terjual]],"wwww")</f>
        <v>wwww</v>
      </c>
    </row>
    <row r="224" spans="1:36" x14ac:dyDescent="0.2">
      <c r="A224" s="20">
        <v>223</v>
      </c>
      <c r="B224" s="21" t="str">
        <f>_xlfn.CONCAT("ORD-",INDEX(Helper!$B$2:$B$5,MATCH(Data[[#This Row],[Marketplace]],Helper!$A$2:$A$5,0)),TEXT(Data[[#This Row],[No]],"0000"),"-",TEXT(Data[[#This Row],[Tanggal terjual]],"dd/mm/yy"))</f>
        <v>ORD-TK0223-05/04/23</v>
      </c>
      <c r="C224" t="s">
        <v>60</v>
      </c>
      <c r="D224" t="str">
        <f>IFERROR(INDEX(Katalog!$A$3:$A$12,MATCH(Data[[#This Row],[ItemID A]],Katalog!$C$3:$C$12,0)),"-")</f>
        <v>Pakaian Wanita</v>
      </c>
      <c r="E224" t="str">
        <f>IFERROR(INDEX(Katalog!$B$3:$B$12,MATCH(Data[[#This Row],[ItemID A]],Katalog!$C$3:$C$12,0)),"-")</f>
        <v>Kaftan</v>
      </c>
      <c r="F224">
        <v>5</v>
      </c>
      <c r="G224">
        <v>3</v>
      </c>
      <c r="H224" s="36">
        <f>IFERROR(INDEX(Katalog!$D$3:$D$12,MATCH(Data[[#This Row],[ItemID A]],Katalog!$C$3:$C$12,0))*Data[[#This Row],[Qty A]],"0")</f>
        <v>1250000</v>
      </c>
      <c r="I224" s="36">
        <f>IFERROR(INDEX(Katalog!$F$3:$F$12,MATCH(Data[[#This Row],[ItemID A]],Katalog!$C$3:$C$12,0))*Data[[#This Row],[Qty A]],0)</f>
        <v>500000</v>
      </c>
      <c r="K224" t="str">
        <f>IFERROR(INDEX(Katalog!$A$3:$A$12,MATCH(Data[[#This Row],[ItemID B]],Katalog!$C$3:$C$12,0)),"-")</f>
        <v>-</v>
      </c>
      <c r="L224" t="str">
        <f>IFERROR(INDEX(Katalog!$B$3:$B$12,MATCH(Data[[#This Row],[ItemID B]],Katalog!$C$3:$C$12,0)),"-")</f>
        <v>-</v>
      </c>
      <c r="O224" s="36" t="str">
        <f>IFERROR(INDEX(Katalog!$D$3:$D$12,MATCH(Data[[#This Row],[ItemID B]],Katalog!$C$3:$C$12,0))*Data[[#This Row],[Qty B]],"0")</f>
        <v>0</v>
      </c>
      <c r="P224" s="36" t="str">
        <f>IFERROR(INDEX(Katalog!$F$3:$F$12,MATCH(Data[[#This Row],[ItemID B]],Katalog!$C$3:$C$12,0))*Data[[#This Row],[Qty B]],"0")</f>
        <v>0</v>
      </c>
      <c r="R224" t="str">
        <f>IFERROR(INDEX(Katalog!$A$3:$A$12,MATCH(Data[[#This Row],[ItemID C]],Katalog!$C$3:$C$12,0)),"-")</f>
        <v>-</v>
      </c>
      <c r="S224" t="str">
        <f>IFERROR(INDEX(Katalog!$B$3:$B$12,MATCH(Data[[#This Row],[ItemID C]],Katalog!$C$3:$C$12,0)),"-")</f>
        <v>-</v>
      </c>
      <c r="V224" s="36" t="str">
        <f>IFERROR(INDEX(Katalog!$D$3:$D$12,MATCH(Data[[#This Row],[ItemID C]],Katalog!$C$3:$C$12,0))*Data[[#This Row],[Qty C]],"0")</f>
        <v>0</v>
      </c>
      <c r="W224" s="36" t="str">
        <f>IFERROR(INDEX(Katalog!$F$3:$F$12,MATCH(Data[[#This Row],[ItemID C]],Katalog!$C$3:$C$12,0))*Data[[#This Row],[Qty C]],"0")</f>
        <v>0</v>
      </c>
      <c r="X224" s="21">
        <f>Data[[#This Row],[Qty A]]+Data[[#This Row],[Qty B]]+Data[[#This Row],[Qty C]]</f>
        <v>5</v>
      </c>
      <c r="Y224" s="22">
        <f>Data[[#This Row],[Harga Barang A]]+Data[[#This Row],[Harga Barang B]]+Data[[#This Row],[Harga Barang C]]</f>
        <v>1250000</v>
      </c>
      <c r="Z224" s="35">
        <f>IFERROR(Data[[#This Row],[Total Harga]]-(Data[[#This Row],[Total Harga]]*Data[[#This Row],[Diskon]]),Data[[#This Row],[Total Harga]])</f>
        <v>1125000</v>
      </c>
      <c r="AA224" s="35">
        <f>(Data[[#This Row],[Profit A]]+Data[[#This Row],[Profit B]]+Data[[#This Row],[Profit C]])</f>
        <v>500000</v>
      </c>
      <c r="AB224" s="35">
        <f>IFERROR((Data[[#This Row],[Profit non Diskon]]-(Data[[#This Row],[Profit non Diskon]]*Data[[#This Row],[Diskon]])),Data[[#This Row],[Profit non Diskon]])</f>
        <v>450000</v>
      </c>
      <c r="AC224" s="23" t="s">
        <v>30</v>
      </c>
      <c r="AD224" s="37">
        <f>IFERROR(INDEX('Kode Diskon'!$D$3:$D$9,MATCH(Data[[#This Row],[Kode diskon]],'Kode Diskon'!$C$3:$C$9,0)),"-")</f>
        <v>0.1</v>
      </c>
      <c r="AE224" s="23" t="s">
        <v>29</v>
      </c>
      <c r="AF224" s="23" t="s">
        <v>10</v>
      </c>
      <c r="AG224" s="23" t="s">
        <v>80</v>
      </c>
      <c r="AH224" s="24">
        <v>45021</v>
      </c>
      <c r="AI224" s="23" t="str">
        <f>TEXT(Data[[#This Row],[Tanggal terjual]],"dddd")</f>
        <v>Wednesday</v>
      </c>
      <c r="AJ224" s="21" t="str">
        <f>TEXT(Data[[#This Row],[Tanggal terjual]],"wwww")</f>
        <v>wwww</v>
      </c>
    </row>
    <row r="225" spans="1:36" x14ac:dyDescent="0.2">
      <c r="A225" s="20">
        <v>224</v>
      </c>
      <c r="B225" s="21" t="str">
        <f>_xlfn.CONCAT("ORD-",INDEX(Helper!$B$2:$B$5,MATCH(Data[[#This Row],[Marketplace]],Helper!$A$2:$A$5,0)),TEXT(Data[[#This Row],[No]],"0000"),"-",TEXT(Data[[#This Row],[Tanggal terjual]],"dd/mm/yy"))</f>
        <v>ORD-SP0224-30/04/23</v>
      </c>
      <c r="C225" t="s">
        <v>65</v>
      </c>
      <c r="D225" t="str">
        <f>IFERROR(INDEX(Katalog!$A$3:$A$12,MATCH(Data[[#This Row],[ItemID A]],Katalog!$C$3:$C$12,0)),"-")</f>
        <v>Sepatu Pria</v>
      </c>
      <c r="E225" t="str">
        <f>IFERROR(INDEX(Katalog!$B$3:$B$12,MATCH(Data[[#This Row],[ItemID A]],Katalog!$C$3:$C$12,0)),"-")</f>
        <v>Sneakers</v>
      </c>
      <c r="F225">
        <v>3</v>
      </c>
      <c r="G225">
        <v>5</v>
      </c>
      <c r="H225" s="36">
        <f>IFERROR(INDEX(Katalog!$D$3:$D$12,MATCH(Data[[#This Row],[ItemID A]],Katalog!$C$3:$C$12,0))*Data[[#This Row],[Qty A]],"0")</f>
        <v>1500000</v>
      </c>
      <c r="I225" s="36">
        <f>IFERROR(INDEX(Katalog!$F$3:$F$12,MATCH(Data[[#This Row],[ItemID A]],Katalog!$C$3:$C$12,0))*Data[[#This Row],[Qty A]],0)</f>
        <v>600000</v>
      </c>
      <c r="K225" t="str">
        <f>IFERROR(INDEX(Katalog!$A$3:$A$12,MATCH(Data[[#This Row],[ItemID B]],Katalog!$C$3:$C$12,0)),"-")</f>
        <v>-</v>
      </c>
      <c r="L225" t="str">
        <f>IFERROR(INDEX(Katalog!$B$3:$B$12,MATCH(Data[[#This Row],[ItemID B]],Katalog!$C$3:$C$12,0)),"-")</f>
        <v>-</v>
      </c>
      <c r="O225" s="36" t="str">
        <f>IFERROR(INDEX(Katalog!$D$3:$D$12,MATCH(Data[[#This Row],[ItemID B]],Katalog!$C$3:$C$12,0))*Data[[#This Row],[Qty B]],"0")</f>
        <v>0</v>
      </c>
      <c r="P225" s="36" t="str">
        <f>IFERROR(INDEX(Katalog!$F$3:$F$12,MATCH(Data[[#This Row],[ItemID B]],Katalog!$C$3:$C$12,0))*Data[[#This Row],[Qty B]],"0")</f>
        <v>0</v>
      </c>
      <c r="R225" t="str">
        <f>IFERROR(INDEX(Katalog!$A$3:$A$12,MATCH(Data[[#This Row],[ItemID C]],Katalog!$C$3:$C$12,0)),"-")</f>
        <v>-</v>
      </c>
      <c r="S225" t="str">
        <f>IFERROR(INDEX(Katalog!$B$3:$B$12,MATCH(Data[[#This Row],[ItemID C]],Katalog!$C$3:$C$12,0)),"-")</f>
        <v>-</v>
      </c>
      <c r="V225" s="36" t="str">
        <f>IFERROR(INDEX(Katalog!$D$3:$D$12,MATCH(Data[[#This Row],[ItemID C]],Katalog!$C$3:$C$12,0))*Data[[#This Row],[Qty C]],"0")</f>
        <v>0</v>
      </c>
      <c r="W225" s="36" t="str">
        <f>IFERROR(INDEX(Katalog!$F$3:$F$12,MATCH(Data[[#This Row],[ItemID C]],Katalog!$C$3:$C$12,0))*Data[[#This Row],[Qty C]],"0")</f>
        <v>0</v>
      </c>
      <c r="X225" s="21">
        <f>Data[[#This Row],[Qty A]]+Data[[#This Row],[Qty B]]+Data[[#This Row],[Qty C]]</f>
        <v>3</v>
      </c>
      <c r="Y225" s="22">
        <f>Data[[#This Row],[Harga Barang A]]+Data[[#This Row],[Harga Barang B]]+Data[[#This Row],[Harga Barang C]]</f>
        <v>1500000</v>
      </c>
      <c r="Z225" s="35">
        <f>IFERROR(Data[[#This Row],[Total Harga]]-(Data[[#This Row],[Total Harga]]*Data[[#This Row],[Diskon]]),Data[[#This Row],[Total Harga]])</f>
        <v>1200000</v>
      </c>
      <c r="AA225" s="35">
        <f>(Data[[#This Row],[Profit A]]+Data[[#This Row],[Profit B]]+Data[[#This Row],[Profit C]])</f>
        <v>600000</v>
      </c>
      <c r="AB225" s="35">
        <f>IFERROR((Data[[#This Row],[Profit non Diskon]]-(Data[[#This Row],[Profit non Diskon]]*Data[[#This Row],[Diskon]])),Data[[#This Row],[Profit non Diskon]])</f>
        <v>480000</v>
      </c>
      <c r="AC225" s="23" t="s">
        <v>8</v>
      </c>
      <c r="AD225" s="37">
        <f>IFERROR(INDEX('Kode Diskon'!$D$3:$D$9,MATCH(Data[[#This Row],[Kode diskon]],'Kode Diskon'!$C$3:$C$9,0)),"-")</f>
        <v>0.2</v>
      </c>
      <c r="AE225" s="23" t="s">
        <v>9</v>
      </c>
      <c r="AF225" s="23" t="s">
        <v>7</v>
      </c>
      <c r="AG225" s="23" t="s">
        <v>75</v>
      </c>
      <c r="AH225" s="24">
        <v>45046</v>
      </c>
      <c r="AI225" s="23" t="str">
        <f>TEXT(Data[[#This Row],[Tanggal terjual]],"dddd")</f>
        <v>Sunday</v>
      </c>
      <c r="AJ225" s="21" t="str">
        <f>TEXT(Data[[#This Row],[Tanggal terjual]],"wwww")</f>
        <v>wwww</v>
      </c>
    </row>
    <row r="226" spans="1:36" x14ac:dyDescent="0.2">
      <c r="A226" s="20">
        <v>225</v>
      </c>
      <c r="B226" s="21" t="str">
        <f>_xlfn.CONCAT("ORD-",INDEX(Helper!$B$2:$B$5,MATCH(Data[[#This Row],[Marketplace]],Helper!$A$2:$A$5,0)),TEXT(Data[[#This Row],[No]],"0000"),"-",TEXT(Data[[#This Row],[Tanggal terjual]],"dd/mm/yy"))</f>
        <v>ORD-SP0225-18/04/23</v>
      </c>
      <c r="C226" t="s">
        <v>59</v>
      </c>
      <c r="D226" t="str">
        <f>IFERROR(INDEX(Katalog!$A$3:$A$12,MATCH(Data[[#This Row],[ItemID A]],Katalog!$C$3:$C$12,0)),"-")</f>
        <v>Pakaian Wanita</v>
      </c>
      <c r="E226" t="str">
        <f>IFERROR(INDEX(Katalog!$B$3:$B$12,MATCH(Data[[#This Row],[ItemID A]],Katalog!$C$3:$C$12,0)),"-")</f>
        <v>Blouse</v>
      </c>
      <c r="F226">
        <v>2</v>
      </c>
      <c r="G226">
        <v>1</v>
      </c>
      <c r="H226" s="36">
        <f>IFERROR(INDEX(Katalog!$D$3:$D$12,MATCH(Data[[#This Row],[ItemID A]],Katalog!$C$3:$C$12,0))*Data[[#This Row],[Qty A]],"0")</f>
        <v>300000</v>
      </c>
      <c r="I226" s="36">
        <f>IFERROR(INDEX(Katalog!$F$3:$F$12,MATCH(Data[[#This Row],[ItemID A]],Katalog!$C$3:$C$12,0))*Data[[#This Row],[Qty A]],0)</f>
        <v>100000</v>
      </c>
      <c r="K226" t="str">
        <f>IFERROR(INDEX(Katalog!$A$3:$A$12,MATCH(Data[[#This Row],[ItemID B]],Katalog!$C$3:$C$12,0)),"-")</f>
        <v>-</v>
      </c>
      <c r="L226" t="str">
        <f>IFERROR(INDEX(Katalog!$B$3:$B$12,MATCH(Data[[#This Row],[ItemID B]],Katalog!$C$3:$C$12,0)),"-")</f>
        <v>-</v>
      </c>
      <c r="O226" s="36" t="str">
        <f>IFERROR(INDEX(Katalog!$D$3:$D$12,MATCH(Data[[#This Row],[ItemID B]],Katalog!$C$3:$C$12,0))*Data[[#This Row],[Qty B]],"0")</f>
        <v>0</v>
      </c>
      <c r="P226" s="36" t="str">
        <f>IFERROR(INDEX(Katalog!$F$3:$F$12,MATCH(Data[[#This Row],[ItemID B]],Katalog!$C$3:$C$12,0))*Data[[#This Row],[Qty B]],"0")</f>
        <v>0</v>
      </c>
      <c r="R226" t="str">
        <f>IFERROR(INDEX(Katalog!$A$3:$A$12,MATCH(Data[[#This Row],[ItemID C]],Katalog!$C$3:$C$12,0)),"-")</f>
        <v>-</v>
      </c>
      <c r="S226" t="str">
        <f>IFERROR(INDEX(Katalog!$B$3:$B$12,MATCH(Data[[#This Row],[ItemID C]],Katalog!$C$3:$C$12,0)),"-")</f>
        <v>-</v>
      </c>
      <c r="V226" s="36" t="str">
        <f>IFERROR(INDEX(Katalog!$D$3:$D$12,MATCH(Data[[#This Row],[ItemID C]],Katalog!$C$3:$C$12,0))*Data[[#This Row],[Qty C]],"0")</f>
        <v>0</v>
      </c>
      <c r="W226" s="36" t="str">
        <f>IFERROR(INDEX(Katalog!$F$3:$F$12,MATCH(Data[[#This Row],[ItemID C]],Katalog!$C$3:$C$12,0))*Data[[#This Row],[Qty C]],"0")</f>
        <v>0</v>
      </c>
      <c r="X226" s="21">
        <f>Data[[#This Row],[Qty A]]+Data[[#This Row],[Qty B]]+Data[[#This Row],[Qty C]]</f>
        <v>2</v>
      </c>
      <c r="Y226" s="22">
        <f>Data[[#This Row],[Harga Barang A]]+Data[[#This Row],[Harga Barang B]]+Data[[#This Row],[Harga Barang C]]</f>
        <v>300000</v>
      </c>
      <c r="Z226" s="35">
        <f>IFERROR(Data[[#This Row],[Total Harga]]-(Data[[#This Row],[Total Harga]]*Data[[#This Row],[Diskon]]),Data[[#This Row],[Total Harga]])</f>
        <v>240000</v>
      </c>
      <c r="AA226" s="35">
        <f>(Data[[#This Row],[Profit A]]+Data[[#This Row],[Profit B]]+Data[[#This Row],[Profit C]])</f>
        <v>100000</v>
      </c>
      <c r="AB226" s="35">
        <f>IFERROR((Data[[#This Row],[Profit non Diskon]]-(Data[[#This Row],[Profit non Diskon]]*Data[[#This Row],[Diskon]])),Data[[#This Row],[Profit non Diskon]])</f>
        <v>80000</v>
      </c>
      <c r="AC226" s="23" t="s">
        <v>8</v>
      </c>
      <c r="AD226" s="37">
        <f>IFERROR(INDEX('Kode Diskon'!$D$3:$D$9,MATCH(Data[[#This Row],[Kode diskon]],'Kode Diskon'!$C$3:$C$9,0)),"-")</f>
        <v>0.2</v>
      </c>
      <c r="AE226" s="23" t="s">
        <v>9</v>
      </c>
      <c r="AF226" s="23" t="s">
        <v>7</v>
      </c>
      <c r="AG226" s="23" t="s">
        <v>75</v>
      </c>
      <c r="AH226" s="24">
        <v>45034</v>
      </c>
      <c r="AI226" s="23" t="str">
        <f>TEXT(Data[[#This Row],[Tanggal terjual]],"dddd")</f>
        <v>Tuesday</v>
      </c>
      <c r="AJ226" s="21" t="str">
        <f>TEXT(Data[[#This Row],[Tanggal terjual]],"wwww")</f>
        <v>wwww</v>
      </c>
    </row>
    <row r="227" spans="1:36" x14ac:dyDescent="0.2">
      <c r="A227" s="20">
        <v>226</v>
      </c>
      <c r="B227" s="21" t="str">
        <f>_xlfn.CONCAT("ORD-",INDEX(Helper!$B$2:$B$5,MATCH(Data[[#This Row],[Marketplace]],Helper!$A$2:$A$5,0)),TEXT(Data[[#This Row],[No]],"0000"),"-",TEXT(Data[[#This Row],[Tanggal terjual]],"dd/mm/yy"))</f>
        <v>ORD-SP0226-06/04/23</v>
      </c>
      <c r="C227" t="s">
        <v>61</v>
      </c>
      <c r="D227" t="str">
        <f>IFERROR(INDEX(Katalog!$A$3:$A$12,MATCH(Data[[#This Row],[ItemID A]],Katalog!$C$3:$C$12,0)),"-")</f>
        <v>Pakaian Pria</v>
      </c>
      <c r="E227" t="str">
        <f>IFERROR(INDEX(Katalog!$B$3:$B$12,MATCH(Data[[#This Row],[ItemID A]],Katalog!$C$3:$C$12,0)),"-")</f>
        <v>Kaos Polo</v>
      </c>
      <c r="F227">
        <v>4</v>
      </c>
      <c r="G227">
        <v>2</v>
      </c>
      <c r="H227" s="36">
        <f>IFERROR(INDEX(Katalog!$D$3:$D$12,MATCH(Data[[#This Row],[ItemID A]],Katalog!$C$3:$C$12,0))*Data[[#This Row],[Qty A]],"0")</f>
        <v>800000</v>
      </c>
      <c r="I227" s="36">
        <f>IFERROR(INDEX(Katalog!$F$3:$F$12,MATCH(Data[[#This Row],[ItemID A]],Katalog!$C$3:$C$12,0))*Data[[#This Row],[Qty A]],0)</f>
        <v>320000</v>
      </c>
      <c r="J227" t="s">
        <v>65</v>
      </c>
      <c r="K227" t="str">
        <f>IFERROR(INDEX(Katalog!$A$3:$A$12,MATCH(Data[[#This Row],[ItemID B]],Katalog!$C$3:$C$12,0)),"-")</f>
        <v>Sepatu Pria</v>
      </c>
      <c r="L227" t="str">
        <f>IFERROR(INDEX(Katalog!$B$3:$B$12,MATCH(Data[[#This Row],[ItemID B]],Katalog!$C$3:$C$12,0)),"-")</f>
        <v>Sneakers</v>
      </c>
      <c r="M227">
        <v>1</v>
      </c>
      <c r="N227">
        <v>1</v>
      </c>
      <c r="O227" s="36">
        <f>IFERROR(INDEX(Katalog!$D$3:$D$12,MATCH(Data[[#This Row],[ItemID B]],Katalog!$C$3:$C$12,0))*Data[[#This Row],[Qty B]],"0")</f>
        <v>500000</v>
      </c>
      <c r="P227" s="36">
        <f>IFERROR(INDEX(Katalog!$F$3:$F$12,MATCH(Data[[#This Row],[ItemID B]],Katalog!$C$3:$C$12,0))*Data[[#This Row],[Qty B]],"0")</f>
        <v>200000</v>
      </c>
      <c r="R227" t="str">
        <f>IFERROR(INDEX(Katalog!$A$3:$A$12,MATCH(Data[[#This Row],[ItemID C]],Katalog!$C$3:$C$12,0)),"-")</f>
        <v>-</v>
      </c>
      <c r="S227" t="str">
        <f>IFERROR(INDEX(Katalog!$B$3:$B$12,MATCH(Data[[#This Row],[ItemID C]],Katalog!$C$3:$C$12,0)),"-")</f>
        <v>-</v>
      </c>
      <c r="V227" s="36" t="str">
        <f>IFERROR(INDEX(Katalog!$D$3:$D$12,MATCH(Data[[#This Row],[ItemID C]],Katalog!$C$3:$C$12,0))*Data[[#This Row],[Qty C]],"0")</f>
        <v>0</v>
      </c>
      <c r="W227" s="36" t="str">
        <f>IFERROR(INDEX(Katalog!$F$3:$F$12,MATCH(Data[[#This Row],[ItemID C]],Katalog!$C$3:$C$12,0))*Data[[#This Row],[Qty C]],"0")</f>
        <v>0</v>
      </c>
      <c r="X227" s="21">
        <f>Data[[#This Row],[Qty A]]+Data[[#This Row],[Qty B]]+Data[[#This Row],[Qty C]]</f>
        <v>5</v>
      </c>
      <c r="Y227" s="22">
        <f>Data[[#This Row],[Harga Barang A]]+Data[[#This Row],[Harga Barang B]]+Data[[#This Row],[Harga Barang C]]</f>
        <v>1300000</v>
      </c>
      <c r="Z227" s="35">
        <f>IFERROR(Data[[#This Row],[Total Harga]]-(Data[[#This Row],[Total Harga]]*Data[[#This Row],[Diskon]]),Data[[#This Row],[Total Harga]])</f>
        <v>1105000</v>
      </c>
      <c r="AA227" s="35">
        <f>(Data[[#This Row],[Profit A]]+Data[[#This Row],[Profit B]]+Data[[#This Row],[Profit C]])</f>
        <v>520000</v>
      </c>
      <c r="AB227" s="35">
        <f>IFERROR((Data[[#This Row],[Profit non Diskon]]-(Data[[#This Row],[Profit non Diskon]]*Data[[#This Row],[Diskon]])),Data[[#This Row],[Profit non Diskon]])</f>
        <v>442000</v>
      </c>
      <c r="AC227" s="23" t="s">
        <v>13</v>
      </c>
      <c r="AD227" s="37">
        <f>IFERROR(INDEX('Kode Diskon'!$D$3:$D$9,MATCH(Data[[#This Row],[Kode diskon]],'Kode Diskon'!$C$3:$C$9,0)),"-")</f>
        <v>0.15</v>
      </c>
      <c r="AE227" s="23" t="s">
        <v>29</v>
      </c>
      <c r="AF227" s="23" t="s">
        <v>7</v>
      </c>
      <c r="AG227" s="23" t="s">
        <v>76</v>
      </c>
      <c r="AH227" s="24">
        <v>45022</v>
      </c>
      <c r="AI227" s="23" t="str">
        <f>TEXT(Data[[#This Row],[Tanggal terjual]],"dddd")</f>
        <v>Thursday</v>
      </c>
      <c r="AJ227" s="21" t="str">
        <f>TEXT(Data[[#This Row],[Tanggal terjual]],"wwww")</f>
        <v>wwww</v>
      </c>
    </row>
    <row r="228" spans="1:36" x14ac:dyDescent="0.2">
      <c r="A228" s="20">
        <v>227</v>
      </c>
      <c r="B228" s="21" t="str">
        <f>_xlfn.CONCAT("ORD-",INDEX(Helper!$B$2:$B$5,MATCH(Data[[#This Row],[Marketplace]],Helper!$A$2:$A$5,0)),TEXT(Data[[#This Row],[No]],"0000"),"-",TEXT(Data[[#This Row],[Tanggal terjual]],"dd/mm/yy"))</f>
        <v>ORD-BB0227-05/04/23</v>
      </c>
      <c r="C228" t="s">
        <v>66</v>
      </c>
      <c r="D228" t="str">
        <f>IFERROR(INDEX(Katalog!$A$3:$A$12,MATCH(Data[[#This Row],[ItemID A]],Katalog!$C$3:$C$12,0)),"-")</f>
        <v>Sepatu Pria</v>
      </c>
      <c r="E228" t="str">
        <f>IFERROR(INDEX(Katalog!$B$3:$B$12,MATCH(Data[[#This Row],[ItemID A]],Katalog!$C$3:$C$12,0)),"-")</f>
        <v>Sandal Slip On</v>
      </c>
      <c r="F228">
        <v>2</v>
      </c>
      <c r="G228">
        <v>4</v>
      </c>
      <c r="H228" s="36">
        <f>IFERROR(INDEX(Katalog!$D$3:$D$12,MATCH(Data[[#This Row],[ItemID A]],Katalog!$C$3:$C$12,0))*Data[[#This Row],[Qty A]],"0")</f>
        <v>300000</v>
      </c>
      <c r="I228" s="36">
        <f>IFERROR(INDEX(Katalog!$F$3:$F$12,MATCH(Data[[#This Row],[ItemID A]],Katalog!$C$3:$C$12,0))*Data[[#This Row],[Qty A]],0)</f>
        <v>120000</v>
      </c>
      <c r="K228" t="str">
        <f>IFERROR(INDEX(Katalog!$A$3:$A$12,MATCH(Data[[#This Row],[ItemID B]],Katalog!$C$3:$C$12,0)),"-")</f>
        <v>-</v>
      </c>
      <c r="L228" t="str">
        <f>IFERROR(INDEX(Katalog!$B$3:$B$12,MATCH(Data[[#This Row],[ItemID B]],Katalog!$C$3:$C$12,0)),"-")</f>
        <v>-</v>
      </c>
      <c r="O228" s="36" t="str">
        <f>IFERROR(INDEX(Katalog!$D$3:$D$12,MATCH(Data[[#This Row],[ItemID B]],Katalog!$C$3:$C$12,0))*Data[[#This Row],[Qty B]],"0")</f>
        <v>0</v>
      </c>
      <c r="P228" s="36" t="str">
        <f>IFERROR(INDEX(Katalog!$F$3:$F$12,MATCH(Data[[#This Row],[ItemID B]],Katalog!$C$3:$C$12,0))*Data[[#This Row],[Qty B]],"0")</f>
        <v>0</v>
      </c>
      <c r="R228" t="str">
        <f>IFERROR(INDEX(Katalog!$A$3:$A$12,MATCH(Data[[#This Row],[ItemID C]],Katalog!$C$3:$C$12,0)),"-")</f>
        <v>-</v>
      </c>
      <c r="S228" t="str">
        <f>IFERROR(INDEX(Katalog!$B$3:$B$12,MATCH(Data[[#This Row],[ItemID C]],Katalog!$C$3:$C$12,0)),"-")</f>
        <v>-</v>
      </c>
      <c r="V228" s="36" t="str">
        <f>IFERROR(INDEX(Katalog!$D$3:$D$12,MATCH(Data[[#This Row],[ItemID C]],Katalog!$C$3:$C$12,0))*Data[[#This Row],[Qty C]],"0")</f>
        <v>0</v>
      </c>
      <c r="W228" s="36" t="str">
        <f>IFERROR(INDEX(Katalog!$F$3:$F$12,MATCH(Data[[#This Row],[ItemID C]],Katalog!$C$3:$C$12,0))*Data[[#This Row],[Qty C]],"0")</f>
        <v>0</v>
      </c>
      <c r="X228" s="21">
        <f>Data[[#This Row],[Qty A]]+Data[[#This Row],[Qty B]]+Data[[#This Row],[Qty C]]</f>
        <v>2</v>
      </c>
      <c r="Y228" s="22">
        <f>Data[[#This Row],[Harga Barang A]]+Data[[#This Row],[Harga Barang B]]+Data[[#This Row],[Harga Barang C]]</f>
        <v>300000</v>
      </c>
      <c r="Z228" s="35">
        <f>IFERROR(Data[[#This Row],[Total Harga]]-(Data[[#This Row],[Total Harga]]*Data[[#This Row],[Diskon]]),Data[[#This Row],[Total Harga]])</f>
        <v>255000</v>
      </c>
      <c r="AA228" s="35">
        <f>(Data[[#This Row],[Profit A]]+Data[[#This Row],[Profit B]]+Data[[#This Row],[Profit C]])</f>
        <v>120000</v>
      </c>
      <c r="AB228" s="35">
        <f>IFERROR((Data[[#This Row],[Profit non Diskon]]-(Data[[#This Row],[Profit non Diskon]]*Data[[#This Row],[Diskon]])),Data[[#This Row],[Profit non Diskon]])</f>
        <v>102000</v>
      </c>
      <c r="AC228" s="23" t="s">
        <v>28</v>
      </c>
      <c r="AD228" s="37">
        <f>IFERROR(INDEX('Kode Diskon'!$D$3:$D$9,MATCH(Data[[#This Row],[Kode diskon]],'Kode Diskon'!$C$3:$C$9,0)),"-")</f>
        <v>0.15</v>
      </c>
      <c r="AE228" s="23" t="s">
        <v>29</v>
      </c>
      <c r="AF228" s="23" t="s">
        <v>14</v>
      </c>
      <c r="AG228" s="23" t="s">
        <v>75</v>
      </c>
      <c r="AH228" s="24">
        <v>45021</v>
      </c>
      <c r="AI228" s="23" t="str">
        <f>TEXT(Data[[#This Row],[Tanggal terjual]],"dddd")</f>
        <v>Wednesday</v>
      </c>
      <c r="AJ228" s="21" t="str">
        <f>TEXT(Data[[#This Row],[Tanggal terjual]],"wwww")</f>
        <v>wwww</v>
      </c>
    </row>
    <row r="229" spans="1:36" x14ac:dyDescent="0.2">
      <c r="A229" s="20">
        <v>228</v>
      </c>
      <c r="B229" s="21" t="str">
        <f>_xlfn.CONCAT("ORD-",INDEX(Helper!$B$2:$B$5,MATCH(Data[[#This Row],[Marketplace]],Helper!$A$2:$A$5,0)),TEXT(Data[[#This Row],[No]],"0000"),"-",TEXT(Data[[#This Row],[Tanggal terjual]],"dd/mm/yy"))</f>
        <v>ORD-SP0228-26/04/23</v>
      </c>
      <c r="C229" t="s">
        <v>58</v>
      </c>
      <c r="D229" t="str">
        <f>IFERROR(INDEX(Katalog!$A$3:$A$12,MATCH(Data[[#This Row],[ItemID A]],Katalog!$C$3:$C$12,0)),"-")</f>
        <v>Pakaian Wanita</v>
      </c>
      <c r="E229" t="str">
        <f>IFERROR(INDEX(Katalog!$B$3:$B$12,MATCH(Data[[#This Row],[ItemID A]],Katalog!$C$3:$C$12,0)),"-")</f>
        <v>Dress</v>
      </c>
      <c r="F229">
        <v>4</v>
      </c>
      <c r="G229">
        <v>3</v>
      </c>
      <c r="H229" s="36">
        <f>IFERROR(INDEX(Katalog!$D$3:$D$12,MATCH(Data[[#This Row],[ItemID A]],Katalog!$C$3:$C$12,0))*Data[[#This Row],[Qty A]],"0")</f>
        <v>1200000</v>
      </c>
      <c r="I229" s="36">
        <f>IFERROR(INDEX(Katalog!$F$3:$F$12,MATCH(Data[[#This Row],[ItemID A]],Katalog!$C$3:$C$12,0))*Data[[#This Row],[Qty A]],0)</f>
        <v>400000</v>
      </c>
      <c r="K229" t="str">
        <f>IFERROR(INDEX(Katalog!$A$3:$A$12,MATCH(Data[[#This Row],[ItemID B]],Katalog!$C$3:$C$12,0)),"-")</f>
        <v>-</v>
      </c>
      <c r="L229" t="str">
        <f>IFERROR(INDEX(Katalog!$B$3:$B$12,MATCH(Data[[#This Row],[ItemID B]],Katalog!$C$3:$C$12,0)),"-")</f>
        <v>-</v>
      </c>
      <c r="O229" s="36" t="str">
        <f>IFERROR(INDEX(Katalog!$D$3:$D$12,MATCH(Data[[#This Row],[ItemID B]],Katalog!$C$3:$C$12,0))*Data[[#This Row],[Qty B]],"0")</f>
        <v>0</v>
      </c>
      <c r="P229" s="36" t="str">
        <f>IFERROR(INDEX(Katalog!$F$3:$F$12,MATCH(Data[[#This Row],[ItemID B]],Katalog!$C$3:$C$12,0))*Data[[#This Row],[Qty B]],"0")</f>
        <v>0</v>
      </c>
      <c r="R229" t="str">
        <f>IFERROR(INDEX(Katalog!$A$3:$A$12,MATCH(Data[[#This Row],[ItemID C]],Katalog!$C$3:$C$12,0)),"-")</f>
        <v>-</v>
      </c>
      <c r="S229" t="str">
        <f>IFERROR(INDEX(Katalog!$B$3:$B$12,MATCH(Data[[#This Row],[ItemID C]],Katalog!$C$3:$C$12,0)),"-")</f>
        <v>-</v>
      </c>
      <c r="V229" s="36" t="str">
        <f>IFERROR(INDEX(Katalog!$D$3:$D$12,MATCH(Data[[#This Row],[ItemID C]],Katalog!$C$3:$C$12,0))*Data[[#This Row],[Qty C]],"0")</f>
        <v>0</v>
      </c>
      <c r="W229" s="36" t="str">
        <f>IFERROR(INDEX(Katalog!$F$3:$F$12,MATCH(Data[[#This Row],[ItemID C]],Katalog!$C$3:$C$12,0))*Data[[#This Row],[Qty C]],"0")</f>
        <v>0</v>
      </c>
      <c r="X229" s="21">
        <f>Data[[#This Row],[Qty A]]+Data[[#This Row],[Qty B]]+Data[[#This Row],[Qty C]]</f>
        <v>4</v>
      </c>
      <c r="Y229" s="22">
        <f>Data[[#This Row],[Harga Barang A]]+Data[[#This Row],[Harga Barang B]]+Data[[#This Row],[Harga Barang C]]</f>
        <v>1200000</v>
      </c>
      <c r="Z229" s="35">
        <f>IFERROR(Data[[#This Row],[Total Harga]]-(Data[[#This Row],[Total Harga]]*Data[[#This Row],[Diskon]]),Data[[#This Row],[Total Harga]])</f>
        <v>960000</v>
      </c>
      <c r="AA229" s="35">
        <f>(Data[[#This Row],[Profit A]]+Data[[#This Row],[Profit B]]+Data[[#This Row],[Profit C]])</f>
        <v>400000</v>
      </c>
      <c r="AB229" s="35">
        <f>IFERROR((Data[[#This Row],[Profit non Diskon]]-(Data[[#This Row],[Profit non Diskon]]*Data[[#This Row],[Diskon]])),Data[[#This Row],[Profit non Diskon]])</f>
        <v>320000</v>
      </c>
      <c r="AC229" s="23" t="s">
        <v>8</v>
      </c>
      <c r="AD229" s="37">
        <f>IFERROR(INDEX('Kode Diskon'!$D$3:$D$9,MATCH(Data[[#This Row],[Kode diskon]],'Kode Diskon'!$C$3:$C$9,0)),"-")</f>
        <v>0.2</v>
      </c>
      <c r="AE229" s="23" t="s">
        <v>9</v>
      </c>
      <c r="AF229" s="23" t="s">
        <v>7</v>
      </c>
      <c r="AG229" s="23" t="s">
        <v>75</v>
      </c>
      <c r="AH229" s="24">
        <v>45042</v>
      </c>
      <c r="AI229" s="23" t="str">
        <f>TEXT(Data[[#This Row],[Tanggal terjual]],"dddd")</f>
        <v>Wednesday</v>
      </c>
      <c r="AJ229" s="21" t="str">
        <f>TEXT(Data[[#This Row],[Tanggal terjual]],"wwww")</f>
        <v>wwww</v>
      </c>
    </row>
    <row r="230" spans="1:36" x14ac:dyDescent="0.2">
      <c r="A230" s="20">
        <v>229</v>
      </c>
      <c r="B230" s="21" t="str">
        <f>_xlfn.CONCAT("ORD-",INDEX(Helper!$B$2:$B$5,MATCH(Data[[#This Row],[Marketplace]],Helper!$A$2:$A$5,0)),TEXT(Data[[#This Row],[No]],"0000"),"-",TEXT(Data[[#This Row],[Tanggal terjual]],"dd/mm/yy"))</f>
        <v>ORD-SP0229-28/04/23</v>
      </c>
      <c r="C230" t="s">
        <v>62</v>
      </c>
      <c r="D230" t="str">
        <f>IFERROR(INDEX(Katalog!$A$3:$A$12,MATCH(Data[[#This Row],[ItemID A]],Katalog!$C$3:$C$12,0)),"-")</f>
        <v>Pakaian Pria</v>
      </c>
      <c r="E230" t="str">
        <f>IFERROR(INDEX(Katalog!$B$3:$B$12,MATCH(Data[[#This Row],[ItemID A]],Katalog!$C$3:$C$12,0)),"-")</f>
        <v>Celana Pendek</v>
      </c>
      <c r="F230">
        <v>2</v>
      </c>
      <c r="G230">
        <v>1</v>
      </c>
      <c r="H230" s="36">
        <f>IFERROR(INDEX(Katalog!$D$3:$D$12,MATCH(Data[[#This Row],[ItemID A]],Katalog!$C$3:$C$12,0))*Data[[#This Row],[Qty A]],"0")</f>
        <v>360000</v>
      </c>
      <c r="I230" s="36">
        <f>IFERROR(INDEX(Katalog!$F$3:$F$12,MATCH(Data[[#This Row],[ItemID A]],Katalog!$C$3:$C$12,0))*Data[[#This Row],[Qty A]],0)</f>
        <v>140000</v>
      </c>
      <c r="J230" t="s">
        <v>65</v>
      </c>
      <c r="K230" t="str">
        <f>IFERROR(INDEX(Katalog!$A$3:$A$12,MATCH(Data[[#This Row],[ItemID B]],Katalog!$C$3:$C$12,0)),"-")</f>
        <v>Sepatu Pria</v>
      </c>
      <c r="L230" t="str">
        <f>IFERROR(INDEX(Katalog!$B$3:$B$12,MATCH(Data[[#This Row],[ItemID B]],Katalog!$C$3:$C$12,0)),"-")</f>
        <v>Sneakers</v>
      </c>
      <c r="M230">
        <v>2</v>
      </c>
      <c r="N230">
        <v>1</v>
      </c>
      <c r="O230" s="36">
        <f>IFERROR(INDEX(Katalog!$D$3:$D$12,MATCH(Data[[#This Row],[ItemID B]],Katalog!$C$3:$C$12,0))*Data[[#This Row],[Qty B]],"0")</f>
        <v>1000000</v>
      </c>
      <c r="P230" s="36">
        <f>IFERROR(INDEX(Katalog!$F$3:$F$12,MATCH(Data[[#This Row],[ItemID B]],Katalog!$C$3:$C$12,0))*Data[[#This Row],[Qty B]],"0")</f>
        <v>400000</v>
      </c>
      <c r="Q230" t="s">
        <v>66</v>
      </c>
      <c r="R230" t="str">
        <f>IFERROR(INDEX(Katalog!$A$3:$A$12,MATCH(Data[[#This Row],[ItemID C]],Katalog!$C$3:$C$12,0)),"-")</f>
        <v>Sepatu Pria</v>
      </c>
      <c r="S230" t="str">
        <f>IFERROR(INDEX(Katalog!$B$3:$B$12,MATCH(Data[[#This Row],[ItemID C]],Katalog!$C$3:$C$12,0)),"-")</f>
        <v>Sandal Slip On</v>
      </c>
      <c r="T230">
        <v>1</v>
      </c>
      <c r="U230">
        <v>1</v>
      </c>
      <c r="V230" s="36">
        <f>IFERROR(INDEX(Katalog!$D$3:$D$12,MATCH(Data[[#This Row],[ItemID C]],Katalog!$C$3:$C$12,0))*Data[[#This Row],[Qty C]],"0")</f>
        <v>150000</v>
      </c>
      <c r="W230" s="36">
        <f>IFERROR(INDEX(Katalog!$F$3:$F$12,MATCH(Data[[#This Row],[ItemID C]],Katalog!$C$3:$C$12,0))*Data[[#This Row],[Qty C]],"0")</f>
        <v>60000</v>
      </c>
      <c r="X230" s="21">
        <f>Data[[#This Row],[Qty A]]+Data[[#This Row],[Qty B]]+Data[[#This Row],[Qty C]]</f>
        <v>5</v>
      </c>
      <c r="Y230" s="22">
        <f>Data[[#This Row],[Harga Barang A]]+Data[[#This Row],[Harga Barang B]]+Data[[#This Row],[Harga Barang C]]</f>
        <v>1510000</v>
      </c>
      <c r="Z230" s="35">
        <f>IFERROR(Data[[#This Row],[Total Harga]]-(Data[[#This Row],[Total Harga]]*Data[[#This Row],[Diskon]]),Data[[#This Row],[Total Harga]])</f>
        <v>1208000</v>
      </c>
      <c r="AA230" s="35">
        <f>(Data[[#This Row],[Profit A]]+Data[[#This Row],[Profit B]]+Data[[#This Row],[Profit C]])</f>
        <v>600000</v>
      </c>
      <c r="AB230" s="35">
        <f>IFERROR((Data[[#This Row],[Profit non Diskon]]-(Data[[#This Row],[Profit non Diskon]]*Data[[#This Row],[Diskon]])),Data[[#This Row],[Profit non Diskon]])</f>
        <v>480000</v>
      </c>
      <c r="AC230" s="23" t="s">
        <v>8</v>
      </c>
      <c r="AD230" s="37">
        <f>IFERROR(INDEX('Kode Diskon'!$D$3:$D$9,MATCH(Data[[#This Row],[Kode diskon]],'Kode Diskon'!$C$3:$C$9,0)),"-")</f>
        <v>0.2</v>
      </c>
      <c r="AE230" s="23" t="s">
        <v>9</v>
      </c>
      <c r="AF230" s="23" t="s">
        <v>7</v>
      </c>
      <c r="AG230" s="23" t="s">
        <v>76</v>
      </c>
      <c r="AH230" s="24">
        <v>45044</v>
      </c>
      <c r="AI230" s="23" t="str">
        <f>TEXT(Data[[#This Row],[Tanggal terjual]],"dddd")</f>
        <v>Friday</v>
      </c>
      <c r="AJ230" s="21" t="str">
        <f>TEXT(Data[[#This Row],[Tanggal terjual]],"wwww")</f>
        <v>wwww</v>
      </c>
    </row>
    <row r="231" spans="1:36" x14ac:dyDescent="0.2">
      <c r="A231" s="20">
        <v>230</v>
      </c>
      <c r="B231" s="21" t="str">
        <f>_xlfn.CONCAT("ORD-",INDEX(Helper!$B$2:$B$5,MATCH(Data[[#This Row],[Marketplace]],Helper!$A$2:$A$5,0)),TEXT(Data[[#This Row],[No]],"0000"),"-",TEXT(Data[[#This Row],[Tanggal terjual]],"dd/mm/yy"))</f>
        <v>ORD-BB0230-06/04/23</v>
      </c>
      <c r="C231" t="s">
        <v>58</v>
      </c>
      <c r="D231" t="str">
        <f>IFERROR(INDEX(Katalog!$A$3:$A$12,MATCH(Data[[#This Row],[ItemID A]],Katalog!$C$3:$C$12,0)),"-")</f>
        <v>Pakaian Wanita</v>
      </c>
      <c r="E231" t="str">
        <f>IFERROR(INDEX(Katalog!$B$3:$B$12,MATCH(Data[[#This Row],[ItemID A]],Katalog!$C$3:$C$12,0)),"-")</f>
        <v>Dress</v>
      </c>
      <c r="F231">
        <v>1</v>
      </c>
      <c r="G231">
        <v>5</v>
      </c>
      <c r="H231" s="36">
        <f>IFERROR(INDEX(Katalog!$D$3:$D$12,MATCH(Data[[#This Row],[ItemID A]],Katalog!$C$3:$C$12,0))*Data[[#This Row],[Qty A]],"0")</f>
        <v>300000</v>
      </c>
      <c r="I231" s="36">
        <f>IFERROR(INDEX(Katalog!$F$3:$F$12,MATCH(Data[[#This Row],[ItemID A]],Katalog!$C$3:$C$12,0))*Data[[#This Row],[Qty A]],0)</f>
        <v>100000</v>
      </c>
      <c r="J231" t="s">
        <v>63</v>
      </c>
      <c r="K231" t="str">
        <f>IFERROR(INDEX(Katalog!$A$3:$A$12,MATCH(Data[[#This Row],[ItemID B]],Katalog!$C$3:$C$12,0)),"-")</f>
        <v>Pakaian Pria</v>
      </c>
      <c r="L231" t="str">
        <f>IFERROR(INDEX(Katalog!$B$3:$B$12,MATCH(Data[[#This Row],[ItemID B]],Katalog!$C$3:$C$12,0)),"-")</f>
        <v>Jaket Jeans</v>
      </c>
      <c r="M231">
        <v>1</v>
      </c>
      <c r="N231">
        <v>1</v>
      </c>
      <c r="O231" s="36">
        <f>IFERROR(INDEX(Katalog!$D$3:$D$12,MATCH(Data[[#This Row],[ItemID B]],Katalog!$C$3:$C$12,0))*Data[[#This Row],[Qty B]],"0")</f>
        <v>400000</v>
      </c>
      <c r="P231" s="36">
        <f>IFERROR(INDEX(Katalog!$F$3:$F$12,MATCH(Data[[#This Row],[ItemID B]],Katalog!$C$3:$C$12,0))*Data[[#This Row],[Qty B]],"0")</f>
        <v>150000</v>
      </c>
      <c r="R231" t="str">
        <f>IFERROR(INDEX(Katalog!$A$3:$A$12,MATCH(Data[[#This Row],[ItemID C]],Katalog!$C$3:$C$12,0)),"-")</f>
        <v>-</v>
      </c>
      <c r="S231" t="str">
        <f>IFERROR(INDEX(Katalog!$B$3:$B$12,MATCH(Data[[#This Row],[ItemID C]],Katalog!$C$3:$C$12,0)),"-")</f>
        <v>-</v>
      </c>
      <c r="V231" s="36" t="str">
        <f>IFERROR(INDEX(Katalog!$D$3:$D$12,MATCH(Data[[#This Row],[ItemID C]],Katalog!$C$3:$C$12,0))*Data[[#This Row],[Qty C]],"0")</f>
        <v>0</v>
      </c>
      <c r="W231" s="36" t="str">
        <f>IFERROR(INDEX(Katalog!$F$3:$F$12,MATCH(Data[[#This Row],[ItemID C]],Katalog!$C$3:$C$12,0))*Data[[#This Row],[Qty C]],"0")</f>
        <v>0</v>
      </c>
      <c r="X231" s="21">
        <f>Data[[#This Row],[Qty A]]+Data[[#This Row],[Qty B]]+Data[[#This Row],[Qty C]]</f>
        <v>2</v>
      </c>
      <c r="Y231" s="22">
        <f>Data[[#This Row],[Harga Barang A]]+Data[[#This Row],[Harga Barang B]]+Data[[#This Row],[Harga Barang C]]</f>
        <v>700000</v>
      </c>
      <c r="Z231" s="35">
        <f>IFERROR(Data[[#This Row],[Total Harga]]-(Data[[#This Row],[Total Harga]]*Data[[#This Row],[Diskon]]),Data[[#This Row],[Total Harga]])</f>
        <v>595000</v>
      </c>
      <c r="AA231" s="35">
        <f>(Data[[#This Row],[Profit A]]+Data[[#This Row],[Profit B]]+Data[[#This Row],[Profit C]])</f>
        <v>250000</v>
      </c>
      <c r="AB231" s="35">
        <f>IFERROR((Data[[#This Row],[Profit non Diskon]]-(Data[[#This Row],[Profit non Diskon]]*Data[[#This Row],[Diskon]])),Data[[#This Row],[Profit non Diskon]])</f>
        <v>212500</v>
      </c>
      <c r="AC231" s="23" t="s">
        <v>28</v>
      </c>
      <c r="AD231" s="37">
        <f>IFERROR(INDEX('Kode Diskon'!$D$3:$D$9,MATCH(Data[[#This Row],[Kode diskon]],'Kode Diskon'!$C$3:$C$9,0)),"-")</f>
        <v>0.15</v>
      </c>
      <c r="AE231" s="23" t="s">
        <v>29</v>
      </c>
      <c r="AF231" s="23" t="s">
        <v>14</v>
      </c>
      <c r="AG231" s="23" t="s">
        <v>75</v>
      </c>
      <c r="AH231" s="24">
        <v>45022</v>
      </c>
      <c r="AI231" s="23" t="str">
        <f>TEXT(Data[[#This Row],[Tanggal terjual]],"dddd")</f>
        <v>Thursday</v>
      </c>
      <c r="AJ231" s="21" t="str">
        <f>TEXT(Data[[#This Row],[Tanggal terjual]],"wwww")</f>
        <v>wwww</v>
      </c>
    </row>
    <row r="232" spans="1:36" x14ac:dyDescent="0.2">
      <c r="A232" s="20">
        <v>231</v>
      </c>
      <c r="B232" s="21" t="str">
        <f>_xlfn.CONCAT("ORD-",INDEX(Helper!$B$2:$B$5,MATCH(Data[[#This Row],[Marketplace]],Helper!$A$2:$A$5,0)),TEXT(Data[[#This Row],[No]],"0000"),"-",TEXT(Data[[#This Row],[Tanggal terjual]],"dd/mm/yy"))</f>
        <v>ORD-SP0231-02/04/23</v>
      </c>
      <c r="C232" t="s">
        <v>62</v>
      </c>
      <c r="D232" t="str">
        <f>IFERROR(INDEX(Katalog!$A$3:$A$12,MATCH(Data[[#This Row],[ItemID A]],Katalog!$C$3:$C$12,0)),"-")</f>
        <v>Pakaian Pria</v>
      </c>
      <c r="E232" t="str">
        <f>IFERROR(INDEX(Katalog!$B$3:$B$12,MATCH(Data[[#This Row],[ItemID A]],Katalog!$C$3:$C$12,0)),"-")</f>
        <v>Celana Pendek</v>
      </c>
      <c r="F232">
        <v>2</v>
      </c>
      <c r="G232">
        <v>3</v>
      </c>
      <c r="H232" s="36">
        <f>IFERROR(INDEX(Katalog!$D$3:$D$12,MATCH(Data[[#This Row],[ItemID A]],Katalog!$C$3:$C$12,0))*Data[[#This Row],[Qty A]],"0")</f>
        <v>360000</v>
      </c>
      <c r="I232" s="36">
        <f>IFERROR(INDEX(Katalog!$F$3:$F$12,MATCH(Data[[#This Row],[ItemID A]],Katalog!$C$3:$C$12,0))*Data[[#This Row],[Qty A]],0)</f>
        <v>140000</v>
      </c>
      <c r="J232" t="s">
        <v>67</v>
      </c>
      <c r="K232" t="str">
        <f>IFERROR(INDEX(Katalog!$A$3:$A$12,MATCH(Data[[#This Row],[ItemID B]],Katalog!$C$3:$C$12,0)),"-")</f>
        <v>Sepatu Wanita</v>
      </c>
      <c r="L232" t="str">
        <f>IFERROR(INDEX(Katalog!$B$3:$B$12,MATCH(Data[[#This Row],[ItemID B]],Katalog!$C$3:$C$12,0)),"-")</f>
        <v>Flat Shoes</v>
      </c>
      <c r="M232">
        <v>2</v>
      </c>
      <c r="N232">
        <v>4</v>
      </c>
      <c r="O232" s="36">
        <f>IFERROR(INDEX(Katalog!$D$3:$D$12,MATCH(Data[[#This Row],[ItemID B]],Katalog!$C$3:$C$12,0))*Data[[#This Row],[Qty B]],"0")</f>
        <v>500000</v>
      </c>
      <c r="P232" s="36">
        <f>IFERROR(INDEX(Katalog!$F$3:$F$12,MATCH(Data[[#This Row],[ItemID B]],Katalog!$C$3:$C$12,0))*Data[[#This Row],[Qty B]],"0")</f>
        <v>200000</v>
      </c>
      <c r="Q232" t="s">
        <v>62</v>
      </c>
      <c r="R232" t="str">
        <f>IFERROR(INDEX(Katalog!$A$3:$A$12,MATCH(Data[[#This Row],[ItemID C]],Katalog!$C$3:$C$12,0)),"-")</f>
        <v>Pakaian Pria</v>
      </c>
      <c r="S232" t="str">
        <f>IFERROR(INDEX(Katalog!$B$3:$B$12,MATCH(Data[[#This Row],[ItemID C]],Katalog!$C$3:$C$12,0)),"-")</f>
        <v>Celana Pendek</v>
      </c>
      <c r="T232">
        <v>1</v>
      </c>
      <c r="U232">
        <v>1</v>
      </c>
      <c r="V232" s="36">
        <f>IFERROR(INDEX(Katalog!$D$3:$D$12,MATCH(Data[[#This Row],[ItemID C]],Katalog!$C$3:$C$12,0))*Data[[#This Row],[Qty C]],"0")</f>
        <v>180000</v>
      </c>
      <c r="W232" s="36">
        <f>IFERROR(INDEX(Katalog!$F$3:$F$12,MATCH(Data[[#This Row],[ItemID C]],Katalog!$C$3:$C$12,0))*Data[[#This Row],[Qty C]],"0")</f>
        <v>70000</v>
      </c>
      <c r="X232" s="21">
        <f>Data[[#This Row],[Qty A]]+Data[[#This Row],[Qty B]]+Data[[#This Row],[Qty C]]</f>
        <v>5</v>
      </c>
      <c r="Y232" s="22">
        <f>Data[[#This Row],[Harga Barang A]]+Data[[#This Row],[Harga Barang B]]+Data[[#This Row],[Harga Barang C]]</f>
        <v>1040000</v>
      </c>
      <c r="Z232" s="35">
        <f>IFERROR(Data[[#This Row],[Total Harga]]-(Data[[#This Row],[Total Harga]]*Data[[#This Row],[Diskon]]),Data[[#This Row],[Total Harga]])</f>
        <v>884000</v>
      </c>
      <c r="AA232" s="35">
        <f>(Data[[#This Row],[Profit A]]+Data[[#This Row],[Profit B]]+Data[[#This Row],[Profit C]])</f>
        <v>410000</v>
      </c>
      <c r="AB232" s="35">
        <f>IFERROR((Data[[#This Row],[Profit non Diskon]]-(Data[[#This Row],[Profit non Diskon]]*Data[[#This Row],[Diskon]])),Data[[#This Row],[Profit non Diskon]])</f>
        <v>348500</v>
      </c>
      <c r="AC232" s="23" t="s">
        <v>13</v>
      </c>
      <c r="AD232" s="37">
        <f>IFERROR(INDEX('Kode Diskon'!$D$3:$D$9,MATCH(Data[[#This Row],[Kode diskon]],'Kode Diskon'!$C$3:$C$9,0)),"-")</f>
        <v>0.15</v>
      </c>
      <c r="AE232" s="23" t="s">
        <v>29</v>
      </c>
      <c r="AF232" s="23" t="s">
        <v>7</v>
      </c>
      <c r="AG232" s="23" t="s">
        <v>80</v>
      </c>
      <c r="AH232" s="24">
        <v>45018</v>
      </c>
      <c r="AI232" s="23" t="str">
        <f>TEXT(Data[[#This Row],[Tanggal terjual]],"dddd")</f>
        <v>Sunday</v>
      </c>
      <c r="AJ232" s="21" t="str">
        <f>TEXT(Data[[#This Row],[Tanggal terjual]],"wwww")</f>
        <v>wwww</v>
      </c>
    </row>
    <row r="233" spans="1:36" x14ac:dyDescent="0.2">
      <c r="A233" s="20">
        <v>232</v>
      </c>
      <c r="B233" s="21" t="str">
        <f>_xlfn.CONCAT("ORD-",INDEX(Helper!$B$2:$B$5,MATCH(Data[[#This Row],[Marketplace]],Helper!$A$2:$A$5,0)),TEXT(Data[[#This Row],[No]],"0000"),"-",TEXT(Data[[#This Row],[Tanggal terjual]],"dd/mm/yy"))</f>
        <v>ORD-TK0232-20/04/23</v>
      </c>
      <c r="C233" t="s">
        <v>58</v>
      </c>
      <c r="D233" t="str">
        <f>IFERROR(INDEX(Katalog!$A$3:$A$12,MATCH(Data[[#This Row],[ItemID A]],Katalog!$C$3:$C$12,0)),"-")</f>
        <v>Pakaian Wanita</v>
      </c>
      <c r="E233" t="str">
        <f>IFERROR(INDEX(Katalog!$B$3:$B$12,MATCH(Data[[#This Row],[ItemID A]],Katalog!$C$3:$C$12,0)),"-")</f>
        <v>Dress</v>
      </c>
      <c r="F233">
        <v>4</v>
      </c>
      <c r="G233">
        <v>1</v>
      </c>
      <c r="H233" s="36">
        <f>IFERROR(INDEX(Katalog!$D$3:$D$12,MATCH(Data[[#This Row],[ItemID A]],Katalog!$C$3:$C$12,0))*Data[[#This Row],[Qty A]],"0")</f>
        <v>1200000</v>
      </c>
      <c r="I233" s="36">
        <f>IFERROR(INDEX(Katalog!$F$3:$F$12,MATCH(Data[[#This Row],[ItemID A]],Katalog!$C$3:$C$12,0))*Data[[#This Row],[Qty A]],0)</f>
        <v>400000</v>
      </c>
      <c r="J233" t="s">
        <v>62</v>
      </c>
      <c r="K233" t="str">
        <f>IFERROR(INDEX(Katalog!$A$3:$A$12,MATCH(Data[[#This Row],[ItemID B]],Katalog!$C$3:$C$12,0)),"-")</f>
        <v>Pakaian Pria</v>
      </c>
      <c r="L233" t="str">
        <f>IFERROR(INDEX(Katalog!$B$3:$B$12,MATCH(Data[[#This Row],[ItemID B]],Katalog!$C$3:$C$12,0)),"-")</f>
        <v>Celana Pendek</v>
      </c>
      <c r="M233">
        <v>1</v>
      </c>
      <c r="N233">
        <v>2</v>
      </c>
      <c r="O233" s="36">
        <f>IFERROR(INDEX(Katalog!$D$3:$D$12,MATCH(Data[[#This Row],[ItemID B]],Katalog!$C$3:$C$12,0))*Data[[#This Row],[Qty B]],"0")</f>
        <v>180000</v>
      </c>
      <c r="P233" s="36">
        <f>IFERROR(INDEX(Katalog!$F$3:$F$12,MATCH(Data[[#This Row],[ItemID B]],Katalog!$C$3:$C$12,0))*Data[[#This Row],[Qty B]],"0")</f>
        <v>70000</v>
      </c>
      <c r="Q233" t="s">
        <v>58</v>
      </c>
      <c r="R233" t="str">
        <f>IFERROR(INDEX(Katalog!$A$3:$A$12,MATCH(Data[[#This Row],[ItemID C]],Katalog!$C$3:$C$12,0)),"-")</f>
        <v>Pakaian Wanita</v>
      </c>
      <c r="S233" t="str">
        <f>IFERROR(INDEX(Katalog!$B$3:$B$12,MATCH(Data[[#This Row],[ItemID C]],Katalog!$C$3:$C$12,0)),"-")</f>
        <v>Dress</v>
      </c>
      <c r="T233">
        <v>1</v>
      </c>
      <c r="U233">
        <v>3</v>
      </c>
      <c r="V233" s="36">
        <f>IFERROR(INDEX(Katalog!$D$3:$D$12,MATCH(Data[[#This Row],[ItemID C]],Katalog!$C$3:$C$12,0))*Data[[#This Row],[Qty C]],"0")</f>
        <v>300000</v>
      </c>
      <c r="W233" s="36">
        <f>IFERROR(INDEX(Katalog!$F$3:$F$12,MATCH(Data[[#This Row],[ItemID C]],Katalog!$C$3:$C$12,0))*Data[[#This Row],[Qty C]],"0")</f>
        <v>100000</v>
      </c>
      <c r="X233" s="21">
        <f>Data[[#This Row],[Qty A]]+Data[[#This Row],[Qty B]]+Data[[#This Row],[Qty C]]</f>
        <v>6</v>
      </c>
      <c r="Y233" s="22">
        <f>Data[[#This Row],[Harga Barang A]]+Data[[#This Row],[Harga Barang B]]+Data[[#This Row],[Harga Barang C]]</f>
        <v>1680000</v>
      </c>
      <c r="Z233" s="35">
        <f>IFERROR(Data[[#This Row],[Total Harga]]-(Data[[#This Row],[Total Harga]]*Data[[#This Row],[Diskon]]),Data[[#This Row],[Total Harga]])</f>
        <v>1512000</v>
      </c>
      <c r="AA233" s="35">
        <f>(Data[[#This Row],[Profit A]]+Data[[#This Row],[Profit B]]+Data[[#This Row],[Profit C]])</f>
        <v>570000</v>
      </c>
      <c r="AB233" s="35">
        <f>IFERROR((Data[[#This Row],[Profit non Diskon]]-(Data[[#This Row],[Profit non Diskon]]*Data[[#This Row],[Diskon]])),Data[[#This Row],[Profit non Diskon]])</f>
        <v>513000</v>
      </c>
      <c r="AC233" s="23" t="s">
        <v>31</v>
      </c>
      <c r="AD233" s="37">
        <f>IFERROR(INDEX('Kode Diskon'!$D$3:$D$9,MATCH(Data[[#This Row],[Kode diskon]],'Kode Diskon'!$C$3:$C$9,0)),"-")</f>
        <v>0.1</v>
      </c>
      <c r="AE233" s="23" t="s">
        <v>9</v>
      </c>
      <c r="AF233" s="23" t="s">
        <v>10</v>
      </c>
      <c r="AG233" s="23" t="s">
        <v>76</v>
      </c>
      <c r="AH233" s="24">
        <v>45036</v>
      </c>
      <c r="AI233" s="23" t="str">
        <f>TEXT(Data[[#This Row],[Tanggal terjual]],"dddd")</f>
        <v>Thursday</v>
      </c>
      <c r="AJ233" s="21" t="str">
        <f>TEXT(Data[[#This Row],[Tanggal terjual]],"wwww")</f>
        <v>wwww</v>
      </c>
    </row>
    <row r="234" spans="1:36" x14ac:dyDescent="0.2">
      <c r="A234" s="20">
        <v>233</v>
      </c>
      <c r="B234" s="21" t="str">
        <f>_xlfn.CONCAT("ORD-",INDEX(Helper!$B$2:$B$5,MATCH(Data[[#This Row],[Marketplace]],Helper!$A$2:$A$5,0)),TEXT(Data[[#This Row],[No]],"0000"),"-",TEXT(Data[[#This Row],[Tanggal terjual]],"dd/mm/yy"))</f>
        <v>ORD-SP0233-29/04/23</v>
      </c>
      <c r="C234" t="s">
        <v>62</v>
      </c>
      <c r="D234" t="str">
        <f>IFERROR(INDEX(Katalog!$A$3:$A$12,MATCH(Data[[#This Row],[ItemID A]],Katalog!$C$3:$C$12,0)),"-")</f>
        <v>Pakaian Pria</v>
      </c>
      <c r="E234" t="str">
        <f>IFERROR(INDEX(Katalog!$B$3:$B$12,MATCH(Data[[#This Row],[ItemID A]],Katalog!$C$3:$C$12,0)),"-")</f>
        <v>Celana Pendek</v>
      </c>
      <c r="F234">
        <v>2</v>
      </c>
      <c r="G234">
        <v>5</v>
      </c>
      <c r="H234" s="36">
        <f>IFERROR(INDEX(Katalog!$D$3:$D$12,MATCH(Data[[#This Row],[ItemID A]],Katalog!$C$3:$C$12,0))*Data[[#This Row],[Qty A]],"0")</f>
        <v>360000</v>
      </c>
      <c r="I234" s="36">
        <f>IFERROR(INDEX(Katalog!$F$3:$F$12,MATCH(Data[[#This Row],[ItemID A]],Katalog!$C$3:$C$12,0))*Data[[#This Row],[Qty A]],0)</f>
        <v>140000</v>
      </c>
      <c r="J234" t="s">
        <v>65</v>
      </c>
      <c r="K234" t="str">
        <f>IFERROR(INDEX(Katalog!$A$3:$A$12,MATCH(Data[[#This Row],[ItemID B]],Katalog!$C$3:$C$12,0)),"-")</f>
        <v>Sepatu Pria</v>
      </c>
      <c r="L234" t="str">
        <f>IFERROR(INDEX(Katalog!$B$3:$B$12,MATCH(Data[[#This Row],[ItemID B]],Katalog!$C$3:$C$12,0)),"-")</f>
        <v>Sneakers</v>
      </c>
      <c r="M234">
        <v>2</v>
      </c>
      <c r="N234">
        <v>3</v>
      </c>
      <c r="O234" s="36">
        <f>IFERROR(INDEX(Katalog!$D$3:$D$12,MATCH(Data[[#This Row],[ItemID B]],Katalog!$C$3:$C$12,0))*Data[[#This Row],[Qty B]],"0")</f>
        <v>1000000</v>
      </c>
      <c r="P234" s="36">
        <f>IFERROR(INDEX(Katalog!$F$3:$F$12,MATCH(Data[[#This Row],[ItemID B]],Katalog!$C$3:$C$12,0))*Data[[#This Row],[Qty B]],"0")</f>
        <v>400000</v>
      </c>
      <c r="R234" t="str">
        <f>IFERROR(INDEX(Katalog!$A$3:$A$12,MATCH(Data[[#This Row],[ItemID C]],Katalog!$C$3:$C$12,0)),"-")</f>
        <v>-</v>
      </c>
      <c r="S234" t="str">
        <f>IFERROR(INDEX(Katalog!$B$3:$B$12,MATCH(Data[[#This Row],[ItemID C]],Katalog!$C$3:$C$12,0)),"-")</f>
        <v>-</v>
      </c>
      <c r="V234" s="36" t="str">
        <f>IFERROR(INDEX(Katalog!$D$3:$D$12,MATCH(Data[[#This Row],[ItemID C]],Katalog!$C$3:$C$12,0))*Data[[#This Row],[Qty C]],"0")</f>
        <v>0</v>
      </c>
      <c r="W234" s="36" t="str">
        <f>IFERROR(INDEX(Katalog!$F$3:$F$12,MATCH(Data[[#This Row],[ItemID C]],Katalog!$C$3:$C$12,0))*Data[[#This Row],[Qty C]],"0")</f>
        <v>0</v>
      </c>
      <c r="X234" s="21">
        <f>Data[[#This Row],[Qty A]]+Data[[#This Row],[Qty B]]+Data[[#This Row],[Qty C]]</f>
        <v>4</v>
      </c>
      <c r="Y234" s="22">
        <f>Data[[#This Row],[Harga Barang A]]+Data[[#This Row],[Harga Barang B]]+Data[[#This Row],[Harga Barang C]]</f>
        <v>1360000</v>
      </c>
      <c r="Z234" s="35">
        <f>IFERROR(Data[[#This Row],[Total Harga]]-(Data[[#This Row],[Total Harga]]*Data[[#This Row],[Diskon]]),Data[[#This Row],[Total Harga]])</f>
        <v>1088000</v>
      </c>
      <c r="AA234" s="35">
        <f>(Data[[#This Row],[Profit A]]+Data[[#This Row],[Profit B]]+Data[[#This Row],[Profit C]])</f>
        <v>540000</v>
      </c>
      <c r="AB234" s="35">
        <f>IFERROR((Data[[#This Row],[Profit non Diskon]]-(Data[[#This Row],[Profit non Diskon]]*Data[[#This Row],[Diskon]])),Data[[#This Row],[Profit non Diskon]])</f>
        <v>432000</v>
      </c>
      <c r="AC234" s="23" t="s">
        <v>8</v>
      </c>
      <c r="AD234" s="37">
        <f>IFERROR(INDEX('Kode Diskon'!$D$3:$D$9,MATCH(Data[[#This Row],[Kode diskon]],'Kode Diskon'!$C$3:$C$9,0)),"-")</f>
        <v>0.2</v>
      </c>
      <c r="AE234" s="23" t="s">
        <v>9</v>
      </c>
      <c r="AF234" s="23" t="s">
        <v>7</v>
      </c>
      <c r="AG234" s="23" t="s">
        <v>79</v>
      </c>
      <c r="AH234" s="24">
        <v>45045</v>
      </c>
      <c r="AI234" s="23" t="str">
        <f>TEXT(Data[[#This Row],[Tanggal terjual]],"dddd")</f>
        <v>Saturday</v>
      </c>
      <c r="AJ234" s="21" t="str">
        <f>TEXT(Data[[#This Row],[Tanggal terjual]],"wwww")</f>
        <v>wwww</v>
      </c>
    </row>
    <row r="235" spans="1:36" x14ac:dyDescent="0.2">
      <c r="A235" s="20">
        <v>234</v>
      </c>
      <c r="B235" s="21" t="str">
        <f>_xlfn.CONCAT("ORD-",INDEX(Helper!$B$2:$B$5,MATCH(Data[[#This Row],[Marketplace]],Helper!$A$2:$A$5,0)),TEXT(Data[[#This Row],[No]],"0000"),"-",TEXT(Data[[#This Row],[Tanggal terjual]],"dd/mm/yy"))</f>
        <v>ORD-BB0234-01/04/23</v>
      </c>
      <c r="C235" t="s">
        <v>66</v>
      </c>
      <c r="D235" t="str">
        <f>IFERROR(INDEX(Katalog!$A$3:$A$12,MATCH(Data[[#This Row],[ItemID A]],Katalog!$C$3:$C$12,0)),"-")</f>
        <v>Sepatu Pria</v>
      </c>
      <c r="E235" t="str">
        <f>IFERROR(INDEX(Katalog!$B$3:$B$12,MATCH(Data[[#This Row],[ItemID A]],Katalog!$C$3:$C$12,0)),"-")</f>
        <v>Sandal Slip On</v>
      </c>
      <c r="F235">
        <v>4</v>
      </c>
      <c r="G235">
        <v>2</v>
      </c>
      <c r="H235" s="36">
        <f>IFERROR(INDEX(Katalog!$D$3:$D$12,MATCH(Data[[#This Row],[ItemID A]],Katalog!$C$3:$C$12,0))*Data[[#This Row],[Qty A]],"0")</f>
        <v>600000</v>
      </c>
      <c r="I235" s="36">
        <f>IFERROR(INDEX(Katalog!$F$3:$F$12,MATCH(Data[[#This Row],[ItemID A]],Katalog!$C$3:$C$12,0))*Data[[#This Row],[Qty A]],0)</f>
        <v>240000</v>
      </c>
      <c r="J235" t="s">
        <v>63</v>
      </c>
      <c r="K235" t="str">
        <f>IFERROR(INDEX(Katalog!$A$3:$A$12,MATCH(Data[[#This Row],[ItemID B]],Katalog!$C$3:$C$12,0)),"-")</f>
        <v>Pakaian Pria</v>
      </c>
      <c r="L235" t="str">
        <f>IFERROR(INDEX(Katalog!$B$3:$B$12,MATCH(Data[[#This Row],[ItemID B]],Katalog!$C$3:$C$12,0)),"-")</f>
        <v>Jaket Jeans</v>
      </c>
      <c r="M235">
        <v>1</v>
      </c>
      <c r="N235">
        <v>4</v>
      </c>
      <c r="O235" s="36">
        <f>IFERROR(INDEX(Katalog!$D$3:$D$12,MATCH(Data[[#This Row],[ItemID B]],Katalog!$C$3:$C$12,0))*Data[[#This Row],[Qty B]],"0")</f>
        <v>400000</v>
      </c>
      <c r="P235" s="36">
        <f>IFERROR(INDEX(Katalog!$F$3:$F$12,MATCH(Data[[#This Row],[ItemID B]],Katalog!$C$3:$C$12,0))*Data[[#This Row],[Qty B]],"0")</f>
        <v>150000</v>
      </c>
      <c r="R235" t="str">
        <f>IFERROR(INDEX(Katalog!$A$3:$A$12,MATCH(Data[[#This Row],[ItemID C]],Katalog!$C$3:$C$12,0)),"-")</f>
        <v>-</v>
      </c>
      <c r="S235" t="str">
        <f>IFERROR(INDEX(Katalog!$B$3:$B$12,MATCH(Data[[#This Row],[ItemID C]],Katalog!$C$3:$C$12,0)),"-")</f>
        <v>-</v>
      </c>
      <c r="V235" s="36" t="str">
        <f>IFERROR(INDEX(Katalog!$D$3:$D$12,MATCH(Data[[#This Row],[ItemID C]],Katalog!$C$3:$C$12,0))*Data[[#This Row],[Qty C]],"0")</f>
        <v>0</v>
      </c>
      <c r="W235" s="36" t="str">
        <f>IFERROR(INDEX(Katalog!$F$3:$F$12,MATCH(Data[[#This Row],[ItemID C]],Katalog!$C$3:$C$12,0))*Data[[#This Row],[Qty C]],"0")</f>
        <v>0</v>
      </c>
      <c r="X235" s="21">
        <f>Data[[#This Row],[Qty A]]+Data[[#This Row],[Qty B]]+Data[[#This Row],[Qty C]]</f>
        <v>5</v>
      </c>
      <c r="Y235" s="22">
        <f>Data[[#This Row],[Harga Barang A]]+Data[[#This Row],[Harga Barang B]]+Data[[#This Row],[Harga Barang C]]</f>
        <v>1000000</v>
      </c>
      <c r="Z235" s="35">
        <f>IFERROR(Data[[#This Row],[Total Harga]]-(Data[[#This Row],[Total Harga]]*Data[[#This Row],[Diskon]]),Data[[#This Row],[Total Harga]])</f>
        <v>850000</v>
      </c>
      <c r="AA235" s="35">
        <f>(Data[[#This Row],[Profit A]]+Data[[#This Row],[Profit B]]+Data[[#This Row],[Profit C]])</f>
        <v>390000</v>
      </c>
      <c r="AB235" s="35">
        <f>IFERROR((Data[[#This Row],[Profit non Diskon]]-(Data[[#This Row],[Profit non Diskon]]*Data[[#This Row],[Diskon]])),Data[[#This Row],[Profit non Diskon]])</f>
        <v>331500</v>
      </c>
      <c r="AC235" s="23" t="s">
        <v>28</v>
      </c>
      <c r="AD235" s="37">
        <f>IFERROR(INDEX('Kode Diskon'!$D$3:$D$9,MATCH(Data[[#This Row],[Kode diskon]],'Kode Diskon'!$C$3:$C$9,0)),"-")</f>
        <v>0.15</v>
      </c>
      <c r="AE235" s="23" t="s">
        <v>29</v>
      </c>
      <c r="AF235" s="23" t="s">
        <v>14</v>
      </c>
      <c r="AG235" s="23" t="s">
        <v>80</v>
      </c>
      <c r="AH235" s="24">
        <v>45017</v>
      </c>
      <c r="AI235" s="23" t="str">
        <f>TEXT(Data[[#This Row],[Tanggal terjual]],"dddd")</f>
        <v>Saturday</v>
      </c>
      <c r="AJ235" s="21" t="str">
        <f>TEXT(Data[[#This Row],[Tanggal terjual]],"wwww")</f>
        <v>wwww</v>
      </c>
    </row>
    <row r="236" spans="1:36" x14ac:dyDescent="0.2">
      <c r="A236" s="20">
        <v>235</v>
      </c>
      <c r="B236" s="21" t="str">
        <f>_xlfn.CONCAT("ORD-",INDEX(Helper!$B$2:$B$5,MATCH(Data[[#This Row],[Marketplace]],Helper!$A$2:$A$5,0)),TEXT(Data[[#This Row],[No]],"0000"),"-",TEXT(Data[[#This Row],[Tanggal terjual]],"dd/mm/yy"))</f>
        <v>ORD-TK0235-22/04/23</v>
      </c>
      <c r="C236" t="s">
        <v>65</v>
      </c>
      <c r="D236" t="str">
        <f>IFERROR(INDEX(Katalog!$A$3:$A$12,MATCH(Data[[#This Row],[ItemID A]],Katalog!$C$3:$C$12,0)),"-")</f>
        <v>Sepatu Pria</v>
      </c>
      <c r="E236" t="str">
        <f>IFERROR(INDEX(Katalog!$B$3:$B$12,MATCH(Data[[#This Row],[ItemID A]],Katalog!$C$3:$C$12,0)),"-")</f>
        <v>Sneakers</v>
      </c>
      <c r="F236">
        <v>3</v>
      </c>
      <c r="G236">
        <v>4</v>
      </c>
      <c r="H236" s="36">
        <f>IFERROR(INDEX(Katalog!$D$3:$D$12,MATCH(Data[[#This Row],[ItemID A]],Katalog!$C$3:$C$12,0))*Data[[#This Row],[Qty A]],"0")</f>
        <v>1500000</v>
      </c>
      <c r="I236" s="36">
        <f>IFERROR(INDEX(Katalog!$F$3:$F$12,MATCH(Data[[#This Row],[ItemID A]],Katalog!$C$3:$C$12,0))*Data[[#This Row],[Qty A]],0)</f>
        <v>600000</v>
      </c>
      <c r="J236" t="s">
        <v>58</v>
      </c>
      <c r="K236" t="str">
        <f>IFERROR(INDEX(Katalog!$A$3:$A$12,MATCH(Data[[#This Row],[ItemID B]],Katalog!$C$3:$C$12,0)),"-")</f>
        <v>Pakaian Wanita</v>
      </c>
      <c r="L236" t="str">
        <f>IFERROR(INDEX(Katalog!$B$3:$B$12,MATCH(Data[[#This Row],[ItemID B]],Katalog!$C$3:$C$12,0)),"-")</f>
        <v>Dress</v>
      </c>
      <c r="M236">
        <v>1</v>
      </c>
      <c r="N236">
        <v>1</v>
      </c>
      <c r="O236" s="36">
        <f>IFERROR(INDEX(Katalog!$D$3:$D$12,MATCH(Data[[#This Row],[ItemID B]],Katalog!$C$3:$C$12,0))*Data[[#This Row],[Qty B]],"0")</f>
        <v>300000</v>
      </c>
      <c r="P236" s="36">
        <f>IFERROR(INDEX(Katalog!$F$3:$F$12,MATCH(Data[[#This Row],[ItemID B]],Katalog!$C$3:$C$12,0))*Data[[#This Row],[Qty B]],"0")</f>
        <v>100000</v>
      </c>
      <c r="Q236" t="s">
        <v>61</v>
      </c>
      <c r="R236" t="str">
        <f>IFERROR(INDEX(Katalog!$A$3:$A$12,MATCH(Data[[#This Row],[ItemID C]],Katalog!$C$3:$C$12,0)),"-")</f>
        <v>Pakaian Pria</v>
      </c>
      <c r="S236" t="str">
        <f>IFERROR(INDEX(Katalog!$B$3:$B$12,MATCH(Data[[#This Row],[ItemID C]],Katalog!$C$3:$C$12,0)),"-")</f>
        <v>Kaos Polo</v>
      </c>
      <c r="T236">
        <v>1</v>
      </c>
      <c r="U236">
        <v>5</v>
      </c>
      <c r="V236" s="36">
        <f>IFERROR(INDEX(Katalog!$D$3:$D$12,MATCH(Data[[#This Row],[ItemID C]],Katalog!$C$3:$C$12,0))*Data[[#This Row],[Qty C]],"0")</f>
        <v>200000</v>
      </c>
      <c r="W236" s="36">
        <f>IFERROR(INDEX(Katalog!$F$3:$F$12,MATCH(Data[[#This Row],[ItemID C]],Katalog!$C$3:$C$12,0))*Data[[#This Row],[Qty C]],"0")</f>
        <v>80000</v>
      </c>
      <c r="X236" s="21">
        <f>Data[[#This Row],[Qty A]]+Data[[#This Row],[Qty B]]+Data[[#This Row],[Qty C]]</f>
        <v>5</v>
      </c>
      <c r="Y236" s="22">
        <f>Data[[#This Row],[Harga Barang A]]+Data[[#This Row],[Harga Barang B]]+Data[[#This Row],[Harga Barang C]]</f>
        <v>2000000</v>
      </c>
      <c r="Z236" s="35">
        <f>IFERROR(Data[[#This Row],[Total Harga]]-(Data[[#This Row],[Total Harga]]*Data[[#This Row],[Diskon]]),Data[[#This Row],[Total Harga]])</f>
        <v>1800000</v>
      </c>
      <c r="AA236" s="35">
        <f>(Data[[#This Row],[Profit A]]+Data[[#This Row],[Profit B]]+Data[[#This Row],[Profit C]])</f>
        <v>780000</v>
      </c>
      <c r="AB236" s="35">
        <f>IFERROR((Data[[#This Row],[Profit non Diskon]]-(Data[[#This Row],[Profit non Diskon]]*Data[[#This Row],[Diskon]])),Data[[#This Row],[Profit non Diskon]])</f>
        <v>702000</v>
      </c>
      <c r="AC236" s="23" t="s">
        <v>31</v>
      </c>
      <c r="AD236" s="37">
        <f>IFERROR(INDEX('Kode Diskon'!$D$3:$D$9,MATCH(Data[[#This Row],[Kode diskon]],'Kode Diskon'!$C$3:$C$9,0)),"-")</f>
        <v>0.1</v>
      </c>
      <c r="AE236" s="23" t="s">
        <v>9</v>
      </c>
      <c r="AF236" s="23" t="s">
        <v>10</v>
      </c>
      <c r="AG236" s="23" t="s">
        <v>75</v>
      </c>
      <c r="AH236" s="24">
        <v>45038</v>
      </c>
      <c r="AI236" s="23" t="str">
        <f>TEXT(Data[[#This Row],[Tanggal terjual]],"dddd")</f>
        <v>Saturday</v>
      </c>
      <c r="AJ236" s="21" t="str">
        <f>TEXT(Data[[#This Row],[Tanggal terjual]],"wwww")</f>
        <v>wwww</v>
      </c>
    </row>
    <row r="237" spans="1:36" x14ac:dyDescent="0.2">
      <c r="A237" s="20">
        <v>236</v>
      </c>
      <c r="B237" s="21" t="str">
        <f>_xlfn.CONCAT("ORD-",INDEX(Helper!$B$2:$B$5,MATCH(Data[[#This Row],[Marketplace]],Helper!$A$2:$A$5,0)),TEXT(Data[[#This Row],[No]],"0000"),"-",TEXT(Data[[#This Row],[Tanggal terjual]],"dd/mm/yy"))</f>
        <v>ORD-TK0236-29/04/23</v>
      </c>
      <c r="C237" t="s">
        <v>61</v>
      </c>
      <c r="D237" t="str">
        <f>IFERROR(INDEX(Katalog!$A$3:$A$12,MATCH(Data[[#This Row],[ItemID A]],Katalog!$C$3:$C$12,0)),"-")</f>
        <v>Pakaian Pria</v>
      </c>
      <c r="E237" t="str">
        <f>IFERROR(INDEX(Katalog!$B$3:$B$12,MATCH(Data[[#This Row],[ItemID A]],Katalog!$C$3:$C$12,0)),"-")</f>
        <v>Kaos Polo</v>
      </c>
      <c r="F237">
        <v>1</v>
      </c>
      <c r="G237">
        <v>2</v>
      </c>
      <c r="H237" s="36">
        <f>IFERROR(INDEX(Katalog!$D$3:$D$12,MATCH(Data[[#This Row],[ItemID A]],Katalog!$C$3:$C$12,0))*Data[[#This Row],[Qty A]],"0")</f>
        <v>200000</v>
      </c>
      <c r="I237" s="36">
        <f>IFERROR(INDEX(Katalog!$F$3:$F$12,MATCH(Data[[#This Row],[ItemID A]],Katalog!$C$3:$C$12,0))*Data[[#This Row],[Qty A]],0)</f>
        <v>80000</v>
      </c>
      <c r="K237" t="str">
        <f>IFERROR(INDEX(Katalog!$A$3:$A$12,MATCH(Data[[#This Row],[ItemID B]],Katalog!$C$3:$C$12,0)),"-")</f>
        <v>-</v>
      </c>
      <c r="L237" t="str">
        <f>IFERROR(INDEX(Katalog!$B$3:$B$12,MATCH(Data[[#This Row],[ItemID B]],Katalog!$C$3:$C$12,0)),"-")</f>
        <v>-</v>
      </c>
      <c r="O237" s="36" t="str">
        <f>IFERROR(INDEX(Katalog!$D$3:$D$12,MATCH(Data[[#This Row],[ItemID B]],Katalog!$C$3:$C$12,0))*Data[[#This Row],[Qty B]],"0")</f>
        <v>0</v>
      </c>
      <c r="P237" s="36" t="str">
        <f>IFERROR(INDEX(Katalog!$F$3:$F$12,MATCH(Data[[#This Row],[ItemID B]],Katalog!$C$3:$C$12,0))*Data[[#This Row],[Qty B]],"0")</f>
        <v>0</v>
      </c>
      <c r="R237" t="str">
        <f>IFERROR(INDEX(Katalog!$A$3:$A$12,MATCH(Data[[#This Row],[ItemID C]],Katalog!$C$3:$C$12,0)),"-")</f>
        <v>-</v>
      </c>
      <c r="S237" t="str">
        <f>IFERROR(INDEX(Katalog!$B$3:$B$12,MATCH(Data[[#This Row],[ItemID C]],Katalog!$C$3:$C$12,0)),"-")</f>
        <v>-</v>
      </c>
      <c r="V237" s="36" t="str">
        <f>IFERROR(INDEX(Katalog!$D$3:$D$12,MATCH(Data[[#This Row],[ItemID C]],Katalog!$C$3:$C$12,0))*Data[[#This Row],[Qty C]],"0")</f>
        <v>0</v>
      </c>
      <c r="W237" s="36" t="str">
        <f>IFERROR(INDEX(Katalog!$F$3:$F$12,MATCH(Data[[#This Row],[ItemID C]],Katalog!$C$3:$C$12,0))*Data[[#This Row],[Qty C]],"0")</f>
        <v>0</v>
      </c>
      <c r="X237" s="21">
        <f>Data[[#This Row],[Qty A]]+Data[[#This Row],[Qty B]]+Data[[#This Row],[Qty C]]</f>
        <v>1</v>
      </c>
      <c r="Y237" s="22">
        <f>Data[[#This Row],[Harga Barang A]]+Data[[#This Row],[Harga Barang B]]+Data[[#This Row],[Harga Barang C]]</f>
        <v>200000</v>
      </c>
      <c r="Z237" s="35">
        <f>IFERROR(Data[[#This Row],[Total Harga]]-(Data[[#This Row],[Total Harga]]*Data[[#This Row],[Diskon]]),Data[[#This Row],[Total Harga]])</f>
        <v>180000</v>
      </c>
      <c r="AA237" s="35">
        <f>(Data[[#This Row],[Profit A]]+Data[[#This Row],[Profit B]]+Data[[#This Row],[Profit C]])</f>
        <v>80000</v>
      </c>
      <c r="AB237" s="35">
        <f>IFERROR((Data[[#This Row],[Profit non Diskon]]-(Data[[#This Row],[Profit non Diskon]]*Data[[#This Row],[Diskon]])),Data[[#This Row],[Profit non Diskon]])</f>
        <v>72000</v>
      </c>
      <c r="AC237" s="23" t="s">
        <v>31</v>
      </c>
      <c r="AD237" s="37">
        <f>IFERROR(INDEX('Kode Diskon'!$D$3:$D$9,MATCH(Data[[#This Row],[Kode diskon]],'Kode Diskon'!$C$3:$C$9,0)),"-")</f>
        <v>0.1</v>
      </c>
      <c r="AE237" s="23" t="s">
        <v>9</v>
      </c>
      <c r="AF237" s="23" t="s">
        <v>10</v>
      </c>
      <c r="AG237" s="23" t="s">
        <v>78</v>
      </c>
      <c r="AH237" s="24">
        <v>45045</v>
      </c>
      <c r="AI237" s="23" t="str">
        <f>TEXT(Data[[#This Row],[Tanggal terjual]],"dddd")</f>
        <v>Saturday</v>
      </c>
      <c r="AJ237" s="21" t="str">
        <f>TEXT(Data[[#This Row],[Tanggal terjual]],"wwww")</f>
        <v>wwww</v>
      </c>
    </row>
    <row r="238" spans="1:36" x14ac:dyDescent="0.2">
      <c r="A238" s="20">
        <v>237</v>
      </c>
      <c r="B238" s="21" t="str">
        <f>_xlfn.CONCAT("ORD-",INDEX(Helper!$B$2:$B$5,MATCH(Data[[#This Row],[Marketplace]],Helper!$A$2:$A$5,0)),TEXT(Data[[#This Row],[No]],"0000"),"-",TEXT(Data[[#This Row],[Tanggal terjual]],"dd/mm/yy"))</f>
        <v>ORD-BB0237-02/04/23</v>
      </c>
      <c r="C238" t="s">
        <v>60</v>
      </c>
      <c r="D238" t="str">
        <f>IFERROR(INDEX(Katalog!$A$3:$A$12,MATCH(Data[[#This Row],[ItemID A]],Katalog!$C$3:$C$12,0)),"-")</f>
        <v>Pakaian Wanita</v>
      </c>
      <c r="E238" t="str">
        <f>IFERROR(INDEX(Katalog!$B$3:$B$12,MATCH(Data[[#This Row],[ItemID A]],Katalog!$C$3:$C$12,0)),"-")</f>
        <v>Kaftan</v>
      </c>
      <c r="F238">
        <v>3</v>
      </c>
      <c r="G238">
        <v>3</v>
      </c>
      <c r="H238" s="36">
        <f>IFERROR(INDEX(Katalog!$D$3:$D$12,MATCH(Data[[#This Row],[ItemID A]],Katalog!$C$3:$C$12,0))*Data[[#This Row],[Qty A]],"0")</f>
        <v>750000</v>
      </c>
      <c r="I238" s="36">
        <f>IFERROR(INDEX(Katalog!$F$3:$F$12,MATCH(Data[[#This Row],[ItemID A]],Katalog!$C$3:$C$12,0))*Data[[#This Row],[Qty A]],0)</f>
        <v>300000</v>
      </c>
      <c r="K238" t="str">
        <f>IFERROR(INDEX(Katalog!$A$3:$A$12,MATCH(Data[[#This Row],[ItemID B]],Katalog!$C$3:$C$12,0)),"-")</f>
        <v>-</v>
      </c>
      <c r="L238" t="str">
        <f>IFERROR(INDEX(Katalog!$B$3:$B$12,MATCH(Data[[#This Row],[ItemID B]],Katalog!$C$3:$C$12,0)),"-")</f>
        <v>-</v>
      </c>
      <c r="O238" s="36" t="str">
        <f>IFERROR(INDEX(Katalog!$D$3:$D$12,MATCH(Data[[#This Row],[ItemID B]],Katalog!$C$3:$C$12,0))*Data[[#This Row],[Qty B]],"0")</f>
        <v>0</v>
      </c>
      <c r="P238" s="36" t="str">
        <f>IFERROR(INDEX(Katalog!$F$3:$F$12,MATCH(Data[[#This Row],[ItemID B]],Katalog!$C$3:$C$12,0))*Data[[#This Row],[Qty B]],"0")</f>
        <v>0</v>
      </c>
      <c r="R238" t="str">
        <f>IFERROR(INDEX(Katalog!$A$3:$A$12,MATCH(Data[[#This Row],[ItemID C]],Katalog!$C$3:$C$12,0)),"-")</f>
        <v>-</v>
      </c>
      <c r="S238" t="str">
        <f>IFERROR(INDEX(Katalog!$B$3:$B$12,MATCH(Data[[#This Row],[ItemID C]],Katalog!$C$3:$C$12,0)),"-")</f>
        <v>-</v>
      </c>
      <c r="V238" s="36" t="str">
        <f>IFERROR(INDEX(Katalog!$D$3:$D$12,MATCH(Data[[#This Row],[ItemID C]],Katalog!$C$3:$C$12,0))*Data[[#This Row],[Qty C]],"0")</f>
        <v>0</v>
      </c>
      <c r="W238" s="36" t="str">
        <f>IFERROR(INDEX(Katalog!$F$3:$F$12,MATCH(Data[[#This Row],[ItemID C]],Katalog!$C$3:$C$12,0))*Data[[#This Row],[Qty C]],"0")</f>
        <v>0</v>
      </c>
      <c r="X238" s="21">
        <f>Data[[#This Row],[Qty A]]+Data[[#This Row],[Qty B]]+Data[[#This Row],[Qty C]]</f>
        <v>3</v>
      </c>
      <c r="Y238" s="22">
        <f>Data[[#This Row],[Harga Barang A]]+Data[[#This Row],[Harga Barang B]]+Data[[#This Row],[Harga Barang C]]</f>
        <v>750000</v>
      </c>
      <c r="Z238" s="35">
        <f>IFERROR(Data[[#This Row],[Total Harga]]-(Data[[#This Row],[Total Harga]]*Data[[#This Row],[Diskon]]),Data[[#This Row],[Total Harga]])</f>
        <v>637500</v>
      </c>
      <c r="AA238" s="35">
        <f>(Data[[#This Row],[Profit A]]+Data[[#This Row],[Profit B]]+Data[[#This Row],[Profit C]])</f>
        <v>300000</v>
      </c>
      <c r="AB238" s="35">
        <f>IFERROR((Data[[#This Row],[Profit non Diskon]]-(Data[[#This Row],[Profit non Diskon]]*Data[[#This Row],[Diskon]])),Data[[#This Row],[Profit non Diskon]])</f>
        <v>255000</v>
      </c>
      <c r="AC238" s="23" t="s">
        <v>28</v>
      </c>
      <c r="AD238" s="37">
        <f>IFERROR(INDEX('Kode Diskon'!$D$3:$D$9,MATCH(Data[[#This Row],[Kode diskon]],'Kode Diskon'!$C$3:$C$9,0)),"-")</f>
        <v>0.15</v>
      </c>
      <c r="AE238" s="23" t="s">
        <v>29</v>
      </c>
      <c r="AF238" s="23" t="s">
        <v>14</v>
      </c>
      <c r="AG238" s="23" t="s">
        <v>80</v>
      </c>
      <c r="AH238" s="24">
        <v>45018</v>
      </c>
      <c r="AI238" s="23" t="str">
        <f>TEXT(Data[[#This Row],[Tanggal terjual]],"dddd")</f>
        <v>Sunday</v>
      </c>
      <c r="AJ238" s="21" t="str">
        <f>TEXT(Data[[#This Row],[Tanggal terjual]],"wwww")</f>
        <v>wwww</v>
      </c>
    </row>
    <row r="239" spans="1:36" x14ac:dyDescent="0.2">
      <c r="A239" s="20">
        <v>238</v>
      </c>
      <c r="B239" s="21" t="str">
        <f>_xlfn.CONCAT("ORD-",INDEX(Helper!$B$2:$B$5,MATCH(Data[[#This Row],[Marketplace]],Helper!$A$2:$A$5,0)),TEXT(Data[[#This Row],[No]],"0000"),"-",TEXT(Data[[#This Row],[Tanggal terjual]],"dd/mm/yy"))</f>
        <v>ORD-SP0238-04/04/23</v>
      </c>
      <c r="C239" t="s">
        <v>66</v>
      </c>
      <c r="D239" t="str">
        <f>IFERROR(INDEX(Katalog!$A$3:$A$12,MATCH(Data[[#This Row],[ItemID A]],Katalog!$C$3:$C$12,0)),"-")</f>
        <v>Sepatu Pria</v>
      </c>
      <c r="E239" t="str">
        <f>IFERROR(INDEX(Katalog!$B$3:$B$12,MATCH(Data[[#This Row],[ItemID A]],Katalog!$C$3:$C$12,0)),"-")</f>
        <v>Sandal Slip On</v>
      </c>
      <c r="F239">
        <v>2</v>
      </c>
      <c r="G239">
        <v>4</v>
      </c>
      <c r="H239" s="36">
        <f>IFERROR(INDEX(Katalog!$D$3:$D$12,MATCH(Data[[#This Row],[ItemID A]],Katalog!$C$3:$C$12,0))*Data[[#This Row],[Qty A]],"0")</f>
        <v>300000</v>
      </c>
      <c r="I239" s="36">
        <f>IFERROR(INDEX(Katalog!$F$3:$F$12,MATCH(Data[[#This Row],[ItemID A]],Katalog!$C$3:$C$12,0))*Data[[#This Row],[Qty A]],0)</f>
        <v>120000</v>
      </c>
      <c r="J239" t="s">
        <v>63</v>
      </c>
      <c r="K239" t="str">
        <f>IFERROR(INDEX(Katalog!$A$3:$A$12,MATCH(Data[[#This Row],[ItemID B]],Katalog!$C$3:$C$12,0)),"-")</f>
        <v>Pakaian Pria</v>
      </c>
      <c r="L239" t="str">
        <f>IFERROR(INDEX(Katalog!$B$3:$B$12,MATCH(Data[[#This Row],[ItemID B]],Katalog!$C$3:$C$12,0)),"-")</f>
        <v>Jaket Jeans</v>
      </c>
      <c r="M239">
        <v>1</v>
      </c>
      <c r="N239">
        <v>3</v>
      </c>
      <c r="O239" s="36">
        <f>IFERROR(INDEX(Katalog!$D$3:$D$12,MATCH(Data[[#This Row],[ItemID B]],Katalog!$C$3:$C$12,0))*Data[[#This Row],[Qty B]],"0")</f>
        <v>400000</v>
      </c>
      <c r="P239" s="36">
        <f>IFERROR(INDEX(Katalog!$F$3:$F$12,MATCH(Data[[#This Row],[ItemID B]],Katalog!$C$3:$C$12,0))*Data[[#This Row],[Qty B]],"0")</f>
        <v>150000</v>
      </c>
      <c r="Q239" t="s">
        <v>59</v>
      </c>
      <c r="R239" t="str">
        <f>IFERROR(INDEX(Katalog!$A$3:$A$12,MATCH(Data[[#This Row],[ItemID C]],Katalog!$C$3:$C$12,0)),"-")</f>
        <v>Pakaian Wanita</v>
      </c>
      <c r="S239" t="str">
        <f>IFERROR(INDEX(Katalog!$B$3:$B$12,MATCH(Data[[#This Row],[ItemID C]],Katalog!$C$3:$C$12,0)),"-")</f>
        <v>Blouse</v>
      </c>
      <c r="T239">
        <v>4</v>
      </c>
      <c r="U239">
        <v>5</v>
      </c>
      <c r="V239" s="36">
        <f>IFERROR(INDEX(Katalog!$D$3:$D$12,MATCH(Data[[#This Row],[ItemID C]],Katalog!$C$3:$C$12,0))*Data[[#This Row],[Qty C]],"0")</f>
        <v>600000</v>
      </c>
      <c r="W239" s="36">
        <f>IFERROR(INDEX(Katalog!$F$3:$F$12,MATCH(Data[[#This Row],[ItemID C]],Katalog!$C$3:$C$12,0))*Data[[#This Row],[Qty C]],"0")</f>
        <v>200000</v>
      </c>
      <c r="X239" s="21">
        <f>Data[[#This Row],[Qty A]]+Data[[#This Row],[Qty B]]+Data[[#This Row],[Qty C]]</f>
        <v>7</v>
      </c>
      <c r="Y239" s="22">
        <f>Data[[#This Row],[Harga Barang A]]+Data[[#This Row],[Harga Barang B]]+Data[[#This Row],[Harga Barang C]]</f>
        <v>1300000</v>
      </c>
      <c r="Z239" s="35">
        <f>IFERROR(Data[[#This Row],[Total Harga]]-(Data[[#This Row],[Total Harga]]*Data[[#This Row],[Diskon]]),Data[[#This Row],[Total Harga]])</f>
        <v>1105000</v>
      </c>
      <c r="AA239" s="35">
        <f>(Data[[#This Row],[Profit A]]+Data[[#This Row],[Profit B]]+Data[[#This Row],[Profit C]])</f>
        <v>470000</v>
      </c>
      <c r="AB239" s="35">
        <f>IFERROR((Data[[#This Row],[Profit non Diskon]]-(Data[[#This Row],[Profit non Diskon]]*Data[[#This Row],[Diskon]])),Data[[#This Row],[Profit non Diskon]])</f>
        <v>399500</v>
      </c>
      <c r="AC239" s="23" t="s">
        <v>13</v>
      </c>
      <c r="AD239" s="37">
        <f>IFERROR(INDEX('Kode Diskon'!$D$3:$D$9,MATCH(Data[[#This Row],[Kode diskon]],'Kode Diskon'!$C$3:$C$9,0)),"-")</f>
        <v>0.15</v>
      </c>
      <c r="AE239" s="23" t="s">
        <v>29</v>
      </c>
      <c r="AF239" s="23" t="s">
        <v>7</v>
      </c>
      <c r="AG239" s="23" t="s">
        <v>75</v>
      </c>
      <c r="AH239" s="24">
        <v>45020</v>
      </c>
      <c r="AI239" s="23" t="str">
        <f>TEXT(Data[[#This Row],[Tanggal terjual]],"dddd")</f>
        <v>Tuesday</v>
      </c>
      <c r="AJ239" s="21" t="str">
        <f>TEXT(Data[[#This Row],[Tanggal terjual]],"wwww")</f>
        <v>wwww</v>
      </c>
    </row>
    <row r="240" spans="1:36" x14ac:dyDescent="0.2">
      <c r="A240" s="20">
        <v>239</v>
      </c>
      <c r="B240" s="21" t="str">
        <f>_xlfn.CONCAT("ORD-",INDEX(Helper!$B$2:$B$5,MATCH(Data[[#This Row],[Marketplace]],Helper!$A$2:$A$5,0)),TEXT(Data[[#This Row],[No]],"0000"),"-",TEXT(Data[[#This Row],[Tanggal terjual]],"dd/mm/yy"))</f>
        <v>ORD-SP0239-08/04/23</v>
      </c>
      <c r="C240" t="s">
        <v>60</v>
      </c>
      <c r="D240" t="str">
        <f>IFERROR(INDEX(Katalog!$A$3:$A$12,MATCH(Data[[#This Row],[ItemID A]],Katalog!$C$3:$C$12,0)),"-")</f>
        <v>Pakaian Wanita</v>
      </c>
      <c r="E240" t="str">
        <f>IFERROR(INDEX(Katalog!$B$3:$B$12,MATCH(Data[[#This Row],[ItemID A]],Katalog!$C$3:$C$12,0)),"-")</f>
        <v>Kaftan</v>
      </c>
      <c r="F240">
        <v>4</v>
      </c>
      <c r="G240">
        <v>4</v>
      </c>
      <c r="H240" s="36">
        <f>IFERROR(INDEX(Katalog!$D$3:$D$12,MATCH(Data[[#This Row],[ItemID A]],Katalog!$C$3:$C$12,0))*Data[[#This Row],[Qty A]],"0")</f>
        <v>1000000</v>
      </c>
      <c r="I240" s="36">
        <f>IFERROR(INDEX(Katalog!$F$3:$F$12,MATCH(Data[[#This Row],[ItemID A]],Katalog!$C$3:$C$12,0))*Data[[#This Row],[Qty A]],0)</f>
        <v>400000</v>
      </c>
      <c r="K240" t="str">
        <f>IFERROR(INDEX(Katalog!$A$3:$A$12,MATCH(Data[[#This Row],[ItemID B]],Katalog!$C$3:$C$12,0)),"-")</f>
        <v>-</v>
      </c>
      <c r="L240" t="str">
        <f>IFERROR(INDEX(Katalog!$B$3:$B$12,MATCH(Data[[#This Row],[ItemID B]],Katalog!$C$3:$C$12,0)),"-")</f>
        <v>-</v>
      </c>
      <c r="O240" s="36" t="str">
        <f>IFERROR(INDEX(Katalog!$D$3:$D$12,MATCH(Data[[#This Row],[ItemID B]],Katalog!$C$3:$C$12,0))*Data[[#This Row],[Qty B]],"0")</f>
        <v>0</v>
      </c>
      <c r="P240" s="36" t="str">
        <f>IFERROR(INDEX(Katalog!$F$3:$F$12,MATCH(Data[[#This Row],[ItemID B]],Katalog!$C$3:$C$12,0))*Data[[#This Row],[Qty B]],"0")</f>
        <v>0</v>
      </c>
      <c r="R240" t="str">
        <f>IFERROR(INDEX(Katalog!$A$3:$A$12,MATCH(Data[[#This Row],[ItemID C]],Katalog!$C$3:$C$12,0)),"-")</f>
        <v>-</v>
      </c>
      <c r="S240" t="str">
        <f>IFERROR(INDEX(Katalog!$B$3:$B$12,MATCH(Data[[#This Row],[ItemID C]],Katalog!$C$3:$C$12,0)),"-")</f>
        <v>-</v>
      </c>
      <c r="V240" s="36" t="str">
        <f>IFERROR(INDEX(Katalog!$D$3:$D$12,MATCH(Data[[#This Row],[ItemID C]],Katalog!$C$3:$C$12,0))*Data[[#This Row],[Qty C]],"0")</f>
        <v>0</v>
      </c>
      <c r="W240" s="36" t="str">
        <f>IFERROR(INDEX(Katalog!$F$3:$F$12,MATCH(Data[[#This Row],[ItemID C]],Katalog!$C$3:$C$12,0))*Data[[#This Row],[Qty C]],"0")</f>
        <v>0</v>
      </c>
      <c r="X240" s="21">
        <f>Data[[#This Row],[Qty A]]+Data[[#This Row],[Qty B]]+Data[[#This Row],[Qty C]]</f>
        <v>4</v>
      </c>
      <c r="Y240" s="22">
        <f>Data[[#This Row],[Harga Barang A]]+Data[[#This Row],[Harga Barang B]]+Data[[#This Row],[Harga Barang C]]</f>
        <v>1000000</v>
      </c>
      <c r="Z240" s="35">
        <f>IFERROR(Data[[#This Row],[Total Harga]]-(Data[[#This Row],[Total Harga]]*Data[[#This Row],[Diskon]]),Data[[#This Row],[Total Harga]])</f>
        <v>1000000</v>
      </c>
      <c r="AA240" s="35">
        <f>(Data[[#This Row],[Profit A]]+Data[[#This Row],[Profit B]]+Data[[#This Row],[Profit C]])</f>
        <v>400000</v>
      </c>
      <c r="AB240" s="35">
        <f>IFERROR((Data[[#This Row],[Profit non Diskon]]-(Data[[#This Row],[Profit non Diskon]]*Data[[#This Row],[Diskon]])),Data[[#This Row],[Profit non Diskon]])</f>
        <v>400000</v>
      </c>
      <c r="AC240" s="23" t="s">
        <v>11</v>
      </c>
      <c r="AD240" s="37" t="str">
        <f>IFERROR(INDEX('Kode Diskon'!$D$3:$D$9,MATCH(Data[[#This Row],[Kode diskon]],'Kode Diskon'!$C$3:$C$9,0)),"-")</f>
        <v>-</v>
      </c>
      <c r="AE240" s="23" t="s">
        <v>11</v>
      </c>
      <c r="AF240" s="23" t="s">
        <v>7</v>
      </c>
      <c r="AG240" s="23" t="s">
        <v>75</v>
      </c>
      <c r="AH240" s="24">
        <v>45024</v>
      </c>
      <c r="AI240" s="23" t="str">
        <f>TEXT(Data[[#This Row],[Tanggal terjual]],"dddd")</f>
        <v>Saturday</v>
      </c>
      <c r="AJ240" s="21" t="str">
        <f>TEXT(Data[[#This Row],[Tanggal terjual]],"wwww")</f>
        <v>wwww</v>
      </c>
    </row>
    <row r="241" spans="1:36" x14ac:dyDescent="0.2">
      <c r="A241" s="20">
        <v>240</v>
      </c>
      <c r="B241" s="21" t="str">
        <f>_xlfn.CONCAT("ORD-",INDEX(Helper!$B$2:$B$5,MATCH(Data[[#This Row],[Marketplace]],Helper!$A$2:$A$5,0)),TEXT(Data[[#This Row],[No]],"0000"),"-",TEXT(Data[[#This Row],[Tanggal terjual]],"dd/mm/yy"))</f>
        <v>ORD-BB0240-04/04/23</v>
      </c>
      <c r="C241" t="s">
        <v>61</v>
      </c>
      <c r="D241" t="str">
        <f>IFERROR(INDEX(Katalog!$A$3:$A$12,MATCH(Data[[#This Row],[ItemID A]],Katalog!$C$3:$C$12,0)),"-")</f>
        <v>Pakaian Pria</v>
      </c>
      <c r="E241" t="str">
        <f>IFERROR(INDEX(Katalog!$B$3:$B$12,MATCH(Data[[#This Row],[ItemID A]],Katalog!$C$3:$C$12,0)),"-")</f>
        <v>Kaos Polo</v>
      </c>
      <c r="F241">
        <v>6</v>
      </c>
      <c r="G241">
        <v>4</v>
      </c>
      <c r="H241" s="36">
        <f>IFERROR(INDEX(Katalog!$D$3:$D$12,MATCH(Data[[#This Row],[ItemID A]],Katalog!$C$3:$C$12,0))*Data[[#This Row],[Qty A]],"0")</f>
        <v>1200000</v>
      </c>
      <c r="I241" s="36">
        <f>IFERROR(INDEX(Katalog!$F$3:$F$12,MATCH(Data[[#This Row],[ItemID A]],Katalog!$C$3:$C$12,0))*Data[[#This Row],[Qty A]],0)</f>
        <v>480000</v>
      </c>
      <c r="K241" t="str">
        <f>IFERROR(INDEX(Katalog!$A$3:$A$12,MATCH(Data[[#This Row],[ItemID B]],Katalog!$C$3:$C$12,0)),"-")</f>
        <v>-</v>
      </c>
      <c r="L241" t="str">
        <f>IFERROR(INDEX(Katalog!$B$3:$B$12,MATCH(Data[[#This Row],[ItemID B]],Katalog!$C$3:$C$12,0)),"-")</f>
        <v>-</v>
      </c>
      <c r="O241" s="36" t="str">
        <f>IFERROR(INDEX(Katalog!$D$3:$D$12,MATCH(Data[[#This Row],[ItemID B]],Katalog!$C$3:$C$12,0))*Data[[#This Row],[Qty B]],"0")</f>
        <v>0</v>
      </c>
      <c r="P241" s="36" t="str">
        <f>IFERROR(INDEX(Katalog!$F$3:$F$12,MATCH(Data[[#This Row],[ItemID B]],Katalog!$C$3:$C$12,0))*Data[[#This Row],[Qty B]],"0")</f>
        <v>0</v>
      </c>
      <c r="R241" t="str">
        <f>IFERROR(INDEX(Katalog!$A$3:$A$12,MATCH(Data[[#This Row],[ItemID C]],Katalog!$C$3:$C$12,0)),"-")</f>
        <v>-</v>
      </c>
      <c r="S241" t="str">
        <f>IFERROR(INDEX(Katalog!$B$3:$B$12,MATCH(Data[[#This Row],[ItemID C]],Katalog!$C$3:$C$12,0)),"-")</f>
        <v>-</v>
      </c>
      <c r="V241" s="36" t="str">
        <f>IFERROR(INDEX(Katalog!$D$3:$D$12,MATCH(Data[[#This Row],[ItemID C]],Katalog!$C$3:$C$12,0))*Data[[#This Row],[Qty C]],"0")</f>
        <v>0</v>
      </c>
      <c r="W241" s="36" t="str">
        <f>IFERROR(INDEX(Katalog!$F$3:$F$12,MATCH(Data[[#This Row],[ItemID C]],Katalog!$C$3:$C$12,0))*Data[[#This Row],[Qty C]],"0")</f>
        <v>0</v>
      </c>
      <c r="X241" s="21">
        <f>Data[[#This Row],[Qty A]]+Data[[#This Row],[Qty B]]+Data[[#This Row],[Qty C]]</f>
        <v>6</v>
      </c>
      <c r="Y241" s="22">
        <f>Data[[#This Row],[Harga Barang A]]+Data[[#This Row],[Harga Barang B]]+Data[[#This Row],[Harga Barang C]]</f>
        <v>1200000</v>
      </c>
      <c r="Z241" s="35">
        <f>IFERROR(Data[[#This Row],[Total Harga]]-(Data[[#This Row],[Total Harga]]*Data[[#This Row],[Diskon]]),Data[[#This Row],[Total Harga]])</f>
        <v>1020000</v>
      </c>
      <c r="AA241" s="35">
        <f>(Data[[#This Row],[Profit A]]+Data[[#This Row],[Profit B]]+Data[[#This Row],[Profit C]])</f>
        <v>480000</v>
      </c>
      <c r="AB241" s="35">
        <f>IFERROR((Data[[#This Row],[Profit non Diskon]]-(Data[[#This Row],[Profit non Diskon]]*Data[[#This Row],[Diskon]])),Data[[#This Row],[Profit non Diskon]])</f>
        <v>408000</v>
      </c>
      <c r="AC241" s="23" t="s">
        <v>28</v>
      </c>
      <c r="AD241" s="37">
        <f>IFERROR(INDEX('Kode Diskon'!$D$3:$D$9,MATCH(Data[[#This Row],[Kode diskon]],'Kode Diskon'!$C$3:$C$9,0)),"-")</f>
        <v>0.15</v>
      </c>
      <c r="AE241" s="23" t="s">
        <v>29</v>
      </c>
      <c r="AF241" s="23" t="s">
        <v>14</v>
      </c>
      <c r="AG241" s="23" t="s">
        <v>76</v>
      </c>
      <c r="AH241" s="24">
        <v>45020</v>
      </c>
      <c r="AI241" s="23" t="str">
        <f>TEXT(Data[[#This Row],[Tanggal terjual]],"dddd")</f>
        <v>Tuesday</v>
      </c>
      <c r="AJ241" s="21" t="str">
        <f>TEXT(Data[[#This Row],[Tanggal terjual]],"wwww")</f>
        <v>wwww</v>
      </c>
    </row>
    <row r="242" spans="1:36" x14ac:dyDescent="0.2">
      <c r="A242" s="20">
        <v>241</v>
      </c>
      <c r="B242" s="21" t="str">
        <f>_xlfn.CONCAT("ORD-",INDEX(Helper!$B$2:$B$5,MATCH(Data[[#This Row],[Marketplace]],Helper!$A$2:$A$5,0)),TEXT(Data[[#This Row],[No]],"0000"),"-",TEXT(Data[[#This Row],[Tanggal terjual]],"dd/mm/yy"))</f>
        <v>ORD-BL0241-28/04/23</v>
      </c>
      <c r="C242" t="s">
        <v>61</v>
      </c>
      <c r="D242" t="str">
        <f>IFERROR(INDEX(Katalog!$A$3:$A$12,MATCH(Data[[#This Row],[ItemID A]],Katalog!$C$3:$C$12,0)),"-")</f>
        <v>Pakaian Pria</v>
      </c>
      <c r="E242" t="str">
        <f>IFERROR(INDEX(Katalog!$B$3:$B$12,MATCH(Data[[#This Row],[ItemID A]],Katalog!$C$3:$C$12,0)),"-")</f>
        <v>Kaos Polo</v>
      </c>
      <c r="F242">
        <v>3</v>
      </c>
      <c r="G242">
        <v>2</v>
      </c>
      <c r="H242" s="36">
        <f>IFERROR(INDEX(Katalog!$D$3:$D$12,MATCH(Data[[#This Row],[ItemID A]],Katalog!$C$3:$C$12,0))*Data[[#This Row],[Qty A]],"0")</f>
        <v>600000</v>
      </c>
      <c r="I242" s="36">
        <f>IFERROR(INDEX(Katalog!$F$3:$F$12,MATCH(Data[[#This Row],[ItemID A]],Katalog!$C$3:$C$12,0))*Data[[#This Row],[Qty A]],0)</f>
        <v>240000</v>
      </c>
      <c r="J242" t="s">
        <v>65</v>
      </c>
      <c r="K242" t="str">
        <f>IFERROR(INDEX(Katalog!$A$3:$A$12,MATCH(Data[[#This Row],[ItemID B]],Katalog!$C$3:$C$12,0)),"-")</f>
        <v>Sepatu Pria</v>
      </c>
      <c r="L242" t="str">
        <f>IFERROR(INDEX(Katalog!$B$3:$B$12,MATCH(Data[[#This Row],[ItemID B]],Katalog!$C$3:$C$12,0)),"-")</f>
        <v>Sneakers</v>
      </c>
      <c r="M242">
        <v>2</v>
      </c>
      <c r="N242">
        <v>1</v>
      </c>
      <c r="O242" s="36">
        <f>IFERROR(INDEX(Katalog!$D$3:$D$12,MATCH(Data[[#This Row],[ItemID B]],Katalog!$C$3:$C$12,0))*Data[[#This Row],[Qty B]],"0")</f>
        <v>1000000</v>
      </c>
      <c r="P242" s="36">
        <f>IFERROR(INDEX(Katalog!$F$3:$F$12,MATCH(Data[[#This Row],[ItemID B]],Katalog!$C$3:$C$12,0))*Data[[#This Row],[Qty B]],"0")</f>
        <v>400000</v>
      </c>
      <c r="R242" t="str">
        <f>IFERROR(INDEX(Katalog!$A$3:$A$12,MATCH(Data[[#This Row],[ItemID C]],Katalog!$C$3:$C$12,0)),"-")</f>
        <v>-</v>
      </c>
      <c r="S242" t="str">
        <f>IFERROR(INDEX(Katalog!$B$3:$B$12,MATCH(Data[[#This Row],[ItemID C]],Katalog!$C$3:$C$12,0)),"-")</f>
        <v>-</v>
      </c>
      <c r="V242" s="36" t="str">
        <f>IFERROR(INDEX(Katalog!$D$3:$D$12,MATCH(Data[[#This Row],[ItemID C]],Katalog!$C$3:$C$12,0))*Data[[#This Row],[Qty C]],"0")</f>
        <v>0</v>
      </c>
      <c r="W242" s="36" t="str">
        <f>IFERROR(INDEX(Katalog!$F$3:$F$12,MATCH(Data[[#This Row],[ItemID C]],Katalog!$C$3:$C$12,0))*Data[[#This Row],[Qty C]],"0")</f>
        <v>0</v>
      </c>
      <c r="X242" s="21">
        <f>Data[[#This Row],[Qty A]]+Data[[#This Row],[Qty B]]+Data[[#This Row],[Qty C]]</f>
        <v>5</v>
      </c>
      <c r="Y242" s="22">
        <f>Data[[#This Row],[Harga Barang A]]+Data[[#This Row],[Harga Barang B]]+Data[[#This Row],[Harga Barang C]]</f>
        <v>1600000</v>
      </c>
      <c r="Z242" s="35">
        <f>IFERROR(Data[[#This Row],[Total Harga]]-(Data[[#This Row],[Total Harga]]*Data[[#This Row],[Diskon]]),Data[[#This Row],[Total Harga]])</f>
        <v>1360000</v>
      </c>
      <c r="AA242" s="35">
        <f>(Data[[#This Row],[Profit A]]+Data[[#This Row],[Profit B]]+Data[[#This Row],[Profit C]])</f>
        <v>640000</v>
      </c>
      <c r="AB242" s="35">
        <f>IFERROR((Data[[#This Row],[Profit non Diskon]]-(Data[[#This Row],[Profit non Diskon]]*Data[[#This Row],[Diskon]])),Data[[#This Row],[Profit non Diskon]])</f>
        <v>544000</v>
      </c>
      <c r="AC242" s="23" t="s">
        <v>32</v>
      </c>
      <c r="AD242" s="37">
        <f>IFERROR(INDEX('Kode Diskon'!$D$3:$D$9,MATCH(Data[[#This Row],[Kode diskon]],'Kode Diskon'!$C$3:$C$9,0)),"-")</f>
        <v>0.15</v>
      </c>
      <c r="AE242" s="23" t="s">
        <v>9</v>
      </c>
      <c r="AF242" s="23" t="s">
        <v>12</v>
      </c>
      <c r="AG242" s="23" t="s">
        <v>79</v>
      </c>
      <c r="AH242" s="24">
        <v>45044</v>
      </c>
      <c r="AI242" s="23" t="str">
        <f>TEXT(Data[[#This Row],[Tanggal terjual]],"dddd")</f>
        <v>Friday</v>
      </c>
      <c r="AJ242" s="21" t="str">
        <f>TEXT(Data[[#This Row],[Tanggal terjual]],"wwww")</f>
        <v>wwww</v>
      </c>
    </row>
    <row r="243" spans="1:36" x14ac:dyDescent="0.2">
      <c r="A243" s="20">
        <v>242</v>
      </c>
      <c r="B243" s="21" t="str">
        <f>_xlfn.CONCAT("ORD-",INDEX(Helper!$B$2:$B$5,MATCH(Data[[#This Row],[Marketplace]],Helper!$A$2:$A$5,0)),TEXT(Data[[#This Row],[No]],"0000"),"-",TEXT(Data[[#This Row],[Tanggal terjual]],"dd/mm/yy"))</f>
        <v>ORD-SP0242-14/04/23</v>
      </c>
      <c r="C243" t="s">
        <v>61</v>
      </c>
      <c r="D243" t="str">
        <f>IFERROR(INDEX(Katalog!$A$3:$A$12,MATCH(Data[[#This Row],[ItemID A]],Katalog!$C$3:$C$12,0)),"-")</f>
        <v>Pakaian Pria</v>
      </c>
      <c r="E243" t="str">
        <f>IFERROR(INDEX(Katalog!$B$3:$B$12,MATCH(Data[[#This Row],[ItemID A]],Katalog!$C$3:$C$12,0)),"-")</f>
        <v>Kaos Polo</v>
      </c>
      <c r="F243">
        <v>3</v>
      </c>
      <c r="G243">
        <v>5</v>
      </c>
      <c r="H243" s="36">
        <f>IFERROR(INDEX(Katalog!$D$3:$D$12,MATCH(Data[[#This Row],[ItemID A]],Katalog!$C$3:$C$12,0))*Data[[#This Row],[Qty A]],"0")</f>
        <v>600000</v>
      </c>
      <c r="I243" s="36">
        <f>IFERROR(INDEX(Katalog!$F$3:$F$12,MATCH(Data[[#This Row],[ItemID A]],Katalog!$C$3:$C$12,0))*Data[[#This Row],[Qty A]],0)</f>
        <v>240000</v>
      </c>
      <c r="K243" t="str">
        <f>IFERROR(INDEX(Katalog!$A$3:$A$12,MATCH(Data[[#This Row],[ItemID B]],Katalog!$C$3:$C$12,0)),"-")</f>
        <v>-</v>
      </c>
      <c r="L243" t="str">
        <f>IFERROR(INDEX(Katalog!$B$3:$B$12,MATCH(Data[[#This Row],[ItemID B]],Katalog!$C$3:$C$12,0)),"-")</f>
        <v>-</v>
      </c>
      <c r="O243" s="36" t="str">
        <f>IFERROR(INDEX(Katalog!$D$3:$D$12,MATCH(Data[[#This Row],[ItemID B]],Katalog!$C$3:$C$12,0))*Data[[#This Row],[Qty B]],"0")</f>
        <v>0</v>
      </c>
      <c r="P243" s="36" t="str">
        <f>IFERROR(INDEX(Katalog!$F$3:$F$12,MATCH(Data[[#This Row],[ItemID B]],Katalog!$C$3:$C$12,0))*Data[[#This Row],[Qty B]],"0")</f>
        <v>0</v>
      </c>
      <c r="R243" t="str">
        <f>IFERROR(INDEX(Katalog!$A$3:$A$12,MATCH(Data[[#This Row],[ItemID C]],Katalog!$C$3:$C$12,0)),"-")</f>
        <v>-</v>
      </c>
      <c r="S243" t="str">
        <f>IFERROR(INDEX(Katalog!$B$3:$B$12,MATCH(Data[[#This Row],[ItemID C]],Katalog!$C$3:$C$12,0)),"-")</f>
        <v>-</v>
      </c>
      <c r="V243" s="36" t="str">
        <f>IFERROR(INDEX(Katalog!$D$3:$D$12,MATCH(Data[[#This Row],[ItemID C]],Katalog!$C$3:$C$12,0))*Data[[#This Row],[Qty C]],"0")</f>
        <v>0</v>
      </c>
      <c r="W243" s="36" t="str">
        <f>IFERROR(INDEX(Katalog!$F$3:$F$12,MATCH(Data[[#This Row],[ItemID C]],Katalog!$C$3:$C$12,0))*Data[[#This Row],[Qty C]],"0")</f>
        <v>0</v>
      </c>
      <c r="X243" s="21">
        <f>Data[[#This Row],[Qty A]]+Data[[#This Row],[Qty B]]+Data[[#This Row],[Qty C]]</f>
        <v>3</v>
      </c>
      <c r="Y243" s="22">
        <f>Data[[#This Row],[Harga Barang A]]+Data[[#This Row],[Harga Barang B]]+Data[[#This Row],[Harga Barang C]]</f>
        <v>600000</v>
      </c>
      <c r="Z243" s="35">
        <f>IFERROR(Data[[#This Row],[Total Harga]]-(Data[[#This Row],[Total Harga]]*Data[[#This Row],[Diskon]]),Data[[#This Row],[Total Harga]])</f>
        <v>600000</v>
      </c>
      <c r="AA243" s="35">
        <f>(Data[[#This Row],[Profit A]]+Data[[#This Row],[Profit B]]+Data[[#This Row],[Profit C]])</f>
        <v>240000</v>
      </c>
      <c r="AB243" s="35">
        <f>IFERROR((Data[[#This Row],[Profit non Diskon]]-(Data[[#This Row],[Profit non Diskon]]*Data[[#This Row],[Diskon]])),Data[[#This Row],[Profit non Diskon]])</f>
        <v>240000</v>
      </c>
      <c r="AC243" s="23" t="s">
        <v>11</v>
      </c>
      <c r="AD243" s="37" t="str">
        <f>IFERROR(INDEX('Kode Diskon'!$D$3:$D$9,MATCH(Data[[#This Row],[Kode diskon]],'Kode Diskon'!$C$3:$C$9,0)),"-")</f>
        <v>-</v>
      </c>
      <c r="AE243" s="23" t="s">
        <v>11</v>
      </c>
      <c r="AF243" s="23" t="s">
        <v>7</v>
      </c>
      <c r="AG243" s="23" t="s">
        <v>80</v>
      </c>
      <c r="AH243" s="24">
        <v>45030</v>
      </c>
      <c r="AI243" s="23" t="str">
        <f>TEXT(Data[[#This Row],[Tanggal terjual]],"dddd")</f>
        <v>Friday</v>
      </c>
      <c r="AJ243" s="21" t="str">
        <f>TEXT(Data[[#This Row],[Tanggal terjual]],"wwww")</f>
        <v>wwww</v>
      </c>
    </row>
    <row r="244" spans="1:36" x14ac:dyDescent="0.2">
      <c r="A244" s="20">
        <v>243</v>
      </c>
      <c r="B244" s="21" t="str">
        <f>_xlfn.CONCAT("ORD-",INDEX(Helper!$B$2:$B$5,MATCH(Data[[#This Row],[Marketplace]],Helper!$A$2:$A$5,0)),TEXT(Data[[#This Row],[No]],"0000"),"-",TEXT(Data[[#This Row],[Tanggal terjual]],"dd/mm/yy"))</f>
        <v>ORD-SP0243-04/04/23</v>
      </c>
      <c r="C244" t="s">
        <v>62</v>
      </c>
      <c r="D244" t="str">
        <f>IFERROR(INDEX(Katalog!$A$3:$A$12,MATCH(Data[[#This Row],[ItemID A]],Katalog!$C$3:$C$12,0)),"-")</f>
        <v>Pakaian Pria</v>
      </c>
      <c r="E244" t="str">
        <f>IFERROR(INDEX(Katalog!$B$3:$B$12,MATCH(Data[[#This Row],[ItemID A]],Katalog!$C$3:$C$12,0)),"-")</f>
        <v>Celana Pendek</v>
      </c>
      <c r="F244">
        <v>2</v>
      </c>
      <c r="G244">
        <v>4</v>
      </c>
      <c r="H244" s="36">
        <f>IFERROR(INDEX(Katalog!$D$3:$D$12,MATCH(Data[[#This Row],[ItemID A]],Katalog!$C$3:$C$12,0))*Data[[#This Row],[Qty A]],"0")</f>
        <v>360000</v>
      </c>
      <c r="I244" s="36">
        <f>IFERROR(INDEX(Katalog!$F$3:$F$12,MATCH(Data[[#This Row],[ItemID A]],Katalog!$C$3:$C$12,0))*Data[[#This Row],[Qty A]],0)</f>
        <v>140000</v>
      </c>
      <c r="K244" t="str">
        <f>IFERROR(INDEX(Katalog!$A$3:$A$12,MATCH(Data[[#This Row],[ItemID B]],Katalog!$C$3:$C$12,0)),"-")</f>
        <v>-</v>
      </c>
      <c r="L244" t="str">
        <f>IFERROR(INDEX(Katalog!$B$3:$B$12,MATCH(Data[[#This Row],[ItemID B]],Katalog!$C$3:$C$12,0)),"-")</f>
        <v>-</v>
      </c>
      <c r="O244" s="36" t="str">
        <f>IFERROR(INDEX(Katalog!$D$3:$D$12,MATCH(Data[[#This Row],[ItemID B]],Katalog!$C$3:$C$12,0))*Data[[#This Row],[Qty B]],"0")</f>
        <v>0</v>
      </c>
      <c r="P244" s="36" t="str">
        <f>IFERROR(INDEX(Katalog!$F$3:$F$12,MATCH(Data[[#This Row],[ItemID B]],Katalog!$C$3:$C$12,0))*Data[[#This Row],[Qty B]],"0")</f>
        <v>0</v>
      </c>
      <c r="R244" t="str">
        <f>IFERROR(INDEX(Katalog!$A$3:$A$12,MATCH(Data[[#This Row],[ItemID C]],Katalog!$C$3:$C$12,0)),"-")</f>
        <v>-</v>
      </c>
      <c r="S244" t="str">
        <f>IFERROR(INDEX(Katalog!$B$3:$B$12,MATCH(Data[[#This Row],[ItemID C]],Katalog!$C$3:$C$12,0)),"-")</f>
        <v>-</v>
      </c>
      <c r="V244" s="36" t="str">
        <f>IFERROR(INDEX(Katalog!$D$3:$D$12,MATCH(Data[[#This Row],[ItemID C]],Katalog!$C$3:$C$12,0))*Data[[#This Row],[Qty C]],"0")</f>
        <v>0</v>
      </c>
      <c r="W244" s="36" t="str">
        <f>IFERROR(INDEX(Katalog!$F$3:$F$12,MATCH(Data[[#This Row],[ItemID C]],Katalog!$C$3:$C$12,0))*Data[[#This Row],[Qty C]],"0")</f>
        <v>0</v>
      </c>
      <c r="X244" s="21">
        <f>Data[[#This Row],[Qty A]]+Data[[#This Row],[Qty B]]+Data[[#This Row],[Qty C]]</f>
        <v>2</v>
      </c>
      <c r="Y244" s="22">
        <f>Data[[#This Row],[Harga Barang A]]+Data[[#This Row],[Harga Barang B]]+Data[[#This Row],[Harga Barang C]]</f>
        <v>360000</v>
      </c>
      <c r="Z244" s="35">
        <f>IFERROR(Data[[#This Row],[Total Harga]]-(Data[[#This Row],[Total Harga]]*Data[[#This Row],[Diskon]]),Data[[#This Row],[Total Harga]])</f>
        <v>306000</v>
      </c>
      <c r="AA244" s="35">
        <f>(Data[[#This Row],[Profit A]]+Data[[#This Row],[Profit B]]+Data[[#This Row],[Profit C]])</f>
        <v>140000</v>
      </c>
      <c r="AB244" s="35">
        <f>IFERROR((Data[[#This Row],[Profit non Diskon]]-(Data[[#This Row],[Profit non Diskon]]*Data[[#This Row],[Diskon]])),Data[[#This Row],[Profit non Diskon]])</f>
        <v>119000</v>
      </c>
      <c r="AC244" s="23" t="s">
        <v>13</v>
      </c>
      <c r="AD244" s="37">
        <f>IFERROR(INDEX('Kode Diskon'!$D$3:$D$9,MATCH(Data[[#This Row],[Kode diskon]],'Kode Diskon'!$C$3:$C$9,0)),"-")</f>
        <v>0.15</v>
      </c>
      <c r="AE244" s="23" t="s">
        <v>29</v>
      </c>
      <c r="AF244" s="23" t="s">
        <v>7</v>
      </c>
      <c r="AG244" s="23" t="s">
        <v>80</v>
      </c>
      <c r="AH244" s="24">
        <v>45020</v>
      </c>
      <c r="AI244" s="23" t="str">
        <f>TEXT(Data[[#This Row],[Tanggal terjual]],"dddd")</f>
        <v>Tuesday</v>
      </c>
      <c r="AJ244" s="21" t="str">
        <f>TEXT(Data[[#This Row],[Tanggal terjual]],"wwww")</f>
        <v>wwww</v>
      </c>
    </row>
    <row r="245" spans="1:36" x14ac:dyDescent="0.2">
      <c r="A245" s="20">
        <v>244</v>
      </c>
      <c r="B245" s="21" t="str">
        <f>_xlfn.CONCAT("ORD-",INDEX(Helper!$B$2:$B$5,MATCH(Data[[#This Row],[Marketplace]],Helper!$A$2:$A$5,0)),TEXT(Data[[#This Row],[No]],"0000"),"-",TEXT(Data[[#This Row],[Tanggal terjual]],"dd/mm/yy"))</f>
        <v>ORD-TK0244-30/04/23</v>
      </c>
      <c r="C245" t="s">
        <v>58</v>
      </c>
      <c r="D245" t="str">
        <f>IFERROR(INDEX(Katalog!$A$3:$A$12,MATCH(Data[[#This Row],[ItemID A]],Katalog!$C$3:$C$12,0)),"-")</f>
        <v>Pakaian Wanita</v>
      </c>
      <c r="E245" t="str">
        <f>IFERROR(INDEX(Katalog!$B$3:$B$12,MATCH(Data[[#This Row],[ItemID A]],Katalog!$C$3:$C$12,0)),"-")</f>
        <v>Dress</v>
      </c>
      <c r="F245">
        <v>2</v>
      </c>
      <c r="G245">
        <v>4</v>
      </c>
      <c r="H245" s="36">
        <f>IFERROR(INDEX(Katalog!$D$3:$D$12,MATCH(Data[[#This Row],[ItemID A]],Katalog!$C$3:$C$12,0))*Data[[#This Row],[Qty A]],"0")</f>
        <v>600000</v>
      </c>
      <c r="I245" s="36">
        <f>IFERROR(INDEX(Katalog!$F$3:$F$12,MATCH(Data[[#This Row],[ItemID A]],Katalog!$C$3:$C$12,0))*Data[[#This Row],[Qty A]],0)</f>
        <v>200000</v>
      </c>
      <c r="J245" t="s">
        <v>66</v>
      </c>
      <c r="K245" t="str">
        <f>IFERROR(INDEX(Katalog!$A$3:$A$12,MATCH(Data[[#This Row],[ItemID B]],Katalog!$C$3:$C$12,0)),"-")</f>
        <v>Sepatu Pria</v>
      </c>
      <c r="L245" t="str">
        <f>IFERROR(INDEX(Katalog!$B$3:$B$12,MATCH(Data[[#This Row],[ItemID B]],Katalog!$C$3:$C$12,0)),"-")</f>
        <v>Sandal Slip On</v>
      </c>
      <c r="M245">
        <v>1</v>
      </c>
      <c r="N245">
        <v>3</v>
      </c>
      <c r="O245" s="36">
        <f>IFERROR(INDEX(Katalog!$D$3:$D$12,MATCH(Data[[#This Row],[ItemID B]],Katalog!$C$3:$C$12,0))*Data[[#This Row],[Qty B]],"0")</f>
        <v>150000</v>
      </c>
      <c r="P245" s="36">
        <f>IFERROR(INDEX(Katalog!$F$3:$F$12,MATCH(Data[[#This Row],[ItemID B]],Katalog!$C$3:$C$12,0))*Data[[#This Row],[Qty B]],"0")</f>
        <v>60000</v>
      </c>
      <c r="R245" t="str">
        <f>IFERROR(INDEX(Katalog!$A$3:$A$12,MATCH(Data[[#This Row],[ItemID C]],Katalog!$C$3:$C$12,0)),"-")</f>
        <v>-</v>
      </c>
      <c r="S245" t="str">
        <f>IFERROR(INDEX(Katalog!$B$3:$B$12,MATCH(Data[[#This Row],[ItemID C]],Katalog!$C$3:$C$12,0)),"-")</f>
        <v>-</v>
      </c>
      <c r="V245" s="36" t="str">
        <f>IFERROR(INDEX(Katalog!$D$3:$D$12,MATCH(Data[[#This Row],[ItemID C]],Katalog!$C$3:$C$12,0))*Data[[#This Row],[Qty C]],"0")</f>
        <v>0</v>
      </c>
      <c r="W245" s="36" t="str">
        <f>IFERROR(INDEX(Katalog!$F$3:$F$12,MATCH(Data[[#This Row],[ItemID C]],Katalog!$C$3:$C$12,0))*Data[[#This Row],[Qty C]],"0")</f>
        <v>0</v>
      </c>
      <c r="X245" s="21">
        <f>Data[[#This Row],[Qty A]]+Data[[#This Row],[Qty B]]+Data[[#This Row],[Qty C]]</f>
        <v>3</v>
      </c>
      <c r="Y245" s="22">
        <f>Data[[#This Row],[Harga Barang A]]+Data[[#This Row],[Harga Barang B]]+Data[[#This Row],[Harga Barang C]]</f>
        <v>750000</v>
      </c>
      <c r="Z245" s="35">
        <f>IFERROR(Data[[#This Row],[Total Harga]]-(Data[[#This Row],[Total Harga]]*Data[[#This Row],[Diskon]]),Data[[#This Row],[Total Harga]])</f>
        <v>675000</v>
      </c>
      <c r="AA245" s="35">
        <f>(Data[[#This Row],[Profit A]]+Data[[#This Row],[Profit B]]+Data[[#This Row],[Profit C]])</f>
        <v>260000</v>
      </c>
      <c r="AB245" s="35">
        <f>IFERROR((Data[[#This Row],[Profit non Diskon]]-(Data[[#This Row],[Profit non Diskon]]*Data[[#This Row],[Diskon]])),Data[[#This Row],[Profit non Diskon]])</f>
        <v>234000</v>
      </c>
      <c r="AC245" s="23" t="s">
        <v>31</v>
      </c>
      <c r="AD245" s="37">
        <f>IFERROR(INDEX('Kode Diskon'!$D$3:$D$9,MATCH(Data[[#This Row],[Kode diskon]],'Kode Diskon'!$C$3:$C$9,0)),"-")</f>
        <v>0.1</v>
      </c>
      <c r="AE245" s="23" t="s">
        <v>9</v>
      </c>
      <c r="AF245" s="23" t="s">
        <v>10</v>
      </c>
      <c r="AG245" s="23" t="s">
        <v>79</v>
      </c>
      <c r="AH245" s="24">
        <v>45046</v>
      </c>
      <c r="AI245" s="23" t="str">
        <f>TEXT(Data[[#This Row],[Tanggal terjual]],"dddd")</f>
        <v>Sunday</v>
      </c>
      <c r="AJ245" s="21" t="str">
        <f>TEXT(Data[[#This Row],[Tanggal terjual]],"wwww")</f>
        <v>wwww</v>
      </c>
    </row>
    <row r="246" spans="1:36" x14ac:dyDescent="0.2">
      <c r="A246" s="20">
        <v>245</v>
      </c>
      <c r="B246" s="21" t="str">
        <f>_xlfn.CONCAT("ORD-",INDEX(Helper!$B$2:$B$5,MATCH(Data[[#This Row],[Marketplace]],Helper!$A$2:$A$5,0)),TEXT(Data[[#This Row],[No]],"0000"),"-",TEXT(Data[[#This Row],[Tanggal terjual]],"dd/mm/yy"))</f>
        <v>ORD-SP0245-17/04/23</v>
      </c>
      <c r="C246" t="s">
        <v>62</v>
      </c>
      <c r="D246" t="str">
        <f>IFERROR(INDEX(Katalog!$A$3:$A$12,MATCH(Data[[#This Row],[ItemID A]],Katalog!$C$3:$C$12,0)),"-")</f>
        <v>Pakaian Pria</v>
      </c>
      <c r="E246" t="str">
        <f>IFERROR(INDEX(Katalog!$B$3:$B$12,MATCH(Data[[#This Row],[ItemID A]],Katalog!$C$3:$C$12,0)),"-")</f>
        <v>Celana Pendek</v>
      </c>
      <c r="F246">
        <v>1</v>
      </c>
      <c r="G246">
        <v>5</v>
      </c>
      <c r="H246" s="36">
        <f>IFERROR(INDEX(Katalog!$D$3:$D$12,MATCH(Data[[#This Row],[ItemID A]],Katalog!$C$3:$C$12,0))*Data[[#This Row],[Qty A]],"0")</f>
        <v>180000</v>
      </c>
      <c r="I246" s="36">
        <f>IFERROR(INDEX(Katalog!$F$3:$F$12,MATCH(Data[[#This Row],[ItemID A]],Katalog!$C$3:$C$12,0))*Data[[#This Row],[Qty A]],0)</f>
        <v>70000</v>
      </c>
      <c r="K246" t="str">
        <f>IFERROR(INDEX(Katalog!$A$3:$A$12,MATCH(Data[[#This Row],[ItemID B]],Katalog!$C$3:$C$12,0)),"-")</f>
        <v>-</v>
      </c>
      <c r="L246" t="str">
        <f>IFERROR(INDEX(Katalog!$B$3:$B$12,MATCH(Data[[#This Row],[ItemID B]],Katalog!$C$3:$C$12,0)),"-")</f>
        <v>-</v>
      </c>
      <c r="O246" s="36" t="str">
        <f>IFERROR(INDEX(Katalog!$D$3:$D$12,MATCH(Data[[#This Row],[ItemID B]],Katalog!$C$3:$C$12,0))*Data[[#This Row],[Qty B]],"0")</f>
        <v>0</v>
      </c>
      <c r="P246" s="36" t="str">
        <f>IFERROR(INDEX(Katalog!$F$3:$F$12,MATCH(Data[[#This Row],[ItemID B]],Katalog!$C$3:$C$12,0))*Data[[#This Row],[Qty B]],"0")</f>
        <v>0</v>
      </c>
      <c r="R246" t="str">
        <f>IFERROR(INDEX(Katalog!$A$3:$A$12,MATCH(Data[[#This Row],[ItemID C]],Katalog!$C$3:$C$12,0)),"-")</f>
        <v>-</v>
      </c>
      <c r="S246" t="str">
        <f>IFERROR(INDEX(Katalog!$B$3:$B$12,MATCH(Data[[#This Row],[ItemID C]],Katalog!$C$3:$C$12,0)),"-")</f>
        <v>-</v>
      </c>
      <c r="V246" s="36" t="str">
        <f>IFERROR(INDEX(Katalog!$D$3:$D$12,MATCH(Data[[#This Row],[ItemID C]],Katalog!$C$3:$C$12,0))*Data[[#This Row],[Qty C]],"0")</f>
        <v>0</v>
      </c>
      <c r="W246" s="36" t="str">
        <f>IFERROR(INDEX(Katalog!$F$3:$F$12,MATCH(Data[[#This Row],[ItemID C]],Katalog!$C$3:$C$12,0))*Data[[#This Row],[Qty C]],"0")</f>
        <v>0</v>
      </c>
      <c r="X246" s="21">
        <f>Data[[#This Row],[Qty A]]+Data[[#This Row],[Qty B]]+Data[[#This Row],[Qty C]]</f>
        <v>1</v>
      </c>
      <c r="Y246" s="22">
        <f>Data[[#This Row],[Harga Barang A]]+Data[[#This Row],[Harga Barang B]]+Data[[#This Row],[Harga Barang C]]</f>
        <v>180000</v>
      </c>
      <c r="Z246" s="35">
        <f>IFERROR(Data[[#This Row],[Total Harga]]-(Data[[#This Row],[Total Harga]]*Data[[#This Row],[Diskon]]),Data[[#This Row],[Total Harga]])</f>
        <v>144000</v>
      </c>
      <c r="AA246" s="35">
        <f>(Data[[#This Row],[Profit A]]+Data[[#This Row],[Profit B]]+Data[[#This Row],[Profit C]])</f>
        <v>70000</v>
      </c>
      <c r="AB246" s="35">
        <f>IFERROR((Data[[#This Row],[Profit non Diskon]]-(Data[[#This Row],[Profit non Diskon]]*Data[[#This Row],[Diskon]])),Data[[#This Row],[Profit non Diskon]])</f>
        <v>56000</v>
      </c>
      <c r="AC246" s="23" t="s">
        <v>8</v>
      </c>
      <c r="AD246" s="37">
        <f>IFERROR(INDEX('Kode Diskon'!$D$3:$D$9,MATCH(Data[[#This Row],[Kode diskon]],'Kode Diskon'!$C$3:$C$9,0)),"-")</f>
        <v>0.2</v>
      </c>
      <c r="AE246" s="23" t="s">
        <v>9</v>
      </c>
      <c r="AF246" s="23" t="s">
        <v>7</v>
      </c>
      <c r="AG246" s="23" t="s">
        <v>75</v>
      </c>
      <c r="AH246" s="24">
        <v>45033</v>
      </c>
      <c r="AI246" s="23" t="str">
        <f>TEXT(Data[[#This Row],[Tanggal terjual]],"dddd")</f>
        <v>Monday</v>
      </c>
      <c r="AJ246" s="21" t="str">
        <f>TEXT(Data[[#This Row],[Tanggal terjual]],"wwww")</f>
        <v>wwww</v>
      </c>
    </row>
    <row r="247" spans="1:36" x14ac:dyDescent="0.2">
      <c r="A247" s="20">
        <v>246</v>
      </c>
      <c r="B247" s="21" t="str">
        <f>_xlfn.CONCAT("ORD-",INDEX(Helper!$B$2:$B$5,MATCH(Data[[#This Row],[Marketplace]],Helper!$A$2:$A$5,0)),TEXT(Data[[#This Row],[No]],"0000"),"-",TEXT(Data[[#This Row],[Tanggal terjual]],"dd/mm/yy"))</f>
        <v>ORD-SP0246-05/04/23</v>
      </c>
      <c r="C247" t="s">
        <v>61</v>
      </c>
      <c r="D247" t="str">
        <f>IFERROR(INDEX(Katalog!$A$3:$A$12,MATCH(Data[[#This Row],[ItemID A]],Katalog!$C$3:$C$12,0)),"-")</f>
        <v>Pakaian Pria</v>
      </c>
      <c r="E247" t="str">
        <f>IFERROR(INDEX(Katalog!$B$3:$B$12,MATCH(Data[[#This Row],[ItemID A]],Katalog!$C$3:$C$12,0)),"-")</f>
        <v>Kaos Polo</v>
      </c>
      <c r="F247">
        <v>2</v>
      </c>
      <c r="G247">
        <v>3</v>
      </c>
      <c r="H247" s="36">
        <f>IFERROR(INDEX(Katalog!$D$3:$D$12,MATCH(Data[[#This Row],[ItemID A]],Katalog!$C$3:$C$12,0))*Data[[#This Row],[Qty A]],"0")</f>
        <v>400000</v>
      </c>
      <c r="I247" s="36">
        <f>IFERROR(INDEX(Katalog!$F$3:$F$12,MATCH(Data[[#This Row],[ItemID A]],Katalog!$C$3:$C$12,0))*Data[[#This Row],[Qty A]],0)</f>
        <v>160000</v>
      </c>
      <c r="J247" t="s">
        <v>59</v>
      </c>
      <c r="K247" t="str">
        <f>IFERROR(INDEX(Katalog!$A$3:$A$12,MATCH(Data[[#This Row],[ItemID B]],Katalog!$C$3:$C$12,0)),"-")</f>
        <v>Pakaian Wanita</v>
      </c>
      <c r="L247" t="str">
        <f>IFERROR(INDEX(Katalog!$B$3:$B$12,MATCH(Data[[#This Row],[ItemID B]],Katalog!$C$3:$C$12,0)),"-")</f>
        <v>Blouse</v>
      </c>
      <c r="M247">
        <v>1</v>
      </c>
      <c r="N247">
        <v>4</v>
      </c>
      <c r="O247" s="36">
        <f>IFERROR(INDEX(Katalog!$D$3:$D$12,MATCH(Data[[#This Row],[ItemID B]],Katalog!$C$3:$C$12,0))*Data[[#This Row],[Qty B]],"0")</f>
        <v>150000</v>
      </c>
      <c r="P247" s="36">
        <f>IFERROR(INDEX(Katalog!$F$3:$F$12,MATCH(Data[[#This Row],[ItemID B]],Katalog!$C$3:$C$12,0))*Data[[#This Row],[Qty B]],"0")</f>
        <v>50000</v>
      </c>
      <c r="R247" t="str">
        <f>IFERROR(INDEX(Katalog!$A$3:$A$12,MATCH(Data[[#This Row],[ItemID C]],Katalog!$C$3:$C$12,0)),"-")</f>
        <v>-</v>
      </c>
      <c r="S247" t="str">
        <f>IFERROR(INDEX(Katalog!$B$3:$B$12,MATCH(Data[[#This Row],[ItemID C]],Katalog!$C$3:$C$12,0)),"-")</f>
        <v>-</v>
      </c>
      <c r="V247" s="36" t="str">
        <f>IFERROR(INDEX(Katalog!$D$3:$D$12,MATCH(Data[[#This Row],[ItemID C]],Katalog!$C$3:$C$12,0))*Data[[#This Row],[Qty C]],"0")</f>
        <v>0</v>
      </c>
      <c r="W247" s="36" t="str">
        <f>IFERROR(INDEX(Katalog!$F$3:$F$12,MATCH(Data[[#This Row],[ItemID C]],Katalog!$C$3:$C$12,0))*Data[[#This Row],[Qty C]],"0")</f>
        <v>0</v>
      </c>
      <c r="X247" s="21">
        <f>Data[[#This Row],[Qty A]]+Data[[#This Row],[Qty B]]+Data[[#This Row],[Qty C]]</f>
        <v>3</v>
      </c>
      <c r="Y247" s="22">
        <f>Data[[#This Row],[Harga Barang A]]+Data[[#This Row],[Harga Barang B]]+Data[[#This Row],[Harga Barang C]]</f>
        <v>550000</v>
      </c>
      <c r="Z247" s="35">
        <f>IFERROR(Data[[#This Row],[Total Harga]]-(Data[[#This Row],[Total Harga]]*Data[[#This Row],[Diskon]]),Data[[#This Row],[Total Harga]])</f>
        <v>467500</v>
      </c>
      <c r="AA247" s="35">
        <f>(Data[[#This Row],[Profit A]]+Data[[#This Row],[Profit B]]+Data[[#This Row],[Profit C]])</f>
        <v>210000</v>
      </c>
      <c r="AB247" s="35">
        <f>IFERROR((Data[[#This Row],[Profit non Diskon]]-(Data[[#This Row],[Profit non Diskon]]*Data[[#This Row],[Diskon]])),Data[[#This Row],[Profit non Diskon]])</f>
        <v>178500</v>
      </c>
      <c r="AC247" s="23" t="s">
        <v>13</v>
      </c>
      <c r="AD247" s="37">
        <f>IFERROR(INDEX('Kode Diskon'!$D$3:$D$9,MATCH(Data[[#This Row],[Kode diskon]],'Kode Diskon'!$C$3:$C$9,0)),"-")</f>
        <v>0.15</v>
      </c>
      <c r="AE247" s="23" t="s">
        <v>29</v>
      </c>
      <c r="AF247" s="23" t="s">
        <v>7</v>
      </c>
      <c r="AG247" s="23" t="s">
        <v>77</v>
      </c>
      <c r="AH247" s="24">
        <v>45021</v>
      </c>
      <c r="AI247" s="23" t="str">
        <f>TEXT(Data[[#This Row],[Tanggal terjual]],"dddd")</f>
        <v>Wednesday</v>
      </c>
      <c r="AJ247" s="21" t="str">
        <f>TEXT(Data[[#This Row],[Tanggal terjual]],"wwww")</f>
        <v>wwww</v>
      </c>
    </row>
    <row r="248" spans="1:36" x14ac:dyDescent="0.2">
      <c r="A248" s="20">
        <v>247</v>
      </c>
      <c r="B248" s="21" t="str">
        <f>_xlfn.CONCAT("ORD-",INDEX(Helper!$B$2:$B$5,MATCH(Data[[#This Row],[Marketplace]],Helper!$A$2:$A$5,0)),TEXT(Data[[#This Row],[No]],"0000"),"-",TEXT(Data[[#This Row],[Tanggal terjual]],"dd/mm/yy"))</f>
        <v>ORD-TK0247-30/04/23</v>
      </c>
      <c r="C248" t="s">
        <v>63</v>
      </c>
      <c r="D248" t="str">
        <f>IFERROR(INDEX(Katalog!$A$3:$A$12,MATCH(Data[[#This Row],[ItemID A]],Katalog!$C$3:$C$12,0)),"-")</f>
        <v>Pakaian Pria</v>
      </c>
      <c r="E248" t="str">
        <f>IFERROR(INDEX(Katalog!$B$3:$B$12,MATCH(Data[[#This Row],[ItemID A]],Katalog!$C$3:$C$12,0)),"-")</f>
        <v>Jaket Jeans</v>
      </c>
      <c r="F248">
        <v>1</v>
      </c>
      <c r="G248">
        <v>5</v>
      </c>
      <c r="H248" s="36">
        <f>IFERROR(INDEX(Katalog!$D$3:$D$12,MATCH(Data[[#This Row],[ItemID A]],Katalog!$C$3:$C$12,0))*Data[[#This Row],[Qty A]],"0")</f>
        <v>400000</v>
      </c>
      <c r="I248" s="36">
        <f>IFERROR(INDEX(Katalog!$F$3:$F$12,MATCH(Data[[#This Row],[ItemID A]],Katalog!$C$3:$C$12,0))*Data[[#This Row],[Qty A]],0)</f>
        <v>150000</v>
      </c>
      <c r="J248" t="s">
        <v>64</v>
      </c>
      <c r="K248" t="str">
        <f>IFERROR(INDEX(Katalog!$A$3:$A$12,MATCH(Data[[#This Row],[ItemID B]],Katalog!$C$3:$C$12,0)),"-")</f>
        <v>Pakaian Unisex</v>
      </c>
      <c r="L248" t="str">
        <f>IFERROR(INDEX(Katalog!$B$3:$B$12,MATCH(Data[[#This Row],[ItemID B]],Katalog!$C$3:$C$12,0)),"-")</f>
        <v>Jaket Hoodie</v>
      </c>
      <c r="M248">
        <v>3</v>
      </c>
      <c r="N248">
        <v>4</v>
      </c>
      <c r="O248" s="36">
        <f>IFERROR(INDEX(Katalog!$D$3:$D$12,MATCH(Data[[#This Row],[ItemID B]],Katalog!$C$3:$C$12,0))*Data[[#This Row],[Qty B]],"0")</f>
        <v>1050000</v>
      </c>
      <c r="P248" s="36">
        <f>IFERROR(INDEX(Katalog!$F$3:$F$12,MATCH(Data[[#This Row],[ItemID B]],Katalog!$C$3:$C$12,0))*Data[[#This Row],[Qty B]],"0")</f>
        <v>390000</v>
      </c>
      <c r="R248" t="str">
        <f>IFERROR(INDEX(Katalog!$A$3:$A$12,MATCH(Data[[#This Row],[ItemID C]],Katalog!$C$3:$C$12,0)),"-")</f>
        <v>-</v>
      </c>
      <c r="S248" t="str">
        <f>IFERROR(INDEX(Katalog!$B$3:$B$12,MATCH(Data[[#This Row],[ItemID C]],Katalog!$C$3:$C$12,0)),"-")</f>
        <v>-</v>
      </c>
      <c r="V248" s="36" t="str">
        <f>IFERROR(INDEX(Katalog!$D$3:$D$12,MATCH(Data[[#This Row],[ItemID C]],Katalog!$C$3:$C$12,0))*Data[[#This Row],[Qty C]],"0")</f>
        <v>0</v>
      </c>
      <c r="W248" s="36" t="str">
        <f>IFERROR(INDEX(Katalog!$F$3:$F$12,MATCH(Data[[#This Row],[ItemID C]],Katalog!$C$3:$C$12,0))*Data[[#This Row],[Qty C]],"0")</f>
        <v>0</v>
      </c>
      <c r="X248" s="21">
        <f>Data[[#This Row],[Qty A]]+Data[[#This Row],[Qty B]]+Data[[#This Row],[Qty C]]</f>
        <v>4</v>
      </c>
      <c r="Y248" s="22">
        <f>Data[[#This Row],[Harga Barang A]]+Data[[#This Row],[Harga Barang B]]+Data[[#This Row],[Harga Barang C]]</f>
        <v>1450000</v>
      </c>
      <c r="Z248" s="35">
        <f>IFERROR(Data[[#This Row],[Total Harga]]-(Data[[#This Row],[Total Harga]]*Data[[#This Row],[Diskon]]),Data[[#This Row],[Total Harga]])</f>
        <v>1305000</v>
      </c>
      <c r="AA248" s="35">
        <f>(Data[[#This Row],[Profit A]]+Data[[#This Row],[Profit B]]+Data[[#This Row],[Profit C]])</f>
        <v>540000</v>
      </c>
      <c r="AB248" s="35">
        <f>IFERROR((Data[[#This Row],[Profit non Diskon]]-(Data[[#This Row],[Profit non Diskon]]*Data[[#This Row],[Diskon]])),Data[[#This Row],[Profit non Diskon]])</f>
        <v>486000</v>
      </c>
      <c r="AC248" s="23" t="s">
        <v>31</v>
      </c>
      <c r="AD248" s="37">
        <f>IFERROR(INDEX('Kode Diskon'!$D$3:$D$9,MATCH(Data[[#This Row],[Kode diskon]],'Kode Diskon'!$C$3:$C$9,0)),"-")</f>
        <v>0.1</v>
      </c>
      <c r="AE248" s="23" t="s">
        <v>9</v>
      </c>
      <c r="AF248" s="23" t="s">
        <v>10</v>
      </c>
      <c r="AG248" s="23" t="s">
        <v>75</v>
      </c>
      <c r="AH248" s="24">
        <v>45046</v>
      </c>
      <c r="AI248" s="23" t="str">
        <f>TEXT(Data[[#This Row],[Tanggal terjual]],"dddd")</f>
        <v>Sunday</v>
      </c>
      <c r="AJ248" s="21" t="str">
        <f>TEXT(Data[[#This Row],[Tanggal terjual]],"wwww")</f>
        <v>wwww</v>
      </c>
    </row>
    <row r="249" spans="1:36" x14ac:dyDescent="0.2">
      <c r="A249" s="20">
        <v>248</v>
      </c>
      <c r="B249" s="21" t="str">
        <f>_xlfn.CONCAT("ORD-",INDEX(Helper!$B$2:$B$5,MATCH(Data[[#This Row],[Marketplace]],Helper!$A$2:$A$5,0)),TEXT(Data[[#This Row],[No]],"0000"),"-",TEXT(Data[[#This Row],[Tanggal terjual]],"dd/mm/yy"))</f>
        <v>ORD-BL0248-22/04/23</v>
      </c>
      <c r="C249" t="s">
        <v>60</v>
      </c>
      <c r="D249" t="str">
        <f>IFERROR(INDEX(Katalog!$A$3:$A$12,MATCH(Data[[#This Row],[ItemID A]],Katalog!$C$3:$C$12,0)),"-")</f>
        <v>Pakaian Wanita</v>
      </c>
      <c r="E249" t="str">
        <f>IFERROR(INDEX(Katalog!$B$3:$B$12,MATCH(Data[[#This Row],[ItemID A]],Katalog!$C$3:$C$12,0)),"-")</f>
        <v>Kaftan</v>
      </c>
      <c r="F249">
        <v>1</v>
      </c>
      <c r="G249">
        <v>2</v>
      </c>
      <c r="H249" s="36">
        <f>IFERROR(INDEX(Katalog!$D$3:$D$12,MATCH(Data[[#This Row],[ItemID A]],Katalog!$C$3:$C$12,0))*Data[[#This Row],[Qty A]],"0")</f>
        <v>250000</v>
      </c>
      <c r="I249" s="36">
        <f>IFERROR(INDEX(Katalog!$F$3:$F$12,MATCH(Data[[#This Row],[ItemID A]],Katalog!$C$3:$C$12,0))*Data[[#This Row],[Qty A]],0)</f>
        <v>100000</v>
      </c>
      <c r="J249" t="s">
        <v>62</v>
      </c>
      <c r="K249" t="str">
        <f>IFERROR(INDEX(Katalog!$A$3:$A$12,MATCH(Data[[#This Row],[ItemID B]],Katalog!$C$3:$C$12,0)),"-")</f>
        <v>Pakaian Pria</v>
      </c>
      <c r="L249" t="str">
        <f>IFERROR(INDEX(Katalog!$B$3:$B$12,MATCH(Data[[#This Row],[ItemID B]],Katalog!$C$3:$C$12,0)),"-")</f>
        <v>Celana Pendek</v>
      </c>
      <c r="M249">
        <v>1</v>
      </c>
      <c r="N249">
        <v>3</v>
      </c>
      <c r="O249" s="36">
        <f>IFERROR(INDEX(Katalog!$D$3:$D$12,MATCH(Data[[#This Row],[ItemID B]],Katalog!$C$3:$C$12,0))*Data[[#This Row],[Qty B]],"0")</f>
        <v>180000</v>
      </c>
      <c r="P249" s="36">
        <f>IFERROR(INDEX(Katalog!$F$3:$F$12,MATCH(Data[[#This Row],[ItemID B]],Katalog!$C$3:$C$12,0))*Data[[#This Row],[Qty B]],"0")</f>
        <v>70000</v>
      </c>
      <c r="Q249" t="s">
        <v>61</v>
      </c>
      <c r="R249" t="str">
        <f>IFERROR(INDEX(Katalog!$A$3:$A$12,MATCH(Data[[#This Row],[ItemID C]],Katalog!$C$3:$C$12,0)),"-")</f>
        <v>Pakaian Pria</v>
      </c>
      <c r="S249" t="str">
        <f>IFERROR(INDEX(Katalog!$B$3:$B$12,MATCH(Data[[#This Row],[ItemID C]],Katalog!$C$3:$C$12,0)),"-")</f>
        <v>Kaos Polo</v>
      </c>
      <c r="T249">
        <v>5</v>
      </c>
      <c r="U249">
        <v>4</v>
      </c>
      <c r="V249" s="36">
        <f>IFERROR(INDEX(Katalog!$D$3:$D$12,MATCH(Data[[#This Row],[ItemID C]],Katalog!$C$3:$C$12,0))*Data[[#This Row],[Qty C]],"0")</f>
        <v>1000000</v>
      </c>
      <c r="W249" s="36">
        <f>IFERROR(INDEX(Katalog!$F$3:$F$12,MATCH(Data[[#This Row],[ItemID C]],Katalog!$C$3:$C$12,0))*Data[[#This Row],[Qty C]],"0")</f>
        <v>400000</v>
      </c>
      <c r="X249" s="21">
        <f>Data[[#This Row],[Qty A]]+Data[[#This Row],[Qty B]]+Data[[#This Row],[Qty C]]</f>
        <v>7</v>
      </c>
      <c r="Y249" s="22">
        <f>Data[[#This Row],[Harga Barang A]]+Data[[#This Row],[Harga Barang B]]+Data[[#This Row],[Harga Barang C]]</f>
        <v>1430000</v>
      </c>
      <c r="Z249" s="35">
        <f>IFERROR(Data[[#This Row],[Total Harga]]-(Data[[#This Row],[Total Harga]]*Data[[#This Row],[Diskon]]),Data[[#This Row],[Total Harga]])</f>
        <v>1215500</v>
      </c>
      <c r="AA249" s="35">
        <f>(Data[[#This Row],[Profit A]]+Data[[#This Row],[Profit B]]+Data[[#This Row],[Profit C]])</f>
        <v>570000</v>
      </c>
      <c r="AB249" s="35">
        <f>IFERROR((Data[[#This Row],[Profit non Diskon]]-(Data[[#This Row],[Profit non Diskon]]*Data[[#This Row],[Diskon]])),Data[[#This Row],[Profit non Diskon]])</f>
        <v>484500</v>
      </c>
      <c r="AC249" s="23" t="s">
        <v>32</v>
      </c>
      <c r="AD249" s="37">
        <f>IFERROR(INDEX('Kode Diskon'!$D$3:$D$9,MATCH(Data[[#This Row],[Kode diskon]],'Kode Diskon'!$C$3:$C$9,0)),"-")</f>
        <v>0.15</v>
      </c>
      <c r="AE249" s="23" t="s">
        <v>9</v>
      </c>
      <c r="AF249" s="23" t="s">
        <v>12</v>
      </c>
      <c r="AG249" s="23" t="s">
        <v>75</v>
      </c>
      <c r="AH249" s="24">
        <v>45038</v>
      </c>
      <c r="AI249" s="23" t="str">
        <f>TEXT(Data[[#This Row],[Tanggal terjual]],"dddd")</f>
        <v>Saturday</v>
      </c>
      <c r="AJ249" s="21" t="str">
        <f>TEXT(Data[[#This Row],[Tanggal terjual]],"wwww")</f>
        <v>wwww</v>
      </c>
    </row>
    <row r="250" spans="1:36" x14ac:dyDescent="0.2">
      <c r="A250" s="20">
        <v>249</v>
      </c>
      <c r="B250" s="21" t="str">
        <f>_xlfn.CONCAT("ORD-",INDEX(Helper!$B$2:$B$5,MATCH(Data[[#This Row],[Marketplace]],Helper!$A$2:$A$5,0)),TEXT(Data[[#This Row],[No]],"0000"),"-",TEXT(Data[[#This Row],[Tanggal terjual]],"dd/mm/yy"))</f>
        <v>ORD-TK0249-05/04/23</v>
      </c>
      <c r="C250" t="s">
        <v>66</v>
      </c>
      <c r="D250" t="str">
        <f>IFERROR(INDEX(Katalog!$A$3:$A$12,MATCH(Data[[#This Row],[ItemID A]],Katalog!$C$3:$C$12,0)),"-")</f>
        <v>Sepatu Pria</v>
      </c>
      <c r="E250" t="str">
        <f>IFERROR(INDEX(Katalog!$B$3:$B$12,MATCH(Data[[#This Row],[ItemID A]],Katalog!$C$3:$C$12,0)),"-")</f>
        <v>Sandal Slip On</v>
      </c>
      <c r="F250">
        <v>3</v>
      </c>
      <c r="G250">
        <v>4</v>
      </c>
      <c r="H250" s="36">
        <f>IFERROR(INDEX(Katalog!$D$3:$D$12,MATCH(Data[[#This Row],[ItemID A]],Katalog!$C$3:$C$12,0))*Data[[#This Row],[Qty A]],"0")</f>
        <v>450000</v>
      </c>
      <c r="I250" s="36">
        <f>IFERROR(INDEX(Katalog!$F$3:$F$12,MATCH(Data[[#This Row],[ItemID A]],Katalog!$C$3:$C$12,0))*Data[[#This Row],[Qty A]],0)</f>
        <v>180000</v>
      </c>
      <c r="J250" t="s">
        <v>64</v>
      </c>
      <c r="K250" t="str">
        <f>IFERROR(INDEX(Katalog!$A$3:$A$12,MATCH(Data[[#This Row],[ItemID B]],Katalog!$C$3:$C$12,0)),"-")</f>
        <v>Pakaian Unisex</v>
      </c>
      <c r="L250" t="str">
        <f>IFERROR(INDEX(Katalog!$B$3:$B$12,MATCH(Data[[#This Row],[ItemID B]],Katalog!$C$3:$C$12,0)),"-")</f>
        <v>Jaket Hoodie</v>
      </c>
      <c r="M250">
        <v>1</v>
      </c>
      <c r="N250">
        <v>4</v>
      </c>
      <c r="O250" s="36">
        <f>IFERROR(INDEX(Katalog!$D$3:$D$12,MATCH(Data[[#This Row],[ItemID B]],Katalog!$C$3:$C$12,0))*Data[[#This Row],[Qty B]],"0")</f>
        <v>350000</v>
      </c>
      <c r="P250" s="36">
        <f>IFERROR(INDEX(Katalog!$F$3:$F$12,MATCH(Data[[#This Row],[ItemID B]],Katalog!$C$3:$C$12,0))*Data[[#This Row],[Qty B]],"0")</f>
        <v>130000</v>
      </c>
      <c r="Q250" t="s">
        <v>61</v>
      </c>
      <c r="R250" t="str">
        <f>IFERROR(INDEX(Katalog!$A$3:$A$12,MATCH(Data[[#This Row],[ItemID C]],Katalog!$C$3:$C$12,0)),"-")</f>
        <v>Pakaian Pria</v>
      </c>
      <c r="S250" t="str">
        <f>IFERROR(INDEX(Katalog!$B$3:$B$12,MATCH(Data[[#This Row],[ItemID C]],Katalog!$C$3:$C$12,0)),"-")</f>
        <v>Kaos Polo</v>
      </c>
      <c r="T250">
        <v>1</v>
      </c>
      <c r="U250">
        <v>5</v>
      </c>
      <c r="V250" s="36">
        <f>IFERROR(INDEX(Katalog!$D$3:$D$12,MATCH(Data[[#This Row],[ItemID C]],Katalog!$C$3:$C$12,0))*Data[[#This Row],[Qty C]],"0")</f>
        <v>200000</v>
      </c>
      <c r="W250" s="36">
        <f>IFERROR(INDEX(Katalog!$F$3:$F$12,MATCH(Data[[#This Row],[ItemID C]],Katalog!$C$3:$C$12,0))*Data[[#This Row],[Qty C]],"0")</f>
        <v>80000</v>
      </c>
      <c r="X250" s="21">
        <f>Data[[#This Row],[Qty A]]+Data[[#This Row],[Qty B]]+Data[[#This Row],[Qty C]]</f>
        <v>5</v>
      </c>
      <c r="Y250" s="22">
        <f>Data[[#This Row],[Harga Barang A]]+Data[[#This Row],[Harga Barang B]]+Data[[#This Row],[Harga Barang C]]</f>
        <v>1000000</v>
      </c>
      <c r="Z250" s="35">
        <f>IFERROR(Data[[#This Row],[Total Harga]]-(Data[[#This Row],[Total Harga]]*Data[[#This Row],[Diskon]]),Data[[#This Row],[Total Harga]])</f>
        <v>900000</v>
      </c>
      <c r="AA250" s="35">
        <f>(Data[[#This Row],[Profit A]]+Data[[#This Row],[Profit B]]+Data[[#This Row],[Profit C]])</f>
        <v>390000</v>
      </c>
      <c r="AB250" s="35">
        <f>IFERROR((Data[[#This Row],[Profit non Diskon]]-(Data[[#This Row],[Profit non Diskon]]*Data[[#This Row],[Diskon]])),Data[[#This Row],[Profit non Diskon]])</f>
        <v>351000</v>
      </c>
      <c r="AC250" s="23" t="s">
        <v>30</v>
      </c>
      <c r="AD250" s="37">
        <f>IFERROR(INDEX('Kode Diskon'!$D$3:$D$9,MATCH(Data[[#This Row],[Kode diskon]],'Kode Diskon'!$C$3:$C$9,0)),"-")</f>
        <v>0.1</v>
      </c>
      <c r="AE250" s="23" t="s">
        <v>29</v>
      </c>
      <c r="AF250" s="23" t="s">
        <v>10</v>
      </c>
      <c r="AG250" s="23" t="s">
        <v>80</v>
      </c>
      <c r="AH250" s="24">
        <v>45021</v>
      </c>
      <c r="AI250" s="23" t="str">
        <f>TEXT(Data[[#This Row],[Tanggal terjual]],"dddd")</f>
        <v>Wednesday</v>
      </c>
      <c r="AJ250" s="21" t="str">
        <f>TEXT(Data[[#This Row],[Tanggal terjual]],"wwww")</f>
        <v>wwww</v>
      </c>
    </row>
    <row r="251" spans="1:36" x14ac:dyDescent="0.2">
      <c r="A251" s="20">
        <v>250</v>
      </c>
      <c r="B251" s="21" t="str">
        <f>_xlfn.CONCAT("ORD-",INDEX(Helper!$B$2:$B$5,MATCH(Data[[#This Row],[Marketplace]],Helper!$A$2:$A$5,0)),TEXT(Data[[#This Row],[No]],"0000"),"-",TEXT(Data[[#This Row],[Tanggal terjual]],"dd/mm/yy"))</f>
        <v>ORD-SP0250-20/04/23</v>
      </c>
      <c r="C251" t="s">
        <v>60</v>
      </c>
      <c r="D251" t="str">
        <f>IFERROR(INDEX(Katalog!$A$3:$A$12,MATCH(Data[[#This Row],[ItemID A]],Katalog!$C$3:$C$12,0)),"-")</f>
        <v>Pakaian Wanita</v>
      </c>
      <c r="E251" t="str">
        <f>IFERROR(INDEX(Katalog!$B$3:$B$12,MATCH(Data[[#This Row],[ItemID A]],Katalog!$C$3:$C$12,0)),"-")</f>
        <v>Kaftan</v>
      </c>
      <c r="F251">
        <v>1</v>
      </c>
      <c r="G251">
        <v>2</v>
      </c>
      <c r="H251" s="36">
        <f>IFERROR(INDEX(Katalog!$D$3:$D$12,MATCH(Data[[#This Row],[ItemID A]],Katalog!$C$3:$C$12,0))*Data[[#This Row],[Qty A]],"0")</f>
        <v>250000</v>
      </c>
      <c r="I251" s="36">
        <f>IFERROR(INDEX(Katalog!$F$3:$F$12,MATCH(Data[[#This Row],[ItemID A]],Katalog!$C$3:$C$12,0))*Data[[#This Row],[Qty A]],0)</f>
        <v>100000</v>
      </c>
      <c r="J251" t="s">
        <v>64</v>
      </c>
      <c r="K251" t="str">
        <f>IFERROR(INDEX(Katalog!$A$3:$A$12,MATCH(Data[[#This Row],[ItemID B]],Katalog!$C$3:$C$12,0)),"-")</f>
        <v>Pakaian Unisex</v>
      </c>
      <c r="L251" t="str">
        <f>IFERROR(INDEX(Katalog!$B$3:$B$12,MATCH(Data[[#This Row],[ItemID B]],Katalog!$C$3:$C$12,0)),"-")</f>
        <v>Jaket Hoodie</v>
      </c>
      <c r="M251">
        <v>1</v>
      </c>
      <c r="N251">
        <v>3</v>
      </c>
      <c r="O251" s="36">
        <f>IFERROR(INDEX(Katalog!$D$3:$D$12,MATCH(Data[[#This Row],[ItemID B]],Katalog!$C$3:$C$12,0))*Data[[#This Row],[Qty B]],"0")</f>
        <v>350000</v>
      </c>
      <c r="P251" s="36">
        <f>IFERROR(INDEX(Katalog!$F$3:$F$12,MATCH(Data[[#This Row],[ItemID B]],Katalog!$C$3:$C$12,0))*Data[[#This Row],[Qty B]],"0")</f>
        <v>130000</v>
      </c>
      <c r="R251" t="str">
        <f>IFERROR(INDEX(Katalog!$A$3:$A$12,MATCH(Data[[#This Row],[ItemID C]],Katalog!$C$3:$C$12,0)),"-")</f>
        <v>-</v>
      </c>
      <c r="S251" t="str">
        <f>IFERROR(INDEX(Katalog!$B$3:$B$12,MATCH(Data[[#This Row],[ItemID C]],Katalog!$C$3:$C$12,0)),"-")</f>
        <v>-</v>
      </c>
      <c r="V251" s="36" t="str">
        <f>IFERROR(INDEX(Katalog!$D$3:$D$12,MATCH(Data[[#This Row],[ItemID C]],Katalog!$C$3:$C$12,0))*Data[[#This Row],[Qty C]],"0")</f>
        <v>0</v>
      </c>
      <c r="W251" s="36" t="str">
        <f>IFERROR(INDEX(Katalog!$F$3:$F$12,MATCH(Data[[#This Row],[ItemID C]],Katalog!$C$3:$C$12,0))*Data[[#This Row],[Qty C]],"0")</f>
        <v>0</v>
      </c>
      <c r="X251" s="21">
        <f>Data[[#This Row],[Qty A]]+Data[[#This Row],[Qty B]]+Data[[#This Row],[Qty C]]</f>
        <v>2</v>
      </c>
      <c r="Y251" s="22">
        <f>Data[[#This Row],[Harga Barang A]]+Data[[#This Row],[Harga Barang B]]+Data[[#This Row],[Harga Barang C]]</f>
        <v>600000</v>
      </c>
      <c r="Z251" s="35">
        <f>IFERROR(Data[[#This Row],[Total Harga]]-(Data[[#This Row],[Total Harga]]*Data[[#This Row],[Diskon]]),Data[[#This Row],[Total Harga]])</f>
        <v>480000</v>
      </c>
      <c r="AA251" s="35">
        <f>(Data[[#This Row],[Profit A]]+Data[[#This Row],[Profit B]]+Data[[#This Row],[Profit C]])</f>
        <v>230000</v>
      </c>
      <c r="AB251" s="35">
        <f>IFERROR((Data[[#This Row],[Profit non Diskon]]-(Data[[#This Row],[Profit non Diskon]]*Data[[#This Row],[Diskon]])),Data[[#This Row],[Profit non Diskon]])</f>
        <v>184000</v>
      </c>
      <c r="AC251" s="23" t="s">
        <v>8</v>
      </c>
      <c r="AD251" s="37">
        <f>IFERROR(INDEX('Kode Diskon'!$D$3:$D$9,MATCH(Data[[#This Row],[Kode diskon]],'Kode Diskon'!$C$3:$C$9,0)),"-")</f>
        <v>0.2</v>
      </c>
      <c r="AE251" s="23" t="s">
        <v>9</v>
      </c>
      <c r="AF251" s="23" t="s">
        <v>7</v>
      </c>
      <c r="AG251" s="23" t="s">
        <v>76</v>
      </c>
      <c r="AH251" s="24">
        <v>45036</v>
      </c>
      <c r="AI251" s="23" t="str">
        <f>TEXT(Data[[#This Row],[Tanggal terjual]],"dddd")</f>
        <v>Thursday</v>
      </c>
      <c r="AJ251" s="21" t="str">
        <f>TEXT(Data[[#This Row],[Tanggal terjual]],"wwww")</f>
        <v>wwww</v>
      </c>
    </row>
    <row r="252" spans="1:36" x14ac:dyDescent="0.2">
      <c r="A252" s="20">
        <v>251</v>
      </c>
      <c r="B252" s="21" t="str">
        <f>_xlfn.CONCAT("ORD-",INDEX(Helper!$B$2:$B$5,MATCH(Data[[#This Row],[Marketplace]],Helper!$A$2:$A$5,0)),TEXT(Data[[#This Row],[No]],"0000"),"-",TEXT(Data[[#This Row],[Tanggal terjual]],"dd/mm/yy"))</f>
        <v>ORD-TK0251-25/04/23</v>
      </c>
      <c r="C252" t="s">
        <v>66</v>
      </c>
      <c r="D252" t="str">
        <f>IFERROR(INDEX(Katalog!$A$3:$A$12,MATCH(Data[[#This Row],[ItemID A]],Katalog!$C$3:$C$12,0)),"-")</f>
        <v>Sepatu Pria</v>
      </c>
      <c r="E252" t="str">
        <f>IFERROR(INDEX(Katalog!$B$3:$B$12,MATCH(Data[[#This Row],[ItemID A]],Katalog!$C$3:$C$12,0)),"-")</f>
        <v>Sandal Slip On</v>
      </c>
      <c r="F252">
        <v>2</v>
      </c>
      <c r="G252">
        <v>5</v>
      </c>
      <c r="H252" s="36">
        <f>IFERROR(INDEX(Katalog!$D$3:$D$12,MATCH(Data[[#This Row],[ItemID A]],Katalog!$C$3:$C$12,0))*Data[[#This Row],[Qty A]],"0")</f>
        <v>300000</v>
      </c>
      <c r="I252" s="36">
        <f>IFERROR(INDEX(Katalog!$F$3:$F$12,MATCH(Data[[#This Row],[ItemID A]],Katalog!$C$3:$C$12,0))*Data[[#This Row],[Qty A]],0)</f>
        <v>120000</v>
      </c>
      <c r="K252" t="str">
        <f>IFERROR(INDEX(Katalog!$A$3:$A$12,MATCH(Data[[#This Row],[ItemID B]],Katalog!$C$3:$C$12,0)),"-")</f>
        <v>-</v>
      </c>
      <c r="L252" t="str">
        <f>IFERROR(INDEX(Katalog!$B$3:$B$12,MATCH(Data[[#This Row],[ItemID B]],Katalog!$C$3:$C$12,0)),"-")</f>
        <v>-</v>
      </c>
      <c r="O252" s="36" t="str">
        <f>IFERROR(INDEX(Katalog!$D$3:$D$12,MATCH(Data[[#This Row],[ItemID B]],Katalog!$C$3:$C$12,0))*Data[[#This Row],[Qty B]],"0")</f>
        <v>0</v>
      </c>
      <c r="P252" s="36" t="str">
        <f>IFERROR(INDEX(Katalog!$F$3:$F$12,MATCH(Data[[#This Row],[ItemID B]],Katalog!$C$3:$C$12,0))*Data[[#This Row],[Qty B]],"0")</f>
        <v>0</v>
      </c>
      <c r="R252" t="str">
        <f>IFERROR(INDEX(Katalog!$A$3:$A$12,MATCH(Data[[#This Row],[ItemID C]],Katalog!$C$3:$C$12,0)),"-")</f>
        <v>-</v>
      </c>
      <c r="S252" t="str">
        <f>IFERROR(INDEX(Katalog!$B$3:$B$12,MATCH(Data[[#This Row],[ItemID C]],Katalog!$C$3:$C$12,0)),"-")</f>
        <v>-</v>
      </c>
      <c r="V252" s="36" t="str">
        <f>IFERROR(INDEX(Katalog!$D$3:$D$12,MATCH(Data[[#This Row],[ItemID C]],Katalog!$C$3:$C$12,0))*Data[[#This Row],[Qty C]],"0")</f>
        <v>0</v>
      </c>
      <c r="W252" s="36" t="str">
        <f>IFERROR(INDEX(Katalog!$F$3:$F$12,MATCH(Data[[#This Row],[ItemID C]],Katalog!$C$3:$C$12,0))*Data[[#This Row],[Qty C]],"0")</f>
        <v>0</v>
      </c>
      <c r="X252" s="21">
        <f>Data[[#This Row],[Qty A]]+Data[[#This Row],[Qty B]]+Data[[#This Row],[Qty C]]</f>
        <v>2</v>
      </c>
      <c r="Y252" s="22">
        <f>Data[[#This Row],[Harga Barang A]]+Data[[#This Row],[Harga Barang B]]+Data[[#This Row],[Harga Barang C]]</f>
        <v>300000</v>
      </c>
      <c r="Z252" s="35">
        <f>IFERROR(Data[[#This Row],[Total Harga]]-(Data[[#This Row],[Total Harga]]*Data[[#This Row],[Diskon]]),Data[[#This Row],[Total Harga]])</f>
        <v>270000</v>
      </c>
      <c r="AA252" s="35">
        <f>(Data[[#This Row],[Profit A]]+Data[[#This Row],[Profit B]]+Data[[#This Row],[Profit C]])</f>
        <v>120000</v>
      </c>
      <c r="AB252" s="35">
        <f>IFERROR((Data[[#This Row],[Profit non Diskon]]-(Data[[#This Row],[Profit non Diskon]]*Data[[#This Row],[Diskon]])),Data[[#This Row],[Profit non Diskon]])</f>
        <v>108000</v>
      </c>
      <c r="AC252" s="23" t="s">
        <v>31</v>
      </c>
      <c r="AD252" s="37">
        <f>IFERROR(INDEX('Kode Diskon'!$D$3:$D$9,MATCH(Data[[#This Row],[Kode diskon]],'Kode Diskon'!$C$3:$C$9,0)),"-")</f>
        <v>0.1</v>
      </c>
      <c r="AE252" s="23" t="s">
        <v>9</v>
      </c>
      <c r="AF252" s="23" t="s">
        <v>10</v>
      </c>
      <c r="AG252" s="23" t="s">
        <v>76</v>
      </c>
      <c r="AH252" s="24">
        <v>45041</v>
      </c>
      <c r="AI252" s="23" t="str">
        <f>TEXT(Data[[#This Row],[Tanggal terjual]],"dddd")</f>
        <v>Tuesday</v>
      </c>
      <c r="AJ252" s="21" t="str">
        <f>TEXT(Data[[#This Row],[Tanggal terjual]],"wwww")</f>
        <v>wwww</v>
      </c>
    </row>
    <row r="253" spans="1:36" x14ac:dyDescent="0.2">
      <c r="A253" s="20">
        <v>252</v>
      </c>
      <c r="B253" s="21" t="str">
        <f>_xlfn.CONCAT("ORD-",INDEX(Helper!$B$2:$B$5,MATCH(Data[[#This Row],[Marketplace]],Helper!$A$2:$A$5,0)),TEXT(Data[[#This Row],[No]],"0000"),"-",TEXT(Data[[#This Row],[Tanggal terjual]],"dd/mm/yy"))</f>
        <v>ORD-TK0252-17/04/23</v>
      </c>
      <c r="C253" t="s">
        <v>66</v>
      </c>
      <c r="D253" t="str">
        <f>IFERROR(INDEX(Katalog!$A$3:$A$12,MATCH(Data[[#This Row],[ItemID A]],Katalog!$C$3:$C$12,0)),"-")</f>
        <v>Sepatu Pria</v>
      </c>
      <c r="E253" t="str">
        <f>IFERROR(INDEX(Katalog!$B$3:$B$12,MATCH(Data[[#This Row],[ItemID A]],Katalog!$C$3:$C$12,0)),"-")</f>
        <v>Sandal Slip On</v>
      </c>
      <c r="F253">
        <v>2</v>
      </c>
      <c r="G253">
        <v>4</v>
      </c>
      <c r="H253" s="36">
        <f>IFERROR(INDEX(Katalog!$D$3:$D$12,MATCH(Data[[#This Row],[ItemID A]],Katalog!$C$3:$C$12,0))*Data[[#This Row],[Qty A]],"0")</f>
        <v>300000</v>
      </c>
      <c r="I253" s="36">
        <f>IFERROR(INDEX(Katalog!$F$3:$F$12,MATCH(Data[[#This Row],[ItemID A]],Katalog!$C$3:$C$12,0))*Data[[#This Row],[Qty A]],0)</f>
        <v>120000</v>
      </c>
      <c r="J253" t="s">
        <v>64</v>
      </c>
      <c r="K253" t="str">
        <f>IFERROR(INDEX(Katalog!$A$3:$A$12,MATCH(Data[[#This Row],[ItemID B]],Katalog!$C$3:$C$12,0)),"-")</f>
        <v>Pakaian Unisex</v>
      </c>
      <c r="L253" t="str">
        <f>IFERROR(INDEX(Katalog!$B$3:$B$12,MATCH(Data[[#This Row],[ItemID B]],Katalog!$C$3:$C$12,0)),"-")</f>
        <v>Jaket Hoodie</v>
      </c>
      <c r="M253">
        <v>3</v>
      </c>
      <c r="N253">
        <v>2</v>
      </c>
      <c r="O253" s="36">
        <f>IFERROR(INDEX(Katalog!$D$3:$D$12,MATCH(Data[[#This Row],[ItemID B]],Katalog!$C$3:$C$12,0))*Data[[#This Row],[Qty B]],"0")</f>
        <v>1050000</v>
      </c>
      <c r="P253" s="36">
        <f>IFERROR(INDEX(Katalog!$F$3:$F$12,MATCH(Data[[#This Row],[ItemID B]],Katalog!$C$3:$C$12,0))*Data[[#This Row],[Qty B]],"0")</f>
        <v>390000</v>
      </c>
      <c r="Q253" t="s">
        <v>66</v>
      </c>
      <c r="R253" t="str">
        <f>IFERROR(INDEX(Katalog!$A$3:$A$12,MATCH(Data[[#This Row],[ItemID C]],Katalog!$C$3:$C$12,0)),"-")</f>
        <v>Sepatu Pria</v>
      </c>
      <c r="S253" t="str">
        <f>IFERROR(INDEX(Katalog!$B$3:$B$12,MATCH(Data[[#This Row],[ItemID C]],Katalog!$C$3:$C$12,0)),"-")</f>
        <v>Sandal Slip On</v>
      </c>
      <c r="T253">
        <v>2</v>
      </c>
      <c r="U253">
        <v>1</v>
      </c>
      <c r="V253" s="36">
        <f>IFERROR(INDEX(Katalog!$D$3:$D$12,MATCH(Data[[#This Row],[ItemID C]],Katalog!$C$3:$C$12,0))*Data[[#This Row],[Qty C]],"0")</f>
        <v>300000</v>
      </c>
      <c r="W253" s="36">
        <f>IFERROR(INDEX(Katalog!$F$3:$F$12,MATCH(Data[[#This Row],[ItemID C]],Katalog!$C$3:$C$12,0))*Data[[#This Row],[Qty C]],"0")</f>
        <v>120000</v>
      </c>
      <c r="X253" s="21">
        <f>Data[[#This Row],[Qty A]]+Data[[#This Row],[Qty B]]+Data[[#This Row],[Qty C]]</f>
        <v>7</v>
      </c>
      <c r="Y253" s="22">
        <f>Data[[#This Row],[Harga Barang A]]+Data[[#This Row],[Harga Barang B]]+Data[[#This Row],[Harga Barang C]]</f>
        <v>1650000</v>
      </c>
      <c r="Z253" s="35">
        <f>IFERROR(Data[[#This Row],[Total Harga]]-(Data[[#This Row],[Total Harga]]*Data[[#This Row],[Diskon]]),Data[[#This Row],[Total Harga]])</f>
        <v>1485000</v>
      </c>
      <c r="AA253" s="35">
        <f>(Data[[#This Row],[Profit A]]+Data[[#This Row],[Profit B]]+Data[[#This Row],[Profit C]])</f>
        <v>630000</v>
      </c>
      <c r="AB253" s="35">
        <f>IFERROR((Data[[#This Row],[Profit non Diskon]]-(Data[[#This Row],[Profit non Diskon]]*Data[[#This Row],[Diskon]])),Data[[#This Row],[Profit non Diskon]])</f>
        <v>567000</v>
      </c>
      <c r="AC253" s="23" t="s">
        <v>31</v>
      </c>
      <c r="AD253" s="37">
        <f>IFERROR(INDEX('Kode Diskon'!$D$3:$D$9,MATCH(Data[[#This Row],[Kode diskon]],'Kode Diskon'!$C$3:$C$9,0)),"-")</f>
        <v>0.1</v>
      </c>
      <c r="AE253" s="23" t="s">
        <v>9</v>
      </c>
      <c r="AF253" s="23" t="s">
        <v>10</v>
      </c>
      <c r="AG253" s="23" t="s">
        <v>80</v>
      </c>
      <c r="AH253" s="24">
        <v>45033</v>
      </c>
      <c r="AI253" s="23" t="str">
        <f>TEXT(Data[[#This Row],[Tanggal terjual]],"dddd")</f>
        <v>Monday</v>
      </c>
      <c r="AJ253" s="21" t="str">
        <f>TEXT(Data[[#This Row],[Tanggal terjual]],"wwww")</f>
        <v>wwww</v>
      </c>
    </row>
    <row r="254" spans="1:36" x14ac:dyDescent="0.2">
      <c r="A254" s="20">
        <v>253</v>
      </c>
      <c r="B254" s="21" t="str">
        <f>_xlfn.CONCAT("ORD-",INDEX(Helper!$B$2:$B$5,MATCH(Data[[#This Row],[Marketplace]],Helper!$A$2:$A$5,0)),TEXT(Data[[#This Row],[No]],"0000"),"-",TEXT(Data[[#This Row],[Tanggal terjual]],"dd/mm/yy"))</f>
        <v>ORD-TK0253-24/04/23</v>
      </c>
      <c r="C254" t="s">
        <v>65</v>
      </c>
      <c r="D254" t="str">
        <f>IFERROR(INDEX(Katalog!$A$3:$A$12,MATCH(Data[[#This Row],[ItemID A]],Katalog!$C$3:$C$12,0)),"-")</f>
        <v>Sepatu Pria</v>
      </c>
      <c r="E254" t="str">
        <f>IFERROR(INDEX(Katalog!$B$3:$B$12,MATCH(Data[[#This Row],[ItemID A]],Katalog!$C$3:$C$12,0)),"-")</f>
        <v>Sneakers</v>
      </c>
      <c r="F254">
        <v>4</v>
      </c>
      <c r="G254">
        <v>1</v>
      </c>
      <c r="H254" s="36">
        <f>IFERROR(INDEX(Katalog!$D$3:$D$12,MATCH(Data[[#This Row],[ItemID A]],Katalog!$C$3:$C$12,0))*Data[[#This Row],[Qty A]],"0")</f>
        <v>2000000</v>
      </c>
      <c r="I254" s="36">
        <f>IFERROR(INDEX(Katalog!$F$3:$F$12,MATCH(Data[[#This Row],[ItemID A]],Katalog!$C$3:$C$12,0))*Data[[#This Row],[Qty A]],0)</f>
        <v>800000</v>
      </c>
      <c r="J254" t="s">
        <v>66</v>
      </c>
      <c r="K254" t="str">
        <f>IFERROR(INDEX(Katalog!$A$3:$A$12,MATCH(Data[[#This Row],[ItemID B]],Katalog!$C$3:$C$12,0)),"-")</f>
        <v>Sepatu Pria</v>
      </c>
      <c r="L254" t="str">
        <f>IFERROR(INDEX(Katalog!$B$3:$B$12,MATCH(Data[[#This Row],[ItemID B]],Katalog!$C$3:$C$12,0)),"-")</f>
        <v>Sandal Slip On</v>
      </c>
      <c r="M254">
        <v>2</v>
      </c>
      <c r="N254">
        <v>5</v>
      </c>
      <c r="O254" s="36">
        <f>IFERROR(INDEX(Katalog!$D$3:$D$12,MATCH(Data[[#This Row],[ItemID B]],Katalog!$C$3:$C$12,0))*Data[[#This Row],[Qty B]],"0")</f>
        <v>300000</v>
      </c>
      <c r="P254" s="36">
        <f>IFERROR(INDEX(Katalog!$F$3:$F$12,MATCH(Data[[#This Row],[ItemID B]],Katalog!$C$3:$C$12,0))*Data[[#This Row],[Qty B]],"0")</f>
        <v>120000</v>
      </c>
      <c r="R254" t="str">
        <f>IFERROR(INDEX(Katalog!$A$3:$A$12,MATCH(Data[[#This Row],[ItemID C]],Katalog!$C$3:$C$12,0)),"-")</f>
        <v>-</v>
      </c>
      <c r="S254" t="str">
        <f>IFERROR(INDEX(Katalog!$B$3:$B$12,MATCH(Data[[#This Row],[ItemID C]],Katalog!$C$3:$C$12,0)),"-")</f>
        <v>-</v>
      </c>
      <c r="V254" s="36" t="str">
        <f>IFERROR(INDEX(Katalog!$D$3:$D$12,MATCH(Data[[#This Row],[ItemID C]],Katalog!$C$3:$C$12,0))*Data[[#This Row],[Qty C]],"0")</f>
        <v>0</v>
      </c>
      <c r="W254" s="36" t="str">
        <f>IFERROR(INDEX(Katalog!$F$3:$F$12,MATCH(Data[[#This Row],[ItemID C]],Katalog!$C$3:$C$12,0))*Data[[#This Row],[Qty C]],"0")</f>
        <v>0</v>
      </c>
      <c r="X254" s="21">
        <f>Data[[#This Row],[Qty A]]+Data[[#This Row],[Qty B]]+Data[[#This Row],[Qty C]]</f>
        <v>6</v>
      </c>
      <c r="Y254" s="22">
        <f>Data[[#This Row],[Harga Barang A]]+Data[[#This Row],[Harga Barang B]]+Data[[#This Row],[Harga Barang C]]</f>
        <v>2300000</v>
      </c>
      <c r="Z254" s="35">
        <f>IFERROR(Data[[#This Row],[Total Harga]]-(Data[[#This Row],[Total Harga]]*Data[[#This Row],[Diskon]]),Data[[#This Row],[Total Harga]])</f>
        <v>2070000</v>
      </c>
      <c r="AA254" s="35">
        <f>(Data[[#This Row],[Profit A]]+Data[[#This Row],[Profit B]]+Data[[#This Row],[Profit C]])</f>
        <v>920000</v>
      </c>
      <c r="AB254" s="35">
        <f>IFERROR((Data[[#This Row],[Profit non Diskon]]-(Data[[#This Row],[Profit non Diskon]]*Data[[#This Row],[Diskon]])),Data[[#This Row],[Profit non Diskon]])</f>
        <v>828000</v>
      </c>
      <c r="AC254" s="23" t="s">
        <v>31</v>
      </c>
      <c r="AD254" s="37">
        <f>IFERROR(INDEX('Kode Diskon'!$D$3:$D$9,MATCH(Data[[#This Row],[Kode diskon]],'Kode Diskon'!$C$3:$C$9,0)),"-")</f>
        <v>0.1</v>
      </c>
      <c r="AE254" s="23" t="s">
        <v>9</v>
      </c>
      <c r="AF254" s="23" t="s">
        <v>10</v>
      </c>
      <c r="AG254" s="23" t="s">
        <v>76</v>
      </c>
      <c r="AH254" s="24">
        <v>45040</v>
      </c>
      <c r="AI254" s="23" t="str">
        <f>TEXT(Data[[#This Row],[Tanggal terjual]],"dddd")</f>
        <v>Monday</v>
      </c>
      <c r="AJ254" s="21" t="str">
        <f>TEXT(Data[[#This Row],[Tanggal terjual]],"wwww")</f>
        <v>wwww</v>
      </c>
    </row>
    <row r="255" spans="1:36" x14ac:dyDescent="0.2">
      <c r="A255" s="20">
        <v>254</v>
      </c>
      <c r="B255" s="21" t="str">
        <f>_xlfn.CONCAT("ORD-",INDEX(Helper!$B$2:$B$5,MATCH(Data[[#This Row],[Marketplace]],Helper!$A$2:$A$5,0)),TEXT(Data[[#This Row],[No]],"0000"),"-",TEXT(Data[[#This Row],[Tanggal terjual]],"dd/mm/yy"))</f>
        <v>ORD-SP0254-02/04/23</v>
      </c>
      <c r="C255" t="s">
        <v>61</v>
      </c>
      <c r="D255" t="str">
        <f>IFERROR(INDEX(Katalog!$A$3:$A$12,MATCH(Data[[#This Row],[ItemID A]],Katalog!$C$3:$C$12,0)),"-")</f>
        <v>Pakaian Pria</v>
      </c>
      <c r="E255" t="str">
        <f>IFERROR(INDEX(Katalog!$B$3:$B$12,MATCH(Data[[#This Row],[ItemID A]],Katalog!$C$3:$C$12,0)),"-")</f>
        <v>Kaos Polo</v>
      </c>
      <c r="F255">
        <v>6</v>
      </c>
      <c r="G255">
        <v>4</v>
      </c>
      <c r="H255" s="36">
        <f>IFERROR(INDEX(Katalog!$D$3:$D$12,MATCH(Data[[#This Row],[ItemID A]],Katalog!$C$3:$C$12,0))*Data[[#This Row],[Qty A]],"0")</f>
        <v>1200000</v>
      </c>
      <c r="I255" s="36">
        <f>IFERROR(INDEX(Katalog!$F$3:$F$12,MATCH(Data[[#This Row],[ItemID A]],Katalog!$C$3:$C$12,0))*Data[[#This Row],[Qty A]],0)</f>
        <v>480000</v>
      </c>
      <c r="K255" t="str">
        <f>IFERROR(INDEX(Katalog!$A$3:$A$12,MATCH(Data[[#This Row],[ItemID B]],Katalog!$C$3:$C$12,0)),"-")</f>
        <v>-</v>
      </c>
      <c r="L255" t="str">
        <f>IFERROR(INDEX(Katalog!$B$3:$B$12,MATCH(Data[[#This Row],[ItemID B]],Katalog!$C$3:$C$12,0)),"-")</f>
        <v>-</v>
      </c>
      <c r="O255" s="36" t="str">
        <f>IFERROR(INDEX(Katalog!$D$3:$D$12,MATCH(Data[[#This Row],[ItemID B]],Katalog!$C$3:$C$12,0))*Data[[#This Row],[Qty B]],"0")</f>
        <v>0</v>
      </c>
      <c r="P255" s="36" t="str">
        <f>IFERROR(INDEX(Katalog!$F$3:$F$12,MATCH(Data[[#This Row],[ItemID B]],Katalog!$C$3:$C$12,0))*Data[[#This Row],[Qty B]],"0")</f>
        <v>0</v>
      </c>
      <c r="R255" t="str">
        <f>IFERROR(INDEX(Katalog!$A$3:$A$12,MATCH(Data[[#This Row],[ItemID C]],Katalog!$C$3:$C$12,0)),"-")</f>
        <v>-</v>
      </c>
      <c r="S255" t="str">
        <f>IFERROR(INDEX(Katalog!$B$3:$B$12,MATCH(Data[[#This Row],[ItemID C]],Katalog!$C$3:$C$12,0)),"-")</f>
        <v>-</v>
      </c>
      <c r="V255" s="36" t="str">
        <f>IFERROR(INDEX(Katalog!$D$3:$D$12,MATCH(Data[[#This Row],[ItemID C]],Katalog!$C$3:$C$12,0))*Data[[#This Row],[Qty C]],"0")</f>
        <v>0</v>
      </c>
      <c r="W255" s="36" t="str">
        <f>IFERROR(INDEX(Katalog!$F$3:$F$12,MATCH(Data[[#This Row],[ItemID C]],Katalog!$C$3:$C$12,0))*Data[[#This Row],[Qty C]],"0")</f>
        <v>0</v>
      </c>
      <c r="X255" s="21">
        <f>Data[[#This Row],[Qty A]]+Data[[#This Row],[Qty B]]+Data[[#This Row],[Qty C]]</f>
        <v>6</v>
      </c>
      <c r="Y255" s="22">
        <f>Data[[#This Row],[Harga Barang A]]+Data[[#This Row],[Harga Barang B]]+Data[[#This Row],[Harga Barang C]]</f>
        <v>1200000</v>
      </c>
      <c r="Z255" s="35">
        <f>IFERROR(Data[[#This Row],[Total Harga]]-(Data[[#This Row],[Total Harga]]*Data[[#This Row],[Diskon]]),Data[[#This Row],[Total Harga]])</f>
        <v>1080000</v>
      </c>
      <c r="AA255" s="35">
        <f>(Data[[#This Row],[Profit A]]+Data[[#This Row],[Profit B]]+Data[[#This Row],[Profit C]])</f>
        <v>480000</v>
      </c>
      <c r="AB255" s="35">
        <f>IFERROR((Data[[#This Row],[Profit non Diskon]]-(Data[[#This Row],[Profit non Diskon]]*Data[[#This Row],[Diskon]])),Data[[#This Row],[Profit non Diskon]])</f>
        <v>432000</v>
      </c>
      <c r="AC255" s="23" t="s">
        <v>6</v>
      </c>
      <c r="AD255" s="37">
        <f>IFERROR(INDEX('Kode Diskon'!$D$3:$D$9,MATCH(Data[[#This Row],[Kode diskon]],'Kode Diskon'!$C$3:$C$9,0)),"-")</f>
        <v>0.1</v>
      </c>
      <c r="AE255" s="23" t="s">
        <v>29</v>
      </c>
      <c r="AF255" s="23" t="s">
        <v>7</v>
      </c>
      <c r="AG255" s="23" t="s">
        <v>78</v>
      </c>
      <c r="AH255" s="24">
        <v>45018</v>
      </c>
      <c r="AI255" s="23" t="str">
        <f>TEXT(Data[[#This Row],[Tanggal terjual]],"dddd")</f>
        <v>Sunday</v>
      </c>
      <c r="AJ255" s="21" t="str">
        <f>TEXT(Data[[#This Row],[Tanggal terjual]],"wwww")</f>
        <v>wwww</v>
      </c>
    </row>
    <row r="256" spans="1:36" x14ac:dyDescent="0.2">
      <c r="A256" s="20">
        <v>255</v>
      </c>
      <c r="B256" s="21" t="str">
        <f>_xlfn.CONCAT("ORD-",INDEX(Helper!$B$2:$B$5,MATCH(Data[[#This Row],[Marketplace]],Helper!$A$2:$A$5,0)),TEXT(Data[[#This Row],[No]],"0000"),"-",TEXT(Data[[#This Row],[Tanggal terjual]],"dd/mm/yy"))</f>
        <v>ORD-TK0255-21/04/23</v>
      </c>
      <c r="C256" t="s">
        <v>67</v>
      </c>
      <c r="D256" t="str">
        <f>IFERROR(INDEX(Katalog!$A$3:$A$12,MATCH(Data[[#This Row],[ItemID A]],Katalog!$C$3:$C$12,0)),"-")</f>
        <v>Sepatu Wanita</v>
      </c>
      <c r="E256" t="str">
        <f>IFERROR(INDEX(Katalog!$B$3:$B$12,MATCH(Data[[#This Row],[ItemID A]],Katalog!$C$3:$C$12,0)),"-")</f>
        <v>Flat Shoes</v>
      </c>
      <c r="F256">
        <v>3</v>
      </c>
      <c r="G256">
        <v>3</v>
      </c>
      <c r="H256" s="36">
        <f>IFERROR(INDEX(Katalog!$D$3:$D$12,MATCH(Data[[#This Row],[ItemID A]],Katalog!$C$3:$C$12,0))*Data[[#This Row],[Qty A]],"0")</f>
        <v>750000</v>
      </c>
      <c r="I256" s="36">
        <f>IFERROR(INDEX(Katalog!$F$3:$F$12,MATCH(Data[[#This Row],[ItemID A]],Katalog!$C$3:$C$12,0))*Data[[#This Row],[Qty A]],0)</f>
        <v>300000</v>
      </c>
      <c r="J256" t="s">
        <v>66</v>
      </c>
      <c r="K256" t="str">
        <f>IFERROR(INDEX(Katalog!$A$3:$A$12,MATCH(Data[[#This Row],[ItemID B]],Katalog!$C$3:$C$12,0)),"-")</f>
        <v>Sepatu Pria</v>
      </c>
      <c r="L256" t="str">
        <f>IFERROR(INDEX(Katalog!$B$3:$B$12,MATCH(Data[[#This Row],[ItemID B]],Katalog!$C$3:$C$12,0)),"-")</f>
        <v>Sandal Slip On</v>
      </c>
      <c r="M256">
        <v>1</v>
      </c>
      <c r="N256">
        <v>3</v>
      </c>
      <c r="O256" s="36">
        <f>IFERROR(INDEX(Katalog!$D$3:$D$12,MATCH(Data[[#This Row],[ItemID B]],Katalog!$C$3:$C$12,0))*Data[[#This Row],[Qty B]],"0")</f>
        <v>150000</v>
      </c>
      <c r="P256" s="36">
        <f>IFERROR(INDEX(Katalog!$F$3:$F$12,MATCH(Data[[#This Row],[ItemID B]],Katalog!$C$3:$C$12,0))*Data[[#This Row],[Qty B]],"0")</f>
        <v>60000</v>
      </c>
      <c r="Q256" t="s">
        <v>64</v>
      </c>
      <c r="R256" t="str">
        <f>IFERROR(INDEX(Katalog!$A$3:$A$12,MATCH(Data[[#This Row],[ItemID C]],Katalog!$C$3:$C$12,0)),"-")</f>
        <v>Pakaian Unisex</v>
      </c>
      <c r="S256" t="str">
        <f>IFERROR(INDEX(Katalog!$B$3:$B$12,MATCH(Data[[#This Row],[ItemID C]],Katalog!$C$3:$C$12,0)),"-")</f>
        <v>Jaket Hoodie</v>
      </c>
      <c r="T256">
        <v>1</v>
      </c>
      <c r="U256">
        <v>2</v>
      </c>
      <c r="V256" s="36">
        <f>IFERROR(INDEX(Katalog!$D$3:$D$12,MATCH(Data[[#This Row],[ItemID C]],Katalog!$C$3:$C$12,0))*Data[[#This Row],[Qty C]],"0")</f>
        <v>350000</v>
      </c>
      <c r="W256" s="36">
        <f>IFERROR(INDEX(Katalog!$F$3:$F$12,MATCH(Data[[#This Row],[ItemID C]],Katalog!$C$3:$C$12,0))*Data[[#This Row],[Qty C]],"0")</f>
        <v>130000</v>
      </c>
      <c r="X256" s="21">
        <f>Data[[#This Row],[Qty A]]+Data[[#This Row],[Qty B]]+Data[[#This Row],[Qty C]]</f>
        <v>5</v>
      </c>
      <c r="Y256" s="22">
        <f>Data[[#This Row],[Harga Barang A]]+Data[[#This Row],[Harga Barang B]]+Data[[#This Row],[Harga Barang C]]</f>
        <v>1250000</v>
      </c>
      <c r="Z256" s="35">
        <f>IFERROR(Data[[#This Row],[Total Harga]]-(Data[[#This Row],[Total Harga]]*Data[[#This Row],[Diskon]]),Data[[#This Row],[Total Harga]])</f>
        <v>1125000</v>
      </c>
      <c r="AA256" s="35">
        <f>(Data[[#This Row],[Profit A]]+Data[[#This Row],[Profit B]]+Data[[#This Row],[Profit C]])</f>
        <v>490000</v>
      </c>
      <c r="AB256" s="35">
        <f>IFERROR((Data[[#This Row],[Profit non Diskon]]-(Data[[#This Row],[Profit non Diskon]]*Data[[#This Row],[Diskon]])),Data[[#This Row],[Profit non Diskon]])</f>
        <v>441000</v>
      </c>
      <c r="AC256" s="23" t="s">
        <v>31</v>
      </c>
      <c r="AD256" s="37">
        <f>IFERROR(INDEX('Kode Diskon'!$D$3:$D$9,MATCH(Data[[#This Row],[Kode diskon]],'Kode Diskon'!$C$3:$C$9,0)),"-")</f>
        <v>0.1</v>
      </c>
      <c r="AE256" s="23" t="s">
        <v>9</v>
      </c>
      <c r="AF256" s="23" t="s">
        <v>10</v>
      </c>
      <c r="AG256" s="23" t="s">
        <v>75</v>
      </c>
      <c r="AH256" s="24">
        <v>45037</v>
      </c>
      <c r="AI256" s="23" t="str">
        <f>TEXT(Data[[#This Row],[Tanggal terjual]],"dddd")</f>
        <v>Friday</v>
      </c>
      <c r="AJ256" s="21" t="str">
        <f>TEXT(Data[[#This Row],[Tanggal terjual]],"wwww")</f>
        <v>wwww</v>
      </c>
    </row>
    <row r="257" spans="1:36" x14ac:dyDescent="0.2">
      <c r="A257" s="20">
        <v>256</v>
      </c>
      <c r="B257" s="21" t="str">
        <f>_xlfn.CONCAT("ORD-",INDEX(Helper!$B$2:$B$5,MATCH(Data[[#This Row],[Marketplace]],Helper!$A$2:$A$5,0)),TEXT(Data[[#This Row],[No]],"0000"),"-",TEXT(Data[[#This Row],[Tanggal terjual]],"dd/mm/yy"))</f>
        <v>ORD-SP0256-01/04/23</v>
      </c>
      <c r="C257" t="s">
        <v>64</v>
      </c>
      <c r="D257" t="str">
        <f>IFERROR(INDEX(Katalog!$A$3:$A$12,MATCH(Data[[#This Row],[ItemID A]],Katalog!$C$3:$C$12,0)),"-")</f>
        <v>Pakaian Unisex</v>
      </c>
      <c r="E257" t="str">
        <f>IFERROR(INDEX(Katalog!$B$3:$B$12,MATCH(Data[[#This Row],[ItemID A]],Katalog!$C$3:$C$12,0)),"-")</f>
        <v>Jaket Hoodie</v>
      </c>
      <c r="F257">
        <v>3</v>
      </c>
      <c r="G257">
        <v>4</v>
      </c>
      <c r="H257" s="36">
        <f>IFERROR(INDEX(Katalog!$D$3:$D$12,MATCH(Data[[#This Row],[ItemID A]],Katalog!$C$3:$C$12,0))*Data[[#This Row],[Qty A]],"0")</f>
        <v>1050000</v>
      </c>
      <c r="I257" s="36">
        <f>IFERROR(INDEX(Katalog!$F$3:$F$12,MATCH(Data[[#This Row],[ItemID A]],Katalog!$C$3:$C$12,0))*Data[[#This Row],[Qty A]],0)</f>
        <v>390000</v>
      </c>
      <c r="J257" t="s">
        <v>66</v>
      </c>
      <c r="K257" t="str">
        <f>IFERROR(INDEX(Katalog!$A$3:$A$12,MATCH(Data[[#This Row],[ItemID B]],Katalog!$C$3:$C$12,0)),"-")</f>
        <v>Sepatu Pria</v>
      </c>
      <c r="L257" t="str">
        <f>IFERROR(INDEX(Katalog!$B$3:$B$12,MATCH(Data[[#This Row],[ItemID B]],Katalog!$C$3:$C$12,0)),"-")</f>
        <v>Sandal Slip On</v>
      </c>
      <c r="M257">
        <v>1</v>
      </c>
      <c r="N257">
        <v>5</v>
      </c>
      <c r="O257" s="36">
        <f>IFERROR(INDEX(Katalog!$D$3:$D$12,MATCH(Data[[#This Row],[ItemID B]],Katalog!$C$3:$C$12,0))*Data[[#This Row],[Qty B]],"0")</f>
        <v>150000</v>
      </c>
      <c r="P257" s="36">
        <f>IFERROR(INDEX(Katalog!$F$3:$F$12,MATCH(Data[[#This Row],[ItemID B]],Katalog!$C$3:$C$12,0))*Data[[#This Row],[Qty B]],"0")</f>
        <v>60000</v>
      </c>
      <c r="Q257" t="s">
        <v>66</v>
      </c>
      <c r="R257" t="str">
        <f>IFERROR(INDEX(Katalog!$A$3:$A$12,MATCH(Data[[#This Row],[ItemID C]],Katalog!$C$3:$C$12,0)),"-")</f>
        <v>Sepatu Pria</v>
      </c>
      <c r="S257" t="str">
        <f>IFERROR(INDEX(Katalog!$B$3:$B$12,MATCH(Data[[#This Row],[ItemID C]],Katalog!$C$3:$C$12,0)),"-")</f>
        <v>Sandal Slip On</v>
      </c>
      <c r="T257">
        <v>1</v>
      </c>
      <c r="U257">
        <v>2</v>
      </c>
      <c r="V257" s="36">
        <f>IFERROR(INDEX(Katalog!$D$3:$D$12,MATCH(Data[[#This Row],[ItemID C]],Katalog!$C$3:$C$12,0))*Data[[#This Row],[Qty C]],"0")</f>
        <v>150000</v>
      </c>
      <c r="W257" s="36">
        <f>IFERROR(INDEX(Katalog!$F$3:$F$12,MATCH(Data[[#This Row],[ItemID C]],Katalog!$C$3:$C$12,0))*Data[[#This Row],[Qty C]],"0")</f>
        <v>60000</v>
      </c>
      <c r="X257" s="21">
        <f>Data[[#This Row],[Qty A]]+Data[[#This Row],[Qty B]]+Data[[#This Row],[Qty C]]</f>
        <v>5</v>
      </c>
      <c r="Y257" s="22">
        <f>Data[[#This Row],[Harga Barang A]]+Data[[#This Row],[Harga Barang B]]+Data[[#This Row],[Harga Barang C]]</f>
        <v>1350000</v>
      </c>
      <c r="Z257" s="35">
        <f>IFERROR(Data[[#This Row],[Total Harga]]-(Data[[#This Row],[Total Harga]]*Data[[#This Row],[Diskon]]),Data[[#This Row],[Total Harga]])</f>
        <v>1215000</v>
      </c>
      <c r="AA257" s="35">
        <f>(Data[[#This Row],[Profit A]]+Data[[#This Row],[Profit B]]+Data[[#This Row],[Profit C]])</f>
        <v>510000</v>
      </c>
      <c r="AB257" s="35">
        <f>IFERROR((Data[[#This Row],[Profit non Diskon]]-(Data[[#This Row],[Profit non Diskon]]*Data[[#This Row],[Diskon]])),Data[[#This Row],[Profit non Diskon]])</f>
        <v>459000</v>
      </c>
      <c r="AC257" s="23" t="s">
        <v>6</v>
      </c>
      <c r="AD257" s="37">
        <f>IFERROR(INDEX('Kode Diskon'!$D$3:$D$9,MATCH(Data[[#This Row],[Kode diskon]],'Kode Diskon'!$C$3:$C$9,0)),"-")</f>
        <v>0.1</v>
      </c>
      <c r="AE257" s="23" t="s">
        <v>29</v>
      </c>
      <c r="AF257" s="23" t="s">
        <v>7</v>
      </c>
      <c r="AG257" s="23" t="s">
        <v>77</v>
      </c>
      <c r="AH257" s="24">
        <v>45017</v>
      </c>
      <c r="AI257" s="23" t="str">
        <f>TEXT(Data[[#This Row],[Tanggal terjual]],"dddd")</f>
        <v>Saturday</v>
      </c>
      <c r="AJ257" s="21" t="str">
        <f>TEXT(Data[[#This Row],[Tanggal terjual]],"wwww")</f>
        <v>wwww</v>
      </c>
    </row>
    <row r="258" spans="1:36" x14ac:dyDescent="0.2">
      <c r="A258" s="20">
        <v>257</v>
      </c>
      <c r="B258" s="21" t="str">
        <f>_xlfn.CONCAT("ORD-",INDEX(Helper!$B$2:$B$5,MATCH(Data[[#This Row],[Marketplace]],Helper!$A$2:$A$5,0)),TEXT(Data[[#This Row],[No]],"0000"),"-",TEXT(Data[[#This Row],[Tanggal terjual]],"dd/mm/yy"))</f>
        <v>ORD-BB0257-01/04/23</v>
      </c>
      <c r="C258" t="s">
        <v>65</v>
      </c>
      <c r="D258" t="str">
        <f>IFERROR(INDEX(Katalog!$A$3:$A$12,MATCH(Data[[#This Row],[ItemID A]],Katalog!$C$3:$C$12,0)),"-")</f>
        <v>Sepatu Pria</v>
      </c>
      <c r="E258" t="str">
        <f>IFERROR(INDEX(Katalog!$B$3:$B$12,MATCH(Data[[#This Row],[ItemID A]],Katalog!$C$3:$C$12,0)),"-")</f>
        <v>Sneakers</v>
      </c>
      <c r="F258">
        <v>3</v>
      </c>
      <c r="G258">
        <v>3</v>
      </c>
      <c r="H258" s="36">
        <f>IFERROR(INDEX(Katalog!$D$3:$D$12,MATCH(Data[[#This Row],[ItemID A]],Katalog!$C$3:$C$12,0))*Data[[#This Row],[Qty A]],"0")</f>
        <v>1500000</v>
      </c>
      <c r="I258" s="36">
        <f>IFERROR(INDEX(Katalog!$F$3:$F$12,MATCH(Data[[#This Row],[ItemID A]],Katalog!$C$3:$C$12,0))*Data[[#This Row],[Qty A]],0)</f>
        <v>600000</v>
      </c>
      <c r="K258" t="str">
        <f>IFERROR(INDEX(Katalog!$A$3:$A$12,MATCH(Data[[#This Row],[ItemID B]],Katalog!$C$3:$C$12,0)),"-")</f>
        <v>-</v>
      </c>
      <c r="L258" t="str">
        <f>IFERROR(INDEX(Katalog!$B$3:$B$12,MATCH(Data[[#This Row],[ItemID B]],Katalog!$C$3:$C$12,0)),"-")</f>
        <v>-</v>
      </c>
      <c r="O258" s="36" t="str">
        <f>IFERROR(INDEX(Katalog!$D$3:$D$12,MATCH(Data[[#This Row],[ItemID B]],Katalog!$C$3:$C$12,0))*Data[[#This Row],[Qty B]],"0")</f>
        <v>0</v>
      </c>
      <c r="P258" s="36" t="str">
        <f>IFERROR(INDEX(Katalog!$F$3:$F$12,MATCH(Data[[#This Row],[ItemID B]],Katalog!$C$3:$C$12,0))*Data[[#This Row],[Qty B]],"0")</f>
        <v>0</v>
      </c>
      <c r="R258" t="str">
        <f>IFERROR(INDEX(Katalog!$A$3:$A$12,MATCH(Data[[#This Row],[ItemID C]],Katalog!$C$3:$C$12,0)),"-")</f>
        <v>-</v>
      </c>
      <c r="S258" t="str">
        <f>IFERROR(INDEX(Katalog!$B$3:$B$12,MATCH(Data[[#This Row],[ItemID C]],Katalog!$C$3:$C$12,0)),"-")</f>
        <v>-</v>
      </c>
      <c r="V258" s="36" t="str">
        <f>IFERROR(INDEX(Katalog!$D$3:$D$12,MATCH(Data[[#This Row],[ItemID C]],Katalog!$C$3:$C$12,0))*Data[[#This Row],[Qty C]],"0")</f>
        <v>0</v>
      </c>
      <c r="W258" s="36" t="str">
        <f>IFERROR(INDEX(Katalog!$F$3:$F$12,MATCH(Data[[#This Row],[ItemID C]],Katalog!$C$3:$C$12,0))*Data[[#This Row],[Qty C]],"0")</f>
        <v>0</v>
      </c>
      <c r="X258" s="21">
        <f>Data[[#This Row],[Qty A]]+Data[[#This Row],[Qty B]]+Data[[#This Row],[Qty C]]</f>
        <v>3</v>
      </c>
      <c r="Y258" s="22">
        <f>Data[[#This Row],[Harga Barang A]]+Data[[#This Row],[Harga Barang B]]+Data[[#This Row],[Harga Barang C]]</f>
        <v>1500000</v>
      </c>
      <c r="Z258" s="35">
        <f>IFERROR(Data[[#This Row],[Total Harga]]-(Data[[#This Row],[Total Harga]]*Data[[#This Row],[Diskon]]),Data[[#This Row],[Total Harga]])</f>
        <v>1275000</v>
      </c>
      <c r="AA258" s="35">
        <f>(Data[[#This Row],[Profit A]]+Data[[#This Row],[Profit B]]+Data[[#This Row],[Profit C]])</f>
        <v>600000</v>
      </c>
      <c r="AB258" s="35">
        <f>IFERROR((Data[[#This Row],[Profit non Diskon]]-(Data[[#This Row],[Profit non Diskon]]*Data[[#This Row],[Diskon]])),Data[[#This Row],[Profit non Diskon]])</f>
        <v>510000</v>
      </c>
      <c r="AC258" s="23" t="s">
        <v>28</v>
      </c>
      <c r="AD258" s="37">
        <f>IFERROR(INDEX('Kode Diskon'!$D$3:$D$9,MATCH(Data[[#This Row],[Kode diskon]],'Kode Diskon'!$C$3:$C$9,0)),"-")</f>
        <v>0.15</v>
      </c>
      <c r="AE258" s="23" t="s">
        <v>29</v>
      </c>
      <c r="AF258" s="23" t="s">
        <v>14</v>
      </c>
      <c r="AG258" s="23" t="s">
        <v>80</v>
      </c>
      <c r="AH258" s="24">
        <v>45017</v>
      </c>
      <c r="AI258" s="23" t="str">
        <f>TEXT(Data[[#This Row],[Tanggal terjual]],"dddd")</f>
        <v>Saturday</v>
      </c>
      <c r="AJ258" s="21" t="str">
        <f>TEXT(Data[[#This Row],[Tanggal terjual]],"wwww")</f>
        <v>wwww</v>
      </c>
    </row>
    <row r="259" spans="1:36" x14ac:dyDescent="0.2">
      <c r="A259" s="20">
        <v>258</v>
      </c>
      <c r="B259" s="21" t="str">
        <f>_xlfn.CONCAT("ORD-",INDEX(Helper!$B$2:$B$5,MATCH(Data[[#This Row],[Marketplace]],Helper!$A$2:$A$5,0)),TEXT(Data[[#This Row],[No]],"0000"),"-",TEXT(Data[[#This Row],[Tanggal terjual]],"dd/mm/yy"))</f>
        <v>ORD-SP0258-25/04/23</v>
      </c>
      <c r="C259" t="s">
        <v>67</v>
      </c>
      <c r="D259" t="str">
        <f>IFERROR(INDEX(Katalog!$A$3:$A$12,MATCH(Data[[#This Row],[ItemID A]],Katalog!$C$3:$C$12,0)),"-")</f>
        <v>Sepatu Wanita</v>
      </c>
      <c r="E259" t="str">
        <f>IFERROR(INDEX(Katalog!$B$3:$B$12,MATCH(Data[[#This Row],[ItemID A]],Katalog!$C$3:$C$12,0)),"-")</f>
        <v>Flat Shoes</v>
      </c>
      <c r="F259">
        <v>1</v>
      </c>
      <c r="G259">
        <v>1</v>
      </c>
      <c r="H259" s="36">
        <f>IFERROR(INDEX(Katalog!$D$3:$D$12,MATCH(Data[[#This Row],[ItemID A]],Katalog!$C$3:$C$12,0))*Data[[#This Row],[Qty A]],"0")</f>
        <v>250000</v>
      </c>
      <c r="I259" s="36">
        <f>IFERROR(INDEX(Katalog!$F$3:$F$12,MATCH(Data[[#This Row],[ItemID A]],Katalog!$C$3:$C$12,0))*Data[[#This Row],[Qty A]],0)</f>
        <v>100000</v>
      </c>
      <c r="K259" t="str">
        <f>IFERROR(INDEX(Katalog!$A$3:$A$12,MATCH(Data[[#This Row],[ItemID B]],Katalog!$C$3:$C$12,0)),"-")</f>
        <v>-</v>
      </c>
      <c r="L259" t="str">
        <f>IFERROR(INDEX(Katalog!$B$3:$B$12,MATCH(Data[[#This Row],[ItemID B]],Katalog!$C$3:$C$12,0)),"-")</f>
        <v>-</v>
      </c>
      <c r="O259" s="36" t="str">
        <f>IFERROR(INDEX(Katalog!$D$3:$D$12,MATCH(Data[[#This Row],[ItemID B]],Katalog!$C$3:$C$12,0))*Data[[#This Row],[Qty B]],"0")</f>
        <v>0</v>
      </c>
      <c r="P259" s="36" t="str">
        <f>IFERROR(INDEX(Katalog!$F$3:$F$12,MATCH(Data[[#This Row],[ItemID B]],Katalog!$C$3:$C$12,0))*Data[[#This Row],[Qty B]],"0")</f>
        <v>0</v>
      </c>
      <c r="R259" t="str">
        <f>IFERROR(INDEX(Katalog!$A$3:$A$12,MATCH(Data[[#This Row],[ItemID C]],Katalog!$C$3:$C$12,0)),"-")</f>
        <v>-</v>
      </c>
      <c r="S259" t="str">
        <f>IFERROR(INDEX(Katalog!$B$3:$B$12,MATCH(Data[[#This Row],[ItemID C]],Katalog!$C$3:$C$12,0)),"-")</f>
        <v>-</v>
      </c>
      <c r="V259" s="36" t="str">
        <f>IFERROR(INDEX(Katalog!$D$3:$D$12,MATCH(Data[[#This Row],[ItemID C]],Katalog!$C$3:$C$12,0))*Data[[#This Row],[Qty C]],"0")</f>
        <v>0</v>
      </c>
      <c r="W259" s="36" t="str">
        <f>IFERROR(INDEX(Katalog!$F$3:$F$12,MATCH(Data[[#This Row],[ItemID C]],Katalog!$C$3:$C$12,0))*Data[[#This Row],[Qty C]],"0")</f>
        <v>0</v>
      </c>
      <c r="X259" s="21">
        <f>Data[[#This Row],[Qty A]]+Data[[#This Row],[Qty B]]+Data[[#This Row],[Qty C]]</f>
        <v>1</v>
      </c>
      <c r="Y259" s="22">
        <f>Data[[#This Row],[Harga Barang A]]+Data[[#This Row],[Harga Barang B]]+Data[[#This Row],[Harga Barang C]]</f>
        <v>250000</v>
      </c>
      <c r="Z259" s="35">
        <f>IFERROR(Data[[#This Row],[Total Harga]]-(Data[[#This Row],[Total Harga]]*Data[[#This Row],[Diskon]]),Data[[#This Row],[Total Harga]])</f>
        <v>200000</v>
      </c>
      <c r="AA259" s="35">
        <f>(Data[[#This Row],[Profit A]]+Data[[#This Row],[Profit B]]+Data[[#This Row],[Profit C]])</f>
        <v>100000</v>
      </c>
      <c r="AB259" s="35">
        <f>IFERROR((Data[[#This Row],[Profit non Diskon]]-(Data[[#This Row],[Profit non Diskon]]*Data[[#This Row],[Diskon]])),Data[[#This Row],[Profit non Diskon]])</f>
        <v>80000</v>
      </c>
      <c r="AC259" s="23" t="s">
        <v>8</v>
      </c>
      <c r="AD259" s="37">
        <f>IFERROR(INDEX('Kode Diskon'!$D$3:$D$9,MATCH(Data[[#This Row],[Kode diskon]],'Kode Diskon'!$C$3:$C$9,0)),"-")</f>
        <v>0.2</v>
      </c>
      <c r="AE259" s="23" t="s">
        <v>9</v>
      </c>
      <c r="AF259" s="23" t="s">
        <v>7</v>
      </c>
      <c r="AG259" s="23" t="s">
        <v>76</v>
      </c>
      <c r="AH259" s="24">
        <v>45041</v>
      </c>
      <c r="AI259" s="23" t="str">
        <f>TEXT(Data[[#This Row],[Tanggal terjual]],"dddd")</f>
        <v>Tuesday</v>
      </c>
      <c r="AJ259" s="21" t="str">
        <f>TEXT(Data[[#This Row],[Tanggal terjual]],"wwww")</f>
        <v>wwww</v>
      </c>
    </row>
    <row r="260" spans="1:36" x14ac:dyDescent="0.2">
      <c r="A260" s="20">
        <v>259</v>
      </c>
      <c r="B260" s="21" t="str">
        <f>_xlfn.CONCAT("ORD-",INDEX(Helper!$B$2:$B$5,MATCH(Data[[#This Row],[Marketplace]],Helper!$A$2:$A$5,0)),TEXT(Data[[#This Row],[No]],"0000"),"-",TEXT(Data[[#This Row],[Tanggal terjual]],"dd/mm/yy"))</f>
        <v>ORD-SP0259-07/04/23</v>
      </c>
      <c r="C260" t="s">
        <v>64</v>
      </c>
      <c r="D260" t="str">
        <f>IFERROR(INDEX(Katalog!$A$3:$A$12,MATCH(Data[[#This Row],[ItemID A]],Katalog!$C$3:$C$12,0)),"-")</f>
        <v>Pakaian Unisex</v>
      </c>
      <c r="E260" t="str">
        <f>IFERROR(INDEX(Katalog!$B$3:$B$12,MATCH(Data[[#This Row],[ItemID A]],Katalog!$C$3:$C$12,0)),"-")</f>
        <v>Jaket Hoodie</v>
      </c>
      <c r="F260">
        <v>2</v>
      </c>
      <c r="G260">
        <v>2</v>
      </c>
      <c r="H260" s="36">
        <f>IFERROR(INDEX(Katalog!$D$3:$D$12,MATCH(Data[[#This Row],[ItemID A]],Katalog!$C$3:$C$12,0))*Data[[#This Row],[Qty A]],"0")</f>
        <v>700000</v>
      </c>
      <c r="I260" s="36">
        <f>IFERROR(INDEX(Katalog!$F$3:$F$12,MATCH(Data[[#This Row],[ItemID A]],Katalog!$C$3:$C$12,0))*Data[[#This Row],[Qty A]],0)</f>
        <v>260000</v>
      </c>
      <c r="K260" t="str">
        <f>IFERROR(INDEX(Katalog!$A$3:$A$12,MATCH(Data[[#This Row],[ItemID B]],Katalog!$C$3:$C$12,0)),"-")</f>
        <v>-</v>
      </c>
      <c r="L260" t="str">
        <f>IFERROR(INDEX(Katalog!$B$3:$B$12,MATCH(Data[[#This Row],[ItemID B]],Katalog!$C$3:$C$12,0)),"-")</f>
        <v>-</v>
      </c>
      <c r="O260" s="36" t="str">
        <f>IFERROR(INDEX(Katalog!$D$3:$D$12,MATCH(Data[[#This Row],[ItemID B]],Katalog!$C$3:$C$12,0))*Data[[#This Row],[Qty B]],"0")</f>
        <v>0</v>
      </c>
      <c r="P260" s="36" t="str">
        <f>IFERROR(INDEX(Katalog!$F$3:$F$12,MATCH(Data[[#This Row],[ItemID B]],Katalog!$C$3:$C$12,0))*Data[[#This Row],[Qty B]],"0")</f>
        <v>0</v>
      </c>
      <c r="R260" t="str">
        <f>IFERROR(INDEX(Katalog!$A$3:$A$12,MATCH(Data[[#This Row],[ItemID C]],Katalog!$C$3:$C$12,0)),"-")</f>
        <v>-</v>
      </c>
      <c r="S260" t="str">
        <f>IFERROR(INDEX(Katalog!$B$3:$B$12,MATCH(Data[[#This Row],[ItemID C]],Katalog!$C$3:$C$12,0)),"-")</f>
        <v>-</v>
      </c>
      <c r="V260" s="36" t="str">
        <f>IFERROR(INDEX(Katalog!$D$3:$D$12,MATCH(Data[[#This Row],[ItemID C]],Katalog!$C$3:$C$12,0))*Data[[#This Row],[Qty C]],"0")</f>
        <v>0</v>
      </c>
      <c r="W260" s="36" t="str">
        <f>IFERROR(INDEX(Katalog!$F$3:$F$12,MATCH(Data[[#This Row],[ItemID C]],Katalog!$C$3:$C$12,0))*Data[[#This Row],[Qty C]],"0")</f>
        <v>0</v>
      </c>
      <c r="X260" s="21">
        <f>Data[[#This Row],[Qty A]]+Data[[#This Row],[Qty B]]+Data[[#This Row],[Qty C]]</f>
        <v>2</v>
      </c>
      <c r="Y260" s="22">
        <f>Data[[#This Row],[Harga Barang A]]+Data[[#This Row],[Harga Barang B]]+Data[[#This Row],[Harga Barang C]]</f>
        <v>700000</v>
      </c>
      <c r="Z260" s="35">
        <f>IFERROR(Data[[#This Row],[Total Harga]]-(Data[[#This Row],[Total Harga]]*Data[[#This Row],[Diskon]]),Data[[#This Row],[Total Harga]])</f>
        <v>700000</v>
      </c>
      <c r="AA260" s="35">
        <f>(Data[[#This Row],[Profit A]]+Data[[#This Row],[Profit B]]+Data[[#This Row],[Profit C]])</f>
        <v>260000</v>
      </c>
      <c r="AB260" s="35">
        <f>IFERROR((Data[[#This Row],[Profit non Diskon]]-(Data[[#This Row],[Profit non Diskon]]*Data[[#This Row],[Diskon]])),Data[[#This Row],[Profit non Diskon]])</f>
        <v>260000</v>
      </c>
      <c r="AC260" s="23" t="s">
        <v>11</v>
      </c>
      <c r="AD260" s="37" t="str">
        <f>IFERROR(INDEX('Kode Diskon'!$D$3:$D$9,MATCH(Data[[#This Row],[Kode diskon]],'Kode Diskon'!$C$3:$C$9,0)),"-")</f>
        <v>-</v>
      </c>
      <c r="AE260" s="23" t="s">
        <v>11</v>
      </c>
      <c r="AF260" s="23" t="s">
        <v>7</v>
      </c>
      <c r="AG260" s="23" t="s">
        <v>78</v>
      </c>
      <c r="AH260" s="24">
        <v>45023</v>
      </c>
      <c r="AI260" s="23" t="str">
        <f>TEXT(Data[[#This Row],[Tanggal terjual]],"dddd")</f>
        <v>Friday</v>
      </c>
      <c r="AJ260" s="21" t="str">
        <f>TEXT(Data[[#This Row],[Tanggal terjual]],"wwww")</f>
        <v>wwww</v>
      </c>
    </row>
    <row r="261" spans="1:36" x14ac:dyDescent="0.2">
      <c r="A261" s="20">
        <v>260</v>
      </c>
      <c r="B261" s="21" t="str">
        <f>_xlfn.CONCAT("ORD-",INDEX(Helper!$B$2:$B$5,MATCH(Data[[#This Row],[Marketplace]],Helper!$A$2:$A$5,0)),TEXT(Data[[#This Row],[No]],"0000"),"-",TEXT(Data[[#This Row],[Tanggal terjual]],"dd/mm/yy"))</f>
        <v>ORD-TK0260-19/04/23</v>
      </c>
      <c r="C261" t="s">
        <v>59</v>
      </c>
      <c r="D261" t="str">
        <f>IFERROR(INDEX(Katalog!$A$3:$A$12,MATCH(Data[[#This Row],[ItemID A]],Katalog!$C$3:$C$12,0)),"-")</f>
        <v>Pakaian Wanita</v>
      </c>
      <c r="E261" t="str">
        <f>IFERROR(INDEX(Katalog!$B$3:$B$12,MATCH(Data[[#This Row],[ItemID A]],Katalog!$C$3:$C$12,0)),"-")</f>
        <v>Blouse</v>
      </c>
      <c r="F261">
        <v>2</v>
      </c>
      <c r="G261">
        <v>4</v>
      </c>
      <c r="H261" s="36">
        <f>IFERROR(INDEX(Katalog!$D$3:$D$12,MATCH(Data[[#This Row],[ItemID A]],Katalog!$C$3:$C$12,0))*Data[[#This Row],[Qty A]],"0")</f>
        <v>300000</v>
      </c>
      <c r="I261" s="36">
        <f>IFERROR(INDEX(Katalog!$F$3:$F$12,MATCH(Data[[#This Row],[ItemID A]],Katalog!$C$3:$C$12,0))*Data[[#This Row],[Qty A]],0)</f>
        <v>100000</v>
      </c>
      <c r="K261" t="str">
        <f>IFERROR(INDEX(Katalog!$A$3:$A$12,MATCH(Data[[#This Row],[ItemID B]],Katalog!$C$3:$C$12,0)),"-")</f>
        <v>-</v>
      </c>
      <c r="L261" t="str">
        <f>IFERROR(INDEX(Katalog!$B$3:$B$12,MATCH(Data[[#This Row],[ItemID B]],Katalog!$C$3:$C$12,0)),"-")</f>
        <v>-</v>
      </c>
      <c r="O261" s="36" t="str">
        <f>IFERROR(INDEX(Katalog!$D$3:$D$12,MATCH(Data[[#This Row],[ItemID B]],Katalog!$C$3:$C$12,0))*Data[[#This Row],[Qty B]],"0")</f>
        <v>0</v>
      </c>
      <c r="P261" s="36" t="str">
        <f>IFERROR(INDEX(Katalog!$F$3:$F$12,MATCH(Data[[#This Row],[ItemID B]],Katalog!$C$3:$C$12,0))*Data[[#This Row],[Qty B]],"0")</f>
        <v>0</v>
      </c>
      <c r="R261" t="str">
        <f>IFERROR(INDEX(Katalog!$A$3:$A$12,MATCH(Data[[#This Row],[ItemID C]],Katalog!$C$3:$C$12,0)),"-")</f>
        <v>-</v>
      </c>
      <c r="S261" t="str">
        <f>IFERROR(INDEX(Katalog!$B$3:$B$12,MATCH(Data[[#This Row],[ItemID C]],Katalog!$C$3:$C$12,0)),"-")</f>
        <v>-</v>
      </c>
      <c r="V261" s="36" t="str">
        <f>IFERROR(INDEX(Katalog!$D$3:$D$12,MATCH(Data[[#This Row],[ItemID C]],Katalog!$C$3:$C$12,0))*Data[[#This Row],[Qty C]],"0")</f>
        <v>0</v>
      </c>
      <c r="W261" s="36" t="str">
        <f>IFERROR(INDEX(Katalog!$F$3:$F$12,MATCH(Data[[#This Row],[ItemID C]],Katalog!$C$3:$C$12,0))*Data[[#This Row],[Qty C]],"0")</f>
        <v>0</v>
      </c>
      <c r="X261" s="21">
        <f>Data[[#This Row],[Qty A]]+Data[[#This Row],[Qty B]]+Data[[#This Row],[Qty C]]</f>
        <v>2</v>
      </c>
      <c r="Y261" s="22">
        <f>Data[[#This Row],[Harga Barang A]]+Data[[#This Row],[Harga Barang B]]+Data[[#This Row],[Harga Barang C]]</f>
        <v>300000</v>
      </c>
      <c r="Z261" s="35">
        <f>IFERROR(Data[[#This Row],[Total Harga]]-(Data[[#This Row],[Total Harga]]*Data[[#This Row],[Diskon]]),Data[[#This Row],[Total Harga]])</f>
        <v>270000</v>
      </c>
      <c r="AA261" s="35">
        <f>(Data[[#This Row],[Profit A]]+Data[[#This Row],[Profit B]]+Data[[#This Row],[Profit C]])</f>
        <v>100000</v>
      </c>
      <c r="AB261" s="35">
        <f>IFERROR((Data[[#This Row],[Profit non Diskon]]-(Data[[#This Row],[Profit non Diskon]]*Data[[#This Row],[Diskon]])),Data[[#This Row],[Profit non Diskon]])</f>
        <v>90000</v>
      </c>
      <c r="AC261" s="23" t="s">
        <v>31</v>
      </c>
      <c r="AD261" s="37">
        <f>IFERROR(INDEX('Kode Diskon'!$D$3:$D$9,MATCH(Data[[#This Row],[Kode diskon]],'Kode Diskon'!$C$3:$C$9,0)),"-")</f>
        <v>0.1</v>
      </c>
      <c r="AE261" s="23" t="s">
        <v>9</v>
      </c>
      <c r="AF261" s="23" t="s">
        <v>10</v>
      </c>
      <c r="AG261" s="23" t="s">
        <v>80</v>
      </c>
      <c r="AH261" s="24">
        <v>45035</v>
      </c>
      <c r="AI261" s="23" t="str">
        <f>TEXT(Data[[#This Row],[Tanggal terjual]],"dddd")</f>
        <v>Wednesday</v>
      </c>
      <c r="AJ261" s="21" t="str">
        <f>TEXT(Data[[#This Row],[Tanggal terjual]],"wwww")</f>
        <v>wwww</v>
      </c>
    </row>
    <row r="262" spans="1:36" x14ac:dyDescent="0.2">
      <c r="A262" s="20">
        <v>261</v>
      </c>
      <c r="B262" s="21" t="str">
        <f>_xlfn.CONCAT("ORD-",INDEX(Helper!$B$2:$B$5,MATCH(Data[[#This Row],[Marketplace]],Helper!$A$2:$A$5,0)),TEXT(Data[[#This Row],[No]],"0000"),"-",TEXT(Data[[#This Row],[Tanggal terjual]],"dd/mm/yy"))</f>
        <v>ORD-SP0261-06/04/23</v>
      </c>
      <c r="C262" t="s">
        <v>59</v>
      </c>
      <c r="D262" t="str">
        <f>IFERROR(INDEX(Katalog!$A$3:$A$12,MATCH(Data[[#This Row],[ItemID A]],Katalog!$C$3:$C$12,0)),"-")</f>
        <v>Pakaian Wanita</v>
      </c>
      <c r="E262" t="str">
        <f>IFERROR(INDEX(Katalog!$B$3:$B$12,MATCH(Data[[#This Row],[ItemID A]],Katalog!$C$3:$C$12,0)),"-")</f>
        <v>Blouse</v>
      </c>
      <c r="F262">
        <v>6</v>
      </c>
      <c r="G262">
        <v>3</v>
      </c>
      <c r="H262" s="36">
        <f>IFERROR(INDEX(Katalog!$D$3:$D$12,MATCH(Data[[#This Row],[ItemID A]],Katalog!$C$3:$C$12,0))*Data[[#This Row],[Qty A]],"0")</f>
        <v>900000</v>
      </c>
      <c r="I262" s="36">
        <f>IFERROR(INDEX(Katalog!$F$3:$F$12,MATCH(Data[[#This Row],[ItemID A]],Katalog!$C$3:$C$12,0))*Data[[#This Row],[Qty A]],0)</f>
        <v>300000</v>
      </c>
      <c r="J262" t="s">
        <v>63</v>
      </c>
      <c r="K262" t="str">
        <f>IFERROR(INDEX(Katalog!$A$3:$A$12,MATCH(Data[[#This Row],[ItemID B]],Katalog!$C$3:$C$12,0)),"-")</f>
        <v>Pakaian Pria</v>
      </c>
      <c r="L262" t="str">
        <f>IFERROR(INDEX(Katalog!$B$3:$B$12,MATCH(Data[[#This Row],[ItemID B]],Katalog!$C$3:$C$12,0)),"-")</f>
        <v>Jaket Jeans</v>
      </c>
      <c r="M262">
        <v>1</v>
      </c>
      <c r="N262">
        <v>5</v>
      </c>
      <c r="O262" s="36">
        <f>IFERROR(INDEX(Katalog!$D$3:$D$12,MATCH(Data[[#This Row],[ItemID B]],Katalog!$C$3:$C$12,0))*Data[[#This Row],[Qty B]],"0")</f>
        <v>400000</v>
      </c>
      <c r="P262" s="36">
        <f>IFERROR(INDEX(Katalog!$F$3:$F$12,MATCH(Data[[#This Row],[ItemID B]],Katalog!$C$3:$C$12,0))*Data[[#This Row],[Qty B]],"0")</f>
        <v>150000</v>
      </c>
      <c r="R262" t="str">
        <f>IFERROR(INDEX(Katalog!$A$3:$A$12,MATCH(Data[[#This Row],[ItemID C]],Katalog!$C$3:$C$12,0)),"-")</f>
        <v>-</v>
      </c>
      <c r="S262" t="str">
        <f>IFERROR(INDEX(Katalog!$B$3:$B$12,MATCH(Data[[#This Row],[ItemID C]],Katalog!$C$3:$C$12,0)),"-")</f>
        <v>-</v>
      </c>
      <c r="V262" s="36" t="str">
        <f>IFERROR(INDEX(Katalog!$D$3:$D$12,MATCH(Data[[#This Row],[ItemID C]],Katalog!$C$3:$C$12,0))*Data[[#This Row],[Qty C]],"0")</f>
        <v>0</v>
      </c>
      <c r="W262" s="36" t="str">
        <f>IFERROR(INDEX(Katalog!$F$3:$F$12,MATCH(Data[[#This Row],[ItemID C]],Katalog!$C$3:$C$12,0))*Data[[#This Row],[Qty C]],"0")</f>
        <v>0</v>
      </c>
      <c r="X262" s="21">
        <f>Data[[#This Row],[Qty A]]+Data[[#This Row],[Qty B]]+Data[[#This Row],[Qty C]]</f>
        <v>7</v>
      </c>
      <c r="Y262" s="22">
        <f>Data[[#This Row],[Harga Barang A]]+Data[[#This Row],[Harga Barang B]]+Data[[#This Row],[Harga Barang C]]</f>
        <v>1300000</v>
      </c>
      <c r="Z262" s="35">
        <f>IFERROR(Data[[#This Row],[Total Harga]]-(Data[[#This Row],[Total Harga]]*Data[[#This Row],[Diskon]]),Data[[#This Row],[Total Harga]])</f>
        <v>1105000</v>
      </c>
      <c r="AA262" s="35">
        <f>(Data[[#This Row],[Profit A]]+Data[[#This Row],[Profit B]]+Data[[#This Row],[Profit C]])</f>
        <v>450000</v>
      </c>
      <c r="AB262" s="35">
        <f>IFERROR((Data[[#This Row],[Profit non Diskon]]-(Data[[#This Row],[Profit non Diskon]]*Data[[#This Row],[Diskon]])),Data[[#This Row],[Profit non Diskon]])</f>
        <v>382500</v>
      </c>
      <c r="AC262" s="23" t="s">
        <v>13</v>
      </c>
      <c r="AD262" s="37">
        <f>IFERROR(INDEX('Kode Diskon'!$D$3:$D$9,MATCH(Data[[#This Row],[Kode diskon]],'Kode Diskon'!$C$3:$C$9,0)),"-")</f>
        <v>0.15</v>
      </c>
      <c r="AE262" s="23" t="s">
        <v>29</v>
      </c>
      <c r="AF262" s="23" t="s">
        <v>7</v>
      </c>
      <c r="AG262" s="23" t="s">
        <v>77</v>
      </c>
      <c r="AH262" s="24">
        <v>45022</v>
      </c>
      <c r="AI262" s="23" t="str">
        <f>TEXT(Data[[#This Row],[Tanggal terjual]],"dddd")</f>
        <v>Thursday</v>
      </c>
      <c r="AJ262" s="21" t="str">
        <f>TEXT(Data[[#This Row],[Tanggal terjual]],"wwww")</f>
        <v>wwww</v>
      </c>
    </row>
    <row r="263" spans="1:36" x14ac:dyDescent="0.2">
      <c r="A263" s="20">
        <v>262</v>
      </c>
      <c r="B263" s="21" t="str">
        <f>_xlfn.CONCAT("ORD-",INDEX(Helper!$B$2:$B$5,MATCH(Data[[#This Row],[Marketplace]],Helper!$A$2:$A$5,0)),TEXT(Data[[#This Row],[No]],"0000"),"-",TEXT(Data[[#This Row],[Tanggal terjual]],"dd/mm/yy"))</f>
        <v>ORD-SP0262-04/04/23</v>
      </c>
      <c r="C263" t="s">
        <v>63</v>
      </c>
      <c r="D263" t="str">
        <f>IFERROR(INDEX(Katalog!$A$3:$A$12,MATCH(Data[[#This Row],[ItemID A]],Katalog!$C$3:$C$12,0)),"-")</f>
        <v>Pakaian Pria</v>
      </c>
      <c r="E263" t="str">
        <f>IFERROR(INDEX(Katalog!$B$3:$B$12,MATCH(Data[[#This Row],[ItemID A]],Katalog!$C$3:$C$12,0)),"-")</f>
        <v>Jaket Jeans</v>
      </c>
      <c r="F263">
        <v>3</v>
      </c>
      <c r="G263">
        <v>5</v>
      </c>
      <c r="H263" s="36">
        <f>IFERROR(INDEX(Katalog!$D$3:$D$12,MATCH(Data[[#This Row],[ItemID A]],Katalog!$C$3:$C$12,0))*Data[[#This Row],[Qty A]],"0")</f>
        <v>1200000</v>
      </c>
      <c r="I263" s="36">
        <f>IFERROR(INDEX(Katalog!$F$3:$F$12,MATCH(Data[[#This Row],[ItemID A]],Katalog!$C$3:$C$12,0))*Data[[#This Row],[Qty A]],0)</f>
        <v>450000</v>
      </c>
      <c r="J263" t="s">
        <v>58</v>
      </c>
      <c r="K263" t="str">
        <f>IFERROR(INDEX(Katalog!$A$3:$A$12,MATCH(Data[[#This Row],[ItemID B]],Katalog!$C$3:$C$12,0)),"-")</f>
        <v>Pakaian Wanita</v>
      </c>
      <c r="L263" t="str">
        <f>IFERROR(INDEX(Katalog!$B$3:$B$12,MATCH(Data[[#This Row],[ItemID B]],Katalog!$C$3:$C$12,0)),"-")</f>
        <v>Dress</v>
      </c>
      <c r="M263">
        <v>1</v>
      </c>
      <c r="N263">
        <v>1</v>
      </c>
      <c r="O263" s="36">
        <f>IFERROR(INDEX(Katalog!$D$3:$D$12,MATCH(Data[[#This Row],[ItemID B]],Katalog!$C$3:$C$12,0))*Data[[#This Row],[Qty B]],"0")</f>
        <v>300000</v>
      </c>
      <c r="P263" s="36">
        <f>IFERROR(INDEX(Katalog!$F$3:$F$12,MATCH(Data[[#This Row],[ItemID B]],Katalog!$C$3:$C$12,0))*Data[[#This Row],[Qty B]],"0")</f>
        <v>100000</v>
      </c>
      <c r="R263" t="str">
        <f>IFERROR(INDEX(Katalog!$A$3:$A$12,MATCH(Data[[#This Row],[ItemID C]],Katalog!$C$3:$C$12,0)),"-")</f>
        <v>-</v>
      </c>
      <c r="S263" t="str">
        <f>IFERROR(INDEX(Katalog!$B$3:$B$12,MATCH(Data[[#This Row],[ItemID C]],Katalog!$C$3:$C$12,0)),"-")</f>
        <v>-</v>
      </c>
      <c r="V263" s="36" t="str">
        <f>IFERROR(INDEX(Katalog!$D$3:$D$12,MATCH(Data[[#This Row],[ItemID C]],Katalog!$C$3:$C$12,0))*Data[[#This Row],[Qty C]],"0")</f>
        <v>0</v>
      </c>
      <c r="W263" s="36" t="str">
        <f>IFERROR(INDEX(Katalog!$F$3:$F$12,MATCH(Data[[#This Row],[ItemID C]],Katalog!$C$3:$C$12,0))*Data[[#This Row],[Qty C]],"0")</f>
        <v>0</v>
      </c>
      <c r="X263" s="21">
        <f>Data[[#This Row],[Qty A]]+Data[[#This Row],[Qty B]]+Data[[#This Row],[Qty C]]</f>
        <v>4</v>
      </c>
      <c r="Y263" s="22">
        <f>Data[[#This Row],[Harga Barang A]]+Data[[#This Row],[Harga Barang B]]+Data[[#This Row],[Harga Barang C]]</f>
        <v>1500000</v>
      </c>
      <c r="Z263" s="35">
        <f>IFERROR(Data[[#This Row],[Total Harga]]-(Data[[#This Row],[Total Harga]]*Data[[#This Row],[Diskon]]),Data[[#This Row],[Total Harga]])</f>
        <v>1350000</v>
      </c>
      <c r="AA263" s="35">
        <f>(Data[[#This Row],[Profit A]]+Data[[#This Row],[Profit B]]+Data[[#This Row],[Profit C]])</f>
        <v>550000</v>
      </c>
      <c r="AB263" s="35">
        <f>IFERROR((Data[[#This Row],[Profit non Diskon]]-(Data[[#This Row],[Profit non Diskon]]*Data[[#This Row],[Diskon]])),Data[[#This Row],[Profit non Diskon]])</f>
        <v>495000</v>
      </c>
      <c r="AC263" s="23" t="s">
        <v>6</v>
      </c>
      <c r="AD263" s="37">
        <f>IFERROR(INDEX('Kode Diskon'!$D$3:$D$9,MATCH(Data[[#This Row],[Kode diskon]],'Kode Diskon'!$C$3:$C$9,0)),"-")</f>
        <v>0.1</v>
      </c>
      <c r="AE263" s="23" t="s">
        <v>29</v>
      </c>
      <c r="AF263" s="23" t="s">
        <v>7</v>
      </c>
      <c r="AG263" s="23" t="s">
        <v>76</v>
      </c>
      <c r="AH263" s="24">
        <v>45020</v>
      </c>
      <c r="AI263" s="23" t="str">
        <f>TEXT(Data[[#This Row],[Tanggal terjual]],"dddd")</f>
        <v>Tuesday</v>
      </c>
      <c r="AJ263" s="21" t="str">
        <f>TEXT(Data[[#This Row],[Tanggal terjual]],"wwww")</f>
        <v>wwww</v>
      </c>
    </row>
    <row r="264" spans="1:36" x14ac:dyDescent="0.2">
      <c r="A264" s="20">
        <v>263</v>
      </c>
      <c r="B264" s="21" t="str">
        <f>_xlfn.CONCAT("ORD-",INDEX(Helper!$B$2:$B$5,MATCH(Data[[#This Row],[Marketplace]],Helper!$A$2:$A$5,0)),TEXT(Data[[#This Row],[No]],"0000"),"-",TEXT(Data[[#This Row],[Tanggal terjual]],"dd/mm/yy"))</f>
        <v>ORD-TK0263-08/04/23</v>
      </c>
      <c r="C264" t="s">
        <v>63</v>
      </c>
      <c r="D264" t="str">
        <f>IFERROR(INDEX(Katalog!$A$3:$A$12,MATCH(Data[[#This Row],[ItemID A]],Katalog!$C$3:$C$12,0)),"-")</f>
        <v>Pakaian Pria</v>
      </c>
      <c r="E264" t="str">
        <f>IFERROR(INDEX(Katalog!$B$3:$B$12,MATCH(Data[[#This Row],[ItemID A]],Katalog!$C$3:$C$12,0)),"-")</f>
        <v>Jaket Jeans</v>
      </c>
      <c r="F264">
        <v>1</v>
      </c>
      <c r="G264">
        <v>3</v>
      </c>
      <c r="H264" s="36">
        <f>IFERROR(INDEX(Katalog!$D$3:$D$12,MATCH(Data[[#This Row],[ItemID A]],Katalog!$C$3:$C$12,0))*Data[[#This Row],[Qty A]],"0")</f>
        <v>400000</v>
      </c>
      <c r="I264" s="36">
        <f>IFERROR(INDEX(Katalog!$F$3:$F$12,MATCH(Data[[#This Row],[ItemID A]],Katalog!$C$3:$C$12,0))*Data[[#This Row],[Qty A]],0)</f>
        <v>150000</v>
      </c>
      <c r="J264" t="s">
        <v>67</v>
      </c>
      <c r="K264" t="str">
        <f>IFERROR(INDEX(Katalog!$A$3:$A$12,MATCH(Data[[#This Row],[ItemID B]],Katalog!$C$3:$C$12,0)),"-")</f>
        <v>Sepatu Wanita</v>
      </c>
      <c r="L264" t="str">
        <f>IFERROR(INDEX(Katalog!$B$3:$B$12,MATCH(Data[[#This Row],[ItemID B]],Katalog!$C$3:$C$12,0)),"-")</f>
        <v>Flat Shoes</v>
      </c>
      <c r="M264">
        <v>3</v>
      </c>
      <c r="N264">
        <v>3</v>
      </c>
      <c r="O264" s="36">
        <f>IFERROR(INDEX(Katalog!$D$3:$D$12,MATCH(Data[[#This Row],[ItemID B]],Katalog!$C$3:$C$12,0))*Data[[#This Row],[Qty B]],"0")</f>
        <v>750000</v>
      </c>
      <c r="P264" s="36">
        <f>IFERROR(INDEX(Katalog!$F$3:$F$12,MATCH(Data[[#This Row],[ItemID B]],Katalog!$C$3:$C$12,0))*Data[[#This Row],[Qty B]],"0")</f>
        <v>300000</v>
      </c>
      <c r="R264" t="str">
        <f>IFERROR(INDEX(Katalog!$A$3:$A$12,MATCH(Data[[#This Row],[ItemID C]],Katalog!$C$3:$C$12,0)),"-")</f>
        <v>-</v>
      </c>
      <c r="S264" t="str">
        <f>IFERROR(INDEX(Katalog!$B$3:$B$12,MATCH(Data[[#This Row],[ItemID C]],Katalog!$C$3:$C$12,0)),"-")</f>
        <v>-</v>
      </c>
      <c r="V264" s="36" t="str">
        <f>IFERROR(INDEX(Katalog!$D$3:$D$12,MATCH(Data[[#This Row],[ItemID C]],Katalog!$C$3:$C$12,0))*Data[[#This Row],[Qty C]],"0")</f>
        <v>0</v>
      </c>
      <c r="W264" s="36" t="str">
        <f>IFERROR(INDEX(Katalog!$F$3:$F$12,MATCH(Data[[#This Row],[ItemID C]],Katalog!$C$3:$C$12,0))*Data[[#This Row],[Qty C]],"0")</f>
        <v>0</v>
      </c>
      <c r="X264" s="21">
        <f>Data[[#This Row],[Qty A]]+Data[[#This Row],[Qty B]]+Data[[#This Row],[Qty C]]</f>
        <v>4</v>
      </c>
      <c r="Y264" s="22">
        <f>Data[[#This Row],[Harga Barang A]]+Data[[#This Row],[Harga Barang B]]+Data[[#This Row],[Harga Barang C]]</f>
        <v>1150000</v>
      </c>
      <c r="Z264" s="35">
        <f>IFERROR(Data[[#This Row],[Total Harga]]-(Data[[#This Row],[Total Harga]]*Data[[#This Row],[Diskon]]),Data[[#This Row],[Total Harga]])</f>
        <v>1150000</v>
      </c>
      <c r="AA264" s="35">
        <f>(Data[[#This Row],[Profit A]]+Data[[#This Row],[Profit B]]+Data[[#This Row],[Profit C]])</f>
        <v>450000</v>
      </c>
      <c r="AB264" s="35">
        <f>IFERROR((Data[[#This Row],[Profit non Diskon]]-(Data[[#This Row],[Profit non Diskon]]*Data[[#This Row],[Diskon]])),Data[[#This Row],[Profit non Diskon]])</f>
        <v>450000</v>
      </c>
      <c r="AC264" s="23" t="s">
        <v>11</v>
      </c>
      <c r="AD264" s="37" t="str">
        <f>IFERROR(INDEX('Kode Diskon'!$D$3:$D$9,MATCH(Data[[#This Row],[Kode diskon]],'Kode Diskon'!$C$3:$C$9,0)),"-")</f>
        <v>-</v>
      </c>
      <c r="AE264" s="23" t="s">
        <v>11</v>
      </c>
      <c r="AF264" s="23" t="s">
        <v>10</v>
      </c>
      <c r="AG264" s="23" t="s">
        <v>75</v>
      </c>
      <c r="AH264" s="24">
        <v>45024</v>
      </c>
      <c r="AI264" s="23" t="str">
        <f>TEXT(Data[[#This Row],[Tanggal terjual]],"dddd")</f>
        <v>Saturday</v>
      </c>
      <c r="AJ264" s="21" t="str">
        <f>TEXT(Data[[#This Row],[Tanggal terjual]],"wwww")</f>
        <v>wwww</v>
      </c>
    </row>
    <row r="265" spans="1:36" x14ac:dyDescent="0.2">
      <c r="A265" s="20">
        <v>264</v>
      </c>
      <c r="B265" s="21" t="str">
        <f>_xlfn.CONCAT("ORD-",INDEX(Helper!$B$2:$B$5,MATCH(Data[[#This Row],[Marketplace]],Helper!$A$2:$A$5,0)),TEXT(Data[[#This Row],[No]],"0000"),"-",TEXT(Data[[#This Row],[Tanggal terjual]],"dd/mm/yy"))</f>
        <v>ORD-SP0264-19/04/23</v>
      </c>
      <c r="C265" t="s">
        <v>62</v>
      </c>
      <c r="D265" t="str">
        <f>IFERROR(INDEX(Katalog!$A$3:$A$12,MATCH(Data[[#This Row],[ItemID A]],Katalog!$C$3:$C$12,0)),"-")</f>
        <v>Pakaian Pria</v>
      </c>
      <c r="E265" t="str">
        <f>IFERROR(INDEX(Katalog!$B$3:$B$12,MATCH(Data[[#This Row],[ItemID A]],Katalog!$C$3:$C$12,0)),"-")</f>
        <v>Celana Pendek</v>
      </c>
      <c r="F265">
        <v>1</v>
      </c>
      <c r="G265">
        <v>2</v>
      </c>
      <c r="H265" s="36">
        <f>IFERROR(INDEX(Katalog!$D$3:$D$12,MATCH(Data[[#This Row],[ItemID A]],Katalog!$C$3:$C$12,0))*Data[[#This Row],[Qty A]],"0")</f>
        <v>180000</v>
      </c>
      <c r="I265" s="36">
        <f>IFERROR(INDEX(Katalog!$F$3:$F$12,MATCH(Data[[#This Row],[ItemID A]],Katalog!$C$3:$C$12,0))*Data[[#This Row],[Qty A]],0)</f>
        <v>70000</v>
      </c>
      <c r="K265" t="str">
        <f>IFERROR(INDEX(Katalog!$A$3:$A$12,MATCH(Data[[#This Row],[ItemID B]],Katalog!$C$3:$C$12,0)),"-")</f>
        <v>-</v>
      </c>
      <c r="L265" t="str">
        <f>IFERROR(INDEX(Katalog!$B$3:$B$12,MATCH(Data[[#This Row],[ItemID B]],Katalog!$C$3:$C$12,0)),"-")</f>
        <v>-</v>
      </c>
      <c r="O265" s="36" t="str">
        <f>IFERROR(INDEX(Katalog!$D$3:$D$12,MATCH(Data[[#This Row],[ItemID B]],Katalog!$C$3:$C$12,0))*Data[[#This Row],[Qty B]],"0")</f>
        <v>0</v>
      </c>
      <c r="P265" s="36" t="str">
        <f>IFERROR(INDEX(Katalog!$F$3:$F$12,MATCH(Data[[#This Row],[ItemID B]],Katalog!$C$3:$C$12,0))*Data[[#This Row],[Qty B]],"0")</f>
        <v>0</v>
      </c>
      <c r="R265" t="str">
        <f>IFERROR(INDEX(Katalog!$A$3:$A$12,MATCH(Data[[#This Row],[ItemID C]],Katalog!$C$3:$C$12,0)),"-")</f>
        <v>-</v>
      </c>
      <c r="S265" t="str">
        <f>IFERROR(INDEX(Katalog!$B$3:$B$12,MATCH(Data[[#This Row],[ItemID C]],Katalog!$C$3:$C$12,0)),"-")</f>
        <v>-</v>
      </c>
      <c r="V265" s="36" t="str">
        <f>IFERROR(INDEX(Katalog!$D$3:$D$12,MATCH(Data[[#This Row],[ItemID C]],Katalog!$C$3:$C$12,0))*Data[[#This Row],[Qty C]],"0")</f>
        <v>0</v>
      </c>
      <c r="W265" s="36" t="str">
        <f>IFERROR(INDEX(Katalog!$F$3:$F$12,MATCH(Data[[#This Row],[ItemID C]],Katalog!$C$3:$C$12,0))*Data[[#This Row],[Qty C]],"0")</f>
        <v>0</v>
      </c>
      <c r="X265" s="21">
        <f>Data[[#This Row],[Qty A]]+Data[[#This Row],[Qty B]]+Data[[#This Row],[Qty C]]</f>
        <v>1</v>
      </c>
      <c r="Y265" s="22">
        <f>Data[[#This Row],[Harga Barang A]]+Data[[#This Row],[Harga Barang B]]+Data[[#This Row],[Harga Barang C]]</f>
        <v>180000</v>
      </c>
      <c r="Z265" s="35">
        <f>IFERROR(Data[[#This Row],[Total Harga]]-(Data[[#This Row],[Total Harga]]*Data[[#This Row],[Diskon]]),Data[[#This Row],[Total Harga]])</f>
        <v>144000</v>
      </c>
      <c r="AA265" s="35">
        <f>(Data[[#This Row],[Profit A]]+Data[[#This Row],[Profit B]]+Data[[#This Row],[Profit C]])</f>
        <v>70000</v>
      </c>
      <c r="AB265" s="35">
        <f>IFERROR((Data[[#This Row],[Profit non Diskon]]-(Data[[#This Row],[Profit non Diskon]]*Data[[#This Row],[Diskon]])),Data[[#This Row],[Profit non Diskon]])</f>
        <v>56000</v>
      </c>
      <c r="AC265" s="23" t="s">
        <v>8</v>
      </c>
      <c r="AD265" s="37">
        <f>IFERROR(INDEX('Kode Diskon'!$D$3:$D$9,MATCH(Data[[#This Row],[Kode diskon]],'Kode Diskon'!$C$3:$C$9,0)),"-")</f>
        <v>0.2</v>
      </c>
      <c r="AE265" s="23" t="s">
        <v>9</v>
      </c>
      <c r="AF265" s="23" t="s">
        <v>7</v>
      </c>
      <c r="AG265" s="23" t="s">
        <v>80</v>
      </c>
      <c r="AH265" s="24">
        <v>45035</v>
      </c>
      <c r="AI265" s="23" t="str">
        <f>TEXT(Data[[#This Row],[Tanggal terjual]],"dddd")</f>
        <v>Wednesday</v>
      </c>
      <c r="AJ265" s="21" t="str">
        <f>TEXT(Data[[#This Row],[Tanggal terjual]],"wwww")</f>
        <v>wwww</v>
      </c>
    </row>
    <row r="266" spans="1:36" x14ac:dyDescent="0.2">
      <c r="A266" s="20">
        <v>265</v>
      </c>
      <c r="B266" s="21" t="str">
        <f>_xlfn.CONCAT("ORD-",INDEX(Helper!$B$2:$B$5,MATCH(Data[[#This Row],[Marketplace]],Helper!$A$2:$A$5,0)),TEXT(Data[[#This Row],[No]],"0000"),"-",TEXT(Data[[#This Row],[Tanggal terjual]],"dd/mm/yy"))</f>
        <v>ORD-BL0265-20/04/23</v>
      </c>
      <c r="C266" t="s">
        <v>61</v>
      </c>
      <c r="D266" t="str">
        <f>IFERROR(INDEX(Katalog!$A$3:$A$12,MATCH(Data[[#This Row],[ItemID A]],Katalog!$C$3:$C$12,0)),"-")</f>
        <v>Pakaian Pria</v>
      </c>
      <c r="E266" t="str">
        <f>IFERROR(INDEX(Katalog!$B$3:$B$12,MATCH(Data[[#This Row],[ItemID A]],Katalog!$C$3:$C$12,0)),"-")</f>
        <v>Kaos Polo</v>
      </c>
      <c r="F266">
        <v>3</v>
      </c>
      <c r="G266">
        <v>5</v>
      </c>
      <c r="H266" s="36">
        <f>IFERROR(INDEX(Katalog!$D$3:$D$12,MATCH(Data[[#This Row],[ItemID A]],Katalog!$C$3:$C$12,0))*Data[[#This Row],[Qty A]],"0")</f>
        <v>600000</v>
      </c>
      <c r="I266" s="36">
        <f>IFERROR(INDEX(Katalog!$F$3:$F$12,MATCH(Data[[#This Row],[ItemID A]],Katalog!$C$3:$C$12,0))*Data[[#This Row],[Qty A]],0)</f>
        <v>240000</v>
      </c>
      <c r="K266" t="str">
        <f>IFERROR(INDEX(Katalog!$A$3:$A$12,MATCH(Data[[#This Row],[ItemID B]],Katalog!$C$3:$C$12,0)),"-")</f>
        <v>-</v>
      </c>
      <c r="L266" t="str">
        <f>IFERROR(INDEX(Katalog!$B$3:$B$12,MATCH(Data[[#This Row],[ItemID B]],Katalog!$C$3:$C$12,0)),"-")</f>
        <v>-</v>
      </c>
      <c r="O266" s="36" t="str">
        <f>IFERROR(INDEX(Katalog!$D$3:$D$12,MATCH(Data[[#This Row],[ItemID B]],Katalog!$C$3:$C$12,0))*Data[[#This Row],[Qty B]],"0")</f>
        <v>0</v>
      </c>
      <c r="P266" s="36" t="str">
        <f>IFERROR(INDEX(Katalog!$F$3:$F$12,MATCH(Data[[#This Row],[ItemID B]],Katalog!$C$3:$C$12,0))*Data[[#This Row],[Qty B]],"0")</f>
        <v>0</v>
      </c>
      <c r="R266" t="str">
        <f>IFERROR(INDEX(Katalog!$A$3:$A$12,MATCH(Data[[#This Row],[ItemID C]],Katalog!$C$3:$C$12,0)),"-")</f>
        <v>-</v>
      </c>
      <c r="S266" t="str">
        <f>IFERROR(INDEX(Katalog!$B$3:$B$12,MATCH(Data[[#This Row],[ItemID C]],Katalog!$C$3:$C$12,0)),"-")</f>
        <v>-</v>
      </c>
      <c r="V266" s="36" t="str">
        <f>IFERROR(INDEX(Katalog!$D$3:$D$12,MATCH(Data[[#This Row],[ItemID C]],Katalog!$C$3:$C$12,0))*Data[[#This Row],[Qty C]],"0")</f>
        <v>0</v>
      </c>
      <c r="W266" s="36" t="str">
        <f>IFERROR(INDEX(Katalog!$F$3:$F$12,MATCH(Data[[#This Row],[ItemID C]],Katalog!$C$3:$C$12,0))*Data[[#This Row],[Qty C]],"0")</f>
        <v>0</v>
      </c>
      <c r="X266" s="21">
        <f>Data[[#This Row],[Qty A]]+Data[[#This Row],[Qty B]]+Data[[#This Row],[Qty C]]</f>
        <v>3</v>
      </c>
      <c r="Y266" s="22">
        <f>Data[[#This Row],[Harga Barang A]]+Data[[#This Row],[Harga Barang B]]+Data[[#This Row],[Harga Barang C]]</f>
        <v>600000</v>
      </c>
      <c r="Z266" s="35">
        <f>IFERROR(Data[[#This Row],[Total Harga]]-(Data[[#This Row],[Total Harga]]*Data[[#This Row],[Diskon]]),Data[[#This Row],[Total Harga]])</f>
        <v>510000</v>
      </c>
      <c r="AA266" s="35">
        <f>(Data[[#This Row],[Profit A]]+Data[[#This Row],[Profit B]]+Data[[#This Row],[Profit C]])</f>
        <v>240000</v>
      </c>
      <c r="AB266" s="35">
        <f>IFERROR((Data[[#This Row],[Profit non Diskon]]-(Data[[#This Row],[Profit non Diskon]]*Data[[#This Row],[Diskon]])),Data[[#This Row],[Profit non Diskon]])</f>
        <v>204000</v>
      </c>
      <c r="AC266" s="23" t="s">
        <v>32</v>
      </c>
      <c r="AD266" s="37">
        <f>IFERROR(INDEX('Kode Diskon'!$D$3:$D$9,MATCH(Data[[#This Row],[Kode diskon]],'Kode Diskon'!$C$3:$C$9,0)),"-")</f>
        <v>0.15</v>
      </c>
      <c r="AE266" s="23" t="s">
        <v>9</v>
      </c>
      <c r="AF266" s="23" t="s">
        <v>12</v>
      </c>
      <c r="AG266" s="23" t="s">
        <v>80</v>
      </c>
      <c r="AH266" s="24">
        <v>45036</v>
      </c>
      <c r="AI266" s="23" t="str">
        <f>TEXT(Data[[#This Row],[Tanggal terjual]],"dddd")</f>
        <v>Thursday</v>
      </c>
      <c r="AJ266" s="21" t="str">
        <f>TEXT(Data[[#This Row],[Tanggal terjual]],"wwww")</f>
        <v>wwww</v>
      </c>
    </row>
    <row r="267" spans="1:36" x14ac:dyDescent="0.2">
      <c r="A267" s="20">
        <v>266</v>
      </c>
      <c r="B267" s="21" t="str">
        <f>_xlfn.CONCAT("ORD-",INDEX(Helper!$B$2:$B$5,MATCH(Data[[#This Row],[Marketplace]],Helper!$A$2:$A$5,0)),TEXT(Data[[#This Row],[No]],"0000"),"-",TEXT(Data[[#This Row],[Tanggal terjual]],"dd/mm/yy"))</f>
        <v>ORD-SP0266-21/04/23</v>
      </c>
      <c r="C267" t="s">
        <v>65</v>
      </c>
      <c r="D267" t="str">
        <f>IFERROR(INDEX(Katalog!$A$3:$A$12,MATCH(Data[[#This Row],[ItemID A]],Katalog!$C$3:$C$12,0)),"-")</f>
        <v>Sepatu Pria</v>
      </c>
      <c r="E267" t="str">
        <f>IFERROR(INDEX(Katalog!$B$3:$B$12,MATCH(Data[[#This Row],[ItemID A]],Katalog!$C$3:$C$12,0)),"-")</f>
        <v>Sneakers</v>
      </c>
      <c r="F267">
        <v>2</v>
      </c>
      <c r="G267">
        <v>1</v>
      </c>
      <c r="H267" s="36">
        <f>IFERROR(INDEX(Katalog!$D$3:$D$12,MATCH(Data[[#This Row],[ItemID A]],Katalog!$C$3:$C$12,0))*Data[[#This Row],[Qty A]],"0")</f>
        <v>1000000</v>
      </c>
      <c r="I267" s="36">
        <f>IFERROR(INDEX(Katalog!$F$3:$F$12,MATCH(Data[[#This Row],[ItemID A]],Katalog!$C$3:$C$12,0))*Data[[#This Row],[Qty A]],0)</f>
        <v>400000</v>
      </c>
      <c r="K267" t="str">
        <f>IFERROR(INDEX(Katalog!$A$3:$A$12,MATCH(Data[[#This Row],[ItemID B]],Katalog!$C$3:$C$12,0)),"-")</f>
        <v>-</v>
      </c>
      <c r="L267" t="str">
        <f>IFERROR(INDEX(Katalog!$B$3:$B$12,MATCH(Data[[#This Row],[ItemID B]],Katalog!$C$3:$C$12,0)),"-")</f>
        <v>-</v>
      </c>
      <c r="O267" s="36" t="str">
        <f>IFERROR(INDEX(Katalog!$D$3:$D$12,MATCH(Data[[#This Row],[ItemID B]],Katalog!$C$3:$C$12,0))*Data[[#This Row],[Qty B]],"0")</f>
        <v>0</v>
      </c>
      <c r="P267" s="36" t="str">
        <f>IFERROR(INDEX(Katalog!$F$3:$F$12,MATCH(Data[[#This Row],[ItemID B]],Katalog!$C$3:$C$12,0))*Data[[#This Row],[Qty B]],"0")</f>
        <v>0</v>
      </c>
      <c r="R267" t="str">
        <f>IFERROR(INDEX(Katalog!$A$3:$A$12,MATCH(Data[[#This Row],[ItemID C]],Katalog!$C$3:$C$12,0)),"-")</f>
        <v>-</v>
      </c>
      <c r="S267" t="str">
        <f>IFERROR(INDEX(Katalog!$B$3:$B$12,MATCH(Data[[#This Row],[ItemID C]],Katalog!$C$3:$C$12,0)),"-")</f>
        <v>-</v>
      </c>
      <c r="V267" s="36" t="str">
        <f>IFERROR(INDEX(Katalog!$D$3:$D$12,MATCH(Data[[#This Row],[ItemID C]],Katalog!$C$3:$C$12,0))*Data[[#This Row],[Qty C]],"0")</f>
        <v>0</v>
      </c>
      <c r="W267" s="36" t="str">
        <f>IFERROR(INDEX(Katalog!$F$3:$F$12,MATCH(Data[[#This Row],[ItemID C]],Katalog!$C$3:$C$12,0))*Data[[#This Row],[Qty C]],"0")</f>
        <v>0</v>
      </c>
      <c r="X267" s="21">
        <f>Data[[#This Row],[Qty A]]+Data[[#This Row],[Qty B]]+Data[[#This Row],[Qty C]]</f>
        <v>2</v>
      </c>
      <c r="Y267" s="22">
        <f>Data[[#This Row],[Harga Barang A]]+Data[[#This Row],[Harga Barang B]]+Data[[#This Row],[Harga Barang C]]</f>
        <v>1000000</v>
      </c>
      <c r="Z267" s="35">
        <f>IFERROR(Data[[#This Row],[Total Harga]]-(Data[[#This Row],[Total Harga]]*Data[[#This Row],[Diskon]]),Data[[#This Row],[Total Harga]])</f>
        <v>800000</v>
      </c>
      <c r="AA267" s="35">
        <f>(Data[[#This Row],[Profit A]]+Data[[#This Row],[Profit B]]+Data[[#This Row],[Profit C]])</f>
        <v>400000</v>
      </c>
      <c r="AB267" s="35">
        <f>IFERROR((Data[[#This Row],[Profit non Diskon]]-(Data[[#This Row],[Profit non Diskon]]*Data[[#This Row],[Diskon]])),Data[[#This Row],[Profit non Diskon]])</f>
        <v>320000</v>
      </c>
      <c r="AC267" s="23" t="s">
        <v>8</v>
      </c>
      <c r="AD267" s="37">
        <f>IFERROR(INDEX('Kode Diskon'!$D$3:$D$9,MATCH(Data[[#This Row],[Kode diskon]],'Kode Diskon'!$C$3:$C$9,0)),"-")</f>
        <v>0.2</v>
      </c>
      <c r="AE267" s="23" t="s">
        <v>9</v>
      </c>
      <c r="AF267" s="23" t="s">
        <v>7</v>
      </c>
      <c r="AG267" s="23" t="s">
        <v>75</v>
      </c>
      <c r="AH267" s="24">
        <v>45037</v>
      </c>
      <c r="AI267" s="23" t="str">
        <f>TEXT(Data[[#This Row],[Tanggal terjual]],"dddd")</f>
        <v>Friday</v>
      </c>
      <c r="AJ267" s="21" t="str">
        <f>TEXT(Data[[#This Row],[Tanggal terjual]],"wwww")</f>
        <v>wwww</v>
      </c>
    </row>
    <row r="268" spans="1:36" x14ac:dyDescent="0.2">
      <c r="A268" s="20">
        <v>267</v>
      </c>
      <c r="B268" s="21" t="str">
        <f>_xlfn.CONCAT("ORD-",INDEX(Helper!$B$2:$B$5,MATCH(Data[[#This Row],[Marketplace]],Helper!$A$2:$A$5,0)),TEXT(Data[[#This Row],[No]],"0000"),"-",TEXT(Data[[#This Row],[Tanggal terjual]],"dd/mm/yy"))</f>
        <v>ORD-TK0267-04/04/23</v>
      </c>
      <c r="C268" t="s">
        <v>66</v>
      </c>
      <c r="D268" t="str">
        <f>IFERROR(INDEX(Katalog!$A$3:$A$12,MATCH(Data[[#This Row],[ItemID A]],Katalog!$C$3:$C$12,0)),"-")</f>
        <v>Sepatu Pria</v>
      </c>
      <c r="E268" t="str">
        <f>IFERROR(INDEX(Katalog!$B$3:$B$12,MATCH(Data[[#This Row],[ItemID A]],Katalog!$C$3:$C$12,0)),"-")</f>
        <v>Sandal Slip On</v>
      </c>
      <c r="F268">
        <v>6</v>
      </c>
      <c r="G268">
        <v>1</v>
      </c>
      <c r="H268" s="36">
        <f>IFERROR(INDEX(Katalog!$D$3:$D$12,MATCH(Data[[#This Row],[ItemID A]],Katalog!$C$3:$C$12,0))*Data[[#This Row],[Qty A]],"0")</f>
        <v>900000</v>
      </c>
      <c r="I268" s="36">
        <f>IFERROR(INDEX(Katalog!$F$3:$F$12,MATCH(Data[[#This Row],[ItemID A]],Katalog!$C$3:$C$12,0))*Data[[#This Row],[Qty A]],0)</f>
        <v>360000</v>
      </c>
      <c r="K268" t="str">
        <f>IFERROR(INDEX(Katalog!$A$3:$A$12,MATCH(Data[[#This Row],[ItemID B]],Katalog!$C$3:$C$12,0)),"-")</f>
        <v>-</v>
      </c>
      <c r="L268" t="str">
        <f>IFERROR(INDEX(Katalog!$B$3:$B$12,MATCH(Data[[#This Row],[ItemID B]],Katalog!$C$3:$C$12,0)),"-")</f>
        <v>-</v>
      </c>
      <c r="O268" s="36" t="str">
        <f>IFERROR(INDEX(Katalog!$D$3:$D$12,MATCH(Data[[#This Row],[ItemID B]],Katalog!$C$3:$C$12,0))*Data[[#This Row],[Qty B]],"0")</f>
        <v>0</v>
      </c>
      <c r="P268" s="36" t="str">
        <f>IFERROR(INDEX(Katalog!$F$3:$F$12,MATCH(Data[[#This Row],[ItemID B]],Katalog!$C$3:$C$12,0))*Data[[#This Row],[Qty B]],"0")</f>
        <v>0</v>
      </c>
      <c r="R268" t="str">
        <f>IFERROR(INDEX(Katalog!$A$3:$A$12,MATCH(Data[[#This Row],[ItemID C]],Katalog!$C$3:$C$12,0)),"-")</f>
        <v>-</v>
      </c>
      <c r="S268" t="str">
        <f>IFERROR(INDEX(Katalog!$B$3:$B$12,MATCH(Data[[#This Row],[ItemID C]],Katalog!$C$3:$C$12,0)),"-")</f>
        <v>-</v>
      </c>
      <c r="V268" s="36" t="str">
        <f>IFERROR(INDEX(Katalog!$D$3:$D$12,MATCH(Data[[#This Row],[ItemID C]],Katalog!$C$3:$C$12,0))*Data[[#This Row],[Qty C]],"0")</f>
        <v>0</v>
      </c>
      <c r="W268" s="36" t="str">
        <f>IFERROR(INDEX(Katalog!$F$3:$F$12,MATCH(Data[[#This Row],[ItemID C]],Katalog!$C$3:$C$12,0))*Data[[#This Row],[Qty C]],"0")</f>
        <v>0</v>
      </c>
      <c r="X268" s="21">
        <f>Data[[#This Row],[Qty A]]+Data[[#This Row],[Qty B]]+Data[[#This Row],[Qty C]]</f>
        <v>6</v>
      </c>
      <c r="Y268" s="22">
        <f>Data[[#This Row],[Harga Barang A]]+Data[[#This Row],[Harga Barang B]]+Data[[#This Row],[Harga Barang C]]</f>
        <v>900000</v>
      </c>
      <c r="Z268" s="35">
        <f>IFERROR(Data[[#This Row],[Total Harga]]-(Data[[#This Row],[Total Harga]]*Data[[#This Row],[Diskon]]),Data[[#This Row],[Total Harga]])</f>
        <v>810000</v>
      </c>
      <c r="AA268" s="35">
        <f>(Data[[#This Row],[Profit A]]+Data[[#This Row],[Profit B]]+Data[[#This Row],[Profit C]])</f>
        <v>360000</v>
      </c>
      <c r="AB268" s="35">
        <f>IFERROR((Data[[#This Row],[Profit non Diskon]]-(Data[[#This Row],[Profit non Diskon]]*Data[[#This Row],[Diskon]])),Data[[#This Row],[Profit non Diskon]])</f>
        <v>324000</v>
      </c>
      <c r="AC268" s="23" t="s">
        <v>30</v>
      </c>
      <c r="AD268" s="37">
        <f>IFERROR(INDEX('Kode Diskon'!$D$3:$D$9,MATCH(Data[[#This Row],[Kode diskon]],'Kode Diskon'!$C$3:$C$9,0)),"-")</f>
        <v>0.1</v>
      </c>
      <c r="AE268" s="23" t="s">
        <v>29</v>
      </c>
      <c r="AF268" s="23" t="s">
        <v>10</v>
      </c>
      <c r="AG268" s="23" t="s">
        <v>75</v>
      </c>
      <c r="AH268" s="24">
        <v>45020</v>
      </c>
      <c r="AI268" s="23" t="str">
        <f>TEXT(Data[[#This Row],[Tanggal terjual]],"dddd")</f>
        <v>Tuesday</v>
      </c>
      <c r="AJ268" s="21" t="str">
        <f>TEXT(Data[[#This Row],[Tanggal terjual]],"wwww")</f>
        <v>wwww</v>
      </c>
    </row>
    <row r="269" spans="1:36" x14ac:dyDescent="0.2">
      <c r="A269" s="20">
        <v>268</v>
      </c>
      <c r="B269" s="21" t="str">
        <f>_xlfn.CONCAT("ORD-",INDEX(Helper!$B$2:$B$5,MATCH(Data[[#This Row],[Marketplace]],Helper!$A$2:$A$5,0)),TEXT(Data[[#This Row],[No]],"0000"),"-",TEXT(Data[[#This Row],[Tanggal terjual]],"dd/mm/yy"))</f>
        <v>ORD-BL0268-25/04/23</v>
      </c>
      <c r="C269" t="s">
        <v>66</v>
      </c>
      <c r="D269" t="str">
        <f>IFERROR(INDEX(Katalog!$A$3:$A$12,MATCH(Data[[#This Row],[ItemID A]],Katalog!$C$3:$C$12,0)),"-")</f>
        <v>Sepatu Pria</v>
      </c>
      <c r="E269" t="str">
        <f>IFERROR(INDEX(Katalog!$B$3:$B$12,MATCH(Data[[#This Row],[ItemID A]],Katalog!$C$3:$C$12,0)),"-")</f>
        <v>Sandal Slip On</v>
      </c>
      <c r="F269">
        <v>2</v>
      </c>
      <c r="G269">
        <v>2</v>
      </c>
      <c r="H269" s="36">
        <f>IFERROR(INDEX(Katalog!$D$3:$D$12,MATCH(Data[[#This Row],[ItemID A]],Katalog!$C$3:$C$12,0))*Data[[#This Row],[Qty A]],"0")</f>
        <v>300000</v>
      </c>
      <c r="I269" s="36">
        <f>IFERROR(INDEX(Katalog!$F$3:$F$12,MATCH(Data[[#This Row],[ItemID A]],Katalog!$C$3:$C$12,0))*Data[[#This Row],[Qty A]],0)</f>
        <v>120000</v>
      </c>
      <c r="J269" t="s">
        <v>64</v>
      </c>
      <c r="K269" t="str">
        <f>IFERROR(INDEX(Katalog!$A$3:$A$12,MATCH(Data[[#This Row],[ItemID B]],Katalog!$C$3:$C$12,0)),"-")</f>
        <v>Pakaian Unisex</v>
      </c>
      <c r="L269" t="str">
        <f>IFERROR(INDEX(Katalog!$B$3:$B$12,MATCH(Data[[#This Row],[ItemID B]],Katalog!$C$3:$C$12,0)),"-")</f>
        <v>Jaket Hoodie</v>
      </c>
      <c r="M269">
        <v>1</v>
      </c>
      <c r="N269">
        <v>5</v>
      </c>
      <c r="O269" s="36">
        <f>IFERROR(INDEX(Katalog!$D$3:$D$12,MATCH(Data[[#This Row],[ItemID B]],Katalog!$C$3:$C$12,0))*Data[[#This Row],[Qty B]],"0")</f>
        <v>350000</v>
      </c>
      <c r="P269" s="36">
        <f>IFERROR(INDEX(Katalog!$F$3:$F$12,MATCH(Data[[#This Row],[ItemID B]],Katalog!$C$3:$C$12,0))*Data[[#This Row],[Qty B]],"0")</f>
        <v>130000</v>
      </c>
      <c r="Q269" t="s">
        <v>65</v>
      </c>
      <c r="R269" t="str">
        <f>IFERROR(INDEX(Katalog!$A$3:$A$12,MATCH(Data[[#This Row],[ItemID C]],Katalog!$C$3:$C$12,0)),"-")</f>
        <v>Sepatu Pria</v>
      </c>
      <c r="S269" t="str">
        <f>IFERROR(INDEX(Katalog!$B$3:$B$12,MATCH(Data[[#This Row],[ItemID C]],Katalog!$C$3:$C$12,0)),"-")</f>
        <v>Sneakers</v>
      </c>
      <c r="T269">
        <v>4</v>
      </c>
      <c r="U269">
        <v>1</v>
      </c>
      <c r="V269" s="36">
        <f>IFERROR(INDEX(Katalog!$D$3:$D$12,MATCH(Data[[#This Row],[ItemID C]],Katalog!$C$3:$C$12,0))*Data[[#This Row],[Qty C]],"0")</f>
        <v>2000000</v>
      </c>
      <c r="W269" s="36">
        <f>IFERROR(INDEX(Katalog!$F$3:$F$12,MATCH(Data[[#This Row],[ItemID C]],Katalog!$C$3:$C$12,0))*Data[[#This Row],[Qty C]],"0")</f>
        <v>800000</v>
      </c>
      <c r="X269" s="21">
        <f>Data[[#This Row],[Qty A]]+Data[[#This Row],[Qty B]]+Data[[#This Row],[Qty C]]</f>
        <v>7</v>
      </c>
      <c r="Y269" s="22">
        <f>Data[[#This Row],[Harga Barang A]]+Data[[#This Row],[Harga Barang B]]+Data[[#This Row],[Harga Barang C]]</f>
        <v>2650000</v>
      </c>
      <c r="Z269" s="35">
        <f>IFERROR(Data[[#This Row],[Total Harga]]-(Data[[#This Row],[Total Harga]]*Data[[#This Row],[Diskon]]),Data[[#This Row],[Total Harga]])</f>
        <v>2252500</v>
      </c>
      <c r="AA269" s="35">
        <f>(Data[[#This Row],[Profit A]]+Data[[#This Row],[Profit B]]+Data[[#This Row],[Profit C]])</f>
        <v>1050000</v>
      </c>
      <c r="AB269" s="35">
        <f>IFERROR((Data[[#This Row],[Profit non Diskon]]-(Data[[#This Row],[Profit non Diskon]]*Data[[#This Row],[Diskon]])),Data[[#This Row],[Profit non Diskon]])</f>
        <v>892500</v>
      </c>
      <c r="AC269" s="23" t="s">
        <v>32</v>
      </c>
      <c r="AD269" s="37">
        <f>IFERROR(INDEX('Kode Diskon'!$D$3:$D$9,MATCH(Data[[#This Row],[Kode diskon]],'Kode Diskon'!$C$3:$C$9,0)),"-")</f>
        <v>0.15</v>
      </c>
      <c r="AE269" s="23" t="s">
        <v>9</v>
      </c>
      <c r="AF269" s="23" t="s">
        <v>12</v>
      </c>
      <c r="AG269" s="23" t="s">
        <v>80</v>
      </c>
      <c r="AH269" s="24">
        <v>45041</v>
      </c>
      <c r="AI269" s="23" t="str">
        <f>TEXT(Data[[#This Row],[Tanggal terjual]],"dddd")</f>
        <v>Tuesday</v>
      </c>
      <c r="AJ269" s="21" t="str">
        <f>TEXT(Data[[#This Row],[Tanggal terjual]],"wwww")</f>
        <v>wwww</v>
      </c>
    </row>
    <row r="270" spans="1:36" x14ac:dyDescent="0.2">
      <c r="A270" s="20">
        <v>269</v>
      </c>
      <c r="B270" s="21" t="str">
        <f>_xlfn.CONCAT("ORD-",INDEX(Helper!$B$2:$B$5,MATCH(Data[[#This Row],[Marketplace]],Helper!$A$2:$A$5,0)),TEXT(Data[[#This Row],[No]],"0000"),"-",TEXT(Data[[#This Row],[Tanggal terjual]],"dd/mm/yy"))</f>
        <v>ORD-TK0269-03/04/23</v>
      </c>
      <c r="C270" t="s">
        <v>66</v>
      </c>
      <c r="D270" t="str">
        <f>IFERROR(INDEX(Katalog!$A$3:$A$12,MATCH(Data[[#This Row],[ItemID A]],Katalog!$C$3:$C$12,0)),"-")</f>
        <v>Sepatu Pria</v>
      </c>
      <c r="E270" t="str">
        <f>IFERROR(INDEX(Katalog!$B$3:$B$12,MATCH(Data[[#This Row],[ItemID A]],Katalog!$C$3:$C$12,0)),"-")</f>
        <v>Sandal Slip On</v>
      </c>
      <c r="F270">
        <v>4</v>
      </c>
      <c r="G270">
        <v>2</v>
      </c>
      <c r="H270" s="36">
        <f>IFERROR(INDEX(Katalog!$D$3:$D$12,MATCH(Data[[#This Row],[ItemID A]],Katalog!$C$3:$C$12,0))*Data[[#This Row],[Qty A]],"0")</f>
        <v>600000</v>
      </c>
      <c r="I270" s="36">
        <f>IFERROR(INDEX(Katalog!$F$3:$F$12,MATCH(Data[[#This Row],[ItemID A]],Katalog!$C$3:$C$12,0))*Data[[#This Row],[Qty A]],0)</f>
        <v>240000</v>
      </c>
      <c r="J270" t="s">
        <v>59</v>
      </c>
      <c r="K270" t="str">
        <f>IFERROR(INDEX(Katalog!$A$3:$A$12,MATCH(Data[[#This Row],[ItemID B]],Katalog!$C$3:$C$12,0)),"-")</f>
        <v>Pakaian Wanita</v>
      </c>
      <c r="L270" t="str">
        <f>IFERROR(INDEX(Katalog!$B$3:$B$12,MATCH(Data[[#This Row],[ItemID B]],Katalog!$C$3:$C$12,0)),"-")</f>
        <v>Blouse</v>
      </c>
      <c r="M270">
        <v>3</v>
      </c>
      <c r="N270">
        <v>4</v>
      </c>
      <c r="O270" s="36">
        <f>IFERROR(INDEX(Katalog!$D$3:$D$12,MATCH(Data[[#This Row],[ItemID B]],Katalog!$C$3:$C$12,0))*Data[[#This Row],[Qty B]],"0")</f>
        <v>450000</v>
      </c>
      <c r="P270" s="36">
        <f>IFERROR(INDEX(Katalog!$F$3:$F$12,MATCH(Data[[#This Row],[ItemID B]],Katalog!$C$3:$C$12,0))*Data[[#This Row],[Qty B]],"0")</f>
        <v>150000</v>
      </c>
      <c r="R270" t="str">
        <f>IFERROR(INDEX(Katalog!$A$3:$A$12,MATCH(Data[[#This Row],[ItemID C]],Katalog!$C$3:$C$12,0)),"-")</f>
        <v>-</v>
      </c>
      <c r="S270" t="str">
        <f>IFERROR(INDEX(Katalog!$B$3:$B$12,MATCH(Data[[#This Row],[ItemID C]],Katalog!$C$3:$C$12,0)),"-")</f>
        <v>-</v>
      </c>
      <c r="V270" s="36" t="str">
        <f>IFERROR(INDEX(Katalog!$D$3:$D$12,MATCH(Data[[#This Row],[ItemID C]],Katalog!$C$3:$C$12,0))*Data[[#This Row],[Qty C]],"0")</f>
        <v>0</v>
      </c>
      <c r="W270" s="36" t="str">
        <f>IFERROR(INDEX(Katalog!$F$3:$F$12,MATCH(Data[[#This Row],[ItemID C]],Katalog!$C$3:$C$12,0))*Data[[#This Row],[Qty C]],"0")</f>
        <v>0</v>
      </c>
      <c r="X270" s="21">
        <f>Data[[#This Row],[Qty A]]+Data[[#This Row],[Qty B]]+Data[[#This Row],[Qty C]]</f>
        <v>7</v>
      </c>
      <c r="Y270" s="22">
        <f>Data[[#This Row],[Harga Barang A]]+Data[[#This Row],[Harga Barang B]]+Data[[#This Row],[Harga Barang C]]</f>
        <v>1050000</v>
      </c>
      <c r="Z270" s="35">
        <f>IFERROR(Data[[#This Row],[Total Harga]]-(Data[[#This Row],[Total Harga]]*Data[[#This Row],[Diskon]]),Data[[#This Row],[Total Harga]])</f>
        <v>945000</v>
      </c>
      <c r="AA270" s="35">
        <f>(Data[[#This Row],[Profit A]]+Data[[#This Row],[Profit B]]+Data[[#This Row],[Profit C]])</f>
        <v>390000</v>
      </c>
      <c r="AB270" s="35">
        <f>IFERROR((Data[[#This Row],[Profit non Diskon]]-(Data[[#This Row],[Profit non Diskon]]*Data[[#This Row],[Diskon]])),Data[[#This Row],[Profit non Diskon]])</f>
        <v>351000</v>
      </c>
      <c r="AC270" s="23" t="s">
        <v>30</v>
      </c>
      <c r="AD270" s="37">
        <f>IFERROR(INDEX('Kode Diskon'!$D$3:$D$9,MATCH(Data[[#This Row],[Kode diskon]],'Kode Diskon'!$C$3:$C$9,0)),"-")</f>
        <v>0.1</v>
      </c>
      <c r="AE270" s="23" t="s">
        <v>29</v>
      </c>
      <c r="AF270" s="23" t="s">
        <v>10</v>
      </c>
      <c r="AG270" s="23" t="s">
        <v>80</v>
      </c>
      <c r="AH270" s="24">
        <v>45019</v>
      </c>
      <c r="AI270" s="23" t="str">
        <f>TEXT(Data[[#This Row],[Tanggal terjual]],"dddd")</f>
        <v>Monday</v>
      </c>
      <c r="AJ270" s="21" t="str">
        <f>TEXT(Data[[#This Row],[Tanggal terjual]],"wwww")</f>
        <v>wwww</v>
      </c>
    </row>
    <row r="271" spans="1:36" x14ac:dyDescent="0.2">
      <c r="A271" s="20">
        <v>270</v>
      </c>
      <c r="B271" s="21" t="str">
        <f>_xlfn.CONCAT("ORD-",INDEX(Helper!$B$2:$B$5,MATCH(Data[[#This Row],[Marketplace]],Helper!$A$2:$A$5,0)),TEXT(Data[[#This Row],[No]],"0000"),"-",TEXT(Data[[#This Row],[Tanggal terjual]],"dd/mm/yy"))</f>
        <v>ORD-BL0270-20/04/23</v>
      </c>
      <c r="C271" t="s">
        <v>64</v>
      </c>
      <c r="D271" t="str">
        <f>IFERROR(INDEX(Katalog!$A$3:$A$12,MATCH(Data[[#This Row],[ItemID A]],Katalog!$C$3:$C$12,0)),"-")</f>
        <v>Pakaian Unisex</v>
      </c>
      <c r="E271" t="str">
        <f>IFERROR(INDEX(Katalog!$B$3:$B$12,MATCH(Data[[#This Row],[ItemID A]],Katalog!$C$3:$C$12,0)),"-")</f>
        <v>Jaket Hoodie</v>
      </c>
      <c r="F271">
        <v>1</v>
      </c>
      <c r="G271">
        <v>5</v>
      </c>
      <c r="H271" s="36">
        <f>IFERROR(INDEX(Katalog!$D$3:$D$12,MATCH(Data[[#This Row],[ItemID A]],Katalog!$C$3:$C$12,0))*Data[[#This Row],[Qty A]],"0")</f>
        <v>350000</v>
      </c>
      <c r="I271" s="36">
        <f>IFERROR(INDEX(Katalog!$F$3:$F$12,MATCH(Data[[#This Row],[ItemID A]],Katalog!$C$3:$C$12,0))*Data[[#This Row],[Qty A]],0)</f>
        <v>130000</v>
      </c>
      <c r="J271" t="s">
        <v>61</v>
      </c>
      <c r="K271" t="str">
        <f>IFERROR(INDEX(Katalog!$A$3:$A$12,MATCH(Data[[#This Row],[ItemID B]],Katalog!$C$3:$C$12,0)),"-")</f>
        <v>Pakaian Pria</v>
      </c>
      <c r="L271" t="str">
        <f>IFERROR(INDEX(Katalog!$B$3:$B$12,MATCH(Data[[#This Row],[ItemID B]],Katalog!$C$3:$C$12,0)),"-")</f>
        <v>Kaos Polo</v>
      </c>
      <c r="M271">
        <v>1</v>
      </c>
      <c r="N271">
        <v>1</v>
      </c>
      <c r="O271" s="36">
        <f>IFERROR(INDEX(Katalog!$D$3:$D$12,MATCH(Data[[#This Row],[ItemID B]],Katalog!$C$3:$C$12,0))*Data[[#This Row],[Qty B]],"0")</f>
        <v>200000</v>
      </c>
      <c r="P271" s="36">
        <f>IFERROR(INDEX(Katalog!$F$3:$F$12,MATCH(Data[[#This Row],[ItemID B]],Katalog!$C$3:$C$12,0))*Data[[#This Row],[Qty B]],"0")</f>
        <v>80000</v>
      </c>
      <c r="R271" t="str">
        <f>IFERROR(INDEX(Katalog!$A$3:$A$12,MATCH(Data[[#This Row],[ItemID C]],Katalog!$C$3:$C$12,0)),"-")</f>
        <v>-</v>
      </c>
      <c r="S271" t="str">
        <f>IFERROR(INDEX(Katalog!$B$3:$B$12,MATCH(Data[[#This Row],[ItemID C]],Katalog!$C$3:$C$12,0)),"-")</f>
        <v>-</v>
      </c>
      <c r="V271" s="36" t="str">
        <f>IFERROR(INDEX(Katalog!$D$3:$D$12,MATCH(Data[[#This Row],[ItemID C]],Katalog!$C$3:$C$12,0))*Data[[#This Row],[Qty C]],"0")</f>
        <v>0</v>
      </c>
      <c r="W271" s="36" t="str">
        <f>IFERROR(INDEX(Katalog!$F$3:$F$12,MATCH(Data[[#This Row],[ItemID C]],Katalog!$C$3:$C$12,0))*Data[[#This Row],[Qty C]],"0")</f>
        <v>0</v>
      </c>
      <c r="X271" s="21">
        <f>Data[[#This Row],[Qty A]]+Data[[#This Row],[Qty B]]+Data[[#This Row],[Qty C]]</f>
        <v>2</v>
      </c>
      <c r="Y271" s="22">
        <f>Data[[#This Row],[Harga Barang A]]+Data[[#This Row],[Harga Barang B]]+Data[[#This Row],[Harga Barang C]]</f>
        <v>550000</v>
      </c>
      <c r="Z271" s="35">
        <f>IFERROR(Data[[#This Row],[Total Harga]]-(Data[[#This Row],[Total Harga]]*Data[[#This Row],[Diskon]]),Data[[#This Row],[Total Harga]])</f>
        <v>467500</v>
      </c>
      <c r="AA271" s="35">
        <f>(Data[[#This Row],[Profit A]]+Data[[#This Row],[Profit B]]+Data[[#This Row],[Profit C]])</f>
        <v>210000</v>
      </c>
      <c r="AB271" s="35">
        <f>IFERROR((Data[[#This Row],[Profit non Diskon]]-(Data[[#This Row],[Profit non Diskon]]*Data[[#This Row],[Diskon]])),Data[[#This Row],[Profit non Diskon]])</f>
        <v>178500</v>
      </c>
      <c r="AC271" s="23" t="s">
        <v>32</v>
      </c>
      <c r="AD271" s="37">
        <f>IFERROR(INDEX('Kode Diskon'!$D$3:$D$9,MATCH(Data[[#This Row],[Kode diskon]],'Kode Diskon'!$C$3:$C$9,0)),"-")</f>
        <v>0.15</v>
      </c>
      <c r="AE271" s="23" t="s">
        <v>9</v>
      </c>
      <c r="AF271" s="23" t="s">
        <v>12</v>
      </c>
      <c r="AG271" s="23" t="s">
        <v>80</v>
      </c>
      <c r="AH271" s="24">
        <v>45036</v>
      </c>
      <c r="AI271" s="23" t="str">
        <f>TEXT(Data[[#This Row],[Tanggal terjual]],"dddd")</f>
        <v>Thursday</v>
      </c>
      <c r="AJ271" s="21" t="str">
        <f>TEXT(Data[[#This Row],[Tanggal terjual]],"wwww")</f>
        <v>wwww</v>
      </c>
    </row>
    <row r="272" spans="1:36" x14ac:dyDescent="0.2">
      <c r="A272" s="20">
        <v>271</v>
      </c>
      <c r="B272" s="21" t="str">
        <f>_xlfn.CONCAT("ORD-",INDEX(Helper!$B$2:$B$5,MATCH(Data[[#This Row],[Marketplace]],Helper!$A$2:$A$5,0)),TEXT(Data[[#This Row],[No]],"0000"),"-",TEXT(Data[[#This Row],[Tanggal terjual]],"dd/mm/yy"))</f>
        <v>ORD-SP0271-14/04/23</v>
      </c>
      <c r="C272" t="s">
        <v>60</v>
      </c>
      <c r="D272" t="str">
        <f>IFERROR(INDEX(Katalog!$A$3:$A$12,MATCH(Data[[#This Row],[ItemID A]],Katalog!$C$3:$C$12,0)),"-")</f>
        <v>Pakaian Wanita</v>
      </c>
      <c r="E272" t="str">
        <f>IFERROR(INDEX(Katalog!$B$3:$B$12,MATCH(Data[[#This Row],[ItemID A]],Katalog!$C$3:$C$12,0)),"-")</f>
        <v>Kaftan</v>
      </c>
      <c r="F272">
        <v>5</v>
      </c>
      <c r="G272">
        <v>5</v>
      </c>
      <c r="H272" s="36">
        <f>IFERROR(INDEX(Katalog!$D$3:$D$12,MATCH(Data[[#This Row],[ItemID A]],Katalog!$C$3:$C$12,0))*Data[[#This Row],[Qty A]],"0")</f>
        <v>1250000</v>
      </c>
      <c r="I272" s="36">
        <f>IFERROR(INDEX(Katalog!$F$3:$F$12,MATCH(Data[[#This Row],[ItemID A]],Katalog!$C$3:$C$12,0))*Data[[#This Row],[Qty A]],0)</f>
        <v>500000</v>
      </c>
      <c r="K272" t="str">
        <f>IFERROR(INDEX(Katalog!$A$3:$A$12,MATCH(Data[[#This Row],[ItemID B]],Katalog!$C$3:$C$12,0)),"-")</f>
        <v>-</v>
      </c>
      <c r="L272" t="str">
        <f>IFERROR(INDEX(Katalog!$B$3:$B$12,MATCH(Data[[#This Row],[ItemID B]],Katalog!$C$3:$C$12,0)),"-")</f>
        <v>-</v>
      </c>
      <c r="O272" s="36" t="str">
        <f>IFERROR(INDEX(Katalog!$D$3:$D$12,MATCH(Data[[#This Row],[ItemID B]],Katalog!$C$3:$C$12,0))*Data[[#This Row],[Qty B]],"0")</f>
        <v>0</v>
      </c>
      <c r="P272" s="36" t="str">
        <f>IFERROR(INDEX(Katalog!$F$3:$F$12,MATCH(Data[[#This Row],[ItemID B]],Katalog!$C$3:$C$12,0))*Data[[#This Row],[Qty B]],"0")</f>
        <v>0</v>
      </c>
      <c r="R272" t="str">
        <f>IFERROR(INDEX(Katalog!$A$3:$A$12,MATCH(Data[[#This Row],[ItemID C]],Katalog!$C$3:$C$12,0)),"-")</f>
        <v>-</v>
      </c>
      <c r="S272" t="str">
        <f>IFERROR(INDEX(Katalog!$B$3:$B$12,MATCH(Data[[#This Row],[ItemID C]],Katalog!$C$3:$C$12,0)),"-")</f>
        <v>-</v>
      </c>
      <c r="V272" s="36" t="str">
        <f>IFERROR(INDEX(Katalog!$D$3:$D$12,MATCH(Data[[#This Row],[ItemID C]],Katalog!$C$3:$C$12,0))*Data[[#This Row],[Qty C]],"0")</f>
        <v>0</v>
      </c>
      <c r="W272" s="36" t="str">
        <f>IFERROR(INDEX(Katalog!$F$3:$F$12,MATCH(Data[[#This Row],[ItemID C]],Katalog!$C$3:$C$12,0))*Data[[#This Row],[Qty C]],"0")</f>
        <v>0</v>
      </c>
      <c r="X272" s="21">
        <f>Data[[#This Row],[Qty A]]+Data[[#This Row],[Qty B]]+Data[[#This Row],[Qty C]]</f>
        <v>5</v>
      </c>
      <c r="Y272" s="22">
        <f>Data[[#This Row],[Harga Barang A]]+Data[[#This Row],[Harga Barang B]]+Data[[#This Row],[Harga Barang C]]</f>
        <v>1250000</v>
      </c>
      <c r="Z272" s="35">
        <f>IFERROR(Data[[#This Row],[Total Harga]]-(Data[[#This Row],[Total Harga]]*Data[[#This Row],[Diskon]]),Data[[#This Row],[Total Harga]])</f>
        <v>1250000</v>
      </c>
      <c r="AA272" s="35">
        <f>(Data[[#This Row],[Profit A]]+Data[[#This Row],[Profit B]]+Data[[#This Row],[Profit C]])</f>
        <v>500000</v>
      </c>
      <c r="AB272" s="35">
        <f>IFERROR((Data[[#This Row],[Profit non Diskon]]-(Data[[#This Row],[Profit non Diskon]]*Data[[#This Row],[Diskon]])),Data[[#This Row],[Profit non Diskon]])</f>
        <v>500000</v>
      </c>
      <c r="AC272" s="23" t="s">
        <v>11</v>
      </c>
      <c r="AD272" s="37" t="str">
        <f>IFERROR(INDEX('Kode Diskon'!$D$3:$D$9,MATCH(Data[[#This Row],[Kode diskon]],'Kode Diskon'!$C$3:$C$9,0)),"-")</f>
        <v>-</v>
      </c>
      <c r="AE272" s="23" t="s">
        <v>11</v>
      </c>
      <c r="AF272" s="23" t="s">
        <v>7</v>
      </c>
      <c r="AG272" s="23" t="s">
        <v>79</v>
      </c>
      <c r="AH272" s="24">
        <v>45030</v>
      </c>
      <c r="AI272" s="23" t="str">
        <f>TEXT(Data[[#This Row],[Tanggal terjual]],"dddd")</f>
        <v>Friday</v>
      </c>
      <c r="AJ272" s="21" t="str">
        <f>TEXT(Data[[#This Row],[Tanggal terjual]],"wwww")</f>
        <v>wwww</v>
      </c>
    </row>
    <row r="273" spans="1:36" x14ac:dyDescent="0.2">
      <c r="A273" s="20">
        <v>272</v>
      </c>
      <c r="B273" s="21" t="str">
        <f>_xlfn.CONCAT("ORD-",INDEX(Helper!$B$2:$B$5,MATCH(Data[[#This Row],[Marketplace]],Helper!$A$2:$A$5,0)),TEXT(Data[[#This Row],[No]],"0000"),"-",TEXT(Data[[#This Row],[Tanggal terjual]],"dd/mm/yy"))</f>
        <v>ORD-TK0272-21/04/23</v>
      </c>
      <c r="C273" t="s">
        <v>66</v>
      </c>
      <c r="D273" t="str">
        <f>IFERROR(INDEX(Katalog!$A$3:$A$12,MATCH(Data[[#This Row],[ItemID A]],Katalog!$C$3:$C$12,0)),"-")</f>
        <v>Sepatu Pria</v>
      </c>
      <c r="E273" t="str">
        <f>IFERROR(INDEX(Katalog!$B$3:$B$12,MATCH(Data[[#This Row],[ItemID A]],Katalog!$C$3:$C$12,0)),"-")</f>
        <v>Sandal Slip On</v>
      </c>
      <c r="F273">
        <v>5</v>
      </c>
      <c r="G273">
        <v>2</v>
      </c>
      <c r="H273" s="36">
        <f>IFERROR(INDEX(Katalog!$D$3:$D$12,MATCH(Data[[#This Row],[ItemID A]],Katalog!$C$3:$C$12,0))*Data[[#This Row],[Qty A]],"0")</f>
        <v>750000</v>
      </c>
      <c r="I273" s="36">
        <f>IFERROR(INDEX(Katalog!$F$3:$F$12,MATCH(Data[[#This Row],[ItemID A]],Katalog!$C$3:$C$12,0))*Data[[#This Row],[Qty A]],0)</f>
        <v>300000</v>
      </c>
      <c r="K273" t="str">
        <f>IFERROR(INDEX(Katalog!$A$3:$A$12,MATCH(Data[[#This Row],[ItemID B]],Katalog!$C$3:$C$12,0)),"-")</f>
        <v>-</v>
      </c>
      <c r="L273" t="str">
        <f>IFERROR(INDEX(Katalog!$B$3:$B$12,MATCH(Data[[#This Row],[ItemID B]],Katalog!$C$3:$C$12,0)),"-")</f>
        <v>-</v>
      </c>
      <c r="O273" s="36" t="str">
        <f>IFERROR(INDEX(Katalog!$D$3:$D$12,MATCH(Data[[#This Row],[ItemID B]],Katalog!$C$3:$C$12,0))*Data[[#This Row],[Qty B]],"0")</f>
        <v>0</v>
      </c>
      <c r="P273" s="36" t="str">
        <f>IFERROR(INDEX(Katalog!$F$3:$F$12,MATCH(Data[[#This Row],[ItemID B]],Katalog!$C$3:$C$12,0))*Data[[#This Row],[Qty B]],"0")</f>
        <v>0</v>
      </c>
      <c r="R273" t="str">
        <f>IFERROR(INDEX(Katalog!$A$3:$A$12,MATCH(Data[[#This Row],[ItemID C]],Katalog!$C$3:$C$12,0)),"-")</f>
        <v>-</v>
      </c>
      <c r="S273" t="str">
        <f>IFERROR(INDEX(Katalog!$B$3:$B$12,MATCH(Data[[#This Row],[ItemID C]],Katalog!$C$3:$C$12,0)),"-")</f>
        <v>-</v>
      </c>
      <c r="V273" s="36" t="str">
        <f>IFERROR(INDEX(Katalog!$D$3:$D$12,MATCH(Data[[#This Row],[ItemID C]],Katalog!$C$3:$C$12,0))*Data[[#This Row],[Qty C]],"0")</f>
        <v>0</v>
      </c>
      <c r="W273" s="36" t="str">
        <f>IFERROR(INDEX(Katalog!$F$3:$F$12,MATCH(Data[[#This Row],[ItemID C]],Katalog!$C$3:$C$12,0))*Data[[#This Row],[Qty C]],"0")</f>
        <v>0</v>
      </c>
      <c r="X273" s="21">
        <f>Data[[#This Row],[Qty A]]+Data[[#This Row],[Qty B]]+Data[[#This Row],[Qty C]]</f>
        <v>5</v>
      </c>
      <c r="Y273" s="22">
        <f>Data[[#This Row],[Harga Barang A]]+Data[[#This Row],[Harga Barang B]]+Data[[#This Row],[Harga Barang C]]</f>
        <v>750000</v>
      </c>
      <c r="Z273" s="35">
        <f>IFERROR(Data[[#This Row],[Total Harga]]-(Data[[#This Row],[Total Harga]]*Data[[#This Row],[Diskon]]),Data[[#This Row],[Total Harga]])</f>
        <v>675000</v>
      </c>
      <c r="AA273" s="35">
        <f>(Data[[#This Row],[Profit A]]+Data[[#This Row],[Profit B]]+Data[[#This Row],[Profit C]])</f>
        <v>300000</v>
      </c>
      <c r="AB273" s="35">
        <f>IFERROR((Data[[#This Row],[Profit non Diskon]]-(Data[[#This Row],[Profit non Diskon]]*Data[[#This Row],[Diskon]])),Data[[#This Row],[Profit non Diskon]])</f>
        <v>270000</v>
      </c>
      <c r="AC273" s="23" t="s">
        <v>31</v>
      </c>
      <c r="AD273" s="37">
        <f>IFERROR(INDEX('Kode Diskon'!$D$3:$D$9,MATCH(Data[[#This Row],[Kode diskon]],'Kode Diskon'!$C$3:$C$9,0)),"-")</f>
        <v>0.1</v>
      </c>
      <c r="AE273" s="23" t="s">
        <v>9</v>
      </c>
      <c r="AF273" s="23" t="s">
        <v>10</v>
      </c>
      <c r="AG273" s="23" t="s">
        <v>80</v>
      </c>
      <c r="AH273" s="24">
        <v>45037</v>
      </c>
      <c r="AI273" s="23" t="str">
        <f>TEXT(Data[[#This Row],[Tanggal terjual]],"dddd")</f>
        <v>Friday</v>
      </c>
      <c r="AJ273" s="21" t="str">
        <f>TEXT(Data[[#This Row],[Tanggal terjual]],"wwww")</f>
        <v>wwww</v>
      </c>
    </row>
    <row r="274" spans="1:36" x14ac:dyDescent="0.2">
      <c r="A274" s="20">
        <v>273</v>
      </c>
      <c r="B274" s="21" t="str">
        <f>_xlfn.CONCAT("ORD-",INDEX(Helper!$B$2:$B$5,MATCH(Data[[#This Row],[Marketplace]],Helper!$A$2:$A$5,0)),TEXT(Data[[#This Row],[No]],"0000"),"-",TEXT(Data[[#This Row],[Tanggal terjual]],"dd/mm/yy"))</f>
        <v>ORD-SP0273-04/04/23</v>
      </c>
      <c r="C274" t="s">
        <v>67</v>
      </c>
      <c r="D274" t="str">
        <f>IFERROR(INDEX(Katalog!$A$3:$A$12,MATCH(Data[[#This Row],[ItemID A]],Katalog!$C$3:$C$12,0)),"-")</f>
        <v>Sepatu Wanita</v>
      </c>
      <c r="E274" t="str">
        <f>IFERROR(INDEX(Katalog!$B$3:$B$12,MATCH(Data[[#This Row],[ItemID A]],Katalog!$C$3:$C$12,0)),"-")</f>
        <v>Flat Shoes</v>
      </c>
      <c r="F274">
        <v>2</v>
      </c>
      <c r="G274">
        <v>4</v>
      </c>
      <c r="H274" s="36">
        <f>IFERROR(INDEX(Katalog!$D$3:$D$12,MATCH(Data[[#This Row],[ItemID A]],Katalog!$C$3:$C$12,0))*Data[[#This Row],[Qty A]],"0")</f>
        <v>500000</v>
      </c>
      <c r="I274" s="36">
        <f>IFERROR(INDEX(Katalog!$F$3:$F$12,MATCH(Data[[#This Row],[ItemID A]],Katalog!$C$3:$C$12,0))*Data[[#This Row],[Qty A]],0)</f>
        <v>200000</v>
      </c>
      <c r="J274" t="s">
        <v>66</v>
      </c>
      <c r="K274" t="str">
        <f>IFERROR(INDEX(Katalog!$A$3:$A$12,MATCH(Data[[#This Row],[ItemID B]],Katalog!$C$3:$C$12,0)),"-")</f>
        <v>Sepatu Pria</v>
      </c>
      <c r="L274" t="str">
        <f>IFERROR(INDEX(Katalog!$B$3:$B$12,MATCH(Data[[#This Row],[ItemID B]],Katalog!$C$3:$C$12,0)),"-")</f>
        <v>Sandal Slip On</v>
      </c>
      <c r="M274">
        <v>4</v>
      </c>
      <c r="N274">
        <v>4</v>
      </c>
      <c r="O274" s="36">
        <f>IFERROR(INDEX(Katalog!$D$3:$D$12,MATCH(Data[[#This Row],[ItemID B]],Katalog!$C$3:$C$12,0))*Data[[#This Row],[Qty B]],"0")</f>
        <v>600000</v>
      </c>
      <c r="P274" s="36">
        <f>IFERROR(INDEX(Katalog!$F$3:$F$12,MATCH(Data[[#This Row],[ItemID B]],Katalog!$C$3:$C$12,0))*Data[[#This Row],[Qty B]],"0")</f>
        <v>240000</v>
      </c>
      <c r="Q274" t="s">
        <v>67</v>
      </c>
      <c r="R274" t="str">
        <f>IFERROR(INDEX(Katalog!$A$3:$A$12,MATCH(Data[[#This Row],[ItemID C]],Katalog!$C$3:$C$12,0)),"-")</f>
        <v>Sepatu Wanita</v>
      </c>
      <c r="S274" t="str">
        <f>IFERROR(INDEX(Katalog!$B$3:$B$12,MATCH(Data[[#This Row],[ItemID C]],Katalog!$C$3:$C$12,0)),"-")</f>
        <v>Flat Shoes</v>
      </c>
      <c r="T274">
        <v>1</v>
      </c>
      <c r="U274">
        <v>3</v>
      </c>
      <c r="V274" s="36">
        <f>IFERROR(INDEX(Katalog!$D$3:$D$12,MATCH(Data[[#This Row],[ItemID C]],Katalog!$C$3:$C$12,0))*Data[[#This Row],[Qty C]],"0")</f>
        <v>250000</v>
      </c>
      <c r="W274" s="36">
        <f>IFERROR(INDEX(Katalog!$F$3:$F$12,MATCH(Data[[#This Row],[ItemID C]],Katalog!$C$3:$C$12,0))*Data[[#This Row],[Qty C]],"0")</f>
        <v>100000</v>
      </c>
      <c r="X274" s="21">
        <f>Data[[#This Row],[Qty A]]+Data[[#This Row],[Qty B]]+Data[[#This Row],[Qty C]]</f>
        <v>7</v>
      </c>
      <c r="Y274" s="22">
        <f>Data[[#This Row],[Harga Barang A]]+Data[[#This Row],[Harga Barang B]]+Data[[#This Row],[Harga Barang C]]</f>
        <v>1350000</v>
      </c>
      <c r="Z274" s="35">
        <f>IFERROR(Data[[#This Row],[Total Harga]]-(Data[[#This Row],[Total Harga]]*Data[[#This Row],[Diskon]]),Data[[#This Row],[Total Harga]])</f>
        <v>1215000</v>
      </c>
      <c r="AA274" s="35">
        <f>(Data[[#This Row],[Profit A]]+Data[[#This Row],[Profit B]]+Data[[#This Row],[Profit C]])</f>
        <v>540000</v>
      </c>
      <c r="AB274" s="35">
        <f>IFERROR((Data[[#This Row],[Profit non Diskon]]-(Data[[#This Row],[Profit non Diskon]]*Data[[#This Row],[Diskon]])),Data[[#This Row],[Profit non Diskon]])</f>
        <v>486000</v>
      </c>
      <c r="AC274" s="23" t="s">
        <v>6</v>
      </c>
      <c r="AD274" s="37">
        <f>IFERROR(INDEX('Kode Diskon'!$D$3:$D$9,MATCH(Data[[#This Row],[Kode diskon]],'Kode Diskon'!$C$3:$C$9,0)),"-")</f>
        <v>0.1</v>
      </c>
      <c r="AE274" s="23" t="s">
        <v>29</v>
      </c>
      <c r="AF274" s="23" t="s">
        <v>7</v>
      </c>
      <c r="AG274" s="23" t="s">
        <v>75</v>
      </c>
      <c r="AH274" s="24">
        <v>45020</v>
      </c>
      <c r="AI274" s="23" t="str">
        <f>TEXT(Data[[#This Row],[Tanggal terjual]],"dddd")</f>
        <v>Tuesday</v>
      </c>
      <c r="AJ274" s="21" t="str">
        <f>TEXT(Data[[#This Row],[Tanggal terjual]],"wwww")</f>
        <v>wwww</v>
      </c>
    </row>
    <row r="275" spans="1:36" x14ac:dyDescent="0.2">
      <c r="A275" s="20">
        <v>274</v>
      </c>
      <c r="B275" s="21" t="str">
        <f>_xlfn.CONCAT("ORD-",INDEX(Helper!$B$2:$B$5,MATCH(Data[[#This Row],[Marketplace]],Helper!$A$2:$A$5,0)),TEXT(Data[[#This Row],[No]],"0000"),"-",TEXT(Data[[#This Row],[Tanggal terjual]],"dd/mm/yy"))</f>
        <v>ORD-SP0274-20/04/23</v>
      </c>
      <c r="C275" t="s">
        <v>60</v>
      </c>
      <c r="D275" t="str">
        <f>IFERROR(INDEX(Katalog!$A$3:$A$12,MATCH(Data[[#This Row],[ItemID A]],Katalog!$C$3:$C$12,0)),"-")</f>
        <v>Pakaian Wanita</v>
      </c>
      <c r="E275" t="str">
        <f>IFERROR(INDEX(Katalog!$B$3:$B$12,MATCH(Data[[#This Row],[ItemID A]],Katalog!$C$3:$C$12,0)),"-")</f>
        <v>Kaftan</v>
      </c>
      <c r="F275">
        <v>4</v>
      </c>
      <c r="G275">
        <v>4</v>
      </c>
      <c r="H275" s="36">
        <f>IFERROR(INDEX(Katalog!$D$3:$D$12,MATCH(Data[[#This Row],[ItemID A]],Katalog!$C$3:$C$12,0))*Data[[#This Row],[Qty A]],"0")</f>
        <v>1000000</v>
      </c>
      <c r="I275" s="36">
        <f>IFERROR(INDEX(Katalog!$F$3:$F$12,MATCH(Data[[#This Row],[ItemID A]],Katalog!$C$3:$C$12,0))*Data[[#This Row],[Qty A]],0)</f>
        <v>400000</v>
      </c>
      <c r="K275" t="str">
        <f>IFERROR(INDEX(Katalog!$A$3:$A$12,MATCH(Data[[#This Row],[ItemID B]],Katalog!$C$3:$C$12,0)),"-")</f>
        <v>-</v>
      </c>
      <c r="L275" t="str">
        <f>IFERROR(INDEX(Katalog!$B$3:$B$12,MATCH(Data[[#This Row],[ItemID B]],Katalog!$C$3:$C$12,0)),"-")</f>
        <v>-</v>
      </c>
      <c r="O275" s="36" t="str">
        <f>IFERROR(INDEX(Katalog!$D$3:$D$12,MATCH(Data[[#This Row],[ItemID B]],Katalog!$C$3:$C$12,0))*Data[[#This Row],[Qty B]],"0")</f>
        <v>0</v>
      </c>
      <c r="P275" s="36" t="str">
        <f>IFERROR(INDEX(Katalog!$F$3:$F$12,MATCH(Data[[#This Row],[ItemID B]],Katalog!$C$3:$C$12,0))*Data[[#This Row],[Qty B]],"0")</f>
        <v>0</v>
      </c>
      <c r="R275" t="str">
        <f>IFERROR(INDEX(Katalog!$A$3:$A$12,MATCH(Data[[#This Row],[ItemID C]],Katalog!$C$3:$C$12,0)),"-")</f>
        <v>-</v>
      </c>
      <c r="S275" t="str">
        <f>IFERROR(INDEX(Katalog!$B$3:$B$12,MATCH(Data[[#This Row],[ItemID C]],Katalog!$C$3:$C$12,0)),"-")</f>
        <v>-</v>
      </c>
      <c r="V275" s="36" t="str">
        <f>IFERROR(INDEX(Katalog!$D$3:$D$12,MATCH(Data[[#This Row],[ItemID C]],Katalog!$C$3:$C$12,0))*Data[[#This Row],[Qty C]],"0")</f>
        <v>0</v>
      </c>
      <c r="W275" s="36" t="str">
        <f>IFERROR(INDEX(Katalog!$F$3:$F$12,MATCH(Data[[#This Row],[ItemID C]],Katalog!$C$3:$C$12,0))*Data[[#This Row],[Qty C]],"0")</f>
        <v>0</v>
      </c>
      <c r="X275" s="21">
        <f>Data[[#This Row],[Qty A]]+Data[[#This Row],[Qty B]]+Data[[#This Row],[Qty C]]</f>
        <v>4</v>
      </c>
      <c r="Y275" s="22">
        <f>Data[[#This Row],[Harga Barang A]]+Data[[#This Row],[Harga Barang B]]+Data[[#This Row],[Harga Barang C]]</f>
        <v>1000000</v>
      </c>
      <c r="Z275" s="35">
        <f>IFERROR(Data[[#This Row],[Total Harga]]-(Data[[#This Row],[Total Harga]]*Data[[#This Row],[Diskon]]),Data[[#This Row],[Total Harga]])</f>
        <v>800000</v>
      </c>
      <c r="AA275" s="35">
        <f>(Data[[#This Row],[Profit A]]+Data[[#This Row],[Profit B]]+Data[[#This Row],[Profit C]])</f>
        <v>400000</v>
      </c>
      <c r="AB275" s="35">
        <f>IFERROR((Data[[#This Row],[Profit non Diskon]]-(Data[[#This Row],[Profit non Diskon]]*Data[[#This Row],[Diskon]])),Data[[#This Row],[Profit non Diskon]])</f>
        <v>320000</v>
      </c>
      <c r="AC275" s="23" t="s">
        <v>8</v>
      </c>
      <c r="AD275" s="37">
        <f>IFERROR(INDEX('Kode Diskon'!$D$3:$D$9,MATCH(Data[[#This Row],[Kode diskon]],'Kode Diskon'!$C$3:$C$9,0)),"-")</f>
        <v>0.2</v>
      </c>
      <c r="AE275" s="23" t="s">
        <v>9</v>
      </c>
      <c r="AF275" s="23" t="s">
        <v>7</v>
      </c>
      <c r="AG275" s="23" t="s">
        <v>80</v>
      </c>
      <c r="AH275" s="24">
        <v>45036</v>
      </c>
      <c r="AI275" s="23" t="str">
        <f>TEXT(Data[[#This Row],[Tanggal terjual]],"dddd")</f>
        <v>Thursday</v>
      </c>
      <c r="AJ275" s="21" t="str">
        <f>TEXT(Data[[#This Row],[Tanggal terjual]],"wwww")</f>
        <v>wwww</v>
      </c>
    </row>
    <row r="276" spans="1:36" x14ac:dyDescent="0.2">
      <c r="A276" s="20">
        <v>275</v>
      </c>
      <c r="B276" s="21" t="str">
        <f>_xlfn.CONCAT("ORD-",INDEX(Helper!$B$2:$B$5,MATCH(Data[[#This Row],[Marketplace]],Helper!$A$2:$A$5,0)),TEXT(Data[[#This Row],[No]],"0000"),"-",TEXT(Data[[#This Row],[Tanggal terjual]],"dd/mm/yy"))</f>
        <v>ORD-SP0275-01/04/23</v>
      </c>
      <c r="C276" t="s">
        <v>67</v>
      </c>
      <c r="D276" t="str">
        <f>IFERROR(INDEX(Katalog!$A$3:$A$12,MATCH(Data[[#This Row],[ItemID A]],Katalog!$C$3:$C$12,0)),"-")</f>
        <v>Sepatu Wanita</v>
      </c>
      <c r="E276" t="str">
        <f>IFERROR(INDEX(Katalog!$B$3:$B$12,MATCH(Data[[#This Row],[ItemID A]],Katalog!$C$3:$C$12,0)),"-")</f>
        <v>Flat Shoes</v>
      </c>
      <c r="F276">
        <v>1</v>
      </c>
      <c r="G276">
        <v>1</v>
      </c>
      <c r="H276" s="36">
        <f>IFERROR(INDEX(Katalog!$D$3:$D$12,MATCH(Data[[#This Row],[ItemID A]],Katalog!$C$3:$C$12,0))*Data[[#This Row],[Qty A]],"0")</f>
        <v>250000</v>
      </c>
      <c r="I276" s="36">
        <f>IFERROR(INDEX(Katalog!$F$3:$F$12,MATCH(Data[[#This Row],[ItemID A]],Katalog!$C$3:$C$12,0))*Data[[#This Row],[Qty A]],0)</f>
        <v>100000</v>
      </c>
      <c r="K276" t="str">
        <f>IFERROR(INDEX(Katalog!$A$3:$A$12,MATCH(Data[[#This Row],[ItemID B]],Katalog!$C$3:$C$12,0)),"-")</f>
        <v>-</v>
      </c>
      <c r="L276" t="str">
        <f>IFERROR(INDEX(Katalog!$B$3:$B$12,MATCH(Data[[#This Row],[ItemID B]],Katalog!$C$3:$C$12,0)),"-")</f>
        <v>-</v>
      </c>
      <c r="O276" s="36" t="str">
        <f>IFERROR(INDEX(Katalog!$D$3:$D$12,MATCH(Data[[#This Row],[ItemID B]],Katalog!$C$3:$C$12,0))*Data[[#This Row],[Qty B]],"0")</f>
        <v>0</v>
      </c>
      <c r="P276" s="36" t="str">
        <f>IFERROR(INDEX(Katalog!$F$3:$F$12,MATCH(Data[[#This Row],[ItemID B]],Katalog!$C$3:$C$12,0))*Data[[#This Row],[Qty B]],"0")</f>
        <v>0</v>
      </c>
      <c r="R276" t="str">
        <f>IFERROR(INDEX(Katalog!$A$3:$A$12,MATCH(Data[[#This Row],[ItemID C]],Katalog!$C$3:$C$12,0)),"-")</f>
        <v>-</v>
      </c>
      <c r="S276" t="str">
        <f>IFERROR(INDEX(Katalog!$B$3:$B$12,MATCH(Data[[#This Row],[ItemID C]],Katalog!$C$3:$C$12,0)),"-")</f>
        <v>-</v>
      </c>
      <c r="V276" s="36" t="str">
        <f>IFERROR(INDEX(Katalog!$D$3:$D$12,MATCH(Data[[#This Row],[ItemID C]],Katalog!$C$3:$C$12,0))*Data[[#This Row],[Qty C]],"0")</f>
        <v>0</v>
      </c>
      <c r="W276" s="36" t="str">
        <f>IFERROR(INDEX(Katalog!$F$3:$F$12,MATCH(Data[[#This Row],[ItemID C]],Katalog!$C$3:$C$12,0))*Data[[#This Row],[Qty C]],"0")</f>
        <v>0</v>
      </c>
      <c r="X276" s="21">
        <f>Data[[#This Row],[Qty A]]+Data[[#This Row],[Qty B]]+Data[[#This Row],[Qty C]]</f>
        <v>1</v>
      </c>
      <c r="Y276" s="22">
        <f>Data[[#This Row],[Harga Barang A]]+Data[[#This Row],[Harga Barang B]]+Data[[#This Row],[Harga Barang C]]</f>
        <v>250000</v>
      </c>
      <c r="Z276" s="35">
        <f>IFERROR(Data[[#This Row],[Total Harga]]-(Data[[#This Row],[Total Harga]]*Data[[#This Row],[Diskon]]),Data[[#This Row],[Total Harga]])</f>
        <v>212500</v>
      </c>
      <c r="AA276" s="35">
        <f>(Data[[#This Row],[Profit A]]+Data[[#This Row],[Profit B]]+Data[[#This Row],[Profit C]])</f>
        <v>100000</v>
      </c>
      <c r="AB276" s="35">
        <f>IFERROR((Data[[#This Row],[Profit non Diskon]]-(Data[[#This Row],[Profit non Diskon]]*Data[[#This Row],[Diskon]])),Data[[#This Row],[Profit non Diskon]])</f>
        <v>85000</v>
      </c>
      <c r="AC276" s="23" t="s">
        <v>13</v>
      </c>
      <c r="AD276" s="37">
        <f>IFERROR(INDEX('Kode Diskon'!$D$3:$D$9,MATCH(Data[[#This Row],[Kode diskon]],'Kode Diskon'!$C$3:$C$9,0)),"-")</f>
        <v>0.15</v>
      </c>
      <c r="AE276" s="23" t="s">
        <v>29</v>
      </c>
      <c r="AF276" s="23" t="s">
        <v>7</v>
      </c>
      <c r="AG276" s="23" t="s">
        <v>79</v>
      </c>
      <c r="AH276" s="24">
        <v>45017</v>
      </c>
      <c r="AI276" s="23" t="str">
        <f>TEXT(Data[[#This Row],[Tanggal terjual]],"dddd")</f>
        <v>Saturday</v>
      </c>
      <c r="AJ276" s="21" t="str">
        <f>TEXT(Data[[#This Row],[Tanggal terjual]],"wwww")</f>
        <v>wwww</v>
      </c>
    </row>
    <row r="277" spans="1:36" x14ac:dyDescent="0.2">
      <c r="A277" s="20">
        <v>276</v>
      </c>
      <c r="B277" s="21" t="str">
        <f>_xlfn.CONCAT("ORD-",INDEX(Helper!$B$2:$B$5,MATCH(Data[[#This Row],[Marketplace]],Helper!$A$2:$A$5,0)),TEXT(Data[[#This Row],[No]],"0000"),"-",TEXT(Data[[#This Row],[Tanggal terjual]],"dd/mm/yy"))</f>
        <v>ORD-TK0276-06/04/23</v>
      </c>
      <c r="C277" t="s">
        <v>66</v>
      </c>
      <c r="D277" t="str">
        <f>IFERROR(INDEX(Katalog!$A$3:$A$12,MATCH(Data[[#This Row],[ItemID A]],Katalog!$C$3:$C$12,0)),"-")</f>
        <v>Sepatu Pria</v>
      </c>
      <c r="E277" t="str">
        <f>IFERROR(INDEX(Katalog!$B$3:$B$12,MATCH(Data[[#This Row],[ItemID A]],Katalog!$C$3:$C$12,0)),"-")</f>
        <v>Sandal Slip On</v>
      </c>
      <c r="F277">
        <v>1</v>
      </c>
      <c r="G277">
        <v>5</v>
      </c>
      <c r="H277" s="36">
        <f>IFERROR(INDEX(Katalog!$D$3:$D$12,MATCH(Data[[#This Row],[ItemID A]],Katalog!$C$3:$C$12,0))*Data[[#This Row],[Qty A]],"0")</f>
        <v>150000</v>
      </c>
      <c r="I277" s="36">
        <f>IFERROR(INDEX(Katalog!$F$3:$F$12,MATCH(Data[[#This Row],[ItemID A]],Katalog!$C$3:$C$12,0))*Data[[#This Row],[Qty A]],0)</f>
        <v>60000</v>
      </c>
      <c r="J277" t="s">
        <v>58</v>
      </c>
      <c r="K277" t="str">
        <f>IFERROR(INDEX(Katalog!$A$3:$A$12,MATCH(Data[[#This Row],[ItemID B]],Katalog!$C$3:$C$12,0)),"-")</f>
        <v>Pakaian Wanita</v>
      </c>
      <c r="L277" t="str">
        <f>IFERROR(INDEX(Katalog!$B$3:$B$12,MATCH(Data[[#This Row],[ItemID B]],Katalog!$C$3:$C$12,0)),"-")</f>
        <v>Dress</v>
      </c>
      <c r="M277">
        <v>1</v>
      </c>
      <c r="N277">
        <v>2</v>
      </c>
      <c r="O277" s="36">
        <f>IFERROR(INDEX(Katalog!$D$3:$D$12,MATCH(Data[[#This Row],[ItemID B]],Katalog!$C$3:$C$12,0))*Data[[#This Row],[Qty B]],"0")</f>
        <v>300000</v>
      </c>
      <c r="P277" s="36">
        <f>IFERROR(INDEX(Katalog!$F$3:$F$12,MATCH(Data[[#This Row],[ItemID B]],Katalog!$C$3:$C$12,0))*Data[[#This Row],[Qty B]],"0")</f>
        <v>100000</v>
      </c>
      <c r="R277" t="str">
        <f>IFERROR(INDEX(Katalog!$A$3:$A$12,MATCH(Data[[#This Row],[ItemID C]],Katalog!$C$3:$C$12,0)),"-")</f>
        <v>-</v>
      </c>
      <c r="S277" t="str">
        <f>IFERROR(INDEX(Katalog!$B$3:$B$12,MATCH(Data[[#This Row],[ItemID C]],Katalog!$C$3:$C$12,0)),"-")</f>
        <v>-</v>
      </c>
      <c r="V277" s="36" t="str">
        <f>IFERROR(INDEX(Katalog!$D$3:$D$12,MATCH(Data[[#This Row],[ItemID C]],Katalog!$C$3:$C$12,0))*Data[[#This Row],[Qty C]],"0")</f>
        <v>0</v>
      </c>
      <c r="W277" s="36" t="str">
        <f>IFERROR(INDEX(Katalog!$F$3:$F$12,MATCH(Data[[#This Row],[ItemID C]],Katalog!$C$3:$C$12,0))*Data[[#This Row],[Qty C]],"0")</f>
        <v>0</v>
      </c>
      <c r="X277" s="21">
        <f>Data[[#This Row],[Qty A]]+Data[[#This Row],[Qty B]]+Data[[#This Row],[Qty C]]</f>
        <v>2</v>
      </c>
      <c r="Y277" s="22">
        <f>Data[[#This Row],[Harga Barang A]]+Data[[#This Row],[Harga Barang B]]+Data[[#This Row],[Harga Barang C]]</f>
        <v>450000</v>
      </c>
      <c r="Z277" s="35">
        <f>IFERROR(Data[[#This Row],[Total Harga]]-(Data[[#This Row],[Total Harga]]*Data[[#This Row],[Diskon]]),Data[[#This Row],[Total Harga]])</f>
        <v>405000</v>
      </c>
      <c r="AA277" s="35">
        <f>(Data[[#This Row],[Profit A]]+Data[[#This Row],[Profit B]]+Data[[#This Row],[Profit C]])</f>
        <v>160000</v>
      </c>
      <c r="AB277" s="35">
        <f>IFERROR((Data[[#This Row],[Profit non Diskon]]-(Data[[#This Row],[Profit non Diskon]]*Data[[#This Row],[Diskon]])),Data[[#This Row],[Profit non Diskon]])</f>
        <v>144000</v>
      </c>
      <c r="AC277" s="23" t="s">
        <v>30</v>
      </c>
      <c r="AD277" s="37">
        <f>IFERROR(INDEX('Kode Diskon'!$D$3:$D$9,MATCH(Data[[#This Row],[Kode diskon]],'Kode Diskon'!$C$3:$C$9,0)),"-")</f>
        <v>0.1</v>
      </c>
      <c r="AE277" s="23" t="s">
        <v>29</v>
      </c>
      <c r="AF277" s="23" t="s">
        <v>10</v>
      </c>
      <c r="AG277" s="23" t="s">
        <v>75</v>
      </c>
      <c r="AH277" s="24">
        <v>45022</v>
      </c>
      <c r="AI277" s="23" t="str">
        <f>TEXT(Data[[#This Row],[Tanggal terjual]],"dddd")</f>
        <v>Thursday</v>
      </c>
      <c r="AJ277" s="21" t="str">
        <f>TEXT(Data[[#This Row],[Tanggal terjual]],"wwww")</f>
        <v>wwww</v>
      </c>
    </row>
    <row r="278" spans="1:36" x14ac:dyDescent="0.2">
      <c r="A278" s="20">
        <v>277</v>
      </c>
      <c r="B278" s="21" t="str">
        <f>_xlfn.CONCAT("ORD-",INDEX(Helper!$B$2:$B$5,MATCH(Data[[#This Row],[Marketplace]],Helper!$A$2:$A$5,0)),TEXT(Data[[#This Row],[No]],"0000"),"-",TEXT(Data[[#This Row],[Tanggal terjual]],"dd/mm/yy"))</f>
        <v>ORD-BL0277-21/04/23</v>
      </c>
      <c r="C278" t="s">
        <v>59</v>
      </c>
      <c r="D278" t="str">
        <f>IFERROR(INDEX(Katalog!$A$3:$A$12,MATCH(Data[[#This Row],[ItemID A]],Katalog!$C$3:$C$12,0)),"-")</f>
        <v>Pakaian Wanita</v>
      </c>
      <c r="E278" t="str">
        <f>IFERROR(INDEX(Katalog!$B$3:$B$12,MATCH(Data[[#This Row],[ItemID A]],Katalog!$C$3:$C$12,0)),"-")</f>
        <v>Blouse</v>
      </c>
      <c r="F278">
        <v>2</v>
      </c>
      <c r="G278">
        <v>5</v>
      </c>
      <c r="H278" s="36">
        <f>IFERROR(INDEX(Katalog!$D$3:$D$12,MATCH(Data[[#This Row],[ItemID A]],Katalog!$C$3:$C$12,0))*Data[[#This Row],[Qty A]],"0")</f>
        <v>300000</v>
      </c>
      <c r="I278" s="36">
        <f>IFERROR(INDEX(Katalog!$F$3:$F$12,MATCH(Data[[#This Row],[ItemID A]],Katalog!$C$3:$C$12,0))*Data[[#This Row],[Qty A]],0)</f>
        <v>100000</v>
      </c>
      <c r="K278" t="str">
        <f>IFERROR(INDEX(Katalog!$A$3:$A$12,MATCH(Data[[#This Row],[ItemID B]],Katalog!$C$3:$C$12,0)),"-")</f>
        <v>-</v>
      </c>
      <c r="L278" t="str">
        <f>IFERROR(INDEX(Katalog!$B$3:$B$12,MATCH(Data[[#This Row],[ItemID B]],Katalog!$C$3:$C$12,0)),"-")</f>
        <v>-</v>
      </c>
      <c r="O278" s="36" t="str">
        <f>IFERROR(INDEX(Katalog!$D$3:$D$12,MATCH(Data[[#This Row],[ItemID B]],Katalog!$C$3:$C$12,0))*Data[[#This Row],[Qty B]],"0")</f>
        <v>0</v>
      </c>
      <c r="P278" s="36" t="str">
        <f>IFERROR(INDEX(Katalog!$F$3:$F$12,MATCH(Data[[#This Row],[ItemID B]],Katalog!$C$3:$C$12,0))*Data[[#This Row],[Qty B]],"0")</f>
        <v>0</v>
      </c>
      <c r="R278" t="str">
        <f>IFERROR(INDEX(Katalog!$A$3:$A$12,MATCH(Data[[#This Row],[ItemID C]],Katalog!$C$3:$C$12,0)),"-")</f>
        <v>-</v>
      </c>
      <c r="S278" t="str">
        <f>IFERROR(INDEX(Katalog!$B$3:$B$12,MATCH(Data[[#This Row],[ItemID C]],Katalog!$C$3:$C$12,0)),"-")</f>
        <v>-</v>
      </c>
      <c r="V278" s="36" t="str">
        <f>IFERROR(INDEX(Katalog!$D$3:$D$12,MATCH(Data[[#This Row],[ItemID C]],Katalog!$C$3:$C$12,0))*Data[[#This Row],[Qty C]],"0")</f>
        <v>0</v>
      </c>
      <c r="W278" s="36" t="str">
        <f>IFERROR(INDEX(Katalog!$F$3:$F$12,MATCH(Data[[#This Row],[ItemID C]],Katalog!$C$3:$C$12,0))*Data[[#This Row],[Qty C]],"0")</f>
        <v>0</v>
      </c>
      <c r="X278" s="21">
        <f>Data[[#This Row],[Qty A]]+Data[[#This Row],[Qty B]]+Data[[#This Row],[Qty C]]</f>
        <v>2</v>
      </c>
      <c r="Y278" s="22">
        <f>Data[[#This Row],[Harga Barang A]]+Data[[#This Row],[Harga Barang B]]+Data[[#This Row],[Harga Barang C]]</f>
        <v>300000</v>
      </c>
      <c r="Z278" s="35">
        <f>IFERROR(Data[[#This Row],[Total Harga]]-(Data[[#This Row],[Total Harga]]*Data[[#This Row],[Diskon]]),Data[[#This Row],[Total Harga]])</f>
        <v>255000</v>
      </c>
      <c r="AA278" s="35">
        <f>(Data[[#This Row],[Profit A]]+Data[[#This Row],[Profit B]]+Data[[#This Row],[Profit C]])</f>
        <v>100000</v>
      </c>
      <c r="AB278" s="35">
        <f>IFERROR((Data[[#This Row],[Profit non Diskon]]-(Data[[#This Row],[Profit non Diskon]]*Data[[#This Row],[Diskon]])),Data[[#This Row],[Profit non Diskon]])</f>
        <v>85000</v>
      </c>
      <c r="AC278" s="23" t="s">
        <v>32</v>
      </c>
      <c r="AD278" s="37">
        <f>IFERROR(INDEX('Kode Diskon'!$D$3:$D$9,MATCH(Data[[#This Row],[Kode diskon]],'Kode Diskon'!$C$3:$C$9,0)),"-")</f>
        <v>0.15</v>
      </c>
      <c r="AE278" s="23" t="s">
        <v>9</v>
      </c>
      <c r="AF278" s="23" t="s">
        <v>12</v>
      </c>
      <c r="AG278" s="23" t="s">
        <v>80</v>
      </c>
      <c r="AH278" s="24">
        <v>45037</v>
      </c>
      <c r="AI278" s="23" t="str">
        <f>TEXT(Data[[#This Row],[Tanggal terjual]],"dddd")</f>
        <v>Friday</v>
      </c>
      <c r="AJ278" s="21" t="str">
        <f>TEXT(Data[[#This Row],[Tanggal terjual]],"wwww")</f>
        <v>wwww</v>
      </c>
    </row>
    <row r="279" spans="1:36" x14ac:dyDescent="0.2">
      <c r="A279" s="20">
        <v>278</v>
      </c>
      <c r="B279" s="21" t="str">
        <f>_xlfn.CONCAT("ORD-",INDEX(Helper!$B$2:$B$5,MATCH(Data[[#This Row],[Marketplace]],Helper!$A$2:$A$5,0)),TEXT(Data[[#This Row],[No]],"0000"),"-",TEXT(Data[[#This Row],[Tanggal terjual]],"dd/mm/yy"))</f>
        <v>ORD-BL0278-24/04/23</v>
      </c>
      <c r="C279" t="s">
        <v>62</v>
      </c>
      <c r="D279" t="str">
        <f>IFERROR(INDEX(Katalog!$A$3:$A$12,MATCH(Data[[#This Row],[ItemID A]],Katalog!$C$3:$C$12,0)),"-")</f>
        <v>Pakaian Pria</v>
      </c>
      <c r="E279" t="str">
        <f>IFERROR(INDEX(Katalog!$B$3:$B$12,MATCH(Data[[#This Row],[ItemID A]],Katalog!$C$3:$C$12,0)),"-")</f>
        <v>Celana Pendek</v>
      </c>
      <c r="F279">
        <v>5</v>
      </c>
      <c r="G279">
        <v>3</v>
      </c>
      <c r="H279" s="36">
        <f>IFERROR(INDEX(Katalog!$D$3:$D$12,MATCH(Data[[#This Row],[ItemID A]],Katalog!$C$3:$C$12,0))*Data[[#This Row],[Qty A]],"0")</f>
        <v>900000</v>
      </c>
      <c r="I279" s="36">
        <f>IFERROR(INDEX(Katalog!$F$3:$F$12,MATCH(Data[[#This Row],[ItemID A]],Katalog!$C$3:$C$12,0))*Data[[#This Row],[Qty A]],0)</f>
        <v>350000</v>
      </c>
      <c r="J279" t="s">
        <v>61</v>
      </c>
      <c r="K279" t="str">
        <f>IFERROR(INDEX(Katalog!$A$3:$A$12,MATCH(Data[[#This Row],[ItemID B]],Katalog!$C$3:$C$12,0)),"-")</f>
        <v>Pakaian Pria</v>
      </c>
      <c r="L279" t="str">
        <f>IFERROR(INDEX(Katalog!$B$3:$B$12,MATCH(Data[[#This Row],[ItemID B]],Katalog!$C$3:$C$12,0)),"-")</f>
        <v>Kaos Polo</v>
      </c>
      <c r="M279">
        <v>1</v>
      </c>
      <c r="N279">
        <v>1</v>
      </c>
      <c r="O279" s="36">
        <f>IFERROR(INDEX(Katalog!$D$3:$D$12,MATCH(Data[[#This Row],[ItemID B]],Katalog!$C$3:$C$12,0))*Data[[#This Row],[Qty B]],"0")</f>
        <v>200000</v>
      </c>
      <c r="P279" s="36">
        <f>IFERROR(INDEX(Katalog!$F$3:$F$12,MATCH(Data[[#This Row],[ItemID B]],Katalog!$C$3:$C$12,0))*Data[[#This Row],[Qty B]],"0")</f>
        <v>80000</v>
      </c>
      <c r="R279" t="str">
        <f>IFERROR(INDEX(Katalog!$A$3:$A$12,MATCH(Data[[#This Row],[ItemID C]],Katalog!$C$3:$C$12,0)),"-")</f>
        <v>-</v>
      </c>
      <c r="S279" t="str">
        <f>IFERROR(INDEX(Katalog!$B$3:$B$12,MATCH(Data[[#This Row],[ItemID C]],Katalog!$C$3:$C$12,0)),"-")</f>
        <v>-</v>
      </c>
      <c r="V279" s="36" t="str">
        <f>IFERROR(INDEX(Katalog!$D$3:$D$12,MATCH(Data[[#This Row],[ItemID C]],Katalog!$C$3:$C$12,0))*Data[[#This Row],[Qty C]],"0")</f>
        <v>0</v>
      </c>
      <c r="W279" s="36" t="str">
        <f>IFERROR(INDEX(Katalog!$F$3:$F$12,MATCH(Data[[#This Row],[ItemID C]],Katalog!$C$3:$C$12,0))*Data[[#This Row],[Qty C]],"0")</f>
        <v>0</v>
      </c>
      <c r="X279" s="21">
        <f>Data[[#This Row],[Qty A]]+Data[[#This Row],[Qty B]]+Data[[#This Row],[Qty C]]</f>
        <v>6</v>
      </c>
      <c r="Y279" s="22">
        <f>Data[[#This Row],[Harga Barang A]]+Data[[#This Row],[Harga Barang B]]+Data[[#This Row],[Harga Barang C]]</f>
        <v>1100000</v>
      </c>
      <c r="Z279" s="35">
        <f>IFERROR(Data[[#This Row],[Total Harga]]-(Data[[#This Row],[Total Harga]]*Data[[#This Row],[Diskon]]),Data[[#This Row],[Total Harga]])</f>
        <v>935000</v>
      </c>
      <c r="AA279" s="35">
        <f>(Data[[#This Row],[Profit A]]+Data[[#This Row],[Profit B]]+Data[[#This Row],[Profit C]])</f>
        <v>430000</v>
      </c>
      <c r="AB279" s="35">
        <f>IFERROR((Data[[#This Row],[Profit non Diskon]]-(Data[[#This Row],[Profit non Diskon]]*Data[[#This Row],[Diskon]])),Data[[#This Row],[Profit non Diskon]])</f>
        <v>365500</v>
      </c>
      <c r="AC279" s="23" t="s">
        <v>32</v>
      </c>
      <c r="AD279" s="37">
        <f>IFERROR(INDEX('Kode Diskon'!$D$3:$D$9,MATCH(Data[[#This Row],[Kode diskon]],'Kode Diskon'!$C$3:$C$9,0)),"-")</f>
        <v>0.15</v>
      </c>
      <c r="AE279" s="23" t="s">
        <v>9</v>
      </c>
      <c r="AF279" s="23" t="s">
        <v>12</v>
      </c>
      <c r="AG279" s="23" t="s">
        <v>80</v>
      </c>
      <c r="AH279" s="24">
        <v>45040</v>
      </c>
      <c r="AI279" s="23" t="str">
        <f>TEXT(Data[[#This Row],[Tanggal terjual]],"dddd")</f>
        <v>Monday</v>
      </c>
      <c r="AJ279" s="21" t="str">
        <f>TEXT(Data[[#This Row],[Tanggal terjual]],"wwww")</f>
        <v>wwww</v>
      </c>
    </row>
    <row r="280" spans="1:36" x14ac:dyDescent="0.2">
      <c r="A280" s="20">
        <v>279</v>
      </c>
      <c r="B280" s="21" t="str">
        <f>_xlfn.CONCAT("ORD-",INDEX(Helper!$B$2:$B$5,MATCH(Data[[#This Row],[Marketplace]],Helper!$A$2:$A$5,0)),TEXT(Data[[#This Row],[No]],"0000"),"-",TEXT(Data[[#This Row],[Tanggal terjual]],"dd/mm/yy"))</f>
        <v>ORD-SP0279-01/04/23</v>
      </c>
      <c r="C280" t="s">
        <v>63</v>
      </c>
      <c r="D280" t="str">
        <f>IFERROR(INDEX(Katalog!$A$3:$A$12,MATCH(Data[[#This Row],[ItemID A]],Katalog!$C$3:$C$12,0)),"-")</f>
        <v>Pakaian Pria</v>
      </c>
      <c r="E280" t="str">
        <f>IFERROR(INDEX(Katalog!$B$3:$B$12,MATCH(Data[[#This Row],[ItemID A]],Katalog!$C$3:$C$12,0)),"-")</f>
        <v>Jaket Jeans</v>
      </c>
      <c r="F280">
        <v>1</v>
      </c>
      <c r="G280">
        <v>5</v>
      </c>
      <c r="H280" s="36">
        <f>IFERROR(INDEX(Katalog!$D$3:$D$12,MATCH(Data[[#This Row],[ItemID A]],Katalog!$C$3:$C$12,0))*Data[[#This Row],[Qty A]],"0")</f>
        <v>400000</v>
      </c>
      <c r="I280" s="36">
        <f>IFERROR(INDEX(Katalog!$F$3:$F$12,MATCH(Data[[#This Row],[ItemID A]],Katalog!$C$3:$C$12,0))*Data[[#This Row],[Qty A]],0)</f>
        <v>150000</v>
      </c>
      <c r="K280" t="str">
        <f>IFERROR(INDEX(Katalog!$A$3:$A$12,MATCH(Data[[#This Row],[ItemID B]],Katalog!$C$3:$C$12,0)),"-")</f>
        <v>-</v>
      </c>
      <c r="L280" t="str">
        <f>IFERROR(INDEX(Katalog!$B$3:$B$12,MATCH(Data[[#This Row],[ItemID B]],Katalog!$C$3:$C$12,0)),"-")</f>
        <v>-</v>
      </c>
      <c r="O280" s="36" t="str">
        <f>IFERROR(INDEX(Katalog!$D$3:$D$12,MATCH(Data[[#This Row],[ItemID B]],Katalog!$C$3:$C$12,0))*Data[[#This Row],[Qty B]],"0")</f>
        <v>0</v>
      </c>
      <c r="P280" s="36" t="str">
        <f>IFERROR(INDEX(Katalog!$F$3:$F$12,MATCH(Data[[#This Row],[ItemID B]],Katalog!$C$3:$C$12,0))*Data[[#This Row],[Qty B]],"0")</f>
        <v>0</v>
      </c>
      <c r="R280" t="str">
        <f>IFERROR(INDEX(Katalog!$A$3:$A$12,MATCH(Data[[#This Row],[ItemID C]],Katalog!$C$3:$C$12,0)),"-")</f>
        <v>-</v>
      </c>
      <c r="S280" t="str">
        <f>IFERROR(INDEX(Katalog!$B$3:$B$12,MATCH(Data[[#This Row],[ItemID C]],Katalog!$C$3:$C$12,0)),"-")</f>
        <v>-</v>
      </c>
      <c r="V280" s="36" t="str">
        <f>IFERROR(INDEX(Katalog!$D$3:$D$12,MATCH(Data[[#This Row],[ItemID C]],Katalog!$C$3:$C$12,0))*Data[[#This Row],[Qty C]],"0")</f>
        <v>0</v>
      </c>
      <c r="W280" s="36" t="str">
        <f>IFERROR(INDEX(Katalog!$F$3:$F$12,MATCH(Data[[#This Row],[ItemID C]],Katalog!$C$3:$C$12,0))*Data[[#This Row],[Qty C]],"0")</f>
        <v>0</v>
      </c>
      <c r="X280" s="21">
        <f>Data[[#This Row],[Qty A]]+Data[[#This Row],[Qty B]]+Data[[#This Row],[Qty C]]</f>
        <v>1</v>
      </c>
      <c r="Y280" s="22">
        <f>Data[[#This Row],[Harga Barang A]]+Data[[#This Row],[Harga Barang B]]+Data[[#This Row],[Harga Barang C]]</f>
        <v>400000</v>
      </c>
      <c r="Z280" s="35">
        <f>IFERROR(Data[[#This Row],[Total Harga]]-(Data[[#This Row],[Total Harga]]*Data[[#This Row],[Diskon]]),Data[[#This Row],[Total Harga]])</f>
        <v>340000</v>
      </c>
      <c r="AA280" s="35">
        <f>(Data[[#This Row],[Profit A]]+Data[[#This Row],[Profit B]]+Data[[#This Row],[Profit C]])</f>
        <v>150000</v>
      </c>
      <c r="AB280" s="35">
        <f>IFERROR((Data[[#This Row],[Profit non Diskon]]-(Data[[#This Row],[Profit non Diskon]]*Data[[#This Row],[Diskon]])),Data[[#This Row],[Profit non Diskon]])</f>
        <v>127500</v>
      </c>
      <c r="AC280" s="23" t="s">
        <v>13</v>
      </c>
      <c r="AD280" s="37">
        <f>IFERROR(INDEX('Kode Diskon'!$D$3:$D$9,MATCH(Data[[#This Row],[Kode diskon]],'Kode Diskon'!$C$3:$C$9,0)),"-")</f>
        <v>0.15</v>
      </c>
      <c r="AE280" s="23" t="s">
        <v>29</v>
      </c>
      <c r="AF280" s="23" t="s">
        <v>7</v>
      </c>
      <c r="AG280" s="23" t="s">
        <v>79</v>
      </c>
      <c r="AH280" s="24">
        <v>45017</v>
      </c>
      <c r="AI280" s="23" t="str">
        <f>TEXT(Data[[#This Row],[Tanggal terjual]],"dddd")</f>
        <v>Saturday</v>
      </c>
      <c r="AJ280" s="21" t="str">
        <f>TEXT(Data[[#This Row],[Tanggal terjual]],"wwww")</f>
        <v>wwww</v>
      </c>
    </row>
    <row r="281" spans="1:36" x14ac:dyDescent="0.2">
      <c r="A281" s="20">
        <v>280</v>
      </c>
      <c r="B281" s="21" t="str">
        <f>_xlfn.CONCAT("ORD-",INDEX(Helper!$B$2:$B$5,MATCH(Data[[#This Row],[Marketplace]],Helper!$A$2:$A$5,0)),TEXT(Data[[#This Row],[No]],"0000"),"-",TEXT(Data[[#This Row],[Tanggal terjual]],"dd/mm/yy"))</f>
        <v>ORD-SP0280-03/04/23</v>
      </c>
      <c r="C281" t="s">
        <v>63</v>
      </c>
      <c r="D281" t="str">
        <f>IFERROR(INDEX(Katalog!$A$3:$A$12,MATCH(Data[[#This Row],[ItemID A]],Katalog!$C$3:$C$12,0)),"-")</f>
        <v>Pakaian Pria</v>
      </c>
      <c r="E281" t="str">
        <f>IFERROR(INDEX(Katalog!$B$3:$B$12,MATCH(Data[[#This Row],[ItemID A]],Katalog!$C$3:$C$12,0)),"-")</f>
        <v>Jaket Jeans</v>
      </c>
      <c r="F281">
        <v>1</v>
      </c>
      <c r="G281">
        <v>5</v>
      </c>
      <c r="H281" s="36">
        <f>IFERROR(INDEX(Katalog!$D$3:$D$12,MATCH(Data[[#This Row],[ItemID A]],Katalog!$C$3:$C$12,0))*Data[[#This Row],[Qty A]],"0")</f>
        <v>400000</v>
      </c>
      <c r="I281" s="36">
        <f>IFERROR(INDEX(Katalog!$F$3:$F$12,MATCH(Data[[#This Row],[ItemID A]],Katalog!$C$3:$C$12,0))*Data[[#This Row],[Qty A]],0)</f>
        <v>150000</v>
      </c>
      <c r="K281" t="str">
        <f>IFERROR(INDEX(Katalog!$A$3:$A$12,MATCH(Data[[#This Row],[ItemID B]],Katalog!$C$3:$C$12,0)),"-")</f>
        <v>-</v>
      </c>
      <c r="L281" t="str">
        <f>IFERROR(INDEX(Katalog!$B$3:$B$12,MATCH(Data[[#This Row],[ItemID B]],Katalog!$C$3:$C$12,0)),"-")</f>
        <v>-</v>
      </c>
      <c r="O281" s="36" t="str">
        <f>IFERROR(INDEX(Katalog!$D$3:$D$12,MATCH(Data[[#This Row],[ItemID B]],Katalog!$C$3:$C$12,0))*Data[[#This Row],[Qty B]],"0")</f>
        <v>0</v>
      </c>
      <c r="P281" s="36" t="str">
        <f>IFERROR(INDEX(Katalog!$F$3:$F$12,MATCH(Data[[#This Row],[ItemID B]],Katalog!$C$3:$C$12,0))*Data[[#This Row],[Qty B]],"0")</f>
        <v>0</v>
      </c>
      <c r="R281" t="str">
        <f>IFERROR(INDEX(Katalog!$A$3:$A$12,MATCH(Data[[#This Row],[ItemID C]],Katalog!$C$3:$C$12,0)),"-")</f>
        <v>-</v>
      </c>
      <c r="S281" t="str">
        <f>IFERROR(INDEX(Katalog!$B$3:$B$12,MATCH(Data[[#This Row],[ItemID C]],Katalog!$C$3:$C$12,0)),"-")</f>
        <v>-</v>
      </c>
      <c r="V281" s="36" t="str">
        <f>IFERROR(INDEX(Katalog!$D$3:$D$12,MATCH(Data[[#This Row],[ItemID C]],Katalog!$C$3:$C$12,0))*Data[[#This Row],[Qty C]],"0")</f>
        <v>0</v>
      </c>
      <c r="W281" s="36" t="str">
        <f>IFERROR(INDEX(Katalog!$F$3:$F$12,MATCH(Data[[#This Row],[ItemID C]],Katalog!$C$3:$C$12,0))*Data[[#This Row],[Qty C]],"0")</f>
        <v>0</v>
      </c>
      <c r="X281" s="21">
        <f>Data[[#This Row],[Qty A]]+Data[[#This Row],[Qty B]]+Data[[#This Row],[Qty C]]</f>
        <v>1</v>
      </c>
      <c r="Y281" s="22">
        <f>Data[[#This Row],[Harga Barang A]]+Data[[#This Row],[Harga Barang B]]+Data[[#This Row],[Harga Barang C]]</f>
        <v>400000</v>
      </c>
      <c r="Z281" s="35">
        <f>IFERROR(Data[[#This Row],[Total Harga]]-(Data[[#This Row],[Total Harga]]*Data[[#This Row],[Diskon]]),Data[[#This Row],[Total Harga]])</f>
        <v>340000</v>
      </c>
      <c r="AA281" s="35">
        <f>(Data[[#This Row],[Profit A]]+Data[[#This Row],[Profit B]]+Data[[#This Row],[Profit C]])</f>
        <v>150000</v>
      </c>
      <c r="AB281" s="35">
        <f>IFERROR((Data[[#This Row],[Profit non Diskon]]-(Data[[#This Row],[Profit non Diskon]]*Data[[#This Row],[Diskon]])),Data[[#This Row],[Profit non Diskon]])</f>
        <v>127500</v>
      </c>
      <c r="AC281" s="23" t="s">
        <v>13</v>
      </c>
      <c r="AD281" s="37">
        <f>IFERROR(INDEX('Kode Diskon'!$D$3:$D$9,MATCH(Data[[#This Row],[Kode diskon]],'Kode Diskon'!$C$3:$C$9,0)),"-")</f>
        <v>0.15</v>
      </c>
      <c r="AE281" s="23" t="s">
        <v>29</v>
      </c>
      <c r="AF281" s="23" t="s">
        <v>7</v>
      </c>
      <c r="AG281" s="23" t="s">
        <v>79</v>
      </c>
      <c r="AH281" s="24">
        <v>45019</v>
      </c>
      <c r="AI281" s="23" t="str">
        <f>TEXT(Data[[#This Row],[Tanggal terjual]],"dddd")</f>
        <v>Monday</v>
      </c>
      <c r="AJ281" s="21" t="str">
        <f>TEXT(Data[[#This Row],[Tanggal terjual]],"wwww")</f>
        <v>wwww</v>
      </c>
    </row>
    <row r="282" spans="1:36" x14ac:dyDescent="0.2">
      <c r="A282" s="20">
        <v>281</v>
      </c>
      <c r="B282" s="21" t="str">
        <f>_xlfn.CONCAT("ORD-",INDEX(Helper!$B$2:$B$5,MATCH(Data[[#This Row],[Marketplace]],Helper!$A$2:$A$5,0)),TEXT(Data[[#This Row],[No]],"0000"),"-",TEXT(Data[[#This Row],[Tanggal terjual]],"dd/mm/yy"))</f>
        <v>ORD-SP0281-23/04/23</v>
      </c>
      <c r="C282" t="s">
        <v>63</v>
      </c>
      <c r="D282" t="str">
        <f>IFERROR(INDEX(Katalog!$A$3:$A$12,MATCH(Data[[#This Row],[ItemID A]],Katalog!$C$3:$C$12,0)),"-")</f>
        <v>Pakaian Pria</v>
      </c>
      <c r="E282" t="str">
        <f>IFERROR(INDEX(Katalog!$B$3:$B$12,MATCH(Data[[#This Row],[ItemID A]],Katalog!$C$3:$C$12,0)),"-")</f>
        <v>Jaket Jeans</v>
      </c>
      <c r="F282">
        <v>1</v>
      </c>
      <c r="G282">
        <v>5</v>
      </c>
      <c r="H282" s="36">
        <f>IFERROR(INDEX(Katalog!$D$3:$D$12,MATCH(Data[[#This Row],[ItemID A]],Katalog!$C$3:$C$12,0))*Data[[#This Row],[Qty A]],"0")</f>
        <v>400000</v>
      </c>
      <c r="I282" s="36">
        <f>IFERROR(INDEX(Katalog!$F$3:$F$12,MATCH(Data[[#This Row],[ItemID A]],Katalog!$C$3:$C$12,0))*Data[[#This Row],[Qty A]],0)</f>
        <v>150000</v>
      </c>
      <c r="K282" t="str">
        <f>IFERROR(INDEX(Katalog!$A$3:$A$12,MATCH(Data[[#This Row],[ItemID B]],Katalog!$C$3:$C$12,0)),"-")</f>
        <v>-</v>
      </c>
      <c r="L282" t="str">
        <f>IFERROR(INDEX(Katalog!$B$3:$B$12,MATCH(Data[[#This Row],[ItemID B]],Katalog!$C$3:$C$12,0)),"-")</f>
        <v>-</v>
      </c>
      <c r="O282" s="36" t="str">
        <f>IFERROR(INDEX(Katalog!$D$3:$D$12,MATCH(Data[[#This Row],[ItemID B]],Katalog!$C$3:$C$12,0))*Data[[#This Row],[Qty B]],"0")</f>
        <v>0</v>
      </c>
      <c r="P282" s="36" t="str">
        <f>IFERROR(INDEX(Katalog!$F$3:$F$12,MATCH(Data[[#This Row],[ItemID B]],Katalog!$C$3:$C$12,0))*Data[[#This Row],[Qty B]],"0")</f>
        <v>0</v>
      </c>
      <c r="R282" t="str">
        <f>IFERROR(INDEX(Katalog!$A$3:$A$12,MATCH(Data[[#This Row],[ItemID C]],Katalog!$C$3:$C$12,0)),"-")</f>
        <v>-</v>
      </c>
      <c r="S282" t="str">
        <f>IFERROR(INDEX(Katalog!$B$3:$B$12,MATCH(Data[[#This Row],[ItemID C]],Katalog!$C$3:$C$12,0)),"-")</f>
        <v>-</v>
      </c>
      <c r="V282" s="36" t="str">
        <f>IFERROR(INDEX(Katalog!$D$3:$D$12,MATCH(Data[[#This Row],[ItemID C]],Katalog!$C$3:$C$12,0))*Data[[#This Row],[Qty C]],"0")</f>
        <v>0</v>
      </c>
      <c r="W282" s="36" t="str">
        <f>IFERROR(INDEX(Katalog!$F$3:$F$12,MATCH(Data[[#This Row],[ItemID C]],Katalog!$C$3:$C$12,0))*Data[[#This Row],[Qty C]],"0")</f>
        <v>0</v>
      </c>
      <c r="X282" s="21">
        <f>Data[[#This Row],[Qty A]]+Data[[#This Row],[Qty B]]+Data[[#This Row],[Qty C]]</f>
        <v>1</v>
      </c>
      <c r="Y282" s="22">
        <f>Data[[#This Row],[Harga Barang A]]+Data[[#This Row],[Harga Barang B]]+Data[[#This Row],[Harga Barang C]]</f>
        <v>400000</v>
      </c>
      <c r="Z282" s="35">
        <f>IFERROR(Data[[#This Row],[Total Harga]]-(Data[[#This Row],[Total Harga]]*Data[[#This Row],[Diskon]]),Data[[#This Row],[Total Harga]])</f>
        <v>320000</v>
      </c>
      <c r="AA282" s="35">
        <f>(Data[[#This Row],[Profit A]]+Data[[#This Row],[Profit B]]+Data[[#This Row],[Profit C]])</f>
        <v>150000</v>
      </c>
      <c r="AB282" s="35">
        <f>IFERROR((Data[[#This Row],[Profit non Diskon]]-(Data[[#This Row],[Profit non Diskon]]*Data[[#This Row],[Diskon]])),Data[[#This Row],[Profit non Diskon]])</f>
        <v>120000</v>
      </c>
      <c r="AC282" s="23" t="s">
        <v>8</v>
      </c>
      <c r="AD282" s="37">
        <f>IFERROR(INDEX('Kode Diskon'!$D$3:$D$9,MATCH(Data[[#This Row],[Kode diskon]],'Kode Diskon'!$C$3:$C$9,0)),"-")</f>
        <v>0.2</v>
      </c>
      <c r="AE282" s="23" t="s">
        <v>9</v>
      </c>
      <c r="AF282" s="23" t="s">
        <v>7</v>
      </c>
      <c r="AG282" s="23" t="s">
        <v>80</v>
      </c>
      <c r="AH282" s="24">
        <v>45039</v>
      </c>
      <c r="AI282" s="23" t="str">
        <f>TEXT(Data[[#This Row],[Tanggal terjual]],"dddd")</f>
        <v>Sunday</v>
      </c>
      <c r="AJ282" s="21" t="str">
        <f>TEXT(Data[[#This Row],[Tanggal terjual]],"wwww")</f>
        <v>wwww</v>
      </c>
    </row>
    <row r="283" spans="1:36" x14ac:dyDescent="0.2">
      <c r="A283" s="20">
        <v>282</v>
      </c>
      <c r="B283" s="21" t="str">
        <f>_xlfn.CONCAT("ORD-",INDEX(Helper!$B$2:$B$5,MATCH(Data[[#This Row],[Marketplace]],Helper!$A$2:$A$5,0)),TEXT(Data[[#This Row],[No]],"0000"),"-",TEXT(Data[[#This Row],[Tanggal terjual]],"dd/mm/yy"))</f>
        <v>ORD-TK0282-03/04/23</v>
      </c>
      <c r="C283" t="s">
        <v>63</v>
      </c>
      <c r="D283" t="str">
        <f>IFERROR(INDEX(Katalog!$A$3:$A$12,MATCH(Data[[#This Row],[ItemID A]],Katalog!$C$3:$C$12,0)),"-")</f>
        <v>Pakaian Pria</v>
      </c>
      <c r="E283" t="str">
        <f>IFERROR(INDEX(Katalog!$B$3:$B$12,MATCH(Data[[#This Row],[ItemID A]],Katalog!$C$3:$C$12,0)),"-")</f>
        <v>Jaket Jeans</v>
      </c>
      <c r="F283">
        <v>2</v>
      </c>
      <c r="G283">
        <v>3</v>
      </c>
      <c r="H283" s="36">
        <f>IFERROR(INDEX(Katalog!$D$3:$D$12,MATCH(Data[[#This Row],[ItemID A]],Katalog!$C$3:$C$12,0))*Data[[#This Row],[Qty A]],"0")</f>
        <v>800000</v>
      </c>
      <c r="I283" s="36">
        <f>IFERROR(INDEX(Katalog!$F$3:$F$12,MATCH(Data[[#This Row],[ItemID A]],Katalog!$C$3:$C$12,0))*Data[[#This Row],[Qty A]],0)</f>
        <v>300000</v>
      </c>
      <c r="J283" t="s">
        <v>58</v>
      </c>
      <c r="K283" t="str">
        <f>IFERROR(INDEX(Katalog!$A$3:$A$12,MATCH(Data[[#This Row],[ItemID B]],Katalog!$C$3:$C$12,0)),"-")</f>
        <v>Pakaian Wanita</v>
      </c>
      <c r="L283" t="str">
        <f>IFERROR(INDEX(Katalog!$B$3:$B$12,MATCH(Data[[#This Row],[ItemID B]],Katalog!$C$3:$C$12,0)),"-")</f>
        <v>Dress</v>
      </c>
      <c r="M283">
        <v>1</v>
      </c>
      <c r="N283">
        <v>2</v>
      </c>
      <c r="O283" s="36">
        <f>IFERROR(INDEX(Katalog!$D$3:$D$12,MATCH(Data[[#This Row],[ItemID B]],Katalog!$C$3:$C$12,0))*Data[[#This Row],[Qty B]],"0")</f>
        <v>300000</v>
      </c>
      <c r="P283" s="36">
        <f>IFERROR(INDEX(Katalog!$F$3:$F$12,MATCH(Data[[#This Row],[ItemID B]],Katalog!$C$3:$C$12,0))*Data[[#This Row],[Qty B]],"0")</f>
        <v>100000</v>
      </c>
      <c r="Q283" t="s">
        <v>63</v>
      </c>
      <c r="R283" t="str">
        <f>IFERROR(INDEX(Katalog!$A$3:$A$12,MATCH(Data[[#This Row],[ItemID C]],Katalog!$C$3:$C$12,0)),"-")</f>
        <v>Pakaian Pria</v>
      </c>
      <c r="S283" t="str">
        <f>IFERROR(INDEX(Katalog!$B$3:$B$12,MATCH(Data[[#This Row],[ItemID C]],Katalog!$C$3:$C$12,0)),"-")</f>
        <v>Jaket Jeans</v>
      </c>
      <c r="T283">
        <v>1</v>
      </c>
      <c r="U283">
        <v>4</v>
      </c>
      <c r="V283" s="36">
        <f>IFERROR(INDEX(Katalog!$D$3:$D$12,MATCH(Data[[#This Row],[ItemID C]],Katalog!$C$3:$C$12,0))*Data[[#This Row],[Qty C]],"0")</f>
        <v>400000</v>
      </c>
      <c r="W283" s="36">
        <f>IFERROR(INDEX(Katalog!$F$3:$F$12,MATCH(Data[[#This Row],[ItemID C]],Katalog!$C$3:$C$12,0))*Data[[#This Row],[Qty C]],"0")</f>
        <v>150000</v>
      </c>
      <c r="X283" s="21">
        <f>Data[[#This Row],[Qty A]]+Data[[#This Row],[Qty B]]+Data[[#This Row],[Qty C]]</f>
        <v>4</v>
      </c>
      <c r="Y283" s="22">
        <f>Data[[#This Row],[Harga Barang A]]+Data[[#This Row],[Harga Barang B]]+Data[[#This Row],[Harga Barang C]]</f>
        <v>1500000</v>
      </c>
      <c r="Z283" s="35">
        <f>IFERROR(Data[[#This Row],[Total Harga]]-(Data[[#This Row],[Total Harga]]*Data[[#This Row],[Diskon]]),Data[[#This Row],[Total Harga]])</f>
        <v>1350000</v>
      </c>
      <c r="AA283" s="35">
        <f>(Data[[#This Row],[Profit A]]+Data[[#This Row],[Profit B]]+Data[[#This Row],[Profit C]])</f>
        <v>550000</v>
      </c>
      <c r="AB283" s="35">
        <f>IFERROR((Data[[#This Row],[Profit non Diskon]]-(Data[[#This Row],[Profit non Diskon]]*Data[[#This Row],[Diskon]])),Data[[#This Row],[Profit non Diskon]])</f>
        <v>495000</v>
      </c>
      <c r="AC283" s="23" t="s">
        <v>30</v>
      </c>
      <c r="AD283" s="37">
        <f>IFERROR(INDEX('Kode Diskon'!$D$3:$D$9,MATCH(Data[[#This Row],[Kode diskon]],'Kode Diskon'!$C$3:$C$9,0)),"-")</f>
        <v>0.1</v>
      </c>
      <c r="AE283" s="23" t="s">
        <v>29</v>
      </c>
      <c r="AF283" s="23" t="s">
        <v>10</v>
      </c>
      <c r="AG283" s="23" t="s">
        <v>76</v>
      </c>
      <c r="AH283" s="24">
        <v>45019</v>
      </c>
      <c r="AI283" s="23" t="str">
        <f>TEXT(Data[[#This Row],[Tanggal terjual]],"dddd")</f>
        <v>Monday</v>
      </c>
      <c r="AJ283" s="21" t="str">
        <f>TEXT(Data[[#This Row],[Tanggal terjual]],"wwww")</f>
        <v>wwww</v>
      </c>
    </row>
    <row r="284" spans="1:36" x14ac:dyDescent="0.2">
      <c r="A284" s="20">
        <v>283</v>
      </c>
      <c r="B284" s="21" t="str">
        <f>_xlfn.CONCAT("ORD-",INDEX(Helper!$B$2:$B$5,MATCH(Data[[#This Row],[Marketplace]],Helper!$A$2:$A$5,0)),TEXT(Data[[#This Row],[No]],"0000"),"-",TEXT(Data[[#This Row],[Tanggal terjual]],"dd/mm/yy"))</f>
        <v>ORD-BL0283-16/04/23</v>
      </c>
      <c r="C284" t="s">
        <v>66</v>
      </c>
      <c r="D284" t="str">
        <f>IFERROR(INDEX(Katalog!$A$3:$A$12,MATCH(Data[[#This Row],[ItemID A]],Katalog!$C$3:$C$12,0)),"-")</f>
        <v>Sepatu Pria</v>
      </c>
      <c r="E284" t="str">
        <f>IFERROR(INDEX(Katalog!$B$3:$B$12,MATCH(Data[[#This Row],[ItemID A]],Katalog!$C$3:$C$12,0)),"-")</f>
        <v>Sandal Slip On</v>
      </c>
      <c r="F284">
        <v>1</v>
      </c>
      <c r="G284">
        <v>2</v>
      </c>
      <c r="H284" s="36">
        <f>IFERROR(INDEX(Katalog!$D$3:$D$12,MATCH(Data[[#This Row],[ItemID A]],Katalog!$C$3:$C$12,0))*Data[[#This Row],[Qty A]],"0")</f>
        <v>150000</v>
      </c>
      <c r="I284" s="36">
        <f>IFERROR(INDEX(Katalog!$F$3:$F$12,MATCH(Data[[#This Row],[ItemID A]],Katalog!$C$3:$C$12,0))*Data[[#This Row],[Qty A]],0)</f>
        <v>60000</v>
      </c>
      <c r="K284" t="str">
        <f>IFERROR(INDEX(Katalog!$A$3:$A$12,MATCH(Data[[#This Row],[ItemID B]],Katalog!$C$3:$C$12,0)),"-")</f>
        <v>-</v>
      </c>
      <c r="L284" t="str">
        <f>IFERROR(INDEX(Katalog!$B$3:$B$12,MATCH(Data[[#This Row],[ItemID B]],Katalog!$C$3:$C$12,0)),"-")</f>
        <v>-</v>
      </c>
      <c r="O284" s="36" t="str">
        <f>IFERROR(INDEX(Katalog!$D$3:$D$12,MATCH(Data[[#This Row],[ItemID B]],Katalog!$C$3:$C$12,0))*Data[[#This Row],[Qty B]],"0")</f>
        <v>0</v>
      </c>
      <c r="P284" s="36" t="str">
        <f>IFERROR(INDEX(Katalog!$F$3:$F$12,MATCH(Data[[#This Row],[ItemID B]],Katalog!$C$3:$C$12,0))*Data[[#This Row],[Qty B]],"0")</f>
        <v>0</v>
      </c>
      <c r="R284" t="str">
        <f>IFERROR(INDEX(Katalog!$A$3:$A$12,MATCH(Data[[#This Row],[ItemID C]],Katalog!$C$3:$C$12,0)),"-")</f>
        <v>-</v>
      </c>
      <c r="S284" t="str">
        <f>IFERROR(INDEX(Katalog!$B$3:$B$12,MATCH(Data[[#This Row],[ItemID C]],Katalog!$C$3:$C$12,0)),"-")</f>
        <v>-</v>
      </c>
      <c r="V284" s="36" t="str">
        <f>IFERROR(INDEX(Katalog!$D$3:$D$12,MATCH(Data[[#This Row],[ItemID C]],Katalog!$C$3:$C$12,0))*Data[[#This Row],[Qty C]],"0")</f>
        <v>0</v>
      </c>
      <c r="W284" s="36" t="str">
        <f>IFERROR(INDEX(Katalog!$F$3:$F$12,MATCH(Data[[#This Row],[ItemID C]],Katalog!$C$3:$C$12,0))*Data[[#This Row],[Qty C]],"0")</f>
        <v>0</v>
      </c>
      <c r="X284" s="21">
        <f>Data[[#This Row],[Qty A]]+Data[[#This Row],[Qty B]]+Data[[#This Row],[Qty C]]</f>
        <v>1</v>
      </c>
      <c r="Y284" s="22">
        <f>Data[[#This Row],[Harga Barang A]]+Data[[#This Row],[Harga Barang B]]+Data[[#This Row],[Harga Barang C]]</f>
        <v>150000</v>
      </c>
      <c r="Z284" s="35">
        <f>IFERROR(Data[[#This Row],[Total Harga]]-(Data[[#This Row],[Total Harga]]*Data[[#This Row],[Diskon]]),Data[[#This Row],[Total Harga]])</f>
        <v>127500</v>
      </c>
      <c r="AA284" s="35">
        <f>(Data[[#This Row],[Profit A]]+Data[[#This Row],[Profit B]]+Data[[#This Row],[Profit C]])</f>
        <v>60000</v>
      </c>
      <c r="AB284" s="35">
        <f>IFERROR((Data[[#This Row],[Profit non Diskon]]-(Data[[#This Row],[Profit non Diskon]]*Data[[#This Row],[Diskon]])),Data[[#This Row],[Profit non Diskon]])</f>
        <v>51000</v>
      </c>
      <c r="AC284" s="23" t="s">
        <v>32</v>
      </c>
      <c r="AD284" s="37">
        <f>IFERROR(INDEX('Kode Diskon'!$D$3:$D$9,MATCH(Data[[#This Row],[Kode diskon]],'Kode Diskon'!$C$3:$C$9,0)),"-")</f>
        <v>0.15</v>
      </c>
      <c r="AE284" s="23" t="s">
        <v>9</v>
      </c>
      <c r="AF284" s="23" t="s">
        <v>12</v>
      </c>
      <c r="AG284" s="23" t="s">
        <v>80</v>
      </c>
      <c r="AH284" s="24">
        <v>45032</v>
      </c>
      <c r="AI284" s="23" t="str">
        <f>TEXT(Data[[#This Row],[Tanggal terjual]],"dddd")</f>
        <v>Sunday</v>
      </c>
      <c r="AJ284" s="21" t="str">
        <f>TEXT(Data[[#This Row],[Tanggal terjual]],"wwww")</f>
        <v>wwww</v>
      </c>
    </row>
    <row r="285" spans="1:36" x14ac:dyDescent="0.2">
      <c r="A285" s="20">
        <v>284</v>
      </c>
      <c r="B285" s="21" t="str">
        <f>_xlfn.CONCAT("ORD-",INDEX(Helper!$B$2:$B$5,MATCH(Data[[#This Row],[Marketplace]],Helper!$A$2:$A$5,0)),TEXT(Data[[#This Row],[No]],"0000"),"-",TEXT(Data[[#This Row],[Tanggal terjual]],"dd/mm/yy"))</f>
        <v>ORD-SP0284-02/04/23</v>
      </c>
      <c r="C285" t="s">
        <v>61</v>
      </c>
      <c r="D285" t="str">
        <f>IFERROR(INDEX(Katalog!$A$3:$A$12,MATCH(Data[[#This Row],[ItemID A]],Katalog!$C$3:$C$12,0)),"-")</f>
        <v>Pakaian Pria</v>
      </c>
      <c r="E285" t="str">
        <f>IFERROR(INDEX(Katalog!$B$3:$B$12,MATCH(Data[[#This Row],[ItemID A]],Katalog!$C$3:$C$12,0)),"-")</f>
        <v>Kaos Polo</v>
      </c>
      <c r="F285">
        <v>7</v>
      </c>
      <c r="G285">
        <v>3</v>
      </c>
      <c r="H285" s="36">
        <f>IFERROR(INDEX(Katalog!$D$3:$D$12,MATCH(Data[[#This Row],[ItemID A]],Katalog!$C$3:$C$12,0))*Data[[#This Row],[Qty A]],"0")</f>
        <v>1400000</v>
      </c>
      <c r="I285" s="36">
        <f>IFERROR(INDEX(Katalog!$F$3:$F$12,MATCH(Data[[#This Row],[ItemID A]],Katalog!$C$3:$C$12,0))*Data[[#This Row],[Qty A]],0)</f>
        <v>560000</v>
      </c>
      <c r="K285" t="str">
        <f>IFERROR(INDEX(Katalog!$A$3:$A$12,MATCH(Data[[#This Row],[ItemID B]],Katalog!$C$3:$C$12,0)),"-")</f>
        <v>-</v>
      </c>
      <c r="L285" t="str">
        <f>IFERROR(INDEX(Katalog!$B$3:$B$12,MATCH(Data[[#This Row],[ItemID B]],Katalog!$C$3:$C$12,0)),"-")</f>
        <v>-</v>
      </c>
      <c r="O285" s="36" t="str">
        <f>IFERROR(INDEX(Katalog!$D$3:$D$12,MATCH(Data[[#This Row],[ItemID B]],Katalog!$C$3:$C$12,0))*Data[[#This Row],[Qty B]],"0")</f>
        <v>0</v>
      </c>
      <c r="P285" s="36" t="str">
        <f>IFERROR(INDEX(Katalog!$F$3:$F$12,MATCH(Data[[#This Row],[ItemID B]],Katalog!$C$3:$C$12,0))*Data[[#This Row],[Qty B]],"0")</f>
        <v>0</v>
      </c>
      <c r="R285" t="str">
        <f>IFERROR(INDEX(Katalog!$A$3:$A$12,MATCH(Data[[#This Row],[ItemID C]],Katalog!$C$3:$C$12,0)),"-")</f>
        <v>-</v>
      </c>
      <c r="S285" t="str">
        <f>IFERROR(INDEX(Katalog!$B$3:$B$12,MATCH(Data[[#This Row],[ItemID C]],Katalog!$C$3:$C$12,0)),"-")</f>
        <v>-</v>
      </c>
      <c r="V285" s="36" t="str">
        <f>IFERROR(INDEX(Katalog!$D$3:$D$12,MATCH(Data[[#This Row],[ItemID C]],Katalog!$C$3:$C$12,0))*Data[[#This Row],[Qty C]],"0")</f>
        <v>0</v>
      </c>
      <c r="W285" s="36" t="str">
        <f>IFERROR(INDEX(Katalog!$F$3:$F$12,MATCH(Data[[#This Row],[ItemID C]],Katalog!$C$3:$C$12,0))*Data[[#This Row],[Qty C]],"0")</f>
        <v>0</v>
      </c>
      <c r="X285" s="21">
        <f>Data[[#This Row],[Qty A]]+Data[[#This Row],[Qty B]]+Data[[#This Row],[Qty C]]</f>
        <v>7</v>
      </c>
      <c r="Y285" s="22">
        <f>Data[[#This Row],[Harga Barang A]]+Data[[#This Row],[Harga Barang B]]+Data[[#This Row],[Harga Barang C]]</f>
        <v>1400000</v>
      </c>
      <c r="Z285" s="35">
        <f>IFERROR(Data[[#This Row],[Total Harga]]-(Data[[#This Row],[Total Harga]]*Data[[#This Row],[Diskon]]),Data[[#This Row],[Total Harga]])</f>
        <v>1260000</v>
      </c>
      <c r="AA285" s="35">
        <f>(Data[[#This Row],[Profit A]]+Data[[#This Row],[Profit B]]+Data[[#This Row],[Profit C]])</f>
        <v>560000</v>
      </c>
      <c r="AB285" s="35">
        <f>IFERROR((Data[[#This Row],[Profit non Diskon]]-(Data[[#This Row],[Profit non Diskon]]*Data[[#This Row],[Diskon]])),Data[[#This Row],[Profit non Diskon]])</f>
        <v>504000</v>
      </c>
      <c r="AC285" s="23" t="s">
        <v>6</v>
      </c>
      <c r="AD285" s="37">
        <f>IFERROR(INDEX('Kode Diskon'!$D$3:$D$9,MATCH(Data[[#This Row],[Kode diskon]],'Kode Diskon'!$C$3:$C$9,0)),"-")</f>
        <v>0.1</v>
      </c>
      <c r="AE285" s="23" t="s">
        <v>29</v>
      </c>
      <c r="AF285" s="23" t="s">
        <v>7</v>
      </c>
      <c r="AG285" s="23" t="s">
        <v>80</v>
      </c>
      <c r="AH285" s="24">
        <v>45018</v>
      </c>
      <c r="AI285" s="23" t="str">
        <f>TEXT(Data[[#This Row],[Tanggal terjual]],"dddd")</f>
        <v>Sunday</v>
      </c>
      <c r="AJ285" s="21" t="str">
        <f>TEXT(Data[[#This Row],[Tanggal terjual]],"wwww")</f>
        <v>wwww</v>
      </c>
    </row>
    <row r="286" spans="1:36" x14ac:dyDescent="0.2">
      <c r="A286" s="20">
        <v>285</v>
      </c>
      <c r="B286" s="21" t="str">
        <f>_xlfn.CONCAT("ORD-",INDEX(Helper!$B$2:$B$5,MATCH(Data[[#This Row],[Marketplace]],Helper!$A$2:$A$5,0)),TEXT(Data[[#This Row],[No]],"0000"),"-",TEXT(Data[[#This Row],[Tanggal terjual]],"dd/mm/yy"))</f>
        <v>ORD-SP0285-16/04/23</v>
      </c>
      <c r="C286" t="s">
        <v>60</v>
      </c>
      <c r="D286" t="str">
        <f>IFERROR(INDEX(Katalog!$A$3:$A$12,MATCH(Data[[#This Row],[ItemID A]],Katalog!$C$3:$C$12,0)),"-")</f>
        <v>Pakaian Wanita</v>
      </c>
      <c r="E286" t="str">
        <f>IFERROR(INDEX(Katalog!$B$3:$B$12,MATCH(Data[[#This Row],[ItemID A]],Katalog!$C$3:$C$12,0)),"-")</f>
        <v>Kaftan</v>
      </c>
      <c r="F286">
        <v>2</v>
      </c>
      <c r="G286">
        <v>3</v>
      </c>
      <c r="H286" s="36">
        <f>IFERROR(INDEX(Katalog!$D$3:$D$12,MATCH(Data[[#This Row],[ItemID A]],Katalog!$C$3:$C$12,0))*Data[[#This Row],[Qty A]],"0")</f>
        <v>500000</v>
      </c>
      <c r="I286" s="36">
        <f>IFERROR(INDEX(Katalog!$F$3:$F$12,MATCH(Data[[#This Row],[ItemID A]],Katalog!$C$3:$C$12,0))*Data[[#This Row],[Qty A]],0)</f>
        <v>200000</v>
      </c>
      <c r="J286" t="s">
        <v>67</v>
      </c>
      <c r="K286" t="str">
        <f>IFERROR(INDEX(Katalog!$A$3:$A$12,MATCH(Data[[#This Row],[ItemID B]],Katalog!$C$3:$C$12,0)),"-")</f>
        <v>Sepatu Wanita</v>
      </c>
      <c r="L286" t="str">
        <f>IFERROR(INDEX(Katalog!$B$3:$B$12,MATCH(Data[[#This Row],[ItemID B]],Katalog!$C$3:$C$12,0)),"-")</f>
        <v>Flat Shoes</v>
      </c>
      <c r="M286">
        <v>3</v>
      </c>
      <c r="N286">
        <v>5</v>
      </c>
      <c r="O286" s="36">
        <f>IFERROR(INDEX(Katalog!$D$3:$D$12,MATCH(Data[[#This Row],[ItemID B]],Katalog!$C$3:$C$12,0))*Data[[#This Row],[Qty B]],"0")</f>
        <v>750000</v>
      </c>
      <c r="P286" s="36">
        <f>IFERROR(INDEX(Katalog!$F$3:$F$12,MATCH(Data[[#This Row],[ItemID B]],Katalog!$C$3:$C$12,0))*Data[[#This Row],[Qty B]],"0")</f>
        <v>300000</v>
      </c>
      <c r="R286" t="str">
        <f>IFERROR(INDEX(Katalog!$A$3:$A$12,MATCH(Data[[#This Row],[ItemID C]],Katalog!$C$3:$C$12,0)),"-")</f>
        <v>-</v>
      </c>
      <c r="S286" t="str">
        <f>IFERROR(INDEX(Katalog!$B$3:$B$12,MATCH(Data[[#This Row],[ItemID C]],Katalog!$C$3:$C$12,0)),"-")</f>
        <v>-</v>
      </c>
      <c r="V286" s="36" t="str">
        <f>IFERROR(INDEX(Katalog!$D$3:$D$12,MATCH(Data[[#This Row],[ItemID C]],Katalog!$C$3:$C$12,0))*Data[[#This Row],[Qty C]],"0")</f>
        <v>0</v>
      </c>
      <c r="W286" s="36" t="str">
        <f>IFERROR(INDEX(Katalog!$F$3:$F$12,MATCH(Data[[#This Row],[ItemID C]],Katalog!$C$3:$C$12,0))*Data[[#This Row],[Qty C]],"0")</f>
        <v>0</v>
      </c>
      <c r="X286" s="21">
        <f>Data[[#This Row],[Qty A]]+Data[[#This Row],[Qty B]]+Data[[#This Row],[Qty C]]</f>
        <v>5</v>
      </c>
      <c r="Y286" s="22">
        <f>Data[[#This Row],[Harga Barang A]]+Data[[#This Row],[Harga Barang B]]+Data[[#This Row],[Harga Barang C]]</f>
        <v>1250000</v>
      </c>
      <c r="Z286" s="35">
        <f>IFERROR(Data[[#This Row],[Total Harga]]-(Data[[#This Row],[Total Harga]]*Data[[#This Row],[Diskon]]),Data[[#This Row],[Total Harga]])</f>
        <v>1000000</v>
      </c>
      <c r="AA286" s="35">
        <f>(Data[[#This Row],[Profit A]]+Data[[#This Row],[Profit B]]+Data[[#This Row],[Profit C]])</f>
        <v>500000</v>
      </c>
      <c r="AB286" s="35">
        <f>IFERROR((Data[[#This Row],[Profit non Diskon]]-(Data[[#This Row],[Profit non Diskon]]*Data[[#This Row],[Diskon]])),Data[[#This Row],[Profit non Diskon]])</f>
        <v>400000</v>
      </c>
      <c r="AC286" s="23" t="s">
        <v>8</v>
      </c>
      <c r="AD286" s="37">
        <f>IFERROR(INDEX('Kode Diskon'!$D$3:$D$9,MATCH(Data[[#This Row],[Kode diskon]],'Kode Diskon'!$C$3:$C$9,0)),"-")</f>
        <v>0.2</v>
      </c>
      <c r="AE286" s="23" t="s">
        <v>9</v>
      </c>
      <c r="AF286" s="23" t="s">
        <v>7</v>
      </c>
      <c r="AG286" s="23" t="s">
        <v>75</v>
      </c>
      <c r="AH286" s="24">
        <v>45032</v>
      </c>
      <c r="AI286" s="23" t="str">
        <f>TEXT(Data[[#This Row],[Tanggal terjual]],"dddd")</f>
        <v>Sunday</v>
      </c>
      <c r="AJ286" s="21" t="str">
        <f>TEXT(Data[[#This Row],[Tanggal terjual]],"wwww")</f>
        <v>wwww</v>
      </c>
    </row>
    <row r="287" spans="1:36" x14ac:dyDescent="0.2">
      <c r="A287" s="20">
        <v>286</v>
      </c>
      <c r="B287" s="21" t="str">
        <f>_xlfn.CONCAT("ORD-",INDEX(Helper!$B$2:$B$5,MATCH(Data[[#This Row],[Marketplace]],Helper!$A$2:$A$5,0)),TEXT(Data[[#This Row],[No]],"0000"),"-",TEXT(Data[[#This Row],[Tanggal terjual]],"dd/mm/yy"))</f>
        <v>ORD-SP0286-03/04/23</v>
      </c>
      <c r="C287" t="s">
        <v>58</v>
      </c>
      <c r="D287" t="str">
        <f>IFERROR(INDEX(Katalog!$A$3:$A$12,MATCH(Data[[#This Row],[ItemID A]],Katalog!$C$3:$C$12,0)),"-")</f>
        <v>Pakaian Wanita</v>
      </c>
      <c r="E287" t="str">
        <f>IFERROR(INDEX(Katalog!$B$3:$B$12,MATCH(Data[[#This Row],[ItemID A]],Katalog!$C$3:$C$12,0)),"-")</f>
        <v>Dress</v>
      </c>
      <c r="F287">
        <v>2</v>
      </c>
      <c r="G287">
        <v>4</v>
      </c>
      <c r="H287" s="36">
        <f>IFERROR(INDEX(Katalog!$D$3:$D$12,MATCH(Data[[#This Row],[ItemID A]],Katalog!$C$3:$C$12,0))*Data[[#This Row],[Qty A]],"0")</f>
        <v>600000</v>
      </c>
      <c r="I287" s="36">
        <f>IFERROR(INDEX(Katalog!$F$3:$F$12,MATCH(Data[[#This Row],[ItemID A]],Katalog!$C$3:$C$12,0))*Data[[#This Row],[Qty A]],0)</f>
        <v>200000</v>
      </c>
      <c r="K287" t="str">
        <f>IFERROR(INDEX(Katalog!$A$3:$A$12,MATCH(Data[[#This Row],[ItemID B]],Katalog!$C$3:$C$12,0)),"-")</f>
        <v>-</v>
      </c>
      <c r="L287" t="str">
        <f>IFERROR(INDEX(Katalog!$B$3:$B$12,MATCH(Data[[#This Row],[ItemID B]],Katalog!$C$3:$C$12,0)),"-")</f>
        <v>-</v>
      </c>
      <c r="O287" s="36" t="str">
        <f>IFERROR(INDEX(Katalog!$D$3:$D$12,MATCH(Data[[#This Row],[ItemID B]],Katalog!$C$3:$C$12,0))*Data[[#This Row],[Qty B]],"0")</f>
        <v>0</v>
      </c>
      <c r="P287" s="36" t="str">
        <f>IFERROR(INDEX(Katalog!$F$3:$F$12,MATCH(Data[[#This Row],[ItemID B]],Katalog!$C$3:$C$12,0))*Data[[#This Row],[Qty B]],"0")</f>
        <v>0</v>
      </c>
      <c r="R287" t="str">
        <f>IFERROR(INDEX(Katalog!$A$3:$A$12,MATCH(Data[[#This Row],[ItemID C]],Katalog!$C$3:$C$12,0)),"-")</f>
        <v>-</v>
      </c>
      <c r="S287" t="str">
        <f>IFERROR(INDEX(Katalog!$B$3:$B$12,MATCH(Data[[#This Row],[ItemID C]],Katalog!$C$3:$C$12,0)),"-")</f>
        <v>-</v>
      </c>
      <c r="V287" s="36" t="str">
        <f>IFERROR(INDEX(Katalog!$D$3:$D$12,MATCH(Data[[#This Row],[ItemID C]],Katalog!$C$3:$C$12,0))*Data[[#This Row],[Qty C]],"0")</f>
        <v>0</v>
      </c>
      <c r="W287" s="36" t="str">
        <f>IFERROR(INDEX(Katalog!$F$3:$F$12,MATCH(Data[[#This Row],[ItemID C]],Katalog!$C$3:$C$12,0))*Data[[#This Row],[Qty C]],"0")</f>
        <v>0</v>
      </c>
      <c r="X287" s="21">
        <f>Data[[#This Row],[Qty A]]+Data[[#This Row],[Qty B]]+Data[[#This Row],[Qty C]]</f>
        <v>2</v>
      </c>
      <c r="Y287" s="22">
        <f>Data[[#This Row],[Harga Barang A]]+Data[[#This Row],[Harga Barang B]]+Data[[#This Row],[Harga Barang C]]</f>
        <v>600000</v>
      </c>
      <c r="Z287" s="35">
        <f>IFERROR(Data[[#This Row],[Total Harga]]-(Data[[#This Row],[Total Harga]]*Data[[#This Row],[Diskon]]),Data[[#This Row],[Total Harga]])</f>
        <v>510000</v>
      </c>
      <c r="AA287" s="35">
        <f>(Data[[#This Row],[Profit A]]+Data[[#This Row],[Profit B]]+Data[[#This Row],[Profit C]])</f>
        <v>200000</v>
      </c>
      <c r="AB287" s="35">
        <f>IFERROR((Data[[#This Row],[Profit non Diskon]]-(Data[[#This Row],[Profit non Diskon]]*Data[[#This Row],[Diskon]])),Data[[#This Row],[Profit non Diskon]])</f>
        <v>170000</v>
      </c>
      <c r="AC287" s="23" t="s">
        <v>13</v>
      </c>
      <c r="AD287" s="37">
        <f>IFERROR(INDEX('Kode Diskon'!$D$3:$D$9,MATCH(Data[[#This Row],[Kode diskon]],'Kode Diskon'!$C$3:$C$9,0)),"-")</f>
        <v>0.15</v>
      </c>
      <c r="AE287" s="23" t="s">
        <v>29</v>
      </c>
      <c r="AF287" s="23" t="s">
        <v>7</v>
      </c>
      <c r="AG287" s="23" t="s">
        <v>79</v>
      </c>
      <c r="AH287" s="24">
        <v>45019</v>
      </c>
      <c r="AI287" s="23" t="str">
        <f>TEXT(Data[[#This Row],[Tanggal terjual]],"dddd")</f>
        <v>Monday</v>
      </c>
      <c r="AJ287" s="21" t="str">
        <f>TEXT(Data[[#This Row],[Tanggal terjual]],"wwww")</f>
        <v>wwww</v>
      </c>
    </row>
    <row r="288" spans="1:36" x14ac:dyDescent="0.2">
      <c r="A288" s="20">
        <v>287</v>
      </c>
      <c r="B288" s="21" t="str">
        <f>_xlfn.CONCAT("ORD-",INDEX(Helper!$B$2:$B$5,MATCH(Data[[#This Row],[Marketplace]],Helper!$A$2:$A$5,0)),TEXT(Data[[#This Row],[No]],"0000"),"-",TEXT(Data[[#This Row],[Tanggal terjual]],"dd/mm/yy"))</f>
        <v>ORD-BB0287-03/04/23</v>
      </c>
      <c r="C288" t="s">
        <v>63</v>
      </c>
      <c r="D288" t="str">
        <f>IFERROR(INDEX(Katalog!$A$3:$A$12,MATCH(Data[[#This Row],[ItemID A]],Katalog!$C$3:$C$12,0)),"-")</f>
        <v>Pakaian Pria</v>
      </c>
      <c r="E288" t="str">
        <f>IFERROR(INDEX(Katalog!$B$3:$B$12,MATCH(Data[[#This Row],[ItemID A]],Katalog!$C$3:$C$12,0)),"-")</f>
        <v>Jaket Jeans</v>
      </c>
      <c r="F288">
        <v>1</v>
      </c>
      <c r="G288">
        <v>2</v>
      </c>
      <c r="H288" s="36">
        <f>IFERROR(INDEX(Katalog!$D$3:$D$12,MATCH(Data[[#This Row],[ItemID A]],Katalog!$C$3:$C$12,0))*Data[[#This Row],[Qty A]],"0")</f>
        <v>400000</v>
      </c>
      <c r="I288" s="36">
        <f>IFERROR(INDEX(Katalog!$F$3:$F$12,MATCH(Data[[#This Row],[ItemID A]],Katalog!$C$3:$C$12,0))*Data[[#This Row],[Qty A]],0)</f>
        <v>150000</v>
      </c>
      <c r="J288" t="s">
        <v>66</v>
      </c>
      <c r="K288" t="str">
        <f>IFERROR(INDEX(Katalog!$A$3:$A$12,MATCH(Data[[#This Row],[ItemID B]],Katalog!$C$3:$C$12,0)),"-")</f>
        <v>Sepatu Pria</v>
      </c>
      <c r="L288" t="str">
        <f>IFERROR(INDEX(Katalog!$B$3:$B$12,MATCH(Data[[#This Row],[ItemID B]],Katalog!$C$3:$C$12,0)),"-")</f>
        <v>Sandal Slip On</v>
      </c>
      <c r="M288">
        <v>2</v>
      </c>
      <c r="N288">
        <v>1</v>
      </c>
      <c r="O288" s="36">
        <f>IFERROR(INDEX(Katalog!$D$3:$D$12,MATCH(Data[[#This Row],[ItemID B]],Katalog!$C$3:$C$12,0))*Data[[#This Row],[Qty B]],"0")</f>
        <v>300000</v>
      </c>
      <c r="P288" s="36">
        <f>IFERROR(INDEX(Katalog!$F$3:$F$12,MATCH(Data[[#This Row],[ItemID B]],Katalog!$C$3:$C$12,0))*Data[[#This Row],[Qty B]],"0")</f>
        <v>120000</v>
      </c>
      <c r="Q288" t="s">
        <v>62</v>
      </c>
      <c r="R288" t="str">
        <f>IFERROR(INDEX(Katalog!$A$3:$A$12,MATCH(Data[[#This Row],[ItemID C]],Katalog!$C$3:$C$12,0)),"-")</f>
        <v>Pakaian Pria</v>
      </c>
      <c r="S288" t="str">
        <f>IFERROR(INDEX(Katalog!$B$3:$B$12,MATCH(Data[[#This Row],[ItemID C]],Katalog!$C$3:$C$12,0)),"-")</f>
        <v>Celana Pendek</v>
      </c>
      <c r="T288">
        <v>4</v>
      </c>
      <c r="U288">
        <v>2</v>
      </c>
      <c r="V288" s="36">
        <f>IFERROR(INDEX(Katalog!$D$3:$D$12,MATCH(Data[[#This Row],[ItemID C]],Katalog!$C$3:$C$12,0))*Data[[#This Row],[Qty C]],"0")</f>
        <v>720000</v>
      </c>
      <c r="W288" s="36">
        <f>IFERROR(INDEX(Katalog!$F$3:$F$12,MATCH(Data[[#This Row],[ItemID C]],Katalog!$C$3:$C$12,0))*Data[[#This Row],[Qty C]],"0")</f>
        <v>280000</v>
      </c>
      <c r="X288" s="21">
        <f>Data[[#This Row],[Qty A]]+Data[[#This Row],[Qty B]]+Data[[#This Row],[Qty C]]</f>
        <v>7</v>
      </c>
      <c r="Y288" s="22">
        <f>Data[[#This Row],[Harga Barang A]]+Data[[#This Row],[Harga Barang B]]+Data[[#This Row],[Harga Barang C]]</f>
        <v>1420000</v>
      </c>
      <c r="Z288" s="35">
        <f>IFERROR(Data[[#This Row],[Total Harga]]-(Data[[#This Row],[Total Harga]]*Data[[#This Row],[Diskon]]),Data[[#This Row],[Total Harga]])</f>
        <v>1207000</v>
      </c>
      <c r="AA288" s="35">
        <f>(Data[[#This Row],[Profit A]]+Data[[#This Row],[Profit B]]+Data[[#This Row],[Profit C]])</f>
        <v>550000</v>
      </c>
      <c r="AB288" s="35">
        <f>IFERROR((Data[[#This Row],[Profit non Diskon]]-(Data[[#This Row],[Profit non Diskon]]*Data[[#This Row],[Diskon]])),Data[[#This Row],[Profit non Diskon]])</f>
        <v>467500</v>
      </c>
      <c r="AC288" s="23" t="s">
        <v>28</v>
      </c>
      <c r="AD288" s="37">
        <f>IFERROR(INDEX('Kode Diskon'!$D$3:$D$9,MATCH(Data[[#This Row],[Kode diskon]],'Kode Diskon'!$C$3:$C$9,0)),"-")</f>
        <v>0.15</v>
      </c>
      <c r="AE288" s="23" t="s">
        <v>29</v>
      </c>
      <c r="AF288" s="23" t="s">
        <v>14</v>
      </c>
      <c r="AG288" s="23" t="s">
        <v>80</v>
      </c>
      <c r="AH288" s="24">
        <v>45019</v>
      </c>
      <c r="AI288" s="23" t="str">
        <f>TEXT(Data[[#This Row],[Tanggal terjual]],"dddd")</f>
        <v>Monday</v>
      </c>
      <c r="AJ288" s="21" t="str">
        <f>TEXT(Data[[#This Row],[Tanggal terjual]],"wwww")</f>
        <v>wwww</v>
      </c>
    </row>
    <row r="289" spans="1:36" x14ac:dyDescent="0.2">
      <c r="A289" s="20">
        <v>288</v>
      </c>
      <c r="B289" s="21" t="str">
        <f>_xlfn.CONCAT("ORD-",INDEX(Helper!$B$2:$B$5,MATCH(Data[[#This Row],[Marketplace]],Helper!$A$2:$A$5,0)),TEXT(Data[[#This Row],[No]],"0000"),"-",TEXT(Data[[#This Row],[Tanggal terjual]],"dd/mm/yy"))</f>
        <v>ORD-SP0288-05/04/23</v>
      </c>
      <c r="C289" t="s">
        <v>60</v>
      </c>
      <c r="D289" t="str">
        <f>IFERROR(INDEX(Katalog!$A$3:$A$12,MATCH(Data[[#This Row],[ItemID A]],Katalog!$C$3:$C$12,0)),"-")</f>
        <v>Pakaian Wanita</v>
      </c>
      <c r="E289" t="str">
        <f>IFERROR(INDEX(Katalog!$B$3:$B$12,MATCH(Data[[#This Row],[ItemID A]],Katalog!$C$3:$C$12,0)),"-")</f>
        <v>Kaftan</v>
      </c>
      <c r="F289">
        <v>2</v>
      </c>
      <c r="G289">
        <v>2</v>
      </c>
      <c r="H289" s="36">
        <f>IFERROR(INDEX(Katalog!$D$3:$D$12,MATCH(Data[[#This Row],[ItemID A]],Katalog!$C$3:$C$12,0))*Data[[#This Row],[Qty A]],"0")</f>
        <v>500000</v>
      </c>
      <c r="I289" s="36">
        <f>IFERROR(INDEX(Katalog!$F$3:$F$12,MATCH(Data[[#This Row],[ItemID A]],Katalog!$C$3:$C$12,0))*Data[[#This Row],[Qty A]],0)</f>
        <v>200000</v>
      </c>
      <c r="J289" t="s">
        <v>63</v>
      </c>
      <c r="K289" t="str">
        <f>IFERROR(INDEX(Katalog!$A$3:$A$12,MATCH(Data[[#This Row],[ItemID B]],Katalog!$C$3:$C$12,0)),"-")</f>
        <v>Pakaian Pria</v>
      </c>
      <c r="L289" t="str">
        <f>IFERROR(INDEX(Katalog!$B$3:$B$12,MATCH(Data[[#This Row],[ItemID B]],Katalog!$C$3:$C$12,0)),"-")</f>
        <v>Jaket Jeans</v>
      </c>
      <c r="M289">
        <v>1</v>
      </c>
      <c r="N289">
        <v>4</v>
      </c>
      <c r="O289" s="36">
        <f>IFERROR(INDEX(Katalog!$D$3:$D$12,MATCH(Data[[#This Row],[ItemID B]],Katalog!$C$3:$C$12,0))*Data[[#This Row],[Qty B]],"0")</f>
        <v>400000</v>
      </c>
      <c r="P289" s="36">
        <f>IFERROR(INDEX(Katalog!$F$3:$F$12,MATCH(Data[[#This Row],[ItemID B]],Katalog!$C$3:$C$12,0))*Data[[#This Row],[Qty B]],"0")</f>
        <v>150000</v>
      </c>
      <c r="R289" t="str">
        <f>IFERROR(INDEX(Katalog!$A$3:$A$12,MATCH(Data[[#This Row],[ItemID C]],Katalog!$C$3:$C$12,0)),"-")</f>
        <v>-</v>
      </c>
      <c r="S289" t="str">
        <f>IFERROR(INDEX(Katalog!$B$3:$B$12,MATCH(Data[[#This Row],[ItemID C]],Katalog!$C$3:$C$12,0)),"-")</f>
        <v>-</v>
      </c>
      <c r="V289" s="36" t="str">
        <f>IFERROR(INDEX(Katalog!$D$3:$D$12,MATCH(Data[[#This Row],[ItemID C]],Katalog!$C$3:$C$12,0))*Data[[#This Row],[Qty C]],"0")</f>
        <v>0</v>
      </c>
      <c r="W289" s="36" t="str">
        <f>IFERROR(INDEX(Katalog!$F$3:$F$12,MATCH(Data[[#This Row],[ItemID C]],Katalog!$C$3:$C$12,0))*Data[[#This Row],[Qty C]],"0")</f>
        <v>0</v>
      </c>
      <c r="X289" s="21">
        <f>Data[[#This Row],[Qty A]]+Data[[#This Row],[Qty B]]+Data[[#This Row],[Qty C]]</f>
        <v>3</v>
      </c>
      <c r="Y289" s="22">
        <f>Data[[#This Row],[Harga Barang A]]+Data[[#This Row],[Harga Barang B]]+Data[[#This Row],[Harga Barang C]]</f>
        <v>900000</v>
      </c>
      <c r="Z289" s="35">
        <f>IFERROR(Data[[#This Row],[Total Harga]]-(Data[[#This Row],[Total Harga]]*Data[[#This Row],[Diskon]]),Data[[#This Row],[Total Harga]])</f>
        <v>810000</v>
      </c>
      <c r="AA289" s="35">
        <f>(Data[[#This Row],[Profit A]]+Data[[#This Row],[Profit B]]+Data[[#This Row],[Profit C]])</f>
        <v>350000</v>
      </c>
      <c r="AB289" s="35">
        <f>IFERROR((Data[[#This Row],[Profit non Diskon]]-(Data[[#This Row],[Profit non Diskon]]*Data[[#This Row],[Diskon]])),Data[[#This Row],[Profit non Diskon]])</f>
        <v>315000</v>
      </c>
      <c r="AC289" s="23" t="s">
        <v>6</v>
      </c>
      <c r="AD289" s="37">
        <f>IFERROR(INDEX('Kode Diskon'!$D$3:$D$9,MATCH(Data[[#This Row],[Kode diskon]],'Kode Diskon'!$C$3:$C$9,0)),"-")</f>
        <v>0.1</v>
      </c>
      <c r="AE289" s="23" t="s">
        <v>29</v>
      </c>
      <c r="AF289" s="23" t="s">
        <v>7</v>
      </c>
      <c r="AG289" s="23" t="s">
        <v>79</v>
      </c>
      <c r="AH289" s="24">
        <v>45021</v>
      </c>
      <c r="AI289" s="23" t="str">
        <f>TEXT(Data[[#This Row],[Tanggal terjual]],"dddd")</f>
        <v>Wednesday</v>
      </c>
      <c r="AJ289" s="21" t="str">
        <f>TEXT(Data[[#This Row],[Tanggal terjual]],"wwww")</f>
        <v>wwww</v>
      </c>
    </row>
    <row r="290" spans="1:36" x14ac:dyDescent="0.2">
      <c r="A290" s="20">
        <v>289</v>
      </c>
      <c r="B290" s="21" t="str">
        <f>_xlfn.CONCAT("ORD-",INDEX(Helper!$B$2:$B$5,MATCH(Data[[#This Row],[Marketplace]],Helper!$A$2:$A$5,0)),TEXT(Data[[#This Row],[No]],"0000"),"-",TEXT(Data[[#This Row],[Tanggal terjual]],"dd/mm/yy"))</f>
        <v>ORD-BB0289-03/04/23</v>
      </c>
      <c r="C290" t="s">
        <v>58</v>
      </c>
      <c r="D290" t="str">
        <f>IFERROR(INDEX(Katalog!$A$3:$A$12,MATCH(Data[[#This Row],[ItemID A]],Katalog!$C$3:$C$12,0)),"-")</f>
        <v>Pakaian Wanita</v>
      </c>
      <c r="E290" t="str">
        <f>IFERROR(INDEX(Katalog!$B$3:$B$12,MATCH(Data[[#This Row],[ItemID A]],Katalog!$C$3:$C$12,0)),"-")</f>
        <v>Dress</v>
      </c>
      <c r="F290">
        <v>4</v>
      </c>
      <c r="G290">
        <v>1</v>
      </c>
      <c r="H290" s="36">
        <f>IFERROR(INDEX(Katalog!$D$3:$D$12,MATCH(Data[[#This Row],[ItemID A]],Katalog!$C$3:$C$12,0))*Data[[#This Row],[Qty A]],"0")</f>
        <v>1200000</v>
      </c>
      <c r="I290" s="36">
        <f>IFERROR(INDEX(Katalog!$F$3:$F$12,MATCH(Data[[#This Row],[ItemID A]],Katalog!$C$3:$C$12,0))*Data[[#This Row],[Qty A]],0)</f>
        <v>400000</v>
      </c>
      <c r="J290" t="s">
        <v>60</v>
      </c>
      <c r="K290" t="str">
        <f>IFERROR(INDEX(Katalog!$A$3:$A$12,MATCH(Data[[#This Row],[ItemID B]],Katalog!$C$3:$C$12,0)),"-")</f>
        <v>Pakaian Wanita</v>
      </c>
      <c r="L290" t="str">
        <f>IFERROR(INDEX(Katalog!$B$3:$B$12,MATCH(Data[[#This Row],[ItemID B]],Katalog!$C$3:$C$12,0)),"-")</f>
        <v>Kaftan</v>
      </c>
      <c r="M290">
        <v>1</v>
      </c>
      <c r="N290">
        <v>2</v>
      </c>
      <c r="O290" s="36">
        <f>IFERROR(INDEX(Katalog!$D$3:$D$12,MATCH(Data[[#This Row],[ItemID B]],Katalog!$C$3:$C$12,0))*Data[[#This Row],[Qty B]],"0")</f>
        <v>250000</v>
      </c>
      <c r="P290" s="36">
        <f>IFERROR(INDEX(Katalog!$F$3:$F$12,MATCH(Data[[#This Row],[ItemID B]],Katalog!$C$3:$C$12,0))*Data[[#This Row],[Qty B]],"0")</f>
        <v>100000</v>
      </c>
      <c r="Q290" t="s">
        <v>66</v>
      </c>
      <c r="R290" t="str">
        <f>IFERROR(INDEX(Katalog!$A$3:$A$12,MATCH(Data[[#This Row],[ItemID C]],Katalog!$C$3:$C$12,0)),"-")</f>
        <v>Sepatu Pria</v>
      </c>
      <c r="S290" t="str">
        <f>IFERROR(INDEX(Katalog!$B$3:$B$12,MATCH(Data[[#This Row],[ItemID C]],Katalog!$C$3:$C$12,0)),"-")</f>
        <v>Sandal Slip On</v>
      </c>
      <c r="T290">
        <v>1</v>
      </c>
      <c r="U290">
        <v>2</v>
      </c>
      <c r="V290" s="36">
        <f>IFERROR(INDEX(Katalog!$D$3:$D$12,MATCH(Data[[#This Row],[ItemID C]],Katalog!$C$3:$C$12,0))*Data[[#This Row],[Qty C]],"0")</f>
        <v>150000</v>
      </c>
      <c r="W290" s="36">
        <f>IFERROR(INDEX(Katalog!$F$3:$F$12,MATCH(Data[[#This Row],[ItemID C]],Katalog!$C$3:$C$12,0))*Data[[#This Row],[Qty C]],"0")</f>
        <v>60000</v>
      </c>
      <c r="X290" s="21">
        <f>Data[[#This Row],[Qty A]]+Data[[#This Row],[Qty B]]+Data[[#This Row],[Qty C]]</f>
        <v>6</v>
      </c>
      <c r="Y290" s="22">
        <f>Data[[#This Row],[Harga Barang A]]+Data[[#This Row],[Harga Barang B]]+Data[[#This Row],[Harga Barang C]]</f>
        <v>1600000</v>
      </c>
      <c r="Z290" s="35">
        <f>IFERROR(Data[[#This Row],[Total Harga]]-(Data[[#This Row],[Total Harga]]*Data[[#This Row],[Diskon]]),Data[[#This Row],[Total Harga]])</f>
        <v>1360000</v>
      </c>
      <c r="AA290" s="35">
        <f>(Data[[#This Row],[Profit A]]+Data[[#This Row],[Profit B]]+Data[[#This Row],[Profit C]])</f>
        <v>560000</v>
      </c>
      <c r="AB290" s="35">
        <f>IFERROR((Data[[#This Row],[Profit non Diskon]]-(Data[[#This Row],[Profit non Diskon]]*Data[[#This Row],[Diskon]])),Data[[#This Row],[Profit non Diskon]])</f>
        <v>476000</v>
      </c>
      <c r="AC290" s="23" t="s">
        <v>28</v>
      </c>
      <c r="AD290" s="37">
        <f>IFERROR(INDEX('Kode Diskon'!$D$3:$D$9,MATCH(Data[[#This Row],[Kode diskon]],'Kode Diskon'!$C$3:$C$9,0)),"-")</f>
        <v>0.15</v>
      </c>
      <c r="AE290" s="23" t="s">
        <v>29</v>
      </c>
      <c r="AF290" s="23" t="s">
        <v>14</v>
      </c>
      <c r="AG290" s="23" t="s">
        <v>77</v>
      </c>
      <c r="AH290" s="24">
        <v>45019</v>
      </c>
      <c r="AI290" s="23" t="str">
        <f>TEXT(Data[[#This Row],[Tanggal terjual]],"dddd")</f>
        <v>Monday</v>
      </c>
      <c r="AJ290" s="21" t="str">
        <f>TEXT(Data[[#This Row],[Tanggal terjual]],"wwww")</f>
        <v>wwww</v>
      </c>
    </row>
    <row r="291" spans="1:36" x14ac:dyDescent="0.2">
      <c r="A291" s="20">
        <v>290</v>
      </c>
      <c r="B291" s="21" t="str">
        <f>_xlfn.CONCAT("ORD-",INDEX(Helper!$B$2:$B$5,MATCH(Data[[#This Row],[Marketplace]],Helper!$A$2:$A$5,0)),TEXT(Data[[#This Row],[No]],"0000"),"-",TEXT(Data[[#This Row],[Tanggal terjual]],"dd/mm/yy"))</f>
        <v>ORD-TK0290-07/04/23</v>
      </c>
      <c r="C291" t="s">
        <v>63</v>
      </c>
      <c r="D291" t="str">
        <f>IFERROR(INDEX(Katalog!$A$3:$A$12,MATCH(Data[[#This Row],[ItemID A]],Katalog!$C$3:$C$12,0)),"-")</f>
        <v>Pakaian Pria</v>
      </c>
      <c r="E291" t="str">
        <f>IFERROR(INDEX(Katalog!$B$3:$B$12,MATCH(Data[[#This Row],[ItemID A]],Katalog!$C$3:$C$12,0)),"-")</f>
        <v>Jaket Jeans</v>
      </c>
      <c r="F291">
        <v>6</v>
      </c>
      <c r="G291">
        <v>2</v>
      </c>
      <c r="H291" s="36">
        <f>IFERROR(INDEX(Katalog!$D$3:$D$12,MATCH(Data[[#This Row],[ItemID A]],Katalog!$C$3:$C$12,0))*Data[[#This Row],[Qty A]],"0")</f>
        <v>2400000</v>
      </c>
      <c r="I291" s="36">
        <f>IFERROR(INDEX(Katalog!$F$3:$F$12,MATCH(Data[[#This Row],[ItemID A]],Katalog!$C$3:$C$12,0))*Data[[#This Row],[Qty A]],0)</f>
        <v>900000</v>
      </c>
      <c r="J291" t="s">
        <v>62</v>
      </c>
      <c r="K291" t="str">
        <f>IFERROR(INDEX(Katalog!$A$3:$A$12,MATCH(Data[[#This Row],[ItemID B]],Katalog!$C$3:$C$12,0)),"-")</f>
        <v>Pakaian Pria</v>
      </c>
      <c r="L291" t="str">
        <f>IFERROR(INDEX(Katalog!$B$3:$B$12,MATCH(Data[[#This Row],[ItemID B]],Katalog!$C$3:$C$12,0)),"-")</f>
        <v>Celana Pendek</v>
      </c>
      <c r="M291">
        <v>1</v>
      </c>
      <c r="N291">
        <v>1</v>
      </c>
      <c r="O291" s="36">
        <f>IFERROR(INDEX(Katalog!$D$3:$D$12,MATCH(Data[[#This Row],[ItemID B]],Katalog!$C$3:$C$12,0))*Data[[#This Row],[Qty B]],"0")</f>
        <v>180000</v>
      </c>
      <c r="P291" s="36">
        <f>IFERROR(INDEX(Katalog!$F$3:$F$12,MATCH(Data[[#This Row],[ItemID B]],Katalog!$C$3:$C$12,0))*Data[[#This Row],[Qty B]],"0")</f>
        <v>70000</v>
      </c>
      <c r="R291" t="str">
        <f>IFERROR(INDEX(Katalog!$A$3:$A$12,MATCH(Data[[#This Row],[ItemID C]],Katalog!$C$3:$C$12,0)),"-")</f>
        <v>-</v>
      </c>
      <c r="S291" t="str">
        <f>IFERROR(INDEX(Katalog!$B$3:$B$12,MATCH(Data[[#This Row],[ItemID C]],Katalog!$C$3:$C$12,0)),"-")</f>
        <v>-</v>
      </c>
      <c r="V291" s="36" t="str">
        <f>IFERROR(INDEX(Katalog!$D$3:$D$12,MATCH(Data[[#This Row],[ItemID C]],Katalog!$C$3:$C$12,0))*Data[[#This Row],[Qty C]],"0")</f>
        <v>0</v>
      </c>
      <c r="W291" s="36" t="str">
        <f>IFERROR(INDEX(Katalog!$F$3:$F$12,MATCH(Data[[#This Row],[ItemID C]],Katalog!$C$3:$C$12,0))*Data[[#This Row],[Qty C]],"0")</f>
        <v>0</v>
      </c>
      <c r="X291" s="21">
        <f>Data[[#This Row],[Qty A]]+Data[[#This Row],[Qty B]]+Data[[#This Row],[Qty C]]</f>
        <v>7</v>
      </c>
      <c r="Y291" s="22">
        <f>Data[[#This Row],[Harga Barang A]]+Data[[#This Row],[Harga Barang B]]+Data[[#This Row],[Harga Barang C]]</f>
        <v>2580000</v>
      </c>
      <c r="Z291" s="35">
        <f>IFERROR(Data[[#This Row],[Total Harga]]-(Data[[#This Row],[Total Harga]]*Data[[#This Row],[Diskon]]),Data[[#This Row],[Total Harga]])</f>
        <v>2580000</v>
      </c>
      <c r="AA291" s="35">
        <f>(Data[[#This Row],[Profit A]]+Data[[#This Row],[Profit B]]+Data[[#This Row],[Profit C]])</f>
        <v>970000</v>
      </c>
      <c r="AB291" s="35">
        <f>IFERROR((Data[[#This Row],[Profit non Diskon]]-(Data[[#This Row],[Profit non Diskon]]*Data[[#This Row],[Diskon]])),Data[[#This Row],[Profit non Diskon]])</f>
        <v>970000</v>
      </c>
      <c r="AC291" s="23" t="s">
        <v>11</v>
      </c>
      <c r="AD291" s="37" t="str">
        <f>IFERROR(INDEX('Kode Diskon'!$D$3:$D$9,MATCH(Data[[#This Row],[Kode diskon]],'Kode Diskon'!$C$3:$C$9,0)),"-")</f>
        <v>-</v>
      </c>
      <c r="AE291" s="23" t="s">
        <v>11</v>
      </c>
      <c r="AF291" s="23" t="s">
        <v>10</v>
      </c>
      <c r="AG291" s="23" t="s">
        <v>75</v>
      </c>
      <c r="AH291" s="24">
        <v>45023</v>
      </c>
      <c r="AI291" s="23" t="str">
        <f>TEXT(Data[[#This Row],[Tanggal terjual]],"dddd")</f>
        <v>Friday</v>
      </c>
      <c r="AJ291" s="21" t="str">
        <f>TEXT(Data[[#This Row],[Tanggal terjual]],"wwww")</f>
        <v>wwww</v>
      </c>
    </row>
    <row r="292" spans="1:36" x14ac:dyDescent="0.2">
      <c r="A292" s="20">
        <v>291</v>
      </c>
      <c r="B292" s="21" t="str">
        <f>_xlfn.CONCAT("ORD-",INDEX(Helper!$B$2:$B$5,MATCH(Data[[#This Row],[Marketplace]],Helper!$A$2:$A$5,0)),TEXT(Data[[#This Row],[No]],"0000"),"-",TEXT(Data[[#This Row],[Tanggal terjual]],"dd/mm/yy"))</f>
        <v>ORD-SP0291-04/04/23</v>
      </c>
      <c r="C292" t="s">
        <v>66</v>
      </c>
      <c r="D292" t="str">
        <f>IFERROR(INDEX(Katalog!$A$3:$A$12,MATCH(Data[[#This Row],[ItemID A]],Katalog!$C$3:$C$12,0)),"-")</f>
        <v>Sepatu Pria</v>
      </c>
      <c r="E292" t="str">
        <f>IFERROR(INDEX(Katalog!$B$3:$B$12,MATCH(Data[[#This Row],[ItemID A]],Katalog!$C$3:$C$12,0)),"-")</f>
        <v>Sandal Slip On</v>
      </c>
      <c r="F292">
        <v>1</v>
      </c>
      <c r="G292">
        <v>4</v>
      </c>
      <c r="H292" s="36">
        <f>IFERROR(INDEX(Katalog!$D$3:$D$12,MATCH(Data[[#This Row],[ItemID A]],Katalog!$C$3:$C$12,0))*Data[[#This Row],[Qty A]],"0")</f>
        <v>150000</v>
      </c>
      <c r="I292" s="36">
        <f>IFERROR(INDEX(Katalog!$F$3:$F$12,MATCH(Data[[#This Row],[ItemID A]],Katalog!$C$3:$C$12,0))*Data[[#This Row],[Qty A]],0)</f>
        <v>60000</v>
      </c>
      <c r="J292" t="s">
        <v>65</v>
      </c>
      <c r="K292" t="str">
        <f>IFERROR(INDEX(Katalog!$A$3:$A$12,MATCH(Data[[#This Row],[ItemID B]],Katalog!$C$3:$C$12,0)),"-")</f>
        <v>Sepatu Pria</v>
      </c>
      <c r="L292" t="str">
        <f>IFERROR(INDEX(Katalog!$B$3:$B$12,MATCH(Data[[#This Row],[ItemID B]],Katalog!$C$3:$C$12,0)),"-")</f>
        <v>Sneakers</v>
      </c>
      <c r="M292">
        <v>1</v>
      </c>
      <c r="N292">
        <v>4</v>
      </c>
      <c r="O292" s="36">
        <f>IFERROR(INDEX(Katalog!$D$3:$D$12,MATCH(Data[[#This Row],[ItemID B]],Katalog!$C$3:$C$12,0))*Data[[#This Row],[Qty B]],"0")</f>
        <v>500000</v>
      </c>
      <c r="P292" s="36">
        <f>IFERROR(INDEX(Katalog!$F$3:$F$12,MATCH(Data[[#This Row],[ItemID B]],Katalog!$C$3:$C$12,0))*Data[[#This Row],[Qty B]],"0")</f>
        <v>200000</v>
      </c>
      <c r="R292" t="str">
        <f>IFERROR(INDEX(Katalog!$A$3:$A$12,MATCH(Data[[#This Row],[ItemID C]],Katalog!$C$3:$C$12,0)),"-")</f>
        <v>-</v>
      </c>
      <c r="S292" t="str">
        <f>IFERROR(INDEX(Katalog!$B$3:$B$12,MATCH(Data[[#This Row],[ItemID C]],Katalog!$C$3:$C$12,0)),"-")</f>
        <v>-</v>
      </c>
      <c r="V292" s="36" t="str">
        <f>IFERROR(INDEX(Katalog!$D$3:$D$12,MATCH(Data[[#This Row],[ItemID C]],Katalog!$C$3:$C$12,0))*Data[[#This Row],[Qty C]],"0")</f>
        <v>0</v>
      </c>
      <c r="W292" s="36" t="str">
        <f>IFERROR(INDEX(Katalog!$F$3:$F$12,MATCH(Data[[#This Row],[ItemID C]],Katalog!$C$3:$C$12,0))*Data[[#This Row],[Qty C]],"0")</f>
        <v>0</v>
      </c>
      <c r="X292" s="21">
        <f>Data[[#This Row],[Qty A]]+Data[[#This Row],[Qty B]]+Data[[#This Row],[Qty C]]</f>
        <v>2</v>
      </c>
      <c r="Y292" s="22">
        <f>Data[[#This Row],[Harga Barang A]]+Data[[#This Row],[Harga Barang B]]+Data[[#This Row],[Harga Barang C]]</f>
        <v>650000</v>
      </c>
      <c r="Z292" s="35">
        <f>IFERROR(Data[[#This Row],[Total Harga]]-(Data[[#This Row],[Total Harga]]*Data[[#This Row],[Diskon]]),Data[[#This Row],[Total Harga]])</f>
        <v>552500</v>
      </c>
      <c r="AA292" s="35">
        <f>(Data[[#This Row],[Profit A]]+Data[[#This Row],[Profit B]]+Data[[#This Row],[Profit C]])</f>
        <v>260000</v>
      </c>
      <c r="AB292" s="35">
        <f>IFERROR((Data[[#This Row],[Profit non Diskon]]-(Data[[#This Row],[Profit non Diskon]]*Data[[#This Row],[Diskon]])),Data[[#This Row],[Profit non Diskon]])</f>
        <v>221000</v>
      </c>
      <c r="AC292" s="23" t="s">
        <v>13</v>
      </c>
      <c r="AD292" s="37">
        <f>IFERROR(INDEX('Kode Diskon'!$D$3:$D$9,MATCH(Data[[#This Row],[Kode diskon]],'Kode Diskon'!$C$3:$C$9,0)),"-")</f>
        <v>0.15</v>
      </c>
      <c r="AE292" s="23" t="s">
        <v>29</v>
      </c>
      <c r="AF292" s="23" t="s">
        <v>7</v>
      </c>
      <c r="AG292" s="23" t="s">
        <v>80</v>
      </c>
      <c r="AH292" s="24">
        <v>45020</v>
      </c>
      <c r="AI292" s="23" t="str">
        <f>TEXT(Data[[#This Row],[Tanggal terjual]],"dddd")</f>
        <v>Tuesday</v>
      </c>
      <c r="AJ292" s="21" t="str">
        <f>TEXT(Data[[#This Row],[Tanggal terjual]],"wwww")</f>
        <v>wwww</v>
      </c>
    </row>
    <row r="293" spans="1:36" x14ac:dyDescent="0.2">
      <c r="A293" s="20">
        <v>292</v>
      </c>
      <c r="B293" s="21" t="str">
        <f>_xlfn.CONCAT("ORD-",INDEX(Helper!$B$2:$B$5,MATCH(Data[[#This Row],[Marketplace]],Helper!$A$2:$A$5,0)),TEXT(Data[[#This Row],[No]],"0000"),"-",TEXT(Data[[#This Row],[Tanggal terjual]],"dd/mm/yy"))</f>
        <v>ORD-BB0292-05/04/23</v>
      </c>
      <c r="C293" t="s">
        <v>67</v>
      </c>
      <c r="D293" t="str">
        <f>IFERROR(INDEX(Katalog!$A$3:$A$12,MATCH(Data[[#This Row],[ItemID A]],Katalog!$C$3:$C$12,0)),"-")</f>
        <v>Sepatu Wanita</v>
      </c>
      <c r="E293" t="str">
        <f>IFERROR(INDEX(Katalog!$B$3:$B$12,MATCH(Data[[#This Row],[ItemID A]],Katalog!$C$3:$C$12,0)),"-")</f>
        <v>Flat Shoes</v>
      </c>
      <c r="F293">
        <v>3</v>
      </c>
      <c r="G293">
        <v>2</v>
      </c>
      <c r="H293" s="36">
        <f>IFERROR(INDEX(Katalog!$D$3:$D$12,MATCH(Data[[#This Row],[ItemID A]],Katalog!$C$3:$C$12,0))*Data[[#This Row],[Qty A]],"0")</f>
        <v>750000</v>
      </c>
      <c r="I293" s="36">
        <f>IFERROR(INDEX(Katalog!$F$3:$F$12,MATCH(Data[[#This Row],[ItemID A]],Katalog!$C$3:$C$12,0))*Data[[#This Row],[Qty A]],0)</f>
        <v>300000</v>
      </c>
      <c r="K293" t="str">
        <f>IFERROR(INDEX(Katalog!$A$3:$A$12,MATCH(Data[[#This Row],[ItemID B]],Katalog!$C$3:$C$12,0)),"-")</f>
        <v>-</v>
      </c>
      <c r="L293" t="str">
        <f>IFERROR(INDEX(Katalog!$B$3:$B$12,MATCH(Data[[#This Row],[ItemID B]],Katalog!$C$3:$C$12,0)),"-")</f>
        <v>-</v>
      </c>
      <c r="O293" s="36" t="str">
        <f>IFERROR(INDEX(Katalog!$D$3:$D$12,MATCH(Data[[#This Row],[ItemID B]],Katalog!$C$3:$C$12,0))*Data[[#This Row],[Qty B]],"0")</f>
        <v>0</v>
      </c>
      <c r="P293" s="36" t="str">
        <f>IFERROR(INDEX(Katalog!$F$3:$F$12,MATCH(Data[[#This Row],[ItemID B]],Katalog!$C$3:$C$12,0))*Data[[#This Row],[Qty B]],"0")</f>
        <v>0</v>
      </c>
      <c r="R293" t="str">
        <f>IFERROR(INDEX(Katalog!$A$3:$A$12,MATCH(Data[[#This Row],[ItemID C]],Katalog!$C$3:$C$12,0)),"-")</f>
        <v>-</v>
      </c>
      <c r="S293" t="str">
        <f>IFERROR(INDEX(Katalog!$B$3:$B$12,MATCH(Data[[#This Row],[ItemID C]],Katalog!$C$3:$C$12,0)),"-")</f>
        <v>-</v>
      </c>
      <c r="V293" s="36" t="str">
        <f>IFERROR(INDEX(Katalog!$D$3:$D$12,MATCH(Data[[#This Row],[ItemID C]],Katalog!$C$3:$C$12,0))*Data[[#This Row],[Qty C]],"0")</f>
        <v>0</v>
      </c>
      <c r="W293" s="36" t="str">
        <f>IFERROR(INDEX(Katalog!$F$3:$F$12,MATCH(Data[[#This Row],[ItemID C]],Katalog!$C$3:$C$12,0))*Data[[#This Row],[Qty C]],"0")</f>
        <v>0</v>
      </c>
      <c r="X293" s="21">
        <f>Data[[#This Row],[Qty A]]+Data[[#This Row],[Qty B]]+Data[[#This Row],[Qty C]]</f>
        <v>3</v>
      </c>
      <c r="Y293" s="22">
        <f>Data[[#This Row],[Harga Barang A]]+Data[[#This Row],[Harga Barang B]]+Data[[#This Row],[Harga Barang C]]</f>
        <v>750000</v>
      </c>
      <c r="Z293" s="35">
        <f>IFERROR(Data[[#This Row],[Total Harga]]-(Data[[#This Row],[Total Harga]]*Data[[#This Row],[Diskon]]),Data[[#This Row],[Total Harga]])</f>
        <v>637500</v>
      </c>
      <c r="AA293" s="35">
        <f>(Data[[#This Row],[Profit A]]+Data[[#This Row],[Profit B]]+Data[[#This Row],[Profit C]])</f>
        <v>300000</v>
      </c>
      <c r="AB293" s="35">
        <f>IFERROR((Data[[#This Row],[Profit non Diskon]]-(Data[[#This Row],[Profit non Diskon]]*Data[[#This Row],[Diskon]])),Data[[#This Row],[Profit non Diskon]])</f>
        <v>255000</v>
      </c>
      <c r="AC293" s="23" t="s">
        <v>28</v>
      </c>
      <c r="AD293" s="37">
        <f>IFERROR(INDEX('Kode Diskon'!$D$3:$D$9,MATCH(Data[[#This Row],[Kode diskon]],'Kode Diskon'!$C$3:$C$9,0)),"-")</f>
        <v>0.15</v>
      </c>
      <c r="AE293" s="23" t="s">
        <v>29</v>
      </c>
      <c r="AF293" s="23" t="s">
        <v>14</v>
      </c>
      <c r="AG293" s="23" t="s">
        <v>80</v>
      </c>
      <c r="AH293" s="24">
        <v>45021</v>
      </c>
      <c r="AI293" s="23" t="str">
        <f>TEXT(Data[[#This Row],[Tanggal terjual]],"dddd")</f>
        <v>Wednesday</v>
      </c>
      <c r="AJ293" s="21" t="str">
        <f>TEXT(Data[[#This Row],[Tanggal terjual]],"wwww")</f>
        <v>wwww</v>
      </c>
    </row>
    <row r="294" spans="1:36" x14ac:dyDescent="0.2">
      <c r="A294" s="20">
        <v>293</v>
      </c>
      <c r="B294" s="21" t="str">
        <f>_xlfn.CONCAT("ORD-",INDEX(Helper!$B$2:$B$5,MATCH(Data[[#This Row],[Marketplace]],Helper!$A$2:$A$5,0)),TEXT(Data[[#This Row],[No]],"0000"),"-",TEXT(Data[[#This Row],[Tanggal terjual]],"dd/mm/yy"))</f>
        <v>ORD-SP0293-06/04/23</v>
      </c>
      <c r="C294" t="s">
        <v>63</v>
      </c>
      <c r="D294" t="str">
        <f>IFERROR(INDEX(Katalog!$A$3:$A$12,MATCH(Data[[#This Row],[ItemID A]],Katalog!$C$3:$C$12,0)),"-")</f>
        <v>Pakaian Pria</v>
      </c>
      <c r="E294" t="str">
        <f>IFERROR(INDEX(Katalog!$B$3:$B$12,MATCH(Data[[#This Row],[ItemID A]],Katalog!$C$3:$C$12,0)),"-")</f>
        <v>Jaket Jeans</v>
      </c>
      <c r="F294">
        <v>2</v>
      </c>
      <c r="G294">
        <v>2</v>
      </c>
      <c r="H294" s="36">
        <f>IFERROR(INDEX(Katalog!$D$3:$D$12,MATCH(Data[[#This Row],[ItemID A]],Katalog!$C$3:$C$12,0))*Data[[#This Row],[Qty A]],"0")</f>
        <v>800000</v>
      </c>
      <c r="I294" s="36">
        <f>IFERROR(INDEX(Katalog!$F$3:$F$12,MATCH(Data[[#This Row],[ItemID A]],Katalog!$C$3:$C$12,0))*Data[[#This Row],[Qty A]],0)</f>
        <v>300000</v>
      </c>
      <c r="J294" t="s">
        <v>60</v>
      </c>
      <c r="K294" t="str">
        <f>IFERROR(INDEX(Katalog!$A$3:$A$12,MATCH(Data[[#This Row],[ItemID B]],Katalog!$C$3:$C$12,0)),"-")</f>
        <v>Pakaian Wanita</v>
      </c>
      <c r="L294" t="str">
        <f>IFERROR(INDEX(Katalog!$B$3:$B$12,MATCH(Data[[#This Row],[ItemID B]],Katalog!$C$3:$C$12,0)),"-")</f>
        <v>Kaftan</v>
      </c>
      <c r="M294">
        <v>2</v>
      </c>
      <c r="N294">
        <v>1</v>
      </c>
      <c r="O294" s="36">
        <f>IFERROR(INDEX(Katalog!$D$3:$D$12,MATCH(Data[[#This Row],[ItemID B]],Katalog!$C$3:$C$12,0))*Data[[#This Row],[Qty B]],"0")</f>
        <v>500000</v>
      </c>
      <c r="P294" s="36">
        <f>IFERROR(INDEX(Katalog!$F$3:$F$12,MATCH(Data[[#This Row],[ItemID B]],Katalog!$C$3:$C$12,0))*Data[[#This Row],[Qty B]],"0")</f>
        <v>200000</v>
      </c>
      <c r="Q294" t="s">
        <v>59</v>
      </c>
      <c r="R294" t="str">
        <f>IFERROR(INDEX(Katalog!$A$3:$A$12,MATCH(Data[[#This Row],[ItemID C]],Katalog!$C$3:$C$12,0)),"-")</f>
        <v>Pakaian Wanita</v>
      </c>
      <c r="S294" t="str">
        <f>IFERROR(INDEX(Katalog!$B$3:$B$12,MATCH(Data[[#This Row],[ItemID C]],Katalog!$C$3:$C$12,0)),"-")</f>
        <v>Blouse</v>
      </c>
      <c r="T294">
        <v>3</v>
      </c>
      <c r="U294">
        <v>2</v>
      </c>
      <c r="V294" s="36">
        <f>IFERROR(INDEX(Katalog!$D$3:$D$12,MATCH(Data[[#This Row],[ItemID C]],Katalog!$C$3:$C$12,0))*Data[[#This Row],[Qty C]],"0")</f>
        <v>450000</v>
      </c>
      <c r="W294" s="36">
        <f>IFERROR(INDEX(Katalog!$F$3:$F$12,MATCH(Data[[#This Row],[ItemID C]],Katalog!$C$3:$C$12,0))*Data[[#This Row],[Qty C]],"0")</f>
        <v>150000</v>
      </c>
      <c r="X294" s="21">
        <f>Data[[#This Row],[Qty A]]+Data[[#This Row],[Qty B]]+Data[[#This Row],[Qty C]]</f>
        <v>7</v>
      </c>
      <c r="Y294" s="22">
        <f>Data[[#This Row],[Harga Barang A]]+Data[[#This Row],[Harga Barang B]]+Data[[#This Row],[Harga Barang C]]</f>
        <v>1750000</v>
      </c>
      <c r="Z294" s="35">
        <f>IFERROR(Data[[#This Row],[Total Harga]]-(Data[[#This Row],[Total Harga]]*Data[[#This Row],[Diskon]]),Data[[#This Row],[Total Harga]])</f>
        <v>1487500</v>
      </c>
      <c r="AA294" s="35">
        <f>(Data[[#This Row],[Profit A]]+Data[[#This Row],[Profit B]]+Data[[#This Row],[Profit C]])</f>
        <v>650000</v>
      </c>
      <c r="AB294" s="35">
        <f>IFERROR((Data[[#This Row],[Profit non Diskon]]-(Data[[#This Row],[Profit non Diskon]]*Data[[#This Row],[Diskon]])),Data[[#This Row],[Profit non Diskon]])</f>
        <v>552500</v>
      </c>
      <c r="AC294" s="23" t="s">
        <v>13</v>
      </c>
      <c r="AD294" s="37">
        <f>IFERROR(INDEX('Kode Diskon'!$D$3:$D$9,MATCH(Data[[#This Row],[Kode diskon]],'Kode Diskon'!$C$3:$C$9,0)),"-")</f>
        <v>0.15</v>
      </c>
      <c r="AE294" s="23" t="s">
        <v>29</v>
      </c>
      <c r="AF294" s="23" t="s">
        <v>7</v>
      </c>
      <c r="AG294" s="23" t="s">
        <v>79</v>
      </c>
      <c r="AH294" s="24">
        <v>45022</v>
      </c>
      <c r="AI294" s="23" t="str">
        <f>TEXT(Data[[#This Row],[Tanggal terjual]],"dddd")</f>
        <v>Thursday</v>
      </c>
      <c r="AJ294" s="21" t="str">
        <f>TEXT(Data[[#This Row],[Tanggal terjual]],"wwww")</f>
        <v>wwww</v>
      </c>
    </row>
    <row r="295" spans="1:36" x14ac:dyDescent="0.2">
      <c r="A295" s="20">
        <v>294</v>
      </c>
      <c r="B295" s="21" t="str">
        <f>_xlfn.CONCAT("ORD-",INDEX(Helper!$B$2:$B$5,MATCH(Data[[#This Row],[Marketplace]],Helper!$A$2:$A$5,0)),TEXT(Data[[#This Row],[No]],"0000"),"-",TEXT(Data[[#This Row],[Tanggal terjual]],"dd/mm/yy"))</f>
        <v>ORD-SP0294-17/04/23</v>
      </c>
      <c r="C295" t="s">
        <v>59</v>
      </c>
      <c r="D295" t="str">
        <f>IFERROR(INDEX(Katalog!$A$3:$A$12,MATCH(Data[[#This Row],[ItemID A]],Katalog!$C$3:$C$12,0)),"-")</f>
        <v>Pakaian Wanita</v>
      </c>
      <c r="E295" t="str">
        <f>IFERROR(INDEX(Katalog!$B$3:$B$12,MATCH(Data[[#This Row],[ItemID A]],Katalog!$C$3:$C$12,0)),"-")</f>
        <v>Blouse</v>
      </c>
      <c r="F295">
        <v>1</v>
      </c>
      <c r="G295">
        <v>2</v>
      </c>
      <c r="H295" s="36">
        <f>IFERROR(INDEX(Katalog!$D$3:$D$12,MATCH(Data[[#This Row],[ItemID A]],Katalog!$C$3:$C$12,0))*Data[[#This Row],[Qty A]],"0")</f>
        <v>150000</v>
      </c>
      <c r="I295" s="36">
        <f>IFERROR(INDEX(Katalog!$F$3:$F$12,MATCH(Data[[#This Row],[ItemID A]],Katalog!$C$3:$C$12,0))*Data[[#This Row],[Qty A]],0)</f>
        <v>50000</v>
      </c>
      <c r="J295" t="s">
        <v>60</v>
      </c>
      <c r="K295" t="str">
        <f>IFERROR(INDEX(Katalog!$A$3:$A$12,MATCH(Data[[#This Row],[ItemID B]],Katalog!$C$3:$C$12,0)),"-")</f>
        <v>Pakaian Wanita</v>
      </c>
      <c r="L295" t="str">
        <f>IFERROR(INDEX(Katalog!$B$3:$B$12,MATCH(Data[[#This Row],[ItemID B]],Katalog!$C$3:$C$12,0)),"-")</f>
        <v>Kaftan</v>
      </c>
      <c r="M295">
        <v>1</v>
      </c>
      <c r="N295">
        <v>3</v>
      </c>
      <c r="O295" s="36">
        <f>IFERROR(INDEX(Katalog!$D$3:$D$12,MATCH(Data[[#This Row],[ItemID B]],Katalog!$C$3:$C$12,0))*Data[[#This Row],[Qty B]],"0")</f>
        <v>250000</v>
      </c>
      <c r="P295" s="36">
        <f>IFERROR(INDEX(Katalog!$F$3:$F$12,MATCH(Data[[#This Row],[ItemID B]],Katalog!$C$3:$C$12,0))*Data[[#This Row],[Qty B]],"0")</f>
        <v>100000</v>
      </c>
      <c r="R295" t="str">
        <f>IFERROR(INDEX(Katalog!$A$3:$A$12,MATCH(Data[[#This Row],[ItemID C]],Katalog!$C$3:$C$12,0)),"-")</f>
        <v>-</v>
      </c>
      <c r="S295" t="str">
        <f>IFERROR(INDEX(Katalog!$B$3:$B$12,MATCH(Data[[#This Row],[ItemID C]],Katalog!$C$3:$C$12,0)),"-")</f>
        <v>-</v>
      </c>
      <c r="V295" s="36" t="str">
        <f>IFERROR(INDEX(Katalog!$D$3:$D$12,MATCH(Data[[#This Row],[ItemID C]],Katalog!$C$3:$C$12,0))*Data[[#This Row],[Qty C]],"0")</f>
        <v>0</v>
      </c>
      <c r="W295" s="36" t="str">
        <f>IFERROR(INDEX(Katalog!$F$3:$F$12,MATCH(Data[[#This Row],[ItemID C]],Katalog!$C$3:$C$12,0))*Data[[#This Row],[Qty C]],"0")</f>
        <v>0</v>
      </c>
      <c r="X295" s="21">
        <f>Data[[#This Row],[Qty A]]+Data[[#This Row],[Qty B]]+Data[[#This Row],[Qty C]]</f>
        <v>2</v>
      </c>
      <c r="Y295" s="22">
        <f>Data[[#This Row],[Harga Barang A]]+Data[[#This Row],[Harga Barang B]]+Data[[#This Row],[Harga Barang C]]</f>
        <v>400000</v>
      </c>
      <c r="Z295" s="35">
        <f>IFERROR(Data[[#This Row],[Total Harga]]-(Data[[#This Row],[Total Harga]]*Data[[#This Row],[Diskon]]),Data[[#This Row],[Total Harga]])</f>
        <v>320000</v>
      </c>
      <c r="AA295" s="35">
        <f>(Data[[#This Row],[Profit A]]+Data[[#This Row],[Profit B]]+Data[[#This Row],[Profit C]])</f>
        <v>150000</v>
      </c>
      <c r="AB295" s="35">
        <f>IFERROR((Data[[#This Row],[Profit non Diskon]]-(Data[[#This Row],[Profit non Diskon]]*Data[[#This Row],[Diskon]])),Data[[#This Row],[Profit non Diskon]])</f>
        <v>120000</v>
      </c>
      <c r="AC295" s="23" t="s">
        <v>8</v>
      </c>
      <c r="AD295" s="37">
        <f>IFERROR(INDEX('Kode Diskon'!$D$3:$D$9,MATCH(Data[[#This Row],[Kode diskon]],'Kode Diskon'!$C$3:$C$9,0)),"-")</f>
        <v>0.2</v>
      </c>
      <c r="AE295" s="23" t="s">
        <v>9</v>
      </c>
      <c r="AF295" s="23" t="s">
        <v>7</v>
      </c>
      <c r="AG295" s="23" t="s">
        <v>77</v>
      </c>
      <c r="AH295" s="24">
        <v>45033</v>
      </c>
      <c r="AI295" s="23" t="str">
        <f>TEXT(Data[[#This Row],[Tanggal terjual]],"dddd")</f>
        <v>Monday</v>
      </c>
      <c r="AJ295" s="21" t="str">
        <f>TEXT(Data[[#This Row],[Tanggal terjual]],"wwww")</f>
        <v>wwww</v>
      </c>
    </row>
    <row r="296" spans="1:36" x14ac:dyDescent="0.2">
      <c r="A296" s="20">
        <v>295</v>
      </c>
      <c r="B296" s="21" t="str">
        <f>_xlfn.CONCAT("ORD-",INDEX(Helper!$B$2:$B$5,MATCH(Data[[#This Row],[Marketplace]],Helper!$A$2:$A$5,0)),TEXT(Data[[#This Row],[No]],"0000"),"-",TEXT(Data[[#This Row],[Tanggal terjual]],"dd/mm/yy"))</f>
        <v>ORD-SP0295-05/04/23</v>
      </c>
      <c r="C296" t="s">
        <v>59</v>
      </c>
      <c r="D296" t="str">
        <f>IFERROR(INDEX(Katalog!$A$3:$A$12,MATCH(Data[[#This Row],[ItemID A]],Katalog!$C$3:$C$12,0)),"-")</f>
        <v>Pakaian Wanita</v>
      </c>
      <c r="E296" t="str">
        <f>IFERROR(INDEX(Katalog!$B$3:$B$12,MATCH(Data[[#This Row],[ItemID A]],Katalog!$C$3:$C$12,0)),"-")</f>
        <v>Blouse</v>
      </c>
      <c r="F296">
        <v>6</v>
      </c>
      <c r="G296">
        <v>4</v>
      </c>
      <c r="H296" s="36">
        <f>IFERROR(INDEX(Katalog!$D$3:$D$12,MATCH(Data[[#This Row],[ItemID A]],Katalog!$C$3:$C$12,0))*Data[[#This Row],[Qty A]],"0")</f>
        <v>900000</v>
      </c>
      <c r="I296" s="36">
        <f>IFERROR(INDEX(Katalog!$F$3:$F$12,MATCH(Data[[#This Row],[ItemID A]],Katalog!$C$3:$C$12,0))*Data[[#This Row],[Qty A]],0)</f>
        <v>300000</v>
      </c>
      <c r="K296" t="str">
        <f>IFERROR(INDEX(Katalog!$A$3:$A$12,MATCH(Data[[#This Row],[ItemID B]],Katalog!$C$3:$C$12,0)),"-")</f>
        <v>-</v>
      </c>
      <c r="L296" t="str">
        <f>IFERROR(INDEX(Katalog!$B$3:$B$12,MATCH(Data[[#This Row],[ItemID B]],Katalog!$C$3:$C$12,0)),"-")</f>
        <v>-</v>
      </c>
      <c r="O296" s="36" t="str">
        <f>IFERROR(INDEX(Katalog!$D$3:$D$12,MATCH(Data[[#This Row],[ItemID B]],Katalog!$C$3:$C$12,0))*Data[[#This Row],[Qty B]],"0")</f>
        <v>0</v>
      </c>
      <c r="P296" s="36" t="str">
        <f>IFERROR(INDEX(Katalog!$F$3:$F$12,MATCH(Data[[#This Row],[ItemID B]],Katalog!$C$3:$C$12,0))*Data[[#This Row],[Qty B]],"0")</f>
        <v>0</v>
      </c>
      <c r="R296" t="str">
        <f>IFERROR(INDEX(Katalog!$A$3:$A$12,MATCH(Data[[#This Row],[ItemID C]],Katalog!$C$3:$C$12,0)),"-")</f>
        <v>-</v>
      </c>
      <c r="S296" t="str">
        <f>IFERROR(INDEX(Katalog!$B$3:$B$12,MATCH(Data[[#This Row],[ItemID C]],Katalog!$C$3:$C$12,0)),"-")</f>
        <v>-</v>
      </c>
      <c r="V296" s="36" t="str">
        <f>IFERROR(INDEX(Katalog!$D$3:$D$12,MATCH(Data[[#This Row],[ItemID C]],Katalog!$C$3:$C$12,0))*Data[[#This Row],[Qty C]],"0")</f>
        <v>0</v>
      </c>
      <c r="W296" s="36" t="str">
        <f>IFERROR(INDEX(Katalog!$F$3:$F$12,MATCH(Data[[#This Row],[ItemID C]],Katalog!$C$3:$C$12,0))*Data[[#This Row],[Qty C]],"0")</f>
        <v>0</v>
      </c>
      <c r="X296" s="21">
        <f>Data[[#This Row],[Qty A]]+Data[[#This Row],[Qty B]]+Data[[#This Row],[Qty C]]</f>
        <v>6</v>
      </c>
      <c r="Y296" s="22">
        <f>Data[[#This Row],[Harga Barang A]]+Data[[#This Row],[Harga Barang B]]+Data[[#This Row],[Harga Barang C]]</f>
        <v>900000</v>
      </c>
      <c r="Z296" s="35">
        <f>IFERROR(Data[[#This Row],[Total Harga]]-(Data[[#This Row],[Total Harga]]*Data[[#This Row],[Diskon]]),Data[[#This Row],[Total Harga]])</f>
        <v>810000</v>
      </c>
      <c r="AA296" s="35">
        <f>(Data[[#This Row],[Profit A]]+Data[[#This Row],[Profit B]]+Data[[#This Row],[Profit C]])</f>
        <v>300000</v>
      </c>
      <c r="AB296" s="35">
        <f>IFERROR((Data[[#This Row],[Profit non Diskon]]-(Data[[#This Row],[Profit non Diskon]]*Data[[#This Row],[Diskon]])),Data[[#This Row],[Profit non Diskon]])</f>
        <v>270000</v>
      </c>
      <c r="AC296" s="23" t="s">
        <v>6</v>
      </c>
      <c r="AD296" s="37">
        <f>IFERROR(INDEX('Kode Diskon'!$D$3:$D$9,MATCH(Data[[#This Row],[Kode diskon]],'Kode Diskon'!$C$3:$C$9,0)),"-")</f>
        <v>0.1</v>
      </c>
      <c r="AE296" s="23" t="s">
        <v>29</v>
      </c>
      <c r="AF296" s="23" t="s">
        <v>7</v>
      </c>
      <c r="AG296" s="23" t="s">
        <v>75</v>
      </c>
      <c r="AH296" s="24">
        <v>45021</v>
      </c>
      <c r="AI296" s="23" t="str">
        <f>TEXT(Data[[#This Row],[Tanggal terjual]],"dddd")</f>
        <v>Wednesday</v>
      </c>
      <c r="AJ296" s="21" t="str">
        <f>TEXT(Data[[#This Row],[Tanggal terjual]],"wwww")</f>
        <v>wwww</v>
      </c>
    </row>
    <row r="297" spans="1:36" x14ac:dyDescent="0.2">
      <c r="A297" s="20">
        <v>296</v>
      </c>
      <c r="B297" s="21" t="str">
        <f>_xlfn.CONCAT("ORD-",INDEX(Helper!$B$2:$B$5,MATCH(Data[[#This Row],[Marketplace]],Helper!$A$2:$A$5,0)),TEXT(Data[[#This Row],[No]],"0000"),"-",TEXT(Data[[#This Row],[Tanggal terjual]],"dd/mm/yy"))</f>
        <v>ORD-BB0296-02/04/23</v>
      </c>
      <c r="C297" t="s">
        <v>62</v>
      </c>
      <c r="D297" t="str">
        <f>IFERROR(INDEX(Katalog!$A$3:$A$12,MATCH(Data[[#This Row],[ItemID A]],Katalog!$C$3:$C$12,0)),"-")</f>
        <v>Pakaian Pria</v>
      </c>
      <c r="E297" t="str">
        <f>IFERROR(INDEX(Katalog!$B$3:$B$12,MATCH(Data[[#This Row],[ItemID A]],Katalog!$C$3:$C$12,0)),"-")</f>
        <v>Celana Pendek</v>
      </c>
      <c r="F297">
        <v>3</v>
      </c>
      <c r="G297">
        <v>5</v>
      </c>
      <c r="H297" s="36">
        <f>IFERROR(INDEX(Katalog!$D$3:$D$12,MATCH(Data[[#This Row],[ItemID A]],Katalog!$C$3:$C$12,0))*Data[[#This Row],[Qty A]],"0")</f>
        <v>540000</v>
      </c>
      <c r="I297" s="36">
        <f>IFERROR(INDEX(Katalog!$F$3:$F$12,MATCH(Data[[#This Row],[ItemID A]],Katalog!$C$3:$C$12,0))*Data[[#This Row],[Qty A]],0)</f>
        <v>210000</v>
      </c>
      <c r="J297" t="s">
        <v>61</v>
      </c>
      <c r="K297" t="str">
        <f>IFERROR(INDEX(Katalog!$A$3:$A$12,MATCH(Data[[#This Row],[ItemID B]],Katalog!$C$3:$C$12,0)),"-")</f>
        <v>Pakaian Pria</v>
      </c>
      <c r="L297" t="str">
        <f>IFERROR(INDEX(Katalog!$B$3:$B$12,MATCH(Data[[#This Row],[ItemID B]],Katalog!$C$3:$C$12,0)),"-")</f>
        <v>Kaos Polo</v>
      </c>
      <c r="M297">
        <v>1</v>
      </c>
      <c r="N297">
        <v>3</v>
      </c>
      <c r="O297" s="36">
        <f>IFERROR(INDEX(Katalog!$D$3:$D$12,MATCH(Data[[#This Row],[ItemID B]],Katalog!$C$3:$C$12,0))*Data[[#This Row],[Qty B]],"0")</f>
        <v>200000</v>
      </c>
      <c r="P297" s="36">
        <f>IFERROR(INDEX(Katalog!$F$3:$F$12,MATCH(Data[[#This Row],[ItemID B]],Katalog!$C$3:$C$12,0))*Data[[#This Row],[Qty B]],"0")</f>
        <v>80000</v>
      </c>
      <c r="R297" t="str">
        <f>IFERROR(INDEX(Katalog!$A$3:$A$12,MATCH(Data[[#This Row],[ItemID C]],Katalog!$C$3:$C$12,0)),"-")</f>
        <v>-</v>
      </c>
      <c r="S297" t="str">
        <f>IFERROR(INDEX(Katalog!$B$3:$B$12,MATCH(Data[[#This Row],[ItemID C]],Katalog!$C$3:$C$12,0)),"-")</f>
        <v>-</v>
      </c>
      <c r="V297" s="36" t="str">
        <f>IFERROR(INDEX(Katalog!$D$3:$D$12,MATCH(Data[[#This Row],[ItemID C]],Katalog!$C$3:$C$12,0))*Data[[#This Row],[Qty C]],"0")</f>
        <v>0</v>
      </c>
      <c r="W297" s="36" t="str">
        <f>IFERROR(INDEX(Katalog!$F$3:$F$12,MATCH(Data[[#This Row],[ItemID C]],Katalog!$C$3:$C$12,0))*Data[[#This Row],[Qty C]],"0")</f>
        <v>0</v>
      </c>
      <c r="X297" s="21">
        <f>Data[[#This Row],[Qty A]]+Data[[#This Row],[Qty B]]+Data[[#This Row],[Qty C]]</f>
        <v>4</v>
      </c>
      <c r="Y297" s="22">
        <f>Data[[#This Row],[Harga Barang A]]+Data[[#This Row],[Harga Barang B]]+Data[[#This Row],[Harga Barang C]]</f>
        <v>740000</v>
      </c>
      <c r="Z297" s="35">
        <f>IFERROR(Data[[#This Row],[Total Harga]]-(Data[[#This Row],[Total Harga]]*Data[[#This Row],[Diskon]]),Data[[#This Row],[Total Harga]])</f>
        <v>629000</v>
      </c>
      <c r="AA297" s="35">
        <f>(Data[[#This Row],[Profit A]]+Data[[#This Row],[Profit B]]+Data[[#This Row],[Profit C]])</f>
        <v>290000</v>
      </c>
      <c r="AB297" s="35">
        <f>IFERROR((Data[[#This Row],[Profit non Diskon]]-(Data[[#This Row],[Profit non Diskon]]*Data[[#This Row],[Diskon]])),Data[[#This Row],[Profit non Diskon]])</f>
        <v>246500</v>
      </c>
      <c r="AC297" s="23" t="s">
        <v>28</v>
      </c>
      <c r="AD297" s="37">
        <f>IFERROR(INDEX('Kode Diskon'!$D$3:$D$9,MATCH(Data[[#This Row],[Kode diskon]],'Kode Diskon'!$C$3:$C$9,0)),"-")</f>
        <v>0.15</v>
      </c>
      <c r="AE297" s="23" t="s">
        <v>29</v>
      </c>
      <c r="AF297" s="23" t="s">
        <v>14</v>
      </c>
      <c r="AG297" s="23" t="s">
        <v>80</v>
      </c>
      <c r="AH297" s="24">
        <v>45018</v>
      </c>
      <c r="AI297" s="23" t="str">
        <f>TEXT(Data[[#This Row],[Tanggal terjual]],"dddd")</f>
        <v>Sunday</v>
      </c>
      <c r="AJ297" s="21" t="str">
        <f>TEXT(Data[[#This Row],[Tanggal terjual]],"wwww")</f>
        <v>wwww</v>
      </c>
    </row>
    <row r="298" spans="1:36" x14ac:dyDescent="0.2">
      <c r="A298" s="20">
        <v>297</v>
      </c>
      <c r="B298" s="21" t="str">
        <f>_xlfn.CONCAT("ORD-",INDEX(Helper!$B$2:$B$5,MATCH(Data[[#This Row],[Marketplace]],Helper!$A$2:$A$5,0)),TEXT(Data[[#This Row],[No]],"0000"),"-",TEXT(Data[[#This Row],[Tanggal terjual]],"dd/mm/yy"))</f>
        <v>ORD-BB0297-13/04/23</v>
      </c>
      <c r="C298" t="s">
        <v>63</v>
      </c>
      <c r="D298" t="str">
        <f>IFERROR(INDEX(Katalog!$A$3:$A$12,MATCH(Data[[#This Row],[ItemID A]],Katalog!$C$3:$C$12,0)),"-")</f>
        <v>Pakaian Pria</v>
      </c>
      <c r="E298" t="str">
        <f>IFERROR(INDEX(Katalog!$B$3:$B$12,MATCH(Data[[#This Row],[ItemID A]],Katalog!$C$3:$C$12,0)),"-")</f>
        <v>Jaket Jeans</v>
      </c>
      <c r="F298">
        <v>6</v>
      </c>
      <c r="G298">
        <v>5</v>
      </c>
      <c r="H298" s="36">
        <f>IFERROR(INDEX(Katalog!$D$3:$D$12,MATCH(Data[[#This Row],[ItemID A]],Katalog!$C$3:$C$12,0))*Data[[#This Row],[Qty A]],"0")</f>
        <v>2400000</v>
      </c>
      <c r="I298" s="36">
        <f>IFERROR(INDEX(Katalog!$F$3:$F$12,MATCH(Data[[#This Row],[ItemID A]],Katalog!$C$3:$C$12,0))*Data[[#This Row],[Qty A]],0)</f>
        <v>900000</v>
      </c>
      <c r="K298" t="str">
        <f>IFERROR(INDEX(Katalog!$A$3:$A$12,MATCH(Data[[#This Row],[ItemID B]],Katalog!$C$3:$C$12,0)),"-")</f>
        <v>-</v>
      </c>
      <c r="L298" t="str">
        <f>IFERROR(INDEX(Katalog!$B$3:$B$12,MATCH(Data[[#This Row],[ItemID B]],Katalog!$C$3:$C$12,0)),"-")</f>
        <v>-</v>
      </c>
      <c r="O298" s="36" t="str">
        <f>IFERROR(INDEX(Katalog!$D$3:$D$12,MATCH(Data[[#This Row],[ItemID B]],Katalog!$C$3:$C$12,0))*Data[[#This Row],[Qty B]],"0")</f>
        <v>0</v>
      </c>
      <c r="P298" s="36" t="str">
        <f>IFERROR(INDEX(Katalog!$F$3:$F$12,MATCH(Data[[#This Row],[ItemID B]],Katalog!$C$3:$C$12,0))*Data[[#This Row],[Qty B]],"0")</f>
        <v>0</v>
      </c>
      <c r="R298" t="str">
        <f>IFERROR(INDEX(Katalog!$A$3:$A$12,MATCH(Data[[#This Row],[ItemID C]],Katalog!$C$3:$C$12,0)),"-")</f>
        <v>-</v>
      </c>
      <c r="S298" t="str">
        <f>IFERROR(INDEX(Katalog!$B$3:$B$12,MATCH(Data[[#This Row],[ItemID C]],Katalog!$C$3:$C$12,0)),"-")</f>
        <v>-</v>
      </c>
      <c r="V298" s="36" t="str">
        <f>IFERROR(INDEX(Katalog!$D$3:$D$12,MATCH(Data[[#This Row],[ItemID C]],Katalog!$C$3:$C$12,0))*Data[[#This Row],[Qty C]],"0")</f>
        <v>0</v>
      </c>
      <c r="W298" s="36" t="str">
        <f>IFERROR(INDEX(Katalog!$F$3:$F$12,MATCH(Data[[#This Row],[ItemID C]],Katalog!$C$3:$C$12,0))*Data[[#This Row],[Qty C]],"0")</f>
        <v>0</v>
      </c>
      <c r="X298" s="21">
        <f>Data[[#This Row],[Qty A]]+Data[[#This Row],[Qty B]]+Data[[#This Row],[Qty C]]</f>
        <v>6</v>
      </c>
      <c r="Y298" s="22">
        <f>Data[[#This Row],[Harga Barang A]]+Data[[#This Row],[Harga Barang B]]+Data[[#This Row],[Harga Barang C]]</f>
        <v>2400000</v>
      </c>
      <c r="Z298" s="35">
        <f>IFERROR(Data[[#This Row],[Total Harga]]-(Data[[#This Row],[Total Harga]]*Data[[#This Row],[Diskon]]),Data[[#This Row],[Total Harga]])</f>
        <v>2400000</v>
      </c>
      <c r="AA298" s="35">
        <f>(Data[[#This Row],[Profit A]]+Data[[#This Row],[Profit B]]+Data[[#This Row],[Profit C]])</f>
        <v>900000</v>
      </c>
      <c r="AB298" s="35">
        <f>IFERROR((Data[[#This Row],[Profit non Diskon]]-(Data[[#This Row],[Profit non Diskon]]*Data[[#This Row],[Diskon]])),Data[[#This Row],[Profit non Diskon]])</f>
        <v>900000</v>
      </c>
      <c r="AC298" s="23" t="s">
        <v>11</v>
      </c>
      <c r="AD298" s="37" t="str">
        <f>IFERROR(INDEX('Kode Diskon'!$D$3:$D$9,MATCH(Data[[#This Row],[Kode diskon]],'Kode Diskon'!$C$3:$C$9,0)),"-")</f>
        <v>-</v>
      </c>
      <c r="AE298" s="23" t="s">
        <v>11</v>
      </c>
      <c r="AF298" s="23" t="s">
        <v>14</v>
      </c>
      <c r="AG298" s="23" t="s">
        <v>80</v>
      </c>
      <c r="AH298" s="24">
        <v>45029</v>
      </c>
      <c r="AI298" s="23" t="str">
        <f>TEXT(Data[[#This Row],[Tanggal terjual]],"dddd")</f>
        <v>Thursday</v>
      </c>
      <c r="AJ298" s="21" t="str">
        <f>TEXT(Data[[#This Row],[Tanggal terjual]],"wwww")</f>
        <v>wwww</v>
      </c>
    </row>
    <row r="299" spans="1:36" x14ac:dyDescent="0.2">
      <c r="A299" s="20">
        <v>298</v>
      </c>
      <c r="B299" s="21" t="str">
        <f>_xlfn.CONCAT("ORD-",INDEX(Helper!$B$2:$B$5,MATCH(Data[[#This Row],[Marketplace]],Helper!$A$2:$A$5,0)),TEXT(Data[[#This Row],[No]],"0000"),"-",TEXT(Data[[#This Row],[Tanggal terjual]],"dd/mm/yy"))</f>
        <v>ORD-SP0298-02/04/23</v>
      </c>
      <c r="C299" t="s">
        <v>58</v>
      </c>
      <c r="D299" t="str">
        <f>IFERROR(INDEX(Katalog!$A$3:$A$12,MATCH(Data[[#This Row],[ItemID A]],Katalog!$C$3:$C$12,0)),"-")</f>
        <v>Pakaian Wanita</v>
      </c>
      <c r="E299" t="str">
        <f>IFERROR(INDEX(Katalog!$B$3:$B$12,MATCH(Data[[#This Row],[ItemID A]],Katalog!$C$3:$C$12,0)),"-")</f>
        <v>Dress</v>
      </c>
      <c r="F299">
        <v>4</v>
      </c>
      <c r="G299">
        <v>1</v>
      </c>
      <c r="H299" s="36">
        <f>IFERROR(INDEX(Katalog!$D$3:$D$12,MATCH(Data[[#This Row],[ItemID A]],Katalog!$C$3:$C$12,0))*Data[[#This Row],[Qty A]],"0")</f>
        <v>1200000</v>
      </c>
      <c r="I299" s="36">
        <f>IFERROR(INDEX(Katalog!$F$3:$F$12,MATCH(Data[[#This Row],[ItemID A]],Katalog!$C$3:$C$12,0))*Data[[#This Row],[Qty A]],0)</f>
        <v>400000</v>
      </c>
      <c r="J299" t="s">
        <v>61</v>
      </c>
      <c r="K299" t="str">
        <f>IFERROR(INDEX(Katalog!$A$3:$A$12,MATCH(Data[[#This Row],[ItemID B]],Katalog!$C$3:$C$12,0)),"-")</f>
        <v>Pakaian Pria</v>
      </c>
      <c r="L299" t="str">
        <f>IFERROR(INDEX(Katalog!$B$3:$B$12,MATCH(Data[[#This Row],[ItemID B]],Katalog!$C$3:$C$12,0)),"-")</f>
        <v>Kaos Polo</v>
      </c>
      <c r="M299">
        <v>3</v>
      </c>
      <c r="N299">
        <v>4</v>
      </c>
      <c r="O299" s="36">
        <f>IFERROR(INDEX(Katalog!$D$3:$D$12,MATCH(Data[[#This Row],[ItemID B]],Katalog!$C$3:$C$12,0))*Data[[#This Row],[Qty B]],"0")</f>
        <v>600000</v>
      </c>
      <c r="P299" s="36">
        <f>IFERROR(INDEX(Katalog!$F$3:$F$12,MATCH(Data[[#This Row],[ItemID B]],Katalog!$C$3:$C$12,0))*Data[[#This Row],[Qty B]],"0")</f>
        <v>240000</v>
      </c>
      <c r="R299" t="str">
        <f>IFERROR(INDEX(Katalog!$A$3:$A$12,MATCH(Data[[#This Row],[ItemID C]],Katalog!$C$3:$C$12,0)),"-")</f>
        <v>-</v>
      </c>
      <c r="S299" t="str">
        <f>IFERROR(INDEX(Katalog!$B$3:$B$12,MATCH(Data[[#This Row],[ItemID C]],Katalog!$C$3:$C$12,0)),"-")</f>
        <v>-</v>
      </c>
      <c r="V299" s="36" t="str">
        <f>IFERROR(INDEX(Katalog!$D$3:$D$12,MATCH(Data[[#This Row],[ItemID C]],Katalog!$C$3:$C$12,0))*Data[[#This Row],[Qty C]],"0")</f>
        <v>0</v>
      </c>
      <c r="W299" s="36" t="str">
        <f>IFERROR(INDEX(Katalog!$F$3:$F$12,MATCH(Data[[#This Row],[ItemID C]],Katalog!$C$3:$C$12,0))*Data[[#This Row],[Qty C]],"0")</f>
        <v>0</v>
      </c>
      <c r="X299" s="21">
        <f>Data[[#This Row],[Qty A]]+Data[[#This Row],[Qty B]]+Data[[#This Row],[Qty C]]</f>
        <v>7</v>
      </c>
      <c r="Y299" s="22">
        <f>Data[[#This Row],[Harga Barang A]]+Data[[#This Row],[Harga Barang B]]+Data[[#This Row],[Harga Barang C]]</f>
        <v>1800000</v>
      </c>
      <c r="Z299" s="35">
        <f>IFERROR(Data[[#This Row],[Total Harga]]-(Data[[#This Row],[Total Harga]]*Data[[#This Row],[Diskon]]),Data[[#This Row],[Total Harga]])</f>
        <v>1620000</v>
      </c>
      <c r="AA299" s="35">
        <f>(Data[[#This Row],[Profit A]]+Data[[#This Row],[Profit B]]+Data[[#This Row],[Profit C]])</f>
        <v>640000</v>
      </c>
      <c r="AB299" s="35">
        <f>IFERROR((Data[[#This Row],[Profit non Diskon]]-(Data[[#This Row],[Profit non Diskon]]*Data[[#This Row],[Diskon]])),Data[[#This Row],[Profit non Diskon]])</f>
        <v>576000</v>
      </c>
      <c r="AC299" s="23" t="s">
        <v>6</v>
      </c>
      <c r="AD299" s="37">
        <f>IFERROR(INDEX('Kode Diskon'!$D$3:$D$9,MATCH(Data[[#This Row],[Kode diskon]],'Kode Diskon'!$C$3:$C$9,0)),"-")</f>
        <v>0.1</v>
      </c>
      <c r="AE299" s="23" t="s">
        <v>29</v>
      </c>
      <c r="AF299" s="23" t="s">
        <v>7</v>
      </c>
      <c r="AG299" s="23" t="s">
        <v>75</v>
      </c>
      <c r="AH299" s="24">
        <v>45018</v>
      </c>
      <c r="AI299" s="23" t="str">
        <f>TEXT(Data[[#This Row],[Tanggal terjual]],"dddd")</f>
        <v>Sunday</v>
      </c>
      <c r="AJ299" s="21" t="str">
        <f>TEXT(Data[[#This Row],[Tanggal terjual]],"wwww")</f>
        <v>wwww</v>
      </c>
    </row>
    <row r="300" spans="1:36" x14ac:dyDescent="0.2">
      <c r="A300" s="20">
        <v>299</v>
      </c>
      <c r="B300" s="21" t="str">
        <f>_xlfn.CONCAT("ORD-",INDEX(Helper!$B$2:$B$5,MATCH(Data[[#This Row],[Marketplace]],Helper!$A$2:$A$5,0)),TEXT(Data[[#This Row],[No]],"0000"),"-",TEXT(Data[[#This Row],[Tanggal terjual]],"dd/mm/yy"))</f>
        <v>ORD-TK0299-21/04/23</v>
      </c>
      <c r="C300" t="s">
        <v>59</v>
      </c>
      <c r="D300" t="str">
        <f>IFERROR(INDEX(Katalog!$A$3:$A$12,MATCH(Data[[#This Row],[ItemID A]],Katalog!$C$3:$C$12,0)),"-")</f>
        <v>Pakaian Wanita</v>
      </c>
      <c r="E300" t="str">
        <f>IFERROR(INDEX(Katalog!$B$3:$B$12,MATCH(Data[[#This Row],[ItemID A]],Katalog!$C$3:$C$12,0)),"-")</f>
        <v>Blouse</v>
      </c>
      <c r="F300">
        <v>2</v>
      </c>
      <c r="G300">
        <v>4</v>
      </c>
      <c r="H300" s="36">
        <f>IFERROR(INDEX(Katalog!$D$3:$D$12,MATCH(Data[[#This Row],[ItemID A]],Katalog!$C$3:$C$12,0))*Data[[#This Row],[Qty A]],"0")</f>
        <v>300000</v>
      </c>
      <c r="I300" s="36">
        <f>IFERROR(INDEX(Katalog!$F$3:$F$12,MATCH(Data[[#This Row],[ItemID A]],Katalog!$C$3:$C$12,0))*Data[[#This Row],[Qty A]],0)</f>
        <v>100000</v>
      </c>
      <c r="J300" t="s">
        <v>61</v>
      </c>
      <c r="K300" t="str">
        <f>IFERROR(INDEX(Katalog!$A$3:$A$12,MATCH(Data[[#This Row],[ItemID B]],Katalog!$C$3:$C$12,0)),"-")</f>
        <v>Pakaian Pria</v>
      </c>
      <c r="L300" t="str">
        <f>IFERROR(INDEX(Katalog!$B$3:$B$12,MATCH(Data[[#This Row],[ItemID B]],Katalog!$C$3:$C$12,0)),"-")</f>
        <v>Kaos Polo</v>
      </c>
      <c r="M300">
        <v>4</v>
      </c>
      <c r="N300">
        <v>3</v>
      </c>
      <c r="O300" s="36">
        <f>IFERROR(INDEX(Katalog!$D$3:$D$12,MATCH(Data[[#This Row],[ItemID B]],Katalog!$C$3:$C$12,0))*Data[[#This Row],[Qty B]],"0")</f>
        <v>800000</v>
      </c>
      <c r="P300" s="36">
        <f>IFERROR(INDEX(Katalog!$F$3:$F$12,MATCH(Data[[#This Row],[ItemID B]],Katalog!$C$3:$C$12,0))*Data[[#This Row],[Qty B]],"0")</f>
        <v>320000</v>
      </c>
      <c r="R300" t="str">
        <f>IFERROR(INDEX(Katalog!$A$3:$A$12,MATCH(Data[[#This Row],[ItemID C]],Katalog!$C$3:$C$12,0)),"-")</f>
        <v>-</v>
      </c>
      <c r="S300" t="str">
        <f>IFERROR(INDEX(Katalog!$B$3:$B$12,MATCH(Data[[#This Row],[ItemID C]],Katalog!$C$3:$C$12,0)),"-")</f>
        <v>-</v>
      </c>
      <c r="V300" s="36" t="str">
        <f>IFERROR(INDEX(Katalog!$D$3:$D$12,MATCH(Data[[#This Row],[ItemID C]],Katalog!$C$3:$C$12,0))*Data[[#This Row],[Qty C]],"0")</f>
        <v>0</v>
      </c>
      <c r="W300" s="36" t="str">
        <f>IFERROR(INDEX(Katalog!$F$3:$F$12,MATCH(Data[[#This Row],[ItemID C]],Katalog!$C$3:$C$12,0))*Data[[#This Row],[Qty C]],"0")</f>
        <v>0</v>
      </c>
      <c r="X300" s="21">
        <f>Data[[#This Row],[Qty A]]+Data[[#This Row],[Qty B]]+Data[[#This Row],[Qty C]]</f>
        <v>6</v>
      </c>
      <c r="Y300" s="22">
        <f>Data[[#This Row],[Harga Barang A]]+Data[[#This Row],[Harga Barang B]]+Data[[#This Row],[Harga Barang C]]</f>
        <v>1100000</v>
      </c>
      <c r="Z300" s="35">
        <f>IFERROR(Data[[#This Row],[Total Harga]]-(Data[[#This Row],[Total Harga]]*Data[[#This Row],[Diskon]]),Data[[#This Row],[Total Harga]])</f>
        <v>990000</v>
      </c>
      <c r="AA300" s="35">
        <f>(Data[[#This Row],[Profit A]]+Data[[#This Row],[Profit B]]+Data[[#This Row],[Profit C]])</f>
        <v>420000</v>
      </c>
      <c r="AB300" s="35">
        <f>IFERROR((Data[[#This Row],[Profit non Diskon]]-(Data[[#This Row],[Profit non Diskon]]*Data[[#This Row],[Diskon]])),Data[[#This Row],[Profit non Diskon]])</f>
        <v>378000</v>
      </c>
      <c r="AC300" s="23" t="s">
        <v>31</v>
      </c>
      <c r="AD300" s="37">
        <f>IFERROR(INDEX('Kode Diskon'!$D$3:$D$9,MATCH(Data[[#This Row],[Kode diskon]],'Kode Diskon'!$C$3:$C$9,0)),"-")</f>
        <v>0.1</v>
      </c>
      <c r="AE300" s="23" t="s">
        <v>9</v>
      </c>
      <c r="AF300" s="23" t="s">
        <v>10</v>
      </c>
      <c r="AG300" s="23" t="s">
        <v>79</v>
      </c>
      <c r="AH300" s="24">
        <v>45037</v>
      </c>
      <c r="AI300" s="23" t="str">
        <f>TEXT(Data[[#This Row],[Tanggal terjual]],"dddd")</f>
        <v>Friday</v>
      </c>
      <c r="AJ300" s="21" t="str">
        <f>TEXT(Data[[#This Row],[Tanggal terjual]],"wwww")</f>
        <v>wwww</v>
      </c>
    </row>
    <row r="301" spans="1:36" x14ac:dyDescent="0.2">
      <c r="A301" s="20">
        <v>300</v>
      </c>
      <c r="B301" s="21" t="str">
        <f>_xlfn.CONCAT("ORD-",INDEX(Helper!$B$2:$B$5,MATCH(Data[[#This Row],[Marketplace]],Helper!$A$2:$A$5,0)),TEXT(Data[[#This Row],[No]],"0000"),"-",TEXT(Data[[#This Row],[Tanggal terjual]],"dd/mm/yy"))</f>
        <v>ORD-SP0300-04/04/23</v>
      </c>
      <c r="C301" t="s">
        <v>58</v>
      </c>
      <c r="D301" t="str">
        <f>IFERROR(INDEX(Katalog!$A$3:$A$12,MATCH(Data[[#This Row],[ItemID A]],Katalog!$C$3:$C$12,0)),"-")</f>
        <v>Pakaian Wanita</v>
      </c>
      <c r="E301" t="str">
        <f>IFERROR(INDEX(Katalog!$B$3:$B$12,MATCH(Data[[#This Row],[ItemID A]],Katalog!$C$3:$C$12,0)),"-")</f>
        <v>Dress</v>
      </c>
      <c r="F301">
        <v>1</v>
      </c>
      <c r="G301">
        <v>3</v>
      </c>
      <c r="H301" s="36">
        <f>IFERROR(INDEX(Katalog!$D$3:$D$12,MATCH(Data[[#This Row],[ItemID A]],Katalog!$C$3:$C$12,0))*Data[[#This Row],[Qty A]],"0")</f>
        <v>300000</v>
      </c>
      <c r="I301" s="36">
        <f>IFERROR(INDEX(Katalog!$F$3:$F$12,MATCH(Data[[#This Row],[ItemID A]],Katalog!$C$3:$C$12,0))*Data[[#This Row],[Qty A]],0)</f>
        <v>100000</v>
      </c>
      <c r="J301" t="s">
        <v>66</v>
      </c>
      <c r="K301" t="str">
        <f>IFERROR(INDEX(Katalog!$A$3:$A$12,MATCH(Data[[#This Row],[ItemID B]],Katalog!$C$3:$C$12,0)),"-")</f>
        <v>Sepatu Pria</v>
      </c>
      <c r="L301" t="str">
        <f>IFERROR(INDEX(Katalog!$B$3:$B$12,MATCH(Data[[#This Row],[ItemID B]],Katalog!$C$3:$C$12,0)),"-")</f>
        <v>Sandal Slip On</v>
      </c>
      <c r="M301">
        <v>2</v>
      </c>
      <c r="N301">
        <v>4</v>
      </c>
      <c r="O301" s="36">
        <f>IFERROR(INDEX(Katalog!$D$3:$D$12,MATCH(Data[[#This Row],[ItemID B]],Katalog!$C$3:$C$12,0))*Data[[#This Row],[Qty B]],"0")</f>
        <v>300000</v>
      </c>
      <c r="P301" s="36">
        <f>IFERROR(INDEX(Katalog!$F$3:$F$12,MATCH(Data[[#This Row],[ItemID B]],Katalog!$C$3:$C$12,0))*Data[[#This Row],[Qty B]],"0")</f>
        <v>120000</v>
      </c>
      <c r="Q301" t="s">
        <v>62</v>
      </c>
      <c r="R301" t="str">
        <f>IFERROR(INDEX(Katalog!$A$3:$A$12,MATCH(Data[[#This Row],[ItemID C]],Katalog!$C$3:$C$12,0)),"-")</f>
        <v>Pakaian Pria</v>
      </c>
      <c r="S301" t="str">
        <f>IFERROR(INDEX(Katalog!$B$3:$B$12,MATCH(Data[[#This Row],[ItemID C]],Katalog!$C$3:$C$12,0)),"-")</f>
        <v>Celana Pendek</v>
      </c>
      <c r="T301">
        <v>1</v>
      </c>
      <c r="U301">
        <v>4</v>
      </c>
      <c r="V301" s="36">
        <f>IFERROR(INDEX(Katalog!$D$3:$D$12,MATCH(Data[[#This Row],[ItemID C]],Katalog!$C$3:$C$12,0))*Data[[#This Row],[Qty C]],"0")</f>
        <v>180000</v>
      </c>
      <c r="W301" s="36">
        <f>IFERROR(INDEX(Katalog!$F$3:$F$12,MATCH(Data[[#This Row],[ItemID C]],Katalog!$C$3:$C$12,0))*Data[[#This Row],[Qty C]],"0")</f>
        <v>70000</v>
      </c>
      <c r="X301" s="21">
        <f>Data[[#This Row],[Qty A]]+Data[[#This Row],[Qty B]]+Data[[#This Row],[Qty C]]</f>
        <v>4</v>
      </c>
      <c r="Y301" s="22">
        <f>Data[[#This Row],[Harga Barang A]]+Data[[#This Row],[Harga Barang B]]+Data[[#This Row],[Harga Barang C]]</f>
        <v>780000</v>
      </c>
      <c r="Z301" s="35">
        <f>IFERROR(Data[[#This Row],[Total Harga]]-(Data[[#This Row],[Total Harga]]*Data[[#This Row],[Diskon]]),Data[[#This Row],[Total Harga]])</f>
        <v>663000</v>
      </c>
      <c r="AA301" s="35">
        <f>(Data[[#This Row],[Profit A]]+Data[[#This Row],[Profit B]]+Data[[#This Row],[Profit C]])</f>
        <v>290000</v>
      </c>
      <c r="AB301" s="35">
        <f>IFERROR((Data[[#This Row],[Profit non Diskon]]-(Data[[#This Row],[Profit non Diskon]]*Data[[#This Row],[Diskon]])),Data[[#This Row],[Profit non Diskon]])</f>
        <v>246500</v>
      </c>
      <c r="AC301" s="23" t="s">
        <v>13</v>
      </c>
      <c r="AD301" s="37">
        <f>IFERROR(INDEX('Kode Diskon'!$D$3:$D$9,MATCH(Data[[#This Row],[Kode diskon]],'Kode Diskon'!$C$3:$C$9,0)),"-")</f>
        <v>0.15</v>
      </c>
      <c r="AE301" s="23" t="s">
        <v>29</v>
      </c>
      <c r="AF301" s="23" t="s">
        <v>7</v>
      </c>
      <c r="AG301" s="23" t="s">
        <v>80</v>
      </c>
      <c r="AH301" s="24">
        <v>45020</v>
      </c>
      <c r="AI301" s="23" t="str">
        <f>TEXT(Data[[#This Row],[Tanggal terjual]],"dddd")</f>
        <v>Tuesday</v>
      </c>
      <c r="AJ301" s="21" t="str">
        <f>TEXT(Data[[#This Row],[Tanggal terjual]],"wwww")</f>
        <v>wwww</v>
      </c>
    </row>
    <row r="302" spans="1:36" x14ac:dyDescent="0.2">
      <c r="A302" s="20">
        <v>301</v>
      </c>
      <c r="B302" s="21" t="str">
        <f>_xlfn.CONCAT("ORD-",INDEX(Helper!$B$2:$B$5,MATCH(Data[[#This Row],[Marketplace]],Helper!$A$2:$A$5,0)),TEXT(Data[[#This Row],[No]],"0000"),"-",TEXT(Data[[#This Row],[Tanggal terjual]],"dd/mm/yy"))</f>
        <v>ORD-SP0301-04/04/23</v>
      </c>
      <c r="C302" t="s">
        <v>63</v>
      </c>
      <c r="D302" t="str">
        <f>IFERROR(INDEX(Katalog!$A$3:$A$12,MATCH(Data[[#This Row],[ItemID A]],Katalog!$C$3:$C$12,0)),"-")</f>
        <v>Pakaian Pria</v>
      </c>
      <c r="E302" t="str">
        <f>IFERROR(INDEX(Katalog!$B$3:$B$12,MATCH(Data[[#This Row],[ItemID A]],Katalog!$C$3:$C$12,0)),"-")</f>
        <v>Jaket Jeans</v>
      </c>
      <c r="F302">
        <v>3</v>
      </c>
      <c r="G302">
        <v>4</v>
      </c>
      <c r="H302" s="36">
        <f>IFERROR(INDEX(Katalog!$D$3:$D$12,MATCH(Data[[#This Row],[ItemID A]],Katalog!$C$3:$C$12,0))*Data[[#This Row],[Qty A]],"0")</f>
        <v>1200000</v>
      </c>
      <c r="I302" s="36">
        <f>IFERROR(INDEX(Katalog!$F$3:$F$12,MATCH(Data[[#This Row],[ItemID A]],Katalog!$C$3:$C$12,0))*Data[[#This Row],[Qty A]],0)</f>
        <v>450000</v>
      </c>
      <c r="J302" t="s">
        <v>62</v>
      </c>
      <c r="K302" t="str">
        <f>IFERROR(INDEX(Katalog!$A$3:$A$12,MATCH(Data[[#This Row],[ItemID B]],Katalog!$C$3:$C$12,0)),"-")</f>
        <v>Pakaian Pria</v>
      </c>
      <c r="L302" t="str">
        <f>IFERROR(INDEX(Katalog!$B$3:$B$12,MATCH(Data[[#This Row],[ItemID B]],Katalog!$C$3:$C$12,0)),"-")</f>
        <v>Celana Pendek</v>
      </c>
      <c r="M302">
        <v>4</v>
      </c>
      <c r="N302">
        <v>4</v>
      </c>
      <c r="O302" s="36">
        <f>IFERROR(INDEX(Katalog!$D$3:$D$12,MATCH(Data[[#This Row],[ItemID B]],Katalog!$C$3:$C$12,0))*Data[[#This Row],[Qty B]],"0")</f>
        <v>720000</v>
      </c>
      <c r="P302" s="36">
        <f>IFERROR(INDEX(Katalog!$F$3:$F$12,MATCH(Data[[#This Row],[ItemID B]],Katalog!$C$3:$C$12,0))*Data[[#This Row],[Qty B]],"0")</f>
        <v>280000</v>
      </c>
      <c r="R302" t="str">
        <f>IFERROR(INDEX(Katalog!$A$3:$A$12,MATCH(Data[[#This Row],[ItemID C]],Katalog!$C$3:$C$12,0)),"-")</f>
        <v>-</v>
      </c>
      <c r="S302" t="str">
        <f>IFERROR(INDEX(Katalog!$B$3:$B$12,MATCH(Data[[#This Row],[ItemID C]],Katalog!$C$3:$C$12,0)),"-")</f>
        <v>-</v>
      </c>
      <c r="V302" s="36" t="str">
        <f>IFERROR(INDEX(Katalog!$D$3:$D$12,MATCH(Data[[#This Row],[ItemID C]],Katalog!$C$3:$C$12,0))*Data[[#This Row],[Qty C]],"0")</f>
        <v>0</v>
      </c>
      <c r="W302" s="36" t="str">
        <f>IFERROR(INDEX(Katalog!$F$3:$F$12,MATCH(Data[[#This Row],[ItemID C]],Katalog!$C$3:$C$12,0))*Data[[#This Row],[Qty C]],"0")</f>
        <v>0</v>
      </c>
      <c r="X302" s="21">
        <f>Data[[#This Row],[Qty A]]+Data[[#This Row],[Qty B]]+Data[[#This Row],[Qty C]]</f>
        <v>7</v>
      </c>
      <c r="Y302" s="22">
        <f>Data[[#This Row],[Harga Barang A]]+Data[[#This Row],[Harga Barang B]]+Data[[#This Row],[Harga Barang C]]</f>
        <v>1920000</v>
      </c>
      <c r="Z302" s="35">
        <f>IFERROR(Data[[#This Row],[Total Harga]]-(Data[[#This Row],[Total Harga]]*Data[[#This Row],[Diskon]]),Data[[#This Row],[Total Harga]])</f>
        <v>1728000</v>
      </c>
      <c r="AA302" s="35">
        <f>(Data[[#This Row],[Profit A]]+Data[[#This Row],[Profit B]]+Data[[#This Row],[Profit C]])</f>
        <v>730000</v>
      </c>
      <c r="AB302" s="35">
        <f>IFERROR((Data[[#This Row],[Profit non Diskon]]-(Data[[#This Row],[Profit non Diskon]]*Data[[#This Row],[Diskon]])),Data[[#This Row],[Profit non Diskon]])</f>
        <v>657000</v>
      </c>
      <c r="AC302" s="23" t="s">
        <v>6</v>
      </c>
      <c r="AD302" s="37">
        <f>IFERROR(INDEX('Kode Diskon'!$D$3:$D$9,MATCH(Data[[#This Row],[Kode diskon]],'Kode Diskon'!$C$3:$C$9,0)),"-")</f>
        <v>0.1</v>
      </c>
      <c r="AE302" s="23" t="s">
        <v>29</v>
      </c>
      <c r="AF302" s="23" t="s">
        <v>7</v>
      </c>
      <c r="AG302" s="23" t="s">
        <v>78</v>
      </c>
      <c r="AH302" s="24">
        <v>45020</v>
      </c>
      <c r="AI302" s="23" t="str">
        <f>TEXT(Data[[#This Row],[Tanggal terjual]],"dddd")</f>
        <v>Tuesday</v>
      </c>
      <c r="AJ302" s="21" t="str">
        <f>TEXT(Data[[#This Row],[Tanggal terjual]],"wwww")</f>
        <v>wwww</v>
      </c>
    </row>
    <row r="303" spans="1:36" x14ac:dyDescent="0.2">
      <c r="A303" s="20">
        <v>302</v>
      </c>
      <c r="B303" s="21" t="str">
        <f>_xlfn.CONCAT("ORD-",INDEX(Helper!$B$2:$B$5,MATCH(Data[[#This Row],[Marketplace]],Helper!$A$2:$A$5,0)),TEXT(Data[[#This Row],[No]],"0000"),"-",TEXT(Data[[#This Row],[Tanggal terjual]],"dd/mm/yy"))</f>
        <v>ORD-BL0302-21/04/23</v>
      </c>
      <c r="C303" t="s">
        <v>62</v>
      </c>
      <c r="D303" t="str">
        <f>IFERROR(INDEX(Katalog!$A$3:$A$12,MATCH(Data[[#This Row],[ItemID A]],Katalog!$C$3:$C$12,0)),"-")</f>
        <v>Pakaian Pria</v>
      </c>
      <c r="E303" t="str">
        <f>IFERROR(INDEX(Katalog!$B$3:$B$12,MATCH(Data[[#This Row],[ItemID A]],Katalog!$C$3:$C$12,0)),"-")</f>
        <v>Celana Pendek</v>
      </c>
      <c r="F303">
        <v>1</v>
      </c>
      <c r="G303">
        <v>2</v>
      </c>
      <c r="H303" s="36">
        <f>IFERROR(INDEX(Katalog!$D$3:$D$12,MATCH(Data[[#This Row],[ItemID A]],Katalog!$C$3:$C$12,0))*Data[[#This Row],[Qty A]],"0")</f>
        <v>180000</v>
      </c>
      <c r="I303" s="36">
        <f>IFERROR(INDEX(Katalog!$F$3:$F$12,MATCH(Data[[#This Row],[ItemID A]],Katalog!$C$3:$C$12,0))*Data[[#This Row],[Qty A]],0)</f>
        <v>70000</v>
      </c>
      <c r="K303" t="str">
        <f>IFERROR(INDEX(Katalog!$A$3:$A$12,MATCH(Data[[#This Row],[ItemID B]],Katalog!$C$3:$C$12,0)),"-")</f>
        <v>-</v>
      </c>
      <c r="L303" t="str">
        <f>IFERROR(INDEX(Katalog!$B$3:$B$12,MATCH(Data[[#This Row],[ItemID B]],Katalog!$C$3:$C$12,0)),"-")</f>
        <v>-</v>
      </c>
      <c r="O303" s="36" t="str">
        <f>IFERROR(INDEX(Katalog!$D$3:$D$12,MATCH(Data[[#This Row],[ItemID B]],Katalog!$C$3:$C$12,0))*Data[[#This Row],[Qty B]],"0")</f>
        <v>0</v>
      </c>
      <c r="P303" s="36" t="str">
        <f>IFERROR(INDEX(Katalog!$F$3:$F$12,MATCH(Data[[#This Row],[ItemID B]],Katalog!$C$3:$C$12,0))*Data[[#This Row],[Qty B]],"0")</f>
        <v>0</v>
      </c>
      <c r="R303" t="str">
        <f>IFERROR(INDEX(Katalog!$A$3:$A$12,MATCH(Data[[#This Row],[ItemID C]],Katalog!$C$3:$C$12,0)),"-")</f>
        <v>-</v>
      </c>
      <c r="S303" t="str">
        <f>IFERROR(INDEX(Katalog!$B$3:$B$12,MATCH(Data[[#This Row],[ItemID C]],Katalog!$C$3:$C$12,0)),"-")</f>
        <v>-</v>
      </c>
      <c r="V303" s="36" t="str">
        <f>IFERROR(INDEX(Katalog!$D$3:$D$12,MATCH(Data[[#This Row],[ItemID C]],Katalog!$C$3:$C$12,0))*Data[[#This Row],[Qty C]],"0")</f>
        <v>0</v>
      </c>
      <c r="W303" s="36" t="str">
        <f>IFERROR(INDEX(Katalog!$F$3:$F$12,MATCH(Data[[#This Row],[ItemID C]],Katalog!$C$3:$C$12,0))*Data[[#This Row],[Qty C]],"0")</f>
        <v>0</v>
      </c>
      <c r="X303" s="21">
        <f>Data[[#This Row],[Qty A]]+Data[[#This Row],[Qty B]]+Data[[#This Row],[Qty C]]</f>
        <v>1</v>
      </c>
      <c r="Y303" s="22">
        <f>Data[[#This Row],[Harga Barang A]]+Data[[#This Row],[Harga Barang B]]+Data[[#This Row],[Harga Barang C]]</f>
        <v>180000</v>
      </c>
      <c r="Z303" s="35">
        <f>IFERROR(Data[[#This Row],[Total Harga]]-(Data[[#This Row],[Total Harga]]*Data[[#This Row],[Diskon]]),Data[[#This Row],[Total Harga]])</f>
        <v>153000</v>
      </c>
      <c r="AA303" s="35">
        <f>(Data[[#This Row],[Profit A]]+Data[[#This Row],[Profit B]]+Data[[#This Row],[Profit C]])</f>
        <v>70000</v>
      </c>
      <c r="AB303" s="35">
        <f>IFERROR((Data[[#This Row],[Profit non Diskon]]-(Data[[#This Row],[Profit non Diskon]]*Data[[#This Row],[Diskon]])),Data[[#This Row],[Profit non Diskon]])</f>
        <v>59500</v>
      </c>
      <c r="AC303" s="23" t="s">
        <v>32</v>
      </c>
      <c r="AD303" s="37">
        <f>IFERROR(INDEX('Kode Diskon'!$D$3:$D$9,MATCH(Data[[#This Row],[Kode diskon]],'Kode Diskon'!$C$3:$C$9,0)),"-")</f>
        <v>0.15</v>
      </c>
      <c r="AE303" s="23" t="s">
        <v>9</v>
      </c>
      <c r="AF303" s="23" t="s">
        <v>12</v>
      </c>
      <c r="AG303" s="23" t="s">
        <v>75</v>
      </c>
      <c r="AH303" s="24">
        <v>45037</v>
      </c>
      <c r="AI303" s="23" t="str">
        <f>TEXT(Data[[#This Row],[Tanggal terjual]],"dddd")</f>
        <v>Friday</v>
      </c>
      <c r="AJ303" s="21" t="str">
        <f>TEXT(Data[[#This Row],[Tanggal terjual]],"wwww")</f>
        <v>wwww</v>
      </c>
    </row>
    <row r="304" spans="1:36" x14ac:dyDescent="0.2">
      <c r="A304" s="20">
        <v>303</v>
      </c>
      <c r="B304" s="21" t="str">
        <f>_xlfn.CONCAT("ORD-",INDEX(Helper!$B$2:$B$5,MATCH(Data[[#This Row],[Marketplace]],Helper!$A$2:$A$5,0)),TEXT(Data[[#This Row],[No]],"0000"),"-",TEXT(Data[[#This Row],[Tanggal terjual]],"dd/mm/yy"))</f>
        <v>ORD-SP0303-01/04/23</v>
      </c>
      <c r="C304" t="s">
        <v>67</v>
      </c>
      <c r="D304" t="str">
        <f>IFERROR(INDEX(Katalog!$A$3:$A$12,MATCH(Data[[#This Row],[ItemID A]],Katalog!$C$3:$C$12,0)),"-")</f>
        <v>Sepatu Wanita</v>
      </c>
      <c r="E304" t="str">
        <f>IFERROR(INDEX(Katalog!$B$3:$B$12,MATCH(Data[[#This Row],[ItemID A]],Katalog!$C$3:$C$12,0)),"-")</f>
        <v>Flat Shoes</v>
      </c>
      <c r="F304">
        <v>6</v>
      </c>
      <c r="G304">
        <v>2</v>
      </c>
      <c r="H304" s="36">
        <f>IFERROR(INDEX(Katalog!$D$3:$D$12,MATCH(Data[[#This Row],[ItemID A]],Katalog!$C$3:$C$12,0))*Data[[#This Row],[Qty A]],"0")</f>
        <v>1500000</v>
      </c>
      <c r="I304" s="36">
        <f>IFERROR(INDEX(Katalog!$F$3:$F$12,MATCH(Data[[#This Row],[ItemID A]],Katalog!$C$3:$C$12,0))*Data[[#This Row],[Qty A]],0)</f>
        <v>600000</v>
      </c>
      <c r="J304" t="s">
        <v>64</v>
      </c>
      <c r="K304" t="str">
        <f>IFERROR(INDEX(Katalog!$A$3:$A$12,MATCH(Data[[#This Row],[ItemID B]],Katalog!$C$3:$C$12,0)),"-")</f>
        <v>Pakaian Unisex</v>
      </c>
      <c r="L304" t="str">
        <f>IFERROR(INDEX(Katalog!$B$3:$B$12,MATCH(Data[[#This Row],[ItemID B]],Katalog!$C$3:$C$12,0)),"-")</f>
        <v>Jaket Hoodie</v>
      </c>
      <c r="M304">
        <v>1</v>
      </c>
      <c r="N304">
        <v>3</v>
      </c>
      <c r="O304" s="36">
        <f>IFERROR(INDEX(Katalog!$D$3:$D$12,MATCH(Data[[#This Row],[ItemID B]],Katalog!$C$3:$C$12,0))*Data[[#This Row],[Qty B]],"0")</f>
        <v>350000</v>
      </c>
      <c r="P304" s="36">
        <f>IFERROR(INDEX(Katalog!$F$3:$F$12,MATCH(Data[[#This Row],[ItemID B]],Katalog!$C$3:$C$12,0))*Data[[#This Row],[Qty B]],"0")</f>
        <v>130000</v>
      </c>
      <c r="R304" t="str">
        <f>IFERROR(INDEX(Katalog!$A$3:$A$12,MATCH(Data[[#This Row],[ItemID C]],Katalog!$C$3:$C$12,0)),"-")</f>
        <v>-</v>
      </c>
      <c r="S304" t="str">
        <f>IFERROR(INDEX(Katalog!$B$3:$B$12,MATCH(Data[[#This Row],[ItemID C]],Katalog!$C$3:$C$12,0)),"-")</f>
        <v>-</v>
      </c>
      <c r="V304" s="36" t="str">
        <f>IFERROR(INDEX(Katalog!$D$3:$D$12,MATCH(Data[[#This Row],[ItemID C]],Katalog!$C$3:$C$12,0))*Data[[#This Row],[Qty C]],"0")</f>
        <v>0</v>
      </c>
      <c r="W304" s="36" t="str">
        <f>IFERROR(INDEX(Katalog!$F$3:$F$12,MATCH(Data[[#This Row],[ItemID C]],Katalog!$C$3:$C$12,0))*Data[[#This Row],[Qty C]],"0")</f>
        <v>0</v>
      </c>
      <c r="X304" s="21">
        <f>Data[[#This Row],[Qty A]]+Data[[#This Row],[Qty B]]+Data[[#This Row],[Qty C]]</f>
        <v>7</v>
      </c>
      <c r="Y304" s="22">
        <f>Data[[#This Row],[Harga Barang A]]+Data[[#This Row],[Harga Barang B]]+Data[[#This Row],[Harga Barang C]]</f>
        <v>1850000</v>
      </c>
      <c r="Z304" s="35">
        <f>IFERROR(Data[[#This Row],[Total Harga]]-(Data[[#This Row],[Total Harga]]*Data[[#This Row],[Diskon]]),Data[[#This Row],[Total Harga]])</f>
        <v>1665000</v>
      </c>
      <c r="AA304" s="35">
        <f>(Data[[#This Row],[Profit A]]+Data[[#This Row],[Profit B]]+Data[[#This Row],[Profit C]])</f>
        <v>730000</v>
      </c>
      <c r="AB304" s="35">
        <f>IFERROR((Data[[#This Row],[Profit non Diskon]]-(Data[[#This Row],[Profit non Diskon]]*Data[[#This Row],[Diskon]])),Data[[#This Row],[Profit non Diskon]])</f>
        <v>657000</v>
      </c>
      <c r="AC304" s="23" t="s">
        <v>6</v>
      </c>
      <c r="AD304" s="37">
        <f>IFERROR(INDEX('Kode Diskon'!$D$3:$D$9,MATCH(Data[[#This Row],[Kode diskon]],'Kode Diskon'!$C$3:$C$9,0)),"-")</f>
        <v>0.1</v>
      </c>
      <c r="AE304" s="23" t="s">
        <v>29</v>
      </c>
      <c r="AF304" s="23" t="s">
        <v>7</v>
      </c>
      <c r="AG304" s="23" t="s">
        <v>75</v>
      </c>
      <c r="AH304" s="24">
        <v>45017</v>
      </c>
      <c r="AI304" s="23" t="str">
        <f>TEXT(Data[[#This Row],[Tanggal terjual]],"dddd")</f>
        <v>Saturday</v>
      </c>
      <c r="AJ304" s="21" t="str">
        <f>TEXT(Data[[#This Row],[Tanggal terjual]],"wwww")</f>
        <v>wwww</v>
      </c>
    </row>
    <row r="305" spans="1:36" x14ac:dyDescent="0.2">
      <c r="A305" s="20">
        <v>304</v>
      </c>
      <c r="B305" s="21" t="str">
        <f>_xlfn.CONCAT("ORD-",INDEX(Helper!$B$2:$B$5,MATCH(Data[[#This Row],[Marketplace]],Helper!$A$2:$A$5,0)),TEXT(Data[[#This Row],[No]],"0000"),"-",TEXT(Data[[#This Row],[Tanggal terjual]],"dd/mm/yy"))</f>
        <v>ORD-TK0304-27/04/23</v>
      </c>
      <c r="C305" t="s">
        <v>63</v>
      </c>
      <c r="D305" t="str">
        <f>IFERROR(INDEX(Katalog!$A$3:$A$12,MATCH(Data[[#This Row],[ItemID A]],Katalog!$C$3:$C$12,0)),"-")</f>
        <v>Pakaian Pria</v>
      </c>
      <c r="E305" t="str">
        <f>IFERROR(INDEX(Katalog!$B$3:$B$12,MATCH(Data[[#This Row],[ItemID A]],Katalog!$C$3:$C$12,0)),"-")</f>
        <v>Jaket Jeans</v>
      </c>
      <c r="F305">
        <v>2</v>
      </c>
      <c r="G305">
        <v>4</v>
      </c>
      <c r="H305" s="36">
        <f>IFERROR(INDEX(Katalog!$D$3:$D$12,MATCH(Data[[#This Row],[ItemID A]],Katalog!$C$3:$C$12,0))*Data[[#This Row],[Qty A]],"0")</f>
        <v>800000</v>
      </c>
      <c r="I305" s="36">
        <f>IFERROR(INDEX(Katalog!$F$3:$F$12,MATCH(Data[[#This Row],[ItemID A]],Katalog!$C$3:$C$12,0))*Data[[#This Row],[Qty A]],0)</f>
        <v>300000</v>
      </c>
      <c r="K305" t="str">
        <f>IFERROR(INDEX(Katalog!$A$3:$A$12,MATCH(Data[[#This Row],[ItemID B]],Katalog!$C$3:$C$12,0)),"-")</f>
        <v>-</v>
      </c>
      <c r="L305" t="str">
        <f>IFERROR(INDEX(Katalog!$B$3:$B$12,MATCH(Data[[#This Row],[ItemID B]],Katalog!$C$3:$C$12,0)),"-")</f>
        <v>-</v>
      </c>
      <c r="O305" s="36" t="str">
        <f>IFERROR(INDEX(Katalog!$D$3:$D$12,MATCH(Data[[#This Row],[ItemID B]],Katalog!$C$3:$C$12,0))*Data[[#This Row],[Qty B]],"0")</f>
        <v>0</v>
      </c>
      <c r="P305" s="36" t="str">
        <f>IFERROR(INDEX(Katalog!$F$3:$F$12,MATCH(Data[[#This Row],[ItemID B]],Katalog!$C$3:$C$12,0))*Data[[#This Row],[Qty B]],"0")</f>
        <v>0</v>
      </c>
      <c r="R305" t="str">
        <f>IFERROR(INDEX(Katalog!$A$3:$A$12,MATCH(Data[[#This Row],[ItemID C]],Katalog!$C$3:$C$12,0)),"-")</f>
        <v>-</v>
      </c>
      <c r="S305" t="str">
        <f>IFERROR(INDEX(Katalog!$B$3:$B$12,MATCH(Data[[#This Row],[ItemID C]],Katalog!$C$3:$C$12,0)),"-")</f>
        <v>-</v>
      </c>
      <c r="V305" s="36" t="str">
        <f>IFERROR(INDEX(Katalog!$D$3:$D$12,MATCH(Data[[#This Row],[ItemID C]],Katalog!$C$3:$C$12,0))*Data[[#This Row],[Qty C]],"0")</f>
        <v>0</v>
      </c>
      <c r="W305" s="36" t="str">
        <f>IFERROR(INDEX(Katalog!$F$3:$F$12,MATCH(Data[[#This Row],[ItemID C]],Katalog!$C$3:$C$12,0))*Data[[#This Row],[Qty C]],"0")</f>
        <v>0</v>
      </c>
      <c r="X305" s="21">
        <f>Data[[#This Row],[Qty A]]+Data[[#This Row],[Qty B]]+Data[[#This Row],[Qty C]]</f>
        <v>2</v>
      </c>
      <c r="Y305" s="22">
        <f>Data[[#This Row],[Harga Barang A]]+Data[[#This Row],[Harga Barang B]]+Data[[#This Row],[Harga Barang C]]</f>
        <v>800000</v>
      </c>
      <c r="Z305" s="35">
        <f>IFERROR(Data[[#This Row],[Total Harga]]-(Data[[#This Row],[Total Harga]]*Data[[#This Row],[Diskon]]),Data[[#This Row],[Total Harga]])</f>
        <v>720000</v>
      </c>
      <c r="AA305" s="35">
        <f>(Data[[#This Row],[Profit A]]+Data[[#This Row],[Profit B]]+Data[[#This Row],[Profit C]])</f>
        <v>300000</v>
      </c>
      <c r="AB305" s="35">
        <f>IFERROR((Data[[#This Row],[Profit non Diskon]]-(Data[[#This Row],[Profit non Diskon]]*Data[[#This Row],[Diskon]])),Data[[#This Row],[Profit non Diskon]])</f>
        <v>270000</v>
      </c>
      <c r="AC305" s="23" t="s">
        <v>31</v>
      </c>
      <c r="AD305" s="37">
        <f>IFERROR(INDEX('Kode Diskon'!$D$3:$D$9,MATCH(Data[[#This Row],[Kode diskon]],'Kode Diskon'!$C$3:$C$9,0)),"-")</f>
        <v>0.1</v>
      </c>
      <c r="AE305" s="23" t="s">
        <v>9</v>
      </c>
      <c r="AF305" s="23" t="s">
        <v>10</v>
      </c>
      <c r="AG305" s="23" t="s">
        <v>76</v>
      </c>
      <c r="AH305" s="24">
        <v>45043</v>
      </c>
      <c r="AI305" s="23" t="str">
        <f>TEXT(Data[[#This Row],[Tanggal terjual]],"dddd")</f>
        <v>Thursday</v>
      </c>
      <c r="AJ305" s="21" t="str">
        <f>TEXT(Data[[#This Row],[Tanggal terjual]],"wwww")</f>
        <v>wwww</v>
      </c>
    </row>
    <row r="306" spans="1:36" x14ac:dyDescent="0.2">
      <c r="A306" s="20">
        <v>305</v>
      </c>
      <c r="B306" s="21" t="str">
        <f>_xlfn.CONCAT("ORD-",INDEX(Helper!$B$2:$B$5,MATCH(Data[[#This Row],[Marketplace]],Helper!$A$2:$A$5,0)),TEXT(Data[[#This Row],[No]],"0000"),"-",TEXT(Data[[#This Row],[Tanggal terjual]],"dd/mm/yy"))</f>
        <v>ORD-SP0305-06/04/23</v>
      </c>
      <c r="C306" t="s">
        <v>62</v>
      </c>
      <c r="D306" t="str">
        <f>IFERROR(INDEX(Katalog!$A$3:$A$12,MATCH(Data[[#This Row],[ItemID A]],Katalog!$C$3:$C$12,0)),"-")</f>
        <v>Pakaian Pria</v>
      </c>
      <c r="E306" t="str">
        <f>IFERROR(INDEX(Katalog!$B$3:$B$12,MATCH(Data[[#This Row],[ItemID A]],Katalog!$C$3:$C$12,0)),"-")</f>
        <v>Celana Pendek</v>
      </c>
      <c r="F306">
        <v>1</v>
      </c>
      <c r="G306">
        <v>2</v>
      </c>
      <c r="H306" s="36">
        <f>IFERROR(INDEX(Katalog!$D$3:$D$12,MATCH(Data[[#This Row],[ItemID A]],Katalog!$C$3:$C$12,0))*Data[[#This Row],[Qty A]],"0")</f>
        <v>180000</v>
      </c>
      <c r="I306" s="36">
        <f>IFERROR(INDEX(Katalog!$F$3:$F$12,MATCH(Data[[#This Row],[ItemID A]],Katalog!$C$3:$C$12,0))*Data[[#This Row],[Qty A]],0)</f>
        <v>70000</v>
      </c>
      <c r="J306" t="s">
        <v>60</v>
      </c>
      <c r="K306" t="str">
        <f>IFERROR(INDEX(Katalog!$A$3:$A$12,MATCH(Data[[#This Row],[ItemID B]],Katalog!$C$3:$C$12,0)),"-")</f>
        <v>Pakaian Wanita</v>
      </c>
      <c r="L306" t="str">
        <f>IFERROR(INDEX(Katalog!$B$3:$B$12,MATCH(Data[[#This Row],[ItemID B]],Katalog!$C$3:$C$12,0)),"-")</f>
        <v>Kaftan</v>
      </c>
      <c r="M306">
        <v>4</v>
      </c>
      <c r="N306">
        <v>3</v>
      </c>
      <c r="O306" s="36">
        <f>IFERROR(INDEX(Katalog!$D$3:$D$12,MATCH(Data[[#This Row],[ItemID B]],Katalog!$C$3:$C$12,0))*Data[[#This Row],[Qty B]],"0")</f>
        <v>1000000</v>
      </c>
      <c r="P306" s="36">
        <f>IFERROR(INDEX(Katalog!$F$3:$F$12,MATCH(Data[[#This Row],[ItemID B]],Katalog!$C$3:$C$12,0))*Data[[#This Row],[Qty B]],"0")</f>
        <v>400000</v>
      </c>
      <c r="R306" t="str">
        <f>IFERROR(INDEX(Katalog!$A$3:$A$12,MATCH(Data[[#This Row],[ItemID C]],Katalog!$C$3:$C$12,0)),"-")</f>
        <v>-</v>
      </c>
      <c r="S306" t="str">
        <f>IFERROR(INDEX(Katalog!$B$3:$B$12,MATCH(Data[[#This Row],[ItemID C]],Katalog!$C$3:$C$12,0)),"-")</f>
        <v>-</v>
      </c>
      <c r="V306" s="36" t="str">
        <f>IFERROR(INDEX(Katalog!$D$3:$D$12,MATCH(Data[[#This Row],[ItemID C]],Katalog!$C$3:$C$12,0))*Data[[#This Row],[Qty C]],"0")</f>
        <v>0</v>
      </c>
      <c r="W306" s="36" t="str">
        <f>IFERROR(INDEX(Katalog!$F$3:$F$12,MATCH(Data[[#This Row],[ItemID C]],Katalog!$C$3:$C$12,0))*Data[[#This Row],[Qty C]],"0")</f>
        <v>0</v>
      </c>
      <c r="X306" s="21">
        <f>Data[[#This Row],[Qty A]]+Data[[#This Row],[Qty B]]+Data[[#This Row],[Qty C]]</f>
        <v>5</v>
      </c>
      <c r="Y306" s="22">
        <f>Data[[#This Row],[Harga Barang A]]+Data[[#This Row],[Harga Barang B]]+Data[[#This Row],[Harga Barang C]]</f>
        <v>1180000</v>
      </c>
      <c r="Z306" s="35">
        <f>IFERROR(Data[[#This Row],[Total Harga]]-(Data[[#This Row],[Total Harga]]*Data[[#This Row],[Diskon]]),Data[[#This Row],[Total Harga]])</f>
        <v>1062000</v>
      </c>
      <c r="AA306" s="35">
        <f>(Data[[#This Row],[Profit A]]+Data[[#This Row],[Profit B]]+Data[[#This Row],[Profit C]])</f>
        <v>470000</v>
      </c>
      <c r="AB306" s="35">
        <f>IFERROR((Data[[#This Row],[Profit non Diskon]]-(Data[[#This Row],[Profit non Diskon]]*Data[[#This Row],[Diskon]])),Data[[#This Row],[Profit non Diskon]])</f>
        <v>423000</v>
      </c>
      <c r="AC306" s="23" t="s">
        <v>6</v>
      </c>
      <c r="AD306" s="37">
        <f>IFERROR(INDEX('Kode Diskon'!$D$3:$D$9,MATCH(Data[[#This Row],[Kode diskon]],'Kode Diskon'!$C$3:$C$9,0)),"-")</f>
        <v>0.1</v>
      </c>
      <c r="AE306" s="23" t="s">
        <v>29</v>
      </c>
      <c r="AF306" s="23" t="s">
        <v>7</v>
      </c>
      <c r="AG306" s="23" t="s">
        <v>79</v>
      </c>
      <c r="AH306" s="24">
        <v>45022</v>
      </c>
      <c r="AI306" s="23" t="str">
        <f>TEXT(Data[[#This Row],[Tanggal terjual]],"dddd")</f>
        <v>Thursday</v>
      </c>
      <c r="AJ306" s="21" t="str">
        <f>TEXT(Data[[#This Row],[Tanggal terjual]],"wwww")</f>
        <v>wwww</v>
      </c>
    </row>
    <row r="307" spans="1:36" x14ac:dyDescent="0.2">
      <c r="A307" s="20">
        <v>306</v>
      </c>
      <c r="B307" s="21" t="str">
        <f>_xlfn.CONCAT("ORD-",INDEX(Helper!$B$2:$B$5,MATCH(Data[[#This Row],[Marketplace]],Helper!$A$2:$A$5,0)),TEXT(Data[[#This Row],[No]],"0000"),"-",TEXT(Data[[#This Row],[Tanggal terjual]],"dd/mm/yy"))</f>
        <v>ORD-BB0306-06/04/23</v>
      </c>
      <c r="C307" t="s">
        <v>63</v>
      </c>
      <c r="D307" t="str">
        <f>IFERROR(INDEX(Katalog!$A$3:$A$12,MATCH(Data[[#This Row],[ItemID A]],Katalog!$C$3:$C$12,0)),"-")</f>
        <v>Pakaian Pria</v>
      </c>
      <c r="E307" t="str">
        <f>IFERROR(INDEX(Katalog!$B$3:$B$12,MATCH(Data[[#This Row],[ItemID A]],Katalog!$C$3:$C$12,0)),"-")</f>
        <v>Jaket Jeans</v>
      </c>
      <c r="F307">
        <v>2</v>
      </c>
      <c r="G307">
        <v>4</v>
      </c>
      <c r="H307" s="36">
        <f>IFERROR(INDEX(Katalog!$D$3:$D$12,MATCH(Data[[#This Row],[ItemID A]],Katalog!$C$3:$C$12,0))*Data[[#This Row],[Qty A]],"0")</f>
        <v>800000</v>
      </c>
      <c r="I307" s="36">
        <f>IFERROR(INDEX(Katalog!$F$3:$F$12,MATCH(Data[[#This Row],[ItemID A]],Katalog!$C$3:$C$12,0))*Data[[#This Row],[Qty A]],0)</f>
        <v>300000</v>
      </c>
      <c r="J307" t="s">
        <v>59</v>
      </c>
      <c r="K307" t="str">
        <f>IFERROR(INDEX(Katalog!$A$3:$A$12,MATCH(Data[[#This Row],[ItemID B]],Katalog!$C$3:$C$12,0)),"-")</f>
        <v>Pakaian Wanita</v>
      </c>
      <c r="L307" t="str">
        <f>IFERROR(INDEX(Katalog!$B$3:$B$12,MATCH(Data[[#This Row],[ItemID B]],Katalog!$C$3:$C$12,0)),"-")</f>
        <v>Blouse</v>
      </c>
      <c r="M307">
        <v>2</v>
      </c>
      <c r="N307">
        <v>4</v>
      </c>
      <c r="O307" s="36">
        <f>IFERROR(INDEX(Katalog!$D$3:$D$12,MATCH(Data[[#This Row],[ItemID B]],Katalog!$C$3:$C$12,0))*Data[[#This Row],[Qty B]],"0")</f>
        <v>300000</v>
      </c>
      <c r="P307" s="36">
        <f>IFERROR(INDEX(Katalog!$F$3:$F$12,MATCH(Data[[#This Row],[ItemID B]],Katalog!$C$3:$C$12,0))*Data[[#This Row],[Qty B]],"0")</f>
        <v>100000</v>
      </c>
      <c r="R307" t="str">
        <f>IFERROR(INDEX(Katalog!$A$3:$A$12,MATCH(Data[[#This Row],[ItemID C]],Katalog!$C$3:$C$12,0)),"-")</f>
        <v>-</v>
      </c>
      <c r="S307" t="str">
        <f>IFERROR(INDEX(Katalog!$B$3:$B$12,MATCH(Data[[#This Row],[ItemID C]],Katalog!$C$3:$C$12,0)),"-")</f>
        <v>-</v>
      </c>
      <c r="V307" s="36" t="str">
        <f>IFERROR(INDEX(Katalog!$D$3:$D$12,MATCH(Data[[#This Row],[ItemID C]],Katalog!$C$3:$C$12,0))*Data[[#This Row],[Qty C]],"0")</f>
        <v>0</v>
      </c>
      <c r="W307" s="36" t="str">
        <f>IFERROR(INDEX(Katalog!$F$3:$F$12,MATCH(Data[[#This Row],[ItemID C]],Katalog!$C$3:$C$12,0))*Data[[#This Row],[Qty C]],"0")</f>
        <v>0</v>
      </c>
      <c r="X307" s="21">
        <f>Data[[#This Row],[Qty A]]+Data[[#This Row],[Qty B]]+Data[[#This Row],[Qty C]]</f>
        <v>4</v>
      </c>
      <c r="Y307" s="22">
        <f>Data[[#This Row],[Harga Barang A]]+Data[[#This Row],[Harga Barang B]]+Data[[#This Row],[Harga Barang C]]</f>
        <v>1100000</v>
      </c>
      <c r="Z307" s="35">
        <f>IFERROR(Data[[#This Row],[Total Harga]]-(Data[[#This Row],[Total Harga]]*Data[[#This Row],[Diskon]]),Data[[#This Row],[Total Harga]])</f>
        <v>935000</v>
      </c>
      <c r="AA307" s="35">
        <f>(Data[[#This Row],[Profit A]]+Data[[#This Row],[Profit B]]+Data[[#This Row],[Profit C]])</f>
        <v>400000</v>
      </c>
      <c r="AB307" s="35">
        <f>IFERROR((Data[[#This Row],[Profit non Diskon]]-(Data[[#This Row],[Profit non Diskon]]*Data[[#This Row],[Diskon]])),Data[[#This Row],[Profit non Diskon]])</f>
        <v>340000</v>
      </c>
      <c r="AC307" s="23" t="s">
        <v>28</v>
      </c>
      <c r="AD307" s="37">
        <f>IFERROR(INDEX('Kode Diskon'!$D$3:$D$9,MATCH(Data[[#This Row],[Kode diskon]],'Kode Diskon'!$C$3:$C$9,0)),"-")</f>
        <v>0.15</v>
      </c>
      <c r="AE307" s="23" t="s">
        <v>29</v>
      </c>
      <c r="AF307" s="23" t="s">
        <v>14</v>
      </c>
      <c r="AG307" s="23" t="s">
        <v>75</v>
      </c>
      <c r="AH307" s="24">
        <v>45022</v>
      </c>
      <c r="AI307" s="23" t="str">
        <f>TEXT(Data[[#This Row],[Tanggal terjual]],"dddd")</f>
        <v>Thursday</v>
      </c>
      <c r="AJ307" s="21" t="str">
        <f>TEXT(Data[[#This Row],[Tanggal terjual]],"wwww")</f>
        <v>wwww</v>
      </c>
    </row>
    <row r="308" spans="1:36" x14ac:dyDescent="0.2">
      <c r="A308" s="20">
        <v>307</v>
      </c>
      <c r="B308" s="21" t="str">
        <f>_xlfn.CONCAT("ORD-",INDEX(Helper!$B$2:$B$5,MATCH(Data[[#This Row],[Marketplace]],Helper!$A$2:$A$5,0)),TEXT(Data[[#This Row],[No]],"0000"),"-",TEXT(Data[[#This Row],[Tanggal terjual]],"dd/mm/yy"))</f>
        <v>ORD-BB0307-06/04/23</v>
      </c>
      <c r="C308" t="s">
        <v>61</v>
      </c>
      <c r="D308" t="str">
        <f>IFERROR(INDEX(Katalog!$A$3:$A$12,MATCH(Data[[#This Row],[ItemID A]],Katalog!$C$3:$C$12,0)),"-")</f>
        <v>Pakaian Pria</v>
      </c>
      <c r="E308" t="str">
        <f>IFERROR(INDEX(Katalog!$B$3:$B$12,MATCH(Data[[#This Row],[ItemID A]],Katalog!$C$3:$C$12,0)),"-")</f>
        <v>Kaos Polo</v>
      </c>
      <c r="F308">
        <v>2</v>
      </c>
      <c r="G308">
        <v>5</v>
      </c>
      <c r="H308" s="36">
        <f>IFERROR(INDEX(Katalog!$D$3:$D$12,MATCH(Data[[#This Row],[ItemID A]],Katalog!$C$3:$C$12,0))*Data[[#This Row],[Qty A]],"0")</f>
        <v>400000</v>
      </c>
      <c r="I308" s="36">
        <f>IFERROR(INDEX(Katalog!$F$3:$F$12,MATCH(Data[[#This Row],[ItemID A]],Katalog!$C$3:$C$12,0))*Data[[#This Row],[Qty A]],0)</f>
        <v>160000</v>
      </c>
      <c r="J308" t="s">
        <v>64</v>
      </c>
      <c r="K308" t="str">
        <f>IFERROR(INDEX(Katalog!$A$3:$A$12,MATCH(Data[[#This Row],[ItemID B]],Katalog!$C$3:$C$12,0)),"-")</f>
        <v>Pakaian Unisex</v>
      </c>
      <c r="L308" t="str">
        <f>IFERROR(INDEX(Katalog!$B$3:$B$12,MATCH(Data[[#This Row],[ItemID B]],Katalog!$C$3:$C$12,0)),"-")</f>
        <v>Jaket Hoodie</v>
      </c>
      <c r="M308">
        <v>2</v>
      </c>
      <c r="N308">
        <v>2</v>
      </c>
      <c r="O308" s="36">
        <f>IFERROR(INDEX(Katalog!$D$3:$D$12,MATCH(Data[[#This Row],[ItemID B]],Katalog!$C$3:$C$12,0))*Data[[#This Row],[Qty B]],"0")</f>
        <v>700000</v>
      </c>
      <c r="P308" s="36">
        <f>IFERROR(INDEX(Katalog!$F$3:$F$12,MATCH(Data[[#This Row],[ItemID B]],Katalog!$C$3:$C$12,0))*Data[[#This Row],[Qty B]],"0")</f>
        <v>260000</v>
      </c>
      <c r="R308" t="str">
        <f>IFERROR(INDEX(Katalog!$A$3:$A$12,MATCH(Data[[#This Row],[ItemID C]],Katalog!$C$3:$C$12,0)),"-")</f>
        <v>-</v>
      </c>
      <c r="S308" t="str">
        <f>IFERROR(INDEX(Katalog!$B$3:$B$12,MATCH(Data[[#This Row],[ItemID C]],Katalog!$C$3:$C$12,0)),"-")</f>
        <v>-</v>
      </c>
      <c r="V308" s="36" t="str">
        <f>IFERROR(INDEX(Katalog!$D$3:$D$12,MATCH(Data[[#This Row],[ItemID C]],Katalog!$C$3:$C$12,0))*Data[[#This Row],[Qty C]],"0")</f>
        <v>0</v>
      </c>
      <c r="W308" s="36" t="str">
        <f>IFERROR(INDEX(Katalog!$F$3:$F$12,MATCH(Data[[#This Row],[ItemID C]],Katalog!$C$3:$C$12,0))*Data[[#This Row],[Qty C]],"0")</f>
        <v>0</v>
      </c>
      <c r="X308" s="21">
        <f>Data[[#This Row],[Qty A]]+Data[[#This Row],[Qty B]]+Data[[#This Row],[Qty C]]</f>
        <v>4</v>
      </c>
      <c r="Y308" s="22">
        <f>Data[[#This Row],[Harga Barang A]]+Data[[#This Row],[Harga Barang B]]+Data[[#This Row],[Harga Barang C]]</f>
        <v>1100000</v>
      </c>
      <c r="Z308" s="35">
        <f>IFERROR(Data[[#This Row],[Total Harga]]-(Data[[#This Row],[Total Harga]]*Data[[#This Row],[Diskon]]),Data[[#This Row],[Total Harga]])</f>
        <v>935000</v>
      </c>
      <c r="AA308" s="35">
        <f>(Data[[#This Row],[Profit A]]+Data[[#This Row],[Profit B]]+Data[[#This Row],[Profit C]])</f>
        <v>420000</v>
      </c>
      <c r="AB308" s="35">
        <f>IFERROR((Data[[#This Row],[Profit non Diskon]]-(Data[[#This Row],[Profit non Diskon]]*Data[[#This Row],[Diskon]])),Data[[#This Row],[Profit non Diskon]])</f>
        <v>357000</v>
      </c>
      <c r="AC308" s="23" t="s">
        <v>28</v>
      </c>
      <c r="AD308" s="37">
        <f>IFERROR(INDEX('Kode Diskon'!$D$3:$D$9,MATCH(Data[[#This Row],[Kode diskon]],'Kode Diskon'!$C$3:$C$9,0)),"-")</f>
        <v>0.15</v>
      </c>
      <c r="AE308" s="23" t="s">
        <v>29</v>
      </c>
      <c r="AF308" s="23" t="s">
        <v>14</v>
      </c>
      <c r="AG308" s="23" t="s">
        <v>80</v>
      </c>
      <c r="AH308" s="24">
        <v>45022</v>
      </c>
      <c r="AI308" s="23" t="str">
        <f>TEXT(Data[[#This Row],[Tanggal terjual]],"dddd")</f>
        <v>Thursday</v>
      </c>
      <c r="AJ308" s="21" t="str">
        <f>TEXT(Data[[#This Row],[Tanggal terjual]],"wwww")</f>
        <v>wwww</v>
      </c>
    </row>
    <row r="309" spans="1:36" x14ac:dyDescent="0.2">
      <c r="A309" s="20">
        <v>308</v>
      </c>
      <c r="B309" s="21" t="str">
        <f>_xlfn.CONCAT("ORD-",INDEX(Helper!$B$2:$B$5,MATCH(Data[[#This Row],[Marketplace]],Helper!$A$2:$A$5,0)),TEXT(Data[[#This Row],[No]],"0000"),"-",TEXT(Data[[#This Row],[Tanggal terjual]],"dd/mm/yy"))</f>
        <v>ORD-TK0308-18/04/23</v>
      </c>
      <c r="C309" t="s">
        <v>61</v>
      </c>
      <c r="D309" t="str">
        <f>IFERROR(INDEX(Katalog!$A$3:$A$12,MATCH(Data[[#This Row],[ItemID A]],Katalog!$C$3:$C$12,0)),"-")</f>
        <v>Pakaian Pria</v>
      </c>
      <c r="E309" t="str">
        <f>IFERROR(INDEX(Katalog!$B$3:$B$12,MATCH(Data[[#This Row],[ItemID A]],Katalog!$C$3:$C$12,0)),"-")</f>
        <v>Kaos Polo</v>
      </c>
      <c r="F309">
        <v>5</v>
      </c>
      <c r="G309">
        <v>4</v>
      </c>
      <c r="H309" s="36">
        <f>IFERROR(INDEX(Katalog!$D$3:$D$12,MATCH(Data[[#This Row],[ItemID A]],Katalog!$C$3:$C$12,0))*Data[[#This Row],[Qty A]],"0")</f>
        <v>1000000</v>
      </c>
      <c r="I309" s="36">
        <f>IFERROR(INDEX(Katalog!$F$3:$F$12,MATCH(Data[[#This Row],[ItemID A]],Katalog!$C$3:$C$12,0))*Data[[#This Row],[Qty A]],0)</f>
        <v>400000</v>
      </c>
      <c r="J309" t="s">
        <v>65</v>
      </c>
      <c r="K309" t="str">
        <f>IFERROR(INDEX(Katalog!$A$3:$A$12,MATCH(Data[[#This Row],[ItemID B]],Katalog!$C$3:$C$12,0)),"-")</f>
        <v>Sepatu Pria</v>
      </c>
      <c r="L309" t="str">
        <f>IFERROR(INDEX(Katalog!$B$3:$B$12,MATCH(Data[[#This Row],[ItemID B]],Katalog!$C$3:$C$12,0)),"-")</f>
        <v>Sneakers</v>
      </c>
      <c r="M309">
        <v>2</v>
      </c>
      <c r="N309">
        <v>3</v>
      </c>
      <c r="O309" s="36">
        <f>IFERROR(INDEX(Katalog!$D$3:$D$12,MATCH(Data[[#This Row],[ItemID B]],Katalog!$C$3:$C$12,0))*Data[[#This Row],[Qty B]],"0")</f>
        <v>1000000</v>
      </c>
      <c r="P309" s="36">
        <f>IFERROR(INDEX(Katalog!$F$3:$F$12,MATCH(Data[[#This Row],[ItemID B]],Katalog!$C$3:$C$12,0))*Data[[#This Row],[Qty B]],"0")</f>
        <v>400000</v>
      </c>
      <c r="R309" t="str">
        <f>IFERROR(INDEX(Katalog!$A$3:$A$12,MATCH(Data[[#This Row],[ItemID C]],Katalog!$C$3:$C$12,0)),"-")</f>
        <v>-</v>
      </c>
      <c r="S309" t="str">
        <f>IFERROR(INDEX(Katalog!$B$3:$B$12,MATCH(Data[[#This Row],[ItemID C]],Katalog!$C$3:$C$12,0)),"-")</f>
        <v>-</v>
      </c>
      <c r="V309" s="36" t="str">
        <f>IFERROR(INDEX(Katalog!$D$3:$D$12,MATCH(Data[[#This Row],[ItemID C]],Katalog!$C$3:$C$12,0))*Data[[#This Row],[Qty C]],"0")</f>
        <v>0</v>
      </c>
      <c r="W309" s="36" t="str">
        <f>IFERROR(INDEX(Katalog!$F$3:$F$12,MATCH(Data[[#This Row],[ItemID C]],Katalog!$C$3:$C$12,0))*Data[[#This Row],[Qty C]],"0")</f>
        <v>0</v>
      </c>
      <c r="X309" s="21">
        <f>Data[[#This Row],[Qty A]]+Data[[#This Row],[Qty B]]+Data[[#This Row],[Qty C]]</f>
        <v>7</v>
      </c>
      <c r="Y309" s="22">
        <f>Data[[#This Row],[Harga Barang A]]+Data[[#This Row],[Harga Barang B]]+Data[[#This Row],[Harga Barang C]]</f>
        <v>2000000</v>
      </c>
      <c r="Z309" s="35">
        <f>IFERROR(Data[[#This Row],[Total Harga]]-(Data[[#This Row],[Total Harga]]*Data[[#This Row],[Diskon]]),Data[[#This Row],[Total Harga]])</f>
        <v>1800000</v>
      </c>
      <c r="AA309" s="35">
        <f>(Data[[#This Row],[Profit A]]+Data[[#This Row],[Profit B]]+Data[[#This Row],[Profit C]])</f>
        <v>800000</v>
      </c>
      <c r="AB309" s="35">
        <f>IFERROR((Data[[#This Row],[Profit non Diskon]]-(Data[[#This Row],[Profit non Diskon]]*Data[[#This Row],[Diskon]])),Data[[#This Row],[Profit non Diskon]])</f>
        <v>720000</v>
      </c>
      <c r="AC309" s="23" t="s">
        <v>31</v>
      </c>
      <c r="AD309" s="37">
        <f>IFERROR(INDEX('Kode Diskon'!$D$3:$D$9,MATCH(Data[[#This Row],[Kode diskon]],'Kode Diskon'!$C$3:$C$9,0)),"-")</f>
        <v>0.1</v>
      </c>
      <c r="AE309" s="23" t="s">
        <v>9</v>
      </c>
      <c r="AF309" s="23" t="s">
        <v>10</v>
      </c>
      <c r="AG309" s="23" t="s">
        <v>78</v>
      </c>
      <c r="AH309" s="24">
        <v>45034</v>
      </c>
      <c r="AI309" s="23" t="str">
        <f>TEXT(Data[[#This Row],[Tanggal terjual]],"dddd")</f>
        <v>Tuesday</v>
      </c>
      <c r="AJ309" s="21" t="str">
        <f>TEXT(Data[[#This Row],[Tanggal terjual]],"wwww")</f>
        <v>wwww</v>
      </c>
    </row>
    <row r="310" spans="1:36" x14ac:dyDescent="0.2">
      <c r="A310" s="20">
        <v>309</v>
      </c>
      <c r="B310" s="21" t="str">
        <f>_xlfn.CONCAT("ORD-",INDEX(Helper!$B$2:$B$5,MATCH(Data[[#This Row],[Marketplace]],Helper!$A$2:$A$5,0)),TEXT(Data[[#This Row],[No]],"0000"),"-",TEXT(Data[[#This Row],[Tanggal terjual]],"dd/mm/yy"))</f>
        <v>ORD-BB0309-02/04/23</v>
      </c>
      <c r="C310" t="s">
        <v>59</v>
      </c>
      <c r="D310" t="str">
        <f>IFERROR(INDEX(Katalog!$A$3:$A$12,MATCH(Data[[#This Row],[ItemID A]],Katalog!$C$3:$C$12,0)),"-")</f>
        <v>Pakaian Wanita</v>
      </c>
      <c r="E310" t="str">
        <f>IFERROR(INDEX(Katalog!$B$3:$B$12,MATCH(Data[[#This Row],[ItemID A]],Katalog!$C$3:$C$12,0)),"-")</f>
        <v>Blouse</v>
      </c>
      <c r="F310">
        <v>2</v>
      </c>
      <c r="G310">
        <v>5</v>
      </c>
      <c r="H310" s="36">
        <f>IFERROR(INDEX(Katalog!$D$3:$D$12,MATCH(Data[[#This Row],[ItemID A]],Katalog!$C$3:$C$12,0))*Data[[#This Row],[Qty A]],"0")</f>
        <v>300000</v>
      </c>
      <c r="I310" s="36">
        <f>IFERROR(INDEX(Katalog!$F$3:$F$12,MATCH(Data[[#This Row],[ItemID A]],Katalog!$C$3:$C$12,0))*Data[[#This Row],[Qty A]],0)</f>
        <v>100000</v>
      </c>
      <c r="J310" t="s">
        <v>61</v>
      </c>
      <c r="K310" t="str">
        <f>IFERROR(INDEX(Katalog!$A$3:$A$12,MATCH(Data[[#This Row],[ItemID B]],Katalog!$C$3:$C$12,0)),"-")</f>
        <v>Pakaian Pria</v>
      </c>
      <c r="L310" t="str">
        <f>IFERROR(INDEX(Katalog!$B$3:$B$12,MATCH(Data[[#This Row],[ItemID B]],Katalog!$C$3:$C$12,0)),"-")</f>
        <v>Kaos Polo</v>
      </c>
      <c r="M310">
        <v>4</v>
      </c>
      <c r="N310">
        <v>5</v>
      </c>
      <c r="O310" s="36">
        <f>IFERROR(INDEX(Katalog!$D$3:$D$12,MATCH(Data[[#This Row],[ItemID B]],Katalog!$C$3:$C$12,0))*Data[[#This Row],[Qty B]],"0")</f>
        <v>800000</v>
      </c>
      <c r="P310" s="36">
        <f>IFERROR(INDEX(Katalog!$F$3:$F$12,MATCH(Data[[#This Row],[ItemID B]],Katalog!$C$3:$C$12,0))*Data[[#This Row],[Qty B]],"0")</f>
        <v>320000</v>
      </c>
      <c r="R310" t="str">
        <f>IFERROR(INDEX(Katalog!$A$3:$A$12,MATCH(Data[[#This Row],[ItemID C]],Katalog!$C$3:$C$12,0)),"-")</f>
        <v>-</v>
      </c>
      <c r="S310" t="str">
        <f>IFERROR(INDEX(Katalog!$B$3:$B$12,MATCH(Data[[#This Row],[ItemID C]],Katalog!$C$3:$C$12,0)),"-")</f>
        <v>-</v>
      </c>
      <c r="V310" s="36" t="str">
        <f>IFERROR(INDEX(Katalog!$D$3:$D$12,MATCH(Data[[#This Row],[ItemID C]],Katalog!$C$3:$C$12,0))*Data[[#This Row],[Qty C]],"0")</f>
        <v>0</v>
      </c>
      <c r="W310" s="36" t="str">
        <f>IFERROR(INDEX(Katalog!$F$3:$F$12,MATCH(Data[[#This Row],[ItemID C]],Katalog!$C$3:$C$12,0))*Data[[#This Row],[Qty C]],"0")</f>
        <v>0</v>
      </c>
      <c r="X310" s="21">
        <f>Data[[#This Row],[Qty A]]+Data[[#This Row],[Qty B]]+Data[[#This Row],[Qty C]]</f>
        <v>6</v>
      </c>
      <c r="Y310" s="22">
        <f>Data[[#This Row],[Harga Barang A]]+Data[[#This Row],[Harga Barang B]]+Data[[#This Row],[Harga Barang C]]</f>
        <v>1100000</v>
      </c>
      <c r="Z310" s="35">
        <f>IFERROR(Data[[#This Row],[Total Harga]]-(Data[[#This Row],[Total Harga]]*Data[[#This Row],[Diskon]]),Data[[#This Row],[Total Harga]])</f>
        <v>935000</v>
      </c>
      <c r="AA310" s="35">
        <f>(Data[[#This Row],[Profit A]]+Data[[#This Row],[Profit B]]+Data[[#This Row],[Profit C]])</f>
        <v>420000</v>
      </c>
      <c r="AB310" s="35">
        <f>IFERROR((Data[[#This Row],[Profit non Diskon]]-(Data[[#This Row],[Profit non Diskon]]*Data[[#This Row],[Diskon]])),Data[[#This Row],[Profit non Diskon]])</f>
        <v>357000</v>
      </c>
      <c r="AC310" s="23" t="s">
        <v>28</v>
      </c>
      <c r="AD310" s="37">
        <f>IFERROR(INDEX('Kode Diskon'!$D$3:$D$9,MATCH(Data[[#This Row],[Kode diskon]],'Kode Diskon'!$C$3:$C$9,0)),"-")</f>
        <v>0.15</v>
      </c>
      <c r="AE310" s="23" t="s">
        <v>29</v>
      </c>
      <c r="AF310" s="23" t="s">
        <v>14</v>
      </c>
      <c r="AG310" s="23" t="s">
        <v>80</v>
      </c>
      <c r="AH310" s="24">
        <v>45018</v>
      </c>
      <c r="AI310" s="23" t="str">
        <f>TEXT(Data[[#This Row],[Tanggal terjual]],"dddd")</f>
        <v>Sunday</v>
      </c>
      <c r="AJ310" s="21" t="str">
        <f>TEXT(Data[[#This Row],[Tanggal terjual]],"wwww")</f>
        <v>wwww</v>
      </c>
    </row>
    <row r="311" spans="1:36" x14ac:dyDescent="0.2">
      <c r="A311" s="20">
        <v>310</v>
      </c>
      <c r="B311" s="21" t="str">
        <f>_xlfn.CONCAT("ORD-",INDEX(Helper!$B$2:$B$5,MATCH(Data[[#This Row],[Marketplace]],Helper!$A$2:$A$5,0)),TEXT(Data[[#This Row],[No]],"0000"),"-",TEXT(Data[[#This Row],[Tanggal terjual]],"dd/mm/yy"))</f>
        <v>ORD-BL0310-20/04/23</v>
      </c>
      <c r="C311" t="s">
        <v>59</v>
      </c>
      <c r="D311" t="str">
        <f>IFERROR(INDEX(Katalog!$A$3:$A$12,MATCH(Data[[#This Row],[ItemID A]],Katalog!$C$3:$C$12,0)),"-")</f>
        <v>Pakaian Wanita</v>
      </c>
      <c r="E311" t="str">
        <f>IFERROR(INDEX(Katalog!$B$3:$B$12,MATCH(Data[[#This Row],[ItemID A]],Katalog!$C$3:$C$12,0)),"-")</f>
        <v>Blouse</v>
      </c>
      <c r="F311">
        <v>3</v>
      </c>
      <c r="G311">
        <v>1</v>
      </c>
      <c r="H311" s="36">
        <f>IFERROR(INDEX(Katalog!$D$3:$D$12,MATCH(Data[[#This Row],[ItemID A]],Katalog!$C$3:$C$12,0))*Data[[#This Row],[Qty A]],"0")</f>
        <v>450000</v>
      </c>
      <c r="I311" s="36">
        <f>IFERROR(INDEX(Katalog!$F$3:$F$12,MATCH(Data[[#This Row],[ItemID A]],Katalog!$C$3:$C$12,0))*Data[[#This Row],[Qty A]],0)</f>
        <v>150000</v>
      </c>
      <c r="J311" t="s">
        <v>62</v>
      </c>
      <c r="K311" t="str">
        <f>IFERROR(INDEX(Katalog!$A$3:$A$12,MATCH(Data[[#This Row],[ItemID B]],Katalog!$C$3:$C$12,0)),"-")</f>
        <v>Pakaian Pria</v>
      </c>
      <c r="L311" t="str">
        <f>IFERROR(INDEX(Katalog!$B$3:$B$12,MATCH(Data[[#This Row],[ItemID B]],Katalog!$C$3:$C$12,0)),"-")</f>
        <v>Celana Pendek</v>
      </c>
      <c r="M311">
        <v>2</v>
      </c>
      <c r="N311">
        <v>4</v>
      </c>
      <c r="O311" s="36">
        <f>IFERROR(INDEX(Katalog!$D$3:$D$12,MATCH(Data[[#This Row],[ItemID B]],Katalog!$C$3:$C$12,0))*Data[[#This Row],[Qty B]],"0")</f>
        <v>360000</v>
      </c>
      <c r="P311" s="36">
        <f>IFERROR(INDEX(Katalog!$F$3:$F$12,MATCH(Data[[#This Row],[ItemID B]],Katalog!$C$3:$C$12,0))*Data[[#This Row],[Qty B]],"0")</f>
        <v>140000</v>
      </c>
      <c r="R311" t="str">
        <f>IFERROR(INDEX(Katalog!$A$3:$A$12,MATCH(Data[[#This Row],[ItemID C]],Katalog!$C$3:$C$12,0)),"-")</f>
        <v>-</v>
      </c>
      <c r="S311" t="str">
        <f>IFERROR(INDEX(Katalog!$B$3:$B$12,MATCH(Data[[#This Row],[ItemID C]],Katalog!$C$3:$C$12,0)),"-")</f>
        <v>-</v>
      </c>
      <c r="V311" s="36" t="str">
        <f>IFERROR(INDEX(Katalog!$D$3:$D$12,MATCH(Data[[#This Row],[ItemID C]],Katalog!$C$3:$C$12,0))*Data[[#This Row],[Qty C]],"0")</f>
        <v>0</v>
      </c>
      <c r="W311" s="36" t="str">
        <f>IFERROR(INDEX(Katalog!$F$3:$F$12,MATCH(Data[[#This Row],[ItemID C]],Katalog!$C$3:$C$12,0))*Data[[#This Row],[Qty C]],"0")</f>
        <v>0</v>
      </c>
      <c r="X311" s="21">
        <f>Data[[#This Row],[Qty A]]+Data[[#This Row],[Qty B]]+Data[[#This Row],[Qty C]]</f>
        <v>5</v>
      </c>
      <c r="Y311" s="22">
        <f>Data[[#This Row],[Harga Barang A]]+Data[[#This Row],[Harga Barang B]]+Data[[#This Row],[Harga Barang C]]</f>
        <v>810000</v>
      </c>
      <c r="Z311" s="35">
        <f>IFERROR(Data[[#This Row],[Total Harga]]-(Data[[#This Row],[Total Harga]]*Data[[#This Row],[Diskon]]),Data[[#This Row],[Total Harga]])</f>
        <v>688500</v>
      </c>
      <c r="AA311" s="35">
        <f>(Data[[#This Row],[Profit A]]+Data[[#This Row],[Profit B]]+Data[[#This Row],[Profit C]])</f>
        <v>290000</v>
      </c>
      <c r="AB311" s="35">
        <f>IFERROR((Data[[#This Row],[Profit non Diskon]]-(Data[[#This Row],[Profit non Diskon]]*Data[[#This Row],[Diskon]])),Data[[#This Row],[Profit non Diskon]])</f>
        <v>246500</v>
      </c>
      <c r="AC311" s="23" t="s">
        <v>32</v>
      </c>
      <c r="AD311" s="37">
        <f>IFERROR(INDEX('Kode Diskon'!$D$3:$D$9,MATCH(Data[[#This Row],[Kode diskon]],'Kode Diskon'!$C$3:$C$9,0)),"-")</f>
        <v>0.15</v>
      </c>
      <c r="AE311" s="23" t="s">
        <v>9</v>
      </c>
      <c r="AF311" s="23" t="s">
        <v>12</v>
      </c>
      <c r="AG311" s="23" t="s">
        <v>80</v>
      </c>
      <c r="AH311" s="24">
        <v>45036</v>
      </c>
      <c r="AI311" s="23" t="str">
        <f>TEXT(Data[[#This Row],[Tanggal terjual]],"dddd")</f>
        <v>Thursday</v>
      </c>
      <c r="AJ311" s="21" t="str">
        <f>TEXT(Data[[#This Row],[Tanggal terjual]],"wwww")</f>
        <v>wwww</v>
      </c>
    </row>
    <row r="312" spans="1:36" x14ac:dyDescent="0.2">
      <c r="A312" s="20">
        <v>311</v>
      </c>
      <c r="B312" s="21" t="str">
        <f>_xlfn.CONCAT("ORD-",INDEX(Helper!$B$2:$B$5,MATCH(Data[[#This Row],[Marketplace]],Helper!$A$2:$A$5,0)),TEXT(Data[[#This Row],[No]],"0000"),"-",TEXT(Data[[#This Row],[Tanggal terjual]],"dd/mm/yy"))</f>
        <v>ORD-SP0311-01/04/23</v>
      </c>
      <c r="C312" t="s">
        <v>62</v>
      </c>
      <c r="D312" t="str">
        <f>IFERROR(INDEX(Katalog!$A$3:$A$12,MATCH(Data[[#This Row],[ItemID A]],Katalog!$C$3:$C$12,0)),"-")</f>
        <v>Pakaian Pria</v>
      </c>
      <c r="E312" t="str">
        <f>IFERROR(INDEX(Katalog!$B$3:$B$12,MATCH(Data[[#This Row],[ItemID A]],Katalog!$C$3:$C$12,0)),"-")</f>
        <v>Celana Pendek</v>
      </c>
      <c r="F312">
        <v>3</v>
      </c>
      <c r="G312">
        <v>2</v>
      </c>
      <c r="H312" s="36">
        <f>IFERROR(INDEX(Katalog!$D$3:$D$12,MATCH(Data[[#This Row],[ItemID A]],Katalog!$C$3:$C$12,0))*Data[[#This Row],[Qty A]],"0")</f>
        <v>540000</v>
      </c>
      <c r="I312" s="36">
        <f>IFERROR(INDEX(Katalog!$F$3:$F$12,MATCH(Data[[#This Row],[ItemID A]],Katalog!$C$3:$C$12,0))*Data[[#This Row],[Qty A]],0)</f>
        <v>210000</v>
      </c>
      <c r="J312" t="s">
        <v>66</v>
      </c>
      <c r="K312" t="str">
        <f>IFERROR(INDEX(Katalog!$A$3:$A$12,MATCH(Data[[#This Row],[ItemID B]],Katalog!$C$3:$C$12,0)),"-")</f>
        <v>Sepatu Pria</v>
      </c>
      <c r="L312" t="str">
        <f>IFERROR(INDEX(Katalog!$B$3:$B$12,MATCH(Data[[#This Row],[ItemID B]],Katalog!$C$3:$C$12,0)),"-")</f>
        <v>Sandal Slip On</v>
      </c>
      <c r="M312">
        <v>2</v>
      </c>
      <c r="N312">
        <v>1</v>
      </c>
      <c r="O312" s="36">
        <f>IFERROR(INDEX(Katalog!$D$3:$D$12,MATCH(Data[[#This Row],[ItemID B]],Katalog!$C$3:$C$12,0))*Data[[#This Row],[Qty B]],"0")</f>
        <v>300000</v>
      </c>
      <c r="P312" s="36">
        <f>IFERROR(INDEX(Katalog!$F$3:$F$12,MATCH(Data[[#This Row],[ItemID B]],Katalog!$C$3:$C$12,0))*Data[[#This Row],[Qty B]],"0")</f>
        <v>120000</v>
      </c>
      <c r="Q312" t="s">
        <v>58</v>
      </c>
      <c r="R312" t="str">
        <f>IFERROR(INDEX(Katalog!$A$3:$A$12,MATCH(Data[[#This Row],[ItemID C]],Katalog!$C$3:$C$12,0)),"-")</f>
        <v>Pakaian Wanita</v>
      </c>
      <c r="S312" t="str">
        <f>IFERROR(INDEX(Katalog!$B$3:$B$12,MATCH(Data[[#This Row],[ItemID C]],Katalog!$C$3:$C$12,0)),"-")</f>
        <v>Dress</v>
      </c>
      <c r="T312">
        <v>2</v>
      </c>
      <c r="U312">
        <v>4</v>
      </c>
      <c r="V312" s="36">
        <f>IFERROR(INDEX(Katalog!$D$3:$D$12,MATCH(Data[[#This Row],[ItemID C]],Katalog!$C$3:$C$12,0))*Data[[#This Row],[Qty C]],"0")</f>
        <v>600000</v>
      </c>
      <c r="W312" s="36">
        <f>IFERROR(INDEX(Katalog!$F$3:$F$12,MATCH(Data[[#This Row],[ItemID C]],Katalog!$C$3:$C$12,0))*Data[[#This Row],[Qty C]],"0")</f>
        <v>200000</v>
      </c>
      <c r="X312" s="21">
        <f>Data[[#This Row],[Qty A]]+Data[[#This Row],[Qty B]]+Data[[#This Row],[Qty C]]</f>
        <v>7</v>
      </c>
      <c r="Y312" s="22">
        <f>Data[[#This Row],[Harga Barang A]]+Data[[#This Row],[Harga Barang B]]+Data[[#This Row],[Harga Barang C]]</f>
        <v>1440000</v>
      </c>
      <c r="Z312" s="35">
        <f>IFERROR(Data[[#This Row],[Total Harga]]-(Data[[#This Row],[Total Harga]]*Data[[#This Row],[Diskon]]),Data[[#This Row],[Total Harga]])</f>
        <v>1296000</v>
      </c>
      <c r="AA312" s="35">
        <f>(Data[[#This Row],[Profit A]]+Data[[#This Row],[Profit B]]+Data[[#This Row],[Profit C]])</f>
        <v>530000</v>
      </c>
      <c r="AB312" s="35">
        <f>IFERROR((Data[[#This Row],[Profit non Diskon]]-(Data[[#This Row],[Profit non Diskon]]*Data[[#This Row],[Diskon]])),Data[[#This Row],[Profit non Diskon]])</f>
        <v>477000</v>
      </c>
      <c r="AC312" s="23" t="s">
        <v>6</v>
      </c>
      <c r="AD312" s="37">
        <f>IFERROR(INDEX('Kode Diskon'!$D$3:$D$9,MATCH(Data[[#This Row],[Kode diskon]],'Kode Diskon'!$C$3:$C$9,0)),"-")</f>
        <v>0.1</v>
      </c>
      <c r="AE312" s="23" t="s">
        <v>29</v>
      </c>
      <c r="AF312" s="23" t="s">
        <v>7</v>
      </c>
      <c r="AG312" s="23" t="s">
        <v>75</v>
      </c>
      <c r="AH312" s="24">
        <v>45017</v>
      </c>
      <c r="AI312" s="23" t="str">
        <f>TEXT(Data[[#This Row],[Tanggal terjual]],"dddd")</f>
        <v>Saturday</v>
      </c>
      <c r="AJ312" s="21" t="str">
        <f>TEXT(Data[[#This Row],[Tanggal terjual]],"wwww")</f>
        <v>wwww</v>
      </c>
    </row>
    <row r="313" spans="1:36" x14ac:dyDescent="0.2">
      <c r="A313" s="20">
        <v>312</v>
      </c>
      <c r="B313" s="21" t="str">
        <f>_xlfn.CONCAT("ORD-",INDEX(Helper!$B$2:$B$5,MATCH(Data[[#This Row],[Marketplace]],Helper!$A$2:$A$5,0)),TEXT(Data[[#This Row],[No]],"0000"),"-",TEXT(Data[[#This Row],[Tanggal terjual]],"dd/mm/yy"))</f>
        <v>ORD-TK0312-26/04/23</v>
      </c>
      <c r="C313" t="s">
        <v>65</v>
      </c>
      <c r="D313" t="str">
        <f>IFERROR(INDEX(Katalog!$A$3:$A$12,MATCH(Data[[#This Row],[ItemID A]],Katalog!$C$3:$C$12,0)),"-")</f>
        <v>Sepatu Pria</v>
      </c>
      <c r="E313" t="str">
        <f>IFERROR(INDEX(Katalog!$B$3:$B$12,MATCH(Data[[#This Row],[ItemID A]],Katalog!$C$3:$C$12,0)),"-")</f>
        <v>Sneakers</v>
      </c>
      <c r="F313">
        <v>2</v>
      </c>
      <c r="G313">
        <v>5</v>
      </c>
      <c r="H313" s="36">
        <f>IFERROR(INDEX(Katalog!$D$3:$D$12,MATCH(Data[[#This Row],[ItemID A]],Katalog!$C$3:$C$12,0))*Data[[#This Row],[Qty A]],"0")</f>
        <v>1000000</v>
      </c>
      <c r="I313" s="36">
        <f>IFERROR(INDEX(Katalog!$F$3:$F$12,MATCH(Data[[#This Row],[ItemID A]],Katalog!$C$3:$C$12,0))*Data[[#This Row],[Qty A]],0)</f>
        <v>400000</v>
      </c>
      <c r="J313" t="s">
        <v>60</v>
      </c>
      <c r="K313" t="str">
        <f>IFERROR(INDEX(Katalog!$A$3:$A$12,MATCH(Data[[#This Row],[ItemID B]],Katalog!$C$3:$C$12,0)),"-")</f>
        <v>Pakaian Wanita</v>
      </c>
      <c r="L313" t="str">
        <f>IFERROR(INDEX(Katalog!$B$3:$B$12,MATCH(Data[[#This Row],[ItemID B]],Katalog!$C$3:$C$12,0)),"-")</f>
        <v>Kaftan</v>
      </c>
      <c r="M313">
        <v>1</v>
      </c>
      <c r="N313">
        <v>3</v>
      </c>
      <c r="O313" s="36">
        <f>IFERROR(INDEX(Katalog!$D$3:$D$12,MATCH(Data[[#This Row],[ItemID B]],Katalog!$C$3:$C$12,0))*Data[[#This Row],[Qty B]],"0")</f>
        <v>250000</v>
      </c>
      <c r="P313" s="36">
        <f>IFERROR(INDEX(Katalog!$F$3:$F$12,MATCH(Data[[#This Row],[ItemID B]],Katalog!$C$3:$C$12,0))*Data[[#This Row],[Qty B]],"0")</f>
        <v>100000</v>
      </c>
      <c r="Q313" t="s">
        <v>66</v>
      </c>
      <c r="R313" t="str">
        <f>IFERROR(INDEX(Katalog!$A$3:$A$12,MATCH(Data[[#This Row],[ItemID C]],Katalog!$C$3:$C$12,0)),"-")</f>
        <v>Sepatu Pria</v>
      </c>
      <c r="S313" t="str">
        <f>IFERROR(INDEX(Katalog!$B$3:$B$12,MATCH(Data[[#This Row],[ItemID C]],Katalog!$C$3:$C$12,0)),"-")</f>
        <v>Sandal Slip On</v>
      </c>
      <c r="T313">
        <v>1</v>
      </c>
      <c r="U313">
        <v>2</v>
      </c>
      <c r="V313" s="36">
        <f>IFERROR(INDEX(Katalog!$D$3:$D$12,MATCH(Data[[#This Row],[ItemID C]],Katalog!$C$3:$C$12,0))*Data[[#This Row],[Qty C]],"0")</f>
        <v>150000</v>
      </c>
      <c r="W313" s="36">
        <f>IFERROR(INDEX(Katalog!$F$3:$F$12,MATCH(Data[[#This Row],[ItemID C]],Katalog!$C$3:$C$12,0))*Data[[#This Row],[Qty C]],"0")</f>
        <v>60000</v>
      </c>
      <c r="X313" s="21">
        <f>Data[[#This Row],[Qty A]]+Data[[#This Row],[Qty B]]+Data[[#This Row],[Qty C]]</f>
        <v>4</v>
      </c>
      <c r="Y313" s="22">
        <f>Data[[#This Row],[Harga Barang A]]+Data[[#This Row],[Harga Barang B]]+Data[[#This Row],[Harga Barang C]]</f>
        <v>1400000</v>
      </c>
      <c r="Z313" s="35">
        <f>IFERROR(Data[[#This Row],[Total Harga]]-(Data[[#This Row],[Total Harga]]*Data[[#This Row],[Diskon]]),Data[[#This Row],[Total Harga]])</f>
        <v>1260000</v>
      </c>
      <c r="AA313" s="35">
        <f>(Data[[#This Row],[Profit A]]+Data[[#This Row],[Profit B]]+Data[[#This Row],[Profit C]])</f>
        <v>560000</v>
      </c>
      <c r="AB313" s="35">
        <f>IFERROR((Data[[#This Row],[Profit non Diskon]]-(Data[[#This Row],[Profit non Diskon]]*Data[[#This Row],[Diskon]])),Data[[#This Row],[Profit non Diskon]])</f>
        <v>504000</v>
      </c>
      <c r="AC313" s="23" t="s">
        <v>31</v>
      </c>
      <c r="AD313" s="37">
        <f>IFERROR(INDEX('Kode Diskon'!$D$3:$D$9,MATCH(Data[[#This Row],[Kode diskon]],'Kode Diskon'!$C$3:$C$9,0)),"-")</f>
        <v>0.1</v>
      </c>
      <c r="AE313" s="23" t="s">
        <v>9</v>
      </c>
      <c r="AF313" s="23" t="s">
        <v>10</v>
      </c>
      <c r="AG313" s="23" t="s">
        <v>75</v>
      </c>
      <c r="AH313" s="24">
        <v>45042</v>
      </c>
      <c r="AI313" s="23" t="str">
        <f>TEXT(Data[[#This Row],[Tanggal terjual]],"dddd")</f>
        <v>Wednesday</v>
      </c>
      <c r="AJ313" s="21" t="str">
        <f>TEXT(Data[[#This Row],[Tanggal terjual]],"wwww")</f>
        <v>wwww</v>
      </c>
    </row>
    <row r="314" spans="1:36" x14ac:dyDescent="0.2">
      <c r="A314" s="20">
        <v>313</v>
      </c>
      <c r="B314" s="21" t="str">
        <f>_xlfn.CONCAT("ORD-",INDEX(Helper!$B$2:$B$5,MATCH(Data[[#This Row],[Marketplace]],Helper!$A$2:$A$5,0)),TEXT(Data[[#This Row],[No]],"0000"),"-",TEXT(Data[[#This Row],[Tanggal terjual]],"dd/mm/yy"))</f>
        <v>ORD-TK0313-19/04/23</v>
      </c>
      <c r="C314" t="s">
        <v>66</v>
      </c>
      <c r="D314" t="str">
        <f>IFERROR(INDEX(Katalog!$A$3:$A$12,MATCH(Data[[#This Row],[ItemID A]],Katalog!$C$3:$C$12,0)),"-")</f>
        <v>Sepatu Pria</v>
      </c>
      <c r="E314" t="str">
        <f>IFERROR(INDEX(Katalog!$B$3:$B$12,MATCH(Data[[#This Row],[ItemID A]],Katalog!$C$3:$C$12,0)),"-")</f>
        <v>Sandal Slip On</v>
      </c>
      <c r="F314">
        <v>4</v>
      </c>
      <c r="G314">
        <v>5</v>
      </c>
      <c r="H314" s="36">
        <f>IFERROR(INDEX(Katalog!$D$3:$D$12,MATCH(Data[[#This Row],[ItemID A]],Katalog!$C$3:$C$12,0))*Data[[#This Row],[Qty A]],"0")</f>
        <v>600000</v>
      </c>
      <c r="I314" s="36">
        <f>IFERROR(INDEX(Katalog!$F$3:$F$12,MATCH(Data[[#This Row],[ItemID A]],Katalog!$C$3:$C$12,0))*Data[[#This Row],[Qty A]],0)</f>
        <v>240000</v>
      </c>
      <c r="K314" t="str">
        <f>IFERROR(INDEX(Katalog!$A$3:$A$12,MATCH(Data[[#This Row],[ItemID B]],Katalog!$C$3:$C$12,0)),"-")</f>
        <v>-</v>
      </c>
      <c r="L314" t="str">
        <f>IFERROR(INDEX(Katalog!$B$3:$B$12,MATCH(Data[[#This Row],[ItemID B]],Katalog!$C$3:$C$12,0)),"-")</f>
        <v>-</v>
      </c>
      <c r="O314" s="36" t="str">
        <f>IFERROR(INDEX(Katalog!$D$3:$D$12,MATCH(Data[[#This Row],[ItemID B]],Katalog!$C$3:$C$12,0))*Data[[#This Row],[Qty B]],"0")</f>
        <v>0</v>
      </c>
      <c r="P314" s="36" t="str">
        <f>IFERROR(INDEX(Katalog!$F$3:$F$12,MATCH(Data[[#This Row],[ItemID B]],Katalog!$C$3:$C$12,0))*Data[[#This Row],[Qty B]],"0")</f>
        <v>0</v>
      </c>
      <c r="R314" t="str">
        <f>IFERROR(INDEX(Katalog!$A$3:$A$12,MATCH(Data[[#This Row],[ItemID C]],Katalog!$C$3:$C$12,0)),"-")</f>
        <v>-</v>
      </c>
      <c r="S314" t="str">
        <f>IFERROR(INDEX(Katalog!$B$3:$B$12,MATCH(Data[[#This Row],[ItemID C]],Katalog!$C$3:$C$12,0)),"-")</f>
        <v>-</v>
      </c>
      <c r="V314" s="36" t="str">
        <f>IFERROR(INDEX(Katalog!$D$3:$D$12,MATCH(Data[[#This Row],[ItemID C]],Katalog!$C$3:$C$12,0))*Data[[#This Row],[Qty C]],"0")</f>
        <v>0</v>
      </c>
      <c r="W314" s="36" t="str">
        <f>IFERROR(INDEX(Katalog!$F$3:$F$12,MATCH(Data[[#This Row],[ItemID C]],Katalog!$C$3:$C$12,0))*Data[[#This Row],[Qty C]],"0")</f>
        <v>0</v>
      </c>
      <c r="X314" s="21">
        <f>Data[[#This Row],[Qty A]]+Data[[#This Row],[Qty B]]+Data[[#This Row],[Qty C]]</f>
        <v>4</v>
      </c>
      <c r="Y314" s="22">
        <f>Data[[#This Row],[Harga Barang A]]+Data[[#This Row],[Harga Barang B]]+Data[[#This Row],[Harga Barang C]]</f>
        <v>600000</v>
      </c>
      <c r="Z314" s="35">
        <f>IFERROR(Data[[#This Row],[Total Harga]]-(Data[[#This Row],[Total Harga]]*Data[[#This Row],[Diskon]]),Data[[#This Row],[Total Harga]])</f>
        <v>540000</v>
      </c>
      <c r="AA314" s="35">
        <f>(Data[[#This Row],[Profit A]]+Data[[#This Row],[Profit B]]+Data[[#This Row],[Profit C]])</f>
        <v>240000</v>
      </c>
      <c r="AB314" s="35">
        <f>IFERROR((Data[[#This Row],[Profit non Diskon]]-(Data[[#This Row],[Profit non Diskon]]*Data[[#This Row],[Diskon]])),Data[[#This Row],[Profit non Diskon]])</f>
        <v>216000</v>
      </c>
      <c r="AC314" s="23" t="s">
        <v>31</v>
      </c>
      <c r="AD314" s="37">
        <f>IFERROR(INDEX('Kode Diskon'!$D$3:$D$9,MATCH(Data[[#This Row],[Kode diskon]],'Kode Diskon'!$C$3:$C$9,0)),"-")</f>
        <v>0.1</v>
      </c>
      <c r="AE314" s="23" t="s">
        <v>9</v>
      </c>
      <c r="AF314" s="23" t="s">
        <v>10</v>
      </c>
      <c r="AG314" s="23" t="s">
        <v>79</v>
      </c>
      <c r="AH314" s="24">
        <v>45035</v>
      </c>
      <c r="AI314" s="23" t="str">
        <f>TEXT(Data[[#This Row],[Tanggal terjual]],"dddd")</f>
        <v>Wednesday</v>
      </c>
      <c r="AJ314" s="21" t="str">
        <f>TEXT(Data[[#This Row],[Tanggal terjual]],"wwww")</f>
        <v>wwww</v>
      </c>
    </row>
    <row r="315" spans="1:36" x14ac:dyDescent="0.2">
      <c r="A315" s="20">
        <v>314</v>
      </c>
      <c r="B315" s="21" t="str">
        <f>_xlfn.CONCAT("ORD-",INDEX(Helper!$B$2:$B$5,MATCH(Data[[#This Row],[Marketplace]],Helper!$A$2:$A$5,0)),TEXT(Data[[#This Row],[No]],"0000"),"-",TEXT(Data[[#This Row],[Tanggal terjual]],"dd/mm/yy"))</f>
        <v>ORD-SP0314-06/04/23</v>
      </c>
      <c r="C315" t="s">
        <v>59</v>
      </c>
      <c r="D315" t="str">
        <f>IFERROR(INDEX(Katalog!$A$3:$A$12,MATCH(Data[[#This Row],[ItemID A]],Katalog!$C$3:$C$12,0)),"-")</f>
        <v>Pakaian Wanita</v>
      </c>
      <c r="E315" t="str">
        <f>IFERROR(INDEX(Katalog!$B$3:$B$12,MATCH(Data[[#This Row],[ItemID A]],Katalog!$C$3:$C$12,0)),"-")</f>
        <v>Blouse</v>
      </c>
      <c r="F315">
        <v>3</v>
      </c>
      <c r="G315">
        <v>2</v>
      </c>
      <c r="H315" s="36">
        <f>IFERROR(INDEX(Katalog!$D$3:$D$12,MATCH(Data[[#This Row],[ItemID A]],Katalog!$C$3:$C$12,0))*Data[[#This Row],[Qty A]],"0")</f>
        <v>450000</v>
      </c>
      <c r="I315" s="36">
        <f>IFERROR(INDEX(Katalog!$F$3:$F$12,MATCH(Data[[#This Row],[ItemID A]],Katalog!$C$3:$C$12,0))*Data[[#This Row],[Qty A]],0)</f>
        <v>150000</v>
      </c>
      <c r="K315" t="str">
        <f>IFERROR(INDEX(Katalog!$A$3:$A$12,MATCH(Data[[#This Row],[ItemID B]],Katalog!$C$3:$C$12,0)),"-")</f>
        <v>-</v>
      </c>
      <c r="L315" t="str">
        <f>IFERROR(INDEX(Katalog!$B$3:$B$12,MATCH(Data[[#This Row],[ItemID B]],Katalog!$C$3:$C$12,0)),"-")</f>
        <v>-</v>
      </c>
      <c r="O315" s="36" t="str">
        <f>IFERROR(INDEX(Katalog!$D$3:$D$12,MATCH(Data[[#This Row],[ItemID B]],Katalog!$C$3:$C$12,0))*Data[[#This Row],[Qty B]],"0")</f>
        <v>0</v>
      </c>
      <c r="P315" s="36" t="str">
        <f>IFERROR(INDEX(Katalog!$F$3:$F$12,MATCH(Data[[#This Row],[ItemID B]],Katalog!$C$3:$C$12,0))*Data[[#This Row],[Qty B]],"0")</f>
        <v>0</v>
      </c>
      <c r="R315" t="str">
        <f>IFERROR(INDEX(Katalog!$A$3:$A$12,MATCH(Data[[#This Row],[ItemID C]],Katalog!$C$3:$C$12,0)),"-")</f>
        <v>-</v>
      </c>
      <c r="S315" t="str">
        <f>IFERROR(INDEX(Katalog!$B$3:$B$12,MATCH(Data[[#This Row],[ItemID C]],Katalog!$C$3:$C$12,0)),"-")</f>
        <v>-</v>
      </c>
      <c r="V315" s="36" t="str">
        <f>IFERROR(INDEX(Katalog!$D$3:$D$12,MATCH(Data[[#This Row],[ItemID C]],Katalog!$C$3:$C$12,0))*Data[[#This Row],[Qty C]],"0")</f>
        <v>0</v>
      </c>
      <c r="W315" s="36" t="str">
        <f>IFERROR(INDEX(Katalog!$F$3:$F$12,MATCH(Data[[#This Row],[ItemID C]],Katalog!$C$3:$C$12,0))*Data[[#This Row],[Qty C]],"0")</f>
        <v>0</v>
      </c>
      <c r="X315" s="21">
        <f>Data[[#This Row],[Qty A]]+Data[[#This Row],[Qty B]]+Data[[#This Row],[Qty C]]</f>
        <v>3</v>
      </c>
      <c r="Y315" s="22">
        <f>Data[[#This Row],[Harga Barang A]]+Data[[#This Row],[Harga Barang B]]+Data[[#This Row],[Harga Barang C]]</f>
        <v>450000</v>
      </c>
      <c r="Z315" s="35">
        <f>IFERROR(Data[[#This Row],[Total Harga]]-(Data[[#This Row],[Total Harga]]*Data[[#This Row],[Diskon]]),Data[[#This Row],[Total Harga]])</f>
        <v>405000</v>
      </c>
      <c r="AA315" s="35">
        <f>(Data[[#This Row],[Profit A]]+Data[[#This Row],[Profit B]]+Data[[#This Row],[Profit C]])</f>
        <v>150000</v>
      </c>
      <c r="AB315" s="35">
        <f>IFERROR((Data[[#This Row],[Profit non Diskon]]-(Data[[#This Row],[Profit non Diskon]]*Data[[#This Row],[Diskon]])),Data[[#This Row],[Profit non Diskon]])</f>
        <v>135000</v>
      </c>
      <c r="AC315" s="23" t="s">
        <v>6</v>
      </c>
      <c r="AD315" s="37">
        <f>IFERROR(INDEX('Kode Diskon'!$D$3:$D$9,MATCH(Data[[#This Row],[Kode diskon]],'Kode Diskon'!$C$3:$C$9,0)),"-")</f>
        <v>0.1</v>
      </c>
      <c r="AE315" s="23" t="s">
        <v>29</v>
      </c>
      <c r="AF315" s="23" t="s">
        <v>7</v>
      </c>
      <c r="AG315" s="23" t="s">
        <v>80</v>
      </c>
      <c r="AH315" s="24">
        <v>45022</v>
      </c>
      <c r="AI315" s="23" t="str">
        <f>TEXT(Data[[#This Row],[Tanggal terjual]],"dddd")</f>
        <v>Thursday</v>
      </c>
      <c r="AJ315" s="21" t="str">
        <f>TEXT(Data[[#This Row],[Tanggal terjual]],"wwww")</f>
        <v>wwww</v>
      </c>
    </row>
    <row r="316" spans="1:36" x14ac:dyDescent="0.2">
      <c r="A316" s="20">
        <v>315</v>
      </c>
      <c r="B316" s="21" t="str">
        <f>_xlfn.CONCAT("ORD-",INDEX(Helper!$B$2:$B$5,MATCH(Data[[#This Row],[Marketplace]],Helper!$A$2:$A$5,0)),TEXT(Data[[#This Row],[No]],"0000"),"-",TEXT(Data[[#This Row],[Tanggal terjual]],"dd/mm/yy"))</f>
        <v>ORD-BB0315-01/04/23</v>
      </c>
      <c r="C316" t="s">
        <v>66</v>
      </c>
      <c r="D316" t="str">
        <f>IFERROR(INDEX(Katalog!$A$3:$A$12,MATCH(Data[[#This Row],[ItemID A]],Katalog!$C$3:$C$12,0)),"-")</f>
        <v>Sepatu Pria</v>
      </c>
      <c r="E316" t="str">
        <f>IFERROR(INDEX(Katalog!$B$3:$B$12,MATCH(Data[[#This Row],[ItemID A]],Katalog!$C$3:$C$12,0)),"-")</f>
        <v>Sandal Slip On</v>
      </c>
      <c r="F316">
        <v>1</v>
      </c>
      <c r="G316">
        <v>5</v>
      </c>
      <c r="H316" s="36">
        <f>IFERROR(INDEX(Katalog!$D$3:$D$12,MATCH(Data[[#This Row],[ItemID A]],Katalog!$C$3:$C$12,0))*Data[[#This Row],[Qty A]],"0")</f>
        <v>150000</v>
      </c>
      <c r="I316" s="36">
        <f>IFERROR(INDEX(Katalog!$F$3:$F$12,MATCH(Data[[#This Row],[ItemID A]],Katalog!$C$3:$C$12,0))*Data[[#This Row],[Qty A]],0)</f>
        <v>60000</v>
      </c>
      <c r="J316" t="s">
        <v>61</v>
      </c>
      <c r="K316" t="str">
        <f>IFERROR(INDEX(Katalog!$A$3:$A$12,MATCH(Data[[#This Row],[ItemID B]],Katalog!$C$3:$C$12,0)),"-")</f>
        <v>Pakaian Pria</v>
      </c>
      <c r="L316" t="str">
        <f>IFERROR(INDEX(Katalog!$B$3:$B$12,MATCH(Data[[#This Row],[ItemID B]],Katalog!$C$3:$C$12,0)),"-")</f>
        <v>Kaos Polo</v>
      </c>
      <c r="M316">
        <v>1</v>
      </c>
      <c r="N316">
        <v>1</v>
      </c>
      <c r="O316" s="36">
        <f>IFERROR(INDEX(Katalog!$D$3:$D$12,MATCH(Data[[#This Row],[ItemID B]],Katalog!$C$3:$C$12,0))*Data[[#This Row],[Qty B]],"0")</f>
        <v>200000</v>
      </c>
      <c r="P316" s="36">
        <f>IFERROR(INDEX(Katalog!$F$3:$F$12,MATCH(Data[[#This Row],[ItemID B]],Katalog!$C$3:$C$12,0))*Data[[#This Row],[Qty B]],"0")</f>
        <v>80000</v>
      </c>
      <c r="Q316" t="s">
        <v>58</v>
      </c>
      <c r="R316" t="str">
        <f>IFERROR(INDEX(Katalog!$A$3:$A$12,MATCH(Data[[#This Row],[ItemID C]],Katalog!$C$3:$C$12,0)),"-")</f>
        <v>Pakaian Wanita</v>
      </c>
      <c r="S316" t="str">
        <f>IFERROR(INDEX(Katalog!$B$3:$B$12,MATCH(Data[[#This Row],[ItemID C]],Katalog!$C$3:$C$12,0)),"-")</f>
        <v>Dress</v>
      </c>
      <c r="T316">
        <v>1</v>
      </c>
      <c r="U316">
        <v>1</v>
      </c>
      <c r="V316" s="36">
        <f>IFERROR(INDEX(Katalog!$D$3:$D$12,MATCH(Data[[#This Row],[ItemID C]],Katalog!$C$3:$C$12,0))*Data[[#This Row],[Qty C]],"0")</f>
        <v>300000</v>
      </c>
      <c r="W316" s="36">
        <f>IFERROR(INDEX(Katalog!$F$3:$F$12,MATCH(Data[[#This Row],[ItemID C]],Katalog!$C$3:$C$12,0))*Data[[#This Row],[Qty C]],"0")</f>
        <v>100000</v>
      </c>
      <c r="X316" s="21">
        <f>Data[[#This Row],[Qty A]]+Data[[#This Row],[Qty B]]+Data[[#This Row],[Qty C]]</f>
        <v>3</v>
      </c>
      <c r="Y316" s="22">
        <f>Data[[#This Row],[Harga Barang A]]+Data[[#This Row],[Harga Barang B]]+Data[[#This Row],[Harga Barang C]]</f>
        <v>650000</v>
      </c>
      <c r="Z316" s="35">
        <f>IFERROR(Data[[#This Row],[Total Harga]]-(Data[[#This Row],[Total Harga]]*Data[[#This Row],[Diskon]]),Data[[#This Row],[Total Harga]])</f>
        <v>552500</v>
      </c>
      <c r="AA316" s="35">
        <f>(Data[[#This Row],[Profit A]]+Data[[#This Row],[Profit B]]+Data[[#This Row],[Profit C]])</f>
        <v>240000</v>
      </c>
      <c r="AB316" s="35">
        <f>IFERROR((Data[[#This Row],[Profit non Diskon]]-(Data[[#This Row],[Profit non Diskon]]*Data[[#This Row],[Diskon]])),Data[[#This Row],[Profit non Diskon]])</f>
        <v>204000</v>
      </c>
      <c r="AC316" s="23" t="s">
        <v>28</v>
      </c>
      <c r="AD316" s="37">
        <f>IFERROR(INDEX('Kode Diskon'!$D$3:$D$9,MATCH(Data[[#This Row],[Kode diskon]],'Kode Diskon'!$C$3:$C$9,0)),"-")</f>
        <v>0.15</v>
      </c>
      <c r="AE316" s="23" t="s">
        <v>29</v>
      </c>
      <c r="AF316" s="23" t="s">
        <v>14</v>
      </c>
      <c r="AG316" s="23" t="s">
        <v>77</v>
      </c>
      <c r="AH316" s="24">
        <v>45017</v>
      </c>
      <c r="AI316" s="23" t="str">
        <f>TEXT(Data[[#This Row],[Tanggal terjual]],"dddd")</f>
        <v>Saturday</v>
      </c>
      <c r="AJ316" s="21" t="str">
        <f>TEXT(Data[[#This Row],[Tanggal terjual]],"wwww")</f>
        <v>wwww</v>
      </c>
    </row>
    <row r="317" spans="1:36" x14ac:dyDescent="0.2">
      <c r="A317" s="20">
        <v>316</v>
      </c>
      <c r="B317" s="21" t="str">
        <f>_xlfn.CONCAT("ORD-",INDEX(Helper!$B$2:$B$5,MATCH(Data[[#This Row],[Marketplace]],Helper!$A$2:$A$5,0)),TEXT(Data[[#This Row],[No]],"0000"),"-",TEXT(Data[[#This Row],[Tanggal terjual]],"dd/mm/yy"))</f>
        <v>ORD-BB0316-06/04/23</v>
      </c>
      <c r="C317" t="s">
        <v>59</v>
      </c>
      <c r="D317" t="str">
        <f>IFERROR(INDEX(Katalog!$A$3:$A$12,MATCH(Data[[#This Row],[ItemID A]],Katalog!$C$3:$C$12,0)),"-")</f>
        <v>Pakaian Wanita</v>
      </c>
      <c r="E317" t="str">
        <f>IFERROR(INDEX(Katalog!$B$3:$B$12,MATCH(Data[[#This Row],[ItemID A]],Katalog!$C$3:$C$12,0)),"-")</f>
        <v>Blouse</v>
      </c>
      <c r="F317">
        <v>1</v>
      </c>
      <c r="G317">
        <v>1</v>
      </c>
      <c r="H317" s="36">
        <f>IFERROR(INDEX(Katalog!$D$3:$D$12,MATCH(Data[[#This Row],[ItemID A]],Katalog!$C$3:$C$12,0))*Data[[#This Row],[Qty A]],"0")</f>
        <v>150000</v>
      </c>
      <c r="I317" s="36">
        <f>IFERROR(INDEX(Katalog!$F$3:$F$12,MATCH(Data[[#This Row],[ItemID A]],Katalog!$C$3:$C$12,0))*Data[[#This Row],[Qty A]],0)</f>
        <v>50000</v>
      </c>
      <c r="J317" t="s">
        <v>66</v>
      </c>
      <c r="K317" t="str">
        <f>IFERROR(INDEX(Katalog!$A$3:$A$12,MATCH(Data[[#This Row],[ItemID B]],Katalog!$C$3:$C$12,0)),"-")</f>
        <v>Sepatu Pria</v>
      </c>
      <c r="L317" t="str">
        <f>IFERROR(INDEX(Katalog!$B$3:$B$12,MATCH(Data[[#This Row],[ItemID B]],Katalog!$C$3:$C$12,0)),"-")</f>
        <v>Sandal Slip On</v>
      </c>
      <c r="M317">
        <v>1</v>
      </c>
      <c r="N317">
        <v>5</v>
      </c>
      <c r="O317" s="36">
        <f>IFERROR(INDEX(Katalog!$D$3:$D$12,MATCH(Data[[#This Row],[ItemID B]],Katalog!$C$3:$C$12,0))*Data[[#This Row],[Qty B]],"0")</f>
        <v>150000</v>
      </c>
      <c r="P317" s="36">
        <f>IFERROR(INDEX(Katalog!$F$3:$F$12,MATCH(Data[[#This Row],[ItemID B]],Katalog!$C$3:$C$12,0))*Data[[#This Row],[Qty B]],"0")</f>
        <v>60000</v>
      </c>
      <c r="Q317" t="s">
        <v>61</v>
      </c>
      <c r="R317" t="str">
        <f>IFERROR(INDEX(Katalog!$A$3:$A$12,MATCH(Data[[#This Row],[ItemID C]],Katalog!$C$3:$C$12,0)),"-")</f>
        <v>Pakaian Pria</v>
      </c>
      <c r="S317" t="str">
        <f>IFERROR(INDEX(Katalog!$B$3:$B$12,MATCH(Data[[#This Row],[ItemID C]],Katalog!$C$3:$C$12,0)),"-")</f>
        <v>Kaos Polo</v>
      </c>
      <c r="T317">
        <v>1</v>
      </c>
      <c r="U317">
        <v>3</v>
      </c>
      <c r="V317" s="36">
        <f>IFERROR(INDEX(Katalog!$D$3:$D$12,MATCH(Data[[#This Row],[ItemID C]],Katalog!$C$3:$C$12,0))*Data[[#This Row],[Qty C]],"0")</f>
        <v>200000</v>
      </c>
      <c r="W317" s="36">
        <f>IFERROR(INDEX(Katalog!$F$3:$F$12,MATCH(Data[[#This Row],[ItemID C]],Katalog!$C$3:$C$12,0))*Data[[#This Row],[Qty C]],"0")</f>
        <v>80000</v>
      </c>
      <c r="X317" s="21">
        <f>Data[[#This Row],[Qty A]]+Data[[#This Row],[Qty B]]+Data[[#This Row],[Qty C]]</f>
        <v>3</v>
      </c>
      <c r="Y317" s="22">
        <f>Data[[#This Row],[Harga Barang A]]+Data[[#This Row],[Harga Barang B]]+Data[[#This Row],[Harga Barang C]]</f>
        <v>500000</v>
      </c>
      <c r="Z317" s="35">
        <f>IFERROR(Data[[#This Row],[Total Harga]]-(Data[[#This Row],[Total Harga]]*Data[[#This Row],[Diskon]]),Data[[#This Row],[Total Harga]])</f>
        <v>425000</v>
      </c>
      <c r="AA317" s="35">
        <f>(Data[[#This Row],[Profit A]]+Data[[#This Row],[Profit B]]+Data[[#This Row],[Profit C]])</f>
        <v>190000</v>
      </c>
      <c r="AB317" s="35">
        <f>IFERROR((Data[[#This Row],[Profit non Diskon]]-(Data[[#This Row],[Profit non Diskon]]*Data[[#This Row],[Diskon]])),Data[[#This Row],[Profit non Diskon]])</f>
        <v>161500</v>
      </c>
      <c r="AC317" s="23" t="s">
        <v>28</v>
      </c>
      <c r="AD317" s="37">
        <f>IFERROR(INDEX('Kode Diskon'!$D$3:$D$9,MATCH(Data[[#This Row],[Kode diskon]],'Kode Diskon'!$C$3:$C$9,0)),"-")</f>
        <v>0.15</v>
      </c>
      <c r="AE317" s="23" t="s">
        <v>29</v>
      </c>
      <c r="AF317" s="23" t="s">
        <v>14</v>
      </c>
      <c r="AG317" s="23" t="s">
        <v>80</v>
      </c>
      <c r="AH317" s="24">
        <v>45022</v>
      </c>
      <c r="AI317" s="23" t="str">
        <f>TEXT(Data[[#This Row],[Tanggal terjual]],"dddd")</f>
        <v>Thursday</v>
      </c>
      <c r="AJ317" s="21" t="str">
        <f>TEXT(Data[[#This Row],[Tanggal terjual]],"wwww")</f>
        <v>wwww</v>
      </c>
    </row>
    <row r="318" spans="1:36" x14ac:dyDescent="0.2">
      <c r="A318" s="20">
        <v>317</v>
      </c>
      <c r="B318" s="21" t="str">
        <f>_xlfn.CONCAT("ORD-",INDEX(Helper!$B$2:$B$5,MATCH(Data[[#This Row],[Marketplace]],Helper!$A$2:$A$5,0)),TEXT(Data[[#This Row],[No]],"0000"),"-",TEXT(Data[[#This Row],[Tanggal terjual]],"dd/mm/yy"))</f>
        <v>ORD-SP0317-16/04/23</v>
      </c>
      <c r="C318" t="s">
        <v>61</v>
      </c>
      <c r="D318" t="str">
        <f>IFERROR(INDEX(Katalog!$A$3:$A$12,MATCH(Data[[#This Row],[ItemID A]],Katalog!$C$3:$C$12,0)),"-")</f>
        <v>Pakaian Pria</v>
      </c>
      <c r="E318" t="str">
        <f>IFERROR(INDEX(Katalog!$B$3:$B$12,MATCH(Data[[#This Row],[ItemID A]],Katalog!$C$3:$C$12,0)),"-")</f>
        <v>Kaos Polo</v>
      </c>
      <c r="F318">
        <v>6</v>
      </c>
      <c r="G318">
        <v>1</v>
      </c>
      <c r="H318" s="36">
        <f>IFERROR(INDEX(Katalog!$D$3:$D$12,MATCH(Data[[#This Row],[ItemID A]],Katalog!$C$3:$C$12,0))*Data[[#This Row],[Qty A]],"0")</f>
        <v>1200000</v>
      </c>
      <c r="I318" s="36">
        <f>IFERROR(INDEX(Katalog!$F$3:$F$12,MATCH(Data[[#This Row],[ItemID A]],Katalog!$C$3:$C$12,0))*Data[[#This Row],[Qty A]],0)</f>
        <v>480000</v>
      </c>
      <c r="K318" t="str">
        <f>IFERROR(INDEX(Katalog!$A$3:$A$12,MATCH(Data[[#This Row],[ItemID B]],Katalog!$C$3:$C$12,0)),"-")</f>
        <v>-</v>
      </c>
      <c r="L318" t="str">
        <f>IFERROR(INDEX(Katalog!$B$3:$B$12,MATCH(Data[[#This Row],[ItemID B]],Katalog!$C$3:$C$12,0)),"-")</f>
        <v>-</v>
      </c>
      <c r="O318" s="36" t="str">
        <f>IFERROR(INDEX(Katalog!$D$3:$D$12,MATCH(Data[[#This Row],[ItemID B]],Katalog!$C$3:$C$12,0))*Data[[#This Row],[Qty B]],"0")</f>
        <v>0</v>
      </c>
      <c r="P318" s="36" t="str">
        <f>IFERROR(INDEX(Katalog!$F$3:$F$12,MATCH(Data[[#This Row],[ItemID B]],Katalog!$C$3:$C$12,0))*Data[[#This Row],[Qty B]],"0")</f>
        <v>0</v>
      </c>
      <c r="R318" t="str">
        <f>IFERROR(INDEX(Katalog!$A$3:$A$12,MATCH(Data[[#This Row],[ItemID C]],Katalog!$C$3:$C$12,0)),"-")</f>
        <v>-</v>
      </c>
      <c r="S318" t="str">
        <f>IFERROR(INDEX(Katalog!$B$3:$B$12,MATCH(Data[[#This Row],[ItemID C]],Katalog!$C$3:$C$12,0)),"-")</f>
        <v>-</v>
      </c>
      <c r="V318" s="36" t="str">
        <f>IFERROR(INDEX(Katalog!$D$3:$D$12,MATCH(Data[[#This Row],[ItemID C]],Katalog!$C$3:$C$12,0))*Data[[#This Row],[Qty C]],"0")</f>
        <v>0</v>
      </c>
      <c r="W318" s="36" t="str">
        <f>IFERROR(INDEX(Katalog!$F$3:$F$12,MATCH(Data[[#This Row],[ItemID C]],Katalog!$C$3:$C$12,0))*Data[[#This Row],[Qty C]],"0")</f>
        <v>0</v>
      </c>
      <c r="X318" s="21">
        <f>Data[[#This Row],[Qty A]]+Data[[#This Row],[Qty B]]+Data[[#This Row],[Qty C]]</f>
        <v>6</v>
      </c>
      <c r="Y318" s="22">
        <f>Data[[#This Row],[Harga Barang A]]+Data[[#This Row],[Harga Barang B]]+Data[[#This Row],[Harga Barang C]]</f>
        <v>1200000</v>
      </c>
      <c r="Z318" s="35">
        <f>IFERROR(Data[[#This Row],[Total Harga]]-(Data[[#This Row],[Total Harga]]*Data[[#This Row],[Diskon]]),Data[[#This Row],[Total Harga]])</f>
        <v>960000</v>
      </c>
      <c r="AA318" s="35">
        <f>(Data[[#This Row],[Profit A]]+Data[[#This Row],[Profit B]]+Data[[#This Row],[Profit C]])</f>
        <v>480000</v>
      </c>
      <c r="AB318" s="35">
        <f>IFERROR((Data[[#This Row],[Profit non Diskon]]-(Data[[#This Row],[Profit non Diskon]]*Data[[#This Row],[Diskon]])),Data[[#This Row],[Profit non Diskon]])</f>
        <v>384000</v>
      </c>
      <c r="AC318" s="23" t="s">
        <v>8</v>
      </c>
      <c r="AD318" s="37">
        <f>IFERROR(INDEX('Kode Diskon'!$D$3:$D$9,MATCH(Data[[#This Row],[Kode diskon]],'Kode Diskon'!$C$3:$C$9,0)),"-")</f>
        <v>0.2</v>
      </c>
      <c r="AE318" s="23" t="s">
        <v>9</v>
      </c>
      <c r="AF318" s="23" t="s">
        <v>7</v>
      </c>
      <c r="AG318" s="23" t="s">
        <v>79</v>
      </c>
      <c r="AH318" s="24">
        <v>45032</v>
      </c>
      <c r="AI318" s="23" t="str">
        <f>TEXT(Data[[#This Row],[Tanggal terjual]],"dddd")</f>
        <v>Sunday</v>
      </c>
      <c r="AJ318" s="21" t="str">
        <f>TEXT(Data[[#This Row],[Tanggal terjual]],"wwww")</f>
        <v>wwww</v>
      </c>
    </row>
    <row r="319" spans="1:36" x14ac:dyDescent="0.2">
      <c r="A319" s="20">
        <v>318</v>
      </c>
      <c r="B319" s="21" t="str">
        <f>_xlfn.CONCAT("ORD-",INDEX(Helper!$B$2:$B$5,MATCH(Data[[#This Row],[Marketplace]],Helper!$A$2:$A$5,0)),TEXT(Data[[#This Row],[No]],"0000"),"-",TEXT(Data[[#This Row],[Tanggal terjual]],"dd/mm/yy"))</f>
        <v>ORD-BB0318-06/04/23</v>
      </c>
      <c r="C319" t="s">
        <v>63</v>
      </c>
      <c r="D319" t="str">
        <f>IFERROR(INDEX(Katalog!$A$3:$A$12,MATCH(Data[[#This Row],[ItemID A]],Katalog!$C$3:$C$12,0)),"-")</f>
        <v>Pakaian Pria</v>
      </c>
      <c r="E319" t="str">
        <f>IFERROR(INDEX(Katalog!$B$3:$B$12,MATCH(Data[[#This Row],[ItemID A]],Katalog!$C$3:$C$12,0)),"-")</f>
        <v>Jaket Jeans</v>
      </c>
      <c r="F319">
        <v>3</v>
      </c>
      <c r="G319">
        <v>3</v>
      </c>
      <c r="H319" s="36">
        <f>IFERROR(INDEX(Katalog!$D$3:$D$12,MATCH(Data[[#This Row],[ItemID A]],Katalog!$C$3:$C$12,0))*Data[[#This Row],[Qty A]],"0")</f>
        <v>1200000</v>
      </c>
      <c r="I319" s="36">
        <f>IFERROR(INDEX(Katalog!$F$3:$F$12,MATCH(Data[[#This Row],[ItemID A]],Katalog!$C$3:$C$12,0))*Data[[#This Row],[Qty A]],0)</f>
        <v>450000</v>
      </c>
      <c r="J319" t="s">
        <v>67</v>
      </c>
      <c r="K319" t="str">
        <f>IFERROR(INDEX(Katalog!$A$3:$A$12,MATCH(Data[[#This Row],[ItemID B]],Katalog!$C$3:$C$12,0)),"-")</f>
        <v>Sepatu Wanita</v>
      </c>
      <c r="L319" t="str">
        <f>IFERROR(INDEX(Katalog!$B$3:$B$12,MATCH(Data[[#This Row],[ItemID B]],Katalog!$C$3:$C$12,0)),"-")</f>
        <v>Flat Shoes</v>
      </c>
      <c r="M319">
        <v>2</v>
      </c>
      <c r="N319">
        <v>3</v>
      </c>
      <c r="O319" s="36">
        <f>IFERROR(INDEX(Katalog!$D$3:$D$12,MATCH(Data[[#This Row],[ItemID B]],Katalog!$C$3:$C$12,0))*Data[[#This Row],[Qty B]],"0")</f>
        <v>500000</v>
      </c>
      <c r="P319" s="36">
        <f>IFERROR(INDEX(Katalog!$F$3:$F$12,MATCH(Data[[#This Row],[ItemID B]],Katalog!$C$3:$C$12,0))*Data[[#This Row],[Qty B]],"0")</f>
        <v>200000</v>
      </c>
      <c r="Q319" t="s">
        <v>61</v>
      </c>
      <c r="R319" t="str">
        <f>IFERROR(INDEX(Katalog!$A$3:$A$12,MATCH(Data[[#This Row],[ItemID C]],Katalog!$C$3:$C$12,0)),"-")</f>
        <v>Pakaian Pria</v>
      </c>
      <c r="S319" t="str">
        <f>IFERROR(INDEX(Katalog!$B$3:$B$12,MATCH(Data[[#This Row],[ItemID C]],Katalog!$C$3:$C$12,0)),"-")</f>
        <v>Kaos Polo</v>
      </c>
      <c r="T319">
        <v>1</v>
      </c>
      <c r="U319">
        <v>5</v>
      </c>
      <c r="V319" s="36">
        <f>IFERROR(INDEX(Katalog!$D$3:$D$12,MATCH(Data[[#This Row],[ItemID C]],Katalog!$C$3:$C$12,0))*Data[[#This Row],[Qty C]],"0")</f>
        <v>200000</v>
      </c>
      <c r="W319" s="36">
        <f>IFERROR(INDEX(Katalog!$F$3:$F$12,MATCH(Data[[#This Row],[ItemID C]],Katalog!$C$3:$C$12,0))*Data[[#This Row],[Qty C]],"0")</f>
        <v>80000</v>
      </c>
      <c r="X319" s="21">
        <f>Data[[#This Row],[Qty A]]+Data[[#This Row],[Qty B]]+Data[[#This Row],[Qty C]]</f>
        <v>6</v>
      </c>
      <c r="Y319" s="22">
        <f>Data[[#This Row],[Harga Barang A]]+Data[[#This Row],[Harga Barang B]]+Data[[#This Row],[Harga Barang C]]</f>
        <v>1900000</v>
      </c>
      <c r="Z319" s="35">
        <f>IFERROR(Data[[#This Row],[Total Harga]]-(Data[[#This Row],[Total Harga]]*Data[[#This Row],[Diskon]]),Data[[#This Row],[Total Harga]])</f>
        <v>1615000</v>
      </c>
      <c r="AA319" s="35">
        <f>(Data[[#This Row],[Profit A]]+Data[[#This Row],[Profit B]]+Data[[#This Row],[Profit C]])</f>
        <v>730000</v>
      </c>
      <c r="AB319" s="35">
        <f>IFERROR((Data[[#This Row],[Profit non Diskon]]-(Data[[#This Row],[Profit non Diskon]]*Data[[#This Row],[Diskon]])),Data[[#This Row],[Profit non Diskon]])</f>
        <v>620500</v>
      </c>
      <c r="AC319" s="23" t="s">
        <v>28</v>
      </c>
      <c r="AD319" s="37">
        <f>IFERROR(INDEX('Kode Diskon'!$D$3:$D$9,MATCH(Data[[#This Row],[Kode diskon]],'Kode Diskon'!$C$3:$C$9,0)),"-")</f>
        <v>0.15</v>
      </c>
      <c r="AE319" s="23" t="s">
        <v>29</v>
      </c>
      <c r="AF319" s="23" t="s">
        <v>14</v>
      </c>
      <c r="AG319" s="23" t="s">
        <v>79</v>
      </c>
      <c r="AH319" s="24">
        <v>45022</v>
      </c>
      <c r="AI319" s="23" t="str">
        <f>TEXT(Data[[#This Row],[Tanggal terjual]],"dddd")</f>
        <v>Thursday</v>
      </c>
      <c r="AJ319" s="21" t="str">
        <f>TEXT(Data[[#This Row],[Tanggal terjual]],"wwww")</f>
        <v>wwww</v>
      </c>
    </row>
    <row r="320" spans="1:36" x14ac:dyDescent="0.2">
      <c r="A320" s="20">
        <v>319</v>
      </c>
      <c r="B320" s="21" t="str">
        <f>_xlfn.CONCAT("ORD-",INDEX(Helper!$B$2:$B$5,MATCH(Data[[#This Row],[Marketplace]],Helper!$A$2:$A$5,0)),TEXT(Data[[#This Row],[No]],"0000"),"-",TEXT(Data[[#This Row],[Tanggal terjual]],"dd/mm/yy"))</f>
        <v>ORD-TK0319-06/04/23</v>
      </c>
      <c r="C320" t="s">
        <v>59</v>
      </c>
      <c r="D320" t="str">
        <f>IFERROR(INDEX(Katalog!$A$3:$A$12,MATCH(Data[[#This Row],[ItemID A]],Katalog!$C$3:$C$12,0)),"-")</f>
        <v>Pakaian Wanita</v>
      </c>
      <c r="E320" t="str">
        <f>IFERROR(INDEX(Katalog!$B$3:$B$12,MATCH(Data[[#This Row],[ItemID A]],Katalog!$C$3:$C$12,0)),"-")</f>
        <v>Blouse</v>
      </c>
      <c r="F320">
        <v>3</v>
      </c>
      <c r="G320">
        <v>4</v>
      </c>
      <c r="H320" s="36">
        <f>IFERROR(INDEX(Katalog!$D$3:$D$12,MATCH(Data[[#This Row],[ItemID A]],Katalog!$C$3:$C$12,0))*Data[[#This Row],[Qty A]],"0")</f>
        <v>450000</v>
      </c>
      <c r="I320" s="36">
        <f>IFERROR(INDEX(Katalog!$F$3:$F$12,MATCH(Data[[#This Row],[ItemID A]],Katalog!$C$3:$C$12,0))*Data[[#This Row],[Qty A]],0)</f>
        <v>150000</v>
      </c>
      <c r="J320" t="s">
        <v>64</v>
      </c>
      <c r="K320" t="str">
        <f>IFERROR(INDEX(Katalog!$A$3:$A$12,MATCH(Data[[#This Row],[ItemID B]],Katalog!$C$3:$C$12,0)),"-")</f>
        <v>Pakaian Unisex</v>
      </c>
      <c r="L320" t="str">
        <f>IFERROR(INDEX(Katalog!$B$3:$B$12,MATCH(Data[[#This Row],[ItemID B]],Katalog!$C$3:$C$12,0)),"-")</f>
        <v>Jaket Hoodie</v>
      </c>
      <c r="M320">
        <v>2</v>
      </c>
      <c r="N320">
        <v>3</v>
      </c>
      <c r="O320" s="36">
        <f>IFERROR(INDEX(Katalog!$D$3:$D$12,MATCH(Data[[#This Row],[ItemID B]],Katalog!$C$3:$C$12,0))*Data[[#This Row],[Qty B]],"0")</f>
        <v>700000</v>
      </c>
      <c r="P320" s="36">
        <f>IFERROR(INDEX(Katalog!$F$3:$F$12,MATCH(Data[[#This Row],[ItemID B]],Katalog!$C$3:$C$12,0))*Data[[#This Row],[Qty B]],"0")</f>
        <v>260000</v>
      </c>
      <c r="R320" t="str">
        <f>IFERROR(INDEX(Katalog!$A$3:$A$12,MATCH(Data[[#This Row],[ItemID C]],Katalog!$C$3:$C$12,0)),"-")</f>
        <v>-</v>
      </c>
      <c r="S320" t="str">
        <f>IFERROR(INDEX(Katalog!$B$3:$B$12,MATCH(Data[[#This Row],[ItemID C]],Katalog!$C$3:$C$12,0)),"-")</f>
        <v>-</v>
      </c>
      <c r="V320" s="36" t="str">
        <f>IFERROR(INDEX(Katalog!$D$3:$D$12,MATCH(Data[[#This Row],[ItemID C]],Katalog!$C$3:$C$12,0))*Data[[#This Row],[Qty C]],"0")</f>
        <v>0</v>
      </c>
      <c r="W320" s="36" t="str">
        <f>IFERROR(INDEX(Katalog!$F$3:$F$12,MATCH(Data[[#This Row],[ItemID C]],Katalog!$C$3:$C$12,0))*Data[[#This Row],[Qty C]],"0")</f>
        <v>0</v>
      </c>
      <c r="X320" s="21">
        <f>Data[[#This Row],[Qty A]]+Data[[#This Row],[Qty B]]+Data[[#This Row],[Qty C]]</f>
        <v>5</v>
      </c>
      <c r="Y320" s="22">
        <f>Data[[#This Row],[Harga Barang A]]+Data[[#This Row],[Harga Barang B]]+Data[[#This Row],[Harga Barang C]]</f>
        <v>1150000</v>
      </c>
      <c r="Z320" s="35">
        <f>IFERROR(Data[[#This Row],[Total Harga]]-(Data[[#This Row],[Total Harga]]*Data[[#This Row],[Diskon]]),Data[[#This Row],[Total Harga]])</f>
        <v>1035000</v>
      </c>
      <c r="AA320" s="35">
        <f>(Data[[#This Row],[Profit A]]+Data[[#This Row],[Profit B]]+Data[[#This Row],[Profit C]])</f>
        <v>410000</v>
      </c>
      <c r="AB320" s="35">
        <f>IFERROR((Data[[#This Row],[Profit non Diskon]]-(Data[[#This Row],[Profit non Diskon]]*Data[[#This Row],[Diskon]])),Data[[#This Row],[Profit non Diskon]])</f>
        <v>369000</v>
      </c>
      <c r="AC320" s="23" t="s">
        <v>30</v>
      </c>
      <c r="AD320" s="37">
        <f>IFERROR(INDEX('Kode Diskon'!$D$3:$D$9,MATCH(Data[[#This Row],[Kode diskon]],'Kode Diskon'!$C$3:$C$9,0)),"-")</f>
        <v>0.1</v>
      </c>
      <c r="AE320" s="23" t="s">
        <v>29</v>
      </c>
      <c r="AF320" s="23" t="s">
        <v>10</v>
      </c>
      <c r="AG320" s="23" t="s">
        <v>76</v>
      </c>
      <c r="AH320" s="24">
        <v>45022</v>
      </c>
      <c r="AI320" s="23" t="str">
        <f>TEXT(Data[[#This Row],[Tanggal terjual]],"dddd")</f>
        <v>Thursday</v>
      </c>
      <c r="AJ320" s="21" t="str">
        <f>TEXT(Data[[#This Row],[Tanggal terjual]],"wwww")</f>
        <v>wwww</v>
      </c>
    </row>
    <row r="321" spans="1:36" x14ac:dyDescent="0.2">
      <c r="A321" s="20">
        <v>320</v>
      </c>
      <c r="B321" s="21" t="str">
        <f>_xlfn.CONCAT("ORD-",INDEX(Helper!$B$2:$B$5,MATCH(Data[[#This Row],[Marketplace]],Helper!$A$2:$A$5,0)),TEXT(Data[[#This Row],[No]],"0000"),"-",TEXT(Data[[#This Row],[Tanggal terjual]],"dd/mm/yy"))</f>
        <v>ORD-BL0320-30/04/23</v>
      </c>
      <c r="C321" t="s">
        <v>66</v>
      </c>
      <c r="D321" t="str">
        <f>IFERROR(INDEX(Katalog!$A$3:$A$12,MATCH(Data[[#This Row],[ItemID A]],Katalog!$C$3:$C$12,0)),"-")</f>
        <v>Sepatu Pria</v>
      </c>
      <c r="E321" t="str">
        <f>IFERROR(INDEX(Katalog!$B$3:$B$12,MATCH(Data[[#This Row],[ItemID A]],Katalog!$C$3:$C$12,0)),"-")</f>
        <v>Sandal Slip On</v>
      </c>
      <c r="F321">
        <v>1</v>
      </c>
      <c r="G321">
        <v>4</v>
      </c>
      <c r="H321" s="36">
        <f>IFERROR(INDEX(Katalog!$D$3:$D$12,MATCH(Data[[#This Row],[ItemID A]],Katalog!$C$3:$C$12,0))*Data[[#This Row],[Qty A]],"0")</f>
        <v>150000</v>
      </c>
      <c r="I321" s="36">
        <f>IFERROR(INDEX(Katalog!$F$3:$F$12,MATCH(Data[[#This Row],[ItemID A]],Katalog!$C$3:$C$12,0))*Data[[#This Row],[Qty A]],0)</f>
        <v>60000</v>
      </c>
      <c r="J321" t="s">
        <v>58</v>
      </c>
      <c r="K321" t="str">
        <f>IFERROR(INDEX(Katalog!$A$3:$A$12,MATCH(Data[[#This Row],[ItemID B]],Katalog!$C$3:$C$12,0)),"-")</f>
        <v>Pakaian Wanita</v>
      </c>
      <c r="L321" t="str">
        <f>IFERROR(INDEX(Katalog!$B$3:$B$12,MATCH(Data[[#This Row],[ItemID B]],Katalog!$C$3:$C$12,0)),"-")</f>
        <v>Dress</v>
      </c>
      <c r="M321">
        <v>1</v>
      </c>
      <c r="N321">
        <v>1</v>
      </c>
      <c r="O321" s="36">
        <f>IFERROR(INDEX(Katalog!$D$3:$D$12,MATCH(Data[[#This Row],[ItemID B]],Katalog!$C$3:$C$12,0))*Data[[#This Row],[Qty B]],"0")</f>
        <v>300000</v>
      </c>
      <c r="P321" s="36">
        <f>IFERROR(INDEX(Katalog!$F$3:$F$12,MATCH(Data[[#This Row],[ItemID B]],Katalog!$C$3:$C$12,0))*Data[[#This Row],[Qty B]],"0")</f>
        <v>100000</v>
      </c>
      <c r="R321" t="str">
        <f>IFERROR(INDEX(Katalog!$A$3:$A$12,MATCH(Data[[#This Row],[ItemID C]],Katalog!$C$3:$C$12,0)),"-")</f>
        <v>-</v>
      </c>
      <c r="S321" t="str">
        <f>IFERROR(INDEX(Katalog!$B$3:$B$12,MATCH(Data[[#This Row],[ItemID C]],Katalog!$C$3:$C$12,0)),"-")</f>
        <v>-</v>
      </c>
      <c r="V321" s="36" t="str">
        <f>IFERROR(INDEX(Katalog!$D$3:$D$12,MATCH(Data[[#This Row],[ItemID C]],Katalog!$C$3:$C$12,0))*Data[[#This Row],[Qty C]],"0")</f>
        <v>0</v>
      </c>
      <c r="W321" s="36" t="str">
        <f>IFERROR(INDEX(Katalog!$F$3:$F$12,MATCH(Data[[#This Row],[ItemID C]],Katalog!$C$3:$C$12,0))*Data[[#This Row],[Qty C]],"0")</f>
        <v>0</v>
      </c>
      <c r="X321" s="21">
        <f>Data[[#This Row],[Qty A]]+Data[[#This Row],[Qty B]]+Data[[#This Row],[Qty C]]</f>
        <v>2</v>
      </c>
      <c r="Y321" s="22">
        <f>Data[[#This Row],[Harga Barang A]]+Data[[#This Row],[Harga Barang B]]+Data[[#This Row],[Harga Barang C]]</f>
        <v>450000</v>
      </c>
      <c r="Z321" s="35">
        <f>IFERROR(Data[[#This Row],[Total Harga]]-(Data[[#This Row],[Total Harga]]*Data[[#This Row],[Diskon]]),Data[[#This Row],[Total Harga]])</f>
        <v>382500</v>
      </c>
      <c r="AA321" s="35">
        <f>(Data[[#This Row],[Profit A]]+Data[[#This Row],[Profit B]]+Data[[#This Row],[Profit C]])</f>
        <v>160000</v>
      </c>
      <c r="AB321" s="35">
        <f>IFERROR((Data[[#This Row],[Profit non Diskon]]-(Data[[#This Row],[Profit non Diskon]]*Data[[#This Row],[Diskon]])),Data[[#This Row],[Profit non Diskon]])</f>
        <v>136000</v>
      </c>
      <c r="AC321" s="23" t="s">
        <v>32</v>
      </c>
      <c r="AD321" s="37">
        <f>IFERROR(INDEX('Kode Diskon'!$D$3:$D$9,MATCH(Data[[#This Row],[Kode diskon]],'Kode Diskon'!$C$3:$C$9,0)),"-")</f>
        <v>0.15</v>
      </c>
      <c r="AE321" s="23" t="s">
        <v>9</v>
      </c>
      <c r="AF321" s="23" t="s">
        <v>12</v>
      </c>
      <c r="AG321" s="23" t="s">
        <v>75</v>
      </c>
      <c r="AH321" s="24">
        <v>45046</v>
      </c>
      <c r="AI321" s="23" t="str">
        <f>TEXT(Data[[#This Row],[Tanggal terjual]],"dddd")</f>
        <v>Sunday</v>
      </c>
      <c r="AJ321" s="21" t="str">
        <f>TEXT(Data[[#This Row],[Tanggal terjual]],"wwww")</f>
        <v>wwww</v>
      </c>
    </row>
    <row r="322" spans="1:36" x14ac:dyDescent="0.2">
      <c r="A322" s="20">
        <v>321</v>
      </c>
      <c r="B322" s="21" t="str">
        <f>_xlfn.CONCAT("ORD-",INDEX(Helper!$B$2:$B$5,MATCH(Data[[#This Row],[Marketplace]],Helper!$A$2:$A$5,0)),TEXT(Data[[#This Row],[No]],"0000"),"-",TEXT(Data[[#This Row],[Tanggal terjual]],"dd/mm/yy"))</f>
        <v>ORD-BB0321-04/04/23</v>
      </c>
      <c r="C322" t="s">
        <v>61</v>
      </c>
      <c r="D322" t="str">
        <f>IFERROR(INDEX(Katalog!$A$3:$A$12,MATCH(Data[[#This Row],[ItemID A]],Katalog!$C$3:$C$12,0)),"-")</f>
        <v>Pakaian Pria</v>
      </c>
      <c r="E322" t="str">
        <f>IFERROR(INDEX(Katalog!$B$3:$B$12,MATCH(Data[[#This Row],[ItemID A]],Katalog!$C$3:$C$12,0)),"-")</f>
        <v>Kaos Polo</v>
      </c>
      <c r="F322">
        <v>2</v>
      </c>
      <c r="G322">
        <v>5</v>
      </c>
      <c r="H322" s="36">
        <f>IFERROR(INDEX(Katalog!$D$3:$D$12,MATCH(Data[[#This Row],[ItemID A]],Katalog!$C$3:$C$12,0))*Data[[#This Row],[Qty A]],"0")</f>
        <v>400000</v>
      </c>
      <c r="I322" s="36">
        <f>IFERROR(INDEX(Katalog!$F$3:$F$12,MATCH(Data[[#This Row],[ItemID A]],Katalog!$C$3:$C$12,0))*Data[[#This Row],[Qty A]],0)</f>
        <v>160000</v>
      </c>
      <c r="J322" t="s">
        <v>62</v>
      </c>
      <c r="K322" t="str">
        <f>IFERROR(INDEX(Katalog!$A$3:$A$12,MATCH(Data[[#This Row],[ItemID B]],Katalog!$C$3:$C$12,0)),"-")</f>
        <v>Pakaian Pria</v>
      </c>
      <c r="L322" t="str">
        <f>IFERROR(INDEX(Katalog!$B$3:$B$12,MATCH(Data[[#This Row],[ItemID B]],Katalog!$C$3:$C$12,0)),"-")</f>
        <v>Celana Pendek</v>
      </c>
      <c r="M322">
        <v>2</v>
      </c>
      <c r="N322">
        <v>1</v>
      </c>
      <c r="O322" s="36">
        <f>IFERROR(INDEX(Katalog!$D$3:$D$12,MATCH(Data[[#This Row],[ItemID B]],Katalog!$C$3:$C$12,0))*Data[[#This Row],[Qty B]],"0")</f>
        <v>360000</v>
      </c>
      <c r="P322" s="36">
        <f>IFERROR(INDEX(Katalog!$F$3:$F$12,MATCH(Data[[#This Row],[ItemID B]],Katalog!$C$3:$C$12,0))*Data[[#This Row],[Qty B]],"0")</f>
        <v>140000</v>
      </c>
      <c r="Q322" t="s">
        <v>66</v>
      </c>
      <c r="R322" t="str">
        <f>IFERROR(INDEX(Katalog!$A$3:$A$12,MATCH(Data[[#This Row],[ItemID C]],Katalog!$C$3:$C$12,0)),"-")</f>
        <v>Sepatu Pria</v>
      </c>
      <c r="S322" t="str">
        <f>IFERROR(INDEX(Katalog!$B$3:$B$12,MATCH(Data[[#This Row],[ItemID C]],Katalog!$C$3:$C$12,0)),"-")</f>
        <v>Sandal Slip On</v>
      </c>
      <c r="T322">
        <v>2</v>
      </c>
      <c r="U322">
        <v>3</v>
      </c>
      <c r="V322" s="36">
        <f>IFERROR(INDEX(Katalog!$D$3:$D$12,MATCH(Data[[#This Row],[ItemID C]],Katalog!$C$3:$C$12,0))*Data[[#This Row],[Qty C]],"0")</f>
        <v>300000</v>
      </c>
      <c r="W322" s="36">
        <f>IFERROR(INDEX(Katalog!$F$3:$F$12,MATCH(Data[[#This Row],[ItemID C]],Katalog!$C$3:$C$12,0))*Data[[#This Row],[Qty C]],"0")</f>
        <v>120000</v>
      </c>
      <c r="X322" s="21">
        <f>Data[[#This Row],[Qty A]]+Data[[#This Row],[Qty B]]+Data[[#This Row],[Qty C]]</f>
        <v>6</v>
      </c>
      <c r="Y322" s="22">
        <f>Data[[#This Row],[Harga Barang A]]+Data[[#This Row],[Harga Barang B]]+Data[[#This Row],[Harga Barang C]]</f>
        <v>1060000</v>
      </c>
      <c r="Z322" s="35">
        <f>IFERROR(Data[[#This Row],[Total Harga]]-(Data[[#This Row],[Total Harga]]*Data[[#This Row],[Diskon]]),Data[[#This Row],[Total Harga]])</f>
        <v>901000</v>
      </c>
      <c r="AA322" s="35">
        <f>(Data[[#This Row],[Profit A]]+Data[[#This Row],[Profit B]]+Data[[#This Row],[Profit C]])</f>
        <v>420000</v>
      </c>
      <c r="AB322" s="35">
        <f>IFERROR((Data[[#This Row],[Profit non Diskon]]-(Data[[#This Row],[Profit non Diskon]]*Data[[#This Row],[Diskon]])),Data[[#This Row],[Profit non Diskon]])</f>
        <v>357000</v>
      </c>
      <c r="AC322" s="23" t="s">
        <v>28</v>
      </c>
      <c r="AD322" s="37">
        <f>IFERROR(INDEX('Kode Diskon'!$D$3:$D$9,MATCH(Data[[#This Row],[Kode diskon]],'Kode Diskon'!$C$3:$C$9,0)),"-")</f>
        <v>0.15</v>
      </c>
      <c r="AE322" s="23" t="s">
        <v>29</v>
      </c>
      <c r="AF322" s="23" t="s">
        <v>14</v>
      </c>
      <c r="AG322" s="23" t="s">
        <v>76</v>
      </c>
      <c r="AH322" s="24">
        <v>45020</v>
      </c>
      <c r="AI322" s="23" t="str">
        <f>TEXT(Data[[#This Row],[Tanggal terjual]],"dddd")</f>
        <v>Tuesday</v>
      </c>
      <c r="AJ322" s="21" t="str">
        <f>TEXT(Data[[#This Row],[Tanggal terjual]],"wwww")</f>
        <v>wwww</v>
      </c>
    </row>
    <row r="323" spans="1:36" x14ac:dyDescent="0.2">
      <c r="A323" s="20">
        <v>322</v>
      </c>
      <c r="B323" s="21" t="str">
        <f>_xlfn.CONCAT("ORD-",INDEX(Helper!$B$2:$B$5,MATCH(Data[[#This Row],[Marketplace]],Helper!$A$2:$A$5,0)),TEXT(Data[[#This Row],[No]],"0000"),"-",TEXT(Data[[#This Row],[Tanggal terjual]],"dd/mm/yy"))</f>
        <v>ORD-SP0322-02/04/23</v>
      </c>
      <c r="C323" t="s">
        <v>65</v>
      </c>
      <c r="D323" t="str">
        <f>IFERROR(INDEX(Katalog!$A$3:$A$12,MATCH(Data[[#This Row],[ItemID A]],Katalog!$C$3:$C$12,0)),"-")</f>
        <v>Sepatu Pria</v>
      </c>
      <c r="E323" t="str">
        <f>IFERROR(INDEX(Katalog!$B$3:$B$12,MATCH(Data[[#This Row],[ItemID A]],Katalog!$C$3:$C$12,0)),"-")</f>
        <v>Sneakers</v>
      </c>
      <c r="F323">
        <v>2</v>
      </c>
      <c r="G323">
        <v>1</v>
      </c>
      <c r="H323" s="36">
        <f>IFERROR(INDEX(Katalog!$D$3:$D$12,MATCH(Data[[#This Row],[ItemID A]],Katalog!$C$3:$C$12,0))*Data[[#This Row],[Qty A]],"0")</f>
        <v>1000000</v>
      </c>
      <c r="I323" s="36">
        <f>IFERROR(INDEX(Katalog!$F$3:$F$12,MATCH(Data[[#This Row],[ItemID A]],Katalog!$C$3:$C$12,0))*Data[[#This Row],[Qty A]],0)</f>
        <v>400000</v>
      </c>
      <c r="K323" t="str">
        <f>IFERROR(INDEX(Katalog!$A$3:$A$12,MATCH(Data[[#This Row],[ItemID B]],Katalog!$C$3:$C$12,0)),"-")</f>
        <v>-</v>
      </c>
      <c r="L323" t="str">
        <f>IFERROR(INDEX(Katalog!$B$3:$B$12,MATCH(Data[[#This Row],[ItemID B]],Katalog!$C$3:$C$12,0)),"-")</f>
        <v>-</v>
      </c>
      <c r="O323" s="36" t="str">
        <f>IFERROR(INDEX(Katalog!$D$3:$D$12,MATCH(Data[[#This Row],[ItemID B]],Katalog!$C$3:$C$12,0))*Data[[#This Row],[Qty B]],"0")</f>
        <v>0</v>
      </c>
      <c r="P323" s="36" t="str">
        <f>IFERROR(INDEX(Katalog!$F$3:$F$12,MATCH(Data[[#This Row],[ItemID B]],Katalog!$C$3:$C$12,0))*Data[[#This Row],[Qty B]],"0")</f>
        <v>0</v>
      </c>
      <c r="R323" t="str">
        <f>IFERROR(INDEX(Katalog!$A$3:$A$12,MATCH(Data[[#This Row],[ItemID C]],Katalog!$C$3:$C$12,0)),"-")</f>
        <v>-</v>
      </c>
      <c r="S323" t="str">
        <f>IFERROR(INDEX(Katalog!$B$3:$B$12,MATCH(Data[[#This Row],[ItemID C]],Katalog!$C$3:$C$12,0)),"-")</f>
        <v>-</v>
      </c>
      <c r="V323" s="36" t="str">
        <f>IFERROR(INDEX(Katalog!$D$3:$D$12,MATCH(Data[[#This Row],[ItemID C]],Katalog!$C$3:$C$12,0))*Data[[#This Row],[Qty C]],"0")</f>
        <v>0</v>
      </c>
      <c r="W323" s="36" t="str">
        <f>IFERROR(INDEX(Katalog!$F$3:$F$12,MATCH(Data[[#This Row],[ItemID C]],Katalog!$C$3:$C$12,0))*Data[[#This Row],[Qty C]],"0")</f>
        <v>0</v>
      </c>
      <c r="X323" s="21">
        <f>Data[[#This Row],[Qty A]]+Data[[#This Row],[Qty B]]+Data[[#This Row],[Qty C]]</f>
        <v>2</v>
      </c>
      <c r="Y323" s="22">
        <f>Data[[#This Row],[Harga Barang A]]+Data[[#This Row],[Harga Barang B]]+Data[[#This Row],[Harga Barang C]]</f>
        <v>1000000</v>
      </c>
      <c r="Z323" s="35">
        <f>IFERROR(Data[[#This Row],[Total Harga]]-(Data[[#This Row],[Total Harga]]*Data[[#This Row],[Diskon]]),Data[[#This Row],[Total Harga]])</f>
        <v>850000</v>
      </c>
      <c r="AA323" s="35">
        <f>(Data[[#This Row],[Profit A]]+Data[[#This Row],[Profit B]]+Data[[#This Row],[Profit C]])</f>
        <v>400000</v>
      </c>
      <c r="AB323" s="35">
        <f>IFERROR((Data[[#This Row],[Profit non Diskon]]-(Data[[#This Row],[Profit non Diskon]]*Data[[#This Row],[Diskon]])),Data[[#This Row],[Profit non Diskon]])</f>
        <v>340000</v>
      </c>
      <c r="AC323" s="23" t="s">
        <v>13</v>
      </c>
      <c r="AD323" s="37">
        <f>IFERROR(INDEX('Kode Diskon'!$D$3:$D$9,MATCH(Data[[#This Row],[Kode diskon]],'Kode Diskon'!$C$3:$C$9,0)),"-")</f>
        <v>0.15</v>
      </c>
      <c r="AE323" s="23" t="s">
        <v>29</v>
      </c>
      <c r="AF323" s="23" t="s">
        <v>7</v>
      </c>
      <c r="AG323" s="23" t="s">
        <v>80</v>
      </c>
      <c r="AH323" s="24">
        <v>45018</v>
      </c>
      <c r="AI323" s="23" t="str">
        <f>TEXT(Data[[#This Row],[Tanggal terjual]],"dddd")</f>
        <v>Sunday</v>
      </c>
      <c r="AJ323" s="21" t="str">
        <f>TEXT(Data[[#This Row],[Tanggal terjual]],"wwww")</f>
        <v>wwww</v>
      </c>
    </row>
    <row r="324" spans="1:36" x14ac:dyDescent="0.2">
      <c r="A324" s="20">
        <v>323</v>
      </c>
      <c r="B324" s="21" t="str">
        <f>_xlfn.CONCAT("ORD-",INDEX(Helper!$B$2:$B$5,MATCH(Data[[#This Row],[Marketplace]],Helper!$A$2:$A$5,0)),TEXT(Data[[#This Row],[No]],"0000"),"-",TEXT(Data[[#This Row],[Tanggal terjual]],"dd/mm/yy"))</f>
        <v>ORD-TK0323-26/04/23</v>
      </c>
      <c r="C324" t="s">
        <v>64</v>
      </c>
      <c r="D324" t="str">
        <f>IFERROR(INDEX(Katalog!$A$3:$A$12,MATCH(Data[[#This Row],[ItemID A]],Katalog!$C$3:$C$12,0)),"-")</f>
        <v>Pakaian Unisex</v>
      </c>
      <c r="E324" t="str">
        <f>IFERROR(INDEX(Katalog!$B$3:$B$12,MATCH(Data[[#This Row],[ItemID A]],Katalog!$C$3:$C$12,0)),"-")</f>
        <v>Jaket Hoodie</v>
      </c>
      <c r="F324">
        <v>3</v>
      </c>
      <c r="G324">
        <v>1</v>
      </c>
      <c r="H324" s="36">
        <f>IFERROR(INDEX(Katalog!$D$3:$D$12,MATCH(Data[[#This Row],[ItemID A]],Katalog!$C$3:$C$12,0))*Data[[#This Row],[Qty A]],"0")</f>
        <v>1050000</v>
      </c>
      <c r="I324" s="36">
        <f>IFERROR(INDEX(Katalog!$F$3:$F$12,MATCH(Data[[#This Row],[ItemID A]],Katalog!$C$3:$C$12,0))*Data[[#This Row],[Qty A]],0)</f>
        <v>390000</v>
      </c>
      <c r="K324" t="str">
        <f>IFERROR(INDEX(Katalog!$A$3:$A$12,MATCH(Data[[#This Row],[ItemID B]],Katalog!$C$3:$C$12,0)),"-")</f>
        <v>-</v>
      </c>
      <c r="L324" t="str">
        <f>IFERROR(INDEX(Katalog!$B$3:$B$12,MATCH(Data[[#This Row],[ItemID B]],Katalog!$C$3:$C$12,0)),"-")</f>
        <v>-</v>
      </c>
      <c r="O324" s="36" t="str">
        <f>IFERROR(INDEX(Katalog!$D$3:$D$12,MATCH(Data[[#This Row],[ItemID B]],Katalog!$C$3:$C$12,0))*Data[[#This Row],[Qty B]],"0")</f>
        <v>0</v>
      </c>
      <c r="P324" s="36" t="str">
        <f>IFERROR(INDEX(Katalog!$F$3:$F$12,MATCH(Data[[#This Row],[ItemID B]],Katalog!$C$3:$C$12,0))*Data[[#This Row],[Qty B]],"0")</f>
        <v>0</v>
      </c>
      <c r="R324" t="str">
        <f>IFERROR(INDEX(Katalog!$A$3:$A$12,MATCH(Data[[#This Row],[ItemID C]],Katalog!$C$3:$C$12,0)),"-")</f>
        <v>-</v>
      </c>
      <c r="S324" t="str">
        <f>IFERROR(INDEX(Katalog!$B$3:$B$12,MATCH(Data[[#This Row],[ItemID C]],Katalog!$C$3:$C$12,0)),"-")</f>
        <v>-</v>
      </c>
      <c r="V324" s="36" t="str">
        <f>IFERROR(INDEX(Katalog!$D$3:$D$12,MATCH(Data[[#This Row],[ItemID C]],Katalog!$C$3:$C$12,0))*Data[[#This Row],[Qty C]],"0")</f>
        <v>0</v>
      </c>
      <c r="W324" s="36" t="str">
        <f>IFERROR(INDEX(Katalog!$F$3:$F$12,MATCH(Data[[#This Row],[ItemID C]],Katalog!$C$3:$C$12,0))*Data[[#This Row],[Qty C]],"0")</f>
        <v>0</v>
      </c>
      <c r="X324" s="21">
        <f>Data[[#This Row],[Qty A]]+Data[[#This Row],[Qty B]]+Data[[#This Row],[Qty C]]</f>
        <v>3</v>
      </c>
      <c r="Y324" s="22">
        <f>Data[[#This Row],[Harga Barang A]]+Data[[#This Row],[Harga Barang B]]+Data[[#This Row],[Harga Barang C]]</f>
        <v>1050000</v>
      </c>
      <c r="Z324" s="35">
        <f>IFERROR(Data[[#This Row],[Total Harga]]-(Data[[#This Row],[Total Harga]]*Data[[#This Row],[Diskon]]),Data[[#This Row],[Total Harga]])</f>
        <v>945000</v>
      </c>
      <c r="AA324" s="35">
        <f>(Data[[#This Row],[Profit A]]+Data[[#This Row],[Profit B]]+Data[[#This Row],[Profit C]])</f>
        <v>390000</v>
      </c>
      <c r="AB324" s="35">
        <f>IFERROR((Data[[#This Row],[Profit non Diskon]]-(Data[[#This Row],[Profit non Diskon]]*Data[[#This Row],[Diskon]])),Data[[#This Row],[Profit non Diskon]])</f>
        <v>351000</v>
      </c>
      <c r="AC324" s="23" t="s">
        <v>31</v>
      </c>
      <c r="AD324" s="37">
        <f>IFERROR(INDEX('Kode Diskon'!$D$3:$D$9,MATCH(Data[[#This Row],[Kode diskon]],'Kode Diskon'!$C$3:$C$9,0)),"-")</f>
        <v>0.1</v>
      </c>
      <c r="AE324" s="23" t="s">
        <v>9</v>
      </c>
      <c r="AF324" s="23" t="s">
        <v>10</v>
      </c>
      <c r="AG324" s="23" t="s">
        <v>80</v>
      </c>
      <c r="AH324" s="24">
        <v>45042</v>
      </c>
      <c r="AI324" s="23" t="str">
        <f>TEXT(Data[[#This Row],[Tanggal terjual]],"dddd")</f>
        <v>Wednesday</v>
      </c>
      <c r="AJ324" s="21" t="str">
        <f>TEXT(Data[[#This Row],[Tanggal terjual]],"wwww")</f>
        <v>wwww</v>
      </c>
    </row>
    <row r="325" spans="1:36" x14ac:dyDescent="0.2">
      <c r="A325" s="20">
        <v>324</v>
      </c>
      <c r="B325" s="21" t="str">
        <f>_xlfn.CONCAT("ORD-",INDEX(Helper!$B$2:$B$5,MATCH(Data[[#This Row],[Marketplace]],Helper!$A$2:$A$5,0)),TEXT(Data[[#This Row],[No]],"0000"),"-",TEXT(Data[[#This Row],[Tanggal terjual]],"dd/mm/yy"))</f>
        <v>ORD-SP0324-01/04/23</v>
      </c>
      <c r="C325" t="s">
        <v>63</v>
      </c>
      <c r="D325" t="str">
        <f>IFERROR(INDEX(Katalog!$A$3:$A$12,MATCH(Data[[#This Row],[ItemID A]],Katalog!$C$3:$C$12,0)),"-")</f>
        <v>Pakaian Pria</v>
      </c>
      <c r="E325" t="str">
        <f>IFERROR(INDEX(Katalog!$B$3:$B$12,MATCH(Data[[#This Row],[ItemID A]],Katalog!$C$3:$C$12,0)),"-")</f>
        <v>Jaket Jeans</v>
      </c>
      <c r="F325">
        <v>4</v>
      </c>
      <c r="G325">
        <v>4</v>
      </c>
      <c r="H325" s="36">
        <f>IFERROR(INDEX(Katalog!$D$3:$D$12,MATCH(Data[[#This Row],[ItemID A]],Katalog!$C$3:$C$12,0))*Data[[#This Row],[Qty A]],"0")</f>
        <v>1600000</v>
      </c>
      <c r="I325" s="36">
        <f>IFERROR(INDEX(Katalog!$F$3:$F$12,MATCH(Data[[#This Row],[ItemID A]],Katalog!$C$3:$C$12,0))*Data[[#This Row],[Qty A]],0)</f>
        <v>600000</v>
      </c>
      <c r="J325" t="s">
        <v>58</v>
      </c>
      <c r="K325" t="str">
        <f>IFERROR(INDEX(Katalog!$A$3:$A$12,MATCH(Data[[#This Row],[ItemID B]],Katalog!$C$3:$C$12,0)),"-")</f>
        <v>Pakaian Wanita</v>
      </c>
      <c r="L325" t="str">
        <f>IFERROR(INDEX(Katalog!$B$3:$B$12,MATCH(Data[[#This Row],[ItemID B]],Katalog!$C$3:$C$12,0)),"-")</f>
        <v>Dress</v>
      </c>
      <c r="M325">
        <v>1</v>
      </c>
      <c r="N325">
        <v>3</v>
      </c>
      <c r="O325" s="36">
        <f>IFERROR(INDEX(Katalog!$D$3:$D$12,MATCH(Data[[#This Row],[ItemID B]],Katalog!$C$3:$C$12,0))*Data[[#This Row],[Qty B]],"0")</f>
        <v>300000</v>
      </c>
      <c r="P325" s="36">
        <f>IFERROR(INDEX(Katalog!$F$3:$F$12,MATCH(Data[[#This Row],[ItemID B]],Katalog!$C$3:$C$12,0))*Data[[#This Row],[Qty B]],"0")</f>
        <v>100000</v>
      </c>
      <c r="Q325" t="s">
        <v>66</v>
      </c>
      <c r="R325" t="str">
        <f>IFERROR(INDEX(Katalog!$A$3:$A$12,MATCH(Data[[#This Row],[ItemID C]],Katalog!$C$3:$C$12,0)),"-")</f>
        <v>Sepatu Pria</v>
      </c>
      <c r="S325" t="str">
        <f>IFERROR(INDEX(Katalog!$B$3:$B$12,MATCH(Data[[#This Row],[ItemID C]],Katalog!$C$3:$C$12,0)),"-")</f>
        <v>Sandal Slip On</v>
      </c>
      <c r="T325">
        <v>2</v>
      </c>
      <c r="U325">
        <v>4</v>
      </c>
      <c r="V325" s="36">
        <f>IFERROR(INDEX(Katalog!$D$3:$D$12,MATCH(Data[[#This Row],[ItemID C]],Katalog!$C$3:$C$12,0))*Data[[#This Row],[Qty C]],"0")</f>
        <v>300000</v>
      </c>
      <c r="W325" s="36">
        <f>IFERROR(INDEX(Katalog!$F$3:$F$12,MATCH(Data[[#This Row],[ItemID C]],Katalog!$C$3:$C$12,0))*Data[[#This Row],[Qty C]],"0")</f>
        <v>120000</v>
      </c>
      <c r="X325" s="21">
        <f>Data[[#This Row],[Qty A]]+Data[[#This Row],[Qty B]]+Data[[#This Row],[Qty C]]</f>
        <v>7</v>
      </c>
      <c r="Y325" s="22">
        <f>Data[[#This Row],[Harga Barang A]]+Data[[#This Row],[Harga Barang B]]+Data[[#This Row],[Harga Barang C]]</f>
        <v>2200000</v>
      </c>
      <c r="Z325" s="35">
        <f>IFERROR(Data[[#This Row],[Total Harga]]-(Data[[#This Row],[Total Harga]]*Data[[#This Row],[Diskon]]),Data[[#This Row],[Total Harga]])</f>
        <v>1980000</v>
      </c>
      <c r="AA325" s="35">
        <f>(Data[[#This Row],[Profit A]]+Data[[#This Row],[Profit B]]+Data[[#This Row],[Profit C]])</f>
        <v>820000</v>
      </c>
      <c r="AB325" s="35">
        <f>IFERROR((Data[[#This Row],[Profit non Diskon]]-(Data[[#This Row],[Profit non Diskon]]*Data[[#This Row],[Diskon]])),Data[[#This Row],[Profit non Diskon]])</f>
        <v>738000</v>
      </c>
      <c r="AC325" s="23" t="s">
        <v>6</v>
      </c>
      <c r="AD325" s="37">
        <f>IFERROR(INDEX('Kode Diskon'!$D$3:$D$9,MATCH(Data[[#This Row],[Kode diskon]],'Kode Diskon'!$C$3:$C$9,0)),"-")</f>
        <v>0.1</v>
      </c>
      <c r="AE325" s="23" t="s">
        <v>29</v>
      </c>
      <c r="AF325" s="23" t="s">
        <v>7</v>
      </c>
      <c r="AG325" s="23" t="s">
        <v>80</v>
      </c>
      <c r="AH325" s="24">
        <v>45017</v>
      </c>
      <c r="AI325" s="23" t="str">
        <f>TEXT(Data[[#This Row],[Tanggal terjual]],"dddd")</f>
        <v>Saturday</v>
      </c>
      <c r="AJ325" s="21" t="str">
        <f>TEXT(Data[[#This Row],[Tanggal terjual]],"wwww")</f>
        <v>wwww</v>
      </c>
    </row>
    <row r="326" spans="1:36" x14ac:dyDescent="0.2">
      <c r="A326" s="20">
        <v>325</v>
      </c>
      <c r="B326" s="21" t="str">
        <f>_xlfn.CONCAT("ORD-",INDEX(Helper!$B$2:$B$5,MATCH(Data[[#This Row],[Marketplace]],Helper!$A$2:$A$5,0)),TEXT(Data[[#This Row],[No]],"0000"),"-",TEXT(Data[[#This Row],[Tanggal terjual]],"dd/mm/yy"))</f>
        <v>ORD-SP0325-05/04/23</v>
      </c>
      <c r="C326" t="s">
        <v>66</v>
      </c>
      <c r="D326" t="str">
        <f>IFERROR(INDEX(Katalog!$A$3:$A$12,MATCH(Data[[#This Row],[ItemID A]],Katalog!$C$3:$C$12,0)),"-")</f>
        <v>Sepatu Pria</v>
      </c>
      <c r="E326" t="str">
        <f>IFERROR(INDEX(Katalog!$B$3:$B$12,MATCH(Data[[#This Row],[ItemID A]],Katalog!$C$3:$C$12,0)),"-")</f>
        <v>Sandal Slip On</v>
      </c>
      <c r="F326">
        <v>3</v>
      </c>
      <c r="G326">
        <v>4</v>
      </c>
      <c r="H326" s="36">
        <f>IFERROR(INDEX(Katalog!$D$3:$D$12,MATCH(Data[[#This Row],[ItemID A]],Katalog!$C$3:$C$12,0))*Data[[#This Row],[Qty A]],"0")</f>
        <v>450000</v>
      </c>
      <c r="I326" s="36">
        <f>IFERROR(INDEX(Katalog!$F$3:$F$12,MATCH(Data[[#This Row],[ItemID A]],Katalog!$C$3:$C$12,0))*Data[[#This Row],[Qty A]],0)</f>
        <v>180000</v>
      </c>
      <c r="J326" t="s">
        <v>59</v>
      </c>
      <c r="K326" t="str">
        <f>IFERROR(INDEX(Katalog!$A$3:$A$12,MATCH(Data[[#This Row],[ItemID B]],Katalog!$C$3:$C$12,0)),"-")</f>
        <v>Pakaian Wanita</v>
      </c>
      <c r="L326" t="str">
        <f>IFERROR(INDEX(Katalog!$B$3:$B$12,MATCH(Data[[#This Row],[ItemID B]],Katalog!$C$3:$C$12,0)),"-")</f>
        <v>Blouse</v>
      </c>
      <c r="M326">
        <v>2</v>
      </c>
      <c r="N326">
        <v>5</v>
      </c>
      <c r="O326" s="36">
        <f>IFERROR(INDEX(Katalog!$D$3:$D$12,MATCH(Data[[#This Row],[ItemID B]],Katalog!$C$3:$C$12,0))*Data[[#This Row],[Qty B]],"0")</f>
        <v>300000</v>
      </c>
      <c r="P326" s="36">
        <f>IFERROR(INDEX(Katalog!$F$3:$F$12,MATCH(Data[[#This Row],[ItemID B]],Katalog!$C$3:$C$12,0))*Data[[#This Row],[Qty B]],"0")</f>
        <v>100000</v>
      </c>
      <c r="Q326" t="s">
        <v>61</v>
      </c>
      <c r="R326" t="str">
        <f>IFERROR(INDEX(Katalog!$A$3:$A$12,MATCH(Data[[#This Row],[ItemID C]],Katalog!$C$3:$C$12,0)),"-")</f>
        <v>Pakaian Pria</v>
      </c>
      <c r="S326" t="str">
        <f>IFERROR(INDEX(Katalog!$B$3:$B$12,MATCH(Data[[#This Row],[ItemID C]],Katalog!$C$3:$C$12,0)),"-")</f>
        <v>Kaos Polo</v>
      </c>
      <c r="T326">
        <v>1</v>
      </c>
      <c r="U326">
        <v>3</v>
      </c>
      <c r="V326" s="36">
        <f>IFERROR(INDEX(Katalog!$D$3:$D$12,MATCH(Data[[#This Row],[ItemID C]],Katalog!$C$3:$C$12,0))*Data[[#This Row],[Qty C]],"0")</f>
        <v>200000</v>
      </c>
      <c r="W326" s="36">
        <f>IFERROR(INDEX(Katalog!$F$3:$F$12,MATCH(Data[[#This Row],[ItemID C]],Katalog!$C$3:$C$12,0))*Data[[#This Row],[Qty C]],"0")</f>
        <v>80000</v>
      </c>
      <c r="X326" s="21">
        <f>Data[[#This Row],[Qty A]]+Data[[#This Row],[Qty B]]+Data[[#This Row],[Qty C]]</f>
        <v>6</v>
      </c>
      <c r="Y326" s="22">
        <f>Data[[#This Row],[Harga Barang A]]+Data[[#This Row],[Harga Barang B]]+Data[[#This Row],[Harga Barang C]]</f>
        <v>950000</v>
      </c>
      <c r="Z326" s="35">
        <f>IFERROR(Data[[#This Row],[Total Harga]]-(Data[[#This Row],[Total Harga]]*Data[[#This Row],[Diskon]]),Data[[#This Row],[Total Harga]])</f>
        <v>855000</v>
      </c>
      <c r="AA326" s="35">
        <f>(Data[[#This Row],[Profit A]]+Data[[#This Row],[Profit B]]+Data[[#This Row],[Profit C]])</f>
        <v>360000</v>
      </c>
      <c r="AB326" s="35">
        <f>IFERROR((Data[[#This Row],[Profit non Diskon]]-(Data[[#This Row],[Profit non Diskon]]*Data[[#This Row],[Diskon]])),Data[[#This Row],[Profit non Diskon]])</f>
        <v>324000</v>
      </c>
      <c r="AC326" s="23" t="s">
        <v>6</v>
      </c>
      <c r="AD326" s="37">
        <f>IFERROR(INDEX('Kode Diskon'!$D$3:$D$9,MATCH(Data[[#This Row],[Kode diskon]],'Kode Diskon'!$C$3:$C$9,0)),"-")</f>
        <v>0.1</v>
      </c>
      <c r="AE326" s="23" t="s">
        <v>29</v>
      </c>
      <c r="AF326" s="23" t="s">
        <v>7</v>
      </c>
      <c r="AG326" s="23" t="s">
        <v>79</v>
      </c>
      <c r="AH326" s="24">
        <v>45021</v>
      </c>
      <c r="AI326" s="23" t="str">
        <f>TEXT(Data[[#This Row],[Tanggal terjual]],"dddd")</f>
        <v>Wednesday</v>
      </c>
      <c r="AJ326" s="21" t="str">
        <f>TEXT(Data[[#This Row],[Tanggal terjual]],"wwww")</f>
        <v>wwww</v>
      </c>
    </row>
    <row r="327" spans="1:36" x14ac:dyDescent="0.2">
      <c r="A327" s="20">
        <v>326</v>
      </c>
      <c r="B327" s="21" t="str">
        <f>_xlfn.CONCAT("ORD-",INDEX(Helper!$B$2:$B$5,MATCH(Data[[#This Row],[Marketplace]],Helper!$A$2:$A$5,0)),TEXT(Data[[#This Row],[No]],"0000"),"-",TEXT(Data[[#This Row],[Tanggal terjual]],"dd/mm/yy"))</f>
        <v>ORD-TK0326-10/04/23</v>
      </c>
      <c r="C327" t="s">
        <v>65</v>
      </c>
      <c r="D327" t="str">
        <f>IFERROR(INDEX(Katalog!$A$3:$A$12,MATCH(Data[[#This Row],[ItemID A]],Katalog!$C$3:$C$12,0)),"-")</f>
        <v>Sepatu Pria</v>
      </c>
      <c r="E327" t="str">
        <f>IFERROR(INDEX(Katalog!$B$3:$B$12,MATCH(Data[[#This Row],[ItemID A]],Katalog!$C$3:$C$12,0)),"-")</f>
        <v>Sneakers</v>
      </c>
      <c r="F327">
        <v>1</v>
      </c>
      <c r="G327">
        <v>5</v>
      </c>
      <c r="H327" s="36">
        <f>IFERROR(INDEX(Katalog!$D$3:$D$12,MATCH(Data[[#This Row],[ItemID A]],Katalog!$C$3:$C$12,0))*Data[[#This Row],[Qty A]],"0")</f>
        <v>500000</v>
      </c>
      <c r="I327" s="36">
        <f>IFERROR(INDEX(Katalog!$F$3:$F$12,MATCH(Data[[#This Row],[ItemID A]],Katalog!$C$3:$C$12,0))*Data[[#This Row],[Qty A]],0)</f>
        <v>200000</v>
      </c>
      <c r="K327" t="str">
        <f>IFERROR(INDEX(Katalog!$A$3:$A$12,MATCH(Data[[#This Row],[ItemID B]],Katalog!$C$3:$C$12,0)),"-")</f>
        <v>-</v>
      </c>
      <c r="L327" t="str">
        <f>IFERROR(INDEX(Katalog!$B$3:$B$12,MATCH(Data[[#This Row],[ItemID B]],Katalog!$C$3:$C$12,0)),"-")</f>
        <v>-</v>
      </c>
      <c r="O327" s="36" t="str">
        <f>IFERROR(INDEX(Katalog!$D$3:$D$12,MATCH(Data[[#This Row],[ItemID B]],Katalog!$C$3:$C$12,0))*Data[[#This Row],[Qty B]],"0")</f>
        <v>0</v>
      </c>
      <c r="P327" s="36" t="str">
        <f>IFERROR(INDEX(Katalog!$F$3:$F$12,MATCH(Data[[#This Row],[ItemID B]],Katalog!$C$3:$C$12,0))*Data[[#This Row],[Qty B]],"0")</f>
        <v>0</v>
      </c>
      <c r="R327" t="str">
        <f>IFERROR(INDEX(Katalog!$A$3:$A$12,MATCH(Data[[#This Row],[ItemID C]],Katalog!$C$3:$C$12,0)),"-")</f>
        <v>-</v>
      </c>
      <c r="S327" t="str">
        <f>IFERROR(INDEX(Katalog!$B$3:$B$12,MATCH(Data[[#This Row],[ItemID C]],Katalog!$C$3:$C$12,0)),"-")</f>
        <v>-</v>
      </c>
      <c r="V327" s="36" t="str">
        <f>IFERROR(INDEX(Katalog!$D$3:$D$12,MATCH(Data[[#This Row],[ItemID C]],Katalog!$C$3:$C$12,0))*Data[[#This Row],[Qty C]],"0")</f>
        <v>0</v>
      </c>
      <c r="W327" s="36" t="str">
        <f>IFERROR(INDEX(Katalog!$F$3:$F$12,MATCH(Data[[#This Row],[ItemID C]],Katalog!$C$3:$C$12,0))*Data[[#This Row],[Qty C]],"0")</f>
        <v>0</v>
      </c>
      <c r="X327" s="21">
        <f>Data[[#This Row],[Qty A]]+Data[[#This Row],[Qty B]]+Data[[#This Row],[Qty C]]</f>
        <v>1</v>
      </c>
      <c r="Y327" s="22">
        <f>Data[[#This Row],[Harga Barang A]]+Data[[#This Row],[Harga Barang B]]+Data[[#This Row],[Harga Barang C]]</f>
        <v>500000</v>
      </c>
      <c r="Z327" s="35">
        <f>IFERROR(Data[[#This Row],[Total Harga]]-(Data[[#This Row],[Total Harga]]*Data[[#This Row],[Diskon]]),Data[[#This Row],[Total Harga]])</f>
        <v>500000</v>
      </c>
      <c r="AA327" s="35">
        <f>(Data[[#This Row],[Profit A]]+Data[[#This Row],[Profit B]]+Data[[#This Row],[Profit C]])</f>
        <v>200000</v>
      </c>
      <c r="AB327" s="35">
        <f>IFERROR((Data[[#This Row],[Profit non Diskon]]-(Data[[#This Row],[Profit non Diskon]]*Data[[#This Row],[Diskon]])),Data[[#This Row],[Profit non Diskon]])</f>
        <v>200000</v>
      </c>
      <c r="AC327" s="23" t="s">
        <v>11</v>
      </c>
      <c r="AD327" s="37" t="str">
        <f>IFERROR(INDEX('Kode Diskon'!$D$3:$D$9,MATCH(Data[[#This Row],[Kode diskon]],'Kode Diskon'!$C$3:$C$9,0)),"-")</f>
        <v>-</v>
      </c>
      <c r="AE327" s="23" t="s">
        <v>11</v>
      </c>
      <c r="AF327" s="23" t="s">
        <v>10</v>
      </c>
      <c r="AG327" s="23" t="s">
        <v>75</v>
      </c>
      <c r="AH327" s="24">
        <v>45026</v>
      </c>
      <c r="AI327" s="23" t="str">
        <f>TEXT(Data[[#This Row],[Tanggal terjual]],"dddd")</f>
        <v>Monday</v>
      </c>
      <c r="AJ327" s="21" t="str">
        <f>TEXT(Data[[#This Row],[Tanggal terjual]],"wwww")</f>
        <v>wwww</v>
      </c>
    </row>
    <row r="328" spans="1:36" x14ac:dyDescent="0.2">
      <c r="A328" s="20">
        <v>327</v>
      </c>
      <c r="B328" s="21" t="str">
        <f>_xlfn.CONCAT("ORD-",INDEX(Helper!$B$2:$B$5,MATCH(Data[[#This Row],[Marketplace]],Helper!$A$2:$A$5,0)),TEXT(Data[[#This Row],[No]],"0000"),"-",TEXT(Data[[#This Row],[Tanggal terjual]],"dd/mm/yy"))</f>
        <v>ORD-TK0327-03/04/23</v>
      </c>
      <c r="C328" t="s">
        <v>62</v>
      </c>
      <c r="D328" t="str">
        <f>IFERROR(INDEX(Katalog!$A$3:$A$12,MATCH(Data[[#This Row],[ItemID A]],Katalog!$C$3:$C$12,0)),"-")</f>
        <v>Pakaian Pria</v>
      </c>
      <c r="E328" t="str">
        <f>IFERROR(INDEX(Katalog!$B$3:$B$12,MATCH(Data[[#This Row],[ItemID A]],Katalog!$C$3:$C$12,0)),"-")</f>
        <v>Celana Pendek</v>
      </c>
      <c r="F328">
        <v>2</v>
      </c>
      <c r="G328">
        <v>5</v>
      </c>
      <c r="H328" s="36">
        <f>IFERROR(INDEX(Katalog!$D$3:$D$12,MATCH(Data[[#This Row],[ItemID A]],Katalog!$C$3:$C$12,0))*Data[[#This Row],[Qty A]],"0")</f>
        <v>360000</v>
      </c>
      <c r="I328" s="36">
        <f>IFERROR(INDEX(Katalog!$F$3:$F$12,MATCH(Data[[#This Row],[ItemID A]],Katalog!$C$3:$C$12,0))*Data[[#This Row],[Qty A]],0)</f>
        <v>140000</v>
      </c>
      <c r="J328" t="s">
        <v>58</v>
      </c>
      <c r="K328" t="str">
        <f>IFERROR(INDEX(Katalog!$A$3:$A$12,MATCH(Data[[#This Row],[ItemID B]],Katalog!$C$3:$C$12,0)),"-")</f>
        <v>Pakaian Wanita</v>
      </c>
      <c r="L328" t="str">
        <f>IFERROR(INDEX(Katalog!$B$3:$B$12,MATCH(Data[[#This Row],[ItemID B]],Katalog!$C$3:$C$12,0)),"-")</f>
        <v>Dress</v>
      </c>
      <c r="M328">
        <v>2</v>
      </c>
      <c r="N328">
        <v>3</v>
      </c>
      <c r="O328" s="36">
        <f>IFERROR(INDEX(Katalog!$D$3:$D$12,MATCH(Data[[#This Row],[ItemID B]],Katalog!$C$3:$C$12,0))*Data[[#This Row],[Qty B]],"0")</f>
        <v>600000</v>
      </c>
      <c r="P328" s="36">
        <f>IFERROR(INDEX(Katalog!$F$3:$F$12,MATCH(Data[[#This Row],[ItemID B]],Katalog!$C$3:$C$12,0))*Data[[#This Row],[Qty B]],"0")</f>
        <v>200000</v>
      </c>
      <c r="Q328" t="s">
        <v>60</v>
      </c>
      <c r="R328" t="str">
        <f>IFERROR(INDEX(Katalog!$A$3:$A$12,MATCH(Data[[#This Row],[ItemID C]],Katalog!$C$3:$C$12,0)),"-")</f>
        <v>Pakaian Wanita</v>
      </c>
      <c r="S328" t="str">
        <f>IFERROR(INDEX(Katalog!$B$3:$B$12,MATCH(Data[[#This Row],[ItemID C]],Katalog!$C$3:$C$12,0)),"-")</f>
        <v>Kaftan</v>
      </c>
      <c r="T328">
        <v>1</v>
      </c>
      <c r="U328">
        <v>5</v>
      </c>
      <c r="V328" s="36">
        <f>IFERROR(INDEX(Katalog!$D$3:$D$12,MATCH(Data[[#This Row],[ItemID C]],Katalog!$C$3:$C$12,0))*Data[[#This Row],[Qty C]],"0")</f>
        <v>250000</v>
      </c>
      <c r="W328" s="36">
        <f>IFERROR(INDEX(Katalog!$F$3:$F$12,MATCH(Data[[#This Row],[ItemID C]],Katalog!$C$3:$C$12,0))*Data[[#This Row],[Qty C]],"0")</f>
        <v>100000</v>
      </c>
      <c r="X328" s="21">
        <f>Data[[#This Row],[Qty A]]+Data[[#This Row],[Qty B]]+Data[[#This Row],[Qty C]]</f>
        <v>5</v>
      </c>
      <c r="Y328" s="22">
        <f>Data[[#This Row],[Harga Barang A]]+Data[[#This Row],[Harga Barang B]]+Data[[#This Row],[Harga Barang C]]</f>
        <v>1210000</v>
      </c>
      <c r="Z328" s="35">
        <f>IFERROR(Data[[#This Row],[Total Harga]]-(Data[[#This Row],[Total Harga]]*Data[[#This Row],[Diskon]]),Data[[#This Row],[Total Harga]])</f>
        <v>1089000</v>
      </c>
      <c r="AA328" s="35">
        <f>(Data[[#This Row],[Profit A]]+Data[[#This Row],[Profit B]]+Data[[#This Row],[Profit C]])</f>
        <v>440000</v>
      </c>
      <c r="AB328" s="35">
        <f>IFERROR((Data[[#This Row],[Profit non Diskon]]-(Data[[#This Row],[Profit non Diskon]]*Data[[#This Row],[Diskon]])),Data[[#This Row],[Profit non Diskon]])</f>
        <v>396000</v>
      </c>
      <c r="AC328" s="23" t="s">
        <v>30</v>
      </c>
      <c r="AD328" s="37">
        <f>IFERROR(INDEX('Kode Diskon'!$D$3:$D$9,MATCH(Data[[#This Row],[Kode diskon]],'Kode Diskon'!$C$3:$C$9,0)),"-")</f>
        <v>0.1</v>
      </c>
      <c r="AE328" s="23" t="s">
        <v>29</v>
      </c>
      <c r="AF328" s="23" t="s">
        <v>10</v>
      </c>
      <c r="AG328" s="23" t="s">
        <v>75</v>
      </c>
      <c r="AH328" s="24">
        <v>45019</v>
      </c>
      <c r="AI328" s="23" t="str">
        <f>TEXT(Data[[#This Row],[Tanggal terjual]],"dddd")</f>
        <v>Monday</v>
      </c>
      <c r="AJ328" s="21" t="str">
        <f>TEXT(Data[[#This Row],[Tanggal terjual]],"wwww")</f>
        <v>wwww</v>
      </c>
    </row>
    <row r="329" spans="1:36" x14ac:dyDescent="0.2">
      <c r="A329" s="20">
        <v>328</v>
      </c>
      <c r="B329" s="21" t="str">
        <f>_xlfn.CONCAT("ORD-",INDEX(Helper!$B$2:$B$5,MATCH(Data[[#This Row],[Marketplace]],Helper!$A$2:$A$5,0)),TEXT(Data[[#This Row],[No]],"0000"),"-",TEXT(Data[[#This Row],[Tanggal terjual]],"dd/mm/yy"))</f>
        <v>ORD-BB0328-05/04/23</v>
      </c>
      <c r="C329" t="s">
        <v>64</v>
      </c>
      <c r="D329" t="str">
        <f>IFERROR(INDEX(Katalog!$A$3:$A$12,MATCH(Data[[#This Row],[ItemID A]],Katalog!$C$3:$C$12,0)),"-")</f>
        <v>Pakaian Unisex</v>
      </c>
      <c r="E329" t="str">
        <f>IFERROR(INDEX(Katalog!$B$3:$B$12,MATCH(Data[[#This Row],[ItemID A]],Katalog!$C$3:$C$12,0)),"-")</f>
        <v>Jaket Hoodie</v>
      </c>
      <c r="F329">
        <v>1</v>
      </c>
      <c r="G329">
        <v>1</v>
      </c>
      <c r="H329" s="36">
        <f>IFERROR(INDEX(Katalog!$D$3:$D$12,MATCH(Data[[#This Row],[ItemID A]],Katalog!$C$3:$C$12,0))*Data[[#This Row],[Qty A]],"0")</f>
        <v>350000</v>
      </c>
      <c r="I329" s="36">
        <f>IFERROR(INDEX(Katalog!$F$3:$F$12,MATCH(Data[[#This Row],[ItemID A]],Katalog!$C$3:$C$12,0))*Data[[#This Row],[Qty A]],0)</f>
        <v>130000</v>
      </c>
      <c r="K329" t="str">
        <f>IFERROR(INDEX(Katalog!$A$3:$A$12,MATCH(Data[[#This Row],[ItemID B]],Katalog!$C$3:$C$12,0)),"-")</f>
        <v>-</v>
      </c>
      <c r="L329" t="str">
        <f>IFERROR(INDEX(Katalog!$B$3:$B$12,MATCH(Data[[#This Row],[ItemID B]],Katalog!$C$3:$C$12,0)),"-")</f>
        <v>-</v>
      </c>
      <c r="O329" s="36" t="str">
        <f>IFERROR(INDEX(Katalog!$D$3:$D$12,MATCH(Data[[#This Row],[ItemID B]],Katalog!$C$3:$C$12,0))*Data[[#This Row],[Qty B]],"0")</f>
        <v>0</v>
      </c>
      <c r="P329" s="36" t="str">
        <f>IFERROR(INDEX(Katalog!$F$3:$F$12,MATCH(Data[[#This Row],[ItemID B]],Katalog!$C$3:$C$12,0))*Data[[#This Row],[Qty B]],"0")</f>
        <v>0</v>
      </c>
      <c r="R329" t="str">
        <f>IFERROR(INDEX(Katalog!$A$3:$A$12,MATCH(Data[[#This Row],[ItemID C]],Katalog!$C$3:$C$12,0)),"-")</f>
        <v>-</v>
      </c>
      <c r="S329" t="str">
        <f>IFERROR(INDEX(Katalog!$B$3:$B$12,MATCH(Data[[#This Row],[ItemID C]],Katalog!$C$3:$C$12,0)),"-")</f>
        <v>-</v>
      </c>
      <c r="V329" s="36" t="str">
        <f>IFERROR(INDEX(Katalog!$D$3:$D$12,MATCH(Data[[#This Row],[ItemID C]],Katalog!$C$3:$C$12,0))*Data[[#This Row],[Qty C]],"0")</f>
        <v>0</v>
      </c>
      <c r="W329" s="36" t="str">
        <f>IFERROR(INDEX(Katalog!$F$3:$F$12,MATCH(Data[[#This Row],[ItemID C]],Katalog!$C$3:$C$12,0))*Data[[#This Row],[Qty C]],"0")</f>
        <v>0</v>
      </c>
      <c r="X329" s="21">
        <f>Data[[#This Row],[Qty A]]+Data[[#This Row],[Qty B]]+Data[[#This Row],[Qty C]]</f>
        <v>1</v>
      </c>
      <c r="Y329" s="22">
        <f>Data[[#This Row],[Harga Barang A]]+Data[[#This Row],[Harga Barang B]]+Data[[#This Row],[Harga Barang C]]</f>
        <v>350000</v>
      </c>
      <c r="Z329" s="35">
        <f>IFERROR(Data[[#This Row],[Total Harga]]-(Data[[#This Row],[Total Harga]]*Data[[#This Row],[Diskon]]),Data[[#This Row],[Total Harga]])</f>
        <v>297500</v>
      </c>
      <c r="AA329" s="35">
        <f>(Data[[#This Row],[Profit A]]+Data[[#This Row],[Profit B]]+Data[[#This Row],[Profit C]])</f>
        <v>130000</v>
      </c>
      <c r="AB329" s="35">
        <f>IFERROR((Data[[#This Row],[Profit non Diskon]]-(Data[[#This Row],[Profit non Diskon]]*Data[[#This Row],[Diskon]])),Data[[#This Row],[Profit non Diskon]])</f>
        <v>110500</v>
      </c>
      <c r="AC329" s="23" t="s">
        <v>28</v>
      </c>
      <c r="AD329" s="37">
        <f>IFERROR(INDEX('Kode Diskon'!$D$3:$D$9,MATCH(Data[[#This Row],[Kode diskon]],'Kode Diskon'!$C$3:$C$9,0)),"-")</f>
        <v>0.15</v>
      </c>
      <c r="AE329" s="23" t="s">
        <v>29</v>
      </c>
      <c r="AF329" s="23" t="s">
        <v>14</v>
      </c>
      <c r="AG329" s="23" t="s">
        <v>80</v>
      </c>
      <c r="AH329" s="24">
        <v>45021</v>
      </c>
      <c r="AI329" s="23" t="str">
        <f>TEXT(Data[[#This Row],[Tanggal terjual]],"dddd")</f>
        <v>Wednesday</v>
      </c>
      <c r="AJ329" s="21" t="str">
        <f>TEXT(Data[[#This Row],[Tanggal terjual]],"wwww")</f>
        <v>wwww</v>
      </c>
    </row>
    <row r="330" spans="1:36" x14ac:dyDescent="0.2">
      <c r="A330" s="20">
        <v>329</v>
      </c>
      <c r="B330" s="21" t="str">
        <f>_xlfn.CONCAT("ORD-",INDEX(Helper!$B$2:$B$5,MATCH(Data[[#This Row],[Marketplace]],Helper!$A$2:$A$5,0)),TEXT(Data[[#This Row],[No]],"0000"),"-",TEXT(Data[[#This Row],[Tanggal terjual]],"dd/mm/yy"))</f>
        <v>ORD-SP0329-02/04/23</v>
      </c>
      <c r="C330" t="s">
        <v>59</v>
      </c>
      <c r="D330" t="str">
        <f>IFERROR(INDEX(Katalog!$A$3:$A$12,MATCH(Data[[#This Row],[ItemID A]],Katalog!$C$3:$C$12,0)),"-")</f>
        <v>Pakaian Wanita</v>
      </c>
      <c r="E330" t="str">
        <f>IFERROR(INDEX(Katalog!$B$3:$B$12,MATCH(Data[[#This Row],[ItemID A]],Katalog!$C$3:$C$12,0)),"-")</f>
        <v>Blouse</v>
      </c>
      <c r="F330">
        <v>2</v>
      </c>
      <c r="G330">
        <v>2</v>
      </c>
      <c r="H330" s="36">
        <f>IFERROR(INDEX(Katalog!$D$3:$D$12,MATCH(Data[[#This Row],[ItemID A]],Katalog!$C$3:$C$12,0))*Data[[#This Row],[Qty A]],"0")</f>
        <v>300000</v>
      </c>
      <c r="I330" s="36">
        <f>IFERROR(INDEX(Katalog!$F$3:$F$12,MATCH(Data[[#This Row],[ItemID A]],Katalog!$C$3:$C$12,0))*Data[[#This Row],[Qty A]],0)</f>
        <v>100000</v>
      </c>
      <c r="J330" t="s">
        <v>64</v>
      </c>
      <c r="K330" t="str">
        <f>IFERROR(INDEX(Katalog!$A$3:$A$12,MATCH(Data[[#This Row],[ItemID B]],Katalog!$C$3:$C$12,0)),"-")</f>
        <v>Pakaian Unisex</v>
      </c>
      <c r="L330" t="str">
        <f>IFERROR(INDEX(Katalog!$B$3:$B$12,MATCH(Data[[#This Row],[ItemID B]],Katalog!$C$3:$C$12,0)),"-")</f>
        <v>Jaket Hoodie</v>
      </c>
      <c r="M330">
        <v>1</v>
      </c>
      <c r="N330">
        <v>3</v>
      </c>
      <c r="O330" s="36">
        <f>IFERROR(INDEX(Katalog!$D$3:$D$12,MATCH(Data[[#This Row],[ItemID B]],Katalog!$C$3:$C$12,0))*Data[[#This Row],[Qty B]],"0")</f>
        <v>350000</v>
      </c>
      <c r="P330" s="36">
        <f>IFERROR(INDEX(Katalog!$F$3:$F$12,MATCH(Data[[#This Row],[ItemID B]],Katalog!$C$3:$C$12,0))*Data[[#This Row],[Qty B]],"0")</f>
        <v>130000</v>
      </c>
      <c r="Q330" t="s">
        <v>61</v>
      </c>
      <c r="R330" t="str">
        <f>IFERROR(INDEX(Katalog!$A$3:$A$12,MATCH(Data[[#This Row],[ItemID C]],Katalog!$C$3:$C$12,0)),"-")</f>
        <v>Pakaian Pria</v>
      </c>
      <c r="S330" t="str">
        <f>IFERROR(INDEX(Katalog!$B$3:$B$12,MATCH(Data[[#This Row],[ItemID C]],Katalog!$C$3:$C$12,0)),"-")</f>
        <v>Kaos Polo</v>
      </c>
      <c r="T330">
        <v>1</v>
      </c>
      <c r="U330">
        <v>5</v>
      </c>
      <c r="V330" s="36">
        <f>IFERROR(INDEX(Katalog!$D$3:$D$12,MATCH(Data[[#This Row],[ItemID C]],Katalog!$C$3:$C$12,0))*Data[[#This Row],[Qty C]],"0")</f>
        <v>200000</v>
      </c>
      <c r="W330" s="36">
        <f>IFERROR(INDEX(Katalog!$F$3:$F$12,MATCH(Data[[#This Row],[ItemID C]],Katalog!$C$3:$C$12,0))*Data[[#This Row],[Qty C]],"0")</f>
        <v>80000</v>
      </c>
      <c r="X330" s="21">
        <f>Data[[#This Row],[Qty A]]+Data[[#This Row],[Qty B]]+Data[[#This Row],[Qty C]]</f>
        <v>4</v>
      </c>
      <c r="Y330" s="22">
        <f>Data[[#This Row],[Harga Barang A]]+Data[[#This Row],[Harga Barang B]]+Data[[#This Row],[Harga Barang C]]</f>
        <v>850000</v>
      </c>
      <c r="Z330" s="35">
        <f>IFERROR(Data[[#This Row],[Total Harga]]-(Data[[#This Row],[Total Harga]]*Data[[#This Row],[Diskon]]),Data[[#This Row],[Total Harga]])</f>
        <v>765000</v>
      </c>
      <c r="AA330" s="35">
        <f>(Data[[#This Row],[Profit A]]+Data[[#This Row],[Profit B]]+Data[[#This Row],[Profit C]])</f>
        <v>310000</v>
      </c>
      <c r="AB330" s="35">
        <f>IFERROR((Data[[#This Row],[Profit non Diskon]]-(Data[[#This Row],[Profit non Diskon]]*Data[[#This Row],[Diskon]])),Data[[#This Row],[Profit non Diskon]])</f>
        <v>279000</v>
      </c>
      <c r="AC330" s="23" t="s">
        <v>6</v>
      </c>
      <c r="AD330" s="37">
        <f>IFERROR(INDEX('Kode Diskon'!$D$3:$D$9,MATCH(Data[[#This Row],[Kode diskon]],'Kode Diskon'!$C$3:$C$9,0)),"-")</f>
        <v>0.1</v>
      </c>
      <c r="AE330" s="23" t="s">
        <v>29</v>
      </c>
      <c r="AF330" s="23" t="s">
        <v>7</v>
      </c>
      <c r="AG330" s="23" t="s">
        <v>79</v>
      </c>
      <c r="AH330" s="24">
        <v>45018</v>
      </c>
      <c r="AI330" s="23" t="str">
        <f>TEXT(Data[[#This Row],[Tanggal terjual]],"dddd")</f>
        <v>Sunday</v>
      </c>
      <c r="AJ330" s="21" t="str">
        <f>TEXT(Data[[#This Row],[Tanggal terjual]],"wwww")</f>
        <v>wwww</v>
      </c>
    </row>
    <row r="331" spans="1:36" x14ac:dyDescent="0.2">
      <c r="A331" s="20">
        <v>330</v>
      </c>
      <c r="B331" s="21" t="str">
        <f>_xlfn.CONCAT("ORD-",INDEX(Helper!$B$2:$B$5,MATCH(Data[[#This Row],[Marketplace]],Helper!$A$2:$A$5,0)),TEXT(Data[[#This Row],[No]],"0000"),"-",TEXT(Data[[#This Row],[Tanggal terjual]],"dd/mm/yy"))</f>
        <v>ORD-SP0330-02/04/23</v>
      </c>
      <c r="C331" t="s">
        <v>59</v>
      </c>
      <c r="D331" t="str">
        <f>IFERROR(INDEX(Katalog!$A$3:$A$12,MATCH(Data[[#This Row],[ItemID A]],Katalog!$C$3:$C$12,0)),"-")</f>
        <v>Pakaian Wanita</v>
      </c>
      <c r="E331" t="str">
        <f>IFERROR(INDEX(Katalog!$B$3:$B$12,MATCH(Data[[#This Row],[ItemID A]],Katalog!$C$3:$C$12,0)),"-")</f>
        <v>Blouse</v>
      </c>
      <c r="F331">
        <v>1</v>
      </c>
      <c r="G331">
        <v>1</v>
      </c>
      <c r="H331" s="36">
        <f>IFERROR(INDEX(Katalog!$D$3:$D$12,MATCH(Data[[#This Row],[ItemID A]],Katalog!$C$3:$C$12,0))*Data[[#This Row],[Qty A]],"0")</f>
        <v>150000</v>
      </c>
      <c r="I331" s="36">
        <f>IFERROR(INDEX(Katalog!$F$3:$F$12,MATCH(Data[[#This Row],[ItemID A]],Katalog!$C$3:$C$12,0))*Data[[#This Row],[Qty A]],0)</f>
        <v>50000</v>
      </c>
      <c r="K331" t="str">
        <f>IFERROR(INDEX(Katalog!$A$3:$A$12,MATCH(Data[[#This Row],[ItemID B]],Katalog!$C$3:$C$12,0)),"-")</f>
        <v>-</v>
      </c>
      <c r="L331" t="str">
        <f>IFERROR(INDEX(Katalog!$B$3:$B$12,MATCH(Data[[#This Row],[ItemID B]],Katalog!$C$3:$C$12,0)),"-")</f>
        <v>-</v>
      </c>
      <c r="O331" s="36" t="str">
        <f>IFERROR(INDEX(Katalog!$D$3:$D$12,MATCH(Data[[#This Row],[ItemID B]],Katalog!$C$3:$C$12,0))*Data[[#This Row],[Qty B]],"0")</f>
        <v>0</v>
      </c>
      <c r="P331" s="36" t="str">
        <f>IFERROR(INDEX(Katalog!$F$3:$F$12,MATCH(Data[[#This Row],[ItemID B]],Katalog!$C$3:$C$12,0))*Data[[#This Row],[Qty B]],"0")</f>
        <v>0</v>
      </c>
      <c r="R331" t="str">
        <f>IFERROR(INDEX(Katalog!$A$3:$A$12,MATCH(Data[[#This Row],[ItemID C]],Katalog!$C$3:$C$12,0)),"-")</f>
        <v>-</v>
      </c>
      <c r="S331" t="str">
        <f>IFERROR(INDEX(Katalog!$B$3:$B$12,MATCH(Data[[#This Row],[ItemID C]],Katalog!$C$3:$C$12,0)),"-")</f>
        <v>-</v>
      </c>
      <c r="V331" s="36" t="str">
        <f>IFERROR(INDEX(Katalog!$D$3:$D$12,MATCH(Data[[#This Row],[ItemID C]],Katalog!$C$3:$C$12,0))*Data[[#This Row],[Qty C]],"0")</f>
        <v>0</v>
      </c>
      <c r="W331" s="36" t="str">
        <f>IFERROR(INDEX(Katalog!$F$3:$F$12,MATCH(Data[[#This Row],[ItemID C]],Katalog!$C$3:$C$12,0))*Data[[#This Row],[Qty C]],"0")</f>
        <v>0</v>
      </c>
      <c r="X331" s="21">
        <f>Data[[#This Row],[Qty A]]+Data[[#This Row],[Qty B]]+Data[[#This Row],[Qty C]]</f>
        <v>1</v>
      </c>
      <c r="Y331" s="22">
        <f>Data[[#This Row],[Harga Barang A]]+Data[[#This Row],[Harga Barang B]]+Data[[#This Row],[Harga Barang C]]</f>
        <v>150000</v>
      </c>
      <c r="Z331" s="35">
        <f>IFERROR(Data[[#This Row],[Total Harga]]-(Data[[#This Row],[Total Harga]]*Data[[#This Row],[Diskon]]),Data[[#This Row],[Total Harga]])</f>
        <v>135000</v>
      </c>
      <c r="AA331" s="35">
        <f>(Data[[#This Row],[Profit A]]+Data[[#This Row],[Profit B]]+Data[[#This Row],[Profit C]])</f>
        <v>50000</v>
      </c>
      <c r="AB331" s="35">
        <f>IFERROR((Data[[#This Row],[Profit non Diskon]]-(Data[[#This Row],[Profit non Diskon]]*Data[[#This Row],[Diskon]])),Data[[#This Row],[Profit non Diskon]])</f>
        <v>45000</v>
      </c>
      <c r="AC331" s="23" t="s">
        <v>6</v>
      </c>
      <c r="AD331" s="37">
        <f>IFERROR(INDEX('Kode Diskon'!$D$3:$D$9,MATCH(Data[[#This Row],[Kode diskon]],'Kode Diskon'!$C$3:$C$9,0)),"-")</f>
        <v>0.1</v>
      </c>
      <c r="AE331" s="23" t="s">
        <v>29</v>
      </c>
      <c r="AF331" s="23" t="s">
        <v>7</v>
      </c>
      <c r="AG331" s="23" t="s">
        <v>78</v>
      </c>
      <c r="AH331" s="24">
        <v>45018</v>
      </c>
      <c r="AI331" s="23" t="str">
        <f>TEXT(Data[[#This Row],[Tanggal terjual]],"dddd")</f>
        <v>Sunday</v>
      </c>
      <c r="AJ331" s="21" t="str">
        <f>TEXT(Data[[#This Row],[Tanggal terjual]],"wwww")</f>
        <v>wwww</v>
      </c>
    </row>
    <row r="332" spans="1:36" x14ac:dyDescent="0.2">
      <c r="A332" s="20">
        <v>331</v>
      </c>
      <c r="B332" s="21" t="str">
        <f>_xlfn.CONCAT("ORD-",INDEX(Helper!$B$2:$B$5,MATCH(Data[[#This Row],[Marketplace]],Helper!$A$2:$A$5,0)),TEXT(Data[[#This Row],[No]],"0000"),"-",TEXT(Data[[#This Row],[Tanggal terjual]],"dd/mm/yy"))</f>
        <v>ORD-SP0331-12/04/23</v>
      </c>
      <c r="C332" t="s">
        <v>59</v>
      </c>
      <c r="D332" t="str">
        <f>IFERROR(INDEX(Katalog!$A$3:$A$12,MATCH(Data[[#This Row],[ItemID A]],Katalog!$C$3:$C$12,0)),"-")</f>
        <v>Pakaian Wanita</v>
      </c>
      <c r="E332" t="str">
        <f>IFERROR(INDEX(Katalog!$B$3:$B$12,MATCH(Data[[#This Row],[ItemID A]],Katalog!$C$3:$C$12,0)),"-")</f>
        <v>Blouse</v>
      </c>
      <c r="F332">
        <v>1</v>
      </c>
      <c r="G332">
        <v>4</v>
      </c>
      <c r="H332" s="36">
        <f>IFERROR(INDEX(Katalog!$D$3:$D$12,MATCH(Data[[#This Row],[ItemID A]],Katalog!$C$3:$C$12,0))*Data[[#This Row],[Qty A]],"0")</f>
        <v>150000</v>
      </c>
      <c r="I332" s="36">
        <f>IFERROR(INDEX(Katalog!$F$3:$F$12,MATCH(Data[[#This Row],[ItemID A]],Katalog!$C$3:$C$12,0))*Data[[#This Row],[Qty A]],0)</f>
        <v>50000</v>
      </c>
      <c r="J332" t="s">
        <v>66</v>
      </c>
      <c r="K332" t="str">
        <f>IFERROR(INDEX(Katalog!$A$3:$A$12,MATCH(Data[[#This Row],[ItemID B]],Katalog!$C$3:$C$12,0)),"-")</f>
        <v>Sepatu Pria</v>
      </c>
      <c r="L332" t="str">
        <f>IFERROR(INDEX(Katalog!$B$3:$B$12,MATCH(Data[[#This Row],[ItemID B]],Katalog!$C$3:$C$12,0)),"-")</f>
        <v>Sandal Slip On</v>
      </c>
      <c r="M332">
        <v>1</v>
      </c>
      <c r="N332">
        <v>1</v>
      </c>
      <c r="O332" s="36">
        <f>IFERROR(INDEX(Katalog!$D$3:$D$12,MATCH(Data[[#This Row],[ItemID B]],Katalog!$C$3:$C$12,0))*Data[[#This Row],[Qty B]],"0")</f>
        <v>150000</v>
      </c>
      <c r="P332" s="36">
        <f>IFERROR(INDEX(Katalog!$F$3:$F$12,MATCH(Data[[#This Row],[ItemID B]],Katalog!$C$3:$C$12,0))*Data[[#This Row],[Qty B]],"0")</f>
        <v>60000</v>
      </c>
      <c r="Q332" t="s">
        <v>67</v>
      </c>
      <c r="R332" t="str">
        <f>IFERROR(INDEX(Katalog!$A$3:$A$12,MATCH(Data[[#This Row],[ItemID C]],Katalog!$C$3:$C$12,0)),"-")</f>
        <v>Sepatu Wanita</v>
      </c>
      <c r="S332" t="str">
        <f>IFERROR(INDEX(Katalog!$B$3:$B$12,MATCH(Data[[#This Row],[ItemID C]],Katalog!$C$3:$C$12,0)),"-")</f>
        <v>Flat Shoes</v>
      </c>
      <c r="T332">
        <v>2</v>
      </c>
      <c r="U332">
        <v>2</v>
      </c>
      <c r="V332" s="36">
        <f>IFERROR(INDEX(Katalog!$D$3:$D$12,MATCH(Data[[#This Row],[ItemID C]],Katalog!$C$3:$C$12,0))*Data[[#This Row],[Qty C]],"0")</f>
        <v>500000</v>
      </c>
      <c r="W332" s="36">
        <f>IFERROR(INDEX(Katalog!$F$3:$F$12,MATCH(Data[[#This Row],[ItemID C]],Katalog!$C$3:$C$12,0))*Data[[#This Row],[Qty C]],"0")</f>
        <v>200000</v>
      </c>
      <c r="X332" s="21">
        <f>Data[[#This Row],[Qty A]]+Data[[#This Row],[Qty B]]+Data[[#This Row],[Qty C]]</f>
        <v>4</v>
      </c>
      <c r="Y332" s="22">
        <f>Data[[#This Row],[Harga Barang A]]+Data[[#This Row],[Harga Barang B]]+Data[[#This Row],[Harga Barang C]]</f>
        <v>800000</v>
      </c>
      <c r="Z332" s="35">
        <f>IFERROR(Data[[#This Row],[Total Harga]]-(Data[[#This Row],[Total Harga]]*Data[[#This Row],[Diskon]]),Data[[#This Row],[Total Harga]])</f>
        <v>800000</v>
      </c>
      <c r="AA332" s="35">
        <f>(Data[[#This Row],[Profit A]]+Data[[#This Row],[Profit B]]+Data[[#This Row],[Profit C]])</f>
        <v>310000</v>
      </c>
      <c r="AB332" s="35">
        <f>IFERROR((Data[[#This Row],[Profit non Diskon]]-(Data[[#This Row],[Profit non Diskon]]*Data[[#This Row],[Diskon]])),Data[[#This Row],[Profit non Diskon]])</f>
        <v>310000</v>
      </c>
      <c r="AC332" s="23" t="s">
        <v>11</v>
      </c>
      <c r="AD332" s="37" t="str">
        <f>IFERROR(INDEX('Kode Diskon'!$D$3:$D$9,MATCH(Data[[#This Row],[Kode diskon]],'Kode Diskon'!$C$3:$C$9,0)),"-")</f>
        <v>-</v>
      </c>
      <c r="AE332" s="23" t="s">
        <v>11</v>
      </c>
      <c r="AF332" s="23" t="s">
        <v>7</v>
      </c>
      <c r="AG332" s="23" t="s">
        <v>75</v>
      </c>
      <c r="AH332" s="24">
        <v>45028</v>
      </c>
      <c r="AI332" s="23" t="str">
        <f>TEXT(Data[[#This Row],[Tanggal terjual]],"dddd")</f>
        <v>Wednesday</v>
      </c>
      <c r="AJ332" s="21" t="str">
        <f>TEXT(Data[[#This Row],[Tanggal terjual]],"wwww")</f>
        <v>wwww</v>
      </c>
    </row>
    <row r="333" spans="1:36" x14ac:dyDescent="0.2">
      <c r="A333" s="20">
        <v>332</v>
      </c>
      <c r="B333" s="21" t="str">
        <f>_xlfn.CONCAT("ORD-",INDEX(Helper!$B$2:$B$5,MATCH(Data[[#This Row],[Marketplace]],Helper!$A$2:$A$5,0)),TEXT(Data[[#This Row],[No]],"0000"),"-",TEXT(Data[[#This Row],[Tanggal terjual]],"dd/mm/yy"))</f>
        <v>ORD-SP0332-01/04/23</v>
      </c>
      <c r="C333" t="s">
        <v>63</v>
      </c>
      <c r="D333" t="str">
        <f>IFERROR(INDEX(Katalog!$A$3:$A$12,MATCH(Data[[#This Row],[ItemID A]],Katalog!$C$3:$C$12,0)),"-")</f>
        <v>Pakaian Pria</v>
      </c>
      <c r="E333" t="str">
        <f>IFERROR(INDEX(Katalog!$B$3:$B$12,MATCH(Data[[#This Row],[ItemID A]],Katalog!$C$3:$C$12,0)),"-")</f>
        <v>Jaket Jeans</v>
      </c>
      <c r="F333">
        <v>2</v>
      </c>
      <c r="G333">
        <v>4</v>
      </c>
      <c r="H333" s="36">
        <f>IFERROR(INDEX(Katalog!$D$3:$D$12,MATCH(Data[[#This Row],[ItemID A]],Katalog!$C$3:$C$12,0))*Data[[#This Row],[Qty A]],"0")</f>
        <v>800000</v>
      </c>
      <c r="I333" s="36">
        <f>IFERROR(INDEX(Katalog!$F$3:$F$12,MATCH(Data[[#This Row],[ItemID A]],Katalog!$C$3:$C$12,0))*Data[[#This Row],[Qty A]],0)</f>
        <v>300000</v>
      </c>
      <c r="J333" t="s">
        <v>62</v>
      </c>
      <c r="K333" t="str">
        <f>IFERROR(INDEX(Katalog!$A$3:$A$12,MATCH(Data[[#This Row],[ItemID B]],Katalog!$C$3:$C$12,0)),"-")</f>
        <v>Pakaian Pria</v>
      </c>
      <c r="L333" t="str">
        <f>IFERROR(INDEX(Katalog!$B$3:$B$12,MATCH(Data[[#This Row],[ItemID B]],Katalog!$C$3:$C$12,0)),"-")</f>
        <v>Celana Pendek</v>
      </c>
      <c r="M333">
        <v>1</v>
      </c>
      <c r="N333">
        <v>5</v>
      </c>
      <c r="O333" s="36">
        <f>IFERROR(INDEX(Katalog!$D$3:$D$12,MATCH(Data[[#This Row],[ItemID B]],Katalog!$C$3:$C$12,0))*Data[[#This Row],[Qty B]],"0")</f>
        <v>180000</v>
      </c>
      <c r="P333" s="36">
        <f>IFERROR(INDEX(Katalog!$F$3:$F$12,MATCH(Data[[#This Row],[ItemID B]],Katalog!$C$3:$C$12,0))*Data[[#This Row],[Qty B]],"0")</f>
        <v>70000</v>
      </c>
      <c r="Q333" t="s">
        <v>62</v>
      </c>
      <c r="R333" t="str">
        <f>IFERROR(INDEX(Katalog!$A$3:$A$12,MATCH(Data[[#This Row],[ItemID C]],Katalog!$C$3:$C$12,0)),"-")</f>
        <v>Pakaian Pria</v>
      </c>
      <c r="S333" t="str">
        <f>IFERROR(INDEX(Katalog!$B$3:$B$12,MATCH(Data[[#This Row],[ItemID C]],Katalog!$C$3:$C$12,0)),"-")</f>
        <v>Celana Pendek</v>
      </c>
      <c r="T333">
        <v>2</v>
      </c>
      <c r="U333">
        <v>1</v>
      </c>
      <c r="V333" s="36">
        <f>IFERROR(INDEX(Katalog!$D$3:$D$12,MATCH(Data[[#This Row],[ItemID C]],Katalog!$C$3:$C$12,0))*Data[[#This Row],[Qty C]],"0")</f>
        <v>360000</v>
      </c>
      <c r="W333" s="36">
        <f>IFERROR(INDEX(Katalog!$F$3:$F$12,MATCH(Data[[#This Row],[ItemID C]],Katalog!$C$3:$C$12,0))*Data[[#This Row],[Qty C]],"0")</f>
        <v>140000</v>
      </c>
      <c r="X333" s="21">
        <f>Data[[#This Row],[Qty A]]+Data[[#This Row],[Qty B]]+Data[[#This Row],[Qty C]]</f>
        <v>5</v>
      </c>
      <c r="Y333" s="22">
        <f>Data[[#This Row],[Harga Barang A]]+Data[[#This Row],[Harga Barang B]]+Data[[#This Row],[Harga Barang C]]</f>
        <v>1340000</v>
      </c>
      <c r="Z333" s="35">
        <f>IFERROR(Data[[#This Row],[Total Harga]]-(Data[[#This Row],[Total Harga]]*Data[[#This Row],[Diskon]]),Data[[#This Row],[Total Harga]])</f>
        <v>1139000</v>
      </c>
      <c r="AA333" s="35">
        <f>(Data[[#This Row],[Profit A]]+Data[[#This Row],[Profit B]]+Data[[#This Row],[Profit C]])</f>
        <v>510000</v>
      </c>
      <c r="AB333" s="35">
        <f>IFERROR((Data[[#This Row],[Profit non Diskon]]-(Data[[#This Row],[Profit non Diskon]]*Data[[#This Row],[Diskon]])),Data[[#This Row],[Profit non Diskon]])</f>
        <v>433500</v>
      </c>
      <c r="AC333" s="23" t="s">
        <v>13</v>
      </c>
      <c r="AD333" s="37">
        <f>IFERROR(INDEX('Kode Diskon'!$D$3:$D$9,MATCH(Data[[#This Row],[Kode diskon]],'Kode Diskon'!$C$3:$C$9,0)),"-")</f>
        <v>0.15</v>
      </c>
      <c r="AE333" s="23" t="s">
        <v>29</v>
      </c>
      <c r="AF333" s="23" t="s">
        <v>7</v>
      </c>
      <c r="AG333" s="23" t="s">
        <v>80</v>
      </c>
      <c r="AH333" s="24">
        <v>45017</v>
      </c>
      <c r="AI333" s="23" t="str">
        <f>TEXT(Data[[#This Row],[Tanggal terjual]],"dddd")</f>
        <v>Saturday</v>
      </c>
      <c r="AJ333" s="21" t="str">
        <f>TEXT(Data[[#This Row],[Tanggal terjual]],"wwww")</f>
        <v>wwww</v>
      </c>
    </row>
    <row r="334" spans="1:36" x14ac:dyDescent="0.2">
      <c r="A334" s="20">
        <v>333</v>
      </c>
      <c r="B334" s="21" t="str">
        <f>_xlfn.CONCAT("ORD-",INDEX(Helper!$B$2:$B$5,MATCH(Data[[#This Row],[Marketplace]],Helper!$A$2:$A$5,0)),TEXT(Data[[#This Row],[No]],"0000"),"-",TEXT(Data[[#This Row],[Tanggal terjual]],"dd/mm/yy"))</f>
        <v>ORD-BL0333-25/04/23</v>
      </c>
      <c r="C334" t="s">
        <v>66</v>
      </c>
      <c r="D334" t="str">
        <f>IFERROR(INDEX(Katalog!$A$3:$A$12,MATCH(Data[[#This Row],[ItemID A]],Katalog!$C$3:$C$12,0)),"-")</f>
        <v>Sepatu Pria</v>
      </c>
      <c r="E334" t="str">
        <f>IFERROR(INDEX(Katalog!$B$3:$B$12,MATCH(Data[[#This Row],[ItemID A]],Katalog!$C$3:$C$12,0)),"-")</f>
        <v>Sandal Slip On</v>
      </c>
      <c r="F334">
        <v>1</v>
      </c>
      <c r="G334">
        <v>2</v>
      </c>
      <c r="H334" s="36">
        <f>IFERROR(INDEX(Katalog!$D$3:$D$12,MATCH(Data[[#This Row],[ItemID A]],Katalog!$C$3:$C$12,0))*Data[[#This Row],[Qty A]],"0")</f>
        <v>150000</v>
      </c>
      <c r="I334" s="36">
        <f>IFERROR(INDEX(Katalog!$F$3:$F$12,MATCH(Data[[#This Row],[ItemID A]],Katalog!$C$3:$C$12,0))*Data[[#This Row],[Qty A]],0)</f>
        <v>60000</v>
      </c>
      <c r="J334" t="s">
        <v>67</v>
      </c>
      <c r="K334" t="str">
        <f>IFERROR(INDEX(Katalog!$A$3:$A$12,MATCH(Data[[#This Row],[ItemID B]],Katalog!$C$3:$C$12,0)),"-")</f>
        <v>Sepatu Wanita</v>
      </c>
      <c r="L334" t="str">
        <f>IFERROR(INDEX(Katalog!$B$3:$B$12,MATCH(Data[[#This Row],[ItemID B]],Katalog!$C$3:$C$12,0)),"-")</f>
        <v>Flat Shoes</v>
      </c>
      <c r="M334">
        <v>3</v>
      </c>
      <c r="N334">
        <v>1</v>
      </c>
      <c r="O334" s="36">
        <f>IFERROR(INDEX(Katalog!$D$3:$D$12,MATCH(Data[[#This Row],[ItemID B]],Katalog!$C$3:$C$12,0))*Data[[#This Row],[Qty B]],"0")</f>
        <v>750000</v>
      </c>
      <c r="P334" s="36">
        <f>IFERROR(INDEX(Katalog!$F$3:$F$12,MATCH(Data[[#This Row],[ItemID B]],Katalog!$C$3:$C$12,0))*Data[[#This Row],[Qty B]],"0")</f>
        <v>300000</v>
      </c>
      <c r="R334" t="str">
        <f>IFERROR(INDEX(Katalog!$A$3:$A$12,MATCH(Data[[#This Row],[ItemID C]],Katalog!$C$3:$C$12,0)),"-")</f>
        <v>-</v>
      </c>
      <c r="S334" t="str">
        <f>IFERROR(INDEX(Katalog!$B$3:$B$12,MATCH(Data[[#This Row],[ItemID C]],Katalog!$C$3:$C$12,0)),"-")</f>
        <v>-</v>
      </c>
      <c r="V334" s="36" t="str">
        <f>IFERROR(INDEX(Katalog!$D$3:$D$12,MATCH(Data[[#This Row],[ItemID C]],Katalog!$C$3:$C$12,0))*Data[[#This Row],[Qty C]],"0")</f>
        <v>0</v>
      </c>
      <c r="W334" s="36" t="str">
        <f>IFERROR(INDEX(Katalog!$F$3:$F$12,MATCH(Data[[#This Row],[ItemID C]],Katalog!$C$3:$C$12,0))*Data[[#This Row],[Qty C]],"0")</f>
        <v>0</v>
      </c>
      <c r="X334" s="21">
        <f>Data[[#This Row],[Qty A]]+Data[[#This Row],[Qty B]]+Data[[#This Row],[Qty C]]</f>
        <v>4</v>
      </c>
      <c r="Y334" s="22">
        <f>Data[[#This Row],[Harga Barang A]]+Data[[#This Row],[Harga Barang B]]+Data[[#This Row],[Harga Barang C]]</f>
        <v>900000</v>
      </c>
      <c r="Z334" s="35">
        <f>IFERROR(Data[[#This Row],[Total Harga]]-(Data[[#This Row],[Total Harga]]*Data[[#This Row],[Diskon]]),Data[[#This Row],[Total Harga]])</f>
        <v>765000</v>
      </c>
      <c r="AA334" s="35">
        <f>(Data[[#This Row],[Profit A]]+Data[[#This Row],[Profit B]]+Data[[#This Row],[Profit C]])</f>
        <v>360000</v>
      </c>
      <c r="AB334" s="35">
        <f>IFERROR((Data[[#This Row],[Profit non Diskon]]-(Data[[#This Row],[Profit non Diskon]]*Data[[#This Row],[Diskon]])),Data[[#This Row],[Profit non Diskon]])</f>
        <v>306000</v>
      </c>
      <c r="AC334" s="23" t="s">
        <v>32</v>
      </c>
      <c r="AD334" s="37">
        <f>IFERROR(INDEX('Kode Diskon'!$D$3:$D$9,MATCH(Data[[#This Row],[Kode diskon]],'Kode Diskon'!$C$3:$C$9,0)),"-")</f>
        <v>0.15</v>
      </c>
      <c r="AE334" s="23" t="s">
        <v>9</v>
      </c>
      <c r="AF334" s="23" t="s">
        <v>12</v>
      </c>
      <c r="AG334" s="23" t="s">
        <v>80</v>
      </c>
      <c r="AH334" s="24">
        <v>45041</v>
      </c>
      <c r="AI334" s="23" t="str">
        <f>TEXT(Data[[#This Row],[Tanggal terjual]],"dddd")</f>
        <v>Tuesday</v>
      </c>
      <c r="AJ334" s="21" t="str">
        <f>TEXT(Data[[#This Row],[Tanggal terjual]],"wwww")</f>
        <v>wwww</v>
      </c>
    </row>
    <row r="335" spans="1:36" x14ac:dyDescent="0.2">
      <c r="A335" s="20">
        <v>334</v>
      </c>
      <c r="B335" s="21" t="str">
        <f>_xlfn.CONCAT("ORD-",INDEX(Helper!$B$2:$B$5,MATCH(Data[[#This Row],[Marketplace]],Helper!$A$2:$A$5,0)),TEXT(Data[[#This Row],[No]],"0000"),"-",TEXT(Data[[#This Row],[Tanggal terjual]],"dd/mm/yy"))</f>
        <v>ORD-TK0334-01/04/23</v>
      </c>
      <c r="C335" t="s">
        <v>65</v>
      </c>
      <c r="D335" t="str">
        <f>IFERROR(INDEX(Katalog!$A$3:$A$12,MATCH(Data[[#This Row],[ItemID A]],Katalog!$C$3:$C$12,0)),"-")</f>
        <v>Sepatu Pria</v>
      </c>
      <c r="E335" t="str">
        <f>IFERROR(INDEX(Katalog!$B$3:$B$12,MATCH(Data[[#This Row],[ItemID A]],Katalog!$C$3:$C$12,0)),"-")</f>
        <v>Sneakers</v>
      </c>
      <c r="F335">
        <v>6</v>
      </c>
      <c r="G335">
        <v>4</v>
      </c>
      <c r="H335" s="36">
        <f>IFERROR(INDEX(Katalog!$D$3:$D$12,MATCH(Data[[#This Row],[ItemID A]],Katalog!$C$3:$C$12,0))*Data[[#This Row],[Qty A]],"0")</f>
        <v>3000000</v>
      </c>
      <c r="I335" s="36">
        <f>IFERROR(INDEX(Katalog!$F$3:$F$12,MATCH(Data[[#This Row],[ItemID A]],Katalog!$C$3:$C$12,0))*Data[[#This Row],[Qty A]],0)</f>
        <v>1200000</v>
      </c>
      <c r="J335" t="s">
        <v>64</v>
      </c>
      <c r="K335" t="str">
        <f>IFERROR(INDEX(Katalog!$A$3:$A$12,MATCH(Data[[#This Row],[ItemID B]],Katalog!$C$3:$C$12,0)),"-")</f>
        <v>Pakaian Unisex</v>
      </c>
      <c r="L335" t="str">
        <f>IFERROR(INDEX(Katalog!$B$3:$B$12,MATCH(Data[[#This Row],[ItemID B]],Katalog!$C$3:$C$12,0)),"-")</f>
        <v>Jaket Hoodie</v>
      </c>
      <c r="M335">
        <v>1</v>
      </c>
      <c r="N335">
        <v>4</v>
      </c>
      <c r="O335" s="36">
        <f>IFERROR(INDEX(Katalog!$D$3:$D$12,MATCH(Data[[#This Row],[ItemID B]],Katalog!$C$3:$C$12,0))*Data[[#This Row],[Qty B]],"0")</f>
        <v>350000</v>
      </c>
      <c r="P335" s="36">
        <f>IFERROR(INDEX(Katalog!$F$3:$F$12,MATCH(Data[[#This Row],[ItemID B]],Katalog!$C$3:$C$12,0))*Data[[#This Row],[Qty B]],"0")</f>
        <v>130000</v>
      </c>
      <c r="R335" t="str">
        <f>IFERROR(INDEX(Katalog!$A$3:$A$12,MATCH(Data[[#This Row],[ItemID C]],Katalog!$C$3:$C$12,0)),"-")</f>
        <v>-</v>
      </c>
      <c r="S335" t="str">
        <f>IFERROR(INDEX(Katalog!$B$3:$B$12,MATCH(Data[[#This Row],[ItemID C]],Katalog!$C$3:$C$12,0)),"-")</f>
        <v>-</v>
      </c>
      <c r="V335" s="36" t="str">
        <f>IFERROR(INDEX(Katalog!$D$3:$D$12,MATCH(Data[[#This Row],[ItemID C]],Katalog!$C$3:$C$12,0))*Data[[#This Row],[Qty C]],"0")</f>
        <v>0</v>
      </c>
      <c r="W335" s="36" t="str">
        <f>IFERROR(INDEX(Katalog!$F$3:$F$12,MATCH(Data[[#This Row],[ItemID C]],Katalog!$C$3:$C$12,0))*Data[[#This Row],[Qty C]],"0")</f>
        <v>0</v>
      </c>
      <c r="X335" s="21">
        <f>Data[[#This Row],[Qty A]]+Data[[#This Row],[Qty B]]+Data[[#This Row],[Qty C]]</f>
        <v>7</v>
      </c>
      <c r="Y335" s="22">
        <f>Data[[#This Row],[Harga Barang A]]+Data[[#This Row],[Harga Barang B]]+Data[[#This Row],[Harga Barang C]]</f>
        <v>3350000</v>
      </c>
      <c r="Z335" s="35">
        <f>IFERROR(Data[[#This Row],[Total Harga]]-(Data[[#This Row],[Total Harga]]*Data[[#This Row],[Diskon]]),Data[[#This Row],[Total Harga]])</f>
        <v>3015000</v>
      </c>
      <c r="AA335" s="35">
        <f>(Data[[#This Row],[Profit A]]+Data[[#This Row],[Profit B]]+Data[[#This Row],[Profit C]])</f>
        <v>1330000</v>
      </c>
      <c r="AB335" s="35">
        <f>IFERROR((Data[[#This Row],[Profit non Diskon]]-(Data[[#This Row],[Profit non Diskon]]*Data[[#This Row],[Diskon]])),Data[[#This Row],[Profit non Diskon]])</f>
        <v>1197000</v>
      </c>
      <c r="AC335" s="23" t="s">
        <v>30</v>
      </c>
      <c r="AD335" s="37">
        <f>IFERROR(INDEX('Kode Diskon'!$D$3:$D$9,MATCH(Data[[#This Row],[Kode diskon]],'Kode Diskon'!$C$3:$C$9,0)),"-")</f>
        <v>0.1</v>
      </c>
      <c r="AE335" s="23" t="s">
        <v>29</v>
      </c>
      <c r="AF335" s="23" t="s">
        <v>10</v>
      </c>
      <c r="AG335" s="23" t="s">
        <v>80</v>
      </c>
      <c r="AH335" s="24">
        <v>45017</v>
      </c>
      <c r="AI335" s="23" t="str">
        <f>TEXT(Data[[#This Row],[Tanggal terjual]],"dddd")</f>
        <v>Saturday</v>
      </c>
      <c r="AJ335" s="21" t="str">
        <f>TEXT(Data[[#This Row],[Tanggal terjual]],"wwww")</f>
        <v>wwww</v>
      </c>
    </row>
    <row r="336" spans="1:36" x14ac:dyDescent="0.2">
      <c r="A336" s="20">
        <v>335</v>
      </c>
      <c r="B336" s="21" t="str">
        <f>_xlfn.CONCAT("ORD-",INDEX(Helper!$B$2:$B$5,MATCH(Data[[#This Row],[Marketplace]],Helper!$A$2:$A$5,0)),TEXT(Data[[#This Row],[No]],"0000"),"-",TEXT(Data[[#This Row],[Tanggal terjual]],"dd/mm/yy"))</f>
        <v>ORD-SP0335-27/04/23</v>
      </c>
      <c r="C336" t="s">
        <v>63</v>
      </c>
      <c r="D336" t="str">
        <f>IFERROR(INDEX(Katalog!$A$3:$A$12,MATCH(Data[[#This Row],[ItemID A]],Katalog!$C$3:$C$12,0)),"-")</f>
        <v>Pakaian Pria</v>
      </c>
      <c r="E336" t="str">
        <f>IFERROR(INDEX(Katalog!$B$3:$B$12,MATCH(Data[[#This Row],[ItemID A]],Katalog!$C$3:$C$12,0)),"-")</f>
        <v>Jaket Jeans</v>
      </c>
      <c r="F336">
        <v>2</v>
      </c>
      <c r="G336">
        <v>2</v>
      </c>
      <c r="H336" s="36">
        <f>IFERROR(INDEX(Katalog!$D$3:$D$12,MATCH(Data[[#This Row],[ItemID A]],Katalog!$C$3:$C$12,0))*Data[[#This Row],[Qty A]],"0")</f>
        <v>800000</v>
      </c>
      <c r="I336" s="36">
        <f>IFERROR(INDEX(Katalog!$F$3:$F$12,MATCH(Data[[#This Row],[ItemID A]],Katalog!$C$3:$C$12,0))*Data[[#This Row],[Qty A]],0)</f>
        <v>300000</v>
      </c>
      <c r="J336" t="s">
        <v>59</v>
      </c>
      <c r="K336" t="str">
        <f>IFERROR(INDEX(Katalog!$A$3:$A$12,MATCH(Data[[#This Row],[ItemID B]],Katalog!$C$3:$C$12,0)),"-")</f>
        <v>Pakaian Wanita</v>
      </c>
      <c r="L336" t="str">
        <f>IFERROR(INDEX(Katalog!$B$3:$B$12,MATCH(Data[[#This Row],[ItemID B]],Katalog!$C$3:$C$12,0)),"-")</f>
        <v>Blouse</v>
      </c>
      <c r="M336">
        <v>1</v>
      </c>
      <c r="N336">
        <v>2</v>
      </c>
      <c r="O336" s="36">
        <f>IFERROR(INDEX(Katalog!$D$3:$D$12,MATCH(Data[[#This Row],[ItemID B]],Katalog!$C$3:$C$12,0))*Data[[#This Row],[Qty B]],"0")</f>
        <v>150000</v>
      </c>
      <c r="P336" s="36">
        <f>IFERROR(INDEX(Katalog!$F$3:$F$12,MATCH(Data[[#This Row],[ItemID B]],Katalog!$C$3:$C$12,0))*Data[[#This Row],[Qty B]],"0")</f>
        <v>50000</v>
      </c>
      <c r="R336" t="str">
        <f>IFERROR(INDEX(Katalog!$A$3:$A$12,MATCH(Data[[#This Row],[ItemID C]],Katalog!$C$3:$C$12,0)),"-")</f>
        <v>-</v>
      </c>
      <c r="S336" t="str">
        <f>IFERROR(INDEX(Katalog!$B$3:$B$12,MATCH(Data[[#This Row],[ItemID C]],Katalog!$C$3:$C$12,0)),"-")</f>
        <v>-</v>
      </c>
      <c r="V336" s="36" t="str">
        <f>IFERROR(INDEX(Katalog!$D$3:$D$12,MATCH(Data[[#This Row],[ItemID C]],Katalog!$C$3:$C$12,0))*Data[[#This Row],[Qty C]],"0")</f>
        <v>0</v>
      </c>
      <c r="W336" s="36" t="str">
        <f>IFERROR(INDEX(Katalog!$F$3:$F$12,MATCH(Data[[#This Row],[ItemID C]],Katalog!$C$3:$C$12,0))*Data[[#This Row],[Qty C]],"0")</f>
        <v>0</v>
      </c>
      <c r="X336" s="21">
        <f>Data[[#This Row],[Qty A]]+Data[[#This Row],[Qty B]]+Data[[#This Row],[Qty C]]</f>
        <v>3</v>
      </c>
      <c r="Y336" s="22">
        <f>Data[[#This Row],[Harga Barang A]]+Data[[#This Row],[Harga Barang B]]+Data[[#This Row],[Harga Barang C]]</f>
        <v>950000</v>
      </c>
      <c r="Z336" s="35">
        <f>IFERROR(Data[[#This Row],[Total Harga]]-(Data[[#This Row],[Total Harga]]*Data[[#This Row],[Diskon]]),Data[[#This Row],[Total Harga]])</f>
        <v>760000</v>
      </c>
      <c r="AA336" s="35">
        <f>(Data[[#This Row],[Profit A]]+Data[[#This Row],[Profit B]]+Data[[#This Row],[Profit C]])</f>
        <v>350000</v>
      </c>
      <c r="AB336" s="35">
        <f>IFERROR((Data[[#This Row],[Profit non Diskon]]-(Data[[#This Row],[Profit non Diskon]]*Data[[#This Row],[Diskon]])),Data[[#This Row],[Profit non Diskon]])</f>
        <v>280000</v>
      </c>
      <c r="AC336" s="23" t="s">
        <v>8</v>
      </c>
      <c r="AD336" s="37">
        <f>IFERROR(INDEX('Kode Diskon'!$D$3:$D$9,MATCH(Data[[#This Row],[Kode diskon]],'Kode Diskon'!$C$3:$C$9,0)),"-")</f>
        <v>0.2</v>
      </c>
      <c r="AE336" s="23" t="s">
        <v>9</v>
      </c>
      <c r="AF336" s="23" t="s">
        <v>7</v>
      </c>
      <c r="AG336" s="23" t="s">
        <v>79</v>
      </c>
      <c r="AH336" s="24">
        <v>45043</v>
      </c>
      <c r="AI336" s="23" t="str">
        <f>TEXT(Data[[#This Row],[Tanggal terjual]],"dddd")</f>
        <v>Thursday</v>
      </c>
      <c r="AJ336" s="21" t="str">
        <f>TEXT(Data[[#This Row],[Tanggal terjual]],"wwww")</f>
        <v>wwww</v>
      </c>
    </row>
    <row r="337" spans="1:36" x14ac:dyDescent="0.2">
      <c r="A337" s="20">
        <v>336</v>
      </c>
      <c r="B337" s="21" t="str">
        <f>_xlfn.CONCAT("ORD-",INDEX(Helper!$B$2:$B$5,MATCH(Data[[#This Row],[Marketplace]],Helper!$A$2:$A$5,0)),TEXT(Data[[#This Row],[No]],"0000"),"-",TEXT(Data[[#This Row],[Tanggal terjual]],"dd/mm/yy"))</f>
        <v>ORD-BB0336-10/04/23</v>
      </c>
      <c r="C337" t="s">
        <v>66</v>
      </c>
      <c r="D337" t="str">
        <f>IFERROR(INDEX(Katalog!$A$3:$A$12,MATCH(Data[[#This Row],[ItemID A]],Katalog!$C$3:$C$12,0)),"-")</f>
        <v>Sepatu Pria</v>
      </c>
      <c r="E337" t="str">
        <f>IFERROR(INDEX(Katalog!$B$3:$B$12,MATCH(Data[[#This Row],[ItemID A]],Katalog!$C$3:$C$12,0)),"-")</f>
        <v>Sandal Slip On</v>
      </c>
      <c r="F337">
        <v>1</v>
      </c>
      <c r="G337">
        <v>4</v>
      </c>
      <c r="H337" s="36">
        <f>IFERROR(INDEX(Katalog!$D$3:$D$12,MATCH(Data[[#This Row],[ItemID A]],Katalog!$C$3:$C$12,0))*Data[[#This Row],[Qty A]],"0")</f>
        <v>150000</v>
      </c>
      <c r="I337" s="36">
        <f>IFERROR(INDEX(Katalog!$F$3:$F$12,MATCH(Data[[#This Row],[ItemID A]],Katalog!$C$3:$C$12,0))*Data[[#This Row],[Qty A]],0)</f>
        <v>60000</v>
      </c>
      <c r="J337" t="s">
        <v>63</v>
      </c>
      <c r="K337" t="str">
        <f>IFERROR(INDEX(Katalog!$A$3:$A$12,MATCH(Data[[#This Row],[ItemID B]],Katalog!$C$3:$C$12,0)),"-")</f>
        <v>Pakaian Pria</v>
      </c>
      <c r="L337" t="str">
        <f>IFERROR(INDEX(Katalog!$B$3:$B$12,MATCH(Data[[#This Row],[ItemID B]],Katalog!$C$3:$C$12,0)),"-")</f>
        <v>Jaket Jeans</v>
      </c>
      <c r="M337">
        <v>1</v>
      </c>
      <c r="N337">
        <v>1</v>
      </c>
      <c r="O337" s="36">
        <f>IFERROR(INDEX(Katalog!$D$3:$D$12,MATCH(Data[[#This Row],[ItemID B]],Katalog!$C$3:$C$12,0))*Data[[#This Row],[Qty B]],"0")</f>
        <v>400000</v>
      </c>
      <c r="P337" s="36">
        <f>IFERROR(INDEX(Katalog!$F$3:$F$12,MATCH(Data[[#This Row],[ItemID B]],Katalog!$C$3:$C$12,0))*Data[[#This Row],[Qty B]],"0")</f>
        <v>150000</v>
      </c>
      <c r="Q337" t="s">
        <v>59</v>
      </c>
      <c r="R337" t="str">
        <f>IFERROR(INDEX(Katalog!$A$3:$A$12,MATCH(Data[[#This Row],[ItemID C]],Katalog!$C$3:$C$12,0)),"-")</f>
        <v>Pakaian Wanita</v>
      </c>
      <c r="S337" t="str">
        <f>IFERROR(INDEX(Katalog!$B$3:$B$12,MATCH(Data[[#This Row],[ItemID C]],Katalog!$C$3:$C$12,0)),"-")</f>
        <v>Blouse</v>
      </c>
      <c r="T337">
        <v>1</v>
      </c>
      <c r="U337">
        <v>4</v>
      </c>
      <c r="V337" s="36">
        <f>IFERROR(INDEX(Katalog!$D$3:$D$12,MATCH(Data[[#This Row],[ItemID C]],Katalog!$C$3:$C$12,0))*Data[[#This Row],[Qty C]],"0")</f>
        <v>150000</v>
      </c>
      <c r="W337" s="36">
        <f>IFERROR(INDEX(Katalog!$F$3:$F$12,MATCH(Data[[#This Row],[ItemID C]],Katalog!$C$3:$C$12,0))*Data[[#This Row],[Qty C]],"0")</f>
        <v>50000</v>
      </c>
      <c r="X337" s="21">
        <f>Data[[#This Row],[Qty A]]+Data[[#This Row],[Qty B]]+Data[[#This Row],[Qty C]]</f>
        <v>3</v>
      </c>
      <c r="Y337" s="22">
        <f>Data[[#This Row],[Harga Barang A]]+Data[[#This Row],[Harga Barang B]]+Data[[#This Row],[Harga Barang C]]</f>
        <v>700000</v>
      </c>
      <c r="Z337" s="35">
        <f>IFERROR(Data[[#This Row],[Total Harga]]-(Data[[#This Row],[Total Harga]]*Data[[#This Row],[Diskon]]),Data[[#This Row],[Total Harga]])</f>
        <v>700000</v>
      </c>
      <c r="AA337" s="35">
        <f>(Data[[#This Row],[Profit A]]+Data[[#This Row],[Profit B]]+Data[[#This Row],[Profit C]])</f>
        <v>260000</v>
      </c>
      <c r="AB337" s="35">
        <f>IFERROR((Data[[#This Row],[Profit non Diskon]]-(Data[[#This Row],[Profit non Diskon]]*Data[[#This Row],[Diskon]])),Data[[#This Row],[Profit non Diskon]])</f>
        <v>260000</v>
      </c>
      <c r="AC337" s="23" t="s">
        <v>11</v>
      </c>
      <c r="AD337" s="37" t="str">
        <f>IFERROR(INDEX('Kode Diskon'!$D$3:$D$9,MATCH(Data[[#This Row],[Kode diskon]],'Kode Diskon'!$C$3:$C$9,0)),"-")</f>
        <v>-</v>
      </c>
      <c r="AE337" s="23" t="s">
        <v>11</v>
      </c>
      <c r="AF337" s="23" t="s">
        <v>14</v>
      </c>
      <c r="AG337" s="23" t="s">
        <v>76</v>
      </c>
      <c r="AH337" s="24">
        <v>45026</v>
      </c>
      <c r="AI337" s="23" t="str">
        <f>TEXT(Data[[#This Row],[Tanggal terjual]],"dddd")</f>
        <v>Monday</v>
      </c>
      <c r="AJ337" s="21" t="str">
        <f>TEXT(Data[[#This Row],[Tanggal terjual]],"wwww")</f>
        <v>wwww</v>
      </c>
    </row>
    <row r="338" spans="1:36" x14ac:dyDescent="0.2">
      <c r="A338" s="20">
        <v>337</v>
      </c>
      <c r="B338" s="21" t="str">
        <f>_xlfn.CONCAT("ORD-",INDEX(Helper!$B$2:$B$5,MATCH(Data[[#This Row],[Marketplace]],Helper!$A$2:$A$5,0)),TEXT(Data[[#This Row],[No]],"0000"),"-",TEXT(Data[[#This Row],[Tanggal terjual]],"dd/mm/yy"))</f>
        <v>ORD-SP0337-01/04/23</v>
      </c>
      <c r="C338" t="s">
        <v>59</v>
      </c>
      <c r="D338" t="str">
        <f>IFERROR(INDEX(Katalog!$A$3:$A$12,MATCH(Data[[#This Row],[ItemID A]],Katalog!$C$3:$C$12,0)),"-")</f>
        <v>Pakaian Wanita</v>
      </c>
      <c r="E338" t="str">
        <f>IFERROR(INDEX(Katalog!$B$3:$B$12,MATCH(Data[[#This Row],[ItemID A]],Katalog!$C$3:$C$12,0)),"-")</f>
        <v>Blouse</v>
      </c>
      <c r="F338">
        <v>1</v>
      </c>
      <c r="G338">
        <v>3</v>
      </c>
      <c r="H338" s="36">
        <f>IFERROR(INDEX(Katalog!$D$3:$D$12,MATCH(Data[[#This Row],[ItemID A]],Katalog!$C$3:$C$12,0))*Data[[#This Row],[Qty A]],"0")</f>
        <v>150000</v>
      </c>
      <c r="I338" s="36">
        <f>IFERROR(INDEX(Katalog!$F$3:$F$12,MATCH(Data[[#This Row],[ItemID A]],Katalog!$C$3:$C$12,0))*Data[[#This Row],[Qty A]],0)</f>
        <v>50000</v>
      </c>
      <c r="K338" t="str">
        <f>IFERROR(INDEX(Katalog!$A$3:$A$12,MATCH(Data[[#This Row],[ItemID B]],Katalog!$C$3:$C$12,0)),"-")</f>
        <v>-</v>
      </c>
      <c r="L338" t="str">
        <f>IFERROR(INDEX(Katalog!$B$3:$B$12,MATCH(Data[[#This Row],[ItemID B]],Katalog!$C$3:$C$12,0)),"-")</f>
        <v>-</v>
      </c>
      <c r="O338" s="36" t="str">
        <f>IFERROR(INDEX(Katalog!$D$3:$D$12,MATCH(Data[[#This Row],[ItemID B]],Katalog!$C$3:$C$12,0))*Data[[#This Row],[Qty B]],"0")</f>
        <v>0</v>
      </c>
      <c r="P338" s="36" t="str">
        <f>IFERROR(INDEX(Katalog!$F$3:$F$12,MATCH(Data[[#This Row],[ItemID B]],Katalog!$C$3:$C$12,0))*Data[[#This Row],[Qty B]],"0")</f>
        <v>0</v>
      </c>
      <c r="R338" t="str">
        <f>IFERROR(INDEX(Katalog!$A$3:$A$12,MATCH(Data[[#This Row],[ItemID C]],Katalog!$C$3:$C$12,0)),"-")</f>
        <v>-</v>
      </c>
      <c r="S338" t="str">
        <f>IFERROR(INDEX(Katalog!$B$3:$B$12,MATCH(Data[[#This Row],[ItemID C]],Katalog!$C$3:$C$12,0)),"-")</f>
        <v>-</v>
      </c>
      <c r="V338" s="36" t="str">
        <f>IFERROR(INDEX(Katalog!$D$3:$D$12,MATCH(Data[[#This Row],[ItemID C]],Katalog!$C$3:$C$12,0))*Data[[#This Row],[Qty C]],"0")</f>
        <v>0</v>
      </c>
      <c r="W338" s="36" t="str">
        <f>IFERROR(INDEX(Katalog!$F$3:$F$12,MATCH(Data[[#This Row],[ItemID C]],Katalog!$C$3:$C$12,0))*Data[[#This Row],[Qty C]],"0")</f>
        <v>0</v>
      </c>
      <c r="X338" s="21">
        <f>Data[[#This Row],[Qty A]]+Data[[#This Row],[Qty B]]+Data[[#This Row],[Qty C]]</f>
        <v>1</v>
      </c>
      <c r="Y338" s="22">
        <f>Data[[#This Row],[Harga Barang A]]+Data[[#This Row],[Harga Barang B]]+Data[[#This Row],[Harga Barang C]]</f>
        <v>150000</v>
      </c>
      <c r="Z338" s="35">
        <f>IFERROR(Data[[#This Row],[Total Harga]]-(Data[[#This Row],[Total Harga]]*Data[[#This Row],[Diskon]]),Data[[#This Row],[Total Harga]])</f>
        <v>135000</v>
      </c>
      <c r="AA338" s="35">
        <f>(Data[[#This Row],[Profit A]]+Data[[#This Row],[Profit B]]+Data[[#This Row],[Profit C]])</f>
        <v>50000</v>
      </c>
      <c r="AB338" s="35">
        <f>IFERROR((Data[[#This Row],[Profit non Diskon]]-(Data[[#This Row],[Profit non Diskon]]*Data[[#This Row],[Diskon]])),Data[[#This Row],[Profit non Diskon]])</f>
        <v>45000</v>
      </c>
      <c r="AC338" s="23" t="s">
        <v>6</v>
      </c>
      <c r="AD338" s="37">
        <f>IFERROR(INDEX('Kode Diskon'!$D$3:$D$9,MATCH(Data[[#This Row],[Kode diskon]],'Kode Diskon'!$C$3:$C$9,0)),"-")</f>
        <v>0.1</v>
      </c>
      <c r="AE338" s="23" t="s">
        <v>29</v>
      </c>
      <c r="AF338" s="23" t="s">
        <v>7</v>
      </c>
      <c r="AG338" s="23" t="s">
        <v>77</v>
      </c>
      <c r="AH338" s="24">
        <v>45017</v>
      </c>
      <c r="AI338" s="23" t="str">
        <f>TEXT(Data[[#This Row],[Tanggal terjual]],"dddd")</f>
        <v>Saturday</v>
      </c>
      <c r="AJ338" s="21" t="str">
        <f>TEXT(Data[[#This Row],[Tanggal terjual]],"wwww")</f>
        <v>wwww</v>
      </c>
    </row>
    <row r="339" spans="1:36" x14ac:dyDescent="0.2">
      <c r="A339" s="20">
        <v>338</v>
      </c>
      <c r="B339" s="21" t="str">
        <f>_xlfn.CONCAT("ORD-",INDEX(Helper!$B$2:$B$5,MATCH(Data[[#This Row],[Marketplace]],Helper!$A$2:$A$5,0)),TEXT(Data[[#This Row],[No]],"0000"),"-",TEXT(Data[[#This Row],[Tanggal terjual]],"dd/mm/yy"))</f>
        <v>ORD-TK0338-29/04/23</v>
      </c>
      <c r="C339" t="s">
        <v>67</v>
      </c>
      <c r="D339" t="str">
        <f>IFERROR(INDEX(Katalog!$A$3:$A$12,MATCH(Data[[#This Row],[ItemID A]],Katalog!$C$3:$C$12,0)),"-")</f>
        <v>Sepatu Wanita</v>
      </c>
      <c r="E339" t="str">
        <f>IFERROR(INDEX(Katalog!$B$3:$B$12,MATCH(Data[[#This Row],[ItemID A]],Katalog!$C$3:$C$12,0)),"-")</f>
        <v>Flat Shoes</v>
      </c>
      <c r="F339">
        <v>1</v>
      </c>
      <c r="G339">
        <v>3</v>
      </c>
      <c r="H339" s="36">
        <f>IFERROR(INDEX(Katalog!$D$3:$D$12,MATCH(Data[[#This Row],[ItemID A]],Katalog!$C$3:$C$12,0))*Data[[#This Row],[Qty A]],"0")</f>
        <v>250000</v>
      </c>
      <c r="I339" s="36">
        <f>IFERROR(INDEX(Katalog!$F$3:$F$12,MATCH(Data[[#This Row],[ItemID A]],Katalog!$C$3:$C$12,0))*Data[[#This Row],[Qty A]],0)</f>
        <v>100000</v>
      </c>
      <c r="K339" t="str">
        <f>IFERROR(INDEX(Katalog!$A$3:$A$12,MATCH(Data[[#This Row],[ItemID B]],Katalog!$C$3:$C$12,0)),"-")</f>
        <v>-</v>
      </c>
      <c r="L339" t="str">
        <f>IFERROR(INDEX(Katalog!$B$3:$B$12,MATCH(Data[[#This Row],[ItemID B]],Katalog!$C$3:$C$12,0)),"-")</f>
        <v>-</v>
      </c>
      <c r="O339" s="36" t="str">
        <f>IFERROR(INDEX(Katalog!$D$3:$D$12,MATCH(Data[[#This Row],[ItemID B]],Katalog!$C$3:$C$12,0))*Data[[#This Row],[Qty B]],"0")</f>
        <v>0</v>
      </c>
      <c r="P339" s="36" t="str">
        <f>IFERROR(INDEX(Katalog!$F$3:$F$12,MATCH(Data[[#This Row],[ItemID B]],Katalog!$C$3:$C$12,0))*Data[[#This Row],[Qty B]],"0")</f>
        <v>0</v>
      </c>
      <c r="R339" t="str">
        <f>IFERROR(INDEX(Katalog!$A$3:$A$12,MATCH(Data[[#This Row],[ItemID C]],Katalog!$C$3:$C$12,0)),"-")</f>
        <v>-</v>
      </c>
      <c r="S339" t="str">
        <f>IFERROR(INDEX(Katalog!$B$3:$B$12,MATCH(Data[[#This Row],[ItemID C]],Katalog!$C$3:$C$12,0)),"-")</f>
        <v>-</v>
      </c>
      <c r="V339" s="36" t="str">
        <f>IFERROR(INDEX(Katalog!$D$3:$D$12,MATCH(Data[[#This Row],[ItemID C]],Katalog!$C$3:$C$12,0))*Data[[#This Row],[Qty C]],"0")</f>
        <v>0</v>
      </c>
      <c r="W339" s="36" t="str">
        <f>IFERROR(INDEX(Katalog!$F$3:$F$12,MATCH(Data[[#This Row],[ItemID C]],Katalog!$C$3:$C$12,0))*Data[[#This Row],[Qty C]],"0")</f>
        <v>0</v>
      </c>
      <c r="X339" s="21">
        <f>Data[[#This Row],[Qty A]]+Data[[#This Row],[Qty B]]+Data[[#This Row],[Qty C]]</f>
        <v>1</v>
      </c>
      <c r="Y339" s="22">
        <f>Data[[#This Row],[Harga Barang A]]+Data[[#This Row],[Harga Barang B]]+Data[[#This Row],[Harga Barang C]]</f>
        <v>250000</v>
      </c>
      <c r="Z339" s="35">
        <f>IFERROR(Data[[#This Row],[Total Harga]]-(Data[[#This Row],[Total Harga]]*Data[[#This Row],[Diskon]]),Data[[#This Row],[Total Harga]])</f>
        <v>225000</v>
      </c>
      <c r="AA339" s="35">
        <f>(Data[[#This Row],[Profit A]]+Data[[#This Row],[Profit B]]+Data[[#This Row],[Profit C]])</f>
        <v>100000</v>
      </c>
      <c r="AB339" s="35">
        <f>IFERROR((Data[[#This Row],[Profit non Diskon]]-(Data[[#This Row],[Profit non Diskon]]*Data[[#This Row],[Diskon]])),Data[[#This Row],[Profit non Diskon]])</f>
        <v>90000</v>
      </c>
      <c r="AC339" s="23" t="s">
        <v>31</v>
      </c>
      <c r="AD339" s="37">
        <f>IFERROR(INDEX('Kode Diskon'!$D$3:$D$9,MATCH(Data[[#This Row],[Kode diskon]],'Kode Diskon'!$C$3:$C$9,0)),"-")</f>
        <v>0.1</v>
      </c>
      <c r="AE339" s="23" t="s">
        <v>9</v>
      </c>
      <c r="AF339" s="23" t="s">
        <v>10</v>
      </c>
      <c r="AG339" s="23" t="s">
        <v>79</v>
      </c>
      <c r="AH339" s="24">
        <v>45045</v>
      </c>
      <c r="AI339" s="23" t="str">
        <f>TEXT(Data[[#This Row],[Tanggal terjual]],"dddd")</f>
        <v>Saturday</v>
      </c>
      <c r="AJ339" s="21" t="str">
        <f>TEXT(Data[[#This Row],[Tanggal terjual]],"wwww")</f>
        <v>wwww</v>
      </c>
    </row>
    <row r="340" spans="1:36" x14ac:dyDescent="0.2">
      <c r="A340" s="20">
        <v>339</v>
      </c>
      <c r="B340" s="21" t="str">
        <f>_xlfn.CONCAT("ORD-",INDEX(Helper!$B$2:$B$5,MATCH(Data[[#This Row],[Marketplace]],Helper!$A$2:$A$5,0)),TEXT(Data[[#This Row],[No]],"0000"),"-",TEXT(Data[[#This Row],[Tanggal terjual]],"dd/mm/yy"))</f>
        <v>ORD-SP0339-06/04/23</v>
      </c>
      <c r="C340" t="s">
        <v>62</v>
      </c>
      <c r="D340" t="str">
        <f>IFERROR(INDEX(Katalog!$A$3:$A$12,MATCH(Data[[#This Row],[ItemID A]],Katalog!$C$3:$C$12,0)),"-")</f>
        <v>Pakaian Pria</v>
      </c>
      <c r="E340" t="str">
        <f>IFERROR(INDEX(Katalog!$B$3:$B$12,MATCH(Data[[#This Row],[ItemID A]],Katalog!$C$3:$C$12,0)),"-")</f>
        <v>Celana Pendek</v>
      </c>
      <c r="F340">
        <v>2</v>
      </c>
      <c r="G340">
        <v>5</v>
      </c>
      <c r="H340" s="36">
        <f>IFERROR(INDEX(Katalog!$D$3:$D$12,MATCH(Data[[#This Row],[ItemID A]],Katalog!$C$3:$C$12,0))*Data[[#This Row],[Qty A]],"0")</f>
        <v>360000</v>
      </c>
      <c r="I340" s="36">
        <f>IFERROR(INDEX(Katalog!$F$3:$F$12,MATCH(Data[[#This Row],[ItemID A]],Katalog!$C$3:$C$12,0))*Data[[#This Row],[Qty A]],0)</f>
        <v>140000</v>
      </c>
      <c r="K340" t="str">
        <f>IFERROR(INDEX(Katalog!$A$3:$A$12,MATCH(Data[[#This Row],[ItemID B]],Katalog!$C$3:$C$12,0)),"-")</f>
        <v>-</v>
      </c>
      <c r="L340" t="str">
        <f>IFERROR(INDEX(Katalog!$B$3:$B$12,MATCH(Data[[#This Row],[ItemID B]],Katalog!$C$3:$C$12,0)),"-")</f>
        <v>-</v>
      </c>
      <c r="O340" s="36" t="str">
        <f>IFERROR(INDEX(Katalog!$D$3:$D$12,MATCH(Data[[#This Row],[ItemID B]],Katalog!$C$3:$C$12,0))*Data[[#This Row],[Qty B]],"0")</f>
        <v>0</v>
      </c>
      <c r="P340" s="36" t="str">
        <f>IFERROR(INDEX(Katalog!$F$3:$F$12,MATCH(Data[[#This Row],[ItemID B]],Katalog!$C$3:$C$12,0))*Data[[#This Row],[Qty B]],"0")</f>
        <v>0</v>
      </c>
      <c r="R340" t="str">
        <f>IFERROR(INDEX(Katalog!$A$3:$A$12,MATCH(Data[[#This Row],[ItemID C]],Katalog!$C$3:$C$12,0)),"-")</f>
        <v>-</v>
      </c>
      <c r="S340" t="str">
        <f>IFERROR(INDEX(Katalog!$B$3:$B$12,MATCH(Data[[#This Row],[ItemID C]],Katalog!$C$3:$C$12,0)),"-")</f>
        <v>-</v>
      </c>
      <c r="V340" s="36" t="str">
        <f>IFERROR(INDEX(Katalog!$D$3:$D$12,MATCH(Data[[#This Row],[ItemID C]],Katalog!$C$3:$C$12,0))*Data[[#This Row],[Qty C]],"0")</f>
        <v>0</v>
      </c>
      <c r="W340" s="36" t="str">
        <f>IFERROR(INDEX(Katalog!$F$3:$F$12,MATCH(Data[[#This Row],[ItemID C]],Katalog!$C$3:$C$12,0))*Data[[#This Row],[Qty C]],"0")</f>
        <v>0</v>
      </c>
      <c r="X340" s="21">
        <f>Data[[#This Row],[Qty A]]+Data[[#This Row],[Qty B]]+Data[[#This Row],[Qty C]]</f>
        <v>2</v>
      </c>
      <c r="Y340" s="22">
        <f>Data[[#This Row],[Harga Barang A]]+Data[[#This Row],[Harga Barang B]]+Data[[#This Row],[Harga Barang C]]</f>
        <v>360000</v>
      </c>
      <c r="Z340" s="35">
        <f>IFERROR(Data[[#This Row],[Total Harga]]-(Data[[#This Row],[Total Harga]]*Data[[#This Row],[Diskon]]),Data[[#This Row],[Total Harga]])</f>
        <v>324000</v>
      </c>
      <c r="AA340" s="35">
        <f>(Data[[#This Row],[Profit A]]+Data[[#This Row],[Profit B]]+Data[[#This Row],[Profit C]])</f>
        <v>140000</v>
      </c>
      <c r="AB340" s="35">
        <f>IFERROR((Data[[#This Row],[Profit non Diskon]]-(Data[[#This Row],[Profit non Diskon]]*Data[[#This Row],[Diskon]])),Data[[#This Row],[Profit non Diskon]])</f>
        <v>126000</v>
      </c>
      <c r="AC340" s="23" t="s">
        <v>6</v>
      </c>
      <c r="AD340" s="37">
        <f>IFERROR(INDEX('Kode Diskon'!$D$3:$D$9,MATCH(Data[[#This Row],[Kode diskon]],'Kode Diskon'!$C$3:$C$9,0)),"-")</f>
        <v>0.1</v>
      </c>
      <c r="AE340" s="23" t="s">
        <v>29</v>
      </c>
      <c r="AF340" s="23" t="s">
        <v>7</v>
      </c>
      <c r="AG340" s="23" t="s">
        <v>76</v>
      </c>
      <c r="AH340" s="24">
        <v>45022</v>
      </c>
      <c r="AI340" s="23" t="str">
        <f>TEXT(Data[[#This Row],[Tanggal terjual]],"dddd")</f>
        <v>Thursday</v>
      </c>
      <c r="AJ340" s="21" t="str">
        <f>TEXT(Data[[#This Row],[Tanggal terjual]],"wwww")</f>
        <v>wwww</v>
      </c>
    </row>
    <row r="341" spans="1:36" x14ac:dyDescent="0.2">
      <c r="A341" s="20">
        <v>340</v>
      </c>
      <c r="B341" s="21" t="str">
        <f>_xlfn.CONCAT("ORD-",INDEX(Helper!$B$2:$B$5,MATCH(Data[[#This Row],[Marketplace]],Helper!$A$2:$A$5,0)),TEXT(Data[[#This Row],[No]],"0000"),"-",TEXT(Data[[#This Row],[Tanggal terjual]],"dd/mm/yy"))</f>
        <v>ORD-SP0340-01/04/23</v>
      </c>
      <c r="C341" t="s">
        <v>67</v>
      </c>
      <c r="D341" t="str">
        <f>IFERROR(INDEX(Katalog!$A$3:$A$12,MATCH(Data[[#This Row],[ItemID A]],Katalog!$C$3:$C$12,0)),"-")</f>
        <v>Sepatu Wanita</v>
      </c>
      <c r="E341" t="str">
        <f>IFERROR(INDEX(Katalog!$B$3:$B$12,MATCH(Data[[#This Row],[ItemID A]],Katalog!$C$3:$C$12,0)),"-")</f>
        <v>Flat Shoes</v>
      </c>
      <c r="F341">
        <v>1</v>
      </c>
      <c r="G341">
        <v>5</v>
      </c>
      <c r="H341" s="36">
        <f>IFERROR(INDEX(Katalog!$D$3:$D$12,MATCH(Data[[#This Row],[ItemID A]],Katalog!$C$3:$C$12,0))*Data[[#This Row],[Qty A]],"0")</f>
        <v>250000</v>
      </c>
      <c r="I341" s="36">
        <f>IFERROR(INDEX(Katalog!$F$3:$F$12,MATCH(Data[[#This Row],[ItemID A]],Katalog!$C$3:$C$12,0))*Data[[#This Row],[Qty A]],0)</f>
        <v>100000</v>
      </c>
      <c r="J341" t="s">
        <v>61</v>
      </c>
      <c r="K341" t="str">
        <f>IFERROR(INDEX(Katalog!$A$3:$A$12,MATCH(Data[[#This Row],[ItemID B]],Katalog!$C$3:$C$12,0)),"-")</f>
        <v>Pakaian Pria</v>
      </c>
      <c r="L341" t="str">
        <f>IFERROR(INDEX(Katalog!$B$3:$B$12,MATCH(Data[[#This Row],[ItemID B]],Katalog!$C$3:$C$12,0)),"-")</f>
        <v>Kaos Polo</v>
      </c>
      <c r="M341">
        <v>1</v>
      </c>
      <c r="N341">
        <v>1</v>
      </c>
      <c r="O341" s="36">
        <f>IFERROR(INDEX(Katalog!$D$3:$D$12,MATCH(Data[[#This Row],[ItemID B]],Katalog!$C$3:$C$12,0))*Data[[#This Row],[Qty B]],"0")</f>
        <v>200000</v>
      </c>
      <c r="P341" s="36">
        <f>IFERROR(INDEX(Katalog!$F$3:$F$12,MATCH(Data[[#This Row],[ItemID B]],Katalog!$C$3:$C$12,0))*Data[[#This Row],[Qty B]],"0")</f>
        <v>80000</v>
      </c>
      <c r="R341" t="str">
        <f>IFERROR(INDEX(Katalog!$A$3:$A$12,MATCH(Data[[#This Row],[ItemID C]],Katalog!$C$3:$C$12,0)),"-")</f>
        <v>-</v>
      </c>
      <c r="S341" t="str">
        <f>IFERROR(INDEX(Katalog!$B$3:$B$12,MATCH(Data[[#This Row],[ItemID C]],Katalog!$C$3:$C$12,0)),"-")</f>
        <v>-</v>
      </c>
      <c r="V341" s="36" t="str">
        <f>IFERROR(INDEX(Katalog!$D$3:$D$12,MATCH(Data[[#This Row],[ItemID C]],Katalog!$C$3:$C$12,0))*Data[[#This Row],[Qty C]],"0")</f>
        <v>0</v>
      </c>
      <c r="W341" s="36" t="str">
        <f>IFERROR(INDEX(Katalog!$F$3:$F$12,MATCH(Data[[#This Row],[ItemID C]],Katalog!$C$3:$C$12,0))*Data[[#This Row],[Qty C]],"0")</f>
        <v>0</v>
      </c>
      <c r="X341" s="21">
        <f>Data[[#This Row],[Qty A]]+Data[[#This Row],[Qty B]]+Data[[#This Row],[Qty C]]</f>
        <v>2</v>
      </c>
      <c r="Y341" s="22">
        <f>Data[[#This Row],[Harga Barang A]]+Data[[#This Row],[Harga Barang B]]+Data[[#This Row],[Harga Barang C]]</f>
        <v>450000</v>
      </c>
      <c r="Z341" s="35">
        <f>IFERROR(Data[[#This Row],[Total Harga]]-(Data[[#This Row],[Total Harga]]*Data[[#This Row],[Diskon]]),Data[[#This Row],[Total Harga]])</f>
        <v>405000</v>
      </c>
      <c r="AA341" s="35">
        <f>(Data[[#This Row],[Profit A]]+Data[[#This Row],[Profit B]]+Data[[#This Row],[Profit C]])</f>
        <v>180000</v>
      </c>
      <c r="AB341" s="35">
        <f>IFERROR((Data[[#This Row],[Profit non Diskon]]-(Data[[#This Row],[Profit non Diskon]]*Data[[#This Row],[Diskon]])),Data[[#This Row],[Profit non Diskon]])</f>
        <v>162000</v>
      </c>
      <c r="AC341" s="23" t="s">
        <v>6</v>
      </c>
      <c r="AD341" s="37">
        <f>IFERROR(INDEX('Kode Diskon'!$D$3:$D$9,MATCH(Data[[#This Row],[Kode diskon]],'Kode Diskon'!$C$3:$C$9,0)),"-")</f>
        <v>0.1</v>
      </c>
      <c r="AE341" s="23" t="s">
        <v>29</v>
      </c>
      <c r="AF341" s="23" t="s">
        <v>7</v>
      </c>
      <c r="AG341" s="23" t="s">
        <v>80</v>
      </c>
      <c r="AH341" s="24">
        <v>45017</v>
      </c>
      <c r="AI341" s="23" t="str">
        <f>TEXT(Data[[#This Row],[Tanggal terjual]],"dddd")</f>
        <v>Saturday</v>
      </c>
      <c r="AJ341" s="21" t="str">
        <f>TEXT(Data[[#This Row],[Tanggal terjual]],"wwww")</f>
        <v>wwww</v>
      </c>
    </row>
    <row r="342" spans="1:36" x14ac:dyDescent="0.2">
      <c r="A342" s="20">
        <v>341</v>
      </c>
      <c r="B342" s="21" t="str">
        <f>_xlfn.CONCAT("ORD-",INDEX(Helper!$B$2:$B$5,MATCH(Data[[#This Row],[Marketplace]],Helper!$A$2:$A$5,0)),TEXT(Data[[#This Row],[No]],"0000"),"-",TEXT(Data[[#This Row],[Tanggal terjual]],"dd/mm/yy"))</f>
        <v>ORD-SP0341-18/04/23</v>
      </c>
      <c r="C342" t="s">
        <v>59</v>
      </c>
      <c r="D342" t="str">
        <f>IFERROR(INDEX(Katalog!$A$3:$A$12,MATCH(Data[[#This Row],[ItemID A]],Katalog!$C$3:$C$12,0)),"-")</f>
        <v>Pakaian Wanita</v>
      </c>
      <c r="E342" t="str">
        <f>IFERROR(INDEX(Katalog!$B$3:$B$12,MATCH(Data[[#This Row],[ItemID A]],Katalog!$C$3:$C$12,0)),"-")</f>
        <v>Blouse</v>
      </c>
      <c r="F342">
        <v>3</v>
      </c>
      <c r="G342">
        <v>3</v>
      </c>
      <c r="H342" s="36">
        <f>IFERROR(INDEX(Katalog!$D$3:$D$12,MATCH(Data[[#This Row],[ItemID A]],Katalog!$C$3:$C$12,0))*Data[[#This Row],[Qty A]],"0")</f>
        <v>450000</v>
      </c>
      <c r="I342" s="36">
        <f>IFERROR(INDEX(Katalog!$F$3:$F$12,MATCH(Data[[#This Row],[ItemID A]],Katalog!$C$3:$C$12,0))*Data[[#This Row],[Qty A]],0)</f>
        <v>150000</v>
      </c>
      <c r="K342" t="str">
        <f>IFERROR(INDEX(Katalog!$A$3:$A$12,MATCH(Data[[#This Row],[ItemID B]],Katalog!$C$3:$C$12,0)),"-")</f>
        <v>-</v>
      </c>
      <c r="L342" t="str">
        <f>IFERROR(INDEX(Katalog!$B$3:$B$12,MATCH(Data[[#This Row],[ItemID B]],Katalog!$C$3:$C$12,0)),"-")</f>
        <v>-</v>
      </c>
      <c r="O342" s="36" t="str">
        <f>IFERROR(INDEX(Katalog!$D$3:$D$12,MATCH(Data[[#This Row],[ItemID B]],Katalog!$C$3:$C$12,0))*Data[[#This Row],[Qty B]],"0")</f>
        <v>0</v>
      </c>
      <c r="P342" s="36" t="str">
        <f>IFERROR(INDEX(Katalog!$F$3:$F$12,MATCH(Data[[#This Row],[ItemID B]],Katalog!$C$3:$C$12,0))*Data[[#This Row],[Qty B]],"0")</f>
        <v>0</v>
      </c>
      <c r="R342" t="str">
        <f>IFERROR(INDEX(Katalog!$A$3:$A$12,MATCH(Data[[#This Row],[ItemID C]],Katalog!$C$3:$C$12,0)),"-")</f>
        <v>-</v>
      </c>
      <c r="S342" t="str">
        <f>IFERROR(INDEX(Katalog!$B$3:$B$12,MATCH(Data[[#This Row],[ItemID C]],Katalog!$C$3:$C$12,0)),"-")</f>
        <v>-</v>
      </c>
      <c r="V342" s="36" t="str">
        <f>IFERROR(INDEX(Katalog!$D$3:$D$12,MATCH(Data[[#This Row],[ItemID C]],Katalog!$C$3:$C$12,0))*Data[[#This Row],[Qty C]],"0")</f>
        <v>0</v>
      </c>
      <c r="W342" s="36" t="str">
        <f>IFERROR(INDEX(Katalog!$F$3:$F$12,MATCH(Data[[#This Row],[ItemID C]],Katalog!$C$3:$C$12,0))*Data[[#This Row],[Qty C]],"0")</f>
        <v>0</v>
      </c>
      <c r="X342" s="21">
        <f>Data[[#This Row],[Qty A]]+Data[[#This Row],[Qty B]]+Data[[#This Row],[Qty C]]</f>
        <v>3</v>
      </c>
      <c r="Y342" s="22">
        <f>Data[[#This Row],[Harga Barang A]]+Data[[#This Row],[Harga Barang B]]+Data[[#This Row],[Harga Barang C]]</f>
        <v>450000</v>
      </c>
      <c r="Z342" s="35">
        <f>IFERROR(Data[[#This Row],[Total Harga]]-(Data[[#This Row],[Total Harga]]*Data[[#This Row],[Diskon]]),Data[[#This Row],[Total Harga]])</f>
        <v>360000</v>
      </c>
      <c r="AA342" s="35">
        <f>(Data[[#This Row],[Profit A]]+Data[[#This Row],[Profit B]]+Data[[#This Row],[Profit C]])</f>
        <v>150000</v>
      </c>
      <c r="AB342" s="35">
        <f>IFERROR((Data[[#This Row],[Profit non Diskon]]-(Data[[#This Row],[Profit non Diskon]]*Data[[#This Row],[Diskon]])),Data[[#This Row],[Profit non Diskon]])</f>
        <v>120000</v>
      </c>
      <c r="AC342" s="23" t="s">
        <v>8</v>
      </c>
      <c r="AD342" s="37">
        <f>IFERROR(INDEX('Kode Diskon'!$D$3:$D$9,MATCH(Data[[#This Row],[Kode diskon]],'Kode Diskon'!$C$3:$C$9,0)),"-")</f>
        <v>0.2</v>
      </c>
      <c r="AE342" s="23" t="s">
        <v>9</v>
      </c>
      <c r="AF342" s="23" t="s">
        <v>7</v>
      </c>
      <c r="AG342" s="23" t="s">
        <v>79</v>
      </c>
      <c r="AH342" s="24">
        <v>45034</v>
      </c>
      <c r="AI342" s="23" t="str">
        <f>TEXT(Data[[#This Row],[Tanggal terjual]],"dddd")</f>
        <v>Tuesday</v>
      </c>
      <c r="AJ342" s="21" t="str">
        <f>TEXT(Data[[#This Row],[Tanggal terjual]],"wwww")</f>
        <v>wwww</v>
      </c>
    </row>
    <row r="343" spans="1:36" x14ac:dyDescent="0.2">
      <c r="A343" s="20">
        <v>342</v>
      </c>
      <c r="B343" s="21" t="str">
        <f>_xlfn.CONCAT("ORD-",INDEX(Helper!$B$2:$B$5,MATCH(Data[[#This Row],[Marketplace]],Helper!$A$2:$A$5,0)),TEXT(Data[[#This Row],[No]],"0000"),"-",TEXT(Data[[#This Row],[Tanggal terjual]],"dd/mm/yy"))</f>
        <v>ORD-TK0342-02/04/23</v>
      </c>
      <c r="C343" t="s">
        <v>59</v>
      </c>
      <c r="D343" t="str">
        <f>IFERROR(INDEX(Katalog!$A$3:$A$12,MATCH(Data[[#This Row],[ItemID A]],Katalog!$C$3:$C$12,0)),"-")</f>
        <v>Pakaian Wanita</v>
      </c>
      <c r="E343" t="str">
        <f>IFERROR(INDEX(Katalog!$B$3:$B$12,MATCH(Data[[#This Row],[ItemID A]],Katalog!$C$3:$C$12,0)),"-")</f>
        <v>Blouse</v>
      </c>
      <c r="F343">
        <v>3</v>
      </c>
      <c r="G343">
        <v>4</v>
      </c>
      <c r="H343" s="36">
        <f>IFERROR(INDEX(Katalog!$D$3:$D$12,MATCH(Data[[#This Row],[ItemID A]],Katalog!$C$3:$C$12,0))*Data[[#This Row],[Qty A]],"0")</f>
        <v>450000</v>
      </c>
      <c r="I343" s="36">
        <f>IFERROR(INDEX(Katalog!$F$3:$F$12,MATCH(Data[[#This Row],[ItemID A]],Katalog!$C$3:$C$12,0))*Data[[#This Row],[Qty A]],0)</f>
        <v>150000</v>
      </c>
      <c r="J343" t="s">
        <v>58</v>
      </c>
      <c r="K343" t="str">
        <f>IFERROR(INDEX(Katalog!$A$3:$A$12,MATCH(Data[[#This Row],[ItemID B]],Katalog!$C$3:$C$12,0)),"-")</f>
        <v>Pakaian Wanita</v>
      </c>
      <c r="L343" t="str">
        <f>IFERROR(INDEX(Katalog!$B$3:$B$12,MATCH(Data[[#This Row],[ItemID B]],Katalog!$C$3:$C$12,0)),"-")</f>
        <v>Dress</v>
      </c>
      <c r="M343">
        <v>1</v>
      </c>
      <c r="N343">
        <v>4</v>
      </c>
      <c r="O343" s="36">
        <f>IFERROR(INDEX(Katalog!$D$3:$D$12,MATCH(Data[[#This Row],[ItemID B]],Katalog!$C$3:$C$12,0))*Data[[#This Row],[Qty B]],"0")</f>
        <v>300000</v>
      </c>
      <c r="P343" s="36">
        <f>IFERROR(INDEX(Katalog!$F$3:$F$12,MATCH(Data[[#This Row],[ItemID B]],Katalog!$C$3:$C$12,0))*Data[[#This Row],[Qty B]],"0")</f>
        <v>100000</v>
      </c>
      <c r="R343" t="str">
        <f>IFERROR(INDEX(Katalog!$A$3:$A$12,MATCH(Data[[#This Row],[ItemID C]],Katalog!$C$3:$C$12,0)),"-")</f>
        <v>-</v>
      </c>
      <c r="S343" t="str">
        <f>IFERROR(INDEX(Katalog!$B$3:$B$12,MATCH(Data[[#This Row],[ItemID C]],Katalog!$C$3:$C$12,0)),"-")</f>
        <v>-</v>
      </c>
      <c r="V343" s="36" t="str">
        <f>IFERROR(INDEX(Katalog!$D$3:$D$12,MATCH(Data[[#This Row],[ItemID C]],Katalog!$C$3:$C$12,0))*Data[[#This Row],[Qty C]],"0")</f>
        <v>0</v>
      </c>
      <c r="W343" s="36" t="str">
        <f>IFERROR(INDEX(Katalog!$F$3:$F$12,MATCH(Data[[#This Row],[ItemID C]],Katalog!$C$3:$C$12,0))*Data[[#This Row],[Qty C]],"0")</f>
        <v>0</v>
      </c>
      <c r="X343" s="21">
        <f>Data[[#This Row],[Qty A]]+Data[[#This Row],[Qty B]]+Data[[#This Row],[Qty C]]</f>
        <v>4</v>
      </c>
      <c r="Y343" s="22">
        <f>Data[[#This Row],[Harga Barang A]]+Data[[#This Row],[Harga Barang B]]+Data[[#This Row],[Harga Barang C]]</f>
        <v>750000</v>
      </c>
      <c r="Z343" s="35">
        <f>IFERROR(Data[[#This Row],[Total Harga]]-(Data[[#This Row],[Total Harga]]*Data[[#This Row],[Diskon]]),Data[[#This Row],[Total Harga]])</f>
        <v>675000</v>
      </c>
      <c r="AA343" s="35">
        <f>(Data[[#This Row],[Profit A]]+Data[[#This Row],[Profit B]]+Data[[#This Row],[Profit C]])</f>
        <v>250000</v>
      </c>
      <c r="AB343" s="35">
        <f>IFERROR((Data[[#This Row],[Profit non Diskon]]-(Data[[#This Row],[Profit non Diskon]]*Data[[#This Row],[Diskon]])),Data[[#This Row],[Profit non Diskon]])</f>
        <v>225000</v>
      </c>
      <c r="AC343" s="23" t="s">
        <v>30</v>
      </c>
      <c r="AD343" s="37">
        <f>IFERROR(INDEX('Kode Diskon'!$D$3:$D$9,MATCH(Data[[#This Row],[Kode diskon]],'Kode Diskon'!$C$3:$C$9,0)),"-")</f>
        <v>0.1</v>
      </c>
      <c r="AE343" s="23" t="s">
        <v>29</v>
      </c>
      <c r="AF343" s="23" t="s">
        <v>10</v>
      </c>
      <c r="AG343" s="23" t="s">
        <v>80</v>
      </c>
      <c r="AH343" s="24">
        <v>45018</v>
      </c>
      <c r="AI343" s="23" t="str">
        <f>TEXT(Data[[#This Row],[Tanggal terjual]],"dddd")</f>
        <v>Sunday</v>
      </c>
      <c r="AJ343" s="21" t="str">
        <f>TEXT(Data[[#This Row],[Tanggal terjual]],"wwww")</f>
        <v>wwww</v>
      </c>
    </row>
    <row r="344" spans="1:36" x14ac:dyDescent="0.2">
      <c r="A344" s="20">
        <v>343</v>
      </c>
      <c r="B344" s="21" t="str">
        <f>_xlfn.CONCAT("ORD-",INDEX(Helper!$B$2:$B$5,MATCH(Data[[#This Row],[Marketplace]],Helper!$A$2:$A$5,0)),TEXT(Data[[#This Row],[No]],"0000"),"-",TEXT(Data[[#This Row],[Tanggal terjual]],"dd/mm/yy"))</f>
        <v>ORD-TK0343-08/04/23</v>
      </c>
      <c r="C344" t="s">
        <v>58</v>
      </c>
      <c r="D344" t="str">
        <f>IFERROR(INDEX(Katalog!$A$3:$A$12,MATCH(Data[[#This Row],[ItemID A]],Katalog!$C$3:$C$12,0)),"-")</f>
        <v>Pakaian Wanita</v>
      </c>
      <c r="E344" t="str">
        <f>IFERROR(INDEX(Katalog!$B$3:$B$12,MATCH(Data[[#This Row],[ItemID A]],Katalog!$C$3:$C$12,0)),"-")</f>
        <v>Dress</v>
      </c>
      <c r="F344">
        <v>4</v>
      </c>
      <c r="G344">
        <v>5</v>
      </c>
      <c r="H344" s="36">
        <f>IFERROR(INDEX(Katalog!$D$3:$D$12,MATCH(Data[[#This Row],[ItemID A]],Katalog!$C$3:$C$12,0))*Data[[#This Row],[Qty A]],"0")</f>
        <v>1200000</v>
      </c>
      <c r="I344" s="36">
        <f>IFERROR(INDEX(Katalog!$F$3:$F$12,MATCH(Data[[#This Row],[ItemID A]],Katalog!$C$3:$C$12,0))*Data[[#This Row],[Qty A]],0)</f>
        <v>400000</v>
      </c>
      <c r="J344" t="s">
        <v>60</v>
      </c>
      <c r="K344" t="str">
        <f>IFERROR(INDEX(Katalog!$A$3:$A$12,MATCH(Data[[#This Row],[ItemID B]],Katalog!$C$3:$C$12,0)),"-")</f>
        <v>Pakaian Wanita</v>
      </c>
      <c r="L344" t="str">
        <f>IFERROR(INDEX(Katalog!$B$3:$B$12,MATCH(Data[[#This Row],[ItemID B]],Katalog!$C$3:$C$12,0)),"-")</f>
        <v>Kaftan</v>
      </c>
      <c r="M344">
        <v>3</v>
      </c>
      <c r="N344">
        <v>2</v>
      </c>
      <c r="O344" s="36">
        <f>IFERROR(INDEX(Katalog!$D$3:$D$12,MATCH(Data[[#This Row],[ItemID B]],Katalog!$C$3:$C$12,0))*Data[[#This Row],[Qty B]],"0")</f>
        <v>750000</v>
      </c>
      <c r="P344" s="36">
        <f>IFERROR(INDEX(Katalog!$F$3:$F$12,MATCH(Data[[#This Row],[ItemID B]],Katalog!$C$3:$C$12,0))*Data[[#This Row],[Qty B]],"0")</f>
        <v>300000</v>
      </c>
      <c r="R344" t="str">
        <f>IFERROR(INDEX(Katalog!$A$3:$A$12,MATCH(Data[[#This Row],[ItemID C]],Katalog!$C$3:$C$12,0)),"-")</f>
        <v>-</v>
      </c>
      <c r="S344" t="str">
        <f>IFERROR(INDEX(Katalog!$B$3:$B$12,MATCH(Data[[#This Row],[ItemID C]],Katalog!$C$3:$C$12,0)),"-")</f>
        <v>-</v>
      </c>
      <c r="V344" s="36" t="str">
        <f>IFERROR(INDEX(Katalog!$D$3:$D$12,MATCH(Data[[#This Row],[ItemID C]],Katalog!$C$3:$C$12,0))*Data[[#This Row],[Qty C]],"0")</f>
        <v>0</v>
      </c>
      <c r="W344" s="36" t="str">
        <f>IFERROR(INDEX(Katalog!$F$3:$F$12,MATCH(Data[[#This Row],[ItemID C]],Katalog!$C$3:$C$12,0))*Data[[#This Row],[Qty C]],"0")</f>
        <v>0</v>
      </c>
      <c r="X344" s="21">
        <f>Data[[#This Row],[Qty A]]+Data[[#This Row],[Qty B]]+Data[[#This Row],[Qty C]]</f>
        <v>7</v>
      </c>
      <c r="Y344" s="22">
        <f>Data[[#This Row],[Harga Barang A]]+Data[[#This Row],[Harga Barang B]]+Data[[#This Row],[Harga Barang C]]</f>
        <v>1950000</v>
      </c>
      <c r="Z344" s="35">
        <f>IFERROR(Data[[#This Row],[Total Harga]]-(Data[[#This Row],[Total Harga]]*Data[[#This Row],[Diskon]]),Data[[#This Row],[Total Harga]])</f>
        <v>1950000</v>
      </c>
      <c r="AA344" s="35">
        <f>(Data[[#This Row],[Profit A]]+Data[[#This Row],[Profit B]]+Data[[#This Row],[Profit C]])</f>
        <v>700000</v>
      </c>
      <c r="AB344" s="35">
        <f>IFERROR((Data[[#This Row],[Profit non Diskon]]-(Data[[#This Row],[Profit non Diskon]]*Data[[#This Row],[Diskon]])),Data[[#This Row],[Profit non Diskon]])</f>
        <v>700000</v>
      </c>
      <c r="AC344" s="23" t="s">
        <v>11</v>
      </c>
      <c r="AD344" s="37" t="str">
        <f>IFERROR(INDEX('Kode Diskon'!$D$3:$D$9,MATCH(Data[[#This Row],[Kode diskon]],'Kode Diskon'!$C$3:$C$9,0)),"-")</f>
        <v>-</v>
      </c>
      <c r="AE344" s="23" t="s">
        <v>11</v>
      </c>
      <c r="AF344" s="23" t="s">
        <v>10</v>
      </c>
      <c r="AG344" s="23" t="s">
        <v>78</v>
      </c>
      <c r="AH344" s="24">
        <v>45024</v>
      </c>
      <c r="AI344" s="23" t="str">
        <f>TEXT(Data[[#This Row],[Tanggal terjual]],"dddd")</f>
        <v>Saturday</v>
      </c>
      <c r="AJ344" s="21" t="str">
        <f>TEXT(Data[[#This Row],[Tanggal terjual]],"wwww")</f>
        <v>wwww</v>
      </c>
    </row>
    <row r="345" spans="1:36" x14ac:dyDescent="0.2">
      <c r="A345" s="20">
        <v>344</v>
      </c>
      <c r="B345" s="21" t="str">
        <f>_xlfn.CONCAT("ORD-",INDEX(Helper!$B$2:$B$5,MATCH(Data[[#This Row],[Marketplace]],Helper!$A$2:$A$5,0)),TEXT(Data[[#This Row],[No]],"0000"),"-",TEXT(Data[[#This Row],[Tanggal terjual]],"dd/mm/yy"))</f>
        <v>ORD-SP0344-07/04/23</v>
      </c>
      <c r="C345" t="s">
        <v>61</v>
      </c>
      <c r="D345" t="str">
        <f>IFERROR(INDEX(Katalog!$A$3:$A$12,MATCH(Data[[#This Row],[ItemID A]],Katalog!$C$3:$C$12,0)),"-")</f>
        <v>Pakaian Pria</v>
      </c>
      <c r="E345" t="str">
        <f>IFERROR(INDEX(Katalog!$B$3:$B$12,MATCH(Data[[#This Row],[ItemID A]],Katalog!$C$3:$C$12,0)),"-")</f>
        <v>Kaos Polo</v>
      </c>
      <c r="F345">
        <v>1</v>
      </c>
      <c r="G345">
        <v>2</v>
      </c>
      <c r="H345" s="36">
        <f>IFERROR(INDEX(Katalog!$D$3:$D$12,MATCH(Data[[#This Row],[ItemID A]],Katalog!$C$3:$C$12,0))*Data[[#This Row],[Qty A]],"0")</f>
        <v>200000</v>
      </c>
      <c r="I345" s="36">
        <f>IFERROR(INDEX(Katalog!$F$3:$F$12,MATCH(Data[[#This Row],[ItemID A]],Katalog!$C$3:$C$12,0))*Data[[#This Row],[Qty A]],0)</f>
        <v>80000</v>
      </c>
      <c r="J345" t="s">
        <v>66</v>
      </c>
      <c r="K345" t="str">
        <f>IFERROR(INDEX(Katalog!$A$3:$A$12,MATCH(Data[[#This Row],[ItemID B]],Katalog!$C$3:$C$12,0)),"-")</f>
        <v>Sepatu Pria</v>
      </c>
      <c r="L345" t="str">
        <f>IFERROR(INDEX(Katalog!$B$3:$B$12,MATCH(Data[[#This Row],[ItemID B]],Katalog!$C$3:$C$12,0)),"-")</f>
        <v>Sandal Slip On</v>
      </c>
      <c r="M345">
        <v>1</v>
      </c>
      <c r="N345">
        <v>3</v>
      </c>
      <c r="O345" s="36">
        <f>IFERROR(INDEX(Katalog!$D$3:$D$12,MATCH(Data[[#This Row],[ItemID B]],Katalog!$C$3:$C$12,0))*Data[[#This Row],[Qty B]],"0")</f>
        <v>150000</v>
      </c>
      <c r="P345" s="36">
        <f>IFERROR(INDEX(Katalog!$F$3:$F$12,MATCH(Data[[#This Row],[ItemID B]],Katalog!$C$3:$C$12,0))*Data[[#This Row],[Qty B]],"0")</f>
        <v>60000</v>
      </c>
      <c r="Q345" t="s">
        <v>60</v>
      </c>
      <c r="R345" t="str">
        <f>IFERROR(INDEX(Katalog!$A$3:$A$12,MATCH(Data[[#This Row],[ItemID C]],Katalog!$C$3:$C$12,0)),"-")</f>
        <v>Pakaian Wanita</v>
      </c>
      <c r="S345" t="str">
        <f>IFERROR(INDEX(Katalog!$B$3:$B$12,MATCH(Data[[#This Row],[ItemID C]],Katalog!$C$3:$C$12,0)),"-")</f>
        <v>Kaftan</v>
      </c>
      <c r="T345">
        <v>2</v>
      </c>
      <c r="U345">
        <v>1</v>
      </c>
      <c r="V345" s="36">
        <f>IFERROR(INDEX(Katalog!$D$3:$D$12,MATCH(Data[[#This Row],[ItemID C]],Katalog!$C$3:$C$12,0))*Data[[#This Row],[Qty C]],"0")</f>
        <v>500000</v>
      </c>
      <c r="W345" s="36">
        <f>IFERROR(INDEX(Katalog!$F$3:$F$12,MATCH(Data[[#This Row],[ItemID C]],Katalog!$C$3:$C$12,0))*Data[[#This Row],[Qty C]],"0")</f>
        <v>200000</v>
      </c>
      <c r="X345" s="21">
        <f>Data[[#This Row],[Qty A]]+Data[[#This Row],[Qty B]]+Data[[#This Row],[Qty C]]</f>
        <v>4</v>
      </c>
      <c r="Y345" s="22">
        <f>Data[[#This Row],[Harga Barang A]]+Data[[#This Row],[Harga Barang B]]+Data[[#This Row],[Harga Barang C]]</f>
        <v>850000</v>
      </c>
      <c r="Z345" s="35">
        <f>IFERROR(Data[[#This Row],[Total Harga]]-(Data[[#This Row],[Total Harga]]*Data[[#This Row],[Diskon]]),Data[[#This Row],[Total Harga]])</f>
        <v>850000</v>
      </c>
      <c r="AA345" s="35">
        <f>(Data[[#This Row],[Profit A]]+Data[[#This Row],[Profit B]]+Data[[#This Row],[Profit C]])</f>
        <v>340000</v>
      </c>
      <c r="AB345" s="35">
        <f>IFERROR((Data[[#This Row],[Profit non Diskon]]-(Data[[#This Row],[Profit non Diskon]]*Data[[#This Row],[Diskon]])),Data[[#This Row],[Profit non Diskon]])</f>
        <v>340000</v>
      </c>
      <c r="AC345" s="23" t="s">
        <v>11</v>
      </c>
      <c r="AD345" s="37" t="str">
        <f>IFERROR(INDEX('Kode Diskon'!$D$3:$D$9,MATCH(Data[[#This Row],[Kode diskon]],'Kode Diskon'!$C$3:$C$9,0)),"-")</f>
        <v>-</v>
      </c>
      <c r="AE345" s="23" t="s">
        <v>11</v>
      </c>
      <c r="AF345" s="23" t="s">
        <v>7</v>
      </c>
      <c r="AG345" s="23" t="s">
        <v>79</v>
      </c>
      <c r="AH345" s="24">
        <v>45023</v>
      </c>
      <c r="AI345" s="23" t="str">
        <f>TEXT(Data[[#This Row],[Tanggal terjual]],"dddd")</f>
        <v>Friday</v>
      </c>
      <c r="AJ345" s="21" t="str">
        <f>TEXT(Data[[#This Row],[Tanggal terjual]],"wwww")</f>
        <v>wwww</v>
      </c>
    </row>
    <row r="346" spans="1:36" x14ac:dyDescent="0.2">
      <c r="A346" s="20">
        <v>345</v>
      </c>
      <c r="B346" s="21" t="str">
        <f>_xlfn.CONCAT("ORD-",INDEX(Helper!$B$2:$B$5,MATCH(Data[[#This Row],[Marketplace]],Helper!$A$2:$A$5,0)),TEXT(Data[[#This Row],[No]],"0000"),"-",TEXT(Data[[#This Row],[Tanggal terjual]],"dd/mm/yy"))</f>
        <v>ORD-TK0345-17/04/23</v>
      </c>
      <c r="C346" t="s">
        <v>58</v>
      </c>
      <c r="D346" t="str">
        <f>IFERROR(INDEX(Katalog!$A$3:$A$12,MATCH(Data[[#This Row],[ItemID A]],Katalog!$C$3:$C$12,0)),"-")</f>
        <v>Pakaian Wanita</v>
      </c>
      <c r="E346" t="str">
        <f>IFERROR(INDEX(Katalog!$B$3:$B$12,MATCH(Data[[#This Row],[ItemID A]],Katalog!$C$3:$C$12,0)),"-")</f>
        <v>Dress</v>
      </c>
      <c r="F346">
        <v>4</v>
      </c>
      <c r="G346">
        <v>5</v>
      </c>
      <c r="H346" s="36">
        <f>IFERROR(INDEX(Katalog!$D$3:$D$12,MATCH(Data[[#This Row],[ItemID A]],Katalog!$C$3:$C$12,0))*Data[[#This Row],[Qty A]],"0")</f>
        <v>1200000</v>
      </c>
      <c r="I346" s="36">
        <f>IFERROR(INDEX(Katalog!$F$3:$F$12,MATCH(Data[[#This Row],[ItemID A]],Katalog!$C$3:$C$12,0))*Data[[#This Row],[Qty A]],0)</f>
        <v>400000</v>
      </c>
      <c r="J346" t="s">
        <v>65</v>
      </c>
      <c r="K346" t="str">
        <f>IFERROR(INDEX(Katalog!$A$3:$A$12,MATCH(Data[[#This Row],[ItemID B]],Katalog!$C$3:$C$12,0)),"-")</f>
        <v>Sepatu Pria</v>
      </c>
      <c r="L346" t="str">
        <f>IFERROR(INDEX(Katalog!$B$3:$B$12,MATCH(Data[[#This Row],[ItemID B]],Katalog!$C$3:$C$12,0)),"-")</f>
        <v>Sneakers</v>
      </c>
      <c r="M346">
        <v>1</v>
      </c>
      <c r="N346">
        <v>5</v>
      </c>
      <c r="O346" s="36">
        <f>IFERROR(INDEX(Katalog!$D$3:$D$12,MATCH(Data[[#This Row],[ItemID B]],Katalog!$C$3:$C$12,0))*Data[[#This Row],[Qty B]],"0")</f>
        <v>500000</v>
      </c>
      <c r="P346" s="36">
        <f>IFERROR(INDEX(Katalog!$F$3:$F$12,MATCH(Data[[#This Row],[ItemID B]],Katalog!$C$3:$C$12,0))*Data[[#This Row],[Qty B]],"0")</f>
        <v>200000</v>
      </c>
      <c r="Q346" t="s">
        <v>58</v>
      </c>
      <c r="R346" t="str">
        <f>IFERROR(INDEX(Katalog!$A$3:$A$12,MATCH(Data[[#This Row],[ItemID C]],Katalog!$C$3:$C$12,0)),"-")</f>
        <v>Pakaian Wanita</v>
      </c>
      <c r="S346" t="str">
        <f>IFERROR(INDEX(Katalog!$B$3:$B$12,MATCH(Data[[#This Row],[ItemID C]],Katalog!$C$3:$C$12,0)),"-")</f>
        <v>Dress</v>
      </c>
      <c r="T346">
        <v>1</v>
      </c>
      <c r="U346">
        <v>2</v>
      </c>
      <c r="V346" s="36">
        <f>IFERROR(INDEX(Katalog!$D$3:$D$12,MATCH(Data[[#This Row],[ItemID C]],Katalog!$C$3:$C$12,0))*Data[[#This Row],[Qty C]],"0")</f>
        <v>300000</v>
      </c>
      <c r="W346" s="36">
        <f>IFERROR(INDEX(Katalog!$F$3:$F$12,MATCH(Data[[#This Row],[ItemID C]],Katalog!$C$3:$C$12,0))*Data[[#This Row],[Qty C]],"0")</f>
        <v>100000</v>
      </c>
      <c r="X346" s="21">
        <f>Data[[#This Row],[Qty A]]+Data[[#This Row],[Qty B]]+Data[[#This Row],[Qty C]]</f>
        <v>6</v>
      </c>
      <c r="Y346" s="22">
        <f>Data[[#This Row],[Harga Barang A]]+Data[[#This Row],[Harga Barang B]]+Data[[#This Row],[Harga Barang C]]</f>
        <v>2000000</v>
      </c>
      <c r="Z346" s="35">
        <f>IFERROR(Data[[#This Row],[Total Harga]]-(Data[[#This Row],[Total Harga]]*Data[[#This Row],[Diskon]]),Data[[#This Row],[Total Harga]])</f>
        <v>1800000</v>
      </c>
      <c r="AA346" s="35">
        <f>(Data[[#This Row],[Profit A]]+Data[[#This Row],[Profit B]]+Data[[#This Row],[Profit C]])</f>
        <v>700000</v>
      </c>
      <c r="AB346" s="35">
        <f>IFERROR((Data[[#This Row],[Profit non Diskon]]-(Data[[#This Row],[Profit non Diskon]]*Data[[#This Row],[Diskon]])),Data[[#This Row],[Profit non Diskon]])</f>
        <v>630000</v>
      </c>
      <c r="AC346" s="23" t="s">
        <v>31</v>
      </c>
      <c r="AD346" s="37">
        <f>IFERROR(INDEX('Kode Diskon'!$D$3:$D$9,MATCH(Data[[#This Row],[Kode diskon]],'Kode Diskon'!$C$3:$C$9,0)),"-")</f>
        <v>0.1</v>
      </c>
      <c r="AE346" s="23" t="s">
        <v>9</v>
      </c>
      <c r="AF346" s="23" t="s">
        <v>10</v>
      </c>
      <c r="AG346" s="23" t="s">
        <v>79</v>
      </c>
      <c r="AH346" s="24">
        <v>45033</v>
      </c>
      <c r="AI346" s="23" t="str">
        <f>TEXT(Data[[#This Row],[Tanggal terjual]],"dddd")</f>
        <v>Monday</v>
      </c>
      <c r="AJ346" s="21" t="str">
        <f>TEXT(Data[[#This Row],[Tanggal terjual]],"wwww")</f>
        <v>wwww</v>
      </c>
    </row>
    <row r="347" spans="1:36" x14ac:dyDescent="0.2">
      <c r="A347" s="20">
        <v>346</v>
      </c>
      <c r="B347" s="21" t="str">
        <f>_xlfn.CONCAT("ORD-",INDEX(Helper!$B$2:$B$5,MATCH(Data[[#This Row],[Marketplace]],Helper!$A$2:$A$5,0)),TEXT(Data[[#This Row],[No]],"0000"),"-",TEXT(Data[[#This Row],[Tanggal terjual]],"dd/mm/yy"))</f>
        <v>ORD-SP0346-02/04/23</v>
      </c>
      <c r="C347" t="s">
        <v>65</v>
      </c>
      <c r="D347" t="str">
        <f>IFERROR(INDEX(Katalog!$A$3:$A$12,MATCH(Data[[#This Row],[ItemID A]],Katalog!$C$3:$C$12,0)),"-")</f>
        <v>Sepatu Pria</v>
      </c>
      <c r="E347" t="str">
        <f>IFERROR(INDEX(Katalog!$B$3:$B$12,MATCH(Data[[#This Row],[ItemID A]],Katalog!$C$3:$C$12,0)),"-")</f>
        <v>Sneakers</v>
      </c>
      <c r="F347">
        <v>3</v>
      </c>
      <c r="G347">
        <v>2</v>
      </c>
      <c r="H347" s="36">
        <f>IFERROR(INDEX(Katalog!$D$3:$D$12,MATCH(Data[[#This Row],[ItemID A]],Katalog!$C$3:$C$12,0))*Data[[#This Row],[Qty A]],"0")</f>
        <v>1500000</v>
      </c>
      <c r="I347" s="36">
        <f>IFERROR(INDEX(Katalog!$F$3:$F$12,MATCH(Data[[#This Row],[ItemID A]],Katalog!$C$3:$C$12,0))*Data[[#This Row],[Qty A]],0)</f>
        <v>600000</v>
      </c>
      <c r="J347" t="s">
        <v>64</v>
      </c>
      <c r="K347" t="str">
        <f>IFERROR(INDEX(Katalog!$A$3:$A$12,MATCH(Data[[#This Row],[ItemID B]],Katalog!$C$3:$C$12,0)),"-")</f>
        <v>Pakaian Unisex</v>
      </c>
      <c r="L347" t="str">
        <f>IFERROR(INDEX(Katalog!$B$3:$B$12,MATCH(Data[[#This Row],[ItemID B]],Katalog!$C$3:$C$12,0)),"-")</f>
        <v>Jaket Hoodie</v>
      </c>
      <c r="M347">
        <v>1</v>
      </c>
      <c r="N347">
        <v>2</v>
      </c>
      <c r="O347" s="36">
        <f>IFERROR(INDEX(Katalog!$D$3:$D$12,MATCH(Data[[#This Row],[ItemID B]],Katalog!$C$3:$C$12,0))*Data[[#This Row],[Qty B]],"0")</f>
        <v>350000</v>
      </c>
      <c r="P347" s="36">
        <f>IFERROR(INDEX(Katalog!$F$3:$F$12,MATCH(Data[[#This Row],[ItemID B]],Katalog!$C$3:$C$12,0))*Data[[#This Row],[Qty B]],"0")</f>
        <v>130000</v>
      </c>
      <c r="R347" t="str">
        <f>IFERROR(INDEX(Katalog!$A$3:$A$12,MATCH(Data[[#This Row],[ItemID C]],Katalog!$C$3:$C$12,0)),"-")</f>
        <v>-</v>
      </c>
      <c r="S347" t="str">
        <f>IFERROR(INDEX(Katalog!$B$3:$B$12,MATCH(Data[[#This Row],[ItemID C]],Katalog!$C$3:$C$12,0)),"-")</f>
        <v>-</v>
      </c>
      <c r="V347" s="36" t="str">
        <f>IFERROR(INDEX(Katalog!$D$3:$D$12,MATCH(Data[[#This Row],[ItemID C]],Katalog!$C$3:$C$12,0))*Data[[#This Row],[Qty C]],"0")</f>
        <v>0</v>
      </c>
      <c r="W347" s="36" t="str">
        <f>IFERROR(INDEX(Katalog!$F$3:$F$12,MATCH(Data[[#This Row],[ItemID C]],Katalog!$C$3:$C$12,0))*Data[[#This Row],[Qty C]],"0")</f>
        <v>0</v>
      </c>
      <c r="X347" s="21">
        <f>Data[[#This Row],[Qty A]]+Data[[#This Row],[Qty B]]+Data[[#This Row],[Qty C]]</f>
        <v>4</v>
      </c>
      <c r="Y347" s="22">
        <f>Data[[#This Row],[Harga Barang A]]+Data[[#This Row],[Harga Barang B]]+Data[[#This Row],[Harga Barang C]]</f>
        <v>1850000</v>
      </c>
      <c r="Z347" s="35">
        <f>IFERROR(Data[[#This Row],[Total Harga]]-(Data[[#This Row],[Total Harga]]*Data[[#This Row],[Diskon]]),Data[[#This Row],[Total Harga]])</f>
        <v>1572500</v>
      </c>
      <c r="AA347" s="35">
        <f>(Data[[#This Row],[Profit A]]+Data[[#This Row],[Profit B]]+Data[[#This Row],[Profit C]])</f>
        <v>730000</v>
      </c>
      <c r="AB347" s="35">
        <f>IFERROR((Data[[#This Row],[Profit non Diskon]]-(Data[[#This Row],[Profit non Diskon]]*Data[[#This Row],[Diskon]])),Data[[#This Row],[Profit non Diskon]])</f>
        <v>620500</v>
      </c>
      <c r="AC347" s="23" t="s">
        <v>13</v>
      </c>
      <c r="AD347" s="37">
        <f>IFERROR(INDEX('Kode Diskon'!$D$3:$D$9,MATCH(Data[[#This Row],[Kode diskon]],'Kode Diskon'!$C$3:$C$9,0)),"-")</f>
        <v>0.15</v>
      </c>
      <c r="AE347" s="23" t="s">
        <v>29</v>
      </c>
      <c r="AF347" s="23" t="s">
        <v>7</v>
      </c>
      <c r="AG347" s="23" t="s">
        <v>80</v>
      </c>
      <c r="AH347" s="24">
        <v>45018</v>
      </c>
      <c r="AI347" s="23" t="str">
        <f>TEXT(Data[[#This Row],[Tanggal terjual]],"dddd")</f>
        <v>Sunday</v>
      </c>
      <c r="AJ347" s="21" t="str">
        <f>TEXT(Data[[#This Row],[Tanggal terjual]],"wwww")</f>
        <v>wwww</v>
      </c>
    </row>
    <row r="348" spans="1:36" x14ac:dyDescent="0.2">
      <c r="A348" s="20">
        <v>347</v>
      </c>
      <c r="B348" s="21" t="str">
        <f>_xlfn.CONCAT("ORD-",INDEX(Helper!$B$2:$B$5,MATCH(Data[[#This Row],[Marketplace]],Helper!$A$2:$A$5,0)),TEXT(Data[[#This Row],[No]],"0000"),"-",TEXT(Data[[#This Row],[Tanggal terjual]],"dd/mm/yy"))</f>
        <v>ORD-TK0347-05/04/23</v>
      </c>
      <c r="C348" t="s">
        <v>59</v>
      </c>
      <c r="D348" t="str">
        <f>IFERROR(INDEX(Katalog!$A$3:$A$12,MATCH(Data[[#This Row],[ItemID A]],Katalog!$C$3:$C$12,0)),"-")</f>
        <v>Pakaian Wanita</v>
      </c>
      <c r="E348" t="str">
        <f>IFERROR(INDEX(Katalog!$B$3:$B$12,MATCH(Data[[#This Row],[ItemID A]],Katalog!$C$3:$C$12,0)),"-")</f>
        <v>Blouse</v>
      </c>
      <c r="F348">
        <v>1</v>
      </c>
      <c r="G348">
        <v>2</v>
      </c>
      <c r="H348" s="36">
        <f>IFERROR(INDEX(Katalog!$D$3:$D$12,MATCH(Data[[#This Row],[ItemID A]],Katalog!$C$3:$C$12,0))*Data[[#This Row],[Qty A]],"0")</f>
        <v>150000</v>
      </c>
      <c r="I348" s="36">
        <f>IFERROR(INDEX(Katalog!$F$3:$F$12,MATCH(Data[[#This Row],[ItemID A]],Katalog!$C$3:$C$12,0))*Data[[#This Row],[Qty A]],0)</f>
        <v>50000</v>
      </c>
      <c r="K348" t="str">
        <f>IFERROR(INDEX(Katalog!$A$3:$A$12,MATCH(Data[[#This Row],[ItemID B]],Katalog!$C$3:$C$12,0)),"-")</f>
        <v>-</v>
      </c>
      <c r="L348" t="str">
        <f>IFERROR(INDEX(Katalog!$B$3:$B$12,MATCH(Data[[#This Row],[ItemID B]],Katalog!$C$3:$C$12,0)),"-")</f>
        <v>-</v>
      </c>
      <c r="O348" s="36" t="str">
        <f>IFERROR(INDEX(Katalog!$D$3:$D$12,MATCH(Data[[#This Row],[ItemID B]],Katalog!$C$3:$C$12,0))*Data[[#This Row],[Qty B]],"0")</f>
        <v>0</v>
      </c>
      <c r="P348" s="36" t="str">
        <f>IFERROR(INDEX(Katalog!$F$3:$F$12,MATCH(Data[[#This Row],[ItemID B]],Katalog!$C$3:$C$12,0))*Data[[#This Row],[Qty B]],"0")</f>
        <v>0</v>
      </c>
      <c r="R348" t="str">
        <f>IFERROR(INDEX(Katalog!$A$3:$A$12,MATCH(Data[[#This Row],[ItemID C]],Katalog!$C$3:$C$12,0)),"-")</f>
        <v>-</v>
      </c>
      <c r="S348" t="str">
        <f>IFERROR(INDEX(Katalog!$B$3:$B$12,MATCH(Data[[#This Row],[ItemID C]],Katalog!$C$3:$C$12,0)),"-")</f>
        <v>-</v>
      </c>
      <c r="V348" s="36" t="str">
        <f>IFERROR(INDEX(Katalog!$D$3:$D$12,MATCH(Data[[#This Row],[ItemID C]],Katalog!$C$3:$C$12,0))*Data[[#This Row],[Qty C]],"0")</f>
        <v>0</v>
      </c>
      <c r="W348" s="36" t="str">
        <f>IFERROR(INDEX(Katalog!$F$3:$F$12,MATCH(Data[[#This Row],[ItemID C]],Katalog!$C$3:$C$12,0))*Data[[#This Row],[Qty C]],"0")</f>
        <v>0</v>
      </c>
      <c r="X348" s="21">
        <f>Data[[#This Row],[Qty A]]+Data[[#This Row],[Qty B]]+Data[[#This Row],[Qty C]]</f>
        <v>1</v>
      </c>
      <c r="Y348" s="22">
        <f>Data[[#This Row],[Harga Barang A]]+Data[[#This Row],[Harga Barang B]]+Data[[#This Row],[Harga Barang C]]</f>
        <v>150000</v>
      </c>
      <c r="Z348" s="35">
        <f>IFERROR(Data[[#This Row],[Total Harga]]-(Data[[#This Row],[Total Harga]]*Data[[#This Row],[Diskon]]),Data[[#This Row],[Total Harga]])</f>
        <v>135000</v>
      </c>
      <c r="AA348" s="35">
        <f>(Data[[#This Row],[Profit A]]+Data[[#This Row],[Profit B]]+Data[[#This Row],[Profit C]])</f>
        <v>50000</v>
      </c>
      <c r="AB348" s="35">
        <f>IFERROR((Data[[#This Row],[Profit non Diskon]]-(Data[[#This Row],[Profit non Diskon]]*Data[[#This Row],[Diskon]])),Data[[#This Row],[Profit non Diskon]])</f>
        <v>45000</v>
      </c>
      <c r="AC348" s="23" t="s">
        <v>30</v>
      </c>
      <c r="AD348" s="37">
        <f>IFERROR(INDEX('Kode Diskon'!$D$3:$D$9,MATCH(Data[[#This Row],[Kode diskon]],'Kode Diskon'!$C$3:$C$9,0)),"-")</f>
        <v>0.1</v>
      </c>
      <c r="AE348" s="23" t="s">
        <v>29</v>
      </c>
      <c r="AF348" s="23" t="s">
        <v>10</v>
      </c>
      <c r="AG348" s="23" t="s">
        <v>80</v>
      </c>
      <c r="AH348" s="24">
        <v>45021</v>
      </c>
      <c r="AI348" s="23" t="str">
        <f>TEXT(Data[[#This Row],[Tanggal terjual]],"dddd")</f>
        <v>Wednesday</v>
      </c>
      <c r="AJ348" s="21" t="str">
        <f>TEXT(Data[[#This Row],[Tanggal terjual]],"wwww")</f>
        <v>wwww</v>
      </c>
    </row>
    <row r="349" spans="1:36" x14ac:dyDescent="0.2">
      <c r="A349" s="20">
        <v>348</v>
      </c>
      <c r="B349" s="21" t="str">
        <f>_xlfn.CONCAT("ORD-",INDEX(Helper!$B$2:$B$5,MATCH(Data[[#This Row],[Marketplace]],Helper!$A$2:$A$5,0)),TEXT(Data[[#This Row],[No]],"0000"),"-",TEXT(Data[[#This Row],[Tanggal terjual]],"dd/mm/yy"))</f>
        <v>ORD-SP0348-02/04/23</v>
      </c>
      <c r="C349" t="s">
        <v>65</v>
      </c>
      <c r="D349" t="str">
        <f>IFERROR(INDEX(Katalog!$A$3:$A$12,MATCH(Data[[#This Row],[ItemID A]],Katalog!$C$3:$C$12,0)),"-")</f>
        <v>Sepatu Pria</v>
      </c>
      <c r="E349" t="str">
        <f>IFERROR(INDEX(Katalog!$B$3:$B$12,MATCH(Data[[#This Row],[ItemID A]],Katalog!$C$3:$C$12,0)),"-")</f>
        <v>Sneakers</v>
      </c>
      <c r="F349">
        <v>2</v>
      </c>
      <c r="G349">
        <v>5</v>
      </c>
      <c r="H349" s="36">
        <f>IFERROR(INDEX(Katalog!$D$3:$D$12,MATCH(Data[[#This Row],[ItemID A]],Katalog!$C$3:$C$12,0))*Data[[#This Row],[Qty A]],"0")</f>
        <v>1000000</v>
      </c>
      <c r="I349" s="36">
        <f>IFERROR(INDEX(Katalog!$F$3:$F$12,MATCH(Data[[#This Row],[ItemID A]],Katalog!$C$3:$C$12,0))*Data[[#This Row],[Qty A]],0)</f>
        <v>400000</v>
      </c>
      <c r="J349" t="s">
        <v>66</v>
      </c>
      <c r="K349" t="str">
        <f>IFERROR(INDEX(Katalog!$A$3:$A$12,MATCH(Data[[#This Row],[ItemID B]],Katalog!$C$3:$C$12,0)),"-")</f>
        <v>Sepatu Pria</v>
      </c>
      <c r="L349" t="str">
        <f>IFERROR(INDEX(Katalog!$B$3:$B$12,MATCH(Data[[#This Row],[ItemID B]],Katalog!$C$3:$C$12,0)),"-")</f>
        <v>Sandal Slip On</v>
      </c>
      <c r="M349">
        <v>1</v>
      </c>
      <c r="N349">
        <v>4</v>
      </c>
      <c r="O349" s="36">
        <f>IFERROR(INDEX(Katalog!$D$3:$D$12,MATCH(Data[[#This Row],[ItemID B]],Katalog!$C$3:$C$12,0))*Data[[#This Row],[Qty B]],"0")</f>
        <v>150000</v>
      </c>
      <c r="P349" s="36">
        <f>IFERROR(INDEX(Katalog!$F$3:$F$12,MATCH(Data[[#This Row],[ItemID B]],Katalog!$C$3:$C$12,0))*Data[[#This Row],[Qty B]],"0")</f>
        <v>60000</v>
      </c>
      <c r="R349" t="str">
        <f>IFERROR(INDEX(Katalog!$A$3:$A$12,MATCH(Data[[#This Row],[ItemID C]],Katalog!$C$3:$C$12,0)),"-")</f>
        <v>-</v>
      </c>
      <c r="S349" t="str">
        <f>IFERROR(INDEX(Katalog!$B$3:$B$12,MATCH(Data[[#This Row],[ItemID C]],Katalog!$C$3:$C$12,0)),"-")</f>
        <v>-</v>
      </c>
      <c r="V349" s="36" t="str">
        <f>IFERROR(INDEX(Katalog!$D$3:$D$12,MATCH(Data[[#This Row],[ItemID C]],Katalog!$C$3:$C$12,0))*Data[[#This Row],[Qty C]],"0")</f>
        <v>0</v>
      </c>
      <c r="W349" s="36" t="str">
        <f>IFERROR(INDEX(Katalog!$F$3:$F$12,MATCH(Data[[#This Row],[ItemID C]],Katalog!$C$3:$C$12,0))*Data[[#This Row],[Qty C]],"0")</f>
        <v>0</v>
      </c>
      <c r="X349" s="21">
        <f>Data[[#This Row],[Qty A]]+Data[[#This Row],[Qty B]]+Data[[#This Row],[Qty C]]</f>
        <v>3</v>
      </c>
      <c r="Y349" s="22">
        <f>Data[[#This Row],[Harga Barang A]]+Data[[#This Row],[Harga Barang B]]+Data[[#This Row],[Harga Barang C]]</f>
        <v>1150000</v>
      </c>
      <c r="Z349" s="35">
        <f>IFERROR(Data[[#This Row],[Total Harga]]-(Data[[#This Row],[Total Harga]]*Data[[#This Row],[Diskon]]),Data[[#This Row],[Total Harga]])</f>
        <v>1035000</v>
      </c>
      <c r="AA349" s="35">
        <f>(Data[[#This Row],[Profit A]]+Data[[#This Row],[Profit B]]+Data[[#This Row],[Profit C]])</f>
        <v>460000</v>
      </c>
      <c r="AB349" s="35">
        <f>IFERROR((Data[[#This Row],[Profit non Diskon]]-(Data[[#This Row],[Profit non Diskon]]*Data[[#This Row],[Diskon]])),Data[[#This Row],[Profit non Diskon]])</f>
        <v>414000</v>
      </c>
      <c r="AC349" s="23" t="s">
        <v>6</v>
      </c>
      <c r="AD349" s="37">
        <f>IFERROR(INDEX('Kode Diskon'!$D$3:$D$9,MATCH(Data[[#This Row],[Kode diskon]],'Kode Diskon'!$C$3:$C$9,0)),"-")</f>
        <v>0.1</v>
      </c>
      <c r="AE349" s="23" t="s">
        <v>29</v>
      </c>
      <c r="AF349" s="23" t="s">
        <v>7</v>
      </c>
      <c r="AG349" s="23" t="s">
        <v>80</v>
      </c>
      <c r="AH349" s="24">
        <v>45018</v>
      </c>
      <c r="AI349" s="23" t="str">
        <f>TEXT(Data[[#This Row],[Tanggal terjual]],"dddd")</f>
        <v>Sunday</v>
      </c>
      <c r="AJ349" s="21" t="str">
        <f>TEXT(Data[[#This Row],[Tanggal terjual]],"wwww")</f>
        <v>wwww</v>
      </c>
    </row>
    <row r="350" spans="1:36" x14ac:dyDescent="0.2">
      <c r="A350" s="20">
        <v>349</v>
      </c>
      <c r="B350" s="21" t="str">
        <f>_xlfn.CONCAT("ORD-",INDEX(Helper!$B$2:$B$5,MATCH(Data[[#This Row],[Marketplace]],Helper!$A$2:$A$5,0)),TEXT(Data[[#This Row],[No]],"0000"),"-",TEXT(Data[[#This Row],[Tanggal terjual]],"dd/mm/yy"))</f>
        <v>ORD-SP0349-13/04/23</v>
      </c>
      <c r="C350" t="s">
        <v>63</v>
      </c>
      <c r="D350" t="str">
        <f>IFERROR(INDEX(Katalog!$A$3:$A$12,MATCH(Data[[#This Row],[ItemID A]],Katalog!$C$3:$C$12,0)),"-")</f>
        <v>Pakaian Pria</v>
      </c>
      <c r="E350" t="str">
        <f>IFERROR(INDEX(Katalog!$B$3:$B$12,MATCH(Data[[#This Row],[ItemID A]],Katalog!$C$3:$C$12,0)),"-")</f>
        <v>Jaket Jeans</v>
      </c>
      <c r="F350">
        <v>2</v>
      </c>
      <c r="G350">
        <v>2</v>
      </c>
      <c r="H350" s="36">
        <f>IFERROR(INDEX(Katalog!$D$3:$D$12,MATCH(Data[[#This Row],[ItemID A]],Katalog!$C$3:$C$12,0))*Data[[#This Row],[Qty A]],"0")</f>
        <v>800000</v>
      </c>
      <c r="I350" s="36">
        <f>IFERROR(INDEX(Katalog!$F$3:$F$12,MATCH(Data[[#This Row],[ItemID A]],Katalog!$C$3:$C$12,0))*Data[[#This Row],[Qty A]],0)</f>
        <v>300000</v>
      </c>
      <c r="J350" t="s">
        <v>60</v>
      </c>
      <c r="K350" t="str">
        <f>IFERROR(INDEX(Katalog!$A$3:$A$12,MATCH(Data[[#This Row],[ItemID B]],Katalog!$C$3:$C$12,0)),"-")</f>
        <v>Pakaian Wanita</v>
      </c>
      <c r="L350" t="str">
        <f>IFERROR(INDEX(Katalog!$B$3:$B$12,MATCH(Data[[#This Row],[ItemID B]],Katalog!$C$3:$C$12,0)),"-")</f>
        <v>Kaftan</v>
      </c>
      <c r="M350">
        <v>3</v>
      </c>
      <c r="N350">
        <v>4</v>
      </c>
      <c r="O350" s="36">
        <f>IFERROR(INDEX(Katalog!$D$3:$D$12,MATCH(Data[[#This Row],[ItemID B]],Katalog!$C$3:$C$12,0))*Data[[#This Row],[Qty B]],"0")</f>
        <v>750000</v>
      </c>
      <c r="P350" s="36">
        <f>IFERROR(INDEX(Katalog!$F$3:$F$12,MATCH(Data[[#This Row],[ItemID B]],Katalog!$C$3:$C$12,0))*Data[[#This Row],[Qty B]],"0")</f>
        <v>300000</v>
      </c>
      <c r="R350" t="str">
        <f>IFERROR(INDEX(Katalog!$A$3:$A$12,MATCH(Data[[#This Row],[ItemID C]],Katalog!$C$3:$C$12,0)),"-")</f>
        <v>-</v>
      </c>
      <c r="S350" t="str">
        <f>IFERROR(INDEX(Katalog!$B$3:$B$12,MATCH(Data[[#This Row],[ItemID C]],Katalog!$C$3:$C$12,0)),"-")</f>
        <v>-</v>
      </c>
      <c r="V350" s="36" t="str">
        <f>IFERROR(INDEX(Katalog!$D$3:$D$12,MATCH(Data[[#This Row],[ItemID C]],Katalog!$C$3:$C$12,0))*Data[[#This Row],[Qty C]],"0")</f>
        <v>0</v>
      </c>
      <c r="W350" s="36" t="str">
        <f>IFERROR(INDEX(Katalog!$F$3:$F$12,MATCH(Data[[#This Row],[ItemID C]],Katalog!$C$3:$C$12,0))*Data[[#This Row],[Qty C]],"0")</f>
        <v>0</v>
      </c>
      <c r="X350" s="21">
        <f>Data[[#This Row],[Qty A]]+Data[[#This Row],[Qty B]]+Data[[#This Row],[Qty C]]</f>
        <v>5</v>
      </c>
      <c r="Y350" s="22">
        <f>Data[[#This Row],[Harga Barang A]]+Data[[#This Row],[Harga Barang B]]+Data[[#This Row],[Harga Barang C]]</f>
        <v>1550000</v>
      </c>
      <c r="Z350" s="35">
        <f>IFERROR(Data[[#This Row],[Total Harga]]-(Data[[#This Row],[Total Harga]]*Data[[#This Row],[Diskon]]),Data[[#This Row],[Total Harga]])</f>
        <v>1550000</v>
      </c>
      <c r="AA350" s="35">
        <f>(Data[[#This Row],[Profit A]]+Data[[#This Row],[Profit B]]+Data[[#This Row],[Profit C]])</f>
        <v>600000</v>
      </c>
      <c r="AB350" s="35">
        <f>IFERROR((Data[[#This Row],[Profit non Diskon]]-(Data[[#This Row],[Profit non Diskon]]*Data[[#This Row],[Diskon]])),Data[[#This Row],[Profit non Diskon]])</f>
        <v>600000</v>
      </c>
      <c r="AC350" s="23" t="s">
        <v>11</v>
      </c>
      <c r="AD350" s="37" t="str">
        <f>IFERROR(INDEX('Kode Diskon'!$D$3:$D$9,MATCH(Data[[#This Row],[Kode diskon]],'Kode Diskon'!$C$3:$C$9,0)),"-")</f>
        <v>-</v>
      </c>
      <c r="AE350" s="23" t="s">
        <v>11</v>
      </c>
      <c r="AF350" s="23" t="s">
        <v>7</v>
      </c>
      <c r="AG350" s="23" t="s">
        <v>78</v>
      </c>
      <c r="AH350" s="24">
        <v>45029</v>
      </c>
      <c r="AI350" s="23" t="str">
        <f>TEXT(Data[[#This Row],[Tanggal terjual]],"dddd")</f>
        <v>Thursday</v>
      </c>
      <c r="AJ350" s="21" t="str">
        <f>TEXT(Data[[#This Row],[Tanggal terjual]],"wwww")</f>
        <v>wwww</v>
      </c>
    </row>
    <row r="351" spans="1:36" x14ac:dyDescent="0.2">
      <c r="A351" s="20">
        <v>350</v>
      </c>
      <c r="B351" s="21" t="str">
        <f>_xlfn.CONCAT("ORD-",INDEX(Helper!$B$2:$B$5,MATCH(Data[[#This Row],[Marketplace]],Helper!$A$2:$A$5,0)),TEXT(Data[[#This Row],[No]],"0000"),"-",TEXT(Data[[#This Row],[Tanggal terjual]],"dd/mm/yy"))</f>
        <v>ORD-BL0350-29/04/23</v>
      </c>
      <c r="C351" t="s">
        <v>67</v>
      </c>
      <c r="D351" t="str">
        <f>IFERROR(INDEX(Katalog!$A$3:$A$12,MATCH(Data[[#This Row],[ItemID A]],Katalog!$C$3:$C$12,0)),"-")</f>
        <v>Sepatu Wanita</v>
      </c>
      <c r="E351" t="str">
        <f>IFERROR(INDEX(Katalog!$B$3:$B$12,MATCH(Data[[#This Row],[ItemID A]],Katalog!$C$3:$C$12,0)),"-")</f>
        <v>Flat Shoes</v>
      </c>
      <c r="F351">
        <v>1</v>
      </c>
      <c r="G351">
        <v>3</v>
      </c>
      <c r="H351" s="36">
        <f>IFERROR(INDEX(Katalog!$D$3:$D$12,MATCH(Data[[#This Row],[ItemID A]],Katalog!$C$3:$C$12,0))*Data[[#This Row],[Qty A]],"0")</f>
        <v>250000</v>
      </c>
      <c r="I351" s="36">
        <f>IFERROR(INDEX(Katalog!$F$3:$F$12,MATCH(Data[[#This Row],[ItemID A]],Katalog!$C$3:$C$12,0))*Data[[#This Row],[Qty A]],0)</f>
        <v>100000</v>
      </c>
      <c r="K351" t="str">
        <f>IFERROR(INDEX(Katalog!$A$3:$A$12,MATCH(Data[[#This Row],[ItemID B]],Katalog!$C$3:$C$12,0)),"-")</f>
        <v>-</v>
      </c>
      <c r="L351" t="str">
        <f>IFERROR(INDEX(Katalog!$B$3:$B$12,MATCH(Data[[#This Row],[ItemID B]],Katalog!$C$3:$C$12,0)),"-")</f>
        <v>-</v>
      </c>
      <c r="O351" s="36" t="str">
        <f>IFERROR(INDEX(Katalog!$D$3:$D$12,MATCH(Data[[#This Row],[ItemID B]],Katalog!$C$3:$C$12,0))*Data[[#This Row],[Qty B]],"0")</f>
        <v>0</v>
      </c>
      <c r="P351" s="36" t="str">
        <f>IFERROR(INDEX(Katalog!$F$3:$F$12,MATCH(Data[[#This Row],[ItemID B]],Katalog!$C$3:$C$12,0))*Data[[#This Row],[Qty B]],"0")</f>
        <v>0</v>
      </c>
      <c r="R351" t="str">
        <f>IFERROR(INDEX(Katalog!$A$3:$A$12,MATCH(Data[[#This Row],[ItemID C]],Katalog!$C$3:$C$12,0)),"-")</f>
        <v>-</v>
      </c>
      <c r="S351" t="str">
        <f>IFERROR(INDEX(Katalog!$B$3:$B$12,MATCH(Data[[#This Row],[ItemID C]],Katalog!$C$3:$C$12,0)),"-")</f>
        <v>-</v>
      </c>
      <c r="V351" s="36" t="str">
        <f>IFERROR(INDEX(Katalog!$D$3:$D$12,MATCH(Data[[#This Row],[ItemID C]],Katalog!$C$3:$C$12,0))*Data[[#This Row],[Qty C]],"0")</f>
        <v>0</v>
      </c>
      <c r="W351" s="36" t="str">
        <f>IFERROR(INDEX(Katalog!$F$3:$F$12,MATCH(Data[[#This Row],[ItemID C]],Katalog!$C$3:$C$12,0))*Data[[#This Row],[Qty C]],"0")</f>
        <v>0</v>
      </c>
      <c r="X351" s="21">
        <f>Data[[#This Row],[Qty A]]+Data[[#This Row],[Qty B]]+Data[[#This Row],[Qty C]]</f>
        <v>1</v>
      </c>
      <c r="Y351" s="22">
        <f>Data[[#This Row],[Harga Barang A]]+Data[[#This Row],[Harga Barang B]]+Data[[#This Row],[Harga Barang C]]</f>
        <v>250000</v>
      </c>
      <c r="Z351" s="35">
        <f>IFERROR(Data[[#This Row],[Total Harga]]-(Data[[#This Row],[Total Harga]]*Data[[#This Row],[Diskon]]),Data[[#This Row],[Total Harga]])</f>
        <v>212500</v>
      </c>
      <c r="AA351" s="35">
        <f>(Data[[#This Row],[Profit A]]+Data[[#This Row],[Profit B]]+Data[[#This Row],[Profit C]])</f>
        <v>100000</v>
      </c>
      <c r="AB351" s="35">
        <f>IFERROR((Data[[#This Row],[Profit non Diskon]]-(Data[[#This Row],[Profit non Diskon]]*Data[[#This Row],[Diskon]])),Data[[#This Row],[Profit non Diskon]])</f>
        <v>85000</v>
      </c>
      <c r="AC351" s="23" t="s">
        <v>32</v>
      </c>
      <c r="AD351" s="37">
        <f>IFERROR(INDEX('Kode Diskon'!$D$3:$D$9,MATCH(Data[[#This Row],[Kode diskon]],'Kode Diskon'!$C$3:$C$9,0)),"-")</f>
        <v>0.15</v>
      </c>
      <c r="AE351" s="23" t="s">
        <v>9</v>
      </c>
      <c r="AF351" s="23" t="s">
        <v>12</v>
      </c>
      <c r="AG351" s="23" t="s">
        <v>75</v>
      </c>
      <c r="AH351" s="24">
        <v>45045</v>
      </c>
      <c r="AI351" s="23" t="str">
        <f>TEXT(Data[[#This Row],[Tanggal terjual]],"dddd")</f>
        <v>Saturday</v>
      </c>
      <c r="AJ351" s="21" t="str">
        <f>TEXT(Data[[#This Row],[Tanggal terjual]],"wwww")</f>
        <v>wwww</v>
      </c>
    </row>
    <row r="352" spans="1:36" x14ac:dyDescent="0.2">
      <c r="A352" s="20">
        <v>351</v>
      </c>
      <c r="B352" s="21" t="str">
        <f>_xlfn.CONCAT("ORD-",INDEX(Helper!$B$2:$B$5,MATCH(Data[[#This Row],[Marketplace]],Helper!$A$2:$A$5,0)),TEXT(Data[[#This Row],[No]],"0000"),"-",TEXT(Data[[#This Row],[Tanggal terjual]],"dd/mm/yy"))</f>
        <v>ORD-SP0351-11/04/23</v>
      </c>
      <c r="C352" t="s">
        <v>58</v>
      </c>
      <c r="D352" t="str">
        <f>IFERROR(INDEX(Katalog!$A$3:$A$12,MATCH(Data[[#This Row],[ItemID A]],Katalog!$C$3:$C$12,0)),"-")</f>
        <v>Pakaian Wanita</v>
      </c>
      <c r="E352" t="str">
        <f>IFERROR(INDEX(Katalog!$B$3:$B$12,MATCH(Data[[#This Row],[ItemID A]],Katalog!$C$3:$C$12,0)),"-")</f>
        <v>Dress</v>
      </c>
      <c r="F352">
        <v>6</v>
      </c>
      <c r="G352">
        <v>5</v>
      </c>
      <c r="H352" s="36">
        <f>IFERROR(INDEX(Katalog!$D$3:$D$12,MATCH(Data[[#This Row],[ItemID A]],Katalog!$C$3:$C$12,0))*Data[[#This Row],[Qty A]],"0")</f>
        <v>1800000</v>
      </c>
      <c r="I352" s="36">
        <f>IFERROR(INDEX(Katalog!$F$3:$F$12,MATCH(Data[[#This Row],[ItemID A]],Katalog!$C$3:$C$12,0))*Data[[#This Row],[Qty A]],0)</f>
        <v>600000</v>
      </c>
      <c r="J352" t="s">
        <v>66</v>
      </c>
      <c r="K352" t="str">
        <f>IFERROR(INDEX(Katalog!$A$3:$A$12,MATCH(Data[[#This Row],[ItemID B]],Katalog!$C$3:$C$12,0)),"-")</f>
        <v>Sepatu Pria</v>
      </c>
      <c r="L352" t="str">
        <f>IFERROR(INDEX(Katalog!$B$3:$B$12,MATCH(Data[[#This Row],[ItemID B]],Katalog!$C$3:$C$12,0)),"-")</f>
        <v>Sandal Slip On</v>
      </c>
      <c r="M352">
        <v>1</v>
      </c>
      <c r="N352">
        <v>1</v>
      </c>
      <c r="O352" s="36">
        <f>IFERROR(INDEX(Katalog!$D$3:$D$12,MATCH(Data[[#This Row],[ItemID B]],Katalog!$C$3:$C$12,0))*Data[[#This Row],[Qty B]],"0")</f>
        <v>150000</v>
      </c>
      <c r="P352" s="36">
        <f>IFERROR(INDEX(Katalog!$F$3:$F$12,MATCH(Data[[#This Row],[ItemID B]],Katalog!$C$3:$C$12,0))*Data[[#This Row],[Qty B]],"0")</f>
        <v>60000</v>
      </c>
      <c r="R352" t="str">
        <f>IFERROR(INDEX(Katalog!$A$3:$A$12,MATCH(Data[[#This Row],[ItemID C]],Katalog!$C$3:$C$12,0)),"-")</f>
        <v>-</v>
      </c>
      <c r="S352" t="str">
        <f>IFERROR(INDEX(Katalog!$B$3:$B$12,MATCH(Data[[#This Row],[ItemID C]],Katalog!$C$3:$C$12,0)),"-")</f>
        <v>-</v>
      </c>
      <c r="V352" s="36" t="str">
        <f>IFERROR(INDEX(Katalog!$D$3:$D$12,MATCH(Data[[#This Row],[ItemID C]],Katalog!$C$3:$C$12,0))*Data[[#This Row],[Qty C]],"0")</f>
        <v>0</v>
      </c>
      <c r="W352" s="36" t="str">
        <f>IFERROR(INDEX(Katalog!$F$3:$F$12,MATCH(Data[[#This Row],[ItemID C]],Katalog!$C$3:$C$12,0))*Data[[#This Row],[Qty C]],"0")</f>
        <v>0</v>
      </c>
      <c r="X352" s="21">
        <f>Data[[#This Row],[Qty A]]+Data[[#This Row],[Qty B]]+Data[[#This Row],[Qty C]]</f>
        <v>7</v>
      </c>
      <c r="Y352" s="22">
        <f>Data[[#This Row],[Harga Barang A]]+Data[[#This Row],[Harga Barang B]]+Data[[#This Row],[Harga Barang C]]</f>
        <v>1950000</v>
      </c>
      <c r="Z352" s="35">
        <f>IFERROR(Data[[#This Row],[Total Harga]]-(Data[[#This Row],[Total Harga]]*Data[[#This Row],[Diskon]]),Data[[#This Row],[Total Harga]])</f>
        <v>1950000</v>
      </c>
      <c r="AA352" s="35">
        <f>(Data[[#This Row],[Profit A]]+Data[[#This Row],[Profit B]]+Data[[#This Row],[Profit C]])</f>
        <v>660000</v>
      </c>
      <c r="AB352" s="35">
        <f>IFERROR((Data[[#This Row],[Profit non Diskon]]-(Data[[#This Row],[Profit non Diskon]]*Data[[#This Row],[Diskon]])),Data[[#This Row],[Profit non Diskon]])</f>
        <v>660000</v>
      </c>
      <c r="AC352" s="23" t="s">
        <v>11</v>
      </c>
      <c r="AD352" s="37" t="str">
        <f>IFERROR(INDEX('Kode Diskon'!$D$3:$D$9,MATCH(Data[[#This Row],[Kode diskon]],'Kode Diskon'!$C$3:$C$9,0)),"-")</f>
        <v>-</v>
      </c>
      <c r="AE352" s="23" t="s">
        <v>11</v>
      </c>
      <c r="AF352" s="23" t="s">
        <v>7</v>
      </c>
      <c r="AG352" s="23" t="s">
        <v>80</v>
      </c>
      <c r="AH352" s="24">
        <v>45027</v>
      </c>
      <c r="AI352" s="23" t="str">
        <f>TEXT(Data[[#This Row],[Tanggal terjual]],"dddd")</f>
        <v>Tuesday</v>
      </c>
      <c r="AJ352" s="21" t="str">
        <f>TEXT(Data[[#This Row],[Tanggal terjual]],"wwww")</f>
        <v>wwww</v>
      </c>
    </row>
    <row r="353" spans="1:36" x14ac:dyDescent="0.2">
      <c r="A353" s="20">
        <v>352</v>
      </c>
      <c r="B353" s="21" t="str">
        <f>_xlfn.CONCAT("ORD-",INDEX(Helper!$B$2:$B$5,MATCH(Data[[#This Row],[Marketplace]],Helper!$A$2:$A$5,0)),TEXT(Data[[#This Row],[No]],"0000"),"-",TEXT(Data[[#This Row],[Tanggal terjual]],"dd/mm/yy"))</f>
        <v>ORD-TK0352-06/04/23</v>
      </c>
      <c r="C353" t="s">
        <v>61</v>
      </c>
      <c r="D353" t="str">
        <f>IFERROR(INDEX(Katalog!$A$3:$A$12,MATCH(Data[[#This Row],[ItemID A]],Katalog!$C$3:$C$12,0)),"-")</f>
        <v>Pakaian Pria</v>
      </c>
      <c r="E353" t="str">
        <f>IFERROR(INDEX(Katalog!$B$3:$B$12,MATCH(Data[[#This Row],[ItemID A]],Katalog!$C$3:$C$12,0)),"-")</f>
        <v>Kaos Polo</v>
      </c>
      <c r="F353">
        <v>3</v>
      </c>
      <c r="G353">
        <v>3</v>
      </c>
      <c r="H353" s="36">
        <f>IFERROR(INDEX(Katalog!$D$3:$D$12,MATCH(Data[[#This Row],[ItemID A]],Katalog!$C$3:$C$12,0))*Data[[#This Row],[Qty A]],"0")</f>
        <v>600000</v>
      </c>
      <c r="I353" s="36">
        <f>IFERROR(INDEX(Katalog!$F$3:$F$12,MATCH(Data[[#This Row],[ItemID A]],Katalog!$C$3:$C$12,0))*Data[[#This Row],[Qty A]],0)</f>
        <v>240000</v>
      </c>
      <c r="K353" t="str">
        <f>IFERROR(INDEX(Katalog!$A$3:$A$12,MATCH(Data[[#This Row],[ItemID B]],Katalog!$C$3:$C$12,0)),"-")</f>
        <v>-</v>
      </c>
      <c r="L353" t="str">
        <f>IFERROR(INDEX(Katalog!$B$3:$B$12,MATCH(Data[[#This Row],[ItemID B]],Katalog!$C$3:$C$12,0)),"-")</f>
        <v>-</v>
      </c>
      <c r="O353" s="36" t="str">
        <f>IFERROR(INDEX(Katalog!$D$3:$D$12,MATCH(Data[[#This Row],[ItemID B]],Katalog!$C$3:$C$12,0))*Data[[#This Row],[Qty B]],"0")</f>
        <v>0</v>
      </c>
      <c r="P353" s="36" t="str">
        <f>IFERROR(INDEX(Katalog!$F$3:$F$12,MATCH(Data[[#This Row],[ItemID B]],Katalog!$C$3:$C$12,0))*Data[[#This Row],[Qty B]],"0")</f>
        <v>0</v>
      </c>
      <c r="R353" t="str">
        <f>IFERROR(INDEX(Katalog!$A$3:$A$12,MATCH(Data[[#This Row],[ItemID C]],Katalog!$C$3:$C$12,0)),"-")</f>
        <v>-</v>
      </c>
      <c r="S353" t="str">
        <f>IFERROR(INDEX(Katalog!$B$3:$B$12,MATCH(Data[[#This Row],[ItemID C]],Katalog!$C$3:$C$12,0)),"-")</f>
        <v>-</v>
      </c>
      <c r="V353" s="36" t="str">
        <f>IFERROR(INDEX(Katalog!$D$3:$D$12,MATCH(Data[[#This Row],[ItemID C]],Katalog!$C$3:$C$12,0))*Data[[#This Row],[Qty C]],"0")</f>
        <v>0</v>
      </c>
      <c r="W353" s="36" t="str">
        <f>IFERROR(INDEX(Katalog!$F$3:$F$12,MATCH(Data[[#This Row],[ItemID C]],Katalog!$C$3:$C$12,0))*Data[[#This Row],[Qty C]],"0")</f>
        <v>0</v>
      </c>
      <c r="X353" s="21">
        <f>Data[[#This Row],[Qty A]]+Data[[#This Row],[Qty B]]+Data[[#This Row],[Qty C]]</f>
        <v>3</v>
      </c>
      <c r="Y353" s="22">
        <f>Data[[#This Row],[Harga Barang A]]+Data[[#This Row],[Harga Barang B]]+Data[[#This Row],[Harga Barang C]]</f>
        <v>600000</v>
      </c>
      <c r="Z353" s="35">
        <f>IFERROR(Data[[#This Row],[Total Harga]]-(Data[[#This Row],[Total Harga]]*Data[[#This Row],[Diskon]]),Data[[#This Row],[Total Harga]])</f>
        <v>540000</v>
      </c>
      <c r="AA353" s="35">
        <f>(Data[[#This Row],[Profit A]]+Data[[#This Row],[Profit B]]+Data[[#This Row],[Profit C]])</f>
        <v>240000</v>
      </c>
      <c r="AB353" s="35">
        <f>IFERROR((Data[[#This Row],[Profit non Diskon]]-(Data[[#This Row],[Profit non Diskon]]*Data[[#This Row],[Diskon]])),Data[[#This Row],[Profit non Diskon]])</f>
        <v>216000</v>
      </c>
      <c r="AC353" s="23" t="s">
        <v>30</v>
      </c>
      <c r="AD353" s="37">
        <f>IFERROR(INDEX('Kode Diskon'!$D$3:$D$9,MATCH(Data[[#This Row],[Kode diskon]],'Kode Diskon'!$C$3:$C$9,0)),"-")</f>
        <v>0.1</v>
      </c>
      <c r="AE353" s="23" t="s">
        <v>29</v>
      </c>
      <c r="AF353" s="23" t="s">
        <v>10</v>
      </c>
      <c r="AG353" s="23" t="s">
        <v>75</v>
      </c>
      <c r="AH353" s="24">
        <v>45022</v>
      </c>
      <c r="AI353" s="23" t="str">
        <f>TEXT(Data[[#This Row],[Tanggal terjual]],"dddd")</f>
        <v>Thursday</v>
      </c>
      <c r="AJ353" s="21" t="str">
        <f>TEXT(Data[[#This Row],[Tanggal terjual]],"wwww")</f>
        <v>wwww</v>
      </c>
    </row>
    <row r="354" spans="1:36" x14ac:dyDescent="0.2">
      <c r="A354" s="20">
        <v>353</v>
      </c>
      <c r="B354" s="21" t="str">
        <f>_xlfn.CONCAT("ORD-",INDEX(Helper!$B$2:$B$5,MATCH(Data[[#This Row],[Marketplace]],Helper!$A$2:$A$5,0)),TEXT(Data[[#This Row],[No]],"0000"),"-",TEXT(Data[[#This Row],[Tanggal terjual]],"dd/mm/yy"))</f>
        <v>ORD-BL0353-17/04/23</v>
      </c>
      <c r="C354" t="s">
        <v>64</v>
      </c>
      <c r="D354" t="str">
        <f>IFERROR(INDEX(Katalog!$A$3:$A$12,MATCH(Data[[#This Row],[ItemID A]],Katalog!$C$3:$C$12,0)),"-")</f>
        <v>Pakaian Unisex</v>
      </c>
      <c r="E354" t="str">
        <f>IFERROR(INDEX(Katalog!$B$3:$B$12,MATCH(Data[[#This Row],[ItemID A]],Katalog!$C$3:$C$12,0)),"-")</f>
        <v>Jaket Hoodie</v>
      </c>
      <c r="F354">
        <v>1</v>
      </c>
      <c r="G354">
        <v>3</v>
      </c>
      <c r="H354" s="36">
        <f>IFERROR(INDEX(Katalog!$D$3:$D$12,MATCH(Data[[#This Row],[ItemID A]],Katalog!$C$3:$C$12,0))*Data[[#This Row],[Qty A]],"0")</f>
        <v>350000</v>
      </c>
      <c r="I354" s="36">
        <f>IFERROR(INDEX(Katalog!$F$3:$F$12,MATCH(Data[[#This Row],[ItemID A]],Katalog!$C$3:$C$12,0))*Data[[#This Row],[Qty A]],0)</f>
        <v>130000</v>
      </c>
      <c r="J354" t="s">
        <v>66</v>
      </c>
      <c r="K354" t="str">
        <f>IFERROR(INDEX(Katalog!$A$3:$A$12,MATCH(Data[[#This Row],[ItemID B]],Katalog!$C$3:$C$12,0)),"-")</f>
        <v>Sepatu Pria</v>
      </c>
      <c r="L354" t="str">
        <f>IFERROR(INDEX(Katalog!$B$3:$B$12,MATCH(Data[[#This Row],[ItemID B]],Katalog!$C$3:$C$12,0)),"-")</f>
        <v>Sandal Slip On</v>
      </c>
      <c r="M354">
        <v>1</v>
      </c>
      <c r="N354">
        <v>1</v>
      </c>
      <c r="O354" s="36">
        <f>IFERROR(INDEX(Katalog!$D$3:$D$12,MATCH(Data[[#This Row],[ItemID B]],Katalog!$C$3:$C$12,0))*Data[[#This Row],[Qty B]],"0")</f>
        <v>150000</v>
      </c>
      <c r="P354" s="36">
        <f>IFERROR(INDEX(Katalog!$F$3:$F$12,MATCH(Data[[#This Row],[ItemID B]],Katalog!$C$3:$C$12,0))*Data[[#This Row],[Qty B]],"0")</f>
        <v>60000</v>
      </c>
      <c r="R354" t="str">
        <f>IFERROR(INDEX(Katalog!$A$3:$A$12,MATCH(Data[[#This Row],[ItemID C]],Katalog!$C$3:$C$12,0)),"-")</f>
        <v>-</v>
      </c>
      <c r="S354" t="str">
        <f>IFERROR(INDEX(Katalog!$B$3:$B$12,MATCH(Data[[#This Row],[ItemID C]],Katalog!$C$3:$C$12,0)),"-")</f>
        <v>-</v>
      </c>
      <c r="V354" s="36" t="str">
        <f>IFERROR(INDEX(Katalog!$D$3:$D$12,MATCH(Data[[#This Row],[ItemID C]],Katalog!$C$3:$C$12,0))*Data[[#This Row],[Qty C]],"0")</f>
        <v>0</v>
      </c>
      <c r="W354" s="36" t="str">
        <f>IFERROR(INDEX(Katalog!$F$3:$F$12,MATCH(Data[[#This Row],[ItemID C]],Katalog!$C$3:$C$12,0))*Data[[#This Row],[Qty C]],"0")</f>
        <v>0</v>
      </c>
      <c r="X354" s="21">
        <f>Data[[#This Row],[Qty A]]+Data[[#This Row],[Qty B]]+Data[[#This Row],[Qty C]]</f>
        <v>2</v>
      </c>
      <c r="Y354" s="22">
        <f>Data[[#This Row],[Harga Barang A]]+Data[[#This Row],[Harga Barang B]]+Data[[#This Row],[Harga Barang C]]</f>
        <v>500000</v>
      </c>
      <c r="Z354" s="35">
        <f>IFERROR(Data[[#This Row],[Total Harga]]-(Data[[#This Row],[Total Harga]]*Data[[#This Row],[Diskon]]),Data[[#This Row],[Total Harga]])</f>
        <v>425000</v>
      </c>
      <c r="AA354" s="35">
        <f>(Data[[#This Row],[Profit A]]+Data[[#This Row],[Profit B]]+Data[[#This Row],[Profit C]])</f>
        <v>190000</v>
      </c>
      <c r="AB354" s="35">
        <f>IFERROR((Data[[#This Row],[Profit non Diskon]]-(Data[[#This Row],[Profit non Diskon]]*Data[[#This Row],[Diskon]])),Data[[#This Row],[Profit non Diskon]])</f>
        <v>161500</v>
      </c>
      <c r="AC354" s="23" t="s">
        <v>32</v>
      </c>
      <c r="AD354" s="37">
        <f>IFERROR(INDEX('Kode Diskon'!$D$3:$D$9,MATCH(Data[[#This Row],[Kode diskon]],'Kode Diskon'!$C$3:$C$9,0)),"-")</f>
        <v>0.15</v>
      </c>
      <c r="AE354" s="23" t="s">
        <v>9</v>
      </c>
      <c r="AF354" s="23" t="s">
        <v>12</v>
      </c>
      <c r="AG354" s="23" t="s">
        <v>80</v>
      </c>
      <c r="AH354" s="24">
        <v>45033</v>
      </c>
      <c r="AI354" s="23" t="str">
        <f>TEXT(Data[[#This Row],[Tanggal terjual]],"dddd")</f>
        <v>Monday</v>
      </c>
      <c r="AJ354" s="21" t="str">
        <f>TEXT(Data[[#This Row],[Tanggal terjual]],"wwww")</f>
        <v>wwww</v>
      </c>
    </row>
    <row r="355" spans="1:36" x14ac:dyDescent="0.2">
      <c r="A355" s="20">
        <v>354</v>
      </c>
      <c r="B355" s="21" t="str">
        <f>_xlfn.CONCAT("ORD-",INDEX(Helper!$B$2:$B$5,MATCH(Data[[#This Row],[Marketplace]],Helper!$A$2:$A$5,0)),TEXT(Data[[#This Row],[No]],"0000"),"-",TEXT(Data[[#This Row],[Tanggal terjual]],"dd/mm/yy"))</f>
        <v>ORD-TK0354-02/04/23</v>
      </c>
      <c r="C355" t="s">
        <v>65</v>
      </c>
      <c r="D355" t="str">
        <f>IFERROR(INDEX(Katalog!$A$3:$A$12,MATCH(Data[[#This Row],[ItemID A]],Katalog!$C$3:$C$12,0)),"-")</f>
        <v>Sepatu Pria</v>
      </c>
      <c r="E355" t="str">
        <f>IFERROR(INDEX(Katalog!$B$3:$B$12,MATCH(Data[[#This Row],[ItemID A]],Katalog!$C$3:$C$12,0)),"-")</f>
        <v>Sneakers</v>
      </c>
      <c r="F355">
        <v>3</v>
      </c>
      <c r="G355">
        <v>3</v>
      </c>
      <c r="H355" s="36">
        <f>IFERROR(INDEX(Katalog!$D$3:$D$12,MATCH(Data[[#This Row],[ItemID A]],Katalog!$C$3:$C$12,0))*Data[[#This Row],[Qty A]],"0")</f>
        <v>1500000</v>
      </c>
      <c r="I355" s="36">
        <f>IFERROR(INDEX(Katalog!$F$3:$F$12,MATCH(Data[[#This Row],[ItemID A]],Katalog!$C$3:$C$12,0))*Data[[#This Row],[Qty A]],0)</f>
        <v>600000</v>
      </c>
      <c r="J355" t="s">
        <v>58</v>
      </c>
      <c r="K355" t="str">
        <f>IFERROR(INDEX(Katalog!$A$3:$A$12,MATCH(Data[[#This Row],[ItemID B]],Katalog!$C$3:$C$12,0)),"-")</f>
        <v>Pakaian Wanita</v>
      </c>
      <c r="L355" t="str">
        <f>IFERROR(INDEX(Katalog!$B$3:$B$12,MATCH(Data[[#This Row],[ItemID B]],Katalog!$C$3:$C$12,0)),"-")</f>
        <v>Dress</v>
      </c>
      <c r="M355">
        <v>1</v>
      </c>
      <c r="N355">
        <v>1</v>
      </c>
      <c r="O355" s="36">
        <f>IFERROR(INDEX(Katalog!$D$3:$D$12,MATCH(Data[[#This Row],[ItemID B]],Katalog!$C$3:$C$12,0))*Data[[#This Row],[Qty B]],"0")</f>
        <v>300000</v>
      </c>
      <c r="P355" s="36">
        <f>IFERROR(INDEX(Katalog!$F$3:$F$12,MATCH(Data[[#This Row],[ItemID B]],Katalog!$C$3:$C$12,0))*Data[[#This Row],[Qty B]],"0")</f>
        <v>100000</v>
      </c>
      <c r="Q355" t="s">
        <v>67</v>
      </c>
      <c r="R355" t="str">
        <f>IFERROR(INDEX(Katalog!$A$3:$A$12,MATCH(Data[[#This Row],[ItemID C]],Katalog!$C$3:$C$12,0)),"-")</f>
        <v>Sepatu Wanita</v>
      </c>
      <c r="S355" t="str">
        <f>IFERROR(INDEX(Katalog!$B$3:$B$12,MATCH(Data[[#This Row],[ItemID C]],Katalog!$C$3:$C$12,0)),"-")</f>
        <v>Flat Shoes</v>
      </c>
      <c r="T355">
        <v>1</v>
      </c>
      <c r="U355">
        <v>1</v>
      </c>
      <c r="V355" s="36">
        <f>IFERROR(INDEX(Katalog!$D$3:$D$12,MATCH(Data[[#This Row],[ItemID C]],Katalog!$C$3:$C$12,0))*Data[[#This Row],[Qty C]],"0")</f>
        <v>250000</v>
      </c>
      <c r="W355" s="36">
        <f>IFERROR(INDEX(Katalog!$F$3:$F$12,MATCH(Data[[#This Row],[ItemID C]],Katalog!$C$3:$C$12,0))*Data[[#This Row],[Qty C]],"0")</f>
        <v>100000</v>
      </c>
      <c r="X355" s="21">
        <f>Data[[#This Row],[Qty A]]+Data[[#This Row],[Qty B]]+Data[[#This Row],[Qty C]]</f>
        <v>5</v>
      </c>
      <c r="Y355" s="22">
        <f>Data[[#This Row],[Harga Barang A]]+Data[[#This Row],[Harga Barang B]]+Data[[#This Row],[Harga Barang C]]</f>
        <v>2050000</v>
      </c>
      <c r="Z355" s="35">
        <f>IFERROR(Data[[#This Row],[Total Harga]]-(Data[[#This Row],[Total Harga]]*Data[[#This Row],[Diskon]]),Data[[#This Row],[Total Harga]])</f>
        <v>1845000</v>
      </c>
      <c r="AA355" s="35">
        <f>(Data[[#This Row],[Profit A]]+Data[[#This Row],[Profit B]]+Data[[#This Row],[Profit C]])</f>
        <v>800000</v>
      </c>
      <c r="AB355" s="35">
        <f>IFERROR((Data[[#This Row],[Profit non Diskon]]-(Data[[#This Row],[Profit non Diskon]]*Data[[#This Row],[Diskon]])),Data[[#This Row],[Profit non Diskon]])</f>
        <v>720000</v>
      </c>
      <c r="AC355" s="23" t="s">
        <v>30</v>
      </c>
      <c r="AD355" s="37">
        <f>IFERROR(INDEX('Kode Diskon'!$D$3:$D$9,MATCH(Data[[#This Row],[Kode diskon]],'Kode Diskon'!$C$3:$C$9,0)),"-")</f>
        <v>0.1</v>
      </c>
      <c r="AE355" s="23" t="s">
        <v>29</v>
      </c>
      <c r="AF355" s="23" t="s">
        <v>10</v>
      </c>
      <c r="AG355" s="23" t="s">
        <v>80</v>
      </c>
      <c r="AH355" s="24">
        <v>45018</v>
      </c>
      <c r="AI355" s="23" t="str">
        <f>TEXT(Data[[#This Row],[Tanggal terjual]],"dddd")</f>
        <v>Sunday</v>
      </c>
      <c r="AJ355" s="21" t="str">
        <f>TEXT(Data[[#This Row],[Tanggal terjual]],"wwww")</f>
        <v>wwww</v>
      </c>
    </row>
    <row r="356" spans="1:36" x14ac:dyDescent="0.2">
      <c r="A356" s="20">
        <v>355</v>
      </c>
      <c r="B356" s="21" t="str">
        <f>_xlfn.CONCAT("ORD-",INDEX(Helper!$B$2:$B$5,MATCH(Data[[#This Row],[Marketplace]],Helper!$A$2:$A$5,0)),TEXT(Data[[#This Row],[No]],"0000"),"-",TEXT(Data[[#This Row],[Tanggal terjual]],"dd/mm/yy"))</f>
        <v>ORD-SP0355-19/04/23</v>
      </c>
      <c r="C356" t="s">
        <v>64</v>
      </c>
      <c r="D356" t="str">
        <f>IFERROR(INDEX(Katalog!$A$3:$A$12,MATCH(Data[[#This Row],[ItemID A]],Katalog!$C$3:$C$12,0)),"-")</f>
        <v>Pakaian Unisex</v>
      </c>
      <c r="E356" t="str">
        <f>IFERROR(INDEX(Katalog!$B$3:$B$12,MATCH(Data[[#This Row],[ItemID A]],Katalog!$C$3:$C$12,0)),"-")</f>
        <v>Jaket Hoodie</v>
      </c>
      <c r="F356">
        <v>4</v>
      </c>
      <c r="G356">
        <v>1</v>
      </c>
      <c r="H356" s="36">
        <f>IFERROR(INDEX(Katalog!$D$3:$D$12,MATCH(Data[[#This Row],[ItemID A]],Katalog!$C$3:$C$12,0))*Data[[#This Row],[Qty A]],"0")</f>
        <v>1400000</v>
      </c>
      <c r="I356" s="36">
        <f>IFERROR(INDEX(Katalog!$F$3:$F$12,MATCH(Data[[#This Row],[ItemID A]],Katalog!$C$3:$C$12,0))*Data[[#This Row],[Qty A]],0)</f>
        <v>520000</v>
      </c>
      <c r="J356" t="s">
        <v>59</v>
      </c>
      <c r="K356" t="str">
        <f>IFERROR(INDEX(Katalog!$A$3:$A$12,MATCH(Data[[#This Row],[ItemID B]],Katalog!$C$3:$C$12,0)),"-")</f>
        <v>Pakaian Wanita</v>
      </c>
      <c r="L356" t="str">
        <f>IFERROR(INDEX(Katalog!$B$3:$B$12,MATCH(Data[[#This Row],[ItemID B]],Katalog!$C$3:$C$12,0)),"-")</f>
        <v>Blouse</v>
      </c>
      <c r="M356">
        <v>1</v>
      </c>
      <c r="N356">
        <v>2</v>
      </c>
      <c r="O356" s="36">
        <f>IFERROR(INDEX(Katalog!$D$3:$D$12,MATCH(Data[[#This Row],[ItemID B]],Katalog!$C$3:$C$12,0))*Data[[#This Row],[Qty B]],"0")</f>
        <v>150000</v>
      </c>
      <c r="P356" s="36">
        <f>IFERROR(INDEX(Katalog!$F$3:$F$12,MATCH(Data[[#This Row],[ItemID B]],Katalog!$C$3:$C$12,0))*Data[[#This Row],[Qty B]],"0")</f>
        <v>50000</v>
      </c>
      <c r="Q356" t="s">
        <v>58</v>
      </c>
      <c r="R356" t="str">
        <f>IFERROR(INDEX(Katalog!$A$3:$A$12,MATCH(Data[[#This Row],[ItemID C]],Katalog!$C$3:$C$12,0)),"-")</f>
        <v>Pakaian Wanita</v>
      </c>
      <c r="S356" t="str">
        <f>IFERROR(INDEX(Katalog!$B$3:$B$12,MATCH(Data[[#This Row],[ItemID C]],Katalog!$C$3:$C$12,0)),"-")</f>
        <v>Dress</v>
      </c>
      <c r="T356">
        <v>1</v>
      </c>
      <c r="U356">
        <v>2</v>
      </c>
      <c r="V356" s="36">
        <f>IFERROR(INDEX(Katalog!$D$3:$D$12,MATCH(Data[[#This Row],[ItemID C]],Katalog!$C$3:$C$12,0))*Data[[#This Row],[Qty C]],"0")</f>
        <v>300000</v>
      </c>
      <c r="W356" s="36">
        <f>IFERROR(INDEX(Katalog!$F$3:$F$12,MATCH(Data[[#This Row],[ItemID C]],Katalog!$C$3:$C$12,0))*Data[[#This Row],[Qty C]],"0")</f>
        <v>100000</v>
      </c>
      <c r="X356" s="21">
        <f>Data[[#This Row],[Qty A]]+Data[[#This Row],[Qty B]]+Data[[#This Row],[Qty C]]</f>
        <v>6</v>
      </c>
      <c r="Y356" s="22">
        <f>Data[[#This Row],[Harga Barang A]]+Data[[#This Row],[Harga Barang B]]+Data[[#This Row],[Harga Barang C]]</f>
        <v>1850000</v>
      </c>
      <c r="Z356" s="35">
        <f>IFERROR(Data[[#This Row],[Total Harga]]-(Data[[#This Row],[Total Harga]]*Data[[#This Row],[Diskon]]),Data[[#This Row],[Total Harga]])</f>
        <v>1480000</v>
      </c>
      <c r="AA356" s="35">
        <f>(Data[[#This Row],[Profit A]]+Data[[#This Row],[Profit B]]+Data[[#This Row],[Profit C]])</f>
        <v>670000</v>
      </c>
      <c r="AB356" s="35">
        <f>IFERROR((Data[[#This Row],[Profit non Diskon]]-(Data[[#This Row],[Profit non Diskon]]*Data[[#This Row],[Diskon]])),Data[[#This Row],[Profit non Diskon]])</f>
        <v>536000</v>
      </c>
      <c r="AC356" s="23" t="s">
        <v>8</v>
      </c>
      <c r="AD356" s="37">
        <f>IFERROR(INDEX('Kode Diskon'!$D$3:$D$9,MATCH(Data[[#This Row],[Kode diskon]],'Kode Diskon'!$C$3:$C$9,0)),"-")</f>
        <v>0.2</v>
      </c>
      <c r="AE356" s="23" t="s">
        <v>9</v>
      </c>
      <c r="AF356" s="23" t="s">
        <v>7</v>
      </c>
      <c r="AG356" s="23" t="s">
        <v>75</v>
      </c>
      <c r="AH356" s="24">
        <v>45035</v>
      </c>
      <c r="AI356" s="23" t="str">
        <f>TEXT(Data[[#This Row],[Tanggal terjual]],"dddd")</f>
        <v>Wednesday</v>
      </c>
      <c r="AJ356" s="21" t="str">
        <f>TEXT(Data[[#This Row],[Tanggal terjual]],"wwww")</f>
        <v>wwww</v>
      </c>
    </row>
    <row r="357" spans="1:36" x14ac:dyDescent="0.2">
      <c r="A357" s="20">
        <v>356</v>
      </c>
      <c r="B357" s="21" t="str">
        <f>_xlfn.CONCAT("ORD-",INDEX(Helper!$B$2:$B$5,MATCH(Data[[#This Row],[Marketplace]],Helper!$A$2:$A$5,0)),TEXT(Data[[#This Row],[No]],"0000"),"-",TEXT(Data[[#This Row],[Tanggal terjual]],"dd/mm/yy"))</f>
        <v>ORD-SP0356-26/04/23</v>
      </c>
      <c r="C357" t="s">
        <v>62</v>
      </c>
      <c r="D357" t="str">
        <f>IFERROR(INDEX(Katalog!$A$3:$A$12,MATCH(Data[[#This Row],[ItemID A]],Katalog!$C$3:$C$12,0)),"-")</f>
        <v>Pakaian Pria</v>
      </c>
      <c r="E357" t="str">
        <f>IFERROR(INDEX(Katalog!$B$3:$B$12,MATCH(Data[[#This Row],[ItemID A]],Katalog!$C$3:$C$12,0)),"-")</f>
        <v>Celana Pendek</v>
      </c>
      <c r="F357">
        <v>1</v>
      </c>
      <c r="G357">
        <v>1</v>
      </c>
      <c r="H357" s="36">
        <f>IFERROR(INDEX(Katalog!$D$3:$D$12,MATCH(Data[[#This Row],[ItemID A]],Katalog!$C$3:$C$12,0))*Data[[#This Row],[Qty A]],"0")</f>
        <v>180000</v>
      </c>
      <c r="I357" s="36">
        <f>IFERROR(INDEX(Katalog!$F$3:$F$12,MATCH(Data[[#This Row],[ItemID A]],Katalog!$C$3:$C$12,0))*Data[[#This Row],[Qty A]],0)</f>
        <v>70000</v>
      </c>
      <c r="J357" t="s">
        <v>66</v>
      </c>
      <c r="K357" t="str">
        <f>IFERROR(INDEX(Katalog!$A$3:$A$12,MATCH(Data[[#This Row],[ItemID B]],Katalog!$C$3:$C$12,0)),"-")</f>
        <v>Sepatu Pria</v>
      </c>
      <c r="L357" t="str">
        <f>IFERROR(INDEX(Katalog!$B$3:$B$12,MATCH(Data[[#This Row],[ItemID B]],Katalog!$C$3:$C$12,0)),"-")</f>
        <v>Sandal Slip On</v>
      </c>
      <c r="M357">
        <v>1</v>
      </c>
      <c r="N357">
        <v>1</v>
      </c>
      <c r="O357" s="36">
        <f>IFERROR(INDEX(Katalog!$D$3:$D$12,MATCH(Data[[#This Row],[ItemID B]],Katalog!$C$3:$C$12,0))*Data[[#This Row],[Qty B]],"0")</f>
        <v>150000</v>
      </c>
      <c r="P357" s="36">
        <f>IFERROR(INDEX(Katalog!$F$3:$F$12,MATCH(Data[[#This Row],[ItemID B]],Katalog!$C$3:$C$12,0))*Data[[#This Row],[Qty B]],"0")</f>
        <v>60000</v>
      </c>
      <c r="Q357" t="s">
        <v>64</v>
      </c>
      <c r="R357" t="str">
        <f>IFERROR(INDEX(Katalog!$A$3:$A$12,MATCH(Data[[#This Row],[ItemID C]],Katalog!$C$3:$C$12,0)),"-")</f>
        <v>Pakaian Unisex</v>
      </c>
      <c r="S357" t="str">
        <f>IFERROR(INDEX(Katalog!$B$3:$B$12,MATCH(Data[[#This Row],[ItemID C]],Katalog!$C$3:$C$12,0)),"-")</f>
        <v>Jaket Hoodie</v>
      </c>
      <c r="T357">
        <v>1</v>
      </c>
      <c r="U357">
        <v>4</v>
      </c>
      <c r="V357" s="36">
        <f>IFERROR(INDEX(Katalog!$D$3:$D$12,MATCH(Data[[#This Row],[ItemID C]],Katalog!$C$3:$C$12,0))*Data[[#This Row],[Qty C]],"0")</f>
        <v>350000</v>
      </c>
      <c r="W357" s="36">
        <f>IFERROR(INDEX(Katalog!$F$3:$F$12,MATCH(Data[[#This Row],[ItemID C]],Katalog!$C$3:$C$12,0))*Data[[#This Row],[Qty C]],"0")</f>
        <v>130000</v>
      </c>
      <c r="X357" s="21">
        <f>Data[[#This Row],[Qty A]]+Data[[#This Row],[Qty B]]+Data[[#This Row],[Qty C]]</f>
        <v>3</v>
      </c>
      <c r="Y357" s="22">
        <f>Data[[#This Row],[Harga Barang A]]+Data[[#This Row],[Harga Barang B]]+Data[[#This Row],[Harga Barang C]]</f>
        <v>680000</v>
      </c>
      <c r="Z357" s="35">
        <f>IFERROR(Data[[#This Row],[Total Harga]]-(Data[[#This Row],[Total Harga]]*Data[[#This Row],[Diskon]]),Data[[#This Row],[Total Harga]])</f>
        <v>544000</v>
      </c>
      <c r="AA357" s="35">
        <f>(Data[[#This Row],[Profit A]]+Data[[#This Row],[Profit B]]+Data[[#This Row],[Profit C]])</f>
        <v>260000</v>
      </c>
      <c r="AB357" s="35">
        <f>IFERROR((Data[[#This Row],[Profit non Diskon]]-(Data[[#This Row],[Profit non Diskon]]*Data[[#This Row],[Diskon]])),Data[[#This Row],[Profit non Diskon]])</f>
        <v>208000</v>
      </c>
      <c r="AC357" s="23" t="s">
        <v>8</v>
      </c>
      <c r="AD357" s="37">
        <f>IFERROR(INDEX('Kode Diskon'!$D$3:$D$9,MATCH(Data[[#This Row],[Kode diskon]],'Kode Diskon'!$C$3:$C$9,0)),"-")</f>
        <v>0.2</v>
      </c>
      <c r="AE357" s="23" t="s">
        <v>9</v>
      </c>
      <c r="AF357" s="23" t="s">
        <v>7</v>
      </c>
      <c r="AG357" s="23" t="s">
        <v>80</v>
      </c>
      <c r="AH357" s="24">
        <v>45042</v>
      </c>
      <c r="AI357" s="23" t="str">
        <f>TEXT(Data[[#This Row],[Tanggal terjual]],"dddd")</f>
        <v>Wednesday</v>
      </c>
      <c r="AJ357" s="21" t="str">
        <f>TEXT(Data[[#This Row],[Tanggal terjual]],"wwww")</f>
        <v>wwww</v>
      </c>
    </row>
    <row r="358" spans="1:36" x14ac:dyDescent="0.2">
      <c r="A358" s="20">
        <v>357</v>
      </c>
      <c r="B358" s="21" t="str">
        <f>_xlfn.CONCAT("ORD-",INDEX(Helper!$B$2:$B$5,MATCH(Data[[#This Row],[Marketplace]],Helper!$A$2:$A$5,0)),TEXT(Data[[#This Row],[No]],"0000"),"-",TEXT(Data[[#This Row],[Tanggal terjual]],"dd/mm/yy"))</f>
        <v>ORD-TK0357-03/04/23</v>
      </c>
      <c r="C358" t="s">
        <v>65</v>
      </c>
      <c r="D358" t="str">
        <f>IFERROR(INDEX(Katalog!$A$3:$A$12,MATCH(Data[[#This Row],[ItemID A]],Katalog!$C$3:$C$12,0)),"-")</f>
        <v>Sepatu Pria</v>
      </c>
      <c r="E358" t="str">
        <f>IFERROR(INDEX(Katalog!$B$3:$B$12,MATCH(Data[[#This Row],[ItemID A]],Katalog!$C$3:$C$12,0)),"-")</f>
        <v>Sneakers</v>
      </c>
      <c r="F358">
        <v>5</v>
      </c>
      <c r="G358">
        <v>1</v>
      </c>
      <c r="H358" s="36">
        <f>IFERROR(INDEX(Katalog!$D$3:$D$12,MATCH(Data[[#This Row],[ItemID A]],Katalog!$C$3:$C$12,0))*Data[[#This Row],[Qty A]],"0")</f>
        <v>2500000</v>
      </c>
      <c r="I358" s="36">
        <f>IFERROR(INDEX(Katalog!$F$3:$F$12,MATCH(Data[[#This Row],[ItemID A]],Katalog!$C$3:$C$12,0))*Data[[#This Row],[Qty A]],0)</f>
        <v>1000000</v>
      </c>
      <c r="J358" t="s">
        <v>58</v>
      </c>
      <c r="K358" t="str">
        <f>IFERROR(INDEX(Katalog!$A$3:$A$12,MATCH(Data[[#This Row],[ItemID B]],Katalog!$C$3:$C$12,0)),"-")</f>
        <v>Pakaian Wanita</v>
      </c>
      <c r="L358" t="str">
        <f>IFERROR(INDEX(Katalog!$B$3:$B$12,MATCH(Data[[#This Row],[ItemID B]],Katalog!$C$3:$C$12,0)),"-")</f>
        <v>Dress</v>
      </c>
      <c r="M358">
        <v>1</v>
      </c>
      <c r="N358">
        <v>1</v>
      </c>
      <c r="O358" s="36">
        <f>IFERROR(INDEX(Katalog!$D$3:$D$12,MATCH(Data[[#This Row],[ItemID B]],Katalog!$C$3:$C$12,0))*Data[[#This Row],[Qty B]],"0")</f>
        <v>300000</v>
      </c>
      <c r="P358" s="36">
        <f>IFERROR(INDEX(Katalog!$F$3:$F$12,MATCH(Data[[#This Row],[ItemID B]],Katalog!$C$3:$C$12,0))*Data[[#This Row],[Qty B]],"0")</f>
        <v>100000</v>
      </c>
      <c r="R358" t="str">
        <f>IFERROR(INDEX(Katalog!$A$3:$A$12,MATCH(Data[[#This Row],[ItemID C]],Katalog!$C$3:$C$12,0)),"-")</f>
        <v>-</v>
      </c>
      <c r="S358" t="str">
        <f>IFERROR(INDEX(Katalog!$B$3:$B$12,MATCH(Data[[#This Row],[ItemID C]],Katalog!$C$3:$C$12,0)),"-")</f>
        <v>-</v>
      </c>
      <c r="V358" s="36" t="str">
        <f>IFERROR(INDEX(Katalog!$D$3:$D$12,MATCH(Data[[#This Row],[ItemID C]],Katalog!$C$3:$C$12,0))*Data[[#This Row],[Qty C]],"0")</f>
        <v>0</v>
      </c>
      <c r="W358" s="36" t="str">
        <f>IFERROR(INDEX(Katalog!$F$3:$F$12,MATCH(Data[[#This Row],[ItemID C]],Katalog!$C$3:$C$12,0))*Data[[#This Row],[Qty C]],"0")</f>
        <v>0</v>
      </c>
      <c r="X358" s="21">
        <f>Data[[#This Row],[Qty A]]+Data[[#This Row],[Qty B]]+Data[[#This Row],[Qty C]]</f>
        <v>6</v>
      </c>
      <c r="Y358" s="22">
        <f>Data[[#This Row],[Harga Barang A]]+Data[[#This Row],[Harga Barang B]]+Data[[#This Row],[Harga Barang C]]</f>
        <v>2800000</v>
      </c>
      <c r="Z358" s="35">
        <f>IFERROR(Data[[#This Row],[Total Harga]]-(Data[[#This Row],[Total Harga]]*Data[[#This Row],[Diskon]]),Data[[#This Row],[Total Harga]])</f>
        <v>2520000</v>
      </c>
      <c r="AA358" s="35">
        <f>(Data[[#This Row],[Profit A]]+Data[[#This Row],[Profit B]]+Data[[#This Row],[Profit C]])</f>
        <v>1100000</v>
      </c>
      <c r="AB358" s="35">
        <f>IFERROR((Data[[#This Row],[Profit non Diskon]]-(Data[[#This Row],[Profit non Diskon]]*Data[[#This Row],[Diskon]])),Data[[#This Row],[Profit non Diskon]])</f>
        <v>990000</v>
      </c>
      <c r="AC358" s="23" t="s">
        <v>30</v>
      </c>
      <c r="AD358" s="37">
        <f>IFERROR(INDEX('Kode Diskon'!$D$3:$D$9,MATCH(Data[[#This Row],[Kode diskon]],'Kode Diskon'!$C$3:$C$9,0)),"-")</f>
        <v>0.1</v>
      </c>
      <c r="AE358" s="23" t="s">
        <v>29</v>
      </c>
      <c r="AF358" s="23" t="s">
        <v>10</v>
      </c>
      <c r="AG358" s="23" t="s">
        <v>75</v>
      </c>
      <c r="AH358" s="24">
        <v>45019</v>
      </c>
      <c r="AI358" s="23" t="str">
        <f>TEXT(Data[[#This Row],[Tanggal terjual]],"dddd")</f>
        <v>Monday</v>
      </c>
      <c r="AJ358" s="21" t="str">
        <f>TEXT(Data[[#This Row],[Tanggal terjual]],"wwww")</f>
        <v>wwww</v>
      </c>
    </row>
    <row r="359" spans="1:36" x14ac:dyDescent="0.2">
      <c r="A359" s="20">
        <v>358</v>
      </c>
      <c r="B359" s="21" t="str">
        <f>_xlfn.CONCAT("ORD-",INDEX(Helper!$B$2:$B$5,MATCH(Data[[#This Row],[Marketplace]],Helper!$A$2:$A$5,0)),TEXT(Data[[#This Row],[No]],"0000"),"-",TEXT(Data[[#This Row],[Tanggal terjual]],"dd/mm/yy"))</f>
        <v>ORD-BB0358-01/04/23</v>
      </c>
      <c r="C359" t="s">
        <v>67</v>
      </c>
      <c r="D359" t="str">
        <f>IFERROR(INDEX(Katalog!$A$3:$A$12,MATCH(Data[[#This Row],[ItemID A]],Katalog!$C$3:$C$12,0)),"-")</f>
        <v>Sepatu Wanita</v>
      </c>
      <c r="E359" t="str">
        <f>IFERROR(INDEX(Katalog!$B$3:$B$12,MATCH(Data[[#This Row],[ItemID A]],Katalog!$C$3:$C$12,0)),"-")</f>
        <v>Flat Shoes</v>
      </c>
      <c r="F359">
        <v>1</v>
      </c>
      <c r="G359">
        <v>2</v>
      </c>
      <c r="H359" s="36">
        <f>IFERROR(INDEX(Katalog!$D$3:$D$12,MATCH(Data[[#This Row],[ItemID A]],Katalog!$C$3:$C$12,0))*Data[[#This Row],[Qty A]],"0")</f>
        <v>250000</v>
      </c>
      <c r="I359" s="36">
        <f>IFERROR(INDEX(Katalog!$F$3:$F$12,MATCH(Data[[#This Row],[ItemID A]],Katalog!$C$3:$C$12,0))*Data[[#This Row],[Qty A]],0)</f>
        <v>100000</v>
      </c>
      <c r="J359" t="s">
        <v>58</v>
      </c>
      <c r="K359" t="str">
        <f>IFERROR(INDEX(Katalog!$A$3:$A$12,MATCH(Data[[#This Row],[ItemID B]],Katalog!$C$3:$C$12,0)),"-")</f>
        <v>Pakaian Wanita</v>
      </c>
      <c r="L359" t="str">
        <f>IFERROR(INDEX(Katalog!$B$3:$B$12,MATCH(Data[[#This Row],[ItemID B]],Katalog!$C$3:$C$12,0)),"-")</f>
        <v>Dress</v>
      </c>
      <c r="M359">
        <v>1</v>
      </c>
      <c r="N359">
        <v>1</v>
      </c>
      <c r="O359" s="36">
        <f>IFERROR(INDEX(Katalog!$D$3:$D$12,MATCH(Data[[#This Row],[ItemID B]],Katalog!$C$3:$C$12,0))*Data[[#This Row],[Qty B]],"0")</f>
        <v>300000</v>
      </c>
      <c r="P359" s="36">
        <f>IFERROR(INDEX(Katalog!$F$3:$F$12,MATCH(Data[[#This Row],[ItemID B]],Katalog!$C$3:$C$12,0))*Data[[#This Row],[Qty B]],"0")</f>
        <v>100000</v>
      </c>
      <c r="Q359" t="s">
        <v>60</v>
      </c>
      <c r="R359" t="str">
        <f>IFERROR(INDEX(Katalog!$A$3:$A$12,MATCH(Data[[#This Row],[ItemID C]],Katalog!$C$3:$C$12,0)),"-")</f>
        <v>Pakaian Wanita</v>
      </c>
      <c r="S359" t="str">
        <f>IFERROR(INDEX(Katalog!$B$3:$B$12,MATCH(Data[[#This Row],[ItemID C]],Katalog!$C$3:$C$12,0)),"-")</f>
        <v>Kaftan</v>
      </c>
      <c r="T359">
        <v>2</v>
      </c>
      <c r="U359">
        <v>3</v>
      </c>
      <c r="V359" s="36">
        <f>IFERROR(INDEX(Katalog!$D$3:$D$12,MATCH(Data[[#This Row],[ItemID C]],Katalog!$C$3:$C$12,0))*Data[[#This Row],[Qty C]],"0")</f>
        <v>500000</v>
      </c>
      <c r="W359" s="36">
        <f>IFERROR(INDEX(Katalog!$F$3:$F$12,MATCH(Data[[#This Row],[ItemID C]],Katalog!$C$3:$C$12,0))*Data[[#This Row],[Qty C]],"0")</f>
        <v>200000</v>
      </c>
      <c r="X359" s="21">
        <f>Data[[#This Row],[Qty A]]+Data[[#This Row],[Qty B]]+Data[[#This Row],[Qty C]]</f>
        <v>4</v>
      </c>
      <c r="Y359" s="22">
        <f>Data[[#This Row],[Harga Barang A]]+Data[[#This Row],[Harga Barang B]]+Data[[#This Row],[Harga Barang C]]</f>
        <v>1050000</v>
      </c>
      <c r="Z359" s="35">
        <f>IFERROR(Data[[#This Row],[Total Harga]]-(Data[[#This Row],[Total Harga]]*Data[[#This Row],[Diskon]]),Data[[#This Row],[Total Harga]])</f>
        <v>892500</v>
      </c>
      <c r="AA359" s="35">
        <f>(Data[[#This Row],[Profit A]]+Data[[#This Row],[Profit B]]+Data[[#This Row],[Profit C]])</f>
        <v>400000</v>
      </c>
      <c r="AB359" s="35">
        <f>IFERROR((Data[[#This Row],[Profit non Diskon]]-(Data[[#This Row],[Profit non Diskon]]*Data[[#This Row],[Diskon]])),Data[[#This Row],[Profit non Diskon]])</f>
        <v>340000</v>
      </c>
      <c r="AC359" s="23" t="s">
        <v>28</v>
      </c>
      <c r="AD359" s="37">
        <f>IFERROR(INDEX('Kode Diskon'!$D$3:$D$9,MATCH(Data[[#This Row],[Kode diskon]],'Kode Diskon'!$C$3:$C$9,0)),"-")</f>
        <v>0.15</v>
      </c>
      <c r="AE359" s="23" t="s">
        <v>29</v>
      </c>
      <c r="AF359" s="23" t="s">
        <v>14</v>
      </c>
      <c r="AG359" s="23" t="s">
        <v>76</v>
      </c>
      <c r="AH359" s="24">
        <v>45017</v>
      </c>
      <c r="AI359" s="23" t="str">
        <f>TEXT(Data[[#This Row],[Tanggal terjual]],"dddd")</f>
        <v>Saturday</v>
      </c>
      <c r="AJ359" s="21" t="str">
        <f>TEXT(Data[[#This Row],[Tanggal terjual]],"wwww")</f>
        <v>wwww</v>
      </c>
    </row>
    <row r="360" spans="1:36" x14ac:dyDescent="0.2">
      <c r="A360" s="20">
        <v>359</v>
      </c>
      <c r="B360" s="21" t="str">
        <f>_xlfn.CONCAT("ORD-",INDEX(Helper!$B$2:$B$5,MATCH(Data[[#This Row],[Marketplace]],Helper!$A$2:$A$5,0)),TEXT(Data[[#This Row],[No]],"0000"),"-",TEXT(Data[[#This Row],[Tanggal terjual]],"dd/mm/yy"))</f>
        <v>ORD-BB0359-02/04/23</v>
      </c>
      <c r="C360" t="s">
        <v>61</v>
      </c>
      <c r="D360" t="str">
        <f>IFERROR(INDEX(Katalog!$A$3:$A$12,MATCH(Data[[#This Row],[ItemID A]],Katalog!$C$3:$C$12,0)),"-")</f>
        <v>Pakaian Pria</v>
      </c>
      <c r="E360" t="str">
        <f>IFERROR(INDEX(Katalog!$B$3:$B$12,MATCH(Data[[#This Row],[ItemID A]],Katalog!$C$3:$C$12,0)),"-")</f>
        <v>Kaos Polo</v>
      </c>
      <c r="F360">
        <v>1</v>
      </c>
      <c r="G360">
        <v>3</v>
      </c>
      <c r="H360" s="36">
        <f>IFERROR(INDEX(Katalog!$D$3:$D$12,MATCH(Data[[#This Row],[ItemID A]],Katalog!$C$3:$C$12,0))*Data[[#This Row],[Qty A]],"0")</f>
        <v>200000</v>
      </c>
      <c r="I360" s="36">
        <f>IFERROR(INDEX(Katalog!$F$3:$F$12,MATCH(Data[[#This Row],[ItemID A]],Katalog!$C$3:$C$12,0))*Data[[#This Row],[Qty A]],0)</f>
        <v>80000</v>
      </c>
      <c r="K360" t="str">
        <f>IFERROR(INDEX(Katalog!$A$3:$A$12,MATCH(Data[[#This Row],[ItemID B]],Katalog!$C$3:$C$12,0)),"-")</f>
        <v>-</v>
      </c>
      <c r="L360" t="str">
        <f>IFERROR(INDEX(Katalog!$B$3:$B$12,MATCH(Data[[#This Row],[ItemID B]],Katalog!$C$3:$C$12,0)),"-")</f>
        <v>-</v>
      </c>
      <c r="O360" s="36" t="str">
        <f>IFERROR(INDEX(Katalog!$D$3:$D$12,MATCH(Data[[#This Row],[ItemID B]],Katalog!$C$3:$C$12,0))*Data[[#This Row],[Qty B]],"0")</f>
        <v>0</v>
      </c>
      <c r="P360" s="36" t="str">
        <f>IFERROR(INDEX(Katalog!$F$3:$F$12,MATCH(Data[[#This Row],[ItemID B]],Katalog!$C$3:$C$12,0))*Data[[#This Row],[Qty B]],"0")</f>
        <v>0</v>
      </c>
      <c r="R360" t="str">
        <f>IFERROR(INDEX(Katalog!$A$3:$A$12,MATCH(Data[[#This Row],[ItemID C]],Katalog!$C$3:$C$12,0)),"-")</f>
        <v>-</v>
      </c>
      <c r="S360" t="str">
        <f>IFERROR(INDEX(Katalog!$B$3:$B$12,MATCH(Data[[#This Row],[ItemID C]],Katalog!$C$3:$C$12,0)),"-")</f>
        <v>-</v>
      </c>
      <c r="V360" s="36" t="str">
        <f>IFERROR(INDEX(Katalog!$D$3:$D$12,MATCH(Data[[#This Row],[ItemID C]],Katalog!$C$3:$C$12,0))*Data[[#This Row],[Qty C]],"0")</f>
        <v>0</v>
      </c>
      <c r="W360" s="36" t="str">
        <f>IFERROR(INDEX(Katalog!$F$3:$F$12,MATCH(Data[[#This Row],[ItemID C]],Katalog!$C$3:$C$12,0))*Data[[#This Row],[Qty C]],"0")</f>
        <v>0</v>
      </c>
      <c r="X360" s="21">
        <f>Data[[#This Row],[Qty A]]+Data[[#This Row],[Qty B]]+Data[[#This Row],[Qty C]]</f>
        <v>1</v>
      </c>
      <c r="Y360" s="22">
        <f>Data[[#This Row],[Harga Barang A]]+Data[[#This Row],[Harga Barang B]]+Data[[#This Row],[Harga Barang C]]</f>
        <v>200000</v>
      </c>
      <c r="Z360" s="35">
        <f>IFERROR(Data[[#This Row],[Total Harga]]-(Data[[#This Row],[Total Harga]]*Data[[#This Row],[Diskon]]),Data[[#This Row],[Total Harga]])</f>
        <v>170000</v>
      </c>
      <c r="AA360" s="35">
        <f>(Data[[#This Row],[Profit A]]+Data[[#This Row],[Profit B]]+Data[[#This Row],[Profit C]])</f>
        <v>80000</v>
      </c>
      <c r="AB360" s="35">
        <f>IFERROR((Data[[#This Row],[Profit non Diskon]]-(Data[[#This Row],[Profit non Diskon]]*Data[[#This Row],[Diskon]])),Data[[#This Row],[Profit non Diskon]])</f>
        <v>68000</v>
      </c>
      <c r="AC360" s="23" t="s">
        <v>28</v>
      </c>
      <c r="AD360" s="37">
        <f>IFERROR(INDEX('Kode Diskon'!$D$3:$D$9,MATCH(Data[[#This Row],[Kode diskon]],'Kode Diskon'!$C$3:$C$9,0)),"-")</f>
        <v>0.15</v>
      </c>
      <c r="AE360" s="23" t="s">
        <v>29</v>
      </c>
      <c r="AF360" s="23" t="s">
        <v>14</v>
      </c>
      <c r="AG360" s="23" t="s">
        <v>78</v>
      </c>
      <c r="AH360" s="24">
        <v>45018</v>
      </c>
      <c r="AI360" s="23" t="str">
        <f>TEXT(Data[[#This Row],[Tanggal terjual]],"dddd")</f>
        <v>Sunday</v>
      </c>
      <c r="AJ360" s="21" t="str">
        <f>TEXT(Data[[#This Row],[Tanggal terjual]],"wwww")</f>
        <v>wwww</v>
      </c>
    </row>
    <row r="361" spans="1:36" x14ac:dyDescent="0.2">
      <c r="A361" s="20">
        <v>360</v>
      </c>
      <c r="B361" s="21" t="str">
        <f>_xlfn.CONCAT("ORD-",INDEX(Helper!$B$2:$B$5,MATCH(Data[[#This Row],[Marketplace]],Helper!$A$2:$A$5,0)),TEXT(Data[[#This Row],[No]],"0000"),"-",TEXT(Data[[#This Row],[Tanggal terjual]],"dd/mm/yy"))</f>
        <v>ORD-SP0360-05/04/23</v>
      </c>
      <c r="C361" t="s">
        <v>67</v>
      </c>
      <c r="D361" t="str">
        <f>IFERROR(INDEX(Katalog!$A$3:$A$12,MATCH(Data[[#This Row],[ItemID A]],Katalog!$C$3:$C$12,0)),"-")</f>
        <v>Sepatu Wanita</v>
      </c>
      <c r="E361" t="str">
        <f>IFERROR(INDEX(Katalog!$B$3:$B$12,MATCH(Data[[#This Row],[ItemID A]],Katalog!$C$3:$C$12,0)),"-")</f>
        <v>Flat Shoes</v>
      </c>
      <c r="F361">
        <v>4</v>
      </c>
      <c r="G361">
        <v>5</v>
      </c>
      <c r="H361" s="36">
        <f>IFERROR(INDEX(Katalog!$D$3:$D$12,MATCH(Data[[#This Row],[ItemID A]],Katalog!$C$3:$C$12,0))*Data[[#This Row],[Qty A]],"0")</f>
        <v>1000000</v>
      </c>
      <c r="I361" s="36">
        <f>IFERROR(INDEX(Katalog!$F$3:$F$12,MATCH(Data[[#This Row],[ItemID A]],Katalog!$C$3:$C$12,0))*Data[[#This Row],[Qty A]],0)</f>
        <v>400000</v>
      </c>
      <c r="K361" t="str">
        <f>IFERROR(INDEX(Katalog!$A$3:$A$12,MATCH(Data[[#This Row],[ItemID B]],Katalog!$C$3:$C$12,0)),"-")</f>
        <v>-</v>
      </c>
      <c r="L361" t="str">
        <f>IFERROR(INDEX(Katalog!$B$3:$B$12,MATCH(Data[[#This Row],[ItemID B]],Katalog!$C$3:$C$12,0)),"-")</f>
        <v>-</v>
      </c>
      <c r="O361" s="36" t="str">
        <f>IFERROR(INDEX(Katalog!$D$3:$D$12,MATCH(Data[[#This Row],[ItemID B]],Katalog!$C$3:$C$12,0))*Data[[#This Row],[Qty B]],"0")</f>
        <v>0</v>
      </c>
      <c r="P361" s="36" t="str">
        <f>IFERROR(INDEX(Katalog!$F$3:$F$12,MATCH(Data[[#This Row],[ItemID B]],Katalog!$C$3:$C$12,0))*Data[[#This Row],[Qty B]],"0")</f>
        <v>0</v>
      </c>
      <c r="R361" t="str">
        <f>IFERROR(INDEX(Katalog!$A$3:$A$12,MATCH(Data[[#This Row],[ItemID C]],Katalog!$C$3:$C$12,0)),"-")</f>
        <v>-</v>
      </c>
      <c r="S361" t="str">
        <f>IFERROR(INDEX(Katalog!$B$3:$B$12,MATCH(Data[[#This Row],[ItemID C]],Katalog!$C$3:$C$12,0)),"-")</f>
        <v>-</v>
      </c>
      <c r="V361" s="36" t="str">
        <f>IFERROR(INDEX(Katalog!$D$3:$D$12,MATCH(Data[[#This Row],[ItemID C]],Katalog!$C$3:$C$12,0))*Data[[#This Row],[Qty C]],"0")</f>
        <v>0</v>
      </c>
      <c r="W361" s="36" t="str">
        <f>IFERROR(INDEX(Katalog!$F$3:$F$12,MATCH(Data[[#This Row],[ItemID C]],Katalog!$C$3:$C$12,0))*Data[[#This Row],[Qty C]],"0")</f>
        <v>0</v>
      </c>
      <c r="X361" s="21">
        <f>Data[[#This Row],[Qty A]]+Data[[#This Row],[Qty B]]+Data[[#This Row],[Qty C]]</f>
        <v>4</v>
      </c>
      <c r="Y361" s="22">
        <f>Data[[#This Row],[Harga Barang A]]+Data[[#This Row],[Harga Barang B]]+Data[[#This Row],[Harga Barang C]]</f>
        <v>1000000</v>
      </c>
      <c r="Z361" s="35">
        <f>IFERROR(Data[[#This Row],[Total Harga]]-(Data[[#This Row],[Total Harga]]*Data[[#This Row],[Diskon]]),Data[[#This Row],[Total Harga]])</f>
        <v>900000</v>
      </c>
      <c r="AA361" s="35">
        <f>(Data[[#This Row],[Profit A]]+Data[[#This Row],[Profit B]]+Data[[#This Row],[Profit C]])</f>
        <v>400000</v>
      </c>
      <c r="AB361" s="35">
        <f>IFERROR((Data[[#This Row],[Profit non Diskon]]-(Data[[#This Row],[Profit non Diskon]]*Data[[#This Row],[Diskon]])),Data[[#This Row],[Profit non Diskon]])</f>
        <v>360000</v>
      </c>
      <c r="AC361" s="23" t="s">
        <v>6</v>
      </c>
      <c r="AD361" s="37">
        <f>IFERROR(INDEX('Kode Diskon'!$D$3:$D$9,MATCH(Data[[#This Row],[Kode diskon]],'Kode Diskon'!$C$3:$C$9,0)),"-")</f>
        <v>0.1</v>
      </c>
      <c r="AE361" s="23" t="s">
        <v>29</v>
      </c>
      <c r="AF361" s="23" t="s">
        <v>7</v>
      </c>
      <c r="AG361" s="23" t="s">
        <v>75</v>
      </c>
      <c r="AH361" s="24">
        <v>45021</v>
      </c>
      <c r="AI361" s="23" t="str">
        <f>TEXT(Data[[#This Row],[Tanggal terjual]],"dddd")</f>
        <v>Wednesday</v>
      </c>
      <c r="AJ361" s="21" t="str">
        <f>TEXT(Data[[#This Row],[Tanggal terjual]],"wwww")</f>
        <v>wwww</v>
      </c>
    </row>
    <row r="362" spans="1:36" x14ac:dyDescent="0.2">
      <c r="A362" s="20">
        <v>361</v>
      </c>
      <c r="B362" s="21" t="str">
        <f>_xlfn.CONCAT("ORD-",INDEX(Helper!$B$2:$B$5,MATCH(Data[[#This Row],[Marketplace]],Helper!$A$2:$A$5,0)),TEXT(Data[[#This Row],[No]],"0000"),"-",TEXT(Data[[#This Row],[Tanggal terjual]],"dd/mm/yy"))</f>
        <v>ORD-TK0361-23/04/23</v>
      </c>
      <c r="C362" t="s">
        <v>58</v>
      </c>
      <c r="D362" t="str">
        <f>IFERROR(INDEX(Katalog!$A$3:$A$12,MATCH(Data[[#This Row],[ItemID A]],Katalog!$C$3:$C$12,0)),"-")</f>
        <v>Pakaian Wanita</v>
      </c>
      <c r="E362" t="str">
        <f>IFERROR(INDEX(Katalog!$B$3:$B$12,MATCH(Data[[#This Row],[ItemID A]],Katalog!$C$3:$C$12,0)),"-")</f>
        <v>Dress</v>
      </c>
      <c r="F362">
        <v>2</v>
      </c>
      <c r="G362">
        <v>2</v>
      </c>
      <c r="H362" s="36">
        <f>IFERROR(INDEX(Katalog!$D$3:$D$12,MATCH(Data[[#This Row],[ItemID A]],Katalog!$C$3:$C$12,0))*Data[[#This Row],[Qty A]],"0")</f>
        <v>600000</v>
      </c>
      <c r="I362" s="36">
        <f>IFERROR(INDEX(Katalog!$F$3:$F$12,MATCH(Data[[#This Row],[ItemID A]],Katalog!$C$3:$C$12,0))*Data[[#This Row],[Qty A]],0)</f>
        <v>200000</v>
      </c>
      <c r="J362" t="s">
        <v>63</v>
      </c>
      <c r="K362" t="str">
        <f>IFERROR(INDEX(Katalog!$A$3:$A$12,MATCH(Data[[#This Row],[ItemID B]],Katalog!$C$3:$C$12,0)),"-")</f>
        <v>Pakaian Pria</v>
      </c>
      <c r="L362" t="str">
        <f>IFERROR(INDEX(Katalog!$B$3:$B$12,MATCH(Data[[#This Row],[ItemID B]],Katalog!$C$3:$C$12,0)),"-")</f>
        <v>Jaket Jeans</v>
      </c>
      <c r="M362">
        <v>3</v>
      </c>
      <c r="N362">
        <v>2</v>
      </c>
      <c r="O362" s="36">
        <f>IFERROR(INDEX(Katalog!$D$3:$D$12,MATCH(Data[[#This Row],[ItemID B]],Katalog!$C$3:$C$12,0))*Data[[#This Row],[Qty B]],"0")</f>
        <v>1200000</v>
      </c>
      <c r="P362" s="36">
        <f>IFERROR(INDEX(Katalog!$F$3:$F$12,MATCH(Data[[#This Row],[ItemID B]],Katalog!$C$3:$C$12,0))*Data[[#This Row],[Qty B]],"0")</f>
        <v>450000</v>
      </c>
      <c r="R362" t="str">
        <f>IFERROR(INDEX(Katalog!$A$3:$A$12,MATCH(Data[[#This Row],[ItemID C]],Katalog!$C$3:$C$12,0)),"-")</f>
        <v>-</v>
      </c>
      <c r="S362" t="str">
        <f>IFERROR(INDEX(Katalog!$B$3:$B$12,MATCH(Data[[#This Row],[ItemID C]],Katalog!$C$3:$C$12,0)),"-")</f>
        <v>-</v>
      </c>
      <c r="V362" s="36" t="str">
        <f>IFERROR(INDEX(Katalog!$D$3:$D$12,MATCH(Data[[#This Row],[ItemID C]],Katalog!$C$3:$C$12,0))*Data[[#This Row],[Qty C]],"0")</f>
        <v>0</v>
      </c>
      <c r="W362" s="36" t="str">
        <f>IFERROR(INDEX(Katalog!$F$3:$F$12,MATCH(Data[[#This Row],[ItemID C]],Katalog!$C$3:$C$12,0))*Data[[#This Row],[Qty C]],"0")</f>
        <v>0</v>
      </c>
      <c r="X362" s="21">
        <f>Data[[#This Row],[Qty A]]+Data[[#This Row],[Qty B]]+Data[[#This Row],[Qty C]]</f>
        <v>5</v>
      </c>
      <c r="Y362" s="22">
        <f>Data[[#This Row],[Harga Barang A]]+Data[[#This Row],[Harga Barang B]]+Data[[#This Row],[Harga Barang C]]</f>
        <v>1800000</v>
      </c>
      <c r="Z362" s="35">
        <f>IFERROR(Data[[#This Row],[Total Harga]]-(Data[[#This Row],[Total Harga]]*Data[[#This Row],[Diskon]]),Data[[#This Row],[Total Harga]])</f>
        <v>1620000</v>
      </c>
      <c r="AA362" s="35">
        <f>(Data[[#This Row],[Profit A]]+Data[[#This Row],[Profit B]]+Data[[#This Row],[Profit C]])</f>
        <v>650000</v>
      </c>
      <c r="AB362" s="35">
        <f>IFERROR((Data[[#This Row],[Profit non Diskon]]-(Data[[#This Row],[Profit non Diskon]]*Data[[#This Row],[Diskon]])),Data[[#This Row],[Profit non Diskon]])</f>
        <v>585000</v>
      </c>
      <c r="AC362" s="23" t="s">
        <v>31</v>
      </c>
      <c r="AD362" s="37">
        <f>IFERROR(INDEX('Kode Diskon'!$D$3:$D$9,MATCH(Data[[#This Row],[Kode diskon]],'Kode Diskon'!$C$3:$C$9,0)),"-")</f>
        <v>0.1</v>
      </c>
      <c r="AE362" s="23" t="s">
        <v>9</v>
      </c>
      <c r="AF362" s="23" t="s">
        <v>10</v>
      </c>
      <c r="AG362" s="23" t="s">
        <v>80</v>
      </c>
      <c r="AH362" s="24">
        <v>45039</v>
      </c>
      <c r="AI362" s="23" t="str">
        <f>TEXT(Data[[#This Row],[Tanggal terjual]],"dddd")</f>
        <v>Sunday</v>
      </c>
      <c r="AJ362" s="21" t="str">
        <f>TEXT(Data[[#This Row],[Tanggal terjual]],"wwww")</f>
        <v>wwww</v>
      </c>
    </row>
    <row r="363" spans="1:36" x14ac:dyDescent="0.2">
      <c r="A363" s="20">
        <v>362</v>
      </c>
      <c r="B363" s="21" t="str">
        <f>_xlfn.CONCAT("ORD-",INDEX(Helper!$B$2:$B$5,MATCH(Data[[#This Row],[Marketplace]],Helper!$A$2:$A$5,0)),TEXT(Data[[#This Row],[No]],"0000"),"-",TEXT(Data[[#This Row],[Tanggal terjual]],"dd/mm/yy"))</f>
        <v>ORD-BL0362-17/04/23</v>
      </c>
      <c r="C363" t="s">
        <v>66</v>
      </c>
      <c r="D363" t="str">
        <f>IFERROR(INDEX(Katalog!$A$3:$A$12,MATCH(Data[[#This Row],[ItemID A]],Katalog!$C$3:$C$12,0)),"-")</f>
        <v>Sepatu Pria</v>
      </c>
      <c r="E363" t="str">
        <f>IFERROR(INDEX(Katalog!$B$3:$B$12,MATCH(Data[[#This Row],[ItemID A]],Katalog!$C$3:$C$12,0)),"-")</f>
        <v>Sandal Slip On</v>
      </c>
      <c r="F363">
        <v>3</v>
      </c>
      <c r="G363">
        <v>5</v>
      </c>
      <c r="H363" s="36">
        <f>IFERROR(INDEX(Katalog!$D$3:$D$12,MATCH(Data[[#This Row],[ItemID A]],Katalog!$C$3:$C$12,0))*Data[[#This Row],[Qty A]],"0")</f>
        <v>450000</v>
      </c>
      <c r="I363" s="36">
        <f>IFERROR(INDEX(Katalog!$F$3:$F$12,MATCH(Data[[#This Row],[ItemID A]],Katalog!$C$3:$C$12,0))*Data[[#This Row],[Qty A]],0)</f>
        <v>180000</v>
      </c>
      <c r="J363" t="s">
        <v>60</v>
      </c>
      <c r="K363" t="str">
        <f>IFERROR(INDEX(Katalog!$A$3:$A$12,MATCH(Data[[#This Row],[ItemID B]],Katalog!$C$3:$C$12,0)),"-")</f>
        <v>Pakaian Wanita</v>
      </c>
      <c r="L363" t="str">
        <f>IFERROR(INDEX(Katalog!$B$3:$B$12,MATCH(Data[[#This Row],[ItemID B]],Katalog!$C$3:$C$12,0)),"-")</f>
        <v>Kaftan</v>
      </c>
      <c r="M363">
        <v>1</v>
      </c>
      <c r="N363">
        <v>5</v>
      </c>
      <c r="O363" s="36">
        <f>IFERROR(INDEX(Katalog!$D$3:$D$12,MATCH(Data[[#This Row],[ItemID B]],Katalog!$C$3:$C$12,0))*Data[[#This Row],[Qty B]],"0")</f>
        <v>250000</v>
      </c>
      <c r="P363" s="36">
        <f>IFERROR(INDEX(Katalog!$F$3:$F$12,MATCH(Data[[#This Row],[ItemID B]],Katalog!$C$3:$C$12,0))*Data[[#This Row],[Qty B]],"0")</f>
        <v>100000</v>
      </c>
      <c r="R363" t="str">
        <f>IFERROR(INDEX(Katalog!$A$3:$A$12,MATCH(Data[[#This Row],[ItemID C]],Katalog!$C$3:$C$12,0)),"-")</f>
        <v>-</v>
      </c>
      <c r="S363" t="str">
        <f>IFERROR(INDEX(Katalog!$B$3:$B$12,MATCH(Data[[#This Row],[ItemID C]],Katalog!$C$3:$C$12,0)),"-")</f>
        <v>-</v>
      </c>
      <c r="V363" s="36" t="str">
        <f>IFERROR(INDEX(Katalog!$D$3:$D$12,MATCH(Data[[#This Row],[ItemID C]],Katalog!$C$3:$C$12,0))*Data[[#This Row],[Qty C]],"0")</f>
        <v>0</v>
      </c>
      <c r="W363" s="36" t="str">
        <f>IFERROR(INDEX(Katalog!$F$3:$F$12,MATCH(Data[[#This Row],[ItemID C]],Katalog!$C$3:$C$12,0))*Data[[#This Row],[Qty C]],"0")</f>
        <v>0</v>
      </c>
      <c r="X363" s="21">
        <f>Data[[#This Row],[Qty A]]+Data[[#This Row],[Qty B]]+Data[[#This Row],[Qty C]]</f>
        <v>4</v>
      </c>
      <c r="Y363" s="22">
        <f>Data[[#This Row],[Harga Barang A]]+Data[[#This Row],[Harga Barang B]]+Data[[#This Row],[Harga Barang C]]</f>
        <v>700000</v>
      </c>
      <c r="Z363" s="35">
        <f>IFERROR(Data[[#This Row],[Total Harga]]-(Data[[#This Row],[Total Harga]]*Data[[#This Row],[Diskon]]),Data[[#This Row],[Total Harga]])</f>
        <v>595000</v>
      </c>
      <c r="AA363" s="35">
        <f>(Data[[#This Row],[Profit A]]+Data[[#This Row],[Profit B]]+Data[[#This Row],[Profit C]])</f>
        <v>280000</v>
      </c>
      <c r="AB363" s="35">
        <f>IFERROR((Data[[#This Row],[Profit non Diskon]]-(Data[[#This Row],[Profit non Diskon]]*Data[[#This Row],[Diskon]])),Data[[#This Row],[Profit non Diskon]])</f>
        <v>238000</v>
      </c>
      <c r="AC363" s="23" t="s">
        <v>32</v>
      </c>
      <c r="AD363" s="37">
        <f>IFERROR(INDEX('Kode Diskon'!$D$3:$D$9,MATCH(Data[[#This Row],[Kode diskon]],'Kode Diskon'!$C$3:$C$9,0)),"-")</f>
        <v>0.15</v>
      </c>
      <c r="AE363" s="23" t="s">
        <v>9</v>
      </c>
      <c r="AF363" s="23" t="s">
        <v>12</v>
      </c>
      <c r="AG363" s="23" t="s">
        <v>79</v>
      </c>
      <c r="AH363" s="24">
        <v>45033</v>
      </c>
      <c r="AI363" s="23" t="str">
        <f>TEXT(Data[[#This Row],[Tanggal terjual]],"dddd")</f>
        <v>Monday</v>
      </c>
      <c r="AJ363" s="21" t="str">
        <f>TEXT(Data[[#This Row],[Tanggal terjual]],"wwww")</f>
        <v>wwww</v>
      </c>
    </row>
    <row r="364" spans="1:36" x14ac:dyDescent="0.2">
      <c r="A364" s="20">
        <v>363</v>
      </c>
      <c r="B364" s="21" t="str">
        <f>_xlfn.CONCAT("ORD-",INDEX(Helper!$B$2:$B$5,MATCH(Data[[#This Row],[Marketplace]],Helper!$A$2:$A$5,0)),TEXT(Data[[#This Row],[No]],"0000"),"-",TEXT(Data[[#This Row],[Tanggal terjual]],"dd/mm/yy"))</f>
        <v>ORD-TK0363-07/04/23</v>
      </c>
      <c r="C364" t="s">
        <v>62</v>
      </c>
      <c r="D364" t="str">
        <f>IFERROR(INDEX(Katalog!$A$3:$A$12,MATCH(Data[[#This Row],[ItemID A]],Katalog!$C$3:$C$12,0)),"-")</f>
        <v>Pakaian Pria</v>
      </c>
      <c r="E364" t="str">
        <f>IFERROR(INDEX(Katalog!$B$3:$B$12,MATCH(Data[[#This Row],[ItemID A]],Katalog!$C$3:$C$12,0)),"-")</f>
        <v>Celana Pendek</v>
      </c>
      <c r="F364">
        <v>1</v>
      </c>
      <c r="G364">
        <v>5</v>
      </c>
      <c r="H364" s="36">
        <f>IFERROR(INDEX(Katalog!$D$3:$D$12,MATCH(Data[[#This Row],[ItemID A]],Katalog!$C$3:$C$12,0))*Data[[#This Row],[Qty A]],"0")</f>
        <v>180000</v>
      </c>
      <c r="I364" s="36">
        <f>IFERROR(INDEX(Katalog!$F$3:$F$12,MATCH(Data[[#This Row],[ItemID A]],Katalog!$C$3:$C$12,0))*Data[[#This Row],[Qty A]],0)</f>
        <v>70000</v>
      </c>
      <c r="J364" t="s">
        <v>58</v>
      </c>
      <c r="K364" t="str">
        <f>IFERROR(INDEX(Katalog!$A$3:$A$12,MATCH(Data[[#This Row],[ItemID B]],Katalog!$C$3:$C$12,0)),"-")</f>
        <v>Pakaian Wanita</v>
      </c>
      <c r="L364" t="str">
        <f>IFERROR(INDEX(Katalog!$B$3:$B$12,MATCH(Data[[#This Row],[ItemID B]],Katalog!$C$3:$C$12,0)),"-")</f>
        <v>Dress</v>
      </c>
      <c r="M364">
        <v>2</v>
      </c>
      <c r="N364">
        <v>5</v>
      </c>
      <c r="O364" s="36">
        <f>IFERROR(INDEX(Katalog!$D$3:$D$12,MATCH(Data[[#This Row],[ItemID B]],Katalog!$C$3:$C$12,0))*Data[[#This Row],[Qty B]],"0")</f>
        <v>600000</v>
      </c>
      <c r="P364" s="36">
        <f>IFERROR(INDEX(Katalog!$F$3:$F$12,MATCH(Data[[#This Row],[ItemID B]],Katalog!$C$3:$C$12,0))*Data[[#This Row],[Qty B]],"0")</f>
        <v>200000</v>
      </c>
      <c r="R364" t="str">
        <f>IFERROR(INDEX(Katalog!$A$3:$A$12,MATCH(Data[[#This Row],[ItemID C]],Katalog!$C$3:$C$12,0)),"-")</f>
        <v>-</v>
      </c>
      <c r="S364" t="str">
        <f>IFERROR(INDEX(Katalog!$B$3:$B$12,MATCH(Data[[#This Row],[ItemID C]],Katalog!$C$3:$C$12,0)),"-")</f>
        <v>-</v>
      </c>
      <c r="V364" s="36" t="str">
        <f>IFERROR(INDEX(Katalog!$D$3:$D$12,MATCH(Data[[#This Row],[ItemID C]],Katalog!$C$3:$C$12,0))*Data[[#This Row],[Qty C]],"0")</f>
        <v>0</v>
      </c>
      <c r="W364" s="36" t="str">
        <f>IFERROR(INDEX(Katalog!$F$3:$F$12,MATCH(Data[[#This Row],[ItemID C]],Katalog!$C$3:$C$12,0))*Data[[#This Row],[Qty C]],"0")</f>
        <v>0</v>
      </c>
      <c r="X364" s="21">
        <f>Data[[#This Row],[Qty A]]+Data[[#This Row],[Qty B]]+Data[[#This Row],[Qty C]]</f>
        <v>3</v>
      </c>
      <c r="Y364" s="22">
        <f>Data[[#This Row],[Harga Barang A]]+Data[[#This Row],[Harga Barang B]]+Data[[#This Row],[Harga Barang C]]</f>
        <v>780000</v>
      </c>
      <c r="Z364" s="35">
        <f>IFERROR(Data[[#This Row],[Total Harga]]-(Data[[#This Row],[Total Harga]]*Data[[#This Row],[Diskon]]),Data[[#This Row],[Total Harga]])</f>
        <v>780000</v>
      </c>
      <c r="AA364" s="35">
        <f>(Data[[#This Row],[Profit A]]+Data[[#This Row],[Profit B]]+Data[[#This Row],[Profit C]])</f>
        <v>270000</v>
      </c>
      <c r="AB364" s="35">
        <f>IFERROR((Data[[#This Row],[Profit non Diskon]]-(Data[[#This Row],[Profit non Diskon]]*Data[[#This Row],[Diskon]])),Data[[#This Row],[Profit non Diskon]])</f>
        <v>270000</v>
      </c>
      <c r="AC364" s="23" t="s">
        <v>11</v>
      </c>
      <c r="AD364" s="37" t="str">
        <f>IFERROR(INDEX('Kode Diskon'!$D$3:$D$9,MATCH(Data[[#This Row],[Kode diskon]],'Kode Diskon'!$C$3:$C$9,0)),"-")</f>
        <v>-</v>
      </c>
      <c r="AE364" s="23" t="s">
        <v>11</v>
      </c>
      <c r="AF364" s="23" t="s">
        <v>10</v>
      </c>
      <c r="AG364" s="23" t="s">
        <v>77</v>
      </c>
      <c r="AH364" s="24">
        <v>45023</v>
      </c>
      <c r="AI364" s="23" t="str">
        <f>TEXT(Data[[#This Row],[Tanggal terjual]],"dddd")</f>
        <v>Friday</v>
      </c>
      <c r="AJ364" s="21" t="str">
        <f>TEXT(Data[[#This Row],[Tanggal terjual]],"wwww")</f>
        <v>wwww</v>
      </c>
    </row>
    <row r="365" spans="1:36" x14ac:dyDescent="0.2">
      <c r="A365" s="20">
        <v>364</v>
      </c>
      <c r="B365" s="21" t="str">
        <f>_xlfn.CONCAT("ORD-",INDEX(Helper!$B$2:$B$5,MATCH(Data[[#This Row],[Marketplace]],Helper!$A$2:$A$5,0)),TEXT(Data[[#This Row],[No]],"0000"),"-",TEXT(Data[[#This Row],[Tanggal terjual]],"dd/mm/yy"))</f>
        <v>ORD-SP0364-30/04/23</v>
      </c>
      <c r="C365" t="s">
        <v>61</v>
      </c>
      <c r="D365" t="str">
        <f>IFERROR(INDEX(Katalog!$A$3:$A$12,MATCH(Data[[#This Row],[ItemID A]],Katalog!$C$3:$C$12,0)),"-")</f>
        <v>Pakaian Pria</v>
      </c>
      <c r="E365" t="str">
        <f>IFERROR(INDEX(Katalog!$B$3:$B$12,MATCH(Data[[#This Row],[ItemID A]],Katalog!$C$3:$C$12,0)),"-")</f>
        <v>Kaos Polo</v>
      </c>
      <c r="F365">
        <v>3</v>
      </c>
      <c r="G365">
        <v>4</v>
      </c>
      <c r="H365" s="36">
        <f>IFERROR(INDEX(Katalog!$D$3:$D$12,MATCH(Data[[#This Row],[ItemID A]],Katalog!$C$3:$C$12,0))*Data[[#This Row],[Qty A]],"0")</f>
        <v>600000</v>
      </c>
      <c r="I365" s="36">
        <f>IFERROR(INDEX(Katalog!$F$3:$F$12,MATCH(Data[[#This Row],[ItemID A]],Katalog!$C$3:$C$12,0))*Data[[#This Row],[Qty A]],0)</f>
        <v>240000</v>
      </c>
      <c r="K365" t="str">
        <f>IFERROR(INDEX(Katalog!$A$3:$A$12,MATCH(Data[[#This Row],[ItemID B]],Katalog!$C$3:$C$12,0)),"-")</f>
        <v>-</v>
      </c>
      <c r="L365" t="str">
        <f>IFERROR(INDEX(Katalog!$B$3:$B$12,MATCH(Data[[#This Row],[ItemID B]],Katalog!$C$3:$C$12,0)),"-")</f>
        <v>-</v>
      </c>
      <c r="O365" s="36" t="str">
        <f>IFERROR(INDEX(Katalog!$D$3:$D$12,MATCH(Data[[#This Row],[ItemID B]],Katalog!$C$3:$C$12,0))*Data[[#This Row],[Qty B]],"0")</f>
        <v>0</v>
      </c>
      <c r="P365" s="36" t="str">
        <f>IFERROR(INDEX(Katalog!$F$3:$F$12,MATCH(Data[[#This Row],[ItemID B]],Katalog!$C$3:$C$12,0))*Data[[#This Row],[Qty B]],"0")</f>
        <v>0</v>
      </c>
      <c r="R365" t="str">
        <f>IFERROR(INDEX(Katalog!$A$3:$A$12,MATCH(Data[[#This Row],[ItemID C]],Katalog!$C$3:$C$12,0)),"-")</f>
        <v>-</v>
      </c>
      <c r="S365" t="str">
        <f>IFERROR(INDEX(Katalog!$B$3:$B$12,MATCH(Data[[#This Row],[ItemID C]],Katalog!$C$3:$C$12,0)),"-")</f>
        <v>-</v>
      </c>
      <c r="V365" s="36" t="str">
        <f>IFERROR(INDEX(Katalog!$D$3:$D$12,MATCH(Data[[#This Row],[ItemID C]],Katalog!$C$3:$C$12,0))*Data[[#This Row],[Qty C]],"0")</f>
        <v>0</v>
      </c>
      <c r="W365" s="36" t="str">
        <f>IFERROR(INDEX(Katalog!$F$3:$F$12,MATCH(Data[[#This Row],[ItemID C]],Katalog!$C$3:$C$12,0))*Data[[#This Row],[Qty C]],"0")</f>
        <v>0</v>
      </c>
      <c r="X365" s="21">
        <f>Data[[#This Row],[Qty A]]+Data[[#This Row],[Qty B]]+Data[[#This Row],[Qty C]]</f>
        <v>3</v>
      </c>
      <c r="Y365" s="22">
        <f>Data[[#This Row],[Harga Barang A]]+Data[[#This Row],[Harga Barang B]]+Data[[#This Row],[Harga Barang C]]</f>
        <v>600000</v>
      </c>
      <c r="Z365" s="35">
        <f>IFERROR(Data[[#This Row],[Total Harga]]-(Data[[#This Row],[Total Harga]]*Data[[#This Row],[Diskon]]),Data[[#This Row],[Total Harga]])</f>
        <v>480000</v>
      </c>
      <c r="AA365" s="35">
        <f>(Data[[#This Row],[Profit A]]+Data[[#This Row],[Profit B]]+Data[[#This Row],[Profit C]])</f>
        <v>240000</v>
      </c>
      <c r="AB365" s="35">
        <f>IFERROR((Data[[#This Row],[Profit non Diskon]]-(Data[[#This Row],[Profit non Diskon]]*Data[[#This Row],[Diskon]])),Data[[#This Row],[Profit non Diskon]])</f>
        <v>192000</v>
      </c>
      <c r="AC365" s="23" t="s">
        <v>8</v>
      </c>
      <c r="AD365" s="37">
        <f>IFERROR(INDEX('Kode Diskon'!$D$3:$D$9,MATCH(Data[[#This Row],[Kode diskon]],'Kode Diskon'!$C$3:$C$9,0)),"-")</f>
        <v>0.2</v>
      </c>
      <c r="AE365" s="23" t="s">
        <v>9</v>
      </c>
      <c r="AF365" s="23" t="s">
        <v>7</v>
      </c>
      <c r="AG365" s="23" t="s">
        <v>76</v>
      </c>
      <c r="AH365" s="24">
        <v>45046</v>
      </c>
      <c r="AI365" s="23" t="str">
        <f>TEXT(Data[[#This Row],[Tanggal terjual]],"dddd")</f>
        <v>Sunday</v>
      </c>
      <c r="AJ365" s="21" t="str">
        <f>TEXT(Data[[#This Row],[Tanggal terjual]],"wwww")</f>
        <v>wwww</v>
      </c>
    </row>
    <row r="366" spans="1:36" x14ac:dyDescent="0.2">
      <c r="A366" s="20">
        <v>365</v>
      </c>
      <c r="B366" s="21" t="str">
        <f>_xlfn.CONCAT("ORD-",INDEX(Helper!$B$2:$B$5,MATCH(Data[[#This Row],[Marketplace]],Helper!$A$2:$A$5,0)),TEXT(Data[[#This Row],[No]],"0000"),"-",TEXT(Data[[#This Row],[Tanggal terjual]],"dd/mm/yy"))</f>
        <v>ORD-SP0365-08/04/23</v>
      </c>
      <c r="C366" t="s">
        <v>59</v>
      </c>
      <c r="D366" t="str">
        <f>IFERROR(INDEX(Katalog!$A$3:$A$12,MATCH(Data[[#This Row],[ItemID A]],Katalog!$C$3:$C$12,0)),"-")</f>
        <v>Pakaian Wanita</v>
      </c>
      <c r="E366" t="str">
        <f>IFERROR(INDEX(Katalog!$B$3:$B$12,MATCH(Data[[#This Row],[ItemID A]],Katalog!$C$3:$C$12,0)),"-")</f>
        <v>Blouse</v>
      </c>
      <c r="F366">
        <v>2</v>
      </c>
      <c r="G366">
        <v>2</v>
      </c>
      <c r="H366" s="36">
        <f>IFERROR(INDEX(Katalog!$D$3:$D$12,MATCH(Data[[#This Row],[ItemID A]],Katalog!$C$3:$C$12,0))*Data[[#This Row],[Qty A]],"0")</f>
        <v>300000</v>
      </c>
      <c r="I366" s="36">
        <f>IFERROR(INDEX(Katalog!$F$3:$F$12,MATCH(Data[[#This Row],[ItemID A]],Katalog!$C$3:$C$12,0))*Data[[#This Row],[Qty A]],0)</f>
        <v>100000</v>
      </c>
      <c r="J366" t="s">
        <v>58</v>
      </c>
      <c r="K366" t="str">
        <f>IFERROR(INDEX(Katalog!$A$3:$A$12,MATCH(Data[[#This Row],[ItemID B]],Katalog!$C$3:$C$12,0)),"-")</f>
        <v>Pakaian Wanita</v>
      </c>
      <c r="L366" t="str">
        <f>IFERROR(INDEX(Katalog!$B$3:$B$12,MATCH(Data[[#This Row],[ItemID B]],Katalog!$C$3:$C$12,0)),"-")</f>
        <v>Dress</v>
      </c>
      <c r="M366">
        <v>1</v>
      </c>
      <c r="N366">
        <v>1</v>
      </c>
      <c r="O366" s="36">
        <f>IFERROR(INDEX(Katalog!$D$3:$D$12,MATCH(Data[[#This Row],[ItemID B]],Katalog!$C$3:$C$12,0))*Data[[#This Row],[Qty B]],"0")</f>
        <v>300000</v>
      </c>
      <c r="P366" s="36">
        <f>IFERROR(INDEX(Katalog!$F$3:$F$12,MATCH(Data[[#This Row],[ItemID B]],Katalog!$C$3:$C$12,0))*Data[[#This Row],[Qty B]],"0")</f>
        <v>100000</v>
      </c>
      <c r="R366" t="str">
        <f>IFERROR(INDEX(Katalog!$A$3:$A$12,MATCH(Data[[#This Row],[ItemID C]],Katalog!$C$3:$C$12,0)),"-")</f>
        <v>-</v>
      </c>
      <c r="S366" t="str">
        <f>IFERROR(INDEX(Katalog!$B$3:$B$12,MATCH(Data[[#This Row],[ItemID C]],Katalog!$C$3:$C$12,0)),"-")</f>
        <v>-</v>
      </c>
      <c r="V366" s="36" t="str">
        <f>IFERROR(INDEX(Katalog!$D$3:$D$12,MATCH(Data[[#This Row],[ItemID C]],Katalog!$C$3:$C$12,0))*Data[[#This Row],[Qty C]],"0")</f>
        <v>0</v>
      </c>
      <c r="W366" s="36" t="str">
        <f>IFERROR(INDEX(Katalog!$F$3:$F$12,MATCH(Data[[#This Row],[ItemID C]],Katalog!$C$3:$C$12,0))*Data[[#This Row],[Qty C]],"0")</f>
        <v>0</v>
      </c>
      <c r="X366" s="21">
        <f>Data[[#This Row],[Qty A]]+Data[[#This Row],[Qty B]]+Data[[#This Row],[Qty C]]</f>
        <v>3</v>
      </c>
      <c r="Y366" s="22">
        <f>Data[[#This Row],[Harga Barang A]]+Data[[#This Row],[Harga Barang B]]+Data[[#This Row],[Harga Barang C]]</f>
        <v>600000</v>
      </c>
      <c r="Z366" s="35">
        <f>IFERROR(Data[[#This Row],[Total Harga]]-(Data[[#This Row],[Total Harga]]*Data[[#This Row],[Diskon]]),Data[[#This Row],[Total Harga]])</f>
        <v>600000</v>
      </c>
      <c r="AA366" s="35">
        <f>(Data[[#This Row],[Profit A]]+Data[[#This Row],[Profit B]]+Data[[#This Row],[Profit C]])</f>
        <v>200000</v>
      </c>
      <c r="AB366" s="35">
        <f>IFERROR((Data[[#This Row],[Profit non Diskon]]-(Data[[#This Row],[Profit non Diskon]]*Data[[#This Row],[Diskon]])),Data[[#This Row],[Profit non Diskon]])</f>
        <v>200000</v>
      </c>
      <c r="AC366" s="23" t="s">
        <v>11</v>
      </c>
      <c r="AD366" s="37" t="str">
        <f>IFERROR(INDEX('Kode Diskon'!$D$3:$D$9,MATCH(Data[[#This Row],[Kode diskon]],'Kode Diskon'!$C$3:$C$9,0)),"-")</f>
        <v>-</v>
      </c>
      <c r="AE366" s="23" t="s">
        <v>11</v>
      </c>
      <c r="AF366" s="23" t="s">
        <v>7</v>
      </c>
      <c r="AG366" s="23" t="s">
        <v>77</v>
      </c>
      <c r="AH366" s="24">
        <v>45024</v>
      </c>
      <c r="AI366" s="23" t="str">
        <f>TEXT(Data[[#This Row],[Tanggal terjual]],"dddd")</f>
        <v>Saturday</v>
      </c>
      <c r="AJ366" s="21" t="str">
        <f>TEXT(Data[[#This Row],[Tanggal terjual]],"wwww")</f>
        <v>wwww</v>
      </c>
    </row>
    <row r="367" spans="1:36" x14ac:dyDescent="0.2">
      <c r="A367" s="20">
        <v>366</v>
      </c>
      <c r="B367" s="21" t="str">
        <f>_xlfn.CONCAT("ORD-",INDEX(Helper!$B$2:$B$5,MATCH(Data[[#This Row],[Marketplace]],Helper!$A$2:$A$5,0)),TEXT(Data[[#This Row],[No]],"0000"),"-",TEXT(Data[[#This Row],[Tanggal terjual]],"dd/mm/yy"))</f>
        <v>ORD-BL0366-16/04/23</v>
      </c>
      <c r="C367" t="s">
        <v>58</v>
      </c>
      <c r="D367" t="str">
        <f>IFERROR(INDEX(Katalog!$A$3:$A$12,MATCH(Data[[#This Row],[ItemID A]],Katalog!$C$3:$C$12,0)),"-")</f>
        <v>Pakaian Wanita</v>
      </c>
      <c r="E367" t="str">
        <f>IFERROR(INDEX(Katalog!$B$3:$B$12,MATCH(Data[[#This Row],[ItemID A]],Katalog!$C$3:$C$12,0)),"-")</f>
        <v>Dress</v>
      </c>
      <c r="F367">
        <v>1</v>
      </c>
      <c r="G367">
        <v>5</v>
      </c>
      <c r="H367" s="36">
        <f>IFERROR(INDEX(Katalog!$D$3:$D$12,MATCH(Data[[#This Row],[ItemID A]],Katalog!$C$3:$C$12,0))*Data[[#This Row],[Qty A]],"0")</f>
        <v>300000</v>
      </c>
      <c r="I367" s="36">
        <f>IFERROR(INDEX(Katalog!$F$3:$F$12,MATCH(Data[[#This Row],[ItemID A]],Katalog!$C$3:$C$12,0))*Data[[#This Row],[Qty A]],0)</f>
        <v>100000</v>
      </c>
      <c r="J367" t="s">
        <v>62</v>
      </c>
      <c r="K367" t="str">
        <f>IFERROR(INDEX(Katalog!$A$3:$A$12,MATCH(Data[[#This Row],[ItemID B]],Katalog!$C$3:$C$12,0)),"-")</f>
        <v>Pakaian Pria</v>
      </c>
      <c r="L367" t="str">
        <f>IFERROR(INDEX(Katalog!$B$3:$B$12,MATCH(Data[[#This Row],[ItemID B]],Katalog!$C$3:$C$12,0)),"-")</f>
        <v>Celana Pendek</v>
      </c>
      <c r="M367">
        <v>4</v>
      </c>
      <c r="N367">
        <v>5</v>
      </c>
      <c r="O367" s="36">
        <f>IFERROR(INDEX(Katalog!$D$3:$D$12,MATCH(Data[[#This Row],[ItemID B]],Katalog!$C$3:$C$12,0))*Data[[#This Row],[Qty B]],"0")</f>
        <v>720000</v>
      </c>
      <c r="P367" s="36">
        <f>IFERROR(INDEX(Katalog!$F$3:$F$12,MATCH(Data[[#This Row],[ItemID B]],Katalog!$C$3:$C$12,0))*Data[[#This Row],[Qty B]],"0")</f>
        <v>280000</v>
      </c>
      <c r="R367" t="str">
        <f>IFERROR(INDEX(Katalog!$A$3:$A$12,MATCH(Data[[#This Row],[ItemID C]],Katalog!$C$3:$C$12,0)),"-")</f>
        <v>-</v>
      </c>
      <c r="S367" t="str">
        <f>IFERROR(INDEX(Katalog!$B$3:$B$12,MATCH(Data[[#This Row],[ItemID C]],Katalog!$C$3:$C$12,0)),"-")</f>
        <v>-</v>
      </c>
      <c r="V367" s="36" t="str">
        <f>IFERROR(INDEX(Katalog!$D$3:$D$12,MATCH(Data[[#This Row],[ItemID C]],Katalog!$C$3:$C$12,0))*Data[[#This Row],[Qty C]],"0")</f>
        <v>0</v>
      </c>
      <c r="W367" s="36" t="str">
        <f>IFERROR(INDEX(Katalog!$F$3:$F$12,MATCH(Data[[#This Row],[ItemID C]],Katalog!$C$3:$C$12,0))*Data[[#This Row],[Qty C]],"0")</f>
        <v>0</v>
      </c>
      <c r="X367" s="21">
        <f>Data[[#This Row],[Qty A]]+Data[[#This Row],[Qty B]]+Data[[#This Row],[Qty C]]</f>
        <v>5</v>
      </c>
      <c r="Y367" s="22">
        <f>Data[[#This Row],[Harga Barang A]]+Data[[#This Row],[Harga Barang B]]+Data[[#This Row],[Harga Barang C]]</f>
        <v>1020000</v>
      </c>
      <c r="Z367" s="35">
        <f>IFERROR(Data[[#This Row],[Total Harga]]-(Data[[#This Row],[Total Harga]]*Data[[#This Row],[Diskon]]),Data[[#This Row],[Total Harga]])</f>
        <v>867000</v>
      </c>
      <c r="AA367" s="35">
        <f>(Data[[#This Row],[Profit A]]+Data[[#This Row],[Profit B]]+Data[[#This Row],[Profit C]])</f>
        <v>380000</v>
      </c>
      <c r="AB367" s="35">
        <f>IFERROR((Data[[#This Row],[Profit non Diskon]]-(Data[[#This Row],[Profit non Diskon]]*Data[[#This Row],[Diskon]])),Data[[#This Row],[Profit non Diskon]])</f>
        <v>323000</v>
      </c>
      <c r="AC367" s="23" t="s">
        <v>32</v>
      </c>
      <c r="AD367" s="37">
        <f>IFERROR(INDEX('Kode Diskon'!$D$3:$D$9,MATCH(Data[[#This Row],[Kode diskon]],'Kode Diskon'!$C$3:$C$9,0)),"-")</f>
        <v>0.15</v>
      </c>
      <c r="AE367" s="23" t="s">
        <v>9</v>
      </c>
      <c r="AF367" s="23" t="s">
        <v>12</v>
      </c>
      <c r="AG367" s="23" t="s">
        <v>80</v>
      </c>
      <c r="AH367" s="24">
        <v>45032</v>
      </c>
      <c r="AI367" s="23" t="str">
        <f>TEXT(Data[[#This Row],[Tanggal terjual]],"dddd")</f>
        <v>Sunday</v>
      </c>
      <c r="AJ367" s="21" t="str">
        <f>TEXT(Data[[#This Row],[Tanggal terjual]],"wwww")</f>
        <v>wwww</v>
      </c>
    </row>
    <row r="368" spans="1:36" x14ac:dyDescent="0.2">
      <c r="A368" s="20">
        <v>367</v>
      </c>
      <c r="B368" s="21" t="str">
        <f>_xlfn.CONCAT("ORD-",INDEX(Helper!$B$2:$B$5,MATCH(Data[[#This Row],[Marketplace]],Helper!$A$2:$A$5,0)),TEXT(Data[[#This Row],[No]],"0000"),"-",TEXT(Data[[#This Row],[Tanggal terjual]],"dd/mm/yy"))</f>
        <v>ORD-TK0367-12/04/23</v>
      </c>
      <c r="C368" t="s">
        <v>63</v>
      </c>
      <c r="D368" t="str">
        <f>IFERROR(INDEX(Katalog!$A$3:$A$12,MATCH(Data[[#This Row],[ItemID A]],Katalog!$C$3:$C$12,0)),"-")</f>
        <v>Pakaian Pria</v>
      </c>
      <c r="E368" t="str">
        <f>IFERROR(INDEX(Katalog!$B$3:$B$12,MATCH(Data[[#This Row],[ItemID A]],Katalog!$C$3:$C$12,0)),"-")</f>
        <v>Jaket Jeans</v>
      </c>
      <c r="F368">
        <v>4</v>
      </c>
      <c r="G368">
        <v>5</v>
      </c>
      <c r="H368" s="36">
        <f>IFERROR(INDEX(Katalog!$D$3:$D$12,MATCH(Data[[#This Row],[ItemID A]],Katalog!$C$3:$C$12,0))*Data[[#This Row],[Qty A]],"0")</f>
        <v>1600000</v>
      </c>
      <c r="I368" s="36">
        <f>IFERROR(INDEX(Katalog!$F$3:$F$12,MATCH(Data[[#This Row],[ItemID A]],Katalog!$C$3:$C$12,0))*Data[[#This Row],[Qty A]],0)</f>
        <v>600000</v>
      </c>
      <c r="J368" t="s">
        <v>66</v>
      </c>
      <c r="K368" t="str">
        <f>IFERROR(INDEX(Katalog!$A$3:$A$12,MATCH(Data[[#This Row],[ItemID B]],Katalog!$C$3:$C$12,0)),"-")</f>
        <v>Sepatu Pria</v>
      </c>
      <c r="L368" t="str">
        <f>IFERROR(INDEX(Katalog!$B$3:$B$12,MATCH(Data[[#This Row],[ItemID B]],Katalog!$C$3:$C$12,0)),"-")</f>
        <v>Sandal Slip On</v>
      </c>
      <c r="M368">
        <v>2</v>
      </c>
      <c r="N368">
        <v>4</v>
      </c>
      <c r="O368" s="36">
        <f>IFERROR(INDEX(Katalog!$D$3:$D$12,MATCH(Data[[#This Row],[ItemID B]],Katalog!$C$3:$C$12,0))*Data[[#This Row],[Qty B]],"0")</f>
        <v>300000</v>
      </c>
      <c r="P368" s="36">
        <f>IFERROR(INDEX(Katalog!$F$3:$F$12,MATCH(Data[[#This Row],[ItemID B]],Katalog!$C$3:$C$12,0))*Data[[#This Row],[Qty B]],"0")</f>
        <v>120000</v>
      </c>
      <c r="R368" t="str">
        <f>IFERROR(INDEX(Katalog!$A$3:$A$12,MATCH(Data[[#This Row],[ItemID C]],Katalog!$C$3:$C$12,0)),"-")</f>
        <v>-</v>
      </c>
      <c r="S368" t="str">
        <f>IFERROR(INDEX(Katalog!$B$3:$B$12,MATCH(Data[[#This Row],[ItemID C]],Katalog!$C$3:$C$12,0)),"-")</f>
        <v>-</v>
      </c>
      <c r="V368" s="36" t="str">
        <f>IFERROR(INDEX(Katalog!$D$3:$D$12,MATCH(Data[[#This Row],[ItemID C]],Katalog!$C$3:$C$12,0))*Data[[#This Row],[Qty C]],"0")</f>
        <v>0</v>
      </c>
      <c r="W368" s="36" t="str">
        <f>IFERROR(INDEX(Katalog!$F$3:$F$12,MATCH(Data[[#This Row],[ItemID C]],Katalog!$C$3:$C$12,0))*Data[[#This Row],[Qty C]],"0")</f>
        <v>0</v>
      </c>
      <c r="X368" s="21">
        <f>Data[[#This Row],[Qty A]]+Data[[#This Row],[Qty B]]+Data[[#This Row],[Qty C]]</f>
        <v>6</v>
      </c>
      <c r="Y368" s="22">
        <f>Data[[#This Row],[Harga Barang A]]+Data[[#This Row],[Harga Barang B]]+Data[[#This Row],[Harga Barang C]]</f>
        <v>1900000</v>
      </c>
      <c r="Z368" s="35">
        <f>IFERROR(Data[[#This Row],[Total Harga]]-(Data[[#This Row],[Total Harga]]*Data[[#This Row],[Diskon]]),Data[[#This Row],[Total Harga]])</f>
        <v>1900000</v>
      </c>
      <c r="AA368" s="35">
        <f>(Data[[#This Row],[Profit A]]+Data[[#This Row],[Profit B]]+Data[[#This Row],[Profit C]])</f>
        <v>720000</v>
      </c>
      <c r="AB368" s="35">
        <f>IFERROR((Data[[#This Row],[Profit non Diskon]]-(Data[[#This Row],[Profit non Diskon]]*Data[[#This Row],[Diskon]])),Data[[#This Row],[Profit non Diskon]])</f>
        <v>720000</v>
      </c>
      <c r="AC368" s="23" t="s">
        <v>11</v>
      </c>
      <c r="AD368" s="37" t="str">
        <f>IFERROR(INDEX('Kode Diskon'!$D$3:$D$9,MATCH(Data[[#This Row],[Kode diskon]],'Kode Diskon'!$C$3:$C$9,0)),"-")</f>
        <v>-</v>
      </c>
      <c r="AE368" s="23" t="s">
        <v>11</v>
      </c>
      <c r="AF368" s="23" t="s">
        <v>10</v>
      </c>
      <c r="AG368" s="23" t="s">
        <v>80</v>
      </c>
      <c r="AH368" s="24">
        <v>45028</v>
      </c>
      <c r="AI368" s="23" t="str">
        <f>TEXT(Data[[#This Row],[Tanggal terjual]],"dddd")</f>
        <v>Wednesday</v>
      </c>
      <c r="AJ368" s="21" t="str">
        <f>TEXT(Data[[#This Row],[Tanggal terjual]],"wwww")</f>
        <v>wwww</v>
      </c>
    </row>
    <row r="369" spans="1:36" x14ac:dyDescent="0.2">
      <c r="A369" s="20">
        <v>368</v>
      </c>
      <c r="B369" s="21" t="str">
        <f>_xlfn.CONCAT("ORD-",INDEX(Helper!$B$2:$B$5,MATCH(Data[[#This Row],[Marketplace]],Helper!$A$2:$A$5,0)),TEXT(Data[[#This Row],[No]],"0000"),"-",TEXT(Data[[#This Row],[Tanggal terjual]],"dd/mm/yy"))</f>
        <v>ORD-SP0368-06/04/23</v>
      </c>
      <c r="C369" t="s">
        <v>64</v>
      </c>
      <c r="D369" t="str">
        <f>IFERROR(INDEX(Katalog!$A$3:$A$12,MATCH(Data[[#This Row],[ItemID A]],Katalog!$C$3:$C$12,0)),"-")</f>
        <v>Pakaian Unisex</v>
      </c>
      <c r="E369" t="str">
        <f>IFERROR(INDEX(Katalog!$B$3:$B$12,MATCH(Data[[#This Row],[ItemID A]],Katalog!$C$3:$C$12,0)),"-")</f>
        <v>Jaket Hoodie</v>
      </c>
      <c r="F369">
        <v>1</v>
      </c>
      <c r="G369">
        <v>3</v>
      </c>
      <c r="H369" s="36">
        <f>IFERROR(INDEX(Katalog!$D$3:$D$12,MATCH(Data[[#This Row],[ItemID A]],Katalog!$C$3:$C$12,0))*Data[[#This Row],[Qty A]],"0")</f>
        <v>350000</v>
      </c>
      <c r="I369" s="36">
        <f>IFERROR(INDEX(Katalog!$F$3:$F$12,MATCH(Data[[#This Row],[ItemID A]],Katalog!$C$3:$C$12,0))*Data[[#This Row],[Qty A]],0)</f>
        <v>130000</v>
      </c>
      <c r="K369" t="str">
        <f>IFERROR(INDEX(Katalog!$A$3:$A$12,MATCH(Data[[#This Row],[ItemID B]],Katalog!$C$3:$C$12,0)),"-")</f>
        <v>-</v>
      </c>
      <c r="L369" t="str">
        <f>IFERROR(INDEX(Katalog!$B$3:$B$12,MATCH(Data[[#This Row],[ItemID B]],Katalog!$C$3:$C$12,0)),"-")</f>
        <v>-</v>
      </c>
      <c r="O369" s="36" t="str">
        <f>IFERROR(INDEX(Katalog!$D$3:$D$12,MATCH(Data[[#This Row],[ItemID B]],Katalog!$C$3:$C$12,0))*Data[[#This Row],[Qty B]],"0")</f>
        <v>0</v>
      </c>
      <c r="P369" s="36" t="str">
        <f>IFERROR(INDEX(Katalog!$F$3:$F$12,MATCH(Data[[#This Row],[ItemID B]],Katalog!$C$3:$C$12,0))*Data[[#This Row],[Qty B]],"0")</f>
        <v>0</v>
      </c>
      <c r="R369" t="str">
        <f>IFERROR(INDEX(Katalog!$A$3:$A$12,MATCH(Data[[#This Row],[ItemID C]],Katalog!$C$3:$C$12,0)),"-")</f>
        <v>-</v>
      </c>
      <c r="S369" t="str">
        <f>IFERROR(INDEX(Katalog!$B$3:$B$12,MATCH(Data[[#This Row],[ItemID C]],Katalog!$C$3:$C$12,0)),"-")</f>
        <v>-</v>
      </c>
      <c r="V369" s="36" t="str">
        <f>IFERROR(INDEX(Katalog!$D$3:$D$12,MATCH(Data[[#This Row],[ItemID C]],Katalog!$C$3:$C$12,0))*Data[[#This Row],[Qty C]],"0")</f>
        <v>0</v>
      </c>
      <c r="W369" s="36" t="str">
        <f>IFERROR(INDEX(Katalog!$F$3:$F$12,MATCH(Data[[#This Row],[ItemID C]],Katalog!$C$3:$C$12,0))*Data[[#This Row],[Qty C]],"0")</f>
        <v>0</v>
      </c>
      <c r="X369" s="21">
        <f>Data[[#This Row],[Qty A]]+Data[[#This Row],[Qty B]]+Data[[#This Row],[Qty C]]</f>
        <v>1</v>
      </c>
      <c r="Y369" s="22">
        <f>Data[[#This Row],[Harga Barang A]]+Data[[#This Row],[Harga Barang B]]+Data[[#This Row],[Harga Barang C]]</f>
        <v>350000</v>
      </c>
      <c r="Z369" s="35">
        <f>IFERROR(Data[[#This Row],[Total Harga]]-(Data[[#This Row],[Total Harga]]*Data[[#This Row],[Diskon]]),Data[[#This Row],[Total Harga]])</f>
        <v>315000</v>
      </c>
      <c r="AA369" s="35">
        <f>(Data[[#This Row],[Profit A]]+Data[[#This Row],[Profit B]]+Data[[#This Row],[Profit C]])</f>
        <v>130000</v>
      </c>
      <c r="AB369" s="35">
        <f>IFERROR((Data[[#This Row],[Profit non Diskon]]-(Data[[#This Row],[Profit non Diskon]]*Data[[#This Row],[Diskon]])),Data[[#This Row],[Profit non Diskon]])</f>
        <v>117000</v>
      </c>
      <c r="AC369" s="23" t="s">
        <v>6</v>
      </c>
      <c r="AD369" s="37">
        <f>IFERROR(INDEX('Kode Diskon'!$D$3:$D$9,MATCH(Data[[#This Row],[Kode diskon]],'Kode Diskon'!$C$3:$C$9,0)),"-")</f>
        <v>0.1</v>
      </c>
      <c r="AE369" s="23" t="s">
        <v>29</v>
      </c>
      <c r="AF369" s="23" t="s">
        <v>7</v>
      </c>
      <c r="AG369" s="23" t="s">
        <v>79</v>
      </c>
      <c r="AH369" s="24">
        <v>45022</v>
      </c>
      <c r="AI369" s="23" t="str">
        <f>TEXT(Data[[#This Row],[Tanggal terjual]],"dddd")</f>
        <v>Thursday</v>
      </c>
      <c r="AJ369" s="21" t="str">
        <f>TEXT(Data[[#This Row],[Tanggal terjual]],"wwww")</f>
        <v>wwww</v>
      </c>
    </row>
    <row r="370" spans="1:36" x14ac:dyDescent="0.2">
      <c r="A370" s="20">
        <v>369</v>
      </c>
      <c r="B370" s="21" t="str">
        <f>_xlfn.CONCAT("ORD-",INDEX(Helper!$B$2:$B$5,MATCH(Data[[#This Row],[Marketplace]],Helper!$A$2:$A$5,0)),TEXT(Data[[#This Row],[No]],"0000"),"-",TEXT(Data[[#This Row],[Tanggal terjual]],"dd/mm/yy"))</f>
        <v>ORD-SP0369-15/04/23</v>
      </c>
      <c r="C370" t="s">
        <v>58</v>
      </c>
      <c r="D370" t="str">
        <f>IFERROR(INDEX(Katalog!$A$3:$A$12,MATCH(Data[[#This Row],[ItemID A]],Katalog!$C$3:$C$12,0)),"-")</f>
        <v>Pakaian Wanita</v>
      </c>
      <c r="E370" t="str">
        <f>IFERROR(INDEX(Katalog!$B$3:$B$12,MATCH(Data[[#This Row],[ItemID A]],Katalog!$C$3:$C$12,0)),"-")</f>
        <v>Dress</v>
      </c>
      <c r="F370">
        <v>1</v>
      </c>
      <c r="G370">
        <v>1</v>
      </c>
      <c r="H370" s="36">
        <f>IFERROR(INDEX(Katalog!$D$3:$D$12,MATCH(Data[[#This Row],[ItemID A]],Katalog!$C$3:$C$12,0))*Data[[#This Row],[Qty A]],"0")</f>
        <v>300000</v>
      </c>
      <c r="I370" s="36">
        <f>IFERROR(INDEX(Katalog!$F$3:$F$12,MATCH(Data[[#This Row],[ItemID A]],Katalog!$C$3:$C$12,0))*Data[[#This Row],[Qty A]],0)</f>
        <v>100000</v>
      </c>
      <c r="K370" t="str">
        <f>IFERROR(INDEX(Katalog!$A$3:$A$12,MATCH(Data[[#This Row],[ItemID B]],Katalog!$C$3:$C$12,0)),"-")</f>
        <v>-</v>
      </c>
      <c r="L370" t="str">
        <f>IFERROR(INDEX(Katalog!$B$3:$B$12,MATCH(Data[[#This Row],[ItemID B]],Katalog!$C$3:$C$12,0)),"-")</f>
        <v>-</v>
      </c>
      <c r="O370" s="36" t="str">
        <f>IFERROR(INDEX(Katalog!$D$3:$D$12,MATCH(Data[[#This Row],[ItemID B]],Katalog!$C$3:$C$12,0))*Data[[#This Row],[Qty B]],"0")</f>
        <v>0</v>
      </c>
      <c r="P370" s="36" t="str">
        <f>IFERROR(INDEX(Katalog!$F$3:$F$12,MATCH(Data[[#This Row],[ItemID B]],Katalog!$C$3:$C$12,0))*Data[[#This Row],[Qty B]],"0")</f>
        <v>0</v>
      </c>
      <c r="R370" t="str">
        <f>IFERROR(INDEX(Katalog!$A$3:$A$12,MATCH(Data[[#This Row],[ItemID C]],Katalog!$C$3:$C$12,0)),"-")</f>
        <v>-</v>
      </c>
      <c r="S370" t="str">
        <f>IFERROR(INDEX(Katalog!$B$3:$B$12,MATCH(Data[[#This Row],[ItemID C]],Katalog!$C$3:$C$12,0)),"-")</f>
        <v>-</v>
      </c>
      <c r="V370" s="36" t="str">
        <f>IFERROR(INDEX(Katalog!$D$3:$D$12,MATCH(Data[[#This Row],[ItemID C]],Katalog!$C$3:$C$12,0))*Data[[#This Row],[Qty C]],"0")</f>
        <v>0</v>
      </c>
      <c r="W370" s="36" t="str">
        <f>IFERROR(INDEX(Katalog!$F$3:$F$12,MATCH(Data[[#This Row],[ItemID C]],Katalog!$C$3:$C$12,0))*Data[[#This Row],[Qty C]],"0")</f>
        <v>0</v>
      </c>
      <c r="X370" s="21">
        <f>Data[[#This Row],[Qty A]]+Data[[#This Row],[Qty B]]+Data[[#This Row],[Qty C]]</f>
        <v>1</v>
      </c>
      <c r="Y370" s="22">
        <f>Data[[#This Row],[Harga Barang A]]+Data[[#This Row],[Harga Barang B]]+Data[[#This Row],[Harga Barang C]]</f>
        <v>300000</v>
      </c>
      <c r="Z370" s="35">
        <f>IFERROR(Data[[#This Row],[Total Harga]]-(Data[[#This Row],[Total Harga]]*Data[[#This Row],[Diskon]]),Data[[#This Row],[Total Harga]])</f>
        <v>300000</v>
      </c>
      <c r="AA370" s="35">
        <f>(Data[[#This Row],[Profit A]]+Data[[#This Row],[Profit B]]+Data[[#This Row],[Profit C]])</f>
        <v>100000</v>
      </c>
      <c r="AB370" s="35">
        <f>IFERROR((Data[[#This Row],[Profit non Diskon]]-(Data[[#This Row],[Profit non Diskon]]*Data[[#This Row],[Diskon]])),Data[[#This Row],[Profit non Diskon]])</f>
        <v>100000</v>
      </c>
      <c r="AC370" s="23" t="s">
        <v>11</v>
      </c>
      <c r="AD370" s="37" t="str">
        <f>IFERROR(INDEX('Kode Diskon'!$D$3:$D$9,MATCH(Data[[#This Row],[Kode diskon]],'Kode Diskon'!$C$3:$C$9,0)),"-")</f>
        <v>-</v>
      </c>
      <c r="AE370" s="23" t="s">
        <v>11</v>
      </c>
      <c r="AF370" s="23" t="s">
        <v>7</v>
      </c>
      <c r="AG370" s="23" t="s">
        <v>76</v>
      </c>
      <c r="AH370" s="24">
        <v>45031</v>
      </c>
      <c r="AI370" s="23" t="str">
        <f>TEXT(Data[[#This Row],[Tanggal terjual]],"dddd")</f>
        <v>Saturday</v>
      </c>
      <c r="AJ370" s="21" t="str">
        <f>TEXT(Data[[#This Row],[Tanggal terjual]],"wwww")</f>
        <v>wwww</v>
      </c>
    </row>
    <row r="371" spans="1:36" x14ac:dyDescent="0.2">
      <c r="A371" s="20">
        <v>370</v>
      </c>
      <c r="B371" s="21" t="str">
        <f>_xlfn.CONCAT("ORD-",INDEX(Helper!$B$2:$B$5,MATCH(Data[[#This Row],[Marketplace]],Helper!$A$2:$A$5,0)),TEXT(Data[[#This Row],[No]],"0000"),"-",TEXT(Data[[#This Row],[Tanggal terjual]],"dd/mm/yy"))</f>
        <v>ORD-BL0370-30/04/23</v>
      </c>
      <c r="C371" t="s">
        <v>62</v>
      </c>
      <c r="D371" t="str">
        <f>IFERROR(INDEX(Katalog!$A$3:$A$12,MATCH(Data[[#This Row],[ItemID A]],Katalog!$C$3:$C$12,0)),"-")</f>
        <v>Pakaian Pria</v>
      </c>
      <c r="E371" t="str">
        <f>IFERROR(INDEX(Katalog!$B$3:$B$12,MATCH(Data[[#This Row],[ItemID A]],Katalog!$C$3:$C$12,0)),"-")</f>
        <v>Celana Pendek</v>
      </c>
      <c r="F371">
        <v>1</v>
      </c>
      <c r="G371">
        <v>5</v>
      </c>
      <c r="H371" s="36">
        <f>IFERROR(INDEX(Katalog!$D$3:$D$12,MATCH(Data[[#This Row],[ItemID A]],Katalog!$C$3:$C$12,0))*Data[[#This Row],[Qty A]],"0")</f>
        <v>180000</v>
      </c>
      <c r="I371" s="36">
        <f>IFERROR(INDEX(Katalog!$F$3:$F$12,MATCH(Data[[#This Row],[ItemID A]],Katalog!$C$3:$C$12,0))*Data[[#This Row],[Qty A]],0)</f>
        <v>70000</v>
      </c>
      <c r="J371" t="s">
        <v>65</v>
      </c>
      <c r="K371" t="str">
        <f>IFERROR(INDEX(Katalog!$A$3:$A$12,MATCH(Data[[#This Row],[ItemID B]],Katalog!$C$3:$C$12,0)),"-")</f>
        <v>Sepatu Pria</v>
      </c>
      <c r="L371" t="str">
        <f>IFERROR(INDEX(Katalog!$B$3:$B$12,MATCH(Data[[#This Row],[ItemID B]],Katalog!$C$3:$C$12,0)),"-")</f>
        <v>Sneakers</v>
      </c>
      <c r="M371">
        <v>1</v>
      </c>
      <c r="N371">
        <v>3</v>
      </c>
      <c r="O371" s="36">
        <f>IFERROR(INDEX(Katalog!$D$3:$D$12,MATCH(Data[[#This Row],[ItemID B]],Katalog!$C$3:$C$12,0))*Data[[#This Row],[Qty B]],"0")</f>
        <v>500000</v>
      </c>
      <c r="P371" s="36">
        <f>IFERROR(INDEX(Katalog!$F$3:$F$12,MATCH(Data[[#This Row],[ItemID B]],Katalog!$C$3:$C$12,0))*Data[[#This Row],[Qty B]],"0")</f>
        <v>200000</v>
      </c>
      <c r="R371" t="str">
        <f>IFERROR(INDEX(Katalog!$A$3:$A$12,MATCH(Data[[#This Row],[ItemID C]],Katalog!$C$3:$C$12,0)),"-")</f>
        <v>-</v>
      </c>
      <c r="S371" t="str">
        <f>IFERROR(INDEX(Katalog!$B$3:$B$12,MATCH(Data[[#This Row],[ItemID C]],Katalog!$C$3:$C$12,0)),"-")</f>
        <v>-</v>
      </c>
      <c r="V371" s="36" t="str">
        <f>IFERROR(INDEX(Katalog!$D$3:$D$12,MATCH(Data[[#This Row],[ItemID C]],Katalog!$C$3:$C$12,0))*Data[[#This Row],[Qty C]],"0")</f>
        <v>0</v>
      </c>
      <c r="W371" s="36" t="str">
        <f>IFERROR(INDEX(Katalog!$F$3:$F$12,MATCH(Data[[#This Row],[ItemID C]],Katalog!$C$3:$C$12,0))*Data[[#This Row],[Qty C]],"0")</f>
        <v>0</v>
      </c>
      <c r="X371" s="21">
        <f>Data[[#This Row],[Qty A]]+Data[[#This Row],[Qty B]]+Data[[#This Row],[Qty C]]</f>
        <v>2</v>
      </c>
      <c r="Y371" s="22">
        <f>Data[[#This Row],[Harga Barang A]]+Data[[#This Row],[Harga Barang B]]+Data[[#This Row],[Harga Barang C]]</f>
        <v>680000</v>
      </c>
      <c r="Z371" s="35">
        <f>IFERROR(Data[[#This Row],[Total Harga]]-(Data[[#This Row],[Total Harga]]*Data[[#This Row],[Diskon]]),Data[[#This Row],[Total Harga]])</f>
        <v>578000</v>
      </c>
      <c r="AA371" s="35">
        <f>(Data[[#This Row],[Profit A]]+Data[[#This Row],[Profit B]]+Data[[#This Row],[Profit C]])</f>
        <v>270000</v>
      </c>
      <c r="AB371" s="35">
        <f>IFERROR((Data[[#This Row],[Profit non Diskon]]-(Data[[#This Row],[Profit non Diskon]]*Data[[#This Row],[Diskon]])),Data[[#This Row],[Profit non Diskon]])</f>
        <v>229500</v>
      </c>
      <c r="AC371" s="23" t="s">
        <v>32</v>
      </c>
      <c r="AD371" s="37">
        <f>IFERROR(INDEX('Kode Diskon'!$D$3:$D$9,MATCH(Data[[#This Row],[Kode diskon]],'Kode Diskon'!$C$3:$C$9,0)),"-")</f>
        <v>0.15</v>
      </c>
      <c r="AE371" s="23" t="s">
        <v>9</v>
      </c>
      <c r="AF371" s="23" t="s">
        <v>12</v>
      </c>
      <c r="AG371" s="23" t="s">
        <v>80</v>
      </c>
      <c r="AH371" s="24">
        <v>45046</v>
      </c>
      <c r="AI371" s="23" t="str">
        <f>TEXT(Data[[#This Row],[Tanggal terjual]],"dddd")</f>
        <v>Sunday</v>
      </c>
      <c r="AJ371" s="21" t="str">
        <f>TEXT(Data[[#This Row],[Tanggal terjual]],"wwww")</f>
        <v>wwww</v>
      </c>
    </row>
    <row r="372" spans="1:36" x14ac:dyDescent="0.2">
      <c r="A372" s="20">
        <v>371</v>
      </c>
      <c r="B372" s="21" t="str">
        <f>_xlfn.CONCAT("ORD-",INDEX(Helper!$B$2:$B$5,MATCH(Data[[#This Row],[Marketplace]],Helper!$A$2:$A$5,0)),TEXT(Data[[#This Row],[No]],"0000"),"-",TEXT(Data[[#This Row],[Tanggal terjual]],"dd/mm/yy"))</f>
        <v>ORD-BB0371-09/04/23</v>
      </c>
      <c r="C372" t="s">
        <v>58</v>
      </c>
      <c r="D372" t="str">
        <f>IFERROR(INDEX(Katalog!$A$3:$A$12,MATCH(Data[[#This Row],[ItemID A]],Katalog!$C$3:$C$12,0)),"-")</f>
        <v>Pakaian Wanita</v>
      </c>
      <c r="E372" t="str">
        <f>IFERROR(INDEX(Katalog!$B$3:$B$12,MATCH(Data[[#This Row],[ItemID A]],Katalog!$C$3:$C$12,0)),"-")</f>
        <v>Dress</v>
      </c>
      <c r="F372">
        <v>3</v>
      </c>
      <c r="G372">
        <v>3</v>
      </c>
      <c r="H372" s="36">
        <f>IFERROR(INDEX(Katalog!$D$3:$D$12,MATCH(Data[[#This Row],[ItemID A]],Katalog!$C$3:$C$12,0))*Data[[#This Row],[Qty A]],"0")</f>
        <v>900000</v>
      </c>
      <c r="I372" s="36">
        <f>IFERROR(INDEX(Katalog!$F$3:$F$12,MATCH(Data[[#This Row],[ItemID A]],Katalog!$C$3:$C$12,0))*Data[[#This Row],[Qty A]],0)</f>
        <v>300000</v>
      </c>
      <c r="J372" t="s">
        <v>62</v>
      </c>
      <c r="K372" t="str">
        <f>IFERROR(INDEX(Katalog!$A$3:$A$12,MATCH(Data[[#This Row],[ItemID B]],Katalog!$C$3:$C$12,0)),"-")</f>
        <v>Pakaian Pria</v>
      </c>
      <c r="L372" t="str">
        <f>IFERROR(INDEX(Katalog!$B$3:$B$12,MATCH(Data[[#This Row],[ItemID B]],Katalog!$C$3:$C$12,0)),"-")</f>
        <v>Celana Pendek</v>
      </c>
      <c r="M372">
        <v>2</v>
      </c>
      <c r="N372">
        <v>3</v>
      </c>
      <c r="O372" s="36">
        <f>IFERROR(INDEX(Katalog!$D$3:$D$12,MATCH(Data[[#This Row],[ItemID B]],Katalog!$C$3:$C$12,0))*Data[[#This Row],[Qty B]],"0")</f>
        <v>360000</v>
      </c>
      <c r="P372" s="36">
        <f>IFERROR(INDEX(Katalog!$F$3:$F$12,MATCH(Data[[#This Row],[ItemID B]],Katalog!$C$3:$C$12,0))*Data[[#This Row],[Qty B]],"0")</f>
        <v>140000</v>
      </c>
      <c r="Q372" t="s">
        <v>67</v>
      </c>
      <c r="R372" t="str">
        <f>IFERROR(INDEX(Katalog!$A$3:$A$12,MATCH(Data[[#This Row],[ItemID C]],Katalog!$C$3:$C$12,0)),"-")</f>
        <v>Sepatu Wanita</v>
      </c>
      <c r="S372" t="str">
        <f>IFERROR(INDEX(Katalog!$B$3:$B$12,MATCH(Data[[#This Row],[ItemID C]],Katalog!$C$3:$C$12,0)),"-")</f>
        <v>Flat Shoes</v>
      </c>
      <c r="T372">
        <v>1</v>
      </c>
      <c r="U372">
        <v>2</v>
      </c>
      <c r="V372" s="36">
        <f>IFERROR(INDEX(Katalog!$D$3:$D$12,MATCH(Data[[#This Row],[ItemID C]],Katalog!$C$3:$C$12,0))*Data[[#This Row],[Qty C]],"0")</f>
        <v>250000</v>
      </c>
      <c r="W372" s="36">
        <f>IFERROR(INDEX(Katalog!$F$3:$F$12,MATCH(Data[[#This Row],[ItemID C]],Katalog!$C$3:$C$12,0))*Data[[#This Row],[Qty C]],"0")</f>
        <v>100000</v>
      </c>
      <c r="X372" s="21">
        <f>Data[[#This Row],[Qty A]]+Data[[#This Row],[Qty B]]+Data[[#This Row],[Qty C]]</f>
        <v>6</v>
      </c>
      <c r="Y372" s="22">
        <f>Data[[#This Row],[Harga Barang A]]+Data[[#This Row],[Harga Barang B]]+Data[[#This Row],[Harga Barang C]]</f>
        <v>1510000</v>
      </c>
      <c r="Z372" s="35">
        <f>IFERROR(Data[[#This Row],[Total Harga]]-(Data[[#This Row],[Total Harga]]*Data[[#This Row],[Diskon]]),Data[[#This Row],[Total Harga]])</f>
        <v>1510000</v>
      </c>
      <c r="AA372" s="35">
        <f>(Data[[#This Row],[Profit A]]+Data[[#This Row],[Profit B]]+Data[[#This Row],[Profit C]])</f>
        <v>540000</v>
      </c>
      <c r="AB372" s="35">
        <f>IFERROR((Data[[#This Row],[Profit non Diskon]]-(Data[[#This Row],[Profit non Diskon]]*Data[[#This Row],[Diskon]])),Data[[#This Row],[Profit non Diskon]])</f>
        <v>540000</v>
      </c>
      <c r="AC372" s="23" t="s">
        <v>11</v>
      </c>
      <c r="AD372" s="37" t="str">
        <f>IFERROR(INDEX('Kode Diskon'!$D$3:$D$9,MATCH(Data[[#This Row],[Kode diskon]],'Kode Diskon'!$C$3:$C$9,0)),"-")</f>
        <v>-</v>
      </c>
      <c r="AE372" s="23" t="s">
        <v>11</v>
      </c>
      <c r="AF372" s="23" t="s">
        <v>14</v>
      </c>
      <c r="AG372" s="23" t="s">
        <v>75</v>
      </c>
      <c r="AH372" s="24">
        <v>45025</v>
      </c>
      <c r="AI372" s="23" t="str">
        <f>TEXT(Data[[#This Row],[Tanggal terjual]],"dddd")</f>
        <v>Sunday</v>
      </c>
      <c r="AJ372" s="21" t="str">
        <f>TEXT(Data[[#This Row],[Tanggal terjual]],"wwww")</f>
        <v>wwww</v>
      </c>
    </row>
    <row r="373" spans="1:36" x14ac:dyDescent="0.2">
      <c r="A373" s="20">
        <v>372</v>
      </c>
      <c r="B373" s="21" t="str">
        <f>_xlfn.CONCAT("ORD-",INDEX(Helper!$B$2:$B$5,MATCH(Data[[#This Row],[Marketplace]],Helper!$A$2:$A$5,0)),TEXT(Data[[#This Row],[No]],"0000"),"-",TEXT(Data[[#This Row],[Tanggal terjual]],"dd/mm/yy"))</f>
        <v>ORD-BB0372-02/04/23</v>
      </c>
      <c r="C373" t="s">
        <v>66</v>
      </c>
      <c r="D373" t="str">
        <f>IFERROR(INDEX(Katalog!$A$3:$A$12,MATCH(Data[[#This Row],[ItemID A]],Katalog!$C$3:$C$12,0)),"-")</f>
        <v>Sepatu Pria</v>
      </c>
      <c r="E373" t="str">
        <f>IFERROR(INDEX(Katalog!$B$3:$B$12,MATCH(Data[[#This Row],[ItemID A]],Katalog!$C$3:$C$12,0)),"-")</f>
        <v>Sandal Slip On</v>
      </c>
      <c r="F373">
        <v>2</v>
      </c>
      <c r="G373">
        <v>3</v>
      </c>
      <c r="H373" s="36">
        <f>IFERROR(INDEX(Katalog!$D$3:$D$12,MATCH(Data[[#This Row],[ItemID A]],Katalog!$C$3:$C$12,0))*Data[[#This Row],[Qty A]],"0")</f>
        <v>300000</v>
      </c>
      <c r="I373" s="36">
        <f>IFERROR(INDEX(Katalog!$F$3:$F$12,MATCH(Data[[#This Row],[ItemID A]],Katalog!$C$3:$C$12,0))*Data[[#This Row],[Qty A]],0)</f>
        <v>120000</v>
      </c>
      <c r="J373" t="s">
        <v>59</v>
      </c>
      <c r="K373" t="str">
        <f>IFERROR(INDEX(Katalog!$A$3:$A$12,MATCH(Data[[#This Row],[ItemID B]],Katalog!$C$3:$C$12,0)),"-")</f>
        <v>Pakaian Wanita</v>
      </c>
      <c r="L373" t="str">
        <f>IFERROR(INDEX(Katalog!$B$3:$B$12,MATCH(Data[[#This Row],[ItemID B]],Katalog!$C$3:$C$12,0)),"-")</f>
        <v>Blouse</v>
      </c>
      <c r="M373">
        <v>1</v>
      </c>
      <c r="N373">
        <v>4</v>
      </c>
      <c r="O373" s="36">
        <f>IFERROR(INDEX(Katalog!$D$3:$D$12,MATCH(Data[[#This Row],[ItemID B]],Katalog!$C$3:$C$12,0))*Data[[#This Row],[Qty B]],"0")</f>
        <v>150000</v>
      </c>
      <c r="P373" s="36">
        <f>IFERROR(INDEX(Katalog!$F$3:$F$12,MATCH(Data[[#This Row],[ItemID B]],Katalog!$C$3:$C$12,0))*Data[[#This Row],[Qty B]],"0")</f>
        <v>50000</v>
      </c>
      <c r="Q373" t="s">
        <v>58</v>
      </c>
      <c r="R373" t="str">
        <f>IFERROR(INDEX(Katalog!$A$3:$A$12,MATCH(Data[[#This Row],[ItemID C]],Katalog!$C$3:$C$12,0)),"-")</f>
        <v>Pakaian Wanita</v>
      </c>
      <c r="S373" t="str">
        <f>IFERROR(INDEX(Katalog!$B$3:$B$12,MATCH(Data[[#This Row],[ItemID C]],Katalog!$C$3:$C$12,0)),"-")</f>
        <v>Dress</v>
      </c>
      <c r="T373">
        <v>1</v>
      </c>
      <c r="U373">
        <v>3</v>
      </c>
      <c r="V373" s="36">
        <f>IFERROR(INDEX(Katalog!$D$3:$D$12,MATCH(Data[[#This Row],[ItemID C]],Katalog!$C$3:$C$12,0))*Data[[#This Row],[Qty C]],"0")</f>
        <v>300000</v>
      </c>
      <c r="W373" s="36">
        <f>IFERROR(INDEX(Katalog!$F$3:$F$12,MATCH(Data[[#This Row],[ItemID C]],Katalog!$C$3:$C$12,0))*Data[[#This Row],[Qty C]],"0")</f>
        <v>100000</v>
      </c>
      <c r="X373" s="21">
        <f>Data[[#This Row],[Qty A]]+Data[[#This Row],[Qty B]]+Data[[#This Row],[Qty C]]</f>
        <v>4</v>
      </c>
      <c r="Y373" s="22">
        <f>Data[[#This Row],[Harga Barang A]]+Data[[#This Row],[Harga Barang B]]+Data[[#This Row],[Harga Barang C]]</f>
        <v>750000</v>
      </c>
      <c r="Z373" s="35">
        <f>IFERROR(Data[[#This Row],[Total Harga]]-(Data[[#This Row],[Total Harga]]*Data[[#This Row],[Diskon]]),Data[[#This Row],[Total Harga]])</f>
        <v>637500</v>
      </c>
      <c r="AA373" s="35">
        <f>(Data[[#This Row],[Profit A]]+Data[[#This Row],[Profit B]]+Data[[#This Row],[Profit C]])</f>
        <v>270000</v>
      </c>
      <c r="AB373" s="35">
        <f>IFERROR((Data[[#This Row],[Profit non Diskon]]-(Data[[#This Row],[Profit non Diskon]]*Data[[#This Row],[Diskon]])),Data[[#This Row],[Profit non Diskon]])</f>
        <v>229500</v>
      </c>
      <c r="AC373" s="23" t="s">
        <v>28</v>
      </c>
      <c r="AD373" s="37">
        <f>IFERROR(INDEX('Kode Diskon'!$D$3:$D$9,MATCH(Data[[#This Row],[Kode diskon]],'Kode Diskon'!$C$3:$C$9,0)),"-")</f>
        <v>0.15</v>
      </c>
      <c r="AE373" s="23" t="s">
        <v>29</v>
      </c>
      <c r="AF373" s="23" t="s">
        <v>14</v>
      </c>
      <c r="AG373" s="23" t="s">
        <v>76</v>
      </c>
      <c r="AH373" s="24">
        <v>45018</v>
      </c>
      <c r="AI373" s="23" t="str">
        <f>TEXT(Data[[#This Row],[Tanggal terjual]],"dddd")</f>
        <v>Sunday</v>
      </c>
      <c r="AJ373" s="21" t="str">
        <f>TEXT(Data[[#This Row],[Tanggal terjual]],"wwww")</f>
        <v>wwww</v>
      </c>
    </row>
    <row r="374" spans="1:36" x14ac:dyDescent="0.2">
      <c r="A374" s="20">
        <v>373</v>
      </c>
      <c r="B374" s="21" t="str">
        <f>_xlfn.CONCAT("ORD-",INDEX(Helper!$B$2:$B$5,MATCH(Data[[#This Row],[Marketplace]],Helper!$A$2:$A$5,0)),TEXT(Data[[#This Row],[No]],"0000"),"-",TEXT(Data[[#This Row],[Tanggal terjual]],"dd/mm/yy"))</f>
        <v>ORD-TK0373-07/04/23</v>
      </c>
      <c r="C374" t="s">
        <v>59</v>
      </c>
      <c r="D374" t="str">
        <f>IFERROR(INDEX(Katalog!$A$3:$A$12,MATCH(Data[[#This Row],[ItemID A]],Katalog!$C$3:$C$12,0)),"-")</f>
        <v>Pakaian Wanita</v>
      </c>
      <c r="E374" t="str">
        <f>IFERROR(INDEX(Katalog!$B$3:$B$12,MATCH(Data[[#This Row],[ItemID A]],Katalog!$C$3:$C$12,0)),"-")</f>
        <v>Blouse</v>
      </c>
      <c r="F374">
        <v>1</v>
      </c>
      <c r="G374">
        <v>4</v>
      </c>
      <c r="H374" s="36">
        <f>IFERROR(INDEX(Katalog!$D$3:$D$12,MATCH(Data[[#This Row],[ItemID A]],Katalog!$C$3:$C$12,0))*Data[[#This Row],[Qty A]],"0")</f>
        <v>150000</v>
      </c>
      <c r="I374" s="36">
        <f>IFERROR(INDEX(Katalog!$F$3:$F$12,MATCH(Data[[#This Row],[ItemID A]],Katalog!$C$3:$C$12,0))*Data[[#This Row],[Qty A]],0)</f>
        <v>50000</v>
      </c>
      <c r="J374" t="s">
        <v>64</v>
      </c>
      <c r="K374" t="str">
        <f>IFERROR(INDEX(Katalog!$A$3:$A$12,MATCH(Data[[#This Row],[ItemID B]],Katalog!$C$3:$C$12,0)),"-")</f>
        <v>Pakaian Unisex</v>
      </c>
      <c r="L374" t="str">
        <f>IFERROR(INDEX(Katalog!$B$3:$B$12,MATCH(Data[[#This Row],[ItemID B]],Katalog!$C$3:$C$12,0)),"-")</f>
        <v>Jaket Hoodie</v>
      </c>
      <c r="M374">
        <v>2</v>
      </c>
      <c r="N374">
        <v>3</v>
      </c>
      <c r="O374" s="36">
        <f>IFERROR(INDEX(Katalog!$D$3:$D$12,MATCH(Data[[#This Row],[ItemID B]],Katalog!$C$3:$C$12,0))*Data[[#This Row],[Qty B]],"0")</f>
        <v>700000</v>
      </c>
      <c r="P374" s="36">
        <f>IFERROR(INDEX(Katalog!$F$3:$F$12,MATCH(Data[[#This Row],[ItemID B]],Katalog!$C$3:$C$12,0))*Data[[#This Row],[Qty B]],"0")</f>
        <v>260000</v>
      </c>
      <c r="R374" t="str">
        <f>IFERROR(INDEX(Katalog!$A$3:$A$12,MATCH(Data[[#This Row],[ItemID C]],Katalog!$C$3:$C$12,0)),"-")</f>
        <v>-</v>
      </c>
      <c r="S374" t="str">
        <f>IFERROR(INDEX(Katalog!$B$3:$B$12,MATCH(Data[[#This Row],[ItemID C]],Katalog!$C$3:$C$12,0)),"-")</f>
        <v>-</v>
      </c>
      <c r="V374" s="36" t="str">
        <f>IFERROR(INDEX(Katalog!$D$3:$D$12,MATCH(Data[[#This Row],[ItemID C]],Katalog!$C$3:$C$12,0))*Data[[#This Row],[Qty C]],"0")</f>
        <v>0</v>
      </c>
      <c r="W374" s="36" t="str">
        <f>IFERROR(INDEX(Katalog!$F$3:$F$12,MATCH(Data[[#This Row],[ItemID C]],Katalog!$C$3:$C$12,0))*Data[[#This Row],[Qty C]],"0")</f>
        <v>0</v>
      </c>
      <c r="X374" s="21">
        <f>Data[[#This Row],[Qty A]]+Data[[#This Row],[Qty B]]+Data[[#This Row],[Qty C]]</f>
        <v>3</v>
      </c>
      <c r="Y374" s="22">
        <f>Data[[#This Row],[Harga Barang A]]+Data[[#This Row],[Harga Barang B]]+Data[[#This Row],[Harga Barang C]]</f>
        <v>850000</v>
      </c>
      <c r="Z374" s="35">
        <f>IFERROR(Data[[#This Row],[Total Harga]]-(Data[[#This Row],[Total Harga]]*Data[[#This Row],[Diskon]]),Data[[#This Row],[Total Harga]])</f>
        <v>850000</v>
      </c>
      <c r="AA374" s="35">
        <f>(Data[[#This Row],[Profit A]]+Data[[#This Row],[Profit B]]+Data[[#This Row],[Profit C]])</f>
        <v>310000</v>
      </c>
      <c r="AB374" s="35">
        <f>IFERROR((Data[[#This Row],[Profit non Diskon]]-(Data[[#This Row],[Profit non Diskon]]*Data[[#This Row],[Diskon]])),Data[[#This Row],[Profit non Diskon]])</f>
        <v>310000</v>
      </c>
      <c r="AC374" s="23" t="s">
        <v>11</v>
      </c>
      <c r="AD374" s="37" t="str">
        <f>IFERROR(INDEX('Kode Diskon'!$D$3:$D$9,MATCH(Data[[#This Row],[Kode diskon]],'Kode Diskon'!$C$3:$C$9,0)),"-")</f>
        <v>-</v>
      </c>
      <c r="AE374" s="23" t="s">
        <v>11</v>
      </c>
      <c r="AF374" s="23" t="s">
        <v>10</v>
      </c>
      <c r="AG374" s="23" t="s">
        <v>80</v>
      </c>
      <c r="AH374" s="24">
        <v>45023</v>
      </c>
      <c r="AI374" s="23" t="str">
        <f>TEXT(Data[[#This Row],[Tanggal terjual]],"dddd")</f>
        <v>Friday</v>
      </c>
      <c r="AJ374" s="21" t="str">
        <f>TEXT(Data[[#This Row],[Tanggal terjual]],"wwww")</f>
        <v>wwww</v>
      </c>
    </row>
    <row r="375" spans="1:36" x14ac:dyDescent="0.2">
      <c r="A375" s="20">
        <v>374</v>
      </c>
      <c r="B375" s="21" t="str">
        <f>_xlfn.CONCAT("ORD-",INDEX(Helper!$B$2:$B$5,MATCH(Data[[#This Row],[Marketplace]],Helper!$A$2:$A$5,0)),TEXT(Data[[#This Row],[No]],"0000"),"-",TEXT(Data[[#This Row],[Tanggal terjual]],"dd/mm/yy"))</f>
        <v>ORD-TK0374-28/04/23</v>
      </c>
      <c r="C375" t="s">
        <v>64</v>
      </c>
      <c r="D375" t="str">
        <f>IFERROR(INDEX(Katalog!$A$3:$A$12,MATCH(Data[[#This Row],[ItemID A]],Katalog!$C$3:$C$12,0)),"-")</f>
        <v>Pakaian Unisex</v>
      </c>
      <c r="E375" t="str">
        <f>IFERROR(INDEX(Katalog!$B$3:$B$12,MATCH(Data[[#This Row],[ItemID A]],Katalog!$C$3:$C$12,0)),"-")</f>
        <v>Jaket Hoodie</v>
      </c>
      <c r="F375">
        <v>5</v>
      </c>
      <c r="G375">
        <v>2</v>
      </c>
      <c r="H375" s="36">
        <f>IFERROR(INDEX(Katalog!$D$3:$D$12,MATCH(Data[[#This Row],[ItemID A]],Katalog!$C$3:$C$12,0))*Data[[#This Row],[Qty A]],"0")</f>
        <v>1750000</v>
      </c>
      <c r="I375" s="36">
        <f>IFERROR(INDEX(Katalog!$F$3:$F$12,MATCH(Data[[#This Row],[ItemID A]],Katalog!$C$3:$C$12,0))*Data[[#This Row],[Qty A]],0)</f>
        <v>650000</v>
      </c>
      <c r="K375" t="str">
        <f>IFERROR(INDEX(Katalog!$A$3:$A$12,MATCH(Data[[#This Row],[ItemID B]],Katalog!$C$3:$C$12,0)),"-")</f>
        <v>-</v>
      </c>
      <c r="L375" t="str">
        <f>IFERROR(INDEX(Katalog!$B$3:$B$12,MATCH(Data[[#This Row],[ItemID B]],Katalog!$C$3:$C$12,0)),"-")</f>
        <v>-</v>
      </c>
      <c r="O375" s="36" t="str">
        <f>IFERROR(INDEX(Katalog!$D$3:$D$12,MATCH(Data[[#This Row],[ItemID B]],Katalog!$C$3:$C$12,0))*Data[[#This Row],[Qty B]],"0")</f>
        <v>0</v>
      </c>
      <c r="P375" s="36" t="str">
        <f>IFERROR(INDEX(Katalog!$F$3:$F$12,MATCH(Data[[#This Row],[ItemID B]],Katalog!$C$3:$C$12,0))*Data[[#This Row],[Qty B]],"0")</f>
        <v>0</v>
      </c>
      <c r="R375" t="str">
        <f>IFERROR(INDEX(Katalog!$A$3:$A$12,MATCH(Data[[#This Row],[ItemID C]],Katalog!$C$3:$C$12,0)),"-")</f>
        <v>-</v>
      </c>
      <c r="S375" t="str">
        <f>IFERROR(INDEX(Katalog!$B$3:$B$12,MATCH(Data[[#This Row],[ItemID C]],Katalog!$C$3:$C$12,0)),"-")</f>
        <v>-</v>
      </c>
      <c r="V375" s="36" t="str">
        <f>IFERROR(INDEX(Katalog!$D$3:$D$12,MATCH(Data[[#This Row],[ItemID C]],Katalog!$C$3:$C$12,0))*Data[[#This Row],[Qty C]],"0")</f>
        <v>0</v>
      </c>
      <c r="W375" s="36" t="str">
        <f>IFERROR(INDEX(Katalog!$F$3:$F$12,MATCH(Data[[#This Row],[ItemID C]],Katalog!$C$3:$C$12,0))*Data[[#This Row],[Qty C]],"0")</f>
        <v>0</v>
      </c>
      <c r="X375" s="21">
        <f>Data[[#This Row],[Qty A]]+Data[[#This Row],[Qty B]]+Data[[#This Row],[Qty C]]</f>
        <v>5</v>
      </c>
      <c r="Y375" s="22">
        <f>Data[[#This Row],[Harga Barang A]]+Data[[#This Row],[Harga Barang B]]+Data[[#This Row],[Harga Barang C]]</f>
        <v>1750000</v>
      </c>
      <c r="Z375" s="35">
        <f>IFERROR(Data[[#This Row],[Total Harga]]-(Data[[#This Row],[Total Harga]]*Data[[#This Row],[Diskon]]),Data[[#This Row],[Total Harga]])</f>
        <v>1575000</v>
      </c>
      <c r="AA375" s="35">
        <f>(Data[[#This Row],[Profit A]]+Data[[#This Row],[Profit B]]+Data[[#This Row],[Profit C]])</f>
        <v>650000</v>
      </c>
      <c r="AB375" s="35">
        <f>IFERROR((Data[[#This Row],[Profit non Diskon]]-(Data[[#This Row],[Profit non Diskon]]*Data[[#This Row],[Diskon]])),Data[[#This Row],[Profit non Diskon]])</f>
        <v>585000</v>
      </c>
      <c r="AC375" s="23" t="s">
        <v>31</v>
      </c>
      <c r="AD375" s="37">
        <f>IFERROR(INDEX('Kode Diskon'!$D$3:$D$9,MATCH(Data[[#This Row],[Kode diskon]],'Kode Diskon'!$C$3:$C$9,0)),"-")</f>
        <v>0.1</v>
      </c>
      <c r="AE375" s="23" t="s">
        <v>9</v>
      </c>
      <c r="AF375" s="23" t="s">
        <v>10</v>
      </c>
      <c r="AG375" s="23" t="s">
        <v>75</v>
      </c>
      <c r="AH375" s="24">
        <v>45044</v>
      </c>
      <c r="AI375" s="23" t="str">
        <f>TEXT(Data[[#This Row],[Tanggal terjual]],"dddd")</f>
        <v>Friday</v>
      </c>
      <c r="AJ375" s="21" t="str">
        <f>TEXT(Data[[#This Row],[Tanggal terjual]],"wwww")</f>
        <v>wwww</v>
      </c>
    </row>
    <row r="376" spans="1:36" x14ac:dyDescent="0.2">
      <c r="A376" s="20">
        <v>375</v>
      </c>
      <c r="B376" s="21" t="str">
        <f>_xlfn.CONCAT("ORD-",INDEX(Helper!$B$2:$B$5,MATCH(Data[[#This Row],[Marketplace]],Helper!$A$2:$A$5,0)),TEXT(Data[[#This Row],[No]],"0000"),"-",TEXT(Data[[#This Row],[Tanggal terjual]],"dd/mm/yy"))</f>
        <v>ORD-BB0375-01/04/23</v>
      </c>
      <c r="C376" t="s">
        <v>61</v>
      </c>
      <c r="D376" t="str">
        <f>IFERROR(INDEX(Katalog!$A$3:$A$12,MATCH(Data[[#This Row],[ItemID A]],Katalog!$C$3:$C$12,0)),"-")</f>
        <v>Pakaian Pria</v>
      </c>
      <c r="E376" t="str">
        <f>IFERROR(INDEX(Katalog!$B$3:$B$12,MATCH(Data[[#This Row],[ItemID A]],Katalog!$C$3:$C$12,0)),"-")</f>
        <v>Kaos Polo</v>
      </c>
      <c r="F376">
        <v>4</v>
      </c>
      <c r="G376">
        <v>3</v>
      </c>
      <c r="H376" s="36">
        <f>IFERROR(INDEX(Katalog!$D$3:$D$12,MATCH(Data[[#This Row],[ItemID A]],Katalog!$C$3:$C$12,0))*Data[[#This Row],[Qty A]],"0")</f>
        <v>800000</v>
      </c>
      <c r="I376" s="36">
        <f>IFERROR(INDEX(Katalog!$F$3:$F$12,MATCH(Data[[#This Row],[ItemID A]],Katalog!$C$3:$C$12,0))*Data[[#This Row],[Qty A]],0)</f>
        <v>320000</v>
      </c>
      <c r="K376" t="str">
        <f>IFERROR(INDEX(Katalog!$A$3:$A$12,MATCH(Data[[#This Row],[ItemID B]],Katalog!$C$3:$C$12,0)),"-")</f>
        <v>-</v>
      </c>
      <c r="L376" t="str">
        <f>IFERROR(INDEX(Katalog!$B$3:$B$12,MATCH(Data[[#This Row],[ItemID B]],Katalog!$C$3:$C$12,0)),"-")</f>
        <v>-</v>
      </c>
      <c r="O376" s="36" t="str">
        <f>IFERROR(INDEX(Katalog!$D$3:$D$12,MATCH(Data[[#This Row],[ItemID B]],Katalog!$C$3:$C$12,0))*Data[[#This Row],[Qty B]],"0")</f>
        <v>0</v>
      </c>
      <c r="P376" s="36" t="str">
        <f>IFERROR(INDEX(Katalog!$F$3:$F$12,MATCH(Data[[#This Row],[ItemID B]],Katalog!$C$3:$C$12,0))*Data[[#This Row],[Qty B]],"0")</f>
        <v>0</v>
      </c>
      <c r="R376" t="str">
        <f>IFERROR(INDEX(Katalog!$A$3:$A$12,MATCH(Data[[#This Row],[ItemID C]],Katalog!$C$3:$C$12,0)),"-")</f>
        <v>-</v>
      </c>
      <c r="S376" t="str">
        <f>IFERROR(INDEX(Katalog!$B$3:$B$12,MATCH(Data[[#This Row],[ItemID C]],Katalog!$C$3:$C$12,0)),"-")</f>
        <v>-</v>
      </c>
      <c r="V376" s="36" t="str">
        <f>IFERROR(INDEX(Katalog!$D$3:$D$12,MATCH(Data[[#This Row],[ItemID C]],Katalog!$C$3:$C$12,0))*Data[[#This Row],[Qty C]],"0")</f>
        <v>0</v>
      </c>
      <c r="W376" s="36" t="str">
        <f>IFERROR(INDEX(Katalog!$F$3:$F$12,MATCH(Data[[#This Row],[ItemID C]],Katalog!$C$3:$C$12,0))*Data[[#This Row],[Qty C]],"0")</f>
        <v>0</v>
      </c>
      <c r="X376" s="21">
        <f>Data[[#This Row],[Qty A]]+Data[[#This Row],[Qty B]]+Data[[#This Row],[Qty C]]</f>
        <v>4</v>
      </c>
      <c r="Y376" s="22">
        <f>Data[[#This Row],[Harga Barang A]]+Data[[#This Row],[Harga Barang B]]+Data[[#This Row],[Harga Barang C]]</f>
        <v>800000</v>
      </c>
      <c r="Z376" s="35">
        <f>IFERROR(Data[[#This Row],[Total Harga]]-(Data[[#This Row],[Total Harga]]*Data[[#This Row],[Diskon]]),Data[[#This Row],[Total Harga]])</f>
        <v>680000</v>
      </c>
      <c r="AA376" s="35">
        <f>(Data[[#This Row],[Profit A]]+Data[[#This Row],[Profit B]]+Data[[#This Row],[Profit C]])</f>
        <v>320000</v>
      </c>
      <c r="AB376" s="35">
        <f>IFERROR((Data[[#This Row],[Profit non Diskon]]-(Data[[#This Row],[Profit non Diskon]]*Data[[#This Row],[Diskon]])),Data[[#This Row],[Profit non Diskon]])</f>
        <v>272000</v>
      </c>
      <c r="AC376" s="23" t="s">
        <v>28</v>
      </c>
      <c r="AD376" s="37">
        <f>IFERROR(INDEX('Kode Diskon'!$D$3:$D$9,MATCH(Data[[#This Row],[Kode diskon]],'Kode Diskon'!$C$3:$C$9,0)),"-")</f>
        <v>0.15</v>
      </c>
      <c r="AE376" s="23" t="s">
        <v>29</v>
      </c>
      <c r="AF376" s="23" t="s">
        <v>14</v>
      </c>
      <c r="AG376" s="23" t="s">
        <v>78</v>
      </c>
      <c r="AH376" s="24">
        <v>45017</v>
      </c>
      <c r="AI376" s="23" t="str">
        <f>TEXT(Data[[#This Row],[Tanggal terjual]],"dddd")</f>
        <v>Saturday</v>
      </c>
      <c r="AJ376" s="21" t="str">
        <f>TEXT(Data[[#This Row],[Tanggal terjual]],"wwww")</f>
        <v>wwww</v>
      </c>
    </row>
    <row r="377" spans="1:36" x14ac:dyDescent="0.2">
      <c r="A377" s="20">
        <v>376</v>
      </c>
      <c r="B377" s="21" t="str">
        <f>_xlfn.CONCAT("ORD-",INDEX(Helper!$B$2:$B$5,MATCH(Data[[#This Row],[Marketplace]],Helper!$A$2:$A$5,0)),TEXT(Data[[#This Row],[No]],"0000"),"-",TEXT(Data[[#This Row],[Tanggal terjual]],"dd/mm/yy"))</f>
        <v>ORD-BL0376-20/04/23</v>
      </c>
      <c r="C377" t="s">
        <v>67</v>
      </c>
      <c r="D377" t="str">
        <f>IFERROR(INDEX(Katalog!$A$3:$A$12,MATCH(Data[[#This Row],[ItemID A]],Katalog!$C$3:$C$12,0)),"-")</f>
        <v>Sepatu Wanita</v>
      </c>
      <c r="E377" t="str">
        <f>IFERROR(INDEX(Katalog!$B$3:$B$12,MATCH(Data[[#This Row],[ItemID A]],Katalog!$C$3:$C$12,0)),"-")</f>
        <v>Flat Shoes</v>
      </c>
      <c r="F377">
        <v>1</v>
      </c>
      <c r="G377">
        <v>1</v>
      </c>
      <c r="H377" s="36">
        <f>IFERROR(INDEX(Katalog!$D$3:$D$12,MATCH(Data[[#This Row],[ItemID A]],Katalog!$C$3:$C$12,0))*Data[[#This Row],[Qty A]],"0")</f>
        <v>250000</v>
      </c>
      <c r="I377" s="36">
        <f>IFERROR(INDEX(Katalog!$F$3:$F$12,MATCH(Data[[#This Row],[ItemID A]],Katalog!$C$3:$C$12,0))*Data[[#This Row],[Qty A]],0)</f>
        <v>100000</v>
      </c>
      <c r="K377" t="str">
        <f>IFERROR(INDEX(Katalog!$A$3:$A$12,MATCH(Data[[#This Row],[ItemID B]],Katalog!$C$3:$C$12,0)),"-")</f>
        <v>-</v>
      </c>
      <c r="L377" t="str">
        <f>IFERROR(INDEX(Katalog!$B$3:$B$12,MATCH(Data[[#This Row],[ItemID B]],Katalog!$C$3:$C$12,0)),"-")</f>
        <v>-</v>
      </c>
      <c r="O377" s="36" t="str">
        <f>IFERROR(INDEX(Katalog!$D$3:$D$12,MATCH(Data[[#This Row],[ItemID B]],Katalog!$C$3:$C$12,0))*Data[[#This Row],[Qty B]],"0")</f>
        <v>0</v>
      </c>
      <c r="P377" s="36" t="str">
        <f>IFERROR(INDEX(Katalog!$F$3:$F$12,MATCH(Data[[#This Row],[ItemID B]],Katalog!$C$3:$C$12,0))*Data[[#This Row],[Qty B]],"0")</f>
        <v>0</v>
      </c>
      <c r="R377" t="str">
        <f>IFERROR(INDEX(Katalog!$A$3:$A$12,MATCH(Data[[#This Row],[ItemID C]],Katalog!$C$3:$C$12,0)),"-")</f>
        <v>-</v>
      </c>
      <c r="S377" t="str">
        <f>IFERROR(INDEX(Katalog!$B$3:$B$12,MATCH(Data[[#This Row],[ItemID C]],Katalog!$C$3:$C$12,0)),"-")</f>
        <v>-</v>
      </c>
      <c r="V377" s="36" t="str">
        <f>IFERROR(INDEX(Katalog!$D$3:$D$12,MATCH(Data[[#This Row],[ItemID C]],Katalog!$C$3:$C$12,0))*Data[[#This Row],[Qty C]],"0")</f>
        <v>0</v>
      </c>
      <c r="W377" s="36" t="str">
        <f>IFERROR(INDEX(Katalog!$F$3:$F$12,MATCH(Data[[#This Row],[ItemID C]],Katalog!$C$3:$C$12,0))*Data[[#This Row],[Qty C]],"0")</f>
        <v>0</v>
      </c>
      <c r="X377" s="21">
        <f>Data[[#This Row],[Qty A]]+Data[[#This Row],[Qty B]]+Data[[#This Row],[Qty C]]</f>
        <v>1</v>
      </c>
      <c r="Y377" s="22">
        <f>Data[[#This Row],[Harga Barang A]]+Data[[#This Row],[Harga Barang B]]+Data[[#This Row],[Harga Barang C]]</f>
        <v>250000</v>
      </c>
      <c r="Z377" s="35">
        <f>IFERROR(Data[[#This Row],[Total Harga]]-(Data[[#This Row],[Total Harga]]*Data[[#This Row],[Diskon]]),Data[[#This Row],[Total Harga]])</f>
        <v>212500</v>
      </c>
      <c r="AA377" s="35">
        <f>(Data[[#This Row],[Profit A]]+Data[[#This Row],[Profit B]]+Data[[#This Row],[Profit C]])</f>
        <v>100000</v>
      </c>
      <c r="AB377" s="35">
        <f>IFERROR((Data[[#This Row],[Profit non Diskon]]-(Data[[#This Row],[Profit non Diskon]]*Data[[#This Row],[Diskon]])),Data[[#This Row],[Profit non Diskon]])</f>
        <v>85000</v>
      </c>
      <c r="AC377" s="23" t="s">
        <v>32</v>
      </c>
      <c r="AD377" s="37">
        <f>IFERROR(INDEX('Kode Diskon'!$D$3:$D$9,MATCH(Data[[#This Row],[Kode diskon]],'Kode Diskon'!$C$3:$C$9,0)),"-")</f>
        <v>0.15</v>
      </c>
      <c r="AE377" s="23" t="s">
        <v>9</v>
      </c>
      <c r="AF377" s="23" t="s">
        <v>12</v>
      </c>
      <c r="AG377" s="23" t="s">
        <v>80</v>
      </c>
      <c r="AH377" s="24">
        <v>45036</v>
      </c>
      <c r="AI377" s="23" t="str">
        <f>TEXT(Data[[#This Row],[Tanggal terjual]],"dddd")</f>
        <v>Thursday</v>
      </c>
      <c r="AJ377" s="21" t="str">
        <f>TEXT(Data[[#This Row],[Tanggal terjual]],"wwww")</f>
        <v>wwww</v>
      </c>
    </row>
    <row r="378" spans="1:36" x14ac:dyDescent="0.2">
      <c r="A378" s="20">
        <v>377</v>
      </c>
      <c r="B378" s="21" t="str">
        <f>_xlfn.CONCAT("ORD-",INDEX(Helper!$B$2:$B$5,MATCH(Data[[#This Row],[Marketplace]],Helper!$A$2:$A$5,0)),TEXT(Data[[#This Row],[No]],"0000"),"-",TEXT(Data[[#This Row],[Tanggal terjual]],"dd/mm/yy"))</f>
        <v>ORD-SP0377-26/04/23</v>
      </c>
      <c r="C378" t="s">
        <v>58</v>
      </c>
      <c r="D378" t="str">
        <f>IFERROR(INDEX(Katalog!$A$3:$A$12,MATCH(Data[[#This Row],[ItemID A]],Katalog!$C$3:$C$12,0)),"-")</f>
        <v>Pakaian Wanita</v>
      </c>
      <c r="E378" t="str">
        <f>IFERROR(INDEX(Katalog!$B$3:$B$12,MATCH(Data[[#This Row],[ItemID A]],Katalog!$C$3:$C$12,0)),"-")</f>
        <v>Dress</v>
      </c>
      <c r="F378">
        <v>2</v>
      </c>
      <c r="G378">
        <v>1</v>
      </c>
      <c r="H378" s="36">
        <f>IFERROR(INDEX(Katalog!$D$3:$D$12,MATCH(Data[[#This Row],[ItemID A]],Katalog!$C$3:$C$12,0))*Data[[#This Row],[Qty A]],"0")</f>
        <v>600000</v>
      </c>
      <c r="I378" s="36">
        <f>IFERROR(INDEX(Katalog!$F$3:$F$12,MATCH(Data[[#This Row],[ItemID A]],Katalog!$C$3:$C$12,0))*Data[[#This Row],[Qty A]],0)</f>
        <v>200000</v>
      </c>
      <c r="J378" t="s">
        <v>65</v>
      </c>
      <c r="K378" t="str">
        <f>IFERROR(INDEX(Katalog!$A$3:$A$12,MATCH(Data[[#This Row],[ItemID B]],Katalog!$C$3:$C$12,0)),"-")</f>
        <v>Sepatu Pria</v>
      </c>
      <c r="L378" t="str">
        <f>IFERROR(INDEX(Katalog!$B$3:$B$12,MATCH(Data[[#This Row],[ItemID B]],Katalog!$C$3:$C$12,0)),"-")</f>
        <v>Sneakers</v>
      </c>
      <c r="M378">
        <v>4</v>
      </c>
      <c r="N378">
        <v>3</v>
      </c>
      <c r="O378" s="36">
        <f>IFERROR(INDEX(Katalog!$D$3:$D$12,MATCH(Data[[#This Row],[ItemID B]],Katalog!$C$3:$C$12,0))*Data[[#This Row],[Qty B]],"0")</f>
        <v>2000000</v>
      </c>
      <c r="P378" s="36">
        <f>IFERROR(INDEX(Katalog!$F$3:$F$12,MATCH(Data[[#This Row],[ItemID B]],Katalog!$C$3:$C$12,0))*Data[[#This Row],[Qty B]],"0")</f>
        <v>800000</v>
      </c>
      <c r="R378" t="str">
        <f>IFERROR(INDEX(Katalog!$A$3:$A$12,MATCH(Data[[#This Row],[ItemID C]],Katalog!$C$3:$C$12,0)),"-")</f>
        <v>-</v>
      </c>
      <c r="S378" t="str">
        <f>IFERROR(INDEX(Katalog!$B$3:$B$12,MATCH(Data[[#This Row],[ItemID C]],Katalog!$C$3:$C$12,0)),"-")</f>
        <v>-</v>
      </c>
      <c r="V378" s="36" t="str">
        <f>IFERROR(INDEX(Katalog!$D$3:$D$12,MATCH(Data[[#This Row],[ItemID C]],Katalog!$C$3:$C$12,0))*Data[[#This Row],[Qty C]],"0")</f>
        <v>0</v>
      </c>
      <c r="W378" s="36" t="str">
        <f>IFERROR(INDEX(Katalog!$F$3:$F$12,MATCH(Data[[#This Row],[ItemID C]],Katalog!$C$3:$C$12,0))*Data[[#This Row],[Qty C]],"0")</f>
        <v>0</v>
      </c>
      <c r="X378" s="21">
        <f>Data[[#This Row],[Qty A]]+Data[[#This Row],[Qty B]]+Data[[#This Row],[Qty C]]</f>
        <v>6</v>
      </c>
      <c r="Y378" s="22">
        <f>Data[[#This Row],[Harga Barang A]]+Data[[#This Row],[Harga Barang B]]+Data[[#This Row],[Harga Barang C]]</f>
        <v>2600000</v>
      </c>
      <c r="Z378" s="35">
        <f>IFERROR(Data[[#This Row],[Total Harga]]-(Data[[#This Row],[Total Harga]]*Data[[#This Row],[Diskon]]),Data[[#This Row],[Total Harga]])</f>
        <v>2080000</v>
      </c>
      <c r="AA378" s="35">
        <f>(Data[[#This Row],[Profit A]]+Data[[#This Row],[Profit B]]+Data[[#This Row],[Profit C]])</f>
        <v>1000000</v>
      </c>
      <c r="AB378" s="35">
        <f>IFERROR((Data[[#This Row],[Profit non Diskon]]-(Data[[#This Row],[Profit non Diskon]]*Data[[#This Row],[Diskon]])),Data[[#This Row],[Profit non Diskon]])</f>
        <v>800000</v>
      </c>
      <c r="AC378" s="23" t="s">
        <v>8</v>
      </c>
      <c r="AD378" s="37">
        <f>IFERROR(INDEX('Kode Diskon'!$D$3:$D$9,MATCH(Data[[#This Row],[Kode diskon]],'Kode Diskon'!$C$3:$C$9,0)),"-")</f>
        <v>0.2</v>
      </c>
      <c r="AE378" s="23" t="s">
        <v>9</v>
      </c>
      <c r="AF378" s="23" t="s">
        <v>7</v>
      </c>
      <c r="AG378" s="23" t="s">
        <v>80</v>
      </c>
      <c r="AH378" s="24">
        <v>45042</v>
      </c>
      <c r="AI378" s="23" t="str">
        <f>TEXT(Data[[#This Row],[Tanggal terjual]],"dddd")</f>
        <v>Wednesday</v>
      </c>
      <c r="AJ378" s="21" t="str">
        <f>TEXT(Data[[#This Row],[Tanggal terjual]],"wwww")</f>
        <v>wwww</v>
      </c>
    </row>
    <row r="379" spans="1:36" x14ac:dyDescent="0.2">
      <c r="A379" s="20">
        <v>378</v>
      </c>
      <c r="B379" s="21" t="str">
        <f>_xlfn.CONCAT("ORD-",INDEX(Helper!$B$2:$B$5,MATCH(Data[[#This Row],[Marketplace]],Helper!$A$2:$A$5,0)),TEXT(Data[[#This Row],[No]],"0000"),"-",TEXT(Data[[#This Row],[Tanggal terjual]],"dd/mm/yy"))</f>
        <v>ORD-TK0378-25/04/23</v>
      </c>
      <c r="C379" t="s">
        <v>67</v>
      </c>
      <c r="D379" t="str">
        <f>IFERROR(INDEX(Katalog!$A$3:$A$12,MATCH(Data[[#This Row],[ItemID A]],Katalog!$C$3:$C$12,0)),"-")</f>
        <v>Sepatu Wanita</v>
      </c>
      <c r="E379" t="str">
        <f>IFERROR(INDEX(Katalog!$B$3:$B$12,MATCH(Data[[#This Row],[ItemID A]],Katalog!$C$3:$C$12,0)),"-")</f>
        <v>Flat Shoes</v>
      </c>
      <c r="F379">
        <v>3</v>
      </c>
      <c r="G379">
        <v>4</v>
      </c>
      <c r="H379" s="36">
        <f>IFERROR(INDEX(Katalog!$D$3:$D$12,MATCH(Data[[#This Row],[ItemID A]],Katalog!$C$3:$C$12,0))*Data[[#This Row],[Qty A]],"0")</f>
        <v>750000</v>
      </c>
      <c r="I379" s="36">
        <f>IFERROR(INDEX(Katalog!$F$3:$F$12,MATCH(Data[[#This Row],[ItemID A]],Katalog!$C$3:$C$12,0))*Data[[#This Row],[Qty A]],0)</f>
        <v>300000</v>
      </c>
      <c r="J379" t="s">
        <v>63</v>
      </c>
      <c r="K379" t="str">
        <f>IFERROR(INDEX(Katalog!$A$3:$A$12,MATCH(Data[[#This Row],[ItemID B]],Katalog!$C$3:$C$12,0)),"-")</f>
        <v>Pakaian Pria</v>
      </c>
      <c r="L379" t="str">
        <f>IFERROR(INDEX(Katalog!$B$3:$B$12,MATCH(Data[[#This Row],[ItemID B]],Katalog!$C$3:$C$12,0)),"-")</f>
        <v>Jaket Jeans</v>
      </c>
      <c r="M379">
        <v>2</v>
      </c>
      <c r="N379">
        <v>5</v>
      </c>
      <c r="O379" s="36">
        <f>IFERROR(INDEX(Katalog!$D$3:$D$12,MATCH(Data[[#This Row],[ItemID B]],Katalog!$C$3:$C$12,0))*Data[[#This Row],[Qty B]],"0")</f>
        <v>800000</v>
      </c>
      <c r="P379" s="36">
        <f>IFERROR(INDEX(Katalog!$F$3:$F$12,MATCH(Data[[#This Row],[ItemID B]],Katalog!$C$3:$C$12,0))*Data[[#This Row],[Qty B]],"0")</f>
        <v>300000</v>
      </c>
      <c r="R379" t="str">
        <f>IFERROR(INDEX(Katalog!$A$3:$A$12,MATCH(Data[[#This Row],[ItemID C]],Katalog!$C$3:$C$12,0)),"-")</f>
        <v>-</v>
      </c>
      <c r="S379" t="str">
        <f>IFERROR(INDEX(Katalog!$B$3:$B$12,MATCH(Data[[#This Row],[ItemID C]],Katalog!$C$3:$C$12,0)),"-")</f>
        <v>-</v>
      </c>
      <c r="V379" s="36" t="str">
        <f>IFERROR(INDEX(Katalog!$D$3:$D$12,MATCH(Data[[#This Row],[ItemID C]],Katalog!$C$3:$C$12,0))*Data[[#This Row],[Qty C]],"0")</f>
        <v>0</v>
      </c>
      <c r="W379" s="36" t="str">
        <f>IFERROR(INDEX(Katalog!$F$3:$F$12,MATCH(Data[[#This Row],[ItemID C]],Katalog!$C$3:$C$12,0))*Data[[#This Row],[Qty C]],"0")</f>
        <v>0</v>
      </c>
      <c r="X379" s="21">
        <f>Data[[#This Row],[Qty A]]+Data[[#This Row],[Qty B]]+Data[[#This Row],[Qty C]]</f>
        <v>5</v>
      </c>
      <c r="Y379" s="22">
        <f>Data[[#This Row],[Harga Barang A]]+Data[[#This Row],[Harga Barang B]]+Data[[#This Row],[Harga Barang C]]</f>
        <v>1550000</v>
      </c>
      <c r="Z379" s="35">
        <f>IFERROR(Data[[#This Row],[Total Harga]]-(Data[[#This Row],[Total Harga]]*Data[[#This Row],[Diskon]]),Data[[#This Row],[Total Harga]])</f>
        <v>1395000</v>
      </c>
      <c r="AA379" s="35">
        <f>(Data[[#This Row],[Profit A]]+Data[[#This Row],[Profit B]]+Data[[#This Row],[Profit C]])</f>
        <v>600000</v>
      </c>
      <c r="AB379" s="35">
        <f>IFERROR((Data[[#This Row],[Profit non Diskon]]-(Data[[#This Row],[Profit non Diskon]]*Data[[#This Row],[Diskon]])),Data[[#This Row],[Profit non Diskon]])</f>
        <v>540000</v>
      </c>
      <c r="AC379" s="23" t="s">
        <v>31</v>
      </c>
      <c r="AD379" s="37">
        <f>IFERROR(INDEX('Kode Diskon'!$D$3:$D$9,MATCH(Data[[#This Row],[Kode diskon]],'Kode Diskon'!$C$3:$C$9,0)),"-")</f>
        <v>0.1</v>
      </c>
      <c r="AE379" s="23" t="s">
        <v>9</v>
      </c>
      <c r="AF379" s="23" t="s">
        <v>10</v>
      </c>
      <c r="AG379" s="23" t="s">
        <v>79</v>
      </c>
      <c r="AH379" s="24">
        <v>45041</v>
      </c>
      <c r="AI379" s="23" t="str">
        <f>TEXT(Data[[#This Row],[Tanggal terjual]],"dddd")</f>
        <v>Tuesday</v>
      </c>
      <c r="AJ379" s="21" t="str">
        <f>TEXT(Data[[#This Row],[Tanggal terjual]],"wwww")</f>
        <v>wwww</v>
      </c>
    </row>
    <row r="380" spans="1:36" x14ac:dyDescent="0.2">
      <c r="A380" s="20">
        <v>379</v>
      </c>
      <c r="B380" s="21" t="str">
        <f>_xlfn.CONCAT("ORD-",INDEX(Helper!$B$2:$B$5,MATCH(Data[[#This Row],[Marketplace]],Helper!$A$2:$A$5,0)),TEXT(Data[[#This Row],[No]],"0000"),"-",TEXT(Data[[#This Row],[Tanggal terjual]],"dd/mm/yy"))</f>
        <v>ORD-SP0379-16/04/23</v>
      </c>
      <c r="C380" t="s">
        <v>67</v>
      </c>
      <c r="D380" t="str">
        <f>IFERROR(INDEX(Katalog!$A$3:$A$12,MATCH(Data[[#This Row],[ItemID A]],Katalog!$C$3:$C$12,0)),"-")</f>
        <v>Sepatu Wanita</v>
      </c>
      <c r="E380" t="str">
        <f>IFERROR(INDEX(Katalog!$B$3:$B$12,MATCH(Data[[#This Row],[ItemID A]],Katalog!$C$3:$C$12,0)),"-")</f>
        <v>Flat Shoes</v>
      </c>
      <c r="F380">
        <v>1</v>
      </c>
      <c r="G380">
        <v>3</v>
      </c>
      <c r="H380" s="36">
        <f>IFERROR(INDEX(Katalog!$D$3:$D$12,MATCH(Data[[#This Row],[ItemID A]],Katalog!$C$3:$C$12,0))*Data[[#This Row],[Qty A]],"0")</f>
        <v>250000</v>
      </c>
      <c r="I380" s="36">
        <f>IFERROR(INDEX(Katalog!$F$3:$F$12,MATCH(Data[[#This Row],[ItemID A]],Katalog!$C$3:$C$12,0))*Data[[#This Row],[Qty A]],0)</f>
        <v>100000</v>
      </c>
      <c r="J380" t="s">
        <v>62</v>
      </c>
      <c r="K380" t="str">
        <f>IFERROR(INDEX(Katalog!$A$3:$A$12,MATCH(Data[[#This Row],[ItemID B]],Katalog!$C$3:$C$12,0)),"-")</f>
        <v>Pakaian Pria</v>
      </c>
      <c r="L380" t="str">
        <f>IFERROR(INDEX(Katalog!$B$3:$B$12,MATCH(Data[[#This Row],[ItemID B]],Katalog!$C$3:$C$12,0)),"-")</f>
        <v>Celana Pendek</v>
      </c>
      <c r="M380">
        <v>2</v>
      </c>
      <c r="N380">
        <v>1</v>
      </c>
      <c r="O380" s="36">
        <f>IFERROR(INDEX(Katalog!$D$3:$D$12,MATCH(Data[[#This Row],[ItemID B]],Katalog!$C$3:$C$12,0))*Data[[#This Row],[Qty B]],"0")</f>
        <v>360000</v>
      </c>
      <c r="P380" s="36">
        <f>IFERROR(INDEX(Katalog!$F$3:$F$12,MATCH(Data[[#This Row],[ItemID B]],Katalog!$C$3:$C$12,0))*Data[[#This Row],[Qty B]],"0")</f>
        <v>140000</v>
      </c>
      <c r="Q380" t="s">
        <v>59</v>
      </c>
      <c r="R380" t="str">
        <f>IFERROR(INDEX(Katalog!$A$3:$A$12,MATCH(Data[[#This Row],[ItemID C]],Katalog!$C$3:$C$12,0)),"-")</f>
        <v>Pakaian Wanita</v>
      </c>
      <c r="S380" t="str">
        <f>IFERROR(INDEX(Katalog!$B$3:$B$12,MATCH(Data[[#This Row],[ItemID C]],Katalog!$C$3:$C$12,0)),"-")</f>
        <v>Blouse</v>
      </c>
      <c r="T380">
        <v>4</v>
      </c>
      <c r="U380">
        <v>4</v>
      </c>
      <c r="V380" s="36">
        <f>IFERROR(INDEX(Katalog!$D$3:$D$12,MATCH(Data[[#This Row],[ItemID C]],Katalog!$C$3:$C$12,0))*Data[[#This Row],[Qty C]],"0")</f>
        <v>600000</v>
      </c>
      <c r="W380" s="36">
        <f>IFERROR(INDEX(Katalog!$F$3:$F$12,MATCH(Data[[#This Row],[ItemID C]],Katalog!$C$3:$C$12,0))*Data[[#This Row],[Qty C]],"0")</f>
        <v>200000</v>
      </c>
      <c r="X380" s="21">
        <f>Data[[#This Row],[Qty A]]+Data[[#This Row],[Qty B]]+Data[[#This Row],[Qty C]]</f>
        <v>7</v>
      </c>
      <c r="Y380" s="22">
        <f>Data[[#This Row],[Harga Barang A]]+Data[[#This Row],[Harga Barang B]]+Data[[#This Row],[Harga Barang C]]</f>
        <v>1210000</v>
      </c>
      <c r="Z380" s="35">
        <f>IFERROR(Data[[#This Row],[Total Harga]]-(Data[[#This Row],[Total Harga]]*Data[[#This Row],[Diskon]]),Data[[#This Row],[Total Harga]])</f>
        <v>968000</v>
      </c>
      <c r="AA380" s="35">
        <f>(Data[[#This Row],[Profit A]]+Data[[#This Row],[Profit B]]+Data[[#This Row],[Profit C]])</f>
        <v>440000</v>
      </c>
      <c r="AB380" s="35">
        <f>IFERROR((Data[[#This Row],[Profit non Diskon]]-(Data[[#This Row],[Profit non Diskon]]*Data[[#This Row],[Diskon]])),Data[[#This Row],[Profit non Diskon]])</f>
        <v>352000</v>
      </c>
      <c r="AC380" s="23" t="s">
        <v>8</v>
      </c>
      <c r="AD380" s="37">
        <f>IFERROR(INDEX('Kode Diskon'!$D$3:$D$9,MATCH(Data[[#This Row],[Kode diskon]],'Kode Diskon'!$C$3:$C$9,0)),"-")</f>
        <v>0.2</v>
      </c>
      <c r="AE380" s="23" t="s">
        <v>9</v>
      </c>
      <c r="AF380" s="23" t="s">
        <v>7</v>
      </c>
      <c r="AG380" s="23" t="s">
        <v>76</v>
      </c>
      <c r="AH380" s="24">
        <v>45032</v>
      </c>
      <c r="AI380" s="23" t="str">
        <f>TEXT(Data[[#This Row],[Tanggal terjual]],"dddd")</f>
        <v>Sunday</v>
      </c>
      <c r="AJ380" s="21" t="str">
        <f>TEXT(Data[[#This Row],[Tanggal terjual]],"wwww")</f>
        <v>wwww</v>
      </c>
    </row>
    <row r="381" spans="1:36" x14ac:dyDescent="0.2">
      <c r="A381" s="20">
        <v>380</v>
      </c>
      <c r="B381" s="21" t="str">
        <f>_xlfn.CONCAT("ORD-",INDEX(Helper!$B$2:$B$5,MATCH(Data[[#This Row],[Marketplace]],Helper!$A$2:$A$5,0)),TEXT(Data[[#This Row],[No]],"0000"),"-",TEXT(Data[[#This Row],[Tanggal terjual]],"dd/mm/yy"))</f>
        <v>ORD-SP0380-22/04/23</v>
      </c>
      <c r="C381" t="s">
        <v>65</v>
      </c>
      <c r="D381" t="str">
        <f>IFERROR(INDEX(Katalog!$A$3:$A$12,MATCH(Data[[#This Row],[ItemID A]],Katalog!$C$3:$C$12,0)),"-")</f>
        <v>Sepatu Pria</v>
      </c>
      <c r="E381" t="str">
        <f>IFERROR(INDEX(Katalog!$B$3:$B$12,MATCH(Data[[#This Row],[ItemID A]],Katalog!$C$3:$C$12,0)),"-")</f>
        <v>Sneakers</v>
      </c>
      <c r="F381">
        <v>1</v>
      </c>
      <c r="G381">
        <v>2</v>
      </c>
      <c r="H381" s="36">
        <f>IFERROR(INDEX(Katalog!$D$3:$D$12,MATCH(Data[[#This Row],[ItemID A]],Katalog!$C$3:$C$12,0))*Data[[#This Row],[Qty A]],"0")</f>
        <v>500000</v>
      </c>
      <c r="I381" s="36">
        <f>IFERROR(INDEX(Katalog!$F$3:$F$12,MATCH(Data[[#This Row],[ItemID A]],Katalog!$C$3:$C$12,0))*Data[[#This Row],[Qty A]],0)</f>
        <v>200000</v>
      </c>
      <c r="J381" t="s">
        <v>63</v>
      </c>
      <c r="K381" t="str">
        <f>IFERROR(INDEX(Katalog!$A$3:$A$12,MATCH(Data[[#This Row],[ItemID B]],Katalog!$C$3:$C$12,0)),"-")</f>
        <v>Pakaian Pria</v>
      </c>
      <c r="L381" t="str">
        <f>IFERROR(INDEX(Katalog!$B$3:$B$12,MATCH(Data[[#This Row],[ItemID B]],Katalog!$C$3:$C$12,0)),"-")</f>
        <v>Jaket Jeans</v>
      </c>
      <c r="M381">
        <v>2</v>
      </c>
      <c r="N381">
        <v>2</v>
      </c>
      <c r="O381" s="36">
        <f>IFERROR(INDEX(Katalog!$D$3:$D$12,MATCH(Data[[#This Row],[ItemID B]],Katalog!$C$3:$C$12,0))*Data[[#This Row],[Qty B]],"0")</f>
        <v>800000</v>
      </c>
      <c r="P381" s="36">
        <f>IFERROR(INDEX(Katalog!$F$3:$F$12,MATCH(Data[[#This Row],[ItemID B]],Katalog!$C$3:$C$12,0))*Data[[#This Row],[Qty B]],"0")</f>
        <v>300000</v>
      </c>
      <c r="Q381" t="s">
        <v>60</v>
      </c>
      <c r="R381" t="str">
        <f>IFERROR(INDEX(Katalog!$A$3:$A$12,MATCH(Data[[#This Row],[ItemID C]],Katalog!$C$3:$C$12,0)),"-")</f>
        <v>Pakaian Wanita</v>
      </c>
      <c r="S381" t="str">
        <f>IFERROR(INDEX(Katalog!$B$3:$B$12,MATCH(Data[[#This Row],[ItemID C]],Katalog!$C$3:$C$12,0)),"-")</f>
        <v>Kaftan</v>
      </c>
      <c r="T381">
        <v>1</v>
      </c>
      <c r="U381">
        <v>1</v>
      </c>
      <c r="V381" s="36">
        <f>IFERROR(INDEX(Katalog!$D$3:$D$12,MATCH(Data[[#This Row],[ItemID C]],Katalog!$C$3:$C$12,0))*Data[[#This Row],[Qty C]],"0")</f>
        <v>250000</v>
      </c>
      <c r="W381" s="36">
        <f>IFERROR(INDEX(Katalog!$F$3:$F$12,MATCH(Data[[#This Row],[ItemID C]],Katalog!$C$3:$C$12,0))*Data[[#This Row],[Qty C]],"0")</f>
        <v>100000</v>
      </c>
      <c r="X381" s="21">
        <f>Data[[#This Row],[Qty A]]+Data[[#This Row],[Qty B]]+Data[[#This Row],[Qty C]]</f>
        <v>4</v>
      </c>
      <c r="Y381" s="22">
        <f>Data[[#This Row],[Harga Barang A]]+Data[[#This Row],[Harga Barang B]]+Data[[#This Row],[Harga Barang C]]</f>
        <v>1550000</v>
      </c>
      <c r="Z381" s="35">
        <f>IFERROR(Data[[#This Row],[Total Harga]]-(Data[[#This Row],[Total Harga]]*Data[[#This Row],[Diskon]]),Data[[#This Row],[Total Harga]])</f>
        <v>1240000</v>
      </c>
      <c r="AA381" s="35">
        <f>(Data[[#This Row],[Profit A]]+Data[[#This Row],[Profit B]]+Data[[#This Row],[Profit C]])</f>
        <v>600000</v>
      </c>
      <c r="AB381" s="35">
        <f>IFERROR((Data[[#This Row],[Profit non Diskon]]-(Data[[#This Row],[Profit non Diskon]]*Data[[#This Row],[Diskon]])),Data[[#This Row],[Profit non Diskon]])</f>
        <v>480000</v>
      </c>
      <c r="AC381" s="23" t="s">
        <v>8</v>
      </c>
      <c r="AD381" s="37">
        <f>IFERROR(INDEX('Kode Diskon'!$D$3:$D$9,MATCH(Data[[#This Row],[Kode diskon]],'Kode Diskon'!$C$3:$C$9,0)),"-")</f>
        <v>0.2</v>
      </c>
      <c r="AE381" s="23" t="s">
        <v>9</v>
      </c>
      <c r="AF381" s="23" t="s">
        <v>7</v>
      </c>
      <c r="AG381" s="23" t="s">
        <v>80</v>
      </c>
      <c r="AH381" s="24">
        <v>45038</v>
      </c>
      <c r="AI381" s="23" t="str">
        <f>TEXT(Data[[#This Row],[Tanggal terjual]],"dddd")</f>
        <v>Saturday</v>
      </c>
      <c r="AJ381" s="21" t="str">
        <f>TEXT(Data[[#This Row],[Tanggal terjual]],"wwww")</f>
        <v>wwww</v>
      </c>
    </row>
    <row r="382" spans="1:36" x14ac:dyDescent="0.2">
      <c r="A382" s="20">
        <v>381</v>
      </c>
      <c r="B382" s="21" t="str">
        <f>_xlfn.CONCAT("ORD-",INDEX(Helper!$B$2:$B$5,MATCH(Data[[#This Row],[Marketplace]],Helper!$A$2:$A$5,0)),TEXT(Data[[#This Row],[No]],"0000"),"-",TEXT(Data[[#This Row],[Tanggal terjual]],"dd/mm/yy"))</f>
        <v>ORD-TK0381-11/04/23</v>
      </c>
      <c r="C382" t="s">
        <v>67</v>
      </c>
      <c r="D382" t="str">
        <f>IFERROR(INDEX(Katalog!$A$3:$A$12,MATCH(Data[[#This Row],[ItemID A]],Katalog!$C$3:$C$12,0)),"-")</f>
        <v>Sepatu Wanita</v>
      </c>
      <c r="E382" t="str">
        <f>IFERROR(INDEX(Katalog!$B$3:$B$12,MATCH(Data[[#This Row],[ItemID A]],Katalog!$C$3:$C$12,0)),"-")</f>
        <v>Flat Shoes</v>
      </c>
      <c r="F382">
        <v>1</v>
      </c>
      <c r="G382">
        <v>3</v>
      </c>
      <c r="H382" s="36">
        <f>IFERROR(INDEX(Katalog!$D$3:$D$12,MATCH(Data[[#This Row],[ItemID A]],Katalog!$C$3:$C$12,0))*Data[[#This Row],[Qty A]],"0")</f>
        <v>250000</v>
      </c>
      <c r="I382" s="36">
        <f>IFERROR(INDEX(Katalog!$F$3:$F$12,MATCH(Data[[#This Row],[ItemID A]],Katalog!$C$3:$C$12,0))*Data[[#This Row],[Qty A]],0)</f>
        <v>100000</v>
      </c>
      <c r="J382" t="s">
        <v>62</v>
      </c>
      <c r="K382" t="str">
        <f>IFERROR(INDEX(Katalog!$A$3:$A$12,MATCH(Data[[#This Row],[ItemID B]],Katalog!$C$3:$C$12,0)),"-")</f>
        <v>Pakaian Pria</v>
      </c>
      <c r="L382" t="str">
        <f>IFERROR(INDEX(Katalog!$B$3:$B$12,MATCH(Data[[#This Row],[ItemID B]],Katalog!$C$3:$C$12,0)),"-")</f>
        <v>Celana Pendek</v>
      </c>
      <c r="M382">
        <v>2</v>
      </c>
      <c r="N382">
        <v>3</v>
      </c>
      <c r="O382" s="36">
        <f>IFERROR(INDEX(Katalog!$D$3:$D$12,MATCH(Data[[#This Row],[ItemID B]],Katalog!$C$3:$C$12,0))*Data[[#This Row],[Qty B]],"0")</f>
        <v>360000</v>
      </c>
      <c r="P382" s="36">
        <f>IFERROR(INDEX(Katalog!$F$3:$F$12,MATCH(Data[[#This Row],[ItemID B]],Katalog!$C$3:$C$12,0))*Data[[#This Row],[Qty B]],"0")</f>
        <v>140000</v>
      </c>
      <c r="R382" t="str">
        <f>IFERROR(INDEX(Katalog!$A$3:$A$12,MATCH(Data[[#This Row],[ItemID C]],Katalog!$C$3:$C$12,0)),"-")</f>
        <v>-</v>
      </c>
      <c r="S382" t="str">
        <f>IFERROR(INDEX(Katalog!$B$3:$B$12,MATCH(Data[[#This Row],[ItemID C]],Katalog!$C$3:$C$12,0)),"-")</f>
        <v>-</v>
      </c>
      <c r="V382" s="36" t="str">
        <f>IFERROR(INDEX(Katalog!$D$3:$D$12,MATCH(Data[[#This Row],[ItemID C]],Katalog!$C$3:$C$12,0))*Data[[#This Row],[Qty C]],"0")</f>
        <v>0</v>
      </c>
      <c r="W382" s="36" t="str">
        <f>IFERROR(INDEX(Katalog!$F$3:$F$12,MATCH(Data[[#This Row],[ItemID C]],Katalog!$C$3:$C$12,0))*Data[[#This Row],[Qty C]],"0")</f>
        <v>0</v>
      </c>
      <c r="X382" s="21">
        <f>Data[[#This Row],[Qty A]]+Data[[#This Row],[Qty B]]+Data[[#This Row],[Qty C]]</f>
        <v>3</v>
      </c>
      <c r="Y382" s="22">
        <f>Data[[#This Row],[Harga Barang A]]+Data[[#This Row],[Harga Barang B]]+Data[[#This Row],[Harga Barang C]]</f>
        <v>610000</v>
      </c>
      <c r="Z382" s="35">
        <f>IFERROR(Data[[#This Row],[Total Harga]]-(Data[[#This Row],[Total Harga]]*Data[[#This Row],[Diskon]]),Data[[#This Row],[Total Harga]])</f>
        <v>610000</v>
      </c>
      <c r="AA382" s="35">
        <f>(Data[[#This Row],[Profit A]]+Data[[#This Row],[Profit B]]+Data[[#This Row],[Profit C]])</f>
        <v>240000</v>
      </c>
      <c r="AB382" s="35">
        <f>IFERROR((Data[[#This Row],[Profit non Diskon]]-(Data[[#This Row],[Profit non Diskon]]*Data[[#This Row],[Diskon]])),Data[[#This Row],[Profit non Diskon]])</f>
        <v>240000</v>
      </c>
      <c r="AC382" s="23" t="s">
        <v>11</v>
      </c>
      <c r="AD382" s="37" t="str">
        <f>IFERROR(INDEX('Kode Diskon'!$D$3:$D$9,MATCH(Data[[#This Row],[Kode diskon]],'Kode Diskon'!$C$3:$C$9,0)),"-")</f>
        <v>-</v>
      </c>
      <c r="AE382" s="23" t="s">
        <v>11</v>
      </c>
      <c r="AF382" s="23" t="s">
        <v>10</v>
      </c>
      <c r="AG382" s="23" t="s">
        <v>79</v>
      </c>
      <c r="AH382" s="24">
        <v>45027</v>
      </c>
      <c r="AI382" s="23" t="str">
        <f>TEXT(Data[[#This Row],[Tanggal terjual]],"dddd")</f>
        <v>Tuesday</v>
      </c>
      <c r="AJ382" s="21" t="str">
        <f>TEXT(Data[[#This Row],[Tanggal terjual]],"wwww")</f>
        <v>wwww</v>
      </c>
    </row>
    <row r="383" spans="1:36" x14ac:dyDescent="0.2">
      <c r="A383" s="20">
        <v>382</v>
      </c>
      <c r="B383" s="21" t="str">
        <f>_xlfn.CONCAT("ORD-",INDEX(Helper!$B$2:$B$5,MATCH(Data[[#This Row],[Marketplace]],Helper!$A$2:$A$5,0)),TEXT(Data[[#This Row],[No]],"0000"),"-",TEXT(Data[[#This Row],[Tanggal terjual]],"dd/mm/yy"))</f>
        <v>ORD-TK0382-08/04/23</v>
      </c>
      <c r="C383" t="s">
        <v>65</v>
      </c>
      <c r="D383" t="str">
        <f>IFERROR(INDEX(Katalog!$A$3:$A$12,MATCH(Data[[#This Row],[ItemID A]],Katalog!$C$3:$C$12,0)),"-")</f>
        <v>Sepatu Pria</v>
      </c>
      <c r="E383" t="str">
        <f>IFERROR(INDEX(Katalog!$B$3:$B$12,MATCH(Data[[#This Row],[ItemID A]],Katalog!$C$3:$C$12,0)),"-")</f>
        <v>Sneakers</v>
      </c>
      <c r="F383">
        <v>4</v>
      </c>
      <c r="G383">
        <v>2</v>
      </c>
      <c r="H383" s="36">
        <f>IFERROR(INDEX(Katalog!$D$3:$D$12,MATCH(Data[[#This Row],[ItemID A]],Katalog!$C$3:$C$12,0))*Data[[#This Row],[Qty A]],"0")</f>
        <v>2000000</v>
      </c>
      <c r="I383" s="36">
        <f>IFERROR(INDEX(Katalog!$F$3:$F$12,MATCH(Data[[#This Row],[ItemID A]],Katalog!$C$3:$C$12,0))*Data[[#This Row],[Qty A]],0)</f>
        <v>800000</v>
      </c>
      <c r="J383" t="s">
        <v>63</v>
      </c>
      <c r="K383" t="str">
        <f>IFERROR(INDEX(Katalog!$A$3:$A$12,MATCH(Data[[#This Row],[ItemID B]],Katalog!$C$3:$C$12,0)),"-")</f>
        <v>Pakaian Pria</v>
      </c>
      <c r="L383" t="str">
        <f>IFERROR(INDEX(Katalog!$B$3:$B$12,MATCH(Data[[#This Row],[ItemID B]],Katalog!$C$3:$C$12,0)),"-")</f>
        <v>Jaket Jeans</v>
      </c>
      <c r="M383">
        <v>2</v>
      </c>
      <c r="N383">
        <v>5</v>
      </c>
      <c r="O383" s="36">
        <f>IFERROR(INDEX(Katalog!$D$3:$D$12,MATCH(Data[[#This Row],[ItemID B]],Katalog!$C$3:$C$12,0))*Data[[#This Row],[Qty B]],"0")</f>
        <v>800000</v>
      </c>
      <c r="P383" s="36">
        <f>IFERROR(INDEX(Katalog!$F$3:$F$12,MATCH(Data[[#This Row],[ItemID B]],Katalog!$C$3:$C$12,0))*Data[[#This Row],[Qty B]],"0")</f>
        <v>300000</v>
      </c>
      <c r="R383" t="str">
        <f>IFERROR(INDEX(Katalog!$A$3:$A$12,MATCH(Data[[#This Row],[ItemID C]],Katalog!$C$3:$C$12,0)),"-")</f>
        <v>-</v>
      </c>
      <c r="S383" t="str">
        <f>IFERROR(INDEX(Katalog!$B$3:$B$12,MATCH(Data[[#This Row],[ItemID C]],Katalog!$C$3:$C$12,0)),"-")</f>
        <v>-</v>
      </c>
      <c r="V383" s="36" t="str">
        <f>IFERROR(INDEX(Katalog!$D$3:$D$12,MATCH(Data[[#This Row],[ItemID C]],Katalog!$C$3:$C$12,0))*Data[[#This Row],[Qty C]],"0")</f>
        <v>0</v>
      </c>
      <c r="W383" s="36" t="str">
        <f>IFERROR(INDEX(Katalog!$F$3:$F$12,MATCH(Data[[#This Row],[ItemID C]],Katalog!$C$3:$C$12,0))*Data[[#This Row],[Qty C]],"0")</f>
        <v>0</v>
      </c>
      <c r="X383" s="21">
        <f>Data[[#This Row],[Qty A]]+Data[[#This Row],[Qty B]]+Data[[#This Row],[Qty C]]</f>
        <v>6</v>
      </c>
      <c r="Y383" s="22">
        <f>Data[[#This Row],[Harga Barang A]]+Data[[#This Row],[Harga Barang B]]+Data[[#This Row],[Harga Barang C]]</f>
        <v>2800000</v>
      </c>
      <c r="Z383" s="35">
        <f>IFERROR(Data[[#This Row],[Total Harga]]-(Data[[#This Row],[Total Harga]]*Data[[#This Row],[Diskon]]),Data[[#This Row],[Total Harga]])</f>
        <v>2800000</v>
      </c>
      <c r="AA383" s="35">
        <f>(Data[[#This Row],[Profit A]]+Data[[#This Row],[Profit B]]+Data[[#This Row],[Profit C]])</f>
        <v>1100000</v>
      </c>
      <c r="AB383" s="35">
        <f>IFERROR((Data[[#This Row],[Profit non Diskon]]-(Data[[#This Row],[Profit non Diskon]]*Data[[#This Row],[Diskon]])),Data[[#This Row],[Profit non Diskon]])</f>
        <v>1100000</v>
      </c>
      <c r="AC383" s="23" t="s">
        <v>11</v>
      </c>
      <c r="AD383" s="37" t="str">
        <f>IFERROR(INDEX('Kode Diskon'!$D$3:$D$9,MATCH(Data[[#This Row],[Kode diskon]],'Kode Diskon'!$C$3:$C$9,0)),"-")</f>
        <v>-</v>
      </c>
      <c r="AE383" s="23" t="s">
        <v>11</v>
      </c>
      <c r="AF383" s="23" t="s">
        <v>10</v>
      </c>
      <c r="AG383" s="23" t="s">
        <v>80</v>
      </c>
      <c r="AH383" s="24">
        <v>45024</v>
      </c>
      <c r="AI383" s="23" t="str">
        <f>TEXT(Data[[#This Row],[Tanggal terjual]],"dddd")</f>
        <v>Saturday</v>
      </c>
      <c r="AJ383" s="21" t="str">
        <f>TEXT(Data[[#This Row],[Tanggal terjual]],"wwww")</f>
        <v>wwww</v>
      </c>
    </row>
    <row r="384" spans="1:36" x14ac:dyDescent="0.2">
      <c r="A384" s="20">
        <v>383</v>
      </c>
      <c r="B384" s="21" t="str">
        <f>_xlfn.CONCAT("ORD-",INDEX(Helper!$B$2:$B$5,MATCH(Data[[#This Row],[Marketplace]],Helper!$A$2:$A$5,0)),TEXT(Data[[#This Row],[No]],"0000"),"-",TEXT(Data[[#This Row],[Tanggal terjual]],"dd/mm/yy"))</f>
        <v>ORD-SP0383-04/04/23</v>
      </c>
      <c r="C384" t="s">
        <v>63</v>
      </c>
      <c r="D384" t="str">
        <f>IFERROR(INDEX(Katalog!$A$3:$A$12,MATCH(Data[[#This Row],[ItemID A]],Katalog!$C$3:$C$12,0)),"-")</f>
        <v>Pakaian Pria</v>
      </c>
      <c r="E384" t="str">
        <f>IFERROR(INDEX(Katalog!$B$3:$B$12,MATCH(Data[[#This Row],[ItemID A]],Katalog!$C$3:$C$12,0)),"-")</f>
        <v>Jaket Jeans</v>
      </c>
      <c r="F384">
        <v>4</v>
      </c>
      <c r="G384">
        <v>4</v>
      </c>
      <c r="H384" s="36">
        <f>IFERROR(INDEX(Katalog!$D$3:$D$12,MATCH(Data[[#This Row],[ItemID A]],Katalog!$C$3:$C$12,0))*Data[[#This Row],[Qty A]],"0")</f>
        <v>1600000</v>
      </c>
      <c r="I384" s="36">
        <f>IFERROR(INDEX(Katalog!$F$3:$F$12,MATCH(Data[[#This Row],[ItemID A]],Katalog!$C$3:$C$12,0))*Data[[#This Row],[Qty A]],0)</f>
        <v>600000</v>
      </c>
      <c r="J384" t="s">
        <v>64</v>
      </c>
      <c r="K384" t="str">
        <f>IFERROR(INDEX(Katalog!$A$3:$A$12,MATCH(Data[[#This Row],[ItemID B]],Katalog!$C$3:$C$12,0)),"-")</f>
        <v>Pakaian Unisex</v>
      </c>
      <c r="L384" t="str">
        <f>IFERROR(INDEX(Katalog!$B$3:$B$12,MATCH(Data[[#This Row],[ItemID B]],Katalog!$C$3:$C$12,0)),"-")</f>
        <v>Jaket Hoodie</v>
      </c>
      <c r="M384">
        <v>1</v>
      </c>
      <c r="N384">
        <v>4</v>
      </c>
      <c r="O384" s="36">
        <f>IFERROR(INDEX(Katalog!$D$3:$D$12,MATCH(Data[[#This Row],[ItemID B]],Katalog!$C$3:$C$12,0))*Data[[#This Row],[Qty B]],"0")</f>
        <v>350000</v>
      </c>
      <c r="P384" s="36">
        <f>IFERROR(INDEX(Katalog!$F$3:$F$12,MATCH(Data[[#This Row],[ItemID B]],Katalog!$C$3:$C$12,0))*Data[[#This Row],[Qty B]],"0")</f>
        <v>130000</v>
      </c>
      <c r="Q384" t="s">
        <v>63</v>
      </c>
      <c r="R384" t="str">
        <f>IFERROR(INDEX(Katalog!$A$3:$A$12,MATCH(Data[[#This Row],[ItemID C]],Katalog!$C$3:$C$12,0)),"-")</f>
        <v>Pakaian Pria</v>
      </c>
      <c r="S384" t="str">
        <f>IFERROR(INDEX(Katalog!$B$3:$B$12,MATCH(Data[[#This Row],[ItemID C]],Katalog!$C$3:$C$12,0)),"-")</f>
        <v>Jaket Jeans</v>
      </c>
      <c r="T384">
        <v>2</v>
      </c>
      <c r="U384">
        <v>4</v>
      </c>
      <c r="V384" s="36">
        <f>IFERROR(INDEX(Katalog!$D$3:$D$12,MATCH(Data[[#This Row],[ItemID C]],Katalog!$C$3:$C$12,0))*Data[[#This Row],[Qty C]],"0")</f>
        <v>800000</v>
      </c>
      <c r="W384" s="36">
        <f>IFERROR(INDEX(Katalog!$F$3:$F$12,MATCH(Data[[#This Row],[ItemID C]],Katalog!$C$3:$C$12,0))*Data[[#This Row],[Qty C]],"0")</f>
        <v>300000</v>
      </c>
      <c r="X384" s="21">
        <f>Data[[#This Row],[Qty A]]+Data[[#This Row],[Qty B]]+Data[[#This Row],[Qty C]]</f>
        <v>7</v>
      </c>
      <c r="Y384" s="22">
        <f>Data[[#This Row],[Harga Barang A]]+Data[[#This Row],[Harga Barang B]]+Data[[#This Row],[Harga Barang C]]</f>
        <v>2750000</v>
      </c>
      <c r="Z384" s="35">
        <f>IFERROR(Data[[#This Row],[Total Harga]]-(Data[[#This Row],[Total Harga]]*Data[[#This Row],[Diskon]]),Data[[#This Row],[Total Harga]])</f>
        <v>2337500</v>
      </c>
      <c r="AA384" s="35">
        <f>(Data[[#This Row],[Profit A]]+Data[[#This Row],[Profit B]]+Data[[#This Row],[Profit C]])</f>
        <v>1030000</v>
      </c>
      <c r="AB384" s="35">
        <f>IFERROR((Data[[#This Row],[Profit non Diskon]]-(Data[[#This Row],[Profit non Diskon]]*Data[[#This Row],[Diskon]])),Data[[#This Row],[Profit non Diskon]])</f>
        <v>875500</v>
      </c>
      <c r="AC384" s="23" t="s">
        <v>13</v>
      </c>
      <c r="AD384" s="37">
        <f>IFERROR(INDEX('Kode Diskon'!$D$3:$D$9,MATCH(Data[[#This Row],[Kode diskon]],'Kode Diskon'!$C$3:$C$9,0)),"-")</f>
        <v>0.15</v>
      </c>
      <c r="AE384" s="23" t="s">
        <v>29</v>
      </c>
      <c r="AF384" s="23" t="s">
        <v>7</v>
      </c>
      <c r="AG384" s="23" t="s">
        <v>78</v>
      </c>
      <c r="AH384" s="24">
        <v>45020</v>
      </c>
      <c r="AI384" s="23" t="str">
        <f>TEXT(Data[[#This Row],[Tanggal terjual]],"dddd")</f>
        <v>Tuesday</v>
      </c>
      <c r="AJ384" s="21" t="str">
        <f>TEXT(Data[[#This Row],[Tanggal terjual]],"wwww")</f>
        <v>wwww</v>
      </c>
    </row>
    <row r="385" spans="1:36" x14ac:dyDescent="0.2">
      <c r="A385" s="20">
        <v>384</v>
      </c>
      <c r="B385" s="21" t="str">
        <f>_xlfn.CONCAT("ORD-",INDEX(Helper!$B$2:$B$5,MATCH(Data[[#This Row],[Marketplace]],Helper!$A$2:$A$5,0)),TEXT(Data[[#This Row],[No]],"0000"),"-",TEXT(Data[[#This Row],[Tanggal terjual]],"dd/mm/yy"))</f>
        <v>ORD-SP0384-06/04/23</v>
      </c>
      <c r="C385" t="s">
        <v>65</v>
      </c>
      <c r="D385" t="str">
        <f>IFERROR(INDEX(Katalog!$A$3:$A$12,MATCH(Data[[#This Row],[ItemID A]],Katalog!$C$3:$C$12,0)),"-")</f>
        <v>Sepatu Pria</v>
      </c>
      <c r="E385" t="str">
        <f>IFERROR(INDEX(Katalog!$B$3:$B$12,MATCH(Data[[#This Row],[ItemID A]],Katalog!$C$3:$C$12,0)),"-")</f>
        <v>Sneakers</v>
      </c>
      <c r="F385">
        <v>2</v>
      </c>
      <c r="G385">
        <v>3</v>
      </c>
      <c r="H385" s="36">
        <f>IFERROR(INDEX(Katalog!$D$3:$D$12,MATCH(Data[[#This Row],[ItemID A]],Katalog!$C$3:$C$12,0))*Data[[#This Row],[Qty A]],"0")</f>
        <v>1000000</v>
      </c>
      <c r="I385" s="36">
        <f>IFERROR(INDEX(Katalog!$F$3:$F$12,MATCH(Data[[#This Row],[ItemID A]],Katalog!$C$3:$C$12,0))*Data[[#This Row],[Qty A]],0)</f>
        <v>400000</v>
      </c>
      <c r="J385" t="s">
        <v>63</v>
      </c>
      <c r="K385" t="str">
        <f>IFERROR(INDEX(Katalog!$A$3:$A$12,MATCH(Data[[#This Row],[ItemID B]],Katalog!$C$3:$C$12,0)),"-")</f>
        <v>Pakaian Pria</v>
      </c>
      <c r="L385" t="str">
        <f>IFERROR(INDEX(Katalog!$B$3:$B$12,MATCH(Data[[#This Row],[ItemID B]],Katalog!$C$3:$C$12,0)),"-")</f>
        <v>Jaket Jeans</v>
      </c>
      <c r="M385">
        <v>1</v>
      </c>
      <c r="N385">
        <v>4</v>
      </c>
      <c r="O385" s="36">
        <f>IFERROR(INDEX(Katalog!$D$3:$D$12,MATCH(Data[[#This Row],[ItemID B]],Katalog!$C$3:$C$12,0))*Data[[#This Row],[Qty B]],"0")</f>
        <v>400000</v>
      </c>
      <c r="P385" s="36">
        <f>IFERROR(INDEX(Katalog!$F$3:$F$12,MATCH(Data[[#This Row],[ItemID B]],Katalog!$C$3:$C$12,0))*Data[[#This Row],[Qty B]],"0")</f>
        <v>150000</v>
      </c>
      <c r="R385" t="str">
        <f>IFERROR(INDEX(Katalog!$A$3:$A$12,MATCH(Data[[#This Row],[ItemID C]],Katalog!$C$3:$C$12,0)),"-")</f>
        <v>-</v>
      </c>
      <c r="S385" t="str">
        <f>IFERROR(INDEX(Katalog!$B$3:$B$12,MATCH(Data[[#This Row],[ItemID C]],Katalog!$C$3:$C$12,0)),"-")</f>
        <v>-</v>
      </c>
      <c r="V385" s="36" t="str">
        <f>IFERROR(INDEX(Katalog!$D$3:$D$12,MATCH(Data[[#This Row],[ItemID C]],Katalog!$C$3:$C$12,0))*Data[[#This Row],[Qty C]],"0")</f>
        <v>0</v>
      </c>
      <c r="W385" s="36" t="str">
        <f>IFERROR(INDEX(Katalog!$F$3:$F$12,MATCH(Data[[#This Row],[ItemID C]],Katalog!$C$3:$C$12,0))*Data[[#This Row],[Qty C]],"0")</f>
        <v>0</v>
      </c>
      <c r="X385" s="21">
        <f>Data[[#This Row],[Qty A]]+Data[[#This Row],[Qty B]]+Data[[#This Row],[Qty C]]</f>
        <v>3</v>
      </c>
      <c r="Y385" s="22">
        <f>Data[[#This Row],[Harga Barang A]]+Data[[#This Row],[Harga Barang B]]+Data[[#This Row],[Harga Barang C]]</f>
        <v>1400000</v>
      </c>
      <c r="Z385" s="35">
        <f>IFERROR(Data[[#This Row],[Total Harga]]-(Data[[#This Row],[Total Harga]]*Data[[#This Row],[Diskon]]),Data[[#This Row],[Total Harga]])</f>
        <v>1190000</v>
      </c>
      <c r="AA385" s="35">
        <f>(Data[[#This Row],[Profit A]]+Data[[#This Row],[Profit B]]+Data[[#This Row],[Profit C]])</f>
        <v>550000</v>
      </c>
      <c r="AB385" s="35">
        <f>IFERROR((Data[[#This Row],[Profit non Diskon]]-(Data[[#This Row],[Profit non Diskon]]*Data[[#This Row],[Diskon]])),Data[[#This Row],[Profit non Diskon]])</f>
        <v>467500</v>
      </c>
      <c r="AC385" s="23" t="s">
        <v>13</v>
      </c>
      <c r="AD385" s="37">
        <f>IFERROR(INDEX('Kode Diskon'!$D$3:$D$9,MATCH(Data[[#This Row],[Kode diskon]],'Kode Diskon'!$C$3:$C$9,0)),"-")</f>
        <v>0.15</v>
      </c>
      <c r="AE385" s="23" t="s">
        <v>29</v>
      </c>
      <c r="AF385" s="23" t="s">
        <v>7</v>
      </c>
      <c r="AG385" s="23" t="s">
        <v>76</v>
      </c>
      <c r="AH385" s="24">
        <v>45022</v>
      </c>
      <c r="AI385" s="23" t="str">
        <f>TEXT(Data[[#This Row],[Tanggal terjual]],"dddd")</f>
        <v>Thursday</v>
      </c>
      <c r="AJ385" s="21" t="str">
        <f>TEXT(Data[[#This Row],[Tanggal terjual]],"wwww")</f>
        <v>wwww</v>
      </c>
    </row>
    <row r="386" spans="1:36" x14ac:dyDescent="0.2">
      <c r="A386" s="20">
        <v>385</v>
      </c>
      <c r="B386" s="21" t="str">
        <f>_xlfn.CONCAT("ORD-",INDEX(Helper!$B$2:$B$5,MATCH(Data[[#This Row],[Marketplace]],Helper!$A$2:$A$5,0)),TEXT(Data[[#This Row],[No]],"0000"),"-",TEXT(Data[[#This Row],[Tanggal terjual]],"dd/mm/yy"))</f>
        <v>ORD-SP0385-07/04/23</v>
      </c>
      <c r="C386" t="s">
        <v>62</v>
      </c>
      <c r="D386" t="str">
        <f>IFERROR(INDEX(Katalog!$A$3:$A$12,MATCH(Data[[#This Row],[ItemID A]],Katalog!$C$3:$C$12,0)),"-")</f>
        <v>Pakaian Pria</v>
      </c>
      <c r="E386" t="str">
        <f>IFERROR(INDEX(Katalog!$B$3:$B$12,MATCH(Data[[#This Row],[ItemID A]],Katalog!$C$3:$C$12,0)),"-")</f>
        <v>Celana Pendek</v>
      </c>
      <c r="F386">
        <v>2</v>
      </c>
      <c r="G386">
        <v>1</v>
      </c>
      <c r="H386" s="36">
        <f>IFERROR(INDEX(Katalog!$D$3:$D$12,MATCH(Data[[#This Row],[ItemID A]],Katalog!$C$3:$C$12,0))*Data[[#This Row],[Qty A]],"0")</f>
        <v>360000</v>
      </c>
      <c r="I386" s="36">
        <f>IFERROR(INDEX(Katalog!$F$3:$F$12,MATCH(Data[[#This Row],[ItemID A]],Katalog!$C$3:$C$12,0))*Data[[#This Row],[Qty A]],0)</f>
        <v>140000</v>
      </c>
      <c r="K386" t="str">
        <f>IFERROR(INDEX(Katalog!$A$3:$A$12,MATCH(Data[[#This Row],[ItemID B]],Katalog!$C$3:$C$12,0)),"-")</f>
        <v>-</v>
      </c>
      <c r="L386" t="str">
        <f>IFERROR(INDEX(Katalog!$B$3:$B$12,MATCH(Data[[#This Row],[ItemID B]],Katalog!$C$3:$C$12,0)),"-")</f>
        <v>-</v>
      </c>
      <c r="O386" s="36" t="str">
        <f>IFERROR(INDEX(Katalog!$D$3:$D$12,MATCH(Data[[#This Row],[ItemID B]],Katalog!$C$3:$C$12,0))*Data[[#This Row],[Qty B]],"0")</f>
        <v>0</v>
      </c>
      <c r="P386" s="36" t="str">
        <f>IFERROR(INDEX(Katalog!$F$3:$F$12,MATCH(Data[[#This Row],[ItemID B]],Katalog!$C$3:$C$12,0))*Data[[#This Row],[Qty B]],"0")</f>
        <v>0</v>
      </c>
      <c r="R386" t="str">
        <f>IFERROR(INDEX(Katalog!$A$3:$A$12,MATCH(Data[[#This Row],[ItemID C]],Katalog!$C$3:$C$12,0)),"-")</f>
        <v>-</v>
      </c>
      <c r="S386" t="str">
        <f>IFERROR(INDEX(Katalog!$B$3:$B$12,MATCH(Data[[#This Row],[ItemID C]],Katalog!$C$3:$C$12,0)),"-")</f>
        <v>-</v>
      </c>
      <c r="V386" s="36" t="str">
        <f>IFERROR(INDEX(Katalog!$D$3:$D$12,MATCH(Data[[#This Row],[ItemID C]],Katalog!$C$3:$C$12,0))*Data[[#This Row],[Qty C]],"0")</f>
        <v>0</v>
      </c>
      <c r="W386" s="36" t="str">
        <f>IFERROR(INDEX(Katalog!$F$3:$F$12,MATCH(Data[[#This Row],[ItemID C]],Katalog!$C$3:$C$12,0))*Data[[#This Row],[Qty C]],"0")</f>
        <v>0</v>
      </c>
      <c r="X386" s="21">
        <f>Data[[#This Row],[Qty A]]+Data[[#This Row],[Qty B]]+Data[[#This Row],[Qty C]]</f>
        <v>2</v>
      </c>
      <c r="Y386" s="22">
        <f>Data[[#This Row],[Harga Barang A]]+Data[[#This Row],[Harga Barang B]]+Data[[#This Row],[Harga Barang C]]</f>
        <v>360000</v>
      </c>
      <c r="Z386" s="35">
        <f>IFERROR(Data[[#This Row],[Total Harga]]-(Data[[#This Row],[Total Harga]]*Data[[#This Row],[Diskon]]),Data[[#This Row],[Total Harga]])</f>
        <v>360000</v>
      </c>
      <c r="AA386" s="35">
        <f>(Data[[#This Row],[Profit A]]+Data[[#This Row],[Profit B]]+Data[[#This Row],[Profit C]])</f>
        <v>140000</v>
      </c>
      <c r="AB386" s="35">
        <f>IFERROR((Data[[#This Row],[Profit non Diskon]]-(Data[[#This Row],[Profit non Diskon]]*Data[[#This Row],[Diskon]])),Data[[#This Row],[Profit non Diskon]])</f>
        <v>140000</v>
      </c>
      <c r="AC386" s="23" t="s">
        <v>11</v>
      </c>
      <c r="AD386" s="37" t="str">
        <f>IFERROR(INDEX('Kode Diskon'!$D$3:$D$9,MATCH(Data[[#This Row],[Kode diskon]],'Kode Diskon'!$C$3:$C$9,0)),"-")</f>
        <v>-</v>
      </c>
      <c r="AE386" s="23" t="s">
        <v>11</v>
      </c>
      <c r="AF386" s="23" t="s">
        <v>7</v>
      </c>
      <c r="AG386" s="23" t="s">
        <v>78</v>
      </c>
      <c r="AH386" s="24">
        <v>45023</v>
      </c>
      <c r="AI386" s="23" t="str">
        <f>TEXT(Data[[#This Row],[Tanggal terjual]],"dddd")</f>
        <v>Friday</v>
      </c>
      <c r="AJ386" s="21" t="str">
        <f>TEXT(Data[[#This Row],[Tanggal terjual]],"wwww")</f>
        <v>wwww</v>
      </c>
    </row>
    <row r="387" spans="1:36" x14ac:dyDescent="0.2">
      <c r="A387" s="20">
        <v>386</v>
      </c>
      <c r="B387" s="21" t="str">
        <f>_xlfn.CONCAT("ORD-",INDEX(Helper!$B$2:$B$5,MATCH(Data[[#This Row],[Marketplace]],Helper!$A$2:$A$5,0)),TEXT(Data[[#This Row],[No]],"0000"),"-",TEXT(Data[[#This Row],[Tanggal terjual]],"dd/mm/yy"))</f>
        <v>ORD-SP0386-02/04/23</v>
      </c>
      <c r="C387" t="s">
        <v>63</v>
      </c>
      <c r="D387" t="str">
        <f>IFERROR(INDEX(Katalog!$A$3:$A$12,MATCH(Data[[#This Row],[ItemID A]],Katalog!$C$3:$C$12,0)),"-")</f>
        <v>Pakaian Pria</v>
      </c>
      <c r="E387" t="str">
        <f>IFERROR(INDEX(Katalog!$B$3:$B$12,MATCH(Data[[#This Row],[ItemID A]],Katalog!$C$3:$C$12,0)),"-")</f>
        <v>Jaket Jeans</v>
      </c>
      <c r="F387">
        <v>4</v>
      </c>
      <c r="G387">
        <v>2</v>
      </c>
      <c r="H387" s="36">
        <f>IFERROR(INDEX(Katalog!$D$3:$D$12,MATCH(Data[[#This Row],[ItemID A]],Katalog!$C$3:$C$12,0))*Data[[#This Row],[Qty A]],"0")</f>
        <v>1600000</v>
      </c>
      <c r="I387" s="36">
        <f>IFERROR(INDEX(Katalog!$F$3:$F$12,MATCH(Data[[#This Row],[ItemID A]],Katalog!$C$3:$C$12,0))*Data[[#This Row],[Qty A]],0)</f>
        <v>600000</v>
      </c>
      <c r="K387" t="str">
        <f>IFERROR(INDEX(Katalog!$A$3:$A$12,MATCH(Data[[#This Row],[ItemID B]],Katalog!$C$3:$C$12,0)),"-")</f>
        <v>-</v>
      </c>
      <c r="L387" t="str">
        <f>IFERROR(INDEX(Katalog!$B$3:$B$12,MATCH(Data[[#This Row],[ItemID B]],Katalog!$C$3:$C$12,0)),"-")</f>
        <v>-</v>
      </c>
      <c r="O387" s="36" t="str">
        <f>IFERROR(INDEX(Katalog!$D$3:$D$12,MATCH(Data[[#This Row],[ItemID B]],Katalog!$C$3:$C$12,0))*Data[[#This Row],[Qty B]],"0")</f>
        <v>0</v>
      </c>
      <c r="P387" s="36" t="str">
        <f>IFERROR(INDEX(Katalog!$F$3:$F$12,MATCH(Data[[#This Row],[ItemID B]],Katalog!$C$3:$C$12,0))*Data[[#This Row],[Qty B]],"0")</f>
        <v>0</v>
      </c>
      <c r="R387" t="str">
        <f>IFERROR(INDEX(Katalog!$A$3:$A$12,MATCH(Data[[#This Row],[ItemID C]],Katalog!$C$3:$C$12,0)),"-")</f>
        <v>-</v>
      </c>
      <c r="S387" t="str">
        <f>IFERROR(INDEX(Katalog!$B$3:$B$12,MATCH(Data[[#This Row],[ItemID C]],Katalog!$C$3:$C$12,0)),"-")</f>
        <v>-</v>
      </c>
      <c r="V387" s="36" t="str">
        <f>IFERROR(INDEX(Katalog!$D$3:$D$12,MATCH(Data[[#This Row],[ItemID C]],Katalog!$C$3:$C$12,0))*Data[[#This Row],[Qty C]],"0")</f>
        <v>0</v>
      </c>
      <c r="W387" s="36" t="str">
        <f>IFERROR(INDEX(Katalog!$F$3:$F$12,MATCH(Data[[#This Row],[ItemID C]],Katalog!$C$3:$C$12,0))*Data[[#This Row],[Qty C]],"0")</f>
        <v>0</v>
      </c>
      <c r="X387" s="21">
        <f>Data[[#This Row],[Qty A]]+Data[[#This Row],[Qty B]]+Data[[#This Row],[Qty C]]</f>
        <v>4</v>
      </c>
      <c r="Y387" s="22">
        <f>Data[[#This Row],[Harga Barang A]]+Data[[#This Row],[Harga Barang B]]+Data[[#This Row],[Harga Barang C]]</f>
        <v>1600000</v>
      </c>
      <c r="Z387" s="35">
        <f>IFERROR(Data[[#This Row],[Total Harga]]-(Data[[#This Row],[Total Harga]]*Data[[#This Row],[Diskon]]),Data[[#This Row],[Total Harga]])</f>
        <v>1440000</v>
      </c>
      <c r="AA387" s="35">
        <f>(Data[[#This Row],[Profit A]]+Data[[#This Row],[Profit B]]+Data[[#This Row],[Profit C]])</f>
        <v>600000</v>
      </c>
      <c r="AB387" s="35">
        <f>IFERROR((Data[[#This Row],[Profit non Diskon]]-(Data[[#This Row],[Profit non Diskon]]*Data[[#This Row],[Diskon]])),Data[[#This Row],[Profit non Diskon]])</f>
        <v>540000</v>
      </c>
      <c r="AC387" s="23" t="s">
        <v>6</v>
      </c>
      <c r="AD387" s="37">
        <f>IFERROR(INDEX('Kode Diskon'!$D$3:$D$9,MATCH(Data[[#This Row],[Kode diskon]],'Kode Diskon'!$C$3:$C$9,0)),"-")</f>
        <v>0.1</v>
      </c>
      <c r="AE387" s="23" t="s">
        <v>29</v>
      </c>
      <c r="AF387" s="23" t="s">
        <v>7</v>
      </c>
      <c r="AG387" s="23" t="s">
        <v>80</v>
      </c>
      <c r="AH387" s="24">
        <v>45018</v>
      </c>
      <c r="AI387" s="23" t="str">
        <f>TEXT(Data[[#This Row],[Tanggal terjual]],"dddd")</f>
        <v>Sunday</v>
      </c>
      <c r="AJ387" s="21" t="str">
        <f>TEXT(Data[[#This Row],[Tanggal terjual]],"wwww")</f>
        <v>wwww</v>
      </c>
    </row>
    <row r="388" spans="1:36" x14ac:dyDescent="0.2">
      <c r="A388" s="20">
        <v>387</v>
      </c>
      <c r="B388" s="21" t="str">
        <f>_xlfn.CONCAT("ORD-",INDEX(Helper!$B$2:$B$5,MATCH(Data[[#This Row],[Marketplace]],Helper!$A$2:$A$5,0)),TEXT(Data[[#This Row],[No]],"0000"),"-",TEXT(Data[[#This Row],[Tanggal terjual]],"dd/mm/yy"))</f>
        <v>ORD-SP0387-01/04/23</v>
      </c>
      <c r="C388" t="s">
        <v>62</v>
      </c>
      <c r="D388" t="str">
        <f>IFERROR(INDEX(Katalog!$A$3:$A$12,MATCH(Data[[#This Row],[ItemID A]],Katalog!$C$3:$C$12,0)),"-")</f>
        <v>Pakaian Pria</v>
      </c>
      <c r="E388" t="str">
        <f>IFERROR(INDEX(Katalog!$B$3:$B$12,MATCH(Data[[#This Row],[ItemID A]],Katalog!$C$3:$C$12,0)),"-")</f>
        <v>Celana Pendek</v>
      </c>
      <c r="F388">
        <v>4</v>
      </c>
      <c r="G388">
        <v>3</v>
      </c>
      <c r="H388" s="36">
        <f>IFERROR(INDEX(Katalog!$D$3:$D$12,MATCH(Data[[#This Row],[ItemID A]],Katalog!$C$3:$C$12,0))*Data[[#This Row],[Qty A]],"0")</f>
        <v>720000</v>
      </c>
      <c r="I388" s="36">
        <f>IFERROR(INDEX(Katalog!$F$3:$F$12,MATCH(Data[[#This Row],[ItemID A]],Katalog!$C$3:$C$12,0))*Data[[#This Row],[Qty A]],0)</f>
        <v>280000</v>
      </c>
      <c r="J388" t="s">
        <v>64</v>
      </c>
      <c r="K388" t="str">
        <f>IFERROR(INDEX(Katalog!$A$3:$A$12,MATCH(Data[[#This Row],[ItemID B]],Katalog!$C$3:$C$12,0)),"-")</f>
        <v>Pakaian Unisex</v>
      </c>
      <c r="L388" t="str">
        <f>IFERROR(INDEX(Katalog!$B$3:$B$12,MATCH(Data[[#This Row],[ItemID B]],Katalog!$C$3:$C$12,0)),"-")</f>
        <v>Jaket Hoodie</v>
      </c>
      <c r="M388">
        <v>1</v>
      </c>
      <c r="N388">
        <v>2</v>
      </c>
      <c r="O388" s="36">
        <f>IFERROR(INDEX(Katalog!$D$3:$D$12,MATCH(Data[[#This Row],[ItemID B]],Katalog!$C$3:$C$12,0))*Data[[#This Row],[Qty B]],"0")</f>
        <v>350000</v>
      </c>
      <c r="P388" s="36">
        <f>IFERROR(INDEX(Katalog!$F$3:$F$12,MATCH(Data[[#This Row],[ItemID B]],Katalog!$C$3:$C$12,0))*Data[[#This Row],[Qty B]],"0")</f>
        <v>130000</v>
      </c>
      <c r="Q388" t="s">
        <v>65</v>
      </c>
      <c r="R388" t="str">
        <f>IFERROR(INDEX(Katalog!$A$3:$A$12,MATCH(Data[[#This Row],[ItemID C]],Katalog!$C$3:$C$12,0)),"-")</f>
        <v>Sepatu Pria</v>
      </c>
      <c r="S388" t="str">
        <f>IFERROR(INDEX(Katalog!$B$3:$B$12,MATCH(Data[[#This Row],[ItemID C]],Katalog!$C$3:$C$12,0)),"-")</f>
        <v>Sneakers</v>
      </c>
      <c r="T388">
        <v>2</v>
      </c>
      <c r="U388">
        <v>4</v>
      </c>
      <c r="V388" s="36">
        <f>IFERROR(INDEX(Katalog!$D$3:$D$12,MATCH(Data[[#This Row],[ItemID C]],Katalog!$C$3:$C$12,0))*Data[[#This Row],[Qty C]],"0")</f>
        <v>1000000</v>
      </c>
      <c r="W388" s="36">
        <f>IFERROR(INDEX(Katalog!$F$3:$F$12,MATCH(Data[[#This Row],[ItemID C]],Katalog!$C$3:$C$12,0))*Data[[#This Row],[Qty C]],"0")</f>
        <v>400000</v>
      </c>
      <c r="X388" s="21">
        <f>Data[[#This Row],[Qty A]]+Data[[#This Row],[Qty B]]+Data[[#This Row],[Qty C]]</f>
        <v>7</v>
      </c>
      <c r="Y388" s="22">
        <f>Data[[#This Row],[Harga Barang A]]+Data[[#This Row],[Harga Barang B]]+Data[[#This Row],[Harga Barang C]]</f>
        <v>2070000</v>
      </c>
      <c r="Z388" s="35">
        <f>IFERROR(Data[[#This Row],[Total Harga]]-(Data[[#This Row],[Total Harga]]*Data[[#This Row],[Diskon]]),Data[[#This Row],[Total Harga]])</f>
        <v>1759500</v>
      </c>
      <c r="AA388" s="35">
        <f>(Data[[#This Row],[Profit A]]+Data[[#This Row],[Profit B]]+Data[[#This Row],[Profit C]])</f>
        <v>810000</v>
      </c>
      <c r="AB388" s="35">
        <f>IFERROR((Data[[#This Row],[Profit non Diskon]]-(Data[[#This Row],[Profit non Diskon]]*Data[[#This Row],[Diskon]])),Data[[#This Row],[Profit non Diskon]])</f>
        <v>688500</v>
      </c>
      <c r="AC388" s="23" t="s">
        <v>13</v>
      </c>
      <c r="AD388" s="37">
        <f>IFERROR(INDEX('Kode Diskon'!$D$3:$D$9,MATCH(Data[[#This Row],[Kode diskon]],'Kode Diskon'!$C$3:$C$9,0)),"-")</f>
        <v>0.15</v>
      </c>
      <c r="AE388" s="23" t="s">
        <v>29</v>
      </c>
      <c r="AF388" s="23" t="s">
        <v>7</v>
      </c>
      <c r="AG388" s="23" t="s">
        <v>80</v>
      </c>
      <c r="AH388" s="24">
        <v>45017</v>
      </c>
      <c r="AI388" s="23" t="str">
        <f>TEXT(Data[[#This Row],[Tanggal terjual]],"dddd")</f>
        <v>Saturday</v>
      </c>
      <c r="AJ388" s="21" t="str">
        <f>TEXT(Data[[#This Row],[Tanggal terjual]],"wwww")</f>
        <v>wwww</v>
      </c>
    </row>
    <row r="389" spans="1:36" x14ac:dyDescent="0.2">
      <c r="A389" s="20">
        <v>388</v>
      </c>
      <c r="B389" s="21" t="str">
        <f>_xlfn.CONCAT("ORD-",INDEX(Helper!$B$2:$B$5,MATCH(Data[[#This Row],[Marketplace]],Helper!$A$2:$A$5,0)),TEXT(Data[[#This Row],[No]],"0000"),"-",TEXT(Data[[#This Row],[Tanggal terjual]],"dd/mm/yy"))</f>
        <v>ORD-TK0388-20/04/23</v>
      </c>
      <c r="C389" t="s">
        <v>59</v>
      </c>
      <c r="D389" t="str">
        <f>IFERROR(INDEX(Katalog!$A$3:$A$12,MATCH(Data[[#This Row],[ItemID A]],Katalog!$C$3:$C$12,0)),"-")</f>
        <v>Pakaian Wanita</v>
      </c>
      <c r="E389" t="str">
        <f>IFERROR(INDEX(Katalog!$B$3:$B$12,MATCH(Data[[#This Row],[ItemID A]],Katalog!$C$3:$C$12,0)),"-")</f>
        <v>Blouse</v>
      </c>
      <c r="F389">
        <v>3</v>
      </c>
      <c r="G389">
        <v>5</v>
      </c>
      <c r="H389" s="36">
        <f>IFERROR(INDEX(Katalog!$D$3:$D$12,MATCH(Data[[#This Row],[ItemID A]],Katalog!$C$3:$C$12,0))*Data[[#This Row],[Qty A]],"0")</f>
        <v>450000</v>
      </c>
      <c r="I389" s="36">
        <f>IFERROR(INDEX(Katalog!$F$3:$F$12,MATCH(Data[[#This Row],[ItemID A]],Katalog!$C$3:$C$12,0))*Data[[#This Row],[Qty A]],0)</f>
        <v>150000</v>
      </c>
      <c r="K389" t="str">
        <f>IFERROR(INDEX(Katalog!$A$3:$A$12,MATCH(Data[[#This Row],[ItemID B]],Katalog!$C$3:$C$12,0)),"-")</f>
        <v>-</v>
      </c>
      <c r="L389" t="str">
        <f>IFERROR(INDEX(Katalog!$B$3:$B$12,MATCH(Data[[#This Row],[ItemID B]],Katalog!$C$3:$C$12,0)),"-")</f>
        <v>-</v>
      </c>
      <c r="O389" s="36" t="str">
        <f>IFERROR(INDEX(Katalog!$D$3:$D$12,MATCH(Data[[#This Row],[ItemID B]],Katalog!$C$3:$C$12,0))*Data[[#This Row],[Qty B]],"0")</f>
        <v>0</v>
      </c>
      <c r="P389" s="36" t="str">
        <f>IFERROR(INDEX(Katalog!$F$3:$F$12,MATCH(Data[[#This Row],[ItemID B]],Katalog!$C$3:$C$12,0))*Data[[#This Row],[Qty B]],"0")</f>
        <v>0</v>
      </c>
      <c r="R389" t="str">
        <f>IFERROR(INDEX(Katalog!$A$3:$A$12,MATCH(Data[[#This Row],[ItemID C]],Katalog!$C$3:$C$12,0)),"-")</f>
        <v>-</v>
      </c>
      <c r="S389" t="str">
        <f>IFERROR(INDEX(Katalog!$B$3:$B$12,MATCH(Data[[#This Row],[ItemID C]],Katalog!$C$3:$C$12,0)),"-")</f>
        <v>-</v>
      </c>
      <c r="V389" s="36" t="str">
        <f>IFERROR(INDEX(Katalog!$D$3:$D$12,MATCH(Data[[#This Row],[ItemID C]],Katalog!$C$3:$C$12,0))*Data[[#This Row],[Qty C]],"0")</f>
        <v>0</v>
      </c>
      <c r="W389" s="36" t="str">
        <f>IFERROR(INDEX(Katalog!$F$3:$F$12,MATCH(Data[[#This Row],[ItemID C]],Katalog!$C$3:$C$12,0))*Data[[#This Row],[Qty C]],"0")</f>
        <v>0</v>
      </c>
      <c r="X389" s="21">
        <f>Data[[#This Row],[Qty A]]+Data[[#This Row],[Qty B]]+Data[[#This Row],[Qty C]]</f>
        <v>3</v>
      </c>
      <c r="Y389" s="22">
        <f>Data[[#This Row],[Harga Barang A]]+Data[[#This Row],[Harga Barang B]]+Data[[#This Row],[Harga Barang C]]</f>
        <v>450000</v>
      </c>
      <c r="Z389" s="35">
        <f>IFERROR(Data[[#This Row],[Total Harga]]-(Data[[#This Row],[Total Harga]]*Data[[#This Row],[Diskon]]),Data[[#This Row],[Total Harga]])</f>
        <v>405000</v>
      </c>
      <c r="AA389" s="35">
        <f>(Data[[#This Row],[Profit A]]+Data[[#This Row],[Profit B]]+Data[[#This Row],[Profit C]])</f>
        <v>150000</v>
      </c>
      <c r="AB389" s="35">
        <f>IFERROR((Data[[#This Row],[Profit non Diskon]]-(Data[[#This Row],[Profit non Diskon]]*Data[[#This Row],[Diskon]])),Data[[#This Row],[Profit non Diskon]])</f>
        <v>135000</v>
      </c>
      <c r="AC389" s="23" t="s">
        <v>31</v>
      </c>
      <c r="AD389" s="37">
        <f>IFERROR(INDEX('Kode Diskon'!$D$3:$D$9,MATCH(Data[[#This Row],[Kode diskon]],'Kode Diskon'!$C$3:$C$9,0)),"-")</f>
        <v>0.1</v>
      </c>
      <c r="AE389" s="23" t="s">
        <v>9</v>
      </c>
      <c r="AF389" s="23" t="s">
        <v>10</v>
      </c>
      <c r="AG389" s="23" t="s">
        <v>77</v>
      </c>
      <c r="AH389" s="24">
        <v>45036</v>
      </c>
      <c r="AI389" s="23" t="str">
        <f>TEXT(Data[[#This Row],[Tanggal terjual]],"dddd")</f>
        <v>Thursday</v>
      </c>
      <c r="AJ389" s="21" t="str">
        <f>TEXT(Data[[#This Row],[Tanggal terjual]],"wwww")</f>
        <v>wwww</v>
      </c>
    </row>
    <row r="390" spans="1:36" x14ac:dyDescent="0.2">
      <c r="A390" s="20">
        <v>389</v>
      </c>
      <c r="B390" s="21" t="str">
        <f>_xlfn.CONCAT("ORD-",INDEX(Helper!$B$2:$B$5,MATCH(Data[[#This Row],[Marketplace]],Helper!$A$2:$A$5,0)),TEXT(Data[[#This Row],[No]],"0000"),"-",TEXT(Data[[#This Row],[Tanggal terjual]],"dd/mm/yy"))</f>
        <v>ORD-BL0389-10/04/23</v>
      </c>
      <c r="C390" t="s">
        <v>66</v>
      </c>
      <c r="D390" t="str">
        <f>IFERROR(INDEX(Katalog!$A$3:$A$12,MATCH(Data[[#This Row],[ItemID A]],Katalog!$C$3:$C$12,0)),"-")</f>
        <v>Sepatu Pria</v>
      </c>
      <c r="E390" t="str">
        <f>IFERROR(INDEX(Katalog!$B$3:$B$12,MATCH(Data[[#This Row],[ItemID A]],Katalog!$C$3:$C$12,0)),"-")</f>
        <v>Sandal Slip On</v>
      </c>
      <c r="F390">
        <v>3</v>
      </c>
      <c r="G390">
        <v>2</v>
      </c>
      <c r="H390" s="36">
        <f>IFERROR(INDEX(Katalog!$D$3:$D$12,MATCH(Data[[#This Row],[ItemID A]],Katalog!$C$3:$C$12,0))*Data[[#This Row],[Qty A]],"0")</f>
        <v>450000</v>
      </c>
      <c r="I390" s="36">
        <f>IFERROR(INDEX(Katalog!$F$3:$F$12,MATCH(Data[[#This Row],[ItemID A]],Katalog!$C$3:$C$12,0))*Data[[#This Row],[Qty A]],0)</f>
        <v>180000</v>
      </c>
      <c r="K390" t="str">
        <f>IFERROR(INDEX(Katalog!$A$3:$A$12,MATCH(Data[[#This Row],[ItemID B]],Katalog!$C$3:$C$12,0)),"-")</f>
        <v>-</v>
      </c>
      <c r="L390" t="str">
        <f>IFERROR(INDEX(Katalog!$B$3:$B$12,MATCH(Data[[#This Row],[ItemID B]],Katalog!$C$3:$C$12,0)),"-")</f>
        <v>-</v>
      </c>
      <c r="O390" s="36" t="str">
        <f>IFERROR(INDEX(Katalog!$D$3:$D$12,MATCH(Data[[#This Row],[ItemID B]],Katalog!$C$3:$C$12,0))*Data[[#This Row],[Qty B]],"0")</f>
        <v>0</v>
      </c>
      <c r="P390" s="36" t="str">
        <f>IFERROR(INDEX(Katalog!$F$3:$F$12,MATCH(Data[[#This Row],[ItemID B]],Katalog!$C$3:$C$12,0))*Data[[#This Row],[Qty B]],"0")</f>
        <v>0</v>
      </c>
      <c r="R390" t="str">
        <f>IFERROR(INDEX(Katalog!$A$3:$A$12,MATCH(Data[[#This Row],[ItemID C]],Katalog!$C$3:$C$12,0)),"-")</f>
        <v>-</v>
      </c>
      <c r="S390" t="str">
        <f>IFERROR(INDEX(Katalog!$B$3:$B$12,MATCH(Data[[#This Row],[ItemID C]],Katalog!$C$3:$C$12,0)),"-")</f>
        <v>-</v>
      </c>
      <c r="V390" s="36" t="str">
        <f>IFERROR(INDEX(Katalog!$D$3:$D$12,MATCH(Data[[#This Row],[ItemID C]],Katalog!$C$3:$C$12,0))*Data[[#This Row],[Qty C]],"0")</f>
        <v>0</v>
      </c>
      <c r="W390" s="36" t="str">
        <f>IFERROR(INDEX(Katalog!$F$3:$F$12,MATCH(Data[[#This Row],[ItemID C]],Katalog!$C$3:$C$12,0))*Data[[#This Row],[Qty C]],"0")</f>
        <v>0</v>
      </c>
      <c r="X390" s="21">
        <f>Data[[#This Row],[Qty A]]+Data[[#This Row],[Qty B]]+Data[[#This Row],[Qty C]]</f>
        <v>3</v>
      </c>
      <c r="Y390" s="22">
        <f>Data[[#This Row],[Harga Barang A]]+Data[[#This Row],[Harga Barang B]]+Data[[#This Row],[Harga Barang C]]</f>
        <v>450000</v>
      </c>
      <c r="Z390" s="35">
        <f>IFERROR(Data[[#This Row],[Total Harga]]-(Data[[#This Row],[Total Harga]]*Data[[#This Row],[Diskon]]),Data[[#This Row],[Total Harga]])</f>
        <v>450000</v>
      </c>
      <c r="AA390" s="35">
        <f>(Data[[#This Row],[Profit A]]+Data[[#This Row],[Profit B]]+Data[[#This Row],[Profit C]])</f>
        <v>180000</v>
      </c>
      <c r="AB390" s="35">
        <f>IFERROR((Data[[#This Row],[Profit non Diskon]]-(Data[[#This Row],[Profit non Diskon]]*Data[[#This Row],[Diskon]])),Data[[#This Row],[Profit non Diskon]])</f>
        <v>180000</v>
      </c>
      <c r="AC390" s="23" t="s">
        <v>11</v>
      </c>
      <c r="AD390" s="37" t="str">
        <f>IFERROR(INDEX('Kode Diskon'!$D$3:$D$9,MATCH(Data[[#This Row],[Kode diskon]],'Kode Diskon'!$C$3:$C$9,0)),"-")</f>
        <v>-</v>
      </c>
      <c r="AE390" s="23" t="s">
        <v>11</v>
      </c>
      <c r="AF390" s="23" t="s">
        <v>12</v>
      </c>
      <c r="AG390" s="23" t="s">
        <v>80</v>
      </c>
      <c r="AH390" s="24">
        <v>45026</v>
      </c>
      <c r="AI390" s="23" t="str">
        <f>TEXT(Data[[#This Row],[Tanggal terjual]],"dddd")</f>
        <v>Monday</v>
      </c>
      <c r="AJ390" s="21" t="str">
        <f>TEXT(Data[[#This Row],[Tanggal terjual]],"wwww")</f>
        <v>wwww</v>
      </c>
    </row>
    <row r="391" spans="1:36" x14ac:dyDescent="0.2">
      <c r="A391" s="20">
        <v>390</v>
      </c>
      <c r="B391" s="21" t="str">
        <f>_xlfn.CONCAT("ORD-",INDEX(Helper!$B$2:$B$5,MATCH(Data[[#This Row],[Marketplace]],Helper!$A$2:$A$5,0)),TEXT(Data[[#This Row],[No]],"0000"),"-",TEXT(Data[[#This Row],[Tanggal terjual]],"dd/mm/yy"))</f>
        <v>ORD-SP0390-02/04/23</v>
      </c>
      <c r="C391" t="s">
        <v>60</v>
      </c>
      <c r="D391" t="str">
        <f>IFERROR(INDEX(Katalog!$A$3:$A$12,MATCH(Data[[#This Row],[ItemID A]],Katalog!$C$3:$C$12,0)),"-")</f>
        <v>Pakaian Wanita</v>
      </c>
      <c r="E391" t="str">
        <f>IFERROR(INDEX(Katalog!$B$3:$B$12,MATCH(Data[[#This Row],[ItemID A]],Katalog!$C$3:$C$12,0)),"-")</f>
        <v>Kaftan</v>
      </c>
      <c r="F391">
        <v>2</v>
      </c>
      <c r="G391">
        <v>1</v>
      </c>
      <c r="H391" s="36">
        <f>IFERROR(INDEX(Katalog!$D$3:$D$12,MATCH(Data[[#This Row],[ItemID A]],Katalog!$C$3:$C$12,0))*Data[[#This Row],[Qty A]],"0")</f>
        <v>500000</v>
      </c>
      <c r="I391" s="36">
        <f>IFERROR(INDEX(Katalog!$F$3:$F$12,MATCH(Data[[#This Row],[ItemID A]],Katalog!$C$3:$C$12,0))*Data[[#This Row],[Qty A]],0)</f>
        <v>200000</v>
      </c>
      <c r="K391" t="str">
        <f>IFERROR(INDEX(Katalog!$A$3:$A$12,MATCH(Data[[#This Row],[ItemID B]],Katalog!$C$3:$C$12,0)),"-")</f>
        <v>-</v>
      </c>
      <c r="L391" t="str">
        <f>IFERROR(INDEX(Katalog!$B$3:$B$12,MATCH(Data[[#This Row],[ItemID B]],Katalog!$C$3:$C$12,0)),"-")</f>
        <v>-</v>
      </c>
      <c r="O391" s="36" t="str">
        <f>IFERROR(INDEX(Katalog!$D$3:$D$12,MATCH(Data[[#This Row],[ItemID B]],Katalog!$C$3:$C$12,0))*Data[[#This Row],[Qty B]],"0")</f>
        <v>0</v>
      </c>
      <c r="P391" s="36" t="str">
        <f>IFERROR(INDEX(Katalog!$F$3:$F$12,MATCH(Data[[#This Row],[ItemID B]],Katalog!$C$3:$C$12,0))*Data[[#This Row],[Qty B]],"0")</f>
        <v>0</v>
      </c>
      <c r="R391" t="str">
        <f>IFERROR(INDEX(Katalog!$A$3:$A$12,MATCH(Data[[#This Row],[ItemID C]],Katalog!$C$3:$C$12,0)),"-")</f>
        <v>-</v>
      </c>
      <c r="S391" t="str">
        <f>IFERROR(INDEX(Katalog!$B$3:$B$12,MATCH(Data[[#This Row],[ItemID C]],Katalog!$C$3:$C$12,0)),"-")</f>
        <v>-</v>
      </c>
      <c r="V391" s="36" t="str">
        <f>IFERROR(INDEX(Katalog!$D$3:$D$12,MATCH(Data[[#This Row],[ItemID C]],Katalog!$C$3:$C$12,0))*Data[[#This Row],[Qty C]],"0")</f>
        <v>0</v>
      </c>
      <c r="W391" s="36" t="str">
        <f>IFERROR(INDEX(Katalog!$F$3:$F$12,MATCH(Data[[#This Row],[ItemID C]],Katalog!$C$3:$C$12,0))*Data[[#This Row],[Qty C]],"0")</f>
        <v>0</v>
      </c>
      <c r="X391" s="21">
        <f>Data[[#This Row],[Qty A]]+Data[[#This Row],[Qty B]]+Data[[#This Row],[Qty C]]</f>
        <v>2</v>
      </c>
      <c r="Y391" s="22">
        <f>Data[[#This Row],[Harga Barang A]]+Data[[#This Row],[Harga Barang B]]+Data[[#This Row],[Harga Barang C]]</f>
        <v>500000</v>
      </c>
      <c r="Z391" s="35">
        <f>IFERROR(Data[[#This Row],[Total Harga]]-(Data[[#This Row],[Total Harga]]*Data[[#This Row],[Diskon]]),Data[[#This Row],[Total Harga]])</f>
        <v>425000</v>
      </c>
      <c r="AA391" s="35">
        <f>(Data[[#This Row],[Profit A]]+Data[[#This Row],[Profit B]]+Data[[#This Row],[Profit C]])</f>
        <v>200000</v>
      </c>
      <c r="AB391" s="35">
        <f>IFERROR((Data[[#This Row],[Profit non Diskon]]-(Data[[#This Row],[Profit non Diskon]]*Data[[#This Row],[Diskon]])),Data[[#This Row],[Profit non Diskon]])</f>
        <v>170000</v>
      </c>
      <c r="AC391" s="23" t="s">
        <v>13</v>
      </c>
      <c r="AD391" s="37">
        <f>IFERROR(INDEX('Kode Diskon'!$D$3:$D$9,MATCH(Data[[#This Row],[Kode diskon]],'Kode Diskon'!$C$3:$C$9,0)),"-")</f>
        <v>0.15</v>
      </c>
      <c r="AE391" s="23" t="s">
        <v>29</v>
      </c>
      <c r="AF391" s="23" t="s">
        <v>7</v>
      </c>
      <c r="AG391" s="23" t="s">
        <v>80</v>
      </c>
      <c r="AH391" s="24">
        <v>45018</v>
      </c>
      <c r="AI391" s="23" t="str">
        <f>TEXT(Data[[#This Row],[Tanggal terjual]],"dddd")</f>
        <v>Sunday</v>
      </c>
      <c r="AJ391" s="21" t="str">
        <f>TEXT(Data[[#This Row],[Tanggal terjual]],"wwww")</f>
        <v>wwww</v>
      </c>
    </row>
    <row r="392" spans="1:36" x14ac:dyDescent="0.2">
      <c r="A392" s="20">
        <v>391</v>
      </c>
      <c r="B392" s="21" t="str">
        <f>_xlfn.CONCAT("ORD-",INDEX(Helper!$B$2:$B$5,MATCH(Data[[#This Row],[Marketplace]],Helper!$A$2:$A$5,0)),TEXT(Data[[#This Row],[No]],"0000"),"-",TEXT(Data[[#This Row],[Tanggal terjual]],"dd/mm/yy"))</f>
        <v>ORD-BB0391-14/04/23</v>
      </c>
      <c r="C392" t="s">
        <v>60</v>
      </c>
      <c r="D392" t="str">
        <f>IFERROR(INDEX(Katalog!$A$3:$A$12,MATCH(Data[[#This Row],[ItemID A]],Katalog!$C$3:$C$12,0)),"-")</f>
        <v>Pakaian Wanita</v>
      </c>
      <c r="E392" t="str">
        <f>IFERROR(INDEX(Katalog!$B$3:$B$12,MATCH(Data[[#This Row],[ItemID A]],Katalog!$C$3:$C$12,0)),"-")</f>
        <v>Kaftan</v>
      </c>
      <c r="F392">
        <v>2</v>
      </c>
      <c r="G392">
        <v>1</v>
      </c>
      <c r="H392" s="36">
        <f>IFERROR(INDEX(Katalog!$D$3:$D$12,MATCH(Data[[#This Row],[ItemID A]],Katalog!$C$3:$C$12,0))*Data[[#This Row],[Qty A]],"0")</f>
        <v>500000</v>
      </c>
      <c r="I392" s="36">
        <f>IFERROR(INDEX(Katalog!$F$3:$F$12,MATCH(Data[[#This Row],[ItemID A]],Katalog!$C$3:$C$12,0))*Data[[#This Row],[Qty A]],0)</f>
        <v>200000</v>
      </c>
      <c r="J392" t="s">
        <v>59</v>
      </c>
      <c r="K392" t="str">
        <f>IFERROR(INDEX(Katalog!$A$3:$A$12,MATCH(Data[[#This Row],[ItemID B]],Katalog!$C$3:$C$12,0)),"-")</f>
        <v>Pakaian Wanita</v>
      </c>
      <c r="L392" t="str">
        <f>IFERROR(INDEX(Katalog!$B$3:$B$12,MATCH(Data[[#This Row],[ItemID B]],Katalog!$C$3:$C$12,0)),"-")</f>
        <v>Blouse</v>
      </c>
      <c r="M392">
        <v>1</v>
      </c>
      <c r="N392">
        <v>5</v>
      </c>
      <c r="O392" s="36">
        <f>IFERROR(INDEX(Katalog!$D$3:$D$12,MATCH(Data[[#This Row],[ItemID B]],Katalog!$C$3:$C$12,0))*Data[[#This Row],[Qty B]],"0")</f>
        <v>150000</v>
      </c>
      <c r="P392" s="36">
        <f>IFERROR(INDEX(Katalog!$F$3:$F$12,MATCH(Data[[#This Row],[ItemID B]],Katalog!$C$3:$C$12,0))*Data[[#This Row],[Qty B]],"0")</f>
        <v>50000</v>
      </c>
      <c r="Q392" t="s">
        <v>58</v>
      </c>
      <c r="R392" t="str">
        <f>IFERROR(INDEX(Katalog!$A$3:$A$12,MATCH(Data[[#This Row],[ItemID C]],Katalog!$C$3:$C$12,0)),"-")</f>
        <v>Pakaian Wanita</v>
      </c>
      <c r="S392" t="str">
        <f>IFERROR(INDEX(Katalog!$B$3:$B$12,MATCH(Data[[#This Row],[ItemID C]],Katalog!$C$3:$C$12,0)),"-")</f>
        <v>Dress</v>
      </c>
      <c r="T392">
        <v>2</v>
      </c>
      <c r="U392">
        <v>3</v>
      </c>
      <c r="V392" s="36">
        <f>IFERROR(INDEX(Katalog!$D$3:$D$12,MATCH(Data[[#This Row],[ItemID C]],Katalog!$C$3:$C$12,0))*Data[[#This Row],[Qty C]],"0")</f>
        <v>600000</v>
      </c>
      <c r="W392" s="36">
        <f>IFERROR(INDEX(Katalog!$F$3:$F$12,MATCH(Data[[#This Row],[ItemID C]],Katalog!$C$3:$C$12,0))*Data[[#This Row],[Qty C]],"0")</f>
        <v>200000</v>
      </c>
      <c r="X392" s="21">
        <f>Data[[#This Row],[Qty A]]+Data[[#This Row],[Qty B]]+Data[[#This Row],[Qty C]]</f>
        <v>5</v>
      </c>
      <c r="Y392" s="22">
        <f>Data[[#This Row],[Harga Barang A]]+Data[[#This Row],[Harga Barang B]]+Data[[#This Row],[Harga Barang C]]</f>
        <v>1250000</v>
      </c>
      <c r="Z392" s="35">
        <f>IFERROR(Data[[#This Row],[Total Harga]]-(Data[[#This Row],[Total Harga]]*Data[[#This Row],[Diskon]]),Data[[#This Row],[Total Harga]])</f>
        <v>1250000</v>
      </c>
      <c r="AA392" s="35">
        <f>(Data[[#This Row],[Profit A]]+Data[[#This Row],[Profit B]]+Data[[#This Row],[Profit C]])</f>
        <v>450000</v>
      </c>
      <c r="AB392" s="35">
        <f>IFERROR((Data[[#This Row],[Profit non Diskon]]-(Data[[#This Row],[Profit non Diskon]]*Data[[#This Row],[Diskon]])),Data[[#This Row],[Profit non Diskon]])</f>
        <v>450000</v>
      </c>
      <c r="AC392" s="23" t="s">
        <v>11</v>
      </c>
      <c r="AD392" s="37" t="str">
        <f>IFERROR(INDEX('Kode Diskon'!$D$3:$D$9,MATCH(Data[[#This Row],[Kode diskon]],'Kode Diskon'!$C$3:$C$9,0)),"-")</f>
        <v>-</v>
      </c>
      <c r="AE392" s="23" t="s">
        <v>11</v>
      </c>
      <c r="AF392" s="23" t="s">
        <v>14</v>
      </c>
      <c r="AG392" s="23" t="s">
        <v>80</v>
      </c>
      <c r="AH392" s="24">
        <v>45030</v>
      </c>
      <c r="AI392" s="23" t="str">
        <f>TEXT(Data[[#This Row],[Tanggal terjual]],"dddd")</f>
        <v>Friday</v>
      </c>
      <c r="AJ392" s="21" t="str">
        <f>TEXT(Data[[#This Row],[Tanggal terjual]],"wwww")</f>
        <v>wwww</v>
      </c>
    </row>
    <row r="393" spans="1:36" x14ac:dyDescent="0.2">
      <c r="A393" s="20">
        <v>392</v>
      </c>
      <c r="B393" s="21" t="str">
        <f>_xlfn.CONCAT("ORD-",INDEX(Helper!$B$2:$B$5,MATCH(Data[[#This Row],[Marketplace]],Helper!$A$2:$A$5,0)),TEXT(Data[[#This Row],[No]],"0000"),"-",TEXT(Data[[#This Row],[Tanggal terjual]],"dd/mm/yy"))</f>
        <v>ORD-SP0392-22/04/23</v>
      </c>
      <c r="C393" t="s">
        <v>62</v>
      </c>
      <c r="D393" t="str">
        <f>IFERROR(INDEX(Katalog!$A$3:$A$12,MATCH(Data[[#This Row],[ItemID A]],Katalog!$C$3:$C$12,0)),"-")</f>
        <v>Pakaian Pria</v>
      </c>
      <c r="E393" t="str">
        <f>IFERROR(INDEX(Katalog!$B$3:$B$12,MATCH(Data[[#This Row],[ItemID A]],Katalog!$C$3:$C$12,0)),"-")</f>
        <v>Celana Pendek</v>
      </c>
      <c r="F393">
        <v>1</v>
      </c>
      <c r="G393">
        <v>4</v>
      </c>
      <c r="H393" s="36">
        <f>IFERROR(INDEX(Katalog!$D$3:$D$12,MATCH(Data[[#This Row],[ItemID A]],Katalog!$C$3:$C$12,0))*Data[[#This Row],[Qty A]],"0")</f>
        <v>180000</v>
      </c>
      <c r="I393" s="36">
        <f>IFERROR(INDEX(Katalog!$F$3:$F$12,MATCH(Data[[#This Row],[ItemID A]],Katalog!$C$3:$C$12,0))*Data[[#This Row],[Qty A]],0)</f>
        <v>70000</v>
      </c>
      <c r="K393" t="str">
        <f>IFERROR(INDEX(Katalog!$A$3:$A$12,MATCH(Data[[#This Row],[ItemID B]],Katalog!$C$3:$C$12,0)),"-")</f>
        <v>-</v>
      </c>
      <c r="L393" t="str">
        <f>IFERROR(INDEX(Katalog!$B$3:$B$12,MATCH(Data[[#This Row],[ItemID B]],Katalog!$C$3:$C$12,0)),"-")</f>
        <v>-</v>
      </c>
      <c r="O393" s="36" t="str">
        <f>IFERROR(INDEX(Katalog!$D$3:$D$12,MATCH(Data[[#This Row],[ItemID B]],Katalog!$C$3:$C$12,0))*Data[[#This Row],[Qty B]],"0")</f>
        <v>0</v>
      </c>
      <c r="P393" s="36" t="str">
        <f>IFERROR(INDEX(Katalog!$F$3:$F$12,MATCH(Data[[#This Row],[ItemID B]],Katalog!$C$3:$C$12,0))*Data[[#This Row],[Qty B]],"0")</f>
        <v>0</v>
      </c>
      <c r="R393" t="str">
        <f>IFERROR(INDEX(Katalog!$A$3:$A$12,MATCH(Data[[#This Row],[ItemID C]],Katalog!$C$3:$C$12,0)),"-")</f>
        <v>-</v>
      </c>
      <c r="S393" t="str">
        <f>IFERROR(INDEX(Katalog!$B$3:$B$12,MATCH(Data[[#This Row],[ItemID C]],Katalog!$C$3:$C$12,0)),"-")</f>
        <v>-</v>
      </c>
      <c r="V393" s="36" t="str">
        <f>IFERROR(INDEX(Katalog!$D$3:$D$12,MATCH(Data[[#This Row],[ItemID C]],Katalog!$C$3:$C$12,0))*Data[[#This Row],[Qty C]],"0")</f>
        <v>0</v>
      </c>
      <c r="W393" s="36" t="str">
        <f>IFERROR(INDEX(Katalog!$F$3:$F$12,MATCH(Data[[#This Row],[ItemID C]],Katalog!$C$3:$C$12,0))*Data[[#This Row],[Qty C]],"0")</f>
        <v>0</v>
      </c>
      <c r="X393" s="21">
        <f>Data[[#This Row],[Qty A]]+Data[[#This Row],[Qty B]]+Data[[#This Row],[Qty C]]</f>
        <v>1</v>
      </c>
      <c r="Y393" s="22">
        <f>Data[[#This Row],[Harga Barang A]]+Data[[#This Row],[Harga Barang B]]+Data[[#This Row],[Harga Barang C]]</f>
        <v>180000</v>
      </c>
      <c r="Z393" s="35">
        <f>IFERROR(Data[[#This Row],[Total Harga]]-(Data[[#This Row],[Total Harga]]*Data[[#This Row],[Diskon]]),Data[[#This Row],[Total Harga]])</f>
        <v>144000</v>
      </c>
      <c r="AA393" s="35">
        <f>(Data[[#This Row],[Profit A]]+Data[[#This Row],[Profit B]]+Data[[#This Row],[Profit C]])</f>
        <v>70000</v>
      </c>
      <c r="AB393" s="35">
        <f>IFERROR((Data[[#This Row],[Profit non Diskon]]-(Data[[#This Row],[Profit non Diskon]]*Data[[#This Row],[Diskon]])),Data[[#This Row],[Profit non Diskon]])</f>
        <v>56000</v>
      </c>
      <c r="AC393" s="23" t="s">
        <v>8</v>
      </c>
      <c r="AD393" s="37">
        <f>IFERROR(INDEX('Kode Diskon'!$D$3:$D$9,MATCH(Data[[#This Row],[Kode diskon]],'Kode Diskon'!$C$3:$C$9,0)),"-")</f>
        <v>0.2</v>
      </c>
      <c r="AE393" s="23" t="s">
        <v>9</v>
      </c>
      <c r="AF393" s="23" t="s">
        <v>7</v>
      </c>
      <c r="AG393" s="23" t="s">
        <v>75</v>
      </c>
      <c r="AH393" s="24">
        <v>45038</v>
      </c>
      <c r="AI393" s="23" t="str">
        <f>TEXT(Data[[#This Row],[Tanggal terjual]],"dddd")</f>
        <v>Saturday</v>
      </c>
      <c r="AJ393" s="21" t="str">
        <f>TEXT(Data[[#This Row],[Tanggal terjual]],"wwww")</f>
        <v>wwww</v>
      </c>
    </row>
    <row r="394" spans="1:36" x14ac:dyDescent="0.2">
      <c r="A394" s="20">
        <v>393</v>
      </c>
      <c r="B394" s="21" t="str">
        <f>_xlfn.CONCAT("ORD-",INDEX(Helper!$B$2:$B$5,MATCH(Data[[#This Row],[Marketplace]],Helper!$A$2:$A$5,0)),TEXT(Data[[#This Row],[No]],"0000"),"-",TEXT(Data[[#This Row],[Tanggal terjual]],"dd/mm/yy"))</f>
        <v>ORD-BL0393-22/04/23</v>
      </c>
      <c r="C394" t="s">
        <v>64</v>
      </c>
      <c r="D394" t="str">
        <f>IFERROR(INDEX(Katalog!$A$3:$A$12,MATCH(Data[[#This Row],[ItemID A]],Katalog!$C$3:$C$12,0)),"-")</f>
        <v>Pakaian Unisex</v>
      </c>
      <c r="E394" t="str">
        <f>IFERROR(INDEX(Katalog!$B$3:$B$12,MATCH(Data[[#This Row],[ItemID A]],Katalog!$C$3:$C$12,0)),"-")</f>
        <v>Jaket Hoodie</v>
      </c>
      <c r="F394">
        <v>4</v>
      </c>
      <c r="G394">
        <v>2</v>
      </c>
      <c r="H394" s="36">
        <f>IFERROR(INDEX(Katalog!$D$3:$D$12,MATCH(Data[[#This Row],[ItemID A]],Katalog!$C$3:$C$12,0))*Data[[#This Row],[Qty A]],"0")</f>
        <v>1400000</v>
      </c>
      <c r="I394" s="36">
        <f>IFERROR(INDEX(Katalog!$F$3:$F$12,MATCH(Data[[#This Row],[ItemID A]],Katalog!$C$3:$C$12,0))*Data[[#This Row],[Qty A]],0)</f>
        <v>520000</v>
      </c>
      <c r="J394" t="s">
        <v>63</v>
      </c>
      <c r="K394" t="str">
        <f>IFERROR(INDEX(Katalog!$A$3:$A$12,MATCH(Data[[#This Row],[ItemID B]],Katalog!$C$3:$C$12,0)),"-")</f>
        <v>Pakaian Pria</v>
      </c>
      <c r="L394" t="str">
        <f>IFERROR(INDEX(Katalog!$B$3:$B$12,MATCH(Data[[#This Row],[ItemID B]],Katalog!$C$3:$C$12,0)),"-")</f>
        <v>Jaket Jeans</v>
      </c>
      <c r="M394">
        <v>2</v>
      </c>
      <c r="N394">
        <v>4</v>
      </c>
      <c r="O394" s="36">
        <f>IFERROR(INDEX(Katalog!$D$3:$D$12,MATCH(Data[[#This Row],[ItemID B]],Katalog!$C$3:$C$12,0))*Data[[#This Row],[Qty B]],"0")</f>
        <v>800000</v>
      </c>
      <c r="P394" s="36">
        <f>IFERROR(INDEX(Katalog!$F$3:$F$12,MATCH(Data[[#This Row],[ItemID B]],Katalog!$C$3:$C$12,0))*Data[[#This Row],[Qty B]],"0")</f>
        <v>300000</v>
      </c>
      <c r="Q394" t="s">
        <v>64</v>
      </c>
      <c r="R394" t="str">
        <f>IFERROR(INDEX(Katalog!$A$3:$A$12,MATCH(Data[[#This Row],[ItemID C]],Katalog!$C$3:$C$12,0)),"-")</f>
        <v>Pakaian Unisex</v>
      </c>
      <c r="S394" t="str">
        <f>IFERROR(INDEX(Katalog!$B$3:$B$12,MATCH(Data[[#This Row],[ItemID C]],Katalog!$C$3:$C$12,0)),"-")</f>
        <v>Jaket Hoodie</v>
      </c>
      <c r="T394">
        <v>1</v>
      </c>
      <c r="U394">
        <v>5</v>
      </c>
      <c r="V394" s="36">
        <f>IFERROR(INDEX(Katalog!$D$3:$D$12,MATCH(Data[[#This Row],[ItemID C]],Katalog!$C$3:$C$12,0))*Data[[#This Row],[Qty C]],"0")</f>
        <v>350000</v>
      </c>
      <c r="W394" s="36">
        <f>IFERROR(INDEX(Katalog!$F$3:$F$12,MATCH(Data[[#This Row],[ItemID C]],Katalog!$C$3:$C$12,0))*Data[[#This Row],[Qty C]],"0")</f>
        <v>130000</v>
      </c>
      <c r="X394" s="21">
        <f>Data[[#This Row],[Qty A]]+Data[[#This Row],[Qty B]]+Data[[#This Row],[Qty C]]</f>
        <v>7</v>
      </c>
      <c r="Y394" s="22">
        <f>Data[[#This Row],[Harga Barang A]]+Data[[#This Row],[Harga Barang B]]+Data[[#This Row],[Harga Barang C]]</f>
        <v>2550000</v>
      </c>
      <c r="Z394" s="35">
        <f>IFERROR(Data[[#This Row],[Total Harga]]-(Data[[#This Row],[Total Harga]]*Data[[#This Row],[Diskon]]),Data[[#This Row],[Total Harga]])</f>
        <v>2167500</v>
      </c>
      <c r="AA394" s="35">
        <f>(Data[[#This Row],[Profit A]]+Data[[#This Row],[Profit B]]+Data[[#This Row],[Profit C]])</f>
        <v>950000</v>
      </c>
      <c r="AB394" s="35">
        <f>IFERROR((Data[[#This Row],[Profit non Diskon]]-(Data[[#This Row],[Profit non Diskon]]*Data[[#This Row],[Diskon]])),Data[[#This Row],[Profit non Diskon]])</f>
        <v>807500</v>
      </c>
      <c r="AC394" s="23" t="s">
        <v>32</v>
      </c>
      <c r="AD394" s="37">
        <f>IFERROR(INDEX('Kode Diskon'!$D$3:$D$9,MATCH(Data[[#This Row],[Kode diskon]],'Kode Diskon'!$C$3:$C$9,0)),"-")</f>
        <v>0.15</v>
      </c>
      <c r="AE394" s="23" t="s">
        <v>9</v>
      </c>
      <c r="AF394" s="23" t="s">
        <v>12</v>
      </c>
      <c r="AG394" s="23" t="s">
        <v>76</v>
      </c>
      <c r="AH394" s="24">
        <v>45038</v>
      </c>
      <c r="AI394" s="23" t="str">
        <f>TEXT(Data[[#This Row],[Tanggal terjual]],"dddd")</f>
        <v>Saturday</v>
      </c>
      <c r="AJ394" s="21" t="str">
        <f>TEXT(Data[[#This Row],[Tanggal terjual]],"wwww")</f>
        <v>wwww</v>
      </c>
    </row>
    <row r="395" spans="1:36" x14ac:dyDescent="0.2">
      <c r="A395" s="20">
        <v>394</v>
      </c>
      <c r="B395" s="21" t="str">
        <f>_xlfn.CONCAT("ORD-",INDEX(Helper!$B$2:$B$5,MATCH(Data[[#This Row],[Marketplace]],Helper!$A$2:$A$5,0)),TEXT(Data[[#This Row],[No]],"0000"),"-",TEXT(Data[[#This Row],[Tanggal terjual]],"dd/mm/yy"))</f>
        <v>ORD-TK0394-03/04/23</v>
      </c>
      <c r="C395" t="s">
        <v>62</v>
      </c>
      <c r="D395" t="str">
        <f>IFERROR(INDEX(Katalog!$A$3:$A$12,MATCH(Data[[#This Row],[ItemID A]],Katalog!$C$3:$C$12,0)),"-")</f>
        <v>Pakaian Pria</v>
      </c>
      <c r="E395" t="str">
        <f>IFERROR(INDEX(Katalog!$B$3:$B$12,MATCH(Data[[#This Row],[ItemID A]],Katalog!$C$3:$C$12,0)),"-")</f>
        <v>Celana Pendek</v>
      </c>
      <c r="F395">
        <v>1</v>
      </c>
      <c r="G395">
        <v>2</v>
      </c>
      <c r="H395" s="36">
        <f>IFERROR(INDEX(Katalog!$D$3:$D$12,MATCH(Data[[#This Row],[ItemID A]],Katalog!$C$3:$C$12,0))*Data[[#This Row],[Qty A]],"0")</f>
        <v>180000</v>
      </c>
      <c r="I395" s="36">
        <f>IFERROR(INDEX(Katalog!$F$3:$F$12,MATCH(Data[[#This Row],[ItemID A]],Katalog!$C$3:$C$12,0))*Data[[#This Row],[Qty A]],0)</f>
        <v>70000</v>
      </c>
      <c r="J395" t="s">
        <v>65</v>
      </c>
      <c r="K395" t="str">
        <f>IFERROR(INDEX(Katalog!$A$3:$A$12,MATCH(Data[[#This Row],[ItemID B]],Katalog!$C$3:$C$12,0)),"-")</f>
        <v>Sepatu Pria</v>
      </c>
      <c r="L395" t="str">
        <f>IFERROR(INDEX(Katalog!$B$3:$B$12,MATCH(Data[[#This Row],[ItemID B]],Katalog!$C$3:$C$12,0)),"-")</f>
        <v>Sneakers</v>
      </c>
      <c r="M395">
        <v>1</v>
      </c>
      <c r="N395">
        <v>1</v>
      </c>
      <c r="O395" s="36">
        <f>IFERROR(INDEX(Katalog!$D$3:$D$12,MATCH(Data[[#This Row],[ItemID B]],Katalog!$C$3:$C$12,0))*Data[[#This Row],[Qty B]],"0")</f>
        <v>500000</v>
      </c>
      <c r="P395" s="36">
        <f>IFERROR(INDEX(Katalog!$F$3:$F$12,MATCH(Data[[#This Row],[ItemID B]],Katalog!$C$3:$C$12,0))*Data[[#This Row],[Qty B]],"0")</f>
        <v>200000</v>
      </c>
      <c r="Q395" t="s">
        <v>64</v>
      </c>
      <c r="R395" t="str">
        <f>IFERROR(INDEX(Katalog!$A$3:$A$12,MATCH(Data[[#This Row],[ItemID C]],Katalog!$C$3:$C$12,0)),"-")</f>
        <v>Pakaian Unisex</v>
      </c>
      <c r="S395" t="str">
        <f>IFERROR(INDEX(Katalog!$B$3:$B$12,MATCH(Data[[#This Row],[ItemID C]],Katalog!$C$3:$C$12,0)),"-")</f>
        <v>Jaket Hoodie</v>
      </c>
      <c r="T395">
        <v>1</v>
      </c>
      <c r="U395">
        <v>2</v>
      </c>
      <c r="V395" s="36">
        <f>IFERROR(INDEX(Katalog!$D$3:$D$12,MATCH(Data[[#This Row],[ItemID C]],Katalog!$C$3:$C$12,0))*Data[[#This Row],[Qty C]],"0")</f>
        <v>350000</v>
      </c>
      <c r="W395" s="36">
        <f>IFERROR(INDEX(Katalog!$F$3:$F$12,MATCH(Data[[#This Row],[ItemID C]],Katalog!$C$3:$C$12,0))*Data[[#This Row],[Qty C]],"0")</f>
        <v>130000</v>
      </c>
      <c r="X395" s="21">
        <f>Data[[#This Row],[Qty A]]+Data[[#This Row],[Qty B]]+Data[[#This Row],[Qty C]]</f>
        <v>3</v>
      </c>
      <c r="Y395" s="22">
        <f>Data[[#This Row],[Harga Barang A]]+Data[[#This Row],[Harga Barang B]]+Data[[#This Row],[Harga Barang C]]</f>
        <v>1030000</v>
      </c>
      <c r="Z395" s="35">
        <f>IFERROR(Data[[#This Row],[Total Harga]]-(Data[[#This Row],[Total Harga]]*Data[[#This Row],[Diskon]]),Data[[#This Row],[Total Harga]])</f>
        <v>927000</v>
      </c>
      <c r="AA395" s="35">
        <f>(Data[[#This Row],[Profit A]]+Data[[#This Row],[Profit B]]+Data[[#This Row],[Profit C]])</f>
        <v>400000</v>
      </c>
      <c r="AB395" s="35">
        <f>IFERROR((Data[[#This Row],[Profit non Diskon]]-(Data[[#This Row],[Profit non Diskon]]*Data[[#This Row],[Diskon]])),Data[[#This Row],[Profit non Diskon]])</f>
        <v>360000</v>
      </c>
      <c r="AC395" s="23" t="s">
        <v>30</v>
      </c>
      <c r="AD395" s="37">
        <f>IFERROR(INDEX('Kode Diskon'!$D$3:$D$9,MATCH(Data[[#This Row],[Kode diskon]],'Kode Diskon'!$C$3:$C$9,0)),"-")</f>
        <v>0.1</v>
      </c>
      <c r="AE395" s="23" t="s">
        <v>29</v>
      </c>
      <c r="AF395" s="23" t="s">
        <v>10</v>
      </c>
      <c r="AG395" s="23" t="s">
        <v>78</v>
      </c>
      <c r="AH395" s="24">
        <v>45019</v>
      </c>
      <c r="AI395" s="23" t="str">
        <f>TEXT(Data[[#This Row],[Tanggal terjual]],"dddd")</f>
        <v>Monday</v>
      </c>
      <c r="AJ395" s="21" t="str">
        <f>TEXT(Data[[#This Row],[Tanggal terjual]],"wwww")</f>
        <v>wwww</v>
      </c>
    </row>
    <row r="396" spans="1:36" x14ac:dyDescent="0.2">
      <c r="A396" s="20">
        <v>395</v>
      </c>
      <c r="B396" s="21" t="str">
        <f>_xlfn.CONCAT("ORD-",INDEX(Helper!$B$2:$B$5,MATCH(Data[[#This Row],[Marketplace]],Helper!$A$2:$A$5,0)),TEXT(Data[[#This Row],[No]],"0000"),"-",TEXT(Data[[#This Row],[Tanggal terjual]],"dd/mm/yy"))</f>
        <v>ORD-TK0395-27/04/23</v>
      </c>
      <c r="C396" t="s">
        <v>65</v>
      </c>
      <c r="D396" t="str">
        <f>IFERROR(INDEX(Katalog!$A$3:$A$12,MATCH(Data[[#This Row],[ItemID A]],Katalog!$C$3:$C$12,0)),"-")</f>
        <v>Sepatu Pria</v>
      </c>
      <c r="E396" t="str">
        <f>IFERROR(INDEX(Katalog!$B$3:$B$12,MATCH(Data[[#This Row],[ItemID A]],Katalog!$C$3:$C$12,0)),"-")</f>
        <v>Sneakers</v>
      </c>
      <c r="F396">
        <v>1</v>
      </c>
      <c r="G396">
        <v>3</v>
      </c>
      <c r="H396" s="36">
        <f>IFERROR(INDEX(Katalog!$D$3:$D$12,MATCH(Data[[#This Row],[ItemID A]],Katalog!$C$3:$C$12,0))*Data[[#This Row],[Qty A]],"0")</f>
        <v>500000</v>
      </c>
      <c r="I396" s="36">
        <f>IFERROR(INDEX(Katalog!$F$3:$F$12,MATCH(Data[[#This Row],[ItemID A]],Katalog!$C$3:$C$12,0))*Data[[#This Row],[Qty A]],0)</f>
        <v>200000</v>
      </c>
      <c r="K396" t="str">
        <f>IFERROR(INDEX(Katalog!$A$3:$A$12,MATCH(Data[[#This Row],[ItemID B]],Katalog!$C$3:$C$12,0)),"-")</f>
        <v>-</v>
      </c>
      <c r="L396" t="str">
        <f>IFERROR(INDEX(Katalog!$B$3:$B$12,MATCH(Data[[#This Row],[ItemID B]],Katalog!$C$3:$C$12,0)),"-")</f>
        <v>-</v>
      </c>
      <c r="O396" s="36" t="str">
        <f>IFERROR(INDEX(Katalog!$D$3:$D$12,MATCH(Data[[#This Row],[ItemID B]],Katalog!$C$3:$C$12,0))*Data[[#This Row],[Qty B]],"0")</f>
        <v>0</v>
      </c>
      <c r="P396" s="36" t="str">
        <f>IFERROR(INDEX(Katalog!$F$3:$F$12,MATCH(Data[[#This Row],[ItemID B]],Katalog!$C$3:$C$12,0))*Data[[#This Row],[Qty B]],"0")</f>
        <v>0</v>
      </c>
      <c r="R396" t="str">
        <f>IFERROR(INDEX(Katalog!$A$3:$A$12,MATCH(Data[[#This Row],[ItemID C]],Katalog!$C$3:$C$12,0)),"-")</f>
        <v>-</v>
      </c>
      <c r="S396" t="str">
        <f>IFERROR(INDEX(Katalog!$B$3:$B$12,MATCH(Data[[#This Row],[ItemID C]],Katalog!$C$3:$C$12,0)),"-")</f>
        <v>-</v>
      </c>
      <c r="V396" s="36" t="str">
        <f>IFERROR(INDEX(Katalog!$D$3:$D$12,MATCH(Data[[#This Row],[ItemID C]],Katalog!$C$3:$C$12,0))*Data[[#This Row],[Qty C]],"0")</f>
        <v>0</v>
      </c>
      <c r="W396" s="36" t="str">
        <f>IFERROR(INDEX(Katalog!$F$3:$F$12,MATCH(Data[[#This Row],[ItemID C]],Katalog!$C$3:$C$12,0))*Data[[#This Row],[Qty C]],"0")</f>
        <v>0</v>
      </c>
      <c r="X396" s="21">
        <f>Data[[#This Row],[Qty A]]+Data[[#This Row],[Qty B]]+Data[[#This Row],[Qty C]]</f>
        <v>1</v>
      </c>
      <c r="Y396" s="22">
        <f>Data[[#This Row],[Harga Barang A]]+Data[[#This Row],[Harga Barang B]]+Data[[#This Row],[Harga Barang C]]</f>
        <v>500000</v>
      </c>
      <c r="Z396" s="35">
        <f>IFERROR(Data[[#This Row],[Total Harga]]-(Data[[#This Row],[Total Harga]]*Data[[#This Row],[Diskon]]),Data[[#This Row],[Total Harga]])</f>
        <v>450000</v>
      </c>
      <c r="AA396" s="35">
        <f>(Data[[#This Row],[Profit A]]+Data[[#This Row],[Profit B]]+Data[[#This Row],[Profit C]])</f>
        <v>200000</v>
      </c>
      <c r="AB396" s="35">
        <f>IFERROR((Data[[#This Row],[Profit non Diskon]]-(Data[[#This Row],[Profit non Diskon]]*Data[[#This Row],[Diskon]])),Data[[#This Row],[Profit non Diskon]])</f>
        <v>180000</v>
      </c>
      <c r="AC396" s="23" t="s">
        <v>31</v>
      </c>
      <c r="AD396" s="37">
        <f>IFERROR(INDEX('Kode Diskon'!$D$3:$D$9,MATCH(Data[[#This Row],[Kode diskon]],'Kode Diskon'!$C$3:$C$9,0)),"-")</f>
        <v>0.1</v>
      </c>
      <c r="AE396" s="23" t="s">
        <v>9</v>
      </c>
      <c r="AF396" s="23" t="s">
        <v>10</v>
      </c>
      <c r="AG396" s="23" t="s">
        <v>77</v>
      </c>
      <c r="AH396" s="24">
        <v>45043</v>
      </c>
      <c r="AI396" s="23" t="str">
        <f>TEXT(Data[[#This Row],[Tanggal terjual]],"dddd")</f>
        <v>Thursday</v>
      </c>
      <c r="AJ396" s="21" t="str">
        <f>TEXT(Data[[#This Row],[Tanggal terjual]],"wwww")</f>
        <v>wwww</v>
      </c>
    </row>
    <row r="397" spans="1:36" x14ac:dyDescent="0.2">
      <c r="A397" s="20">
        <v>396</v>
      </c>
      <c r="B397" s="21" t="str">
        <f>_xlfn.CONCAT("ORD-",INDEX(Helper!$B$2:$B$5,MATCH(Data[[#This Row],[Marketplace]],Helper!$A$2:$A$5,0)),TEXT(Data[[#This Row],[No]],"0000"),"-",TEXT(Data[[#This Row],[Tanggal terjual]],"dd/mm/yy"))</f>
        <v>ORD-SP0396-04/04/23</v>
      </c>
      <c r="C397" t="s">
        <v>58</v>
      </c>
      <c r="D397" t="str">
        <f>IFERROR(INDEX(Katalog!$A$3:$A$12,MATCH(Data[[#This Row],[ItemID A]],Katalog!$C$3:$C$12,0)),"-")</f>
        <v>Pakaian Wanita</v>
      </c>
      <c r="E397" t="str">
        <f>IFERROR(INDEX(Katalog!$B$3:$B$12,MATCH(Data[[#This Row],[ItemID A]],Katalog!$C$3:$C$12,0)),"-")</f>
        <v>Dress</v>
      </c>
      <c r="F397">
        <v>1</v>
      </c>
      <c r="G397">
        <v>3</v>
      </c>
      <c r="H397" s="36">
        <f>IFERROR(INDEX(Katalog!$D$3:$D$12,MATCH(Data[[#This Row],[ItemID A]],Katalog!$C$3:$C$12,0))*Data[[#This Row],[Qty A]],"0")</f>
        <v>300000</v>
      </c>
      <c r="I397" s="36">
        <f>IFERROR(INDEX(Katalog!$F$3:$F$12,MATCH(Data[[#This Row],[ItemID A]],Katalog!$C$3:$C$12,0))*Data[[#This Row],[Qty A]],0)</f>
        <v>100000</v>
      </c>
      <c r="J397" t="s">
        <v>59</v>
      </c>
      <c r="K397" t="str">
        <f>IFERROR(INDEX(Katalog!$A$3:$A$12,MATCH(Data[[#This Row],[ItemID B]],Katalog!$C$3:$C$12,0)),"-")</f>
        <v>Pakaian Wanita</v>
      </c>
      <c r="L397" t="str">
        <f>IFERROR(INDEX(Katalog!$B$3:$B$12,MATCH(Data[[#This Row],[ItemID B]],Katalog!$C$3:$C$12,0)),"-")</f>
        <v>Blouse</v>
      </c>
      <c r="M397">
        <v>1</v>
      </c>
      <c r="N397">
        <v>3</v>
      </c>
      <c r="O397" s="36">
        <f>IFERROR(INDEX(Katalog!$D$3:$D$12,MATCH(Data[[#This Row],[ItemID B]],Katalog!$C$3:$C$12,0))*Data[[#This Row],[Qty B]],"0")</f>
        <v>150000</v>
      </c>
      <c r="P397" s="36">
        <f>IFERROR(INDEX(Katalog!$F$3:$F$12,MATCH(Data[[#This Row],[ItemID B]],Katalog!$C$3:$C$12,0))*Data[[#This Row],[Qty B]],"0")</f>
        <v>50000</v>
      </c>
      <c r="Q397" t="s">
        <v>64</v>
      </c>
      <c r="R397" t="str">
        <f>IFERROR(INDEX(Katalog!$A$3:$A$12,MATCH(Data[[#This Row],[ItemID C]],Katalog!$C$3:$C$12,0)),"-")</f>
        <v>Pakaian Unisex</v>
      </c>
      <c r="S397" t="str">
        <f>IFERROR(INDEX(Katalog!$B$3:$B$12,MATCH(Data[[#This Row],[ItemID C]],Katalog!$C$3:$C$12,0)),"-")</f>
        <v>Jaket Hoodie</v>
      </c>
      <c r="T397">
        <v>3</v>
      </c>
      <c r="U397">
        <v>3</v>
      </c>
      <c r="V397" s="36">
        <f>IFERROR(INDEX(Katalog!$D$3:$D$12,MATCH(Data[[#This Row],[ItemID C]],Katalog!$C$3:$C$12,0))*Data[[#This Row],[Qty C]],"0")</f>
        <v>1050000</v>
      </c>
      <c r="W397" s="36">
        <f>IFERROR(INDEX(Katalog!$F$3:$F$12,MATCH(Data[[#This Row],[ItemID C]],Katalog!$C$3:$C$12,0))*Data[[#This Row],[Qty C]],"0")</f>
        <v>390000</v>
      </c>
      <c r="X397" s="21">
        <f>Data[[#This Row],[Qty A]]+Data[[#This Row],[Qty B]]+Data[[#This Row],[Qty C]]</f>
        <v>5</v>
      </c>
      <c r="Y397" s="22">
        <f>Data[[#This Row],[Harga Barang A]]+Data[[#This Row],[Harga Barang B]]+Data[[#This Row],[Harga Barang C]]</f>
        <v>1500000</v>
      </c>
      <c r="Z397" s="35">
        <f>IFERROR(Data[[#This Row],[Total Harga]]-(Data[[#This Row],[Total Harga]]*Data[[#This Row],[Diskon]]),Data[[#This Row],[Total Harga]])</f>
        <v>1275000</v>
      </c>
      <c r="AA397" s="35">
        <f>(Data[[#This Row],[Profit A]]+Data[[#This Row],[Profit B]]+Data[[#This Row],[Profit C]])</f>
        <v>540000</v>
      </c>
      <c r="AB397" s="35">
        <f>IFERROR((Data[[#This Row],[Profit non Diskon]]-(Data[[#This Row],[Profit non Diskon]]*Data[[#This Row],[Diskon]])),Data[[#This Row],[Profit non Diskon]])</f>
        <v>459000</v>
      </c>
      <c r="AC397" s="23" t="s">
        <v>13</v>
      </c>
      <c r="AD397" s="37">
        <f>IFERROR(INDEX('Kode Diskon'!$D$3:$D$9,MATCH(Data[[#This Row],[Kode diskon]],'Kode Diskon'!$C$3:$C$9,0)),"-")</f>
        <v>0.15</v>
      </c>
      <c r="AE397" s="23" t="s">
        <v>29</v>
      </c>
      <c r="AF397" s="23" t="s">
        <v>7</v>
      </c>
      <c r="AG397" s="23" t="s">
        <v>77</v>
      </c>
      <c r="AH397" s="24">
        <v>45020</v>
      </c>
      <c r="AI397" s="23" t="str">
        <f>TEXT(Data[[#This Row],[Tanggal terjual]],"dddd")</f>
        <v>Tuesday</v>
      </c>
      <c r="AJ397" s="21" t="str">
        <f>TEXT(Data[[#This Row],[Tanggal terjual]],"wwww")</f>
        <v>wwww</v>
      </c>
    </row>
    <row r="398" spans="1:36" x14ac:dyDescent="0.2">
      <c r="A398" s="20">
        <v>397</v>
      </c>
      <c r="B398" s="21" t="str">
        <f>_xlfn.CONCAT("ORD-",INDEX(Helper!$B$2:$B$5,MATCH(Data[[#This Row],[Marketplace]],Helper!$A$2:$A$5,0)),TEXT(Data[[#This Row],[No]],"0000"),"-",TEXT(Data[[#This Row],[Tanggal terjual]],"dd/mm/yy"))</f>
        <v>ORD-SP0397-03/04/23</v>
      </c>
      <c r="C398" t="s">
        <v>66</v>
      </c>
      <c r="D398" t="str">
        <f>IFERROR(INDEX(Katalog!$A$3:$A$12,MATCH(Data[[#This Row],[ItemID A]],Katalog!$C$3:$C$12,0)),"-")</f>
        <v>Sepatu Pria</v>
      </c>
      <c r="E398" t="str">
        <f>IFERROR(INDEX(Katalog!$B$3:$B$12,MATCH(Data[[#This Row],[ItemID A]],Katalog!$C$3:$C$12,0)),"-")</f>
        <v>Sandal Slip On</v>
      </c>
      <c r="F398">
        <v>3</v>
      </c>
      <c r="G398">
        <v>2</v>
      </c>
      <c r="H398" s="36">
        <f>IFERROR(INDEX(Katalog!$D$3:$D$12,MATCH(Data[[#This Row],[ItemID A]],Katalog!$C$3:$C$12,0))*Data[[#This Row],[Qty A]],"0")</f>
        <v>450000</v>
      </c>
      <c r="I398" s="36">
        <f>IFERROR(INDEX(Katalog!$F$3:$F$12,MATCH(Data[[#This Row],[ItemID A]],Katalog!$C$3:$C$12,0))*Data[[#This Row],[Qty A]],0)</f>
        <v>180000</v>
      </c>
      <c r="J398" t="s">
        <v>63</v>
      </c>
      <c r="K398" t="str">
        <f>IFERROR(INDEX(Katalog!$A$3:$A$12,MATCH(Data[[#This Row],[ItemID B]],Katalog!$C$3:$C$12,0)),"-")</f>
        <v>Pakaian Pria</v>
      </c>
      <c r="L398" t="str">
        <f>IFERROR(INDEX(Katalog!$B$3:$B$12,MATCH(Data[[#This Row],[ItemID B]],Katalog!$C$3:$C$12,0)),"-")</f>
        <v>Jaket Jeans</v>
      </c>
      <c r="M398">
        <v>3</v>
      </c>
      <c r="N398">
        <v>3</v>
      </c>
      <c r="O398" s="36">
        <f>IFERROR(INDEX(Katalog!$D$3:$D$12,MATCH(Data[[#This Row],[ItemID B]],Katalog!$C$3:$C$12,0))*Data[[#This Row],[Qty B]],"0")</f>
        <v>1200000</v>
      </c>
      <c r="P398" s="36">
        <f>IFERROR(INDEX(Katalog!$F$3:$F$12,MATCH(Data[[#This Row],[ItemID B]],Katalog!$C$3:$C$12,0))*Data[[#This Row],[Qty B]],"0")</f>
        <v>450000</v>
      </c>
      <c r="R398" t="str">
        <f>IFERROR(INDEX(Katalog!$A$3:$A$12,MATCH(Data[[#This Row],[ItemID C]],Katalog!$C$3:$C$12,0)),"-")</f>
        <v>-</v>
      </c>
      <c r="S398" t="str">
        <f>IFERROR(INDEX(Katalog!$B$3:$B$12,MATCH(Data[[#This Row],[ItemID C]],Katalog!$C$3:$C$12,0)),"-")</f>
        <v>-</v>
      </c>
      <c r="V398" s="36" t="str">
        <f>IFERROR(INDEX(Katalog!$D$3:$D$12,MATCH(Data[[#This Row],[ItemID C]],Katalog!$C$3:$C$12,0))*Data[[#This Row],[Qty C]],"0")</f>
        <v>0</v>
      </c>
      <c r="W398" s="36" t="str">
        <f>IFERROR(INDEX(Katalog!$F$3:$F$12,MATCH(Data[[#This Row],[ItemID C]],Katalog!$C$3:$C$12,0))*Data[[#This Row],[Qty C]],"0")</f>
        <v>0</v>
      </c>
      <c r="X398" s="21">
        <f>Data[[#This Row],[Qty A]]+Data[[#This Row],[Qty B]]+Data[[#This Row],[Qty C]]</f>
        <v>6</v>
      </c>
      <c r="Y398" s="22">
        <f>Data[[#This Row],[Harga Barang A]]+Data[[#This Row],[Harga Barang B]]+Data[[#This Row],[Harga Barang C]]</f>
        <v>1650000</v>
      </c>
      <c r="Z398" s="35">
        <f>IFERROR(Data[[#This Row],[Total Harga]]-(Data[[#This Row],[Total Harga]]*Data[[#This Row],[Diskon]]),Data[[#This Row],[Total Harga]])</f>
        <v>1402500</v>
      </c>
      <c r="AA398" s="35">
        <f>(Data[[#This Row],[Profit A]]+Data[[#This Row],[Profit B]]+Data[[#This Row],[Profit C]])</f>
        <v>630000</v>
      </c>
      <c r="AB398" s="35">
        <f>IFERROR((Data[[#This Row],[Profit non Diskon]]-(Data[[#This Row],[Profit non Diskon]]*Data[[#This Row],[Diskon]])),Data[[#This Row],[Profit non Diskon]])</f>
        <v>535500</v>
      </c>
      <c r="AC398" s="23" t="s">
        <v>13</v>
      </c>
      <c r="AD398" s="37">
        <f>IFERROR(INDEX('Kode Diskon'!$D$3:$D$9,MATCH(Data[[#This Row],[Kode diskon]],'Kode Diskon'!$C$3:$C$9,0)),"-")</f>
        <v>0.15</v>
      </c>
      <c r="AE398" s="23" t="s">
        <v>29</v>
      </c>
      <c r="AF398" s="23" t="s">
        <v>7</v>
      </c>
      <c r="AG398" s="23" t="s">
        <v>75</v>
      </c>
      <c r="AH398" s="24">
        <v>45019</v>
      </c>
      <c r="AI398" s="23" t="str">
        <f>TEXT(Data[[#This Row],[Tanggal terjual]],"dddd")</f>
        <v>Monday</v>
      </c>
      <c r="AJ398" s="21" t="str">
        <f>TEXT(Data[[#This Row],[Tanggal terjual]],"wwww")</f>
        <v>wwww</v>
      </c>
    </row>
    <row r="399" spans="1:36" x14ac:dyDescent="0.2">
      <c r="A399" s="20">
        <v>398</v>
      </c>
      <c r="B399" s="21" t="str">
        <f>_xlfn.CONCAT("ORD-",INDEX(Helper!$B$2:$B$5,MATCH(Data[[#This Row],[Marketplace]],Helper!$A$2:$A$5,0)),TEXT(Data[[#This Row],[No]],"0000"),"-",TEXT(Data[[#This Row],[Tanggal terjual]],"dd/mm/yy"))</f>
        <v>ORD-SP0398-04/04/23</v>
      </c>
      <c r="C399" t="s">
        <v>61</v>
      </c>
      <c r="D399" t="str">
        <f>IFERROR(INDEX(Katalog!$A$3:$A$12,MATCH(Data[[#This Row],[ItemID A]],Katalog!$C$3:$C$12,0)),"-")</f>
        <v>Pakaian Pria</v>
      </c>
      <c r="E399" t="str">
        <f>IFERROR(INDEX(Katalog!$B$3:$B$12,MATCH(Data[[#This Row],[ItemID A]],Katalog!$C$3:$C$12,0)),"-")</f>
        <v>Kaos Polo</v>
      </c>
      <c r="F399">
        <v>2</v>
      </c>
      <c r="G399">
        <v>3</v>
      </c>
      <c r="H399" s="36">
        <f>IFERROR(INDEX(Katalog!$D$3:$D$12,MATCH(Data[[#This Row],[ItemID A]],Katalog!$C$3:$C$12,0))*Data[[#This Row],[Qty A]],"0")</f>
        <v>400000</v>
      </c>
      <c r="I399" s="36">
        <f>IFERROR(INDEX(Katalog!$F$3:$F$12,MATCH(Data[[#This Row],[ItemID A]],Katalog!$C$3:$C$12,0))*Data[[#This Row],[Qty A]],0)</f>
        <v>160000</v>
      </c>
      <c r="J399" t="s">
        <v>62</v>
      </c>
      <c r="K399" t="str">
        <f>IFERROR(INDEX(Katalog!$A$3:$A$12,MATCH(Data[[#This Row],[ItemID B]],Katalog!$C$3:$C$12,0)),"-")</f>
        <v>Pakaian Pria</v>
      </c>
      <c r="L399" t="str">
        <f>IFERROR(INDEX(Katalog!$B$3:$B$12,MATCH(Data[[#This Row],[ItemID B]],Katalog!$C$3:$C$12,0)),"-")</f>
        <v>Celana Pendek</v>
      </c>
      <c r="M399">
        <v>1</v>
      </c>
      <c r="N399">
        <v>2</v>
      </c>
      <c r="O399" s="36">
        <f>IFERROR(INDEX(Katalog!$D$3:$D$12,MATCH(Data[[#This Row],[ItemID B]],Katalog!$C$3:$C$12,0))*Data[[#This Row],[Qty B]],"0")</f>
        <v>180000</v>
      </c>
      <c r="P399" s="36">
        <f>IFERROR(INDEX(Katalog!$F$3:$F$12,MATCH(Data[[#This Row],[ItemID B]],Katalog!$C$3:$C$12,0))*Data[[#This Row],[Qty B]],"0")</f>
        <v>70000</v>
      </c>
      <c r="R399" t="str">
        <f>IFERROR(INDEX(Katalog!$A$3:$A$12,MATCH(Data[[#This Row],[ItemID C]],Katalog!$C$3:$C$12,0)),"-")</f>
        <v>-</v>
      </c>
      <c r="S399" t="str">
        <f>IFERROR(INDEX(Katalog!$B$3:$B$12,MATCH(Data[[#This Row],[ItemID C]],Katalog!$C$3:$C$12,0)),"-")</f>
        <v>-</v>
      </c>
      <c r="V399" s="36" t="str">
        <f>IFERROR(INDEX(Katalog!$D$3:$D$12,MATCH(Data[[#This Row],[ItemID C]],Katalog!$C$3:$C$12,0))*Data[[#This Row],[Qty C]],"0")</f>
        <v>0</v>
      </c>
      <c r="W399" s="36" t="str">
        <f>IFERROR(INDEX(Katalog!$F$3:$F$12,MATCH(Data[[#This Row],[ItemID C]],Katalog!$C$3:$C$12,0))*Data[[#This Row],[Qty C]],"0")</f>
        <v>0</v>
      </c>
      <c r="X399" s="21">
        <f>Data[[#This Row],[Qty A]]+Data[[#This Row],[Qty B]]+Data[[#This Row],[Qty C]]</f>
        <v>3</v>
      </c>
      <c r="Y399" s="22">
        <f>Data[[#This Row],[Harga Barang A]]+Data[[#This Row],[Harga Barang B]]+Data[[#This Row],[Harga Barang C]]</f>
        <v>580000</v>
      </c>
      <c r="Z399" s="35">
        <f>IFERROR(Data[[#This Row],[Total Harga]]-(Data[[#This Row],[Total Harga]]*Data[[#This Row],[Diskon]]),Data[[#This Row],[Total Harga]])</f>
        <v>522000</v>
      </c>
      <c r="AA399" s="35">
        <f>(Data[[#This Row],[Profit A]]+Data[[#This Row],[Profit B]]+Data[[#This Row],[Profit C]])</f>
        <v>230000</v>
      </c>
      <c r="AB399" s="35">
        <f>IFERROR((Data[[#This Row],[Profit non Diskon]]-(Data[[#This Row],[Profit non Diskon]]*Data[[#This Row],[Diskon]])),Data[[#This Row],[Profit non Diskon]])</f>
        <v>207000</v>
      </c>
      <c r="AC399" s="23" t="s">
        <v>6</v>
      </c>
      <c r="AD399" s="37">
        <f>IFERROR(INDEX('Kode Diskon'!$D$3:$D$9,MATCH(Data[[#This Row],[Kode diskon]],'Kode Diskon'!$C$3:$C$9,0)),"-")</f>
        <v>0.1</v>
      </c>
      <c r="AE399" s="23" t="s">
        <v>29</v>
      </c>
      <c r="AF399" s="23" t="s">
        <v>7</v>
      </c>
      <c r="AG399" s="23" t="s">
        <v>75</v>
      </c>
      <c r="AH399" s="24">
        <v>45020</v>
      </c>
      <c r="AI399" s="23" t="str">
        <f>TEXT(Data[[#This Row],[Tanggal terjual]],"dddd")</f>
        <v>Tuesday</v>
      </c>
      <c r="AJ399" s="21" t="str">
        <f>TEXT(Data[[#This Row],[Tanggal terjual]],"wwww")</f>
        <v>wwww</v>
      </c>
    </row>
    <row r="400" spans="1:36" x14ac:dyDescent="0.2">
      <c r="A400" s="20">
        <v>399</v>
      </c>
      <c r="B400" s="21" t="str">
        <f>_xlfn.CONCAT("ORD-",INDEX(Helper!$B$2:$B$5,MATCH(Data[[#This Row],[Marketplace]],Helper!$A$2:$A$5,0)),TEXT(Data[[#This Row],[No]],"0000"),"-",TEXT(Data[[#This Row],[Tanggal terjual]],"dd/mm/yy"))</f>
        <v>ORD-BL0399-18/04/23</v>
      </c>
      <c r="C400" t="s">
        <v>66</v>
      </c>
      <c r="D400" t="str">
        <f>IFERROR(INDEX(Katalog!$A$3:$A$12,MATCH(Data[[#This Row],[ItemID A]],Katalog!$C$3:$C$12,0)),"-")</f>
        <v>Sepatu Pria</v>
      </c>
      <c r="E400" t="str">
        <f>IFERROR(INDEX(Katalog!$B$3:$B$12,MATCH(Data[[#This Row],[ItemID A]],Katalog!$C$3:$C$12,0)),"-")</f>
        <v>Sandal Slip On</v>
      </c>
      <c r="F400">
        <v>1</v>
      </c>
      <c r="G400">
        <v>2</v>
      </c>
      <c r="H400" s="36">
        <f>IFERROR(INDEX(Katalog!$D$3:$D$12,MATCH(Data[[#This Row],[ItemID A]],Katalog!$C$3:$C$12,0))*Data[[#This Row],[Qty A]],"0")</f>
        <v>150000</v>
      </c>
      <c r="I400" s="36">
        <f>IFERROR(INDEX(Katalog!$F$3:$F$12,MATCH(Data[[#This Row],[ItemID A]],Katalog!$C$3:$C$12,0))*Data[[#This Row],[Qty A]],0)</f>
        <v>60000</v>
      </c>
      <c r="K400" t="str">
        <f>IFERROR(INDEX(Katalog!$A$3:$A$12,MATCH(Data[[#This Row],[ItemID B]],Katalog!$C$3:$C$12,0)),"-")</f>
        <v>-</v>
      </c>
      <c r="L400" t="str">
        <f>IFERROR(INDEX(Katalog!$B$3:$B$12,MATCH(Data[[#This Row],[ItemID B]],Katalog!$C$3:$C$12,0)),"-")</f>
        <v>-</v>
      </c>
      <c r="O400" s="36" t="str">
        <f>IFERROR(INDEX(Katalog!$D$3:$D$12,MATCH(Data[[#This Row],[ItemID B]],Katalog!$C$3:$C$12,0))*Data[[#This Row],[Qty B]],"0")</f>
        <v>0</v>
      </c>
      <c r="P400" s="36" t="str">
        <f>IFERROR(INDEX(Katalog!$F$3:$F$12,MATCH(Data[[#This Row],[ItemID B]],Katalog!$C$3:$C$12,0))*Data[[#This Row],[Qty B]],"0")</f>
        <v>0</v>
      </c>
      <c r="R400" t="str">
        <f>IFERROR(INDEX(Katalog!$A$3:$A$12,MATCH(Data[[#This Row],[ItemID C]],Katalog!$C$3:$C$12,0)),"-")</f>
        <v>-</v>
      </c>
      <c r="S400" t="str">
        <f>IFERROR(INDEX(Katalog!$B$3:$B$12,MATCH(Data[[#This Row],[ItemID C]],Katalog!$C$3:$C$12,0)),"-")</f>
        <v>-</v>
      </c>
      <c r="V400" s="36" t="str">
        <f>IFERROR(INDEX(Katalog!$D$3:$D$12,MATCH(Data[[#This Row],[ItemID C]],Katalog!$C$3:$C$12,0))*Data[[#This Row],[Qty C]],"0")</f>
        <v>0</v>
      </c>
      <c r="W400" s="36" t="str">
        <f>IFERROR(INDEX(Katalog!$F$3:$F$12,MATCH(Data[[#This Row],[ItemID C]],Katalog!$C$3:$C$12,0))*Data[[#This Row],[Qty C]],"0")</f>
        <v>0</v>
      </c>
      <c r="X400" s="21">
        <f>Data[[#This Row],[Qty A]]+Data[[#This Row],[Qty B]]+Data[[#This Row],[Qty C]]</f>
        <v>1</v>
      </c>
      <c r="Y400" s="22">
        <f>Data[[#This Row],[Harga Barang A]]+Data[[#This Row],[Harga Barang B]]+Data[[#This Row],[Harga Barang C]]</f>
        <v>150000</v>
      </c>
      <c r="Z400" s="35">
        <f>IFERROR(Data[[#This Row],[Total Harga]]-(Data[[#This Row],[Total Harga]]*Data[[#This Row],[Diskon]]),Data[[#This Row],[Total Harga]])</f>
        <v>127500</v>
      </c>
      <c r="AA400" s="35">
        <f>(Data[[#This Row],[Profit A]]+Data[[#This Row],[Profit B]]+Data[[#This Row],[Profit C]])</f>
        <v>60000</v>
      </c>
      <c r="AB400" s="35">
        <f>IFERROR((Data[[#This Row],[Profit non Diskon]]-(Data[[#This Row],[Profit non Diskon]]*Data[[#This Row],[Diskon]])),Data[[#This Row],[Profit non Diskon]])</f>
        <v>51000</v>
      </c>
      <c r="AC400" s="23" t="s">
        <v>32</v>
      </c>
      <c r="AD400" s="37">
        <f>IFERROR(INDEX('Kode Diskon'!$D$3:$D$9,MATCH(Data[[#This Row],[Kode diskon]],'Kode Diskon'!$C$3:$C$9,0)),"-")</f>
        <v>0.15</v>
      </c>
      <c r="AE400" s="23" t="s">
        <v>9</v>
      </c>
      <c r="AF400" s="23" t="s">
        <v>12</v>
      </c>
      <c r="AG400" s="23" t="s">
        <v>75</v>
      </c>
      <c r="AH400" s="24">
        <v>45034</v>
      </c>
      <c r="AI400" s="23" t="str">
        <f>TEXT(Data[[#This Row],[Tanggal terjual]],"dddd")</f>
        <v>Tuesday</v>
      </c>
      <c r="AJ400" s="21" t="str">
        <f>TEXT(Data[[#This Row],[Tanggal terjual]],"wwww")</f>
        <v>wwww</v>
      </c>
    </row>
    <row r="401" spans="1:36" x14ac:dyDescent="0.2">
      <c r="A401" s="20">
        <v>400</v>
      </c>
      <c r="B401" s="21" t="str">
        <f>_xlfn.CONCAT("ORD-",INDEX(Helper!$B$2:$B$5,MATCH(Data[[#This Row],[Marketplace]],Helper!$A$2:$A$5,0)),TEXT(Data[[#This Row],[No]],"0000"),"-",TEXT(Data[[#This Row],[Tanggal terjual]],"dd/mm/yy"))</f>
        <v>ORD-SP0400-24/04/23</v>
      </c>
      <c r="C401" t="s">
        <v>66</v>
      </c>
      <c r="D401" t="str">
        <f>IFERROR(INDEX(Katalog!$A$3:$A$12,MATCH(Data[[#This Row],[ItemID A]],Katalog!$C$3:$C$12,0)),"-")</f>
        <v>Sepatu Pria</v>
      </c>
      <c r="E401" t="str">
        <f>IFERROR(INDEX(Katalog!$B$3:$B$12,MATCH(Data[[#This Row],[ItemID A]],Katalog!$C$3:$C$12,0)),"-")</f>
        <v>Sandal Slip On</v>
      </c>
      <c r="F401">
        <v>3</v>
      </c>
      <c r="G401">
        <v>3</v>
      </c>
      <c r="H401" s="36">
        <f>IFERROR(INDEX(Katalog!$D$3:$D$12,MATCH(Data[[#This Row],[ItemID A]],Katalog!$C$3:$C$12,0))*Data[[#This Row],[Qty A]],"0")</f>
        <v>450000</v>
      </c>
      <c r="I401" s="36">
        <f>IFERROR(INDEX(Katalog!$F$3:$F$12,MATCH(Data[[#This Row],[ItemID A]],Katalog!$C$3:$C$12,0))*Data[[#This Row],[Qty A]],0)</f>
        <v>180000</v>
      </c>
      <c r="J401" t="s">
        <v>60</v>
      </c>
      <c r="K401" t="str">
        <f>IFERROR(INDEX(Katalog!$A$3:$A$12,MATCH(Data[[#This Row],[ItemID B]],Katalog!$C$3:$C$12,0)),"-")</f>
        <v>Pakaian Wanita</v>
      </c>
      <c r="L401" t="str">
        <f>IFERROR(INDEX(Katalog!$B$3:$B$12,MATCH(Data[[#This Row],[ItemID B]],Katalog!$C$3:$C$12,0)),"-")</f>
        <v>Kaftan</v>
      </c>
      <c r="M401">
        <v>1</v>
      </c>
      <c r="N401">
        <v>2</v>
      </c>
      <c r="O401" s="36">
        <f>IFERROR(INDEX(Katalog!$D$3:$D$12,MATCH(Data[[#This Row],[ItemID B]],Katalog!$C$3:$C$12,0))*Data[[#This Row],[Qty B]],"0")</f>
        <v>250000</v>
      </c>
      <c r="P401" s="36">
        <f>IFERROR(INDEX(Katalog!$F$3:$F$12,MATCH(Data[[#This Row],[ItemID B]],Katalog!$C$3:$C$12,0))*Data[[#This Row],[Qty B]],"0")</f>
        <v>100000</v>
      </c>
      <c r="R401" t="str">
        <f>IFERROR(INDEX(Katalog!$A$3:$A$12,MATCH(Data[[#This Row],[ItemID C]],Katalog!$C$3:$C$12,0)),"-")</f>
        <v>-</v>
      </c>
      <c r="S401" t="str">
        <f>IFERROR(INDEX(Katalog!$B$3:$B$12,MATCH(Data[[#This Row],[ItemID C]],Katalog!$C$3:$C$12,0)),"-")</f>
        <v>-</v>
      </c>
      <c r="V401" s="36" t="str">
        <f>IFERROR(INDEX(Katalog!$D$3:$D$12,MATCH(Data[[#This Row],[ItemID C]],Katalog!$C$3:$C$12,0))*Data[[#This Row],[Qty C]],"0")</f>
        <v>0</v>
      </c>
      <c r="W401" s="36" t="str">
        <f>IFERROR(INDEX(Katalog!$F$3:$F$12,MATCH(Data[[#This Row],[ItemID C]],Katalog!$C$3:$C$12,0))*Data[[#This Row],[Qty C]],"0")</f>
        <v>0</v>
      </c>
      <c r="X401" s="21">
        <f>Data[[#This Row],[Qty A]]+Data[[#This Row],[Qty B]]+Data[[#This Row],[Qty C]]</f>
        <v>4</v>
      </c>
      <c r="Y401" s="22">
        <f>Data[[#This Row],[Harga Barang A]]+Data[[#This Row],[Harga Barang B]]+Data[[#This Row],[Harga Barang C]]</f>
        <v>700000</v>
      </c>
      <c r="Z401" s="35">
        <f>IFERROR(Data[[#This Row],[Total Harga]]-(Data[[#This Row],[Total Harga]]*Data[[#This Row],[Diskon]]),Data[[#This Row],[Total Harga]])</f>
        <v>560000</v>
      </c>
      <c r="AA401" s="35">
        <f>(Data[[#This Row],[Profit A]]+Data[[#This Row],[Profit B]]+Data[[#This Row],[Profit C]])</f>
        <v>280000</v>
      </c>
      <c r="AB401" s="35">
        <f>IFERROR((Data[[#This Row],[Profit non Diskon]]-(Data[[#This Row],[Profit non Diskon]]*Data[[#This Row],[Diskon]])),Data[[#This Row],[Profit non Diskon]])</f>
        <v>224000</v>
      </c>
      <c r="AC401" s="23" t="s">
        <v>8</v>
      </c>
      <c r="AD401" s="37">
        <f>IFERROR(INDEX('Kode Diskon'!$D$3:$D$9,MATCH(Data[[#This Row],[Kode diskon]],'Kode Diskon'!$C$3:$C$9,0)),"-")</f>
        <v>0.2</v>
      </c>
      <c r="AE401" s="23" t="s">
        <v>9</v>
      </c>
      <c r="AF401" s="23" t="s">
        <v>7</v>
      </c>
      <c r="AG401" s="23" t="s">
        <v>80</v>
      </c>
      <c r="AH401" s="24">
        <v>45040</v>
      </c>
      <c r="AI401" s="23" t="str">
        <f>TEXT(Data[[#This Row],[Tanggal terjual]],"dddd")</f>
        <v>Monday</v>
      </c>
      <c r="AJ401" s="21" t="str">
        <f>TEXT(Data[[#This Row],[Tanggal terjual]],"wwww")</f>
        <v>wwww</v>
      </c>
    </row>
    <row r="402" spans="1:36" x14ac:dyDescent="0.2">
      <c r="A402" s="20">
        <v>401</v>
      </c>
      <c r="B402" s="21" t="str">
        <f>_xlfn.CONCAT("ORD-",INDEX(Helper!$B$2:$B$5,MATCH(Data[[#This Row],[Marketplace]],Helper!$A$2:$A$5,0)),TEXT(Data[[#This Row],[No]],"0000"),"-",TEXT(Data[[#This Row],[Tanggal terjual]],"dd/mm/yy"))</f>
        <v>ORD-SP0401-03/04/23</v>
      </c>
      <c r="C402" t="s">
        <v>63</v>
      </c>
      <c r="D402" t="str">
        <f>IFERROR(INDEX(Katalog!$A$3:$A$12,MATCH(Data[[#This Row],[ItemID A]],Katalog!$C$3:$C$12,0)),"-")</f>
        <v>Pakaian Pria</v>
      </c>
      <c r="E402" t="str">
        <f>IFERROR(INDEX(Katalog!$B$3:$B$12,MATCH(Data[[#This Row],[ItemID A]],Katalog!$C$3:$C$12,0)),"-")</f>
        <v>Jaket Jeans</v>
      </c>
      <c r="F402">
        <v>1</v>
      </c>
      <c r="G402">
        <v>2</v>
      </c>
      <c r="H402" s="36">
        <f>IFERROR(INDEX(Katalog!$D$3:$D$12,MATCH(Data[[#This Row],[ItemID A]],Katalog!$C$3:$C$12,0))*Data[[#This Row],[Qty A]],"0")</f>
        <v>400000</v>
      </c>
      <c r="I402" s="36">
        <f>IFERROR(INDEX(Katalog!$F$3:$F$12,MATCH(Data[[#This Row],[ItemID A]],Katalog!$C$3:$C$12,0))*Data[[#This Row],[Qty A]],0)</f>
        <v>150000</v>
      </c>
      <c r="K402" t="str">
        <f>IFERROR(INDEX(Katalog!$A$3:$A$12,MATCH(Data[[#This Row],[ItemID B]],Katalog!$C$3:$C$12,0)),"-")</f>
        <v>-</v>
      </c>
      <c r="L402" t="str">
        <f>IFERROR(INDEX(Katalog!$B$3:$B$12,MATCH(Data[[#This Row],[ItemID B]],Katalog!$C$3:$C$12,0)),"-")</f>
        <v>-</v>
      </c>
      <c r="O402" s="36" t="str">
        <f>IFERROR(INDEX(Katalog!$D$3:$D$12,MATCH(Data[[#This Row],[ItemID B]],Katalog!$C$3:$C$12,0))*Data[[#This Row],[Qty B]],"0")</f>
        <v>0</v>
      </c>
      <c r="P402" s="36" t="str">
        <f>IFERROR(INDEX(Katalog!$F$3:$F$12,MATCH(Data[[#This Row],[ItemID B]],Katalog!$C$3:$C$12,0))*Data[[#This Row],[Qty B]],"0")</f>
        <v>0</v>
      </c>
      <c r="R402" t="str">
        <f>IFERROR(INDEX(Katalog!$A$3:$A$12,MATCH(Data[[#This Row],[ItemID C]],Katalog!$C$3:$C$12,0)),"-")</f>
        <v>-</v>
      </c>
      <c r="S402" t="str">
        <f>IFERROR(INDEX(Katalog!$B$3:$B$12,MATCH(Data[[#This Row],[ItemID C]],Katalog!$C$3:$C$12,0)),"-")</f>
        <v>-</v>
      </c>
      <c r="V402" s="36" t="str">
        <f>IFERROR(INDEX(Katalog!$D$3:$D$12,MATCH(Data[[#This Row],[ItemID C]],Katalog!$C$3:$C$12,0))*Data[[#This Row],[Qty C]],"0")</f>
        <v>0</v>
      </c>
      <c r="W402" s="36" t="str">
        <f>IFERROR(INDEX(Katalog!$F$3:$F$12,MATCH(Data[[#This Row],[ItemID C]],Katalog!$C$3:$C$12,0))*Data[[#This Row],[Qty C]],"0")</f>
        <v>0</v>
      </c>
      <c r="X402" s="21">
        <f>Data[[#This Row],[Qty A]]+Data[[#This Row],[Qty B]]+Data[[#This Row],[Qty C]]</f>
        <v>1</v>
      </c>
      <c r="Y402" s="22">
        <f>Data[[#This Row],[Harga Barang A]]+Data[[#This Row],[Harga Barang B]]+Data[[#This Row],[Harga Barang C]]</f>
        <v>400000</v>
      </c>
      <c r="Z402" s="35">
        <f>IFERROR(Data[[#This Row],[Total Harga]]-(Data[[#This Row],[Total Harga]]*Data[[#This Row],[Diskon]]),Data[[#This Row],[Total Harga]])</f>
        <v>360000</v>
      </c>
      <c r="AA402" s="35">
        <f>(Data[[#This Row],[Profit A]]+Data[[#This Row],[Profit B]]+Data[[#This Row],[Profit C]])</f>
        <v>150000</v>
      </c>
      <c r="AB402" s="35">
        <f>IFERROR((Data[[#This Row],[Profit non Diskon]]-(Data[[#This Row],[Profit non Diskon]]*Data[[#This Row],[Diskon]])),Data[[#This Row],[Profit non Diskon]])</f>
        <v>135000</v>
      </c>
      <c r="AC402" s="23" t="s">
        <v>6</v>
      </c>
      <c r="AD402" s="37">
        <f>IFERROR(INDEX('Kode Diskon'!$D$3:$D$9,MATCH(Data[[#This Row],[Kode diskon]],'Kode Diskon'!$C$3:$C$9,0)),"-")</f>
        <v>0.1</v>
      </c>
      <c r="AE402" s="23" t="s">
        <v>29</v>
      </c>
      <c r="AF402" s="23" t="s">
        <v>7</v>
      </c>
      <c r="AG402" s="23" t="s">
        <v>76</v>
      </c>
      <c r="AH402" s="24">
        <v>45019</v>
      </c>
      <c r="AI402" s="23" t="str">
        <f>TEXT(Data[[#This Row],[Tanggal terjual]],"dddd")</f>
        <v>Monday</v>
      </c>
      <c r="AJ402" s="21" t="str">
        <f>TEXT(Data[[#This Row],[Tanggal terjual]],"wwww")</f>
        <v>wwww</v>
      </c>
    </row>
    <row r="403" spans="1:36" x14ac:dyDescent="0.2">
      <c r="A403" s="20">
        <v>402</v>
      </c>
      <c r="B403" s="21" t="str">
        <f>_xlfn.CONCAT("ORD-",INDEX(Helper!$B$2:$B$5,MATCH(Data[[#This Row],[Marketplace]],Helper!$A$2:$A$5,0)),TEXT(Data[[#This Row],[No]],"0000"),"-",TEXT(Data[[#This Row],[Tanggal terjual]],"dd/mm/yy"))</f>
        <v>ORD-SP0402-01/04/23</v>
      </c>
      <c r="C403" t="s">
        <v>63</v>
      </c>
      <c r="D403" t="str">
        <f>IFERROR(INDEX(Katalog!$A$3:$A$12,MATCH(Data[[#This Row],[ItemID A]],Katalog!$C$3:$C$12,0)),"-")</f>
        <v>Pakaian Pria</v>
      </c>
      <c r="E403" t="str">
        <f>IFERROR(INDEX(Katalog!$B$3:$B$12,MATCH(Data[[#This Row],[ItemID A]],Katalog!$C$3:$C$12,0)),"-")</f>
        <v>Jaket Jeans</v>
      </c>
      <c r="F403">
        <v>6</v>
      </c>
      <c r="G403">
        <v>4</v>
      </c>
      <c r="H403" s="36">
        <f>IFERROR(INDEX(Katalog!$D$3:$D$12,MATCH(Data[[#This Row],[ItemID A]],Katalog!$C$3:$C$12,0))*Data[[#This Row],[Qty A]],"0")</f>
        <v>2400000</v>
      </c>
      <c r="I403" s="36">
        <f>IFERROR(INDEX(Katalog!$F$3:$F$12,MATCH(Data[[#This Row],[ItemID A]],Katalog!$C$3:$C$12,0))*Data[[#This Row],[Qty A]],0)</f>
        <v>900000</v>
      </c>
      <c r="K403" t="str">
        <f>IFERROR(INDEX(Katalog!$A$3:$A$12,MATCH(Data[[#This Row],[ItemID B]],Katalog!$C$3:$C$12,0)),"-")</f>
        <v>-</v>
      </c>
      <c r="L403" t="str">
        <f>IFERROR(INDEX(Katalog!$B$3:$B$12,MATCH(Data[[#This Row],[ItemID B]],Katalog!$C$3:$C$12,0)),"-")</f>
        <v>-</v>
      </c>
      <c r="O403" s="36" t="str">
        <f>IFERROR(INDEX(Katalog!$D$3:$D$12,MATCH(Data[[#This Row],[ItemID B]],Katalog!$C$3:$C$12,0))*Data[[#This Row],[Qty B]],"0")</f>
        <v>0</v>
      </c>
      <c r="P403" s="36" t="str">
        <f>IFERROR(INDEX(Katalog!$F$3:$F$12,MATCH(Data[[#This Row],[ItemID B]],Katalog!$C$3:$C$12,0))*Data[[#This Row],[Qty B]],"0")</f>
        <v>0</v>
      </c>
      <c r="R403" t="str">
        <f>IFERROR(INDEX(Katalog!$A$3:$A$12,MATCH(Data[[#This Row],[ItemID C]],Katalog!$C$3:$C$12,0)),"-")</f>
        <v>-</v>
      </c>
      <c r="S403" t="str">
        <f>IFERROR(INDEX(Katalog!$B$3:$B$12,MATCH(Data[[#This Row],[ItemID C]],Katalog!$C$3:$C$12,0)),"-")</f>
        <v>-</v>
      </c>
      <c r="V403" s="36" t="str">
        <f>IFERROR(INDEX(Katalog!$D$3:$D$12,MATCH(Data[[#This Row],[ItemID C]],Katalog!$C$3:$C$12,0))*Data[[#This Row],[Qty C]],"0")</f>
        <v>0</v>
      </c>
      <c r="W403" s="36" t="str">
        <f>IFERROR(INDEX(Katalog!$F$3:$F$12,MATCH(Data[[#This Row],[ItemID C]],Katalog!$C$3:$C$12,0))*Data[[#This Row],[Qty C]],"0")</f>
        <v>0</v>
      </c>
      <c r="X403" s="21">
        <f>Data[[#This Row],[Qty A]]+Data[[#This Row],[Qty B]]+Data[[#This Row],[Qty C]]</f>
        <v>6</v>
      </c>
      <c r="Y403" s="22">
        <f>Data[[#This Row],[Harga Barang A]]+Data[[#This Row],[Harga Barang B]]+Data[[#This Row],[Harga Barang C]]</f>
        <v>2400000</v>
      </c>
      <c r="Z403" s="35">
        <f>IFERROR(Data[[#This Row],[Total Harga]]-(Data[[#This Row],[Total Harga]]*Data[[#This Row],[Diskon]]),Data[[#This Row],[Total Harga]])</f>
        <v>2160000</v>
      </c>
      <c r="AA403" s="35">
        <f>(Data[[#This Row],[Profit A]]+Data[[#This Row],[Profit B]]+Data[[#This Row],[Profit C]])</f>
        <v>900000</v>
      </c>
      <c r="AB403" s="35">
        <f>IFERROR((Data[[#This Row],[Profit non Diskon]]-(Data[[#This Row],[Profit non Diskon]]*Data[[#This Row],[Diskon]])),Data[[#This Row],[Profit non Diskon]])</f>
        <v>810000</v>
      </c>
      <c r="AC403" s="23" t="s">
        <v>6</v>
      </c>
      <c r="AD403" s="37">
        <f>IFERROR(INDEX('Kode Diskon'!$D$3:$D$9,MATCH(Data[[#This Row],[Kode diskon]],'Kode Diskon'!$C$3:$C$9,0)),"-")</f>
        <v>0.1</v>
      </c>
      <c r="AE403" s="23" t="s">
        <v>29</v>
      </c>
      <c r="AF403" s="23" t="s">
        <v>7</v>
      </c>
      <c r="AG403" s="23" t="s">
        <v>79</v>
      </c>
      <c r="AH403" s="24">
        <v>45017</v>
      </c>
      <c r="AI403" s="23" t="str">
        <f>TEXT(Data[[#This Row],[Tanggal terjual]],"dddd")</f>
        <v>Saturday</v>
      </c>
      <c r="AJ403" s="21" t="str">
        <f>TEXT(Data[[#This Row],[Tanggal terjual]],"wwww")</f>
        <v>wwww</v>
      </c>
    </row>
    <row r="404" spans="1:36" x14ac:dyDescent="0.2">
      <c r="A404" s="20">
        <v>403</v>
      </c>
      <c r="B404" s="21" t="str">
        <f>_xlfn.CONCAT("ORD-",INDEX(Helper!$B$2:$B$5,MATCH(Data[[#This Row],[Marketplace]],Helper!$A$2:$A$5,0)),TEXT(Data[[#This Row],[No]],"0000"),"-",TEXT(Data[[#This Row],[Tanggal terjual]],"dd/mm/yy"))</f>
        <v>ORD-SP0403-04/04/23</v>
      </c>
      <c r="C404" t="s">
        <v>60</v>
      </c>
      <c r="D404" t="str">
        <f>IFERROR(INDEX(Katalog!$A$3:$A$12,MATCH(Data[[#This Row],[ItemID A]],Katalog!$C$3:$C$12,0)),"-")</f>
        <v>Pakaian Wanita</v>
      </c>
      <c r="E404" t="str">
        <f>IFERROR(INDEX(Katalog!$B$3:$B$12,MATCH(Data[[#This Row],[ItemID A]],Katalog!$C$3:$C$12,0)),"-")</f>
        <v>Kaftan</v>
      </c>
      <c r="F404">
        <v>3</v>
      </c>
      <c r="G404">
        <v>3</v>
      </c>
      <c r="H404" s="36">
        <f>IFERROR(INDEX(Katalog!$D$3:$D$12,MATCH(Data[[#This Row],[ItemID A]],Katalog!$C$3:$C$12,0))*Data[[#This Row],[Qty A]],"0")</f>
        <v>750000</v>
      </c>
      <c r="I404" s="36">
        <f>IFERROR(INDEX(Katalog!$F$3:$F$12,MATCH(Data[[#This Row],[ItemID A]],Katalog!$C$3:$C$12,0))*Data[[#This Row],[Qty A]],0)</f>
        <v>300000</v>
      </c>
      <c r="J404" t="s">
        <v>58</v>
      </c>
      <c r="K404" t="str">
        <f>IFERROR(INDEX(Katalog!$A$3:$A$12,MATCH(Data[[#This Row],[ItemID B]],Katalog!$C$3:$C$12,0)),"-")</f>
        <v>Pakaian Wanita</v>
      </c>
      <c r="L404" t="str">
        <f>IFERROR(INDEX(Katalog!$B$3:$B$12,MATCH(Data[[#This Row],[ItemID B]],Katalog!$C$3:$C$12,0)),"-")</f>
        <v>Dress</v>
      </c>
      <c r="M404">
        <v>3</v>
      </c>
      <c r="N404">
        <v>2</v>
      </c>
      <c r="O404" s="36">
        <f>IFERROR(INDEX(Katalog!$D$3:$D$12,MATCH(Data[[#This Row],[ItemID B]],Katalog!$C$3:$C$12,0))*Data[[#This Row],[Qty B]],"0")</f>
        <v>900000</v>
      </c>
      <c r="P404" s="36">
        <f>IFERROR(INDEX(Katalog!$F$3:$F$12,MATCH(Data[[#This Row],[ItemID B]],Katalog!$C$3:$C$12,0))*Data[[#This Row],[Qty B]],"0")</f>
        <v>300000</v>
      </c>
      <c r="R404" t="str">
        <f>IFERROR(INDEX(Katalog!$A$3:$A$12,MATCH(Data[[#This Row],[ItemID C]],Katalog!$C$3:$C$12,0)),"-")</f>
        <v>-</v>
      </c>
      <c r="S404" t="str">
        <f>IFERROR(INDEX(Katalog!$B$3:$B$12,MATCH(Data[[#This Row],[ItemID C]],Katalog!$C$3:$C$12,0)),"-")</f>
        <v>-</v>
      </c>
      <c r="V404" s="36" t="str">
        <f>IFERROR(INDEX(Katalog!$D$3:$D$12,MATCH(Data[[#This Row],[ItemID C]],Katalog!$C$3:$C$12,0))*Data[[#This Row],[Qty C]],"0")</f>
        <v>0</v>
      </c>
      <c r="W404" s="36" t="str">
        <f>IFERROR(INDEX(Katalog!$F$3:$F$12,MATCH(Data[[#This Row],[ItemID C]],Katalog!$C$3:$C$12,0))*Data[[#This Row],[Qty C]],"0")</f>
        <v>0</v>
      </c>
      <c r="X404" s="21">
        <f>Data[[#This Row],[Qty A]]+Data[[#This Row],[Qty B]]+Data[[#This Row],[Qty C]]</f>
        <v>6</v>
      </c>
      <c r="Y404" s="22">
        <f>Data[[#This Row],[Harga Barang A]]+Data[[#This Row],[Harga Barang B]]+Data[[#This Row],[Harga Barang C]]</f>
        <v>1650000</v>
      </c>
      <c r="Z404" s="35">
        <f>IFERROR(Data[[#This Row],[Total Harga]]-(Data[[#This Row],[Total Harga]]*Data[[#This Row],[Diskon]]),Data[[#This Row],[Total Harga]])</f>
        <v>1402500</v>
      </c>
      <c r="AA404" s="35">
        <f>(Data[[#This Row],[Profit A]]+Data[[#This Row],[Profit B]]+Data[[#This Row],[Profit C]])</f>
        <v>600000</v>
      </c>
      <c r="AB404" s="35">
        <f>IFERROR((Data[[#This Row],[Profit non Diskon]]-(Data[[#This Row],[Profit non Diskon]]*Data[[#This Row],[Diskon]])),Data[[#This Row],[Profit non Diskon]])</f>
        <v>510000</v>
      </c>
      <c r="AC404" s="23" t="s">
        <v>13</v>
      </c>
      <c r="AD404" s="37">
        <f>IFERROR(INDEX('Kode Diskon'!$D$3:$D$9,MATCH(Data[[#This Row],[Kode diskon]],'Kode Diskon'!$C$3:$C$9,0)),"-")</f>
        <v>0.15</v>
      </c>
      <c r="AE404" s="23" t="s">
        <v>29</v>
      </c>
      <c r="AF404" s="23" t="s">
        <v>7</v>
      </c>
      <c r="AG404" s="23" t="s">
        <v>80</v>
      </c>
      <c r="AH404" s="24">
        <v>45020</v>
      </c>
      <c r="AI404" s="23" t="str">
        <f>TEXT(Data[[#This Row],[Tanggal terjual]],"dddd")</f>
        <v>Tuesday</v>
      </c>
      <c r="AJ404" s="21" t="str">
        <f>TEXT(Data[[#This Row],[Tanggal terjual]],"wwww")</f>
        <v>wwww</v>
      </c>
    </row>
    <row r="405" spans="1:36" x14ac:dyDescent="0.2">
      <c r="A405" s="20">
        <v>404</v>
      </c>
      <c r="B405" s="21" t="str">
        <f>_xlfn.CONCAT("ORD-",INDEX(Helper!$B$2:$B$5,MATCH(Data[[#This Row],[Marketplace]],Helper!$A$2:$A$5,0)),TEXT(Data[[#This Row],[No]],"0000"),"-",TEXT(Data[[#This Row],[Tanggal terjual]],"dd/mm/yy"))</f>
        <v>ORD-BB0404-01/04/23</v>
      </c>
      <c r="C405" t="s">
        <v>67</v>
      </c>
      <c r="D405" t="str">
        <f>IFERROR(INDEX(Katalog!$A$3:$A$12,MATCH(Data[[#This Row],[ItemID A]],Katalog!$C$3:$C$12,0)),"-")</f>
        <v>Sepatu Wanita</v>
      </c>
      <c r="E405" t="str">
        <f>IFERROR(INDEX(Katalog!$B$3:$B$12,MATCH(Data[[#This Row],[ItemID A]],Katalog!$C$3:$C$12,0)),"-")</f>
        <v>Flat Shoes</v>
      </c>
      <c r="F405">
        <v>1</v>
      </c>
      <c r="G405">
        <v>3</v>
      </c>
      <c r="H405" s="36">
        <f>IFERROR(INDEX(Katalog!$D$3:$D$12,MATCH(Data[[#This Row],[ItemID A]],Katalog!$C$3:$C$12,0))*Data[[#This Row],[Qty A]],"0")</f>
        <v>250000</v>
      </c>
      <c r="I405" s="36">
        <f>IFERROR(INDEX(Katalog!$F$3:$F$12,MATCH(Data[[#This Row],[ItemID A]],Katalog!$C$3:$C$12,0))*Data[[#This Row],[Qty A]],0)</f>
        <v>100000</v>
      </c>
      <c r="K405" t="str">
        <f>IFERROR(INDEX(Katalog!$A$3:$A$12,MATCH(Data[[#This Row],[ItemID B]],Katalog!$C$3:$C$12,0)),"-")</f>
        <v>-</v>
      </c>
      <c r="L405" t="str">
        <f>IFERROR(INDEX(Katalog!$B$3:$B$12,MATCH(Data[[#This Row],[ItemID B]],Katalog!$C$3:$C$12,0)),"-")</f>
        <v>-</v>
      </c>
      <c r="O405" s="36" t="str">
        <f>IFERROR(INDEX(Katalog!$D$3:$D$12,MATCH(Data[[#This Row],[ItemID B]],Katalog!$C$3:$C$12,0))*Data[[#This Row],[Qty B]],"0")</f>
        <v>0</v>
      </c>
      <c r="P405" s="36" t="str">
        <f>IFERROR(INDEX(Katalog!$F$3:$F$12,MATCH(Data[[#This Row],[ItemID B]],Katalog!$C$3:$C$12,0))*Data[[#This Row],[Qty B]],"0")</f>
        <v>0</v>
      </c>
      <c r="R405" t="str">
        <f>IFERROR(INDEX(Katalog!$A$3:$A$12,MATCH(Data[[#This Row],[ItemID C]],Katalog!$C$3:$C$12,0)),"-")</f>
        <v>-</v>
      </c>
      <c r="S405" t="str">
        <f>IFERROR(INDEX(Katalog!$B$3:$B$12,MATCH(Data[[#This Row],[ItemID C]],Katalog!$C$3:$C$12,0)),"-")</f>
        <v>-</v>
      </c>
      <c r="V405" s="36" t="str">
        <f>IFERROR(INDEX(Katalog!$D$3:$D$12,MATCH(Data[[#This Row],[ItemID C]],Katalog!$C$3:$C$12,0))*Data[[#This Row],[Qty C]],"0")</f>
        <v>0</v>
      </c>
      <c r="W405" s="36" t="str">
        <f>IFERROR(INDEX(Katalog!$F$3:$F$12,MATCH(Data[[#This Row],[ItemID C]],Katalog!$C$3:$C$12,0))*Data[[#This Row],[Qty C]],"0")</f>
        <v>0</v>
      </c>
      <c r="X405" s="21">
        <f>Data[[#This Row],[Qty A]]+Data[[#This Row],[Qty B]]+Data[[#This Row],[Qty C]]</f>
        <v>1</v>
      </c>
      <c r="Y405" s="22">
        <f>Data[[#This Row],[Harga Barang A]]+Data[[#This Row],[Harga Barang B]]+Data[[#This Row],[Harga Barang C]]</f>
        <v>250000</v>
      </c>
      <c r="Z405" s="35">
        <f>IFERROR(Data[[#This Row],[Total Harga]]-(Data[[#This Row],[Total Harga]]*Data[[#This Row],[Diskon]]),Data[[#This Row],[Total Harga]])</f>
        <v>212500</v>
      </c>
      <c r="AA405" s="35">
        <f>(Data[[#This Row],[Profit A]]+Data[[#This Row],[Profit B]]+Data[[#This Row],[Profit C]])</f>
        <v>100000</v>
      </c>
      <c r="AB405" s="35">
        <f>IFERROR((Data[[#This Row],[Profit non Diskon]]-(Data[[#This Row],[Profit non Diskon]]*Data[[#This Row],[Diskon]])),Data[[#This Row],[Profit non Diskon]])</f>
        <v>85000</v>
      </c>
      <c r="AC405" s="23" t="s">
        <v>28</v>
      </c>
      <c r="AD405" s="37">
        <f>IFERROR(INDEX('Kode Diskon'!$D$3:$D$9,MATCH(Data[[#This Row],[Kode diskon]],'Kode Diskon'!$C$3:$C$9,0)),"-")</f>
        <v>0.15</v>
      </c>
      <c r="AE405" s="23" t="s">
        <v>29</v>
      </c>
      <c r="AF405" s="23" t="s">
        <v>14</v>
      </c>
      <c r="AG405" s="23" t="s">
        <v>79</v>
      </c>
      <c r="AH405" s="24">
        <v>45017</v>
      </c>
      <c r="AI405" s="23" t="str">
        <f>TEXT(Data[[#This Row],[Tanggal terjual]],"dddd")</f>
        <v>Saturday</v>
      </c>
      <c r="AJ405" s="21" t="str">
        <f>TEXT(Data[[#This Row],[Tanggal terjual]],"wwww")</f>
        <v>wwww</v>
      </c>
    </row>
    <row r="406" spans="1:36" x14ac:dyDescent="0.2">
      <c r="A406" s="20">
        <v>405</v>
      </c>
      <c r="B406" s="21" t="str">
        <f>_xlfn.CONCAT("ORD-",INDEX(Helper!$B$2:$B$5,MATCH(Data[[#This Row],[Marketplace]],Helper!$A$2:$A$5,0)),TEXT(Data[[#This Row],[No]],"0000"),"-",TEXT(Data[[#This Row],[Tanggal terjual]],"dd/mm/yy"))</f>
        <v>ORD-SP0405-20/04/23</v>
      </c>
      <c r="C406" t="s">
        <v>61</v>
      </c>
      <c r="D406" t="str">
        <f>IFERROR(INDEX(Katalog!$A$3:$A$12,MATCH(Data[[#This Row],[ItemID A]],Katalog!$C$3:$C$12,0)),"-")</f>
        <v>Pakaian Pria</v>
      </c>
      <c r="E406" t="str">
        <f>IFERROR(INDEX(Katalog!$B$3:$B$12,MATCH(Data[[#This Row],[ItemID A]],Katalog!$C$3:$C$12,0)),"-")</f>
        <v>Kaos Polo</v>
      </c>
      <c r="F406">
        <v>4</v>
      </c>
      <c r="G406">
        <v>5</v>
      </c>
      <c r="H406" s="36">
        <f>IFERROR(INDEX(Katalog!$D$3:$D$12,MATCH(Data[[#This Row],[ItemID A]],Katalog!$C$3:$C$12,0))*Data[[#This Row],[Qty A]],"0")</f>
        <v>800000</v>
      </c>
      <c r="I406" s="36">
        <f>IFERROR(INDEX(Katalog!$F$3:$F$12,MATCH(Data[[#This Row],[ItemID A]],Katalog!$C$3:$C$12,0))*Data[[#This Row],[Qty A]],0)</f>
        <v>320000</v>
      </c>
      <c r="J406" t="s">
        <v>60</v>
      </c>
      <c r="K406" t="str">
        <f>IFERROR(INDEX(Katalog!$A$3:$A$12,MATCH(Data[[#This Row],[ItemID B]],Katalog!$C$3:$C$12,0)),"-")</f>
        <v>Pakaian Wanita</v>
      </c>
      <c r="L406" t="str">
        <f>IFERROR(INDEX(Katalog!$B$3:$B$12,MATCH(Data[[#This Row],[ItemID B]],Katalog!$C$3:$C$12,0)),"-")</f>
        <v>Kaftan</v>
      </c>
      <c r="M406">
        <v>1</v>
      </c>
      <c r="N406">
        <v>2</v>
      </c>
      <c r="O406" s="36">
        <f>IFERROR(INDEX(Katalog!$D$3:$D$12,MATCH(Data[[#This Row],[ItemID B]],Katalog!$C$3:$C$12,0))*Data[[#This Row],[Qty B]],"0")</f>
        <v>250000</v>
      </c>
      <c r="P406" s="36">
        <f>IFERROR(INDEX(Katalog!$F$3:$F$12,MATCH(Data[[#This Row],[ItemID B]],Katalog!$C$3:$C$12,0))*Data[[#This Row],[Qty B]],"0")</f>
        <v>100000</v>
      </c>
      <c r="Q406" t="s">
        <v>59</v>
      </c>
      <c r="R406" t="str">
        <f>IFERROR(INDEX(Katalog!$A$3:$A$12,MATCH(Data[[#This Row],[ItemID C]],Katalog!$C$3:$C$12,0)),"-")</f>
        <v>Pakaian Wanita</v>
      </c>
      <c r="S406" t="str">
        <f>IFERROR(INDEX(Katalog!$B$3:$B$12,MATCH(Data[[#This Row],[ItemID C]],Katalog!$C$3:$C$12,0)),"-")</f>
        <v>Blouse</v>
      </c>
      <c r="T406">
        <v>2</v>
      </c>
      <c r="U406">
        <v>1</v>
      </c>
      <c r="V406" s="36">
        <f>IFERROR(INDEX(Katalog!$D$3:$D$12,MATCH(Data[[#This Row],[ItemID C]],Katalog!$C$3:$C$12,0))*Data[[#This Row],[Qty C]],"0")</f>
        <v>300000</v>
      </c>
      <c r="W406" s="36">
        <f>IFERROR(INDEX(Katalog!$F$3:$F$12,MATCH(Data[[#This Row],[ItemID C]],Katalog!$C$3:$C$12,0))*Data[[#This Row],[Qty C]],"0")</f>
        <v>100000</v>
      </c>
      <c r="X406" s="21">
        <f>Data[[#This Row],[Qty A]]+Data[[#This Row],[Qty B]]+Data[[#This Row],[Qty C]]</f>
        <v>7</v>
      </c>
      <c r="Y406" s="22">
        <f>Data[[#This Row],[Harga Barang A]]+Data[[#This Row],[Harga Barang B]]+Data[[#This Row],[Harga Barang C]]</f>
        <v>1350000</v>
      </c>
      <c r="Z406" s="35">
        <f>IFERROR(Data[[#This Row],[Total Harga]]-(Data[[#This Row],[Total Harga]]*Data[[#This Row],[Diskon]]),Data[[#This Row],[Total Harga]])</f>
        <v>1080000</v>
      </c>
      <c r="AA406" s="35">
        <f>(Data[[#This Row],[Profit A]]+Data[[#This Row],[Profit B]]+Data[[#This Row],[Profit C]])</f>
        <v>520000</v>
      </c>
      <c r="AB406" s="35">
        <f>IFERROR((Data[[#This Row],[Profit non Diskon]]-(Data[[#This Row],[Profit non Diskon]]*Data[[#This Row],[Diskon]])),Data[[#This Row],[Profit non Diskon]])</f>
        <v>416000</v>
      </c>
      <c r="AC406" s="23" t="s">
        <v>8</v>
      </c>
      <c r="AD406" s="37">
        <f>IFERROR(INDEX('Kode Diskon'!$D$3:$D$9,MATCH(Data[[#This Row],[Kode diskon]],'Kode Diskon'!$C$3:$C$9,0)),"-")</f>
        <v>0.2</v>
      </c>
      <c r="AE406" s="23" t="s">
        <v>9</v>
      </c>
      <c r="AF406" s="23" t="s">
        <v>7</v>
      </c>
      <c r="AG406" s="23" t="s">
        <v>76</v>
      </c>
      <c r="AH406" s="24">
        <v>45036</v>
      </c>
      <c r="AI406" s="23" t="str">
        <f>TEXT(Data[[#This Row],[Tanggal terjual]],"dddd")</f>
        <v>Thursday</v>
      </c>
      <c r="AJ406" s="21" t="str">
        <f>TEXT(Data[[#This Row],[Tanggal terjual]],"wwww")</f>
        <v>wwww</v>
      </c>
    </row>
    <row r="407" spans="1:36" x14ac:dyDescent="0.2">
      <c r="A407" s="20">
        <v>406</v>
      </c>
      <c r="B407" s="21" t="str">
        <f>_xlfn.CONCAT("ORD-",INDEX(Helper!$B$2:$B$5,MATCH(Data[[#This Row],[Marketplace]],Helper!$A$2:$A$5,0)),TEXT(Data[[#This Row],[No]],"0000"),"-",TEXT(Data[[#This Row],[Tanggal terjual]],"dd/mm/yy"))</f>
        <v>ORD-SP0406-02/04/23</v>
      </c>
      <c r="C407" t="s">
        <v>66</v>
      </c>
      <c r="D407" t="str">
        <f>IFERROR(INDEX(Katalog!$A$3:$A$12,MATCH(Data[[#This Row],[ItemID A]],Katalog!$C$3:$C$12,0)),"-")</f>
        <v>Sepatu Pria</v>
      </c>
      <c r="E407" t="str">
        <f>IFERROR(INDEX(Katalog!$B$3:$B$12,MATCH(Data[[#This Row],[ItemID A]],Katalog!$C$3:$C$12,0)),"-")</f>
        <v>Sandal Slip On</v>
      </c>
      <c r="F407">
        <v>1</v>
      </c>
      <c r="G407">
        <v>4</v>
      </c>
      <c r="H407" s="36">
        <f>IFERROR(INDEX(Katalog!$D$3:$D$12,MATCH(Data[[#This Row],[ItemID A]],Katalog!$C$3:$C$12,0))*Data[[#This Row],[Qty A]],"0")</f>
        <v>150000</v>
      </c>
      <c r="I407" s="36">
        <f>IFERROR(INDEX(Katalog!$F$3:$F$12,MATCH(Data[[#This Row],[ItemID A]],Katalog!$C$3:$C$12,0))*Data[[#This Row],[Qty A]],0)</f>
        <v>60000</v>
      </c>
      <c r="J407" t="s">
        <v>62</v>
      </c>
      <c r="K407" t="str">
        <f>IFERROR(INDEX(Katalog!$A$3:$A$12,MATCH(Data[[#This Row],[ItemID B]],Katalog!$C$3:$C$12,0)),"-")</f>
        <v>Pakaian Pria</v>
      </c>
      <c r="L407" t="str">
        <f>IFERROR(INDEX(Katalog!$B$3:$B$12,MATCH(Data[[#This Row],[ItemID B]],Katalog!$C$3:$C$12,0)),"-")</f>
        <v>Celana Pendek</v>
      </c>
      <c r="M407">
        <v>1</v>
      </c>
      <c r="N407">
        <v>5</v>
      </c>
      <c r="O407" s="36">
        <f>IFERROR(INDEX(Katalog!$D$3:$D$12,MATCH(Data[[#This Row],[ItemID B]],Katalog!$C$3:$C$12,0))*Data[[#This Row],[Qty B]],"0")</f>
        <v>180000</v>
      </c>
      <c r="P407" s="36">
        <f>IFERROR(INDEX(Katalog!$F$3:$F$12,MATCH(Data[[#This Row],[ItemID B]],Katalog!$C$3:$C$12,0))*Data[[#This Row],[Qty B]],"0")</f>
        <v>70000</v>
      </c>
      <c r="R407" t="str">
        <f>IFERROR(INDEX(Katalog!$A$3:$A$12,MATCH(Data[[#This Row],[ItemID C]],Katalog!$C$3:$C$12,0)),"-")</f>
        <v>-</v>
      </c>
      <c r="S407" t="str">
        <f>IFERROR(INDEX(Katalog!$B$3:$B$12,MATCH(Data[[#This Row],[ItemID C]],Katalog!$C$3:$C$12,0)),"-")</f>
        <v>-</v>
      </c>
      <c r="V407" s="36" t="str">
        <f>IFERROR(INDEX(Katalog!$D$3:$D$12,MATCH(Data[[#This Row],[ItemID C]],Katalog!$C$3:$C$12,0))*Data[[#This Row],[Qty C]],"0")</f>
        <v>0</v>
      </c>
      <c r="W407" s="36" t="str">
        <f>IFERROR(INDEX(Katalog!$F$3:$F$12,MATCH(Data[[#This Row],[ItemID C]],Katalog!$C$3:$C$12,0))*Data[[#This Row],[Qty C]],"0")</f>
        <v>0</v>
      </c>
      <c r="X407" s="21">
        <f>Data[[#This Row],[Qty A]]+Data[[#This Row],[Qty B]]+Data[[#This Row],[Qty C]]</f>
        <v>2</v>
      </c>
      <c r="Y407" s="22">
        <f>Data[[#This Row],[Harga Barang A]]+Data[[#This Row],[Harga Barang B]]+Data[[#This Row],[Harga Barang C]]</f>
        <v>330000</v>
      </c>
      <c r="Z407" s="35">
        <f>IFERROR(Data[[#This Row],[Total Harga]]-(Data[[#This Row],[Total Harga]]*Data[[#This Row],[Diskon]]),Data[[#This Row],[Total Harga]])</f>
        <v>280500</v>
      </c>
      <c r="AA407" s="35">
        <f>(Data[[#This Row],[Profit A]]+Data[[#This Row],[Profit B]]+Data[[#This Row],[Profit C]])</f>
        <v>130000</v>
      </c>
      <c r="AB407" s="35">
        <f>IFERROR((Data[[#This Row],[Profit non Diskon]]-(Data[[#This Row],[Profit non Diskon]]*Data[[#This Row],[Diskon]])),Data[[#This Row],[Profit non Diskon]])</f>
        <v>110500</v>
      </c>
      <c r="AC407" s="23" t="s">
        <v>13</v>
      </c>
      <c r="AD407" s="37">
        <f>IFERROR(INDEX('Kode Diskon'!$D$3:$D$9,MATCH(Data[[#This Row],[Kode diskon]],'Kode Diskon'!$C$3:$C$9,0)),"-")</f>
        <v>0.15</v>
      </c>
      <c r="AE407" s="23" t="s">
        <v>29</v>
      </c>
      <c r="AF407" s="23" t="s">
        <v>7</v>
      </c>
      <c r="AG407" s="23" t="s">
        <v>80</v>
      </c>
      <c r="AH407" s="24">
        <v>45018</v>
      </c>
      <c r="AI407" s="23" t="str">
        <f>TEXT(Data[[#This Row],[Tanggal terjual]],"dddd")</f>
        <v>Sunday</v>
      </c>
      <c r="AJ407" s="21" t="str">
        <f>TEXT(Data[[#This Row],[Tanggal terjual]],"wwww")</f>
        <v>wwww</v>
      </c>
    </row>
    <row r="408" spans="1:36" x14ac:dyDescent="0.2">
      <c r="A408" s="20">
        <v>407</v>
      </c>
      <c r="B408" s="21" t="str">
        <f>_xlfn.CONCAT("ORD-",INDEX(Helper!$B$2:$B$5,MATCH(Data[[#This Row],[Marketplace]],Helper!$A$2:$A$5,0)),TEXT(Data[[#This Row],[No]],"0000"),"-",TEXT(Data[[#This Row],[Tanggal terjual]],"dd/mm/yy"))</f>
        <v>ORD-SP0407-01/04/23</v>
      </c>
      <c r="C408" t="s">
        <v>65</v>
      </c>
      <c r="D408" t="str">
        <f>IFERROR(INDEX(Katalog!$A$3:$A$12,MATCH(Data[[#This Row],[ItemID A]],Katalog!$C$3:$C$12,0)),"-")</f>
        <v>Sepatu Pria</v>
      </c>
      <c r="E408" t="str">
        <f>IFERROR(INDEX(Katalog!$B$3:$B$12,MATCH(Data[[#This Row],[ItemID A]],Katalog!$C$3:$C$12,0)),"-")</f>
        <v>Sneakers</v>
      </c>
      <c r="F408">
        <v>2</v>
      </c>
      <c r="G408">
        <v>5</v>
      </c>
      <c r="H408" s="36">
        <f>IFERROR(INDEX(Katalog!$D$3:$D$12,MATCH(Data[[#This Row],[ItemID A]],Katalog!$C$3:$C$12,0))*Data[[#This Row],[Qty A]],"0")</f>
        <v>1000000</v>
      </c>
      <c r="I408" s="36">
        <f>IFERROR(INDEX(Katalog!$F$3:$F$12,MATCH(Data[[#This Row],[ItemID A]],Katalog!$C$3:$C$12,0))*Data[[#This Row],[Qty A]],0)</f>
        <v>400000</v>
      </c>
      <c r="J408" t="s">
        <v>60</v>
      </c>
      <c r="K408" t="str">
        <f>IFERROR(INDEX(Katalog!$A$3:$A$12,MATCH(Data[[#This Row],[ItemID B]],Katalog!$C$3:$C$12,0)),"-")</f>
        <v>Pakaian Wanita</v>
      </c>
      <c r="L408" t="str">
        <f>IFERROR(INDEX(Katalog!$B$3:$B$12,MATCH(Data[[#This Row],[ItemID B]],Katalog!$C$3:$C$12,0)),"-")</f>
        <v>Kaftan</v>
      </c>
      <c r="M408">
        <v>2</v>
      </c>
      <c r="N408">
        <v>5</v>
      </c>
      <c r="O408" s="36">
        <f>IFERROR(INDEX(Katalog!$D$3:$D$12,MATCH(Data[[#This Row],[ItemID B]],Katalog!$C$3:$C$12,0))*Data[[#This Row],[Qty B]],"0")</f>
        <v>500000</v>
      </c>
      <c r="P408" s="36">
        <f>IFERROR(INDEX(Katalog!$F$3:$F$12,MATCH(Data[[#This Row],[ItemID B]],Katalog!$C$3:$C$12,0))*Data[[#This Row],[Qty B]],"0")</f>
        <v>200000</v>
      </c>
      <c r="Q408" t="s">
        <v>59</v>
      </c>
      <c r="R408" t="str">
        <f>IFERROR(INDEX(Katalog!$A$3:$A$12,MATCH(Data[[#This Row],[ItemID C]],Katalog!$C$3:$C$12,0)),"-")</f>
        <v>Pakaian Wanita</v>
      </c>
      <c r="S408" t="str">
        <f>IFERROR(INDEX(Katalog!$B$3:$B$12,MATCH(Data[[#This Row],[ItemID C]],Katalog!$C$3:$C$12,0)),"-")</f>
        <v>Blouse</v>
      </c>
      <c r="T408">
        <v>3</v>
      </c>
      <c r="U408">
        <v>4</v>
      </c>
      <c r="V408" s="36">
        <f>IFERROR(INDEX(Katalog!$D$3:$D$12,MATCH(Data[[#This Row],[ItemID C]],Katalog!$C$3:$C$12,0))*Data[[#This Row],[Qty C]],"0")</f>
        <v>450000</v>
      </c>
      <c r="W408" s="36">
        <f>IFERROR(INDEX(Katalog!$F$3:$F$12,MATCH(Data[[#This Row],[ItemID C]],Katalog!$C$3:$C$12,0))*Data[[#This Row],[Qty C]],"0")</f>
        <v>150000</v>
      </c>
      <c r="X408" s="21">
        <f>Data[[#This Row],[Qty A]]+Data[[#This Row],[Qty B]]+Data[[#This Row],[Qty C]]</f>
        <v>7</v>
      </c>
      <c r="Y408" s="22">
        <f>Data[[#This Row],[Harga Barang A]]+Data[[#This Row],[Harga Barang B]]+Data[[#This Row],[Harga Barang C]]</f>
        <v>1950000</v>
      </c>
      <c r="Z408" s="35">
        <f>IFERROR(Data[[#This Row],[Total Harga]]-(Data[[#This Row],[Total Harga]]*Data[[#This Row],[Diskon]]),Data[[#This Row],[Total Harga]])</f>
        <v>1755000</v>
      </c>
      <c r="AA408" s="35">
        <f>(Data[[#This Row],[Profit A]]+Data[[#This Row],[Profit B]]+Data[[#This Row],[Profit C]])</f>
        <v>750000</v>
      </c>
      <c r="AB408" s="35">
        <f>IFERROR((Data[[#This Row],[Profit non Diskon]]-(Data[[#This Row],[Profit non Diskon]]*Data[[#This Row],[Diskon]])),Data[[#This Row],[Profit non Diskon]])</f>
        <v>675000</v>
      </c>
      <c r="AC408" s="23" t="s">
        <v>6</v>
      </c>
      <c r="AD408" s="37">
        <f>IFERROR(INDEX('Kode Diskon'!$D$3:$D$9,MATCH(Data[[#This Row],[Kode diskon]],'Kode Diskon'!$C$3:$C$9,0)),"-")</f>
        <v>0.1</v>
      </c>
      <c r="AE408" s="23" t="s">
        <v>29</v>
      </c>
      <c r="AF408" s="23" t="s">
        <v>7</v>
      </c>
      <c r="AG408" s="23" t="s">
        <v>80</v>
      </c>
      <c r="AH408" s="24">
        <v>45017</v>
      </c>
      <c r="AI408" s="23" t="str">
        <f>TEXT(Data[[#This Row],[Tanggal terjual]],"dddd")</f>
        <v>Saturday</v>
      </c>
      <c r="AJ408" s="21" t="str">
        <f>TEXT(Data[[#This Row],[Tanggal terjual]],"wwww")</f>
        <v>wwww</v>
      </c>
    </row>
    <row r="409" spans="1:36" x14ac:dyDescent="0.2">
      <c r="A409" s="20">
        <v>408</v>
      </c>
      <c r="B409" s="21" t="str">
        <f>_xlfn.CONCAT("ORD-",INDEX(Helper!$B$2:$B$5,MATCH(Data[[#This Row],[Marketplace]],Helper!$A$2:$A$5,0)),TEXT(Data[[#This Row],[No]],"0000"),"-",TEXT(Data[[#This Row],[Tanggal terjual]],"dd/mm/yy"))</f>
        <v>ORD-TK0408-09/04/23</v>
      </c>
      <c r="C409" t="s">
        <v>63</v>
      </c>
      <c r="D409" t="str">
        <f>IFERROR(INDEX(Katalog!$A$3:$A$12,MATCH(Data[[#This Row],[ItemID A]],Katalog!$C$3:$C$12,0)),"-")</f>
        <v>Pakaian Pria</v>
      </c>
      <c r="E409" t="str">
        <f>IFERROR(INDEX(Katalog!$B$3:$B$12,MATCH(Data[[#This Row],[ItemID A]],Katalog!$C$3:$C$12,0)),"-")</f>
        <v>Jaket Jeans</v>
      </c>
      <c r="F409">
        <v>1</v>
      </c>
      <c r="G409">
        <v>2</v>
      </c>
      <c r="H409" s="36">
        <f>IFERROR(INDEX(Katalog!$D$3:$D$12,MATCH(Data[[#This Row],[ItemID A]],Katalog!$C$3:$C$12,0))*Data[[#This Row],[Qty A]],"0")</f>
        <v>400000</v>
      </c>
      <c r="I409" s="36">
        <f>IFERROR(INDEX(Katalog!$F$3:$F$12,MATCH(Data[[#This Row],[ItemID A]],Katalog!$C$3:$C$12,0))*Data[[#This Row],[Qty A]],0)</f>
        <v>150000</v>
      </c>
      <c r="J409" t="s">
        <v>61</v>
      </c>
      <c r="K409" t="str">
        <f>IFERROR(INDEX(Katalog!$A$3:$A$12,MATCH(Data[[#This Row],[ItemID B]],Katalog!$C$3:$C$12,0)),"-")</f>
        <v>Pakaian Pria</v>
      </c>
      <c r="L409" t="str">
        <f>IFERROR(INDEX(Katalog!$B$3:$B$12,MATCH(Data[[#This Row],[ItemID B]],Katalog!$C$3:$C$12,0)),"-")</f>
        <v>Kaos Polo</v>
      </c>
      <c r="M409">
        <v>1</v>
      </c>
      <c r="N409">
        <v>2</v>
      </c>
      <c r="O409" s="36">
        <f>IFERROR(INDEX(Katalog!$D$3:$D$12,MATCH(Data[[#This Row],[ItemID B]],Katalog!$C$3:$C$12,0))*Data[[#This Row],[Qty B]],"0")</f>
        <v>200000</v>
      </c>
      <c r="P409" s="36">
        <f>IFERROR(INDEX(Katalog!$F$3:$F$12,MATCH(Data[[#This Row],[ItemID B]],Katalog!$C$3:$C$12,0))*Data[[#This Row],[Qty B]],"0")</f>
        <v>80000</v>
      </c>
      <c r="Q409" t="s">
        <v>65</v>
      </c>
      <c r="R409" t="str">
        <f>IFERROR(INDEX(Katalog!$A$3:$A$12,MATCH(Data[[#This Row],[ItemID C]],Katalog!$C$3:$C$12,0)),"-")</f>
        <v>Sepatu Pria</v>
      </c>
      <c r="S409" t="str">
        <f>IFERROR(INDEX(Katalog!$B$3:$B$12,MATCH(Data[[#This Row],[ItemID C]],Katalog!$C$3:$C$12,0)),"-")</f>
        <v>Sneakers</v>
      </c>
      <c r="T409">
        <v>3</v>
      </c>
      <c r="U409">
        <v>4</v>
      </c>
      <c r="V409" s="36">
        <f>IFERROR(INDEX(Katalog!$D$3:$D$12,MATCH(Data[[#This Row],[ItemID C]],Katalog!$C$3:$C$12,0))*Data[[#This Row],[Qty C]],"0")</f>
        <v>1500000</v>
      </c>
      <c r="W409" s="36">
        <f>IFERROR(INDEX(Katalog!$F$3:$F$12,MATCH(Data[[#This Row],[ItemID C]],Katalog!$C$3:$C$12,0))*Data[[#This Row],[Qty C]],"0")</f>
        <v>600000</v>
      </c>
      <c r="X409" s="21">
        <f>Data[[#This Row],[Qty A]]+Data[[#This Row],[Qty B]]+Data[[#This Row],[Qty C]]</f>
        <v>5</v>
      </c>
      <c r="Y409" s="22">
        <f>Data[[#This Row],[Harga Barang A]]+Data[[#This Row],[Harga Barang B]]+Data[[#This Row],[Harga Barang C]]</f>
        <v>2100000</v>
      </c>
      <c r="Z409" s="35">
        <f>IFERROR(Data[[#This Row],[Total Harga]]-(Data[[#This Row],[Total Harga]]*Data[[#This Row],[Diskon]]),Data[[#This Row],[Total Harga]])</f>
        <v>2100000</v>
      </c>
      <c r="AA409" s="35">
        <f>(Data[[#This Row],[Profit A]]+Data[[#This Row],[Profit B]]+Data[[#This Row],[Profit C]])</f>
        <v>830000</v>
      </c>
      <c r="AB409" s="35">
        <f>IFERROR((Data[[#This Row],[Profit non Diskon]]-(Data[[#This Row],[Profit non Diskon]]*Data[[#This Row],[Diskon]])),Data[[#This Row],[Profit non Diskon]])</f>
        <v>830000</v>
      </c>
      <c r="AC409" s="23" t="s">
        <v>11</v>
      </c>
      <c r="AD409" s="37" t="str">
        <f>IFERROR(INDEX('Kode Diskon'!$D$3:$D$9,MATCH(Data[[#This Row],[Kode diskon]],'Kode Diskon'!$C$3:$C$9,0)),"-")</f>
        <v>-</v>
      </c>
      <c r="AE409" s="23" t="s">
        <v>11</v>
      </c>
      <c r="AF409" s="23" t="s">
        <v>10</v>
      </c>
      <c r="AG409" s="23" t="s">
        <v>80</v>
      </c>
      <c r="AH409" s="24">
        <v>45025</v>
      </c>
      <c r="AI409" s="23" t="str">
        <f>TEXT(Data[[#This Row],[Tanggal terjual]],"dddd")</f>
        <v>Sunday</v>
      </c>
      <c r="AJ409" s="21" t="str">
        <f>TEXT(Data[[#This Row],[Tanggal terjual]],"wwww")</f>
        <v>wwww</v>
      </c>
    </row>
    <row r="410" spans="1:36" x14ac:dyDescent="0.2">
      <c r="A410" s="20">
        <v>409</v>
      </c>
      <c r="B410" s="21" t="str">
        <f>_xlfn.CONCAT("ORD-",INDEX(Helper!$B$2:$B$5,MATCH(Data[[#This Row],[Marketplace]],Helper!$A$2:$A$5,0)),TEXT(Data[[#This Row],[No]],"0000"),"-",TEXT(Data[[#This Row],[Tanggal terjual]],"dd/mm/yy"))</f>
        <v>ORD-SP0409-26/04/23</v>
      </c>
      <c r="C410" t="s">
        <v>67</v>
      </c>
      <c r="D410" t="str">
        <f>IFERROR(INDEX(Katalog!$A$3:$A$12,MATCH(Data[[#This Row],[ItemID A]],Katalog!$C$3:$C$12,0)),"-")</f>
        <v>Sepatu Wanita</v>
      </c>
      <c r="E410" t="str">
        <f>IFERROR(INDEX(Katalog!$B$3:$B$12,MATCH(Data[[#This Row],[ItemID A]],Katalog!$C$3:$C$12,0)),"-")</f>
        <v>Flat Shoes</v>
      </c>
      <c r="F410">
        <v>3</v>
      </c>
      <c r="G410">
        <v>5</v>
      </c>
      <c r="H410" s="36">
        <f>IFERROR(INDEX(Katalog!$D$3:$D$12,MATCH(Data[[#This Row],[ItemID A]],Katalog!$C$3:$C$12,0))*Data[[#This Row],[Qty A]],"0")</f>
        <v>750000</v>
      </c>
      <c r="I410" s="36">
        <f>IFERROR(INDEX(Katalog!$F$3:$F$12,MATCH(Data[[#This Row],[ItemID A]],Katalog!$C$3:$C$12,0))*Data[[#This Row],[Qty A]],0)</f>
        <v>300000</v>
      </c>
      <c r="J410" t="s">
        <v>60</v>
      </c>
      <c r="K410" t="str">
        <f>IFERROR(INDEX(Katalog!$A$3:$A$12,MATCH(Data[[#This Row],[ItemID B]],Katalog!$C$3:$C$12,0)),"-")</f>
        <v>Pakaian Wanita</v>
      </c>
      <c r="L410" t="str">
        <f>IFERROR(INDEX(Katalog!$B$3:$B$12,MATCH(Data[[#This Row],[ItemID B]],Katalog!$C$3:$C$12,0)),"-")</f>
        <v>Kaftan</v>
      </c>
      <c r="M410">
        <v>1</v>
      </c>
      <c r="N410">
        <v>2</v>
      </c>
      <c r="O410" s="36">
        <f>IFERROR(INDEX(Katalog!$D$3:$D$12,MATCH(Data[[#This Row],[ItemID B]],Katalog!$C$3:$C$12,0))*Data[[#This Row],[Qty B]],"0")</f>
        <v>250000</v>
      </c>
      <c r="P410" s="36">
        <f>IFERROR(INDEX(Katalog!$F$3:$F$12,MATCH(Data[[#This Row],[ItemID B]],Katalog!$C$3:$C$12,0))*Data[[#This Row],[Qty B]],"0")</f>
        <v>100000</v>
      </c>
      <c r="R410" t="str">
        <f>IFERROR(INDEX(Katalog!$A$3:$A$12,MATCH(Data[[#This Row],[ItemID C]],Katalog!$C$3:$C$12,0)),"-")</f>
        <v>-</v>
      </c>
      <c r="S410" t="str">
        <f>IFERROR(INDEX(Katalog!$B$3:$B$12,MATCH(Data[[#This Row],[ItemID C]],Katalog!$C$3:$C$12,0)),"-")</f>
        <v>-</v>
      </c>
      <c r="V410" s="36" t="str">
        <f>IFERROR(INDEX(Katalog!$D$3:$D$12,MATCH(Data[[#This Row],[ItemID C]],Katalog!$C$3:$C$12,0))*Data[[#This Row],[Qty C]],"0")</f>
        <v>0</v>
      </c>
      <c r="W410" s="36" t="str">
        <f>IFERROR(INDEX(Katalog!$F$3:$F$12,MATCH(Data[[#This Row],[ItemID C]],Katalog!$C$3:$C$12,0))*Data[[#This Row],[Qty C]],"0")</f>
        <v>0</v>
      </c>
      <c r="X410" s="21">
        <f>Data[[#This Row],[Qty A]]+Data[[#This Row],[Qty B]]+Data[[#This Row],[Qty C]]</f>
        <v>4</v>
      </c>
      <c r="Y410" s="22">
        <f>Data[[#This Row],[Harga Barang A]]+Data[[#This Row],[Harga Barang B]]+Data[[#This Row],[Harga Barang C]]</f>
        <v>1000000</v>
      </c>
      <c r="Z410" s="35">
        <f>IFERROR(Data[[#This Row],[Total Harga]]-(Data[[#This Row],[Total Harga]]*Data[[#This Row],[Diskon]]),Data[[#This Row],[Total Harga]])</f>
        <v>800000</v>
      </c>
      <c r="AA410" s="35">
        <f>(Data[[#This Row],[Profit A]]+Data[[#This Row],[Profit B]]+Data[[#This Row],[Profit C]])</f>
        <v>400000</v>
      </c>
      <c r="AB410" s="35">
        <f>IFERROR((Data[[#This Row],[Profit non Diskon]]-(Data[[#This Row],[Profit non Diskon]]*Data[[#This Row],[Diskon]])),Data[[#This Row],[Profit non Diskon]])</f>
        <v>320000</v>
      </c>
      <c r="AC410" s="23" t="s">
        <v>8</v>
      </c>
      <c r="AD410" s="37">
        <f>IFERROR(INDEX('Kode Diskon'!$D$3:$D$9,MATCH(Data[[#This Row],[Kode diskon]],'Kode Diskon'!$C$3:$C$9,0)),"-")</f>
        <v>0.2</v>
      </c>
      <c r="AE410" s="23" t="s">
        <v>9</v>
      </c>
      <c r="AF410" s="23" t="s">
        <v>7</v>
      </c>
      <c r="AG410" s="23" t="s">
        <v>79</v>
      </c>
      <c r="AH410" s="24">
        <v>45042</v>
      </c>
      <c r="AI410" s="23" t="str">
        <f>TEXT(Data[[#This Row],[Tanggal terjual]],"dddd")</f>
        <v>Wednesday</v>
      </c>
      <c r="AJ410" s="21" t="str">
        <f>TEXT(Data[[#This Row],[Tanggal terjual]],"wwww")</f>
        <v>wwww</v>
      </c>
    </row>
    <row r="411" spans="1:36" x14ac:dyDescent="0.2">
      <c r="A411" s="20">
        <v>410</v>
      </c>
      <c r="B411" s="21" t="str">
        <f>_xlfn.CONCAT("ORD-",INDEX(Helper!$B$2:$B$5,MATCH(Data[[#This Row],[Marketplace]],Helper!$A$2:$A$5,0)),TEXT(Data[[#This Row],[No]],"0000"),"-",TEXT(Data[[#This Row],[Tanggal terjual]],"dd/mm/yy"))</f>
        <v>ORD-SP0410-16/04/23</v>
      </c>
      <c r="C411" t="s">
        <v>67</v>
      </c>
      <c r="D411" t="str">
        <f>IFERROR(INDEX(Katalog!$A$3:$A$12,MATCH(Data[[#This Row],[ItemID A]],Katalog!$C$3:$C$12,0)),"-")</f>
        <v>Sepatu Wanita</v>
      </c>
      <c r="E411" t="str">
        <f>IFERROR(INDEX(Katalog!$B$3:$B$12,MATCH(Data[[#This Row],[ItemID A]],Katalog!$C$3:$C$12,0)),"-")</f>
        <v>Flat Shoes</v>
      </c>
      <c r="F411">
        <v>1</v>
      </c>
      <c r="G411">
        <v>1</v>
      </c>
      <c r="H411" s="36">
        <f>IFERROR(INDEX(Katalog!$D$3:$D$12,MATCH(Data[[#This Row],[ItemID A]],Katalog!$C$3:$C$12,0))*Data[[#This Row],[Qty A]],"0")</f>
        <v>250000</v>
      </c>
      <c r="I411" s="36">
        <f>IFERROR(INDEX(Katalog!$F$3:$F$12,MATCH(Data[[#This Row],[ItemID A]],Katalog!$C$3:$C$12,0))*Data[[#This Row],[Qty A]],0)</f>
        <v>100000</v>
      </c>
      <c r="K411" t="str">
        <f>IFERROR(INDEX(Katalog!$A$3:$A$12,MATCH(Data[[#This Row],[ItemID B]],Katalog!$C$3:$C$12,0)),"-")</f>
        <v>-</v>
      </c>
      <c r="L411" t="str">
        <f>IFERROR(INDEX(Katalog!$B$3:$B$12,MATCH(Data[[#This Row],[ItemID B]],Katalog!$C$3:$C$12,0)),"-")</f>
        <v>-</v>
      </c>
      <c r="O411" s="36" t="str">
        <f>IFERROR(INDEX(Katalog!$D$3:$D$12,MATCH(Data[[#This Row],[ItemID B]],Katalog!$C$3:$C$12,0))*Data[[#This Row],[Qty B]],"0")</f>
        <v>0</v>
      </c>
      <c r="P411" s="36" t="str">
        <f>IFERROR(INDEX(Katalog!$F$3:$F$12,MATCH(Data[[#This Row],[ItemID B]],Katalog!$C$3:$C$12,0))*Data[[#This Row],[Qty B]],"0")</f>
        <v>0</v>
      </c>
      <c r="R411" t="str">
        <f>IFERROR(INDEX(Katalog!$A$3:$A$12,MATCH(Data[[#This Row],[ItemID C]],Katalog!$C$3:$C$12,0)),"-")</f>
        <v>-</v>
      </c>
      <c r="S411" t="str">
        <f>IFERROR(INDEX(Katalog!$B$3:$B$12,MATCH(Data[[#This Row],[ItemID C]],Katalog!$C$3:$C$12,0)),"-")</f>
        <v>-</v>
      </c>
      <c r="V411" s="36" t="str">
        <f>IFERROR(INDEX(Katalog!$D$3:$D$12,MATCH(Data[[#This Row],[ItemID C]],Katalog!$C$3:$C$12,0))*Data[[#This Row],[Qty C]],"0")</f>
        <v>0</v>
      </c>
      <c r="W411" s="36" t="str">
        <f>IFERROR(INDEX(Katalog!$F$3:$F$12,MATCH(Data[[#This Row],[ItemID C]],Katalog!$C$3:$C$12,0))*Data[[#This Row],[Qty C]],"0")</f>
        <v>0</v>
      </c>
      <c r="X411" s="21">
        <f>Data[[#This Row],[Qty A]]+Data[[#This Row],[Qty B]]+Data[[#This Row],[Qty C]]</f>
        <v>1</v>
      </c>
      <c r="Y411" s="22">
        <f>Data[[#This Row],[Harga Barang A]]+Data[[#This Row],[Harga Barang B]]+Data[[#This Row],[Harga Barang C]]</f>
        <v>250000</v>
      </c>
      <c r="Z411" s="35">
        <f>IFERROR(Data[[#This Row],[Total Harga]]-(Data[[#This Row],[Total Harga]]*Data[[#This Row],[Diskon]]),Data[[#This Row],[Total Harga]])</f>
        <v>200000</v>
      </c>
      <c r="AA411" s="35">
        <f>(Data[[#This Row],[Profit A]]+Data[[#This Row],[Profit B]]+Data[[#This Row],[Profit C]])</f>
        <v>100000</v>
      </c>
      <c r="AB411" s="35">
        <f>IFERROR((Data[[#This Row],[Profit non Diskon]]-(Data[[#This Row],[Profit non Diskon]]*Data[[#This Row],[Diskon]])),Data[[#This Row],[Profit non Diskon]])</f>
        <v>80000</v>
      </c>
      <c r="AC411" s="23" t="s">
        <v>8</v>
      </c>
      <c r="AD411" s="37">
        <f>IFERROR(INDEX('Kode Diskon'!$D$3:$D$9,MATCH(Data[[#This Row],[Kode diskon]],'Kode Diskon'!$C$3:$C$9,0)),"-")</f>
        <v>0.2</v>
      </c>
      <c r="AE411" s="23" t="s">
        <v>9</v>
      </c>
      <c r="AF411" s="23" t="s">
        <v>7</v>
      </c>
      <c r="AG411" s="23" t="s">
        <v>76</v>
      </c>
      <c r="AH411" s="24">
        <v>45032</v>
      </c>
      <c r="AI411" s="23" t="str">
        <f>TEXT(Data[[#This Row],[Tanggal terjual]],"dddd")</f>
        <v>Sunday</v>
      </c>
      <c r="AJ411" s="21" t="str">
        <f>TEXT(Data[[#This Row],[Tanggal terjual]],"wwww")</f>
        <v>wwww</v>
      </c>
    </row>
    <row r="412" spans="1:36" x14ac:dyDescent="0.2">
      <c r="A412" s="20">
        <v>411</v>
      </c>
      <c r="B412" s="21" t="str">
        <f>_xlfn.CONCAT("ORD-",INDEX(Helper!$B$2:$B$5,MATCH(Data[[#This Row],[Marketplace]],Helper!$A$2:$A$5,0)),TEXT(Data[[#This Row],[No]],"0000"),"-",TEXT(Data[[#This Row],[Tanggal terjual]],"dd/mm/yy"))</f>
        <v>ORD-TK0411-01/04/23</v>
      </c>
      <c r="C412" t="s">
        <v>58</v>
      </c>
      <c r="D412" t="str">
        <f>IFERROR(INDEX(Katalog!$A$3:$A$12,MATCH(Data[[#This Row],[ItemID A]],Katalog!$C$3:$C$12,0)),"-")</f>
        <v>Pakaian Wanita</v>
      </c>
      <c r="E412" t="str">
        <f>IFERROR(INDEX(Katalog!$B$3:$B$12,MATCH(Data[[#This Row],[ItemID A]],Katalog!$C$3:$C$12,0)),"-")</f>
        <v>Dress</v>
      </c>
      <c r="F412">
        <v>1</v>
      </c>
      <c r="G412">
        <v>5</v>
      </c>
      <c r="H412" s="36">
        <f>IFERROR(INDEX(Katalog!$D$3:$D$12,MATCH(Data[[#This Row],[ItemID A]],Katalog!$C$3:$C$12,0))*Data[[#This Row],[Qty A]],"0")</f>
        <v>300000</v>
      </c>
      <c r="I412" s="36">
        <f>IFERROR(INDEX(Katalog!$F$3:$F$12,MATCH(Data[[#This Row],[ItemID A]],Katalog!$C$3:$C$12,0))*Data[[#This Row],[Qty A]],0)</f>
        <v>100000</v>
      </c>
      <c r="K412" t="str">
        <f>IFERROR(INDEX(Katalog!$A$3:$A$12,MATCH(Data[[#This Row],[ItemID B]],Katalog!$C$3:$C$12,0)),"-")</f>
        <v>-</v>
      </c>
      <c r="L412" t="str">
        <f>IFERROR(INDEX(Katalog!$B$3:$B$12,MATCH(Data[[#This Row],[ItemID B]],Katalog!$C$3:$C$12,0)),"-")</f>
        <v>-</v>
      </c>
      <c r="O412" s="36" t="str">
        <f>IFERROR(INDEX(Katalog!$D$3:$D$12,MATCH(Data[[#This Row],[ItemID B]],Katalog!$C$3:$C$12,0))*Data[[#This Row],[Qty B]],"0")</f>
        <v>0</v>
      </c>
      <c r="P412" s="36" t="str">
        <f>IFERROR(INDEX(Katalog!$F$3:$F$12,MATCH(Data[[#This Row],[ItemID B]],Katalog!$C$3:$C$12,0))*Data[[#This Row],[Qty B]],"0")</f>
        <v>0</v>
      </c>
      <c r="R412" t="str">
        <f>IFERROR(INDEX(Katalog!$A$3:$A$12,MATCH(Data[[#This Row],[ItemID C]],Katalog!$C$3:$C$12,0)),"-")</f>
        <v>-</v>
      </c>
      <c r="S412" t="str">
        <f>IFERROR(INDEX(Katalog!$B$3:$B$12,MATCH(Data[[#This Row],[ItemID C]],Katalog!$C$3:$C$12,0)),"-")</f>
        <v>-</v>
      </c>
      <c r="V412" s="36" t="str">
        <f>IFERROR(INDEX(Katalog!$D$3:$D$12,MATCH(Data[[#This Row],[ItemID C]],Katalog!$C$3:$C$12,0))*Data[[#This Row],[Qty C]],"0")</f>
        <v>0</v>
      </c>
      <c r="W412" s="36" t="str">
        <f>IFERROR(INDEX(Katalog!$F$3:$F$12,MATCH(Data[[#This Row],[ItemID C]],Katalog!$C$3:$C$12,0))*Data[[#This Row],[Qty C]],"0")</f>
        <v>0</v>
      </c>
      <c r="X412" s="21">
        <f>Data[[#This Row],[Qty A]]+Data[[#This Row],[Qty B]]+Data[[#This Row],[Qty C]]</f>
        <v>1</v>
      </c>
      <c r="Y412" s="22">
        <f>Data[[#This Row],[Harga Barang A]]+Data[[#This Row],[Harga Barang B]]+Data[[#This Row],[Harga Barang C]]</f>
        <v>300000</v>
      </c>
      <c r="Z412" s="35">
        <f>IFERROR(Data[[#This Row],[Total Harga]]-(Data[[#This Row],[Total Harga]]*Data[[#This Row],[Diskon]]),Data[[#This Row],[Total Harga]])</f>
        <v>270000</v>
      </c>
      <c r="AA412" s="35">
        <f>(Data[[#This Row],[Profit A]]+Data[[#This Row],[Profit B]]+Data[[#This Row],[Profit C]])</f>
        <v>100000</v>
      </c>
      <c r="AB412" s="35">
        <f>IFERROR((Data[[#This Row],[Profit non Diskon]]-(Data[[#This Row],[Profit non Diskon]]*Data[[#This Row],[Diskon]])),Data[[#This Row],[Profit non Diskon]])</f>
        <v>90000</v>
      </c>
      <c r="AC412" s="23" t="s">
        <v>30</v>
      </c>
      <c r="AD412" s="37">
        <f>IFERROR(INDEX('Kode Diskon'!$D$3:$D$9,MATCH(Data[[#This Row],[Kode diskon]],'Kode Diskon'!$C$3:$C$9,0)),"-")</f>
        <v>0.1</v>
      </c>
      <c r="AE412" s="23" t="s">
        <v>29</v>
      </c>
      <c r="AF412" s="23" t="s">
        <v>10</v>
      </c>
      <c r="AG412" s="23" t="s">
        <v>76</v>
      </c>
      <c r="AH412" s="24">
        <v>45017</v>
      </c>
      <c r="AI412" s="23" t="str">
        <f>TEXT(Data[[#This Row],[Tanggal terjual]],"dddd")</f>
        <v>Saturday</v>
      </c>
      <c r="AJ412" s="21" t="str">
        <f>TEXT(Data[[#This Row],[Tanggal terjual]],"wwww")</f>
        <v>wwww</v>
      </c>
    </row>
    <row r="413" spans="1:36" x14ac:dyDescent="0.2">
      <c r="A413" s="20">
        <v>412</v>
      </c>
      <c r="B413" s="21" t="str">
        <f>_xlfn.CONCAT("ORD-",INDEX(Helper!$B$2:$B$5,MATCH(Data[[#This Row],[Marketplace]],Helper!$A$2:$A$5,0)),TEXT(Data[[#This Row],[No]],"0000"),"-",TEXT(Data[[#This Row],[Tanggal terjual]],"dd/mm/yy"))</f>
        <v>ORD-TK0412-25/04/23</v>
      </c>
      <c r="C413" t="s">
        <v>62</v>
      </c>
      <c r="D413" t="str">
        <f>IFERROR(INDEX(Katalog!$A$3:$A$12,MATCH(Data[[#This Row],[ItemID A]],Katalog!$C$3:$C$12,0)),"-")</f>
        <v>Pakaian Pria</v>
      </c>
      <c r="E413" t="str">
        <f>IFERROR(INDEX(Katalog!$B$3:$B$12,MATCH(Data[[#This Row],[ItemID A]],Katalog!$C$3:$C$12,0)),"-")</f>
        <v>Celana Pendek</v>
      </c>
      <c r="F413">
        <v>4</v>
      </c>
      <c r="G413">
        <v>4</v>
      </c>
      <c r="H413" s="36">
        <f>IFERROR(INDEX(Katalog!$D$3:$D$12,MATCH(Data[[#This Row],[ItemID A]],Katalog!$C$3:$C$12,0))*Data[[#This Row],[Qty A]],"0")</f>
        <v>720000</v>
      </c>
      <c r="I413" s="36">
        <f>IFERROR(INDEX(Katalog!$F$3:$F$12,MATCH(Data[[#This Row],[ItemID A]],Katalog!$C$3:$C$12,0))*Data[[#This Row],[Qty A]],0)</f>
        <v>280000</v>
      </c>
      <c r="J413" t="s">
        <v>61</v>
      </c>
      <c r="K413" t="str">
        <f>IFERROR(INDEX(Katalog!$A$3:$A$12,MATCH(Data[[#This Row],[ItemID B]],Katalog!$C$3:$C$12,0)),"-")</f>
        <v>Pakaian Pria</v>
      </c>
      <c r="L413" t="str">
        <f>IFERROR(INDEX(Katalog!$B$3:$B$12,MATCH(Data[[#This Row],[ItemID B]],Katalog!$C$3:$C$12,0)),"-")</f>
        <v>Kaos Polo</v>
      </c>
      <c r="M413">
        <v>1</v>
      </c>
      <c r="N413">
        <v>4</v>
      </c>
      <c r="O413" s="36">
        <f>IFERROR(INDEX(Katalog!$D$3:$D$12,MATCH(Data[[#This Row],[ItemID B]],Katalog!$C$3:$C$12,0))*Data[[#This Row],[Qty B]],"0")</f>
        <v>200000</v>
      </c>
      <c r="P413" s="36">
        <f>IFERROR(INDEX(Katalog!$F$3:$F$12,MATCH(Data[[#This Row],[ItemID B]],Katalog!$C$3:$C$12,0))*Data[[#This Row],[Qty B]],"0")</f>
        <v>80000</v>
      </c>
      <c r="R413" t="str">
        <f>IFERROR(INDEX(Katalog!$A$3:$A$12,MATCH(Data[[#This Row],[ItemID C]],Katalog!$C$3:$C$12,0)),"-")</f>
        <v>-</v>
      </c>
      <c r="S413" t="str">
        <f>IFERROR(INDEX(Katalog!$B$3:$B$12,MATCH(Data[[#This Row],[ItemID C]],Katalog!$C$3:$C$12,0)),"-")</f>
        <v>-</v>
      </c>
      <c r="V413" s="36" t="str">
        <f>IFERROR(INDEX(Katalog!$D$3:$D$12,MATCH(Data[[#This Row],[ItemID C]],Katalog!$C$3:$C$12,0))*Data[[#This Row],[Qty C]],"0")</f>
        <v>0</v>
      </c>
      <c r="W413" s="36" t="str">
        <f>IFERROR(INDEX(Katalog!$F$3:$F$12,MATCH(Data[[#This Row],[ItemID C]],Katalog!$C$3:$C$12,0))*Data[[#This Row],[Qty C]],"0")</f>
        <v>0</v>
      </c>
      <c r="X413" s="21">
        <f>Data[[#This Row],[Qty A]]+Data[[#This Row],[Qty B]]+Data[[#This Row],[Qty C]]</f>
        <v>5</v>
      </c>
      <c r="Y413" s="22">
        <f>Data[[#This Row],[Harga Barang A]]+Data[[#This Row],[Harga Barang B]]+Data[[#This Row],[Harga Barang C]]</f>
        <v>920000</v>
      </c>
      <c r="Z413" s="35">
        <f>IFERROR(Data[[#This Row],[Total Harga]]-(Data[[#This Row],[Total Harga]]*Data[[#This Row],[Diskon]]),Data[[#This Row],[Total Harga]])</f>
        <v>828000</v>
      </c>
      <c r="AA413" s="35">
        <f>(Data[[#This Row],[Profit A]]+Data[[#This Row],[Profit B]]+Data[[#This Row],[Profit C]])</f>
        <v>360000</v>
      </c>
      <c r="AB413" s="35">
        <f>IFERROR((Data[[#This Row],[Profit non Diskon]]-(Data[[#This Row],[Profit non Diskon]]*Data[[#This Row],[Diskon]])),Data[[#This Row],[Profit non Diskon]])</f>
        <v>324000</v>
      </c>
      <c r="AC413" s="23" t="s">
        <v>31</v>
      </c>
      <c r="AD413" s="37">
        <f>IFERROR(INDEX('Kode Diskon'!$D$3:$D$9,MATCH(Data[[#This Row],[Kode diskon]],'Kode Diskon'!$C$3:$C$9,0)),"-")</f>
        <v>0.1</v>
      </c>
      <c r="AE413" s="23" t="s">
        <v>9</v>
      </c>
      <c r="AF413" s="23" t="s">
        <v>10</v>
      </c>
      <c r="AG413" s="23" t="s">
        <v>76</v>
      </c>
      <c r="AH413" s="24">
        <v>45041</v>
      </c>
      <c r="AI413" s="23" t="str">
        <f>TEXT(Data[[#This Row],[Tanggal terjual]],"dddd")</f>
        <v>Tuesday</v>
      </c>
      <c r="AJ413" s="21" t="str">
        <f>TEXT(Data[[#This Row],[Tanggal terjual]],"wwww")</f>
        <v>wwww</v>
      </c>
    </row>
    <row r="414" spans="1:36" x14ac:dyDescent="0.2">
      <c r="A414" s="20">
        <v>413</v>
      </c>
      <c r="B414" s="21" t="str">
        <f>_xlfn.CONCAT("ORD-",INDEX(Helper!$B$2:$B$5,MATCH(Data[[#This Row],[Marketplace]],Helper!$A$2:$A$5,0)),TEXT(Data[[#This Row],[No]],"0000"),"-",TEXT(Data[[#This Row],[Tanggal terjual]],"dd/mm/yy"))</f>
        <v>ORD-SP0413-05/04/23</v>
      </c>
      <c r="C414" t="s">
        <v>65</v>
      </c>
      <c r="D414" t="str">
        <f>IFERROR(INDEX(Katalog!$A$3:$A$12,MATCH(Data[[#This Row],[ItemID A]],Katalog!$C$3:$C$12,0)),"-")</f>
        <v>Sepatu Pria</v>
      </c>
      <c r="E414" t="str">
        <f>IFERROR(INDEX(Katalog!$B$3:$B$12,MATCH(Data[[#This Row],[ItemID A]],Katalog!$C$3:$C$12,0)),"-")</f>
        <v>Sneakers</v>
      </c>
      <c r="F414">
        <v>5</v>
      </c>
      <c r="G414">
        <v>1</v>
      </c>
      <c r="H414" s="36">
        <f>IFERROR(INDEX(Katalog!$D$3:$D$12,MATCH(Data[[#This Row],[ItemID A]],Katalog!$C$3:$C$12,0))*Data[[#This Row],[Qty A]],"0")</f>
        <v>2500000</v>
      </c>
      <c r="I414" s="36">
        <f>IFERROR(INDEX(Katalog!$F$3:$F$12,MATCH(Data[[#This Row],[ItemID A]],Katalog!$C$3:$C$12,0))*Data[[#This Row],[Qty A]],0)</f>
        <v>1000000</v>
      </c>
      <c r="K414" t="str">
        <f>IFERROR(INDEX(Katalog!$A$3:$A$12,MATCH(Data[[#This Row],[ItemID B]],Katalog!$C$3:$C$12,0)),"-")</f>
        <v>-</v>
      </c>
      <c r="L414" t="str">
        <f>IFERROR(INDEX(Katalog!$B$3:$B$12,MATCH(Data[[#This Row],[ItemID B]],Katalog!$C$3:$C$12,0)),"-")</f>
        <v>-</v>
      </c>
      <c r="O414" s="36" t="str">
        <f>IFERROR(INDEX(Katalog!$D$3:$D$12,MATCH(Data[[#This Row],[ItemID B]],Katalog!$C$3:$C$12,0))*Data[[#This Row],[Qty B]],"0")</f>
        <v>0</v>
      </c>
      <c r="P414" s="36" t="str">
        <f>IFERROR(INDEX(Katalog!$F$3:$F$12,MATCH(Data[[#This Row],[ItemID B]],Katalog!$C$3:$C$12,0))*Data[[#This Row],[Qty B]],"0")</f>
        <v>0</v>
      </c>
      <c r="R414" t="str">
        <f>IFERROR(INDEX(Katalog!$A$3:$A$12,MATCH(Data[[#This Row],[ItemID C]],Katalog!$C$3:$C$12,0)),"-")</f>
        <v>-</v>
      </c>
      <c r="S414" t="str">
        <f>IFERROR(INDEX(Katalog!$B$3:$B$12,MATCH(Data[[#This Row],[ItemID C]],Katalog!$C$3:$C$12,0)),"-")</f>
        <v>-</v>
      </c>
      <c r="V414" s="36" t="str">
        <f>IFERROR(INDEX(Katalog!$D$3:$D$12,MATCH(Data[[#This Row],[ItemID C]],Katalog!$C$3:$C$12,0))*Data[[#This Row],[Qty C]],"0")</f>
        <v>0</v>
      </c>
      <c r="W414" s="36" t="str">
        <f>IFERROR(INDEX(Katalog!$F$3:$F$12,MATCH(Data[[#This Row],[ItemID C]],Katalog!$C$3:$C$12,0))*Data[[#This Row],[Qty C]],"0")</f>
        <v>0</v>
      </c>
      <c r="X414" s="21">
        <f>Data[[#This Row],[Qty A]]+Data[[#This Row],[Qty B]]+Data[[#This Row],[Qty C]]</f>
        <v>5</v>
      </c>
      <c r="Y414" s="22">
        <f>Data[[#This Row],[Harga Barang A]]+Data[[#This Row],[Harga Barang B]]+Data[[#This Row],[Harga Barang C]]</f>
        <v>2500000</v>
      </c>
      <c r="Z414" s="35">
        <f>IFERROR(Data[[#This Row],[Total Harga]]-(Data[[#This Row],[Total Harga]]*Data[[#This Row],[Diskon]]),Data[[#This Row],[Total Harga]])</f>
        <v>2250000</v>
      </c>
      <c r="AA414" s="35">
        <f>(Data[[#This Row],[Profit A]]+Data[[#This Row],[Profit B]]+Data[[#This Row],[Profit C]])</f>
        <v>1000000</v>
      </c>
      <c r="AB414" s="35">
        <f>IFERROR((Data[[#This Row],[Profit non Diskon]]-(Data[[#This Row],[Profit non Diskon]]*Data[[#This Row],[Diskon]])),Data[[#This Row],[Profit non Diskon]])</f>
        <v>900000</v>
      </c>
      <c r="AC414" s="23" t="s">
        <v>6</v>
      </c>
      <c r="AD414" s="37">
        <f>IFERROR(INDEX('Kode Diskon'!$D$3:$D$9,MATCH(Data[[#This Row],[Kode diskon]],'Kode Diskon'!$C$3:$C$9,0)),"-")</f>
        <v>0.1</v>
      </c>
      <c r="AE414" s="23" t="s">
        <v>29</v>
      </c>
      <c r="AF414" s="23" t="s">
        <v>7</v>
      </c>
      <c r="AG414" s="23" t="s">
        <v>79</v>
      </c>
      <c r="AH414" s="24">
        <v>45021</v>
      </c>
      <c r="AI414" s="23" t="str">
        <f>TEXT(Data[[#This Row],[Tanggal terjual]],"dddd")</f>
        <v>Wednesday</v>
      </c>
      <c r="AJ414" s="21" t="str">
        <f>TEXT(Data[[#This Row],[Tanggal terjual]],"wwww")</f>
        <v>wwww</v>
      </c>
    </row>
    <row r="415" spans="1:36" x14ac:dyDescent="0.2">
      <c r="A415" s="20">
        <v>414</v>
      </c>
      <c r="B415" s="21" t="str">
        <f>_xlfn.CONCAT("ORD-",INDEX(Helper!$B$2:$B$5,MATCH(Data[[#This Row],[Marketplace]],Helper!$A$2:$A$5,0)),TEXT(Data[[#This Row],[No]],"0000"),"-",TEXT(Data[[#This Row],[Tanggal terjual]],"dd/mm/yy"))</f>
        <v>ORD-BL0414-26/04/23</v>
      </c>
      <c r="C415" t="s">
        <v>64</v>
      </c>
      <c r="D415" t="str">
        <f>IFERROR(INDEX(Katalog!$A$3:$A$12,MATCH(Data[[#This Row],[ItemID A]],Katalog!$C$3:$C$12,0)),"-")</f>
        <v>Pakaian Unisex</v>
      </c>
      <c r="E415" t="str">
        <f>IFERROR(INDEX(Katalog!$B$3:$B$12,MATCH(Data[[#This Row],[ItemID A]],Katalog!$C$3:$C$12,0)),"-")</f>
        <v>Jaket Hoodie</v>
      </c>
      <c r="F415">
        <v>2</v>
      </c>
      <c r="G415">
        <v>4</v>
      </c>
      <c r="H415" s="36">
        <f>IFERROR(INDEX(Katalog!$D$3:$D$12,MATCH(Data[[#This Row],[ItemID A]],Katalog!$C$3:$C$12,0))*Data[[#This Row],[Qty A]],"0")</f>
        <v>700000</v>
      </c>
      <c r="I415" s="36">
        <f>IFERROR(INDEX(Katalog!$F$3:$F$12,MATCH(Data[[#This Row],[ItemID A]],Katalog!$C$3:$C$12,0))*Data[[#This Row],[Qty A]],0)</f>
        <v>260000</v>
      </c>
      <c r="J415" t="s">
        <v>61</v>
      </c>
      <c r="K415" t="str">
        <f>IFERROR(INDEX(Katalog!$A$3:$A$12,MATCH(Data[[#This Row],[ItemID B]],Katalog!$C$3:$C$12,0)),"-")</f>
        <v>Pakaian Pria</v>
      </c>
      <c r="L415" t="str">
        <f>IFERROR(INDEX(Katalog!$B$3:$B$12,MATCH(Data[[#This Row],[ItemID B]],Katalog!$C$3:$C$12,0)),"-")</f>
        <v>Kaos Polo</v>
      </c>
      <c r="M415">
        <v>1</v>
      </c>
      <c r="N415">
        <v>1</v>
      </c>
      <c r="O415" s="36">
        <f>IFERROR(INDEX(Katalog!$D$3:$D$12,MATCH(Data[[#This Row],[ItemID B]],Katalog!$C$3:$C$12,0))*Data[[#This Row],[Qty B]],"0")</f>
        <v>200000</v>
      </c>
      <c r="P415" s="36">
        <f>IFERROR(INDEX(Katalog!$F$3:$F$12,MATCH(Data[[#This Row],[ItemID B]],Katalog!$C$3:$C$12,0))*Data[[#This Row],[Qty B]],"0")</f>
        <v>80000</v>
      </c>
      <c r="R415" t="str">
        <f>IFERROR(INDEX(Katalog!$A$3:$A$12,MATCH(Data[[#This Row],[ItemID C]],Katalog!$C$3:$C$12,0)),"-")</f>
        <v>-</v>
      </c>
      <c r="S415" t="str">
        <f>IFERROR(INDEX(Katalog!$B$3:$B$12,MATCH(Data[[#This Row],[ItemID C]],Katalog!$C$3:$C$12,0)),"-")</f>
        <v>-</v>
      </c>
      <c r="V415" s="36" t="str">
        <f>IFERROR(INDEX(Katalog!$D$3:$D$12,MATCH(Data[[#This Row],[ItemID C]],Katalog!$C$3:$C$12,0))*Data[[#This Row],[Qty C]],"0")</f>
        <v>0</v>
      </c>
      <c r="W415" s="36" t="str">
        <f>IFERROR(INDEX(Katalog!$F$3:$F$12,MATCH(Data[[#This Row],[ItemID C]],Katalog!$C$3:$C$12,0))*Data[[#This Row],[Qty C]],"0")</f>
        <v>0</v>
      </c>
      <c r="X415" s="21">
        <f>Data[[#This Row],[Qty A]]+Data[[#This Row],[Qty B]]+Data[[#This Row],[Qty C]]</f>
        <v>3</v>
      </c>
      <c r="Y415" s="22">
        <f>Data[[#This Row],[Harga Barang A]]+Data[[#This Row],[Harga Barang B]]+Data[[#This Row],[Harga Barang C]]</f>
        <v>900000</v>
      </c>
      <c r="Z415" s="35">
        <f>IFERROR(Data[[#This Row],[Total Harga]]-(Data[[#This Row],[Total Harga]]*Data[[#This Row],[Diskon]]),Data[[#This Row],[Total Harga]])</f>
        <v>765000</v>
      </c>
      <c r="AA415" s="35">
        <f>(Data[[#This Row],[Profit A]]+Data[[#This Row],[Profit B]]+Data[[#This Row],[Profit C]])</f>
        <v>340000</v>
      </c>
      <c r="AB415" s="35">
        <f>IFERROR((Data[[#This Row],[Profit non Diskon]]-(Data[[#This Row],[Profit non Diskon]]*Data[[#This Row],[Diskon]])),Data[[#This Row],[Profit non Diskon]])</f>
        <v>289000</v>
      </c>
      <c r="AC415" s="23" t="s">
        <v>32</v>
      </c>
      <c r="AD415" s="37">
        <f>IFERROR(INDEX('Kode Diskon'!$D$3:$D$9,MATCH(Data[[#This Row],[Kode diskon]],'Kode Diskon'!$C$3:$C$9,0)),"-")</f>
        <v>0.15</v>
      </c>
      <c r="AE415" s="23" t="s">
        <v>9</v>
      </c>
      <c r="AF415" s="23" t="s">
        <v>12</v>
      </c>
      <c r="AG415" s="23" t="s">
        <v>79</v>
      </c>
      <c r="AH415" s="24">
        <v>45042</v>
      </c>
      <c r="AI415" s="23" t="str">
        <f>TEXT(Data[[#This Row],[Tanggal terjual]],"dddd")</f>
        <v>Wednesday</v>
      </c>
      <c r="AJ415" s="21" t="str">
        <f>TEXT(Data[[#This Row],[Tanggal terjual]],"wwww")</f>
        <v>wwww</v>
      </c>
    </row>
    <row r="416" spans="1:36" x14ac:dyDescent="0.2">
      <c r="A416" s="20">
        <v>415</v>
      </c>
      <c r="B416" s="21" t="str">
        <f>_xlfn.CONCAT("ORD-",INDEX(Helper!$B$2:$B$5,MATCH(Data[[#This Row],[Marketplace]],Helper!$A$2:$A$5,0)),TEXT(Data[[#This Row],[No]],"0000"),"-",TEXT(Data[[#This Row],[Tanggal terjual]],"dd/mm/yy"))</f>
        <v>ORD-TK0415-03/04/23</v>
      </c>
      <c r="C416" t="s">
        <v>62</v>
      </c>
      <c r="D416" t="str">
        <f>IFERROR(INDEX(Katalog!$A$3:$A$12,MATCH(Data[[#This Row],[ItemID A]],Katalog!$C$3:$C$12,0)),"-")</f>
        <v>Pakaian Pria</v>
      </c>
      <c r="E416" t="str">
        <f>IFERROR(INDEX(Katalog!$B$3:$B$12,MATCH(Data[[#This Row],[ItemID A]],Katalog!$C$3:$C$12,0)),"-")</f>
        <v>Celana Pendek</v>
      </c>
      <c r="F416">
        <v>2</v>
      </c>
      <c r="G416">
        <v>5</v>
      </c>
      <c r="H416" s="36">
        <f>IFERROR(INDEX(Katalog!$D$3:$D$12,MATCH(Data[[#This Row],[ItemID A]],Katalog!$C$3:$C$12,0))*Data[[#This Row],[Qty A]],"0")</f>
        <v>360000</v>
      </c>
      <c r="I416" s="36">
        <f>IFERROR(INDEX(Katalog!$F$3:$F$12,MATCH(Data[[#This Row],[ItemID A]],Katalog!$C$3:$C$12,0))*Data[[#This Row],[Qty A]],0)</f>
        <v>140000</v>
      </c>
      <c r="J416" t="s">
        <v>66</v>
      </c>
      <c r="K416" t="str">
        <f>IFERROR(INDEX(Katalog!$A$3:$A$12,MATCH(Data[[#This Row],[ItemID B]],Katalog!$C$3:$C$12,0)),"-")</f>
        <v>Sepatu Pria</v>
      </c>
      <c r="L416" t="str">
        <f>IFERROR(INDEX(Katalog!$B$3:$B$12,MATCH(Data[[#This Row],[ItemID B]],Katalog!$C$3:$C$12,0)),"-")</f>
        <v>Sandal Slip On</v>
      </c>
      <c r="M416">
        <v>1</v>
      </c>
      <c r="N416">
        <v>5</v>
      </c>
      <c r="O416" s="36">
        <f>IFERROR(INDEX(Katalog!$D$3:$D$12,MATCH(Data[[#This Row],[ItemID B]],Katalog!$C$3:$C$12,0))*Data[[#This Row],[Qty B]],"0")</f>
        <v>150000</v>
      </c>
      <c r="P416" s="36">
        <f>IFERROR(INDEX(Katalog!$F$3:$F$12,MATCH(Data[[#This Row],[ItemID B]],Katalog!$C$3:$C$12,0))*Data[[#This Row],[Qty B]],"0")</f>
        <v>60000</v>
      </c>
      <c r="R416" t="str">
        <f>IFERROR(INDEX(Katalog!$A$3:$A$12,MATCH(Data[[#This Row],[ItemID C]],Katalog!$C$3:$C$12,0)),"-")</f>
        <v>-</v>
      </c>
      <c r="S416" t="str">
        <f>IFERROR(INDEX(Katalog!$B$3:$B$12,MATCH(Data[[#This Row],[ItemID C]],Katalog!$C$3:$C$12,0)),"-")</f>
        <v>-</v>
      </c>
      <c r="V416" s="36" t="str">
        <f>IFERROR(INDEX(Katalog!$D$3:$D$12,MATCH(Data[[#This Row],[ItemID C]],Katalog!$C$3:$C$12,0))*Data[[#This Row],[Qty C]],"0")</f>
        <v>0</v>
      </c>
      <c r="W416" s="36" t="str">
        <f>IFERROR(INDEX(Katalog!$F$3:$F$12,MATCH(Data[[#This Row],[ItemID C]],Katalog!$C$3:$C$12,0))*Data[[#This Row],[Qty C]],"0")</f>
        <v>0</v>
      </c>
      <c r="X416" s="21">
        <f>Data[[#This Row],[Qty A]]+Data[[#This Row],[Qty B]]+Data[[#This Row],[Qty C]]</f>
        <v>3</v>
      </c>
      <c r="Y416" s="22">
        <f>Data[[#This Row],[Harga Barang A]]+Data[[#This Row],[Harga Barang B]]+Data[[#This Row],[Harga Barang C]]</f>
        <v>510000</v>
      </c>
      <c r="Z416" s="35">
        <f>IFERROR(Data[[#This Row],[Total Harga]]-(Data[[#This Row],[Total Harga]]*Data[[#This Row],[Diskon]]),Data[[#This Row],[Total Harga]])</f>
        <v>459000</v>
      </c>
      <c r="AA416" s="35">
        <f>(Data[[#This Row],[Profit A]]+Data[[#This Row],[Profit B]]+Data[[#This Row],[Profit C]])</f>
        <v>200000</v>
      </c>
      <c r="AB416" s="35">
        <f>IFERROR((Data[[#This Row],[Profit non Diskon]]-(Data[[#This Row],[Profit non Diskon]]*Data[[#This Row],[Diskon]])),Data[[#This Row],[Profit non Diskon]])</f>
        <v>180000</v>
      </c>
      <c r="AC416" s="23" t="s">
        <v>30</v>
      </c>
      <c r="AD416" s="37">
        <f>IFERROR(INDEX('Kode Diskon'!$D$3:$D$9,MATCH(Data[[#This Row],[Kode diskon]],'Kode Diskon'!$C$3:$C$9,0)),"-")</f>
        <v>0.1</v>
      </c>
      <c r="AE416" s="23" t="s">
        <v>29</v>
      </c>
      <c r="AF416" s="23" t="s">
        <v>10</v>
      </c>
      <c r="AG416" s="23" t="s">
        <v>80</v>
      </c>
      <c r="AH416" s="24">
        <v>45019</v>
      </c>
      <c r="AI416" s="23" t="str">
        <f>TEXT(Data[[#This Row],[Tanggal terjual]],"dddd")</f>
        <v>Monday</v>
      </c>
      <c r="AJ416" s="21" t="str">
        <f>TEXT(Data[[#This Row],[Tanggal terjual]],"wwww")</f>
        <v>wwww</v>
      </c>
    </row>
    <row r="417" spans="1:36" x14ac:dyDescent="0.2">
      <c r="A417" s="20">
        <v>416</v>
      </c>
      <c r="B417" s="21" t="str">
        <f>_xlfn.CONCAT("ORD-",INDEX(Helper!$B$2:$B$5,MATCH(Data[[#This Row],[Marketplace]],Helper!$A$2:$A$5,0)),TEXT(Data[[#This Row],[No]],"0000"),"-",TEXT(Data[[#This Row],[Tanggal terjual]],"dd/mm/yy"))</f>
        <v>ORD-BB0416-06/04/23</v>
      </c>
      <c r="C417" t="s">
        <v>64</v>
      </c>
      <c r="D417" t="str">
        <f>IFERROR(INDEX(Katalog!$A$3:$A$12,MATCH(Data[[#This Row],[ItemID A]],Katalog!$C$3:$C$12,0)),"-")</f>
        <v>Pakaian Unisex</v>
      </c>
      <c r="E417" t="str">
        <f>IFERROR(INDEX(Katalog!$B$3:$B$12,MATCH(Data[[#This Row],[ItemID A]],Katalog!$C$3:$C$12,0)),"-")</f>
        <v>Jaket Hoodie</v>
      </c>
      <c r="F417">
        <v>6</v>
      </c>
      <c r="G417">
        <v>5</v>
      </c>
      <c r="H417" s="36">
        <f>IFERROR(INDEX(Katalog!$D$3:$D$12,MATCH(Data[[#This Row],[ItemID A]],Katalog!$C$3:$C$12,0))*Data[[#This Row],[Qty A]],"0")</f>
        <v>2100000</v>
      </c>
      <c r="I417" s="36">
        <f>IFERROR(INDEX(Katalog!$F$3:$F$12,MATCH(Data[[#This Row],[ItemID A]],Katalog!$C$3:$C$12,0))*Data[[#This Row],[Qty A]],0)</f>
        <v>780000</v>
      </c>
      <c r="K417" t="str">
        <f>IFERROR(INDEX(Katalog!$A$3:$A$12,MATCH(Data[[#This Row],[ItemID B]],Katalog!$C$3:$C$12,0)),"-")</f>
        <v>-</v>
      </c>
      <c r="L417" t="str">
        <f>IFERROR(INDEX(Katalog!$B$3:$B$12,MATCH(Data[[#This Row],[ItemID B]],Katalog!$C$3:$C$12,0)),"-")</f>
        <v>-</v>
      </c>
      <c r="O417" s="36" t="str">
        <f>IFERROR(INDEX(Katalog!$D$3:$D$12,MATCH(Data[[#This Row],[ItemID B]],Katalog!$C$3:$C$12,0))*Data[[#This Row],[Qty B]],"0")</f>
        <v>0</v>
      </c>
      <c r="P417" s="36" t="str">
        <f>IFERROR(INDEX(Katalog!$F$3:$F$12,MATCH(Data[[#This Row],[ItemID B]],Katalog!$C$3:$C$12,0))*Data[[#This Row],[Qty B]],"0")</f>
        <v>0</v>
      </c>
      <c r="R417" t="str">
        <f>IFERROR(INDEX(Katalog!$A$3:$A$12,MATCH(Data[[#This Row],[ItemID C]],Katalog!$C$3:$C$12,0)),"-")</f>
        <v>-</v>
      </c>
      <c r="S417" t="str">
        <f>IFERROR(INDEX(Katalog!$B$3:$B$12,MATCH(Data[[#This Row],[ItemID C]],Katalog!$C$3:$C$12,0)),"-")</f>
        <v>-</v>
      </c>
      <c r="V417" s="36" t="str">
        <f>IFERROR(INDEX(Katalog!$D$3:$D$12,MATCH(Data[[#This Row],[ItemID C]],Katalog!$C$3:$C$12,0))*Data[[#This Row],[Qty C]],"0")</f>
        <v>0</v>
      </c>
      <c r="W417" s="36" t="str">
        <f>IFERROR(INDEX(Katalog!$F$3:$F$12,MATCH(Data[[#This Row],[ItemID C]],Katalog!$C$3:$C$12,0))*Data[[#This Row],[Qty C]],"0")</f>
        <v>0</v>
      </c>
      <c r="X417" s="21">
        <f>Data[[#This Row],[Qty A]]+Data[[#This Row],[Qty B]]+Data[[#This Row],[Qty C]]</f>
        <v>6</v>
      </c>
      <c r="Y417" s="22">
        <f>Data[[#This Row],[Harga Barang A]]+Data[[#This Row],[Harga Barang B]]+Data[[#This Row],[Harga Barang C]]</f>
        <v>2100000</v>
      </c>
      <c r="Z417" s="35">
        <f>IFERROR(Data[[#This Row],[Total Harga]]-(Data[[#This Row],[Total Harga]]*Data[[#This Row],[Diskon]]),Data[[#This Row],[Total Harga]])</f>
        <v>1785000</v>
      </c>
      <c r="AA417" s="35">
        <f>(Data[[#This Row],[Profit A]]+Data[[#This Row],[Profit B]]+Data[[#This Row],[Profit C]])</f>
        <v>780000</v>
      </c>
      <c r="AB417" s="35">
        <f>IFERROR((Data[[#This Row],[Profit non Diskon]]-(Data[[#This Row],[Profit non Diskon]]*Data[[#This Row],[Diskon]])),Data[[#This Row],[Profit non Diskon]])</f>
        <v>663000</v>
      </c>
      <c r="AC417" s="23" t="s">
        <v>28</v>
      </c>
      <c r="AD417" s="37">
        <f>IFERROR(INDEX('Kode Diskon'!$D$3:$D$9,MATCH(Data[[#This Row],[Kode diskon]],'Kode Diskon'!$C$3:$C$9,0)),"-")</f>
        <v>0.15</v>
      </c>
      <c r="AE417" s="23" t="s">
        <v>29</v>
      </c>
      <c r="AF417" s="23" t="s">
        <v>14</v>
      </c>
      <c r="AG417" s="23" t="s">
        <v>76</v>
      </c>
      <c r="AH417" s="24">
        <v>45022</v>
      </c>
      <c r="AI417" s="23" t="str">
        <f>TEXT(Data[[#This Row],[Tanggal terjual]],"dddd")</f>
        <v>Thursday</v>
      </c>
      <c r="AJ417" s="21" t="str">
        <f>TEXT(Data[[#This Row],[Tanggal terjual]],"wwww")</f>
        <v>wwww</v>
      </c>
    </row>
    <row r="418" spans="1:36" x14ac:dyDescent="0.2">
      <c r="A418" s="20">
        <v>417</v>
      </c>
      <c r="B418" s="21" t="str">
        <f>_xlfn.CONCAT("ORD-",INDEX(Helper!$B$2:$B$5,MATCH(Data[[#This Row],[Marketplace]],Helper!$A$2:$A$5,0)),TEXT(Data[[#This Row],[No]],"0000"),"-",TEXT(Data[[#This Row],[Tanggal terjual]],"dd/mm/yy"))</f>
        <v>ORD-TK0417-30/04/23</v>
      </c>
      <c r="C418" t="s">
        <v>61</v>
      </c>
      <c r="D418" t="str">
        <f>IFERROR(INDEX(Katalog!$A$3:$A$12,MATCH(Data[[#This Row],[ItemID A]],Katalog!$C$3:$C$12,0)),"-")</f>
        <v>Pakaian Pria</v>
      </c>
      <c r="E418" t="str">
        <f>IFERROR(INDEX(Katalog!$B$3:$B$12,MATCH(Data[[#This Row],[ItemID A]],Katalog!$C$3:$C$12,0)),"-")</f>
        <v>Kaos Polo</v>
      </c>
      <c r="F418">
        <v>5</v>
      </c>
      <c r="G418">
        <v>4</v>
      </c>
      <c r="H418" s="36">
        <f>IFERROR(INDEX(Katalog!$D$3:$D$12,MATCH(Data[[#This Row],[ItemID A]],Katalog!$C$3:$C$12,0))*Data[[#This Row],[Qty A]],"0")</f>
        <v>1000000</v>
      </c>
      <c r="I418" s="36">
        <f>IFERROR(INDEX(Katalog!$F$3:$F$12,MATCH(Data[[#This Row],[ItemID A]],Katalog!$C$3:$C$12,0))*Data[[#This Row],[Qty A]],0)</f>
        <v>400000</v>
      </c>
      <c r="J418" t="s">
        <v>62</v>
      </c>
      <c r="K418" t="str">
        <f>IFERROR(INDEX(Katalog!$A$3:$A$12,MATCH(Data[[#This Row],[ItemID B]],Katalog!$C$3:$C$12,0)),"-")</f>
        <v>Pakaian Pria</v>
      </c>
      <c r="L418" t="str">
        <f>IFERROR(INDEX(Katalog!$B$3:$B$12,MATCH(Data[[#This Row],[ItemID B]],Katalog!$C$3:$C$12,0)),"-")</f>
        <v>Celana Pendek</v>
      </c>
      <c r="M418">
        <v>1</v>
      </c>
      <c r="N418">
        <v>3</v>
      </c>
      <c r="O418" s="36">
        <f>IFERROR(INDEX(Katalog!$D$3:$D$12,MATCH(Data[[#This Row],[ItemID B]],Katalog!$C$3:$C$12,0))*Data[[#This Row],[Qty B]],"0")</f>
        <v>180000</v>
      </c>
      <c r="P418" s="36">
        <f>IFERROR(INDEX(Katalog!$F$3:$F$12,MATCH(Data[[#This Row],[ItemID B]],Katalog!$C$3:$C$12,0))*Data[[#This Row],[Qty B]],"0")</f>
        <v>70000</v>
      </c>
      <c r="R418" t="str">
        <f>IFERROR(INDEX(Katalog!$A$3:$A$12,MATCH(Data[[#This Row],[ItemID C]],Katalog!$C$3:$C$12,0)),"-")</f>
        <v>-</v>
      </c>
      <c r="S418" t="str">
        <f>IFERROR(INDEX(Katalog!$B$3:$B$12,MATCH(Data[[#This Row],[ItemID C]],Katalog!$C$3:$C$12,0)),"-")</f>
        <v>-</v>
      </c>
      <c r="V418" s="36" t="str">
        <f>IFERROR(INDEX(Katalog!$D$3:$D$12,MATCH(Data[[#This Row],[ItemID C]],Katalog!$C$3:$C$12,0))*Data[[#This Row],[Qty C]],"0")</f>
        <v>0</v>
      </c>
      <c r="W418" s="36" t="str">
        <f>IFERROR(INDEX(Katalog!$F$3:$F$12,MATCH(Data[[#This Row],[ItemID C]],Katalog!$C$3:$C$12,0))*Data[[#This Row],[Qty C]],"0")</f>
        <v>0</v>
      </c>
      <c r="X418" s="21">
        <f>Data[[#This Row],[Qty A]]+Data[[#This Row],[Qty B]]+Data[[#This Row],[Qty C]]</f>
        <v>6</v>
      </c>
      <c r="Y418" s="22">
        <f>Data[[#This Row],[Harga Barang A]]+Data[[#This Row],[Harga Barang B]]+Data[[#This Row],[Harga Barang C]]</f>
        <v>1180000</v>
      </c>
      <c r="Z418" s="35">
        <f>IFERROR(Data[[#This Row],[Total Harga]]-(Data[[#This Row],[Total Harga]]*Data[[#This Row],[Diskon]]),Data[[#This Row],[Total Harga]])</f>
        <v>1062000</v>
      </c>
      <c r="AA418" s="35">
        <f>(Data[[#This Row],[Profit A]]+Data[[#This Row],[Profit B]]+Data[[#This Row],[Profit C]])</f>
        <v>470000</v>
      </c>
      <c r="AB418" s="35">
        <f>IFERROR((Data[[#This Row],[Profit non Diskon]]-(Data[[#This Row],[Profit non Diskon]]*Data[[#This Row],[Diskon]])),Data[[#This Row],[Profit non Diskon]])</f>
        <v>423000</v>
      </c>
      <c r="AC418" s="23" t="s">
        <v>31</v>
      </c>
      <c r="AD418" s="37">
        <f>IFERROR(INDEX('Kode Diskon'!$D$3:$D$9,MATCH(Data[[#This Row],[Kode diskon]],'Kode Diskon'!$C$3:$C$9,0)),"-")</f>
        <v>0.1</v>
      </c>
      <c r="AE418" s="23" t="s">
        <v>9</v>
      </c>
      <c r="AF418" s="23" t="s">
        <v>10</v>
      </c>
      <c r="AG418" s="23" t="s">
        <v>80</v>
      </c>
      <c r="AH418" s="24">
        <v>45046</v>
      </c>
      <c r="AI418" s="23" t="str">
        <f>TEXT(Data[[#This Row],[Tanggal terjual]],"dddd")</f>
        <v>Sunday</v>
      </c>
      <c r="AJ418" s="21" t="str">
        <f>TEXT(Data[[#This Row],[Tanggal terjual]],"wwww")</f>
        <v>wwww</v>
      </c>
    </row>
    <row r="419" spans="1:36" x14ac:dyDescent="0.2">
      <c r="A419" s="20">
        <v>418</v>
      </c>
      <c r="B419" s="21" t="str">
        <f>_xlfn.CONCAT("ORD-",INDEX(Helper!$B$2:$B$5,MATCH(Data[[#This Row],[Marketplace]],Helper!$A$2:$A$5,0)),TEXT(Data[[#This Row],[No]],"0000"),"-",TEXT(Data[[#This Row],[Tanggal terjual]],"dd/mm/yy"))</f>
        <v>ORD-BB0418-01/04/23</v>
      </c>
      <c r="C419" t="s">
        <v>58</v>
      </c>
      <c r="D419" t="str">
        <f>IFERROR(INDEX(Katalog!$A$3:$A$12,MATCH(Data[[#This Row],[ItemID A]],Katalog!$C$3:$C$12,0)),"-")</f>
        <v>Pakaian Wanita</v>
      </c>
      <c r="E419" t="str">
        <f>IFERROR(INDEX(Katalog!$B$3:$B$12,MATCH(Data[[#This Row],[ItemID A]],Katalog!$C$3:$C$12,0)),"-")</f>
        <v>Dress</v>
      </c>
      <c r="F419">
        <v>2</v>
      </c>
      <c r="G419">
        <v>5</v>
      </c>
      <c r="H419" s="36">
        <f>IFERROR(INDEX(Katalog!$D$3:$D$12,MATCH(Data[[#This Row],[ItemID A]],Katalog!$C$3:$C$12,0))*Data[[#This Row],[Qty A]],"0")</f>
        <v>600000</v>
      </c>
      <c r="I419" s="36">
        <f>IFERROR(INDEX(Katalog!$F$3:$F$12,MATCH(Data[[#This Row],[ItemID A]],Katalog!$C$3:$C$12,0))*Data[[#This Row],[Qty A]],0)</f>
        <v>200000</v>
      </c>
      <c r="J419" t="s">
        <v>67</v>
      </c>
      <c r="K419" t="str">
        <f>IFERROR(INDEX(Katalog!$A$3:$A$12,MATCH(Data[[#This Row],[ItemID B]],Katalog!$C$3:$C$12,0)),"-")</f>
        <v>Sepatu Wanita</v>
      </c>
      <c r="L419" t="str">
        <f>IFERROR(INDEX(Katalog!$B$3:$B$12,MATCH(Data[[#This Row],[ItemID B]],Katalog!$C$3:$C$12,0)),"-")</f>
        <v>Flat Shoes</v>
      </c>
      <c r="M419">
        <v>1</v>
      </c>
      <c r="N419">
        <v>5</v>
      </c>
      <c r="O419" s="36">
        <f>IFERROR(INDEX(Katalog!$D$3:$D$12,MATCH(Data[[#This Row],[ItemID B]],Katalog!$C$3:$C$12,0))*Data[[#This Row],[Qty B]],"0")</f>
        <v>250000</v>
      </c>
      <c r="P419" s="36">
        <f>IFERROR(INDEX(Katalog!$F$3:$F$12,MATCH(Data[[#This Row],[ItemID B]],Katalog!$C$3:$C$12,0))*Data[[#This Row],[Qty B]],"0")</f>
        <v>100000</v>
      </c>
      <c r="Q419" t="s">
        <v>65</v>
      </c>
      <c r="R419" t="str">
        <f>IFERROR(INDEX(Katalog!$A$3:$A$12,MATCH(Data[[#This Row],[ItemID C]],Katalog!$C$3:$C$12,0)),"-")</f>
        <v>Sepatu Pria</v>
      </c>
      <c r="S419" t="str">
        <f>IFERROR(INDEX(Katalog!$B$3:$B$12,MATCH(Data[[#This Row],[ItemID C]],Katalog!$C$3:$C$12,0)),"-")</f>
        <v>Sneakers</v>
      </c>
      <c r="T419">
        <v>1</v>
      </c>
      <c r="U419">
        <v>3</v>
      </c>
      <c r="V419" s="36">
        <f>IFERROR(INDEX(Katalog!$D$3:$D$12,MATCH(Data[[#This Row],[ItemID C]],Katalog!$C$3:$C$12,0))*Data[[#This Row],[Qty C]],"0")</f>
        <v>500000</v>
      </c>
      <c r="W419" s="36">
        <f>IFERROR(INDEX(Katalog!$F$3:$F$12,MATCH(Data[[#This Row],[ItemID C]],Katalog!$C$3:$C$12,0))*Data[[#This Row],[Qty C]],"0")</f>
        <v>200000</v>
      </c>
      <c r="X419" s="21">
        <f>Data[[#This Row],[Qty A]]+Data[[#This Row],[Qty B]]+Data[[#This Row],[Qty C]]</f>
        <v>4</v>
      </c>
      <c r="Y419" s="22">
        <f>Data[[#This Row],[Harga Barang A]]+Data[[#This Row],[Harga Barang B]]+Data[[#This Row],[Harga Barang C]]</f>
        <v>1350000</v>
      </c>
      <c r="Z419" s="35">
        <f>IFERROR(Data[[#This Row],[Total Harga]]-(Data[[#This Row],[Total Harga]]*Data[[#This Row],[Diskon]]),Data[[#This Row],[Total Harga]])</f>
        <v>1147500</v>
      </c>
      <c r="AA419" s="35">
        <f>(Data[[#This Row],[Profit A]]+Data[[#This Row],[Profit B]]+Data[[#This Row],[Profit C]])</f>
        <v>500000</v>
      </c>
      <c r="AB419" s="35">
        <f>IFERROR((Data[[#This Row],[Profit non Diskon]]-(Data[[#This Row],[Profit non Diskon]]*Data[[#This Row],[Diskon]])),Data[[#This Row],[Profit non Diskon]])</f>
        <v>425000</v>
      </c>
      <c r="AC419" s="23" t="s">
        <v>28</v>
      </c>
      <c r="AD419" s="37">
        <f>IFERROR(INDEX('Kode Diskon'!$D$3:$D$9,MATCH(Data[[#This Row],[Kode diskon]],'Kode Diskon'!$C$3:$C$9,0)),"-")</f>
        <v>0.15</v>
      </c>
      <c r="AE419" s="23" t="s">
        <v>29</v>
      </c>
      <c r="AF419" s="23" t="s">
        <v>14</v>
      </c>
      <c r="AG419" s="23" t="s">
        <v>79</v>
      </c>
      <c r="AH419" s="24">
        <v>45017</v>
      </c>
      <c r="AI419" s="23" t="str">
        <f>TEXT(Data[[#This Row],[Tanggal terjual]],"dddd")</f>
        <v>Saturday</v>
      </c>
      <c r="AJ419" s="21" t="str">
        <f>TEXT(Data[[#This Row],[Tanggal terjual]],"wwww")</f>
        <v>wwww</v>
      </c>
    </row>
    <row r="420" spans="1:36" x14ac:dyDescent="0.2">
      <c r="A420" s="20">
        <v>419</v>
      </c>
      <c r="B420" s="21" t="str">
        <f>_xlfn.CONCAT("ORD-",INDEX(Helper!$B$2:$B$5,MATCH(Data[[#This Row],[Marketplace]],Helper!$A$2:$A$5,0)),TEXT(Data[[#This Row],[No]],"0000"),"-",TEXT(Data[[#This Row],[Tanggal terjual]],"dd/mm/yy"))</f>
        <v>ORD-BL0419-24/04/23</v>
      </c>
      <c r="C420" t="s">
        <v>59</v>
      </c>
      <c r="D420" t="str">
        <f>IFERROR(INDEX(Katalog!$A$3:$A$12,MATCH(Data[[#This Row],[ItemID A]],Katalog!$C$3:$C$12,0)),"-")</f>
        <v>Pakaian Wanita</v>
      </c>
      <c r="E420" t="str">
        <f>IFERROR(INDEX(Katalog!$B$3:$B$12,MATCH(Data[[#This Row],[ItemID A]],Katalog!$C$3:$C$12,0)),"-")</f>
        <v>Blouse</v>
      </c>
      <c r="F420">
        <v>1</v>
      </c>
      <c r="G420">
        <v>1</v>
      </c>
      <c r="H420" s="36">
        <f>IFERROR(INDEX(Katalog!$D$3:$D$12,MATCH(Data[[#This Row],[ItemID A]],Katalog!$C$3:$C$12,0))*Data[[#This Row],[Qty A]],"0")</f>
        <v>150000</v>
      </c>
      <c r="I420" s="36">
        <f>IFERROR(INDEX(Katalog!$F$3:$F$12,MATCH(Data[[#This Row],[ItemID A]],Katalog!$C$3:$C$12,0))*Data[[#This Row],[Qty A]],0)</f>
        <v>50000</v>
      </c>
      <c r="K420" t="str">
        <f>IFERROR(INDEX(Katalog!$A$3:$A$12,MATCH(Data[[#This Row],[ItemID B]],Katalog!$C$3:$C$12,0)),"-")</f>
        <v>-</v>
      </c>
      <c r="L420" t="str">
        <f>IFERROR(INDEX(Katalog!$B$3:$B$12,MATCH(Data[[#This Row],[ItemID B]],Katalog!$C$3:$C$12,0)),"-")</f>
        <v>-</v>
      </c>
      <c r="O420" s="36" t="str">
        <f>IFERROR(INDEX(Katalog!$D$3:$D$12,MATCH(Data[[#This Row],[ItemID B]],Katalog!$C$3:$C$12,0))*Data[[#This Row],[Qty B]],"0")</f>
        <v>0</v>
      </c>
      <c r="P420" s="36" t="str">
        <f>IFERROR(INDEX(Katalog!$F$3:$F$12,MATCH(Data[[#This Row],[ItemID B]],Katalog!$C$3:$C$12,0))*Data[[#This Row],[Qty B]],"0")</f>
        <v>0</v>
      </c>
      <c r="R420" t="str">
        <f>IFERROR(INDEX(Katalog!$A$3:$A$12,MATCH(Data[[#This Row],[ItemID C]],Katalog!$C$3:$C$12,0)),"-")</f>
        <v>-</v>
      </c>
      <c r="S420" t="str">
        <f>IFERROR(INDEX(Katalog!$B$3:$B$12,MATCH(Data[[#This Row],[ItemID C]],Katalog!$C$3:$C$12,0)),"-")</f>
        <v>-</v>
      </c>
      <c r="V420" s="36" t="str">
        <f>IFERROR(INDEX(Katalog!$D$3:$D$12,MATCH(Data[[#This Row],[ItemID C]],Katalog!$C$3:$C$12,0))*Data[[#This Row],[Qty C]],"0")</f>
        <v>0</v>
      </c>
      <c r="W420" s="36" t="str">
        <f>IFERROR(INDEX(Katalog!$F$3:$F$12,MATCH(Data[[#This Row],[ItemID C]],Katalog!$C$3:$C$12,0))*Data[[#This Row],[Qty C]],"0")</f>
        <v>0</v>
      </c>
      <c r="X420" s="21">
        <f>Data[[#This Row],[Qty A]]+Data[[#This Row],[Qty B]]+Data[[#This Row],[Qty C]]</f>
        <v>1</v>
      </c>
      <c r="Y420" s="22">
        <f>Data[[#This Row],[Harga Barang A]]+Data[[#This Row],[Harga Barang B]]+Data[[#This Row],[Harga Barang C]]</f>
        <v>150000</v>
      </c>
      <c r="Z420" s="35">
        <f>IFERROR(Data[[#This Row],[Total Harga]]-(Data[[#This Row],[Total Harga]]*Data[[#This Row],[Diskon]]),Data[[#This Row],[Total Harga]])</f>
        <v>127500</v>
      </c>
      <c r="AA420" s="35">
        <f>(Data[[#This Row],[Profit A]]+Data[[#This Row],[Profit B]]+Data[[#This Row],[Profit C]])</f>
        <v>50000</v>
      </c>
      <c r="AB420" s="35">
        <f>IFERROR((Data[[#This Row],[Profit non Diskon]]-(Data[[#This Row],[Profit non Diskon]]*Data[[#This Row],[Diskon]])),Data[[#This Row],[Profit non Diskon]])</f>
        <v>42500</v>
      </c>
      <c r="AC420" s="23" t="s">
        <v>32</v>
      </c>
      <c r="AD420" s="37">
        <f>IFERROR(INDEX('Kode Diskon'!$D$3:$D$9,MATCH(Data[[#This Row],[Kode diskon]],'Kode Diskon'!$C$3:$C$9,0)),"-")</f>
        <v>0.15</v>
      </c>
      <c r="AE420" s="23" t="s">
        <v>9</v>
      </c>
      <c r="AF420" s="23" t="s">
        <v>12</v>
      </c>
      <c r="AG420" s="23" t="s">
        <v>80</v>
      </c>
      <c r="AH420" s="24">
        <v>45040</v>
      </c>
      <c r="AI420" s="23" t="str">
        <f>TEXT(Data[[#This Row],[Tanggal terjual]],"dddd")</f>
        <v>Monday</v>
      </c>
      <c r="AJ420" s="21" t="str">
        <f>TEXT(Data[[#This Row],[Tanggal terjual]],"wwww")</f>
        <v>wwww</v>
      </c>
    </row>
    <row r="421" spans="1:36" x14ac:dyDescent="0.2">
      <c r="A421" s="20">
        <v>420</v>
      </c>
      <c r="B421" s="21" t="str">
        <f>_xlfn.CONCAT("ORD-",INDEX(Helper!$B$2:$B$5,MATCH(Data[[#This Row],[Marketplace]],Helper!$A$2:$A$5,0)),TEXT(Data[[#This Row],[No]],"0000"),"-",TEXT(Data[[#This Row],[Tanggal terjual]],"dd/mm/yy"))</f>
        <v>ORD-BB0420-05/04/23</v>
      </c>
      <c r="C421" t="s">
        <v>64</v>
      </c>
      <c r="D421" t="str">
        <f>IFERROR(INDEX(Katalog!$A$3:$A$12,MATCH(Data[[#This Row],[ItemID A]],Katalog!$C$3:$C$12,0)),"-")</f>
        <v>Pakaian Unisex</v>
      </c>
      <c r="E421" t="str">
        <f>IFERROR(INDEX(Katalog!$B$3:$B$12,MATCH(Data[[#This Row],[ItemID A]],Katalog!$C$3:$C$12,0)),"-")</f>
        <v>Jaket Hoodie</v>
      </c>
      <c r="F421">
        <v>3</v>
      </c>
      <c r="G421">
        <v>4</v>
      </c>
      <c r="H421" s="36">
        <f>IFERROR(INDEX(Katalog!$D$3:$D$12,MATCH(Data[[#This Row],[ItemID A]],Katalog!$C$3:$C$12,0))*Data[[#This Row],[Qty A]],"0")</f>
        <v>1050000</v>
      </c>
      <c r="I421" s="36">
        <f>IFERROR(INDEX(Katalog!$F$3:$F$12,MATCH(Data[[#This Row],[ItemID A]],Katalog!$C$3:$C$12,0))*Data[[#This Row],[Qty A]],0)</f>
        <v>390000</v>
      </c>
      <c r="J421" t="s">
        <v>63</v>
      </c>
      <c r="K421" t="str">
        <f>IFERROR(INDEX(Katalog!$A$3:$A$12,MATCH(Data[[#This Row],[ItemID B]],Katalog!$C$3:$C$12,0)),"-")</f>
        <v>Pakaian Pria</v>
      </c>
      <c r="L421" t="str">
        <f>IFERROR(INDEX(Katalog!$B$3:$B$12,MATCH(Data[[#This Row],[ItemID B]],Katalog!$C$3:$C$12,0)),"-")</f>
        <v>Jaket Jeans</v>
      </c>
      <c r="M421">
        <v>1</v>
      </c>
      <c r="N421">
        <v>5</v>
      </c>
      <c r="O421" s="36">
        <f>IFERROR(INDEX(Katalog!$D$3:$D$12,MATCH(Data[[#This Row],[ItemID B]],Katalog!$C$3:$C$12,0))*Data[[#This Row],[Qty B]],"0")</f>
        <v>400000</v>
      </c>
      <c r="P421" s="36">
        <f>IFERROR(INDEX(Katalog!$F$3:$F$12,MATCH(Data[[#This Row],[ItemID B]],Katalog!$C$3:$C$12,0))*Data[[#This Row],[Qty B]],"0")</f>
        <v>150000</v>
      </c>
      <c r="Q421" t="s">
        <v>59</v>
      </c>
      <c r="R421" t="str">
        <f>IFERROR(INDEX(Katalog!$A$3:$A$12,MATCH(Data[[#This Row],[ItemID C]],Katalog!$C$3:$C$12,0)),"-")</f>
        <v>Pakaian Wanita</v>
      </c>
      <c r="S421" t="str">
        <f>IFERROR(INDEX(Katalog!$B$3:$B$12,MATCH(Data[[#This Row],[ItemID C]],Katalog!$C$3:$C$12,0)),"-")</f>
        <v>Blouse</v>
      </c>
      <c r="T421">
        <v>2</v>
      </c>
      <c r="U421">
        <v>4</v>
      </c>
      <c r="V421" s="36">
        <f>IFERROR(INDEX(Katalog!$D$3:$D$12,MATCH(Data[[#This Row],[ItemID C]],Katalog!$C$3:$C$12,0))*Data[[#This Row],[Qty C]],"0")</f>
        <v>300000</v>
      </c>
      <c r="W421" s="36">
        <f>IFERROR(INDEX(Katalog!$F$3:$F$12,MATCH(Data[[#This Row],[ItemID C]],Katalog!$C$3:$C$12,0))*Data[[#This Row],[Qty C]],"0")</f>
        <v>100000</v>
      </c>
      <c r="X421" s="21">
        <f>Data[[#This Row],[Qty A]]+Data[[#This Row],[Qty B]]+Data[[#This Row],[Qty C]]</f>
        <v>6</v>
      </c>
      <c r="Y421" s="22">
        <f>Data[[#This Row],[Harga Barang A]]+Data[[#This Row],[Harga Barang B]]+Data[[#This Row],[Harga Barang C]]</f>
        <v>1750000</v>
      </c>
      <c r="Z421" s="35">
        <f>IFERROR(Data[[#This Row],[Total Harga]]-(Data[[#This Row],[Total Harga]]*Data[[#This Row],[Diskon]]),Data[[#This Row],[Total Harga]])</f>
        <v>1487500</v>
      </c>
      <c r="AA421" s="35">
        <f>(Data[[#This Row],[Profit A]]+Data[[#This Row],[Profit B]]+Data[[#This Row],[Profit C]])</f>
        <v>640000</v>
      </c>
      <c r="AB421" s="35">
        <f>IFERROR((Data[[#This Row],[Profit non Diskon]]-(Data[[#This Row],[Profit non Diskon]]*Data[[#This Row],[Diskon]])),Data[[#This Row],[Profit non Diskon]])</f>
        <v>544000</v>
      </c>
      <c r="AC421" s="23" t="s">
        <v>28</v>
      </c>
      <c r="AD421" s="37">
        <f>IFERROR(INDEX('Kode Diskon'!$D$3:$D$9,MATCH(Data[[#This Row],[Kode diskon]],'Kode Diskon'!$C$3:$C$9,0)),"-")</f>
        <v>0.15</v>
      </c>
      <c r="AE421" s="23" t="s">
        <v>29</v>
      </c>
      <c r="AF421" s="23" t="s">
        <v>14</v>
      </c>
      <c r="AG421" s="23" t="s">
        <v>76</v>
      </c>
      <c r="AH421" s="24">
        <v>45021</v>
      </c>
      <c r="AI421" s="23" t="str">
        <f>TEXT(Data[[#This Row],[Tanggal terjual]],"dddd")</f>
        <v>Wednesday</v>
      </c>
      <c r="AJ421" s="21" t="str">
        <f>TEXT(Data[[#This Row],[Tanggal terjual]],"wwww")</f>
        <v>wwww</v>
      </c>
    </row>
    <row r="422" spans="1:36" x14ac:dyDescent="0.2">
      <c r="A422" s="20">
        <v>421</v>
      </c>
      <c r="B422" s="21" t="str">
        <f>_xlfn.CONCAT("ORD-",INDEX(Helper!$B$2:$B$5,MATCH(Data[[#This Row],[Marketplace]],Helper!$A$2:$A$5,0)),TEXT(Data[[#This Row],[No]],"0000"),"-",TEXT(Data[[#This Row],[Tanggal terjual]],"dd/mm/yy"))</f>
        <v>ORD-TK0421-16/04/23</v>
      </c>
      <c r="C422" t="s">
        <v>60</v>
      </c>
      <c r="D422" t="str">
        <f>IFERROR(INDEX(Katalog!$A$3:$A$12,MATCH(Data[[#This Row],[ItemID A]],Katalog!$C$3:$C$12,0)),"-")</f>
        <v>Pakaian Wanita</v>
      </c>
      <c r="E422" t="str">
        <f>IFERROR(INDEX(Katalog!$B$3:$B$12,MATCH(Data[[#This Row],[ItemID A]],Katalog!$C$3:$C$12,0)),"-")</f>
        <v>Kaftan</v>
      </c>
      <c r="F422">
        <v>1</v>
      </c>
      <c r="G422">
        <v>4</v>
      </c>
      <c r="H422" s="36">
        <f>IFERROR(INDEX(Katalog!$D$3:$D$12,MATCH(Data[[#This Row],[ItemID A]],Katalog!$C$3:$C$12,0))*Data[[#This Row],[Qty A]],"0")</f>
        <v>250000</v>
      </c>
      <c r="I422" s="36">
        <f>IFERROR(INDEX(Katalog!$F$3:$F$12,MATCH(Data[[#This Row],[ItemID A]],Katalog!$C$3:$C$12,0))*Data[[#This Row],[Qty A]],0)</f>
        <v>100000</v>
      </c>
      <c r="K422" t="str">
        <f>IFERROR(INDEX(Katalog!$A$3:$A$12,MATCH(Data[[#This Row],[ItemID B]],Katalog!$C$3:$C$12,0)),"-")</f>
        <v>-</v>
      </c>
      <c r="L422" t="str">
        <f>IFERROR(INDEX(Katalog!$B$3:$B$12,MATCH(Data[[#This Row],[ItemID B]],Katalog!$C$3:$C$12,0)),"-")</f>
        <v>-</v>
      </c>
      <c r="O422" s="36" t="str">
        <f>IFERROR(INDEX(Katalog!$D$3:$D$12,MATCH(Data[[#This Row],[ItemID B]],Katalog!$C$3:$C$12,0))*Data[[#This Row],[Qty B]],"0")</f>
        <v>0</v>
      </c>
      <c r="P422" s="36" t="str">
        <f>IFERROR(INDEX(Katalog!$F$3:$F$12,MATCH(Data[[#This Row],[ItemID B]],Katalog!$C$3:$C$12,0))*Data[[#This Row],[Qty B]],"0")</f>
        <v>0</v>
      </c>
      <c r="R422" t="str">
        <f>IFERROR(INDEX(Katalog!$A$3:$A$12,MATCH(Data[[#This Row],[ItemID C]],Katalog!$C$3:$C$12,0)),"-")</f>
        <v>-</v>
      </c>
      <c r="S422" t="str">
        <f>IFERROR(INDEX(Katalog!$B$3:$B$12,MATCH(Data[[#This Row],[ItemID C]],Katalog!$C$3:$C$12,0)),"-")</f>
        <v>-</v>
      </c>
      <c r="V422" s="36" t="str">
        <f>IFERROR(INDEX(Katalog!$D$3:$D$12,MATCH(Data[[#This Row],[ItemID C]],Katalog!$C$3:$C$12,0))*Data[[#This Row],[Qty C]],"0")</f>
        <v>0</v>
      </c>
      <c r="W422" s="36" t="str">
        <f>IFERROR(INDEX(Katalog!$F$3:$F$12,MATCH(Data[[#This Row],[ItemID C]],Katalog!$C$3:$C$12,0))*Data[[#This Row],[Qty C]],"0")</f>
        <v>0</v>
      </c>
      <c r="X422" s="21">
        <f>Data[[#This Row],[Qty A]]+Data[[#This Row],[Qty B]]+Data[[#This Row],[Qty C]]</f>
        <v>1</v>
      </c>
      <c r="Y422" s="22">
        <f>Data[[#This Row],[Harga Barang A]]+Data[[#This Row],[Harga Barang B]]+Data[[#This Row],[Harga Barang C]]</f>
        <v>250000</v>
      </c>
      <c r="Z422" s="35">
        <f>IFERROR(Data[[#This Row],[Total Harga]]-(Data[[#This Row],[Total Harga]]*Data[[#This Row],[Diskon]]),Data[[#This Row],[Total Harga]])</f>
        <v>225000</v>
      </c>
      <c r="AA422" s="35">
        <f>(Data[[#This Row],[Profit A]]+Data[[#This Row],[Profit B]]+Data[[#This Row],[Profit C]])</f>
        <v>100000</v>
      </c>
      <c r="AB422" s="35">
        <f>IFERROR((Data[[#This Row],[Profit non Diskon]]-(Data[[#This Row],[Profit non Diskon]]*Data[[#This Row],[Diskon]])),Data[[#This Row],[Profit non Diskon]])</f>
        <v>90000</v>
      </c>
      <c r="AC422" s="23" t="s">
        <v>31</v>
      </c>
      <c r="AD422" s="37">
        <f>IFERROR(INDEX('Kode Diskon'!$D$3:$D$9,MATCH(Data[[#This Row],[Kode diskon]],'Kode Diskon'!$C$3:$C$9,0)),"-")</f>
        <v>0.1</v>
      </c>
      <c r="AE422" s="23" t="s">
        <v>9</v>
      </c>
      <c r="AF422" s="23" t="s">
        <v>10</v>
      </c>
      <c r="AG422" s="23" t="s">
        <v>75</v>
      </c>
      <c r="AH422" s="24">
        <v>45032</v>
      </c>
      <c r="AI422" s="23" t="str">
        <f>TEXT(Data[[#This Row],[Tanggal terjual]],"dddd")</f>
        <v>Sunday</v>
      </c>
      <c r="AJ422" s="21" t="str">
        <f>TEXT(Data[[#This Row],[Tanggal terjual]],"wwww")</f>
        <v>wwww</v>
      </c>
    </row>
    <row r="423" spans="1:36" x14ac:dyDescent="0.2">
      <c r="A423" s="20">
        <v>422</v>
      </c>
      <c r="B423" s="21" t="str">
        <f>_xlfn.CONCAT("ORD-",INDEX(Helper!$B$2:$B$5,MATCH(Data[[#This Row],[Marketplace]],Helper!$A$2:$A$5,0)),TEXT(Data[[#This Row],[No]],"0000"),"-",TEXT(Data[[#This Row],[Tanggal terjual]],"dd/mm/yy"))</f>
        <v>ORD-SP0422-11/04/23</v>
      </c>
      <c r="C423" t="s">
        <v>63</v>
      </c>
      <c r="D423" t="str">
        <f>IFERROR(INDEX(Katalog!$A$3:$A$12,MATCH(Data[[#This Row],[ItemID A]],Katalog!$C$3:$C$12,0)),"-")</f>
        <v>Pakaian Pria</v>
      </c>
      <c r="E423" t="str">
        <f>IFERROR(INDEX(Katalog!$B$3:$B$12,MATCH(Data[[#This Row],[ItemID A]],Katalog!$C$3:$C$12,0)),"-")</f>
        <v>Jaket Jeans</v>
      </c>
      <c r="F423">
        <v>1</v>
      </c>
      <c r="G423">
        <v>3</v>
      </c>
      <c r="H423" s="36">
        <f>IFERROR(INDEX(Katalog!$D$3:$D$12,MATCH(Data[[#This Row],[ItemID A]],Katalog!$C$3:$C$12,0))*Data[[#This Row],[Qty A]],"0")</f>
        <v>400000</v>
      </c>
      <c r="I423" s="36">
        <f>IFERROR(INDEX(Katalog!$F$3:$F$12,MATCH(Data[[#This Row],[ItemID A]],Katalog!$C$3:$C$12,0))*Data[[#This Row],[Qty A]],0)</f>
        <v>150000</v>
      </c>
      <c r="J423" t="s">
        <v>62</v>
      </c>
      <c r="K423" t="str">
        <f>IFERROR(INDEX(Katalog!$A$3:$A$12,MATCH(Data[[#This Row],[ItemID B]],Katalog!$C$3:$C$12,0)),"-")</f>
        <v>Pakaian Pria</v>
      </c>
      <c r="L423" t="str">
        <f>IFERROR(INDEX(Katalog!$B$3:$B$12,MATCH(Data[[#This Row],[ItemID B]],Katalog!$C$3:$C$12,0)),"-")</f>
        <v>Celana Pendek</v>
      </c>
      <c r="M423">
        <v>5</v>
      </c>
      <c r="N423">
        <v>2</v>
      </c>
      <c r="O423" s="36">
        <f>IFERROR(INDEX(Katalog!$D$3:$D$12,MATCH(Data[[#This Row],[ItemID B]],Katalog!$C$3:$C$12,0))*Data[[#This Row],[Qty B]],"0")</f>
        <v>900000</v>
      </c>
      <c r="P423" s="36">
        <f>IFERROR(INDEX(Katalog!$F$3:$F$12,MATCH(Data[[#This Row],[ItemID B]],Katalog!$C$3:$C$12,0))*Data[[#This Row],[Qty B]],"0")</f>
        <v>350000</v>
      </c>
      <c r="R423" t="str">
        <f>IFERROR(INDEX(Katalog!$A$3:$A$12,MATCH(Data[[#This Row],[ItemID C]],Katalog!$C$3:$C$12,0)),"-")</f>
        <v>-</v>
      </c>
      <c r="S423" t="str">
        <f>IFERROR(INDEX(Katalog!$B$3:$B$12,MATCH(Data[[#This Row],[ItemID C]],Katalog!$C$3:$C$12,0)),"-")</f>
        <v>-</v>
      </c>
      <c r="V423" s="36" t="str">
        <f>IFERROR(INDEX(Katalog!$D$3:$D$12,MATCH(Data[[#This Row],[ItemID C]],Katalog!$C$3:$C$12,0))*Data[[#This Row],[Qty C]],"0")</f>
        <v>0</v>
      </c>
      <c r="W423" s="36" t="str">
        <f>IFERROR(INDEX(Katalog!$F$3:$F$12,MATCH(Data[[#This Row],[ItemID C]],Katalog!$C$3:$C$12,0))*Data[[#This Row],[Qty C]],"0")</f>
        <v>0</v>
      </c>
      <c r="X423" s="21">
        <f>Data[[#This Row],[Qty A]]+Data[[#This Row],[Qty B]]+Data[[#This Row],[Qty C]]</f>
        <v>6</v>
      </c>
      <c r="Y423" s="22">
        <f>Data[[#This Row],[Harga Barang A]]+Data[[#This Row],[Harga Barang B]]+Data[[#This Row],[Harga Barang C]]</f>
        <v>1300000</v>
      </c>
      <c r="Z423" s="35">
        <f>IFERROR(Data[[#This Row],[Total Harga]]-(Data[[#This Row],[Total Harga]]*Data[[#This Row],[Diskon]]),Data[[#This Row],[Total Harga]])</f>
        <v>1300000</v>
      </c>
      <c r="AA423" s="35">
        <f>(Data[[#This Row],[Profit A]]+Data[[#This Row],[Profit B]]+Data[[#This Row],[Profit C]])</f>
        <v>500000</v>
      </c>
      <c r="AB423" s="35">
        <f>IFERROR((Data[[#This Row],[Profit non Diskon]]-(Data[[#This Row],[Profit non Diskon]]*Data[[#This Row],[Diskon]])),Data[[#This Row],[Profit non Diskon]])</f>
        <v>500000</v>
      </c>
      <c r="AC423" s="23" t="s">
        <v>11</v>
      </c>
      <c r="AD423" s="37" t="str">
        <f>IFERROR(INDEX('Kode Diskon'!$D$3:$D$9,MATCH(Data[[#This Row],[Kode diskon]],'Kode Diskon'!$C$3:$C$9,0)),"-")</f>
        <v>-</v>
      </c>
      <c r="AE423" s="23" t="s">
        <v>11</v>
      </c>
      <c r="AF423" s="23" t="s">
        <v>7</v>
      </c>
      <c r="AG423" s="23" t="s">
        <v>76</v>
      </c>
      <c r="AH423" s="24">
        <v>45027</v>
      </c>
      <c r="AI423" s="23" t="str">
        <f>TEXT(Data[[#This Row],[Tanggal terjual]],"dddd")</f>
        <v>Tuesday</v>
      </c>
      <c r="AJ423" s="21" t="str">
        <f>TEXT(Data[[#This Row],[Tanggal terjual]],"wwww")</f>
        <v>wwww</v>
      </c>
    </row>
    <row r="424" spans="1:36" x14ac:dyDescent="0.2">
      <c r="A424" s="20">
        <v>423</v>
      </c>
      <c r="B424" s="21" t="str">
        <f>_xlfn.CONCAT("ORD-",INDEX(Helper!$B$2:$B$5,MATCH(Data[[#This Row],[Marketplace]],Helper!$A$2:$A$5,0)),TEXT(Data[[#This Row],[No]],"0000"),"-",TEXT(Data[[#This Row],[Tanggal terjual]],"dd/mm/yy"))</f>
        <v>ORD-SP0423-15/04/23</v>
      </c>
      <c r="C424" t="s">
        <v>67</v>
      </c>
      <c r="D424" t="str">
        <f>IFERROR(INDEX(Katalog!$A$3:$A$12,MATCH(Data[[#This Row],[ItemID A]],Katalog!$C$3:$C$12,0)),"-")</f>
        <v>Sepatu Wanita</v>
      </c>
      <c r="E424" t="str">
        <f>IFERROR(INDEX(Katalog!$B$3:$B$12,MATCH(Data[[#This Row],[ItemID A]],Katalog!$C$3:$C$12,0)),"-")</f>
        <v>Flat Shoes</v>
      </c>
      <c r="F424">
        <v>1</v>
      </c>
      <c r="G424">
        <v>2</v>
      </c>
      <c r="H424" s="36">
        <f>IFERROR(INDEX(Katalog!$D$3:$D$12,MATCH(Data[[#This Row],[ItemID A]],Katalog!$C$3:$C$12,0))*Data[[#This Row],[Qty A]],"0")</f>
        <v>250000</v>
      </c>
      <c r="I424" s="36">
        <f>IFERROR(INDEX(Katalog!$F$3:$F$12,MATCH(Data[[#This Row],[ItemID A]],Katalog!$C$3:$C$12,0))*Data[[#This Row],[Qty A]],0)</f>
        <v>100000</v>
      </c>
      <c r="J424" t="s">
        <v>66</v>
      </c>
      <c r="K424" t="str">
        <f>IFERROR(INDEX(Katalog!$A$3:$A$12,MATCH(Data[[#This Row],[ItemID B]],Katalog!$C$3:$C$12,0)),"-")</f>
        <v>Sepatu Pria</v>
      </c>
      <c r="L424" t="str">
        <f>IFERROR(INDEX(Katalog!$B$3:$B$12,MATCH(Data[[#This Row],[ItemID B]],Katalog!$C$3:$C$12,0)),"-")</f>
        <v>Sandal Slip On</v>
      </c>
      <c r="M424">
        <v>1</v>
      </c>
      <c r="N424">
        <v>3</v>
      </c>
      <c r="O424" s="36">
        <f>IFERROR(INDEX(Katalog!$D$3:$D$12,MATCH(Data[[#This Row],[ItemID B]],Katalog!$C$3:$C$12,0))*Data[[#This Row],[Qty B]],"0")</f>
        <v>150000</v>
      </c>
      <c r="P424" s="36">
        <f>IFERROR(INDEX(Katalog!$F$3:$F$12,MATCH(Data[[#This Row],[ItemID B]],Katalog!$C$3:$C$12,0))*Data[[#This Row],[Qty B]],"0")</f>
        <v>60000</v>
      </c>
      <c r="Q424" t="s">
        <v>65</v>
      </c>
      <c r="R424" t="str">
        <f>IFERROR(INDEX(Katalog!$A$3:$A$12,MATCH(Data[[#This Row],[ItemID C]],Katalog!$C$3:$C$12,0)),"-")</f>
        <v>Sepatu Pria</v>
      </c>
      <c r="S424" t="str">
        <f>IFERROR(INDEX(Katalog!$B$3:$B$12,MATCH(Data[[#This Row],[ItemID C]],Katalog!$C$3:$C$12,0)),"-")</f>
        <v>Sneakers</v>
      </c>
      <c r="T424">
        <v>1</v>
      </c>
      <c r="U424">
        <v>2</v>
      </c>
      <c r="V424" s="36">
        <f>IFERROR(INDEX(Katalog!$D$3:$D$12,MATCH(Data[[#This Row],[ItemID C]],Katalog!$C$3:$C$12,0))*Data[[#This Row],[Qty C]],"0")</f>
        <v>500000</v>
      </c>
      <c r="W424" s="36">
        <f>IFERROR(INDEX(Katalog!$F$3:$F$12,MATCH(Data[[#This Row],[ItemID C]],Katalog!$C$3:$C$12,0))*Data[[#This Row],[Qty C]],"0")</f>
        <v>200000</v>
      </c>
      <c r="X424" s="21">
        <f>Data[[#This Row],[Qty A]]+Data[[#This Row],[Qty B]]+Data[[#This Row],[Qty C]]</f>
        <v>3</v>
      </c>
      <c r="Y424" s="22">
        <f>Data[[#This Row],[Harga Barang A]]+Data[[#This Row],[Harga Barang B]]+Data[[#This Row],[Harga Barang C]]</f>
        <v>900000</v>
      </c>
      <c r="Z424" s="35">
        <f>IFERROR(Data[[#This Row],[Total Harga]]-(Data[[#This Row],[Total Harga]]*Data[[#This Row],[Diskon]]),Data[[#This Row],[Total Harga]])</f>
        <v>900000</v>
      </c>
      <c r="AA424" s="35">
        <f>(Data[[#This Row],[Profit A]]+Data[[#This Row],[Profit B]]+Data[[#This Row],[Profit C]])</f>
        <v>360000</v>
      </c>
      <c r="AB424" s="35">
        <f>IFERROR((Data[[#This Row],[Profit non Diskon]]-(Data[[#This Row],[Profit non Diskon]]*Data[[#This Row],[Diskon]])),Data[[#This Row],[Profit non Diskon]])</f>
        <v>360000</v>
      </c>
      <c r="AC424" s="23" t="s">
        <v>11</v>
      </c>
      <c r="AD424" s="37" t="str">
        <f>IFERROR(INDEX('Kode Diskon'!$D$3:$D$9,MATCH(Data[[#This Row],[Kode diskon]],'Kode Diskon'!$C$3:$C$9,0)),"-")</f>
        <v>-</v>
      </c>
      <c r="AE424" s="23" t="s">
        <v>11</v>
      </c>
      <c r="AF424" s="23" t="s">
        <v>7</v>
      </c>
      <c r="AG424" s="23" t="s">
        <v>80</v>
      </c>
      <c r="AH424" s="24">
        <v>45031</v>
      </c>
      <c r="AI424" s="23" t="str">
        <f>TEXT(Data[[#This Row],[Tanggal terjual]],"dddd")</f>
        <v>Saturday</v>
      </c>
      <c r="AJ424" s="21" t="str">
        <f>TEXT(Data[[#This Row],[Tanggal terjual]],"wwww")</f>
        <v>wwww</v>
      </c>
    </row>
    <row r="425" spans="1:36" x14ac:dyDescent="0.2">
      <c r="A425" s="20">
        <v>424</v>
      </c>
      <c r="B425" s="21" t="str">
        <f>_xlfn.CONCAT("ORD-",INDEX(Helper!$B$2:$B$5,MATCH(Data[[#This Row],[Marketplace]],Helper!$A$2:$A$5,0)),TEXT(Data[[#This Row],[No]],"0000"),"-",TEXT(Data[[#This Row],[Tanggal terjual]],"dd/mm/yy"))</f>
        <v>ORD-SP0424-29/04/23</v>
      </c>
      <c r="C425" t="s">
        <v>65</v>
      </c>
      <c r="D425" t="str">
        <f>IFERROR(INDEX(Katalog!$A$3:$A$12,MATCH(Data[[#This Row],[ItemID A]],Katalog!$C$3:$C$12,0)),"-")</f>
        <v>Sepatu Pria</v>
      </c>
      <c r="E425" t="str">
        <f>IFERROR(INDEX(Katalog!$B$3:$B$12,MATCH(Data[[#This Row],[ItemID A]],Katalog!$C$3:$C$12,0)),"-")</f>
        <v>Sneakers</v>
      </c>
      <c r="F425">
        <v>7</v>
      </c>
      <c r="G425">
        <v>1</v>
      </c>
      <c r="H425" s="36">
        <f>IFERROR(INDEX(Katalog!$D$3:$D$12,MATCH(Data[[#This Row],[ItemID A]],Katalog!$C$3:$C$12,0))*Data[[#This Row],[Qty A]],"0")</f>
        <v>3500000</v>
      </c>
      <c r="I425" s="36">
        <f>IFERROR(INDEX(Katalog!$F$3:$F$12,MATCH(Data[[#This Row],[ItemID A]],Katalog!$C$3:$C$12,0))*Data[[#This Row],[Qty A]],0)</f>
        <v>1400000</v>
      </c>
      <c r="K425" t="str">
        <f>IFERROR(INDEX(Katalog!$A$3:$A$12,MATCH(Data[[#This Row],[ItemID B]],Katalog!$C$3:$C$12,0)),"-")</f>
        <v>-</v>
      </c>
      <c r="L425" t="str">
        <f>IFERROR(INDEX(Katalog!$B$3:$B$12,MATCH(Data[[#This Row],[ItemID B]],Katalog!$C$3:$C$12,0)),"-")</f>
        <v>-</v>
      </c>
      <c r="O425" s="36" t="str">
        <f>IFERROR(INDEX(Katalog!$D$3:$D$12,MATCH(Data[[#This Row],[ItemID B]],Katalog!$C$3:$C$12,0))*Data[[#This Row],[Qty B]],"0")</f>
        <v>0</v>
      </c>
      <c r="P425" s="36" t="str">
        <f>IFERROR(INDEX(Katalog!$F$3:$F$12,MATCH(Data[[#This Row],[ItemID B]],Katalog!$C$3:$C$12,0))*Data[[#This Row],[Qty B]],"0")</f>
        <v>0</v>
      </c>
      <c r="R425" t="str">
        <f>IFERROR(INDEX(Katalog!$A$3:$A$12,MATCH(Data[[#This Row],[ItemID C]],Katalog!$C$3:$C$12,0)),"-")</f>
        <v>-</v>
      </c>
      <c r="S425" t="str">
        <f>IFERROR(INDEX(Katalog!$B$3:$B$12,MATCH(Data[[#This Row],[ItemID C]],Katalog!$C$3:$C$12,0)),"-")</f>
        <v>-</v>
      </c>
      <c r="V425" s="36" t="str">
        <f>IFERROR(INDEX(Katalog!$D$3:$D$12,MATCH(Data[[#This Row],[ItemID C]],Katalog!$C$3:$C$12,0))*Data[[#This Row],[Qty C]],"0")</f>
        <v>0</v>
      </c>
      <c r="W425" s="36" t="str">
        <f>IFERROR(INDEX(Katalog!$F$3:$F$12,MATCH(Data[[#This Row],[ItemID C]],Katalog!$C$3:$C$12,0))*Data[[#This Row],[Qty C]],"0")</f>
        <v>0</v>
      </c>
      <c r="X425" s="21">
        <f>Data[[#This Row],[Qty A]]+Data[[#This Row],[Qty B]]+Data[[#This Row],[Qty C]]</f>
        <v>7</v>
      </c>
      <c r="Y425" s="22">
        <f>Data[[#This Row],[Harga Barang A]]+Data[[#This Row],[Harga Barang B]]+Data[[#This Row],[Harga Barang C]]</f>
        <v>3500000</v>
      </c>
      <c r="Z425" s="35">
        <f>IFERROR(Data[[#This Row],[Total Harga]]-(Data[[#This Row],[Total Harga]]*Data[[#This Row],[Diskon]]),Data[[#This Row],[Total Harga]])</f>
        <v>2800000</v>
      </c>
      <c r="AA425" s="35">
        <f>(Data[[#This Row],[Profit A]]+Data[[#This Row],[Profit B]]+Data[[#This Row],[Profit C]])</f>
        <v>1400000</v>
      </c>
      <c r="AB425" s="35">
        <f>IFERROR((Data[[#This Row],[Profit non Diskon]]-(Data[[#This Row],[Profit non Diskon]]*Data[[#This Row],[Diskon]])),Data[[#This Row],[Profit non Diskon]])</f>
        <v>1120000</v>
      </c>
      <c r="AC425" s="23" t="s">
        <v>8</v>
      </c>
      <c r="AD425" s="37">
        <f>IFERROR(INDEX('Kode Diskon'!$D$3:$D$9,MATCH(Data[[#This Row],[Kode diskon]],'Kode Diskon'!$C$3:$C$9,0)),"-")</f>
        <v>0.2</v>
      </c>
      <c r="AE425" s="23" t="s">
        <v>9</v>
      </c>
      <c r="AF425" s="23" t="s">
        <v>7</v>
      </c>
      <c r="AG425" s="23" t="s">
        <v>80</v>
      </c>
      <c r="AH425" s="24">
        <v>45045</v>
      </c>
      <c r="AI425" s="23" t="str">
        <f>TEXT(Data[[#This Row],[Tanggal terjual]],"dddd")</f>
        <v>Saturday</v>
      </c>
      <c r="AJ425" s="21" t="str">
        <f>TEXT(Data[[#This Row],[Tanggal terjual]],"wwww")</f>
        <v>wwww</v>
      </c>
    </row>
    <row r="426" spans="1:36" x14ac:dyDescent="0.2">
      <c r="A426" s="20">
        <v>425</v>
      </c>
      <c r="B426" s="21" t="str">
        <f>_xlfn.CONCAT("ORD-",INDEX(Helper!$B$2:$B$5,MATCH(Data[[#This Row],[Marketplace]],Helper!$A$2:$A$5,0)),TEXT(Data[[#This Row],[No]],"0000"),"-",TEXT(Data[[#This Row],[Tanggal terjual]],"dd/mm/yy"))</f>
        <v>ORD-SP0425-21/04/23</v>
      </c>
      <c r="C426" t="s">
        <v>59</v>
      </c>
      <c r="D426" t="str">
        <f>IFERROR(INDEX(Katalog!$A$3:$A$12,MATCH(Data[[#This Row],[ItemID A]],Katalog!$C$3:$C$12,0)),"-")</f>
        <v>Pakaian Wanita</v>
      </c>
      <c r="E426" t="str">
        <f>IFERROR(INDEX(Katalog!$B$3:$B$12,MATCH(Data[[#This Row],[ItemID A]],Katalog!$C$3:$C$12,0)),"-")</f>
        <v>Blouse</v>
      </c>
      <c r="F426">
        <v>6</v>
      </c>
      <c r="G426">
        <v>1</v>
      </c>
      <c r="H426" s="36">
        <f>IFERROR(INDEX(Katalog!$D$3:$D$12,MATCH(Data[[#This Row],[ItemID A]],Katalog!$C$3:$C$12,0))*Data[[#This Row],[Qty A]],"0")</f>
        <v>900000</v>
      </c>
      <c r="I426" s="36">
        <f>IFERROR(INDEX(Katalog!$F$3:$F$12,MATCH(Data[[#This Row],[ItemID A]],Katalog!$C$3:$C$12,0))*Data[[#This Row],[Qty A]],0)</f>
        <v>300000</v>
      </c>
      <c r="J426" t="s">
        <v>65</v>
      </c>
      <c r="K426" t="str">
        <f>IFERROR(INDEX(Katalog!$A$3:$A$12,MATCH(Data[[#This Row],[ItemID B]],Katalog!$C$3:$C$12,0)),"-")</f>
        <v>Sepatu Pria</v>
      </c>
      <c r="L426" t="str">
        <f>IFERROR(INDEX(Katalog!$B$3:$B$12,MATCH(Data[[#This Row],[ItemID B]],Katalog!$C$3:$C$12,0)),"-")</f>
        <v>Sneakers</v>
      </c>
      <c r="M426">
        <v>1</v>
      </c>
      <c r="N426">
        <v>3</v>
      </c>
      <c r="O426" s="36">
        <f>IFERROR(INDEX(Katalog!$D$3:$D$12,MATCH(Data[[#This Row],[ItemID B]],Katalog!$C$3:$C$12,0))*Data[[#This Row],[Qty B]],"0")</f>
        <v>500000</v>
      </c>
      <c r="P426" s="36">
        <f>IFERROR(INDEX(Katalog!$F$3:$F$12,MATCH(Data[[#This Row],[ItemID B]],Katalog!$C$3:$C$12,0))*Data[[#This Row],[Qty B]],"0")</f>
        <v>200000</v>
      </c>
      <c r="R426" t="str">
        <f>IFERROR(INDEX(Katalog!$A$3:$A$12,MATCH(Data[[#This Row],[ItemID C]],Katalog!$C$3:$C$12,0)),"-")</f>
        <v>-</v>
      </c>
      <c r="S426" t="str">
        <f>IFERROR(INDEX(Katalog!$B$3:$B$12,MATCH(Data[[#This Row],[ItemID C]],Katalog!$C$3:$C$12,0)),"-")</f>
        <v>-</v>
      </c>
      <c r="V426" s="36" t="str">
        <f>IFERROR(INDEX(Katalog!$D$3:$D$12,MATCH(Data[[#This Row],[ItemID C]],Katalog!$C$3:$C$12,0))*Data[[#This Row],[Qty C]],"0")</f>
        <v>0</v>
      </c>
      <c r="W426" s="36" t="str">
        <f>IFERROR(INDEX(Katalog!$F$3:$F$12,MATCH(Data[[#This Row],[ItemID C]],Katalog!$C$3:$C$12,0))*Data[[#This Row],[Qty C]],"0")</f>
        <v>0</v>
      </c>
      <c r="X426" s="21">
        <f>Data[[#This Row],[Qty A]]+Data[[#This Row],[Qty B]]+Data[[#This Row],[Qty C]]</f>
        <v>7</v>
      </c>
      <c r="Y426" s="22">
        <f>Data[[#This Row],[Harga Barang A]]+Data[[#This Row],[Harga Barang B]]+Data[[#This Row],[Harga Barang C]]</f>
        <v>1400000</v>
      </c>
      <c r="Z426" s="35">
        <f>IFERROR(Data[[#This Row],[Total Harga]]-(Data[[#This Row],[Total Harga]]*Data[[#This Row],[Diskon]]),Data[[#This Row],[Total Harga]])</f>
        <v>1120000</v>
      </c>
      <c r="AA426" s="35">
        <f>(Data[[#This Row],[Profit A]]+Data[[#This Row],[Profit B]]+Data[[#This Row],[Profit C]])</f>
        <v>500000</v>
      </c>
      <c r="AB426" s="35">
        <f>IFERROR((Data[[#This Row],[Profit non Diskon]]-(Data[[#This Row],[Profit non Diskon]]*Data[[#This Row],[Diskon]])),Data[[#This Row],[Profit non Diskon]])</f>
        <v>400000</v>
      </c>
      <c r="AC426" s="23" t="s">
        <v>8</v>
      </c>
      <c r="AD426" s="37">
        <f>IFERROR(INDEX('Kode Diskon'!$D$3:$D$9,MATCH(Data[[#This Row],[Kode diskon]],'Kode Diskon'!$C$3:$C$9,0)),"-")</f>
        <v>0.2</v>
      </c>
      <c r="AE426" s="23" t="s">
        <v>9</v>
      </c>
      <c r="AF426" s="23" t="s">
        <v>7</v>
      </c>
      <c r="AG426" s="23" t="s">
        <v>79</v>
      </c>
      <c r="AH426" s="24">
        <v>45037</v>
      </c>
      <c r="AI426" s="23" t="str">
        <f>TEXT(Data[[#This Row],[Tanggal terjual]],"dddd")</f>
        <v>Friday</v>
      </c>
      <c r="AJ426" s="21" t="str">
        <f>TEXT(Data[[#This Row],[Tanggal terjual]],"wwww")</f>
        <v>wwww</v>
      </c>
    </row>
    <row r="427" spans="1:36" x14ac:dyDescent="0.2">
      <c r="A427" s="20">
        <v>426</v>
      </c>
      <c r="B427" s="21" t="str">
        <f>_xlfn.CONCAT("ORD-",INDEX(Helper!$B$2:$B$5,MATCH(Data[[#This Row],[Marketplace]],Helper!$A$2:$A$5,0)),TEXT(Data[[#This Row],[No]],"0000"),"-",TEXT(Data[[#This Row],[Tanggal terjual]],"dd/mm/yy"))</f>
        <v>ORD-SP0426-28/04/23</v>
      </c>
      <c r="C427" t="s">
        <v>63</v>
      </c>
      <c r="D427" t="str">
        <f>IFERROR(INDEX(Katalog!$A$3:$A$12,MATCH(Data[[#This Row],[ItemID A]],Katalog!$C$3:$C$12,0)),"-")</f>
        <v>Pakaian Pria</v>
      </c>
      <c r="E427" t="str">
        <f>IFERROR(INDEX(Katalog!$B$3:$B$12,MATCH(Data[[#This Row],[ItemID A]],Katalog!$C$3:$C$12,0)),"-")</f>
        <v>Jaket Jeans</v>
      </c>
      <c r="F427">
        <v>1</v>
      </c>
      <c r="G427">
        <v>5</v>
      </c>
      <c r="H427" s="36">
        <f>IFERROR(INDEX(Katalog!$D$3:$D$12,MATCH(Data[[#This Row],[ItemID A]],Katalog!$C$3:$C$12,0))*Data[[#This Row],[Qty A]],"0")</f>
        <v>400000</v>
      </c>
      <c r="I427" s="36">
        <f>IFERROR(INDEX(Katalog!$F$3:$F$12,MATCH(Data[[#This Row],[ItemID A]],Katalog!$C$3:$C$12,0))*Data[[#This Row],[Qty A]],0)</f>
        <v>150000</v>
      </c>
      <c r="K427" t="str">
        <f>IFERROR(INDEX(Katalog!$A$3:$A$12,MATCH(Data[[#This Row],[ItemID B]],Katalog!$C$3:$C$12,0)),"-")</f>
        <v>-</v>
      </c>
      <c r="L427" t="str">
        <f>IFERROR(INDEX(Katalog!$B$3:$B$12,MATCH(Data[[#This Row],[ItemID B]],Katalog!$C$3:$C$12,0)),"-")</f>
        <v>-</v>
      </c>
      <c r="O427" s="36" t="str">
        <f>IFERROR(INDEX(Katalog!$D$3:$D$12,MATCH(Data[[#This Row],[ItemID B]],Katalog!$C$3:$C$12,0))*Data[[#This Row],[Qty B]],"0")</f>
        <v>0</v>
      </c>
      <c r="P427" s="36" t="str">
        <f>IFERROR(INDEX(Katalog!$F$3:$F$12,MATCH(Data[[#This Row],[ItemID B]],Katalog!$C$3:$C$12,0))*Data[[#This Row],[Qty B]],"0")</f>
        <v>0</v>
      </c>
      <c r="R427" t="str">
        <f>IFERROR(INDEX(Katalog!$A$3:$A$12,MATCH(Data[[#This Row],[ItemID C]],Katalog!$C$3:$C$12,0)),"-")</f>
        <v>-</v>
      </c>
      <c r="S427" t="str">
        <f>IFERROR(INDEX(Katalog!$B$3:$B$12,MATCH(Data[[#This Row],[ItemID C]],Katalog!$C$3:$C$12,0)),"-")</f>
        <v>-</v>
      </c>
      <c r="V427" s="36" t="str">
        <f>IFERROR(INDEX(Katalog!$D$3:$D$12,MATCH(Data[[#This Row],[ItemID C]],Katalog!$C$3:$C$12,0))*Data[[#This Row],[Qty C]],"0")</f>
        <v>0</v>
      </c>
      <c r="W427" s="36" t="str">
        <f>IFERROR(INDEX(Katalog!$F$3:$F$12,MATCH(Data[[#This Row],[ItemID C]],Katalog!$C$3:$C$12,0))*Data[[#This Row],[Qty C]],"0")</f>
        <v>0</v>
      </c>
      <c r="X427" s="21">
        <f>Data[[#This Row],[Qty A]]+Data[[#This Row],[Qty B]]+Data[[#This Row],[Qty C]]</f>
        <v>1</v>
      </c>
      <c r="Y427" s="22">
        <f>Data[[#This Row],[Harga Barang A]]+Data[[#This Row],[Harga Barang B]]+Data[[#This Row],[Harga Barang C]]</f>
        <v>400000</v>
      </c>
      <c r="Z427" s="35">
        <f>IFERROR(Data[[#This Row],[Total Harga]]-(Data[[#This Row],[Total Harga]]*Data[[#This Row],[Diskon]]),Data[[#This Row],[Total Harga]])</f>
        <v>320000</v>
      </c>
      <c r="AA427" s="35">
        <f>(Data[[#This Row],[Profit A]]+Data[[#This Row],[Profit B]]+Data[[#This Row],[Profit C]])</f>
        <v>150000</v>
      </c>
      <c r="AB427" s="35">
        <f>IFERROR((Data[[#This Row],[Profit non Diskon]]-(Data[[#This Row],[Profit non Diskon]]*Data[[#This Row],[Diskon]])),Data[[#This Row],[Profit non Diskon]])</f>
        <v>120000</v>
      </c>
      <c r="AC427" s="23" t="s">
        <v>8</v>
      </c>
      <c r="AD427" s="37">
        <f>IFERROR(INDEX('Kode Diskon'!$D$3:$D$9,MATCH(Data[[#This Row],[Kode diskon]],'Kode Diskon'!$C$3:$C$9,0)),"-")</f>
        <v>0.2</v>
      </c>
      <c r="AE427" s="23" t="s">
        <v>9</v>
      </c>
      <c r="AF427" s="23" t="s">
        <v>7</v>
      </c>
      <c r="AG427" s="23" t="s">
        <v>76</v>
      </c>
      <c r="AH427" s="24">
        <v>45044</v>
      </c>
      <c r="AI427" s="23" t="str">
        <f>TEXT(Data[[#This Row],[Tanggal terjual]],"dddd")</f>
        <v>Friday</v>
      </c>
      <c r="AJ427" s="21" t="str">
        <f>TEXT(Data[[#This Row],[Tanggal terjual]],"wwww")</f>
        <v>wwww</v>
      </c>
    </row>
    <row r="428" spans="1:36" x14ac:dyDescent="0.2">
      <c r="A428" s="20">
        <v>427</v>
      </c>
      <c r="B428" s="21" t="str">
        <f>_xlfn.CONCAT("ORD-",INDEX(Helper!$B$2:$B$5,MATCH(Data[[#This Row],[Marketplace]],Helper!$A$2:$A$5,0)),TEXT(Data[[#This Row],[No]],"0000"),"-",TEXT(Data[[#This Row],[Tanggal terjual]],"dd/mm/yy"))</f>
        <v>ORD-TK0427-04/04/23</v>
      </c>
      <c r="C428" t="s">
        <v>66</v>
      </c>
      <c r="D428" t="str">
        <f>IFERROR(INDEX(Katalog!$A$3:$A$12,MATCH(Data[[#This Row],[ItemID A]],Katalog!$C$3:$C$12,0)),"-")</f>
        <v>Sepatu Pria</v>
      </c>
      <c r="E428" t="str">
        <f>IFERROR(INDEX(Katalog!$B$3:$B$12,MATCH(Data[[#This Row],[ItemID A]],Katalog!$C$3:$C$12,0)),"-")</f>
        <v>Sandal Slip On</v>
      </c>
      <c r="F428">
        <v>7</v>
      </c>
      <c r="G428">
        <v>4</v>
      </c>
      <c r="H428" s="36">
        <f>IFERROR(INDEX(Katalog!$D$3:$D$12,MATCH(Data[[#This Row],[ItemID A]],Katalog!$C$3:$C$12,0))*Data[[#This Row],[Qty A]],"0")</f>
        <v>1050000</v>
      </c>
      <c r="I428" s="36">
        <f>IFERROR(INDEX(Katalog!$F$3:$F$12,MATCH(Data[[#This Row],[ItemID A]],Katalog!$C$3:$C$12,0))*Data[[#This Row],[Qty A]],0)</f>
        <v>420000</v>
      </c>
      <c r="K428" t="str">
        <f>IFERROR(INDEX(Katalog!$A$3:$A$12,MATCH(Data[[#This Row],[ItemID B]],Katalog!$C$3:$C$12,0)),"-")</f>
        <v>-</v>
      </c>
      <c r="L428" t="str">
        <f>IFERROR(INDEX(Katalog!$B$3:$B$12,MATCH(Data[[#This Row],[ItemID B]],Katalog!$C$3:$C$12,0)),"-")</f>
        <v>-</v>
      </c>
      <c r="O428" s="36" t="str">
        <f>IFERROR(INDEX(Katalog!$D$3:$D$12,MATCH(Data[[#This Row],[ItemID B]],Katalog!$C$3:$C$12,0))*Data[[#This Row],[Qty B]],"0")</f>
        <v>0</v>
      </c>
      <c r="P428" s="36" t="str">
        <f>IFERROR(INDEX(Katalog!$F$3:$F$12,MATCH(Data[[#This Row],[ItemID B]],Katalog!$C$3:$C$12,0))*Data[[#This Row],[Qty B]],"0")</f>
        <v>0</v>
      </c>
      <c r="R428" t="str">
        <f>IFERROR(INDEX(Katalog!$A$3:$A$12,MATCH(Data[[#This Row],[ItemID C]],Katalog!$C$3:$C$12,0)),"-")</f>
        <v>-</v>
      </c>
      <c r="S428" t="str">
        <f>IFERROR(INDEX(Katalog!$B$3:$B$12,MATCH(Data[[#This Row],[ItemID C]],Katalog!$C$3:$C$12,0)),"-")</f>
        <v>-</v>
      </c>
      <c r="V428" s="36" t="str">
        <f>IFERROR(INDEX(Katalog!$D$3:$D$12,MATCH(Data[[#This Row],[ItemID C]],Katalog!$C$3:$C$12,0))*Data[[#This Row],[Qty C]],"0")</f>
        <v>0</v>
      </c>
      <c r="W428" s="36" t="str">
        <f>IFERROR(INDEX(Katalog!$F$3:$F$12,MATCH(Data[[#This Row],[ItemID C]],Katalog!$C$3:$C$12,0))*Data[[#This Row],[Qty C]],"0")</f>
        <v>0</v>
      </c>
      <c r="X428" s="21">
        <f>Data[[#This Row],[Qty A]]+Data[[#This Row],[Qty B]]+Data[[#This Row],[Qty C]]</f>
        <v>7</v>
      </c>
      <c r="Y428" s="22">
        <f>Data[[#This Row],[Harga Barang A]]+Data[[#This Row],[Harga Barang B]]+Data[[#This Row],[Harga Barang C]]</f>
        <v>1050000</v>
      </c>
      <c r="Z428" s="35">
        <f>IFERROR(Data[[#This Row],[Total Harga]]-(Data[[#This Row],[Total Harga]]*Data[[#This Row],[Diskon]]),Data[[#This Row],[Total Harga]])</f>
        <v>945000</v>
      </c>
      <c r="AA428" s="35">
        <f>(Data[[#This Row],[Profit A]]+Data[[#This Row],[Profit B]]+Data[[#This Row],[Profit C]])</f>
        <v>420000</v>
      </c>
      <c r="AB428" s="35">
        <f>IFERROR((Data[[#This Row],[Profit non Diskon]]-(Data[[#This Row],[Profit non Diskon]]*Data[[#This Row],[Diskon]])),Data[[#This Row],[Profit non Diskon]])</f>
        <v>378000</v>
      </c>
      <c r="AC428" s="23" t="s">
        <v>30</v>
      </c>
      <c r="AD428" s="37">
        <f>IFERROR(INDEX('Kode Diskon'!$D$3:$D$9,MATCH(Data[[#This Row],[Kode diskon]],'Kode Diskon'!$C$3:$C$9,0)),"-")</f>
        <v>0.1</v>
      </c>
      <c r="AE428" s="23" t="s">
        <v>29</v>
      </c>
      <c r="AF428" s="23" t="s">
        <v>10</v>
      </c>
      <c r="AG428" s="23" t="s">
        <v>76</v>
      </c>
      <c r="AH428" s="24">
        <v>45020</v>
      </c>
      <c r="AI428" s="23" t="str">
        <f>TEXT(Data[[#This Row],[Tanggal terjual]],"dddd")</f>
        <v>Tuesday</v>
      </c>
      <c r="AJ428" s="21" t="str">
        <f>TEXT(Data[[#This Row],[Tanggal terjual]],"wwww")</f>
        <v>wwww</v>
      </c>
    </row>
    <row r="429" spans="1:36" x14ac:dyDescent="0.2">
      <c r="A429" s="20">
        <v>428</v>
      </c>
      <c r="B429" s="21" t="str">
        <f>_xlfn.CONCAT("ORD-",INDEX(Helper!$B$2:$B$5,MATCH(Data[[#This Row],[Marketplace]],Helper!$A$2:$A$5,0)),TEXT(Data[[#This Row],[No]],"0000"),"-",TEXT(Data[[#This Row],[Tanggal terjual]],"dd/mm/yy"))</f>
        <v>ORD-SP0428-06/04/23</v>
      </c>
      <c r="C429" t="s">
        <v>67</v>
      </c>
      <c r="D429" t="str">
        <f>IFERROR(INDEX(Katalog!$A$3:$A$12,MATCH(Data[[#This Row],[ItemID A]],Katalog!$C$3:$C$12,0)),"-")</f>
        <v>Sepatu Wanita</v>
      </c>
      <c r="E429" t="str">
        <f>IFERROR(INDEX(Katalog!$B$3:$B$12,MATCH(Data[[#This Row],[ItemID A]],Katalog!$C$3:$C$12,0)),"-")</f>
        <v>Flat Shoes</v>
      </c>
      <c r="F429">
        <v>1</v>
      </c>
      <c r="G429">
        <v>1</v>
      </c>
      <c r="H429" s="36">
        <f>IFERROR(INDEX(Katalog!$D$3:$D$12,MATCH(Data[[#This Row],[ItemID A]],Katalog!$C$3:$C$12,0))*Data[[#This Row],[Qty A]],"0")</f>
        <v>250000</v>
      </c>
      <c r="I429" s="36">
        <f>IFERROR(INDEX(Katalog!$F$3:$F$12,MATCH(Data[[#This Row],[ItemID A]],Katalog!$C$3:$C$12,0))*Data[[#This Row],[Qty A]],0)</f>
        <v>100000</v>
      </c>
      <c r="K429" t="str">
        <f>IFERROR(INDEX(Katalog!$A$3:$A$12,MATCH(Data[[#This Row],[ItemID B]],Katalog!$C$3:$C$12,0)),"-")</f>
        <v>-</v>
      </c>
      <c r="L429" t="str">
        <f>IFERROR(INDEX(Katalog!$B$3:$B$12,MATCH(Data[[#This Row],[ItemID B]],Katalog!$C$3:$C$12,0)),"-")</f>
        <v>-</v>
      </c>
      <c r="O429" s="36" t="str">
        <f>IFERROR(INDEX(Katalog!$D$3:$D$12,MATCH(Data[[#This Row],[ItemID B]],Katalog!$C$3:$C$12,0))*Data[[#This Row],[Qty B]],"0")</f>
        <v>0</v>
      </c>
      <c r="P429" s="36" t="str">
        <f>IFERROR(INDEX(Katalog!$F$3:$F$12,MATCH(Data[[#This Row],[ItemID B]],Katalog!$C$3:$C$12,0))*Data[[#This Row],[Qty B]],"0")</f>
        <v>0</v>
      </c>
      <c r="R429" t="str">
        <f>IFERROR(INDEX(Katalog!$A$3:$A$12,MATCH(Data[[#This Row],[ItemID C]],Katalog!$C$3:$C$12,0)),"-")</f>
        <v>-</v>
      </c>
      <c r="S429" t="str">
        <f>IFERROR(INDEX(Katalog!$B$3:$B$12,MATCH(Data[[#This Row],[ItemID C]],Katalog!$C$3:$C$12,0)),"-")</f>
        <v>-</v>
      </c>
      <c r="V429" s="36" t="str">
        <f>IFERROR(INDEX(Katalog!$D$3:$D$12,MATCH(Data[[#This Row],[ItemID C]],Katalog!$C$3:$C$12,0))*Data[[#This Row],[Qty C]],"0")</f>
        <v>0</v>
      </c>
      <c r="W429" s="36" t="str">
        <f>IFERROR(INDEX(Katalog!$F$3:$F$12,MATCH(Data[[#This Row],[ItemID C]],Katalog!$C$3:$C$12,0))*Data[[#This Row],[Qty C]],"0")</f>
        <v>0</v>
      </c>
      <c r="X429" s="21">
        <f>Data[[#This Row],[Qty A]]+Data[[#This Row],[Qty B]]+Data[[#This Row],[Qty C]]</f>
        <v>1</v>
      </c>
      <c r="Y429" s="22">
        <f>Data[[#This Row],[Harga Barang A]]+Data[[#This Row],[Harga Barang B]]+Data[[#This Row],[Harga Barang C]]</f>
        <v>250000</v>
      </c>
      <c r="Z429" s="35">
        <f>IFERROR(Data[[#This Row],[Total Harga]]-(Data[[#This Row],[Total Harga]]*Data[[#This Row],[Diskon]]),Data[[#This Row],[Total Harga]])</f>
        <v>225000</v>
      </c>
      <c r="AA429" s="35">
        <f>(Data[[#This Row],[Profit A]]+Data[[#This Row],[Profit B]]+Data[[#This Row],[Profit C]])</f>
        <v>100000</v>
      </c>
      <c r="AB429" s="35">
        <f>IFERROR((Data[[#This Row],[Profit non Diskon]]-(Data[[#This Row],[Profit non Diskon]]*Data[[#This Row],[Diskon]])),Data[[#This Row],[Profit non Diskon]])</f>
        <v>90000</v>
      </c>
      <c r="AC429" s="23" t="s">
        <v>6</v>
      </c>
      <c r="AD429" s="37">
        <f>IFERROR(INDEX('Kode Diskon'!$D$3:$D$9,MATCH(Data[[#This Row],[Kode diskon]],'Kode Diskon'!$C$3:$C$9,0)),"-")</f>
        <v>0.1</v>
      </c>
      <c r="AE429" s="23" t="s">
        <v>29</v>
      </c>
      <c r="AF429" s="23" t="s">
        <v>7</v>
      </c>
      <c r="AG429" s="23" t="s">
        <v>80</v>
      </c>
      <c r="AH429" s="24">
        <v>45022</v>
      </c>
      <c r="AI429" s="23" t="str">
        <f>TEXT(Data[[#This Row],[Tanggal terjual]],"dddd")</f>
        <v>Thursday</v>
      </c>
      <c r="AJ429" s="21" t="str">
        <f>TEXT(Data[[#This Row],[Tanggal terjual]],"wwww")</f>
        <v>wwww</v>
      </c>
    </row>
    <row r="430" spans="1:36" x14ac:dyDescent="0.2">
      <c r="A430" s="20">
        <v>429</v>
      </c>
      <c r="B430" s="21" t="str">
        <f>_xlfn.CONCAT("ORD-",INDEX(Helper!$B$2:$B$5,MATCH(Data[[#This Row],[Marketplace]],Helper!$A$2:$A$5,0)),TEXT(Data[[#This Row],[No]],"0000"),"-",TEXT(Data[[#This Row],[Tanggal terjual]],"dd/mm/yy"))</f>
        <v>ORD-TK0429-02/04/23</v>
      </c>
      <c r="C430" t="s">
        <v>62</v>
      </c>
      <c r="D430" t="str">
        <f>IFERROR(INDEX(Katalog!$A$3:$A$12,MATCH(Data[[#This Row],[ItemID A]],Katalog!$C$3:$C$12,0)),"-")</f>
        <v>Pakaian Pria</v>
      </c>
      <c r="E430" t="str">
        <f>IFERROR(INDEX(Katalog!$B$3:$B$12,MATCH(Data[[#This Row],[ItemID A]],Katalog!$C$3:$C$12,0)),"-")</f>
        <v>Celana Pendek</v>
      </c>
      <c r="F430">
        <v>5</v>
      </c>
      <c r="G430">
        <v>4</v>
      </c>
      <c r="H430" s="36">
        <f>IFERROR(INDEX(Katalog!$D$3:$D$12,MATCH(Data[[#This Row],[ItemID A]],Katalog!$C$3:$C$12,0))*Data[[#This Row],[Qty A]],"0")</f>
        <v>900000</v>
      </c>
      <c r="I430" s="36">
        <f>IFERROR(INDEX(Katalog!$F$3:$F$12,MATCH(Data[[#This Row],[ItemID A]],Katalog!$C$3:$C$12,0))*Data[[#This Row],[Qty A]],0)</f>
        <v>350000</v>
      </c>
      <c r="K430" t="str">
        <f>IFERROR(INDEX(Katalog!$A$3:$A$12,MATCH(Data[[#This Row],[ItemID B]],Katalog!$C$3:$C$12,0)),"-")</f>
        <v>-</v>
      </c>
      <c r="L430" t="str">
        <f>IFERROR(INDEX(Katalog!$B$3:$B$12,MATCH(Data[[#This Row],[ItemID B]],Katalog!$C$3:$C$12,0)),"-")</f>
        <v>-</v>
      </c>
      <c r="O430" s="36" t="str">
        <f>IFERROR(INDEX(Katalog!$D$3:$D$12,MATCH(Data[[#This Row],[ItemID B]],Katalog!$C$3:$C$12,0))*Data[[#This Row],[Qty B]],"0")</f>
        <v>0</v>
      </c>
      <c r="P430" s="36" t="str">
        <f>IFERROR(INDEX(Katalog!$F$3:$F$12,MATCH(Data[[#This Row],[ItemID B]],Katalog!$C$3:$C$12,0))*Data[[#This Row],[Qty B]],"0")</f>
        <v>0</v>
      </c>
      <c r="R430" t="str">
        <f>IFERROR(INDEX(Katalog!$A$3:$A$12,MATCH(Data[[#This Row],[ItemID C]],Katalog!$C$3:$C$12,0)),"-")</f>
        <v>-</v>
      </c>
      <c r="S430" t="str">
        <f>IFERROR(INDEX(Katalog!$B$3:$B$12,MATCH(Data[[#This Row],[ItemID C]],Katalog!$C$3:$C$12,0)),"-")</f>
        <v>-</v>
      </c>
      <c r="V430" s="36" t="str">
        <f>IFERROR(INDEX(Katalog!$D$3:$D$12,MATCH(Data[[#This Row],[ItemID C]],Katalog!$C$3:$C$12,0))*Data[[#This Row],[Qty C]],"0")</f>
        <v>0</v>
      </c>
      <c r="W430" s="36" t="str">
        <f>IFERROR(INDEX(Katalog!$F$3:$F$12,MATCH(Data[[#This Row],[ItemID C]],Katalog!$C$3:$C$12,0))*Data[[#This Row],[Qty C]],"0")</f>
        <v>0</v>
      </c>
      <c r="X430" s="21">
        <f>Data[[#This Row],[Qty A]]+Data[[#This Row],[Qty B]]+Data[[#This Row],[Qty C]]</f>
        <v>5</v>
      </c>
      <c r="Y430" s="22">
        <f>Data[[#This Row],[Harga Barang A]]+Data[[#This Row],[Harga Barang B]]+Data[[#This Row],[Harga Barang C]]</f>
        <v>900000</v>
      </c>
      <c r="Z430" s="35">
        <f>IFERROR(Data[[#This Row],[Total Harga]]-(Data[[#This Row],[Total Harga]]*Data[[#This Row],[Diskon]]),Data[[#This Row],[Total Harga]])</f>
        <v>810000</v>
      </c>
      <c r="AA430" s="35">
        <f>(Data[[#This Row],[Profit A]]+Data[[#This Row],[Profit B]]+Data[[#This Row],[Profit C]])</f>
        <v>350000</v>
      </c>
      <c r="AB430" s="35">
        <f>IFERROR((Data[[#This Row],[Profit non Diskon]]-(Data[[#This Row],[Profit non Diskon]]*Data[[#This Row],[Diskon]])),Data[[#This Row],[Profit non Diskon]])</f>
        <v>315000</v>
      </c>
      <c r="AC430" s="23" t="s">
        <v>30</v>
      </c>
      <c r="AD430" s="37">
        <f>IFERROR(INDEX('Kode Diskon'!$D$3:$D$9,MATCH(Data[[#This Row],[Kode diskon]],'Kode Diskon'!$C$3:$C$9,0)),"-")</f>
        <v>0.1</v>
      </c>
      <c r="AE430" s="23" t="s">
        <v>29</v>
      </c>
      <c r="AF430" s="23" t="s">
        <v>10</v>
      </c>
      <c r="AG430" s="23" t="s">
        <v>78</v>
      </c>
      <c r="AH430" s="24">
        <v>45018</v>
      </c>
      <c r="AI430" s="23" t="str">
        <f>TEXT(Data[[#This Row],[Tanggal terjual]],"dddd")</f>
        <v>Sunday</v>
      </c>
      <c r="AJ430" s="21" t="str">
        <f>TEXT(Data[[#This Row],[Tanggal terjual]],"wwww")</f>
        <v>wwww</v>
      </c>
    </row>
    <row r="431" spans="1:36" x14ac:dyDescent="0.2">
      <c r="A431" s="20">
        <v>430</v>
      </c>
      <c r="B431" s="21" t="str">
        <f>_xlfn.CONCAT("ORD-",INDEX(Helper!$B$2:$B$5,MATCH(Data[[#This Row],[Marketplace]],Helper!$A$2:$A$5,0)),TEXT(Data[[#This Row],[No]],"0000"),"-",TEXT(Data[[#This Row],[Tanggal terjual]],"dd/mm/yy"))</f>
        <v>ORD-BL0430-20/04/23</v>
      </c>
      <c r="C431" t="s">
        <v>67</v>
      </c>
      <c r="D431" t="str">
        <f>IFERROR(INDEX(Katalog!$A$3:$A$12,MATCH(Data[[#This Row],[ItemID A]],Katalog!$C$3:$C$12,0)),"-")</f>
        <v>Sepatu Wanita</v>
      </c>
      <c r="E431" t="str">
        <f>IFERROR(INDEX(Katalog!$B$3:$B$12,MATCH(Data[[#This Row],[ItemID A]],Katalog!$C$3:$C$12,0)),"-")</f>
        <v>Flat Shoes</v>
      </c>
      <c r="F431">
        <v>2</v>
      </c>
      <c r="G431">
        <v>4</v>
      </c>
      <c r="H431" s="36">
        <f>IFERROR(INDEX(Katalog!$D$3:$D$12,MATCH(Data[[#This Row],[ItemID A]],Katalog!$C$3:$C$12,0))*Data[[#This Row],[Qty A]],"0")</f>
        <v>500000</v>
      </c>
      <c r="I431" s="36">
        <f>IFERROR(INDEX(Katalog!$F$3:$F$12,MATCH(Data[[#This Row],[ItemID A]],Katalog!$C$3:$C$12,0))*Data[[#This Row],[Qty A]],0)</f>
        <v>200000</v>
      </c>
      <c r="J431" t="s">
        <v>58</v>
      </c>
      <c r="K431" t="str">
        <f>IFERROR(INDEX(Katalog!$A$3:$A$12,MATCH(Data[[#This Row],[ItemID B]],Katalog!$C$3:$C$12,0)),"-")</f>
        <v>Pakaian Wanita</v>
      </c>
      <c r="L431" t="str">
        <f>IFERROR(INDEX(Katalog!$B$3:$B$12,MATCH(Data[[#This Row],[ItemID B]],Katalog!$C$3:$C$12,0)),"-")</f>
        <v>Dress</v>
      </c>
      <c r="M431">
        <v>1</v>
      </c>
      <c r="N431">
        <v>4</v>
      </c>
      <c r="O431" s="36">
        <f>IFERROR(INDEX(Katalog!$D$3:$D$12,MATCH(Data[[#This Row],[ItemID B]],Katalog!$C$3:$C$12,0))*Data[[#This Row],[Qty B]],"0")</f>
        <v>300000</v>
      </c>
      <c r="P431" s="36">
        <f>IFERROR(INDEX(Katalog!$F$3:$F$12,MATCH(Data[[#This Row],[ItemID B]],Katalog!$C$3:$C$12,0))*Data[[#This Row],[Qty B]],"0")</f>
        <v>100000</v>
      </c>
      <c r="R431" t="str">
        <f>IFERROR(INDEX(Katalog!$A$3:$A$12,MATCH(Data[[#This Row],[ItemID C]],Katalog!$C$3:$C$12,0)),"-")</f>
        <v>-</v>
      </c>
      <c r="S431" t="str">
        <f>IFERROR(INDEX(Katalog!$B$3:$B$12,MATCH(Data[[#This Row],[ItemID C]],Katalog!$C$3:$C$12,0)),"-")</f>
        <v>-</v>
      </c>
      <c r="V431" s="36" t="str">
        <f>IFERROR(INDEX(Katalog!$D$3:$D$12,MATCH(Data[[#This Row],[ItemID C]],Katalog!$C$3:$C$12,0))*Data[[#This Row],[Qty C]],"0")</f>
        <v>0</v>
      </c>
      <c r="W431" s="36" t="str">
        <f>IFERROR(INDEX(Katalog!$F$3:$F$12,MATCH(Data[[#This Row],[ItemID C]],Katalog!$C$3:$C$12,0))*Data[[#This Row],[Qty C]],"0")</f>
        <v>0</v>
      </c>
      <c r="X431" s="21">
        <f>Data[[#This Row],[Qty A]]+Data[[#This Row],[Qty B]]+Data[[#This Row],[Qty C]]</f>
        <v>3</v>
      </c>
      <c r="Y431" s="22">
        <f>Data[[#This Row],[Harga Barang A]]+Data[[#This Row],[Harga Barang B]]+Data[[#This Row],[Harga Barang C]]</f>
        <v>800000</v>
      </c>
      <c r="Z431" s="35">
        <f>IFERROR(Data[[#This Row],[Total Harga]]-(Data[[#This Row],[Total Harga]]*Data[[#This Row],[Diskon]]),Data[[#This Row],[Total Harga]])</f>
        <v>680000</v>
      </c>
      <c r="AA431" s="35">
        <f>(Data[[#This Row],[Profit A]]+Data[[#This Row],[Profit B]]+Data[[#This Row],[Profit C]])</f>
        <v>300000</v>
      </c>
      <c r="AB431" s="35">
        <f>IFERROR((Data[[#This Row],[Profit non Diskon]]-(Data[[#This Row],[Profit non Diskon]]*Data[[#This Row],[Diskon]])),Data[[#This Row],[Profit non Diskon]])</f>
        <v>255000</v>
      </c>
      <c r="AC431" s="23" t="s">
        <v>32</v>
      </c>
      <c r="AD431" s="37">
        <f>IFERROR(INDEX('Kode Diskon'!$D$3:$D$9,MATCH(Data[[#This Row],[Kode diskon]],'Kode Diskon'!$C$3:$C$9,0)),"-")</f>
        <v>0.15</v>
      </c>
      <c r="AE431" s="23" t="s">
        <v>9</v>
      </c>
      <c r="AF431" s="23" t="s">
        <v>12</v>
      </c>
      <c r="AG431" s="23" t="s">
        <v>77</v>
      </c>
      <c r="AH431" s="24">
        <v>45036</v>
      </c>
      <c r="AI431" s="23" t="str">
        <f>TEXT(Data[[#This Row],[Tanggal terjual]],"dddd")</f>
        <v>Thursday</v>
      </c>
      <c r="AJ431" s="21" t="str">
        <f>TEXT(Data[[#This Row],[Tanggal terjual]],"wwww")</f>
        <v>wwww</v>
      </c>
    </row>
    <row r="432" spans="1:36" x14ac:dyDescent="0.2">
      <c r="A432" s="20">
        <v>431</v>
      </c>
      <c r="B432" s="21" t="str">
        <f>_xlfn.CONCAT("ORD-",INDEX(Helper!$B$2:$B$5,MATCH(Data[[#This Row],[Marketplace]],Helper!$A$2:$A$5,0)),TEXT(Data[[#This Row],[No]],"0000"),"-",TEXT(Data[[#This Row],[Tanggal terjual]],"dd/mm/yy"))</f>
        <v>ORD-SP0431-20/04/23</v>
      </c>
      <c r="C432" t="s">
        <v>65</v>
      </c>
      <c r="D432" t="str">
        <f>IFERROR(INDEX(Katalog!$A$3:$A$12,MATCH(Data[[#This Row],[ItemID A]],Katalog!$C$3:$C$12,0)),"-")</f>
        <v>Sepatu Pria</v>
      </c>
      <c r="E432" t="str">
        <f>IFERROR(INDEX(Katalog!$B$3:$B$12,MATCH(Data[[#This Row],[ItemID A]],Katalog!$C$3:$C$12,0)),"-")</f>
        <v>Sneakers</v>
      </c>
      <c r="F432">
        <v>3</v>
      </c>
      <c r="G432">
        <v>2</v>
      </c>
      <c r="H432" s="36">
        <f>IFERROR(INDEX(Katalog!$D$3:$D$12,MATCH(Data[[#This Row],[ItemID A]],Katalog!$C$3:$C$12,0))*Data[[#This Row],[Qty A]],"0")</f>
        <v>1500000</v>
      </c>
      <c r="I432" s="36">
        <f>IFERROR(INDEX(Katalog!$F$3:$F$12,MATCH(Data[[#This Row],[ItemID A]],Katalog!$C$3:$C$12,0))*Data[[#This Row],[Qty A]],0)</f>
        <v>600000</v>
      </c>
      <c r="J432" t="s">
        <v>67</v>
      </c>
      <c r="K432" t="str">
        <f>IFERROR(INDEX(Katalog!$A$3:$A$12,MATCH(Data[[#This Row],[ItemID B]],Katalog!$C$3:$C$12,0)),"-")</f>
        <v>Sepatu Wanita</v>
      </c>
      <c r="L432" t="str">
        <f>IFERROR(INDEX(Katalog!$B$3:$B$12,MATCH(Data[[#This Row],[ItemID B]],Katalog!$C$3:$C$12,0)),"-")</f>
        <v>Flat Shoes</v>
      </c>
      <c r="M432">
        <v>1</v>
      </c>
      <c r="N432">
        <v>1</v>
      </c>
      <c r="O432" s="36">
        <f>IFERROR(INDEX(Katalog!$D$3:$D$12,MATCH(Data[[#This Row],[ItemID B]],Katalog!$C$3:$C$12,0))*Data[[#This Row],[Qty B]],"0")</f>
        <v>250000</v>
      </c>
      <c r="P432" s="36">
        <f>IFERROR(INDEX(Katalog!$F$3:$F$12,MATCH(Data[[#This Row],[ItemID B]],Katalog!$C$3:$C$12,0))*Data[[#This Row],[Qty B]],"0")</f>
        <v>100000</v>
      </c>
      <c r="R432" t="str">
        <f>IFERROR(INDEX(Katalog!$A$3:$A$12,MATCH(Data[[#This Row],[ItemID C]],Katalog!$C$3:$C$12,0)),"-")</f>
        <v>-</v>
      </c>
      <c r="S432" t="str">
        <f>IFERROR(INDEX(Katalog!$B$3:$B$12,MATCH(Data[[#This Row],[ItemID C]],Katalog!$C$3:$C$12,0)),"-")</f>
        <v>-</v>
      </c>
      <c r="V432" s="36" t="str">
        <f>IFERROR(INDEX(Katalog!$D$3:$D$12,MATCH(Data[[#This Row],[ItemID C]],Katalog!$C$3:$C$12,0))*Data[[#This Row],[Qty C]],"0")</f>
        <v>0</v>
      </c>
      <c r="W432" s="36" t="str">
        <f>IFERROR(INDEX(Katalog!$F$3:$F$12,MATCH(Data[[#This Row],[ItemID C]],Katalog!$C$3:$C$12,0))*Data[[#This Row],[Qty C]],"0")</f>
        <v>0</v>
      </c>
      <c r="X432" s="21">
        <f>Data[[#This Row],[Qty A]]+Data[[#This Row],[Qty B]]+Data[[#This Row],[Qty C]]</f>
        <v>4</v>
      </c>
      <c r="Y432" s="22">
        <f>Data[[#This Row],[Harga Barang A]]+Data[[#This Row],[Harga Barang B]]+Data[[#This Row],[Harga Barang C]]</f>
        <v>1750000</v>
      </c>
      <c r="Z432" s="35">
        <f>IFERROR(Data[[#This Row],[Total Harga]]-(Data[[#This Row],[Total Harga]]*Data[[#This Row],[Diskon]]),Data[[#This Row],[Total Harga]])</f>
        <v>1400000</v>
      </c>
      <c r="AA432" s="35">
        <f>(Data[[#This Row],[Profit A]]+Data[[#This Row],[Profit B]]+Data[[#This Row],[Profit C]])</f>
        <v>700000</v>
      </c>
      <c r="AB432" s="35">
        <f>IFERROR((Data[[#This Row],[Profit non Diskon]]-(Data[[#This Row],[Profit non Diskon]]*Data[[#This Row],[Diskon]])),Data[[#This Row],[Profit non Diskon]])</f>
        <v>560000</v>
      </c>
      <c r="AC432" s="23" t="s">
        <v>8</v>
      </c>
      <c r="AD432" s="37">
        <f>IFERROR(INDEX('Kode Diskon'!$D$3:$D$9,MATCH(Data[[#This Row],[Kode diskon]],'Kode Diskon'!$C$3:$C$9,0)),"-")</f>
        <v>0.2</v>
      </c>
      <c r="AE432" s="23" t="s">
        <v>9</v>
      </c>
      <c r="AF432" s="23" t="s">
        <v>7</v>
      </c>
      <c r="AG432" s="23" t="s">
        <v>77</v>
      </c>
      <c r="AH432" s="24">
        <v>45036</v>
      </c>
      <c r="AI432" s="23" t="str">
        <f>TEXT(Data[[#This Row],[Tanggal terjual]],"dddd")</f>
        <v>Thursday</v>
      </c>
      <c r="AJ432" s="21" t="str">
        <f>TEXT(Data[[#This Row],[Tanggal terjual]],"wwww")</f>
        <v>wwww</v>
      </c>
    </row>
    <row r="433" spans="1:36" x14ac:dyDescent="0.2">
      <c r="A433" s="20">
        <v>432</v>
      </c>
      <c r="B433" s="21" t="str">
        <f>_xlfn.CONCAT("ORD-",INDEX(Helper!$B$2:$B$5,MATCH(Data[[#This Row],[Marketplace]],Helper!$A$2:$A$5,0)),TEXT(Data[[#This Row],[No]],"0000"),"-",TEXT(Data[[#This Row],[Tanggal terjual]],"dd/mm/yy"))</f>
        <v>ORD-TK0432-04/04/23</v>
      </c>
      <c r="C433" t="s">
        <v>67</v>
      </c>
      <c r="D433" t="str">
        <f>IFERROR(INDEX(Katalog!$A$3:$A$12,MATCH(Data[[#This Row],[ItemID A]],Katalog!$C$3:$C$12,0)),"-")</f>
        <v>Sepatu Wanita</v>
      </c>
      <c r="E433" t="str">
        <f>IFERROR(INDEX(Katalog!$B$3:$B$12,MATCH(Data[[#This Row],[ItemID A]],Katalog!$C$3:$C$12,0)),"-")</f>
        <v>Flat Shoes</v>
      </c>
      <c r="F433">
        <v>5</v>
      </c>
      <c r="G433">
        <v>2</v>
      </c>
      <c r="H433" s="36">
        <f>IFERROR(INDEX(Katalog!$D$3:$D$12,MATCH(Data[[#This Row],[ItemID A]],Katalog!$C$3:$C$12,0))*Data[[#This Row],[Qty A]],"0")</f>
        <v>1250000</v>
      </c>
      <c r="I433" s="36">
        <f>IFERROR(INDEX(Katalog!$F$3:$F$12,MATCH(Data[[#This Row],[ItemID A]],Katalog!$C$3:$C$12,0))*Data[[#This Row],[Qty A]],0)</f>
        <v>500000</v>
      </c>
      <c r="J433" t="s">
        <v>62</v>
      </c>
      <c r="K433" t="str">
        <f>IFERROR(INDEX(Katalog!$A$3:$A$12,MATCH(Data[[#This Row],[ItemID B]],Katalog!$C$3:$C$12,0)),"-")</f>
        <v>Pakaian Pria</v>
      </c>
      <c r="L433" t="str">
        <f>IFERROR(INDEX(Katalog!$B$3:$B$12,MATCH(Data[[#This Row],[ItemID B]],Katalog!$C$3:$C$12,0)),"-")</f>
        <v>Celana Pendek</v>
      </c>
      <c r="M433">
        <v>1</v>
      </c>
      <c r="N433">
        <v>3</v>
      </c>
      <c r="O433" s="36">
        <f>IFERROR(INDEX(Katalog!$D$3:$D$12,MATCH(Data[[#This Row],[ItemID B]],Katalog!$C$3:$C$12,0))*Data[[#This Row],[Qty B]],"0")</f>
        <v>180000</v>
      </c>
      <c r="P433" s="36">
        <f>IFERROR(INDEX(Katalog!$F$3:$F$12,MATCH(Data[[#This Row],[ItemID B]],Katalog!$C$3:$C$12,0))*Data[[#This Row],[Qty B]],"0")</f>
        <v>70000</v>
      </c>
      <c r="R433" t="str">
        <f>IFERROR(INDEX(Katalog!$A$3:$A$12,MATCH(Data[[#This Row],[ItemID C]],Katalog!$C$3:$C$12,0)),"-")</f>
        <v>-</v>
      </c>
      <c r="S433" t="str">
        <f>IFERROR(INDEX(Katalog!$B$3:$B$12,MATCH(Data[[#This Row],[ItemID C]],Katalog!$C$3:$C$12,0)),"-")</f>
        <v>-</v>
      </c>
      <c r="V433" s="36" t="str">
        <f>IFERROR(INDEX(Katalog!$D$3:$D$12,MATCH(Data[[#This Row],[ItemID C]],Katalog!$C$3:$C$12,0))*Data[[#This Row],[Qty C]],"0")</f>
        <v>0</v>
      </c>
      <c r="W433" s="36" t="str">
        <f>IFERROR(INDEX(Katalog!$F$3:$F$12,MATCH(Data[[#This Row],[ItemID C]],Katalog!$C$3:$C$12,0))*Data[[#This Row],[Qty C]],"0")</f>
        <v>0</v>
      </c>
      <c r="X433" s="21">
        <f>Data[[#This Row],[Qty A]]+Data[[#This Row],[Qty B]]+Data[[#This Row],[Qty C]]</f>
        <v>6</v>
      </c>
      <c r="Y433" s="22">
        <f>Data[[#This Row],[Harga Barang A]]+Data[[#This Row],[Harga Barang B]]+Data[[#This Row],[Harga Barang C]]</f>
        <v>1430000</v>
      </c>
      <c r="Z433" s="35">
        <f>IFERROR(Data[[#This Row],[Total Harga]]-(Data[[#This Row],[Total Harga]]*Data[[#This Row],[Diskon]]),Data[[#This Row],[Total Harga]])</f>
        <v>1287000</v>
      </c>
      <c r="AA433" s="35">
        <f>(Data[[#This Row],[Profit A]]+Data[[#This Row],[Profit B]]+Data[[#This Row],[Profit C]])</f>
        <v>570000</v>
      </c>
      <c r="AB433" s="35">
        <f>IFERROR((Data[[#This Row],[Profit non Diskon]]-(Data[[#This Row],[Profit non Diskon]]*Data[[#This Row],[Diskon]])),Data[[#This Row],[Profit non Diskon]])</f>
        <v>513000</v>
      </c>
      <c r="AC433" s="23" t="s">
        <v>30</v>
      </c>
      <c r="AD433" s="37">
        <f>IFERROR(INDEX('Kode Diskon'!$D$3:$D$9,MATCH(Data[[#This Row],[Kode diskon]],'Kode Diskon'!$C$3:$C$9,0)),"-")</f>
        <v>0.1</v>
      </c>
      <c r="AE433" s="23" t="s">
        <v>29</v>
      </c>
      <c r="AF433" s="23" t="s">
        <v>10</v>
      </c>
      <c r="AG433" s="23" t="s">
        <v>80</v>
      </c>
      <c r="AH433" s="24">
        <v>45020</v>
      </c>
      <c r="AI433" s="23" t="str">
        <f>TEXT(Data[[#This Row],[Tanggal terjual]],"dddd")</f>
        <v>Tuesday</v>
      </c>
      <c r="AJ433" s="21" t="str">
        <f>TEXT(Data[[#This Row],[Tanggal terjual]],"wwww")</f>
        <v>wwww</v>
      </c>
    </row>
    <row r="434" spans="1:36" x14ac:dyDescent="0.2">
      <c r="A434" s="20">
        <v>433</v>
      </c>
      <c r="B434" s="21" t="str">
        <f>_xlfn.CONCAT("ORD-",INDEX(Helper!$B$2:$B$5,MATCH(Data[[#This Row],[Marketplace]],Helper!$A$2:$A$5,0)),TEXT(Data[[#This Row],[No]],"0000"),"-",TEXT(Data[[#This Row],[Tanggal terjual]],"dd/mm/yy"))</f>
        <v>ORD-SP0433-15/04/23</v>
      </c>
      <c r="C434" t="s">
        <v>59</v>
      </c>
      <c r="D434" t="str">
        <f>IFERROR(INDEX(Katalog!$A$3:$A$12,MATCH(Data[[#This Row],[ItemID A]],Katalog!$C$3:$C$12,0)),"-")</f>
        <v>Pakaian Wanita</v>
      </c>
      <c r="E434" t="str">
        <f>IFERROR(INDEX(Katalog!$B$3:$B$12,MATCH(Data[[#This Row],[ItemID A]],Katalog!$C$3:$C$12,0)),"-")</f>
        <v>Blouse</v>
      </c>
      <c r="F434">
        <v>1</v>
      </c>
      <c r="G434">
        <v>3</v>
      </c>
      <c r="H434" s="36">
        <f>IFERROR(INDEX(Katalog!$D$3:$D$12,MATCH(Data[[#This Row],[ItemID A]],Katalog!$C$3:$C$12,0))*Data[[#This Row],[Qty A]],"0")</f>
        <v>150000</v>
      </c>
      <c r="I434" s="36">
        <f>IFERROR(INDEX(Katalog!$F$3:$F$12,MATCH(Data[[#This Row],[ItemID A]],Katalog!$C$3:$C$12,0))*Data[[#This Row],[Qty A]],0)</f>
        <v>50000</v>
      </c>
      <c r="J434" t="s">
        <v>61</v>
      </c>
      <c r="K434" t="str">
        <f>IFERROR(INDEX(Katalog!$A$3:$A$12,MATCH(Data[[#This Row],[ItemID B]],Katalog!$C$3:$C$12,0)),"-")</f>
        <v>Pakaian Pria</v>
      </c>
      <c r="L434" t="str">
        <f>IFERROR(INDEX(Katalog!$B$3:$B$12,MATCH(Data[[#This Row],[ItemID B]],Katalog!$C$3:$C$12,0)),"-")</f>
        <v>Kaos Polo</v>
      </c>
      <c r="M434">
        <v>1</v>
      </c>
      <c r="N434">
        <v>3</v>
      </c>
      <c r="O434" s="36">
        <f>IFERROR(INDEX(Katalog!$D$3:$D$12,MATCH(Data[[#This Row],[ItemID B]],Katalog!$C$3:$C$12,0))*Data[[#This Row],[Qty B]],"0")</f>
        <v>200000</v>
      </c>
      <c r="P434" s="36">
        <f>IFERROR(INDEX(Katalog!$F$3:$F$12,MATCH(Data[[#This Row],[ItemID B]],Katalog!$C$3:$C$12,0))*Data[[#This Row],[Qty B]],"0")</f>
        <v>80000</v>
      </c>
      <c r="Q434" t="s">
        <v>62</v>
      </c>
      <c r="R434" t="str">
        <f>IFERROR(INDEX(Katalog!$A$3:$A$12,MATCH(Data[[#This Row],[ItemID C]],Katalog!$C$3:$C$12,0)),"-")</f>
        <v>Pakaian Pria</v>
      </c>
      <c r="S434" t="str">
        <f>IFERROR(INDEX(Katalog!$B$3:$B$12,MATCH(Data[[#This Row],[ItemID C]],Katalog!$C$3:$C$12,0)),"-")</f>
        <v>Celana Pendek</v>
      </c>
      <c r="T434">
        <v>1</v>
      </c>
      <c r="U434">
        <v>2</v>
      </c>
      <c r="V434" s="36">
        <f>IFERROR(INDEX(Katalog!$D$3:$D$12,MATCH(Data[[#This Row],[ItemID C]],Katalog!$C$3:$C$12,0))*Data[[#This Row],[Qty C]],"0")</f>
        <v>180000</v>
      </c>
      <c r="W434" s="36">
        <f>IFERROR(INDEX(Katalog!$F$3:$F$12,MATCH(Data[[#This Row],[ItemID C]],Katalog!$C$3:$C$12,0))*Data[[#This Row],[Qty C]],"0")</f>
        <v>70000</v>
      </c>
      <c r="X434" s="21">
        <f>Data[[#This Row],[Qty A]]+Data[[#This Row],[Qty B]]+Data[[#This Row],[Qty C]]</f>
        <v>3</v>
      </c>
      <c r="Y434" s="22">
        <f>Data[[#This Row],[Harga Barang A]]+Data[[#This Row],[Harga Barang B]]+Data[[#This Row],[Harga Barang C]]</f>
        <v>530000</v>
      </c>
      <c r="Z434" s="35">
        <f>IFERROR(Data[[#This Row],[Total Harga]]-(Data[[#This Row],[Total Harga]]*Data[[#This Row],[Diskon]]),Data[[#This Row],[Total Harga]])</f>
        <v>530000</v>
      </c>
      <c r="AA434" s="35">
        <f>(Data[[#This Row],[Profit A]]+Data[[#This Row],[Profit B]]+Data[[#This Row],[Profit C]])</f>
        <v>200000</v>
      </c>
      <c r="AB434" s="35">
        <f>IFERROR((Data[[#This Row],[Profit non Diskon]]-(Data[[#This Row],[Profit non Diskon]]*Data[[#This Row],[Diskon]])),Data[[#This Row],[Profit non Diskon]])</f>
        <v>200000</v>
      </c>
      <c r="AC434" s="23" t="s">
        <v>11</v>
      </c>
      <c r="AD434" s="37" t="str">
        <f>IFERROR(INDEX('Kode Diskon'!$D$3:$D$9,MATCH(Data[[#This Row],[Kode diskon]],'Kode Diskon'!$C$3:$C$9,0)),"-")</f>
        <v>-</v>
      </c>
      <c r="AE434" s="23" t="s">
        <v>11</v>
      </c>
      <c r="AF434" s="23" t="s">
        <v>7</v>
      </c>
      <c r="AG434" s="23" t="s">
        <v>80</v>
      </c>
      <c r="AH434" s="24">
        <v>45031</v>
      </c>
      <c r="AI434" s="23" t="str">
        <f>TEXT(Data[[#This Row],[Tanggal terjual]],"dddd")</f>
        <v>Saturday</v>
      </c>
      <c r="AJ434" s="21" t="str">
        <f>TEXT(Data[[#This Row],[Tanggal terjual]],"wwww")</f>
        <v>wwww</v>
      </c>
    </row>
    <row r="435" spans="1:36" x14ac:dyDescent="0.2">
      <c r="A435" s="20">
        <v>434</v>
      </c>
      <c r="B435" s="21" t="str">
        <f>_xlfn.CONCAT("ORD-",INDEX(Helper!$B$2:$B$5,MATCH(Data[[#This Row],[Marketplace]],Helper!$A$2:$A$5,0)),TEXT(Data[[#This Row],[No]],"0000"),"-",TEXT(Data[[#This Row],[Tanggal terjual]],"dd/mm/yy"))</f>
        <v>ORD-BB0434-03/04/23</v>
      </c>
      <c r="C435" t="s">
        <v>60</v>
      </c>
      <c r="D435" t="str">
        <f>IFERROR(INDEX(Katalog!$A$3:$A$12,MATCH(Data[[#This Row],[ItemID A]],Katalog!$C$3:$C$12,0)),"-")</f>
        <v>Pakaian Wanita</v>
      </c>
      <c r="E435" t="str">
        <f>IFERROR(INDEX(Katalog!$B$3:$B$12,MATCH(Data[[#This Row],[ItemID A]],Katalog!$C$3:$C$12,0)),"-")</f>
        <v>Kaftan</v>
      </c>
      <c r="F435">
        <v>5</v>
      </c>
      <c r="G435">
        <v>5</v>
      </c>
      <c r="H435" s="36">
        <f>IFERROR(INDEX(Katalog!$D$3:$D$12,MATCH(Data[[#This Row],[ItemID A]],Katalog!$C$3:$C$12,0))*Data[[#This Row],[Qty A]],"0")</f>
        <v>1250000</v>
      </c>
      <c r="I435" s="36">
        <f>IFERROR(INDEX(Katalog!$F$3:$F$12,MATCH(Data[[#This Row],[ItemID A]],Katalog!$C$3:$C$12,0))*Data[[#This Row],[Qty A]],0)</f>
        <v>500000</v>
      </c>
      <c r="J435" t="s">
        <v>61</v>
      </c>
      <c r="K435" t="str">
        <f>IFERROR(INDEX(Katalog!$A$3:$A$12,MATCH(Data[[#This Row],[ItemID B]],Katalog!$C$3:$C$12,0)),"-")</f>
        <v>Pakaian Pria</v>
      </c>
      <c r="L435" t="str">
        <f>IFERROR(INDEX(Katalog!$B$3:$B$12,MATCH(Data[[#This Row],[ItemID B]],Katalog!$C$3:$C$12,0)),"-")</f>
        <v>Kaos Polo</v>
      </c>
      <c r="M435">
        <v>1</v>
      </c>
      <c r="N435">
        <v>1</v>
      </c>
      <c r="O435" s="36">
        <f>IFERROR(INDEX(Katalog!$D$3:$D$12,MATCH(Data[[#This Row],[ItemID B]],Katalog!$C$3:$C$12,0))*Data[[#This Row],[Qty B]],"0")</f>
        <v>200000</v>
      </c>
      <c r="P435" s="36">
        <f>IFERROR(INDEX(Katalog!$F$3:$F$12,MATCH(Data[[#This Row],[ItemID B]],Katalog!$C$3:$C$12,0))*Data[[#This Row],[Qty B]],"0")</f>
        <v>80000</v>
      </c>
      <c r="R435" t="str">
        <f>IFERROR(INDEX(Katalog!$A$3:$A$12,MATCH(Data[[#This Row],[ItemID C]],Katalog!$C$3:$C$12,0)),"-")</f>
        <v>-</v>
      </c>
      <c r="S435" t="str">
        <f>IFERROR(INDEX(Katalog!$B$3:$B$12,MATCH(Data[[#This Row],[ItemID C]],Katalog!$C$3:$C$12,0)),"-")</f>
        <v>-</v>
      </c>
      <c r="V435" s="36" t="str">
        <f>IFERROR(INDEX(Katalog!$D$3:$D$12,MATCH(Data[[#This Row],[ItemID C]],Katalog!$C$3:$C$12,0))*Data[[#This Row],[Qty C]],"0")</f>
        <v>0</v>
      </c>
      <c r="W435" s="36" t="str">
        <f>IFERROR(INDEX(Katalog!$F$3:$F$12,MATCH(Data[[#This Row],[ItemID C]],Katalog!$C$3:$C$12,0))*Data[[#This Row],[Qty C]],"0")</f>
        <v>0</v>
      </c>
      <c r="X435" s="21">
        <f>Data[[#This Row],[Qty A]]+Data[[#This Row],[Qty B]]+Data[[#This Row],[Qty C]]</f>
        <v>6</v>
      </c>
      <c r="Y435" s="22">
        <f>Data[[#This Row],[Harga Barang A]]+Data[[#This Row],[Harga Barang B]]+Data[[#This Row],[Harga Barang C]]</f>
        <v>1450000</v>
      </c>
      <c r="Z435" s="35">
        <f>IFERROR(Data[[#This Row],[Total Harga]]-(Data[[#This Row],[Total Harga]]*Data[[#This Row],[Diskon]]),Data[[#This Row],[Total Harga]])</f>
        <v>1232500</v>
      </c>
      <c r="AA435" s="35">
        <f>(Data[[#This Row],[Profit A]]+Data[[#This Row],[Profit B]]+Data[[#This Row],[Profit C]])</f>
        <v>580000</v>
      </c>
      <c r="AB435" s="35">
        <f>IFERROR((Data[[#This Row],[Profit non Diskon]]-(Data[[#This Row],[Profit non Diskon]]*Data[[#This Row],[Diskon]])),Data[[#This Row],[Profit non Diskon]])</f>
        <v>493000</v>
      </c>
      <c r="AC435" s="23" t="s">
        <v>28</v>
      </c>
      <c r="AD435" s="37">
        <f>IFERROR(INDEX('Kode Diskon'!$D$3:$D$9,MATCH(Data[[#This Row],[Kode diskon]],'Kode Diskon'!$C$3:$C$9,0)),"-")</f>
        <v>0.15</v>
      </c>
      <c r="AE435" s="23" t="s">
        <v>29</v>
      </c>
      <c r="AF435" s="23" t="s">
        <v>14</v>
      </c>
      <c r="AG435" s="23" t="s">
        <v>79</v>
      </c>
      <c r="AH435" s="24">
        <v>45019</v>
      </c>
      <c r="AI435" s="23" t="str">
        <f>TEXT(Data[[#This Row],[Tanggal terjual]],"dddd")</f>
        <v>Monday</v>
      </c>
      <c r="AJ435" s="21" t="str">
        <f>TEXT(Data[[#This Row],[Tanggal terjual]],"wwww")</f>
        <v>wwww</v>
      </c>
    </row>
    <row r="436" spans="1:36" x14ac:dyDescent="0.2">
      <c r="A436" s="20">
        <v>435</v>
      </c>
      <c r="B436" s="21" t="str">
        <f>_xlfn.CONCAT("ORD-",INDEX(Helper!$B$2:$B$5,MATCH(Data[[#This Row],[Marketplace]],Helper!$A$2:$A$5,0)),TEXT(Data[[#This Row],[No]],"0000"),"-",TEXT(Data[[#This Row],[Tanggal terjual]],"dd/mm/yy"))</f>
        <v>ORD-SP0435-04/04/23</v>
      </c>
      <c r="C436" t="s">
        <v>60</v>
      </c>
      <c r="D436" t="str">
        <f>IFERROR(INDEX(Katalog!$A$3:$A$12,MATCH(Data[[#This Row],[ItemID A]],Katalog!$C$3:$C$12,0)),"-")</f>
        <v>Pakaian Wanita</v>
      </c>
      <c r="E436" t="str">
        <f>IFERROR(INDEX(Katalog!$B$3:$B$12,MATCH(Data[[#This Row],[ItemID A]],Katalog!$C$3:$C$12,0)),"-")</f>
        <v>Kaftan</v>
      </c>
      <c r="F436">
        <v>1</v>
      </c>
      <c r="G436">
        <v>3</v>
      </c>
      <c r="H436" s="36">
        <f>IFERROR(INDEX(Katalog!$D$3:$D$12,MATCH(Data[[#This Row],[ItemID A]],Katalog!$C$3:$C$12,0))*Data[[#This Row],[Qty A]],"0")</f>
        <v>250000</v>
      </c>
      <c r="I436" s="36">
        <f>IFERROR(INDEX(Katalog!$F$3:$F$12,MATCH(Data[[#This Row],[ItemID A]],Katalog!$C$3:$C$12,0))*Data[[#This Row],[Qty A]],0)</f>
        <v>100000</v>
      </c>
      <c r="J436" t="s">
        <v>64</v>
      </c>
      <c r="K436" t="str">
        <f>IFERROR(INDEX(Katalog!$A$3:$A$12,MATCH(Data[[#This Row],[ItemID B]],Katalog!$C$3:$C$12,0)),"-")</f>
        <v>Pakaian Unisex</v>
      </c>
      <c r="L436" t="str">
        <f>IFERROR(INDEX(Katalog!$B$3:$B$12,MATCH(Data[[#This Row],[ItemID B]],Katalog!$C$3:$C$12,0)),"-")</f>
        <v>Jaket Hoodie</v>
      </c>
      <c r="M436">
        <v>1</v>
      </c>
      <c r="N436">
        <v>3</v>
      </c>
      <c r="O436" s="36">
        <f>IFERROR(INDEX(Katalog!$D$3:$D$12,MATCH(Data[[#This Row],[ItemID B]],Katalog!$C$3:$C$12,0))*Data[[#This Row],[Qty B]],"0")</f>
        <v>350000</v>
      </c>
      <c r="P436" s="36">
        <f>IFERROR(INDEX(Katalog!$F$3:$F$12,MATCH(Data[[#This Row],[ItemID B]],Katalog!$C$3:$C$12,0))*Data[[#This Row],[Qty B]],"0")</f>
        <v>130000</v>
      </c>
      <c r="Q436" t="s">
        <v>67</v>
      </c>
      <c r="R436" t="str">
        <f>IFERROR(INDEX(Katalog!$A$3:$A$12,MATCH(Data[[#This Row],[ItemID C]],Katalog!$C$3:$C$12,0)),"-")</f>
        <v>Sepatu Wanita</v>
      </c>
      <c r="S436" t="str">
        <f>IFERROR(INDEX(Katalog!$B$3:$B$12,MATCH(Data[[#This Row],[ItemID C]],Katalog!$C$3:$C$12,0)),"-")</f>
        <v>Flat Shoes</v>
      </c>
      <c r="T436">
        <v>4</v>
      </c>
      <c r="U436">
        <v>2</v>
      </c>
      <c r="V436" s="36">
        <f>IFERROR(INDEX(Katalog!$D$3:$D$12,MATCH(Data[[#This Row],[ItemID C]],Katalog!$C$3:$C$12,0))*Data[[#This Row],[Qty C]],"0")</f>
        <v>1000000</v>
      </c>
      <c r="W436" s="36">
        <f>IFERROR(INDEX(Katalog!$F$3:$F$12,MATCH(Data[[#This Row],[ItemID C]],Katalog!$C$3:$C$12,0))*Data[[#This Row],[Qty C]],"0")</f>
        <v>400000</v>
      </c>
      <c r="X436" s="21">
        <f>Data[[#This Row],[Qty A]]+Data[[#This Row],[Qty B]]+Data[[#This Row],[Qty C]]</f>
        <v>6</v>
      </c>
      <c r="Y436" s="22">
        <f>Data[[#This Row],[Harga Barang A]]+Data[[#This Row],[Harga Barang B]]+Data[[#This Row],[Harga Barang C]]</f>
        <v>1600000</v>
      </c>
      <c r="Z436" s="35">
        <f>IFERROR(Data[[#This Row],[Total Harga]]-(Data[[#This Row],[Total Harga]]*Data[[#This Row],[Diskon]]),Data[[#This Row],[Total Harga]])</f>
        <v>1360000</v>
      </c>
      <c r="AA436" s="35">
        <f>(Data[[#This Row],[Profit A]]+Data[[#This Row],[Profit B]]+Data[[#This Row],[Profit C]])</f>
        <v>630000</v>
      </c>
      <c r="AB436" s="35">
        <f>IFERROR((Data[[#This Row],[Profit non Diskon]]-(Data[[#This Row],[Profit non Diskon]]*Data[[#This Row],[Diskon]])),Data[[#This Row],[Profit non Diskon]])</f>
        <v>535500</v>
      </c>
      <c r="AC436" s="23" t="s">
        <v>13</v>
      </c>
      <c r="AD436" s="37">
        <f>IFERROR(INDEX('Kode Diskon'!$D$3:$D$9,MATCH(Data[[#This Row],[Kode diskon]],'Kode Diskon'!$C$3:$C$9,0)),"-")</f>
        <v>0.15</v>
      </c>
      <c r="AE436" s="23" t="s">
        <v>29</v>
      </c>
      <c r="AF436" s="23" t="s">
        <v>7</v>
      </c>
      <c r="AG436" s="23" t="s">
        <v>79</v>
      </c>
      <c r="AH436" s="24">
        <v>45020</v>
      </c>
      <c r="AI436" s="23" t="str">
        <f>TEXT(Data[[#This Row],[Tanggal terjual]],"dddd")</f>
        <v>Tuesday</v>
      </c>
      <c r="AJ436" s="21" t="str">
        <f>TEXT(Data[[#This Row],[Tanggal terjual]],"wwww")</f>
        <v>wwww</v>
      </c>
    </row>
    <row r="437" spans="1:36" x14ac:dyDescent="0.2">
      <c r="A437" s="20">
        <v>436</v>
      </c>
      <c r="B437" s="21" t="str">
        <f>_xlfn.CONCAT("ORD-",INDEX(Helper!$B$2:$B$5,MATCH(Data[[#This Row],[Marketplace]],Helper!$A$2:$A$5,0)),TEXT(Data[[#This Row],[No]],"0000"),"-",TEXT(Data[[#This Row],[Tanggal terjual]],"dd/mm/yy"))</f>
        <v>ORD-SP0436-01/04/23</v>
      </c>
      <c r="C437" t="s">
        <v>58</v>
      </c>
      <c r="D437" t="str">
        <f>IFERROR(INDEX(Katalog!$A$3:$A$12,MATCH(Data[[#This Row],[ItemID A]],Katalog!$C$3:$C$12,0)),"-")</f>
        <v>Pakaian Wanita</v>
      </c>
      <c r="E437" t="str">
        <f>IFERROR(INDEX(Katalog!$B$3:$B$12,MATCH(Data[[#This Row],[ItemID A]],Katalog!$C$3:$C$12,0)),"-")</f>
        <v>Dress</v>
      </c>
      <c r="F437">
        <v>1</v>
      </c>
      <c r="G437">
        <v>5</v>
      </c>
      <c r="H437" s="36">
        <f>IFERROR(INDEX(Katalog!$D$3:$D$12,MATCH(Data[[#This Row],[ItemID A]],Katalog!$C$3:$C$12,0))*Data[[#This Row],[Qty A]],"0")</f>
        <v>300000</v>
      </c>
      <c r="I437" s="36">
        <f>IFERROR(INDEX(Katalog!$F$3:$F$12,MATCH(Data[[#This Row],[ItemID A]],Katalog!$C$3:$C$12,0))*Data[[#This Row],[Qty A]],0)</f>
        <v>100000</v>
      </c>
      <c r="J437" t="s">
        <v>64</v>
      </c>
      <c r="K437" t="str">
        <f>IFERROR(INDEX(Katalog!$A$3:$A$12,MATCH(Data[[#This Row],[ItemID B]],Katalog!$C$3:$C$12,0)),"-")</f>
        <v>Pakaian Unisex</v>
      </c>
      <c r="L437" t="str">
        <f>IFERROR(INDEX(Katalog!$B$3:$B$12,MATCH(Data[[#This Row],[ItemID B]],Katalog!$C$3:$C$12,0)),"-")</f>
        <v>Jaket Hoodie</v>
      </c>
      <c r="M437">
        <v>3</v>
      </c>
      <c r="N437">
        <v>4</v>
      </c>
      <c r="O437" s="36">
        <f>IFERROR(INDEX(Katalog!$D$3:$D$12,MATCH(Data[[#This Row],[ItemID B]],Katalog!$C$3:$C$12,0))*Data[[#This Row],[Qty B]],"0")</f>
        <v>1050000</v>
      </c>
      <c r="P437" s="36">
        <f>IFERROR(INDEX(Katalog!$F$3:$F$12,MATCH(Data[[#This Row],[ItemID B]],Katalog!$C$3:$C$12,0))*Data[[#This Row],[Qty B]],"0")</f>
        <v>390000</v>
      </c>
      <c r="R437" t="str">
        <f>IFERROR(INDEX(Katalog!$A$3:$A$12,MATCH(Data[[#This Row],[ItemID C]],Katalog!$C$3:$C$12,0)),"-")</f>
        <v>-</v>
      </c>
      <c r="S437" t="str">
        <f>IFERROR(INDEX(Katalog!$B$3:$B$12,MATCH(Data[[#This Row],[ItemID C]],Katalog!$C$3:$C$12,0)),"-")</f>
        <v>-</v>
      </c>
      <c r="V437" s="36" t="str">
        <f>IFERROR(INDEX(Katalog!$D$3:$D$12,MATCH(Data[[#This Row],[ItemID C]],Katalog!$C$3:$C$12,0))*Data[[#This Row],[Qty C]],"0")</f>
        <v>0</v>
      </c>
      <c r="W437" s="36" t="str">
        <f>IFERROR(INDEX(Katalog!$F$3:$F$12,MATCH(Data[[#This Row],[ItemID C]],Katalog!$C$3:$C$12,0))*Data[[#This Row],[Qty C]],"0")</f>
        <v>0</v>
      </c>
      <c r="X437" s="21">
        <f>Data[[#This Row],[Qty A]]+Data[[#This Row],[Qty B]]+Data[[#This Row],[Qty C]]</f>
        <v>4</v>
      </c>
      <c r="Y437" s="22">
        <f>Data[[#This Row],[Harga Barang A]]+Data[[#This Row],[Harga Barang B]]+Data[[#This Row],[Harga Barang C]]</f>
        <v>1350000</v>
      </c>
      <c r="Z437" s="35">
        <f>IFERROR(Data[[#This Row],[Total Harga]]-(Data[[#This Row],[Total Harga]]*Data[[#This Row],[Diskon]]),Data[[#This Row],[Total Harga]])</f>
        <v>1215000</v>
      </c>
      <c r="AA437" s="35">
        <f>(Data[[#This Row],[Profit A]]+Data[[#This Row],[Profit B]]+Data[[#This Row],[Profit C]])</f>
        <v>490000</v>
      </c>
      <c r="AB437" s="35">
        <f>IFERROR((Data[[#This Row],[Profit non Diskon]]-(Data[[#This Row],[Profit non Diskon]]*Data[[#This Row],[Diskon]])),Data[[#This Row],[Profit non Diskon]])</f>
        <v>441000</v>
      </c>
      <c r="AC437" s="23" t="s">
        <v>6</v>
      </c>
      <c r="AD437" s="37">
        <f>IFERROR(INDEX('Kode Diskon'!$D$3:$D$9,MATCH(Data[[#This Row],[Kode diskon]],'Kode Diskon'!$C$3:$C$9,0)),"-")</f>
        <v>0.1</v>
      </c>
      <c r="AE437" s="23" t="s">
        <v>29</v>
      </c>
      <c r="AF437" s="23" t="s">
        <v>7</v>
      </c>
      <c r="AG437" s="23" t="s">
        <v>76</v>
      </c>
      <c r="AH437" s="24">
        <v>45017</v>
      </c>
      <c r="AI437" s="23" t="str">
        <f>TEXT(Data[[#This Row],[Tanggal terjual]],"dddd")</f>
        <v>Saturday</v>
      </c>
      <c r="AJ437" s="21" t="str">
        <f>TEXT(Data[[#This Row],[Tanggal terjual]],"wwww")</f>
        <v>wwww</v>
      </c>
    </row>
    <row r="438" spans="1:36" x14ac:dyDescent="0.2">
      <c r="A438" s="20">
        <v>437</v>
      </c>
      <c r="B438" s="21" t="str">
        <f>_xlfn.CONCAT("ORD-",INDEX(Helper!$B$2:$B$5,MATCH(Data[[#This Row],[Marketplace]],Helper!$A$2:$A$5,0)),TEXT(Data[[#This Row],[No]],"0000"),"-",TEXT(Data[[#This Row],[Tanggal terjual]],"dd/mm/yy"))</f>
        <v>ORD-TK0437-13/04/23</v>
      </c>
      <c r="C438" t="s">
        <v>66</v>
      </c>
      <c r="D438" t="str">
        <f>IFERROR(INDEX(Katalog!$A$3:$A$12,MATCH(Data[[#This Row],[ItemID A]],Katalog!$C$3:$C$12,0)),"-")</f>
        <v>Sepatu Pria</v>
      </c>
      <c r="E438" t="str">
        <f>IFERROR(INDEX(Katalog!$B$3:$B$12,MATCH(Data[[#This Row],[ItemID A]],Katalog!$C$3:$C$12,0)),"-")</f>
        <v>Sandal Slip On</v>
      </c>
      <c r="F438">
        <v>4</v>
      </c>
      <c r="G438">
        <v>5</v>
      </c>
      <c r="H438" s="36">
        <f>IFERROR(INDEX(Katalog!$D$3:$D$12,MATCH(Data[[#This Row],[ItemID A]],Katalog!$C$3:$C$12,0))*Data[[#This Row],[Qty A]],"0")</f>
        <v>600000</v>
      </c>
      <c r="I438" s="36">
        <f>IFERROR(INDEX(Katalog!$F$3:$F$12,MATCH(Data[[#This Row],[ItemID A]],Katalog!$C$3:$C$12,0))*Data[[#This Row],[Qty A]],0)</f>
        <v>240000</v>
      </c>
      <c r="K438" t="str">
        <f>IFERROR(INDEX(Katalog!$A$3:$A$12,MATCH(Data[[#This Row],[ItemID B]],Katalog!$C$3:$C$12,0)),"-")</f>
        <v>-</v>
      </c>
      <c r="L438" t="str">
        <f>IFERROR(INDEX(Katalog!$B$3:$B$12,MATCH(Data[[#This Row],[ItemID B]],Katalog!$C$3:$C$12,0)),"-")</f>
        <v>-</v>
      </c>
      <c r="O438" s="36" t="str">
        <f>IFERROR(INDEX(Katalog!$D$3:$D$12,MATCH(Data[[#This Row],[ItemID B]],Katalog!$C$3:$C$12,0))*Data[[#This Row],[Qty B]],"0")</f>
        <v>0</v>
      </c>
      <c r="P438" s="36" t="str">
        <f>IFERROR(INDEX(Katalog!$F$3:$F$12,MATCH(Data[[#This Row],[ItemID B]],Katalog!$C$3:$C$12,0))*Data[[#This Row],[Qty B]],"0")</f>
        <v>0</v>
      </c>
      <c r="R438" t="str">
        <f>IFERROR(INDEX(Katalog!$A$3:$A$12,MATCH(Data[[#This Row],[ItemID C]],Katalog!$C$3:$C$12,0)),"-")</f>
        <v>-</v>
      </c>
      <c r="S438" t="str">
        <f>IFERROR(INDEX(Katalog!$B$3:$B$12,MATCH(Data[[#This Row],[ItemID C]],Katalog!$C$3:$C$12,0)),"-")</f>
        <v>-</v>
      </c>
      <c r="V438" s="36" t="str">
        <f>IFERROR(INDEX(Katalog!$D$3:$D$12,MATCH(Data[[#This Row],[ItemID C]],Katalog!$C$3:$C$12,0))*Data[[#This Row],[Qty C]],"0")</f>
        <v>0</v>
      </c>
      <c r="W438" s="36" t="str">
        <f>IFERROR(INDEX(Katalog!$F$3:$F$12,MATCH(Data[[#This Row],[ItemID C]],Katalog!$C$3:$C$12,0))*Data[[#This Row],[Qty C]],"0")</f>
        <v>0</v>
      </c>
      <c r="X438" s="21">
        <f>Data[[#This Row],[Qty A]]+Data[[#This Row],[Qty B]]+Data[[#This Row],[Qty C]]</f>
        <v>4</v>
      </c>
      <c r="Y438" s="22">
        <f>Data[[#This Row],[Harga Barang A]]+Data[[#This Row],[Harga Barang B]]+Data[[#This Row],[Harga Barang C]]</f>
        <v>600000</v>
      </c>
      <c r="Z438" s="35">
        <f>IFERROR(Data[[#This Row],[Total Harga]]-(Data[[#This Row],[Total Harga]]*Data[[#This Row],[Diskon]]),Data[[#This Row],[Total Harga]])</f>
        <v>600000</v>
      </c>
      <c r="AA438" s="35">
        <f>(Data[[#This Row],[Profit A]]+Data[[#This Row],[Profit B]]+Data[[#This Row],[Profit C]])</f>
        <v>240000</v>
      </c>
      <c r="AB438" s="35">
        <f>IFERROR((Data[[#This Row],[Profit non Diskon]]-(Data[[#This Row],[Profit non Diskon]]*Data[[#This Row],[Diskon]])),Data[[#This Row],[Profit non Diskon]])</f>
        <v>240000</v>
      </c>
      <c r="AC438" s="23" t="s">
        <v>11</v>
      </c>
      <c r="AD438" s="37" t="str">
        <f>IFERROR(INDEX('Kode Diskon'!$D$3:$D$9,MATCH(Data[[#This Row],[Kode diskon]],'Kode Diskon'!$C$3:$C$9,0)),"-")</f>
        <v>-</v>
      </c>
      <c r="AE438" s="23" t="s">
        <v>11</v>
      </c>
      <c r="AF438" s="23" t="s">
        <v>10</v>
      </c>
      <c r="AG438" s="23" t="s">
        <v>80</v>
      </c>
      <c r="AH438" s="24">
        <v>45029</v>
      </c>
      <c r="AI438" s="23" t="str">
        <f>TEXT(Data[[#This Row],[Tanggal terjual]],"dddd")</f>
        <v>Thursday</v>
      </c>
      <c r="AJ438" s="21" t="str">
        <f>TEXT(Data[[#This Row],[Tanggal terjual]],"wwww")</f>
        <v>wwww</v>
      </c>
    </row>
    <row r="439" spans="1:36" x14ac:dyDescent="0.2">
      <c r="A439" s="20">
        <v>438</v>
      </c>
      <c r="B439" s="21" t="str">
        <f>_xlfn.CONCAT("ORD-",INDEX(Helper!$B$2:$B$5,MATCH(Data[[#This Row],[Marketplace]],Helper!$A$2:$A$5,0)),TEXT(Data[[#This Row],[No]],"0000"),"-",TEXT(Data[[#This Row],[Tanggal terjual]],"dd/mm/yy"))</f>
        <v>ORD-SP0438-22/04/23</v>
      </c>
      <c r="C439" t="s">
        <v>64</v>
      </c>
      <c r="D439" t="str">
        <f>IFERROR(INDEX(Katalog!$A$3:$A$12,MATCH(Data[[#This Row],[ItemID A]],Katalog!$C$3:$C$12,0)),"-")</f>
        <v>Pakaian Unisex</v>
      </c>
      <c r="E439" t="str">
        <f>IFERROR(INDEX(Katalog!$B$3:$B$12,MATCH(Data[[#This Row],[ItemID A]],Katalog!$C$3:$C$12,0)),"-")</f>
        <v>Jaket Hoodie</v>
      </c>
      <c r="F439">
        <v>2</v>
      </c>
      <c r="G439">
        <v>1</v>
      </c>
      <c r="H439" s="36">
        <f>IFERROR(INDEX(Katalog!$D$3:$D$12,MATCH(Data[[#This Row],[ItemID A]],Katalog!$C$3:$C$12,0))*Data[[#This Row],[Qty A]],"0")</f>
        <v>700000</v>
      </c>
      <c r="I439" s="36">
        <f>IFERROR(INDEX(Katalog!$F$3:$F$12,MATCH(Data[[#This Row],[ItemID A]],Katalog!$C$3:$C$12,0))*Data[[#This Row],[Qty A]],0)</f>
        <v>260000</v>
      </c>
      <c r="J439" t="s">
        <v>63</v>
      </c>
      <c r="K439" t="str">
        <f>IFERROR(INDEX(Katalog!$A$3:$A$12,MATCH(Data[[#This Row],[ItemID B]],Katalog!$C$3:$C$12,0)),"-")</f>
        <v>Pakaian Pria</v>
      </c>
      <c r="L439" t="str">
        <f>IFERROR(INDEX(Katalog!$B$3:$B$12,MATCH(Data[[#This Row],[ItemID B]],Katalog!$C$3:$C$12,0)),"-")</f>
        <v>Jaket Jeans</v>
      </c>
      <c r="M439">
        <v>1</v>
      </c>
      <c r="N439">
        <v>3</v>
      </c>
      <c r="O439" s="36">
        <f>IFERROR(INDEX(Katalog!$D$3:$D$12,MATCH(Data[[#This Row],[ItemID B]],Katalog!$C$3:$C$12,0))*Data[[#This Row],[Qty B]],"0")</f>
        <v>400000</v>
      </c>
      <c r="P439" s="36">
        <f>IFERROR(INDEX(Katalog!$F$3:$F$12,MATCH(Data[[#This Row],[ItemID B]],Katalog!$C$3:$C$12,0))*Data[[#This Row],[Qty B]],"0")</f>
        <v>150000</v>
      </c>
      <c r="R439" t="str">
        <f>IFERROR(INDEX(Katalog!$A$3:$A$12,MATCH(Data[[#This Row],[ItemID C]],Katalog!$C$3:$C$12,0)),"-")</f>
        <v>-</v>
      </c>
      <c r="S439" t="str">
        <f>IFERROR(INDEX(Katalog!$B$3:$B$12,MATCH(Data[[#This Row],[ItemID C]],Katalog!$C$3:$C$12,0)),"-")</f>
        <v>-</v>
      </c>
      <c r="V439" s="36" t="str">
        <f>IFERROR(INDEX(Katalog!$D$3:$D$12,MATCH(Data[[#This Row],[ItemID C]],Katalog!$C$3:$C$12,0))*Data[[#This Row],[Qty C]],"0")</f>
        <v>0</v>
      </c>
      <c r="W439" s="36" t="str">
        <f>IFERROR(INDEX(Katalog!$F$3:$F$12,MATCH(Data[[#This Row],[ItemID C]],Katalog!$C$3:$C$12,0))*Data[[#This Row],[Qty C]],"0")</f>
        <v>0</v>
      </c>
      <c r="X439" s="21">
        <f>Data[[#This Row],[Qty A]]+Data[[#This Row],[Qty B]]+Data[[#This Row],[Qty C]]</f>
        <v>3</v>
      </c>
      <c r="Y439" s="22">
        <f>Data[[#This Row],[Harga Barang A]]+Data[[#This Row],[Harga Barang B]]+Data[[#This Row],[Harga Barang C]]</f>
        <v>1100000</v>
      </c>
      <c r="Z439" s="35">
        <f>IFERROR(Data[[#This Row],[Total Harga]]-(Data[[#This Row],[Total Harga]]*Data[[#This Row],[Diskon]]),Data[[#This Row],[Total Harga]])</f>
        <v>880000</v>
      </c>
      <c r="AA439" s="35">
        <f>(Data[[#This Row],[Profit A]]+Data[[#This Row],[Profit B]]+Data[[#This Row],[Profit C]])</f>
        <v>410000</v>
      </c>
      <c r="AB439" s="35">
        <f>IFERROR((Data[[#This Row],[Profit non Diskon]]-(Data[[#This Row],[Profit non Diskon]]*Data[[#This Row],[Diskon]])),Data[[#This Row],[Profit non Diskon]])</f>
        <v>328000</v>
      </c>
      <c r="AC439" s="23" t="s">
        <v>8</v>
      </c>
      <c r="AD439" s="37">
        <f>IFERROR(INDEX('Kode Diskon'!$D$3:$D$9,MATCH(Data[[#This Row],[Kode diskon]],'Kode Diskon'!$C$3:$C$9,0)),"-")</f>
        <v>0.2</v>
      </c>
      <c r="AE439" s="23" t="s">
        <v>9</v>
      </c>
      <c r="AF439" s="23" t="s">
        <v>7</v>
      </c>
      <c r="AG439" s="23" t="s">
        <v>80</v>
      </c>
      <c r="AH439" s="24">
        <v>45038</v>
      </c>
      <c r="AI439" s="23" t="str">
        <f>TEXT(Data[[#This Row],[Tanggal terjual]],"dddd")</f>
        <v>Saturday</v>
      </c>
      <c r="AJ439" s="21" t="str">
        <f>TEXT(Data[[#This Row],[Tanggal terjual]],"wwww")</f>
        <v>wwww</v>
      </c>
    </row>
    <row r="440" spans="1:36" x14ac:dyDescent="0.2">
      <c r="A440" s="20">
        <v>439</v>
      </c>
      <c r="B440" s="21" t="str">
        <f>_xlfn.CONCAT("ORD-",INDEX(Helper!$B$2:$B$5,MATCH(Data[[#This Row],[Marketplace]],Helper!$A$2:$A$5,0)),TEXT(Data[[#This Row],[No]],"0000"),"-",TEXT(Data[[#This Row],[Tanggal terjual]],"dd/mm/yy"))</f>
        <v>ORD-SP0439-04/04/23</v>
      </c>
      <c r="C440" t="s">
        <v>62</v>
      </c>
      <c r="D440" t="str">
        <f>IFERROR(INDEX(Katalog!$A$3:$A$12,MATCH(Data[[#This Row],[ItemID A]],Katalog!$C$3:$C$12,0)),"-")</f>
        <v>Pakaian Pria</v>
      </c>
      <c r="E440" t="str">
        <f>IFERROR(INDEX(Katalog!$B$3:$B$12,MATCH(Data[[#This Row],[ItemID A]],Katalog!$C$3:$C$12,0)),"-")</f>
        <v>Celana Pendek</v>
      </c>
      <c r="F440">
        <v>2</v>
      </c>
      <c r="G440">
        <v>4</v>
      </c>
      <c r="H440" s="36">
        <f>IFERROR(INDEX(Katalog!$D$3:$D$12,MATCH(Data[[#This Row],[ItemID A]],Katalog!$C$3:$C$12,0))*Data[[#This Row],[Qty A]],"0")</f>
        <v>360000</v>
      </c>
      <c r="I440" s="36">
        <f>IFERROR(INDEX(Katalog!$F$3:$F$12,MATCH(Data[[#This Row],[ItemID A]],Katalog!$C$3:$C$12,0))*Data[[#This Row],[Qty A]],0)</f>
        <v>140000</v>
      </c>
      <c r="J440" t="s">
        <v>64</v>
      </c>
      <c r="K440" t="str">
        <f>IFERROR(INDEX(Katalog!$A$3:$A$12,MATCH(Data[[#This Row],[ItemID B]],Katalog!$C$3:$C$12,0)),"-")</f>
        <v>Pakaian Unisex</v>
      </c>
      <c r="L440" t="str">
        <f>IFERROR(INDEX(Katalog!$B$3:$B$12,MATCH(Data[[#This Row],[ItemID B]],Katalog!$C$3:$C$12,0)),"-")</f>
        <v>Jaket Hoodie</v>
      </c>
      <c r="M440">
        <v>1</v>
      </c>
      <c r="N440">
        <v>4</v>
      </c>
      <c r="O440" s="36">
        <f>IFERROR(INDEX(Katalog!$D$3:$D$12,MATCH(Data[[#This Row],[ItemID B]],Katalog!$C$3:$C$12,0))*Data[[#This Row],[Qty B]],"0")</f>
        <v>350000</v>
      </c>
      <c r="P440" s="36">
        <f>IFERROR(INDEX(Katalog!$F$3:$F$12,MATCH(Data[[#This Row],[ItemID B]],Katalog!$C$3:$C$12,0))*Data[[#This Row],[Qty B]],"0")</f>
        <v>130000</v>
      </c>
      <c r="R440" t="str">
        <f>IFERROR(INDEX(Katalog!$A$3:$A$12,MATCH(Data[[#This Row],[ItemID C]],Katalog!$C$3:$C$12,0)),"-")</f>
        <v>-</v>
      </c>
      <c r="S440" t="str">
        <f>IFERROR(INDEX(Katalog!$B$3:$B$12,MATCH(Data[[#This Row],[ItemID C]],Katalog!$C$3:$C$12,0)),"-")</f>
        <v>-</v>
      </c>
      <c r="V440" s="36" t="str">
        <f>IFERROR(INDEX(Katalog!$D$3:$D$12,MATCH(Data[[#This Row],[ItemID C]],Katalog!$C$3:$C$12,0))*Data[[#This Row],[Qty C]],"0")</f>
        <v>0</v>
      </c>
      <c r="W440" s="36" t="str">
        <f>IFERROR(INDEX(Katalog!$F$3:$F$12,MATCH(Data[[#This Row],[ItemID C]],Katalog!$C$3:$C$12,0))*Data[[#This Row],[Qty C]],"0")</f>
        <v>0</v>
      </c>
      <c r="X440" s="21">
        <f>Data[[#This Row],[Qty A]]+Data[[#This Row],[Qty B]]+Data[[#This Row],[Qty C]]</f>
        <v>3</v>
      </c>
      <c r="Y440" s="22">
        <f>Data[[#This Row],[Harga Barang A]]+Data[[#This Row],[Harga Barang B]]+Data[[#This Row],[Harga Barang C]]</f>
        <v>710000</v>
      </c>
      <c r="Z440" s="35">
        <f>IFERROR(Data[[#This Row],[Total Harga]]-(Data[[#This Row],[Total Harga]]*Data[[#This Row],[Diskon]]),Data[[#This Row],[Total Harga]])</f>
        <v>639000</v>
      </c>
      <c r="AA440" s="35">
        <f>(Data[[#This Row],[Profit A]]+Data[[#This Row],[Profit B]]+Data[[#This Row],[Profit C]])</f>
        <v>270000</v>
      </c>
      <c r="AB440" s="35">
        <f>IFERROR((Data[[#This Row],[Profit non Diskon]]-(Data[[#This Row],[Profit non Diskon]]*Data[[#This Row],[Diskon]])),Data[[#This Row],[Profit non Diskon]])</f>
        <v>243000</v>
      </c>
      <c r="AC440" s="23" t="s">
        <v>6</v>
      </c>
      <c r="AD440" s="37">
        <f>IFERROR(INDEX('Kode Diskon'!$D$3:$D$9,MATCH(Data[[#This Row],[Kode diskon]],'Kode Diskon'!$C$3:$C$9,0)),"-")</f>
        <v>0.1</v>
      </c>
      <c r="AE440" s="23" t="s">
        <v>29</v>
      </c>
      <c r="AF440" s="23" t="s">
        <v>7</v>
      </c>
      <c r="AG440" s="23" t="s">
        <v>79</v>
      </c>
      <c r="AH440" s="24">
        <v>45020</v>
      </c>
      <c r="AI440" s="23" t="str">
        <f>TEXT(Data[[#This Row],[Tanggal terjual]],"dddd")</f>
        <v>Tuesday</v>
      </c>
      <c r="AJ440" s="21" t="str">
        <f>TEXT(Data[[#This Row],[Tanggal terjual]],"wwww")</f>
        <v>wwww</v>
      </c>
    </row>
    <row r="441" spans="1:36" x14ac:dyDescent="0.2">
      <c r="A441" s="20">
        <v>440</v>
      </c>
      <c r="B441" s="21" t="str">
        <f>_xlfn.CONCAT("ORD-",INDEX(Helper!$B$2:$B$5,MATCH(Data[[#This Row],[Marketplace]],Helper!$A$2:$A$5,0)),TEXT(Data[[#This Row],[No]],"0000"),"-",TEXT(Data[[#This Row],[Tanggal terjual]],"dd/mm/yy"))</f>
        <v>ORD-TK0440-19/04/23</v>
      </c>
      <c r="C441" t="s">
        <v>61</v>
      </c>
      <c r="D441" t="str">
        <f>IFERROR(INDEX(Katalog!$A$3:$A$12,MATCH(Data[[#This Row],[ItemID A]],Katalog!$C$3:$C$12,0)),"-")</f>
        <v>Pakaian Pria</v>
      </c>
      <c r="E441" t="str">
        <f>IFERROR(INDEX(Katalog!$B$3:$B$12,MATCH(Data[[#This Row],[ItemID A]],Katalog!$C$3:$C$12,0)),"-")</f>
        <v>Kaos Polo</v>
      </c>
      <c r="F441">
        <v>1</v>
      </c>
      <c r="G441">
        <v>5</v>
      </c>
      <c r="H441" s="36">
        <f>IFERROR(INDEX(Katalog!$D$3:$D$12,MATCH(Data[[#This Row],[ItemID A]],Katalog!$C$3:$C$12,0))*Data[[#This Row],[Qty A]],"0")</f>
        <v>200000</v>
      </c>
      <c r="I441" s="36">
        <f>IFERROR(INDEX(Katalog!$F$3:$F$12,MATCH(Data[[#This Row],[ItemID A]],Katalog!$C$3:$C$12,0))*Data[[#This Row],[Qty A]],0)</f>
        <v>80000</v>
      </c>
      <c r="J441" t="s">
        <v>66</v>
      </c>
      <c r="K441" t="str">
        <f>IFERROR(INDEX(Katalog!$A$3:$A$12,MATCH(Data[[#This Row],[ItemID B]],Katalog!$C$3:$C$12,0)),"-")</f>
        <v>Sepatu Pria</v>
      </c>
      <c r="L441" t="str">
        <f>IFERROR(INDEX(Katalog!$B$3:$B$12,MATCH(Data[[#This Row],[ItemID B]],Katalog!$C$3:$C$12,0)),"-")</f>
        <v>Sandal Slip On</v>
      </c>
      <c r="M441">
        <v>1</v>
      </c>
      <c r="N441">
        <v>5</v>
      </c>
      <c r="O441" s="36">
        <f>IFERROR(INDEX(Katalog!$D$3:$D$12,MATCH(Data[[#This Row],[ItemID B]],Katalog!$C$3:$C$12,0))*Data[[#This Row],[Qty B]],"0")</f>
        <v>150000</v>
      </c>
      <c r="P441" s="36">
        <f>IFERROR(INDEX(Katalog!$F$3:$F$12,MATCH(Data[[#This Row],[ItemID B]],Katalog!$C$3:$C$12,0))*Data[[#This Row],[Qty B]],"0")</f>
        <v>60000</v>
      </c>
      <c r="R441" t="str">
        <f>IFERROR(INDEX(Katalog!$A$3:$A$12,MATCH(Data[[#This Row],[ItemID C]],Katalog!$C$3:$C$12,0)),"-")</f>
        <v>-</v>
      </c>
      <c r="S441" t="str">
        <f>IFERROR(INDEX(Katalog!$B$3:$B$12,MATCH(Data[[#This Row],[ItemID C]],Katalog!$C$3:$C$12,0)),"-")</f>
        <v>-</v>
      </c>
      <c r="V441" s="36" t="str">
        <f>IFERROR(INDEX(Katalog!$D$3:$D$12,MATCH(Data[[#This Row],[ItemID C]],Katalog!$C$3:$C$12,0))*Data[[#This Row],[Qty C]],"0")</f>
        <v>0</v>
      </c>
      <c r="W441" s="36" t="str">
        <f>IFERROR(INDEX(Katalog!$F$3:$F$12,MATCH(Data[[#This Row],[ItemID C]],Katalog!$C$3:$C$12,0))*Data[[#This Row],[Qty C]],"0")</f>
        <v>0</v>
      </c>
      <c r="X441" s="21">
        <f>Data[[#This Row],[Qty A]]+Data[[#This Row],[Qty B]]+Data[[#This Row],[Qty C]]</f>
        <v>2</v>
      </c>
      <c r="Y441" s="22">
        <f>Data[[#This Row],[Harga Barang A]]+Data[[#This Row],[Harga Barang B]]+Data[[#This Row],[Harga Barang C]]</f>
        <v>350000</v>
      </c>
      <c r="Z441" s="35">
        <f>IFERROR(Data[[#This Row],[Total Harga]]-(Data[[#This Row],[Total Harga]]*Data[[#This Row],[Diskon]]),Data[[#This Row],[Total Harga]])</f>
        <v>315000</v>
      </c>
      <c r="AA441" s="35">
        <f>(Data[[#This Row],[Profit A]]+Data[[#This Row],[Profit B]]+Data[[#This Row],[Profit C]])</f>
        <v>140000</v>
      </c>
      <c r="AB441" s="35">
        <f>IFERROR((Data[[#This Row],[Profit non Diskon]]-(Data[[#This Row],[Profit non Diskon]]*Data[[#This Row],[Diskon]])),Data[[#This Row],[Profit non Diskon]])</f>
        <v>126000</v>
      </c>
      <c r="AC441" s="23" t="s">
        <v>31</v>
      </c>
      <c r="AD441" s="37">
        <f>IFERROR(INDEX('Kode Diskon'!$D$3:$D$9,MATCH(Data[[#This Row],[Kode diskon]],'Kode Diskon'!$C$3:$C$9,0)),"-")</f>
        <v>0.1</v>
      </c>
      <c r="AE441" s="23" t="s">
        <v>9</v>
      </c>
      <c r="AF441" s="23" t="s">
        <v>10</v>
      </c>
      <c r="AG441" s="23" t="s">
        <v>80</v>
      </c>
      <c r="AH441" s="24">
        <v>45035</v>
      </c>
      <c r="AI441" s="23" t="str">
        <f>TEXT(Data[[#This Row],[Tanggal terjual]],"dddd")</f>
        <v>Wednesday</v>
      </c>
      <c r="AJ441" s="21" t="str">
        <f>TEXT(Data[[#This Row],[Tanggal terjual]],"wwww")</f>
        <v>wwww</v>
      </c>
    </row>
    <row r="442" spans="1:36" x14ac:dyDescent="0.2">
      <c r="A442" s="20">
        <v>441</v>
      </c>
      <c r="B442" s="21" t="str">
        <f>_xlfn.CONCAT("ORD-",INDEX(Helper!$B$2:$B$5,MATCH(Data[[#This Row],[Marketplace]],Helper!$A$2:$A$5,0)),TEXT(Data[[#This Row],[No]],"0000"),"-",TEXT(Data[[#This Row],[Tanggal terjual]],"dd/mm/yy"))</f>
        <v>ORD-TK0441-09/04/23</v>
      </c>
      <c r="C442" t="s">
        <v>58</v>
      </c>
      <c r="D442" t="str">
        <f>IFERROR(INDEX(Katalog!$A$3:$A$12,MATCH(Data[[#This Row],[ItemID A]],Katalog!$C$3:$C$12,0)),"-")</f>
        <v>Pakaian Wanita</v>
      </c>
      <c r="E442" t="str">
        <f>IFERROR(INDEX(Katalog!$B$3:$B$12,MATCH(Data[[#This Row],[ItemID A]],Katalog!$C$3:$C$12,0)),"-")</f>
        <v>Dress</v>
      </c>
      <c r="F442">
        <v>1</v>
      </c>
      <c r="G442">
        <v>4</v>
      </c>
      <c r="H442" s="36">
        <f>IFERROR(INDEX(Katalog!$D$3:$D$12,MATCH(Data[[#This Row],[ItemID A]],Katalog!$C$3:$C$12,0))*Data[[#This Row],[Qty A]],"0")</f>
        <v>300000</v>
      </c>
      <c r="I442" s="36">
        <f>IFERROR(INDEX(Katalog!$F$3:$F$12,MATCH(Data[[#This Row],[ItemID A]],Katalog!$C$3:$C$12,0))*Data[[#This Row],[Qty A]],0)</f>
        <v>100000</v>
      </c>
      <c r="J442" t="s">
        <v>63</v>
      </c>
      <c r="K442" t="str">
        <f>IFERROR(INDEX(Katalog!$A$3:$A$12,MATCH(Data[[#This Row],[ItemID B]],Katalog!$C$3:$C$12,0)),"-")</f>
        <v>Pakaian Pria</v>
      </c>
      <c r="L442" t="str">
        <f>IFERROR(INDEX(Katalog!$B$3:$B$12,MATCH(Data[[#This Row],[ItemID B]],Katalog!$C$3:$C$12,0)),"-")</f>
        <v>Jaket Jeans</v>
      </c>
      <c r="M442">
        <v>1</v>
      </c>
      <c r="N442">
        <v>4</v>
      </c>
      <c r="O442" s="36">
        <f>IFERROR(INDEX(Katalog!$D$3:$D$12,MATCH(Data[[#This Row],[ItemID B]],Katalog!$C$3:$C$12,0))*Data[[#This Row],[Qty B]],"0")</f>
        <v>400000</v>
      </c>
      <c r="P442" s="36">
        <f>IFERROR(INDEX(Katalog!$F$3:$F$12,MATCH(Data[[#This Row],[ItemID B]],Katalog!$C$3:$C$12,0))*Data[[#This Row],[Qty B]],"0")</f>
        <v>150000</v>
      </c>
      <c r="R442" t="str">
        <f>IFERROR(INDEX(Katalog!$A$3:$A$12,MATCH(Data[[#This Row],[ItemID C]],Katalog!$C$3:$C$12,0)),"-")</f>
        <v>-</v>
      </c>
      <c r="S442" t="str">
        <f>IFERROR(INDEX(Katalog!$B$3:$B$12,MATCH(Data[[#This Row],[ItemID C]],Katalog!$C$3:$C$12,0)),"-")</f>
        <v>-</v>
      </c>
      <c r="V442" s="36" t="str">
        <f>IFERROR(INDEX(Katalog!$D$3:$D$12,MATCH(Data[[#This Row],[ItemID C]],Katalog!$C$3:$C$12,0))*Data[[#This Row],[Qty C]],"0")</f>
        <v>0</v>
      </c>
      <c r="W442" s="36" t="str">
        <f>IFERROR(INDEX(Katalog!$F$3:$F$12,MATCH(Data[[#This Row],[ItemID C]],Katalog!$C$3:$C$12,0))*Data[[#This Row],[Qty C]],"0")</f>
        <v>0</v>
      </c>
      <c r="X442" s="21">
        <f>Data[[#This Row],[Qty A]]+Data[[#This Row],[Qty B]]+Data[[#This Row],[Qty C]]</f>
        <v>2</v>
      </c>
      <c r="Y442" s="22">
        <f>Data[[#This Row],[Harga Barang A]]+Data[[#This Row],[Harga Barang B]]+Data[[#This Row],[Harga Barang C]]</f>
        <v>700000</v>
      </c>
      <c r="Z442" s="35">
        <f>IFERROR(Data[[#This Row],[Total Harga]]-(Data[[#This Row],[Total Harga]]*Data[[#This Row],[Diskon]]),Data[[#This Row],[Total Harga]])</f>
        <v>700000</v>
      </c>
      <c r="AA442" s="35">
        <f>(Data[[#This Row],[Profit A]]+Data[[#This Row],[Profit B]]+Data[[#This Row],[Profit C]])</f>
        <v>250000</v>
      </c>
      <c r="AB442" s="35">
        <f>IFERROR((Data[[#This Row],[Profit non Diskon]]-(Data[[#This Row],[Profit non Diskon]]*Data[[#This Row],[Diskon]])),Data[[#This Row],[Profit non Diskon]])</f>
        <v>250000</v>
      </c>
      <c r="AC442" s="23" t="s">
        <v>11</v>
      </c>
      <c r="AD442" s="37" t="str">
        <f>IFERROR(INDEX('Kode Diskon'!$D$3:$D$9,MATCH(Data[[#This Row],[Kode diskon]],'Kode Diskon'!$C$3:$C$9,0)),"-")</f>
        <v>-</v>
      </c>
      <c r="AE442" s="23" t="s">
        <v>11</v>
      </c>
      <c r="AF442" s="23" t="s">
        <v>10</v>
      </c>
      <c r="AG442" s="23" t="s">
        <v>80</v>
      </c>
      <c r="AH442" s="24">
        <v>45025</v>
      </c>
      <c r="AI442" s="23" t="str">
        <f>TEXT(Data[[#This Row],[Tanggal terjual]],"dddd")</f>
        <v>Sunday</v>
      </c>
      <c r="AJ442" s="21" t="str">
        <f>TEXT(Data[[#This Row],[Tanggal terjual]],"wwww")</f>
        <v>wwww</v>
      </c>
    </row>
    <row r="443" spans="1:36" x14ac:dyDescent="0.2">
      <c r="A443" s="20">
        <v>442</v>
      </c>
      <c r="B443" s="21" t="str">
        <f>_xlfn.CONCAT("ORD-",INDEX(Helper!$B$2:$B$5,MATCH(Data[[#This Row],[Marketplace]],Helper!$A$2:$A$5,0)),TEXT(Data[[#This Row],[No]],"0000"),"-",TEXT(Data[[#This Row],[Tanggal terjual]],"dd/mm/yy"))</f>
        <v>ORD-SP0442-28/04/23</v>
      </c>
      <c r="C443" t="s">
        <v>62</v>
      </c>
      <c r="D443" t="str">
        <f>IFERROR(INDEX(Katalog!$A$3:$A$12,MATCH(Data[[#This Row],[ItemID A]],Katalog!$C$3:$C$12,0)),"-")</f>
        <v>Pakaian Pria</v>
      </c>
      <c r="E443" t="str">
        <f>IFERROR(INDEX(Katalog!$B$3:$B$12,MATCH(Data[[#This Row],[ItemID A]],Katalog!$C$3:$C$12,0)),"-")</f>
        <v>Celana Pendek</v>
      </c>
      <c r="F443">
        <v>1</v>
      </c>
      <c r="G443">
        <v>3</v>
      </c>
      <c r="H443" s="36">
        <f>IFERROR(INDEX(Katalog!$D$3:$D$12,MATCH(Data[[#This Row],[ItemID A]],Katalog!$C$3:$C$12,0))*Data[[#This Row],[Qty A]],"0")</f>
        <v>180000</v>
      </c>
      <c r="I443" s="36">
        <f>IFERROR(INDEX(Katalog!$F$3:$F$12,MATCH(Data[[#This Row],[ItemID A]],Katalog!$C$3:$C$12,0))*Data[[#This Row],[Qty A]],0)</f>
        <v>70000</v>
      </c>
      <c r="K443" t="str">
        <f>IFERROR(INDEX(Katalog!$A$3:$A$12,MATCH(Data[[#This Row],[ItemID B]],Katalog!$C$3:$C$12,0)),"-")</f>
        <v>-</v>
      </c>
      <c r="L443" t="str">
        <f>IFERROR(INDEX(Katalog!$B$3:$B$12,MATCH(Data[[#This Row],[ItemID B]],Katalog!$C$3:$C$12,0)),"-")</f>
        <v>-</v>
      </c>
      <c r="O443" s="36" t="str">
        <f>IFERROR(INDEX(Katalog!$D$3:$D$12,MATCH(Data[[#This Row],[ItemID B]],Katalog!$C$3:$C$12,0))*Data[[#This Row],[Qty B]],"0")</f>
        <v>0</v>
      </c>
      <c r="P443" s="36" t="str">
        <f>IFERROR(INDEX(Katalog!$F$3:$F$12,MATCH(Data[[#This Row],[ItemID B]],Katalog!$C$3:$C$12,0))*Data[[#This Row],[Qty B]],"0")</f>
        <v>0</v>
      </c>
      <c r="R443" t="str">
        <f>IFERROR(INDEX(Katalog!$A$3:$A$12,MATCH(Data[[#This Row],[ItemID C]],Katalog!$C$3:$C$12,0)),"-")</f>
        <v>-</v>
      </c>
      <c r="S443" t="str">
        <f>IFERROR(INDEX(Katalog!$B$3:$B$12,MATCH(Data[[#This Row],[ItemID C]],Katalog!$C$3:$C$12,0)),"-")</f>
        <v>-</v>
      </c>
      <c r="V443" s="36" t="str">
        <f>IFERROR(INDEX(Katalog!$D$3:$D$12,MATCH(Data[[#This Row],[ItemID C]],Katalog!$C$3:$C$12,0))*Data[[#This Row],[Qty C]],"0")</f>
        <v>0</v>
      </c>
      <c r="W443" s="36" t="str">
        <f>IFERROR(INDEX(Katalog!$F$3:$F$12,MATCH(Data[[#This Row],[ItemID C]],Katalog!$C$3:$C$12,0))*Data[[#This Row],[Qty C]],"0")</f>
        <v>0</v>
      </c>
      <c r="X443" s="21">
        <f>Data[[#This Row],[Qty A]]+Data[[#This Row],[Qty B]]+Data[[#This Row],[Qty C]]</f>
        <v>1</v>
      </c>
      <c r="Y443" s="22">
        <f>Data[[#This Row],[Harga Barang A]]+Data[[#This Row],[Harga Barang B]]+Data[[#This Row],[Harga Barang C]]</f>
        <v>180000</v>
      </c>
      <c r="Z443" s="35">
        <f>IFERROR(Data[[#This Row],[Total Harga]]-(Data[[#This Row],[Total Harga]]*Data[[#This Row],[Diskon]]),Data[[#This Row],[Total Harga]])</f>
        <v>144000</v>
      </c>
      <c r="AA443" s="35">
        <f>(Data[[#This Row],[Profit A]]+Data[[#This Row],[Profit B]]+Data[[#This Row],[Profit C]])</f>
        <v>70000</v>
      </c>
      <c r="AB443" s="35">
        <f>IFERROR((Data[[#This Row],[Profit non Diskon]]-(Data[[#This Row],[Profit non Diskon]]*Data[[#This Row],[Diskon]])),Data[[#This Row],[Profit non Diskon]])</f>
        <v>56000</v>
      </c>
      <c r="AC443" s="23" t="s">
        <v>8</v>
      </c>
      <c r="AD443" s="37">
        <f>IFERROR(INDEX('Kode Diskon'!$D$3:$D$9,MATCH(Data[[#This Row],[Kode diskon]],'Kode Diskon'!$C$3:$C$9,0)),"-")</f>
        <v>0.2</v>
      </c>
      <c r="AE443" s="23" t="s">
        <v>9</v>
      </c>
      <c r="AF443" s="23" t="s">
        <v>7</v>
      </c>
      <c r="AG443" s="23" t="s">
        <v>75</v>
      </c>
      <c r="AH443" s="24">
        <v>45044</v>
      </c>
      <c r="AI443" s="23" t="str">
        <f>TEXT(Data[[#This Row],[Tanggal terjual]],"dddd")</f>
        <v>Friday</v>
      </c>
      <c r="AJ443" s="21" t="str">
        <f>TEXT(Data[[#This Row],[Tanggal terjual]],"wwww")</f>
        <v>wwww</v>
      </c>
    </row>
    <row r="444" spans="1:36" x14ac:dyDescent="0.2">
      <c r="A444" s="20">
        <v>443</v>
      </c>
      <c r="B444" s="21" t="str">
        <f>_xlfn.CONCAT("ORD-",INDEX(Helper!$B$2:$B$5,MATCH(Data[[#This Row],[Marketplace]],Helper!$A$2:$A$5,0)),TEXT(Data[[#This Row],[No]],"0000"),"-",TEXT(Data[[#This Row],[Tanggal terjual]],"dd/mm/yy"))</f>
        <v>ORD-BB0443-02/04/23</v>
      </c>
      <c r="C444" t="s">
        <v>66</v>
      </c>
      <c r="D444" t="str">
        <f>IFERROR(INDEX(Katalog!$A$3:$A$12,MATCH(Data[[#This Row],[ItemID A]],Katalog!$C$3:$C$12,0)),"-")</f>
        <v>Sepatu Pria</v>
      </c>
      <c r="E444" t="str">
        <f>IFERROR(INDEX(Katalog!$B$3:$B$12,MATCH(Data[[#This Row],[ItemID A]],Katalog!$C$3:$C$12,0)),"-")</f>
        <v>Sandal Slip On</v>
      </c>
      <c r="F444">
        <v>5</v>
      </c>
      <c r="G444">
        <v>5</v>
      </c>
      <c r="H444" s="36">
        <f>IFERROR(INDEX(Katalog!$D$3:$D$12,MATCH(Data[[#This Row],[ItemID A]],Katalog!$C$3:$C$12,0))*Data[[#This Row],[Qty A]],"0")</f>
        <v>750000</v>
      </c>
      <c r="I444" s="36">
        <f>IFERROR(INDEX(Katalog!$F$3:$F$12,MATCH(Data[[#This Row],[ItemID A]],Katalog!$C$3:$C$12,0))*Data[[#This Row],[Qty A]],0)</f>
        <v>300000</v>
      </c>
      <c r="K444" t="str">
        <f>IFERROR(INDEX(Katalog!$A$3:$A$12,MATCH(Data[[#This Row],[ItemID B]],Katalog!$C$3:$C$12,0)),"-")</f>
        <v>-</v>
      </c>
      <c r="L444" t="str">
        <f>IFERROR(INDEX(Katalog!$B$3:$B$12,MATCH(Data[[#This Row],[ItemID B]],Katalog!$C$3:$C$12,0)),"-")</f>
        <v>-</v>
      </c>
      <c r="O444" s="36" t="str">
        <f>IFERROR(INDEX(Katalog!$D$3:$D$12,MATCH(Data[[#This Row],[ItemID B]],Katalog!$C$3:$C$12,0))*Data[[#This Row],[Qty B]],"0")</f>
        <v>0</v>
      </c>
      <c r="P444" s="36" t="str">
        <f>IFERROR(INDEX(Katalog!$F$3:$F$12,MATCH(Data[[#This Row],[ItemID B]],Katalog!$C$3:$C$12,0))*Data[[#This Row],[Qty B]],"0")</f>
        <v>0</v>
      </c>
      <c r="R444" t="str">
        <f>IFERROR(INDEX(Katalog!$A$3:$A$12,MATCH(Data[[#This Row],[ItemID C]],Katalog!$C$3:$C$12,0)),"-")</f>
        <v>-</v>
      </c>
      <c r="S444" t="str">
        <f>IFERROR(INDEX(Katalog!$B$3:$B$12,MATCH(Data[[#This Row],[ItemID C]],Katalog!$C$3:$C$12,0)),"-")</f>
        <v>-</v>
      </c>
      <c r="V444" s="36" t="str">
        <f>IFERROR(INDEX(Katalog!$D$3:$D$12,MATCH(Data[[#This Row],[ItemID C]],Katalog!$C$3:$C$12,0))*Data[[#This Row],[Qty C]],"0")</f>
        <v>0</v>
      </c>
      <c r="W444" s="36" t="str">
        <f>IFERROR(INDEX(Katalog!$F$3:$F$12,MATCH(Data[[#This Row],[ItemID C]],Katalog!$C$3:$C$12,0))*Data[[#This Row],[Qty C]],"0")</f>
        <v>0</v>
      </c>
      <c r="X444" s="21">
        <f>Data[[#This Row],[Qty A]]+Data[[#This Row],[Qty B]]+Data[[#This Row],[Qty C]]</f>
        <v>5</v>
      </c>
      <c r="Y444" s="22">
        <f>Data[[#This Row],[Harga Barang A]]+Data[[#This Row],[Harga Barang B]]+Data[[#This Row],[Harga Barang C]]</f>
        <v>750000</v>
      </c>
      <c r="Z444" s="35">
        <f>IFERROR(Data[[#This Row],[Total Harga]]-(Data[[#This Row],[Total Harga]]*Data[[#This Row],[Diskon]]),Data[[#This Row],[Total Harga]])</f>
        <v>637500</v>
      </c>
      <c r="AA444" s="35">
        <f>(Data[[#This Row],[Profit A]]+Data[[#This Row],[Profit B]]+Data[[#This Row],[Profit C]])</f>
        <v>300000</v>
      </c>
      <c r="AB444" s="35">
        <f>IFERROR((Data[[#This Row],[Profit non Diskon]]-(Data[[#This Row],[Profit non Diskon]]*Data[[#This Row],[Diskon]])),Data[[#This Row],[Profit non Diskon]])</f>
        <v>255000</v>
      </c>
      <c r="AC444" s="23" t="s">
        <v>28</v>
      </c>
      <c r="AD444" s="37">
        <f>IFERROR(INDEX('Kode Diskon'!$D$3:$D$9,MATCH(Data[[#This Row],[Kode diskon]],'Kode Diskon'!$C$3:$C$9,0)),"-")</f>
        <v>0.15</v>
      </c>
      <c r="AE444" s="23" t="s">
        <v>29</v>
      </c>
      <c r="AF444" s="23" t="s">
        <v>14</v>
      </c>
      <c r="AG444" s="23" t="s">
        <v>80</v>
      </c>
      <c r="AH444" s="24">
        <v>45018</v>
      </c>
      <c r="AI444" s="23" t="str">
        <f>TEXT(Data[[#This Row],[Tanggal terjual]],"dddd")</f>
        <v>Sunday</v>
      </c>
      <c r="AJ444" s="21" t="str">
        <f>TEXT(Data[[#This Row],[Tanggal terjual]],"wwww")</f>
        <v>wwww</v>
      </c>
    </row>
    <row r="445" spans="1:36" x14ac:dyDescent="0.2">
      <c r="A445" s="20">
        <v>444</v>
      </c>
      <c r="B445" s="21" t="str">
        <f>_xlfn.CONCAT("ORD-",INDEX(Helper!$B$2:$B$5,MATCH(Data[[#This Row],[Marketplace]],Helper!$A$2:$A$5,0)),TEXT(Data[[#This Row],[No]],"0000"),"-",TEXT(Data[[#This Row],[Tanggal terjual]],"dd/mm/yy"))</f>
        <v>ORD-TK0444-09/04/23</v>
      </c>
      <c r="C445" t="s">
        <v>65</v>
      </c>
      <c r="D445" t="str">
        <f>IFERROR(INDEX(Katalog!$A$3:$A$12,MATCH(Data[[#This Row],[ItemID A]],Katalog!$C$3:$C$12,0)),"-")</f>
        <v>Sepatu Pria</v>
      </c>
      <c r="E445" t="str">
        <f>IFERROR(INDEX(Katalog!$B$3:$B$12,MATCH(Data[[#This Row],[ItemID A]],Katalog!$C$3:$C$12,0)),"-")</f>
        <v>Sneakers</v>
      </c>
      <c r="F445">
        <v>1</v>
      </c>
      <c r="G445">
        <v>4</v>
      </c>
      <c r="H445" s="36">
        <f>IFERROR(INDEX(Katalog!$D$3:$D$12,MATCH(Data[[#This Row],[ItemID A]],Katalog!$C$3:$C$12,0))*Data[[#This Row],[Qty A]],"0")</f>
        <v>500000</v>
      </c>
      <c r="I445" s="36">
        <f>IFERROR(INDEX(Katalog!$F$3:$F$12,MATCH(Data[[#This Row],[ItemID A]],Katalog!$C$3:$C$12,0))*Data[[#This Row],[Qty A]],0)</f>
        <v>200000</v>
      </c>
      <c r="J445" t="s">
        <v>58</v>
      </c>
      <c r="K445" t="str">
        <f>IFERROR(INDEX(Katalog!$A$3:$A$12,MATCH(Data[[#This Row],[ItemID B]],Katalog!$C$3:$C$12,0)),"-")</f>
        <v>Pakaian Wanita</v>
      </c>
      <c r="L445" t="str">
        <f>IFERROR(INDEX(Katalog!$B$3:$B$12,MATCH(Data[[#This Row],[ItemID B]],Katalog!$C$3:$C$12,0)),"-")</f>
        <v>Dress</v>
      </c>
      <c r="M445">
        <v>1</v>
      </c>
      <c r="N445">
        <v>1</v>
      </c>
      <c r="O445" s="36">
        <f>IFERROR(INDEX(Katalog!$D$3:$D$12,MATCH(Data[[#This Row],[ItemID B]],Katalog!$C$3:$C$12,0))*Data[[#This Row],[Qty B]],"0")</f>
        <v>300000</v>
      </c>
      <c r="P445" s="36">
        <f>IFERROR(INDEX(Katalog!$F$3:$F$12,MATCH(Data[[#This Row],[ItemID B]],Katalog!$C$3:$C$12,0))*Data[[#This Row],[Qty B]],"0")</f>
        <v>100000</v>
      </c>
      <c r="R445" t="str">
        <f>IFERROR(INDEX(Katalog!$A$3:$A$12,MATCH(Data[[#This Row],[ItemID C]],Katalog!$C$3:$C$12,0)),"-")</f>
        <v>-</v>
      </c>
      <c r="S445" t="str">
        <f>IFERROR(INDEX(Katalog!$B$3:$B$12,MATCH(Data[[#This Row],[ItemID C]],Katalog!$C$3:$C$12,0)),"-")</f>
        <v>-</v>
      </c>
      <c r="V445" s="36" t="str">
        <f>IFERROR(INDEX(Katalog!$D$3:$D$12,MATCH(Data[[#This Row],[ItemID C]],Katalog!$C$3:$C$12,0))*Data[[#This Row],[Qty C]],"0")</f>
        <v>0</v>
      </c>
      <c r="W445" s="36" t="str">
        <f>IFERROR(INDEX(Katalog!$F$3:$F$12,MATCH(Data[[#This Row],[ItemID C]],Katalog!$C$3:$C$12,0))*Data[[#This Row],[Qty C]],"0")</f>
        <v>0</v>
      </c>
      <c r="X445" s="21">
        <f>Data[[#This Row],[Qty A]]+Data[[#This Row],[Qty B]]+Data[[#This Row],[Qty C]]</f>
        <v>2</v>
      </c>
      <c r="Y445" s="22">
        <f>Data[[#This Row],[Harga Barang A]]+Data[[#This Row],[Harga Barang B]]+Data[[#This Row],[Harga Barang C]]</f>
        <v>800000</v>
      </c>
      <c r="Z445" s="35">
        <f>IFERROR(Data[[#This Row],[Total Harga]]-(Data[[#This Row],[Total Harga]]*Data[[#This Row],[Diskon]]),Data[[#This Row],[Total Harga]])</f>
        <v>800000</v>
      </c>
      <c r="AA445" s="35">
        <f>(Data[[#This Row],[Profit A]]+Data[[#This Row],[Profit B]]+Data[[#This Row],[Profit C]])</f>
        <v>300000</v>
      </c>
      <c r="AB445" s="35">
        <f>IFERROR((Data[[#This Row],[Profit non Diskon]]-(Data[[#This Row],[Profit non Diskon]]*Data[[#This Row],[Diskon]])),Data[[#This Row],[Profit non Diskon]])</f>
        <v>300000</v>
      </c>
      <c r="AC445" s="23" t="s">
        <v>11</v>
      </c>
      <c r="AD445" s="37" t="str">
        <f>IFERROR(INDEX('Kode Diskon'!$D$3:$D$9,MATCH(Data[[#This Row],[Kode diskon]],'Kode Diskon'!$C$3:$C$9,0)),"-")</f>
        <v>-</v>
      </c>
      <c r="AE445" s="23" t="s">
        <v>11</v>
      </c>
      <c r="AF445" s="23" t="s">
        <v>10</v>
      </c>
      <c r="AG445" s="23" t="s">
        <v>80</v>
      </c>
      <c r="AH445" s="24">
        <v>45025</v>
      </c>
      <c r="AI445" s="23" t="str">
        <f>TEXT(Data[[#This Row],[Tanggal terjual]],"dddd")</f>
        <v>Sunday</v>
      </c>
      <c r="AJ445" s="21" t="str">
        <f>TEXT(Data[[#This Row],[Tanggal terjual]],"wwww")</f>
        <v>wwww</v>
      </c>
    </row>
    <row r="446" spans="1:36" x14ac:dyDescent="0.2">
      <c r="A446" s="20">
        <v>445</v>
      </c>
      <c r="B446" s="21" t="str">
        <f>_xlfn.CONCAT("ORD-",INDEX(Helper!$B$2:$B$5,MATCH(Data[[#This Row],[Marketplace]],Helper!$A$2:$A$5,0)),TEXT(Data[[#This Row],[No]],"0000"),"-",TEXT(Data[[#This Row],[Tanggal terjual]],"dd/mm/yy"))</f>
        <v>ORD-BB0445-02/04/23</v>
      </c>
      <c r="C446" t="s">
        <v>61</v>
      </c>
      <c r="D446" t="str">
        <f>IFERROR(INDEX(Katalog!$A$3:$A$12,MATCH(Data[[#This Row],[ItemID A]],Katalog!$C$3:$C$12,0)),"-")</f>
        <v>Pakaian Pria</v>
      </c>
      <c r="E446" t="str">
        <f>IFERROR(INDEX(Katalog!$B$3:$B$12,MATCH(Data[[#This Row],[ItemID A]],Katalog!$C$3:$C$12,0)),"-")</f>
        <v>Kaos Polo</v>
      </c>
      <c r="F446">
        <v>1</v>
      </c>
      <c r="G446">
        <v>5</v>
      </c>
      <c r="H446" s="36">
        <f>IFERROR(INDEX(Katalog!$D$3:$D$12,MATCH(Data[[#This Row],[ItemID A]],Katalog!$C$3:$C$12,0))*Data[[#This Row],[Qty A]],"0")</f>
        <v>200000</v>
      </c>
      <c r="I446" s="36">
        <f>IFERROR(INDEX(Katalog!$F$3:$F$12,MATCH(Data[[#This Row],[ItemID A]],Katalog!$C$3:$C$12,0))*Data[[#This Row],[Qty A]],0)</f>
        <v>80000</v>
      </c>
      <c r="K446" t="str">
        <f>IFERROR(INDEX(Katalog!$A$3:$A$12,MATCH(Data[[#This Row],[ItemID B]],Katalog!$C$3:$C$12,0)),"-")</f>
        <v>-</v>
      </c>
      <c r="L446" t="str">
        <f>IFERROR(INDEX(Katalog!$B$3:$B$12,MATCH(Data[[#This Row],[ItemID B]],Katalog!$C$3:$C$12,0)),"-")</f>
        <v>-</v>
      </c>
      <c r="O446" s="36" t="str">
        <f>IFERROR(INDEX(Katalog!$D$3:$D$12,MATCH(Data[[#This Row],[ItemID B]],Katalog!$C$3:$C$12,0))*Data[[#This Row],[Qty B]],"0")</f>
        <v>0</v>
      </c>
      <c r="P446" s="36" t="str">
        <f>IFERROR(INDEX(Katalog!$F$3:$F$12,MATCH(Data[[#This Row],[ItemID B]],Katalog!$C$3:$C$12,0))*Data[[#This Row],[Qty B]],"0")</f>
        <v>0</v>
      </c>
      <c r="R446" t="str">
        <f>IFERROR(INDEX(Katalog!$A$3:$A$12,MATCH(Data[[#This Row],[ItemID C]],Katalog!$C$3:$C$12,0)),"-")</f>
        <v>-</v>
      </c>
      <c r="S446" t="str">
        <f>IFERROR(INDEX(Katalog!$B$3:$B$12,MATCH(Data[[#This Row],[ItemID C]],Katalog!$C$3:$C$12,0)),"-")</f>
        <v>-</v>
      </c>
      <c r="V446" s="36" t="str">
        <f>IFERROR(INDEX(Katalog!$D$3:$D$12,MATCH(Data[[#This Row],[ItemID C]],Katalog!$C$3:$C$12,0))*Data[[#This Row],[Qty C]],"0")</f>
        <v>0</v>
      </c>
      <c r="W446" s="36" t="str">
        <f>IFERROR(INDEX(Katalog!$F$3:$F$12,MATCH(Data[[#This Row],[ItemID C]],Katalog!$C$3:$C$12,0))*Data[[#This Row],[Qty C]],"0")</f>
        <v>0</v>
      </c>
      <c r="X446" s="21">
        <f>Data[[#This Row],[Qty A]]+Data[[#This Row],[Qty B]]+Data[[#This Row],[Qty C]]</f>
        <v>1</v>
      </c>
      <c r="Y446" s="22">
        <f>Data[[#This Row],[Harga Barang A]]+Data[[#This Row],[Harga Barang B]]+Data[[#This Row],[Harga Barang C]]</f>
        <v>200000</v>
      </c>
      <c r="Z446" s="35">
        <f>IFERROR(Data[[#This Row],[Total Harga]]-(Data[[#This Row],[Total Harga]]*Data[[#This Row],[Diskon]]),Data[[#This Row],[Total Harga]])</f>
        <v>170000</v>
      </c>
      <c r="AA446" s="35">
        <f>(Data[[#This Row],[Profit A]]+Data[[#This Row],[Profit B]]+Data[[#This Row],[Profit C]])</f>
        <v>80000</v>
      </c>
      <c r="AB446" s="35">
        <f>IFERROR((Data[[#This Row],[Profit non Diskon]]-(Data[[#This Row],[Profit non Diskon]]*Data[[#This Row],[Diskon]])),Data[[#This Row],[Profit non Diskon]])</f>
        <v>68000</v>
      </c>
      <c r="AC446" s="23" t="s">
        <v>28</v>
      </c>
      <c r="AD446" s="37">
        <f>IFERROR(INDEX('Kode Diskon'!$D$3:$D$9,MATCH(Data[[#This Row],[Kode diskon]],'Kode Diskon'!$C$3:$C$9,0)),"-")</f>
        <v>0.15</v>
      </c>
      <c r="AE446" s="23" t="s">
        <v>29</v>
      </c>
      <c r="AF446" s="23" t="s">
        <v>14</v>
      </c>
      <c r="AG446" s="23" t="s">
        <v>78</v>
      </c>
      <c r="AH446" s="24">
        <v>45018</v>
      </c>
      <c r="AI446" s="23" t="str">
        <f>TEXT(Data[[#This Row],[Tanggal terjual]],"dddd")</f>
        <v>Sunday</v>
      </c>
      <c r="AJ446" s="21" t="str">
        <f>TEXT(Data[[#This Row],[Tanggal terjual]],"wwww")</f>
        <v>wwww</v>
      </c>
    </row>
    <row r="447" spans="1:36" x14ac:dyDescent="0.2">
      <c r="A447" s="20">
        <v>446</v>
      </c>
      <c r="B447" s="21" t="str">
        <f>_xlfn.CONCAT("ORD-",INDEX(Helper!$B$2:$B$5,MATCH(Data[[#This Row],[Marketplace]],Helper!$A$2:$A$5,0)),TEXT(Data[[#This Row],[No]],"0000"),"-",TEXT(Data[[#This Row],[Tanggal terjual]],"dd/mm/yy"))</f>
        <v>ORD-BB0446-03/04/23</v>
      </c>
      <c r="C447" t="s">
        <v>61</v>
      </c>
      <c r="D447" t="str">
        <f>IFERROR(INDEX(Katalog!$A$3:$A$12,MATCH(Data[[#This Row],[ItemID A]],Katalog!$C$3:$C$12,0)),"-")</f>
        <v>Pakaian Pria</v>
      </c>
      <c r="E447" t="str">
        <f>IFERROR(INDEX(Katalog!$B$3:$B$12,MATCH(Data[[#This Row],[ItemID A]],Katalog!$C$3:$C$12,0)),"-")</f>
        <v>Kaos Polo</v>
      </c>
      <c r="F447">
        <v>1</v>
      </c>
      <c r="G447">
        <v>5</v>
      </c>
      <c r="H447" s="36">
        <f>IFERROR(INDEX(Katalog!$D$3:$D$12,MATCH(Data[[#This Row],[ItemID A]],Katalog!$C$3:$C$12,0))*Data[[#This Row],[Qty A]],"0")</f>
        <v>200000</v>
      </c>
      <c r="I447" s="36">
        <f>IFERROR(INDEX(Katalog!$F$3:$F$12,MATCH(Data[[#This Row],[ItemID A]],Katalog!$C$3:$C$12,0))*Data[[#This Row],[Qty A]],0)</f>
        <v>80000</v>
      </c>
      <c r="J447" t="s">
        <v>62</v>
      </c>
      <c r="K447" t="str">
        <f>IFERROR(INDEX(Katalog!$A$3:$A$12,MATCH(Data[[#This Row],[ItemID B]],Katalog!$C$3:$C$12,0)),"-")</f>
        <v>Pakaian Pria</v>
      </c>
      <c r="L447" t="str">
        <f>IFERROR(INDEX(Katalog!$B$3:$B$12,MATCH(Data[[#This Row],[ItemID B]],Katalog!$C$3:$C$12,0)),"-")</f>
        <v>Celana Pendek</v>
      </c>
      <c r="M447">
        <v>2</v>
      </c>
      <c r="N447">
        <v>1</v>
      </c>
      <c r="O447" s="36">
        <f>IFERROR(INDEX(Katalog!$D$3:$D$12,MATCH(Data[[#This Row],[ItemID B]],Katalog!$C$3:$C$12,0))*Data[[#This Row],[Qty B]],"0")</f>
        <v>360000</v>
      </c>
      <c r="P447" s="36">
        <f>IFERROR(INDEX(Katalog!$F$3:$F$12,MATCH(Data[[#This Row],[ItemID B]],Katalog!$C$3:$C$12,0))*Data[[#This Row],[Qty B]],"0")</f>
        <v>140000</v>
      </c>
      <c r="Q447" t="s">
        <v>66</v>
      </c>
      <c r="R447" t="str">
        <f>IFERROR(INDEX(Katalog!$A$3:$A$12,MATCH(Data[[#This Row],[ItemID C]],Katalog!$C$3:$C$12,0)),"-")</f>
        <v>Sepatu Pria</v>
      </c>
      <c r="S447" t="str">
        <f>IFERROR(INDEX(Katalog!$B$3:$B$12,MATCH(Data[[#This Row],[ItemID C]],Katalog!$C$3:$C$12,0)),"-")</f>
        <v>Sandal Slip On</v>
      </c>
      <c r="T447">
        <v>1</v>
      </c>
      <c r="U447">
        <v>3</v>
      </c>
      <c r="V447" s="36">
        <f>IFERROR(INDEX(Katalog!$D$3:$D$12,MATCH(Data[[#This Row],[ItemID C]],Katalog!$C$3:$C$12,0))*Data[[#This Row],[Qty C]],"0")</f>
        <v>150000</v>
      </c>
      <c r="W447" s="36">
        <f>IFERROR(INDEX(Katalog!$F$3:$F$12,MATCH(Data[[#This Row],[ItemID C]],Katalog!$C$3:$C$12,0))*Data[[#This Row],[Qty C]],"0")</f>
        <v>60000</v>
      </c>
      <c r="X447" s="21">
        <f>Data[[#This Row],[Qty A]]+Data[[#This Row],[Qty B]]+Data[[#This Row],[Qty C]]</f>
        <v>4</v>
      </c>
      <c r="Y447" s="22">
        <f>Data[[#This Row],[Harga Barang A]]+Data[[#This Row],[Harga Barang B]]+Data[[#This Row],[Harga Barang C]]</f>
        <v>710000</v>
      </c>
      <c r="Z447" s="35">
        <f>IFERROR(Data[[#This Row],[Total Harga]]-(Data[[#This Row],[Total Harga]]*Data[[#This Row],[Diskon]]),Data[[#This Row],[Total Harga]])</f>
        <v>603500</v>
      </c>
      <c r="AA447" s="35">
        <f>(Data[[#This Row],[Profit A]]+Data[[#This Row],[Profit B]]+Data[[#This Row],[Profit C]])</f>
        <v>280000</v>
      </c>
      <c r="AB447" s="35">
        <f>IFERROR((Data[[#This Row],[Profit non Diskon]]-(Data[[#This Row],[Profit non Diskon]]*Data[[#This Row],[Diskon]])),Data[[#This Row],[Profit non Diskon]])</f>
        <v>238000</v>
      </c>
      <c r="AC447" s="23" t="s">
        <v>28</v>
      </c>
      <c r="AD447" s="37">
        <f>IFERROR(INDEX('Kode Diskon'!$D$3:$D$9,MATCH(Data[[#This Row],[Kode diskon]],'Kode Diskon'!$C$3:$C$9,0)),"-")</f>
        <v>0.15</v>
      </c>
      <c r="AE447" s="23" t="s">
        <v>29</v>
      </c>
      <c r="AF447" s="23" t="s">
        <v>14</v>
      </c>
      <c r="AG447" s="23" t="s">
        <v>80</v>
      </c>
      <c r="AH447" s="24">
        <v>45019</v>
      </c>
      <c r="AI447" s="23" t="str">
        <f>TEXT(Data[[#This Row],[Tanggal terjual]],"dddd")</f>
        <v>Monday</v>
      </c>
      <c r="AJ447" s="21" t="str">
        <f>TEXT(Data[[#This Row],[Tanggal terjual]],"wwww")</f>
        <v>wwww</v>
      </c>
    </row>
    <row r="448" spans="1:36" x14ac:dyDescent="0.2">
      <c r="A448" s="20">
        <v>447</v>
      </c>
      <c r="B448" s="21" t="str">
        <f>_xlfn.CONCAT("ORD-",INDEX(Helper!$B$2:$B$5,MATCH(Data[[#This Row],[Marketplace]],Helper!$A$2:$A$5,0)),TEXT(Data[[#This Row],[No]],"0000"),"-",TEXT(Data[[#This Row],[Tanggal terjual]],"dd/mm/yy"))</f>
        <v>ORD-TK0447-28/04/23</v>
      </c>
      <c r="C448" t="s">
        <v>58</v>
      </c>
      <c r="D448" t="str">
        <f>IFERROR(INDEX(Katalog!$A$3:$A$12,MATCH(Data[[#This Row],[ItemID A]],Katalog!$C$3:$C$12,0)),"-")</f>
        <v>Pakaian Wanita</v>
      </c>
      <c r="E448" t="str">
        <f>IFERROR(INDEX(Katalog!$B$3:$B$12,MATCH(Data[[#This Row],[ItemID A]],Katalog!$C$3:$C$12,0)),"-")</f>
        <v>Dress</v>
      </c>
      <c r="F448">
        <v>7</v>
      </c>
      <c r="G448">
        <v>2</v>
      </c>
      <c r="H448" s="36">
        <f>IFERROR(INDEX(Katalog!$D$3:$D$12,MATCH(Data[[#This Row],[ItemID A]],Katalog!$C$3:$C$12,0))*Data[[#This Row],[Qty A]],"0")</f>
        <v>2100000</v>
      </c>
      <c r="I448" s="36">
        <f>IFERROR(INDEX(Katalog!$F$3:$F$12,MATCH(Data[[#This Row],[ItemID A]],Katalog!$C$3:$C$12,0))*Data[[#This Row],[Qty A]],0)</f>
        <v>700000</v>
      </c>
      <c r="K448" t="str">
        <f>IFERROR(INDEX(Katalog!$A$3:$A$12,MATCH(Data[[#This Row],[ItemID B]],Katalog!$C$3:$C$12,0)),"-")</f>
        <v>-</v>
      </c>
      <c r="L448" t="str">
        <f>IFERROR(INDEX(Katalog!$B$3:$B$12,MATCH(Data[[#This Row],[ItemID B]],Katalog!$C$3:$C$12,0)),"-")</f>
        <v>-</v>
      </c>
      <c r="O448" s="36" t="str">
        <f>IFERROR(INDEX(Katalog!$D$3:$D$12,MATCH(Data[[#This Row],[ItemID B]],Katalog!$C$3:$C$12,0))*Data[[#This Row],[Qty B]],"0")</f>
        <v>0</v>
      </c>
      <c r="P448" s="36" t="str">
        <f>IFERROR(INDEX(Katalog!$F$3:$F$12,MATCH(Data[[#This Row],[ItemID B]],Katalog!$C$3:$C$12,0))*Data[[#This Row],[Qty B]],"0")</f>
        <v>0</v>
      </c>
      <c r="R448" t="str">
        <f>IFERROR(INDEX(Katalog!$A$3:$A$12,MATCH(Data[[#This Row],[ItemID C]],Katalog!$C$3:$C$12,0)),"-")</f>
        <v>-</v>
      </c>
      <c r="S448" t="str">
        <f>IFERROR(INDEX(Katalog!$B$3:$B$12,MATCH(Data[[#This Row],[ItemID C]],Katalog!$C$3:$C$12,0)),"-")</f>
        <v>-</v>
      </c>
      <c r="V448" s="36" t="str">
        <f>IFERROR(INDEX(Katalog!$D$3:$D$12,MATCH(Data[[#This Row],[ItemID C]],Katalog!$C$3:$C$12,0))*Data[[#This Row],[Qty C]],"0")</f>
        <v>0</v>
      </c>
      <c r="W448" s="36" t="str">
        <f>IFERROR(INDEX(Katalog!$F$3:$F$12,MATCH(Data[[#This Row],[ItemID C]],Katalog!$C$3:$C$12,0))*Data[[#This Row],[Qty C]],"0")</f>
        <v>0</v>
      </c>
      <c r="X448" s="21">
        <f>Data[[#This Row],[Qty A]]+Data[[#This Row],[Qty B]]+Data[[#This Row],[Qty C]]</f>
        <v>7</v>
      </c>
      <c r="Y448" s="22">
        <f>Data[[#This Row],[Harga Barang A]]+Data[[#This Row],[Harga Barang B]]+Data[[#This Row],[Harga Barang C]]</f>
        <v>2100000</v>
      </c>
      <c r="Z448" s="35">
        <f>IFERROR(Data[[#This Row],[Total Harga]]-(Data[[#This Row],[Total Harga]]*Data[[#This Row],[Diskon]]),Data[[#This Row],[Total Harga]])</f>
        <v>1890000</v>
      </c>
      <c r="AA448" s="35">
        <f>(Data[[#This Row],[Profit A]]+Data[[#This Row],[Profit B]]+Data[[#This Row],[Profit C]])</f>
        <v>700000</v>
      </c>
      <c r="AB448" s="35">
        <f>IFERROR((Data[[#This Row],[Profit non Diskon]]-(Data[[#This Row],[Profit non Diskon]]*Data[[#This Row],[Diskon]])),Data[[#This Row],[Profit non Diskon]])</f>
        <v>630000</v>
      </c>
      <c r="AC448" s="23" t="s">
        <v>31</v>
      </c>
      <c r="AD448" s="37">
        <f>IFERROR(INDEX('Kode Diskon'!$D$3:$D$9,MATCH(Data[[#This Row],[Kode diskon]],'Kode Diskon'!$C$3:$C$9,0)),"-")</f>
        <v>0.1</v>
      </c>
      <c r="AE448" s="23" t="s">
        <v>9</v>
      </c>
      <c r="AF448" s="23" t="s">
        <v>10</v>
      </c>
      <c r="AG448" s="23" t="s">
        <v>80</v>
      </c>
      <c r="AH448" s="24">
        <v>45044</v>
      </c>
      <c r="AI448" s="23" t="str">
        <f>TEXT(Data[[#This Row],[Tanggal terjual]],"dddd")</f>
        <v>Friday</v>
      </c>
      <c r="AJ448" s="21" t="str">
        <f>TEXT(Data[[#This Row],[Tanggal terjual]],"wwww")</f>
        <v>wwww</v>
      </c>
    </row>
    <row r="449" spans="1:36" x14ac:dyDescent="0.2">
      <c r="A449" s="20">
        <v>448</v>
      </c>
      <c r="B449" s="21" t="str">
        <f>_xlfn.CONCAT("ORD-",INDEX(Helper!$B$2:$B$5,MATCH(Data[[#This Row],[Marketplace]],Helper!$A$2:$A$5,0)),TEXT(Data[[#This Row],[No]],"0000"),"-",TEXT(Data[[#This Row],[Tanggal terjual]],"dd/mm/yy"))</f>
        <v>ORD-BB0448-01/04/23</v>
      </c>
      <c r="C449" t="s">
        <v>64</v>
      </c>
      <c r="D449" t="str">
        <f>IFERROR(INDEX(Katalog!$A$3:$A$12,MATCH(Data[[#This Row],[ItemID A]],Katalog!$C$3:$C$12,0)),"-")</f>
        <v>Pakaian Unisex</v>
      </c>
      <c r="E449" t="str">
        <f>IFERROR(INDEX(Katalog!$B$3:$B$12,MATCH(Data[[#This Row],[ItemID A]],Katalog!$C$3:$C$12,0)),"-")</f>
        <v>Jaket Hoodie</v>
      </c>
      <c r="F449">
        <v>2</v>
      </c>
      <c r="G449">
        <v>2</v>
      </c>
      <c r="H449" s="36">
        <f>IFERROR(INDEX(Katalog!$D$3:$D$12,MATCH(Data[[#This Row],[ItemID A]],Katalog!$C$3:$C$12,0))*Data[[#This Row],[Qty A]],"0")</f>
        <v>700000</v>
      </c>
      <c r="I449" s="36">
        <f>IFERROR(INDEX(Katalog!$F$3:$F$12,MATCH(Data[[#This Row],[ItemID A]],Katalog!$C$3:$C$12,0))*Data[[#This Row],[Qty A]],0)</f>
        <v>260000</v>
      </c>
      <c r="K449" t="str">
        <f>IFERROR(INDEX(Katalog!$A$3:$A$12,MATCH(Data[[#This Row],[ItemID B]],Katalog!$C$3:$C$12,0)),"-")</f>
        <v>-</v>
      </c>
      <c r="L449" t="str">
        <f>IFERROR(INDEX(Katalog!$B$3:$B$12,MATCH(Data[[#This Row],[ItemID B]],Katalog!$C$3:$C$12,0)),"-")</f>
        <v>-</v>
      </c>
      <c r="O449" s="36" t="str">
        <f>IFERROR(INDEX(Katalog!$D$3:$D$12,MATCH(Data[[#This Row],[ItemID B]],Katalog!$C$3:$C$12,0))*Data[[#This Row],[Qty B]],"0")</f>
        <v>0</v>
      </c>
      <c r="P449" s="36" t="str">
        <f>IFERROR(INDEX(Katalog!$F$3:$F$12,MATCH(Data[[#This Row],[ItemID B]],Katalog!$C$3:$C$12,0))*Data[[#This Row],[Qty B]],"0")</f>
        <v>0</v>
      </c>
      <c r="R449" t="str">
        <f>IFERROR(INDEX(Katalog!$A$3:$A$12,MATCH(Data[[#This Row],[ItemID C]],Katalog!$C$3:$C$12,0)),"-")</f>
        <v>-</v>
      </c>
      <c r="S449" t="str">
        <f>IFERROR(INDEX(Katalog!$B$3:$B$12,MATCH(Data[[#This Row],[ItemID C]],Katalog!$C$3:$C$12,0)),"-")</f>
        <v>-</v>
      </c>
      <c r="V449" s="36" t="str">
        <f>IFERROR(INDEX(Katalog!$D$3:$D$12,MATCH(Data[[#This Row],[ItemID C]],Katalog!$C$3:$C$12,0))*Data[[#This Row],[Qty C]],"0")</f>
        <v>0</v>
      </c>
      <c r="W449" s="36" t="str">
        <f>IFERROR(INDEX(Katalog!$F$3:$F$12,MATCH(Data[[#This Row],[ItemID C]],Katalog!$C$3:$C$12,0))*Data[[#This Row],[Qty C]],"0")</f>
        <v>0</v>
      </c>
      <c r="X449" s="21">
        <f>Data[[#This Row],[Qty A]]+Data[[#This Row],[Qty B]]+Data[[#This Row],[Qty C]]</f>
        <v>2</v>
      </c>
      <c r="Y449" s="22">
        <f>Data[[#This Row],[Harga Barang A]]+Data[[#This Row],[Harga Barang B]]+Data[[#This Row],[Harga Barang C]]</f>
        <v>700000</v>
      </c>
      <c r="Z449" s="35">
        <f>IFERROR(Data[[#This Row],[Total Harga]]-(Data[[#This Row],[Total Harga]]*Data[[#This Row],[Diskon]]),Data[[#This Row],[Total Harga]])</f>
        <v>595000</v>
      </c>
      <c r="AA449" s="35">
        <f>(Data[[#This Row],[Profit A]]+Data[[#This Row],[Profit B]]+Data[[#This Row],[Profit C]])</f>
        <v>260000</v>
      </c>
      <c r="AB449" s="35">
        <f>IFERROR((Data[[#This Row],[Profit non Diskon]]-(Data[[#This Row],[Profit non Diskon]]*Data[[#This Row],[Diskon]])),Data[[#This Row],[Profit non Diskon]])</f>
        <v>221000</v>
      </c>
      <c r="AC449" s="23" t="s">
        <v>28</v>
      </c>
      <c r="AD449" s="37">
        <f>IFERROR(INDEX('Kode Diskon'!$D$3:$D$9,MATCH(Data[[#This Row],[Kode diskon]],'Kode Diskon'!$C$3:$C$9,0)),"-")</f>
        <v>0.15</v>
      </c>
      <c r="AE449" s="23" t="s">
        <v>29</v>
      </c>
      <c r="AF449" s="23" t="s">
        <v>14</v>
      </c>
      <c r="AG449" s="23" t="s">
        <v>79</v>
      </c>
      <c r="AH449" s="24">
        <v>45017</v>
      </c>
      <c r="AI449" s="23" t="str">
        <f>TEXT(Data[[#This Row],[Tanggal terjual]],"dddd")</f>
        <v>Saturday</v>
      </c>
      <c r="AJ449" s="21" t="str">
        <f>TEXT(Data[[#This Row],[Tanggal terjual]],"wwww")</f>
        <v>wwww</v>
      </c>
    </row>
    <row r="450" spans="1:36" x14ac:dyDescent="0.2">
      <c r="A450" s="20">
        <v>449</v>
      </c>
      <c r="B450" s="21" t="str">
        <f>_xlfn.CONCAT("ORD-",INDEX(Helper!$B$2:$B$5,MATCH(Data[[#This Row],[Marketplace]],Helper!$A$2:$A$5,0)),TEXT(Data[[#This Row],[No]],"0000"),"-",TEXT(Data[[#This Row],[Tanggal terjual]],"dd/mm/yy"))</f>
        <v>ORD-SP0449-22/04/23</v>
      </c>
      <c r="C450" t="s">
        <v>60</v>
      </c>
      <c r="D450" t="str">
        <f>IFERROR(INDEX(Katalog!$A$3:$A$12,MATCH(Data[[#This Row],[ItemID A]],Katalog!$C$3:$C$12,0)),"-")</f>
        <v>Pakaian Wanita</v>
      </c>
      <c r="E450" t="str">
        <f>IFERROR(INDEX(Katalog!$B$3:$B$12,MATCH(Data[[#This Row],[ItemID A]],Katalog!$C$3:$C$12,0)),"-")</f>
        <v>Kaftan</v>
      </c>
      <c r="F450">
        <v>5</v>
      </c>
      <c r="G450">
        <v>3</v>
      </c>
      <c r="H450" s="36">
        <f>IFERROR(INDEX(Katalog!$D$3:$D$12,MATCH(Data[[#This Row],[ItemID A]],Katalog!$C$3:$C$12,0))*Data[[#This Row],[Qty A]],"0")</f>
        <v>1250000</v>
      </c>
      <c r="I450" s="36">
        <f>IFERROR(INDEX(Katalog!$F$3:$F$12,MATCH(Data[[#This Row],[ItemID A]],Katalog!$C$3:$C$12,0))*Data[[#This Row],[Qty A]],0)</f>
        <v>500000</v>
      </c>
      <c r="J450" t="s">
        <v>60</v>
      </c>
      <c r="K450" t="str">
        <f>IFERROR(INDEX(Katalog!$A$3:$A$12,MATCH(Data[[#This Row],[ItemID B]],Katalog!$C$3:$C$12,0)),"-")</f>
        <v>Pakaian Wanita</v>
      </c>
      <c r="L450" t="str">
        <f>IFERROR(INDEX(Katalog!$B$3:$B$12,MATCH(Data[[#This Row],[ItemID B]],Katalog!$C$3:$C$12,0)),"-")</f>
        <v>Kaftan</v>
      </c>
      <c r="M450">
        <v>1</v>
      </c>
      <c r="N450">
        <v>3</v>
      </c>
      <c r="O450" s="36">
        <f>IFERROR(INDEX(Katalog!$D$3:$D$12,MATCH(Data[[#This Row],[ItemID B]],Katalog!$C$3:$C$12,0))*Data[[#This Row],[Qty B]],"0")</f>
        <v>250000</v>
      </c>
      <c r="P450" s="36">
        <f>IFERROR(INDEX(Katalog!$F$3:$F$12,MATCH(Data[[#This Row],[ItemID B]],Katalog!$C$3:$C$12,0))*Data[[#This Row],[Qty B]],"0")</f>
        <v>100000</v>
      </c>
      <c r="Q450" t="s">
        <v>65</v>
      </c>
      <c r="R450" t="str">
        <f>IFERROR(INDEX(Katalog!$A$3:$A$12,MATCH(Data[[#This Row],[ItemID C]],Katalog!$C$3:$C$12,0)),"-")</f>
        <v>Sepatu Pria</v>
      </c>
      <c r="S450" t="str">
        <f>IFERROR(INDEX(Katalog!$B$3:$B$12,MATCH(Data[[#This Row],[ItemID C]],Katalog!$C$3:$C$12,0)),"-")</f>
        <v>Sneakers</v>
      </c>
      <c r="T450">
        <v>1</v>
      </c>
      <c r="U450">
        <v>4</v>
      </c>
      <c r="V450" s="36">
        <f>IFERROR(INDEX(Katalog!$D$3:$D$12,MATCH(Data[[#This Row],[ItemID C]],Katalog!$C$3:$C$12,0))*Data[[#This Row],[Qty C]],"0")</f>
        <v>500000</v>
      </c>
      <c r="W450" s="36">
        <f>IFERROR(INDEX(Katalog!$F$3:$F$12,MATCH(Data[[#This Row],[ItemID C]],Katalog!$C$3:$C$12,0))*Data[[#This Row],[Qty C]],"0")</f>
        <v>200000</v>
      </c>
      <c r="X450" s="21">
        <f>Data[[#This Row],[Qty A]]+Data[[#This Row],[Qty B]]+Data[[#This Row],[Qty C]]</f>
        <v>7</v>
      </c>
      <c r="Y450" s="22">
        <f>Data[[#This Row],[Harga Barang A]]+Data[[#This Row],[Harga Barang B]]+Data[[#This Row],[Harga Barang C]]</f>
        <v>2000000</v>
      </c>
      <c r="Z450" s="35">
        <f>IFERROR(Data[[#This Row],[Total Harga]]-(Data[[#This Row],[Total Harga]]*Data[[#This Row],[Diskon]]),Data[[#This Row],[Total Harga]])</f>
        <v>1600000</v>
      </c>
      <c r="AA450" s="35">
        <f>(Data[[#This Row],[Profit A]]+Data[[#This Row],[Profit B]]+Data[[#This Row],[Profit C]])</f>
        <v>800000</v>
      </c>
      <c r="AB450" s="35">
        <f>IFERROR((Data[[#This Row],[Profit non Diskon]]-(Data[[#This Row],[Profit non Diskon]]*Data[[#This Row],[Diskon]])),Data[[#This Row],[Profit non Diskon]])</f>
        <v>640000</v>
      </c>
      <c r="AC450" s="23" t="s">
        <v>8</v>
      </c>
      <c r="AD450" s="37">
        <f>IFERROR(INDEX('Kode Diskon'!$D$3:$D$9,MATCH(Data[[#This Row],[Kode diskon]],'Kode Diskon'!$C$3:$C$9,0)),"-")</f>
        <v>0.2</v>
      </c>
      <c r="AE450" s="23" t="s">
        <v>9</v>
      </c>
      <c r="AF450" s="23" t="s">
        <v>7</v>
      </c>
      <c r="AG450" s="23" t="s">
        <v>76</v>
      </c>
      <c r="AH450" s="24">
        <v>45038</v>
      </c>
      <c r="AI450" s="23" t="str">
        <f>TEXT(Data[[#This Row],[Tanggal terjual]],"dddd")</f>
        <v>Saturday</v>
      </c>
      <c r="AJ450" s="21" t="str">
        <f>TEXT(Data[[#This Row],[Tanggal terjual]],"wwww")</f>
        <v>wwww</v>
      </c>
    </row>
    <row r="451" spans="1:36" x14ac:dyDescent="0.2">
      <c r="A451" s="20">
        <v>450</v>
      </c>
      <c r="B451" s="21" t="str">
        <f>_xlfn.CONCAT("ORD-",INDEX(Helper!$B$2:$B$5,MATCH(Data[[#This Row],[Marketplace]],Helper!$A$2:$A$5,0)),TEXT(Data[[#This Row],[No]],"0000"),"-",TEXT(Data[[#This Row],[Tanggal terjual]],"dd/mm/yy"))</f>
        <v>ORD-TK0450-17/04/23</v>
      </c>
      <c r="C451" t="s">
        <v>66</v>
      </c>
      <c r="D451" t="str">
        <f>IFERROR(INDEX(Katalog!$A$3:$A$12,MATCH(Data[[#This Row],[ItemID A]],Katalog!$C$3:$C$12,0)),"-")</f>
        <v>Sepatu Pria</v>
      </c>
      <c r="E451" t="str">
        <f>IFERROR(INDEX(Katalog!$B$3:$B$12,MATCH(Data[[#This Row],[ItemID A]],Katalog!$C$3:$C$12,0)),"-")</f>
        <v>Sandal Slip On</v>
      </c>
      <c r="F451">
        <v>6</v>
      </c>
      <c r="G451">
        <v>3</v>
      </c>
      <c r="H451" s="36">
        <f>IFERROR(INDEX(Katalog!$D$3:$D$12,MATCH(Data[[#This Row],[ItemID A]],Katalog!$C$3:$C$12,0))*Data[[#This Row],[Qty A]],"0")</f>
        <v>900000</v>
      </c>
      <c r="I451" s="36">
        <f>IFERROR(INDEX(Katalog!$F$3:$F$12,MATCH(Data[[#This Row],[ItemID A]],Katalog!$C$3:$C$12,0))*Data[[#This Row],[Qty A]],0)</f>
        <v>360000</v>
      </c>
      <c r="K451" t="str">
        <f>IFERROR(INDEX(Katalog!$A$3:$A$12,MATCH(Data[[#This Row],[ItemID B]],Katalog!$C$3:$C$12,0)),"-")</f>
        <v>-</v>
      </c>
      <c r="L451" t="str">
        <f>IFERROR(INDEX(Katalog!$B$3:$B$12,MATCH(Data[[#This Row],[ItemID B]],Katalog!$C$3:$C$12,0)),"-")</f>
        <v>-</v>
      </c>
      <c r="O451" s="36" t="str">
        <f>IFERROR(INDEX(Katalog!$D$3:$D$12,MATCH(Data[[#This Row],[ItemID B]],Katalog!$C$3:$C$12,0))*Data[[#This Row],[Qty B]],"0")</f>
        <v>0</v>
      </c>
      <c r="P451" s="36" t="str">
        <f>IFERROR(INDEX(Katalog!$F$3:$F$12,MATCH(Data[[#This Row],[ItemID B]],Katalog!$C$3:$C$12,0))*Data[[#This Row],[Qty B]],"0")</f>
        <v>0</v>
      </c>
      <c r="R451" t="str">
        <f>IFERROR(INDEX(Katalog!$A$3:$A$12,MATCH(Data[[#This Row],[ItemID C]],Katalog!$C$3:$C$12,0)),"-")</f>
        <v>-</v>
      </c>
      <c r="S451" t="str">
        <f>IFERROR(INDEX(Katalog!$B$3:$B$12,MATCH(Data[[#This Row],[ItemID C]],Katalog!$C$3:$C$12,0)),"-")</f>
        <v>-</v>
      </c>
      <c r="V451" s="36" t="str">
        <f>IFERROR(INDEX(Katalog!$D$3:$D$12,MATCH(Data[[#This Row],[ItemID C]],Katalog!$C$3:$C$12,0))*Data[[#This Row],[Qty C]],"0")</f>
        <v>0</v>
      </c>
      <c r="W451" s="36" t="str">
        <f>IFERROR(INDEX(Katalog!$F$3:$F$12,MATCH(Data[[#This Row],[ItemID C]],Katalog!$C$3:$C$12,0))*Data[[#This Row],[Qty C]],"0")</f>
        <v>0</v>
      </c>
      <c r="X451" s="21">
        <f>Data[[#This Row],[Qty A]]+Data[[#This Row],[Qty B]]+Data[[#This Row],[Qty C]]</f>
        <v>6</v>
      </c>
      <c r="Y451" s="22">
        <f>Data[[#This Row],[Harga Barang A]]+Data[[#This Row],[Harga Barang B]]+Data[[#This Row],[Harga Barang C]]</f>
        <v>900000</v>
      </c>
      <c r="Z451" s="35">
        <f>IFERROR(Data[[#This Row],[Total Harga]]-(Data[[#This Row],[Total Harga]]*Data[[#This Row],[Diskon]]),Data[[#This Row],[Total Harga]])</f>
        <v>810000</v>
      </c>
      <c r="AA451" s="35">
        <f>(Data[[#This Row],[Profit A]]+Data[[#This Row],[Profit B]]+Data[[#This Row],[Profit C]])</f>
        <v>360000</v>
      </c>
      <c r="AB451" s="35">
        <f>IFERROR((Data[[#This Row],[Profit non Diskon]]-(Data[[#This Row],[Profit non Diskon]]*Data[[#This Row],[Diskon]])),Data[[#This Row],[Profit non Diskon]])</f>
        <v>324000</v>
      </c>
      <c r="AC451" s="23" t="s">
        <v>31</v>
      </c>
      <c r="AD451" s="37">
        <f>IFERROR(INDEX('Kode Diskon'!$D$3:$D$9,MATCH(Data[[#This Row],[Kode diskon]],'Kode Diskon'!$C$3:$C$9,0)),"-")</f>
        <v>0.1</v>
      </c>
      <c r="AE451" s="23" t="s">
        <v>9</v>
      </c>
      <c r="AF451" s="23" t="s">
        <v>10</v>
      </c>
      <c r="AG451" s="23" t="s">
        <v>80</v>
      </c>
      <c r="AH451" s="24">
        <v>45033</v>
      </c>
      <c r="AI451" s="23" t="str">
        <f>TEXT(Data[[#This Row],[Tanggal terjual]],"dddd")</f>
        <v>Monday</v>
      </c>
      <c r="AJ451" s="21" t="str">
        <f>TEXT(Data[[#This Row],[Tanggal terjual]],"wwww")</f>
        <v>wwww</v>
      </c>
    </row>
    <row r="452" spans="1:36" x14ac:dyDescent="0.2">
      <c r="A452" s="20">
        <v>451</v>
      </c>
      <c r="B452" s="21" t="str">
        <f>_xlfn.CONCAT("ORD-",INDEX(Helper!$B$2:$B$5,MATCH(Data[[#This Row],[Marketplace]],Helper!$A$2:$A$5,0)),TEXT(Data[[#This Row],[No]],"0000"),"-",TEXT(Data[[#This Row],[Tanggal terjual]],"dd/mm/yy"))</f>
        <v>ORD-BL0451-21/04/23</v>
      </c>
      <c r="C452" t="s">
        <v>66</v>
      </c>
      <c r="D452" t="str">
        <f>IFERROR(INDEX(Katalog!$A$3:$A$12,MATCH(Data[[#This Row],[ItemID A]],Katalog!$C$3:$C$12,0)),"-")</f>
        <v>Sepatu Pria</v>
      </c>
      <c r="E452" t="str">
        <f>IFERROR(INDEX(Katalog!$B$3:$B$12,MATCH(Data[[#This Row],[ItemID A]],Katalog!$C$3:$C$12,0)),"-")</f>
        <v>Sandal Slip On</v>
      </c>
      <c r="F452">
        <v>1</v>
      </c>
      <c r="G452">
        <v>4</v>
      </c>
      <c r="H452" s="36">
        <f>IFERROR(INDEX(Katalog!$D$3:$D$12,MATCH(Data[[#This Row],[ItemID A]],Katalog!$C$3:$C$12,0))*Data[[#This Row],[Qty A]],"0")</f>
        <v>150000</v>
      </c>
      <c r="I452" s="36">
        <f>IFERROR(INDEX(Katalog!$F$3:$F$12,MATCH(Data[[#This Row],[ItemID A]],Katalog!$C$3:$C$12,0))*Data[[#This Row],[Qty A]],0)</f>
        <v>60000</v>
      </c>
      <c r="K452" t="str">
        <f>IFERROR(INDEX(Katalog!$A$3:$A$12,MATCH(Data[[#This Row],[ItemID B]],Katalog!$C$3:$C$12,0)),"-")</f>
        <v>-</v>
      </c>
      <c r="L452" t="str">
        <f>IFERROR(INDEX(Katalog!$B$3:$B$12,MATCH(Data[[#This Row],[ItemID B]],Katalog!$C$3:$C$12,0)),"-")</f>
        <v>-</v>
      </c>
      <c r="O452" s="36" t="str">
        <f>IFERROR(INDEX(Katalog!$D$3:$D$12,MATCH(Data[[#This Row],[ItemID B]],Katalog!$C$3:$C$12,0))*Data[[#This Row],[Qty B]],"0")</f>
        <v>0</v>
      </c>
      <c r="P452" s="36" t="str">
        <f>IFERROR(INDEX(Katalog!$F$3:$F$12,MATCH(Data[[#This Row],[ItemID B]],Katalog!$C$3:$C$12,0))*Data[[#This Row],[Qty B]],"0")</f>
        <v>0</v>
      </c>
      <c r="R452" t="str">
        <f>IFERROR(INDEX(Katalog!$A$3:$A$12,MATCH(Data[[#This Row],[ItemID C]],Katalog!$C$3:$C$12,0)),"-")</f>
        <v>-</v>
      </c>
      <c r="S452" t="str">
        <f>IFERROR(INDEX(Katalog!$B$3:$B$12,MATCH(Data[[#This Row],[ItemID C]],Katalog!$C$3:$C$12,0)),"-")</f>
        <v>-</v>
      </c>
      <c r="V452" s="36" t="str">
        <f>IFERROR(INDEX(Katalog!$D$3:$D$12,MATCH(Data[[#This Row],[ItemID C]],Katalog!$C$3:$C$12,0))*Data[[#This Row],[Qty C]],"0")</f>
        <v>0</v>
      </c>
      <c r="W452" s="36" t="str">
        <f>IFERROR(INDEX(Katalog!$F$3:$F$12,MATCH(Data[[#This Row],[ItemID C]],Katalog!$C$3:$C$12,0))*Data[[#This Row],[Qty C]],"0")</f>
        <v>0</v>
      </c>
      <c r="X452" s="21">
        <f>Data[[#This Row],[Qty A]]+Data[[#This Row],[Qty B]]+Data[[#This Row],[Qty C]]</f>
        <v>1</v>
      </c>
      <c r="Y452" s="22">
        <f>Data[[#This Row],[Harga Barang A]]+Data[[#This Row],[Harga Barang B]]+Data[[#This Row],[Harga Barang C]]</f>
        <v>150000</v>
      </c>
      <c r="Z452" s="35">
        <f>IFERROR(Data[[#This Row],[Total Harga]]-(Data[[#This Row],[Total Harga]]*Data[[#This Row],[Diskon]]),Data[[#This Row],[Total Harga]])</f>
        <v>127500</v>
      </c>
      <c r="AA452" s="35">
        <f>(Data[[#This Row],[Profit A]]+Data[[#This Row],[Profit B]]+Data[[#This Row],[Profit C]])</f>
        <v>60000</v>
      </c>
      <c r="AB452" s="35">
        <f>IFERROR((Data[[#This Row],[Profit non Diskon]]-(Data[[#This Row],[Profit non Diskon]]*Data[[#This Row],[Diskon]])),Data[[#This Row],[Profit non Diskon]])</f>
        <v>51000</v>
      </c>
      <c r="AC452" s="23" t="s">
        <v>32</v>
      </c>
      <c r="AD452" s="37">
        <f>IFERROR(INDEX('Kode Diskon'!$D$3:$D$9,MATCH(Data[[#This Row],[Kode diskon]],'Kode Diskon'!$C$3:$C$9,0)),"-")</f>
        <v>0.15</v>
      </c>
      <c r="AE452" s="23" t="s">
        <v>9</v>
      </c>
      <c r="AF452" s="23" t="s">
        <v>12</v>
      </c>
      <c r="AG452" s="23" t="s">
        <v>80</v>
      </c>
      <c r="AH452" s="24">
        <v>45037</v>
      </c>
      <c r="AI452" s="23" t="str">
        <f>TEXT(Data[[#This Row],[Tanggal terjual]],"dddd")</f>
        <v>Friday</v>
      </c>
      <c r="AJ452" s="21" t="str">
        <f>TEXT(Data[[#This Row],[Tanggal terjual]],"wwww")</f>
        <v>wwww</v>
      </c>
    </row>
    <row r="453" spans="1:36" x14ac:dyDescent="0.2">
      <c r="A453" s="20">
        <v>452</v>
      </c>
      <c r="B453" s="21" t="str">
        <f>_xlfn.CONCAT("ORD-",INDEX(Helper!$B$2:$B$5,MATCH(Data[[#This Row],[Marketplace]],Helper!$A$2:$A$5,0)),TEXT(Data[[#This Row],[No]],"0000"),"-",TEXT(Data[[#This Row],[Tanggal terjual]],"dd/mm/yy"))</f>
        <v>ORD-SP0452-01/04/23</v>
      </c>
      <c r="C453" t="s">
        <v>63</v>
      </c>
      <c r="D453" t="str">
        <f>IFERROR(INDEX(Katalog!$A$3:$A$12,MATCH(Data[[#This Row],[ItemID A]],Katalog!$C$3:$C$12,0)),"-")</f>
        <v>Pakaian Pria</v>
      </c>
      <c r="E453" t="str">
        <f>IFERROR(INDEX(Katalog!$B$3:$B$12,MATCH(Data[[#This Row],[ItemID A]],Katalog!$C$3:$C$12,0)),"-")</f>
        <v>Jaket Jeans</v>
      </c>
      <c r="F453">
        <v>2</v>
      </c>
      <c r="G453">
        <v>2</v>
      </c>
      <c r="H453" s="36">
        <f>IFERROR(INDEX(Katalog!$D$3:$D$12,MATCH(Data[[#This Row],[ItemID A]],Katalog!$C$3:$C$12,0))*Data[[#This Row],[Qty A]],"0")</f>
        <v>800000</v>
      </c>
      <c r="I453" s="36">
        <f>IFERROR(INDEX(Katalog!$F$3:$F$12,MATCH(Data[[#This Row],[ItemID A]],Katalog!$C$3:$C$12,0))*Data[[#This Row],[Qty A]],0)</f>
        <v>300000</v>
      </c>
      <c r="K453" t="str">
        <f>IFERROR(INDEX(Katalog!$A$3:$A$12,MATCH(Data[[#This Row],[ItemID B]],Katalog!$C$3:$C$12,0)),"-")</f>
        <v>-</v>
      </c>
      <c r="L453" t="str">
        <f>IFERROR(INDEX(Katalog!$B$3:$B$12,MATCH(Data[[#This Row],[ItemID B]],Katalog!$C$3:$C$12,0)),"-")</f>
        <v>-</v>
      </c>
      <c r="O453" s="36" t="str">
        <f>IFERROR(INDEX(Katalog!$D$3:$D$12,MATCH(Data[[#This Row],[ItemID B]],Katalog!$C$3:$C$12,0))*Data[[#This Row],[Qty B]],"0")</f>
        <v>0</v>
      </c>
      <c r="P453" s="36" t="str">
        <f>IFERROR(INDEX(Katalog!$F$3:$F$12,MATCH(Data[[#This Row],[ItemID B]],Katalog!$C$3:$C$12,0))*Data[[#This Row],[Qty B]],"0")</f>
        <v>0</v>
      </c>
      <c r="R453" t="str">
        <f>IFERROR(INDEX(Katalog!$A$3:$A$12,MATCH(Data[[#This Row],[ItemID C]],Katalog!$C$3:$C$12,0)),"-")</f>
        <v>-</v>
      </c>
      <c r="S453" t="str">
        <f>IFERROR(INDEX(Katalog!$B$3:$B$12,MATCH(Data[[#This Row],[ItemID C]],Katalog!$C$3:$C$12,0)),"-")</f>
        <v>-</v>
      </c>
      <c r="V453" s="36" t="str">
        <f>IFERROR(INDEX(Katalog!$D$3:$D$12,MATCH(Data[[#This Row],[ItemID C]],Katalog!$C$3:$C$12,0))*Data[[#This Row],[Qty C]],"0")</f>
        <v>0</v>
      </c>
      <c r="W453" s="36" t="str">
        <f>IFERROR(INDEX(Katalog!$F$3:$F$12,MATCH(Data[[#This Row],[ItemID C]],Katalog!$C$3:$C$12,0))*Data[[#This Row],[Qty C]],"0")</f>
        <v>0</v>
      </c>
      <c r="X453" s="21">
        <f>Data[[#This Row],[Qty A]]+Data[[#This Row],[Qty B]]+Data[[#This Row],[Qty C]]</f>
        <v>2</v>
      </c>
      <c r="Y453" s="22">
        <f>Data[[#This Row],[Harga Barang A]]+Data[[#This Row],[Harga Barang B]]+Data[[#This Row],[Harga Barang C]]</f>
        <v>800000</v>
      </c>
      <c r="Z453" s="35">
        <f>IFERROR(Data[[#This Row],[Total Harga]]-(Data[[#This Row],[Total Harga]]*Data[[#This Row],[Diskon]]),Data[[#This Row],[Total Harga]])</f>
        <v>680000</v>
      </c>
      <c r="AA453" s="35">
        <f>(Data[[#This Row],[Profit A]]+Data[[#This Row],[Profit B]]+Data[[#This Row],[Profit C]])</f>
        <v>300000</v>
      </c>
      <c r="AB453" s="35">
        <f>IFERROR((Data[[#This Row],[Profit non Diskon]]-(Data[[#This Row],[Profit non Diskon]]*Data[[#This Row],[Diskon]])),Data[[#This Row],[Profit non Diskon]])</f>
        <v>255000</v>
      </c>
      <c r="AC453" s="23" t="s">
        <v>13</v>
      </c>
      <c r="AD453" s="37">
        <f>IFERROR(INDEX('Kode Diskon'!$D$3:$D$9,MATCH(Data[[#This Row],[Kode diskon]],'Kode Diskon'!$C$3:$C$9,0)),"-")</f>
        <v>0.15</v>
      </c>
      <c r="AE453" s="23" t="s">
        <v>29</v>
      </c>
      <c r="AF453" s="23" t="s">
        <v>7</v>
      </c>
      <c r="AG453" s="23" t="s">
        <v>80</v>
      </c>
      <c r="AH453" s="24">
        <v>45017</v>
      </c>
      <c r="AI453" s="23" t="str">
        <f>TEXT(Data[[#This Row],[Tanggal terjual]],"dddd")</f>
        <v>Saturday</v>
      </c>
      <c r="AJ453" s="21" t="str">
        <f>TEXT(Data[[#This Row],[Tanggal terjual]],"wwww")</f>
        <v>wwww</v>
      </c>
    </row>
    <row r="454" spans="1:36" x14ac:dyDescent="0.2">
      <c r="A454" s="20">
        <v>453</v>
      </c>
      <c r="B454" s="21" t="str">
        <f>_xlfn.CONCAT("ORD-",INDEX(Helper!$B$2:$B$5,MATCH(Data[[#This Row],[Marketplace]],Helper!$A$2:$A$5,0)),TEXT(Data[[#This Row],[No]],"0000"),"-",TEXT(Data[[#This Row],[Tanggal terjual]],"dd/mm/yy"))</f>
        <v>ORD-BL0453-07/04/23</v>
      </c>
      <c r="C454" t="s">
        <v>60</v>
      </c>
      <c r="D454" t="str">
        <f>IFERROR(INDEX(Katalog!$A$3:$A$12,MATCH(Data[[#This Row],[ItemID A]],Katalog!$C$3:$C$12,0)),"-")</f>
        <v>Pakaian Wanita</v>
      </c>
      <c r="E454" t="str">
        <f>IFERROR(INDEX(Katalog!$B$3:$B$12,MATCH(Data[[#This Row],[ItemID A]],Katalog!$C$3:$C$12,0)),"-")</f>
        <v>Kaftan</v>
      </c>
      <c r="F454">
        <v>1</v>
      </c>
      <c r="G454">
        <v>5</v>
      </c>
      <c r="H454" s="36">
        <f>IFERROR(INDEX(Katalog!$D$3:$D$12,MATCH(Data[[#This Row],[ItemID A]],Katalog!$C$3:$C$12,0))*Data[[#This Row],[Qty A]],"0")</f>
        <v>250000</v>
      </c>
      <c r="I454" s="36">
        <f>IFERROR(INDEX(Katalog!$F$3:$F$12,MATCH(Data[[#This Row],[ItemID A]],Katalog!$C$3:$C$12,0))*Data[[#This Row],[Qty A]],0)</f>
        <v>100000</v>
      </c>
      <c r="K454" t="str">
        <f>IFERROR(INDEX(Katalog!$A$3:$A$12,MATCH(Data[[#This Row],[ItemID B]],Katalog!$C$3:$C$12,0)),"-")</f>
        <v>-</v>
      </c>
      <c r="L454" t="str">
        <f>IFERROR(INDEX(Katalog!$B$3:$B$12,MATCH(Data[[#This Row],[ItemID B]],Katalog!$C$3:$C$12,0)),"-")</f>
        <v>-</v>
      </c>
      <c r="O454" s="36" t="str">
        <f>IFERROR(INDEX(Katalog!$D$3:$D$12,MATCH(Data[[#This Row],[ItemID B]],Katalog!$C$3:$C$12,0))*Data[[#This Row],[Qty B]],"0")</f>
        <v>0</v>
      </c>
      <c r="P454" s="36" t="str">
        <f>IFERROR(INDEX(Katalog!$F$3:$F$12,MATCH(Data[[#This Row],[ItemID B]],Katalog!$C$3:$C$12,0))*Data[[#This Row],[Qty B]],"0")</f>
        <v>0</v>
      </c>
      <c r="R454" t="str">
        <f>IFERROR(INDEX(Katalog!$A$3:$A$12,MATCH(Data[[#This Row],[ItemID C]],Katalog!$C$3:$C$12,0)),"-")</f>
        <v>-</v>
      </c>
      <c r="S454" t="str">
        <f>IFERROR(INDEX(Katalog!$B$3:$B$12,MATCH(Data[[#This Row],[ItemID C]],Katalog!$C$3:$C$12,0)),"-")</f>
        <v>-</v>
      </c>
      <c r="V454" s="36" t="str">
        <f>IFERROR(INDEX(Katalog!$D$3:$D$12,MATCH(Data[[#This Row],[ItemID C]],Katalog!$C$3:$C$12,0))*Data[[#This Row],[Qty C]],"0")</f>
        <v>0</v>
      </c>
      <c r="W454" s="36" t="str">
        <f>IFERROR(INDEX(Katalog!$F$3:$F$12,MATCH(Data[[#This Row],[ItemID C]],Katalog!$C$3:$C$12,0))*Data[[#This Row],[Qty C]],"0")</f>
        <v>0</v>
      </c>
      <c r="X454" s="21">
        <f>Data[[#This Row],[Qty A]]+Data[[#This Row],[Qty B]]+Data[[#This Row],[Qty C]]</f>
        <v>1</v>
      </c>
      <c r="Y454" s="22">
        <f>Data[[#This Row],[Harga Barang A]]+Data[[#This Row],[Harga Barang B]]+Data[[#This Row],[Harga Barang C]]</f>
        <v>250000</v>
      </c>
      <c r="Z454" s="35">
        <f>IFERROR(Data[[#This Row],[Total Harga]]-(Data[[#This Row],[Total Harga]]*Data[[#This Row],[Diskon]]),Data[[#This Row],[Total Harga]])</f>
        <v>250000</v>
      </c>
      <c r="AA454" s="35">
        <f>(Data[[#This Row],[Profit A]]+Data[[#This Row],[Profit B]]+Data[[#This Row],[Profit C]])</f>
        <v>100000</v>
      </c>
      <c r="AB454" s="35">
        <f>IFERROR((Data[[#This Row],[Profit non Diskon]]-(Data[[#This Row],[Profit non Diskon]]*Data[[#This Row],[Diskon]])),Data[[#This Row],[Profit non Diskon]])</f>
        <v>100000</v>
      </c>
      <c r="AC454" s="23" t="s">
        <v>11</v>
      </c>
      <c r="AD454" s="37" t="str">
        <f>IFERROR(INDEX('Kode Diskon'!$D$3:$D$9,MATCH(Data[[#This Row],[Kode diskon]],'Kode Diskon'!$C$3:$C$9,0)),"-")</f>
        <v>-</v>
      </c>
      <c r="AE454" s="23" t="s">
        <v>11</v>
      </c>
      <c r="AF454" s="23" t="s">
        <v>12</v>
      </c>
      <c r="AG454" s="23" t="s">
        <v>80</v>
      </c>
      <c r="AH454" s="24">
        <v>45023</v>
      </c>
      <c r="AI454" s="23" t="str">
        <f>TEXT(Data[[#This Row],[Tanggal terjual]],"dddd")</f>
        <v>Friday</v>
      </c>
      <c r="AJ454" s="21" t="str">
        <f>TEXT(Data[[#This Row],[Tanggal terjual]],"wwww")</f>
        <v>wwww</v>
      </c>
    </row>
    <row r="455" spans="1:36" x14ac:dyDescent="0.2">
      <c r="A455" s="20">
        <v>454</v>
      </c>
      <c r="B455" s="21" t="str">
        <f>_xlfn.CONCAT("ORD-",INDEX(Helper!$B$2:$B$5,MATCH(Data[[#This Row],[Marketplace]],Helper!$A$2:$A$5,0)),TEXT(Data[[#This Row],[No]],"0000"),"-",TEXT(Data[[#This Row],[Tanggal terjual]],"dd/mm/yy"))</f>
        <v>ORD-TK0454-16/04/23</v>
      </c>
      <c r="C455" t="s">
        <v>60</v>
      </c>
      <c r="D455" t="str">
        <f>IFERROR(INDEX(Katalog!$A$3:$A$12,MATCH(Data[[#This Row],[ItemID A]],Katalog!$C$3:$C$12,0)),"-")</f>
        <v>Pakaian Wanita</v>
      </c>
      <c r="E455" t="str">
        <f>IFERROR(INDEX(Katalog!$B$3:$B$12,MATCH(Data[[#This Row],[ItemID A]],Katalog!$C$3:$C$12,0)),"-")</f>
        <v>Kaftan</v>
      </c>
      <c r="F455">
        <v>2</v>
      </c>
      <c r="G455">
        <v>2</v>
      </c>
      <c r="H455" s="36">
        <f>IFERROR(INDEX(Katalog!$D$3:$D$12,MATCH(Data[[#This Row],[ItemID A]],Katalog!$C$3:$C$12,0))*Data[[#This Row],[Qty A]],"0")</f>
        <v>500000</v>
      </c>
      <c r="I455" s="36">
        <f>IFERROR(INDEX(Katalog!$F$3:$F$12,MATCH(Data[[#This Row],[ItemID A]],Katalog!$C$3:$C$12,0))*Data[[#This Row],[Qty A]],0)</f>
        <v>200000</v>
      </c>
      <c r="J455" t="s">
        <v>59</v>
      </c>
      <c r="K455" t="str">
        <f>IFERROR(INDEX(Katalog!$A$3:$A$12,MATCH(Data[[#This Row],[ItemID B]],Katalog!$C$3:$C$12,0)),"-")</f>
        <v>Pakaian Wanita</v>
      </c>
      <c r="L455" t="str">
        <f>IFERROR(INDEX(Katalog!$B$3:$B$12,MATCH(Data[[#This Row],[ItemID B]],Katalog!$C$3:$C$12,0)),"-")</f>
        <v>Blouse</v>
      </c>
      <c r="M455">
        <v>3</v>
      </c>
      <c r="N455">
        <v>1</v>
      </c>
      <c r="O455" s="36">
        <f>IFERROR(INDEX(Katalog!$D$3:$D$12,MATCH(Data[[#This Row],[ItemID B]],Katalog!$C$3:$C$12,0))*Data[[#This Row],[Qty B]],"0")</f>
        <v>450000</v>
      </c>
      <c r="P455" s="36">
        <f>IFERROR(INDEX(Katalog!$F$3:$F$12,MATCH(Data[[#This Row],[ItemID B]],Katalog!$C$3:$C$12,0))*Data[[#This Row],[Qty B]],"0")</f>
        <v>150000</v>
      </c>
      <c r="R455" t="str">
        <f>IFERROR(INDEX(Katalog!$A$3:$A$12,MATCH(Data[[#This Row],[ItemID C]],Katalog!$C$3:$C$12,0)),"-")</f>
        <v>-</v>
      </c>
      <c r="S455" t="str">
        <f>IFERROR(INDEX(Katalog!$B$3:$B$12,MATCH(Data[[#This Row],[ItemID C]],Katalog!$C$3:$C$12,0)),"-")</f>
        <v>-</v>
      </c>
      <c r="V455" s="36" t="str">
        <f>IFERROR(INDEX(Katalog!$D$3:$D$12,MATCH(Data[[#This Row],[ItemID C]],Katalog!$C$3:$C$12,0))*Data[[#This Row],[Qty C]],"0")</f>
        <v>0</v>
      </c>
      <c r="W455" s="36" t="str">
        <f>IFERROR(INDEX(Katalog!$F$3:$F$12,MATCH(Data[[#This Row],[ItemID C]],Katalog!$C$3:$C$12,0))*Data[[#This Row],[Qty C]],"0")</f>
        <v>0</v>
      </c>
      <c r="X455" s="21">
        <f>Data[[#This Row],[Qty A]]+Data[[#This Row],[Qty B]]+Data[[#This Row],[Qty C]]</f>
        <v>5</v>
      </c>
      <c r="Y455" s="22">
        <f>Data[[#This Row],[Harga Barang A]]+Data[[#This Row],[Harga Barang B]]+Data[[#This Row],[Harga Barang C]]</f>
        <v>950000</v>
      </c>
      <c r="Z455" s="35">
        <f>IFERROR(Data[[#This Row],[Total Harga]]-(Data[[#This Row],[Total Harga]]*Data[[#This Row],[Diskon]]),Data[[#This Row],[Total Harga]])</f>
        <v>855000</v>
      </c>
      <c r="AA455" s="35">
        <f>(Data[[#This Row],[Profit A]]+Data[[#This Row],[Profit B]]+Data[[#This Row],[Profit C]])</f>
        <v>350000</v>
      </c>
      <c r="AB455" s="35">
        <f>IFERROR((Data[[#This Row],[Profit non Diskon]]-(Data[[#This Row],[Profit non Diskon]]*Data[[#This Row],[Diskon]])),Data[[#This Row],[Profit non Diskon]])</f>
        <v>315000</v>
      </c>
      <c r="AC455" s="23" t="s">
        <v>31</v>
      </c>
      <c r="AD455" s="37">
        <f>IFERROR(INDEX('Kode Diskon'!$D$3:$D$9,MATCH(Data[[#This Row],[Kode diskon]],'Kode Diskon'!$C$3:$C$9,0)),"-")</f>
        <v>0.1</v>
      </c>
      <c r="AE455" s="23" t="s">
        <v>9</v>
      </c>
      <c r="AF455" s="23" t="s">
        <v>10</v>
      </c>
      <c r="AG455" s="23" t="s">
        <v>80</v>
      </c>
      <c r="AH455" s="24">
        <v>45032</v>
      </c>
      <c r="AI455" s="23" t="str">
        <f>TEXT(Data[[#This Row],[Tanggal terjual]],"dddd")</f>
        <v>Sunday</v>
      </c>
      <c r="AJ455" s="21" t="str">
        <f>TEXT(Data[[#This Row],[Tanggal terjual]],"wwww")</f>
        <v>wwww</v>
      </c>
    </row>
    <row r="456" spans="1:36" x14ac:dyDescent="0.2">
      <c r="A456" s="20">
        <v>455</v>
      </c>
      <c r="B456" s="21" t="str">
        <f>_xlfn.CONCAT("ORD-",INDEX(Helper!$B$2:$B$5,MATCH(Data[[#This Row],[Marketplace]],Helper!$A$2:$A$5,0)),TEXT(Data[[#This Row],[No]],"0000"),"-",TEXT(Data[[#This Row],[Tanggal terjual]],"dd/mm/yy"))</f>
        <v>ORD-BL0455-28/04/23</v>
      </c>
      <c r="C456" t="s">
        <v>59</v>
      </c>
      <c r="D456" t="str">
        <f>IFERROR(INDEX(Katalog!$A$3:$A$12,MATCH(Data[[#This Row],[ItemID A]],Katalog!$C$3:$C$12,0)),"-")</f>
        <v>Pakaian Wanita</v>
      </c>
      <c r="E456" t="str">
        <f>IFERROR(INDEX(Katalog!$B$3:$B$12,MATCH(Data[[#This Row],[ItemID A]],Katalog!$C$3:$C$12,0)),"-")</f>
        <v>Blouse</v>
      </c>
      <c r="F456">
        <v>4</v>
      </c>
      <c r="G456">
        <v>5</v>
      </c>
      <c r="H456" s="36">
        <f>IFERROR(INDEX(Katalog!$D$3:$D$12,MATCH(Data[[#This Row],[ItemID A]],Katalog!$C$3:$C$12,0))*Data[[#This Row],[Qty A]],"0")</f>
        <v>600000</v>
      </c>
      <c r="I456" s="36">
        <f>IFERROR(INDEX(Katalog!$F$3:$F$12,MATCH(Data[[#This Row],[ItemID A]],Katalog!$C$3:$C$12,0))*Data[[#This Row],[Qty A]],0)</f>
        <v>200000</v>
      </c>
      <c r="J456" t="s">
        <v>65</v>
      </c>
      <c r="K456" t="str">
        <f>IFERROR(INDEX(Katalog!$A$3:$A$12,MATCH(Data[[#This Row],[ItemID B]],Katalog!$C$3:$C$12,0)),"-")</f>
        <v>Sepatu Pria</v>
      </c>
      <c r="L456" t="str">
        <f>IFERROR(INDEX(Katalog!$B$3:$B$12,MATCH(Data[[#This Row],[ItemID B]],Katalog!$C$3:$C$12,0)),"-")</f>
        <v>Sneakers</v>
      </c>
      <c r="M456">
        <v>1</v>
      </c>
      <c r="N456">
        <v>1</v>
      </c>
      <c r="O456" s="36">
        <f>IFERROR(INDEX(Katalog!$D$3:$D$12,MATCH(Data[[#This Row],[ItemID B]],Katalog!$C$3:$C$12,0))*Data[[#This Row],[Qty B]],"0")</f>
        <v>500000</v>
      </c>
      <c r="P456" s="36">
        <f>IFERROR(INDEX(Katalog!$F$3:$F$12,MATCH(Data[[#This Row],[ItemID B]],Katalog!$C$3:$C$12,0))*Data[[#This Row],[Qty B]],"0")</f>
        <v>200000</v>
      </c>
      <c r="R456" t="str">
        <f>IFERROR(INDEX(Katalog!$A$3:$A$12,MATCH(Data[[#This Row],[ItemID C]],Katalog!$C$3:$C$12,0)),"-")</f>
        <v>-</v>
      </c>
      <c r="S456" t="str">
        <f>IFERROR(INDEX(Katalog!$B$3:$B$12,MATCH(Data[[#This Row],[ItemID C]],Katalog!$C$3:$C$12,0)),"-")</f>
        <v>-</v>
      </c>
      <c r="V456" s="36" t="str">
        <f>IFERROR(INDEX(Katalog!$D$3:$D$12,MATCH(Data[[#This Row],[ItemID C]],Katalog!$C$3:$C$12,0))*Data[[#This Row],[Qty C]],"0")</f>
        <v>0</v>
      </c>
      <c r="W456" s="36" t="str">
        <f>IFERROR(INDEX(Katalog!$F$3:$F$12,MATCH(Data[[#This Row],[ItemID C]],Katalog!$C$3:$C$12,0))*Data[[#This Row],[Qty C]],"0")</f>
        <v>0</v>
      </c>
      <c r="X456" s="21">
        <f>Data[[#This Row],[Qty A]]+Data[[#This Row],[Qty B]]+Data[[#This Row],[Qty C]]</f>
        <v>5</v>
      </c>
      <c r="Y456" s="22">
        <f>Data[[#This Row],[Harga Barang A]]+Data[[#This Row],[Harga Barang B]]+Data[[#This Row],[Harga Barang C]]</f>
        <v>1100000</v>
      </c>
      <c r="Z456" s="35">
        <f>IFERROR(Data[[#This Row],[Total Harga]]-(Data[[#This Row],[Total Harga]]*Data[[#This Row],[Diskon]]),Data[[#This Row],[Total Harga]])</f>
        <v>935000</v>
      </c>
      <c r="AA456" s="35">
        <f>(Data[[#This Row],[Profit A]]+Data[[#This Row],[Profit B]]+Data[[#This Row],[Profit C]])</f>
        <v>400000</v>
      </c>
      <c r="AB456" s="35">
        <f>IFERROR((Data[[#This Row],[Profit non Diskon]]-(Data[[#This Row],[Profit non Diskon]]*Data[[#This Row],[Diskon]])),Data[[#This Row],[Profit non Diskon]])</f>
        <v>340000</v>
      </c>
      <c r="AC456" s="23" t="s">
        <v>32</v>
      </c>
      <c r="AD456" s="37">
        <f>IFERROR(INDEX('Kode Diskon'!$D$3:$D$9,MATCH(Data[[#This Row],[Kode diskon]],'Kode Diskon'!$C$3:$C$9,0)),"-")</f>
        <v>0.15</v>
      </c>
      <c r="AE456" s="23" t="s">
        <v>9</v>
      </c>
      <c r="AF456" s="23" t="s">
        <v>12</v>
      </c>
      <c r="AG456" s="23" t="s">
        <v>80</v>
      </c>
      <c r="AH456" s="24">
        <v>45044</v>
      </c>
      <c r="AI456" s="23" t="str">
        <f>TEXT(Data[[#This Row],[Tanggal terjual]],"dddd")</f>
        <v>Friday</v>
      </c>
      <c r="AJ456" s="21" t="str">
        <f>TEXT(Data[[#This Row],[Tanggal terjual]],"wwww")</f>
        <v>wwww</v>
      </c>
    </row>
    <row r="457" spans="1:36" x14ac:dyDescent="0.2">
      <c r="A457" s="20">
        <v>456</v>
      </c>
      <c r="B457" s="21" t="str">
        <f>_xlfn.CONCAT("ORD-",INDEX(Helper!$B$2:$B$5,MATCH(Data[[#This Row],[Marketplace]],Helper!$A$2:$A$5,0)),TEXT(Data[[#This Row],[No]],"0000"),"-",TEXT(Data[[#This Row],[Tanggal terjual]],"dd/mm/yy"))</f>
        <v>ORD-BB0456-05/04/23</v>
      </c>
      <c r="C457" t="s">
        <v>62</v>
      </c>
      <c r="D457" t="str">
        <f>IFERROR(INDEX(Katalog!$A$3:$A$12,MATCH(Data[[#This Row],[ItemID A]],Katalog!$C$3:$C$12,0)),"-")</f>
        <v>Pakaian Pria</v>
      </c>
      <c r="E457" t="str">
        <f>IFERROR(INDEX(Katalog!$B$3:$B$12,MATCH(Data[[#This Row],[ItemID A]],Katalog!$C$3:$C$12,0)),"-")</f>
        <v>Celana Pendek</v>
      </c>
      <c r="F457">
        <v>1</v>
      </c>
      <c r="G457">
        <v>1</v>
      </c>
      <c r="H457" s="36">
        <f>IFERROR(INDEX(Katalog!$D$3:$D$12,MATCH(Data[[#This Row],[ItemID A]],Katalog!$C$3:$C$12,0))*Data[[#This Row],[Qty A]],"0")</f>
        <v>180000</v>
      </c>
      <c r="I457" s="36">
        <f>IFERROR(INDEX(Katalog!$F$3:$F$12,MATCH(Data[[#This Row],[ItemID A]],Katalog!$C$3:$C$12,0))*Data[[#This Row],[Qty A]],0)</f>
        <v>70000</v>
      </c>
      <c r="J457" t="s">
        <v>67</v>
      </c>
      <c r="K457" t="str">
        <f>IFERROR(INDEX(Katalog!$A$3:$A$12,MATCH(Data[[#This Row],[ItemID B]],Katalog!$C$3:$C$12,0)),"-")</f>
        <v>Sepatu Wanita</v>
      </c>
      <c r="L457" t="str">
        <f>IFERROR(INDEX(Katalog!$B$3:$B$12,MATCH(Data[[#This Row],[ItemID B]],Katalog!$C$3:$C$12,0)),"-")</f>
        <v>Flat Shoes</v>
      </c>
      <c r="M457">
        <v>6</v>
      </c>
      <c r="N457">
        <v>4</v>
      </c>
      <c r="O457" s="36">
        <f>IFERROR(INDEX(Katalog!$D$3:$D$12,MATCH(Data[[#This Row],[ItemID B]],Katalog!$C$3:$C$12,0))*Data[[#This Row],[Qty B]],"0")</f>
        <v>1500000</v>
      </c>
      <c r="P457" s="36">
        <f>IFERROR(INDEX(Katalog!$F$3:$F$12,MATCH(Data[[#This Row],[ItemID B]],Katalog!$C$3:$C$12,0))*Data[[#This Row],[Qty B]],"0")</f>
        <v>600000</v>
      </c>
      <c r="R457" t="str">
        <f>IFERROR(INDEX(Katalog!$A$3:$A$12,MATCH(Data[[#This Row],[ItemID C]],Katalog!$C$3:$C$12,0)),"-")</f>
        <v>-</v>
      </c>
      <c r="S457" t="str">
        <f>IFERROR(INDEX(Katalog!$B$3:$B$12,MATCH(Data[[#This Row],[ItemID C]],Katalog!$C$3:$C$12,0)),"-")</f>
        <v>-</v>
      </c>
      <c r="V457" s="36" t="str">
        <f>IFERROR(INDEX(Katalog!$D$3:$D$12,MATCH(Data[[#This Row],[ItemID C]],Katalog!$C$3:$C$12,0))*Data[[#This Row],[Qty C]],"0")</f>
        <v>0</v>
      </c>
      <c r="W457" s="36" t="str">
        <f>IFERROR(INDEX(Katalog!$F$3:$F$12,MATCH(Data[[#This Row],[ItemID C]],Katalog!$C$3:$C$12,0))*Data[[#This Row],[Qty C]],"0")</f>
        <v>0</v>
      </c>
      <c r="X457" s="21">
        <f>Data[[#This Row],[Qty A]]+Data[[#This Row],[Qty B]]+Data[[#This Row],[Qty C]]</f>
        <v>7</v>
      </c>
      <c r="Y457" s="22">
        <f>Data[[#This Row],[Harga Barang A]]+Data[[#This Row],[Harga Barang B]]+Data[[#This Row],[Harga Barang C]]</f>
        <v>1680000</v>
      </c>
      <c r="Z457" s="35">
        <f>IFERROR(Data[[#This Row],[Total Harga]]-(Data[[#This Row],[Total Harga]]*Data[[#This Row],[Diskon]]),Data[[#This Row],[Total Harga]])</f>
        <v>1428000</v>
      </c>
      <c r="AA457" s="35">
        <f>(Data[[#This Row],[Profit A]]+Data[[#This Row],[Profit B]]+Data[[#This Row],[Profit C]])</f>
        <v>670000</v>
      </c>
      <c r="AB457" s="35">
        <f>IFERROR((Data[[#This Row],[Profit non Diskon]]-(Data[[#This Row],[Profit non Diskon]]*Data[[#This Row],[Diskon]])),Data[[#This Row],[Profit non Diskon]])</f>
        <v>569500</v>
      </c>
      <c r="AC457" s="23" t="s">
        <v>28</v>
      </c>
      <c r="AD457" s="37">
        <f>IFERROR(INDEX('Kode Diskon'!$D$3:$D$9,MATCH(Data[[#This Row],[Kode diskon]],'Kode Diskon'!$C$3:$C$9,0)),"-")</f>
        <v>0.15</v>
      </c>
      <c r="AE457" s="23" t="s">
        <v>29</v>
      </c>
      <c r="AF457" s="23" t="s">
        <v>14</v>
      </c>
      <c r="AG457" s="23" t="s">
        <v>80</v>
      </c>
      <c r="AH457" s="24">
        <v>45021</v>
      </c>
      <c r="AI457" s="23" t="str">
        <f>TEXT(Data[[#This Row],[Tanggal terjual]],"dddd")</f>
        <v>Wednesday</v>
      </c>
      <c r="AJ457" s="21" t="str">
        <f>TEXT(Data[[#This Row],[Tanggal terjual]],"wwww")</f>
        <v>wwww</v>
      </c>
    </row>
    <row r="458" spans="1:36" x14ac:dyDescent="0.2">
      <c r="A458" s="20">
        <v>457</v>
      </c>
      <c r="B458" s="21" t="str">
        <f>_xlfn.CONCAT("ORD-",INDEX(Helper!$B$2:$B$5,MATCH(Data[[#This Row],[Marketplace]],Helper!$A$2:$A$5,0)),TEXT(Data[[#This Row],[No]],"0000"),"-",TEXT(Data[[#This Row],[Tanggal terjual]],"dd/mm/yy"))</f>
        <v>ORD-TK0457-05/04/23</v>
      </c>
      <c r="C458" t="s">
        <v>60</v>
      </c>
      <c r="D458" t="str">
        <f>IFERROR(INDEX(Katalog!$A$3:$A$12,MATCH(Data[[#This Row],[ItemID A]],Katalog!$C$3:$C$12,0)),"-")</f>
        <v>Pakaian Wanita</v>
      </c>
      <c r="E458" t="str">
        <f>IFERROR(INDEX(Katalog!$B$3:$B$12,MATCH(Data[[#This Row],[ItemID A]],Katalog!$C$3:$C$12,0)),"-")</f>
        <v>Kaftan</v>
      </c>
      <c r="F458">
        <v>1</v>
      </c>
      <c r="G458">
        <v>5</v>
      </c>
      <c r="H458" s="36">
        <f>IFERROR(INDEX(Katalog!$D$3:$D$12,MATCH(Data[[#This Row],[ItemID A]],Katalog!$C$3:$C$12,0))*Data[[#This Row],[Qty A]],"0")</f>
        <v>250000</v>
      </c>
      <c r="I458" s="36">
        <f>IFERROR(INDEX(Katalog!$F$3:$F$12,MATCH(Data[[#This Row],[ItemID A]],Katalog!$C$3:$C$12,0))*Data[[#This Row],[Qty A]],0)</f>
        <v>100000</v>
      </c>
      <c r="J458" t="s">
        <v>62</v>
      </c>
      <c r="K458" t="str">
        <f>IFERROR(INDEX(Katalog!$A$3:$A$12,MATCH(Data[[#This Row],[ItemID B]],Katalog!$C$3:$C$12,0)),"-")</f>
        <v>Pakaian Pria</v>
      </c>
      <c r="L458" t="str">
        <f>IFERROR(INDEX(Katalog!$B$3:$B$12,MATCH(Data[[#This Row],[ItemID B]],Katalog!$C$3:$C$12,0)),"-")</f>
        <v>Celana Pendek</v>
      </c>
      <c r="M458">
        <v>2</v>
      </c>
      <c r="N458">
        <v>1</v>
      </c>
      <c r="O458" s="36">
        <f>IFERROR(INDEX(Katalog!$D$3:$D$12,MATCH(Data[[#This Row],[ItemID B]],Katalog!$C$3:$C$12,0))*Data[[#This Row],[Qty B]],"0")</f>
        <v>360000</v>
      </c>
      <c r="P458" s="36">
        <f>IFERROR(INDEX(Katalog!$F$3:$F$12,MATCH(Data[[#This Row],[ItemID B]],Katalog!$C$3:$C$12,0))*Data[[#This Row],[Qty B]],"0")</f>
        <v>140000</v>
      </c>
      <c r="R458" t="str">
        <f>IFERROR(INDEX(Katalog!$A$3:$A$12,MATCH(Data[[#This Row],[ItemID C]],Katalog!$C$3:$C$12,0)),"-")</f>
        <v>-</v>
      </c>
      <c r="S458" t="str">
        <f>IFERROR(INDEX(Katalog!$B$3:$B$12,MATCH(Data[[#This Row],[ItemID C]],Katalog!$C$3:$C$12,0)),"-")</f>
        <v>-</v>
      </c>
      <c r="V458" s="36" t="str">
        <f>IFERROR(INDEX(Katalog!$D$3:$D$12,MATCH(Data[[#This Row],[ItemID C]],Katalog!$C$3:$C$12,0))*Data[[#This Row],[Qty C]],"0")</f>
        <v>0</v>
      </c>
      <c r="W458" s="36" t="str">
        <f>IFERROR(INDEX(Katalog!$F$3:$F$12,MATCH(Data[[#This Row],[ItemID C]],Katalog!$C$3:$C$12,0))*Data[[#This Row],[Qty C]],"0")</f>
        <v>0</v>
      </c>
      <c r="X458" s="21">
        <f>Data[[#This Row],[Qty A]]+Data[[#This Row],[Qty B]]+Data[[#This Row],[Qty C]]</f>
        <v>3</v>
      </c>
      <c r="Y458" s="22">
        <f>Data[[#This Row],[Harga Barang A]]+Data[[#This Row],[Harga Barang B]]+Data[[#This Row],[Harga Barang C]]</f>
        <v>610000</v>
      </c>
      <c r="Z458" s="35">
        <f>IFERROR(Data[[#This Row],[Total Harga]]-(Data[[#This Row],[Total Harga]]*Data[[#This Row],[Diskon]]),Data[[#This Row],[Total Harga]])</f>
        <v>549000</v>
      </c>
      <c r="AA458" s="35">
        <f>(Data[[#This Row],[Profit A]]+Data[[#This Row],[Profit B]]+Data[[#This Row],[Profit C]])</f>
        <v>240000</v>
      </c>
      <c r="AB458" s="35">
        <f>IFERROR((Data[[#This Row],[Profit non Diskon]]-(Data[[#This Row],[Profit non Diskon]]*Data[[#This Row],[Diskon]])),Data[[#This Row],[Profit non Diskon]])</f>
        <v>216000</v>
      </c>
      <c r="AC458" s="23" t="s">
        <v>30</v>
      </c>
      <c r="AD458" s="37">
        <f>IFERROR(INDEX('Kode Diskon'!$D$3:$D$9,MATCH(Data[[#This Row],[Kode diskon]],'Kode Diskon'!$C$3:$C$9,0)),"-")</f>
        <v>0.1</v>
      </c>
      <c r="AE458" s="23" t="s">
        <v>29</v>
      </c>
      <c r="AF458" s="23" t="s">
        <v>10</v>
      </c>
      <c r="AG458" s="23" t="s">
        <v>76</v>
      </c>
      <c r="AH458" s="24">
        <v>45021</v>
      </c>
      <c r="AI458" s="23" t="str">
        <f>TEXT(Data[[#This Row],[Tanggal terjual]],"dddd")</f>
        <v>Wednesday</v>
      </c>
      <c r="AJ458" s="21" t="str">
        <f>TEXT(Data[[#This Row],[Tanggal terjual]],"wwww")</f>
        <v>wwww</v>
      </c>
    </row>
    <row r="459" spans="1:36" x14ac:dyDescent="0.2">
      <c r="A459" s="20">
        <v>458</v>
      </c>
      <c r="B459" s="21" t="str">
        <f>_xlfn.CONCAT("ORD-",INDEX(Helper!$B$2:$B$5,MATCH(Data[[#This Row],[Marketplace]],Helper!$A$2:$A$5,0)),TEXT(Data[[#This Row],[No]],"0000"),"-",TEXT(Data[[#This Row],[Tanggal terjual]],"dd/mm/yy"))</f>
        <v>ORD-BB0458-03/04/23</v>
      </c>
      <c r="C459" t="s">
        <v>67</v>
      </c>
      <c r="D459" t="str">
        <f>IFERROR(INDEX(Katalog!$A$3:$A$12,MATCH(Data[[#This Row],[ItemID A]],Katalog!$C$3:$C$12,0)),"-")</f>
        <v>Sepatu Wanita</v>
      </c>
      <c r="E459" t="str">
        <f>IFERROR(INDEX(Katalog!$B$3:$B$12,MATCH(Data[[#This Row],[ItemID A]],Katalog!$C$3:$C$12,0)),"-")</f>
        <v>Flat Shoes</v>
      </c>
      <c r="F459">
        <v>2</v>
      </c>
      <c r="G459">
        <v>2</v>
      </c>
      <c r="H459" s="36">
        <f>IFERROR(INDEX(Katalog!$D$3:$D$12,MATCH(Data[[#This Row],[ItemID A]],Katalog!$C$3:$C$12,0))*Data[[#This Row],[Qty A]],"0")</f>
        <v>500000</v>
      </c>
      <c r="I459" s="36">
        <f>IFERROR(INDEX(Katalog!$F$3:$F$12,MATCH(Data[[#This Row],[ItemID A]],Katalog!$C$3:$C$12,0))*Data[[#This Row],[Qty A]],0)</f>
        <v>200000</v>
      </c>
      <c r="J459" t="s">
        <v>62</v>
      </c>
      <c r="K459" t="str">
        <f>IFERROR(INDEX(Katalog!$A$3:$A$12,MATCH(Data[[#This Row],[ItemID B]],Katalog!$C$3:$C$12,0)),"-")</f>
        <v>Pakaian Pria</v>
      </c>
      <c r="L459" t="str">
        <f>IFERROR(INDEX(Katalog!$B$3:$B$12,MATCH(Data[[#This Row],[ItemID B]],Katalog!$C$3:$C$12,0)),"-")</f>
        <v>Celana Pendek</v>
      </c>
      <c r="M459">
        <v>2</v>
      </c>
      <c r="N459">
        <v>5</v>
      </c>
      <c r="O459" s="36">
        <f>IFERROR(INDEX(Katalog!$D$3:$D$12,MATCH(Data[[#This Row],[ItemID B]],Katalog!$C$3:$C$12,0))*Data[[#This Row],[Qty B]],"0")</f>
        <v>360000</v>
      </c>
      <c r="P459" s="36">
        <f>IFERROR(INDEX(Katalog!$F$3:$F$12,MATCH(Data[[#This Row],[ItemID B]],Katalog!$C$3:$C$12,0))*Data[[#This Row],[Qty B]],"0")</f>
        <v>140000</v>
      </c>
      <c r="R459" t="str">
        <f>IFERROR(INDEX(Katalog!$A$3:$A$12,MATCH(Data[[#This Row],[ItemID C]],Katalog!$C$3:$C$12,0)),"-")</f>
        <v>-</v>
      </c>
      <c r="S459" t="str">
        <f>IFERROR(INDEX(Katalog!$B$3:$B$12,MATCH(Data[[#This Row],[ItemID C]],Katalog!$C$3:$C$12,0)),"-")</f>
        <v>-</v>
      </c>
      <c r="V459" s="36" t="str">
        <f>IFERROR(INDEX(Katalog!$D$3:$D$12,MATCH(Data[[#This Row],[ItemID C]],Katalog!$C$3:$C$12,0))*Data[[#This Row],[Qty C]],"0")</f>
        <v>0</v>
      </c>
      <c r="W459" s="36" t="str">
        <f>IFERROR(INDEX(Katalog!$F$3:$F$12,MATCH(Data[[#This Row],[ItemID C]],Katalog!$C$3:$C$12,0))*Data[[#This Row],[Qty C]],"0")</f>
        <v>0</v>
      </c>
      <c r="X459" s="21">
        <f>Data[[#This Row],[Qty A]]+Data[[#This Row],[Qty B]]+Data[[#This Row],[Qty C]]</f>
        <v>4</v>
      </c>
      <c r="Y459" s="22">
        <f>Data[[#This Row],[Harga Barang A]]+Data[[#This Row],[Harga Barang B]]+Data[[#This Row],[Harga Barang C]]</f>
        <v>860000</v>
      </c>
      <c r="Z459" s="35">
        <f>IFERROR(Data[[#This Row],[Total Harga]]-(Data[[#This Row],[Total Harga]]*Data[[#This Row],[Diskon]]),Data[[#This Row],[Total Harga]])</f>
        <v>731000</v>
      </c>
      <c r="AA459" s="35">
        <f>(Data[[#This Row],[Profit A]]+Data[[#This Row],[Profit B]]+Data[[#This Row],[Profit C]])</f>
        <v>340000</v>
      </c>
      <c r="AB459" s="35">
        <f>IFERROR((Data[[#This Row],[Profit non Diskon]]-(Data[[#This Row],[Profit non Diskon]]*Data[[#This Row],[Diskon]])),Data[[#This Row],[Profit non Diskon]])</f>
        <v>289000</v>
      </c>
      <c r="AC459" s="23" t="s">
        <v>28</v>
      </c>
      <c r="AD459" s="37">
        <f>IFERROR(INDEX('Kode Diskon'!$D$3:$D$9,MATCH(Data[[#This Row],[Kode diskon]],'Kode Diskon'!$C$3:$C$9,0)),"-")</f>
        <v>0.15</v>
      </c>
      <c r="AE459" s="23" t="s">
        <v>29</v>
      </c>
      <c r="AF459" s="23" t="s">
        <v>14</v>
      </c>
      <c r="AG459" s="23" t="s">
        <v>77</v>
      </c>
      <c r="AH459" s="24">
        <v>45019</v>
      </c>
      <c r="AI459" s="23" t="str">
        <f>TEXT(Data[[#This Row],[Tanggal terjual]],"dddd")</f>
        <v>Monday</v>
      </c>
      <c r="AJ459" s="21" t="str">
        <f>TEXT(Data[[#This Row],[Tanggal terjual]],"wwww")</f>
        <v>wwww</v>
      </c>
    </row>
    <row r="460" spans="1:36" x14ac:dyDescent="0.2">
      <c r="A460" s="20">
        <v>459</v>
      </c>
      <c r="B460" s="21" t="str">
        <f>_xlfn.CONCAT("ORD-",INDEX(Helper!$B$2:$B$5,MATCH(Data[[#This Row],[Marketplace]],Helper!$A$2:$A$5,0)),TEXT(Data[[#This Row],[No]],"0000"),"-",TEXT(Data[[#This Row],[Tanggal terjual]],"dd/mm/yy"))</f>
        <v>ORD-BL0459-21/04/23</v>
      </c>
      <c r="C460" t="s">
        <v>66</v>
      </c>
      <c r="D460" t="str">
        <f>IFERROR(INDEX(Katalog!$A$3:$A$12,MATCH(Data[[#This Row],[ItemID A]],Katalog!$C$3:$C$12,0)),"-")</f>
        <v>Sepatu Pria</v>
      </c>
      <c r="E460" t="str">
        <f>IFERROR(INDEX(Katalog!$B$3:$B$12,MATCH(Data[[#This Row],[ItemID A]],Katalog!$C$3:$C$12,0)),"-")</f>
        <v>Sandal Slip On</v>
      </c>
      <c r="F460">
        <v>1</v>
      </c>
      <c r="G460">
        <v>4</v>
      </c>
      <c r="H460" s="36">
        <f>IFERROR(INDEX(Katalog!$D$3:$D$12,MATCH(Data[[#This Row],[ItemID A]],Katalog!$C$3:$C$12,0))*Data[[#This Row],[Qty A]],"0")</f>
        <v>150000</v>
      </c>
      <c r="I460" s="36">
        <f>IFERROR(INDEX(Katalog!$F$3:$F$12,MATCH(Data[[#This Row],[ItemID A]],Katalog!$C$3:$C$12,0))*Data[[#This Row],[Qty A]],0)</f>
        <v>60000</v>
      </c>
      <c r="J460" t="s">
        <v>58</v>
      </c>
      <c r="K460" t="str">
        <f>IFERROR(INDEX(Katalog!$A$3:$A$12,MATCH(Data[[#This Row],[ItemID B]],Katalog!$C$3:$C$12,0)),"-")</f>
        <v>Pakaian Wanita</v>
      </c>
      <c r="L460" t="str">
        <f>IFERROR(INDEX(Katalog!$B$3:$B$12,MATCH(Data[[#This Row],[ItemID B]],Katalog!$C$3:$C$12,0)),"-")</f>
        <v>Dress</v>
      </c>
      <c r="M460">
        <v>4</v>
      </c>
      <c r="N460">
        <v>3</v>
      </c>
      <c r="O460" s="36">
        <f>IFERROR(INDEX(Katalog!$D$3:$D$12,MATCH(Data[[#This Row],[ItemID B]],Katalog!$C$3:$C$12,0))*Data[[#This Row],[Qty B]],"0")</f>
        <v>1200000</v>
      </c>
      <c r="P460" s="36">
        <f>IFERROR(INDEX(Katalog!$F$3:$F$12,MATCH(Data[[#This Row],[ItemID B]],Katalog!$C$3:$C$12,0))*Data[[#This Row],[Qty B]],"0")</f>
        <v>400000</v>
      </c>
      <c r="Q460" t="s">
        <v>64</v>
      </c>
      <c r="R460" t="str">
        <f>IFERROR(INDEX(Katalog!$A$3:$A$12,MATCH(Data[[#This Row],[ItemID C]],Katalog!$C$3:$C$12,0)),"-")</f>
        <v>Pakaian Unisex</v>
      </c>
      <c r="S460" t="str">
        <f>IFERROR(INDEX(Katalog!$B$3:$B$12,MATCH(Data[[#This Row],[ItemID C]],Katalog!$C$3:$C$12,0)),"-")</f>
        <v>Jaket Hoodie</v>
      </c>
      <c r="T460">
        <v>1</v>
      </c>
      <c r="U460">
        <v>5</v>
      </c>
      <c r="V460" s="36">
        <f>IFERROR(INDEX(Katalog!$D$3:$D$12,MATCH(Data[[#This Row],[ItemID C]],Katalog!$C$3:$C$12,0))*Data[[#This Row],[Qty C]],"0")</f>
        <v>350000</v>
      </c>
      <c r="W460" s="36">
        <f>IFERROR(INDEX(Katalog!$F$3:$F$12,MATCH(Data[[#This Row],[ItemID C]],Katalog!$C$3:$C$12,0))*Data[[#This Row],[Qty C]],"0")</f>
        <v>130000</v>
      </c>
      <c r="X460" s="21">
        <f>Data[[#This Row],[Qty A]]+Data[[#This Row],[Qty B]]+Data[[#This Row],[Qty C]]</f>
        <v>6</v>
      </c>
      <c r="Y460" s="22">
        <f>Data[[#This Row],[Harga Barang A]]+Data[[#This Row],[Harga Barang B]]+Data[[#This Row],[Harga Barang C]]</f>
        <v>1700000</v>
      </c>
      <c r="Z460" s="35">
        <f>IFERROR(Data[[#This Row],[Total Harga]]-(Data[[#This Row],[Total Harga]]*Data[[#This Row],[Diskon]]),Data[[#This Row],[Total Harga]])</f>
        <v>1445000</v>
      </c>
      <c r="AA460" s="35">
        <f>(Data[[#This Row],[Profit A]]+Data[[#This Row],[Profit B]]+Data[[#This Row],[Profit C]])</f>
        <v>590000</v>
      </c>
      <c r="AB460" s="35">
        <f>IFERROR((Data[[#This Row],[Profit non Diskon]]-(Data[[#This Row],[Profit non Diskon]]*Data[[#This Row],[Diskon]])),Data[[#This Row],[Profit non Diskon]])</f>
        <v>501500</v>
      </c>
      <c r="AC460" s="23" t="s">
        <v>32</v>
      </c>
      <c r="AD460" s="37">
        <f>IFERROR(INDEX('Kode Diskon'!$D$3:$D$9,MATCH(Data[[#This Row],[Kode diskon]],'Kode Diskon'!$C$3:$C$9,0)),"-")</f>
        <v>0.15</v>
      </c>
      <c r="AE460" s="23" t="s">
        <v>9</v>
      </c>
      <c r="AF460" s="23" t="s">
        <v>12</v>
      </c>
      <c r="AG460" s="23" t="s">
        <v>75</v>
      </c>
      <c r="AH460" s="24">
        <v>45037</v>
      </c>
      <c r="AI460" s="23" t="str">
        <f>TEXT(Data[[#This Row],[Tanggal terjual]],"dddd")</f>
        <v>Friday</v>
      </c>
      <c r="AJ460" s="21" t="str">
        <f>TEXT(Data[[#This Row],[Tanggal terjual]],"wwww")</f>
        <v>wwww</v>
      </c>
    </row>
    <row r="461" spans="1:36" x14ac:dyDescent="0.2">
      <c r="A461" s="20">
        <v>460</v>
      </c>
      <c r="B461" s="21" t="str">
        <f>_xlfn.CONCAT("ORD-",INDEX(Helper!$B$2:$B$5,MATCH(Data[[#This Row],[Marketplace]],Helper!$A$2:$A$5,0)),TEXT(Data[[#This Row],[No]],"0000"),"-",TEXT(Data[[#This Row],[Tanggal terjual]],"dd/mm/yy"))</f>
        <v>ORD-SP0460-06/04/23</v>
      </c>
      <c r="C461" t="s">
        <v>61</v>
      </c>
      <c r="D461" t="str">
        <f>IFERROR(INDEX(Katalog!$A$3:$A$12,MATCH(Data[[#This Row],[ItemID A]],Katalog!$C$3:$C$12,0)),"-")</f>
        <v>Pakaian Pria</v>
      </c>
      <c r="E461" t="str">
        <f>IFERROR(INDEX(Katalog!$B$3:$B$12,MATCH(Data[[#This Row],[ItemID A]],Katalog!$C$3:$C$12,0)),"-")</f>
        <v>Kaos Polo</v>
      </c>
      <c r="F461">
        <v>4</v>
      </c>
      <c r="G461">
        <v>4</v>
      </c>
      <c r="H461" s="36">
        <f>IFERROR(INDEX(Katalog!$D$3:$D$12,MATCH(Data[[#This Row],[ItemID A]],Katalog!$C$3:$C$12,0))*Data[[#This Row],[Qty A]],"0")</f>
        <v>800000</v>
      </c>
      <c r="I461" s="36">
        <f>IFERROR(INDEX(Katalog!$F$3:$F$12,MATCH(Data[[#This Row],[ItemID A]],Katalog!$C$3:$C$12,0))*Data[[#This Row],[Qty A]],0)</f>
        <v>320000</v>
      </c>
      <c r="K461" t="str">
        <f>IFERROR(INDEX(Katalog!$A$3:$A$12,MATCH(Data[[#This Row],[ItemID B]],Katalog!$C$3:$C$12,0)),"-")</f>
        <v>-</v>
      </c>
      <c r="L461" t="str">
        <f>IFERROR(INDEX(Katalog!$B$3:$B$12,MATCH(Data[[#This Row],[ItemID B]],Katalog!$C$3:$C$12,0)),"-")</f>
        <v>-</v>
      </c>
      <c r="O461" s="36" t="str">
        <f>IFERROR(INDEX(Katalog!$D$3:$D$12,MATCH(Data[[#This Row],[ItemID B]],Katalog!$C$3:$C$12,0))*Data[[#This Row],[Qty B]],"0")</f>
        <v>0</v>
      </c>
      <c r="P461" s="36" t="str">
        <f>IFERROR(INDEX(Katalog!$F$3:$F$12,MATCH(Data[[#This Row],[ItemID B]],Katalog!$C$3:$C$12,0))*Data[[#This Row],[Qty B]],"0")</f>
        <v>0</v>
      </c>
      <c r="R461" t="str">
        <f>IFERROR(INDEX(Katalog!$A$3:$A$12,MATCH(Data[[#This Row],[ItemID C]],Katalog!$C$3:$C$12,0)),"-")</f>
        <v>-</v>
      </c>
      <c r="S461" t="str">
        <f>IFERROR(INDEX(Katalog!$B$3:$B$12,MATCH(Data[[#This Row],[ItemID C]],Katalog!$C$3:$C$12,0)),"-")</f>
        <v>-</v>
      </c>
      <c r="V461" s="36" t="str">
        <f>IFERROR(INDEX(Katalog!$D$3:$D$12,MATCH(Data[[#This Row],[ItemID C]],Katalog!$C$3:$C$12,0))*Data[[#This Row],[Qty C]],"0")</f>
        <v>0</v>
      </c>
      <c r="W461" s="36" t="str">
        <f>IFERROR(INDEX(Katalog!$F$3:$F$12,MATCH(Data[[#This Row],[ItemID C]],Katalog!$C$3:$C$12,0))*Data[[#This Row],[Qty C]],"0")</f>
        <v>0</v>
      </c>
      <c r="X461" s="21">
        <f>Data[[#This Row],[Qty A]]+Data[[#This Row],[Qty B]]+Data[[#This Row],[Qty C]]</f>
        <v>4</v>
      </c>
      <c r="Y461" s="22">
        <f>Data[[#This Row],[Harga Barang A]]+Data[[#This Row],[Harga Barang B]]+Data[[#This Row],[Harga Barang C]]</f>
        <v>800000</v>
      </c>
      <c r="Z461" s="35">
        <f>IFERROR(Data[[#This Row],[Total Harga]]-(Data[[#This Row],[Total Harga]]*Data[[#This Row],[Diskon]]),Data[[#This Row],[Total Harga]])</f>
        <v>720000</v>
      </c>
      <c r="AA461" s="35">
        <f>(Data[[#This Row],[Profit A]]+Data[[#This Row],[Profit B]]+Data[[#This Row],[Profit C]])</f>
        <v>320000</v>
      </c>
      <c r="AB461" s="35">
        <f>IFERROR((Data[[#This Row],[Profit non Diskon]]-(Data[[#This Row],[Profit non Diskon]]*Data[[#This Row],[Diskon]])),Data[[#This Row],[Profit non Diskon]])</f>
        <v>288000</v>
      </c>
      <c r="AC461" s="23" t="s">
        <v>6</v>
      </c>
      <c r="AD461" s="37">
        <f>IFERROR(INDEX('Kode Diskon'!$D$3:$D$9,MATCH(Data[[#This Row],[Kode diskon]],'Kode Diskon'!$C$3:$C$9,0)),"-")</f>
        <v>0.1</v>
      </c>
      <c r="AE461" s="23" t="s">
        <v>29</v>
      </c>
      <c r="AF461" s="23" t="s">
        <v>7</v>
      </c>
      <c r="AG461" s="23" t="s">
        <v>76</v>
      </c>
      <c r="AH461" s="24">
        <v>45022</v>
      </c>
      <c r="AI461" s="23" t="str">
        <f>TEXT(Data[[#This Row],[Tanggal terjual]],"dddd")</f>
        <v>Thursday</v>
      </c>
      <c r="AJ461" s="21" t="str">
        <f>TEXT(Data[[#This Row],[Tanggal terjual]],"wwww")</f>
        <v>wwww</v>
      </c>
    </row>
    <row r="462" spans="1:36" x14ac:dyDescent="0.2">
      <c r="A462" s="20">
        <v>461</v>
      </c>
      <c r="B462" s="21" t="str">
        <f>_xlfn.CONCAT("ORD-",INDEX(Helper!$B$2:$B$5,MATCH(Data[[#This Row],[Marketplace]],Helper!$A$2:$A$5,0)),TEXT(Data[[#This Row],[No]],"0000"),"-",TEXT(Data[[#This Row],[Tanggal terjual]],"dd/mm/yy"))</f>
        <v>ORD-SP0461-02/04/23</v>
      </c>
      <c r="C462" t="s">
        <v>64</v>
      </c>
      <c r="D462" t="str">
        <f>IFERROR(INDEX(Katalog!$A$3:$A$12,MATCH(Data[[#This Row],[ItemID A]],Katalog!$C$3:$C$12,0)),"-")</f>
        <v>Pakaian Unisex</v>
      </c>
      <c r="E462" t="str">
        <f>IFERROR(INDEX(Katalog!$B$3:$B$12,MATCH(Data[[#This Row],[ItemID A]],Katalog!$C$3:$C$12,0)),"-")</f>
        <v>Jaket Hoodie</v>
      </c>
      <c r="F462">
        <v>1</v>
      </c>
      <c r="G462">
        <v>5</v>
      </c>
      <c r="H462" s="36">
        <f>IFERROR(INDEX(Katalog!$D$3:$D$12,MATCH(Data[[#This Row],[ItemID A]],Katalog!$C$3:$C$12,0))*Data[[#This Row],[Qty A]],"0")</f>
        <v>350000</v>
      </c>
      <c r="I462" s="36">
        <f>IFERROR(INDEX(Katalog!$F$3:$F$12,MATCH(Data[[#This Row],[ItemID A]],Katalog!$C$3:$C$12,0))*Data[[#This Row],[Qty A]],0)</f>
        <v>130000</v>
      </c>
      <c r="K462" t="str">
        <f>IFERROR(INDEX(Katalog!$A$3:$A$12,MATCH(Data[[#This Row],[ItemID B]],Katalog!$C$3:$C$12,0)),"-")</f>
        <v>-</v>
      </c>
      <c r="L462" t="str">
        <f>IFERROR(INDEX(Katalog!$B$3:$B$12,MATCH(Data[[#This Row],[ItemID B]],Katalog!$C$3:$C$12,0)),"-")</f>
        <v>-</v>
      </c>
      <c r="O462" s="36" t="str">
        <f>IFERROR(INDEX(Katalog!$D$3:$D$12,MATCH(Data[[#This Row],[ItemID B]],Katalog!$C$3:$C$12,0))*Data[[#This Row],[Qty B]],"0")</f>
        <v>0</v>
      </c>
      <c r="P462" s="36" t="str">
        <f>IFERROR(INDEX(Katalog!$F$3:$F$12,MATCH(Data[[#This Row],[ItemID B]],Katalog!$C$3:$C$12,0))*Data[[#This Row],[Qty B]],"0")</f>
        <v>0</v>
      </c>
      <c r="R462" t="str">
        <f>IFERROR(INDEX(Katalog!$A$3:$A$12,MATCH(Data[[#This Row],[ItemID C]],Katalog!$C$3:$C$12,0)),"-")</f>
        <v>-</v>
      </c>
      <c r="S462" t="str">
        <f>IFERROR(INDEX(Katalog!$B$3:$B$12,MATCH(Data[[#This Row],[ItemID C]],Katalog!$C$3:$C$12,0)),"-")</f>
        <v>-</v>
      </c>
      <c r="V462" s="36" t="str">
        <f>IFERROR(INDEX(Katalog!$D$3:$D$12,MATCH(Data[[#This Row],[ItemID C]],Katalog!$C$3:$C$12,0))*Data[[#This Row],[Qty C]],"0")</f>
        <v>0</v>
      </c>
      <c r="W462" s="36" t="str">
        <f>IFERROR(INDEX(Katalog!$F$3:$F$12,MATCH(Data[[#This Row],[ItemID C]],Katalog!$C$3:$C$12,0))*Data[[#This Row],[Qty C]],"0")</f>
        <v>0</v>
      </c>
      <c r="X462" s="21">
        <f>Data[[#This Row],[Qty A]]+Data[[#This Row],[Qty B]]+Data[[#This Row],[Qty C]]</f>
        <v>1</v>
      </c>
      <c r="Y462" s="22">
        <f>Data[[#This Row],[Harga Barang A]]+Data[[#This Row],[Harga Barang B]]+Data[[#This Row],[Harga Barang C]]</f>
        <v>350000</v>
      </c>
      <c r="Z462" s="35">
        <f>IFERROR(Data[[#This Row],[Total Harga]]-(Data[[#This Row],[Total Harga]]*Data[[#This Row],[Diskon]]),Data[[#This Row],[Total Harga]])</f>
        <v>297500</v>
      </c>
      <c r="AA462" s="35">
        <f>(Data[[#This Row],[Profit A]]+Data[[#This Row],[Profit B]]+Data[[#This Row],[Profit C]])</f>
        <v>130000</v>
      </c>
      <c r="AB462" s="35">
        <f>IFERROR((Data[[#This Row],[Profit non Diskon]]-(Data[[#This Row],[Profit non Diskon]]*Data[[#This Row],[Diskon]])),Data[[#This Row],[Profit non Diskon]])</f>
        <v>110500</v>
      </c>
      <c r="AC462" s="23" t="s">
        <v>13</v>
      </c>
      <c r="AD462" s="37">
        <f>IFERROR(INDEX('Kode Diskon'!$D$3:$D$9,MATCH(Data[[#This Row],[Kode diskon]],'Kode Diskon'!$C$3:$C$9,0)),"-")</f>
        <v>0.15</v>
      </c>
      <c r="AE462" s="23" t="s">
        <v>29</v>
      </c>
      <c r="AF462" s="23" t="s">
        <v>7</v>
      </c>
      <c r="AG462" s="23" t="s">
        <v>76</v>
      </c>
      <c r="AH462" s="24">
        <v>45018</v>
      </c>
      <c r="AI462" s="23" t="str">
        <f>TEXT(Data[[#This Row],[Tanggal terjual]],"dddd")</f>
        <v>Sunday</v>
      </c>
      <c r="AJ462" s="21" t="str">
        <f>TEXT(Data[[#This Row],[Tanggal terjual]],"wwww")</f>
        <v>wwww</v>
      </c>
    </row>
    <row r="463" spans="1:36" x14ac:dyDescent="0.2">
      <c r="A463" s="20">
        <v>462</v>
      </c>
      <c r="B463" s="21" t="str">
        <f>_xlfn.CONCAT("ORD-",INDEX(Helper!$B$2:$B$5,MATCH(Data[[#This Row],[Marketplace]],Helper!$A$2:$A$5,0)),TEXT(Data[[#This Row],[No]],"0000"),"-",TEXT(Data[[#This Row],[Tanggal terjual]],"dd/mm/yy"))</f>
        <v>ORD-SP0462-27/04/23</v>
      </c>
      <c r="C463" t="s">
        <v>60</v>
      </c>
      <c r="D463" t="str">
        <f>IFERROR(INDEX(Katalog!$A$3:$A$12,MATCH(Data[[#This Row],[ItemID A]],Katalog!$C$3:$C$12,0)),"-")</f>
        <v>Pakaian Wanita</v>
      </c>
      <c r="E463" t="str">
        <f>IFERROR(INDEX(Katalog!$B$3:$B$12,MATCH(Data[[#This Row],[ItemID A]],Katalog!$C$3:$C$12,0)),"-")</f>
        <v>Kaftan</v>
      </c>
      <c r="F463">
        <v>2</v>
      </c>
      <c r="G463">
        <v>4</v>
      </c>
      <c r="H463" s="36">
        <f>IFERROR(INDEX(Katalog!$D$3:$D$12,MATCH(Data[[#This Row],[ItemID A]],Katalog!$C$3:$C$12,0))*Data[[#This Row],[Qty A]],"0")</f>
        <v>500000</v>
      </c>
      <c r="I463" s="36">
        <f>IFERROR(INDEX(Katalog!$F$3:$F$12,MATCH(Data[[#This Row],[ItemID A]],Katalog!$C$3:$C$12,0))*Data[[#This Row],[Qty A]],0)</f>
        <v>200000</v>
      </c>
      <c r="K463" t="str">
        <f>IFERROR(INDEX(Katalog!$A$3:$A$12,MATCH(Data[[#This Row],[ItemID B]],Katalog!$C$3:$C$12,0)),"-")</f>
        <v>-</v>
      </c>
      <c r="L463" t="str">
        <f>IFERROR(INDEX(Katalog!$B$3:$B$12,MATCH(Data[[#This Row],[ItemID B]],Katalog!$C$3:$C$12,0)),"-")</f>
        <v>-</v>
      </c>
      <c r="O463" s="36" t="str">
        <f>IFERROR(INDEX(Katalog!$D$3:$D$12,MATCH(Data[[#This Row],[ItemID B]],Katalog!$C$3:$C$12,0))*Data[[#This Row],[Qty B]],"0")</f>
        <v>0</v>
      </c>
      <c r="P463" s="36" t="str">
        <f>IFERROR(INDEX(Katalog!$F$3:$F$12,MATCH(Data[[#This Row],[ItemID B]],Katalog!$C$3:$C$12,0))*Data[[#This Row],[Qty B]],"0")</f>
        <v>0</v>
      </c>
      <c r="R463" t="str">
        <f>IFERROR(INDEX(Katalog!$A$3:$A$12,MATCH(Data[[#This Row],[ItemID C]],Katalog!$C$3:$C$12,0)),"-")</f>
        <v>-</v>
      </c>
      <c r="S463" t="str">
        <f>IFERROR(INDEX(Katalog!$B$3:$B$12,MATCH(Data[[#This Row],[ItemID C]],Katalog!$C$3:$C$12,0)),"-")</f>
        <v>-</v>
      </c>
      <c r="V463" s="36" t="str">
        <f>IFERROR(INDEX(Katalog!$D$3:$D$12,MATCH(Data[[#This Row],[ItemID C]],Katalog!$C$3:$C$12,0))*Data[[#This Row],[Qty C]],"0")</f>
        <v>0</v>
      </c>
      <c r="W463" s="36" t="str">
        <f>IFERROR(INDEX(Katalog!$F$3:$F$12,MATCH(Data[[#This Row],[ItemID C]],Katalog!$C$3:$C$12,0))*Data[[#This Row],[Qty C]],"0")</f>
        <v>0</v>
      </c>
      <c r="X463" s="21">
        <f>Data[[#This Row],[Qty A]]+Data[[#This Row],[Qty B]]+Data[[#This Row],[Qty C]]</f>
        <v>2</v>
      </c>
      <c r="Y463" s="22">
        <f>Data[[#This Row],[Harga Barang A]]+Data[[#This Row],[Harga Barang B]]+Data[[#This Row],[Harga Barang C]]</f>
        <v>500000</v>
      </c>
      <c r="Z463" s="35">
        <f>IFERROR(Data[[#This Row],[Total Harga]]-(Data[[#This Row],[Total Harga]]*Data[[#This Row],[Diskon]]),Data[[#This Row],[Total Harga]])</f>
        <v>400000</v>
      </c>
      <c r="AA463" s="35">
        <f>(Data[[#This Row],[Profit A]]+Data[[#This Row],[Profit B]]+Data[[#This Row],[Profit C]])</f>
        <v>200000</v>
      </c>
      <c r="AB463" s="35">
        <f>IFERROR((Data[[#This Row],[Profit non Diskon]]-(Data[[#This Row],[Profit non Diskon]]*Data[[#This Row],[Diskon]])),Data[[#This Row],[Profit non Diskon]])</f>
        <v>160000</v>
      </c>
      <c r="AC463" s="23" t="s">
        <v>8</v>
      </c>
      <c r="AD463" s="37">
        <f>IFERROR(INDEX('Kode Diskon'!$D$3:$D$9,MATCH(Data[[#This Row],[Kode diskon]],'Kode Diskon'!$C$3:$C$9,0)),"-")</f>
        <v>0.2</v>
      </c>
      <c r="AE463" s="23" t="s">
        <v>9</v>
      </c>
      <c r="AF463" s="23" t="s">
        <v>7</v>
      </c>
      <c r="AG463" s="23" t="s">
        <v>80</v>
      </c>
      <c r="AH463" s="24">
        <v>45043</v>
      </c>
      <c r="AI463" s="23" t="str">
        <f>TEXT(Data[[#This Row],[Tanggal terjual]],"dddd")</f>
        <v>Thursday</v>
      </c>
      <c r="AJ463" s="21" t="str">
        <f>TEXT(Data[[#This Row],[Tanggal terjual]],"wwww")</f>
        <v>wwww</v>
      </c>
    </row>
    <row r="464" spans="1:36" x14ac:dyDescent="0.2">
      <c r="A464" s="20">
        <v>463</v>
      </c>
      <c r="B464" s="21" t="str">
        <f>_xlfn.CONCAT("ORD-",INDEX(Helper!$B$2:$B$5,MATCH(Data[[#This Row],[Marketplace]],Helper!$A$2:$A$5,0)),TEXT(Data[[#This Row],[No]],"0000"),"-",TEXT(Data[[#This Row],[Tanggal terjual]],"dd/mm/yy"))</f>
        <v>ORD-TK0463-17/04/23</v>
      </c>
      <c r="C464" t="s">
        <v>67</v>
      </c>
      <c r="D464" t="str">
        <f>IFERROR(INDEX(Katalog!$A$3:$A$12,MATCH(Data[[#This Row],[ItemID A]],Katalog!$C$3:$C$12,0)),"-")</f>
        <v>Sepatu Wanita</v>
      </c>
      <c r="E464" t="str">
        <f>IFERROR(INDEX(Katalog!$B$3:$B$12,MATCH(Data[[#This Row],[ItemID A]],Katalog!$C$3:$C$12,0)),"-")</f>
        <v>Flat Shoes</v>
      </c>
      <c r="F464">
        <v>4</v>
      </c>
      <c r="G464">
        <v>2</v>
      </c>
      <c r="H464" s="36">
        <f>IFERROR(INDEX(Katalog!$D$3:$D$12,MATCH(Data[[#This Row],[ItemID A]],Katalog!$C$3:$C$12,0))*Data[[#This Row],[Qty A]],"0")</f>
        <v>1000000</v>
      </c>
      <c r="I464" s="36">
        <f>IFERROR(INDEX(Katalog!$F$3:$F$12,MATCH(Data[[#This Row],[ItemID A]],Katalog!$C$3:$C$12,0))*Data[[#This Row],[Qty A]],0)</f>
        <v>400000</v>
      </c>
      <c r="J464" t="s">
        <v>60</v>
      </c>
      <c r="K464" t="str">
        <f>IFERROR(INDEX(Katalog!$A$3:$A$12,MATCH(Data[[#This Row],[ItemID B]],Katalog!$C$3:$C$12,0)),"-")</f>
        <v>Pakaian Wanita</v>
      </c>
      <c r="L464" t="str">
        <f>IFERROR(INDEX(Katalog!$B$3:$B$12,MATCH(Data[[#This Row],[ItemID B]],Katalog!$C$3:$C$12,0)),"-")</f>
        <v>Kaftan</v>
      </c>
      <c r="M464">
        <v>3</v>
      </c>
      <c r="N464">
        <v>1</v>
      </c>
      <c r="O464" s="36">
        <f>IFERROR(INDEX(Katalog!$D$3:$D$12,MATCH(Data[[#This Row],[ItemID B]],Katalog!$C$3:$C$12,0))*Data[[#This Row],[Qty B]],"0")</f>
        <v>750000</v>
      </c>
      <c r="P464" s="36">
        <f>IFERROR(INDEX(Katalog!$F$3:$F$12,MATCH(Data[[#This Row],[ItemID B]],Katalog!$C$3:$C$12,0))*Data[[#This Row],[Qty B]],"0")</f>
        <v>300000</v>
      </c>
      <c r="R464" t="str">
        <f>IFERROR(INDEX(Katalog!$A$3:$A$12,MATCH(Data[[#This Row],[ItemID C]],Katalog!$C$3:$C$12,0)),"-")</f>
        <v>-</v>
      </c>
      <c r="S464" t="str">
        <f>IFERROR(INDEX(Katalog!$B$3:$B$12,MATCH(Data[[#This Row],[ItemID C]],Katalog!$C$3:$C$12,0)),"-")</f>
        <v>-</v>
      </c>
      <c r="V464" s="36" t="str">
        <f>IFERROR(INDEX(Katalog!$D$3:$D$12,MATCH(Data[[#This Row],[ItemID C]],Katalog!$C$3:$C$12,0))*Data[[#This Row],[Qty C]],"0")</f>
        <v>0</v>
      </c>
      <c r="W464" s="36" t="str">
        <f>IFERROR(INDEX(Katalog!$F$3:$F$12,MATCH(Data[[#This Row],[ItemID C]],Katalog!$C$3:$C$12,0))*Data[[#This Row],[Qty C]],"0")</f>
        <v>0</v>
      </c>
      <c r="X464" s="21">
        <f>Data[[#This Row],[Qty A]]+Data[[#This Row],[Qty B]]+Data[[#This Row],[Qty C]]</f>
        <v>7</v>
      </c>
      <c r="Y464" s="22">
        <f>Data[[#This Row],[Harga Barang A]]+Data[[#This Row],[Harga Barang B]]+Data[[#This Row],[Harga Barang C]]</f>
        <v>1750000</v>
      </c>
      <c r="Z464" s="35">
        <f>IFERROR(Data[[#This Row],[Total Harga]]-(Data[[#This Row],[Total Harga]]*Data[[#This Row],[Diskon]]),Data[[#This Row],[Total Harga]])</f>
        <v>1575000</v>
      </c>
      <c r="AA464" s="35">
        <f>(Data[[#This Row],[Profit A]]+Data[[#This Row],[Profit B]]+Data[[#This Row],[Profit C]])</f>
        <v>700000</v>
      </c>
      <c r="AB464" s="35">
        <f>IFERROR((Data[[#This Row],[Profit non Diskon]]-(Data[[#This Row],[Profit non Diskon]]*Data[[#This Row],[Diskon]])),Data[[#This Row],[Profit non Diskon]])</f>
        <v>630000</v>
      </c>
      <c r="AC464" s="23" t="s">
        <v>31</v>
      </c>
      <c r="AD464" s="37">
        <f>IFERROR(INDEX('Kode Diskon'!$D$3:$D$9,MATCH(Data[[#This Row],[Kode diskon]],'Kode Diskon'!$C$3:$C$9,0)),"-")</f>
        <v>0.1</v>
      </c>
      <c r="AE464" s="23" t="s">
        <v>9</v>
      </c>
      <c r="AF464" s="23" t="s">
        <v>10</v>
      </c>
      <c r="AG464" s="23" t="s">
        <v>80</v>
      </c>
      <c r="AH464" s="24">
        <v>45033</v>
      </c>
      <c r="AI464" s="23" t="str">
        <f>TEXT(Data[[#This Row],[Tanggal terjual]],"dddd")</f>
        <v>Monday</v>
      </c>
      <c r="AJ464" s="21" t="str">
        <f>TEXT(Data[[#This Row],[Tanggal terjual]],"wwww")</f>
        <v>wwww</v>
      </c>
    </row>
    <row r="465" spans="1:36" x14ac:dyDescent="0.2">
      <c r="A465" s="20">
        <v>464</v>
      </c>
      <c r="B465" s="21" t="str">
        <f>_xlfn.CONCAT("ORD-",INDEX(Helper!$B$2:$B$5,MATCH(Data[[#This Row],[Marketplace]],Helper!$A$2:$A$5,0)),TEXT(Data[[#This Row],[No]],"0000"),"-",TEXT(Data[[#This Row],[Tanggal terjual]],"dd/mm/yy"))</f>
        <v>ORD-TK0464-04/04/23</v>
      </c>
      <c r="C465" t="s">
        <v>65</v>
      </c>
      <c r="D465" t="str">
        <f>IFERROR(INDEX(Katalog!$A$3:$A$12,MATCH(Data[[#This Row],[ItemID A]],Katalog!$C$3:$C$12,0)),"-")</f>
        <v>Sepatu Pria</v>
      </c>
      <c r="E465" t="str">
        <f>IFERROR(INDEX(Katalog!$B$3:$B$12,MATCH(Data[[#This Row],[ItemID A]],Katalog!$C$3:$C$12,0)),"-")</f>
        <v>Sneakers</v>
      </c>
      <c r="F465">
        <v>2</v>
      </c>
      <c r="G465">
        <v>4</v>
      </c>
      <c r="H465" s="36">
        <f>IFERROR(INDEX(Katalog!$D$3:$D$12,MATCH(Data[[#This Row],[ItemID A]],Katalog!$C$3:$C$12,0))*Data[[#This Row],[Qty A]],"0")</f>
        <v>1000000</v>
      </c>
      <c r="I465" s="36">
        <f>IFERROR(INDEX(Katalog!$F$3:$F$12,MATCH(Data[[#This Row],[ItemID A]],Katalog!$C$3:$C$12,0))*Data[[#This Row],[Qty A]],0)</f>
        <v>400000</v>
      </c>
      <c r="K465" t="str">
        <f>IFERROR(INDEX(Katalog!$A$3:$A$12,MATCH(Data[[#This Row],[ItemID B]],Katalog!$C$3:$C$12,0)),"-")</f>
        <v>-</v>
      </c>
      <c r="L465" t="str">
        <f>IFERROR(INDEX(Katalog!$B$3:$B$12,MATCH(Data[[#This Row],[ItemID B]],Katalog!$C$3:$C$12,0)),"-")</f>
        <v>-</v>
      </c>
      <c r="O465" s="36" t="str">
        <f>IFERROR(INDEX(Katalog!$D$3:$D$12,MATCH(Data[[#This Row],[ItemID B]],Katalog!$C$3:$C$12,0))*Data[[#This Row],[Qty B]],"0")</f>
        <v>0</v>
      </c>
      <c r="P465" s="36" t="str">
        <f>IFERROR(INDEX(Katalog!$F$3:$F$12,MATCH(Data[[#This Row],[ItemID B]],Katalog!$C$3:$C$12,0))*Data[[#This Row],[Qty B]],"0")</f>
        <v>0</v>
      </c>
      <c r="R465" t="str">
        <f>IFERROR(INDEX(Katalog!$A$3:$A$12,MATCH(Data[[#This Row],[ItemID C]],Katalog!$C$3:$C$12,0)),"-")</f>
        <v>-</v>
      </c>
      <c r="S465" t="str">
        <f>IFERROR(INDEX(Katalog!$B$3:$B$12,MATCH(Data[[#This Row],[ItemID C]],Katalog!$C$3:$C$12,0)),"-")</f>
        <v>-</v>
      </c>
      <c r="V465" s="36" t="str">
        <f>IFERROR(INDEX(Katalog!$D$3:$D$12,MATCH(Data[[#This Row],[ItemID C]],Katalog!$C$3:$C$12,0))*Data[[#This Row],[Qty C]],"0")</f>
        <v>0</v>
      </c>
      <c r="W465" s="36" t="str">
        <f>IFERROR(INDEX(Katalog!$F$3:$F$12,MATCH(Data[[#This Row],[ItemID C]],Katalog!$C$3:$C$12,0))*Data[[#This Row],[Qty C]],"0")</f>
        <v>0</v>
      </c>
      <c r="X465" s="21">
        <f>Data[[#This Row],[Qty A]]+Data[[#This Row],[Qty B]]+Data[[#This Row],[Qty C]]</f>
        <v>2</v>
      </c>
      <c r="Y465" s="22">
        <f>Data[[#This Row],[Harga Barang A]]+Data[[#This Row],[Harga Barang B]]+Data[[#This Row],[Harga Barang C]]</f>
        <v>1000000</v>
      </c>
      <c r="Z465" s="35">
        <f>IFERROR(Data[[#This Row],[Total Harga]]-(Data[[#This Row],[Total Harga]]*Data[[#This Row],[Diskon]]),Data[[#This Row],[Total Harga]])</f>
        <v>900000</v>
      </c>
      <c r="AA465" s="35">
        <f>(Data[[#This Row],[Profit A]]+Data[[#This Row],[Profit B]]+Data[[#This Row],[Profit C]])</f>
        <v>400000</v>
      </c>
      <c r="AB465" s="35">
        <f>IFERROR((Data[[#This Row],[Profit non Diskon]]-(Data[[#This Row],[Profit non Diskon]]*Data[[#This Row],[Diskon]])),Data[[#This Row],[Profit non Diskon]])</f>
        <v>360000</v>
      </c>
      <c r="AC465" s="23" t="s">
        <v>30</v>
      </c>
      <c r="AD465" s="37">
        <f>IFERROR(INDEX('Kode Diskon'!$D$3:$D$9,MATCH(Data[[#This Row],[Kode diskon]],'Kode Diskon'!$C$3:$C$9,0)),"-")</f>
        <v>0.1</v>
      </c>
      <c r="AE465" s="23" t="s">
        <v>29</v>
      </c>
      <c r="AF465" s="23" t="s">
        <v>10</v>
      </c>
      <c r="AG465" s="23" t="s">
        <v>80</v>
      </c>
      <c r="AH465" s="24">
        <v>45020</v>
      </c>
      <c r="AI465" s="23" t="str">
        <f>TEXT(Data[[#This Row],[Tanggal terjual]],"dddd")</f>
        <v>Tuesday</v>
      </c>
      <c r="AJ465" s="21" t="str">
        <f>TEXT(Data[[#This Row],[Tanggal terjual]],"wwww")</f>
        <v>wwww</v>
      </c>
    </row>
    <row r="466" spans="1:36" x14ac:dyDescent="0.2">
      <c r="A466" s="20">
        <v>465</v>
      </c>
      <c r="B466" s="21" t="str">
        <f>_xlfn.CONCAT("ORD-",INDEX(Helper!$B$2:$B$5,MATCH(Data[[#This Row],[Marketplace]],Helper!$A$2:$A$5,0)),TEXT(Data[[#This Row],[No]],"0000"),"-",TEXT(Data[[#This Row],[Tanggal terjual]],"dd/mm/yy"))</f>
        <v>ORD-BL0465-18/04/23</v>
      </c>
      <c r="C466" t="s">
        <v>67</v>
      </c>
      <c r="D466" t="str">
        <f>IFERROR(INDEX(Katalog!$A$3:$A$12,MATCH(Data[[#This Row],[ItemID A]],Katalog!$C$3:$C$12,0)),"-")</f>
        <v>Sepatu Wanita</v>
      </c>
      <c r="E466" t="str">
        <f>IFERROR(INDEX(Katalog!$B$3:$B$12,MATCH(Data[[#This Row],[ItemID A]],Katalog!$C$3:$C$12,0)),"-")</f>
        <v>Flat Shoes</v>
      </c>
      <c r="F466">
        <v>1</v>
      </c>
      <c r="G466">
        <v>2</v>
      </c>
      <c r="H466" s="36">
        <f>IFERROR(INDEX(Katalog!$D$3:$D$12,MATCH(Data[[#This Row],[ItemID A]],Katalog!$C$3:$C$12,0))*Data[[#This Row],[Qty A]],"0")</f>
        <v>250000</v>
      </c>
      <c r="I466" s="36">
        <f>IFERROR(INDEX(Katalog!$F$3:$F$12,MATCH(Data[[#This Row],[ItemID A]],Katalog!$C$3:$C$12,0))*Data[[#This Row],[Qty A]],0)</f>
        <v>100000</v>
      </c>
      <c r="K466" t="str">
        <f>IFERROR(INDEX(Katalog!$A$3:$A$12,MATCH(Data[[#This Row],[ItemID B]],Katalog!$C$3:$C$12,0)),"-")</f>
        <v>-</v>
      </c>
      <c r="L466" t="str">
        <f>IFERROR(INDEX(Katalog!$B$3:$B$12,MATCH(Data[[#This Row],[ItemID B]],Katalog!$C$3:$C$12,0)),"-")</f>
        <v>-</v>
      </c>
      <c r="O466" s="36" t="str">
        <f>IFERROR(INDEX(Katalog!$D$3:$D$12,MATCH(Data[[#This Row],[ItemID B]],Katalog!$C$3:$C$12,0))*Data[[#This Row],[Qty B]],"0")</f>
        <v>0</v>
      </c>
      <c r="P466" s="36" t="str">
        <f>IFERROR(INDEX(Katalog!$F$3:$F$12,MATCH(Data[[#This Row],[ItemID B]],Katalog!$C$3:$C$12,0))*Data[[#This Row],[Qty B]],"0")</f>
        <v>0</v>
      </c>
      <c r="R466" t="str">
        <f>IFERROR(INDEX(Katalog!$A$3:$A$12,MATCH(Data[[#This Row],[ItemID C]],Katalog!$C$3:$C$12,0)),"-")</f>
        <v>-</v>
      </c>
      <c r="S466" t="str">
        <f>IFERROR(INDEX(Katalog!$B$3:$B$12,MATCH(Data[[#This Row],[ItemID C]],Katalog!$C$3:$C$12,0)),"-")</f>
        <v>-</v>
      </c>
      <c r="V466" s="36" t="str">
        <f>IFERROR(INDEX(Katalog!$D$3:$D$12,MATCH(Data[[#This Row],[ItemID C]],Katalog!$C$3:$C$12,0))*Data[[#This Row],[Qty C]],"0")</f>
        <v>0</v>
      </c>
      <c r="W466" s="36" t="str">
        <f>IFERROR(INDEX(Katalog!$F$3:$F$12,MATCH(Data[[#This Row],[ItemID C]],Katalog!$C$3:$C$12,0))*Data[[#This Row],[Qty C]],"0")</f>
        <v>0</v>
      </c>
      <c r="X466" s="21">
        <f>Data[[#This Row],[Qty A]]+Data[[#This Row],[Qty B]]+Data[[#This Row],[Qty C]]</f>
        <v>1</v>
      </c>
      <c r="Y466" s="22">
        <f>Data[[#This Row],[Harga Barang A]]+Data[[#This Row],[Harga Barang B]]+Data[[#This Row],[Harga Barang C]]</f>
        <v>250000</v>
      </c>
      <c r="Z466" s="35">
        <f>IFERROR(Data[[#This Row],[Total Harga]]-(Data[[#This Row],[Total Harga]]*Data[[#This Row],[Diskon]]),Data[[#This Row],[Total Harga]])</f>
        <v>212500</v>
      </c>
      <c r="AA466" s="35">
        <f>(Data[[#This Row],[Profit A]]+Data[[#This Row],[Profit B]]+Data[[#This Row],[Profit C]])</f>
        <v>100000</v>
      </c>
      <c r="AB466" s="35">
        <f>IFERROR((Data[[#This Row],[Profit non Diskon]]-(Data[[#This Row],[Profit non Diskon]]*Data[[#This Row],[Diskon]])),Data[[#This Row],[Profit non Diskon]])</f>
        <v>85000</v>
      </c>
      <c r="AC466" s="23" t="s">
        <v>32</v>
      </c>
      <c r="AD466" s="37">
        <f>IFERROR(INDEX('Kode Diskon'!$D$3:$D$9,MATCH(Data[[#This Row],[Kode diskon]],'Kode Diskon'!$C$3:$C$9,0)),"-")</f>
        <v>0.15</v>
      </c>
      <c r="AE466" s="23" t="s">
        <v>9</v>
      </c>
      <c r="AF466" s="23" t="s">
        <v>12</v>
      </c>
      <c r="AG466" s="23" t="s">
        <v>80</v>
      </c>
      <c r="AH466" s="24">
        <v>45034</v>
      </c>
      <c r="AI466" s="23" t="str">
        <f>TEXT(Data[[#This Row],[Tanggal terjual]],"dddd")</f>
        <v>Tuesday</v>
      </c>
      <c r="AJ466" s="21" t="str">
        <f>TEXT(Data[[#This Row],[Tanggal terjual]],"wwww")</f>
        <v>wwww</v>
      </c>
    </row>
    <row r="467" spans="1:36" x14ac:dyDescent="0.2">
      <c r="A467" s="20">
        <v>466</v>
      </c>
      <c r="B467" s="21" t="str">
        <f>_xlfn.CONCAT("ORD-",INDEX(Helper!$B$2:$B$5,MATCH(Data[[#This Row],[Marketplace]],Helper!$A$2:$A$5,0)),TEXT(Data[[#This Row],[No]],"0000"),"-",TEXT(Data[[#This Row],[Tanggal terjual]],"dd/mm/yy"))</f>
        <v>ORD-SP0466-05/04/23</v>
      </c>
      <c r="C467" t="s">
        <v>64</v>
      </c>
      <c r="D467" t="str">
        <f>IFERROR(INDEX(Katalog!$A$3:$A$12,MATCH(Data[[#This Row],[ItemID A]],Katalog!$C$3:$C$12,0)),"-")</f>
        <v>Pakaian Unisex</v>
      </c>
      <c r="E467" t="str">
        <f>IFERROR(INDEX(Katalog!$B$3:$B$12,MATCH(Data[[#This Row],[ItemID A]],Katalog!$C$3:$C$12,0)),"-")</f>
        <v>Jaket Hoodie</v>
      </c>
      <c r="F467">
        <v>1</v>
      </c>
      <c r="G467">
        <v>1</v>
      </c>
      <c r="H467" s="36">
        <f>IFERROR(INDEX(Katalog!$D$3:$D$12,MATCH(Data[[#This Row],[ItemID A]],Katalog!$C$3:$C$12,0))*Data[[#This Row],[Qty A]],"0")</f>
        <v>350000</v>
      </c>
      <c r="I467" s="36">
        <f>IFERROR(INDEX(Katalog!$F$3:$F$12,MATCH(Data[[#This Row],[ItemID A]],Katalog!$C$3:$C$12,0))*Data[[#This Row],[Qty A]],0)</f>
        <v>130000</v>
      </c>
      <c r="J467" t="s">
        <v>62</v>
      </c>
      <c r="K467" t="str">
        <f>IFERROR(INDEX(Katalog!$A$3:$A$12,MATCH(Data[[#This Row],[ItemID B]],Katalog!$C$3:$C$12,0)),"-")</f>
        <v>Pakaian Pria</v>
      </c>
      <c r="L467" t="str">
        <f>IFERROR(INDEX(Katalog!$B$3:$B$12,MATCH(Data[[#This Row],[ItemID B]],Katalog!$C$3:$C$12,0)),"-")</f>
        <v>Celana Pendek</v>
      </c>
      <c r="M467">
        <v>1</v>
      </c>
      <c r="N467">
        <v>4</v>
      </c>
      <c r="O467" s="36">
        <f>IFERROR(INDEX(Katalog!$D$3:$D$12,MATCH(Data[[#This Row],[ItemID B]],Katalog!$C$3:$C$12,0))*Data[[#This Row],[Qty B]],"0")</f>
        <v>180000</v>
      </c>
      <c r="P467" s="36">
        <f>IFERROR(INDEX(Katalog!$F$3:$F$12,MATCH(Data[[#This Row],[ItemID B]],Katalog!$C$3:$C$12,0))*Data[[#This Row],[Qty B]],"0")</f>
        <v>70000</v>
      </c>
      <c r="R467" t="str">
        <f>IFERROR(INDEX(Katalog!$A$3:$A$12,MATCH(Data[[#This Row],[ItemID C]],Katalog!$C$3:$C$12,0)),"-")</f>
        <v>-</v>
      </c>
      <c r="S467" t="str">
        <f>IFERROR(INDEX(Katalog!$B$3:$B$12,MATCH(Data[[#This Row],[ItemID C]],Katalog!$C$3:$C$12,0)),"-")</f>
        <v>-</v>
      </c>
      <c r="V467" s="36" t="str">
        <f>IFERROR(INDEX(Katalog!$D$3:$D$12,MATCH(Data[[#This Row],[ItemID C]],Katalog!$C$3:$C$12,0))*Data[[#This Row],[Qty C]],"0")</f>
        <v>0</v>
      </c>
      <c r="W467" s="36" t="str">
        <f>IFERROR(INDEX(Katalog!$F$3:$F$12,MATCH(Data[[#This Row],[ItemID C]],Katalog!$C$3:$C$12,0))*Data[[#This Row],[Qty C]],"0")</f>
        <v>0</v>
      </c>
      <c r="X467" s="21">
        <f>Data[[#This Row],[Qty A]]+Data[[#This Row],[Qty B]]+Data[[#This Row],[Qty C]]</f>
        <v>2</v>
      </c>
      <c r="Y467" s="22">
        <f>Data[[#This Row],[Harga Barang A]]+Data[[#This Row],[Harga Barang B]]+Data[[#This Row],[Harga Barang C]]</f>
        <v>530000</v>
      </c>
      <c r="Z467" s="35">
        <f>IFERROR(Data[[#This Row],[Total Harga]]-(Data[[#This Row],[Total Harga]]*Data[[#This Row],[Diskon]]),Data[[#This Row],[Total Harga]])</f>
        <v>450500</v>
      </c>
      <c r="AA467" s="35">
        <f>(Data[[#This Row],[Profit A]]+Data[[#This Row],[Profit B]]+Data[[#This Row],[Profit C]])</f>
        <v>200000</v>
      </c>
      <c r="AB467" s="35">
        <f>IFERROR((Data[[#This Row],[Profit non Diskon]]-(Data[[#This Row],[Profit non Diskon]]*Data[[#This Row],[Diskon]])),Data[[#This Row],[Profit non Diskon]])</f>
        <v>170000</v>
      </c>
      <c r="AC467" s="23" t="s">
        <v>13</v>
      </c>
      <c r="AD467" s="37">
        <f>IFERROR(INDEX('Kode Diskon'!$D$3:$D$9,MATCH(Data[[#This Row],[Kode diskon]],'Kode Diskon'!$C$3:$C$9,0)),"-")</f>
        <v>0.15</v>
      </c>
      <c r="AE467" s="23" t="s">
        <v>29</v>
      </c>
      <c r="AF467" s="23" t="s">
        <v>7</v>
      </c>
      <c r="AG467" s="23" t="s">
        <v>80</v>
      </c>
      <c r="AH467" s="24">
        <v>45021</v>
      </c>
      <c r="AI467" s="23" t="str">
        <f>TEXT(Data[[#This Row],[Tanggal terjual]],"dddd")</f>
        <v>Wednesday</v>
      </c>
      <c r="AJ467" s="21" t="str">
        <f>TEXT(Data[[#This Row],[Tanggal terjual]],"wwww")</f>
        <v>wwww</v>
      </c>
    </row>
    <row r="468" spans="1:36" x14ac:dyDescent="0.2">
      <c r="A468" s="20">
        <v>467</v>
      </c>
      <c r="B468" s="21" t="str">
        <f>_xlfn.CONCAT("ORD-",INDEX(Helper!$B$2:$B$5,MATCH(Data[[#This Row],[Marketplace]],Helper!$A$2:$A$5,0)),TEXT(Data[[#This Row],[No]],"0000"),"-",TEXT(Data[[#This Row],[Tanggal terjual]],"dd/mm/yy"))</f>
        <v>ORD-TK0467-25/04/23</v>
      </c>
      <c r="C468" t="s">
        <v>61</v>
      </c>
      <c r="D468" t="str">
        <f>IFERROR(INDEX(Katalog!$A$3:$A$12,MATCH(Data[[#This Row],[ItemID A]],Katalog!$C$3:$C$12,0)),"-")</f>
        <v>Pakaian Pria</v>
      </c>
      <c r="E468" t="str">
        <f>IFERROR(INDEX(Katalog!$B$3:$B$12,MATCH(Data[[#This Row],[ItemID A]],Katalog!$C$3:$C$12,0)),"-")</f>
        <v>Kaos Polo</v>
      </c>
      <c r="F468">
        <v>3</v>
      </c>
      <c r="G468">
        <v>5</v>
      </c>
      <c r="H468" s="36">
        <f>IFERROR(INDEX(Katalog!$D$3:$D$12,MATCH(Data[[#This Row],[ItemID A]],Katalog!$C$3:$C$12,0))*Data[[#This Row],[Qty A]],"0")</f>
        <v>600000</v>
      </c>
      <c r="I468" s="36">
        <f>IFERROR(INDEX(Katalog!$F$3:$F$12,MATCH(Data[[#This Row],[ItemID A]],Katalog!$C$3:$C$12,0))*Data[[#This Row],[Qty A]],0)</f>
        <v>240000</v>
      </c>
      <c r="K468" t="str">
        <f>IFERROR(INDEX(Katalog!$A$3:$A$12,MATCH(Data[[#This Row],[ItemID B]],Katalog!$C$3:$C$12,0)),"-")</f>
        <v>-</v>
      </c>
      <c r="L468" t="str">
        <f>IFERROR(INDEX(Katalog!$B$3:$B$12,MATCH(Data[[#This Row],[ItemID B]],Katalog!$C$3:$C$12,0)),"-")</f>
        <v>-</v>
      </c>
      <c r="O468" s="36" t="str">
        <f>IFERROR(INDEX(Katalog!$D$3:$D$12,MATCH(Data[[#This Row],[ItemID B]],Katalog!$C$3:$C$12,0))*Data[[#This Row],[Qty B]],"0")</f>
        <v>0</v>
      </c>
      <c r="P468" s="36" t="str">
        <f>IFERROR(INDEX(Katalog!$F$3:$F$12,MATCH(Data[[#This Row],[ItemID B]],Katalog!$C$3:$C$12,0))*Data[[#This Row],[Qty B]],"0")</f>
        <v>0</v>
      </c>
      <c r="R468" t="str">
        <f>IFERROR(INDEX(Katalog!$A$3:$A$12,MATCH(Data[[#This Row],[ItemID C]],Katalog!$C$3:$C$12,0)),"-")</f>
        <v>-</v>
      </c>
      <c r="S468" t="str">
        <f>IFERROR(INDEX(Katalog!$B$3:$B$12,MATCH(Data[[#This Row],[ItemID C]],Katalog!$C$3:$C$12,0)),"-")</f>
        <v>-</v>
      </c>
      <c r="V468" s="36" t="str">
        <f>IFERROR(INDEX(Katalog!$D$3:$D$12,MATCH(Data[[#This Row],[ItemID C]],Katalog!$C$3:$C$12,0))*Data[[#This Row],[Qty C]],"0")</f>
        <v>0</v>
      </c>
      <c r="W468" s="36" t="str">
        <f>IFERROR(INDEX(Katalog!$F$3:$F$12,MATCH(Data[[#This Row],[ItemID C]],Katalog!$C$3:$C$12,0))*Data[[#This Row],[Qty C]],"0")</f>
        <v>0</v>
      </c>
      <c r="X468" s="21">
        <f>Data[[#This Row],[Qty A]]+Data[[#This Row],[Qty B]]+Data[[#This Row],[Qty C]]</f>
        <v>3</v>
      </c>
      <c r="Y468" s="22">
        <f>Data[[#This Row],[Harga Barang A]]+Data[[#This Row],[Harga Barang B]]+Data[[#This Row],[Harga Barang C]]</f>
        <v>600000</v>
      </c>
      <c r="Z468" s="35">
        <f>IFERROR(Data[[#This Row],[Total Harga]]-(Data[[#This Row],[Total Harga]]*Data[[#This Row],[Diskon]]),Data[[#This Row],[Total Harga]])</f>
        <v>540000</v>
      </c>
      <c r="AA468" s="35">
        <f>(Data[[#This Row],[Profit A]]+Data[[#This Row],[Profit B]]+Data[[#This Row],[Profit C]])</f>
        <v>240000</v>
      </c>
      <c r="AB468" s="35">
        <f>IFERROR((Data[[#This Row],[Profit non Diskon]]-(Data[[#This Row],[Profit non Diskon]]*Data[[#This Row],[Diskon]])),Data[[#This Row],[Profit non Diskon]])</f>
        <v>216000</v>
      </c>
      <c r="AC468" s="23" t="s">
        <v>31</v>
      </c>
      <c r="AD468" s="37">
        <f>IFERROR(INDEX('Kode Diskon'!$D$3:$D$9,MATCH(Data[[#This Row],[Kode diskon]],'Kode Diskon'!$C$3:$C$9,0)),"-")</f>
        <v>0.1</v>
      </c>
      <c r="AE468" s="23" t="s">
        <v>9</v>
      </c>
      <c r="AF468" s="23" t="s">
        <v>10</v>
      </c>
      <c r="AG468" s="23" t="s">
        <v>80</v>
      </c>
      <c r="AH468" s="24">
        <v>45041</v>
      </c>
      <c r="AI468" s="23" t="str">
        <f>TEXT(Data[[#This Row],[Tanggal terjual]],"dddd")</f>
        <v>Tuesday</v>
      </c>
      <c r="AJ468" s="21" t="str">
        <f>TEXT(Data[[#This Row],[Tanggal terjual]],"wwww")</f>
        <v>wwww</v>
      </c>
    </row>
    <row r="469" spans="1:36" x14ac:dyDescent="0.2">
      <c r="A469" s="20">
        <v>468</v>
      </c>
      <c r="B469" s="21" t="str">
        <f>_xlfn.CONCAT("ORD-",INDEX(Helper!$B$2:$B$5,MATCH(Data[[#This Row],[Marketplace]],Helper!$A$2:$A$5,0)),TEXT(Data[[#This Row],[No]],"0000"),"-",TEXT(Data[[#This Row],[Tanggal terjual]],"dd/mm/yy"))</f>
        <v>ORD-TK0468-05/04/23</v>
      </c>
      <c r="C469" t="s">
        <v>64</v>
      </c>
      <c r="D469" t="str">
        <f>IFERROR(INDEX(Katalog!$A$3:$A$12,MATCH(Data[[#This Row],[ItemID A]],Katalog!$C$3:$C$12,0)),"-")</f>
        <v>Pakaian Unisex</v>
      </c>
      <c r="E469" t="str">
        <f>IFERROR(INDEX(Katalog!$B$3:$B$12,MATCH(Data[[#This Row],[ItemID A]],Katalog!$C$3:$C$12,0)),"-")</f>
        <v>Jaket Hoodie</v>
      </c>
      <c r="F469">
        <v>3</v>
      </c>
      <c r="G469">
        <v>5</v>
      </c>
      <c r="H469" s="36">
        <f>IFERROR(INDEX(Katalog!$D$3:$D$12,MATCH(Data[[#This Row],[ItemID A]],Katalog!$C$3:$C$12,0))*Data[[#This Row],[Qty A]],"0")</f>
        <v>1050000</v>
      </c>
      <c r="I469" s="36">
        <f>IFERROR(INDEX(Katalog!$F$3:$F$12,MATCH(Data[[#This Row],[ItemID A]],Katalog!$C$3:$C$12,0))*Data[[#This Row],[Qty A]],0)</f>
        <v>390000</v>
      </c>
      <c r="K469" t="str">
        <f>IFERROR(INDEX(Katalog!$A$3:$A$12,MATCH(Data[[#This Row],[ItemID B]],Katalog!$C$3:$C$12,0)),"-")</f>
        <v>-</v>
      </c>
      <c r="L469" t="str">
        <f>IFERROR(INDEX(Katalog!$B$3:$B$12,MATCH(Data[[#This Row],[ItemID B]],Katalog!$C$3:$C$12,0)),"-")</f>
        <v>-</v>
      </c>
      <c r="O469" s="36" t="str">
        <f>IFERROR(INDEX(Katalog!$D$3:$D$12,MATCH(Data[[#This Row],[ItemID B]],Katalog!$C$3:$C$12,0))*Data[[#This Row],[Qty B]],"0")</f>
        <v>0</v>
      </c>
      <c r="P469" s="36" t="str">
        <f>IFERROR(INDEX(Katalog!$F$3:$F$12,MATCH(Data[[#This Row],[ItemID B]],Katalog!$C$3:$C$12,0))*Data[[#This Row],[Qty B]],"0")</f>
        <v>0</v>
      </c>
      <c r="R469" t="str">
        <f>IFERROR(INDEX(Katalog!$A$3:$A$12,MATCH(Data[[#This Row],[ItemID C]],Katalog!$C$3:$C$12,0)),"-")</f>
        <v>-</v>
      </c>
      <c r="S469" t="str">
        <f>IFERROR(INDEX(Katalog!$B$3:$B$12,MATCH(Data[[#This Row],[ItemID C]],Katalog!$C$3:$C$12,0)),"-")</f>
        <v>-</v>
      </c>
      <c r="V469" s="36" t="str">
        <f>IFERROR(INDEX(Katalog!$D$3:$D$12,MATCH(Data[[#This Row],[ItemID C]],Katalog!$C$3:$C$12,0))*Data[[#This Row],[Qty C]],"0")</f>
        <v>0</v>
      </c>
      <c r="W469" s="36" t="str">
        <f>IFERROR(INDEX(Katalog!$F$3:$F$12,MATCH(Data[[#This Row],[ItemID C]],Katalog!$C$3:$C$12,0))*Data[[#This Row],[Qty C]],"0")</f>
        <v>0</v>
      </c>
      <c r="X469" s="21">
        <f>Data[[#This Row],[Qty A]]+Data[[#This Row],[Qty B]]+Data[[#This Row],[Qty C]]</f>
        <v>3</v>
      </c>
      <c r="Y469" s="22">
        <f>Data[[#This Row],[Harga Barang A]]+Data[[#This Row],[Harga Barang B]]+Data[[#This Row],[Harga Barang C]]</f>
        <v>1050000</v>
      </c>
      <c r="Z469" s="35">
        <f>IFERROR(Data[[#This Row],[Total Harga]]-(Data[[#This Row],[Total Harga]]*Data[[#This Row],[Diskon]]),Data[[#This Row],[Total Harga]])</f>
        <v>945000</v>
      </c>
      <c r="AA469" s="35">
        <f>(Data[[#This Row],[Profit A]]+Data[[#This Row],[Profit B]]+Data[[#This Row],[Profit C]])</f>
        <v>390000</v>
      </c>
      <c r="AB469" s="35">
        <f>IFERROR((Data[[#This Row],[Profit non Diskon]]-(Data[[#This Row],[Profit non Diskon]]*Data[[#This Row],[Diskon]])),Data[[#This Row],[Profit non Diskon]])</f>
        <v>351000</v>
      </c>
      <c r="AC469" s="23" t="s">
        <v>30</v>
      </c>
      <c r="AD469" s="37">
        <f>IFERROR(INDEX('Kode Diskon'!$D$3:$D$9,MATCH(Data[[#This Row],[Kode diskon]],'Kode Diskon'!$C$3:$C$9,0)),"-")</f>
        <v>0.1</v>
      </c>
      <c r="AE469" s="23" t="s">
        <v>29</v>
      </c>
      <c r="AF469" s="23" t="s">
        <v>10</v>
      </c>
      <c r="AG469" s="23" t="s">
        <v>79</v>
      </c>
      <c r="AH469" s="24">
        <v>45021</v>
      </c>
      <c r="AI469" s="23" t="str">
        <f>TEXT(Data[[#This Row],[Tanggal terjual]],"dddd")</f>
        <v>Wednesday</v>
      </c>
      <c r="AJ469" s="21" t="str">
        <f>TEXT(Data[[#This Row],[Tanggal terjual]],"wwww")</f>
        <v>wwww</v>
      </c>
    </row>
    <row r="470" spans="1:36" x14ac:dyDescent="0.2">
      <c r="A470" s="20">
        <v>469</v>
      </c>
      <c r="B470" s="21" t="str">
        <f>_xlfn.CONCAT("ORD-",INDEX(Helper!$B$2:$B$5,MATCH(Data[[#This Row],[Marketplace]],Helper!$A$2:$A$5,0)),TEXT(Data[[#This Row],[No]],"0000"),"-",TEXT(Data[[#This Row],[Tanggal terjual]],"dd/mm/yy"))</f>
        <v>ORD-SP0469-02/04/23</v>
      </c>
      <c r="C470" t="s">
        <v>66</v>
      </c>
      <c r="D470" t="str">
        <f>IFERROR(INDEX(Katalog!$A$3:$A$12,MATCH(Data[[#This Row],[ItemID A]],Katalog!$C$3:$C$12,0)),"-")</f>
        <v>Sepatu Pria</v>
      </c>
      <c r="E470" t="str">
        <f>IFERROR(INDEX(Katalog!$B$3:$B$12,MATCH(Data[[#This Row],[ItemID A]],Katalog!$C$3:$C$12,0)),"-")</f>
        <v>Sandal Slip On</v>
      </c>
      <c r="F470">
        <v>2</v>
      </c>
      <c r="G470">
        <v>5</v>
      </c>
      <c r="H470" s="36">
        <f>IFERROR(INDEX(Katalog!$D$3:$D$12,MATCH(Data[[#This Row],[ItemID A]],Katalog!$C$3:$C$12,0))*Data[[#This Row],[Qty A]],"0")</f>
        <v>300000</v>
      </c>
      <c r="I470" s="36">
        <f>IFERROR(INDEX(Katalog!$F$3:$F$12,MATCH(Data[[#This Row],[ItemID A]],Katalog!$C$3:$C$12,0))*Data[[#This Row],[Qty A]],0)</f>
        <v>120000</v>
      </c>
      <c r="K470" t="str">
        <f>IFERROR(INDEX(Katalog!$A$3:$A$12,MATCH(Data[[#This Row],[ItemID B]],Katalog!$C$3:$C$12,0)),"-")</f>
        <v>-</v>
      </c>
      <c r="L470" t="str">
        <f>IFERROR(INDEX(Katalog!$B$3:$B$12,MATCH(Data[[#This Row],[ItemID B]],Katalog!$C$3:$C$12,0)),"-")</f>
        <v>-</v>
      </c>
      <c r="O470" s="36" t="str">
        <f>IFERROR(INDEX(Katalog!$D$3:$D$12,MATCH(Data[[#This Row],[ItemID B]],Katalog!$C$3:$C$12,0))*Data[[#This Row],[Qty B]],"0")</f>
        <v>0</v>
      </c>
      <c r="P470" s="36" t="str">
        <f>IFERROR(INDEX(Katalog!$F$3:$F$12,MATCH(Data[[#This Row],[ItemID B]],Katalog!$C$3:$C$12,0))*Data[[#This Row],[Qty B]],"0")</f>
        <v>0</v>
      </c>
      <c r="R470" t="str">
        <f>IFERROR(INDEX(Katalog!$A$3:$A$12,MATCH(Data[[#This Row],[ItemID C]],Katalog!$C$3:$C$12,0)),"-")</f>
        <v>-</v>
      </c>
      <c r="S470" t="str">
        <f>IFERROR(INDEX(Katalog!$B$3:$B$12,MATCH(Data[[#This Row],[ItemID C]],Katalog!$C$3:$C$12,0)),"-")</f>
        <v>-</v>
      </c>
      <c r="V470" s="36" t="str">
        <f>IFERROR(INDEX(Katalog!$D$3:$D$12,MATCH(Data[[#This Row],[ItemID C]],Katalog!$C$3:$C$12,0))*Data[[#This Row],[Qty C]],"0")</f>
        <v>0</v>
      </c>
      <c r="W470" s="36" t="str">
        <f>IFERROR(INDEX(Katalog!$F$3:$F$12,MATCH(Data[[#This Row],[ItemID C]],Katalog!$C$3:$C$12,0))*Data[[#This Row],[Qty C]],"0")</f>
        <v>0</v>
      </c>
      <c r="X470" s="21">
        <f>Data[[#This Row],[Qty A]]+Data[[#This Row],[Qty B]]+Data[[#This Row],[Qty C]]</f>
        <v>2</v>
      </c>
      <c r="Y470" s="22">
        <f>Data[[#This Row],[Harga Barang A]]+Data[[#This Row],[Harga Barang B]]+Data[[#This Row],[Harga Barang C]]</f>
        <v>300000</v>
      </c>
      <c r="Z470" s="35">
        <f>IFERROR(Data[[#This Row],[Total Harga]]-(Data[[#This Row],[Total Harga]]*Data[[#This Row],[Diskon]]),Data[[#This Row],[Total Harga]])</f>
        <v>255000</v>
      </c>
      <c r="AA470" s="35">
        <f>(Data[[#This Row],[Profit A]]+Data[[#This Row],[Profit B]]+Data[[#This Row],[Profit C]])</f>
        <v>120000</v>
      </c>
      <c r="AB470" s="35">
        <f>IFERROR((Data[[#This Row],[Profit non Diskon]]-(Data[[#This Row],[Profit non Diskon]]*Data[[#This Row],[Diskon]])),Data[[#This Row],[Profit non Diskon]])</f>
        <v>102000</v>
      </c>
      <c r="AC470" s="23" t="s">
        <v>13</v>
      </c>
      <c r="AD470" s="37">
        <f>IFERROR(INDEX('Kode Diskon'!$D$3:$D$9,MATCH(Data[[#This Row],[Kode diskon]],'Kode Diskon'!$C$3:$C$9,0)),"-")</f>
        <v>0.15</v>
      </c>
      <c r="AE470" s="23" t="s">
        <v>29</v>
      </c>
      <c r="AF470" s="23" t="s">
        <v>7</v>
      </c>
      <c r="AG470" s="23" t="s">
        <v>75</v>
      </c>
      <c r="AH470" s="24">
        <v>45018</v>
      </c>
      <c r="AI470" s="23" t="str">
        <f>TEXT(Data[[#This Row],[Tanggal terjual]],"dddd")</f>
        <v>Sunday</v>
      </c>
      <c r="AJ470" s="21" t="str">
        <f>TEXT(Data[[#This Row],[Tanggal terjual]],"wwww")</f>
        <v>wwww</v>
      </c>
    </row>
    <row r="471" spans="1:36" x14ac:dyDescent="0.2">
      <c r="A471" s="20">
        <v>470</v>
      </c>
      <c r="B471" s="21" t="str">
        <f>_xlfn.CONCAT("ORD-",INDEX(Helper!$B$2:$B$5,MATCH(Data[[#This Row],[Marketplace]],Helper!$A$2:$A$5,0)),TEXT(Data[[#This Row],[No]],"0000"),"-",TEXT(Data[[#This Row],[Tanggal terjual]],"dd/mm/yy"))</f>
        <v>ORD-SP0470-03/04/23</v>
      </c>
      <c r="C471" t="s">
        <v>62</v>
      </c>
      <c r="D471" t="str">
        <f>IFERROR(INDEX(Katalog!$A$3:$A$12,MATCH(Data[[#This Row],[ItemID A]],Katalog!$C$3:$C$12,0)),"-")</f>
        <v>Pakaian Pria</v>
      </c>
      <c r="E471" t="str">
        <f>IFERROR(INDEX(Katalog!$B$3:$B$12,MATCH(Data[[#This Row],[ItemID A]],Katalog!$C$3:$C$12,0)),"-")</f>
        <v>Celana Pendek</v>
      </c>
      <c r="F471">
        <v>4</v>
      </c>
      <c r="G471">
        <v>5</v>
      </c>
      <c r="H471" s="36">
        <f>IFERROR(INDEX(Katalog!$D$3:$D$12,MATCH(Data[[#This Row],[ItemID A]],Katalog!$C$3:$C$12,0))*Data[[#This Row],[Qty A]],"0")</f>
        <v>720000</v>
      </c>
      <c r="I471" s="36">
        <f>IFERROR(INDEX(Katalog!$F$3:$F$12,MATCH(Data[[#This Row],[ItemID A]],Katalog!$C$3:$C$12,0))*Data[[#This Row],[Qty A]],0)</f>
        <v>280000</v>
      </c>
      <c r="J471" t="s">
        <v>59</v>
      </c>
      <c r="K471" t="str">
        <f>IFERROR(INDEX(Katalog!$A$3:$A$12,MATCH(Data[[#This Row],[ItemID B]],Katalog!$C$3:$C$12,0)),"-")</f>
        <v>Pakaian Wanita</v>
      </c>
      <c r="L471" t="str">
        <f>IFERROR(INDEX(Katalog!$B$3:$B$12,MATCH(Data[[#This Row],[ItemID B]],Katalog!$C$3:$C$12,0)),"-")</f>
        <v>Blouse</v>
      </c>
      <c r="M471">
        <v>1</v>
      </c>
      <c r="N471">
        <v>3</v>
      </c>
      <c r="O471" s="36">
        <f>IFERROR(INDEX(Katalog!$D$3:$D$12,MATCH(Data[[#This Row],[ItemID B]],Katalog!$C$3:$C$12,0))*Data[[#This Row],[Qty B]],"0")</f>
        <v>150000</v>
      </c>
      <c r="P471" s="36">
        <f>IFERROR(INDEX(Katalog!$F$3:$F$12,MATCH(Data[[#This Row],[ItemID B]],Katalog!$C$3:$C$12,0))*Data[[#This Row],[Qty B]],"0")</f>
        <v>50000</v>
      </c>
      <c r="Q471" t="s">
        <v>62</v>
      </c>
      <c r="R471" t="str">
        <f>IFERROR(INDEX(Katalog!$A$3:$A$12,MATCH(Data[[#This Row],[ItemID C]],Katalog!$C$3:$C$12,0)),"-")</f>
        <v>Pakaian Pria</v>
      </c>
      <c r="S471" t="str">
        <f>IFERROR(INDEX(Katalog!$B$3:$B$12,MATCH(Data[[#This Row],[ItemID C]],Katalog!$C$3:$C$12,0)),"-")</f>
        <v>Celana Pendek</v>
      </c>
      <c r="T471">
        <v>2</v>
      </c>
      <c r="U471">
        <v>4</v>
      </c>
      <c r="V471" s="36">
        <f>IFERROR(INDEX(Katalog!$D$3:$D$12,MATCH(Data[[#This Row],[ItemID C]],Katalog!$C$3:$C$12,0))*Data[[#This Row],[Qty C]],"0")</f>
        <v>360000</v>
      </c>
      <c r="W471" s="36">
        <f>IFERROR(INDEX(Katalog!$F$3:$F$12,MATCH(Data[[#This Row],[ItemID C]],Katalog!$C$3:$C$12,0))*Data[[#This Row],[Qty C]],"0")</f>
        <v>140000</v>
      </c>
      <c r="X471" s="21">
        <f>Data[[#This Row],[Qty A]]+Data[[#This Row],[Qty B]]+Data[[#This Row],[Qty C]]</f>
        <v>7</v>
      </c>
      <c r="Y471" s="22">
        <f>Data[[#This Row],[Harga Barang A]]+Data[[#This Row],[Harga Barang B]]+Data[[#This Row],[Harga Barang C]]</f>
        <v>1230000</v>
      </c>
      <c r="Z471" s="35">
        <f>IFERROR(Data[[#This Row],[Total Harga]]-(Data[[#This Row],[Total Harga]]*Data[[#This Row],[Diskon]]),Data[[#This Row],[Total Harga]])</f>
        <v>1045500</v>
      </c>
      <c r="AA471" s="35">
        <f>(Data[[#This Row],[Profit A]]+Data[[#This Row],[Profit B]]+Data[[#This Row],[Profit C]])</f>
        <v>470000</v>
      </c>
      <c r="AB471" s="35">
        <f>IFERROR((Data[[#This Row],[Profit non Diskon]]-(Data[[#This Row],[Profit non Diskon]]*Data[[#This Row],[Diskon]])),Data[[#This Row],[Profit non Diskon]])</f>
        <v>399500</v>
      </c>
      <c r="AC471" s="23" t="s">
        <v>13</v>
      </c>
      <c r="AD471" s="37">
        <f>IFERROR(INDEX('Kode Diskon'!$D$3:$D$9,MATCH(Data[[#This Row],[Kode diskon]],'Kode Diskon'!$C$3:$C$9,0)),"-")</f>
        <v>0.15</v>
      </c>
      <c r="AE471" s="23" t="s">
        <v>29</v>
      </c>
      <c r="AF471" s="23" t="s">
        <v>7</v>
      </c>
      <c r="AG471" s="23" t="s">
        <v>75</v>
      </c>
      <c r="AH471" s="24">
        <v>45019</v>
      </c>
      <c r="AI471" s="23" t="str">
        <f>TEXT(Data[[#This Row],[Tanggal terjual]],"dddd")</f>
        <v>Monday</v>
      </c>
      <c r="AJ471" s="21" t="str">
        <f>TEXT(Data[[#This Row],[Tanggal terjual]],"wwww")</f>
        <v>wwww</v>
      </c>
    </row>
    <row r="472" spans="1:36" x14ac:dyDescent="0.2">
      <c r="A472" s="20">
        <v>471</v>
      </c>
      <c r="B472" s="21" t="str">
        <f>_xlfn.CONCAT("ORD-",INDEX(Helper!$B$2:$B$5,MATCH(Data[[#This Row],[Marketplace]],Helper!$A$2:$A$5,0)),TEXT(Data[[#This Row],[No]],"0000"),"-",TEXT(Data[[#This Row],[Tanggal terjual]],"dd/mm/yy"))</f>
        <v>ORD-SP0471-24/04/23</v>
      </c>
      <c r="C472" t="s">
        <v>59</v>
      </c>
      <c r="D472" t="str">
        <f>IFERROR(INDEX(Katalog!$A$3:$A$12,MATCH(Data[[#This Row],[ItemID A]],Katalog!$C$3:$C$12,0)),"-")</f>
        <v>Pakaian Wanita</v>
      </c>
      <c r="E472" t="str">
        <f>IFERROR(INDEX(Katalog!$B$3:$B$12,MATCH(Data[[#This Row],[ItemID A]],Katalog!$C$3:$C$12,0)),"-")</f>
        <v>Blouse</v>
      </c>
      <c r="F472">
        <v>6</v>
      </c>
      <c r="G472">
        <v>5</v>
      </c>
      <c r="H472" s="36">
        <f>IFERROR(INDEX(Katalog!$D$3:$D$12,MATCH(Data[[#This Row],[ItemID A]],Katalog!$C$3:$C$12,0))*Data[[#This Row],[Qty A]],"0")</f>
        <v>900000</v>
      </c>
      <c r="I472" s="36">
        <f>IFERROR(INDEX(Katalog!$F$3:$F$12,MATCH(Data[[#This Row],[ItemID A]],Katalog!$C$3:$C$12,0))*Data[[#This Row],[Qty A]],0)</f>
        <v>300000</v>
      </c>
      <c r="J472" t="s">
        <v>65</v>
      </c>
      <c r="K472" t="str">
        <f>IFERROR(INDEX(Katalog!$A$3:$A$12,MATCH(Data[[#This Row],[ItemID B]],Katalog!$C$3:$C$12,0)),"-")</f>
        <v>Sepatu Pria</v>
      </c>
      <c r="L472" t="str">
        <f>IFERROR(INDEX(Katalog!$B$3:$B$12,MATCH(Data[[#This Row],[ItemID B]],Katalog!$C$3:$C$12,0)),"-")</f>
        <v>Sneakers</v>
      </c>
      <c r="M472">
        <v>1</v>
      </c>
      <c r="N472">
        <v>3</v>
      </c>
      <c r="O472" s="36">
        <f>IFERROR(INDEX(Katalog!$D$3:$D$12,MATCH(Data[[#This Row],[ItemID B]],Katalog!$C$3:$C$12,0))*Data[[#This Row],[Qty B]],"0")</f>
        <v>500000</v>
      </c>
      <c r="P472" s="36">
        <f>IFERROR(INDEX(Katalog!$F$3:$F$12,MATCH(Data[[#This Row],[ItemID B]],Katalog!$C$3:$C$12,0))*Data[[#This Row],[Qty B]],"0")</f>
        <v>200000</v>
      </c>
      <c r="R472" t="str">
        <f>IFERROR(INDEX(Katalog!$A$3:$A$12,MATCH(Data[[#This Row],[ItemID C]],Katalog!$C$3:$C$12,0)),"-")</f>
        <v>-</v>
      </c>
      <c r="S472" t="str">
        <f>IFERROR(INDEX(Katalog!$B$3:$B$12,MATCH(Data[[#This Row],[ItemID C]],Katalog!$C$3:$C$12,0)),"-")</f>
        <v>-</v>
      </c>
      <c r="V472" s="36" t="str">
        <f>IFERROR(INDEX(Katalog!$D$3:$D$12,MATCH(Data[[#This Row],[ItemID C]],Katalog!$C$3:$C$12,0))*Data[[#This Row],[Qty C]],"0")</f>
        <v>0</v>
      </c>
      <c r="W472" s="36" t="str">
        <f>IFERROR(INDEX(Katalog!$F$3:$F$12,MATCH(Data[[#This Row],[ItemID C]],Katalog!$C$3:$C$12,0))*Data[[#This Row],[Qty C]],"0")</f>
        <v>0</v>
      </c>
      <c r="X472" s="21">
        <f>Data[[#This Row],[Qty A]]+Data[[#This Row],[Qty B]]+Data[[#This Row],[Qty C]]</f>
        <v>7</v>
      </c>
      <c r="Y472" s="22">
        <f>Data[[#This Row],[Harga Barang A]]+Data[[#This Row],[Harga Barang B]]+Data[[#This Row],[Harga Barang C]]</f>
        <v>1400000</v>
      </c>
      <c r="Z472" s="35">
        <f>IFERROR(Data[[#This Row],[Total Harga]]-(Data[[#This Row],[Total Harga]]*Data[[#This Row],[Diskon]]),Data[[#This Row],[Total Harga]])</f>
        <v>1120000</v>
      </c>
      <c r="AA472" s="35">
        <f>(Data[[#This Row],[Profit A]]+Data[[#This Row],[Profit B]]+Data[[#This Row],[Profit C]])</f>
        <v>500000</v>
      </c>
      <c r="AB472" s="35">
        <f>IFERROR((Data[[#This Row],[Profit non Diskon]]-(Data[[#This Row],[Profit non Diskon]]*Data[[#This Row],[Diskon]])),Data[[#This Row],[Profit non Diskon]])</f>
        <v>400000</v>
      </c>
      <c r="AC472" s="23" t="s">
        <v>8</v>
      </c>
      <c r="AD472" s="37">
        <f>IFERROR(INDEX('Kode Diskon'!$D$3:$D$9,MATCH(Data[[#This Row],[Kode diskon]],'Kode Diskon'!$C$3:$C$9,0)),"-")</f>
        <v>0.2</v>
      </c>
      <c r="AE472" s="23" t="s">
        <v>9</v>
      </c>
      <c r="AF472" s="23" t="s">
        <v>7</v>
      </c>
      <c r="AG472" s="23" t="s">
        <v>76</v>
      </c>
      <c r="AH472" s="24">
        <v>45040</v>
      </c>
      <c r="AI472" s="23" t="str">
        <f>TEXT(Data[[#This Row],[Tanggal terjual]],"dddd")</f>
        <v>Monday</v>
      </c>
      <c r="AJ472" s="21" t="str">
        <f>TEXT(Data[[#This Row],[Tanggal terjual]],"wwww")</f>
        <v>wwww</v>
      </c>
    </row>
    <row r="473" spans="1:36" x14ac:dyDescent="0.2">
      <c r="A473" s="20">
        <v>472</v>
      </c>
      <c r="B473" s="21" t="str">
        <f>_xlfn.CONCAT("ORD-",INDEX(Helper!$B$2:$B$5,MATCH(Data[[#This Row],[Marketplace]],Helper!$A$2:$A$5,0)),TEXT(Data[[#This Row],[No]],"0000"),"-",TEXT(Data[[#This Row],[Tanggal terjual]],"dd/mm/yy"))</f>
        <v>ORD-SP0472-06/04/23</v>
      </c>
      <c r="C473" t="s">
        <v>65</v>
      </c>
      <c r="D473" t="str">
        <f>IFERROR(INDEX(Katalog!$A$3:$A$12,MATCH(Data[[#This Row],[ItemID A]],Katalog!$C$3:$C$12,0)),"-")</f>
        <v>Sepatu Pria</v>
      </c>
      <c r="E473" t="str">
        <f>IFERROR(INDEX(Katalog!$B$3:$B$12,MATCH(Data[[#This Row],[ItemID A]],Katalog!$C$3:$C$12,0)),"-")</f>
        <v>Sneakers</v>
      </c>
      <c r="F473">
        <v>2</v>
      </c>
      <c r="G473">
        <v>2</v>
      </c>
      <c r="H473" s="36">
        <f>IFERROR(INDEX(Katalog!$D$3:$D$12,MATCH(Data[[#This Row],[ItemID A]],Katalog!$C$3:$C$12,0))*Data[[#This Row],[Qty A]],"0")</f>
        <v>1000000</v>
      </c>
      <c r="I473" s="36">
        <f>IFERROR(INDEX(Katalog!$F$3:$F$12,MATCH(Data[[#This Row],[ItemID A]],Katalog!$C$3:$C$12,0))*Data[[#This Row],[Qty A]],0)</f>
        <v>400000</v>
      </c>
      <c r="K473" t="str">
        <f>IFERROR(INDEX(Katalog!$A$3:$A$12,MATCH(Data[[#This Row],[ItemID B]],Katalog!$C$3:$C$12,0)),"-")</f>
        <v>-</v>
      </c>
      <c r="L473" t="str">
        <f>IFERROR(INDEX(Katalog!$B$3:$B$12,MATCH(Data[[#This Row],[ItemID B]],Katalog!$C$3:$C$12,0)),"-")</f>
        <v>-</v>
      </c>
      <c r="O473" s="36" t="str">
        <f>IFERROR(INDEX(Katalog!$D$3:$D$12,MATCH(Data[[#This Row],[ItemID B]],Katalog!$C$3:$C$12,0))*Data[[#This Row],[Qty B]],"0")</f>
        <v>0</v>
      </c>
      <c r="P473" s="36" t="str">
        <f>IFERROR(INDEX(Katalog!$F$3:$F$12,MATCH(Data[[#This Row],[ItemID B]],Katalog!$C$3:$C$12,0))*Data[[#This Row],[Qty B]],"0")</f>
        <v>0</v>
      </c>
      <c r="R473" t="str">
        <f>IFERROR(INDEX(Katalog!$A$3:$A$12,MATCH(Data[[#This Row],[ItemID C]],Katalog!$C$3:$C$12,0)),"-")</f>
        <v>-</v>
      </c>
      <c r="S473" t="str">
        <f>IFERROR(INDEX(Katalog!$B$3:$B$12,MATCH(Data[[#This Row],[ItemID C]],Katalog!$C$3:$C$12,0)),"-")</f>
        <v>-</v>
      </c>
      <c r="V473" s="36" t="str">
        <f>IFERROR(INDEX(Katalog!$D$3:$D$12,MATCH(Data[[#This Row],[ItemID C]],Katalog!$C$3:$C$12,0))*Data[[#This Row],[Qty C]],"0")</f>
        <v>0</v>
      </c>
      <c r="W473" s="36" t="str">
        <f>IFERROR(INDEX(Katalog!$F$3:$F$12,MATCH(Data[[#This Row],[ItemID C]],Katalog!$C$3:$C$12,0))*Data[[#This Row],[Qty C]],"0")</f>
        <v>0</v>
      </c>
      <c r="X473" s="21">
        <f>Data[[#This Row],[Qty A]]+Data[[#This Row],[Qty B]]+Data[[#This Row],[Qty C]]</f>
        <v>2</v>
      </c>
      <c r="Y473" s="22">
        <f>Data[[#This Row],[Harga Barang A]]+Data[[#This Row],[Harga Barang B]]+Data[[#This Row],[Harga Barang C]]</f>
        <v>1000000</v>
      </c>
      <c r="Z473" s="35">
        <f>IFERROR(Data[[#This Row],[Total Harga]]-(Data[[#This Row],[Total Harga]]*Data[[#This Row],[Diskon]]),Data[[#This Row],[Total Harga]])</f>
        <v>900000</v>
      </c>
      <c r="AA473" s="35">
        <f>(Data[[#This Row],[Profit A]]+Data[[#This Row],[Profit B]]+Data[[#This Row],[Profit C]])</f>
        <v>400000</v>
      </c>
      <c r="AB473" s="35">
        <f>IFERROR((Data[[#This Row],[Profit non Diskon]]-(Data[[#This Row],[Profit non Diskon]]*Data[[#This Row],[Diskon]])),Data[[#This Row],[Profit non Diskon]])</f>
        <v>360000</v>
      </c>
      <c r="AC473" s="23" t="s">
        <v>6</v>
      </c>
      <c r="AD473" s="37">
        <f>IFERROR(INDEX('Kode Diskon'!$D$3:$D$9,MATCH(Data[[#This Row],[Kode diskon]],'Kode Diskon'!$C$3:$C$9,0)),"-")</f>
        <v>0.1</v>
      </c>
      <c r="AE473" s="23" t="s">
        <v>29</v>
      </c>
      <c r="AF473" s="23" t="s">
        <v>7</v>
      </c>
      <c r="AG473" s="23" t="s">
        <v>79</v>
      </c>
      <c r="AH473" s="24">
        <v>45022</v>
      </c>
      <c r="AI473" s="23" t="str">
        <f>TEXT(Data[[#This Row],[Tanggal terjual]],"dddd")</f>
        <v>Thursday</v>
      </c>
      <c r="AJ473" s="21" t="str">
        <f>TEXT(Data[[#This Row],[Tanggal terjual]],"wwww")</f>
        <v>wwww</v>
      </c>
    </row>
    <row r="474" spans="1:36" x14ac:dyDescent="0.2">
      <c r="A474" s="20">
        <v>473</v>
      </c>
      <c r="B474" s="21" t="str">
        <f>_xlfn.CONCAT("ORD-",INDEX(Helper!$B$2:$B$5,MATCH(Data[[#This Row],[Marketplace]],Helper!$A$2:$A$5,0)),TEXT(Data[[#This Row],[No]],"0000"),"-",TEXT(Data[[#This Row],[Tanggal terjual]],"dd/mm/yy"))</f>
        <v>ORD-SP0473-25/04/23</v>
      </c>
      <c r="C474" t="s">
        <v>58</v>
      </c>
      <c r="D474" t="str">
        <f>IFERROR(INDEX(Katalog!$A$3:$A$12,MATCH(Data[[#This Row],[ItemID A]],Katalog!$C$3:$C$12,0)),"-")</f>
        <v>Pakaian Wanita</v>
      </c>
      <c r="E474" t="str">
        <f>IFERROR(INDEX(Katalog!$B$3:$B$12,MATCH(Data[[#This Row],[ItemID A]],Katalog!$C$3:$C$12,0)),"-")</f>
        <v>Dress</v>
      </c>
      <c r="F474">
        <v>2</v>
      </c>
      <c r="G474">
        <v>3</v>
      </c>
      <c r="H474" s="36">
        <f>IFERROR(INDEX(Katalog!$D$3:$D$12,MATCH(Data[[#This Row],[ItemID A]],Katalog!$C$3:$C$12,0))*Data[[#This Row],[Qty A]],"0")</f>
        <v>600000</v>
      </c>
      <c r="I474" s="36">
        <f>IFERROR(INDEX(Katalog!$F$3:$F$12,MATCH(Data[[#This Row],[ItemID A]],Katalog!$C$3:$C$12,0))*Data[[#This Row],[Qty A]],0)</f>
        <v>200000</v>
      </c>
      <c r="K474" t="str">
        <f>IFERROR(INDEX(Katalog!$A$3:$A$12,MATCH(Data[[#This Row],[ItemID B]],Katalog!$C$3:$C$12,0)),"-")</f>
        <v>-</v>
      </c>
      <c r="L474" t="str">
        <f>IFERROR(INDEX(Katalog!$B$3:$B$12,MATCH(Data[[#This Row],[ItemID B]],Katalog!$C$3:$C$12,0)),"-")</f>
        <v>-</v>
      </c>
      <c r="O474" s="36" t="str">
        <f>IFERROR(INDEX(Katalog!$D$3:$D$12,MATCH(Data[[#This Row],[ItemID B]],Katalog!$C$3:$C$12,0))*Data[[#This Row],[Qty B]],"0")</f>
        <v>0</v>
      </c>
      <c r="P474" s="36" t="str">
        <f>IFERROR(INDEX(Katalog!$F$3:$F$12,MATCH(Data[[#This Row],[ItemID B]],Katalog!$C$3:$C$12,0))*Data[[#This Row],[Qty B]],"0")</f>
        <v>0</v>
      </c>
      <c r="R474" t="str">
        <f>IFERROR(INDEX(Katalog!$A$3:$A$12,MATCH(Data[[#This Row],[ItemID C]],Katalog!$C$3:$C$12,0)),"-")</f>
        <v>-</v>
      </c>
      <c r="S474" t="str">
        <f>IFERROR(INDEX(Katalog!$B$3:$B$12,MATCH(Data[[#This Row],[ItemID C]],Katalog!$C$3:$C$12,0)),"-")</f>
        <v>-</v>
      </c>
      <c r="V474" s="36" t="str">
        <f>IFERROR(INDEX(Katalog!$D$3:$D$12,MATCH(Data[[#This Row],[ItemID C]],Katalog!$C$3:$C$12,0))*Data[[#This Row],[Qty C]],"0")</f>
        <v>0</v>
      </c>
      <c r="W474" s="36" t="str">
        <f>IFERROR(INDEX(Katalog!$F$3:$F$12,MATCH(Data[[#This Row],[ItemID C]],Katalog!$C$3:$C$12,0))*Data[[#This Row],[Qty C]],"0")</f>
        <v>0</v>
      </c>
      <c r="X474" s="21">
        <f>Data[[#This Row],[Qty A]]+Data[[#This Row],[Qty B]]+Data[[#This Row],[Qty C]]</f>
        <v>2</v>
      </c>
      <c r="Y474" s="22">
        <f>Data[[#This Row],[Harga Barang A]]+Data[[#This Row],[Harga Barang B]]+Data[[#This Row],[Harga Barang C]]</f>
        <v>600000</v>
      </c>
      <c r="Z474" s="35">
        <f>IFERROR(Data[[#This Row],[Total Harga]]-(Data[[#This Row],[Total Harga]]*Data[[#This Row],[Diskon]]),Data[[#This Row],[Total Harga]])</f>
        <v>480000</v>
      </c>
      <c r="AA474" s="35">
        <f>(Data[[#This Row],[Profit A]]+Data[[#This Row],[Profit B]]+Data[[#This Row],[Profit C]])</f>
        <v>200000</v>
      </c>
      <c r="AB474" s="35">
        <f>IFERROR((Data[[#This Row],[Profit non Diskon]]-(Data[[#This Row],[Profit non Diskon]]*Data[[#This Row],[Diskon]])),Data[[#This Row],[Profit non Diskon]])</f>
        <v>160000</v>
      </c>
      <c r="AC474" s="23" t="s">
        <v>8</v>
      </c>
      <c r="AD474" s="37">
        <f>IFERROR(INDEX('Kode Diskon'!$D$3:$D$9,MATCH(Data[[#This Row],[Kode diskon]],'Kode Diskon'!$C$3:$C$9,0)),"-")</f>
        <v>0.2</v>
      </c>
      <c r="AE474" s="23" t="s">
        <v>9</v>
      </c>
      <c r="AF474" s="23" t="s">
        <v>7</v>
      </c>
      <c r="AG474" s="23" t="s">
        <v>80</v>
      </c>
      <c r="AH474" s="24">
        <v>45041</v>
      </c>
      <c r="AI474" s="23" t="str">
        <f>TEXT(Data[[#This Row],[Tanggal terjual]],"dddd")</f>
        <v>Tuesday</v>
      </c>
      <c r="AJ474" s="21" t="str">
        <f>TEXT(Data[[#This Row],[Tanggal terjual]],"wwww")</f>
        <v>wwww</v>
      </c>
    </row>
    <row r="475" spans="1:36" x14ac:dyDescent="0.2">
      <c r="A475" s="20">
        <v>474</v>
      </c>
      <c r="B475" s="21" t="str">
        <f>_xlfn.CONCAT("ORD-",INDEX(Helper!$B$2:$B$5,MATCH(Data[[#This Row],[Marketplace]],Helper!$A$2:$A$5,0)),TEXT(Data[[#This Row],[No]],"0000"),"-",TEXT(Data[[#This Row],[Tanggal terjual]],"dd/mm/yy"))</f>
        <v>ORD-TK0474-19/04/23</v>
      </c>
      <c r="C475" t="s">
        <v>58</v>
      </c>
      <c r="D475" t="str">
        <f>IFERROR(INDEX(Katalog!$A$3:$A$12,MATCH(Data[[#This Row],[ItemID A]],Katalog!$C$3:$C$12,0)),"-")</f>
        <v>Pakaian Wanita</v>
      </c>
      <c r="E475" t="str">
        <f>IFERROR(INDEX(Katalog!$B$3:$B$12,MATCH(Data[[#This Row],[ItemID A]],Katalog!$C$3:$C$12,0)),"-")</f>
        <v>Dress</v>
      </c>
      <c r="F475">
        <v>1</v>
      </c>
      <c r="G475">
        <v>1</v>
      </c>
      <c r="H475" s="36">
        <f>IFERROR(INDEX(Katalog!$D$3:$D$12,MATCH(Data[[#This Row],[ItemID A]],Katalog!$C$3:$C$12,0))*Data[[#This Row],[Qty A]],"0")</f>
        <v>300000</v>
      </c>
      <c r="I475" s="36">
        <f>IFERROR(INDEX(Katalog!$F$3:$F$12,MATCH(Data[[#This Row],[ItemID A]],Katalog!$C$3:$C$12,0))*Data[[#This Row],[Qty A]],0)</f>
        <v>100000</v>
      </c>
      <c r="J475" t="s">
        <v>61</v>
      </c>
      <c r="K475" t="str">
        <f>IFERROR(INDEX(Katalog!$A$3:$A$12,MATCH(Data[[#This Row],[ItemID B]],Katalog!$C$3:$C$12,0)),"-")</f>
        <v>Pakaian Pria</v>
      </c>
      <c r="L475" t="str">
        <f>IFERROR(INDEX(Katalog!$B$3:$B$12,MATCH(Data[[#This Row],[ItemID B]],Katalog!$C$3:$C$12,0)),"-")</f>
        <v>Kaos Polo</v>
      </c>
      <c r="M475">
        <v>1</v>
      </c>
      <c r="N475">
        <v>5</v>
      </c>
      <c r="O475" s="36">
        <f>IFERROR(INDEX(Katalog!$D$3:$D$12,MATCH(Data[[#This Row],[ItemID B]],Katalog!$C$3:$C$12,0))*Data[[#This Row],[Qty B]],"0")</f>
        <v>200000</v>
      </c>
      <c r="P475" s="36">
        <f>IFERROR(INDEX(Katalog!$F$3:$F$12,MATCH(Data[[#This Row],[ItemID B]],Katalog!$C$3:$C$12,0))*Data[[#This Row],[Qty B]],"0")</f>
        <v>80000</v>
      </c>
      <c r="Q475" t="s">
        <v>59</v>
      </c>
      <c r="R475" t="str">
        <f>IFERROR(INDEX(Katalog!$A$3:$A$12,MATCH(Data[[#This Row],[ItemID C]],Katalog!$C$3:$C$12,0)),"-")</f>
        <v>Pakaian Wanita</v>
      </c>
      <c r="S475" t="str">
        <f>IFERROR(INDEX(Katalog!$B$3:$B$12,MATCH(Data[[#This Row],[ItemID C]],Katalog!$C$3:$C$12,0)),"-")</f>
        <v>Blouse</v>
      </c>
      <c r="T475">
        <v>3</v>
      </c>
      <c r="U475">
        <v>4</v>
      </c>
      <c r="V475" s="36">
        <f>IFERROR(INDEX(Katalog!$D$3:$D$12,MATCH(Data[[#This Row],[ItemID C]],Katalog!$C$3:$C$12,0))*Data[[#This Row],[Qty C]],"0")</f>
        <v>450000</v>
      </c>
      <c r="W475" s="36">
        <f>IFERROR(INDEX(Katalog!$F$3:$F$12,MATCH(Data[[#This Row],[ItemID C]],Katalog!$C$3:$C$12,0))*Data[[#This Row],[Qty C]],"0")</f>
        <v>150000</v>
      </c>
      <c r="X475" s="21">
        <f>Data[[#This Row],[Qty A]]+Data[[#This Row],[Qty B]]+Data[[#This Row],[Qty C]]</f>
        <v>5</v>
      </c>
      <c r="Y475" s="22">
        <f>Data[[#This Row],[Harga Barang A]]+Data[[#This Row],[Harga Barang B]]+Data[[#This Row],[Harga Barang C]]</f>
        <v>950000</v>
      </c>
      <c r="Z475" s="35">
        <f>IFERROR(Data[[#This Row],[Total Harga]]-(Data[[#This Row],[Total Harga]]*Data[[#This Row],[Diskon]]),Data[[#This Row],[Total Harga]])</f>
        <v>855000</v>
      </c>
      <c r="AA475" s="35">
        <f>(Data[[#This Row],[Profit A]]+Data[[#This Row],[Profit B]]+Data[[#This Row],[Profit C]])</f>
        <v>330000</v>
      </c>
      <c r="AB475" s="35">
        <f>IFERROR((Data[[#This Row],[Profit non Diskon]]-(Data[[#This Row],[Profit non Diskon]]*Data[[#This Row],[Diskon]])),Data[[#This Row],[Profit non Diskon]])</f>
        <v>297000</v>
      </c>
      <c r="AC475" s="23" t="s">
        <v>31</v>
      </c>
      <c r="AD475" s="37">
        <f>IFERROR(INDEX('Kode Diskon'!$D$3:$D$9,MATCH(Data[[#This Row],[Kode diskon]],'Kode Diskon'!$C$3:$C$9,0)),"-")</f>
        <v>0.1</v>
      </c>
      <c r="AE475" s="23" t="s">
        <v>9</v>
      </c>
      <c r="AF475" s="23" t="s">
        <v>10</v>
      </c>
      <c r="AG475" s="23" t="s">
        <v>80</v>
      </c>
      <c r="AH475" s="24">
        <v>45035</v>
      </c>
      <c r="AI475" s="23" t="str">
        <f>TEXT(Data[[#This Row],[Tanggal terjual]],"dddd")</f>
        <v>Wednesday</v>
      </c>
      <c r="AJ475" s="21" t="str">
        <f>TEXT(Data[[#This Row],[Tanggal terjual]],"wwww")</f>
        <v>wwww</v>
      </c>
    </row>
    <row r="476" spans="1:36" x14ac:dyDescent="0.2">
      <c r="A476" s="20">
        <v>475</v>
      </c>
      <c r="B476" s="21" t="str">
        <f>_xlfn.CONCAT("ORD-",INDEX(Helper!$B$2:$B$5,MATCH(Data[[#This Row],[Marketplace]],Helper!$A$2:$A$5,0)),TEXT(Data[[#This Row],[No]],"0000"),"-",TEXT(Data[[#This Row],[Tanggal terjual]],"dd/mm/yy"))</f>
        <v>ORD-SP0475-01/04/23</v>
      </c>
      <c r="C476" t="s">
        <v>62</v>
      </c>
      <c r="D476" t="str">
        <f>IFERROR(INDEX(Katalog!$A$3:$A$12,MATCH(Data[[#This Row],[ItemID A]],Katalog!$C$3:$C$12,0)),"-")</f>
        <v>Pakaian Pria</v>
      </c>
      <c r="E476" t="str">
        <f>IFERROR(INDEX(Katalog!$B$3:$B$12,MATCH(Data[[#This Row],[ItemID A]],Katalog!$C$3:$C$12,0)),"-")</f>
        <v>Celana Pendek</v>
      </c>
      <c r="F476">
        <v>2</v>
      </c>
      <c r="G476">
        <v>3</v>
      </c>
      <c r="H476" s="36">
        <f>IFERROR(INDEX(Katalog!$D$3:$D$12,MATCH(Data[[#This Row],[ItemID A]],Katalog!$C$3:$C$12,0))*Data[[#This Row],[Qty A]],"0")</f>
        <v>360000</v>
      </c>
      <c r="I476" s="36">
        <f>IFERROR(INDEX(Katalog!$F$3:$F$12,MATCH(Data[[#This Row],[ItemID A]],Katalog!$C$3:$C$12,0))*Data[[#This Row],[Qty A]],0)</f>
        <v>140000</v>
      </c>
      <c r="J476" t="s">
        <v>58</v>
      </c>
      <c r="K476" t="str">
        <f>IFERROR(INDEX(Katalog!$A$3:$A$12,MATCH(Data[[#This Row],[ItemID B]],Katalog!$C$3:$C$12,0)),"-")</f>
        <v>Pakaian Wanita</v>
      </c>
      <c r="L476" t="str">
        <f>IFERROR(INDEX(Katalog!$B$3:$B$12,MATCH(Data[[#This Row],[ItemID B]],Katalog!$C$3:$C$12,0)),"-")</f>
        <v>Dress</v>
      </c>
      <c r="M476">
        <v>1</v>
      </c>
      <c r="N476">
        <v>3</v>
      </c>
      <c r="O476" s="36">
        <f>IFERROR(INDEX(Katalog!$D$3:$D$12,MATCH(Data[[#This Row],[ItemID B]],Katalog!$C$3:$C$12,0))*Data[[#This Row],[Qty B]],"0")</f>
        <v>300000</v>
      </c>
      <c r="P476" s="36">
        <f>IFERROR(INDEX(Katalog!$F$3:$F$12,MATCH(Data[[#This Row],[ItemID B]],Katalog!$C$3:$C$12,0))*Data[[#This Row],[Qty B]],"0")</f>
        <v>100000</v>
      </c>
      <c r="R476" t="str">
        <f>IFERROR(INDEX(Katalog!$A$3:$A$12,MATCH(Data[[#This Row],[ItemID C]],Katalog!$C$3:$C$12,0)),"-")</f>
        <v>-</v>
      </c>
      <c r="S476" t="str">
        <f>IFERROR(INDEX(Katalog!$B$3:$B$12,MATCH(Data[[#This Row],[ItemID C]],Katalog!$C$3:$C$12,0)),"-")</f>
        <v>-</v>
      </c>
      <c r="V476" s="36" t="str">
        <f>IFERROR(INDEX(Katalog!$D$3:$D$12,MATCH(Data[[#This Row],[ItemID C]],Katalog!$C$3:$C$12,0))*Data[[#This Row],[Qty C]],"0")</f>
        <v>0</v>
      </c>
      <c r="W476" s="36" t="str">
        <f>IFERROR(INDEX(Katalog!$F$3:$F$12,MATCH(Data[[#This Row],[ItemID C]],Katalog!$C$3:$C$12,0))*Data[[#This Row],[Qty C]],"0")</f>
        <v>0</v>
      </c>
      <c r="X476" s="21">
        <f>Data[[#This Row],[Qty A]]+Data[[#This Row],[Qty B]]+Data[[#This Row],[Qty C]]</f>
        <v>3</v>
      </c>
      <c r="Y476" s="22">
        <f>Data[[#This Row],[Harga Barang A]]+Data[[#This Row],[Harga Barang B]]+Data[[#This Row],[Harga Barang C]]</f>
        <v>660000</v>
      </c>
      <c r="Z476" s="35">
        <f>IFERROR(Data[[#This Row],[Total Harga]]-(Data[[#This Row],[Total Harga]]*Data[[#This Row],[Diskon]]),Data[[#This Row],[Total Harga]])</f>
        <v>594000</v>
      </c>
      <c r="AA476" s="35">
        <f>(Data[[#This Row],[Profit A]]+Data[[#This Row],[Profit B]]+Data[[#This Row],[Profit C]])</f>
        <v>240000</v>
      </c>
      <c r="AB476" s="35">
        <f>IFERROR((Data[[#This Row],[Profit non Diskon]]-(Data[[#This Row],[Profit non Diskon]]*Data[[#This Row],[Diskon]])),Data[[#This Row],[Profit non Diskon]])</f>
        <v>216000</v>
      </c>
      <c r="AC476" s="23" t="s">
        <v>6</v>
      </c>
      <c r="AD476" s="37">
        <f>IFERROR(INDEX('Kode Diskon'!$D$3:$D$9,MATCH(Data[[#This Row],[Kode diskon]],'Kode Diskon'!$C$3:$C$9,0)),"-")</f>
        <v>0.1</v>
      </c>
      <c r="AE476" s="23" t="s">
        <v>29</v>
      </c>
      <c r="AF476" s="23" t="s">
        <v>7</v>
      </c>
      <c r="AG476" s="23" t="s">
        <v>76</v>
      </c>
      <c r="AH476" s="24">
        <v>45017</v>
      </c>
      <c r="AI476" s="23" t="str">
        <f>TEXT(Data[[#This Row],[Tanggal terjual]],"dddd")</f>
        <v>Saturday</v>
      </c>
      <c r="AJ476" s="21" t="str">
        <f>TEXT(Data[[#This Row],[Tanggal terjual]],"wwww")</f>
        <v>wwww</v>
      </c>
    </row>
    <row r="477" spans="1:36" x14ac:dyDescent="0.2">
      <c r="A477" s="20">
        <v>476</v>
      </c>
      <c r="B477" s="21" t="str">
        <f>_xlfn.CONCAT("ORD-",INDEX(Helper!$B$2:$B$5,MATCH(Data[[#This Row],[Marketplace]],Helper!$A$2:$A$5,0)),TEXT(Data[[#This Row],[No]],"0000"),"-",TEXT(Data[[#This Row],[Tanggal terjual]],"dd/mm/yy"))</f>
        <v>ORD-BB0476-04/04/23</v>
      </c>
      <c r="C477" t="s">
        <v>59</v>
      </c>
      <c r="D477" t="str">
        <f>IFERROR(INDEX(Katalog!$A$3:$A$12,MATCH(Data[[#This Row],[ItemID A]],Katalog!$C$3:$C$12,0)),"-")</f>
        <v>Pakaian Wanita</v>
      </c>
      <c r="E477" t="str">
        <f>IFERROR(INDEX(Katalog!$B$3:$B$12,MATCH(Data[[#This Row],[ItemID A]],Katalog!$C$3:$C$12,0)),"-")</f>
        <v>Blouse</v>
      </c>
      <c r="F477">
        <v>2</v>
      </c>
      <c r="G477">
        <v>5</v>
      </c>
      <c r="H477" s="36">
        <f>IFERROR(INDEX(Katalog!$D$3:$D$12,MATCH(Data[[#This Row],[ItemID A]],Katalog!$C$3:$C$12,0))*Data[[#This Row],[Qty A]],"0")</f>
        <v>300000</v>
      </c>
      <c r="I477" s="36">
        <f>IFERROR(INDEX(Katalog!$F$3:$F$12,MATCH(Data[[#This Row],[ItemID A]],Katalog!$C$3:$C$12,0))*Data[[#This Row],[Qty A]],0)</f>
        <v>100000</v>
      </c>
      <c r="J477" t="s">
        <v>66</v>
      </c>
      <c r="K477" t="str">
        <f>IFERROR(INDEX(Katalog!$A$3:$A$12,MATCH(Data[[#This Row],[ItemID B]],Katalog!$C$3:$C$12,0)),"-")</f>
        <v>Sepatu Pria</v>
      </c>
      <c r="L477" t="str">
        <f>IFERROR(INDEX(Katalog!$B$3:$B$12,MATCH(Data[[#This Row],[ItemID B]],Katalog!$C$3:$C$12,0)),"-")</f>
        <v>Sandal Slip On</v>
      </c>
      <c r="M477">
        <v>3</v>
      </c>
      <c r="N477">
        <v>1</v>
      </c>
      <c r="O477" s="36">
        <f>IFERROR(INDEX(Katalog!$D$3:$D$12,MATCH(Data[[#This Row],[ItemID B]],Katalog!$C$3:$C$12,0))*Data[[#This Row],[Qty B]],"0")</f>
        <v>450000</v>
      </c>
      <c r="P477" s="36">
        <f>IFERROR(INDEX(Katalog!$F$3:$F$12,MATCH(Data[[#This Row],[ItemID B]],Katalog!$C$3:$C$12,0))*Data[[#This Row],[Qty B]],"0")</f>
        <v>180000</v>
      </c>
      <c r="R477" t="str">
        <f>IFERROR(INDEX(Katalog!$A$3:$A$12,MATCH(Data[[#This Row],[ItemID C]],Katalog!$C$3:$C$12,0)),"-")</f>
        <v>-</v>
      </c>
      <c r="S477" t="str">
        <f>IFERROR(INDEX(Katalog!$B$3:$B$12,MATCH(Data[[#This Row],[ItemID C]],Katalog!$C$3:$C$12,0)),"-")</f>
        <v>-</v>
      </c>
      <c r="V477" s="36" t="str">
        <f>IFERROR(INDEX(Katalog!$D$3:$D$12,MATCH(Data[[#This Row],[ItemID C]],Katalog!$C$3:$C$12,0))*Data[[#This Row],[Qty C]],"0")</f>
        <v>0</v>
      </c>
      <c r="W477" s="36" t="str">
        <f>IFERROR(INDEX(Katalog!$F$3:$F$12,MATCH(Data[[#This Row],[ItemID C]],Katalog!$C$3:$C$12,0))*Data[[#This Row],[Qty C]],"0")</f>
        <v>0</v>
      </c>
      <c r="X477" s="21">
        <f>Data[[#This Row],[Qty A]]+Data[[#This Row],[Qty B]]+Data[[#This Row],[Qty C]]</f>
        <v>5</v>
      </c>
      <c r="Y477" s="22">
        <f>Data[[#This Row],[Harga Barang A]]+Data[[#This Row],[Harga Barang B]]+Data[[#This Row],[Harga Barang C]]</f>
        <v>750000</v>
      </c>
      <c r="Z477" s="35">
        <f>IFERROR(Data[[#This Row],[Total Harga]]-(Data[[#This Row],[Total Harga]]*Data[[#This Row],[Diskon]]),Data[[#This Row],[Total Harga]])</f>
        <v>637500</v>
      </c>
      <c r="AA477" s="35">
        <f>(Data[[#This Row],[Profit A]]+Data[[#This Row],[Profit B]]+Data[[#This Row],[Profit C]])</f>
        <v>280000</v>
      </c>
      <c r="AB477" s="35">
        <f>IFERROR((Data[[#This Row],[Profit non Diskon]]-(Data[[#This Row],[Profit non Diskon]]*Data[[#This Row],[Diskon]])),Data[[#This Row],[Profit non Diskon]])</f>
        <v>238000</v>
      </c>
      <c r="AC477" s="23" t="s">
        <v>28</v>
      </c>
      <c r="AD477" s="37">
        <f>IFERROR(INDEX('Kode Diskon'!$D$3:$D$9,MATCH(Data[[#This Row],[Kode diskon]],'Kode Diskon'!$C$3:$C$9,0)),"-")</f>
        <v>0.15</v>
      </c>
      <c r="AE477" s="23" t="s">
        <v>29</v>
      </c>
      <c r="AF477" s="23" t="s">
        <v>14</v>
      </c>
      <c r="AG477" s="23" t="s">
        <v>80</v>
      </c>
      <c r="AH477" s="24">
        <v>45020</v>
      </c>
      <c r="AI477" s="23" t="str">
        <f>TEXT(Data[[#This Row],[Tanggal terjual]],"dddd")</f>
        <v>Tuesday</v>
      </c>
      <c r="AJ477" s="21" t="str">
        <f>TEXT(Data[[#This Row],[Tanggal terjual]],"wwww")</f>
        <v>wwww</v>
      </c>
    </row>
    <row r="478" spans="1:36" x14ac:dyDescent="0.2">
      <c r="A478" s="20">
        <v>477</v>
      </c>
      <c r="B478" s="21" t="str">
        <f>_xlfn.CONCAT("ORD-",INDEX(Helper!$B$2:$B$5,MATCH(Data[[#This Row],[Marketplace]],Helper!$A$2:$A$5,0)),TEXT(Data[[#This Row],[No]],"0000"),"-",TEXT(Data[[#This Row],[Tanggal terjual]],"dd/mm/yy"))</f>
        <v>ORD-BL0477-29/04/23</v>
      </c>
      <c r="C478" t="s">
        <v>63</v>
      </c>
      <c r="D478" t="str">
        <f>IFERROR(INDEX(Katalog!$A$3:$A$12,MATCH(Data[[#This Row],[ItemID A]],Katalog!$C$3:$C$12,0)),"-")</f>
        <v>Pakaian Pria</v>
      </c>
      <c r="E478" t="str">
        <f>IFERROR(INDEX(Katalog!$B$3:$B$12,MATCH(Data[[#This Row],[ItemID A]],Katalog!$C$3:$C$12,0)),"-")</f>
        <v>Jaket Jeans</v>
      </c>
      <c r="F478">
        <v>3</v>
      </c>
      <c r="G478">
        <v>3</v>
      </c>
      <c r="H478" s="36">
        <f>IFERROR(INDEX(Katalog!$D$3:$D$12,MATCH(Data[[#This Row],[ItemID A]],Katalog!$C$3:$C$12,0))*Data[[#This Row],[Qty A]],"0")</f>
        <v>1200000</v>
      </c>
      <c r="I478" s="36">
        <f>IFERROR(INDEX(Katalog!$F$3:$F$12,MATCH(Data[[#This Row],[ItemID A]],Katalog!$C$3:$C$12,0))*Data[[#This Row],[Qty A]],0)</f>
        <v>450000</v>
      </c>
      <c r="K478" t="str">
        <f>IFERROR(INDEX(Katalog!$A$3:$A$12,MATCH(Data[[#This Row],[ItemID B]],Katalog!$C$3:$C$12,0)),"-")</f>
        <v>-</v>
      </c>
      <c r="L478" t="str">
        <f>IFERROR(INDEX(Katalog!$B$3:$B$12,MATCH(Data[[#This Row],[ItemID B]],Katalog!$C$3:$C$12,0)),"-")</f>
        <v>-</v>
      </c>
      <c r="O478" s="36" t="str">
        <f>IFERROR(INDEX(Katalog!$D$3:$D$12,MATCH(Data[[#This Row],[ItemID B]],Katalog!$C$3:$C$12,0))*Data[[#This Row],[Qty B]],"0")</f>
        <v>0</v>
      </c>
      <c r="P478" s="36" t="str">
        <f>IFERROR(INDEX(Katalog!$F$3:$F$12,MATCH(Data[[#This Row],[ItemID B]],Katalog!$C$3:$C$12,0))*Data[[#This Row],[Qty B]],"0")</f>
        <v>0</v>
      </c>
      <c r="R478" t="str">
        <f>IFERROR(INDEX(Katalog!$A$3:$A$12,MATCH(Data[[#This Row],[ItemID C]],Katalog!$C$3:$C$12,0)),"-")</f>
        <v>-</v>
      </c>
      <c r="S478" t="str">
        <f>IFERROR(INDEX(Katalog!$B$3:$B$12,MATCH(Data[[#This Row],[ItemID C]],Katalog!$C$3:$C$12,0)),"-")</f>
        <v>-</v>
      </c>
      <c r="V478" s="36" t="str">
        <f>IFERROR(INDEX(Katalog!$D$3:$D$12,MATCH(Data[[#This Row],[ItemID C]],Katalog!$C$3:$C$12,0))*Data[[#This Row],[Qty C]],"0")</f>
        <v>0</v>
      </c>
      <c r="W478" s="36" t="str">
        <f>IFERROR(INDEX(Katalog!$F$3:$F$12,MATCH(Data[[#This Row],[ItemID C]],Katalog!$C$3:$C$12,0))*Data[[#This Row],[Qty C]],"0")</f>
        <v>0</v>
      </c>
      <c r="X478" s="21">
        <f>Data[[#This Row],[Qty A]]+Data[[#This Row],[Qty B]]+Data[[#This Row],[Qty C]]</f>
        <v>3</v>
      </c>
      <c r="Y478" s="22">
        <f>Data[[#This Row],[Harga Barang A]]+Data[[#This Row],[Harga Barang B]]+Data[[#This Row],[Harga Barang C]]</f>
        <v>1200000</v>
      </c>
      <c r="Z478" s="35">
        <f>IFERROR(Data[[#This Row],[Total Harga]]-(Data[[#This Row],[Total Harga]]*Data[[#This Row],[Diskon]]),Data[[#This Row],[Total Harga]])</f>
        <v>1020000</v>
      </c>
      <c r="AA478" s="35">
        <f>(Data[[#This Row],[Profit A]]+Data[[#This Row],[Profit B]]+Data[[#This Row],[Profit C]])</f>
        <v>450000</v>
      </c>
      <c r="AB478" s="35">
        <f>IFERROR((Data[[#This Row],[Profit non Diskon]]-(Data[[#This Row],[Profit non Diskon]]*Data[[#This Row],[Diskon]])),Data[[#This Row],[Profit non Diskon]])</f>
        <v>382500</v>
      </c>
      <c r="AC478" s="23" t="s">
        <v>32</v>
      </c>
      <c r="AD478" s="37">
        <f>IFERROR(INDEX('Kode Diskon'!$D$3:$D$9,MATCH(Data[[#This Row],[Kode diskon]],'Kode Diskon'!$C$3:$C$9,0)),"-")</f>
        <v>0.15</v>
      </c>
      <c r="AE478" s="23" t="s">
        <v>9</v>
      </c>
      <c r="AF478" s="23" t="s">
        <v>12</v>
      </c>
      <c r="AG478" s="23" t="s">
        <v>75</v>
      </c>
      <c r="AH478" s="24">
        <v>45045</v>
      </c>
      <c r="AI478" s="23" t="str">
        <f>TEXT(Data[[#This Row],[Tanggal terjual]],"dddd")</f>
        <v>Saturday</v>
      </c>
      <c r="AJ478" s="21" t="str">
        <f>TEXT(Data[[#This Row],[Tanggal terjual]],"wwww")</f>
        <v>wwww</v>
      </c>
    </row>
    <row r="479" spans="1:36" x14ac:dyDescent="0.2">
      <c r="A479" s="20">
        <v>478</v>
      </c>
      <c r="B479" s="21" t="str">
        <f>_xlfn.CONCAT("ORD-",INDEX(Helper!$B$2:$B$5,MATCH(Data[[#This Row],[Marketplace]],Helper!$A$2:$A$5,0)),TEXT(Data[[#This Row],[No]],"0000"),"-",TEXT(Data[[#This Row],[Tanggal terjual]],"dd/mm/yy"))</f>
        <v>ORD-BB0478-05/04/23</v>
      </c>
      <c r="C479" t="s">
        <v>64</v>
      </c>
      <c r="D479" t="str">
        <f>IFERROR(INDEX(Katalog!$A$3:$A$12,MATCH(Data[[#This Row],[ItemID A]],Katalog!$C$3:$C$12,0)),"-")</f>
        <v>Pakaian Unisex</v>
      </c>
      <c r="E479" t="str">
        <f>IFERROR(INDEX(Katalog!$B$3:$B$12,MATCH(Data[[#This Row],[ItemID A]],Katalog!$C$3:$C$12,0)),"-")</f>
        <v>Jaket Hoodie</v>
      </c>
      <c r="F479">
        <v>1</v>
      </c>
      <c r="G479">
        <v>3</v>
      </c>
      <c r="H479" s="36">
        <f>IFERROR(INDEX(Katalog!$D$3:$D$12,MATCH(Data[[#This Row],[ItemID A]],Katalog!$C$3:$C$12,0))*Data[[#This Row],[Qty A]],"0")</f>
        <v>350000</v>
      </c>
      <c r="I479" s="36">
        <f>IFERROR(INDEX(Katalog!$F$3:$F$12,MATCH(Data[[#This Row],[ItemID A]],Katalog!$C$3:$C$12,0))*Data[[#This Row],[Qty A]],0)</f>
        <v>130000</v>
      </c>
      <c r="J479" t="s">
        <v>59</v>
      </c>
      <c r="K479" t="str">
        <f>IFERROR(INDEX(Katalog!$A$3:$A$12,MATCH(Data[[#This Row],[ItemID B]],Katalog!$C$3:$C$12,0)),"-")</f>
        <v>Pakaian Wanita</v>
      </c>
      <c r="L479" t="str">
        <f>IFERROR(INDEX(Katalog!$B$3:$B$12,MATCH(Data[[#This Row],[ItemID B]],Katalog!$C$3:$C$12,0)),"-")</f>
        <v>Blouse</v>
      </c>
      <c r="M479">
        <v>4</v>
      </c>
      <c r="N479">
        <v>2</v>
      </c>
      <c r="O479" s="36">
        <f>IFERROR(INDEX(Katalog!$D$3:$D$12,MATCH(Data[[#This Row],[ItemID B]],Katalog!$C$3:$C$12,0))*Data[[#This Row],[Qty B]],"0")</f>
        <v>600000</v>
      </c>
      <c r="P479" s="36">
        <f>IFERROR(INDEX(Katalog!$F$3:$F$12,MATCH(Data[[#This Row],[ItemID B]],Katalog!$C$3:$C$12,0))*Data[[#This Row],[Qty B]],"0")</f>
        <v>200000</v>
      </c>
      <c r="Q479" t="s">
        <v>64</v>
      </c>
      <c r="R479" t="str">
        <f>IFERROR(INDEX(Katalog!$A$3:$A$12,MATCH(Data[[#This Row],[ItemID C]],Katalog!$C$3:$C$12,0)),"-")</f>
        <v>Pakaian Unisex</v>
      </c>
      <c r="S479" t="str">
        <f>IFERROR(INDEX(Katalog!$B$3:$B$12,MATCH(Data[[#This Row],[ItemID C]],Katalog!$C$3:$C$12,0)),"-")</f>
        <v>Jaket Hoodie</v>
      </c>
      <c r="T479">
        <v>1</v>
      </c>
      <c r="U479">
        <v>4</v>
      </c>
      <c r="V479" s="36">
        <f>IFERROR(INDEX(Katalog!$D$3:$D$12,MATCH(Data[[#This Row],[ItemID C]],Katalog!$C$3:$C$12,0))*Data[[#This Row],[Qty C]],"0")</f>
        <v>350000</v>
      </c>
      <c r="W479" s="36">
        <f>IFERROR(INDEX(Katalog!$F$3:$F$12,MATCH(Data[[#This Row],[ItemID C]],Katalog!$C$3:$C$12,0))*Data[[#This Row],[Qty C]],"0")</f>
        <v>130000</v>
      </c>
      <c r="X479" s="21">
        <f>Data[[#This Row],[Qty A]]+Data[[#This Row],[Qty B]]+Data[[#This Row],[Qty C]]</f>
        <v>6</v>
      </c>
      <c r="Y479" s="22">
        <f>Data[[#This Row],[Harga Barang A]]+Data[[#This Row],[Harga Barang B]]+Data[[#This Row],[Harga Barang C]]</f>
        <v>1300000</v>
      </c>
      <c r="Z479" s="35">
        <f>IFERROR(Data[[#This Row],[Total Harga]]-(Data[[#This Row],[Total Harga]]*Data[[#This Row],[Diskon]]),Data[[#This Row],[Total Harga]])</f>
        <v>1105000</v>
      </c>
      <c r="AA479" s="35">
        <f>(Data[[#This Row],[Profit A]]+Data[[#This Row],[Profit B]]+Data[[#This Row],[Profit C]])</f>
        <v>460000</v>
      </c>
      <c r="AB479" s="35">
        <f>IFERROR((Data[[#This Row],[Profit non Diskon]]-(Data[[#This Row],[Profit non Diskon]]*Data[[#This Row],[Diskon]])),Data[[#This Row],[Profit non Diskon]])</f>
        <v>391000</v>
      </c>
      <c r="AC479" s="23" t="s">
        <v>28</v>
      </c>
      <c r="AD479" s="37">
        <f>IFERROR(INDEX('Kode Diskon'!$D$3:$D$9,MATCH(Data[[#This Row],[Kode diskon]],'Kode Diskon'!$C$3:$C$9,0)),"-")</f>
        <v>0.15</v>
      </c>
      <c r="AE479" s="23" t="s">
        <v>29</v>
      </c>
      <c r="AF479" s="23" t="s">
        <v>14</v>
      </c>
      <c r="AG479" s="23" t="s">
        <v>80</v>
      </c>
      <c r="AH479" s="24">
        <v>45021</v>
      </c>
      <c r="AI479" s="23" t="str">
        <f>TEXT(Data[[#This Row],[Tanggal terjual]],"dddd")</f>
        <v>Wednesday</v>
      </c>
      <c r="AJ479" s="21" t="str">
        <f>TEXT(Data[[#This Row],[Tanggal terjual]],"wwww")</f>
        <v>wwww</v>
      </c>
    </row>
    <row r="480" spans="1:36" x14ac:dyDescent="0.2">
      <c r="A480" s="20">
        <v>479</v>
      </c>
      <c r="B480" s="21" t="str">
        <f>_xlfn.CONCAT("ORD-",INDEX(Helper!$B$2:$B$5,MATCH(Data[[#This Row],[Marketplace]],Helper!$A$2:$A$5,0)),TEXT(Data[[#This Row],[No]],"0000"),"-",TEXT(Data[[#This Row],[Tanggal terjual]],"dd/mm/yy"))</f>
        <v>ORD-TK0479-27/04/23</v>
      </c>
      <c r="C480" t="s">
        <v>63</v>
      </c>
      <c r="D480" t="str">
        <f>IFERROR(INDEX(Katalog!$A$3:$A$12,MATCH(Data[[#This Row],[ItemID A]],Katalog!$C$3:$C$12,0)),"-")</f>
        <v>Pakaian Pria</v>
      </c>
      <c r="E480" t="str">
        <f>IFERROR(INDEX(Katalog!$B$3:$B$12,MATCH(Data[[#This Row],[ItemID A]],Katalog!$C$3:$C$12,0)),"-")</f>
        <v>Jaket Jeans</v>
      </c>
      <c r="F480">
        <v>2</v>
      </c>
      <c r="G480">
        <v>1</v>
      </c>
      <c r="H480" s="36">
        <f>IFERROR(INDEX(Katalog!$D$3:$D$12,MATCH(Data[[#This Row],[ItemID A]],Katalog!$C$3:$C$12,0))*Data[[#This Row],[Qty A]],"0")</f>
        <v>800000</v>
      </c>
      <c r="I480" s="36">
        <f>IFERROR(INDEX(Katalog!$F$3:$F$12,MATCH(Data[[#This Row],[ItemID A]],Katalog!$C$3:$C$12,0))*Data[[#This Row],[Qty A]],0)</f>
        <v>300000</v>
      </c>
      <c r="J480" t="s">
        <v>65</v>
      </c>
      <c r="K480" t="str">
        <f>IFERROR(INDEX(Katalog!$A$3:$A$12,MATCH(Data[[#This Row],[ItemID B]],Katalog!$C$3:$C$12,0)),"-")</f>
        <v>Sepatu Pria</v>
      </c>
      <c r="L480" t="str">
        <f>IFERROR(INDEX(Katalog!$B$3:$B$12,MATCH(Data[[#This Row],[ItemID B]],Katalog!$C$3:$C$12,0)),"-")</f>
        <v>Sneakers</v>
      </c>
      <c r="M480">
        <v>2</v>
      </c>
      <c r="N480">
        <v>3</v>
      </c>
      <c r="O480" s="36">
        <f>IFERROR(INDEX(Katalog!$D$3:$D$12,MATCH(Data[[#This Row],[ItemID B]],Katalog!$C$3:$C$12,0))*Data[[#This Row],[Qty B]],"0")</f>
        <v>1000000</v>
      </c>
      <c r="P480" s="36">
        <f>IFERROR(INDEX(Katalog!$F$3:$F$12,MATCH(Data[[#This Row],[ItemID B]],Katalog!$C$3:$C$12,0))*Data[[#This Row],[Qty B]],"0")</f>
        <v>400000</v>
      </c>
      <c r="R480" t="str">
        <f>IFERROR(INDEX(Katalog!$A$3:$A$12,MATCH(Data[[#This Row],[ItemID C]],Katalog!$C$3:$C$12,0)),"-")</f>
        <v>-</v>
      </c>
      <c r="S480" t="str">
        <f>IFERROR(INDEX(Katalog!$B$3:$B$12,MATCH(Data[[#This Row],[ItemID C]],Katalog!$C$3:$C$12,0)),"-")</f>
        <v>-</v>
      </c>
      <c r="V480" s="36" t="str">
        <f>IFERROR(INDEX(Katalog!$D$3:$D$12,MATCH(Data[[#This Row],[ItemID C]],Katalog!$C$3:$C$12,0))*Data[[#This Row],[Qty C]],"0")</f>
        <v>0</v>
      </c>
      <c r="W480" s="36" t="str">
        <f>IFERROR(INDEX(Katalog!$F$3:$F$12,MATCH(Data[[#This Row],[ItemID C]],Katalog!$C$3:$C$12,0))*Data[[#This Row],[Qty C]],"0")</f>
        <v>0</v>
      </c>
      <c r="X480" s="21">
        <f>Data[[#This Row],[Qty A]]+Data[[#This Row],[Qty B]]+Data[[#This Row],[Qty C]]</f>
        <v>4</v>
      </c>
      <c r="Y480" s="22">
        <f>Data[[#This Row],[Harga Barang A]]+Data[[#This Row],[Harga Barang B]]+Data[[#This Row],[Harga Barang C]]</f>
        <v>1800000</v>
      </c>
      <c r="Z480" s="35">
        <f>IFERROR(Data[[#This Row],[Total Harga]]-(Data[[#This Row],[Total Harga]]*Data[[#This Row],[Diskon]]),Data[[#This Row],[Total Harga]])</f>
        <v>1620000</v>
      </c>
      <c r="AA480" s="35">
        <f>(Data[[#This Row],[Profit A]]+Data[[#This Row],[Profit B]]+Data[[#This Row],[Profit C]])</f>
        <v>700000</v>
      </c>
      <c r="AB480" s="35">
        <f>IFERROR((Data[[#This Row],[Profit non Diskon]]-(Data[[#This Row],[Profit non Diskon]]*Data[[#This Row],[Diskon]])),Data[[#This Row],[Profit non Diskon]])</f>
        <v>630000</v>
      </c>
      <c r="AC480" s="23" t="s">
        <v>31</v>
      </c>
      <c r="AD480" s="37">
        <f>IFERROR(INDEX('Kode Diskon'!$D$3:$D$9,MATCH(Data[[#This Row],[Kode diskon]],'Kode Diskon'!$C$3:$C$9,0)),"-")</f>
        <v>0.1</v>
      </c>
      <c r="AE480" s="23" t="s">
        <v>9</v>
      </c>
      <c r="AF480" s="23" t="s">
        <v>10</v>
      </c>
      <c r="AG480" s="23" t="s">
        <v>80</v>
      </c>
      <c r="AH480" s="24">
        <v>45043</v>
      </c>
      <c r="AI480" s="23" t="str">
        <f>TEXT(Data[[#This Row],[Tanggal terjual]],"dddd")</f>
        <v>Thursday</v>
      </c>
      <c r="AJ480" s="21" t="str">
        <f>TEXT(Data[[#This Row],[Tanggal terjual]],"wwww")</f>
        <v>wwww</v>
      </c>
    </row>
    <row r="481" spans="1:36" x14ac:dyDescent="0.2">
      <c r="A481" s="20">
        <v>480</v>
      </c>
      <c r="B481" s="21" t="str">
        <f>_xlfn.CONCAT("ORD-",INDEX(Helper!$B$2:$B$5,MATCH(Data[[#This Row],[Marketplace]],Helper!$A$2:$A$5,0)),TEXT(Data[[#This Row],[No]],"0000"),"-",TEXT(Data[[#This Row],[Tanggal terjual]],"dd/mm/yy"))</f>
        <v>ORD-TK0480-03/04/23</v>
      </c>
      <c r="C481" t="s">
        <v>65</v>
      </c>
      <c r="D481" t="str">
        <f>IFERROR(INDEX(Katalog!$A$3:$A$12,MATCH(Data[[#This Row],[ItemID A]],Katalog!$C$3:$C$12,0)),"-")</f>
        <v>Sepatu Pria</v>
      </c>
      <c r="E481" t="str">
        <f>IFERROR(INDEX(Katalog!$B$3:$B$12,MATCH(Data[[#This Row],[ItemID A]],Katalog!$C$3:$C$12,0)),"-")</f>
        <v>Sneakers</v>
      </c>
      <c r="F481">
        <v>2</v>
      </c>
      <c r="G481">
        <v>1</v>
      </c>
      <c r="H481" s="36">
        <f>IFERROR(INDEX(Katalog!$D$3:$D$12,MATCH(Data[[#This Row],[ItemID A]],Katalog!$C$3:$C$12,0))*Data[[#This Row],[Qty A]],"0")</f>
        <v>1000000</v>
      </c>
      <c r="I481" s="36">
        <f>IFERROR(INDEX(Katalog!$F$3:$F$12,MATCH(Data[[#This Row],[ItemID A]],Katalog!$C$3:$C$12,0))*Data[[#This Row],[Qty A]],0)</f>
        <v>400000</v>
      </c>
      <c r="K481" t="str">
        <f>IFERROR(INDEX(Katalog!$A$3:$A$12,MATCH(Data[[#This Row],[ItemID B]],Katalog!$C$3:$C$12,0)),"-")</f>
        <v>-</v>
      </c>
      <c r="L481" t="str">
        <f>IFERROR(INDEX(Katalog!$B$3:$B$12,MATCH(Data[[#This Row],[ItemID B]],Katalog!$C$3:$C$12,0)),"-")</f>
        <v>-</v>
      </c>
      <c r="O481" s="36" t="str">
        <f>IFERROR(INDEX(Katalog!$D$3:$D$12,MATCH(Data[[#This Row],[ItemID B]],Katalog!$C$3:$C$12,0))*Data[[#This Row],[Qty B]],"0")</f>
        <v>0</v>
      </c>
      <c r="P481" s="36" t="str">
        <f>IFERROR(INDEX(Katalog!$F$3:$F$12,MATCH(Data[[#This Row],[ItemID B]],Katalog!$C$3:$C$12,0))*Data[[#This Row],[Qty B]],"0")</f>
        <v>0</v>
      </c>
      <c r="R481" t="str">
        <f>IFERROR(INDEX(Katalog!$A$3:$A$12,MATCH(Data[[#This Row],[ItemID C]],Katalog!$C$3:$C$12,0)),"-")</f>
        <v>-</v>
      </c>
      <c r="S481" t="str">
        <f>IFERROR(INDEX(Katalog!$B$3:$B$12,MATCH(Data[[#This Row],[ItemID C]],Katalog!$C$3:$C$12,0)),"-")</f>
        <v>-</v>
      </c>
      <c r="V481" s="36" t="str">
        <f>IFERROR(INDEX(Katalog!$D$3:$D$12,MATCH(Data[[#This Row],[ItemID C]],Katalog!$C$3:$C$12,0))*Data[[#This Row],[Qty C]],"0")</f>
        <v>0</v>
      </c>
      <c r="W481" s="36" t="str">
        <f>IFERROR(INDEX(Katalog!$F$3:$F$12,MATCH(Data[[#This Row],[ItemID C]],Katalog!$C$3:$C$12,0))*Data[[#This Row],[Qty C]],"0")</f>
        <v>0</v>
      </c>
      <c r="X481" s="21">
        <f>Data[[#This Row],[Qty A]]+Data[[#This Row],[Qty B]]+Data[[#This Row],[Qty C]]</f>
        <v>2</v>
      </c>
      <c r="Y481" s="22">
        <f>Data[[#This Row],[Harga Barang A]]+Data[[#This Row],[Harga Barang B]]+Data[[#This Row],[Harga Barang C]]</f>
        <v>1000000</v>
      </c>
      <c r="Z481" s="35">
        <f>IFERROR(Data[[#This Row],[Total Harga]]-(Data[[#This Row],[Total Harga]]*Data[[#This Row],[Diskon]]),Data[[#This Row],[Total Harga]])</f>
        <v>900000</v>
      </c>
      <c r="AA481" s="35">
        <f>(Data[[#This Row],[Profit A]]+Data[[#This Row],[Profit B]]+Data[[#This Row],[Profit C]])</f>
        <v>400000</v>
      </c>
      <c r="AB481" s="35">
        <f>IFERROR((Data[[#This Row],[Profit non Diskon]]-(Data[[#This Row],[Profit non Diskon]]*Data[[#This Row],[Diskon]])),Data[[#This Row],[Profit non Diskon]])</f>
        <v>360000</v>
      </c>
      <c r="AC481" s="23" t="s">
        <v>30</v>
      </c>
      <c r="AD481" s="37">
        <f>IFERROR(INDEX('Kode Diskon'!$D$3:$D$9,MATCH(Data[[#This Row],[Kode diskon]],'Kode Diskon'!$C$3:$C$9,0)),"-")</f>
        <v>0.1</v>
      </c>
      <c r="AE481" s="23" t="s">
        <v>29</v>
      </c>
      <c r="AF481" s="23" t="s">
        <v>10</v>
      </c>
      <c r="AG481" s="23" t="s">
        <v>79</v>
      </c>
      <c r="AH481" s="24">
        <v>45019</v>
      </c>
      <c r="AI481" s="23" t="str">
        <f>TEXT(Data[[#This Row],[Tanggal terjual]],"dddd")</f>
        <v>Monday</v>
      </c>
      <c r="AJ481" s="21" t="str">
        <f>TEXT(Data[[#This Row],[Tanggal terjual]],"wwww")</f>
        <v>wwww</v>
      </c>
    </row>
    <row r="482" spans="1:36" x14ac:dyDescent="0.2">
      <c r="A482" s="20">
        <v>481</v>
      </c>
      <c r="B482" s="21" t="str">
        <f>_xlfn.CONCAT("ORD-",INDEX(Helper!$B$2:$B$5,MATCH(Data[[#This Row],[Marketplace]],Helper!$A$2:$A$5,0)),TEXT(Data[[#This Row],[No]],"0000"),"-",TEXT(Data[[#This Row],[Tanggal terjual]],"dd/mm/yy"))</f>
        <v>ORD-BB0481-06/04/23</v>
      </c>
      <c r="C482" t="s">
        <v>66</v>
      </c>
      <c r="D482" t="str">
        <f>IFERROR(INDEX(Katalog!$A$3:$A$12,MATCH(Data[[#This Row],[ItemID A]],Katalog!$C$3:$C$12,0)),"-")</f>
        <v>Sepatu Pria</v>
      </c>
      <c r="E482" t="str">
        <f>IFERROR(INDEX(Katalog!$B$3:$B$12,MATCH(Data[[#This Row],[ItemID A]],Katalog!$C$3:$C$12,0)),"-")</f>
        <v>Sandal Slip On</v>
      </c>
      <c r="F482">
        <v>2</v>
      </c>
      <c r="G482">
        <v>2</v>
      </c>
      <c r="H482" s="36">
        <f>IFERROR(INDEX(Katalog!$D$3:$D$12,MATCH(Data[[#This Row],[ItemID A]],Katalog!$C$3:$C$12,0))*Data[[#This Row],[Qty A]],"0")</f>
        <v>300000</v>
      </c>
      <c r="I482" s="36">
        <f>IFERROR(INDEX(Katalog!$F$3:$F$12,MATCH(Data[[#This Row],[ItemID A]],Katalog!$C$3:$C$12,0))*Data[[#This Row],[Qty A]],0)</f>
        <v>120000</v>
      </c>
      <c r="J482" t="s">
        <v>67</v>
      </c>
      <c r="K482" t="str">
        <f>IFERROR(INDEX(Katalog!$A$3:$A$12,MATCH(Data[[#This Row],[ItemID B]],Katalog!$C$3:$C$12,0)),"-")</f>
        <v>Sepatu Wanita</v>
      </c>
      <c r="L482" t="str">
        <f>IFERROR(INDEX(Katalog!$B$3:$B$12,MATCH(Data[[#This Row],[ItemID B]],Katalog!$C$3:$C$12,0)),"-")</f>
        <v>Flat Shoes</v>
      </c>
      <c r="M482">
        <v>2</v>
      </c>
      <c r="N482">
        <v>2</v>
      </c>
      <c r="O482" s="36">
        <f>IFERROR(INDEX(Katalog!$D$3:$D$12,MATCH(Data[[#This Row],[ItemID B]],Katalog!$C$3:$C$12,0))*Data[[#This Row],[Qty B]],"0")</f>
        <v>500000</v>
      </c>
      <c r="P482" s="36">
        <f>IFERROR(INDEX(Katalog!$F$3:$F$12,MATCH(Data[[#This Row],[ItemID B]],Katalog!$C$3:$C$12,0))*Data[[#This Row],[Qty B]],"0")</f>
        <v>200000</v>
      </c>
      <c r="Q482" t="s">
        <v>65</v>
      </c>
      <c r="R482" t="str">
        <f>IFERROR(INDEX(Katalog!$A$3:$A$12,MATCH(Data[[#This Row],[ItemID C]],Katalog!$C$3:$C$12,0)),"-")</f>
        <v>Sepatu Pria</v>
      </c>
      <c r="S482" t="str">
        <f>IFERROR(INDEX(Katalog!$B$3:$B$12,MATCH(Data[[#This Row],[ItemID C]],Katalog!$C$3:$C$12,0)),"-")</f>
        <v>Sneakers</v>
      </c>
      <c r="T482">
        <v>1</v>
      </c>
      <c r="U482">
        <v>1</v>
      </c>
      <c r="V482" s="36">
        <f>IFERROR(INDEX(Katalog!$D$3:$D$12,MATCH(Data[[#This Row],[ItemID C]],Katalog!$C$3:$C$12,0))*Data[[#This Row],[Qty C]],"0")</f>
        <v>500000</v>
      </c>
      <c r="W482" s="36">
        <f>IFERROR(INDEX(Katalog!$F$3:$F$12,MATCH(Data[[#This Row],[ItemID C]],Katalog!$C$3:$C$12,0))*Data[[#This Row],[Qty C]],"0")</f>
        <v>200000</v>
      </c>
      <c r="X482" s="21">
        <f>Data[[#This Row],[Qty A]]+Data[[#This Row],[Qty B]]+Data[[#This Row],[Qty C]]</f>
        <v>5</v>
      </c>
      <c r="Y482" s="22">
        <f>Data[[#This Row],[Harga Barang A]]+Data[[#This Row],[Harga Barang B]]+Data[[#This Row],[Harga Barang C]]</f>
        <v>1300000</v>
      </c>
      <c r="Z482" s="35">
        <f>IFERROR(Data[[#This Row],[Total Harga]]-(Data[[#This Row],[Total Harga]]*Data[[#This Row],[Diskon]]),Data[[#This Row],[Total Harga]])</f>
        <v>1105000</v>
      </c>
      <c r="AA482" s="35">
        <f>(Data[[#This Row],[Profit A]]+Data[[#This Row],[Profit B]]+Data[[#This Row],[Profit C]])</f>
        <v>520000</v>
      </c>
      <c r="AB482" s="35">
        <f>IFERROR((Data[[#This Row],[Profit non Diskon]]-(Data[[#This Row],[Profit non Diskon]]*Data[[#This Row],[Diskon]])),Data[[#This Row],[Profit non Diskon]])</f>
        <v>442000</v>
      </c>
      <c r="AC482" s="23" t="s">
        <v>28</v>
      </c>
      <c r="AD482" s="37">
        <f>IFERROR(INDEX('Kode Diskon'!$D$3:$D$9,MATCH(Data[[#This Row],[Kode diskon]],'Kode Diskon'!$C$3:$C$9,0)),"-")</f>
        <v>0.15</v>
      </c>
      <c r="AE482" s="23" t="s">
        <v>29</v>
      </c>
      <c r="AF482" s="23" t="s">
        <v>14</v>
      </c>
      <c r="AG482" s="23" t="s">
        <v>80</v>
      </c>
      <c r="AH482" s="24">
        <v>45022</v>
      </c>
      <c r="AI482" s="23" t="str">
        <f>TEXT(Data[[#This Row],[Tanggal terjual]],"dddd")</f>
        <v>Thursday</v>
      </c>
      <c r="AJ482" s="21" t="str">
        <f>TEXT(Data[[#This Row],[Tanggal terjual]],"wwww")</f>
        <v>wwww</v>
      </c>
    </row>
    <row r="483" spans="1:36" x14ac:dyDescent="0.2">
      <c r="A483" s="20">
        <v>482</v>
      </c>
      <c r="B483" s="21" t="str">
        <f>_xlfn.CONCAT("ORD-",INDEX(Helper!$B$2:$B$5,MATCH(Data[[#This Row],[Marketplace]],Helper!$A$2:$A$5,0)),TEXT(Data[[#This Row],[No]],"0000"),"-",TEXT(Data[[#This Row],[Tanggal terjual]],"dd/mm/yy"))</f>
        <v>ORD-TK0482-25/04/23</v>
      </c>
      <c r="C483" t="s">
        <v>61</v>
      </c>
      <c r="D483" t="str">
        <f>IFERROR(INDEX(Katalog!$A$3:$A$12,MATCH(Data[[#This Row],[ItemID A]],Katalog!$C$3:$C$12,0)),"-")</f>
        <v>Pakaian Pria</v>
      </c>
      <c r="E483" t="str">
        <f>IFERROR(INDEX(Katalog!$B$3:$B$12,MATCH(Data[[#This Row],[ItemID A]],Katalog!$C$3:$C$12,0)),"-")</f>
        <v>Kaos Polo</v>
      </c>
      <c r="F483">
        <v>1</v>
      </c>
      <c r="G483">
        <v>3</v>
      </c>
      <c r="H483" s="36">
        <f>IFERROR(INDEX(Katalog!$D$3:$D$12,MATCH(Data[[#This Row],[ItemID A]],Katalog!$C$3:$C$12,0))*Data[[#This Row],[Qty A]],"0")</f>
        <v>200000</v>
      </c>
      <c r="I483" s="36">
        <f>IFERROR(INDEX(Katalog!$F$3:$F$12,MATCH(Data[[#This Row],[ItemID A]],Katalog!$C$3:$C$12,0))*Data[[#This Row],[Qty A]],0)</f>
        <v>80000</v>
      </c>
      <c r="K483" t="str">
        <f>IFERROR(INDEX(Katalog!$A$3:$A$12,MATCH(Data[[#This Row],[ItemID B]],Katalog!$C$3:$C$12,0)),"-")</f>
        <v>-</v>
      </c>
      <c r="L483" t="str">
        <f>IFERROR(INDEX(Katalog!$B$3:$B$12,MATCH(Data[[#This Row],[ItemID B]],Katalog!$C$3:$C$12,0)),"-")</f>
        <v>-</v>
      </c>
      <c r="O483" s="36" t="str">
        <f>IFERROR(INDEX(Katalog!$D$3:$D$12,MATCH(Data[[#This Row],[ItemID B]],Katalog!$C$3:$C$12,0))*Data[[#This Row],[Qty B]],"0")</f>
        <v>0</v>
      </c>
      <c r="P483" s="36" t="str">
        <f>IFERROR(INDEX(Katalog!$F$3:$F$12,MATCH(Data[[#This Row],[ItemID B]],Katalog!$C$3:$C$12,0))*Data[[#This Row],[Qty B]],"0")</f>
        <v>0</v>
      </c>
      <c r="R483" t="str">
        <f>IFERROR(INDEX(Katalog!$A$3:$A$12,MATCH(Data[[#This Row],[ItemID C]],Katalog!$C$3:$C$12,0)),"-")</f>
        <v>-</v>
      </c>
      <c r="S483" t="str">
        <f>IFERROR(INDEX(Katalog!$B$3:$B$12,MATCH(Data[[#This Row],[ItemID C]],Katalog!$C$3:$C$12,0)),"-")</f>
        <v>-</v>
      </c>
      <c r="V483" s="36" t="str">
        <f>IFERROR(INDEX(Katalog!$D$3:$D$12,MATCH(Data[[#This Row],[ItemID C]],Katalog!$C$3:$C$12,0))*Data[[#This Row],[Qty C]],"0")</f>
        <v>0</v>
      </c>
      <c r="W483" s="36" t="str">
        <f>IFERROR(INDEX(Katalog!$F$3:$F$12,MATCH(Data[[#This Row],[ItemID C]],Katalog!$C$3:$C$12,0))*Data[[#This Row],[Qty C]],"0")</f>
        <v>0</v>
      </c>
      <c r="X483" s="21">
        <f>Data[[#This Row],[Qty A]]+Data[[#This Row],[Qty B]]+Data[[#This Row],[Qty C]]</f>
        <v>1</v>
      </c>
      <c r="Y483" s="22">
        <f>Data[[#This Row],[Harga Barang A]]+Data[[#This Row],[Harga Barang B]]+Data[[#This Row],[Harga Barang C]]</f>
        <v>200000</v>
      </c>
      <c r="Z483" s="35">
        <f>IFERROR(Data[[#This Row],[Total Harga]]-(Data[[#This Row],[Total Harga]]*Data[[#This Row],[Diskon]]),Data[[#This Row],[Total Harga]])</f>
        <v>180000</v>
      </c>
      <c r="AA483" s="35">
        <f>(Data[[#This Row],[Profit A]]+Data[[#This Row],[Profit B]]+Data[[#This Row],[Profit C]])</f>
        <v>80000</v>
      </c>
      <c r="AB483" s="35">
        <f>IFERROR((Data[[#This Row],[Profit non Diskon]]-(Data[[#This Row],[Profit non Diskon]]*Data[[#This Row],[Diskon]])),Data[[#This Row],[Profit non Diskon]])</f>
        <v>72000</v>
      </c>
      <c r="AC483" s="23" t="s">
        <v>31</v>
      </c>
      <c r="AD483" s="37">
        <f>IFERROR(INDEX('Kode Diskon'!$D$3:$D$9,MATCH(Data[[#This Row],[Kode diskon]],'Kode Diskon'!$C$3:$C$9,0)),"-")</f>
        <v>0.1</v>
      </c>
      <c r="AE483" s="23" t="s">
        <v>9</v>
      </c>
      <c r="AF483" s="23" t="s">
        <v>10</v>
      </c>
      <c r="AG483" s="23" t="s">
        <v>76</v>
      </c>
      <c r="AH483" s="24">
        <v>45041</v>
      </c>
      <c r="AI483" s="23" t="str">
        <f>TEXT(Data[[#This Row],[Tanggal terjual]],"dddd")</f>
        <v>Tuesday</v>
      </c>
      <c r="AJ483" s="21" t="str">
        <f>TEXT(Data[[#This Row],[Tanggal terjual]],"wwww")</f>
        <v>wwww</v>
      </c>
    </row>
    <row r="484" spans="1:36" x14ac:dyDescent="0.2">
      <c r="A484" s="20">
        <v>483</v>
      </c>
      <c r="B484" s="21" t="str">
        <f>_xlfn.CONCAT("ORD-",INDEX(Helper!$B$2:$B$5,MATCH(Data[[#This Row],[Marketplace]],Helper!$A$2:$A$5,0)),TEXT(Data[[#This Row],[No]],"0000"),"-",TEXT(Data[[#This Row],[Tanggal terjual]],"dd/mm/yy"))</f>
        <v>ORD-TK0483-05/04/23</v>
      </c>
      <c r="C484" t="s">
        <v>61</v>
      </c>
      <c r="D484" t="str">
        <f>IFERROR(INDEX(Katalog!$A$3:$A$12,MATCH(Data[[#This Row],[ItemID A]],Katalog!$C$3:$C$12,0)),"-")</f>
        <v>Pakaian Pria</v>
      </c>
      <c r="E484" t="str">
        <f>IFERROR(INDEX(Katalog!$B$3:$B$12,MATCH(Data[[#This Row],[ItemID A]],Katalog!$C$3:$C$12,0)),"-")</f>
        <v>Kaos Polo</v>
      </c>
      <c r="F484">
        <v>3</v>
      </c>
      <c r="G484">
        <v>5</v>
      </c>
      <c r="H484" s="36">
        <f>IFERROR(INDEX(Katalog!$D$3:$D$12,MATCH(Data[[#This Row],[ItemID A]],Katalog!$C$3:$C$12,0))*Data[[#This Row],[Qty A]],"0")</f>
        <v>600000</v>
      </c>
      <c r="I484" s="36">
        <f>IFERROR(INDEX(Katalog!$F$3:$F$12,MATCH(Data[[#This Row],[ItemID A]],Katalog!$C$3:$C$12,0))*Data[[#This Row],[Qty A]],0)</f>
        <v>240000</v>
      </c>
      <c r="J484" t="s">
        <v>60</v>
      </c>
      <c r="K484" t="str">
        <f>IFERROR(INDEX(Katalog!$A$3:$A$12,MATCH(Data[[#This Row],[ItemID B]],Katalog!$C$3:$C$12,0)),"-")</f>
        <v>Pakaian Wanita</v>
      </c>
      <c r="L484" t="str">
        <f>IFERROR(INDEX(Katalog!$B$3:$B$12,MATCH(Data[[#This Row],[ItemID B]],Katalog!$C$3:$C$12,0)),"-")</f>
        <v>Kaftan</v>
      </c>
      <c r="M484">
        <v>4</v>
      </c>
      <c r="N484">
        <v>1</v>
      </c>
      <c r="O484" s="36">
        <f>IFERROR(INDEX(Katalog!$D$3:$D$12,MATCH(Data[[#This Row],[ItemID B]],Katalog!$C$3:$C$12,0))*Data[[#This Row],[Qty B]],"0")</f>
        <v>1000000</v>
      </c>
      <c r="P484" s="36">
        <f>IFERROR(INDEX(Katalog!$F$3:$F$12,MATCH(Data[[#This Row],[ItemID B]],Katalog!$C$3:$C$12,0))*Data[[#This Row],[Qty B]],"0")</f>
        <v>400000</v>
      </c>
      <c r="R484" t="str">
        <f>IFERROR(INDEX(Katalog!$A$3:$A$12,MATCH(Data[[#This Row],[ItemID C]],Katalog!$C$3:$C$12,0)),"-")</f>
        <v>-</v>
      </c>
      <c r="S484" t="str">
        <f>IFERROR(INDEX(Katalog!$B$3:$B$12,MATCH(Data[[#This Row],[ItemID C]],Katalog!$C$3:$C$12,0)),"-")</f>
        <v>-</v>
      </c>
      <c r="V484" s="36" t="str">
        <f>IFERROR(INDEX(Katalog!$D$3:$D$12,MATCH(Data[[#This Row],[ItemID C]],Katalog!$C$3:$C$12,0))*Data[[#This Row],[Qty C]],"0")</f>
        <v>0</v>
      </c>
      <c r="W484" s="36" t="str">
        <f>IFERROR(INDEX(Katalog!$F$3:$F$12,MATCH(Data[[#This Row],[ItemID C]],Katalog!$C$3:$C$12,0))*Data[[#This Row],[Qty C]],"0")</f>
        <v>0</v>
      </c>
      <c r="X484" s="21">
        <f>Data[[#This Row],[Qty A]]+Data[[#This Row],[Qty B]]+Data[[#This Row],[Qty C]]</f>
        <v>7</v>
      </c>
      <c r="Y484" s="22">
        <f>Data[[#This Row],[Harga Barang A]]+Data[[#This Row],[Harga Barang B]]+Data[[#This Row],[Harga Barang C]]</f>
        <v>1600000</v>
      </c>
      <c r="Z484" s="35">
        <f>IFERROR(Data[[#This Row],[Total Harga]]-(Data[[#This Row],[Total Harga]]*Data[[#This Row],[Diskon]]),Data[[#This Row],[Total Harga]])</f>
        <v>1440000</v>
      </c>
      <c r="AA484" s="35">
        <f>(Data[[#This Row],[Profit A]]+Data[[#This Row],[Profit B]]+Data[[#This Row],[Profit C]])</f>
        <v>640000</v>
      </c>
      <c r="AB484" s="35">
        <f>IFERROR((Data[[#This Row],[Profit non Diskon]]-(Data[[#This Row],[Profit non Diskon]]*Data[[#This Row],[Diskon]])),Data[[#This Row],[Profit non Diskon]])</f>
        <v>576000</v>
      </c>
      <c r="AC484" s="23" t="s">
        <v>30</v>
      </c>
      <c r="AD484" s="37">
        <f>IFERROR(INDEX('Kode Diskon'!$D$3:$D$9,MATCH(Data[[#This Row],[Kode diskon]],'Kode Diskon'!$C$3:$C$9,0)),"-")</f>
        <v>0.1</v>
      </c>
      <c r="AE484" s="23" t="s">
        <v>29</v>
      </c>
      <c r="AF484" s="23" t="s">
        <v>10</v>
      </c>
      <c r="AG484" s="23" t="s">
        <v>80</v>
      </c>
      <c r="AH484" s="24">
        <v>45021</v>
      </c>
      <c r="AI484" s="23" t="str">
        <f>TEXT(Data[[#This Row],[Tanggal terjual]],"dddd")</f>
        <v>Wednesday</v>
      </c>
      <c r="AJ484" s="21" t="str">
        <f>TEXT(Data[[#This Row],[Tanggal terjual]],"wwww")</f>
        <v>wwww</v>
      </c>
    </row>
    <row r="485" spans="1:36" x14ac:dyDescent="0.2">
      <c r="A485" s="20">
        <v>484</v>
      </c>
      <c r="B485" s="21" t="str">
        <f>_xlfn.CONCAT("ORD-",INDEX(Helper!$B$2:$B$5,MATCH(Data[[#This Row],[Marketplace]],Helper!$A$2:$A$5,0)),TEXT(Data[[#This Row],[No]],"0000"),"-",TEXT(Data[[#This Row],[Tanggal terjual]],"dd/mm/yy"))</f>
        <v>ORD-TK0484-03/04/23</v>
      </c>
      <c r="C485" t="s">
        <v>61</v>
      </c>
      <c r="D485" t="str">
        <f>IFERROR(INDEX(Katalog!$A$3:$A$12,MATCH(Data[[#This Row],[ItemID A]],Katalog!$C$3:$C$12,0)),"-")</f>
        <v>Pakaian Pria</v>
      </c>
      <c r="E485" t="str">
        <f>IFERROR(INDEX(Katalog!$B$3:$B$12,MATCH(Data[[#This Row],[ItemID A]],Katalog!$C$3:$C$12,0)),"-")</f>
        <v>Kaos Polo</v>
      </c>
      <c r="F485">
        <v>1</v>
      </c>
      <c r="G485">
        <v>3</v>
      </c>
      <c r="H485" s="36">
        <f>IFERROR(INDEX(Katalog!$D$3:$D$12,MATCH(Data[[#This Row],[ItemID A]],Katalog!$C$3:$C$12,0))*Data[[#This Row],[Qty A]],"0")</f>
        <v>200000</v>
      </c>
      <c r="I485" s="36">
        <f>IFERROR(INDEX(Katalog!$F$3:$F$12,MATCH(Data[[#This Row],[ItemID A]],Katalog!$C$3:$C$12,0))*Data[[#This Row],[Qty A]],0)</f>
        <v>80000</v>
      </c>
      <c r="K485" t="str">
        <f>IFERROR(INDEX(Katalog!$A$3:$A$12,MATCH(Data[[#This Row],[ItemID B]],Katalog!$C$3:$C$12,0)),"-")</f>
        <v>-</v>
      </c>
      <c r="L485" t="str">
        <f>IFERROR(INDEX(Katalog!$B$3:$B$12,MATCH(Data[[#This Row],[ItemID B]],Katalog!$C$3:$C$12,0)),"-")</f>
        <v>-</v>
      </c>
      <c r="O485" s="36" t="str">
        <f>IFERROR(INDEX(Katalog!$D$3:$D$12,MATCH(Data[[#This Row],[ItemID B]],Katalog!$C$3:$C$12,0))*Data[[#This Row],[Qty B]],"0")</f>
        <v>0</v>
      </c>
      <c r="P485" s="36" t="str">
        <f>IFERROR(INDEX(Katalog!$F$3:$F$12,MATCH(Data[[#This Row],[ItemID B]],Katalog!$C$3:$C$12,0))*Data[[#This Row],[Qty B]],"0")</f>
        <v>0</v>
      </c>
      <c r="R485" t="str">
        <f>IFERROR(INDEX(Katalog!$A$3:$A$12,MATCH(Data[[#This Row],[ItemID C]],Katalog!$C$3:$C$12,0)),"-")</f>
        <v>-</v>
      </c>
      <c r="S485" t="str">
        <f>IFERROR(INDEX(Katalog!$B$3:$B$12,MATCH(Data[[#This Row],[ItemID C]],Katalog!$C$3:$C$12,0)),"-")</f>
        <v>-</v>
      </c>
      <c r="V485" s="36" t="str">
        <f>IFERROR(INDEX(Katalog!$D$3:$D$12,MATCH(Data[[#This Row],[ItemID C]],Katalog!$C$3:$C$12,0))*Data[[#This Row],[Qty C]],"0")</f>
        <v>0</v>
      </c>
      <c r="W485" s="36" t="str">
        <f>IFERROR(INDEX(Katalog!$F$3:$F$12,MATCH(Data[[#This Row],[ItemID C]],Katalog!$C$3:$C$12,0))*Data[[#This Row],[Qty C]],"0")</f>
        <v>0</v>
      </c>
      <c r="X485" s="21">
        <f>Data[[#This Row],[Qty A]]+Data[[#This Row],[Qty B]]+Data[[#This Row],[Qty C]]</f>
        <v>1</v>
      </c>
      <c r="Y485" s="22">
        <f>Data[[#This Row],[Harga Barang A]]+Data[[#This Row],[Harga Barang B]]+Data[[#This Row],[Harga Barang C]]</f>
        <v>200000</v>
      </c>
      <c r="Z485" s="35">
        <f>IFERROR(Data[[#This Row],[Total Harga]]-(Data[[#This Row],[Total Harga]]*Data[[#This Row],[Diskon]]),Data[[#This Row],[Total Harga]])</f>
        <v>180000</v>
      </c>
      <c r="AA485" s="35">
        <f>(Data[[#This Row],[Profit A]]+Data[[#This Row],[Profit B]]+Data[[#This Row],[Profit C]])</f>
        <v>80000</v>
      </c>
      <c r="AB485" s="35">
        <f>IFERROR((Data[[#This Row],[Profit non Diskon]]-(Data[[#This Row],[Profit non Diskon]]*Data[[#This Row],[Diskon]])),Data[[#This Row],[Profit non Diskon]])</f>
        <v>72000</v>
      </c>
      <c r="AC485" s="23" t="s">
        <v>30</v>
      </c>
      <c r="AD485" s="37">
        <f>IFERROR(INDEX('Kode Diskon'!$D$3:$D$9,MATCH(Data[[#This Row],[Kode diskon]],'Kode Diskon'!$C$3:$C$9,0)),"-")</f>
        <v>0.1</v>
      </c>
      <c r="AE485" s="23" t="s">
        <v>29</v>
      </c>
      <c r="AF485" s="23" t="s">
        <v>10</v>
      </c>
      <c r="AG485" s="23" t="s">
        <v>80</v>
      </c>
      <c r="AH485" s="24">
        <v>45019</v>
      </c>
      <c r="AI485" s="23" t="str">
        <f>TEXT(Data[[#This Row],[Tanggal terjual]],"dddd")</f>
        <v>Monday</v>
      </c>
      <c r="AJ485" s="21" t="str">
        <f>TEXT(Data[[#This Row],[Tanggal terjual]],"wwww")</f>
        <v>wwww</v>
      </c>
    </row>
    <row r="486" spans="1:36" x14ac:dyDescent="0.2">
      <c r="A486" s="20">
        <v>485</v>
      </c>
      <c r="B486" s="21" t="str">
        <f>_xlfn.CONCAT("ORD-",INDEX(Helper!$B$2:$B$5,MATCH(Data[[#This Row],[Marketplace]],Helper!$A$2:$A$5,0)),TEXT(Data[[#This Row],[No]],"0000"),"-",TEXT(Data[[#This Row],[Tanggal terjual]],"dd/mm/yy"))</f>
        <v>ORD-TK0485-03/04/23</v>
      </c>
      <c r="C486" t="s">
        <v>65</v>
      </c>
      <c r="D486" t="str">
        <f>IFERROR(INDEX(Katalog!$A$3:$A$12,MATCH(Data[[#This Row],[ItemID A]],Katalog!$C$3:$C$12,0)),"-")</f>
        <v>Sepatu Pria</v>
      </c>
      <c r="E486" t="str">
        <f>IFERROR(INDEX(Katalog!$B$3:$B$12,MATCH(Data[[#This Row],[ItemID A]],Katalog!$C$3:$C$12,0)),"-")</f>
        <v>Sneakers</v>
      </c>
      <c r="F486">
        <v>2</v>
      </c>
      <c r="G486">
        <v>4</v>
      </c>
      <c r="H486" s="36">
        <f>IFERROR(INDEX(Katalog!$D$3:$D$12,MATCH(Data[[#This Row],[ItemID A]],Katalog!$C$3:$C$12,0))*Data[[#This Row],[Qty A]],"0")</f>
        <v>1000000</v>
      </c>
      <c r="I486" s="36">
        <f>IFERROR(INDEX(Katalog!$F$3:$F$12,MATCH(Data[[#This Row],[ItemID A]],Katalog!$C$3:$C$12,0))*Data[[#This Row],[Qty A]],0)</f>
        <v>400000</v>
      </c>
      <c r="K486" t="str">
        <f>IFERROR(INDEX(Katalog!$A$3:$A$12,MATCH(Data[[#This Row],[ItemID B]],Katalog!$C$3:$C$12,0)),"-")</f>
        <v>-</v>
      </c>
      <c r="L486" t="str">
        <f>IFERROR(INDEX(Katalog!$B$3:$B$12,MATCH(Data[[#This Row],[ItemID B]],Katalog!$C$3:$C$12,0)),"-")</f>
        <v>-</v>
      </c>
      <c r="O486" s="36" t="str">
        <f>IFERROR(INDEX(Katalog!$D$3:$D$12,MATCH(Data[[#This Row],[ItemID B]],Katalog!$C$3:$C$12,0))*Data[[#This Row],[Qty B]],"0")</f>
        <v>0</v>
      </c>
      <c r="P486" s="36" t="str">
        <f>IFERROR(INDEX(Katalog!$F$3:$F$12,MATCH(Data[[#This Row],[ItemID B]],Katalog!$C$3:$C$12,0))*Data[[#This Row],[Qty B]],"0")</f>
        <v>0</v>
      </c>
      <c r="R486" t="str">
        <f>IFERROR(INDEX(Katalog!$A$3:$A$12,MATCH(Data[[#This Row],[ItemID C]],Katalog!$C$3:$C$12,0)),"-")</f>
        <v>-</v>
      </c>
      <c r="S486" t="str">
        <f>IFERROR(INDEX(Katalog!$B$3:$B$12,MATCH(Data[[#This Row],[ItemID C]],Katalog!$C$3:$C$12,0)),"-")</f>
        <v>-</v>
      </c>
      <c r="V486" s="36" t="str">
        <f>IFERROR(INDEX(Katalog!$D$3:$D$12,MATCH(Data[[#This Row],[ItemID C]],Katalog!$C$3:$C$12,0))*Data[[#This Row],[Qty C]],"0")</f>
        <v>0</v>
      </c>
      <c r="W486" s="36" t="str">
        <f>IFERROR(INDEX(Katalog!$F$3:$F$12,MATCH(Data[[#This Row],[ItemID C]],Katalog!$C$3:$C$12,0))*Data[[#This Row],[Qty C]],"0")</f>
        <v>0</v>
      </c>
      <c r="X486" s="21">
        <f>Data[[#This Row],[Qty A]]+Data[[#This Row],[Qty B]]+Data[[#This Row],[Qty C]]</f>
        <v>2</v>
      </c>
      <c r="Y486" s="22">
        <f>Data[[#This Row],[Harga Barang A]]+Data[[#This Row],[Harga Barang B]]+Data[[#This Row],[Harga Barang C]]</f>
        <v>1000000</v>
      </c>
      <c r="Z486" s="35">
        <f>IFERROR(Data[[#This Row],[Total Harga]]-(Data[[#This Row],[Total Harga]]*Data[[#This Row],[Diskon]]),Data[[#This Row],[Total Harga]])</f>
        <v>900000</v>
      </c>
      <c r="AA486" s="35">
        <f>(Data[[#This Row],[Profit A]]+Data[[#This Row],[Profit B]]+Data[[#This Row],[Profit C]])</f>
        <v>400000</v>
      </c>
      <c r="AB486" s="35">
        <f>IFERROR((Data[[#This Row],[Profit non Diskon]]-(Data[[#This Row],[Profit non Diskon]]*Data[[#This Row],[Diskon]])),Data[[#This Row],[Profit non Diskon]])</f>
        <v>360000</v>
      </c>
      <c r="AC486" s="23" t="s">
        <v>30</v>
      </c>
      <c r="AD486" s="37">
        <f>IFERROR(INDEX('Kode Diskon'!$D$3:$D$9,MATCH(Data[[#This Row],[Kode diskon]],'Kode Diskon'!$C$3:$C$9,0)),"-")</f>
        <v>0.1</v>
      </c>
      <c r="AE486" s="23" t="s">
        <v>29</v>
      </c>
      <c r="AF486" s="23" t="s">
        <v>10</v>
      </c>
      <c r="AG486" s="23" t="s">
        <v>77</v>
      </c>
      <c r="AH486" s="24">
        <v>45019</v>
      </c>
      <c r="AI486" s="23" t="str">
        <f>TEXT(Data[[#This Row],[Tanggal terjual]],"dddd")</f>
        <v>Monday</v>
      </c>
      <c r="AJ486" s="21" t="str">
        <f>TEXT(Data[[#This Row],[Tanggal terjual]],"wwww")</f>
        <v>wwww</v>
      </c>
    </row>
    <row r="487" spans="1:36" x14ac:dyDescent="0.2">
      <c r="A487" s="20">
        <v>486</v>
      </c>
      <c r="B487" s="21" t="str">
        <f>_xlfn.CONCAT("ORD-",INDEX(Helper!$B$2:$B$5,MATCH(Data[[#This Row],[Marketplace]],Helper!$A$2:$A$5,0)),TEXT(Data[[#This Row],[No]],"0000"),"-",TEXT(Data[[#This Row],[Tanggal terjual]],"dd/mm/yy"))</f>
        <v>ORD-SP0486-13/04/23</v>
      </c>
      <c r="C487" t="s">
        <v>59</v>
      </c>
      <c r="D487" t="str">
        <f>IFERROR(INDEX(Katalog!$A$3:$A$12,MATCH(Data[[#This Row],[ItemID A]],Katalog!$C$3:$C$12,0)),"-")</f>
        <v>Pakaian Wanita</v>
      </c>
      <c r="E487" t="str">
        <f>IFERROR(INDEX(Katalog!$B$3:$B$12,MATCH(Data[[#This Row],[ItemID A]],Katalog!$C$3:$C$12,0)),"-")</f>
        <v>Blouse</v>
      </c>
      <c r="F487">
        <v>2</v>
      </c>
      <c r="G487">
        <v>4</v>
      </c>
      <c r="H487" s="36">
        <f>IFERROR(INDEX(Katalog!$D$3:$D$12,MATCH(Data[[#This Row],[ItemID A]],Katalog!$C$3:$C$12,0))*Data[[#This Row],[Qty A]],"0")</f>
        <v>300000</v>
      </c>
      <c r="I487" s="36">
        <f>IFERROR(INDEX(Katalog!$F$3:$F$12,MATCH(Data[[#This Row],[ItemID A]],Katalog!$C$3:$C$12,0))*Data[[#This Row],[Qty A]],0)</f>
        <v>100000</v>
      </c>
      <c r="J487" t="s">
        <v>67</v>
      </c>
      <c r="K487" t="str">
        <f>IFERROR(INDEX(Katalog!$A$3:$A$12,MATCH(Data[[#This Row],[ItemID B]],Katalog!$C$3:$C$12,0)),"-")</f>
        <v>Sepatu Wanita</v>
      </c>
      <c r="L487" t="str">
        <f>IFERROR(INDEX(Katalog!$B$3:$B$12,MATCH(Data[[#This Row],[ItemID B]],Katalog!$C$3:$C$12,0)),"-")</f>
        <v>Flat Shoes</v>
      </c>
      <c r="M487">
        <v>2</v>
      </c>
      <c r="N487">
        <v>4</v>
      </c>
      <c r="O487" s="36">
        <f>IFERROR(INDEX(Katalog!$D$3:$D$12,MATCH(Data[[#This Row],[ItemID B]],Katalog!$C$3:$C$12,0))*Data[[#This Row],[Qty B]],"0")</f>
        <v>500000</v>
      </c>
      <c r="P487" s="36">
        <f>IFERROR(INDEX(Katalog!$F$3:$F$12,MATCH(Data[[#This Row],[ItemID B]],Katalog!$C$3:$C$12,0))*Data[[#This Row],[Qty B]],"0")</f>
        <v>200000</v>
      </c>
      <c r="Q487" t="s">
        <v>59</v>
      </c>
      <c r="R487" t="str">
        <f>IFERROR(INDEX(Katalog!$A$3:$A$12,MATCH(Data[[#This Row],[ItemID C]],Katalog!$C$3:$C$12,0)),"-")</f>
        <v>Pakaian Wanita</v>
      </c>
      <c r="S487" t="str">
        <f>IFERROR(INDEX(Katalog!$B$3:$B$12,MATCH(Data[[#This Row],[ItemID C]],Katalog!$C$3:$C$12,0)),"-")</f>
        <v>Blouse</v>
      </c>
      <c r="T487">
        <v>2</v>
      </c>
      <c r="U487">
        <v>2</v>
      </c>
      <c r="V487" s="36">
        <f>IFERROR(INDEX(Katalog!$D$3:$D$12,MATCH(Data[[#This Row],[ItemID C]],Katalog!$C$3:$C$12,0))*Data[[#This Row],[Qty C]],"0")</f>
        <v>300000</v>
      </c>
      <c r="W487" s="36">
        <f>IFERROR(INDEX(Katalog!$F$3:$F$12,MATCH(Data[[#This Row],[ItemID C]],Katalog!$C$3:$C$12,0))*Data[[#This Row],[Qty C]],"0")</f>
        <v>100000</v>
      </c>
      <c r="X487" s="21">
        <f>Data[[#This Row],[Qty A]]+Data[[#This Row],[Qty B]]+Data[[#This Row],[Qty C]]</f>
        <v>6</v>
      </c>
      <c r="Y487" s="22">
        <f>Data[[#This Row],[Harga Barang A]]+Data[[#This Row],[Harga Barang B]]+Data[[#This Row],[Harga Barang C]]</f>
        <v>1100000</v>
      </c>
      <c r="Z487" s="35">
        <f>IFERROR(Data[[#This Row],[Total Harga]]-(Data[[#This Row],[Total Harga]]*Data[[#This Row],[Diskon]]),Data[[#This Row],[Total Harga]])</f>
        <v>1100000</v>
      </c>
      <c r="AA487" s="35">
        <f>(Data[[#This Row],[Profit A]]+Data[[#This Row],[Profit B]]+Data[[#This Row],[Profit C]])</f>
        <v>400000</v>
      </c>
      <c r="AB487" s="35">
        <f>IFERROR((Data[[#This Row],[Profit non Diskon]]-(Data[[#This Row],[Profit non Diskon]]*Data[[#This Row],[Diskon]])),Data[[#This Row],[Profit non Diskon]])</f>
        <v>400000</v>
      </c>
      <c r="AC487" s="23" t="s">
        <v>11</v>
      </c>
      <c r="AD487" s="37" t="str">
        <f>IFERROR(INDEX('Kode Diskon'!$D$3:$D$9,MATCH(Data[[#This Row],[Kode diskon]],'Kode Diskon'!$C$3:$C$9,0)),"-")</f>
        <v>-</v>
      </c>
      <c r="AE487" s="23" t="s">
        <v>11</v>
      </c>
      <c r="AF487" s="23" t="s">
        <v>7</v>
      </c>
      <c r="AG487" s="23" t="s">
        <v>77</v>
      </c>
      <c r="AH487" s="24">
        <v>45029</v>
      </c>
      <c r="AI487" s="23" t="str">
        <f>TEXT(Data[[#This Row],[Tanggal terjual]],"dddd")</f>
        <v>Thursday</v>
      </c>
      <c r="AJ487" s="21" t="str">
        <f>TEXT(Data[[#This Row],[Tanggal terjual]],"wwww")</f>
        <v>wwww</v>
      </c>
    </row>
    <row r="488" spans="1:36" x14ac:dyDescent="0.2">
      <c r="A488" s="20">
        <v>487</v>
      </c>
      <c r="B488" s="21" t="str">
        <f>_xlfn.CONCAT("ORD-",INDEX(Helper!$B$2:$B$5,MATCH(Data[[#This Row],[Marketplace]],Helper!$A$2:$A$5,0)),TEXT(Data[[#This Row],[No]],"0000"),"-",TEXT(Data[[#This Row],[Tanggal terjual]],"dd/mm/yy"))</f>
        <v>ORD-BB0487-04/04/23</v>
      </c>
      <c r="C488" t="s">
        <v>63</v>
      </c>
      <c r="D488" t="str">
        <f>IFERROR(INDEX(Katalog!$A$3:$A$12,MATCH(Data[[#This Row],[ItemID A]],Katalog!$C$3:$C$12,0)),"-")</f>
        <v>Pakaian Pria</v>
      </c>
      <c r="E488" t="str">
        <f>IFERROR(INDEX(Katalog!$B$3:$B$12,MATCH(Data[[#This Row],[ItemID A]],Katalog!$C$3:$C$12,0)),"-")</f>
        <v>Jaket Jeans</v>
      </c>
      <c r="F488">
        <v>2</v>
      </c>
      <c r="G488">
        <v>4</v>
      </c>
      <c r="H488" s="36">
        <f>IFERROR(INDEX(Katalog!$D$3:$D$12,MATCH(Data[[#This Row],[ItemID A]],Katalog!$C$3:$C$12,0))*Data[[#This Row],[Qty A]],"0")</f>
        <v>800000</v>
      </c>
      <c r="I488" s="36">
        <f>IFERROR(INDEX(Katalog!$F$3:$F$12,MATCH(Data[[#This Row],[ItemID A]],Katalog!$C$3:$C$12,0))*Data[[#This Row],[Qty A]],0)</f>
        <v>300000</v>
      </c>
      <c r="J488" t="s">
        <v>61</v>
      </c>
      <c r="K488" t="str">
        <f>IFERROR(INDEX(Katalog!$A$3:$A$12,MATCH(Data[[#This Row],[ItemID B]],Katalog!$C$3:$C$12,0)),"-")</f>
        <v>Pakaian Pria</v>
      </c>
      <c r="L488" t="str">
        <f>IFERROR(INDEX(Katalog!$B$3:$B$12,MATCH(Data[[#This Row],[ItemID B]],Katalog!$C$3:$C$12,0)),"-")</f>
        <v>Kaos Polo</v>
      </c>
      <c r="M488">
        <v>1</v>
      </c>
      <c r="N488">
        <v>5</v>
      </c>
      <c r="O488" s="36">
        <f>IFERROR(INDEX(Katalog!$D$3:$D$12,MATCH(Data[[#This Row],[ItemID B]],Katalog!$C$3:$C$12,0))*Data[[#This Row],[Qty B]],"0")</f>
        <v>200000</v>
      </c>
      <c r="P488" s="36">
        <f>IFERROR(INDEX(Katalog!$F$3:$F$12,MATCH(Data[[#This Row],[ItemID B]],Katalog!$C$3:$C$12,0))*Data[[#This Row],[Qty B]],"0")</f>
        <v>80000</v>
      </c>
      <c r="R488" t="str">
        <f>IFERROR(INDEX(Katalog!$A$3:$A$12,MATCH(Data[[#This Row],[ItemID C]],Katalog!$C$3:$C$12,0)),"-")</f>
        <v>-</v>
      </c>
      <c r="S488" t="str">
        <f>IFERROR(INDEX(Katalog!$B$3:$B$12,MATCH(Data[[#This Row],[ItemID C]],Katalog!$C$3:$C$12,0)),"-")</f>
        <v>-</v>
      </c>
      <c r="V488" s="36" t="str">
        <f>IFERROR(INDEX(Katalog!$D$3:$D$12,MATCH(Data[[#This Row],[ItemID C]],Katalog!$C$3:$C$12,0))*Data[[#This Row],[Qty C]],"0")</f>
        <v>0</v>
      </c>
      <c r="W488" s="36" t="str">
        <f>IFERROR(INDEX(Katalog!$F$3:$F$12,MATCH(Data[[#This Row],[ItemID C]],Katalog!$C$3:$C$12,0))*Data[[#This Row],[Qty C]],"0")</f>
        <v>0</v>
      </c>
      <c r="X488" s="21">
        <f>Data[[#This Row],[Qty A]]+Data[[#This Row],[Qty B]]+Data[[#This Row],[Qty C]]</f>
        <v>3</v>
      </c>
      <c r="Y488" s="22">
        <f>Data[[#This Row],[Harga Barang A]]+Data[[#This Row],[Harga Barang B]]+Data[[#This Row],[Harga Barang C]]</f>
        <v>1000000</v>
      </c>
      <c r="Z488" s="35">
        <f>IFERROR(Data[[#This Row],[Total Harga]]-(Data[[#This Row],[Total Harga]]*Data[[#This Row],[Diskon]]),Data[[#This Row],[Total Harga]])</f>
        <v>850000</v>
      </c>
      <c r="AA488" s="35">
        <f>(Data[[#This Row],[Profit A]]+Data[[#This Row],[Profit B]]+Data[[#This Row],[Profit C]])</f>
        <v>380000</v>
      </c>
      <c r="AB488" s="35">
        <f>IFERROR((Data[[#This Row],[Profit non Diskon]]-(Data[[#This Row],[Profit non Diskon]]*Data[[#This Row],[Diskon]])),Data[[#This Row],[Profit non Diskon]])</f>
        <v>323000</v>
      </c>
      <c r="AC488" s="23" t="s">
        <v>28</v>
      </c>
      <c r="AD488" s="37">
        <f>IFERROR(INDEX('Kode Diskon'!$D$3:$D$9,MATCH(Data[[#This Row],[Kode diskon]],'Kode Diskon'!$C$3:$C$9,0)),"-")</f>
        <v>0.15</v>
      </c>
      <c r="AE488" s="23" t="s">
        <v>29</v>
      </c>
      <c r="AF488" s="23" t="s">
        <v>14</v>
      </c>
      <c r="AG488" s="23" t="s">
        <v>75</v>
      </c>
      <c r="AH488" s="24">
        <v>45020</v>
      </c>
      <c r="AI488" s="23" t="str">
        <f>TEXT(Data[[#This Row],[Tanggal terjual]],"dddd")</f>
        <v>Tuesday</v>
      </c>
      <c r="AJ488" s="21" t="str">
        <f>TEXT(Data[[#This Row],[Tanggal terjual]],"wwww")</f>
        <v>wwww</v>
      </c>
    </row>
    <row r="489" spans="1:36" x14ac:dyDescent="0.2">
      <c r="A489" s="20">
        <v>488</v>
      </c>
      <c r="B489" s="21" t="str">
        <f>_xlfn.CONCAT("ORD-",INDEX(Helper!$B$2:$B$5,MATCH(Data[[#This Row],[Marketplace]],Helper!$A$2:$A$5,0)),TEXT(Data[[#This Row],[No]],"0000"),"-",TEXT(Data[[#This Row],[Tanggal terjual]],"dd/mm/yy"))</f>
        <v>ORD-BL0488-08/04/23</v>
      </c>
      <c r="C489" t="s">
        <v>66</v>
      </c>
      <c r="D489" t="str">
        <f>IFERROR(INDEX(Katalog!$A$3:$A$12,MATCH(Data[[#This Row],[ItemID A]],Katalog!$C$3:$C$12,0)),"-")</f>
        <v>Sepatu Pria</v>
      </c>
      <c r="E489" t="str">
        <f>IFERROR(INDEX(Katalog!$B$3:$B$12,MATCH(Data[[#This Row],[ItemID A]],Katalog!$C$3:$C$12,0)),"-")</f>
        <v>Sandal Slip On</v>
      </c>
      <c r="F489">
        <v>2</v>
      </c>
      <c r="G489">
        <v>3</v>
      </c>
      <c r="H489" s="36">
        <f>IFERROR(INDEX(Katalog!$D$3:$D$12,MATCH(Data[[#This Row],[ItemID A]],Katalog!$C$3:$C$12,0))*Data[[#This Row],[Qty A]],"0")</f>
        <v>300000</v>
      </c>
      <c r="I489" s="36">
        <f>IFERROR(INDEX(Katalog!$F$3:$F$12,MATCH(Data[[#This Row],[ItemID A]],Katalog!$C$3:$C$12,0))*Data[[#This Row],[Qty A]],0)</f>
        <v>120000</v>
      </c>
      <c r="J489" t="s">
        <v>59</v>
      </c>
      <c r="K489" t="str">
        <f>IFERROR(INDEX(Katalog!$A$3:$A$12,MATCH(Data[[#This Row],[ItemID B]],Katalog!$C$3:$C$12,0)),"-")</f>
        <v>Pakaian Wanita</v>
      </c>
      <c r="L489" t="str">
        <f>IFERROR(INDEX(Katalog!$B$3:$B$12,MATCH(Data[[#This Row],[ItemID B]],Katalog!$C$3:$C$12,0)),"-")</f>
        <v>Blouse</v>
      </c>
      <c r="M489">
        <v>1</v>
      </c>
      <c r="N489">
        <v>3</v>
      </c>
      <c r="O489" s="36">
        <f>IFERROR(INDEX(Katalog!$D$3:$D$12,MATCH(Data[[#This Row],[ItemID B]],Katalog!$C$3:$C$12,0))*Data[[#This Row],[Qty B]],"0")</f>
        <v>150000</v>
      </c>
      <c r="P489" s="36">
        <f>IFERROR(INDEX(Katalog!$F$3:$F$12,MATCH(Data[[#This Row],[ItemID B]],Katalog!$C$3:$C$12,0))*Data[[#This Row],[Qty B]],"0")</f>
        <v>50000</v>
      </c>
      <c r="R489" t="str">
        <f>IFERROR(INDEX(Katalog!$A$3:$A$12,MATCH(Data[[#This Row],[ItemID C]],Katalog!$C$3:$C$12,0)),"-")</f>
        <v>-</v>
      </c>
      <c r="S489" t="str">
        <f>IFERROR(INDEX(Katalog!$B$3:$B$12,MATCH(Data[[#This Row],[ItemID C]],Katalog!$C$3:$C$12,0)),"-")</f>
        <v>-</v>
      </c>
      <c r="V489" s="36" t="str">
        <f>IFERROR(INDEX(Katalog!$D$3:$D$12,MATCH(Data[[#This Row],[ItemID C]],Katalog!$C$3:$C$12,0))*Data[[#This Row],[Qty C]],"0")</f>
        <v>0</v>
      </c>
      <c r="W489" s="36" t="str">
        <f>IFERROR(INDEX(Katalog!$F$3:$F$12,MATCH(Data[[#This Row],[ItemID C]],Katalog!$C$3:$C$12,0))*Data[[#This Row],[Qty C]],"0")</f>
        <v>0</v>
      </c>
      <c r="X489" s="21">
        <f>Data[[#This Row],[Qty A]]+Data[[#This Row],[Qty B]]+Data[[#This Row],[Qty C]]</f>
        <v>3</v>
      </c>
      <c r="Y489" s="22">
        <f>Data[[#This Row],[Harga Barang A]]+Data[[#This Row],[Harga Barang B]]+Data[[#This Row],[Harga Barang C]]</f>
        <v>450000</v>
      </c>
      <c r="Z489" s="35">
        <f>IFERROR(Data[[#This Row],[Total Harga]]-(Data[[#This Row],[Total Harga]]*Data[[#This Row],[Diskon]]),Data[[#This Row],[Total Harga]])</f>
        <v>450000</v>
      </c>
      <c r="AA489" s="35">
        <f>(Data[[#This Row],[Profit A]]+Data[[#This Row],[Profit B]]+Data[[#This Row],[Profit C]])</f>
        <v>170000</v>
      </c>
      <c r="AB489" s="35">
        <f>IFERROR((Data[[#This Row],[Profit non Diskon]]-(Data[[#This Row],[Profit non Diskon]]*Data[[#This Row],[Diskon]])),Data[[#This Row],[Profit non Diskon]])</f>
        <v>170000</v>
      </c>
      <c r="AC489" s="23" t="s">
        <v>11</v>
      </c>
      <c r="AD489" s="37" t="str">
        <f>IFERROR(INDEX('Kode Diskon'!$D$3:$D$9,MATCH(Data[[#This Row],[Kode diskon]],'Kode Diskon'!$C$3:$C$9,0)),"-")</f>
        <v>-</v>
      </c>
      <c r="AE489" s="23" t="s">
        <v>11</v>
      </c>
      <c r="AF489" s="23" t="s">
        <v>12</v>
      </c>
      <c r="AG489" s="23" t="s">
        <v>75</v>
      </c>
      <c r="AH489" s="24">
        <v>45024</v>
      </c>
      <c r="AI489" s="23" t="str">
        <f>TEXT(Data[[#This Row],[Tanggal terjual]],"dddd")</f>
        <v>Saturday</v>
      </c>
      <c r="AJ489" s="21" t="str">
        <f>TEXT(Data[[#This Row],[Tanggal terjual]],"wwww")</f>
        <v>wwww</v>
      </c>
    </row>
    <row r="490" spans="1:36" x14ac:dyDescent="0.2">
      <c r="A490" s="20">
        <v>489</v>
      </c>
      <c r="B490" s="21" t="str">
        <f>_xlfn.CONCAT("ORD-",INDEX(Helper!$B$2:$B$5,MATCH(Data[[#This Row],[Marketplace]],Helper!$A$2:$A$5,0)),TEXT(Data[[#This Row],[No]],"0000"),"-",TEXT(Data[[#This Row],[Tanggal terjual]],"dd/mm/yy"))</f>
        <v>ORD-SP0489-07/04/23</v>
      </c>
      <c r="C490" t="s">
        <v>58</v>
      </c>
      <c r="D490" t="str">
        <f>IFERROR(INDEX(Katalog!$A$3:$A$12,MATCH(Data[[#This Row],[ItemID A]],Katalog!$C$3:$C$12,0)),"-")</f>
        <v>Pakaian Wanita</v>
      </c>
      <c r="E490" t="str">
        <f>IFERROR(INDEX(Katalog!$B$3:$B$12,MATCH(Data[[#This Row],[ItemID A]],Katalog!$C$3:$C$12,0)),"-")</f>
        <v>Dress</v>
      </c>
      <c r="F490">
        <v>1</v>
      </c>
      <c r="G490">
        <v>5</v>
      </c>
      <c r="H490" s="36">
        <f>IFERROR(INDEX(Katalog!$D$3:$D$12,MATCH(Data[[#This Row],[ItemID A]],Katalog!$C$3:$C$12,0))*Data[[#This Row],[Qty A]],"0")</f>
        <v>300000</v>
      </c>
      <c r="I490" s="36">
        <f>IFERROR(INDEX(Katalog!$F$3:$F$12,MATCH(Data[[#This Row],[ItemID A]],Katalog!$C$3:$C$12,0))*Data[[#This Row],[Qty A]],0)</f>
        <v>100000</v>
      </c>
      <c r="K490" t="str">
        <f>IFERROR(INDEX(Katalog!$A$3:$A$12,MATCH(Data[[#This Row],[ItemID B]],Katalog!$C$3:$C$12,0)),"-")</f>
        <v>-</v>
      </c>
      <c r="L490" t="str">
        <f>IFERROR(INDEX(Katalog!$B$3:$B$12,MATCH(Data[[#This Row],[ItemID B]],Katalog!$C$3:$C$12,0)),"-")</f>
        <v>-</v>
      </c>
      <c r="O490" s="36" t="str">
        <f>IFERROR(INDEX(Katalog!$D$3:$D$12,MATCH(Data[[#This Row],[ItemID B]],Katalog!$C$3:$C$12,0))*Data[[#This Row],[Qty B]],"0")</f>
        <v>0</v>
      </c>
      <c r="P490" s="36" t="str">
        <f>IFERROR(INDEX(Katalog!$F$3:$F$12,MATCH(Data[[#This Row],[ItemID B]],Katalog!$C$3:$C$12,0))*Data[[#This Row],[Qty B]],"0")</f>
        <v>0</v>
      </c>
      <c r="R490" t="str">
        <f>IFERROR(INDEX(Katalog!$A$3:$A$12,MATCH(Data[[#This Row],[ItemID C]],Katalog!$C$3:$C$12,0)),"-")</f>
        <v>-</v>
      </c>
      <c r="S490" t="str">
        <f>IFERROR(INDEX(Katalog!$B$3:$B$12,MATCH(Data[[#This Row],[ItemID C]],Katalog!$C$3:$C$12,0)),"-")</f>
        <v>-</v>
      </c>
      <c r="V490" s="36" t="str">
        <f>IFERROR(INDEX(Katalog!$D$3:$D$12,MATCH(Data[[#This Row],[ItemID C]],Katalog!$C$3:$C$12,0))*Data[[#This Row],[Qty C]],"0")</f>
        <v>0</v>
      </c>
      <c r="W490" s="36" t="str">
        <f>IFERROR(INDEX(Katalog!$F$3:$F$12,MATCH(Data[[#This Row],[ItemID C]],Katalog!$C$3:$C$12,0))*Data[[#This Row],[Qty C]],"0")</f>
        <v>0</v>
      </c>
      <c r="X490" s="21">
        <f>Data[[#This Row],[Qty A]]+Data[[#This Row],[Qty B]]+Data[[#This Row],[Qty C]]</f>
        <v>1</v>
      </c>
      <c r="Y490" s="22">
        <f>Data[[#This Row],[Harga Barang A]]+Data[[#This Row],[Harga Barang B]]+Data[[#This Row],[Harga Barang C]]</f>
        <v>300000</v>
      </c>
      <c r="Z490" s="35">
        <f>IFERROR(Data[[#This Row],[Total Harga]]-(Data[[#This Row],[Total Harga]]*Data[[#This Row],[Diskon]]),Data[[#This Row],[Total Harga]])</f>
        <v>300000</v>
      </c>
      <c r="AA490" s="35">
        <f>(Data[[#This Row],[Profit A]]+Data[[#This Row],[Profit B]]+Data[[#This Row],[Profit C]])</f>
        <v>100000</v>
      </c>
      <c r="AB490" s="35">
        <f>IFERROR((Data[[#This Row],[Profit non Diskon]]-(Data[[#This Row],[Profit non Diskon]]*Data[[#This Row],[Diskon]])),Data[[#This Row],[Profit non Diskon]])</f>
        <v>100000</v>
      </c>
      <c r="AC490" s="23" t="s">
        <v>11</v>
      </c>
      <c r="AD490" s="37" t="str">
        <f>IFERROR(INDEX('Kode Diskon'!$D$3:$D$9,MATCH(Data[[#This Row],[Kode diskon]],'Kode Diskon'!$C$3:$C$9,0)),"-")</f>
        <v>-</v>
      </c>
      <c r="AE490" s="23" t="s">
        <v>11</v>
      </c>
      <c r="AF490" s="23" t="s">
        <v>7</v>
      </c>
      <c r="AG490" s="23" t="s">
        <v>77</v>
      </c>
      <c r="AH490" s="24">
        <v>45023</v>
      </c>
      <c r="AI490" s="23" t="str">
        <f>TEXT(Data[[#This Row],[Tanggal terjual]],"dddd")</f>
        <v>Friday</v>
      </c>
      <c r="AJ490" s="21" t="str">
        <f>TEXT(Data[[#This Row],[Tanggal terjual]],"wwww")</f>
        <v>wwww</v>
      </c>
    </row>
    <row r="491" spans="1:36" x14ac:dyDescent="0.2">
      <c r="A491" s="20">
        <v>490</v>
      </c>
      <c r="B491" s="21" t="str">
        <f>_xlfn.CONCAT("ORD-",INDEX(Helper!$B$2:$B$5,MATCH(Data[[#This Row],[Marketplace]],Helper!$A$2:$A$5,0)),TEXT(Data[[#This Row],[No]],"0000"),"-",TEXT(Data[[#This Row],[Tanggal terjual]],"dd/mm/yy"))</f>
        <v>ORD-BL0490-27/04/23</v>
      </c>
      <c r="C491" t="s">
        <v>65</v>
      </c>
      <c r="D491" t="str">
        <f>IFERROR(INDEX(Katalog!$A$3:$A$12,MATCH(Data[[#This Row],[ItemID A]],Katalog!$C$3:$C$12,0)),"-")</f>
        <v>Sepatu Pria</v>
      </c>
      <c r="E491" t="str">
        <f>IFERROR(INDEX(Katalog!$B$3:$B$12,MATCH(Data[[#This Row],[ItemID A]],Katalog!$C$3:$C$12,0)),"-")</f>
        <v>Sneakers</v>
      </c>
      <c r="F491">
        <v>1</v>
      </c>
      <c r="G491">
        <v>2</v>
      </c>
      <c r="H491" s="36">
        <f>IFERROR(INDEX(Katalog!$D$3:$D$12,MATCH(Data[[#This Row],[ItemID A]],Katalog!$C$3:$C$12,0))*Data[[#This Row],[Qty A]],"0")</f>
        <v>500000</v>
      </c>
      <c r="I491" s="36">
        <f>IFERROR(INDEX(Katalog!$F$3:$F$12,MATCH(Data[[#This Row],[ItemID A]],Katalog!$C$3:$C$12,0))*Data[[#This Row],[Qty A]],0)</f>
        <v>200000</v>
      </c>
      <c r="K491" t="str">
        <f>IFERROR(INDEX(Katalog!$A$3:$A$12,MATCH(Data[[#This Row],[ItemID B]],Katalog!$C$3:$C$12,0)),"-")</f>
        <v>-</v>
      </c>
      <c r="L491" t="str">
        <f>IFERROR(INDEX(Katalog!$B$3:$B$12,MATCH(Data[[#This Row],[ItemID B]],Katalog!$C$3:$C$12,0)),"-")</f>
        <v>-</v>
      </c>
      <c r="O491" s="36" t="str">
        <f>IFERROR(INDEX(Katalog!$D$3:$D$12,MATCH(Data[[#This Row],[ItemID B]],Katalog!$C$3:$C$12,0))*Data[[#This Row],[Qty B]],"0")</f>
        <v>0</v>
      </c>
      <c r="P491" s="36" t="str">
        <f>IFERROR(INDEX(Katalog!$F$3:$F$12,MATCH(Data[[#This Row],[ItemID B]],Katalog!$C$3:$C$12,0))*Data[[#This Row],[Qty B]],"0")</f>
        <v>0</v>
      </c>
      <c r="R491" t="str">
        <f>IFERROR(INDEX(Katalog!$A$3:$A$12,MATCH(Data[[#This Row],[ItemID C]],Katalog!$C$3:$C$12,0)),"-")</f>
        <v>-</v>
      </c>
      <c r="S491" t="str">
        <f>IFERROR(INDEX(Katalog!$B$3:$B$12,MATCH(Data[[#This Row],[ItemID C]],Katalog!$C$3:$C$12,0)),"-")</f>
        <v>-</v>
      </c>
      <c r="V491" s="36" t="str">
        <f>IFERROR(INDEX(Katalog!$D$3:$D$12,MATCH(Data[[#This Row],[ItemID C]],Katalog!$C$3:$C$12,0))*Data[[#This Row],[Qty C]],"0")</f>
        <v>0</v>
      </c>
      <c r="W491" s="36" t="str">
        <f>IFERROR(INDEX(Katalog!$F$3:$F$12,MATCH(Data[[#This Row],[ItemID C]],Katalog!$C$3:$C$12,0))*Data[[#This Row],[Qty C]],"0")</f>
        <v>0</v>
      </c>
      <c r="X491" s="21">
        <f>Data[[#This Row],[Qty A]]+Data[[#This Row],[Qty B]]+Data[[#This Row],[Qty C]]</f>
        <v>1</v>
      </c>
      <c r="Y491" s="22">
        <f>Data[[#This Row],[Harga Barang A]]+Data[[#This Row],[Harga Barang B]]+Data[[#This Row],[Harga Barang C]]</f>
        <v>500000</v>
      </c>
      <c r="Z491" s="35">
        <f>IFERROR(Data[[#This Row],[Total Harga]]-(Data[[#This Row],[Total Harga]]*Data[[#This Row],[Diskon]]),Data[[#This Row],[Total Harga]])</f>
        <v>425000</v>
      </c>
      <c r="AA491" s="35">
        <f>(Data[[#This Row],[Profit A]]+Data[[#This Row],[Profit B]]+Data[[#This Row],[Profit C]])</f>
        <v>200000</v>
      </c>
      <c r="AB491" s="35">
        <f>IFERROR((Data[[#This Row],[Profit non Diskon]]-(Data[[#This Row],[Profit non Diskon]]*Data[[#This Row],[Diskon]])),Data[[#This Row],[Profit non Diskon]])</f>
        <v>170000</v>
      </c>
      <c r="AC491" s="23" t="s">
        <v>32</v>
      </c>
      <c r="AD491" s="37">
        <f>IFERROR(INDEX('Kode Diskon'!$D$3:$D$9,MATCH(Data[[#This Row],[Kode diskon]],'Kode Diskon'!$C$3:$C$9,0)),"-")</f>
        <v>0.15</v>
      </c>
      <c r="AE491" s="23" t="s">
        <v>9</v>
      </c>
      <c r="AF491" s="23" t="s">
        <v>12</v>
      </c>
      <c r="AG491" s="23" t="s">
        <v>77</v>
      </c>
      <c r="AH491" s="24">
        <v>45043</v>
      </c>
      <c r="AI491" s="23" t="str">
        <f>TEXT(Data[[#This Row],[Tanggal terjual]],"dddd")</f>
        <v>Thursday</v>
      </c>
      <c r="AJ491" s="21" t="str">
        <f>TEXT(Data[[#This Row],[Tanggal terjual]],"wwww")</f>
        <v>wwww</v>
      </c>
    </row>
    <row r="492" spans="1:36" x14ac:dyDescent="0.2">
      <c r="A492" s="20">
        <v>491</v>
      </c>
      <c r="B492" s="21" t="str">
        <f>_xlfn.CONCAT("ORD-",INDEX(Helper!$B$2:$B$5,MATCH(Data[[#This Row],[Marketplace]],Helper!$A$2:$A$5,0)),TEXT(Data[[#This Row],[No]],"0000"),"-",TEXT(Data[[#This Row],[Tanggal terjual]],"dd/mm/yy"))</f>
        <v>ORD-BB0491-05/04/23</v>
      </c>
      <c r="C492" t="s">
        <v>65</v>
      </c>
      <c r="D492" t="str">
        <f>IFERROR(INDEX(Katalog!$A$3:$A$12,MATCH(Data[[#This Row],[ItemID A]],Katalog!$C$3:$C$12,0)),"-")</f>
        <v>Sepatu Pria</v>
      </c>
      <c r="E492" t="str">
        <f>IFERROR(INDEX(Katalog!$B$3:$B$12,MATCH(Data[[#This Row],[ItemID A]],Katalog!$C$3:$C$12,0)),"-")</f>
        <v>Sneakers</v>
      </c>
      <c r="F492">
        <v>1</v>
      </c>
      <c r="G492">
        <v>1</v>
      </c>
      <c r="H492" s="36">
        <f>IFERROR(INDEX(Katalog!$D$3:$D$12,MATCH(Data[[#This Row],[ItemID A]],Katalog!$C$3:$C$12,0))*Data[[#This Row],[Qty A]],"0")</f>
        <v>500000</v>
      </c>
      <c r="I492" s="36">
        <f>IFERROR(INDEX(Katalog!$F$3:$F$12,MATCH(Data[[#This Row],[ItemID A]],Katalog!$C$3:$C$12,0))*Data[[#This Row],[Qty A]],0)</f>
        <v>200000</v>
      </c>
      <c r="J492" t="s">
        <v>62</v>
      </c>
      <c r="K492" t="str">
        <f>IFERROR(INDEX(Katalog!$A$3:$A$12,MATCH(Data[[#This Row],[ItemID B]],Katalog!$C$3:$C$12,0)),"-")</f>
        <v>Pakaian Pria</v>
      </c>
      <c r="L492" t="str">
        <f>IFERROR(INDEX(Katalog!$B$3:$B$12,MATCH(Data[[#This Row],[ItemID B]],Katalog!$C$3:$C$12,0)),"-")</f>
        <v>Celana Pendek</v>
      </c>
      <c r="M492">
        <v>2</v>
      </c>
      <c r="N492">
        <v>2</v>
      </c>
      <c r="O492" s="36">
        <f>IFERROR(INDEX(Katalog!$D$3:$D$12,MATCH(Data[[#This Row],[ItemID B]],Katalog!$C$3:$C$12,0))*Data[[#This Row],[Qty B]],"0")</f>
        <v>360000</v>
      </c>
      <c r="P492" s="36">
        <f>IFERROR(INDEX(Katalog!$F$3:$F$12,MATCH(Data[[#This Row],[ItemID B]],Katalog!$C$3:$C$12,0))*Data[[#This Row],[Qty B]],"0")</f>
        <v>140000</v>
      </c>
      <c r="Q492" t="s">
        <v>63</v>
      </c>
      <c r="R492" t="str">
        <f>IFERROR(INDEX(Katalog!$A$3:$A$12,MATCH(Data[[#This Row],[ItemID C]],Katalog!$C$3:$C$12,0)),"-")</f>
        <v>Pakaian Pria</v>
      </c>
      <c r="S492" t="str">
        <f>IFERROR(INDEX(Katalog!$B$3:$B$12,MATCH(Data[[#This Row],[ItemID C]],Katalog!$C$3:$C$12,0)),"-")</f>
        <v>Jaket Jeans</v>
      </c>
      <c r="T492">
        <v>1</v>
      </c>
      <c r="U492">
        <v>2</v>
      </c>
      <c r="V492" s="36">
        <f>IFERROR(INDEX(Katalog!$D$3:$D$12,MATCH(Data[[#This Row],[ItemID C]],Katalog!$C$3:$C$12,0))*Data[[#This Row],[Qty C]],"0")</f>
        <v>400000</v>
      </c>
      <c r="W492" s="36">
        <f>IFERROR(INDEX(Katalog!$F$3:$F$12,MATCH(Data[[#This Row],[ItemID C]],Katalog!$C$3:$C$12,0))*Data[[#This Row],[Qty C]],"0")</f>
        <v>150000</v>
      </c>
      <c r="X492" s="21">
        <f>Data[[#This Row],[Qty A]]+Data[[#This Row],[Qty B]]+Data[[#This Row],[Qty C]]</f>
        <v>4</v>
      </c>
      <c r="Y492" s="22">
        <f>Data[[#This Row],[Harga Barang A]]+Data[[#This Row],[Harga Barang B]]+Data[[#This Row],[Harga Barang C]]</f>
        <v>1260000</v>
      </c>
      <c r="Z492" s="35">
        <f>IFERROR(Data[[#This Row],[Total Harga]]-(Data[[#This Row],[Total Harga]]*Data[[#This Row],[Diskon]]),Data[[#This Row],[Total Harga]])</f>
        <v>1071000</v>
      </c>
      <c r="AA492" s="35">
        <f>(Data[[#This Row],[Profit A]]+Data[[#This Row],[Profit B]]+Data[[#This Row],[Profit C]])</f>
        <v>490000</v>
      </c>
      <c r="AB492" s="35">
        <f>IFERROR((Data[[#This Row],[Profit non Diskon]]-(Data[[#This Row],[Profit non Diskon]]*Data[[#This Row],[Diskon]])),Data[[#This Row],[Profit non Diskon]])</f>
        <v>416500</v>
      </c>
      <c r="AC492" s="23" t="s">
        <v>28</v>
      </c>
      <c r="AD492" s="37">
        <f>IFERROR(INDEX('Kode Diskon'!$D$3:$D$9,MATCH(Data[[#This Row],[Kode diskon]],'Kode Diskon'!$C$3:$C$9,0)),"-")</f>
        <v>0.15</v>
      </c>
      <c r="AE492" s="23" t="s">
        <v>29</v>
      </c>
      <c r="AF492" s="23" t="s">
        <v>14</v>
      </c>
      <c r="AG492" s="23" t="s">
        <v>80</v>
      </c>
      <c r="AH492" s="24">
        <v>45021</v>
      </c>
      <c r="AI492" s="23" t="str">
        <f>TEXT(Data[[#This Row],[Tanggal terjual]],"dddd")</f>
        <v>Wednesday</v>
      </c>
      <c r="AJ492" s="21" t="str">
        <f>TEXT(Data[[#This Row],[Tanggal terjual]],"wwww")</f>
        <v>wwww</v>
      </c>
    </row>
    <row r="493" spans="1:36" x14ac:dyDescent="0.2">
      <c r="A493" s="20">
        <v>492</v>
      </c>
      <c r="B493" s="21" t="str">
        <f>_xlfn.CONCAT("ORD-",INDEX(Helper!$B$2:$B$5,MATCH(Data[[#This Row],[Marketplace]],Helper!$A$2:$A$5,0)),TEXT(Data[[#This Row],[No]],"0000"),"-",TEXT(Data[[#This Row],[Tanggal terjual]],"dd/mm/yy"))</f>
        <v>ORD-TK0492-06/04/23</v>
      </c>
      <c r="C493" t="s">
        <v>62</v>
      </c>
      <c r="D493" t="str">
        <f>IFERROR(INDEX(Katalog!$A$3:$A$12,MATCH(Data[[#This Row],[ItemID A]],Katalog!$C$3:$C$12,0)),"-")</f>
        <v>Pakaian Pria</v>
      </c>
      <c r="E493" t="str">
        <f>IFERROR(INDEX(Katalog!$B$3:$B$12,MATCH(Data[[#This Row],[ItemID A]],Katalog!$C$3:$C$12,0)),"-")</f>
        <v>Celana Pendek</v>
      </c>
      <c r="F493">
        <v>3</v>
      </c>
      <c r="G493">
        <v>5</v>
      </c>
      <c r="H493" s="36">
        <f>IFERROR(INDEX(Katalog!$D$3:$D$12,MATCH(Data[[#This Row],[ItemID A]],Katalog!$C$3:$C$12,0))*Data[[#This Row],[Qty A]],"0")</f>
        <v>540000</v>
      </c>
      <c r="I493" s="36">
        <f>IFERROR(INDEX(Katalog!$F$3:$F$12,MATCH(Data[[#This Row],[ItemID A]],Katalog!$C$3:$C$12,0))*Data[[#This Row],[Qty A]],0)</f>
        <v>210000</v>
      </c>
      <c r="J493" t="s">
        <v>63</v>
      </c>
      <c r="K493" t="str">
        <f>IFERROR(INDEX(Katalog!$A$3:$A$12,MATCH(Data[[#This Row],[ItemID B]],Katalog!$C$3:$C$12,0)),"-")</f>
        <v>Pakaian Pria</v>
      </c>
      <c r="L493" t="str">
        <f>IFERROR(INDEX(Katalog!$B$3:$B$12,MATCH(Data[[#This Row],[ItemID B]],Katalog!$C$3:$C$12,0)),"-")</f>
        <v>Jaket Jeans</v>
      </c>
      <c r="M493">
        <v>1</v>
      </c>
      <c r="N493">
        <v>4</v>
      </c>
      <c r="O493" s="36">
        <f>IFERROR(INDEX(Katalog!$D$3:$D$12,MATCH(Data[[#This Row],[ItemID B]],Katalog!$C$3:$C$12,0))*Data[[#This Row],[Qty B]],"0")</f>
        <v>400000</v>
      </c>
      <c r="P493" s="36">
        <f>IFERROR(INDEX(Katalog!$F$3:$F$12,MATCH(Data[[#This Row],[ItemID B]],Katalog!$C$3:$C$12,0))*Data[[#This Row],[Qty B]],"0")</f>
        <v>150000</v>
      </c>
      <c r="Q493" t="s">
        <v>64</v>
      </c>
      <c r="R493" t="str">
        <f>IFERROR(INDEX(Katalog!$A$3:$A$12,MATCH(Data[[#This Row],[ItemID C]],Katalog!$C$3:$C$12,0)),"-")</f>
        <v>Pakaian Unisex</v>
      </c>
      <c r="S493" t="str">
        <f>IFERROR(INDEX(Katalog!$B$3:$B$12,MATCH(Data[[#This Row],[ItemID C]],Katalog!$C$3:$C$12,0)),"-")</f>
        <v>Jaket Hoodie</v>
      </c>
      <c r="T493">
        <v>1</v>
      </c>
      <c r="U493">
        <v>3</v>
      </c>
      <c r="V493" s="36">
        <f>IFERROR(INDEX(Katalog!$D$3:$D$12,MATCH(Data[[#This Row],[ItemID C]],Katalog!$C$3:$C$12,0))*Data[[#This Row],[Qty C]],"0")</f>
        <v>350000</v>
      </c>
      <c r="W493" s="36">
        <f>IFERROR(INDEX(Katalog!$F$3:$F$12,MATCH(Data[[#This Row],[ItemID C]],Katalog!$C$3:$C$12,0))*Data[[#This Row],[Qty C]],"0")</f>
        <v>130000</v>
      </c>
      <c r="X493" s="21">
        <f>Data[[#This Row],[Qty A]]+Data[[#This Row],[Qty B]]+Data[[#This Row],[Qty C]]</f>
        <v>5</v>
      </c>
      <c r="Y493" s="22">
        <f>Data[[#This Row],[Harga Barang A]]+Data[[#This Row],[Harga Barang B]]+Data[[#This Row],[Harga Barang C]]</f>
        <v>1290000</v>
      </c>
      <c r="Z493" s="35">
        <f>IFERROR(Data[[#This Row],[Total Harga]]-(Data[[#This Row],[Total Harga]]*Data[[#This Row],[Diskon]]),Data[[#This Row],[Total Harga]])</f>
        <v>1161000</v>
      </c>
      <c r="AA493" s="35">
        <f>(Data[[#This Row],[Profit A]]+Data[[#This Row],[Profit B]]+Data[[#This Row],[Profit C]])</f>
        <v>490000</v>
      </c>
      <c r="AB493" s="35">
        <f>IFERROR((Data[[#This Row],[Profit non Diskon]]-(Data[[#This Row],[Profit non Diskon]]*Data[[#This Row],[Diskon]])),Data[[#This Row],[Profit non Diskon]])</f>
        <v>441000</v>
      </c>
      <c r="AC493" s="23" t="s">
        <v>30</v>
      </c>
      <c r="AD493" s="37">
        <f>IFERROR(INDEX('Kode Diskon'!$D$3:$D$9,MATCH(Data[[#This Row],[Kode diskon]],'Kode Diskon'!$C$3:$C$9,0)),"-")</f>
        <v>0.1</v>
      </c>
      <c r="AE493" s="23" t="s">
        <v>29</v>
      </c>
      <c r="AF493" s="23" t="s">
        <v>10</v>
      </c>
      <c r="AG493" s="23" t="s">
        <v>79</v>
      </c>
      <c r="AH493" s="24">
        <v>45022</v>
      </c>
      <c r="AI493" s="23" t="str">
        <f>TEXT(Data[[#This Row],[Tanggal terjual]],"dddd")</f>
        <v>Thursday</v>
      </c>
      <c r="AJ493" s="21" t="str">
        <f>TEXT(Data[[#This Row],[Tanggal terjual]],"wwww")</f>
        <v>wwww</v>
      </c>
    </row>
    <row r="494" spans="1:36" x14ac:dyDescent="0.2">
      <c r="A494" s="20">
        <v>493</v>
      </c>
      <c r="B494" s="21" t="str">
        <f>_xlfn.CONCAT("ORD-",INDEX(Helper!$B$2:$B$5,MATCH(Data[[#This Row],[Marketplace]],Helper!$A$2:$A$5,0)),TEXT(Data[[#This Row],[No]],"0000"),"-",TEXT(Data[[#This Row],[Tanggal terjual]],"dd/mm/yy"))</f>
        <v>ORD-BB0493-13/04/23</v>
      </c>
      <c r="C494" t="s">
        <v>59</v>
      </c>
      <c r="D494" t="str">
        <f>IFERROR(INDEX(Katalog!$A$3:$A$12,MATCH(Data[[#This Row],[ItemID A]],Katalog!$C$3:$C$12,0)),"-")</f>
        <v>Pakaian Wanita</v>
      </c>
      <c r="E494" t="str">
        <f>IFERROR(INDEX(Katalog!$B$3:$B$12,MATCH(Data[[#This Row],[ItemID A]],Katalog!$C$3:$C$12,0)),"-")</f>
        <v>Blouse</v>
      </c>
      <c r="F494">
        <v>2</v>
      </c>
      <c r="G494">
        <v>4</v>
      </c>
      <c r="H494" s="36">
        <f>IFERROR(INDEX(Katalog!$D$3:$D$12,MATCH(Data[[#This Row],[ItemID A]],Katalog!$C$3:$C$12,0))*Data[[#This Row],[Qty A]],"0")</f>
        <v>300000</v>
      </c>
      <c r="I494" s="36">
        <f>IFERROR(INDEX(Katalog!$F$3:$F$12,MATCH(Data[[#This Row],[ItemID A]],Katalog!$C$3:$C$12,0))*Data[[#This Row],[Qty A]],0)</f>
        <v>100000</v>
      </c>
      <c r="J494" t="s">
        <v>58</v>
      </c>
      <c r="K494" t="str">
        <f>IFERROR(INDEX(Katalog!$A$3:$A$12,MATCH(Data[[#This Row],[ItemID B]],Katalog!$C$3:$C$12,0)),"-")</f>
        <v>Pakaian Wanita</v>
      </c>
      <c r="L494" t="str">
        <f>IFERROR(INDEX(Katalog!$B$3:$B$12,MATCH(Data[[#This Row],[ItemID B]],Katalog!$C$3:$C$12,0)),"-")</f>
        <v>Dress</v>
      </c>
      <c r="M494">
        <v>1</v>
      </c>
      <c r="N494">
        <v>5</v>
      </c>
      <c r="O494" s="36">
        <f>IFERROR(INDEX(Katalog!$D$3:$D$12,MATCH(Data[[#This Row],[ItemID B]],Katalog!$C$3:$C$12,0))*Data[[#This Row],[Qty B]],"0")</f>
        <v>300000</v>
      </c>
      <c r="P494" s="36">
        <f>IFERROR(INDEX(Katalog!$F$3:$F$12,MATCH(Data[[#This Row],[ItemID B]],Katalog!$C$3:$C$12,0))*Data[[#This Row],[Qty B]],"0")</f>
        <v>100000</v>
      </c>
      <c r="Q494" t="s">
        <v>64</v>
      </c>
      <c r="R494" t="str">
        <f>IFERROR(INDEX(Katalog!$A$3:$A$12,MATCH(Data[[#This Row],[ItemID C]],Katalog!$C$3:$C$12,0)),"-")</f>
        <v>Pakaian Unisex</v>
      </c>
      <c r="S494" t="str">
        <f>IFERROR(INDEX(Katalog!$B$3:$B$12,MATCH(Data[[#This Row],[ItemID C]],Katalog!$C$3:$C$12,0)),"-")</f>
        <v>Jaket Hoodie</v>
      </c>
      <c r="T494">
        <v>1</v>
      </c>
      <c r="U494">
        <v>1</v>
      </c>
      <c r="V494" s="36">
        <f>IFERROR(INDEX(Katalog!$D$3:$D$12,MATCH(Data[[#This Row],[ItemID C]],Katalog!$C$3:$C$12,0))*Data[[#This Row],[Qty C]],"0")</f>
        <v>350000</v>
      </c>
      <c r="W494" s="36">
        <f>IFERROR(INDEX(Katalog!$F$3:$F$12,MATCH(Data[[#This Row],[ItemID C]],Katalog!$C$3:$C$12,0))*Data[[#This Row],[Qty C]],"0")</f>
        <v>130000</v>
      </c>
      <c r="X494" s="21">
        <f>Data[[#This Row],[Qty A]]+Data[[#This Row],[Qty B]]+Data[[#This Row],[Qty C]]</f>
        <v>4</v>
      </c>
      <c r="Y494" s="22">
        <f>Data[[#This Row],[Harga Barang A]]+Data[[#This Row],[Harga Barang B]]+Data[[#This Row],[Harga Barang C]]</f>
        <v>950000</v>
      </c>
      <c r="Z494" s="35">
        <f>IFERROR(Data[[#This Row],[Total Harga]]-(Data[[#This Row],[Total Harga]]*Data[[#This Row],[Diskon]]),Data[[#This Row],[Total Harga]])</f>
        <v>950000</v>
      </c>
      <c r="AA494" s="35">
        <f>(Data[[#This Row],[Profit A]]+Data[[#This Row],[Profit B]]+Data[[#This Row],[Profit C]])</f>
        <v>330000</v>
      </c>
      <c r="AB494" s="35">
        <f>IFERROR((Data[[#This Row],[Profit non Diskon]]-(Data[[#This Row],[Profit non Diskon]]*Data[[#This Row],[Diskon]])),Data[[#This Row],[Profit non Diskon]])</f>
        <v>330000</v>
      </c>
      <c r="AC494" s="23" t="s">
        <v>11</v>
      </c>
      <c r="AD494" s="37" t="str">
        <f>IFERROR(INDEX('Kode Diskon'!$D$3:$D$9,MATCH(Data[[#This Row],[Kode diskon]],'Kode Diskon'!$C$3:$C$9,0)),"-")</f>
        <v>-</v>
      </c>
      <c r="AE494" s="23" t="s">
        <v>11</v>
      </c>
      <c r="AF494" s="23" t="s">
        <v>14</v>
      </c>
      <c r="AG494" s="23" t="s">
        <v>76</v>
      </c>
      <c r="AH494" s="24">
        <v>45029</v>
      </c>
      <c r="AI494" s="23" t="str">
        <f>TEXT(Data[[#This Row],[Tanggal terjual]],"dddd")</f>
        <v>Thursday</v>
      </c>
      <c r="AJ494" s="21" t="str">
        <f>TEXT(Data[[#This Row],[Tanggal terjual]],"wwww")</f>
        <v>wwww</v>
      </c>
    </row>
    <row r="495" spans="1:36" x14ac:dyDescent="0.2">
      <c r="A495" s="20">
        <v>494</v>
      </c>
      <c r="B495" s="21" t="str">
        <f>_xlfn.CONCAT("ORD-",INDEX(Helper!$B$2:$B$5,MATCH(Data[[#This Row],[Marketplace]],Helper!$A$2:$A$5,0)),TEXT(Data[[#This Row],[No]],"0000"),"-",TEXT(Data[[#This Row],[Tanggal terjual]],"dd/mm/yy"))</f>
        <v>ORD-BB0494-05/04/23</v>
      </c>
      <c r="C495" t="s">
        <v>59</v>
      </c>
      <c r="D495" t="str">
        <f>IFERROR(INDEX(Katalog!$A$3:$A$12,MATCH(Data[[#This Row],[ItemID A]],Katalog!$C$3:$C$12,0)),"-")</f>
        <v>Pakaian Wanita</v>
      </c>
      <c r="E495" t="str">
        <f>IFERROR(INDEX(Katalog!$B$3:$B$12,MATCH(Data[[#This Row],[ItemID A]],Katalog!$C$3:$C$12,0)),"-")</f>
        <v>Blouse</v>
      </c>
      <c r="F495">
        <v>1</v>
      </c>
      <c r="G495">
        <v>4</v>
      </c>
      <c r="H495" s="36">
        <f>IFERROR(INDEX(Katalog!$D$3:$D$12,MATCH(Data[[#This Row],[ItemID A]],Katalog!$C$3:$C$12,0))*Data[[#This Row],[Qty A]],"0")</f>
        <v>150000</v>
      </c>
      <c r="I495" s="36">
        <f>IFERROR(INDEX(Katalog!$F$3:$F$12,MATCH(Data[[#This Row],[ItemID A]],Katalog!$C$3:$C$12,0))*Data[[#This Row],[Qty A]],0)</f>
        <v>50000</v>
      </c>
      <c r="J495" t="s">
        <v>61</v>
      </c>
      <c r="K495" t="str">
        <f>IFERROR(INDEX(Katalog!$A$3:$A$12,MATCH(Data[[#This Row],[ItemID B]],Katalog!$C$3:$C$12,0)),"-")</f>
        <v>Pakaian Pria</v>
      </c>
      <c r="L495" t="str">
        <f>IFERROR(INDEX(Katalog!$B$3:$B$12,MATCH(Data[[#This Row],[ItemID B]],Katalog!$C$3:$C$12,0)),"-")</f>
        <v>Kaos Polo</v>
      </c>
      <c r="M495">
        <v>1</v>
      </c>
      <c r="N495">
        <v>5</v>
      </c>
      <c r="O495" s="36">
        <f>IFERROR(INDEX(Katalog!$D$3:$D$12,MATCH(Data[[#This Row],[ItemID B]],Katalog!$C$3:$C$12,0))*Data[[#This Row],[Qty B]],"0")</f>
        <v>200000</v>
      </c>
      <c r="P495" s="36">
        <f>IFERROR(INDEX(Katalog!$F$3:$F$12,MATCH(Data[[#This Row],[ItemID B]],Katalog!$C$3:$C$12,0))*Data[[#This Row],[Qty B]],"0")</f>
        <v>80000</v>
      </c>
      <c r="Q495" t="s">
        <v>67</v>
      </c>
      <c r="R495" t="str">
        <f>IFERROR(INDEX(Katalog!$A$3:$A$12,MATCH(Data[[#This Row],[ItemID C]],Katalog!$C$3:$C$12,0)),"-")</f>
        <v>Sepatu Wanita</v>
      </c>
      <c r="S495" t="str">
        <f>IFERROR(INDEX(Katalog!$B$3:$B$12,MATCH(Data[[#This Row],[ItemID C]],Katalog!$C$3:$C$12,0)),"-")</f>
        <v>Flat Shoes</v>
      </c>
      <c r="T495">
        <v>1</v>
      </c>
      <c r="U495">
        <v>5</v>
      </c>
      <c r="V495" s="36">
        <f>IFERROR(INDEX(Katalog!$D$3:$D$12,MATCH(Data[[#This Row],[ItemID C]],Katalog!$C$3:$C$12,0))*Data[[#This Row],[Qty C]],"0")</f>
        <v>250000</v>
      </c>
      <c r="W495" s="36">
        <f>IFERROR(INDEX(Katalog!$F$3:$F$12,MATCH(Data[[#This Row],[ItemID C]],Katalog!$C$3:$C$12,0))*Data[[#This Row],[Qty C]],"0")</f>
        <v>100000</v>
      </c>
      <c r="X495" s="21">
        <f>Data[[#This Row],[Qty A]]+Data[[#This Row],[Qty B]]+Data[[#This Row],[Qty C]]</f>
        <v>3</v>
      </c>
      <c r="Y495" s="22">
        <f>Data[[#This Row],[Harga Barang A]]+Data[[#This Row],[Harga Barang B]]+Data[[#This Row],[Harga Barang C]]</f>
        <v>600000</v>
      </c>
      <c r="Z495" s="35">
        <f>IFERROR(Data[[#This Row],[Total Harga]]-(Data[[#This Row],[Total Harga]]*Data[[#This Row],[Diskon]]),Data[[#This Row],[Total Harga]])</f>
        <v>510000</v>
      </c>
      <c r="AA495" s="35">
        <f>(Data[[#This Row],[Profit A]]+Data[[#This Row],[Profit B]]+Data[[#This Row],[Profit C]])</f>
        <v>230000</v>
      </c>
      <c r="AB495" s="35">
        <f>IFERROR((Data[[#This Row],[Profit non Diskon]]-(Data[[#This Row],[Profit non Diskon]]*Data[[#This Row],[Diskon]])),Data[[#This Row],[Profit non Diskon]])</f>
        <v>195500</v>
      </c>
      <c r="AC495" s="23" t="s">
        <v>28</v>
      </c>
      <c r="AD495" s="37">
        <f>IFERROR(INDEX('Kode Diskon'!$D$3:$D$9,MATCH(Data[[#This Row],[Kode diskon]],'Kode Diskon'!$C$3:$C$9,0)),"-")</f>
        <v>0.15</v>
      </c>
      <c r="AE495" s="23" t="s">
        <v>29</v>
      </c>
      <c r="AF495" s="23" t="s">
        <v>14</v>
      </c>
      <c r="AG495" s="23" t="s">
        <v>75</v>
      </c>
      <c r="AH495" s="24">
        <v>45021</v>
      </c>
      <c r="AI495" s="23" t="str">
        <f>TEXT(Data[[#This Row],[Tanggal terjual]],"dddd")</f>
        <v>Wednesday</v>
      </c>
      <c r="AJ495" s="21" t="str">
        <f>TEXT(Data[[#This Row],[Tanggal terjual]],"wwww")</f>
        <v>wwww</v>
      </c>
    </row>
    <row r="496" spans="1:36" x14ac:dyDescent="0.2">
      <c r="A496" s="20">
        <v>495</v>
      </c>
      <c r="B496" s="21" t="str">
        <f>_xlfn.CONCAT("ORD-",INDEX(Helper!$B$2:$B$5,MATCH(Data[[#This Row],[Marketplace]],Helper!$A$2:$A$5,0)),TEXT(Data[[#This Row],[No]],"0000"),"-",TEXT(Data[[#This Row],[Tanggal terjual]],"dd/mm/yy"))</f>
        <v>ORD-SP0495-01/04/23</v>
      </c>
      <c r="C496" t="s">
        <v>64</v>
      </c>
      <c r="D496" t="str">
        <f>IFERROR(INDEX(Katalog!$A$3:$A$12,MATCH(Data[[#This Row],[ItemID A]],Katalog!$C$3:$C$12,0)),"-")</f>
        <v>Pakaian Unisex</v>
      </c>
      <c r="E496" t="str">
        <f>IFERROR(INDEX(Katalog!$B$3:$B$12,MATCH(Data[[#This Row],[ItemID A]],Katalog!$C$3:$C$12,0)),"-")</f>
        <v>Jaket Hoodie</v>
      </c>
      <c r="F496">
        <v>1</v>
      </c>
      <c r="G496">
        <v>5</v>
      </c>
      <c r="H496" s="36">
        <f>IFERROR(INDEX(Katalog!$D$3:$D$12,MATCH(Data[[#This Row],[ItemID A]],Katalog!$C$3:$C$12,0))*Data[[#This Row],[Qty A]],"0")</f>
        <v>350000</v>
      </c>
      <c r="I496" s="36">
        <f>IFERROR(INDEX(Katalog!$F$3:$F$12,MATCH(Data[[#This Row],[ItemID A]],Katalog!$C$3:$C$12,0))*Data[[#This Row],[Qty A]],0)</f>
        <v>130000</v>
      </c>
      <c r="J496" t="s">
        <v>59</v>
      </c>
      <c r="K496" t="str">
        <f>IFERROR(INDEX(Katalog!$A$3:$A$12,MATCH(Data[[#This Row],[ItemID B]],Katalog!$C$3:$C$12,0)),"-")</f>
        <v>Pakaian Wanita</v>
      </c>
      <c r="L496" t="str">
        <f>IFERROR(INDEX(Katalog!$B$3:$B$12,MATCH(Data[[#This Row],[ItemID B]],Katalog!$C$3:$C$12,0)),"-")</f>
        <v>Blouse</v>
      </c>
      <c r="M496">
        <v>1</v>
      </c>
      <c r="N496">
        <v>3</v>
      </c>
      <c r="O496" s="36">
        <f>IFERROR(INDEX(Katalog!$D$3:$D$12,MATCH(Data[[#This Row],[ItemID B]],Katalog!$C$3:$C$12,0))*Data[[#This Row],[Qty B]],"0")</f>
        <v>150000</v>
      </c>
      <c r="P496" s="36">
        <f>IFERROR(INDEX(Katalog!$F$3:$F$12,MATCH(Data[[#This Row],[ItemID B]],Katalog!$C$3:$C$12,0))*Data[[#This Row],[Qty B]],"0")</f>
        <v>50000</v>
      </c>
      <c r="Q496" t="s">
        <v>67</v>
      </c>
      <c r="R496" t="str">
        <f>IFERROR(INDEX(Katalog!$A$3:$A$12,MATCH(Data[[#This Row],[ItemID C]],Katalog!$C$3:$C$12,0)),"-")</f>
        <v>Sepatu Wanita</v>
      </c>
      <c r="S496" t="str">
        <f>IFERROR(INDEX(Katalog!$B$3:$B$12,MATCH(Data[[#This Row],[ItemID C]],Katalog!$C$3:$C$12,0)),"-")</f>
        <v>Flat Shoes</v>
      </c>
      <c r="T496">
        <v>5</v>
      </c>
      <c r="U496">
        <v>3</v>
      </c>
      <c r="V496" s="36">
        <f>IFERROR(INDEX(Katalog!$D$3:$D$12,MATCH(Data[[#This Row],[ItemID C]],Katalog!$C$3:$C$12,0))*Data[[#This Row],[Qty C]],"0")</f>
        <v>1250000</v>
      </c>
      <c r="W496" s="36">
        <f>IFERROR(INDEX(Katalog!$F$3:$F$12,MATCH(Data[[#This Row],[ItemID C]],Katalog!$C$3:$C$12,0))*Data[[#This Row],[Qty C]],"0")</f>
        <v>500000</v>
      </c>
      <c r="X496" s="21">
        <f>Data[[#This Row],[Qty A]]+Data[[#This Row],[Qty B]]+Data[[#This Row],[Qty C]]</f>
        <v>7</v>
      </c>
      <c r="Y496" s="22">
        <f>Data[[#This Row],[Harga Barang A]]+Data[[#This Row],[Harga Barang B]]+Data[[#This Row],[Harga Barang C]]</f>
        <v>1750000</v>
      </c>
      <c r="Z496" s="35">
        <f>IFERROR(Data[[#This Row],[Total Harga]]-(Data[[#This Row],[Total Harga]]*Data[[#This Row],[Diskon]]),Data[[#This Row],[Total Harga]])</f>
        <v>1487500</v>
      </c>
      <c r="AA496" s="35">
        <f>(Data[[#This Row],[Profit A]]+Data[[#This Row],[Profit B]]+Data[[#This Row],[Profit C]])</f>
        <v>680000</v>
      </c>
      <c r="AB496" s="35">
        <f>IFERROR((Data[[#This Row],[Profit non Diskon]]-(Data[[#This Row],[Profit non Diskon]]*Data[[#This Row],[Diskon]])),Data[[#This Row],[Profit non Diskon]])</f>
        <v>578000</v>
      </c>
      <c r="AC496" s="23" t="s">
        <v>13</v>
      </c>
      <c r="AD496" s="37">
        <f>IFERROR(INDEX('Kode Diskon'!$D$3:$D$9,MATCH(Data[[#This Row],[Kode diskon]],'Kode Diskon'!$C$3:$C$9,0)),"-")</f>
        <v>0.15</v>
      </c>
      <c r="AE496" s="23" t="s">
        <v>29</v>
      </c>
      <c r="AF496" s="23" t="s">
        <v>7</v>
      </c>
      <c r="AG496" s="23" t="s">
        <v>80</v>
      </c>
      <c r="AH496" s="24">
        <v>45017</v>
      </c>
      <c r="AI496" s="23" t="str">
        <f>TEXT(Data[[#This Row],[Tanggal terjual]],"dddd")</f>
        <v>Saturday</v>
      </c>
      <c r="AJ496" s="21" t="str">
        <f>TEXT(Data[[#This Row],[Tanggal terjual]],"wwww")</f>
        <v>wwww</v>
      </c>
    </row>
    <row r="497" spans="1:36" x14ac:dyDescent="0.2">
      <c r="A497" s="20">
        <v>496</v>
      </c>
      <c r="B497" s="21" t="str">
        <f>_xlfn.CONCAT("ORD-",INDEX(Helper!$B$2:$B$5,MATCH(Data[[#This Row],[Marketplace]],Helper!$A$2:$A$5,0)),TEXT(Data[[#This Row],[No]],"0000"),"-",TEXT(Data[[#This Row],[Tanggal terjual]],"dd/mm/yy"))</f>
        <v>ORD-TK0496-10/04/23</v>
      </c>
      <c r="C497" t="s">
        <v>58</v>
      </c>
      <c r="D497" t="str">
        <f>IFERROR(INDEX(Katalog!$A$3:$A$12,MATCH(Data[[#This Row],[ItemID A]],Katalog!$C$3:$C$12,0)),"-")</f>
        <v>Pakaian Wanita</v>
      </c>
      <c r="E497" t="str">
        <f>IFERROR(INDEX(Katalog!$B$3:$B$12,MATCH(Data[[#This Row],[ItemID A]],Katalog!$C$3:$C$12,0)),"-")</f>
        <v>Dress</v>
      </c>
      <c r="F497">
        <v>3</v>
      </c>
      <c r="G497">
        <v>3</v>
      </c>
      <c r="H497" s="36">
        <f>IFERROR(INDEX(Katalog!$D$3:$D$12,MATCH(Data[[#This Row],[ItemID A]],Katalog!$C$3:$C$12,0))*Data[[#This Row],[Qty A]],"0")</f>
        <v>900000</v>
      </c>
      <c r="I497" s="36">
        <f>IFERROR(INDEX(Katalog!$F$3:$F$12,MATCH(Data[[#This Row],[ItemID A]],Katalog!$C$3:$C$12,0))*Data[[#This Row],[Qty A]],0)</f>
        <v>300000</v>
      </c>
      <c r="J497" t="s">
        <v>59</v>
      </c>
      <c r="K497" t="str">
        <f>IFERROR(INDEX(Katalog!$A$3:$A$12,MATCH(Data[[#This Row],[ItemID B]],Katalog!$C$3:$C$12,0)),"-")</f>
        <v>Pakaian Wanita</v>
      </c>
      <c r="L497" t="str">
        <f>IFERROR(INDEX(Katalog!$B$3:$B$12,MATCH(Data[[#This Row],[ItemID B]],Katalog!$C$3:$C$12,0)),"-")</f>
        <v>Blouse</v>
      </c>
      <c r="M497">
        <v>1</v>
      </c>
      <c r="N497">
        <v>1</v>
      </c>
      <c r="O497" s="36">
        <f>IFERROR(INDEX(Katalog!$D$3:$D$12,MATCH(Data[[#This Row],[ItemID B]],Katalog!$C$3:$C$12,0))*Data[[#This Row],[Qty B]],"0")</f>
        <v>150000</v>
      </c>
      <c r="P497" s="36">
        <f>IFERROR(INDEX(Katalog!$F$3:$F$12,MATCH(Data[[#This Row],[ItemID B]],Katalog!$C$3:$C$12,0))*Data[[#This Row],[Qty B]],"0")</f>
        <v>50000</v>
      </c>
      <c r="Q497" t="s">
        <v>67</v>
      </c>
      <c r="R497" t="str">
        <f>IFERROR(INDEX(Katalog!$A$3:$A$12,MATCH(Data[[#This Row],[ItemID C]],Katalog!$C$3:$C$12,0)),"-")</f>
        <v>Sepatu Wanita</v>
      </c>
      <c r="S497" t="str">
        <f>IFERROR(INDEX(Katalog!$B$3:$B$12,MATCH(Data[[#This Row],[ItemID C]],Katalog!$C$3:$C$12,0)),"-")</f>
        <v>Flat Shoes</v>
      </c>
      <c r="T497">
        <v>3</v>
      </c>
      <c r="U497">
        <v>1</v>
      </c>
      <c r="V497" s="36">
        <f>IFERROR(INDEX(Katalog!$D$3:$D$12,MATCH(Data[[#This Row],[ItemID C]],Katalog!$C$3:$C$12,0))*Data[[#This Row],[Qty C]],"0")</f>
        <v>750000</v>
      </c>
      <c r="W497" s="36">
        <f>IFERROR(INDEX(Katalog!$F$3:$F$12,MATCH(Data[[#This Row],[ItemID C]],Katalog!$C$3:$C$12,0))*Data[[#This Row],[Qty C]],"0")</f>
        <v>300000</v>
      </c>
      <c r="X497" s="21">
        <f>Data[[#This Row],[Qty A]]+Data[[#This Row],[Qty B]]+Data[[#This Row],[Qty C]]</f>
        <v>7</v>
      </c>
      <c r="Y497" s="22">
        <f>Data[[#This Row],[Harga Barang A]]+Data[[#This Row],[Harga Barang B]]+Data[[#This Row],[Harga Barang C]]</f>
        <v>1800000</v>
      </c>
      <c r="Z497" s="35">
        <f>IFERROR(Data[[#This Row],[Total Harga]]-(Data[[#This Row],[Total Harga]]*Data[[#This Row],[Diskon]]),Data[[#This Row],[Total Harga]])</f>
        <v>1800000</v>
      </c>
      <c r="AA497" s="35">
        <f>(Data[[#This Row],[Profit A]]+Data[[#This Row],[Profit B]]+Data[[#This Row],[Profit C]])</f>
        <v>650000</v>
      </c>
      <c r="AB497" s="35">
        <f>IFERROR((Data[[#This Row],[Profit non Diskon]]-(Data[[#This Row],[Profit non Diskon]]*Data[[#This Row],[Diskon]])),Data[[#This Row],[Profit non Diskon]])</f>
        <v>650000</v>
      </c>
      <c r="AC497" s="23" t="s">
        <v>11</v>
      </c>
      <c r="AD497" s="37" t="str">
        <f>IFERROR(INDEX('Kode Diskon'!$D$3:$D$9,MATCH(Data[[#This Row],[Kode diskon]],'Kode Diskon'!$C$3:$C$9,0)),"-")</f>
        <v>-</v>
      </c>
      <c r="AE497" s="23" t="s">
        <v>11</v>
      </c>
      <c r="AF497" s="23" t="s">
        <v>10</v>
      </c>
      <c r="AG497" s="23" t="s">
        <v>79</v>
      </c>
      <c r="AH497" s="24">
        <v>45026</v>
      </c>
      <c r="AI497" s="23" t="str">
        <f>TEXT(Data[[#This Row],[Tanggal terjual]],"dddd")</f>
        <v>Monday</v>
      </c>
      <c r="AJ497" s="21" t="str">
        <f>TEXT(Data[[#This Row],[Tanggal terjual]],"wwww")</f>
        <v>wwww</v>
      </c>
    </row>
    <row r="498" spans="1:36" x14ac:dyDescent="0.2">
      <c r="A498" s="20">
        <v>497</v>
      </c>
      <c r="B498" s="21" t="str">
        <f>_xlfn.CONCAT("ORD-",INDEX(Helper!$B$2:$B$5,MATCH(Data[[#This Row],[Marketplace]],Helper!$A$2:$A$5,0)),TEXT(Data[[#This Row],[No]],"0000"),"-",TEXT(Data[[#This Row],[Tanggal terjual]],"dd/mm/yy"))</f>
        <v>ORD-TK0497-24/04/23</v>
      </c>
      <c r="C498" t="s">
        <v>63</v>
      </c>
      <c r="D498" t="str">
        <f>IFERROR(INDEX(Katalog!$A$3:$A$12,MATCH(Data[[#This Row],[ItemID A]],Katalog!$C$3:$C$12,0)),"-")</f>
        <v>Pakaian Pria</v>
      </c>
      <c r="E498" t="str">
        <f>IFERROR(INDEX(Katalog!$B$3:$B$12,MATCH(Data[[#This Row],[ItemID A]],Katalog!$C$3:$C$12,0)),"-")</f>
        <v>Jaket Jeans</v>
      </c>
      <c r="F498">
        <v>3</v>
      </c>
      <c r="G498">
        <v>3</v>
      </c>
      <c r="H498" s="36">
        <f>IFERROR(INDEX(Katalog!$D$3:$D$12,MATCH(Data[[#This Row],[ItemID A]],Katalog!$C$3:$C$12,0))*Data[[#This Row],[Qty A]],"0")</f>
        <v>1200000</v>
      </c>
      <c r="I498" s="36">
        <f>IFERROR(INDEX(Katalog!$F$3:$F$12,MATCH(Data[[#This Row],[ItemID A]],Katalog!$C$3:$C$12,0))*Data[[#This Row],[Qty A]],0)</f>
        <v>450000</v>
      </c>
      <c r="K498" t="str">
        <f>IFERROR(INDEX(Katalog!$A$3:$A$12,MATCH(Data[[#This Row],[ItemID B]],Katalog!$C$3:$C$12,0)),"-")</f>
        <v>-</v>
      </c>
      <c r="L498" t="str">
        <f>IFERROR(INDEX(Katalog!$B$3:$B$12,MATCH(Data[[#This Row],[ItemID B]],Katalog!$C$3:$C$12,0)),"-")</f>
        <v>-</v>
      </c>
      <c r="O498" s="36" t="str">
        <f>IFERROR(INDEX(Katalog!$D$3:$D$12,MATCH(Data[[#This Row],[ItemID B]],Katalog!$C$3:$C$12,0))*Data[[#This Row],[Qty B]],"0")</f>
        <v>0</v>
      </c>
      <c r="P498" s="36" t="str">
        <f>IFERROR(INDEX(Katalog!$F$3:$F$12,MATCH(Data[[#This Row],[ItemID B]],Katalog!$C$3:$C$12,0))*Data[[#This Row],[Qty B]],"0")</f>
        <v>0</v>
      </c>
      <c r="R498" t="str">
        <f>IFERROR(INDEX(Katalog!$A$3:$A$12,MATCH(Data[[#This Row],[ItemID C]],Katalog!$C$3:$C$12,0)),"-")</f>
        <v>-</v>
      </c>
      <c r="S498" t="str">
        <f>IFERROR(INDEX(Katalog!$B$3:$B$12,MATCH(Data[[#This Row],[ItemID C]],Katalog!$C$3:$C$12,0)),"-")</f>
        <v>-</v>
      </c>
      <c r="V498" s="36" t="str">
        <f>IFERROR(INDEX(Katalog!$D$3:$D$12,MATCH(Data[[#This Row],[ItemID C]],Katalog!$C$3:$C$12,0))*Data[[#This Row],[Qty C]],"0")</f>
        <v>0</v>
      </c>
      <c r="W498" s="36" t="str">
        <f>IFERROR(INDEX(Katalog!$F$3:$F$12,MATCH(Data[[#This Row],[ItemID C]],Katalog!$C$3:$C$12,0))*Data[[#This Row],[Qty C]],"0")</f>
        <v>0</v>
      </c>
      <c r="X498" s="21">
        <f>Data[[#This Row],[Qty A]]+Data[[#This Row],[Qty B]]+Data[[#This Row],[Qty C]]</f>
        <v>3</v>
      </c>
      <c r="Y498" s="22">
        <f>Data[[#This Row],[Harga Barang A]]+Data[[#This Row],[Harga Barang B]]+Data[[#This Row],[Harga Barang C]]</f>
        <v>1200000</v>
      </c>
      <c r="Z498" s="35">
        <f>IFERROR(Data[[#This Row],[Total Harga]]-(Data[[#This Row],[Total Harga]]*Data[[#This Row],[Diskon]]),Data[[#This Row],[Total Harga]])</f>
        <v>1080000</v>
      </c>
      <c r="AA498" s="35">
        <f>(Data[[#This Row],[Profit A]]+Data[[#This Row],[Profit B]]+Data[[#This Row],[Profit C]])</f>
        <v>450000</v>
      </c>
      <c r="AB498" s="35">
        <f>IFERROR((Data[[#This Row],[Profit non Diskon]]-(Data[[#This Row],[Profit non Diskon]]*Data[[#This Row],[Diskon]])),Data[[#This Row],[Profit non Diskon]])</f>
        <v>405000</v>
      </c>
      <c r="AC498" s="23" t="s">
        <v>31</v>
      </c>
      <c r="AD498" s="37">
        <f>IFERROR(INDEX('Kode Diskon'!$D$3:$D$9,MATCH(Data[[#This Row],[Kode diskon]],'Kode Diskon'!$C$3:$C$9,0)),"-")</f>
        <v>0.1</v>
      </c>
      <c r="AE498" s="23" t="s">
        <v>9</v>
      </c>
      <c r="AF498" s="23" t="s">
        <v>10</v>
      </c>
      <c r="AG498" s="23" t="s">
        <v>75</v>
      </c>
      <c r="AH498" s="24">
        <v>45040</v>
      </c>
      <c r="AI498" s="23" t="str">
        <f>TEXT(Data[[#This Row],[Tanggal terjual]],"dddd")</f>
        <v>Monday</v>
      </c>
      <c r="AJ498" s="21" t="str">
        <f>TEXT(Data[[#This Row],[Tanggal terjual]],"wwww")</f>
        <v>wwww</v>
      </c>
    </row>
    <row r="499" spans="1:36" x14ac:dyDescent="0.2">
      <c r="A499" s="20">
        <v>498</v>
      </c>
      <c r="B499" s="21" t="str">
        <f>_xlfn.CONCAT("ORD-",INDEX(Helper!$B$2:$B$5,MATCH(Data[[#This Row],[Marketplace]],Helper!$A$2:$A$5,0)),TEXT(Data[[#This Row],[No]],"0000"),"-",TEXT(Data[[#This Row],[Tanggal terjual]],"dd/mm/yy"))</f>
        <v>ORD-TK0498-11/04/23</v>
      </c>
      <c r="C499" t="s">
        <v>63</v>
      </c>
      <c r="D499" t="str">
        <f>IFERROR(INDEX(Katalog!$A$3:$A$12,MATCH(Data[[#This Row],[ItemID A]],Katalog!$C$3:$C$12,0)),"-")</f>
        <v>Pakaian Pria</v>
      </c>
      <c r="E499" t="str">
        <f>IFERROR(INDEX(Katalog!$B$3:$B$12,MATCH(Data[[#This Row],[ItemID A]],Katalog!$C$3:$C$12,0)),"-")</f>
        <v>Jaket Jeans</v>
      </c>
      <c r="F499">
        <v>4</v>
      </c>
      <c r="G499">
        <v>5</v>
      </c>
      <c r="H499" s="36">
        <f>IFERROR(INDEX(Katalog!$D$3:$D$12,MATCH(Data[[#This Row],[ItemID A]],Katalog!$C$3:$C$12,0))*Data[[#This Row],[Qty A]],"0")</f>
        <v>1600000</v>
      </c>
      <c r="I499" s="36">
        <f>IFERROR(INDEX(Katalog!$F$3:$F$12,MATCH(Data[[#This Row],[ItemID A]],Katalog!$C$3:$C$12,0))*Data[[#This Row],[Qty A]],0)</f>
        <v>600000</v>
      </c>
      <c r="J499" t="s">
        <v>61</v>
      </c>
      <c r="K499" t="str">
        <f>IFERROR(INDEX(Katalog!$A$3:$A$12,MATCH(Data[[#This Row],[ItemID B]],Katalog!$C$3:$C$12,0)),"-")</f>
        <v>Pakaian Pria</v>
      </c>
      <c r="L499" t="str">
        <f>IFERROR(INDEX(Katalog!$B$3:$B$12,MATCH(Data[[#This Row],[ItemID B]],Katalog!$C$3:$C$12,0)),"-")</f>
        <v>Kaos Polo</v>
      </c>
      <c r="M499">
        <v>2</v>
      </c>
      <c r="N499">
        <v>4</v>
      </c>
      <c r="O499" s="36">
        <f>IFERROR(INDEX(Katalog!$D$3:$D$12,MATCH(Data[[#This Row],[ItemID B]],Katalog!$C$3:$C$12,0))*Data[[#This Row],[Qty B]],"0")</f>
        <v>400000</v>
      </c>
      <c r="P499" s="36">
        <f>IFERROR(INDEX(Katalog!$F$3:$F$12,MATCH(Data[[#This Row],[ItemID B]],Katalog!$C$3:$C$12,0))*Data[[#This Row],[Qty B]],"0")</f>
        <v>160000</v>
      </c>
      <c r="R499" t="str">
        <f>IFERROR(INDEX(Katalog!$A$3:$A$12,MATCH(Data[[#This Row],[ItemID C]],Katalog!$C$3:$C$12,0)),"-")</f>
        <v>-</v>
      </c>
      <c r="S499" t="str">
        <f>IFERROR(INDEX(Katalog!$B$3:$B$12,MATCH(Data[[#This Row],[ItemID C]],Katalog!$C$3:$C$12,0)),"-")</f>
        <v>-</v>
      </c>
      <c r="V499" s="36" t="str">
        <f>IFERROR(INDEX(Katalog!$D$3:$D$12,MATCH(Data[[#This Row],[ItemID C]],Katalog!$C$3:$C$12,0))*Data[[#This Row],[Qty C]],"0")</f>
        <v>0</v>
      </c>
      <c r="W499" s="36" t="str">
        <f>IFERROR(INDEX(Katalog!$F$3:$F$12,MATCH(Data[[#This Row],[ItemID C]],Katalog!$C$3:$C$12,0))*Data[[#This Row],[Qty C]],"0")</f>
        <v>0</v>
      </c>
      <c r="X499" s="21">
        <f>Data[[#This Row],[Qty A]]+Data[[#This Row],[Qty B]]+Data[[#This Row],[Qty C]]</f>
        <v>6</v>
      </c>
      <c r="Y499" s="22">
        <f>Data[[#This Row],[Harga Barang A]]+Data[[#This Row],[Harga Barang B]]+Data[[#This Row],[Harga Barang C]]</f>
        <v>2000000</v>
      </c>
      <c r="Z499" s="35">
        <f>IFERROR(Data[[#This Row],[Total Harga]]-(Data[[#This Row],[Total Harga]]*Data[[#This Row],[Diskon]]),Data[[#This Row],[Total Harga]])</f>
        <v>2000000</v>
      </c>
      <c r="AA499" s="35">
        <f>(Data[[#This Row],[Profit A]]+Data[[#This Row],[Profit B]]+Data[[#This Row],[Profit C]])</f>
        <v>760000</v>
      </c>
      <c r="AB499" s="35">
        <f>IFERROR((Data[[#This Row],[Profit non Diskon]]-(Data[[#This Row],[Profit non Diskon]]*Data[[#This Row],[Diskon]])),Data[[#This Row],[Profit non Diskon]])</f>
        <v>760000</v>
      </c>
      <c r="AC499" s="23" t="s">
        <v>11</v>
      </c>
      <c r="AD499" s="37" t="str">
        <f>IFERROR(INDEX('Kode Diskon'!$D$3:$D$9,MATCH(Data[[#This Row],[Kode diskon]],'Kode Diskon'!$C$3:$C$9,0)),"-")</f>
        <v>-</v>
      </c>
      <c r="AE499" s="23" t="s">
        <v>11</v>
      </c>
      <c r="AF499" s="23" t="s">
        <v>10</v>
      </c>
      <c r="AG499" s="23" t="s">
        <v>80</v>
      </c>
      <c r="AH499" s="24">
        <v>45027</v>
      </c>
      <c r="AI499" s="23" t="str">
        <f>TEXT(Data[[#This Row],[Tanggal terjual]],"dddd")</f>
        <v>Tuesday</v>
      </c>
      <c r="AJ499" s="21" t="str">
        <f>TEXT(Data[[#This Row],[Tanggal terjual]],"wwww")</f>
        <v>wwww</v>
      </c>
    </row>
    <row r="500" spans="1:36" x14ac:dyDescent="0.2">
      <c r="A500" s="20">
        <v>499</v>
      </c>
      <c r="B500" s="21" t="str">
        <f>_xlfn.CONCAT("ORD-",INDEX(Helper!$B$2:$B$5,MATCH(Data[[#This Row],[Marketplace]],Helper!$A$2:$A$5,0)),TEXT(Data[[#This Row],[No]],"0000"),"-",TEXT(Data[[#This Row],[Tanggal terjual]],"dd/mm/yy"))</f>
        <v>ORD-TK0499-04/04/23</v>
      </c>
      <c r="C500" t="s">
        <v>67</v>
      </c>
      <c r="D500" t="str">
        <f>IFERROR(INDEX(Katalog!$A$3:$A$12,MATCH(Data[[#This Row],[ItemID A]],Katalog!$C$3:$C$12,0)),"-")</f>
        <v>Sepatu Wanita</v>
      </c>
      <c r="E500" t="str">
        <f>IFERROR(INDEX(Katalog!$B$3:$B$12,MATCH(Data[[#This Row],[ItemID A]],Katalog!$C$3:$C$12,0)),"-")</f>
        <v>Flat Shoes</v>
      </c>
      <c r="F500">
        <v>2</v>
      </c>
      <c r="G500">
        <v>4</v>
      </c>
      <c r="H500" s="36">
        <f>IFERROR(INDEX(Katalog!$D$3:$D$12,MATCH(Data[[#This Row],[ItemID A]],Katalog!$C$3:$C$12,0))*Data[[#This Row],[Qty A]],"0")</f>
        <v>500000</v>
      </c>
      <c r="I500" s="36">
        <f>IFERROR(INDEX(Katalog!$F$3:$F$12,MATCH(Data[[#This Row],[ItemID A]],Katalog!$C$3:$C$12,0))*Data[[#This Row],[Qty A]],0)</f>
        <v>200000</v>
      </c>
      <c r="J500" t="s">
        <v>61</v>
      </c>
      <c r="K500" t="str">
        <f>IFERROR(INDEX(Katalog!$A$3:$A$12,MATCH(Data[[#This Row],[ItemID B]],Katalog!$C$3:$C$12,0)),"-")</f>
        <v>Pakaian Pria</v>
      </c>
      <c r="L500" t="str">
        <f>IFERROR(INDEX(Katalog!$B$3:$B$12,MATCH(Data[[#This Row],[ItemID B]],Katalog!$C$3:$C$12,0)),"-")</f>
        <v>Kaos Polo</v>
      </c>
      <c r="M500">
        <v>1</v>
      </c>
      <c r="N500">
        <v>5</v>
      </c>
      <c r="O500" s="36">
        <f>IFERROR(INDEX(Katalog!$D$3:$D$12,MATCH(Data[[#This Row],[ItemID B]],Katalog!$C$3:$C$12,0))*Data[[#This Row],[Qty B]],"0")</f>
        <v>200000</v>
      </c>
      <c r="P500" s="36">
        <f>IFERROR(INDEX(Katalog!$F$3:$F$12,MATCH(Data[[#This Row],[ItemID B]],Katalog!$C$3:$C$12,0))*Data[[#This Row],[Qty B]],"0")</f>
        <v>80000</v>
      </c>
      <c r="R500" t="str">
        <f>IFERROR(INDEX(Katalog!$A$3:$A$12,MATCH(Data[[#This Row],[ItemID C]],Katalog!$C$3:$C$12,0)),"-")</f>
        <v>-</v>
      </c>
      <c r="S500" t="str">
        <f>IFERROR(INDEX(Katalog!$B$3:$B$12,MATCH(Data[[#This Row],[ItemID C]],Katalog!$C$3:$C$12,0)),"-")</f>
        <v>-</v>
      </c>
      <c r="V500" s="36" t="str">
        <f>IFERROR(INDEX(Katalog!$D$3:$D$12,MATCH(Data[[#This Row],[ItemID C]],Katalog!$C$3:$C$12,0))*Data[[#This Row],[Qty C]],"0")</f>
        <v>0</v>
      </c>
      <c r="W500" s="36" t="str">
        <f>IFERROR(INDEX(Katalog!$F$3:$F$12,MATCH(Data[[#This Row],[ItemID C]],Katalog!$C$3:$C$12,0))*Data[[#This Row],[Qty C]],"0")</f>
        <v>0</v>
      </c>
      <c r="X500" s="21">
        <f>Data[[#This Row],[Qty A]]+Data[[#This Row],[Qty B]]+Data[[#This Row],[Qty C]]</f>
        <v>3</v>
      </c>
      <c r="Y500" s="22">
        <f>Data[[#This Row],[Harga Barang A]]+Data[[#This Row],[Harga Barang B]]+Data[[#This Row],[Harga Barang C]]</f>
        <v>700000</v>
      </c>
      <c r="Z500" s="35">
        <f>IFERROR(Data[[#This Row],[Total Harga]]-(Data[[#This Row],[Total Harga]]*Data[[#This Row],[Diskon]]),Data[[#This Row],[Total Harga]])</f>
        <v>630000</v>
      </c>
      <c r="AA500" s="35">
        <f>(Data[[#This Row],[Profit A]]+Data[[#This Row],[Profit B]]+Data[[#This Row],[Profit C]])</f>
        <v>280000</v>
      </c>
      <c r="AB500" s="35">
        <f>IFERROR((Data[[#This Row],[Profit non Diskon]]-(Data[[#This Row],[Profit non Diskon]]*Data[[#This Row],[Diskon]])),Data[[#This Row],[Profit non Diskon]])</f>
        <v>252000</v>
      </c>
      <c r="AC500" s="23" t="s">
        <v>30</v>
      </c>
      <c r="AD500" s="37">
        <f>IFERROR(INDEX('Kode Diskon'!$D$3:$D$9,MATCH(Data[[#This Row],[Kode diskon]],'Kode Diskon'!$C$3:$C$9,0)),"-")</f>
        <v>0.1</v>
      </c>
      <c r="AE500" s="23" t="s">
        <v>29</v>
      </c>
      <c r="AF500" s="23" t="s">
        <v>10</v>
      </c>
      <c r="AG500" s="23" t="s">
        <v>77</v>
      </c>
      <c r="AH500" s="24">
        <v>45020</v>
      </c>
      <c r="AI500" s="23" t="str">
        <f>TEXT(Data[[#This Row],[Tanggal terjual]],"dddd")</f>
        <v>Tuesday</v>
      </c>
      <c r="AJ500" s="21" t="str">
        <f>TEXT(Data[[#This Row],[Tanggal terjual]],"wwww")</f>
        <v>wwww</v>
      </c>
    </row>
    <row r="501" spans="1:36" x14ac:dyDescent="0.2">
      <c r="A501" s="20">
        <v>500</v>
      </c>
      <c r="B501" s="21" t="str">
        <f>_xlfn.CONCAT("ORD-",INDEX(Helper!$B$2:$B$5,MATCH(Data[[#This Row],[Marketplace]],Helper!$A$2:$A$5,0)),TEXT(Data[[#This Row],[No]],"0000"),"-",TEXT(Data[[#This Row],[Tanggal terjual]],"dd/mm/yy"))</f>
        <v>ORD-SP0500-29/04/23</v>
      </c>
      <c r="C501" t="s">
        <v>66</v>
      </c>
      <c r="D501" t="str">
        <f>IFERROR(INDEX(Katalog!$A$3:$A$12,MATCH(Data[[#This Row],[ItemID A]],Katalog!$C$3:$C$12,0)),"-")</f>
        <v>Sepatu Pria</v>
      </c>
      <c r="E501" t="str">
        <f>IFERROR(INDEX(Katalog!$B$3:$B$12,MATCH(Data[[#This Row],[ItemID A]],Katalog!$C$3:$C$12,0)),"-")</f>
        <v>Sandal Slip On</v>
      </c>
      <c r="F501">
        <v>2</v>
      </c>
      <c r="G501">
        <v>5</v>
      </c>
      <c r="H501" s="36">
        <f>IFERROR(INDEX(Katalog!$D$3:$D$12,MATCH(Data[[#This Row],[ItemID A]],Katalog!$C$3:$C$12,0))*Data[[#This Row],[Qty A]],"0")</f>
        <v>300000</v>
      </c>
      <c r="I501" s="36">
        <f>IFERROR(INDEX(Katalog!$F$3:$F$12,MATCH(Data[[#This Row],[ItemID A]],Katalog!$C$3:$C$12,0))*Data[[#This Row],[Qty A]],0)</f>
        <v>120000</v>
      </c>
      <c r="K501" t="str">
        <f>IFERROR(INDEX(Katalog!$A$3:$A$12,MATCH(Data[[#This Row],[ItemID B]],Katalog!$C$3:$C$12,0)),"-")</f>
        <v>-</v>
      </c>
      <c r="L501" t="str">
        <f>IFERROR(INDEX(Katalog!$B$3:$B$12,MATCH(Data[[#This Row],[ItemID B]],Katalog!$C$3:$C$12,0)),"-")</f>
        <v>-</v>
      </c>
      <c r="O501" s="36" t="str">
        <f>IFERROR(INDEX(Katalog!$D$3:$D$12,MATCH(Data[[#This Row],[ItemID B]],Katalog!$C$3:$C$12,0))*Data[[#This Row],[Qty B]],"0")</f>
        <v>0</v>
      </c>
      <c r="P501" s="36" t="str">
        <f>IFERROR(INDEX(Katalog!$F$3:$F$12,MATCH(Data[[#This Row],[ItemID B]],Katalog!$C$3:$C$12,0))*Data[[#This Row],[Qty B]],"0")</f>
        <v>0</v>
      </c>
      <c r="R501" t="str">
        <f>IFERROR(INDEX(Katalog!$A$3:$A$12,MATCH(Data[[#This Row],[ItemID C]],Katalog!$C$3:$C$12,0)),"-")</f>
        <v>-</v>
      </c>
      <c r="S501" t="str">
        <f>IFERROR(INDEX(Katalog!$B$3:$B$12,MATCH(Data[[#This Row],[ItemID C]],Katalog!$C$3:$C$12,0)),"-")</f>
        <v>-</v>
      </c>
      <c r="V501" s="36" t="str">
        <f>IFERROR(INDEX(Katalog!$D$3:$D$12,MATCH(Data[[#This Row],[ItemID C]],Katalog!$C$3:$C$12,0))*Data[[#This Row],[Qty C]],"0")</f>
        <v>0</v>
      </c>
      <c r="W501" s="36" t="str">
        <f>IFERROR(INDEX(Katalog!$F$3:$F$12,MATCH(Data[[#This Row],[ItemID C]],Katalog!$C$3:$C$12,0))*Data[[#This Row],[Qty C]],"0")</f>
        <v>0</v>
      </c>
      <c r="X501" s="21">
        <f>Data[[#This Row],[Qty A]]+Data[[#This Row],[Qty B]]+Data[[#This Row],[Qty C]]</f>
        <v>2</v>
      </c>
      <c r="Y501" s="22">
        <f>Data[[#This Row],[Harga Barang A]]+Data[[#This Row],[Harga Barang B]]+Data[[#This Row],[Harga Barang C]]</f>
        <v>300000</v>
      </c>
      <c r="Z501" s="35">
        <f>IFERROR(Data[[#This Row],[Total Harga]]-(Data[[#This Row],[Total Harga]]*Data[[#This Row],[Diskon]]),Data[[#This Row],[Total Harga]])</f>
        <v>240000</v>
      </c>
      <c r="AA501" s="35">
        <f>(Data[[#This Row],[Profit A]]+Data[[#This Row],[Profit B]]+Data[[#This Row],[Profit C]])</f>
        <v>120000</v>
      </c>
      <c r="AB501" s="35">
        <f>IFERROR((Data[[#This Row],[Profit non Diskon]]-(Data[[#This Row],[Profit non Diskon]]*Data[[#This Row],[Diskon]])),Data[[#This Row],[Profit non Diskon]])</f>
        <v>96000</v>
      </c>
      <c r="AC501" s="23" t="s">
        <v>8</v>
      </c>
      <c r="AD501" s="37">
        <f>IFERROR(INDEX('Kode Diskon'!$D$3:$D$9,MATCH(Data[[#This Row],[Kode diskon]],'Kode Diskon'!$C$3:$C$9,0)),"-")</f>
        <v>0.2</v>
      </c>
      <c r="AE501" s="23" t="s">
        <v>9</v>
      </c>
      <c r="AF501" s="23" t="s">
        <v>7</v>
      </c>
      <c r="AG501" s="23" t="s">
        <v>80</v>
      </c>
      <c r="AH501" s="24">
        <v>45045</v>
      </c>
      <c r="AI501" s="23" t="str">
        <f>TEXT(Data[[#This Row],[Tanggal terjual]],"dddd")</f>
        <v>Saturday</v>
      </c>
      <c r="AJ501" s="21" t="str">
        <f>TEXT(Data[[#This Row],[Tanggal terjual]],"wwww")</f>
        <v>wwww</v>
      </c>
    </row>
    <row r="502" spans="1:36" x14ac:dyDescent="0.2">
      <c r="A502" s="20">
        <v>501</v>
      </c>
      <c r="B502" s="21" t="str">
        <f>_xlfn.CONCAT("ORD-",INDEX(Helper!$B$2:$B$5,MATCH(Data[[#This Row],[Marketplace]],Helper!$A$2:$A$5,0)),TEXT(Data[[#This Row],[No]],"0000"),"-",TEXT(Data[[#This Row],[Tanggal terjual]],"dd/mm/yy"))</f>
        <v>ORD-BL0501-18/04/23</v>
      </c>
      <c r="C502" t="s">
        <v>66</v>
      </c>
      <c r="D502" t="str">
        <f>IFERROR(INDEX(Katalog!$A$3:$A$12,MATCH(Data[[#This Row],[ItemID A]],Katalog!$C$3:$C$12,0)),"-")</f>
        <v>Sepatu Pria</v>
      </c>
      <c r="E502" t="str">
        <f>IFERROR(INDEX(Katalog!$B$3:$B$12,MATCH(Data[[#This Row],[ItemID A]],Katalog!$C$3:$C$12,0)),"-")</f>
        <v>Sandal Slip On</v>
      </c>
      <c r="F502">
        <v>1</v>
      </c>
      <c r="G502">
        <v>3</v>
      </c>
      <c r="H502" s="36">
        <f>IFERROR(INDEX(Katalog!$D$3:$D$12,MATCH(Data[[#This Row],[ItemID A]],Katalog!$C$3:$C$12,0))*Data[[#This Row],[Qty A]],"0")</f>
        <v>150000</v>
      </c>
      <c r="I502" s="36">
        <f>IFERROR(INDEX(Katalog!$F$3:$F$12,MATCH(Data[[#This Row],[ItemID A]],Katalog!$C$3:$C$12,0))*Data[[#This Row],[Qty A]],0)</f>
        <v>60000</v>
      </c>
      <c r="J502" t="s">
        <v>62</v>
      </c>
      <c r="K502" t="str">
        <f>IFERROR(INDEX(Katalog!$A$3:$A$12,MATCH(Data[[#This Row],[ItemID B]],Katalog!$C$3:$C$12,0)),"-")</f>
        <v>Pakaian Pria</v>
      </c>
      <c r="L502" t="str">
        <f>IFERROR(INDEX(Katalog!$B$3:$B$12,MATCH(Data[[#This Row],[ItemID B]],Katalog!$C$3:$C$12,0)),"-")</f>
        <v>Celana Pendek</v>
      </c>
      <c r="M502">
        <v>1</v>
      </c>
      <c r="N502">
        <v>2</v>
      </c>
      <c r="O502" s="36">
        <f>IFERROR(INDEX(Katalog!$D$3:$D$12,MATCH(Data[[#This Row],[ItemID B]],Katalog!$C$3:$C$12,0))*Data[[#This Row],[Qty B]],"0")</f>
        <v>180000</v>
      </c>
      <c r="P502" s="36">
        <f>IFERROR(INDEX(Katalog!$F$3:$F$12,MATCH(Data[[#This Row],[ItemID B]],Katalog!$C$3:$C$12,0))*Data[[#This Row],[Qty B]],"0")</f>
        <v>70000</v>
      </c>
      <c r="R502" t="str">
        <f>IFERROR(INDEX(Katalog!$A$3:$A$12,MATCH(Data[[#This Row],[ItemID C]],Katalog!$C$3:$C$12,0)),"-")</f>
        <v>-</v>
      </c>
      <c r="S502" t="str">
        <f>IFERROR(INDEX(Katalog!$B$3:$B$12,MATCH(Data[[#This Row],[ItemID C]],Katalog!$C$3:$C$12,0)),"-")</f>
        <v>-</v>
      </c>
      <c r="V502" s="36" t="str">
        <f>IFERROR(INDEX(Katalog!$D$3:$D$12,MATCH(Data[[#This Row],[ItemID C]],Katalog!$C$3:$C$12,0))*Data[[#This Row],[Qty C]],"0")</f>
        <v>0</v>
      </c>
      <c r="W502" s="36" t="str">
        <f>IFERROR(INDEX(Katalog!$F$3:$F$12,MATCH(Data[[#This Row],[ItemID C]],Katalog!$C$3:$C$12,0))*Data[[#This Row],[Qty C]],"0")</f>
        <v>0</v>
      </c>
      <c r="X502" s="21">
        <f>Data[[#This Row],[Qty A]]+Data[[#This Row],[Qty B]]+Data[[#This Row],[Qty C]]</f>
        <v>2</v>
      </c>
      <c r="Y502" s="22">
        <f>Data[[#This Row],[Harga Barang A]]+Data[[#This Row],[Harga Barang B]]+Data[[#This Row],[Harga Barang C]]</f>
        <v>330000</v>
      </c>
      <c r="Z502" s="35">
        <f>IFERROR(Data[[#This Row],[Total Harga]]-(Data[[#This Row],[Total Harga]]*Data[[#This Row],[Diskon]]),Data[[#This Row],[Total Harga]])</f>
        <v>280500</v>
      </c>
      <c r="AA502" s="35">
        <f>(Data[[#This Row],[Profit A]]+Data[[#This Row],[Profit B]]+Data[[#This Row],[Profit C]])</f>
        <v>130000</v>
      </c>
      <c r="AB502" s="35">
        <f>IFERROR((Data[[#This Row],[Profit non Diskon]]-(Data[[#This Row],[Profit non Diskon]]*Data[[#This Row],[Diskon]])),Data[[#This Row],[Profit non Diskon]])</f>
        <v>110500</v>
      </c>
      <c r="AC502" s="23" t="s">
        <v>32</v>
      </c>
      <c r="AD502" s="37">
        <f>IFERROR(INDEX('Kode Diskon'!$D$3:$D$9,MATCH(Data[[#This Row],[Kode diskon]],'Kode Diskon'!$C$3:$C$9,0)),"-")</f>
        <v>0.15</v>
      </c>
      <c r="AE502" s="23" t="s">
        <v>9</v>
      </c>
      <c r="AF502" s="23" t="s">
        <v>12</v>
      </c>
      <c r="AG502" s="23" t="s">
        <v>77</v>
      </c>
      <c r="AH502" s="24">
        <v>45034</v>
      </c>
      <c r="AI502" s="23" t="str">
        <f>TEXT(Data[[#This Row],[Tanggal terjual]],"dddd")</f>
        <v>Tuesday</v>
      </c>
      <c r="AJ502" s="21" t="str">
        <f>TEXT(Data[[#This Row],[Tanggal terjual]],"wwww")</f>
        <v>wwww</v>
      </c>
    </row>
    <row r="503" spans="1:36" x14ac:dyDescent="0.2">
      <c r="A503" s="20">
        <v>502</v>
      </c>
      <c r="B503" s="21" t="str">
        <f>_xlfn.CONCAT("ORD-",INDEX(Helper!$B$2:$B$5,MATCH(Data[[#This Row],[Marketplace]],Helper!$A$2:$A$5,0)),TEXT(Data[[#This Row],[No]],"0000"),"-",TEXT(Data[[#This Row],[Tanggal terjual]],"dd/mm/yy"))</f>
        <v>ORD-SP0502-07/04/23</v>
      </c>
      <c r="C503" t="s">
        <v>63</v>
      </c>
      <c r="D503" t="str">
        <f>IFERROR(INDEX(Katalog!$A$3:$A$12,MATCH(Data[[#This Row],[ItemID A]],Katalog!$C$3:$C$12,0)),"-")</f>
        <v>Pakaian Pria</v>
      </c>
      <c r="E503" t="str">
        <f>IFERROR(INDEX(Katalog!$B$3:$B$12,MATCH(Data[[#This Row],[ItemID A]],Katalog!$C$3:$C$12,0)),"-")</f>
        <v>Jaket Jeans</v>
      </c>
      <c r="F503">
        <v>2</v>
      </c>
      <c r="G503">
        <v>2</v>
      </c>
      <c r="H503" s="36">
        <f>IFERROR(INDEX(Katalog!$D$3:$D$12,MATCH(Data[[#This Row],[ItemID A]],Katalog!$C$3:$C$12,0))*Data[[#This Row],[Qty A]],"0")</f>
        <v>800000</v>
      </c>
      <c r="I503" s="36">
        <f>IFERROR(INDEX(Katalog!$F$3:$F$12,MATCH(Data[[#This Row],[ItemID A]],Katalog!$C$3:$C$12,0))*Data[[#This Row],[Qty A]],0)</f>
        <v>300000</v>
      </c>
      <c r="J503" t="s">
        <v>61</v>
      </c>
      <c r="K503" t="str">
        <f>IFERROR(INDEX(Katalog!$A$3:$A$12,MATCH(Data[[#This Row],[ItemID B]],Katalog!$C$3:$C$12,0)),"-")</f>
        <v>Pakaian Pria</v>
      </c>
      <c r="L503" t="str">
        <f>IFERROR(INDEX(Katalog!$B$3:$B$12,MATCH(Data[[#This Row],[ItemID B]],Katalog!$C$3:$C$12,0)),"-")</f>
        <v>Kaos Polo</v>
      </c>
      <c r="M503">
        <v>2</v>
      </c>
      <c r="N503">
        <v>4</v>
      </c>
      <c r="O503" s="36">
        <f>IFERROR(INDEX(Katalog!$D$3:$D$12,MATCH(Data[[#This Row],[ItemID B]],Katalog!$C$3:$C$12,0))*Data[[#This Row],[Qty B]],"0")</f>
        <v>400000</v>
      </c>
      <c r="P503" s="36">
        <f>IFERROR(INDEX(Katalog!$F$3:$F$12,MATCH(Data[[#This Row],[ItemID B]],Katalog!$C$3:$C$12,0))*Data[[#This Row],[Qty B]],"0")</f>
        <v>160000</v>
      </c>
      <c r="R503" t="str">
        <f>IFERROR(INDEX(Katalog!$A$3:$A$12,MATCH(Data[[#This Row],[ItemID C]],Katalog!$C$3:$C$12,0)),"-")</f>
        <v>-</v>
      </c>
      <c r="S503" t="str">
        <f>IFERROR(INDEX(Katalog!$B$3:$B$12,MATCH(Data[[#This Row],[ItemID C]],Katalog!$C$3:$C$12,0)),"-")</f>
        <v>-</v>
      </c>
      <c r="V503" s="36" t="str">
        <f>IFERROR(INDEX(Katalog!$D$3:$D$12,MATCH(Data[[#This Row],[ItemID C]],Katalog!$C$3:$C$12,0))*Data[[#This Row],[Qty C]],"0")</f>
        <v>0</v>
      </c>
      <c r="W503" s="36" t="str">
        <f>IFERROR(INDEX(Katalog!$F$3:$F$12,MATCH(Data[[#This Row],[ItemID C]],Katalog!$C$3:$C$12,0))*Data[[#This Row],[Qty C]],"0")</f>
        <v>0</v>
      </c>
      <c r="X503" s="21">
        <f>Data[[#This Row],[Qty A]]+Data[[#This Row],[Qty B]]+Data[[#This Row],[Qty C]]</f>
        <v>4</v>
      </c>
      <c r="Y503" s="22">
        <f>Data[[#This Row],[Harga Barang A]]+Data[[#This Row],[Harga Barang B]]+Data[[#This Row],[Harga Barang C]]</f>
        <v>1200000</v>
      </c>
      <c r="Z503" s="35">
        <f>IFERROR(Data[[#This Row],[Total Harga]]-(Data[[#This Row],[Total Harga]]*Data[[#This Row],[Diskon]]),Data[[#This Row],[Total Harga]])</f>
        <v>1200000</v>
      </c>
      <c r="AA503" s="35">
        <f>(Data[[#This Row],[Profit A]]+Data[[#This Row],[Profit B]]+Data[[#This Row],[Profit C]])</f>
        <v>460000</v>
      </c>
      <c r="AB503" s="35">
        <f>IFERROR((Data[[#This Row],[Profit non Diskon]]-(Data[[#This Row],[Profit non Diskon]]*Data[[#This Row],[Diskon]])),Data[[#This Row],[Profit non Diskon]])</f>
        <v>460000</v>
      </c>
      <c r="AC503" s="23" t="s">
        <v>11</v>
      </c>
      <c r="AD503" s="37" t="str">
        <f>IFERROR(INDEX('Kode Diskon'!$D$3:$D$9,MATCH(Data[[#This Row],[Kode diskon]],'Kode Diskon'!$C$3:$C$9,0)),"-")</f>
        <v>-</v>
      </c>
      <c r="AE503" s="23" t="s">
        <v>11</v>
      </c>
      <c r="AF503" s="23" t="s">
        <v>7</v>
      </c>
      <c r="AG503" s="23" t="s">
        <v>79</v>
      </c>
      <c r="AH503" s="24">
        <v>45023</v>
      </c>
      <c r="AI503" s="23" t="str">
        <f>TEXT(Data[[#This Row],[Tanggal terjual]],"dddd")</f>
        <v>Friday</v>
      </c>
      <c r="AJ503" s="21" t="str">
        <f>TEXT(Data[[#This Row],[Tanggal terjual]],"wwww")</f>
        <v>wwww</v>
      </c>
    </row>
    <row r="504" spans="1:36" x14ac:dyDescent="0.2">
      <c r="A504" s="20">
        <v>503</v>
      </c>
      <c r="B504" s="21" t="str">
        <f>_xlfn.CONCAT("ORD-",INDEX(Helper!$B$2:$B$5,MATCH(Data[[#This Row],[Marketplace]],Helper!$A$2:$A$5,0)),TEXT(Data[[#This Row],[No]],"0000"),"-",TEXT(Data[[#This Row],[Tanggal terjual]],"dd/mm/yy"))</f>
        <v>ORD-BL0503-20/04/23</v>
      </c>
      <c r="C504" t="s">
        <v>65</v>
      </c>
      <c r="D504" t="str">
        <f>IFERROR(INDEX(Katalog!$A$3:$A$12,MATCH(Data[[#This Row],[ItemID A]],Katalog!$C$3:$C$12,0)),"-")</f>
        <v>Sepatu Pria</v>
      </c>
      <c r="E504" t="str">
        <f>IFERROR(INDEX(Katalog!$B$3:$B$12,MATCH(Data[[#This Row],[ItemID A]],Katalog!$C$3:$C$12,0)),"-")</f>
        <v>Sneakers</v>
      </c>
      <c r="F504">
        <v>3</v>
      </c>
      <c r="G504">
        <v>1</v>
      </c>
      <c r="H504" s="36">
        <f>IFERROR(INDEX(Katalog!$D$3:$D$12,MATCH(Data[[#This Row],[ItemID A]],Katalog!$C$3:$C$12,0))*Data[[#This Row],[Qty A]],"0")</f>
        <v>1500000</v>
      </c>
      <c r="I504" s="36">
        <f>IFERROR(INDEX(Katalog!$F$3:$F$12,MATCH(Data[[#This Row],[ItemID A]],Katalog!$C$3:$C$12,0))*Data[[#This Row],[Qty A]],0)</f>
        <v>600000</v>
      </c>
      <c r="K504" t="str">
        <f>IFERROR(INDEX(Katalog!$A$3:$A$12,MATCH(Data[[#This Row],[ItemID B]],Katalog!$C$3:$C$12,0)),"-")</f>
        <v>-</v>
      </c>
      <c r="L504" t="str">
        <f>IFERROR(INDEX(Katalog!$B$3:$B$12,MATCH(Data[[#This Row],[ItemID B]],Katalog!$C$3:$C$12,0)),"-")</f>
        <v>-</v>
      </c>
      <c r="O504" s="36" t="str">
        <f>IFERROR(INDEX(Katalog!$D$3:$D$12,MATCH(Data[[#This Row],[ItemID B]],Katalog!$C$3:$C$12,0))*Data[[#This Row],[Qty B]],"0")</f>
        <v>0</v>
      </c>
      <c r="P504" s="36" t="str">
        <f>IFERROR(INDEX(Katalog!$F$3:$F$12,MATCH(Data[[#This Row],[ItemID B]],Katalog!$C$3:$C$12,0))*Data[[#This Row],[Qty B]],"0")</f>
        <v>0</v>
      </c>
      <c r="R504" t="str">
        <f>IFERROR(INDEX(Katalog!$A$3:$A$12,MATCH(Data[[#This Row],[ItemID C]],Katalog!$C$3:$C$12,0)),"-")</f>
        <v>-</v>
      </c>
      <c r="S504" t="str">
        <f>IFERROR(INDEX(Katalog!$B$3:$B$12,MATCH(Data[[#This Row],[ItemID C]],Katalog!$C$3:$C$12,0)),"-")</f>
        <v>-</v>
      </c>
      <c r="V504" s="36" t="str">
        <f>IFERROR(INDEX(Katalog!$D$3:$D$12,MATCH(Data[[#This Row],[ItemID C]],Katalog!$C$3:$C$12,0))*Data[[#This Row],[Qty C]],"0")</f>
        <v>0</v>
      </c>
      <c r="W504" s="36" t="str">
        <f>IFERROR(INDEX(Katalog!$F$3:$F$12,MATCH(Data[[#This Row],[ItemID C]],Katalog!$C$3:$C$12,0))*Data[[#This Row],[Qty C]],"0")</f>
        <v>0</v>
      </c>
      <c r="X504" s="21">
        <f>Data[[#This Row],[Qty A]]+Data[[#This Row],[Qty B]]+Data[[#This Row],[Qty C]]</f>
        <v>3</v>
      </c>
      <c r="Y504" s="22">
        <f>Data[[#This Row],[Harga Barang A]]+Data[[#This Row],[Harga Barang B]]+Data[[#This Row],[Harga Barang C]]</f>
        <v>1500000</v>
      </c>
      <c r="Z504" s="35">
        <f>IFERROR(Data[[#This Row],[Total Harga]]-(Data[[#This Row],[Total Harga]]*Data[[#This Row],[Diskon]]),Data[[#This Row],[Total Harga]])</f>
        <v>1275000</v>
      </c>
      <c r="AA504" s="35">
        <f>(Data[[#This Row],[Profit A]]+Data[[#This Row],[Profit B]]+Data[[#This Row],[Profit C]])</f>
        <v>600000</v>
      </c>
      <c r="AB504" s="35">
        <f>IFERROR((Data[[#This Row],[Profit non Diskon]]-(Data[[#This Row],[Profit non Diskon]]*Data[[#This Row],[Diskon]])),Data[[#This Row],[Profit non Diskon]])</f>
        <v>510000</v>
      </c>
      <c r="AC504" s="23" t="s">
        <v>32</v>
      </c>
      <c r="AD504" s="37">
        <f>IFERROR(INDEX('Kode Diskon'!$D$3:$D$9,MATCH(Data[[#This Row],[Kode diskon]],'Kode Diskon'!$C$3:$C$9,0)),"-")</f>
        <v>0.15</v>
      </c>
      <c r="AE504" s="23" t="s">
        <v>9</v>
      </c>
      <c r="AF504" s="23" t="s">
        <v>12</v>
      </c>
      <c r="AG504" s="23" t="s">
        <v>80</v>
      </c>
      <c r="AH504" s="24">
        <v>45036</v>
      </c>
      <c r="AI504" s="23" t="str">
        <f>TEXT(Data[[#This Row],[Tanggal terjual]],"dddd")</f>
        <v>Thursday</v>
      </c>
      <c r="AJ504" s="21" t="str">
        <f>TEXT(Data[[#This Row],[Tanggal terjual]],"wwww")</f>
        <v>wwww</v>
      </c>
    </row>
    <row r="505" spans="1:36" x14ac:dyDescent="0.2">
      <c r="A505" s="20">
        <v>504</v>
      </c>
      <c r="B505" s="21" t="str">
        <f>_xlfn.CONCAT("ORD-",INDEX(Helper!$B$2:$B$5,MATCH(Data[[#This Row],[Marketplace]],Helper!$A$2:$A$5,0)),TEXT(Data[[#This Row],[No]],"0000"),"-",TEXT(Data[[#This Row],[Tanggal terjual]],"dd/mm/yy"))</f>
        <v>ORD-SP0504-16/04/23</v>
      </c>
      <c r="C505" t="s">
        <v>62</v>
      </c>
      <c r="D505" t="str">
        <f>IFERROR(INDEX(Katalog!$A$3:$A$12,MATCH(Data[[#This Row],[ItemID A]],Katalog!$C$3:$C$12,0)),"-")</f>
        <v>Pakaian Pria</v>
      </c>
      <c r="E505" t="str">
        <f>IFERROR(INDEX(Katalog!$B$3:$B$12,MATCH(Data[[#This Row],[ItemID A]],Katalog!$C$3:$C$12,0)),"-")</f>
        <v>Celana Pendek</v>
      </c>
      <c r="F505">
        <v>5</v>
      </c>
      <c r="G505">
        <v>5</v>
      </c>
      <c r="H505" s="36">
        <f>IFERROR(INDEX(Katalog!$D$3:$D$12,MATCH(Data[[#This Row],[ItemID A]],Katalog!$C$3:$C$12,0))*Data[[#This Row],[Qty A]],"0")</f>
        <v>900000</v>
      </c>
      <c r="I505" s="36">
        <f>IFERROR(INDEX(Katalog!$F$3:$F$12,MATCH(Data[[#This Row],[ItemID A]],Katalog!$C$3:$C$12,0))*Data[[#This Row],[Qty A]],0)</f>
        <v>350000</v>
      </c>
      <c r="J505" t="s">
        <v>63</v>
      </c>
      <c r="K505" t="str">
        <f>IFERROR(INDEX(Katalog!$A$3:$A$12,MATCH(Data[[#This Row],[ItemID B]],Katalog!$C$3:$C$12,0)),"-")</f>
        <v>Pakaian Pria</v>
      </c>
      <c r="L505" t="str">
        <f>IFERROR(INDEX(Katalog!$B$3:$B$12,MATCH(Data[[#This Row],[ItemID B]],Katalog!$C$3:$C$12,0)),"-")</f>
        <v>Jaket Jeans</v>
      </c>
      <c r="M505">
        <v>1</v>
      </c>
      <c r="N505">
        <v>1</v>
      </c>
      <c r="O505" s="36">
        <f>IFERROR(INDEX(Katalog!$D$3:$D$12,MATCH(Data[[#This Row],[ItemID B]],Katalog!$C$3:$C$12,0))*Data[[#This Row],[Qty B]],"0")</f>
        <v>400000</v>
      </c>
      <c r="P505" s="36">
        <f>IFERROR(INDEX(Katalog!$F$3:$F$12,MATCH(Data[[#This Row],[ItemID B]],Katalog!$C$3:$C$12,0))*Data[[#This Row],[Qty B]],"0")</f>
        <v>150000</v>
      </c>
      <c r="Q505" t="s">
        <v>65</v>
      </c>
      <c r="R505" t="str">
        <f>IFERROR(INDEX(Katalog!$A$3:$A$12,MATCH(Data[[#This Row],[ItemID C]],Katalog!$C$3:$C$12,0)),"-")</f>
        <v>Sepatu Pria</v>
      </c>
      <c r="S505" t="str">
        <f>IFERROR(INDEX(Katalog!$B$3:$B$12,MATCH(Data[[#This Row],[ItemID C]],Katalog!$C$3:$C$12,0)),"-")</f>
        <v>Sneakers</v>
      </c>
      <c r="T505">
        <v>1</v>
      </c>
      <c r="U505">
        <v>5</v>
      </c>
      <c r="V505" s="36">
        <f>IFERROR(INDEX(Katalog!$D$3:$D$12,MATCH(Data[[#This Row],[ItemID C]],Katalog!$C$3:$C$12,0))*Data[[#This Row],[Qty C]],"0")</f>
        <v>500000</v>
      </c>
      <c r="W505" s="36">
        <f>IFERROR(INDEX(Katalog!$F$3:$F$12,MATCH(Data[[#This Row],[ItemID C]],Katalog!$C$3:$C$12,0))*Data[[#This Row],[Qty C]],"0")</f>
        <v>200000</v>
      </c>
      <c r="X505" s="21">
        <f>Data[[#This Row],[Qty A]]+Data[[#This Row],[Qty B]]+Data[[#This Row],[Qty C]]</f>
        <v>7</v>
      </c>
      <c r="Y505" s="22">
        <f>Data[[#This Row],[Harga Barang A]]+Data[[#This Row],[Harga Barang B]]+Data[[#This Row],[Harga Barang C]]</f>
        <v>1800000</v>
      </c>
      <c r="Z505" s="35">
        <f>IFERROR(Data[[#This Row],[Total Harga]]-(Data[[#This Row],[Total Harga]]*Data[[#This Row],[Diskon]]),Data[[#This Row],[Total Harga]])</f>
        <v>1440000</v>
      </c>
      <c r="AA505" s="35">
        <f>(Data[[#This Row],[Profit A]]+Data[[#This Row],[Profit B]]+Data[[#This Row],[Profit C]])</f>
        <v>700000</v>
      </c>
      <c r="AB505" s="35">
        <f>IFERROR((Data[[#This Row],[Profit non Diskon]]-(Data[[#This Row],[Profit non Diskon]]*Data[[#This Row],[Diskon]])),Data[[#This Row],[Profit non Diskon]])</f>
        <v>560000</v>
      </c>
      <c r="AC505" s="23" t="s">
        <v>8</v>
      </c>
      <c r="AD505" s="37">
        <f>IFERROR(INDEX('Kode Diskon'!$D$3:$D$9,MATCH(Data[[#This Row],[Kode diskon]],'Kode Diskon'!$C$3:$C$9,0)),"-")</f>
        <v>0.2</v>
      </c>
      <c r="AE505" s="23" t="s">
        <v>9</v>
      </c>
      <c r="AF505" s="23" t="s">
        <v>7</v>
      </c>
      <c r="AG505" s="23" t="s">
        <v>80</v>
      </c>
      <c r="AH505" s="24">
        <v>45032</v>
      </c>
      <c r="AI505" s="23" t="str">
        <f>TEXT(Data[[#This Row],[Tanggal terjual]],"dddd")</f>
        <v>Sunday</v>
      </c>
      <c r="AJ505" s="21" t="str">
        <f>TEXT(Data[[#This Row],[Tanggal terjual]],"wwww")</f>
        <v>wwww</v>
      </c>
    </row>
    <row r="506" spans="1:36" x14ac:dyDescent="0.2">
      <c r="A506" s="20">
        <v>505</v>
      </c>
      <c r="B506" s="21" t="str">
        <f>_xlfn.CONCAT("ORD-",INDEX(Helper!$B$2:$B$5,MATCH(Data[[#This Row],[Marketplace]],Helper!$A$2:$A$5,0)),TEXT(Data[[#This Row],[No]],"0000"),"-",TEXT(Data[[#This Row],[Tanggal terjual]],"dd/mm/yy"))</f>
        <v>ORD-TK0505-17/04/23</v>
      </c>
      <c r="C506" t="s">
        <v>59</v>
      </c>
      <c r="D506" t="str">
        <f>IFERROR(INDEX(Katalog!$A$3:$A$12,MATCH(Data[[#This Row],[ItemID A]],Katalog!$C$3:$C$12,0)),"-")</f>
        <v>Pakaian Wanita</v>
      </c>
      <c r="E506" t="str">
        <f>IFERROR(INDEX(Katalog!$B$3:$B$12,MATCH(Data[[#This Row],[ItemID A]],Katalog!$C$3:$C$12,0)),"-")</f>
        <v>Blouse</v>
      </c>
      <c r="F506">
        <v>1</v>
      </c>
      <c r="G506">
        <v>3</v>
      </c>
      <c r="H506" s="36">
        <f>IFERROR(INDEX(Katalog!$D$3:$D$12,MATCH(Data[[#This Row],[ItemID A]],Katalog!$C$3:$C$12,0))*Data[[#This Row],[Qty A]],"0")</f>
        <v>150000</v>
      </c>
      <c r="I506" s="36">
        <f>IFERROR(INDEX(Katalog!$F$3:$F$12,MATCH(Data[[#This Row],[ItemID A]],Katalog!$C$3:$C$12,0))*Data[[#This Row],[Qty A]],0)</f>
        <v>50000</v>
      </c>
      <c r="J506" t="s">
        <v>64</v>
      </c>
      <c r="K506" t="str">
        <f>IFERROR(INDEX(Katalog!$A$3:$A$12,MATCH(Data[[#This Row],[ItemID B]],Katalog!$C$3:$C$12,0)),"-")</f>
        <v>Pakaian Unisex</v>
      </c>
      <c r="L506" t="str">
        <f>IFERROR(INDEX(Katalog!$B$3:$B$12,MATCH(Data[[#This Row],[ItemID B]],Katalog!$C$3:$C$12,0)),"-")</f>
        <v>Jaket Hoodie</v>
      </c>
      <c r="M506">
        <v>1</v>
      </c>
      <c r="N506">
        <v>5</v>
      </c>
      <c r="O506" s="36">
        <f>IFERROR(INDEX(Katalog!$D$3:$D$12,MATCH(Data[[#This Row],[ItemID B]],Katalog!$C$3:$C$12,0))*Data[[#This Row],[Qty B]],"0")</f>
        <v>350000</v>
      </c>
      <c r="P506" s="36">
        <f>IFERROR(INDEX(Katalog!$F$3:$F$12,MATCH(Data[[#This Row],[ItemID B]],Katalog!$C$3:$C$12,0))*Data[[#This Row],[Qty B]],"0")</f>
        <v>130000</v>
      </c>
      <c r="R506" t="str">
        <f>IFERROR(INDEX(Katalog!$A$3:$A$12,MATCH(Data[[#This Row],[ItemID C]],Katalog!$C$3:$C$12,0)),"-")</f>
        <v>-</v>
      </c>
      <c r="S506" t="str">
        <f>IFERROR(INDEX(Katalog!$B$3:$B$12,MATCH(Data[[#This Row],[ItemID C]],Katalog!$C$3:$C$12,0)),"-")</f>
        <v>-</v>
      </c>
      <c r="V506" s="36" t="str">
        <f>IFERROR(INDEX(Katalog!$D$3:$D$12,MATCH(Data[[#This Row],[ItemID C]],Katalog!$C$3:$C$12,0))*Data[[#This Row],[Qty C]],"0")</f>
        <v>0</v>
      </c>
      <c r="W506" s="36" t="str">
        <f>IFERROR(INDEX(Katalog!$F$3:$F$12,MATCH(Data[[#This Row],[ItemID C]],Katalog!$C$3:$C$12,0))*Data[[#This Row],[Qty C]],"0")</f>
        <v>0</v>
      </c>
      <c r="X506" s="21">
        <f>Data[[#This Row],[Qty A]]+Data[[#This Row],[Qty B]]+Data[[#This Row],[Qty C]]</f>
        <v>2</v>
      </c>
      <c r="Y506" s="22">
        <f>Data[[#This Row],[Harga Barang A]]+Data[[#This Row],[Harga Barang B]]+Data[[#This Row],[Harga Barang C]]</f>
        <v>500000</v>
      </c>
      <c r="Z506" s="35">
        <f>IFERROR(Data[[#This Row],[Total Harga]]-(Data[[#This Row],[Total Harga]]*Data[[#This Row],[Diskon]]),Data[[#This Row],[Total Harga]])</f>
        <v>450000</v>
      </c>
      <c r="AA506" s="35">
        <f>(Data[[#This Row],[Profit A]]+Data[[#This Row],[Profit B]]+Data[[#This Row],[Profit C]])</f>
        <v>180000</v>
      </c>
      <c r="AB506" s="35">
        <f>IFERROR((Data[[#This Row],[Profit non Diskon]]-(Data[[#This Row],[Profit non Diskon]]*Data[[#This Row],[Diskon]])),Data[[#This Row],[Profit non Diskon]])</f>
        <v>162000</v>
      </c>
      <c r="AC506" s="23" t="s">
        <v>31</v>
      </c>
      <c r="AD506" s="37">
        <f>IFERROR(INDEX('Kode Diskon'!$D$3:$D$9,MATCH(Data[[#This Row],[Kode diskon]],'Kode Diskon'!$C$3:$C$9,0)),"-")</f>
        <v>0.1</v>
      </c>
      <c r="AE506" s="23" t="s">
        <v>9</v>
      </c>
      <c r="AF506" s="23" t="s">
        <v>10</v>
      </c>
      <c r="AG506" s="23" t="s">
        <v>76</v>
      </c>
      <c r="AH506" s="24">
        <v>45033</v>
      </c>
      <c r="AI506" s="23" t="str">
        <f>TEXT(Data[[#This Row],[Tanggal terjual]],"dddd")</f>
        <v>Monday</v>
      </c>
      <c r="AJ506" s="21" t="str">
        <f>TEXT(Data[[#This Row],[Tanggal terjual]],"wwww")</f>
        <v>wwww</v>
      </c>
    </row>
    <row r="507" spans="1:36" x14ac:dyDescent="0.2">
      <c r="A507" s="20">
        <v>506</v>
      </c>
      <c r="B507" s="21" t="str">
        <f>_xlfn.CONCAT("ORD-",INDEX(Helper!$B$2:$B$5,MATCH(Data[[#This Row],[Marketplace]],Helper!$A$2:$A$5,0)),TEXT(Data[[#This Row],[No]],"0000"),"-",TEXT(Data[[#This Row],[Tanggal terjual]],"dd/mm/yy"))</f>
        <v>ORD-SP0506-03/04/23</v>
      </c>
      <c r="C507" t="s">
        <v>63</v>
      </c>
      <c r="D507" t="str">
        <f>IFERROR(INDEX(Katalog!$A$3:$A$12,MATCH(Data[[#This Row],[ItemID A]],Katalog!$C$3:$C$12,0)),"-")</f>
        <v>Pakaian Pria</v>
      </c>
      <c r="E507" t="str">
        <f>IFERROR(INDEX(Katalog!$B$3:$B$12,MATCH(Data[[#This Row],[ItemID A]],Katalog!$C$3:$C$12,0)),"-")</f>
        <v>Jaket Jeans</v>
      </c>
      <c r="F507">
        <v>1</v>
      </c>
      <c r="G507">
        <v>4</v>
      </c>
      <c r="H507" s="36">
        <f>IFERROR(INDEX(Katalog!$D$3:$D$12,MATCH(Data[[#This Row],[ItemID A]],Katalog!$C$3:$C$12,0))*Data[[#This Row],[Qty A]],"0")</f>
        <v>400000</v>
      </c>
      <c r="I507" s="36">
        <f>IFERROR(INDEX(Katalog!$F$3:$F$12,MATCH(Data[[#This Row],[ItemID A]],Katalog!$C$3:$C$12,0))*Data[[#This Row],[Qty A]],0)</f>
        <v>150000</v>
      </c>
      <c r="J507" t="s">
        <v>60</v>
      </c>
      <c r="K507" t="str">
        <f>IFERROR(INDEX(Katalog!$A$3:$A$12,MATCH(Data[[#This Row],[ItemID B]],Katalog!$C$3:$C$12,0)),"-")</f>
        <v>Pakaian Wanita</v>
      </c>
      <c r="L507" t="str">
        <f>IFERROR(INDEX(Katalog!$B$3:$B$12,MATCH(Data[[#This Row],[ItemID B]],Katalog!$C$3:$C$12,0)),"-")</f>
        <v>Kaftan</v>
      </c>
      <c r="M507">
        <v>2</v>
      </c>
      <c r="N507">
        <v>1</v>
      </c>
      <c r="O507" s="36">
        <f>IFERROR(INDEX(Katalog!$D$3:$D$12,MATCH(Data[[#This Row],[ItemID B]],Katalog!$C$3:$C$12,0))*Data[[#This Row],[Qty B]],"0")</f>
        <v>500000</v>
      </c>
      <c r="P507" s="36">
        <f>IFERROR(INDEX(Katalog!$F$3:$F$12,MATCH(Data[[#This Row],[ItemID B]],Katalog!$C$3:$C$12,0))*Data[[#This Row],[Qty B]],"0")</f>
        <v>200000</v>
      </c>
      <c r="Q507" t="s">
        <v>65</v>
      </c>
      <c r="R507" t="str">
        <f>IFERROR(INDEX(Katalog!$A$3:$A$12,MATCH(Data[[#This Row],[ItemID C]],Katalog!$C$3:$C$12,0)),"-")</f>
        <v>Sepatu Pria</v>
      </c>
      <c r="S507" t="str">
        <f>IFERROR(INDEX(Katalog!$B$3:$B$12,MATCH(Data[[#This Row],[ItemID C]],Katalog!$C$3:$C$12,0)),"-")</f>
        <v>Sneakers</v>
      </c>
      <c r="T507">
        <v>1</v>
      </c>
      <c r="U507">
        <v>3</v>
      </c>
      <c r="V507" s="36">
        <f>IFERROR(INDEX(Katalog!$D$3:$D$12,MATCH(Data[[#This Row],[ItemID C]],Katalog!$C$3:$C$12,0))*Data[[#This Row],[Qty C]],"0")</f>
        <v>500000</v>
      </c>
      <c r="W507" s="36">
        <f>IFERROR(INDEX(Katalog!$F$3:$F$12,MATCH(Data[[#This Row],[ItemID C]],Katalog!$C$3:$C$12,0))*Data[[#This Row],[Qty C]],"0")</f>
        <v>200000</v>
      </c>
      <c r="X507" s="21">
        <f>Data[[#This Row],[Qty A]]+Data[[#This Row],[Qty B]]+Data[[#This Row],[Qty C]]</f>
        <v>4</v>
      </c>
      <c r="Y507" s="22">
        <f>Data[[#This Row],[Harga Barang A]]+Data[[#This Row],[Harga Barang B]]+Data[[#This Row],[Harga Barang C]]</f>
        <v>1400000</v>
      </c>
      <c r="Z507" s="35">
        <f>IFERROR(Data[[#This Row],[Total Harga]]-(Data[[#This Row],[Total Harga]]*Data[[#This Row],[Diskon]]),Data[[#This Row],[Total Harga]])</f>
        <v>1260000</v>
      </c>
      <c r="AA507" s="35">
        <f>(Data[[#This Row],[Profit A]]+Data[[#This Row],[Profit B]]+Data[[#This Row],[Profit C]])</f>
        <v>550000</v>
      </c>
      <c r="AB507" s="35">
        <f>IFERROR((Data[[#This Row],[Profit non Diskon]]-(Data[[#This Row],[Profit non Diskon]]*Data[[#This Row],[Diskon]])),Data[[#This Row],[Profit non Diskon]])</f>
        <v>495000</v>
      </c>
      <c r="AC507" s="23" t="s">
        <v>6</v>
      </c>
      <c r="AD507" s="37">
        <f>IFERROR(INDEX('Kode Diskon'!$D$3:$D$9,MATCH(Data[[#This Row],[Kode diskon]],'Kode Diskon'!$C$3:$C$9,0)),"-")</f>
        <v>0.1</v>
      </c>
      <c r="AE507" s="23" t="s">
        <v>29</v>
      </c>
      <c r="AF507" s="23" t="s">
        <v>7</v>
      </c>
      <c r="AG507" s="23" t="s">
        <v>76</v>
      </c>
      <c r="AH507" s="24">
        <v>45019</v>
      </c>
      <c r="AI507" s="23" t="str">
        <f>TEXT(Data[[#This Row],[Tanggal terjual]],"dddd")</f>
        <v>Monday</v>
      </c>
      <c r="AJ507" s="21" t="str">
        <f>TEXT(Data[[#This Row],[Tanggal terjual]],"wwww")</f>
        <v>wwww</v>
      </c>
    </row>
    <row r="508" spans="1:36" x14ac:dyDescent="0.2">
      <c r="A508" s="20">
        <v>507</v>
      </c>
      <c r="B508" s="21" t="str">
        <f>_xlfn.CONCAT("ORD-",INDEX(Helper!$B$2:$B$5,MATCH(Data[[#This Row],[Marketplace]],Helper!$A$2:$A$5,0)),TEXT(Data[[#This Row],[No]],"0000"),"-",TEXT(Data[[#This Row],[Tanggal terjual]],"dd/mm/yy"))</f>
        <v>ORD-SP0507-22/04/23</v>
      </c>
      <c r="C508" t="s">
        <v>61</v>
      </c>
      <c r="D508" t="str">
        <f>IFERROR(INDEX(Katalog!$A$3:$A$12,MATCH(Data[[#This Row],[ItemID A]],Katalog!$C$3:$C$12,0)),"-")</f>
        <v>Pakaian Pria</v>
      </c>
      <c r="E508" t="str">
        <f>IFERROR(INDEX(Katalog!$B$3:$B$12,MATCH(Data[[#This Row],[ItemID A]],Katalog!$C$3:$C$12,0)),"-")</f>
        <v>Kaos Polo</v>
      </c>
      <c r="F508">
        <v>1</v>
      </c>
      <c r="G508">
        <v>2</v>
      </c>
      <c r="H508" s="36">
        <f>IFERROR(INDEX(Katalog!$D$3:$D$12,MATCH(Data[[#This Row],[ItemID A]],Katalog!$C$3:$C$12,0))*Data[[#This Row],[Qty A]],"0")</f>
        <v>200000</v>
      </c>
      <c r="I508" s="36">
        <f>IFERROR(INDEX(Katalog!$F$3:$F$12,MATCH(Data[[#This Row],[ItemID A]],Katalog!$C$3:$C$12,0))*Data[[#This Row],[Qty A]],0)</f>
        <v>80000</v>
      </c>
      <c r="J508" t="s">
        <v>64</v>
      </c>
      <c r="K508" t="str">
        <f>IFERROR(INDEX(Katalog!$A$3:$A$12,MATCH(Data[[#This Row],[ItemID B]],Katalog!$C$3:$C$12,0)),"-")</f>
        <v>Pakaian Unisex</v>
      </c>
      <c r="L508" t="str">
        <f>IFERROR(INDEX(Katalog!$B$3:$B$12,MATCH(Data[[#This Row],[ItemID B]],Katalog!$C$3:$C$12,0)),"-")</f>
        <v>Jaket Hoodie</v>
      </c>
      <c r="M508">
        <v>6</v>
      </c>
      <c r="N508">
        <v>2</v>
      </c>
      <c r="O508" s="36">
        <f>IFERROR(INDEX(Katalog!$D$3:$D$12,MATCH(Data[[#This Row],[ItemID B]],Katalog!$C$3:$C$12,0))*Data[[#This Row],[Qty B]],"0")</f>
        <v>2100000</v>
      </c>
      <c r="P508" s="36">
        <f>IFERROR(INDEX(Katalog!$F$3:$F$12,MATCH(Data[[#This Row],[ItemID B]],Katalog!$C$3:$C$12,0))*Data[[#This Row],[Qty B]],"0")</f>
        <v>780000</v>
      </c>
      <c r="R508" t="str">
        <f>IFERROR(INDEX(Katalog!$A$3:$A$12,MATCH(Data[[#This Row],[ItemID C]],Katalog!$C$3:$C$12,0)),"-")</f>
        <v>-</v>
      </c>
      <c r="S508" t="str">
        <f>IFERROR(INDEX(Katalog!$B$3:$B$12,MATCH(Data[[#This Row],[ItemID C]],Katalog!$C$3:$C$12,0)),"-")</f>
        <v>-</v>
      </c>
      <c r="V508" s="36" t="str">
        <f>IFERROR(INDEX(Katalog!$D$3:$D$12,MATCH(Data[[#This Row],[ItemID C]],Katalog!$C$3:$C$12,0))*Data[[#This Row],[Qty C]],"0")</f>
        <v>0</v>
      </c>
      <c r="W508" s="36" t="str">
        <f>IFERROR(INDEX(Katalog!$F$3:$F$12,MATCH(Data[[#This Row],[ItemID C]],Katalog!$C$3:$C$12,0))*Data[[#This Row],[Qty C]],"0")</f>
        <v>0</v>
      </c>
      <c r="X508" s="21">
        <f>Data[[#This Row],[Qty A]]+Data[[#This Row],[Qty B]]+Data[[#This Row],[Qty C]]</f>
        <v>7</v>
      </c>
      <c r="Y508" s="22">
        <f>Data[[#This Row],[Harga Barang A]]+Data[[#This Row],[Harga Barang B]]+Data[[#This Row],[Harga Barang C]]</f>
        <v>2300000</v>
      </c>
      <c r="Z508" s="35">
        <f>IFERROR(Data[[#This Row],[Total Harga]]-(Data[[#This Row],[Total Harga]]*Data[[#This Row],[Diskon]]),Data[[#This Row],[Total Harga]])</f>
        <v>1840000</v>
      </c>
      <c r="AA508" s="35">
        <f>(Data[[#This Row],[Profit A]]+Data[[#This Row],[Profit B]]+Data[[#This Row],[Profit C]])</f>
        <v>860000</v>
      </c>
      <c r="AB508" s="35">
        <f>IFERROR((Data[[#This Row],[Profit non Diskon]]-(Data[[#This Row],[Profit non Diskon]]*Data[[#This Row],[Diskon]])),Data[[#This Row],[Profit non Diskon]])</f>
        <v>688000</v>
      </c>
      <c r="AC508" s="23" t="s">
        <v>8</v>
      </c>
      <c r="AD508" s="37">
        <f>IFERROR(INDEX('Kode Diskon'!$D$3:$D$9,MATCH(Data[[#This Row],[Kode diskon]],'Kode Diskon'!$C$3:$C$9,0)),"-")</f>
        <v>0.2</v>
      </c>
      <c r="AE508" s="23" t="s">
        <v>9</v>
      </c>
      <c r="AF508" s="23" t="s">
        <v>7</v>
      </c>
      <c r="AG508" s="23" t="s">
        <v>80</v>
      </c>
      <c r="AH508" s="24">
        <v>45038</v>
      </c>
      <c r="AI508" s="23" t="str">
        <f>TEXT(Data[[#This Row],[Tanggal terjual]],"dddd")</f>
        <v>Saturday</v>
      </c>
      <c r="AJ508" s="21" t="str">
        <f>TEXT(Data[[#This Row],[Tanggal terjual]],"wwww")</f>
        <v>wwww</v>
      </c>
    </row>
    <row r="509" spans="1:36" x14ac:dyDescent="0.2">
      <c r="A509" s="20">
        <v>508</v>
      </c>
      <c r="B509" s="21" t="str">
        <f>_xlfn.CONCAT("ORD-",INDEX(Helper!$B$2:$B$5,MATCH(Data[[#This Row],[Marketplace]],Helper!$A$2:$A$5,0)),TEXT(Data[[#This Row],[No]],"0000"),"-",TEXT(Data[[#This Row],[Tanggal terjual]],"dd/mm/yy"))</f>
        <v>ORD-BL0508-16/04/23</v>
      </c>
      <c r="C509" t="s">
        <v>66</v>
      </c>
      <c r="D509" t="str">
        <f>IFERROR(INDEX(Katalog!$A$3:$A$12,MATCH(Data[[#This Row],[ItemID A]],Katalog!$C$3:$C$12,0)),"-")</f>
        <v>Sepatu Pria</v>
      </c>
      <c r="E509" t="str">
        <f>IFERROR(INDEX(Katalog!$B$3:$B$12,MATCH(Data[[#This Row],[ItemID A]],Katalog!$C$3:$C$12,0)),"-")</f>
        <v>Sandal Slip On</v>
      </c>
      <c r="F509">
        <v>2</v>
      </c>
      <c r="G509">
        <v>3</v>
      </c>
      <c r="H509" s="36">
        <f>IFERROR(INDEX(Katalog!$D$3:$D$12,MATCH(Data[[#This Row],[ItemID A]],Katalog!$C$3:$C$12,0))*Data[[#This Row],[Qty A]],"0")</f>
        <v>300000</v>
      </c>
      <c r="I509" s="36">
        <f>IFERROR(INDEX(Katalog!$F$3:$F$12,MATCH(Data[[#This Row],[ItemID A]],Katalog!$C$3:$C$12,0))*Data[[#This Row],[Qty A]],0)</f>
        <v>120000</v>
      </c>
      <c r="J509" t="s">
        <v>60</v>
      </c>
      <c r="K509" t="str">
        <f>IFERROR(INDEX(Katalog!$A$3:$A$12,MATCH(Data[[#This Row],[ItemID B]],Katalog!$C$3:$C$12,0)),"-")</f>
        <v>Pakaian Wanita</v>
      </c>
      <c r="L509" t="str">
        <f>IFERROR(INDEX(Katalog!$B$3:$B$12,MATCH(Data[[#This Row],[ItemID B]],Katalog!$C$3:$C$12,0)),"-")</f>
        <v>Kaftan</v>
      </c>
      <c r="M509">
        <v>1</v>
      </c>
      <c r="N509">
        <v>5</v>
      </c>
      <c r="O509" s="36">
        <f>IFERROR(INDEX(Katalog!$D$3:$D$12,MATCH(Data[[#This Row],[ItemID B]],Katalog!$C$3:$C$12,0))*Data[[#This Row],[Qty B]],"0")</f>
        <v>250000</v>
      </c>
      <c r="P509" s="36">
        <f>IFERROR(INDEX(Katalog!$F$3:$F$12,MATCH(Data[[#This Row],[ItemID B]],Katalog!$C$3:$C$12,0))*Data[[#This Row],[Qty B]],"0")</f>
        <v>100000</v>
      </c>
      <c r="Q509" t="s">
        <v>59</v>
      </c>
      <c r="R509" t="str">
        <f>IFERROR(INDEX(Katalog!$A$3:$A$12,MATCH(Data[[#This Row],[ItemID C]],Katalog!$C$3:$C$12,0)),"-")</f>
        <v>Pakaian Wanita</v>
      </c>
      <c r="S509" t="str">
        <f>IFERROR(INDEX(Katalog!$B$3:$B$12,MATCH(Data[[#This Row],[ItemID C]],Katalog!$C$3:$C$12,0)),"-")</f>
        <v>Blouse</v>
      </c>
      <c r="T509">
        <v>2</v>
      </c>
      <c r="U509">
        <v>2</v>
      </c>
      <c r="V509" s="36">
        <f>IFERROR(INDEX(Katalog!$D$3:$D$12,MATCH(Data[[#This Row],[ItemID C]],Katalog!$C$3:$C$12,0))*Data[[#This Row],[Qty C]],"0")</f>
        <v>300000</v>
      </c>
      <c r="W509" s="36">
        <f>IFERROR(INDEX(Katalog!$F$3:$F$12,MATCH(Data[[#This Row],[ItemID C]],Katalog!$C$3:$C$12,0))*Data[[#This Row],[Qty C]],"0")</f>
        <v>100000</v>
      </c>
      <c r="X509" s="21">
        <f>Data[[#This Row],[Qty A]]+Data[[#This Row],[Qty B]]+Data[[#This Row],[Qty C]]</f>
        <v>5</v>
      </c>
      <c r="Y509" s="22">
        <f>Data[[#This Row],[Harga Barang A]]+Data[[#This Row],[Harga Barang B]]+Data[[#This Row],[Harga Barang C]]</f>
        <v>850000</v>
      </c>
      <c r="Z509" s="35">
        <f>IFERROR(Data[[#This Row],[Total Harga]]-(Data[[#This Row],[Total Harga]]*Data[[#This Row],[Diskon]]),Data[[#This Row],[Total Harga]])</f>
        <v>722500</v>
      </c>
      <c r="AA509" s="35">
        <f>(Data[[#This Row],[Profit A]]+Data[[#This Row],[Profit B]]+Data[[#This Row],[Profit C]])</f>
        <v>320000</v>
      </c>
      <c r="AB509" s="35">
        <f>IFERROR((Data[[#This Row],[Profit non Diskon]]-(Data[[#This Row],[Profit non Diskon]]*Data[[#This Row],[Diskon]])),Data[[#This Row],[Profit non Diskon]])</f>
        <v>272000</v>
      </c>
      <c r="AC509" s="23" t="s">
        <v>32</v>
      </c>
      <c r="AD509" s="37">
        <f>IFERROR(INDEX('Kode Diskon'!$D$3:$D$9,MATCH(Data[[#This Row],[Kode diskon]],'Kode Diskon'!$C$3:$C$9,0)),"-")</f>
        <v>0.15</v>
      </c>
      <c r="AE509" s="23" t="s">
        <v>9</v>
      </c>
      <c r="AF509" s="23" t="s">
        <v>12</v>
      </c>
      <c r="AG509" s="23" t="s">
        <v>79</v>
      </c>
      <c r="AH509" s="24">
        <v>45032</v>
      </c>
      <c r="AI509" s="23" t="str">
        <f>TEXT(Data[[#This Row],[Tanggal terjual]],"dddd")</f>
        <v>Sunday</v>
      </c>
      <c r="AJ509" s="21" t="str">
        <f>TEXT(Data[[#This Row],[Tanggal terjual]],"wwww")</f>
        <v>wwww</v>
      </c>
    </row>
    <row r="510" spans="1:36" x14ac:dyDescent="0.2">
      <c r="A510" s="20">
        <v>509</v>
      </c>
      <c r="B510" s="21" t="str">
        <f>_xlfn.CONCAT("ORD-",INDEX(Helper!$B$2:$B$5,MATCH(Data[[#This Row],[Marketplace]],Helper!$A$2:$A$5,0)),TEXT(Data[[#This Row],[No]],"0000"),"-",TEXT(Data[[#This Row],[Tanggal terjual]],"dd/mm/yy"))</f>
        <v>ORD-SP0509-01/04/23</v>
      </c>
      <c r="C510" t="s">
        <v>66</v>
      </c>
      <c r="D510" t="str">
        <f>IFERROR(INDEX(Katalog!$A$3:$A$12,MATCH(Data[[#This Row],[ItemID A]],Katalog!$C$3:$C$12,0)),"-")</f>
        <v>Sepatu Pria</v>
      </c>
      <c r="E510" t="str">
        <f>IFERROR(INDEX(Katalog!$B$3:$B$12,MATCH(Data[[#This Row],[ItemID A]],Katalog!$C$3:$C$12,0)),"-")</f>
        <v>Sandal Slip On</v>
      </c>
      <c r="F510">
        <v>3</v>
      </c>
      <c r="G510">
        <v>5</v>
      </c>
      <c r="H510" s="36">
        <f>IFERROR(INDEX(Katalog!$D$3:$D$12,MATCH(Data[[#This Row],[ItemID A]],Katalog!$C$3:$C$12,0))*Data[[#This Row],[Qty A]],"0")</f>
        <v>450000</v>
      </c>
      <c r="I510" s="36">
        <f>IFERROR(INDEX(Katalog!$F$3:$F$12,MATCH(Data[[#This Row],[ItemID A]],Katalog!$C$3:$C$12,0))*Data[[#This Row],[Qty A]],0)</f>
        <v>180000</v>
      </c>
      <c r="J510" t="s">
        <v>61</v>
      </c>
      <c r="K510" t="str">
        <f>IFERROR(INDEX(Katalog!$A$3:$A$12,MATCH(Data[[#This Row],[ItemID B]],Katalog!$C$3:$C$12,0)),"-")</f>
        <v>Pakaian Pria</v>
      </c>
      <c r="L510" t="str">
        <f>IFERROR(INDEX(Katalog!$B$3:$B$12,MATCH(Data[[#This Row],[ItemID B]],Katalog!$C$3:$C$12,0)),"-")</f>
        <v>Kaos Polo</v>
      </c>
      <c r="M510">
        <v>2</v>
      </c>
      <c r="N510">
        <v>2</v>
      </c>
      <c r="O510" s="36">
        <f>IFERROR(INDEX(Katalog!$D$3:$D$12,MATCH(Data[[#This Row],[ItemID B]],Katalog!$C$3:$C$12,0))*Data[[#This Row],[Qty B]],"0")</f>
        <v>400000</v>
      </c>
      <c r="P510" s="36">
        <f>IFERROR(INDEX(Katalog!$F$3:$F$12,MATCH(Data[[#This Row],[ItemID B]],Katalog!$C$3:$C$12,0))*Data[[#This Row],[Qty B]],"0")</f>
        <v>160000</v>
      </c>
      <c r="Q510" t="s">
        <v>63</v>
      </c>
      <c r="R510" t="str">
        <f>IFERROR(INDEX(Katalog!$A$3:$A$12,MATCH(Data[[#This Row],[ItemID C]],Katalog!$C$3:$C$12,0)),"-")</f>
        <v>Pakaian Pria</v>
      </c>
      <c r="S510" t="str">
        <f>IFERROR(INDEX(Katalog!$B$3:$B$12,MATCH(Data[[#This Row],[ItemID C]],Katalog!$C$3:$C$12,0)),"-")</f>
        <v>Jaket Jeans</v>
      </c>
      <c r="T510">
        <v>1</v>
      </c>
      <c r="U510">
        <v>2</v>
      </c>
      <c r="V510" s="36">
        <f>IFERROR(INDEX(Katalog!$D$3:$D$12,MATCH(Data[[#This Row],[ItemID C]],Katalog!$C$3:$C$12,0))*Data[[#This Row],[Qty C]],"0")</f>
        <v>400000</v>
      </c>
      <c r="W510" s="36">
        <f>IFERROR(INDEX(Katalog!$F$3:$F$12,MATCH(Data[[#This Row],[ItemID C]],Katalog!$C$3:$C$12,0))*Data[[#This Row],[Qty C]],"0")</f>
        <v>150000</v>
      </c>
      <c r="X510" s="21">
        <f>Data[[#This Row],[Qty A]]+Data[[#This Row],[Qty B]]+Data[[#This Row],[Qty C]]</f>
        <v>6</v>
      </c>
      <c r="Y510" s="22">
        <f>Data[[#This Row],[Harga Barang A]]+Data[[#This Row],[Harga Barang B]]+Data[[#This Row],[Harga Barang C]]</f>
        <v>1250000</v>
      </c>
      <c r="Z510" s="35">
        <f>IFERROR(Data[[#This Row],[Total Harga]]-(Data[[#This Row],[Total Harga]]*Data[[#This Row],[Diskon]]),Data[[#This Row],[Total Harga]])</f>
        <v>1062500</v>
      </c>
      <c r="AA510" s="35">
        <f>(Data[[#This Row],[Profit A]]+Data[[#This Row],[Profit B]]+Data[[#This Row],[Profit C]])</f>
        <v>490000</v>
      </c>
      <c r="AB510" s="35">
        <f>IFERROR((Data[[#This Row],[Profit non Diskon]]-(Data[[#This Row],[Profit non Diskon]]*Data[[#This Row],[Diskon]])),Data[[#This Row],[Profit non Diskon]])</f>
        <v>416500</v>
      </c>
      <c r="AC510" s="23" t="s">
        <v>13</v>
      </c>
      <c r="AD510" s="37">
        <f>IFERROR(INDEX('Kode Diskon'!$D$3:$D$9,MATCH(Data[[#This Row],[Kode diskon]],'Kode Diskon'!$C$3:$C$9,0)),"-")</f>
        <v>0.15</v>
      </c>
      <c r="AE510" s="23" t="s">
        <v>29</v>
      </c>
      <c r="AF510" s="23" t="s">
        <v>7</v>
      </c>
      <c r="AG510" s="23" t="s">
        <v>77</v>
      </c>
      <c r="AH510" s="24">
        <v>45017</v>
      </c>
      <c r="AI510" s="23" t="str">
        <f>TEXT(Data[[#This Row],[Tanggal terjual]],"dddd")</f>
        <v>Saturday</v>
      </c>
      <c r="AJ510" s="21" t="str">
        <f>TEXT(Data[[#This Row],[Tanggal terjual]],"wwww")</f>
        <v>wwww</v>
      </c>
    </row>
    <row r="511" spans="1:36" x14ac:dyDescent="0.2">
      <c r="A511" s="20">
        <v>510</v>
      </c>
      <c r="B511" s="21" t="str">
        <f>_xlfn.CONCAT("ORD-",INDEX(Helper!$B$2:$B$5,MATCH(Data[[#This Row],[Marketplace]],Helper!$A$2:$A$5,0)),TEXT(Data[[#This Row],[No]],"0000"),"-",TEXT(Data[[#This Row],[Tanggal terjual]],"dd/mm/yy"))</f>
        <v>ORD-SP0510-06/04/23</v>
      </c>
      <c r="C511" t="s">
        <v>67</v>
      </c>
      <c r="D511" t="str">
        <f>IFERROR(INDEX(Katalog!$A$3:$A$12,MATCH(Data[[#This Row],[ItemID A]],Katalog!$C$3:$C$12,0)),"-")</f>
        <v>Sepatu Wanita</v>
      </c>
      <c r="E511" t="str">
        <f>IFERROR(INDEX(Katalog!$B$3:$B$12,MATCH(Data[[#This Row],[ItemID A]],Katalog!$C$3:$C$12,0)),"-")</f>
        <v>Flat Shoes</v>
      </c>
      <c r="F511">
        <v>1</v>
      </c>
      <c r="G511">
        <v>4</v>
      </c>
      <c r="H511" s="36">
        <f>IFERROR(INDEX(Katalog!$D$3:$D$12,MATCH(Data[[#This Row],[ItemID A]],Katalog!$C$3:$C$12,0))*Data[[#This Row],[Qty A]],"0")</f>
        <v>250000</v>
      </c>
      <c r="I511" s="36">
        <f>IFERROR(INDEX(Katalog!$F$3:$F$12,MATCH(Data[[#This Row],[ItemID A]],Katalog!$C$3:$C$12,0))*Data[[#This Row],[Qty A]],0)</f>
        <v>100000</v>
      </c>
      <c r="K511" t="str">
        <f>IFERROR(INDEX(Katalog!$A$3:$A$12,MATCH(Data[[#This Row],[ItemID B]],Katalog!$C$3:$C$12,0)),"-")</f>
        <v>-</v>
      </c>
      <c r="L511" t="str">
        <f>IFERROR(INDEX(Katalog!$B$3:$B$12,MATCH(Data[[#This Row],[ItemID B]],Katalog!$C$3:$C$12,0)),"-")</f>
        <v>-</v>
      </c>
      <c r="O511" s="36" t="str">
        <f>IFERROR(INDEX(Katalog!$D$3:$D$12,MATCH(Data[[#This Row],[ItemID B]],Katalog!$C$3:$C$12,0))*Data[[#This Row],[Qty B]],"0")</f>
        <v>0</v>
      </c>
      <c r="P511" s="36" t="str">
        <f>IFERROR(INDEX(Katalog!$F$3:$F$12,MATCH(Data[[#This Row],[ItemID B]],Katalog!$C$3:$C$12,0))*Data[[#This Row],[Qty B]],"0")</f>
        <v>0</v>
      </c>
      <c r="R511" t="str">
        <f>IFERROR(INDEX(Katalog!$A$3:$A$12,MATCH(Data[[#This Row],[ItemID C]],Katalog!$C$3:$C$12,0)),"-")</f>
        <v>-</v>
      </c>
      <c r="S511" t="str">
        <f>IFERROR(INDEX(Katalog!$B$3:$B$12,MATCH(Data[[#This Row],[ItemID C]],Katalog!$C$3:$C$12,0)),"-")</f>
        <v>-</v>
      </c>
      <c r="V511" s="36" t="str">
        <f>IFERROR(INDEX(Katalog!$D$3:$D$12,MATCH(Data[[#This Row],[ItemID C]],Katalog!$C$3:$C$12,0))*Data[[#This Row],[Qty C]],"0")</f>
        <v>0</v>
      </c>
      <c r="W511" s="36" t="str">
        <f>IFERROR(INDEX(Katalog!$F$3:$F$12,MATCH(Data[[#This Row],[ItemID C]],Katalog!$C$3:$C$12,0))*Data[[#This Row],[Qty C]],"0")</f>
        <v>0</v>
      </c>
      <c r="X511" s="21">
        <f>Data[[#This Row],[Qty A]]+Data[[#This Row],[Qty B]]+Data[[#This Row],[Qty C]]</f>
        <v>1</v>
      </c>
      <c r="Y511" s="22">
        <f>Data[[#This Row],[Harga Barang A]]+Data[[#This Row],[Harga Barang B]]+Data[[#This Row],[Harga Barang C]]</f>
        <v>250000</v>
      </c>
      <c r="Z511" s="35">
        <f>IFERROR(Data[[#This Row],[Total Harga]]-(Data[[#This Row],[Total Harga]]*Data[[#This Row],[Diskon]]),Data[[#This Row],[Total Harga]])</f>
        <v>212500</v>
      </c>
      <c r="AA511" s="35">
        <f>(Data[[#This Row],[Profit A]]+Data[[#This Row],[Profit B]]+Data[[#This Row],[Profit C]])</f>
        <v>100000</v>
      </c>
      <c r="AB511" s="35">
        <f>IFERROR((Data[[#This Row],[Profit non Diskon]]-(Data[[#This Row],[Profit non Diskon]]*Data[[#This Row],[Diskon]])),Data[[#This Row],[Profit non Diskon]])</f>
        <v>85000</v>
      </c>
      <c r="AC511" s="23" t="s">
        <v>13</v>
      </c>
      <c r="AD511" s="37">
        <f>IFERROR(INDEX('Kode Diskon'!$D$3:$D$9,MATCH(Data[[#This Row],[Kode diskon]],'Kode Diskon'!$C$3:$C$9,0)),"-")</f>
        <v>0.15</v>
      </c>
      <c r="AE511" s="23" t="s">
        <v>29</v>
      </c>
      <c r="AF511" s="23" t="s">
        <v>7</v>
      </c>
      <c r="AG511" s="23" t="s">
        <v>79</v>
      </c>
      <c r="AH511" s="24">
        <v>45022</v>
      </c>
      <c r="AI511" s="23" t="str">
        <f>TEXT(Data[[#This Row],[Tanggal terjual]],"dddd")</f>
        <v>Thursday</v>
      </c>
      <c r="AJ511" s="21" t="str">
        <f>TEXT(Data[[#This Row],[Tanggal terjual]],"wwww")</f>
        <v>wwww</v>
      </c>
    </row>
    <row r="512" spans="1:36" x14ac:dyDescent="0.2">
      <c r="A512" s="20">
        <v>511</v>
      </c>
      <c r="B512" s="21" t="str">
        <f>_xlfn.CONCAT("ORD-",INDEX(Helper!$B$2:$B$5,MATCH(Data[[#This Row],[Marketplace]],Helper!$A$2:$A$5,0)),TEXT(Data[[#This Row],[No]],"0000"),"-",TEXT(Data[[#This Row],[Tanggal terjual]],"dd/mm/yy"))</f>
        <v>ORD-BL0511-28/04/23</v>
      </c>
      <c r="C512" t="s">
        <v>64</v>
      </c>
      <c r="D512" t="str">
        <f>IFERROR(INDEX(Katalog!$A$3:$A$12,MATCH(Data[[#This Row],[ItemID A]],Katalog!$C$3:$C$12,0)),"-")</f>
        <v>Pakaian Unisex</v>
      </c>
      <c r="E512" t="str">
        <f>IFERROR(INDEX(Katalog!$B$3:$B$12,MATCH(Data[[#This Row],[ItemID A]],Katalog!$C$3:$C$12,0)),"-")</f>
        <v>Jaket Hoodie</v>
      </c>
      <c r="F512">
        <v>1</v>
      </c>
      <c r="G512">
        <v>5</v>
      </c>
      <c r="H512" s="36">
        <f>IFERROR(INDEX(Katalog!$D$3:$D$12,MATCH(Data[[#This Row],[ItemID A]],Katalog!$C$3:$C$12,0))*Data[[#This Row],[Qty A]],"0")</f>
        <v>350000</v>
      </c>
      <c r="I512" s="36">
        <f>IFERROR(INDEX(Katalog!$F$3:$F$12,MATCH(Data[[#This Row],[ItemID A]],Katalog!$C$3:$C$12,0))*Data[[#This Row],[Qty A]],0)</f>
        <v>130000</v>
      </c>
      <c r="K512" t="str">
        <f>IFERROR(INDEX(Katalog!$A$3:$A$12,MATCH(Data[[#This Row],[ItemID B]],Katalog!$C$3:$C$12,0)),"-")</f>
        <v>-</v>
      </c>
      <c r="L512" t="str">
        <f>IFERROR(INDEX(Katalog!$B$3:$B$12,MATCH(Data[[#This Row],[ItemID B]],Katalog!$C$3:$C$12,0)),"-")</f>
        <v>-</v>
      </c>
      <c r="O512" s="36" t="str">
        <f>IFERROR(INDEX(Katalog!$D$3:$D$12,MATCH(Data[[#This Row],[ItemID B]],Katalog!$C$3:$C$12,0))*Data[[#This Row],[Qty B]],"0")</f>
        <v>0</v>
      </c>
      <c r="P512" s="36" t="str">
        <f>IFERROR(INDEX(Katalog!$F$3:$F$12,MATCH(Data[[#This Row],[ItemID B]],Katalog!$C$3:$C$12,0))*Data[[#This Row],[Qty B]],"0")</f>
        <v>0</v>
      </c>
      <c r="R512" t="str">
        <f>IFERROR(INDEX(Katalog!$A$3:$A$12,MATCH(Data[[#This Row],[ItemID C]],Katalog!$C$3:$C$12,0)),"-")</f>
        <v>-</v>
      </c>
      <c r="S512" t="str">
        <f>IFERROR(INDEX(Katalog!$B$3:$B$12,MATCH(Data[[#This Row],[ItemID C]],Katalog!$C$3:$C$12,0)),"-")</f>
        <v>-</v>
      </c>
      <c r="V512" s="36" t="str">
        <f>IFERROR(INDEX(Katalog!$D$3:$D$12,MATCH(Data[[#This Row],[ItemID C]],Katalog!$C$3:$C$12,0))*Data[[#This Row],[Qty C]],"0")</f>
        <v>0</v>
      </c>
      <c r="W512" s="36" t="str">
        <f>IFERROR(INDEX(Katalog!$F$3:$F$12,MATCH(Data[[#This Row],[ItemID C]],Katalog!$C$3:$C$12,0))*Data[[#This Row],[Qty C]],"0")</f>
        <v>0</v>
      </c>
      <c r="X512" s="21">
        <f>Data[[#This Row],[Qty A]]+Data[[#This Row],[Qty B]]+Data[[#This Row],[Qty C]]</f>
        <v>1</v>
      </c>
      <c r="Y512" s="22">
        <f>Data[[#This Row],[Harga Barang A]]+Data[[#This Row],[Harga Barang B]]+Data[[#This Row],[Harga Barang C]]</f>
        <v>350000</v>
      </c>
      <c r="Z512" s="35">
        <f>IFERROR(Data[[#This Row],[Total Harga]]-(Data[[#This Row],[Total Harga]]*Data[[#This Row],[Diskon]]),Data[[#This Row],[Total Harga]])</f>
        <v>297500</v>
      </c>
      <c r="AA512" s="35">
        <f>(Data[[#This Row],[Profit A]]+Data[[#This Row],[Profit B]]+Data[[#This Row],[Profit C]])</f>
        <v>130000</v>
      </c>
      <c r="AB512" s="35">
        <f>IFERROR((Data[[#This Row],[Profit non Diskon]]-(Data[[#This Row],[Profit non Diskon]]*Data[[#This Row],[Diskon]])),Data[[#This Row],[Profit non Diskon]])</f>
        <v>110500</v>
      </c>
      <c r="AC512" s="23" t="s">
        <v>32</v>
      </c>
      <c r="AD512" s="37">
        <f>IFERROR(INDEX('Kode Diskon'!$D$3:$D$9,MATCH(Data[[#This Row],[Kode diskon]],'Kode Diskon'!$C$3:$C$9,0)),"-")</f>
        <v>0.15</v>
      </c>
      <c r="AE512" s="23" t="s">
        <v>9</v>
      </c>
      <c r="AF512" s="23" t="s">
        <v>12</v>
      </c>
      <c r="AG512" s="23" t="s">
        <v>76</v>
      </c>
      <c r="AH512" s="24">
        <v>45044</v>
      </c>
      <c r="AI512" s="23" t="str">
        <f>TEXT(Data[[#This Row],[Tanggal terjual]],"dddd")</f>
        <v>Friday</v>
      </c>
      <c r="AJ512" s="21" t="str">
        <f>TEXT(Data[[#This Row],[Tanggal terjual]],"wwww")</f>
        <v>wwww</v>
      </c>
    </row>
    <row r="513" spans="1:36" x14ac:dyDescent="0.2">
      <c r="A513" s="20">
        <v>512</v>
      </c>
      <c r="B513" s="21" t="str">
        <f>_xlfn.CONCAT("ORD-",INDEX(Helper!$B$2:$B$5,MATCH(Data[[#This Row],[Marketplace]],Helper!$A$2:$A$5,0)),TEXT(Data[[#This Row],[No]],"0000"),"-",TEXT(Data[[#This Row],[Tanggal terjual]],"dd/mm/yy"))</f>
        <v>ORD-BB0512-01/04/23</v>
      </c>
      <c r="C513" t="s">
        <v>66</v>
      </c>
      <c r="D513" t="str">
        <f>IFERROR(INDEX(Katalog!$A$3:$A$12,MATCH(Data[[#This Row],[ItemID A]],Katalog!$C$3:$C$12,0)),"-")</f>
        <v>Sepatu Pria</v>
      </c>
      <c r="E513" t="str">
        <f>IFERROR(INDEX(Katalog!$B$3:$B$12,MATCH(Data[[#This Row],[ItemID A]],Katalog!$C$3:$C$12,0)),"-")</f>
        <v>Sandal Slip On</v>
      </c>
      <c r="F513">
        <v>1</v>
      </c>
      <c r="G513">
        <v>3</v>
      </c>
      <c r="H513" s="36">
        <f>IFERROR(INDEX(Katalog!$D$3:$D$12,MATCH(Data[[#This Row],[ItemID A]],Katalog!$C$3:$C$12,0))*Data[[#This Row],[Qty A]],"0")</f>
        <v>150000</v>
      </c>
      <c r="I513" s="36">
        <f>IFERROR(INDEX(Katalog!$F$3:$F$12,MATCH(Data[[#This Row],[ItemID A]],Katalog!$C$3:$C$12,0))*Data[[#This Row],[Qty A]],0)</f>
        <v>60000</v>
      </c>
      <c r="K513" t="str">
        <f>IFERROR(INDEX(Katalog!$A$3:$A$12,MATCH(Data[[#This Row],[ItemID B]],Katalog!$C$3:$C$12,0)),"-")</f>
        <v>-</v>
      </c>
      <c r="L513" t="str">
        <f>IFERROR(INDEX(Katalog!$B$3:$B$12,MATCH(Data[[#This Row],[ItemID B]],Katalog!$C$3:$C$12,0)),"-")</f>
        <v>-</v>
      </c>
      <c r="O513" s="36" t="str">
        <f>IFERROR(INDEX(Katalog!$D$3:$D$12,MATCH(Data[[#This Row],[ItemID B]],Katalog!$C$3:$C$12,0))*Data[[#This Row],[Qty B]],"0")</f>
        <v>0</v>
      </c>
      <c r="P513" s="36" t="str">
        <f>IFERROR(INDEX(Katalog!$F$3:$F$12,MATCH(Data[[#This Row],[ItemID B]],Katalog!$C$3:$C$12,0))*Data[[#This Row],[Qty B]],"0")</f>
        <v>0</v>
      </c>
      <c r="R513" t="str">
        <f>IFERROR(INDEX(Katalog!$A$3:$A$12,MATCH(Data[[#This Row],[ItemID C]],Katalog!$C$3:$C$12,0)),"-")</f>
        <v>-</v>
      </c>
      <c r="S513" t="str">
        <f>IFERROR(INDEX(Katalog!$B$3:$B$12,MATCH(Data[[#This Row],[ItemID C]],Katalog!$C$3:$C$12,0)),"-")</f>
        <v>-</v>
      </c>
      <c r="V513" s="36" t="str">
        <f>IFERROR(INDEX(Katalog!$D$3:$D$12,MATCH(Data[[#This Row],[ItemID C]],Katalog!$C$3:$C$12,0))*Data[[#This Row],[Qty C]],"0")</f>
        <v>0</v>
      </c>
      <c r="W513" s="36" t="str">
        <f>IFERROR(INDEX(Katalog!$F$3:$F$12,MATCH(Data[[#This Row],[ItemID C]],Katalog!$C$3:$C$12,0))*Data[[#This Row],[Qty C]],"0")</f>
        <v>0</v>
      </c>
      <c r="X513" s="21">
        <f>Data[[#This Row],[Qty A]]+Data[[#This Row],[Qty B]]+Data[[#This Row],[Qty C]]</f>
        <v>1</v>
      </c>
      <c r="Y513" s="22">
        <f>Data[[#This Row],[Harga Barang A]]+Data[[#This Row],[Harga Barang B]]+Data[[#This Row],[Harga Barang C]]</f>
        <v>150000</v>
      </c>
      <c r="Z513" s="35">
        <f>IFERROR(Data[[#This Row],[Total Harga]]-(Data[[#This Row],[Total Harga]]*Data[[#This Row],[Diskon]]),Data[[#This Row],[Total Harga]])</f>
        <v>127500</v>
      </c>
      <c r="AA513" s="35">
        <f>(Data[[#This Row],[Profit A]]+Data[[#This Row],[Profit B]]+Data[[#This Row],[Profit C]])</f>
        <v>60000</v>
      </c>
      <c r="AB513" s="35">
        <f>IFERROR((Data[[#This Row],[Profit non Diskon]]-(Data[[#This Row],[Profit non Diskon]]*Data[[#This Row],[Diskon]])),Data[[#This Row],[Profit non Diskon]])</f>
        <v>51000</v>
      </c>
      <c r="AC513" s="23" t="s">
        <v>28</v>
      </c>
      <c r="AD513" s="37">
        <f>IFERROR(INDEX('Kode Diskon'!$D$3:$D$9,MATCH(Data[[#This Row],[Kode diskon]],'Kode Diskon'!$C$3:$C$9,0)),"-")</f>
        <v>0.15</v>
      </c>
      <c r="AE513" s="23" t="s">
        <v>29</v>
      </c>
      <c r="AF513" s="23" t="s">
        <v>14</v>
      </c>
      <c r="AG513" s="23" t="s">
        <v>79</v>
      </c>
      <c r="AH513" s="24">
        <v>45017</v>
      </c>
      <c r="AI513" s="23" t="str">
        <f>TEXT(Data[[#This Row],[Tanggal terjual]],"dddd")</f>
        <v>Saturday</v>
      </c>
      <c r="AJ513" s="21" t="str">
        <f>TEXT(Data[[#This Row],[Tanggal terjual]],"wwww")</f>
        <v>wwww</v>
      </c>
    </row>
    <row r="514" spans="1:36" x14ac:dyDescent="0.2">
      <c r="A514" s="20">
        <v>513</v>
      </c>
      <c r="B514" s="21" t="str">
        <f>_xlfn.CONCAT("ORD-",INDEX(Helper!$B$2:$B$5,MATCH(Data[[#This Row],[Marketplace]],Helper!$A$2:$A$5,0)),TEXT(Data[[#This Row],[No]],"0000"),"-",TEXT(Data[[#This Row],[Tanggal terjual]],"dd/mm/yy"))</f>
        <v>ORD-SP0513-30/04/23</v>
      </c>
      <c r="C514" t="s">
        <v>65</v>
      </c>
      <c r="D514" t="str">
        <f>IFERROR(INDEX(Katalog!$A$3:$A$12,MATCH(Data[[#This Row],[ItemID A]],Katalog!$C$3:$C$12,0)),"-")</f>
        <v>Sepatu Pria</v>
      </c>
      <c r="E514" t="str">
        <f>IFERROR(INDEX(Katalog!$B$3:$B$12,MATCH(Data[[#This Row],[ItemID A]],Katalog!$C$3:$C$12,0)),"-")</f>
        <v>Sneakers</v>
      </c>
      <c r="F514">
        <v>3</v>
      </c>
      <c r="G514">
        <v>2</v>
      </c>
      <c r="H514" s="36">
        <f>IFERROR(INDEX(Katalog!$D$3:$D$12,MATCH(Data[[#This Row],[ItemID A]],Katalog!$C$3:$C$12,0))*Data[[#This Row],[Qty A]],"0")</f>
        <v>1500000</v>
      </c>
      <c r="I514" s="36">
        <f>IFERROR(INDEX(Katalog!$F$3:$F$12,MATCH(Data[[#This Row],[ItemID A]],Katalog!$C$3:$C$12,0))*Data[[#This Row],[Qty A]],0)</f>
        <v>600000</v>
      </c>
      <c r="J514" t="s">
        <v>61</v>
      </c>
      <c r="K514" t="str">
        <f>IFERROR(INDEX(Katalog!$A$3:$A$12,MATCH(Data[[#This Row],[ItemID B]],Katalog!$C$3:$C$12,0)),"-")</f>
        <v>Pakaian Pria</v>
      </c>
      <c r="L514" t="str">
        <f>IFERROR(INDEX(Katalog!$B$3:$B$12,MATCH(Data[[#This Row],[ItemID B]],Katalog!$C$3:$C$12,0)),"-")</f>
        <v>Kaos Polo</v>
      </c>
      <c r="M514">
        <v>2</v>
      </c>
      <c r="N514">
        <v>3</v>
      </c>
      <c r="O514" s="36">
        <f>IFERROR(INDEX(Katalog!$D$3:$D$12,MATCH(Data[[#This Row],[ItemID B]],Katalog!$C$3:$C$12,0))*Data[[#This Row],[Qty B]],"0")</f>
        <v>400000</v>
      </c>
      <c r="P514" s="36">
        <f>IFERROR(INDEX(Katalog!$F$3:$F$12,MATCH(Data[[#This Row],[ItemID B]],Katalog!$C$3:$C$12,0))*Data[[#This Row],[Qty B]],"0")</f>
        <v>160000</v>
      </c>
      <c r="R514" t="str">
        <f>IFERROR(INDEX(Katalog!$A$3:$A$12,MATCH(Data[[#This Row],[ItemID C]],Katalog!$C$3:$C$12,0)),"-")</f>
        <v>-</v>
      </c>
      <c r="S514" t="str">
        <f>IFERROR(INDEX(Katalog!$B$3:$B$12,MATCH(Data[[#This Row],[ItemID C]],Katalog!$C$3:$C$12,0)),"-")</f>
        <v>-</v>
      </c>
      <c r="V514" s="36" t="str">
        <f>IFERROR(INDEX(Katalog!$D$3:$D$12,MATCH(Data[[#This Row],[ItemID C]],Katalog!$C$3:$C$12,0))*Data[[#This Row],[Qty C]],"0")</f>
        <v>0</v>
      </c>
      <c r="W514" s="36" t="str">
        <f>IFERROR(INDEX(Katalog!$F$3:$F$12,MATCH(Data[[#This Row],[ItemID C]],Katalog!$C$3:$C$12,0))*Data[[#This Row],[Qty C]],"0")</f>
        <v>0</v>
      </c>
      <c r="X514" s="21">
        <f>Data[[#This Row],[Qty A]]+Data[[#This Row],[Qty B]]+Data[[#This Row],[Qty C]]</f>
        <v>5</v>
      </c>
      <c r="Y514" s="22">
        <f>Data[[#This Row],[Harga Barang A]]+Data[[#This Row],[Harga Barang B]]+Data[[#This Row],[Harga Barang C]]</f>
        <v>1900000</v>
      </c>
      <c r="Z514" s="35">
        <f>IFERROR(Data[[#This Row],[Total Harga]]-(Data[[#This Row],[Total Harga]]*Data[[#This Row],[Diskon]]),Data[[#This Row],[Total Harga]])</f>
        <v>1520000</v>
      </c>
      <c r="AA514" s="35">
        <f>(Data[[#This Row],[Profit A]]+Data[[#This Row],[Profit B]]+Data[[#This Row],[Profit C]])</f>
        <v>760000</v>
      </c>
      <c r="AB514" s="35">
        <f>IFERROR((Data[[#This Row],[Profit non Diskon]]-(Data[[#This Row],[Profit non Diskon]]*Data[[#This Row],[Diskon]])),Data[[#This Row],[Profit non Diskon]])</f>
        <v>608000</v>
      </c>
      <c r="AC514" s="23" t="s">
        <v>8</v>
      </c>
      <c r="AD514" s="37">
        <f>IFERROR(INDEX('Kode Diskon'!$D$3:$D$9,MATCH(Data[[#This Row],[Kode diskon]],'Kode Diskon'!$C$3:$C$9,0)),"-")</f>
        <v>0.2</v>
      </c>
      <c r="AE514" s="23" t="s">
        <v>9</v>
      </c>
      <c r="AF514" s="23" t="s">
        <v>7</v>
      </c>
      <c r="AG514" s="23" t="s">
        <v>75</v>
      </c>
      <c r="AH514" s="24">
        <v>45046</v>
      </c>
      <c r="AI514" s="23" t="str">
        <f>TEXT(Data[[#This Row],[Tanggal terjual]],"dddd")</f>
        <v>Sunday</v>
      </c>
      <c r="AJ514" s="21" t="str">
        <f>TEXT(Data[[#This Row],[Tanggal terjual]],"wwww")</f>
        <v>wwww</v>
      </c>
    </row>
    <row r="515" spans="1:36" x14ac:dyDescent="0.2">
      <c r="A515" s="20">
        <v>514</v>
      </c>
      <c r="B515" s="21" t="str">
        <f>_xlfn.CONCAT("ORD-",INDEX(Helper!$B$2:$B$5,MATCH(Data[[#This Row],[Marketplace]],Helper!$A$2:$A$5,0)),TEXT(Data[[#This Row],[No]],"0000"),"-",TEXT(Data[[#This Row],[Tanggal terjual]],"dd/mm/yy"))</f>
        <v>ORD-SP0514-16/04/23</v>
      </c>
      <c r="C515" t="s">
        <v>64</v>
      </c>
      <c r="D515" t="str">
        <f>IFERROR(INDEX(Katalog!$A$3:$A$12,MATCH(Data[[#This Row],[ItemID A]],Katalog!$C$3:$C$12,0)),"-")</f>
        <v>Pakaian Unisex</v>
      </c>
      <c r="E515" t="str">
        <f>IFERROR(INDEX(Katalog!$B$3:$B$12,MATCH(Data[[#This Row],[ItemID A]],Katalog!$C$3:$C$12,0)),"-")</f>
        <v>Jaket Hoodie</v>
      </c>
      <c r="F515">
        <v>2</v>
      </c>
      <c r="G515">
        <v>4</v>
      </c>
      <c r="H515" s="36">
        <f>IFERROR(INDEX(Katalog!$D$3:$D$12,MATCH(Data[[#This Row],[ItemID A]],Katalog!$C$3:$C$12,0))*Data[[#This Row],[Qty A]],"0")</f>
        <v>700000</v>
      </c>
      <c r="I515" s="36">
        <f>IFERROR(INDEX(Katalog!$F$3:$F$12,MATCH(Data[[#This Row],[ItemID A]],Katalog!$C$3:$C$12,0))*Data[[#This Row],[Qty A]],0)</f>
        <v>260000</v>
      </c>
      <c r="J515" t="s">
        <v>60</v>
      </c>
      <c r="K515" t="str">
        <f>IFERROR(INDEX(Katalog!$A$3:$A$12,MATCH(Data[[#This Row],[ItemID B]],Katalog!$C$3:$C$12,0)),"-")</f>
        <v>Pakaian Wanita</v>
      </c>
      <c r="L515" t="str">
        <f>IFERROR(INDEX(Katalog!$B$3:$B$12,MATCH(Data[[#This Row],[ItemID B]],Katalog!$C$3:$C$12,0)),"-")</f>
        <v>Kaftan</v>
      </c>
      <c r="M515">
        <v>2</v>
      </c>
      <c r="N515">
        <v>2</v>
      </c>
      <c r="O515" s="36">
        <f>IFERROR(INDEX(Katalog!$D$3:$D$12,MATCH(Data[[#This Row],[ItemID B]],Katalog!$C$3:$C$12,0))*Data[[#This Row],[Qty B]],"0")</f>
        <v>500000</v>
      </c>
      <c r="P515" s="36">
        <f>IFERROR(INDEX(Katalog!$F$3:$F$12,MATCH(Data[[#This Row],[ItemID B]],Katalog!$C$3:$C$12,0))*Data[[#This Row],[Qty B]],"0")</f>
        <v>200000</v>
      </c>
      <c r="R515" t="str">
        <f>IFERROR(INDEX(Katalog!$A$3:$A$12,MATCH(Data[[#This Row],[ItemID C]],Katalog!$C$3:$C$12,0)),"-")</f>
        <v>-</v>
      </c>
      <c r="S515" t="str">
        <f>IFERROR(INDEX(Katalog!$B$3:$B$12,MATCH(Data[[#This Row],[ItemID C]],Katalog!$C$3:$C$12,0)),"-")</f>
        <v>-</v>
      </c>
      <c r="V515" s="36" t="str">
        <f>IFERROR(INDEX(Katalog!$D$3:$D$12,MATCH(Data[[#This Row],[ItemID C]],Katalog!$C$3:$C$12,0))*Data[[#This Row],[Qty C]],"0")</f>
        <v>0</v>
      </c>
      <c r="W515" s="36" t="str">
        <f>IFERROR(INDEX(Katalog!$F$3:$F$12,MATCH(Data[[#This Row],[ItemID C]],Katalog!$C$3:$C$12,0))*Data[[#This Row],[Qty C]],"0")</f>
        <v>0</v>
      </c>
      <c r="X515" s="21">
        <f>Data[[#This Row],[Qty A]]+Data[[#This Row],[Qty B]]+Data[[#This Row],[Qty C]]</f>
        <v>4</v>
      </c>
      <c r="Y515" s="22">
        <f>Data[[#This Row],[Harga Barang A]]+Data[[#This Row],[Harga Barang B]]+Data[[#This Row],[Harga Barang C]]</f>
        <v>1200000</v>
      </c>
      <c r="Z515" s="35">
        <f>IFERROR(Data[[#This Row],[Total Harga]]-(Data[[#This Row],[Total Harga]]*Data[[#This Row],[Diskon]]),Data[[#This Row],[Total Harga]])</f>
        <v>960000</v>
      </c>
      <c r="AA515" s="35">
        <f>(Data[[#This Row],[Profit A]]+Data[[#This Row],[Profit B]]+Data[[#This Row],[Profit C]])</f>
        <v>460000</v>
      </c>
      <c r="AB515" s="35">
        <f>IFERROR((Data[[#This Row],[Profit non Diskon]]-(Data[[#This Row],[Profit non Diskon]]*Data[[#This Row],[Diskon]])),Data[[#This Row],[Profit non Diskon]])</f>
        <v>368000</v>
      </c>
      <c r="AC515" s="23" t="s">
        <v>8</v>
      </c>
      <c r="AD515" s="37">
        <f>IFERROR(INDEX('Kode Diskon'!$D$3:$D$9,MATCH(Data[[#This Row],[Kode diskon]],'Kode Diskon'!$C$3:$C$9,0)),"-")</f>
        <v>0.2</v>
      </c>
      <c r="AE515" s="23" t="s">
        <v>9</v>
      </c>
      <c r="AF515" s="23" t="s">
        <v>7</v>
      </c>
      <c r="AG515" s="23" t="s">
        <v>75</v>
      </c>
      <c r="AH515" s="24">
        <v>45032</v>
      </c>
      <c r="AI515" s="23" t="str">
        <f>TEXT(Data[[#This Row],[Tanggal terjual]],"dddd")</f>
        <v>Sunday</v>
      </c>
      <c r="AJ515" s="21" t="str">
        <f>TEXT(Data[[#This Row],[Tanggal terjual]],"wwww")</f>
        <v>wwww</v>
      </c>
    </row>
    <row r="516" spans="1:36" x14ac:dyDescent="0.2">
      <c r="A516" s="20">
        <v>515</v>
      </c>
      <c r="B516" s="21" t="str">
        <f>_xlfn.CONCAT("ORD-",INDEX(Helper!$B$2:$B$5,MATCH(Data[[#This Row],[Marketplace]],Helper!$A$2:$A$5,0)),TEXT(Data[[#This Row],[No]],"0000"),"-",TEXT(Data[[#This Row],[Tanggal terjual]],"dd/mm/yy"))</f>
        <v>ORD-SP0515-04/04/23</v>
      </c>
      <c r="C516" t="s">
        <v>64</v>
      </c>
      <c r="D516" t="str">
        <f>IFERROR(INDEX(Katalog!$A$3:$A$12,MATCH(Data[[#This Row],[ItemID A]],Katalog!$C$3:$C$12,0)),"-")</f>
        <v>Pakaian Unisex</v>
      </c>
      <c r="E516" t="str">
        <f>IFERROR(INDEX(Katalog!$B$3:$B$12,MATCH(Data[[#This Row],[ItemID A]],Katalog!$C$3:$C$12,0)),"-")</f>
        <v>Jaket Hoodie</v>
      </c>
      <c r="F516">
        <v>4</v>
      </c>
      <c r="G516">
        <v>5</v>
      </c>
      <c r="H516" s="36">
        <f>IFERROR(INDEX(Katalog!$D$3:$D$12,MATCH(Data[[#This Row],[ItemID A]],Katalog!$C$3:$C$12,0))*Data[[#This Row],[Qty A]],"0")</f>
        <v>1400000</v>
      </c>
      <c r="I516" s="36">
        <f>IFERROR(INDEX(Katalog!$F$3:$F$12,MATCH(Data[[#This Row],[ItemID A]],Katalog!$C$3:$C$12,0))*Data[[#This Row],[Qty A]],0)</f>
        <v>520000</v>
      </c>
      <c r="J516" t="s">
        <v>66</v>
      </c>
      <c r="K516" t="str">
        <f>IFERROR(INDEX(Katalog!$A$3:$A$12,MATCH(Data[[#This Row],[ItemID B]],Katalog!$C$3:$C$12,0)),"-")</f>
        <v>Sepatu Pria</v>
      </c>
      <c r="L516" t="str">
        <f>IFERROR(INDEX(Katalog!$B$3:$B$12,MATCH(Data[[#This Row],[ItemID B]],Katalog!$C$3:$C$12,0)),"-")</f>
        <v>Sandal Slip On</v>
      </c>
      <c r="M516">
        <v>2</v>
      </c>
      <c r="N516">
        <v>1</v>
      </c>
      <c r="O516" s="36">
        <f>IFERROR(INDEX(Katalog!$D$3:$D$12,MATCH(Data[[#This Row],[ItemID B]],Katalog!$C$3:$C$12,0))*Data[[#This Row],[Qty B]],"0")</f>
        <v>300000</v>
      </c>
      <c r="P516" s="36">
        <f>IFERROR(INDEX(Katalog!$F$3:$F$12,MATCH(Data[[#This Row],[ItemID B]],Katalog!$C$3:$C$12,0))*Data[[#This Row],[Qty B]],"0")</f>
        <v>120000</v>
      </c>
      <c r="R516" t="str">
        <f>IFERROR(INDEX(Katalog!$A$3:$A$12,MATCH(Data[[#This Row],[ItemID C]],Katalog!$C$3:$C$12,0)),"-")</f>
        <v>-</v>
      </c>
      <c r="S516" t="str">
        <f>IFERROR(INDEX(Katalog!$B$3:$B$12,MATCH(Data[[#This Row],[ItemID C]],Katalog!$C$3:$C$12,0)),"-")</f>
        <v>-</v>
      </c>
      <c r="V516" s="36" t="str">
        <f>IFERROR(INDEX(Katalog!$D$3:$D$12,MATCH(Data[[#This Row],[ItemID C]],Katalog!$C$3:$C$12,0))*Data[[#This Row],[Qty C]],"0")</f>
        <v>0</v>
      </c>
      <c r="W516" s="36" t="str">
        <f>IFERROR(INDEX(Katalog!$F$3:$F$12,MATCH(Data[[#This Row],[ItemID C]],Katalog!$C$3:$C$12,0))*Data[[#This Row],[Qty C]],"0")</f>
        <v>0</v>
      </c>
      <c r="X516" s="21">
        <f>Data[[#This Row],[Qty A]]+Data[[#This Row],[Qty B]]+Data[[#This Row],[Qty C]]</f>
        <v>6</v>
      </c>
      <c r="Y516" s="22">
        <f>Data[[#This Row],[Harga Barang A]]+Data[[#This Row],[Harga Barang B]]+Data[[#This Row],[Harga Barang C]]</f>
        <v>1700000</v>
      </c>
      <c r="Z516" s="35">
        <f>IFERROR(Data[[#This Row],[Total Harga]]-(Data[[#This Row],[Total Harga]]*Data[[#This Row],[Diskon]]),Data[[#This Row],[Total Harga]])</f>
        <v>1530000</v>
      </c>
      <c r="AA516" s="35">
        <f>(Data[[#This Row],[Profit A]]+Data[[#This Row],[Profit B]]+Data[[#This Row],[Profit C]])</f>
        <v>640000</v>
      </c>
      <c r="AB516" s="35">
        <f>IFERROR((Data[[#This Row],[Profit non Diskon]]-(Data[[#This Row],[Profit non Diskon]]*Data[[#This Row],[Diskon]])),Data[[#This Row],[Profit non Diskon]])</f>
        <v>576000</v>
      </c>
      <c r="AC516" s="23" t="s">
        <v>6</v>
      </c>
      <c r="AD516" s="37">
        <f>IFERROR(INDEX('Kode Diskon'!$D$3:$D$9,MATCH(Data[[#This Row],[Kode diskon]],'Kode Diskon'!$C$3:$C$9,0)),"-")</f>
        <v>0.1</v>
      </c>
      <c r="AE516" s="23" t="s">
        <v>29</v>
      </c>
      <c r="AF516" s="23" t="s">
        <v>7</v>
      </c>
      <c r="AG516" s="23" t="s">
        <v>80</v>
      </c>
      <c r="AH516" s="24">
        <v>45020</v>
      </c>
      <c r="AI516" s="23" t="str">
        <f>TEXT(Data[[#This Row],[Tanggal terjual]],"dddd")</f>
        <v>Tuesday</v>
      </c>
      <c r="AJ516" s="21" t="str">
        <f>TEXT(Data[[#This Row],[Tanggal terjual]],"wwww")</f>
        <v>wwww</v>
      </c>
    </row>
    <row r="517" spans="1:36" x14ac:dyDescent="0.2">
      <c r="A517" s="20">
        <v>516</v>
      </c>
      <c r="B517" s="21" t="str">
        <f>_xlfn.CONCAT("ORD-",INDEX(Helper!$B$2:$B$5,MATCH(Data[[#This Row],[Marketplace]],Helper!$A$2:$A$5,0)),TEXT(Data[[#This Row],[No]],"0000"),"-",TEXT(Data[[#This Row],[Tanggal terjual]],"dd/mm/yy"))</f>
        <v>ORD-SP0516-06/04/23</v>
      </c>
      <c r="C517" t="s">
        <v>63</v>
      </c>
      <c r="D517" t="str">
        <f>IFERROR(INDEX(Katalog!$A$3:$A$12,MATCH(Data[[#This Row],[ItemID A]],Katalog!$C$3:$C$12,0)),"-")</f>
        <v>Pakaian Pria</v>
      </c>
      <c r="E517" t="str">
        <f>IFERROR(INDEX(Katalog!$B$3:$B$12,MATCH(Data[[#This Row],[ItemID A]],Katalog!$C$3:$C$12,0)),"-")</f>
        <v>Jaket Jeans</v>
      </c>
      <c r="F517">
        <v>2</v>
      </c>
      <c r="G517">
        <v>3</v>
      </c>
      <c r="H517" s="36">
        <f>IFERROR(INDEX(Katalog!$D$3:$D$12,MATCH(Data[[#This Row],[ItemID A]],Katalog!$C$3:$C$12,0))*Data[[#This Row],[Qty A]],"0")</f>
        <v>800000</v>
      </c>
      <c r="I517" s="36">
        <f>IFERROR(INDEX(Katalog!$F$3:$F$12,MATCH(Data[[#This Row],[ItemID A]],Katalog!$C$3:$C$12,0))*Data[[#This Row],[Qty A]],0)</f>
        <v>300000</v>
      </c>
      <c r="J517" t="s">
        <v>59</v>
      </c>
      <c r="K517" t="str">
        <f>IFERROR(INDEX(Katalog!$A$3:$A$12,MATCH(Data[[#This Row],[ItemID B]],Katalog!$C$3:$C$12,0)),"-")</f>
        <v>Pakaian Wanita</v>
      </c>
      <c r="L517" t="str">
        <f>IFERROR(INDEX(Katalog!$B$3:$B$12,MATCH(Data[[#This Row],[ItemID B]],Katalog!$C$3:$C$12,0)),"-")</f>
        <v>Blouse</v>
      </c>
      <c r="M517">
        <v>3</v>
      </c>
      <c r="N517">
        <v>1</v>
      </c>
      <c r="O517" s="36">
        <f>IFERROR(INDEX(Katalog!$D$3:$D$12,MATCH(Data[[#This Row],[ItemID B]],Katalog!$C$3:$C$12,0))*Data[[#This Row],[Qty B]],"0")</f>
        <v>450000</v>
      </c>
      <c r="P517" s="36">
        <f>IFERROR(INDEX(Katalog!$F$3:$F$12,MATCH(Data[[#This Row],[ItemID B]],Katalog!$C$3:$C$12,0))*Data[[#This Row],[Qty B]],"0")</f>
        <v>150000</v>
      </c>
      <c r="R517" t="str">
        <f>IFERROR(INDEX(Katalog!$A$3:$A$12,MATCH(Data[[#This Row],[ItemID C]],Katalog!$C$3:$C$12,0)),"-")</f>
        <v>-</v>
      </c>
      <c r="S517" t="str">
        <f>IFERROR(INDEX(Katalog!$B$3:$B$12,MATCH(Data[[#This Row],[ItemID C]],Katalog!$C$3:$C$12,0)),"-")</f>
        <v>-</v>
      </c>
      <c r="V517" s="36" t="str">
        <f>IFERROR(INDEX(Katalog!$D$3:$D$12,MATCH(Data[[#This Row],[ItemID C]],Katalog!$C$3:$C$12,0))*Data[[#This Row],[Qty C]],"0")</f>
        <v>0</v>
      </c>
      <c r="W517" s="36" t="str">
        <f>IFERROR(INDEX(Katalog!$F$3:$F$12,MATCH(Data[[#This Row],[ItemID C]],Katalog!$C$3:$C$12,0))*Data[[#This Row],[Qty C]],"0")</f>
        <v>0</v>
      </c>
      <c r="X517" s="21">
        <f>Data[[#This Row],[Qty A]]+Data[[#This Row],[Qty B]]+Data[[#This Row],[Qty C]]</f>
        <v>5</v>
      </c>
      <c r="Y517" s="22">
        <f>Data[[#This Row],[Harga Barang A]]+Data[[#This Row],[Harga Barang B]]+Data[[#This Row],[Harga Barang C]]</f>
        <v>1250000</v>
      </c>
      <c r="Z517" s="35">
        <f>IFERROR(Data[[#This Row],[Total Harga]]-(Data[[#This Row],[Total Harga]]*Data[[#This Row],[Diskon]]),Data[[#This Row],[Total Harga]])</f>
        <v>1062500</v>
      </c>
      <c r="AA517" s="35">
        <f>(Data[[#This Row],[Profit A]]+Data[[#This Row],[Profit B]]+Data[[#This Row],[Profit C]])</f>
        <v>450000</v>
      </c>
      <c r="AB517" s="35">
        <f>IFERROR((Data[[#This Row],[Profit non Diskon]]-(Data[[#This Row],[Profit non Diskon]]*Data[[#This Row],[Diskon]])),Data[[#This Row],[Profit non Diskon]])</f>
        <v>382500</v>
      </c>
      <c r="AC517" s="23" t="s">
        <v>13</v>
      </c>
      <c r="AD517" s="37">
        <f>IFERROR(INDEX('Kode Diskon'!$D$3:$D$9,MATCH(Data[[#This Row],[Kode diskon]],'Kode Diskon'!$C$3:$C$9,0)),"-")</f>
        <v>0.15</v>
      </c>
      <c r="AE517" s="23" t="s">
        <v>29</v>
      </c>
      <c r="AF517" s="23" t="s">
        <v>7</v>
      </c>
      <c r="AG517" s="23" t="s">
        <v>79</v>
      </c>
      <c r="AH517" s="24">
        <v>45022</v>
      </c>
      <c r="AI517" s="23" t="str">
        <f>TEXT(Data[[#This Row],[Tanggal terjual]],"dddd")</f>
        <v>Thursday</v>
      </c>
      <c r="AJ517" s="21" t="str">
        <f>TEXT(Data[[#This Row],[Tanggal terjual]],"wwww")</f>
        <v>wwww</v>
      </c>
    </row>
    <row r="518" spans="1:36" x14ac:dyDescent="0.2">
      <c r="A518" s="20">
        <v>517</v>
      </c>
      <c r="B518" s="21" t="str">
        <f>_xlfn.CONCAT("ORD-",INDEX(Helper!$B$2:$B$5,MATCH(Data[[#This Row],[Marketplace]],Helper!$A$2:$A$5,0)),TEXT(Data[[#This Row],[No]],"0000"),"-",TEXT(Data[[#This Row],[Tanggal terjual]],"dd/mm/yy"))</f>
        <v>ORD-SP0517-12/04/23</v>
      </c>
      <c r="C518" t="s">
        <v>65</v>
      </c>
      <c r="D518" t="str">
        <f>IFERROR(INDEX(Katalog!$A$3:$A$12,MATCH(Data[[#This Row],[ItemID A]],Katalog!$C$3:$C$12,0)),"-")</f>
        <v>Sepatu Pria</v>
      </c>
      <c r="E518" t="str">
        <f>IFERROR(INDEX(Katalog!$B$3:$B$12,MATCH(Data[[#This Row],[ItemID A]],Katalog!$C$3:$C$12,0)),"-")</f>
        <v>Sneakers</v>
      </c>
      <c r="F518">
        <v>4</v>
      </c>
      <c r="G518">
        <v>2</v>
      </c>
      <c r="H518" s="36">
        <f>IFERROR(INDEX(Katalog!$D$3:$D$12,MATCH(Data[[#This Row],[ItemID A]],Katalog!$C$3:$C$12,0))*Data[[#This Row],[Qty A]],"0")</f>
        <v>2000000</v>
      </c>
      <c r="I518" s="36">
        <f>IFERROR(INDEX(Katalog!$F$3:$F$12,MATCH(Data[[#This Row],[ItemID A]],Katalog!$C$3:$C$12,0))*Data[[#This Row],[Qty A]],0)</f>
        <v>800000</v>
      </c>
      <c r="J518" t="s">
        <v>59</v>
      </c>
      <c r="K518" t="str">
        <f>IFERROR(INDEX(Katalog!$A$3:$A$12,MATCH(Data[[#This Row],[ItemID B]],Katalog!$C$3:$C$12,0)),"-")</f>
        <v>Pakaian Wanita</v>
      </c>
      <c r="L518" t="str">
        <f>IFERROR(INDEX(Katalog!$B$3:$B$12,MATCH(Data[[#This Row],[ItemID B]],Katalog!$C$3:$C$12,0)),"-")</f>
        <v>Blouse</v>
      </c>
      <c r="M518">
        <v>1</v>
      </c>
      <c r="N518">
        <v>4</v>
      </c>
      <c r="O518" s="36">
        <f>IFERROR(INDEX(Katalog!$D$3:$D$12,MATCH(Data[[#This Row],[ItemID B]],Katalog!$C$3:$C$12,0))*Data[[#This Row],[Qty B]],"0")</f>
        <v>150000</v>
      </c>
      <c r="P518" s="36">
        <f>IFERROR(INDEX(Katalog!$F$3:$F$12,MATCH(Data[[#This Row],[ItemID B]],Katalog!$C$3:$C$12,0))*Data[[#This Row],[Qty B]],"0")</f>
        <v>50000</v>
      </c>
      <c r="R518" t="str">
        <f>IFERROR(INDEX(Katalog!$A$3:$A$12,MATCH(Data[[#This Row],[ItemID C]],Katalog!$C$3:$C$12,0)),"-")</f>
        <v>-</v>
      </c>
      <c r="S518" t="str">
        <f>IFERROR(INDEX(Katalog!$B$3:$B$12,MATCH(Data[[#This Row],[ItemID C]],Katalog!$C$3:$C$12,0)),"-")</f>
        <v>-</v>
      </c>
      <c r="V518" s="36" t="str">
        <f>IFERROR(INDEX(Katalog!$D$3:$D$12,MATCH(Data[[#This Row],[ItemID C]],Katalog!$C$3:$C$12,0))*Data[[#This Row],[Qty C]],"0")</f>
        <v>0</v>
      </c>
      <c r="W518" s="36" t="str">
        <f>IFERROR(INDEX(Katalog!$F$3:$F$12,MATCH(Data[[#This Row],[ItemID C]],Katalog!$C$3:$C$12,0))*Data[[#This Row],[Qty C]],"0")</f>
        <v>0</v>
      </c>
      <c r="X518" s="21">
        <f>Data[[#This Row],[Qty A]]+Data[[#This Row],[Qty B]]+Data[[#This Row],[Qty C]]</f>
        <v>5</v>
      </c>
      <c r="Y518" s="22">
        <f>Data[[#This Row],[Harga Barang A]]+Data[[#This Row],[Harga Barang B]]+Data[[#This Row],[Harga Barang C]]</f>
        <v>2150000</v>
      </c>
      <c r="Z518" s="35">
        <f>IFERROR(Data[[#This Row],[Total Harga]]-(Data[[#This Row],[Total Harga]]*Data[[#This Row],[Diskon]]),Data[[#This Row],[Total Harga]])</f>
        <v>2150000</v>
      </c>
      <c r="AA518" s="35">
        <f>(Data[[#This Row],[Profit A]]+Data[[#This Row],[Profit B]]+Data[[#This Row],[Profit C]])</f>
        <v>850000</v>
      </c>
      <c r="AB518" s="35">
        <f>IFERROR((Data[[#This Row],[Profit non Diskon]]-(Data[[#This Row],[Profit non Diskon]]*Data[[#This Row],[Diskon]])),Data[[#This Row],[Profit non Diskon]])</f>
        <v>850000</v>
      </c>
      <c r="AC518" s="23" t="s">
        <v>11</v>
      </c>
      <c r="AD518" s="37" t="str">
        <f>IFERROR(INDEX('Kode Diskon'!$D$3:$D$9,MATCH(Data[[#This Row],[Kode diskon]],'Kode Diskon'!$C$3:$C$9,0)),"-")</f>
        <v>-</v>
      </c>
      <c r="AE518" s="23" t="s">
        <v>11</v>
      </c>
      <c r="AF518" s="23" t="s">
        <v>7</v>
      </c>
      <c r="AG518" s="23" t="s">
        <v>77</v>
      </c>
      <c r="AH518" s="24">
        <v>45028</v>
      </c>
      <c r="AI518" s="23" t="str">
        <f>TEXT(Data[[#This Row],[Tanggal terjual]],"dddd")</f>
        <v>Wednesday</v>
      </c>
      <c r="AJ518" s="21" t="str">
        <f>TEXT(Data[[#This Row],[Tanggal terjual]],"wwww")</f>
        <v>wwww</v>
      </c>
    </row>
    <row r="519" spans="1:36" x14ac:dyDescent="0.2">
      <c r="A519" s="20">
        <v>518</v>
      </c>
      <c r="B519" s="21" t="str">
        <f>_xlfn.CONCAT("ORD-",INDEX(Helper!$B$2:$B$5,MATCH(Data[[#This Row],[Marketplace]],Helper!$A$2:$A$5,0)),TEXT(Data[[#This Row],[No]],"0000"),"-",TEXT(Data[[#This Row],[Tanggal terjual]],"dd/mm/yy"))</f>
        <v>ORD-SP0518-28/04/23</v>
      </c>
      <c r="C519" t="s">
        <v>67</v>
      </c>
      <c r="D519" t="str">
        <f>IFERROR(INDEX(Katalog!$A$3:$A$12,MATCH(Data[[#This Row],[ItemID A]],Katalog!$C$3:$C$12,0)),"-")</f>
        <v>Sepatu Wanita</v>
      </c>
      <c r="E519" t="str">
        <f>IFERROR(INDEX(Katalog!$B$3:$B$12,MATCH(Data[[#This Row],[ItemID A]],Katalog!$C$3:$C$12,0)),"-")</f>
        <v>Flat Shoes</v>
      </c>
      <c r="F519">
        <v>2</v>
      </c>
      <c r="G519">
        <v>5</v>
      </c>
      <c r="H519" s="36">
        <f>IFERROR(INDEX(Katalog!$D$3:$D$12,MATCH(Data[[#This Row],[ItemID A]],Katalog!$C$3:$C$12,0))*Data[[#This Row],[Qty A]],"0")</f>
        <v>500000</v>
      </c>
      <c r="I519" s="36">
        <f>IFERROR(INDEX(Katalog!$F$3:$F$12,MATCH(Data[[#This Row],[ItemID A]],Katalog!$C$3:$C$12,0))*Data[[#This Row],[Qty A]],0)</f>
        <v>200000</v>
      </c>
      <c r="J519" t="s">
        <v>61</v>
      </c>
      <c r="K519" t="str">
        <f>IFERROR(INDEX(Katalog!$A$3:$A$12,MATCH(Data[[#This Row],[ItemID B]],Katalog!$C$3:$C$12,0)),"-")</f>
        <v>Pakaian Pria</v>
      </c>
      <c r="L519" t="str">
        <f>IFERROR(INDEX(Katalog!$B$3:$B$12,MATCH(Data[[#This Row],[ItemID B]],Katalog!$C$3:$C$12,0)),"-")</f>
        <v>Kaos Polo</v>
      </c>
      <c r="M519">
        <v>1</v>
      </c>
      <c r="N519">
        <v>3</v>
      </c>
      <c r="O519" s="36">
        <f>IFERROR(INDEX(Katalog!$D$3:$D$12,MATCH(Data[[#This Row],[ItemID B]],Katalog!$C$3:$C$12,0))*Data[[#This Row],[Qty B]],"0")</f>
        <v>200000</v>
      </c>
      <c r="P519" s="36">
        <f>IFERROR(INDEX(Katalog!$F$3:$F$12,MATCH(Data[[#This Row],[ItemID B]],Katalog!$C$3:$C$12,0))*Data[[#This Row],[Qty B]],"0")</f>
        <v>80000</v>
      </c>
      <c r="Q519" t="s">
        <v>65</v>
      </c>
      <c r="R519" t="str">
        <f>IFERROR(INDEX(Katalog!$A$3:$A$12,MATCH(Data[[#This Row],[ItemID C]],Katalog!$C$3:$C$12,0)),"-")</f>
        <v>Sepatu Pria</v>
      </c>
      <c r="S519" t="str">
        <f>IFERROR(INDEX(Katalog!$B$3:$B$12,MATCH(Data[[#This Row],[ItemID C]],Katalog!$C$3:$C$12,0)),"-")</f>
        <v>Sneakers</v>
      </c>
      <c r="T519">
        <v>2</v>
      </c>
      <c r="U519">
        <v>5</v>
      </c>
      <c r="V519" s="36">
        <f>IFERROR(INDEX(Katalog!$D$3:$D$12,MATCH(Data[[#This Row],[ItemID C]],Katalog!$C$3:$C$12,0))*Data[[#This Row],[Qty C]],"0")</f>
        <v>1000000</v>
      </c>
      <c r="W519" s="36">
        <f>IFERROR(INDEX(Katalog!$F$3:$F$12,MATCH(Data[[#This Row],[ItemID C]],Katalog!$C$3:$C$12,0))*Data[[#This Row],[Qty C]],"0")</f>
        <v>400000</v>
      </c>
      <c r="X519" s="21">
        <f>Data[[#This Row],[Qty A]]+Data[[#This Row],[Qty B]]+Data[[#This Row],[Qty C]]</f>
        <v>5</v>
      </c>
      <c r="Y519" s="22">
        <f>Data[[#This Row],[Harga Barang A]]+Data[[#This Row],[Harga Barang B]]+Data[[#This Row],[Harga Barang C]]</f>
        <v>1700000</v>
      </c>
      <c r="Z519" s="35">
        <f>IFERROR(Data[[#This Row],[Total Harga]]-(Data[[#This Row],[Total Harga]]*Data[[#This Row],[Diskon]]),Data[[#This Row],[Total Harga]])</f>
        <v>1360000</v>
      </c>
      <c r="AA519" s="35">
        <f>(Data[[#This Row],[Profit A]]+Data[[#This Row],[Profit B]]+Data[[#This Row],[Profit C]])</f>
        <v>680000</v>
      </c>
      <c r="AB519" s="35">
        <f>IFERROR((Data[[#This Row],[Profit non Diskon]]-(Data[[#This Row],[Profit non Diskon]]*Data[[#This Row],[Diskon]])),Data[[#This Row],[Profit non Diskon]])</f>
        <v>544000</v>
      </c>
      <c r="AC519" s="23" t="s">
        <v>8</v>
      </c>
      <c r="AD519" s="37">
        <f>IFERROR(INDEX('Kode Diskon'!$D$3:$D$9,MATCH(Data[[#This Row],[Kode diskon]],'Kode Diskon'!$C$3:$C$9,0)),"-")</f>
        <v>0.2</v>
      </c>
      <c r="AE519" s="23" t="s">
        <v>9</v>
      </c>
      <c r="AF519" s="23" t="s">
        <v>7</v>
      </c>
      <c r="AG519" s="23" t="s">
        <v>76</v>
      </c>
      <c r="AH519" s="24">
        <v>45044</v>
      </c>
      <c r="AI519" s="23" t="str">
        <f>TEXT(Data[[#This Row],[Tanggal terjual]],"dddd")</f>
        <v>Friday</v>
      </c>
      <c r="AJ519" s="21" t="str">
        <f>TEXT(Data[[#This Row],[Tanggal terjual]],"wwww")</f>
        <v>wwww</v>
      </c>
    </row>
    <row r="520" spans="1:36" x14ac:dyDescent="0.2">
      <c r="A520" s="20">
        <v>519</v>
      </c>
      <c r="B520" s="21" t="str">
        <f>_xlfn.CONCAT("ORD-",INDEX(Helper!$B$2:$B$5,MATCH(Data[[#This Row],[Marketplace]],Helper!$A$2:$A$5,0)),TEXT(Data[[#This Row],[No]],"0000"),"-",TEXT(Data[[#This Row],[Tanggal terjual]],"dd/mm/yy"))</f>
        <v>ORD-BL0519-16/04/23</v>
      </c>
      <c r="C520" t="s">
        <v>59</v>
      </c>
      <c r="D520" t="str">
        <f>IFERROR(INDEX(Katalog!$A$3:$A$12,MATCH(Data[[#This Row],[ItemID A]],Katalog!$C$3:$C$12,0)),"-")</f>
        <v>Pakaian Wanita</v>
      </c>
      <c r="E520" t="str">
        <f>IFERROR(INDEX(Katalog!$B$3:$B$12,MATCH(Data[[#This Row],[ItemID A]],Katalog!$C$3:$C$12,0)),"-")</f>
        <v>Blouse</v>
      </c>
      <c r="F520">
        <v>2</v>
      </c>
      <c r="G520">
        <v>5</v>
      </c>
      <c r="H520" s="36">
        <f>IFERROR(INDEX(Katalog!$D$3:$D$12,MATCH(Data[[#This Row],[ItemID A]],Katalog!$C$3:$C$12,0))*Data[[#This Row],[Qty A]],"0")</f>
        <v>300000</v>
      </c>
      <c r="I520" s="36">
        <f>IFERROR(INDEX(Katalog!$F$3:$F$12,MATCH(Data[[#This Row],[ItemID A]],Katalog!$C$3:$C$12,0))*Data[[#This Row],[Qty A]],0)</f>
        <v>100000</v>
      </c>
      <c r="J520" t="s">
        <v>67</v>
      </c>
      <c r="K520" t="str">
        <f>IFERROR(INDEX(Katalog!$A$3:$A$12,MATCH(Data[[#This Row],[ItemID B]],Katalog!$C$3:$C$12,0)),"-")</f>
        <v>Sepatu Wanita</v>
      </c>
      <c r="L520" t="str">
        <f>IFERROR(INDEX(Katalog!$B$3:$B$12,MATCH(Data[[#This Row],[ItemID B]],Katalog!$C$3:$C$12,0)),"-")</f>
        <v>Flat Shoes</v>
      </c>
      <c r="M520">
        <v>1</v>
      </c>
      <c r="N520">
        <v>5</v>
      </c>
      <c r="O520" s="36">
        <f>IFERROR(INDEX(Katalog!$D$3:$D$12,MATCH(Data[[#This Row],[ItemID B]],Katalog!$C$3:$C$12,0))*Data[[#This Row],[Qty B]],"0")</f>
        <v>250000</v>
      </c>
      <c r="P520" s="36">
        <f>IFERROR(INDEX(Katalog!$F$3:$F$12,MATCH(Data[[#This Row],[ItemID B]],Katalog!$C$3:$C$12,0))*Data[[#This Row],[Qty B]],"0")</f>
        <v>100000</v>
      </c>
      <c r="R520" t="str">
        <f>IFERROR(INDEX(Katalog!$A$3:$A$12,MATCH(Data[[#This Row],[ItemID C]],Katalog!$C$3:$C$12,0)),"-")</f>
        <v>-</v>
      </c>
      <c r="S520" t="str">
        <f>IFERROR(INDEX(Katalog!$B$3:$B$12,MATCH(Data[[#This Row],[ItemID C]],Katalog!$C$3:$C$12,0)),"-")</f>
        <v>-</v>
      </c>
      <c r="V520" s="36" t="str">
        <f>IFERROR(INDEX(Katalog!$D$3:$D$12,MATCH(Data[[#This Row],[ItemID C]],Katalog!$C$3:$C$12,0))*Data[[#This Row],[Qty C]],"0")</f>
        <v>0</v>
      </c>
      <c r="W520" s="36" t="str">
        <f>IFERROR(INDEX(Katalog!$F$3:$F$12,MATCH(Data[[#This Row],[ItemID C]],Katalog!$C$3:$C$12,0))*Data[[#This Row],[Qty C]],"0")</f>
        <v>0</v>
      </c>
      <c r="X520" s="21">
        <f>Data[[#This Row],[Qty A]]+Data[[#This Row],[Qty B]]+Data[[#This Row],[Qty C]]</f>
        <v>3</v>
      </c>
      <c r="Y520" s="22">
        <f>Data[[#This Row],[Harga Barang A]]+Data[[#This Row],[Harga Barang B]]+Data[[#This Row],[Harga Barang C]]</f>
        <v>550000</v>
      </c>
      <c r="Z520" s="35">
        <f>IFERROR(Data[[#This Row],[Total Harga]]-(Data[[#This Row],[Total Harga]]*Data[[#This Row],[Diskon]]),Data[[#This Row],[Total Harga]])</f>
        <v>467500</v>
      </c>
      <c r="AA520" s="35">
        <f>(Data[[#This Row],[Profit A]]+Data[[#This Row],[Profit B]]+Data[[#This Row],[Profit C]])</f>
        <v>200000</v>
      </c>
      <c r="AB520" s="35">
        <f>IFERROR((Data[[#This Row],[Profit non Diskon]]-(Data[[#This Row],[Profit non Diskon]]*Data[[#This Row],[Diskon]])),Data[[#This Row],[Profit non Diskon]])</f>
        <v>170000</v>
      </c>
      <c r="AC520" s="23" t="s">
        <v>32</v>
      </c>
      <c r="AD520" s="37">
        <f>IFERROR(INDEX('Kode Diskon'!$D$3:$D$9,MATCH(Data[[#This Row],[Kode diskon]],'Kode Diskon'!$C$3:$C$9,0)),"-")</f>
        <v>0.15</v>
      </c>
      <c r="AE520" s="23" t="s">
        <v>9</v>
      </c>
      <c r="AF520" s="23" t="s">
        <v>12</v>
      </c>
      <c r="AG520" s="23" t="s">
        <v>75</v>
      </c>
      <c r="AH520" s="24">
        <v>45032</v>
      </c>
      <c r="AI520" s="23" t="str">
        <f>TEXT(Data[[#This Row],[Tanggal terjual]],"dddd")</f>
        <v>Sunday</v>
      </c>
      <c r="AJ520" s="21" t="str">
        <f>TEXT(Data[[#This Row],[Tanggal terjual]],"wwww")</f>
        <v>wwww</v>
      </c>
    </row>
    <row r="521" spans="1:36" x14ac:dyDescent="0.2">
      <c r="A521" s="20">
        <v>520</v>
      </c>
      <c r="B521" s="21" t="str">
        <f>_xlfn.CONCAT("ORD-",INDEX(Helper!$B$2:$B$5,MATCH(Data[[#This Row],[Marketplace]],Helper!$A$2:$A$5,0)),TEXT(Data[[#This Row],[No]],"0000"),"-",TEXT(Data[[#This Row],[Tanggal terjual]],"dd/mm/yy"))</f>
        <v>ORD-SP0520-03/04/23</v>
      </c>
      <c r="C521" t="s">
        <v>60</v>
      </c>
      <c r="D521" t="str">
        <f>IFERROR(INDEX(Katalog!$A$3:$A$12,MATCH(Data[[#This Row],[ItemID A]],Katalog!$C$3:$C$12,0)),"-")</f>
        <v>Pakaian Wanita</v>
      </c>
      <c r="E521" t="str">
        <f>IFERROR(INDEX(Katalog!$B$3:$B$12,MATCH(Data[[#This Row],[ItemID A]],Katalog!$C$3:$C$12,0)),"-")</f>
        <v>Kaftan</v>
      </c>
      <c r="F521">
        <v>5</v>
      </c>
      <c r="G521">
        <v>2</v>
      </c>
      <c r="H521" s="36">
        <f>IFERROR(INDEX(Katalog!$D$3:$D$12,MATCH(Data[[#This Row],[ItemID A]],Katalog!$C$3:$C$12,0))*Data[[#This Row],[Qty A]],"0")</f>
        <v>1250000</v>
      </c>
      <c r="I521" s="36">
        <f>IFERROR(INDEX(Katalog!$F$3:$F$12,MATCH(Data[[#This Row],[ItemID A]],Katalog!$C$3:$C$12,0))*Data[[#This Row],[Qty A]],0)</f>
        <v>500000</v>
      </c>
      <c r="K521" t="str">
        <f>IFERROR(INDEX(Katalog!$A$3:$A$12,MATCH(Data[[#This Row],[ItemID B]],Katalog!$C$3:$C$12,0)),"-")</f>
        <v>-</v>
      </c>
      <c r="L521" t="str">
        <f>IFERROR(INDEX(Katalog!$B$3:$B$12,MATCH(Data[[#This Row],[ItemID B]],Katalog!$C$3:$C$12,0)),"-")</f>
        <v>-</v>
      </c>
      <c r="O521" s="36" t="str">
        <f>IFERROR(INDEX(Katalog!$D$3:$D$12,MATCH(Data[[#This Row],[ItemID B]],Katalog!$C$3:$C$12,0))*Data[[#This Row],[Qty B]],"0")</f>
        <v>0</v>
      </c>
      <c r="P521" s="36" t="str">
        <f>IFERROR(INDEX(Katalog!$F$3:$F$12,MATCH(Data[[#This Row],[ItemID B]],Katalog!$C$3:$C$12,0))*Data[[#This Row],[Qty B]],"0")</f>
        <v>0</v>
      </c>
      <c r="R521" t="str">
        <f>IFERROR(INDEX(Katalog!$A$3:$A$12,MATCH(Data[[#This Row],[ItemID C]],Katalog!$C$3:$C$12,0)),"-")</f>
        <v>-</v>
      </c>
      <c r="S521" t="str">
        <f>IFERROR(INDEX(Katalog!$B$3:$B$12,MATCH(Data[[#This Row],[ItemID C]],Katalog!$C$3:$C$12,0)),"-")</f>
        <v>-</v>
      </c>
      <c r="V521" s="36" t="str">
        <f>IFERROR(INDEX(Katalog!$D$3:$D$12,MATCH(Data[[#This Row],[ItemID C]],Katalog!$C$3:$C$12,0))*Data[[#This Row],[Qty C]],"0")</f>
        <v>0</v>
      </c>
      <c r="W521" s="36" t="str">
        <f>IFERROR(INDEX(Katalog!$F$3:$F$12,MATCH(Data[[#This Row],[ItemID C]],Katalog!$C$3:$C$12,0))*Data[[#This Row],[Qty C]],"0")</f>
        <v>0</v>
      </c>
      <c r="X521" s="21">
        <f>Data[[#This Row],[Qty A]]+Data[[#This Row],[Qty B]]+Data[[#This Row],[Qty C]]</f>
        <v>5</v>
      </c>
      <c r="Y521" s="22">
        <f>Data[[#This Row],[Harga Barang A]]+Data[[#This Row],[Harga Barang B]]+Data[[#This Row],[Harga Barang C]]</f>
        <v>1250000</v>
      </c>
      <c r="Z521" s="35">
        <f>IFERROR(Data[[#This Row],[Total Harga]]-(Data[[#This Row],[Total Harga]]*Data[[#This Row],[Diskon]]),Data[[#This Row],[Total Harga]])</f>
        <v>1125000</v>
      </c>
      <c r="AA521" s="35">
        <f>(Data[[#This Row],[Profit A]]+Data[[#This Row],[Profit B]]+Data[[#This Row],[Profit C]])</f>
        <v>500000</v>
      </c>
      <c r="AB521" s="35">
        <f>IFERROR((Data[[#This Row],[Profit non Diskon]]-(Data[[#This Row],[Profit non Diskon]]*Data[[#This Row],[Diskon]])),Data[[#This Row],[Profit non Diskon]])</f>
        <v>450000</v>
      </c>
      <c r="AC521" s="23" t="s">
        <v>6</v>
      </c>
      <c r="AD521" s="37">
        <f>IFERROR(INDEX('Kode Diskon'!$D$3:$D$9,MATCH(Data[[#This Row],[Kode diskon]],'Kode Diskon'!$C$3:$C$9,0)),"-")</f>
        <v>0.1</v>
      </c>
      <c r="AE521" s="23" t="s">
        <v>29</v>
      </c>
      <c r="AF521" s="23" t="s">
        <v>7</v>
      </c>
      <c r="AG521" s="23" t="s">
        <v>75</v>
      </c>
      <c r="AH521" s="24">
        <v>45019</v>
      </c>
      <c r="AI521" s="23" t="str">
        <f>TEXT(Data[[#This Row],[Tanggal terjual]],"dddd")</f>
        <v>Monday</v>
      </c>
      <c r="AJ521" s="21" t="str">
        <f>TEXT(Data[[#This Row],[Tanggal terjual]],"wwww")</f>
        <v>wwww</v>
      </c>
    </row>
    <row r="522" spans="1:36" x14ac:dyDescent="0.2">
      <c r="A522" s="20">
        <v>521</v>
      </c>
      <c r="B522" s="21" t="str">
        <f>_xlfn.CONCAT("ORD-",INDEX(Helper!$B$2:$B$5,MATCH(Data[[#This Row],[Marketplace]],Helper!$A$2:$A$5,0)),TEXT(Data[[#This Row],[No]],"0000"),"-",TEXT(Data[[#This Row],[Tanggal terjual]],"dd/mm/yy"))</f>
        <v>ORD-SP0521-06/04/23</v>
      </c>
      <c r="C522" t="s">
        <v>66</v>
      </c>
      <c r="D522" t="str">
        <f>IFERROR(INDEX(Katalog!$A$3:$A$12,MATCH(Data[[#This Row],[ItemID A]],Katalog!$C$3:$C$12,0)),"-")</f>
        <v>Sepatu Pria</v>
      </c>
      <c r="E522" t="str">
        <f>IFERROR(INDEX(Katalog!$B$3:$B$12,MATCH(Data[[#This Row],[ItemID A]],Katalog!$C$3:$C$12,0)),"-")</f>
        <v>Sandal Slip On</v>
      </c>
      <c r="F522">
        <v>2</v>
      </c>
      <c r="G522">
        <v>3</v>
      </c>
      <c r="H522" s="36">
        <f>IFERROR(INDEX(Katalog!$D$3:$D$12,MATCH(Data[[#This Row],[ItemID A]],Katalog!$C$3:$C$12,0))*Data[[#This Row],[Qty A]],"0")</f>
        <v>300000</v>
      </c>
      <c r="I522" s="36">
        <f>IFERROR(INDEX(Katalog!$F$3:$F$12,MATCH(Data[[#This Row],[ItemID A]],Katalog!$C$3:$C$12,0))*Data[[#This Row],[Qty A]],0)</f>
        <v>120000</v>
      </c>
      <c r="J522" t="s">
        <v>59</v>
      </c>
      <c r="K522" t="str">
        <f>IFERROR(INDEX(Katalog!$A$3:$A$12,MATCH(Data[[#This Row],[ItemID B]],Katalog!$C$3:$C$12,0)),"-")</f>
        <v>Pakaian Wanita</v>
      </c>
      <c r="L522" t="str">
        <f>IFERROR(INDEX(Katalog!$B$3:$B$12,MATCH(Data[[#This Row],[ItemID B]],Katalog!$C$3:$C$12,0)),"-")</f>
        <v>Blouse</v>
      </c>
      <c r="M522">
        <v>1</v>
      </c>
      <c r="N522">
        <v>5</v>
      </c>
      <c r="O522" s="36">
        <f>IFERROR(INDEX(Katalog!$D$3:$D$12,MATCH(Data[[#This Row],[ItemID B]],Katalog!$C$3:$C$12,0))*Data[[#This Row],[Qty B]],"0")</f>
        <v>150000</v>
      </c>
      <c r="P522" s="36">
        <f>IFERROR(INDEX(Katalog!$F$3:$F$12,MATCH(Data[[#This Row],[ItemID B]],Katalog!$C$3:$C$12,0))*Data[[#This Row],[Qty B]],"0")</f>
        <v>50000</v>
      </c>
      <c r="R522" t="str">
        <f>IFERROR(INDEX(Katalog!$A$3:$A$12,MATCH(Data[[#This Row],[ItemID C]],Katalog!$C$3:$C$12,0)),"-")</f>
        <v>-</v>
      </c>
      <c r="S522" t="str">
        <f>IFERROR(INDEX(Katalog!$B$3:$B$12,MATCH(Data[[#This Row],[ItemID C]],Katalog!$C$3:$C$12,0)),"-")</f>
        <v>-</v>
      </c>
      <c r="V522" s="36" t="str">
        <f>IFERROR(INDEX(Katalog!$D$3:$D$12,MATCH(Data[[#This Row],[ItemID C]],Katalog!$C$3:$C$12,0))*Data[[#This Row],[Qty C]],"0")</f>
        <v>0</v>
      </c>
      <c r="W522" s="36" t="str">
        <f>IFERROR(INDEX(Katalog!$F$3:$F$12,MATCH(Data[[#This Row],[ItemID C]],Katalog!$C$3:$C$12,0))*Data[[#This Row],[Qty C]],"0")</f>
        <v>0</v>
      </c>
      <c r="X522" s="21">
        <f>Data[[#This Row],[Qty A]]+Data[[#This Row],[Qty B]]+Data[[#This Row],[Qty C]]</f>
        <v>3</v>
      </c>
      <c r="Y522" s="22">
        <f>Data[[#This Row],[Harga Barang A]]+Data[[#This Row],[Harga Barang B]]+Data[[#This Row],[Harga Barang C]]</f>
        <v>450000</v>
      </c>
      <c r="Z522" s="35">
        <f>IFERROR(Data[[#This Row],[Total Harga]]-(Data[[#This Row],[Total Harga]]*Data[[#This Row],[Diskon]]),Data[[#This Row],[Total Harga]])</f>
        <v>405000</v>
      </c>
      <c r="AA522" s="35">
        <f>(Data[[#This Row],[Profit A]]+Data[[#This Row],[Profit B]]+Data[[#This Row],[Profit C]])</f>
        <v>170000</v>
      </c>
      <c r="AB522" s="35">
        <f>IFERROR((Data[[#This Row],[Profit non Diskon]]-(Data[[#This Row],[Profit non Diskon]]*Data[[#This Row],[Diskon]])),Data[[#This Row],[Profit non Diskon]])</f>
        <v>153000</v>
      </c>
      <c r="AC522" s="23" t="s">
        <v>6</v>
      </c>
      <c r="AD522" s="37">
        <f>IFERROR(INDEX('Kode Diskon'!$D$3:$D$9,MATCH(Data[[#This Row],[Kode diskon]],'Kode Diskon'!$C$3:$C$9,0)),"-")</f>
        <v>0.1</v>
      </c>
      <c r="AE522" s="23" t="s">
        <v>29</v>
      </c>
      <c r="AF522" s="23" t="s">
        <v>7</v>
      </c>
      <c r="AG522" s="23" t="s">
        <v>79</v>
      </c>
      <c r="AH522" s="24">
        <v>45022</v>
      </c>
      <c r="AI522" s="23" t="str">
        <f>TEXT(Data[[#This Row],[Tanggal terjual]],"dddd")</f>
        <v>Thursday</v>
      </c>
      <c r="AJ522" s="21" t="str">
        <f>TEXT(Data[[#This Row],[Tanggal terjual]],"wwww")</f>
        <v>wwww</v>
      </c>
    </row>
    <row r="523" spans="1:36" x14ac:dyDescent="0.2">
      <c r="A523" s="20">
        <v>522</v>
      </c>
      <c r="B523" s="21" t="str">
        <f>_xlfn.CONCAT("ORD-",INDEX(Helper!$B$2:$B$5,MATCH(Data[[#This Row],[Marketplace]],Helper!$A$2:$A$5,0)),TEXT(Data[[#This Row],[No]],"0000"),"-",TEXT(Data[[#This Row],[Tanggal terjual]],"dd/mm/yy"))</f>
        <v>ORD-SP0522-06/04/23</v>
      </c>
      <c r="C523" t="s">
        <v>61</v>
      </c>
      <c r="D523" t="str">
        <f>IFERROR(INDEX(Katalog!$A$3:$A$12,MATCH(Data[[#This Row],[ItemID A]],Katalog!$C$3:$C$12,0)),"-")</f>
        <v>Pakaian Pria</v>
      </c>
      <c r="E523" t="str">
        <f>IFERROR(INDEX(Katalog!$B$3:$B$12,MATCH(Data[[#This Row],[ItemID A]],Katalog!$C$3:$C$12,0)),"-")</f>
        <v>Kaos Polo</v>
      </c>
      <c r="F523">
        <v>3</v>
      </c>
      <c r="G523">
        <v>4</v>
      </c>
      <c r="H523" s="36">
        <f>IFERROR(INDEX(Katalog!$D$3:$D$12,MATCH(Data[[#This Row],[ItemID A]],Katalog!$C$3:$C$12,0))*Data[[#This Row],[Qty A]],"0")</f>
        <v>600000</v>
      </c>
      <c r="I523" s="36">
        <f>IFERROR(INDEX(Katalog!$F$3:$F$12,MATCH(Data[[#This Row],[ItemID A]],Katalog!$C$3:$C$12,0))*Data[[#This Row],[Qty A]],0)</f>
        <v>240000</v>
      </c>
      <c r="J523" t="s">
        <v>58</v>
      </c>
      <c r="K523" t="str">
        <f>IFERROR(INDEX(Katalog!$A$3:$A$12,MATCH(Data[[#This Row],[ItemID B]],Katalog!$C$3:$C$12,0)),"-")</f>
        <v>Pakaian Wanita</v>
      </c>
      <c r="L523" t="str">
        <f>IFERROR(INDEX(Katalog!$B$3:$B$12,MATCH(Data[[#This Row],[ItemID B]],Katalog!$C$3:$C$12,0)),"-")</f>
        <v>Dress</v>
      </c>
      <c r="M523">
        <v>1</v>
      </c>
      <c r="N523">
        <v>4</v>
      </c>
      <c r="O523" s="36">
        <f>IFERROR(INDEX(Katalog!$D$3:$D$12,MATCH(Data[[#This Row],[ItemID B]],Katalog!$C$3:$C$12,0))*Data[[#This Row],[Qty B]],"0")</f>
        <v>300000</v>
      </c>
      <c r="P523" s="36">
        <f>IFERROR(INDEX(Katalog!$F$3:$F$12,MATCH(Data[[#This Row],[ItemID B]],Katalog!$C$3:$C$12,0))*Data[[#This Row],[Qty B]],"0")</f>
        <v>100000</v>
      </c>
      <c r="R523" t="str">
        <f>IFERROR(INDEX(Katalog!$A$3:$A$12,MATCH(Data[[#This Row],[ItemID C]],Katalog!$C$3:$C$12,0)),"-")</f>
        <v>-</v>
      </c>
      <c r="S523" t="str">
        <f>IFERROR(INDEX(Katalog!$B$3:$B$12,MATCH(Data[[#This Row],[ItemID C]],Katalog!$C$3:$C$12,0)),"-")</f>
        <v>-</v>
      </c>
      <c r="V523" s="36" t="str">
        <f>IFERROR(INDEX(Katalog!$D$3:$D$12,MATCH(Data[[#This Row],[ItemID C]],Katalog!$C$3:$C$12,0))*Data[[#This Row],[Qty C]],"0")</f>
        <v>0</v>
      </c>
      <c r="W523" s="36" t="str">
        <f>IFERROR(INDEX(Katalog!$F$3:$F$12,MATCH(Data[[#This Row],[ItemID C]],Katalog!$C$3:$C$12,0))*Data[[#This Row],[Qty C]],"0")</f>
        <v>0</v>
      </c>
      <c r="X523" s="21">
        <f>Data[[#This Row],[Qty A]]+Data[[#This Row],[Qty B]]+Data[[#This Row],[Qty C]]</f>
        <v>4</v>
      </c>
      <c r="Y523" s="22">
        <f>Data[[#This Row],[Harga Barang A]]+Data[[#This Row],[Harga Barang B]]+Data[[#This Row],[Harga Barang C]]</f>
        <v>900000</v>
      </c>
      <c r="Z523" s="35">
        <f>IFERROR(Data[[#This Row],[Total Harga]]-(Data[[#This Row],[Total Harga]]*Data[[#This Row],[Diskon]]),Data[[#This Row],[Total Harga]])</f>
        <v>810000</v>
      </c>
      <c r="AA523" s="35">
        <f>(Data[[#This Row],[Profit A]]+Data[[#This Row],[Profit B]]+Data[[#This Row],[Profit C]])</f>
        <v>340000</v>
      </c>
      <c r="AB523" s="35">
        <f>IFERROR((Data[[#This Row],[Profit non Diskon]]-(Data[[#This Row],[Profit non Diskon]]*Data[[#This Row],[Diskon]])),Data[[#This Row],[Profit non Diskon]])</f>
        <v>306000</v>
      </c>
      <c r="AC523" s="23" t="s">
        <v>6</v>
      </c>
      <c r="AD523" s="37">
        <f>IFERROR(INDEX('Kode Diskon'!$D$3:$D$9,MATCH(Data[[#This Row],[Kode diskon]],'Kode Diskon'!$C$3:$C$9,0)),"-")</f>
        <v>0.1</v>
      </c>
      <c r="AE523" s="23" t="s">
        <v>29</v>
      </c>
      <c r="AF523" s="23" t="s">
        <v>7</v>
      </c>
      <c r="AG523" s="23" t="s">
        <v>79</v>
      </c>
      <c r="AH523" s="24">
        <v>45022</v>
      </c>
      <c r="AI523" s="23" t="str">
        <f>TEXT(Data[[#This Row],[Tanggal terjual]],"dddd")</f>
        <v>Thursday</v>
      </c>
      <c r="AJ523" s="21" t="str">
        <f>TEXT(Data[[#This Row],[Tanggal terjual]],"wwww")</f>
        <v>wwww</v>
      </c>
    </row>
    <row r="524" spans="1:36" x14ac:dyDescent="0.2">
      <c r="A524" s="20">
        <v>523</v>
      </c>
      <c r="B524" s="21" t="str">
        <f>_xlfn.CONCAT("ORD-",INDEX(Helper!$B$2:$B$5,MATCH(Data[[#This Row],[Marketplace]],Helper!$A$2:$A$5,0)),TEXT(Data[[#This Row],[No]],"0000"),"-",TEXT(Data[[#This Row],[Tanggal terjual]],"dd/mm/yy"))</f>
        <v>ORD-SP0523-08/04/23</v>
      </c>
      <c r="C524" t="s">
        <v>62</v>
      </c>
      <c r="D524" t="str">
        <f>IFERROR(INDEX(Katalog!$A$3:$A$12,MATCH(Data[[#This Row],[ItemID A]],Katalog!$C$3:$C$12,0)),"-")</f>
        <v>Pakaian Pria</v>
      </c>
      <c r="E524" t="str">
        <f>IFERROR(INDEX(Katalog!$B$3:$B$12,MATCH(Data[[#This Row],[ItemID A]],Katalog!$C$3:$C$12,0)),"-")</f>
        <v>Celana Pendek</v>
      </c>
      <c r="F524">
        <v>1</v>
      </c>
      <c r="G524">
        <v>4</v>
      </c>
      <c r="H524" s="36">
        <f>IFERROR(INDEX(Katalog!$D$3:$D$12,MATCH(Data[[#This Row],[ItemID A]],Katalog!$C$3:$C$12,0))*Data[[#This Row],[Qty A]],"0")</f>
        <v>180000</v>
      </c>
      <c r="I524" s="36">
        <f>IFERROR(INDEX(Katalog!$F$3:$F$12,MATCH(Data[[#This Row],[ItemID A]],Katalog!$C$3:$C$12,0))*Data[[#This Row],[Qty A]],0)</f>
        <v>70000</v>
      </c>
      <c r="J524" t="s">
        <v>58</v>
      </c>
      <c r="K524" t="str">
        <f>IFERROR(INDEX(Katalog!$A$3:$A$12,MATCH(Data[[#This Row],[ItemID B]],Katalog!$C$3:$C$12,0)),"-")</f>
        <v>Pakaian Wanita</v>
      </c>
      <c r="L524" t="str">
        <f>IFERROR(INDEX(Katalog!$B$3:$B$12,MATCH(Data[[#This Row],[ItemID B]],Katalog!$C$3:$C$12,0)),"-")</f>
        <v>Dress</v>
      </c>
      <c r="M524">
        <v>1</v>
      </c>
      <c r="N524">
        <v>3</v>
      </c>
      <c r="O524" s="36">
        <f>IFERROR(INDEX(Katalog!$D$3:$D$12,MATCH(Data[[#This Row],[ItemID B]],Katalog!$C$3:$C$12,0))*Data[[#This Row],[Qty B]],"0")</f>
        <v>300000</v>
      </c>
      <c r="P524" s="36">
        <f>IFERROR(INDEX(Katalog!$F$3:$F$12,MATCH(Data[[#This Row],[ItemID B]],Katalog!$C$3:$C$12,0))*Data[[#This Row],[Qty B]],"0")</f>
        <v>100000</v>
      </c>
      <c r="R524" t="str">
        <f>IFERROR(INDEX(Katalog!$A$3:$A$12,MATCH(Data[[#This Row],[ItemID C]],Katalog!$C$3:$C$12,0)),"-")</f>
        <v>-</v>
      </c>
      <c r="S524" t="str">
        <f>IFERROR(INDEX(Katalog!$B$3:$B$12,MATCH(Data[[#This Row],[ItemID C]],Katalog!$C$3:$C$12,0)),"-")</f>
        <v>-</v>
      </c>
      <c r="V524" s="36" t="str">
        <f>IFERROR(INDEX(Katalog!$D$3:$D$12,MATCH(Data[[#This Row],[ItemID C]],Katalog!$C$3:$C$12,0))*Data[[#This Row],[Qty C]],"0")</f>
        <v>0</v>
      </c>
      <c r="W524" s="36" t="str">
        <f>IFERROR(INDEX(Katalog!$F$3:$F$12,MATCH(Data[[#This Row],[ItemID C]],Katalog!$C$3:$C$12,0))*Data[[#This Row],[Qty C]],"0")</f>
        <v>0</v>
      </c>
      <c r="X524" s="21">
        <f>Data[[#This Row],[Qty A]]+Data[[#This Row],[Qty B]]+Data[[#This Row],[Qty C]]</f>
        <v>2</v>
      </c>
      <c r="Y524" s="22">
        <f>Data[[#This Row],[Harga Barang A]]+Data[[#This Row],[Harga Barang B]]+Data[[#This Row],[Harga Barang C]]</f>
        <v>480000</v>
      </c>
      <c r="Z524" s="35">
        <f>IFERROR(Data[[#This Row],[Total Harga]]-(Data[[#This Row],[Total Harga]]*Data[[#This Row],[Diskon]]),Data[[#This Row],[Total Harga]])</f>
        <v>480000</v>
      </c>
      <c r="AA524" s="35">
        <f>(Data[[#This Row],[Profit A]]+Data[[#This Row],[Profit B]]+Data[[#This Row],[Profit C]])</f>
        <v>170000</v>
      </c>
      <c r="AB524" s="35">
        <f>IFERROR((Data[[#This Row],[Profit non Diskon]]-(Data[[#This Row],[Profit non Diskon]]*Data[[#This Row],[Diskon]])),Data[[#This Row],[Profit non Diskon]])</f>
        <v>170000</v>
      </c>
      <c r="AC524" s="23" t="s">
        <v>11</v>
      </c>
      <c r="AD524" s="37" t="str">
        <f>IFERROR(INDEX('Kode Diskon'!$D$3:$D$9,MATCH(Data[[#This Row],[Kode diskon]],'Kode Diskon'!$C$3:$C$9,0)),"-")</f>
        <v>-</v>
      </c>
      <c r="AE524" s="23" t="s">
        <v>11</v>
      </c>
      <c r="AF524" s="23" t="s">
        <v>7</v>
      </c>
      <c r="AG524" s="23" t="s">
        <v>77</v>
      </c>
      <c r="AH524" s="24">
        <v>45024</v>
      </c>
      <c r="AI524" s="23" t="str">
        <f>TEXT(Data[[#This Row],[Tanggal terjual]],"dddd")</f>
        <v>Saturday</v>
      </c>
      <c r="AJ524" s="21" t="str">
        <f>TEXT(Data[[#This Row],[Tanggal terjual]],"wwww")</f>
        <v>wwww</v>
      </c>
    </row>
    <row r="525" spans="1:36" x14ac:dyDescent="0.2">
      <c r="A525" s="20">
        <v>524</v>
      </c>
      <c r="B525" s="21" t="str">
        <f>_xlfn.CONCAT("ORD-",INDEX(Helper!$B$2:$B$5,MATCH(Data[[#This Row],[Marketplace]],Helper!$A$2:$A$5,0)),TEXT(Data[[#This Row],[No]],"0000"),"-",TEXT(Data[[#This Row],[Tanggal terjual]],"dd/mm/yy"))</f>
        <v>ORD-BL0524-17/04/23</v>
      </c>
      <c r="C525" t="s">
        <v>67</v>
      </c>
      <c r="D525" t="str">
        <f>IFERROR(INDEX(Katalog!$A$3:$A$12,MATCH(Data[[#This Row],[ItemID A]],Katalog!$C$3:$C$12,0)),"-")</f>
        <v>Sepatu Wanita</v>
      </c>
      <c r="E525" t="str">
        <f>IFERROR(INDEX(Katalog!$B$3:$B$12,MATCH(Data[[#This Row],[ItemID A]],Katalog!$C$3:$C$12,0)),"-")</f>
        <v>Flat Shoes</v>
      </c>
      <c r="F525">
        <v>4</v>
      </c>
      <c r="G525">
        <v>2</v>
      </c>
      <c r="H525" s="36">
        <f>IFERROR(INDEX(Katalog!$D$3:$D$12,MATCH(Data[[#This Row],[ItemID A]],Katalog!$C$3:$C$12,0))*Data[[#This Row],[Qty A]],"0")</f>
        <v>1000000</v>
      </c>
      <c r="I525" s="36">
        <f>IFERROR(INDEX(Katalog!$F$3:$F$12,MATCH(Data[[#This Row],[ItemID A]],Katalog!$C$3:$C$12,0))*Data[[#This Row],[Qty A]],0)</f>
        <v>400000</v>
      </c>
      <c r="J525" t="s">
        <v>58</v>
      </c>
      <c r="K525" t="str">
        <f>IFERROR(INDEX(Katalog!$A$3:$A$12,MATCH(Data[[#This Row],[ItemID B]],Katalog!$C$3:$C$12,0)),"-")</f>
        <v>Pakaian Wanita</v>
      </c>
      <c r="L525" t="str">
        <f>IFERROR(INDEX(Katalog!$B$3:$B$12,MATCH(Data[[#This Row],[ItemID B]],Katalog!$C$3:$C$12,0)),"-")</f>
        <v>Dress</v>
      </c>
      <c r="M525">
        <v>1</v>
      </c>
      <c r="N525">
        <v>3</v>
      </c>
      <c r="O525" s="36">
        <f>IFERROR(INDEX(Katalog!$D$3:$D$12,MATCH(Data[[#This Row],[ItemID B]],Katalog!$C$3:$C$12,0))*Data[[#This Row],[Qty B]],"0")</f>
        <v>300000</v>
      </c>
      <c r="P525" s="36">
        <f>IFERROR(INDEX(Katalog!$F$3:$F$12,MATCH(Data[[#This Row],[ItemID B]],Katalog!$C$3:$C$12,0))*Data[[#This Row],[Qty B]],"0")</f>
        <v>100000</v>
      </c>
      <c r="R525" t="str">
        <f>IFERROR(INDEX(Katalog!$A$3:$A$12,MATCH(Data[[#This Row],[ItemID C]],Katalog!$C$3:$C$12,0)),"-")</f>
        <v>-</v>
      </c>
      <c r="S525" t="str">
        <f>IFERROR(INDEX(Katalog!$B$3:$B$12,MATCH(Data[[#This Row],[ItemID C]],Katalog!$C$3:$C$12,0)),"-")</f>
        <v>-</v>
      </c>
      <c r="V525" s="36" t="str">
        <f>IFERROR(INDEX(Katalog!$D$3:$D$12,MATCH(Data[[#This Row],[ItemID C]],Katalog!$C$3:$C$12,0))*Data[[#This Row],[Qty C]],"0")</f>
        <v>0</v>
      </c>
      <c r="W525" s="36" t="str">
        <f>IFERROR(INDEX(Katalog!$F$3:$F$12,MATCH(Data[[#This Row],[ItemID C]],Katalog!$C$3:$C$12,0))*Data[[#This Row],[Qty C]],"0")</f>
        <v>0</v>
      </c>
      <c r="X525" s="21">
        <f>Data[[#This Row],[Qty A]]+Data[[#This Row],[Qty B]]+Data[[#This Row],[Qty C]]</f>
        <v>5</v>
      </c>
      <c r="Y525" s="22">
        <f>Data[[#This Row],[Harga Barang A]]+Data[[#This Row],[Harga Barang B]]+Data[[#This Row],[Harga Barang C]]</f>
        <v>1300000</v>
      </c>
      <c r="Z525" s="35">
        <f>IFERROR(Data[[#This Row],[Total Harga]]-(Data[[#This Row],[Total Harga]]*Data[[#This Row],[Diskon]]),Data[[#This Row],[Total Harga]])</f>
        <v>1105000</v>
      </c>
      <c r="AA525" s="35">
        <f>(Data[[#This Row],[Profit A]]+Data[[#This Row],[Profit B]]+Data[[#This Row],[Profit C]])</f>
        <v>500000</v>
      </c>
      <c r="AB525" s="35">
        <f>IFERROR((Data[[#This Row],[Profit non Diskon]]-(Data[[#This Row],[Profit non Diskon]]*Data[[#This Row],[Diskon]])),Data[[#This Row],[Profit non Diskon]])</f>
        <v>425000</v>
      </c>
      <c r="AC525" s="23" t="s">
        <v>32</v>
      </c>
      <c r="AD525" s="37">
        <f>IFERROR(INDEX('Kode Diskon'!$D$3:$D$9,MATCH(Data[[#This Row],[Kode diskon]],'Kode Diskon'!$C$3:$C$9,0)),"-")</f>
        <v>0.15</v>
      </c>
      <c r="AE525" s="23" t="s">
        <v>9</v>
      </c>
      <c r="AF525" s="23" t="s">
        <v>12</v>
      </c>
      <c r="AG525" s="23" t="s">
        <v>76</v>
      </c>
      <c r="AH525" s="24">
        <v>45033</v>
      </c>
      <c r="AI525" s="23" t="str">
        <f>TEXT(Data[[#This Row],[Tanggal terjual]],"dddd")</f>
        <v>Monday</v>
      </c>
      <c r="AJ525" s="21" t="str">
        <f>TEXT(Data[[#This Row],[Tanggal terjual]],"wwww")</f>
        <v>wwww</v>
      </c>
    </row>
    <row r="526" spans="1:36" x14ac:dyDescent="0.2">
      <c r="A526" s="20">
        <v>525</v>
      </c>
      <c r="B526" s="21" t="str">
        <f>_xlfn.CONCAT("ORD-",INDEX(Helper!$B$2:$B$5,MATCH(Data[[#This Row],[Marketplace]],Helper!$A$2:$A$5,0)),TEXT(Data[[#This Row],[No]],"0000"),"-",TEXT(Data[[#This Row],[Tanggal terjual]],"dd/mm/yy"))</f>
        <v>ORD-BB0525-04/04/23</v>
      </c>
      <c r="C526" t="s">
        <v>62</v>
      </c>
      <c r="D526" t="str">
        <f>IFERROR(INDEX(Katalog!$A$3:$A$12,MATCH(Data[[#This Row],[ItemID A]],Katalog!$C$3:$C$12,0)),"-")</f>
        <v>Pakaian Pria</v>
      </c>
      <c r="E526" t="str">
        <f>IFERROR(INDEX(Katalog!$B$3:$B$12,MATCH(Data[[#This Row],[ItemID A]],Katalog!$C$3:$C$12,0)),"-")</f>
        <v>Celana Pendek</v>
      </c>
      <c r="F526">
        <v>4</v>
      </c>
      <c r="G526">
        <v>4</v>
      </c>
      <c r="H526" s="36">
        <f>IFERROR(INDEX(Katalog!$D$3:$D$12,MATCH(Data[[#This Row],[ItemID A]],Katalog!$C$3:$C$12,0))*Data[[#This Row],[Qty A]],"0")</f>
        <v>720000</v>
      </c>
      <c r="I526" s="36">
        <f>IFERROR(INDEX(Katalog!$F$3:$F$12,MATCH(Data[[#This Row],[ItemID A]],Katalog!$C$3:$C$12,0))*Data[[#This Row],[Qty A]],0)</f>
        <v>280000</v>
      </c>
      <c r="J526" t="s">
        <v>67</v>
      </c>
      <c r="K526" t="str">
        <f>IFERROR(INDEX(Katalog!$A$3:$A$12,MATCH(Data[[#This Row],[ItemID B]],Katalog!$C$3:$C$12,0)),"-")</f>
        <v>Sepatu Wanita</v>
      </c>
      <c r="L526" t="str">
        <f>IFERROR(INDEX(Katalog!$B$3:$B$12,MATCH(Data[[#This Row],[ItemID B]],Katalog!$C$3:$C$12,0)),"-")</f>
        <v>Flat Shoes</v>
      </c>
      <c r="M526">
        <v>1</v>
      </c>
      <c r="N526">
        <v>4</v>
      </c>
      <c r="O526" s="36">
        <f>IFERROR(INDEX(Katalog!$D$3:$D$12,MATCH(Data[[#This Row],[ItemID B]],Katalog!$C$3:$C$12,0))*Data[[#This Row],[Qty B]],"0")</f>
        <v>250000</v>
      </c>
      <c r="P526" s="36">
        <f>IFERROR(INDEX(Katalog!$F$3:$F$12,MATCH(Data[[#This Row],[ItemID B]],Katalog!$C$3:$C$12,0))*Data[[#This Row],[Qty B]],"0")</f>
        <v>100000</v>
      </c>
      <c r="R526" t="str">
        <f>IFERROR(INDEX(Katalog!$A$3:$A$12,MATCH(Data[[#This Row],[ItemID C]],Katalog!$C$3:$C$12,0)),"-")</f>
        <v>-</v>
      </c>
      <c r="S526" t="str">
        <f>IFERROR(INDEX(Katalog!$B$3:$B$12,MATCH(Data[[#This Row],[ItemID C]],Katalog!$C$3:$C$12,0)),"-")</f>
        <v>-</v>
      </c>
      <c r="V526" s="36" t="str">
        <f>IFERROR(INDEX(Katalog!$D$3:$D$12,MATCH(Data[[#This Row],[ItemID C]],Katalog!$C$3:$C$12,0))*Data[[#This Row],[Qty C]],"0")</f>
        <v>0</v>
      </c>
      <c r="W526" s="36" t="str">
        <f>IFERROR(INDEX(Katalog!$F$3:$F$12,MATCH(Data[[#This Row],[ItemID C]],Katalog!$C$3:$C$12,0))*Data[[#This Row],[Qty C]],"0")</f>
        <v>0</v>
      </c>
      <c r="X526" s="21">
        <f>Data[[#This Row],[Qty A]]+Data[[#This Row],[Qty B]]+Data[[#This Row],[Qty C]]</f>
        <v>5</v>
      </c>
      <c r="Y526" s="22">
        <f>Data[[#This Row],[Harga Barang A]]+Data[[#This Row],[Harga Barang B]]+Data[[#This Row],[Harga Barang C]]</f>
        <v>970000</v>
      </c>
      <c r="Z526" s="35">
        <f>IFERROR(Data[[#This Row],[Total Harga]]-(Data[[#This Row],[Total Harga]]*Data[[#This Row],[Diskon]]),Data[[#This Row],[Total Harga]])</f>
        <v>824500</v>
      </c>
      <c r="AA526" s="35">
        <f>(Data[[#This Row],[Profit A]]+Data[[#This Row],[Profit B]]+Data[[#This Row],[Profit C]])</f>
        <v>380000</v>
      </c>
      <c r="AB526" s="35">
        <f>IFERROR((Data[[#This Row],[Profit non Diskon]]-(Data[[#This Row],[Profit non Diskon]]*Data[[#This Row],[Diskon]])),Data[[#This Row],[Profit non Diskon]])</f>
        <v>323000</v>
      </c>
      <c r="AC526" s="23" t="s">
        <v>28</v>
      </c>
      <c r="AD526" s="37">
        <f>IFERROR(INDEX('Kode Diskon'!$D$3:$D$9,MATCH(Data[[#This Row],[Kode diskon]],'Kode Diskon'!$C$3:$C$9,0)),"-")</f>
        <v>0.15</v>
      </c>
      <c r="AE526" s="23" t="s">
        <v>29</v>
      </c>
      <c r="AF526" s="23" t="s">
        <v>14</v>
      </c>
      <c r="AG526" s="23" t="s">
        <v>79</v>
      </c>
      <c r="AH526" s="24">
        <v>45020</v>
      </c>
      <c r="AI526" s="23" t="str">
        <f>TEXT(Data[[#This Row],[Tanggal terjual]],"dddd")</f>
        <v>Tuesday</v>
      </c>
      <c r="AJ526" s="21" t="str">
        <f>TEXT(Data[[#This Row],[Tanggal terjual]],"wwww")</f>
        <v>wwww</v>
      </c>
    </row>
    <row r="527" spans="1:36" x14ac:dyDescent="0.2">
      <c r="A527" s="20">
        <v>526</v>
      </c>
      <c r="B527" s="21" t="str">
        <f>_xlfn.CONCAT("ORD-",INDEX(Helper!$B$2:$B$5,MATCH(Data[[#This Row],[Marketplace]],Helper!$A$2:$A$5,0)),TEXT(Data[[#This Row],[No]],"0000"),"-",TEXT(Data[[#This Row],[Tanggal terjual]],"dd/mm/yy"))</f>
        <v>ORD-TK0526-26/04/23</v>
      </c>
      <c r="C527" t="s">
        <v>62</v>
      </c>
      <c r="D527" t="str">
        <f>IFERROR(INDEX(Katalog!$A$3:$A$12,MATCH(Data[[#This Row],[ItemID A]],Katalog!$C$3:$C$12,0)),"-")</f>
        <v>Pakaian Pria</v>
      </c>
      <c r="E527" t="str">
        <f>IFERROR(INDEX(Katalog!$B$3:$B$12,MATCH(Data[[#This Row],[ItemID A]],Katalog!$C$3:$C$12,0)),"-")</f>
        <v>Celana Pendek</v>
      </c>
      <c r="F527">
        <v>1</v>
      </c>
      <c r="G527">
        <v>5</v>
      </c>
      <c r="H527" s="36">
        <f>IFERROR(INDEX(Katalog!$D$3:$D$12,MATCH(Data[[#This Row],[ItemID A]],Katalog!$C$3:$C$12,0))*Data[[#This Row],[Qty A]],"0")</f>
        <v>180000</v>
      </c>
      <c r="I527" s="36">
        <f>IFERROR(INDEX(Katalog!$F$3:$F$12,MATCH(Data[[#This Row],[ItemID A]],Katalog!$C$3:$C$12,0))*Data[[#This Row],[Qty A]],0)</f>
        <v>70000</v>
      </c>
      <c r="J527" t="s">
        <v>66</v>
      </c>
      <c r="K527" t="str">
        <f>IFERROR(INDEX(Katalog!$A$3:$A$12,MATCH(Data[[#This Row],[ItemID B]],Katalog!$C$3:$C$12,0)),"-")</f>
        <v>Sepatu Pria</v>
      </c>
      <c r="L527" t="str">
        <f>IFERROR(INDEX(Katalog!$B$3:$B$12,MATCH(Data[[#This Row],[ItemID B]],Katalog!$C$3:$C$12,0)),"-")</f>
        <v>Sandal Slip On</v>
      </c>
      <c r="M527">
        <v>4</v>
      </c>
      <c r="N527">
        <v>4</v>
      </c>
      <c r="O527" s="36">
        <f>IFERROR(INDEX(Katalog!$D$3:$D$12,MATCH(Data[[#This Row],[ItemID B]],Katalog!$C$3:$C$12,0))*Data[[#This Row],[Qty B]],"0")</f>
        <v>600000</v>
      </c>
      <c r="P527" s="36">
        <f>IFERROR(INDEX(Katalog!$F$3:$F$12,MATCH(Data[[#This Row],[ItemID B]],Katalog!$C$3:$C$12,0))*Data[[#This Row],[Qty B]],"0")</f>
        <v>240000</v>
      </c>
      <c r="Q527" t="s">
        <v>59</v>
      </c>
      <c r="R527" t="str">
        <f>IFERROR(INDEX(Katalog!$A$3:$A$12,MATCH(Data[[#This Row],[ItemID C]],Katalog!$C$3:$C$12,0)),"-")</f>
        <v>Pakaian Wanita</v>
      </c>
      <c r="S527" t="str">
        <f>IFERROR(INDEX(Katalog!$B$3:$B$12,MATCH(Data[[#This Row],[ItemID C]],Katalog!$C$3:$C$12,0)),"-")</f>
        <v>Blouse</v>
      </c>
      <c r="T527">
        <v>1</v>
      </c>
      <c r="U527">
        <v>5</v>
      </c>
      <c r="V527" s="36">
        <f>IFERROR(INDEX(Katalog!$D$3:$D$12,MATCH(Data[[#This Row],[ItemID C]],Katalog!$C$3:$C$12,0))*Data[[#This Row],[Qty C]],"0")</f>
        <v>150000</v>
      </c>
      <c r="W527" s="36">
        <f>IFERROR(INDEX(Katalog!$F$3:$F$12,MATCH(Data[[#This Row],[ItemID C]],Katalog!$C$3:$C$12,0))*Data[[#This Row],[Qty C]],"0")</f>
        <v>50000</v>
      </c>
      <c r="X527" s="21">
        <f>Data[[#This Row],[Qty A]]+Data[[#This Row],[Qty B]]+Data[[#This Row],[Qty C]]</f>
        <v>6</v>
      </c>
      <c r="Y527" s="22">
        <f>Data[[#This Row],[Harga Barang A]]+Data[[#This Row],[Harga Barang B]]+Data[[#This Row],[Harga Barang C]]</f>
        <v>930000</v>
      </c>
      <c r="Z527" s="35">
        <f>IFERROR(Data[[#This Row],[Total Harga]]-(Data[[#This Row],[Total Harga]]*Data[[#This Row],[Diskon]]),Data[[#This Row],[Total Harga]])</f>
        <v>837000</v>
      </c>
      <c r="AA527" s="35">
        <f>(Data[[#This Row],[Profit A]]+Data[[#This Row],[Profit B]]+Data[[#This Row],[Profit C]])</f>
        <v>360000</v>
      </c>
      <c r="AB527" s="35">
        <f>IFERROR((Data[[#This Row],[Profit non Diskon]]-(Data[[#This Row],[Profit non Diskon]]*Data[[#This Row],[Diskon]])),Data[[#This Row],[Profit non Diskon]])</f>
        <v>324000</v>
      </c>
      <c r="AC527" s="23" t="s">
        <v>31</v>
      </c>
      <c r="AD527" s="37">
        <f>IFERROR(INDEX('Kode Diskon'!$D$3:$D$9,MATCH(Data[[#This Row],[Kode diskon]],'Kode Diskon'!$C$3:$C$9,0)),"-")</f>
        <v>0.1</v>
      </c>
      <c r="AE527" s="23" t="s">
        <v>9</v>
      </c>
      <c r="AF527" s="23" t="s">
        <v>10</v>
      </c>
      <c r="AG527" s="23" t="s">
        <v>77</v>
      </c>
      <c r="AH527" s="24">
        <v>45042</v>
      </c>
      <c r="AI527" s="23" t="str">
        <f>TEXT(Data[[#This Row],[Tanggal terjual]],"dddd")</f>
        <v>Wednesday</v>
      </c>
      <c r="AJ527" s="21" t="str">
        <f>TEXT(Data[[#This Row],[Tanggal terjual]],"wwww")</f>
        <v>wwww</v>
      </c>
    </row>
    <row r="528" spans="1:36" x14ac:dyDescent="0.2">
      <c r="A528" s="20">
        <v>527</v>
      </c>
      <c r="B528" s="21" t="str">
        <f>_xlfn.CONCAT("ORD-",INDEX(Helper!$B$2:$B$5,MATCH(Data[[#This Row],[Marketplace]],Helper!$A$2:$A$5,0)),TEXT(Data[[#This Row],[No]],"0000"),"-",TEXT(Data[[#This Row],[Tanggal terjual]],"dd/mm/yy"))</f>
        <v>ORD-SP0527-23/04/23</v>
      </c>
      <c r="C528" t="s">
        <v>64</v>
      </c>
      <c r="D528" t="str">
        <f>IFERROR(INDEX(Katalog!$A$3:$A$12,MATCH(Data[[#This Row],[ItemID A]],Katalog!$C$3:$C$12,0)),"-")</f>
        <v>Pakaian Unisex</v>
      </c>
      <c r="E528" t="str">
        <f>IFERROR(INDEX(Katalog!$B$3:$B$12,MATCH(Data[[#This Row],[ItemID A]],Katalog!$C$3:$C$12,0)),"-")</f>
        <v>Jaket Hoodie</v>
      </c>
      <c r="F528">
        <v>6</v>
      </c>
      <c r="G528">
        <v>4</v>
      </c>
      <c r="H528" s="36">
        <f>IFERROR(INDEX(Katalog!$D$3:$D$12,MATCH(Data[[#This Row],[ItemID A]],Katalog!$C$3:$C$12,0))*Data[[#This Row],[Qty A]],"0")</f>
        <v>2100000</v>
      </c>
      <c r="I528" s="36">
        <f>IFERROR(INDEX(Katalog!$F$3:$F$12,MATCH(Data[[#This Row],[ItemID A]],Katalog!$C$3:$C$12,0))*Data[[#This Row],[Qty A]],0)</f>
        <v>780000</v>
      </c>
      <c r="J528" t="s">
        <v>60</v>
      </c>
      <c r="K528" t="str">
        <f>IFERROR(INDEX(Katalog!$A$3:$A$12,MATCH(Data[[#This Row],[ItemID B]],Katalog!$C$3:$C$12,0)),"-")</f>
        <v>Pakaian Wanita</v>
      </c>
      <c r="L528" t="str">
        <f>IFERROR(INDEX(Katalog!$B$3:$B$12,MATCH(Data[[#This Row],[ItemID B]],Katalog!$C$3:$C$12,0)),"-")</f>
        <v>Kaftan</v>
      </c>
      <c r="M528">
        <v>1</v>
      </c>
      <c r="N528">
        <v>4</v>
      </c>
      <c r="O528" s="36">
        <f>IFERROR(INDEX(Katalog!$D$3:$D$12,MATCH(Data[[#This Row],[ItemID B]],Katalog!$C$3:$C$12,0))*Data[[#This Row],[Qty B]],"0")</f>
        <v>250000</v>
      </c>
      <c r="P528" s="36">
        <f>IFERROR(INDEX(Katalog!$F$3:$F$12,MATCH(Data[[#This Row],[ItemID B]],Katalog!$C$3:$C$12,0))*Data[[#This Row],[Qty B]],"0")</f>
        <v>100000</v>
      </c>
      <c r="R528" t="str">
        <f>IFERROR(INDEX(Katalog!$A$3:$A$12,MATCH(Data[[#This Row],[ItemID C]],Katalog!$C$3:$C$12,0)),"-")</f>
        <v>-</v>
      </c>
      <c r="S528" t="str">
        <f>IFERROR(INDEX(Katalog!$B$3:$B$12,MATCH(Data[[#This Row],[ItemID C]],Katalog!$C$3:$C$12,0)),"-")</f>
        <v>-</v>
      </c>
      <c r="V528" s="36" t="str">
        <f>IFERROR(INDEX(Katalog!$D$3:$D$12,MATCH(Data[[#This Row],[ItemID C]],Katalog!$C$3:$C$12,0))*Data[[#This Row],[Qty C]],"0")</f>
        <v>0</v>
      </c>
      <c r="W528" s="36" t="str">
        <f>IFERROR(INDEX(Katalog!$F$3:$F$12,MATCH(Data[[#This Row],[ItemID C]],Katalog!$C$3:$C$12,0))*Data[[#This Row],[Qty C]],"0")</f>
        <v>0</v>
      </c>
      <c r="X528" s="21">
        <f>Data[[#This Row],[Qty A]]+Data[[#This Row],[Qty B]]+Data[[#This Row],[Qty C]]</f>
        <v>7</v>
      </c>
      <c r="Y528" s="22">
        <f>Data[[#This Row],[Harga Barang A]]+Data[[#This Row],[Harga Barang B]]+Data[[#This Row],[Harga Barang C]]</f>
        <v>2350000</v>
      </c>
      <c r="Z528" s="35">
        <f>IFERROR(Data[[#This Row],[Total Harga]]-(Data[[#This Row],[Total Harga]]*Data[[#This Row],[Diskon]]),Data[[#This Row],[Total Harga]])</f>
        <v>1880000</v>
      </c>
      <c r="AA528" s="35">
        <f>(Data[[#This Row],[Profit A]]+Data[[#This Row],[Profit B]]+Data[[#This Row],[Profit C]])</f>
        <v>880000</v>
      </c>
      <c r="AB528" s="35">
        <f>IFERROR((Data[[#This Row],[Profit non Diskon]]-(Data[[#This Row],[Profit non Diskon]]*Data[[#This Row],[Diskon]])),Data[[#This Row],[Profit non Diskon]])</f>
        <v>704000</v>
      </c>
      <c r="AC528" s="23" t="s">
        <v>8</v>
      </c>
      <c r="AD528" s="37">
        <f>IFERROR(INDEX('Kode Diskon'!$D$3:$D$9,MATCH(Data[[#This Row],[Kode diskon]],'Kode Diskon'!$C$3:$C$9,0)),"-")</f>
        <v>0.2</v>
      </c>
      <c r="AE528" s="23" t="s">
        <v>9</v>
      </c>
      <c r="AF528" s="23" t="s">
        <v>7</v>
      </c>
      <c r="AG528" s="23" t="s">
        <v>77</v>
      </c>
      <c r="AH528" s="24">
        <v>45039</v>
      </c>
      <c r="AI528" s="23" t="str">
        <f>TEXT(Data[[#This Row],[Tanggal terjual]],"dddd")</f>
        <v>Sunday</v>
      </c>
      <c r="AJ528" s="21" t="str">
        <f>TEXT(Data[[#This Row],[Tanggal terjual]],"wwww")</f>
        <v>wwww</v>
      </c>
    </row>
    <row r="529" spans="1:36" x14ac:dyDescent="0.2">
      <c r="A529" s="20">
        <v>528</v>
      </c>
      <c r="B529" s="21" t="str">
        <f>_xlfn.CONCAT("ORD-",INDEX(Helper!$B$2:$B$5,MATCH(Data[[#This Row],[Marketplace]],Helper!$A$2:$A$5,0)),TEXT(Data[[#This Row],[No]],"0000"),"-",TEXT(Data[[#This Row],[Tanggal terjual]],"dd/mm/yy"))</f>
        <v>ORD-SP0528-21/04/23</v>
      </c>
      <c r="C529" t="s">
        <v>60</v>
      </c>
      <c r="D529" t="str">
        <f>IFERROR(INDEX(Katalog!$A$3:$A$12,MATCH(Data[[#This Row],[ItemID A]],Katalog!$C$3:$C$12,0)),"-")</f>
        <v>Pakaian Wanita</v>
      </c>
      <c r="E529" t="str">
        <f>IFERROR(INDEX(Katalog!$B$3:$B$12,MATCH(Data[[#This Row],[ItemID A]],Katalog!$C$3:$C$12,0)),"-")</f>
        <v>Kaftan</v>
      </c>
      <c r="F529">
        <v>1</v>
      </c>
      <c r="G529">
        <v>4</v>
      </c>
      <c r="H529" s="36">
        <f>IFERROR(INDEX(Katalog!$D$3:$D$12,MATCH(Data[[#This Row],[ItemID A]],Katalog!$C$3:$C$12,0))*Data[[#This Row],[Qty A]],"0")</f>
        <v>250000</v>
      </c>
      <c r="I529" s="36">
        <f>IFERROR(INDEX(Katalog!$F$3:$F$12,MATCH(Data[[#This Row],[ItemID A]],Katalog!$C$3:$C$12,0))*Data[[#This Row],[Qty A]],0)</f>
        <v>100000</v>
      </c>
      <c r="J529" t="s">
        <v>62</v>
      </c>
      <c r="K529" t="str">
        <f>IFERROR(INDEX(Katalog!$A$3:$A$12,MATCH(Data[[#This Row],[ItemID B]],Katalog!$C$3:$C$12,0)),"-")</f>
        <v>Pakaian Pria</v>
      </c>
      <c r="L529" t="str">
        <f>IFERROR(INDEX(Katalog!$B$3:$B$12,MATCH(Data[[#This Row],[ItemID B]],Katalog!$C$3:$C$12,0)),"-")</f>
        <v>Celana Pendek</v>
      </c>
      <c r="M529">
        <v>3</v>
      </c>
      <c r="N529">
        <v>2</v>
      </c>
      <c r="O529" s="36">
        <f>IFERROR(INDEX(Katalog!$D$3:$D$12,MATCH(Data[[#This Row],[ItemID B]],Katalog!$C$3:$C$12,0))*Data[[#This Row],[Qty B]],"0")</f>
        <v>540000</v>
      </c>
      <c r="P529" s="36">
        <f>IFERROR(INDEX(Katalog!$F$3:$F$12,MATCH(Data[[#This Row],[ItemID B]],Katalog!$C$3:$C$12,0))*Data[[#This Row],[Qty B]],"0")</f>
        <v>210000</v>
      </c>
      <c r="Q529" t="s">
        <v>62</v>
      </c>
      <c r="R529" t="str">
        <f>IFERROR(INDEX(Katalog!$A$3:$A$12,MATCH(Data[[#This Row],[ItemID C]],Katalog!$C$3:$C$12,0)),"-")</f>
        <v>Pakaian Pria</v>
      </c>
      <c r="S529" t="str">
        <f>IFERROR(INDEX(Katalog!$B$3:$B$12,MATCH(Data[[#This Row],[ItemID C]],Katalog!$C$3:$C$12,0)),"-")</f>
        <v>Celana Pendek</v>
      </c>
      <c r="T529">
        <v>1</v>
      </c>
      <c r="U529">
        <v>2</v>
      </c>
      <c r="V529" s="36">
        <f>IFERROR(INDEX(Katalog!$D$3:$D$12,MATCH(Data[[#This Row],[ItemID C]],Katalog!$C$3:$C$12,0))*Data[[#This Row],[Qty C]],"0")</f>
        <v>180000</v>
      </c>
      <c r="W529" s="36">
        <f>IFERROR(INDEX(Katalog!$F$3:$F$12,MATCH(Data[[#This Row],[ItemID C]],Katalog!$C$3:$C$12,0))*Data[[#This Row],[Qty C]],"0")</f>
        <v>70000</v>
      </c>
      <c r="X529" s="21">
        <f>Data[[#This Row],[Qty A]]+Data[[#This Row],[Qty B]]+Data[[#This Row],[Qty C]]</f>
        <v>5</v>
      </c>
      <c r="Y529" s="22">
        <f>Data[[#This Row],[Harga Barang A]]+Data[[#This Row],[Harga Barang B]]+Data[[#This Row],[Harga Barang C]]</f>
        <v>970000</v>
      </c>
      <c r="Z529" s="35">
        <f>IFERROR(Data[[#This Row],[Total Harga]]-(Data[[#This Row],[Total Harga]]*Data[[#This Row],[Diskon]]),Data[[#This Row],[Total Harga]])</f>
        <v>776000</v>
      </c>
      <c r="AA529" s="35">
        <f>(Data[[#This Row],[Profit A]]+Data[[#This Row],[Profit B]]+Data[[#This Row],[Profit C]])</f>
        <v>380000</v>
      </c>
      <c r="AB529" s="35">
        <f>IFERROR((Data[[#This Row],[Profit non Diskon]]-(Data[[#This Row],[Profit non Diskon]]*Data[[#This Row],[Diskon]])),Data[[#This Row],[Profit non Diskon]])</f>
        <v>304000</v>
      </c>
      <c r="AC529" s="23" t="s">
        <v>8</v>
      </c>
      <c r="AD529" s="37">
        <f>IFERROR(INDEX('Kode Diskon'!$D$3:$D$9,MATCH(Data[[#This Row],[Kode diskon]],'Kode Diskon'!$C$3:$C$9,0)),"-")</f>
        <v>0.2</v>
      </c>
      <c r="AE529" s="23" t="s">
        <v>9</v>
      </c>
      <c r="AF529" s="23" t="s">
        <v>7</v>
      </c>
      <c r="AG529" s="23" t="s">
        <v>75</v>
      </c>
      <c r="AH529" s="24">
        <v>45037</v>
      </c>
      <c r="AI529" s="23" t="str">
        <f>TEXT(Data[[#This Row],[Tanggal terjual]],"dddd")</f>
        <v>Friday</v>
      </c>
      <c r="AJ529" s="21" t="str">
        <f>TEXT(Data[[#This Row],[Tanggal terjual]],"wwww")</f>
        <v>wwww</v>
      </c>
    </row>
    <row r="530" spans="1:36" x14ac:dyDescent="0.2">
      <c r="A530" s="20">
        <v>529</v>
      </c>
      <c r="B530" s="21" t="str">
        <f>_xlfn.CONCAT("ORD-",INDEX(Helper!$B$2:$B$5,MATCH(Data[[#This Row],[Marketplace]],Helper!$A$2:$A$5,0)),TEXT(Data[[#This Row],[No]],"0000"),"-",TEXT(Data[[#This Row],[Tanggal terjual]],"dd/mm/yy"))</f>
        <v>ORD-SP0529-02/04/23</v>
      </c>
      <c r="C530" t="s">
        <v>63</v>
      </c>
      <c r="D530" t="str">
        <f>IFERROR(INDEX(Katalog!$A$3:$A$12,MATCH(Data[[#This Row],[ItemID A]],Katalog!$C$3:$C$12,0)),"-")</f>
        <v>Pakaian Pria</v>
      </c>
      <c r="E530" t="str">
        <f>IFERROR(INDEX(Katalog!$B$3:$B$12,MATCH(Data[[#This Row],[ItemID A]],Katalog!$C$3:$C$12,0)),"-")</f>
        <v>Jaket Jeans</v>
      </c>
      <c r="F530">
        <v>2</v>
      </c>
      <c r="G530">
        <v>4</v>
      </c>
      <c r="H530" s="36">
        <f>IFERROR(INDEX(Katalog!$D$3:$D$12,MATCH(Data[[#This Row],[ItemID A]],Katalog!$C$3:$C$12,0))*Data[[#This Row],[Qty A]],"0")</f>
        <v>800000</v>
      </c>
      <c r="I530" s="36">
        <f>IFERROR(INDEX(Katalog!$F$3:$F$12,MATCH(Data[[#This Row],[ItemID A]],Katalog!$C$3:$C$12,0))*Data[[#This Row],[Qty A]],0)</f>
        <v>300000</v>
      </c>
      <c r="K530" t="str">
        <f>IFERROR(INDEX(Katalog!$A$3:$A$12,MATCH(Data[[#This Row],[ItemID B]],Katalog!$C$3:$C$12,0)),"-")</f>
        <v>-</v>
      </c>
      <c r="L530" t="str">
        <f>IFERROR(INDEX(Katalog!$B$3:$B$12,MATCH(Data[[#This Row],[ItemID B]],Katalog!$C$3:$C$12,0)),"-")</f>
        <v>-</v>
      </c>
      <c r="O530" s="36" t="str">
        <f>IFERROR(INDEX(Katalog!$D$3:$D$12,MATCH(Data[[#This Row],[ItemID B]],Katalog!$C$3:$C$12,0))*Data[[#This Row],[Qty B]],"0")</f>
        <v>0</v>
      </c>
      <c r="P530" s="36" t="str">
        <f>IFERROR(INDEX(Katalog!$F$3:$F$12,MATCH(Data[[#This Row],[ItemID B]],Katalog!$C$3:$C$12,0))*Data[[#This Row],[Qty B]],"0")</f>
        <v>0</v>
      </c>
      <c r="R530" t="str">
        <f>IFERROR(INDEX(Katalog!$A$3:$A$12,MATCH(Data[[#This Row],[ItemID C]],Katalog!$C$3:$C$12,0)),"-")</f>
        <v>-</v>
      </c>
      <c r="S530" t="str">
        <f>IFERROR(INDEX(Katalog!$B$3:$B$12,MATCH(Data[[#This Row],[ItemID C]],Katalog!$C$3:$C$12,0)),"-")</f>
        <v>-</v>
      </c>
      <c r="V530" s="36" t="str">
        <f>IFERROR(INDEX(Katalog!$D$3:$D$12,MATCH(Data[[#This Row],[ItemID C]],Katalog!$C$3:$C$12,0))*Data[[#This Row],[Qty C]],"0")</f>
        <v>0</v>
      </c>
      <c r="W530" s="36" t="str">
        <f>IFERROR(INDEX(Katalog!$F$3:$F$12,MATCH(Data[[#This Row],[ItemID C]],Katalog!$C$3:$C$12,0))*Data[[#This Row],[Qty C]],"0")</f>
        <v>0</v>
      </c>
      <c r="X530" s="21">
        <f>Data[[#This Row],[Qty A]]+Data[[#This Row],[Qty B]]+Data[[#This Row],[Qty C]]</f>
        <v>2</v>
      </c>
      <c r="Y530" s="22">
        <f>Data[[#This Row],[Harga Barang A]]+Data[[#This Row],[Harga Barang B]]+Data[[#This Row],[Harga Barang C]]</f>
        <v>800000</v>
      </c>
      <c r="Z530" s="35">
        <f>IFERROR(Data[[#This Row],[Total Harga]]-(Data[[#This Row],[Total Harga]]*Data[[#This Row],[Diskon]]),Data[[#This Row],[Total Harga]])</f>
        <v>680000</v>
      </c>
      <c r="AA530" s="35">
        <f>(Data[[#This Row],[Profit A]]+Data[[#This Row],[Profit B]]+Data[[#This Row],[Profit C]])</f>
        <v>300000</v>
      </c>
      <c r="AB530" s="35">
        <f>IFERROR((Data[[#This Row],[Profit non Diskon]]-(Data[[#This Row],[Profit non Diskon]]*Data[[#This Row],[Diskon]])),Data[[#This Row],[Profit non Diskon]])</f>
        <v>255000</v>
      </c>
      <c r="AC530" s="23" t="s">
        <v>13</v>
      </c>
      <c r="AD530" s="37">
        <f>IFERROR(INDEX('Kode Diskon'!$D$3:$D$9,MATCH(Data[[#This Row],[Kode diskon]],'Kode Diskon'!$C$3:$C$9,0)),"-")</f>
        <v>0.15</v>
      </c>
      <c r="AE530" s="23" t="s">
        <v>29</v>
      </c>
      <c r="AF530" s="23" t="s">
        <v>7</v>
      </c>
      <c r="AG530" s="23" t="s">
        <v>77</v>
      </c>
      <c r="AH530" s="24">
        <v>45018</v>
      </c>
      <c r="AI530" s="23" t="str">
        <f>TEXT(Data[[#This Row],[Tanggal terjual]],"dddd")</f>
        <v>Sunday</v>
      </c>
      <c r="AJ530" s="21" t="str">
        <f>TEXT(Data[[#This Row],[Tanggal terjual]],"wwww")</f>
        <v>wwww</v>
      </c>
    </row>
    <row r="531" spans="1:36" x14ac:dyDescent="0.2">
      <c r="A531" s="20">
        <v>530</v>
      </c>
      <c r="B531" s="21" t="str">
        <f>_xlfn.CONCAT("ORD-",INDEX(Helper!$B$2:$B$5,MATCH(Data[[#This Row],[Marketplace]],Helper!$A$2:$A$5,0)),TEXT(Data[[#This Row],[No]],"0000"),"-",TEXT(Data[[#This Row],[Tanggal terjual]],"dd/mm/yy"))</f>
        <v>ORD-SP0530-02/04/23</v>
      </c>
      <c r="C531" t="s">
        <v>65</v>
      </c>
      <c r="D531" t="str">
        <f>IFERROR(INDEX(Katalog!$A$3:$A$12,MATCH(Data[[#This Row],[ItemID A]],Katalog!$C$3:$C$12,0)),"-")</f>
        <v>Sepatu Pria</v>
      </c>
      <c r="E531" t="str">
        <f>IFERROR(INDEX(Katalog!$B$3:$B$12,MATCH(Data[[#This Row],[ItemID A]],Katalog!$C$3:$C$12,0)),"-")</f>
        <v>Sneakers</v>
      </c>
      <c r="F531">
        <v>2</v>
      </c>
      <c r="G531">
        <v>4</v>
      </c>
      <c r="H531" s="36">
        <f>IFERROR(INDEX(Katalog!$D$3:$D$12,MATCH(Data[[#This Row],[ItemID A]],Katalog!$C$3:$C$12,0))*Data[[#This Row],[Qty A]],"0")</f>
        <v>1000000</v>
      </c>
      <c r="I531" s="36">
        <f>IFERROR(INDEX(Katalog!$F$3:$F$12,MATCH(Data[[#This Row],[ItemID A]],Katalog!$C$3:$C$12,0))*Data[[#This Row],[Qty A]],0)</f>
        <v>400000</v>
      </c>
      <c r="J531" t="s">
        <v>64</v>
      </c>
      <c r="K531" t="str">
        <f>IFERROR(INDEX(Katalog!$A$3:$A$12,MATCH(Data[[#This Row],[ItemID B]],Katalog!$C$3:$C$12,0)),"-")</f>
        <v>Pakaian Unisex</v>
      </c>
      <c r="L531" t="str">
        <f>IFERROR(INDEX(Katalog!$B$3:$B$12,MATCH(Data[[#This Row],[ItemID B]],Katalog!$C$3:$C$12,0)),"-")</f>
        <v>Jaket Hoodie</v>
      </c>
      <c r="M531">
        <v>1</v>
      </c>
      <c r="N531">
        <v>3</v>
      </c>
      <c r="O531" s="36">
        <f>IFERROR(INDEX(Katalog!$D$3:$D$12,MATCH(Data[[#This Row],[ItemID B]],Katalog!$C$3:$C$12,0))*Data[[#This Row],[Qty B]],"0")</f>
        <v>350000</v>
      </c>
      <c r="P531" s="36">
        <f>IFERROR(INDEX(Katalog!$F$3:$F$12,MATCH(Data[[#This Row],[ItemID B]],Katalog!$C$3:$C$12,0))*Data[[#This Row],[Qty B]],"0")</f>
        <v>130000</v>
      </c>
      <c r="Q531" t="s">
        <v>62</v>
      </c>
      <c r="R531" t="str">
        <f>IFERROR(INDEX(Katalog!$A$3:$A$12,MATCH(Data[[#This Row],[ItemID C]],Katalog!$C$3:$C$12,0)),"-")</f>
        <v>Pakaian Pria</v>
      </c>
      <c r="S531" t="str">
        <f>IFERROR(INDEX(Katalog!$B$3:$B$12,MATCH(Data[[#This Row],[ItemID C]],Katalog!$C$3:$C$12,0)),"-")</f>
        <v>Celana Pendek</v>
      </c>
      <c r="T531">
        <v>4</v>
      </c>
      <c r="U531">
        <v>5</v>
      </c>
      <c r="V531" s="36">
        <f>IFERROR(INDEX(Katalog!$D$3:$D$12,MATCH(Data[[#This Row],[ItemID C]],Katalog!$C$3:$C$12,0))*Data[[#This Row],[Qty C]],"0")</f>
        <v>720000</v>
      </c>
      <c r="W531" s="36">
        <f>IFERROR(INDEX(Katalog!$F$3:$F$12,MATCH(Data[[#This Row],[ItemID C]],Katalog!$C$3:$C$12,0))*Data[[#This Row],[Qty C]],"0")</f>
        <v>280000</v>
      </c>
      <c r="X531" s="21">
        <f>Data[[#This Row],[Qty A]]+Data[[#This Row],[Qty B]]+Data[[#This Row],[Qty C]]</f>
        <v>7</v>
      </c>
      <c r="Y531" s="22">
        <f>Data[[#This Row],[Harga Barang A]]+Data[[#This Row],[Harga Barang B]]+Data[[#This Row],[Harga Barang C]]</f>
        <v>2070000</v>
      </c>
      <c r="Z531" s="35">
        <f>IFERROR(Data[[#This Row],[Total Harga]]-(Data[[#This Row],[Total Harga]]*Data[[#This Row],[Diskon]]),Data[[#This Row],[Total Harga]])</f>
        <v>1759500</v>
      </c>
      <c r="AA531" s="35">
        <f>(Data[[#This Row],[Profit A]]+Data[[#This Row],[Profit B]]+Data[[#This Row],[Profit C]])</f>
        <v>810000</v>
      </c>
      <c r="AB531" s="35">
        <f>IFERROR((Data[[#This Row],[Profit non Diskon]]-(Data[[#This Row],[Profit non Diskon]]*Data[[#This Row],[Diskon]])),Data[[#This Row],[Profit non Diskon]])</f>
        <v>688500</v>
      </c>
      <c r="AC531" s="23" t="s">
        <v>13</v>
      </c>
      <c r="AD531" s="37">
        <f>IFERROR(INDEX('Kode Diskon'!$D$3:$D$9,MATCH(Data[[#This Row],[Kode diskon]],'Kode Diskon'!$C$3:$C$9,0)),"-")</f>
        <v>0.15</v>
      </c>
      <c r="AE531" s="23" t="s">
        <v>29</v>
      </c>
      <c r="AF531" s="23" t="s">
        <v>7</v>
      </c>
      <c r="AG531" s="23" t="s">
        <v>79</v>
      </c>
      <c r="AH531" s="24">
        <v>45018</v>
      </c>
      <c r="AI531" s="23" t="str">
        <f>TEXT(Data[[#This Row],[Tanggal terjual]],"dddd")</f>
        <v>Sunday</v>
      </c>
      <c r="AJ531" s="21" t="str">
        <f>TEXT(Data[[#This Row],[Tanggal terjual]],"wwww")</f>
        <v>wwww</v>
      </c>
    </row>
    <row r="532" spans="1:36" x14ac:dyDescent="0.2">
      <c r="A532" s="20">
        <v>531</v>
      </c>
      <c r="B532" s="21" t="str">
        <f>_xlfn.CONCAT("ORD-",INDEX(Helper!$B$2:$B$5,MATCH(Data[[#This Row],[Marketplace]],Helper!$A$2:$A$5,0)),TEXT(Data[[#This Row],[No]],"0000"),"-",TEXT(Data[[#This Row],[Tanggal terjual]],"dd/mm/yy"))</f>
        <v>ORD-TK0531-15/04/23</v>
      </c>
      <c r="C532" t="s">
        <v>65</v>
      </c>
      <c r="D532" t="str">
        <f>IFERROR(INDEX(Katalog!$A$3:$A$12,MATCH(Data[[#This Row],[ItemID A]],Katalog!$C$3:$C$12,0)),"-")</f>
        <v>Sepatu Pria</v>
      </c>
      <c r="E532" t="str">
        <f>IFERROR(INDEX(Katalog!$B$3:$B$12,MATCH(Data[[#This Row],[ItemID A]],Katalog!$C$3:$C$12,0)),"-")</f>
        <v>Sneakers</v>
      </c>
      <c r="F532">
        <v>6</v>
      </c>
      <c r="G532">
        <v>4</v>
      </c>
      <c r="H532" s="36">
        <f>IFERROR(INDEX(Katalog!$D$3:$D$12,MATCH(Data[[#This Row],[ItemID A]],Katalog!$C$3:$C$12,0))*Data[[#This Row],[Qty A]],"0")</f>
        <v>3000000</v>
      </c>
      <c r="I532" s="36">
        <f>IFERROR(INDEX(Katalog!$F$3:$F$12,MATCH(Data[[#This Row],[ItemID A]],Katalog!$C$3:$C$12,0))*Data[[#This Row],[Qty A]],0)</f>
        <v>1200000</v>
      </c>
      <c r="K532" t="str">
        <f>IFERROR(INDEX(Katalog!$A$3:$A$12,MATCH(Data[[#This Row],[ItemID B]],Katalog!$C$3:$C$12,0)),"-")</f>
        <v>-</v>
      </c>
      <c r="L532" t="str">
        <f>IFERROR(INDEX(Katalog!$B$3:$B$12,MATCH(Data[[#This Row],[ItemID B]],Katalog!$C$3:$C$12,0)),"-")</f>
        <v>-</v>
      </c>
      <c r="O532" s="36" t="str">
        <f>IFERROR(INDEX(Katalog!$D$3:$D$12,MATCH(Data[[#This Row],[ItemID B]],Katalog!$C$3:$C$12,0))*Data[[#This Row],[Qty B]],"0")</f>
        <v>0</v>
      </c>
      <c r="P532" s="36" t="str">
        <f>IFERROR(INDEX(Katalog!$F$3:$F$12,MATCH(Data[[#This Row],[ItemID B]],Katalog!$C$3:$C$12,0))*Data[[#This Row],[Qty B]],"0")</f>
        <v>0</v>
      </c>
      <c r="R532" t="str">
        <f>IFERROR(INDEX(Katalog!$A$3:$A$12,MATCH(Data[[#This Row],[ItemID C]],Katalog!$C$3:$C$12,0)),"-")</f>
        <v>-</v>
      </c>
      <c r="S532" t="str">
        <f>IFERROR(INDEX(Katalog!$B$3:$B$12,MATCH(Data[[#This Row],[ItemID C]],Katalog!$C$3:$C$12,0)),"-")</f>
        <v>-</v>
      </c>
      <c r="V532" s="36" t="str">
        <f>IFERROR(INDEX(Katalog!$D$3:$D$12,MATCH(Data[[#This Row],[ItemID C]],Katalog!$C$3:$C$12,0))*Data[[#This Row],[Qty C]],"0")</f>
        <v>0</v>
      </c>
      <c r="W532" s="36" t="str">
        <f>IFERROR(INDEX(Katalog!$F$3:$F$12,MATCH(Data[[#This Row],[ItemID C]],Katalog!$C$3:$C$12,0))*Data[[#This Row],[Qty C]],"0")</f>
        <v>0</v>
      </c>
      <c r="X532" s="21">
        <f>Data[[#This Row],[Qty A]]+Data[[#This Row],[Qty B]]+Data[[#This Row],[Qty C]]</f>
        <v>6</v>
      </c>
      <c r="Y532" s="22">
        <f>Data[[#This Row],[Harga Barang A]]+Data[[#This Row],[Harga Barang B]]+Data[[#This Row],[Harga Barang C]]</f>
        <v>3000000</v>
      </c>
      <c r="Z532" s="35">
        <f>IFERROR(Data[[#This Row],[Total Harga]]-(Data[[#This Row],[Total Harga]]*Data[[#This Row],[Diskon]]),Data[[#This Row],[Total Harga]])</f>
        <v>3000000</v>
      </c>
      <c r="AA532" s="35">
        <f>(Data[[#This Row],[Profit A]]+Data[[#This Row],[Profit B]]+Data[[#This Row],[Profit C]])</f>
        <v>1200000</v>
      </c>
      <c r="AB532" s="35">
        <f>IFERROR((Data[[#This Row],[Profit non Diskon]]-(Data[[#This Row],[Profit non Diskon]]*Data[[#This Row],[Diskon]])),Data[[#This Row],[Profit non Diskon]])</f>
        <v>1200000</v>
      </c>
      <c r="AC532" s="23" t="s">
        <v>11</v>
      </c>
      <c r="AD532" s="37" t="str">
        <f>IFERROR(INDEX('Kode Diskon'!$D$3:$D$9,MATCH(Data[[#This Row],[Kode diskon]],'Kode Diskon'!$C$3:$C$9,0)),"-")</f>
        <v>-</v>
      </c>
      <c r="AE532" s="23" t="s">
        <v>11</v>
      </c>
      <c r="AF532" s="23" t="s">
        <v>10</v>
      </c>
      <c r="AG532" s="23" t="s">
        <v>80</v>
      </c>
      <c r="AH532" s="24">
        <v>45031</v>
      </c>
      <c r="AI532" s="23" t="str">
        <f>TEXT(Data[[#This Row],[Tanggal terjual]],"dddd")</f>
        <v>Saturday</v>
      </c>
      <c r="AJ532" s="21" t="str">
        <f>TEXT(Data[[#This Row],[Tanggal terjual]],"wwww")</f>
        <v>wwww</v>
      </c>
    </row>
    <row r="533" spans="1:36" x14ac:dyDescent="0.2">
      <c r="A533" s="20">
        <v>532</v>
      </c>
      <c r="B533" s="21" t="str">
        <f>_xlfn.CONCAT("ORD-",INDEX(Helper!$B$2:$B$5,MATCH(Data[[#This Row],[Marketplace]],Helper!$A$2:$A$5,0)),TEXT(Data[[#This Row],[No]],"0000"),"-",TEXT(Data[[#This Row],[Tanggal terjual]],"dd/mm/yy"))</f>
        <v>ORD-SP0532-04/04/23</v>
      </c>
      <c r="C533" t="s">
        <v>66</v>
      </c>
      <c r="D533" t="str">
        <f>IFERROR(INDEX(Katalog!$A$3:$A$12,MATCH(Data[[#This Row],[ItemID A]],Katalog!$C$3:$C$12,0)),"-")</f>
        <v>Sepatu Pria</v>
      </c>
      <c r="E533" t="str">
        <f>IFERROR(INDEX(Katalog!$B$3:$B$12,MATCH(Data[[#This Row],[ItemID A]],Katalog!$C$3:$C$12,0)),"-")</f>
        <v>Sandal Slip On</v>
      </c>
      <c r="F533">
        <v>1</v>
      </c>
      <c r="G533">
        <v>1</v>
      </c>
      <c r="H533" s="36">
        <f>IFERROR(INDEX(Katalog!$D$3:$D$12,MATCH(Data[[#This Row],[ItemID A]],Katalog!$C$3:$C$12,0))*Data[[#This Row],[Qty A]],"0")</f>
        <v>150000</v>
      </c>
      <c r="I533" s="36">
        <f>IFERROR(INDEX(Katalog!$F$3:$F$12,MATCH(Data[[#This Row],[ItemID A]],Katalog!$C$3:$C$12,0))*Data[[#This Row],[Qty A]],0)</f>
        <v>60000</v>
      </c>
      <c r="J533" t="s">
        <v>59</v>
      </c>
      <c r="K533" t="str">
        <f>IFERROR(INDEX(Katalog!$A$3:$A$12,MATCH(Data[[#This Row],[ItemID B]],Katalog!$C$3:$C$12,0)),"-")</f>
        <v>Pakaian Wanita</v>
      </c>
      <c r="L533" t="str">
        <f>IFERROR(INDEX(Katalog!$B$3:$B$12,MATCH(Data[[#This Row],[ItemID B]],Katalog!$C$3:$C$12,0)),"-")</f>
        <v>Blouse</v>
      </c>
      <c r="M533">
        <v>2</v>
      </c>
      <c r="N533">
        <v>2</v>
      </c>
      <c r="O533" s="36">
        <f>IFERROR(INDEX(Katalog!$D$3:$D$12,MATCH(Data[[#This Row],[ItemID B]],Katalog!$C$3:$C$12,0))*Data[[#This Row],[Qty B]],"0")</f>
        <v>300000</v>
      </c>
      <c r="P533" s="36">
        <f>IFERROR(INDEX(Katalog!$F$3:$F$12,MATCH(Data[[#This Row],[ItemID B]],Katalog!$C$3:$C$12,0))*Data[[#This Row],[Qty B]],"0")</f>
        <v>100000</v>
      </c>
      <c r="R533" t="str">
        <f>IFERROR(INDEX(Katalog!$A$3:$A$12,MATCH(Data[[#This Row],[ItemID C]],Katalog!$C$3:$C$12,0)),"-")</f>
        <v>-</v>
      </c>
      <c r="S533" t="str">
        <f>IFERROR(INDEX(Katalog!$B$3:$B$12,MATCH(Data[[#This Row],[ItemID C]],Katalog!$C$3:$C$12,0)),"-")</f>
        <v>-</v>
      </c>
      <c r="V533" s="36" t="str">
        <f>IFERROR(INDEX(Katalog!$D$3:$D$12,MATCH(Data[[#This Row],[ItemID C]],Katalog!$C$3:$C$12,0))*Data[[#This Row],[Qty C]],"0")</f>
        <v>0</v>
      </c>
      <c r="W533" s="36" t="str">
        <f>IFERROR(INDEX(Katalog!$F$3:$F$12,MATCH(Data[[#This Row],[ItemID C]],Katalog!$C$3:$C$12,0))*Data[[#This Row],[Qty C]],"0")</f>
        <v>0</v>
      </c>
      <c r="X533" s="21">
        <f>Data[[#This Row],[Qty A]]+Data[[#This Row],[Qty B]]+Data[[#This Row],[Qty C]]</f>
        <v>3</v>
      </c>
      <c r="Y533" s="22">
        <f>Data[[#This Row],[Harga Barang A]]+Data[[#This Row],[Harga Barang B]]+Data[[#This Row],[Harga Barang C]]</f>
        <v>450000</v>
      </c>
      <c r="Z533" s="35">
        <f>IFERROR(Data[[#This Row],[Total Harga]]-(Data[[#This Row],[Total Harga]]*Data[[#This Row],[Diskon]]),Data[[#This Row],[Total Harga]])</f>
        <v>382500</v>
      </c>
      <c r="AA533" s="35">
        <f>(Data[[#This Row],[Profit A]]+Data[[#This Row],[Profit B]]+Data[[#This Row],[Profit C]])</f>
        <v>160000</v>
      </c>
      <c r="AB533" s="35">
        <f>IFERROR((Data[[#This Row],[Profit non Diskon]]-(Data[[#This Row],[Profit non Diskon]]*Data[[#This Row],[Diskon]])),Data[[#This Row],[Profit non Diskon]])</f>
        <v>136000</v>
      </c>
      <c r="AC533" s="23" t="s">
        <v>13</v>
      </c>
      <c r="AD533" s="37">
        <f>IFERROR(INDEX('Kode Diskon'!$D$3:$D$9,MATCH(Data[[#This Row],[Kode diskon]],'Kode Diskon'!$C$3:$C$9,0)),"-")</f>
        <v>0.15</v>
      </c>
      <c r="AE533" s="23" t="s">
        <v>29</v>
      </c>
      <c r="AF533" s="23" t="s">
        <v>7</v>
      </c>
      <c r="AG533" s="23" t="s">
        <v>80</v>
      </c>
      <c r="AH533" s="24">
        <v>45020</v>
      </c>
      <c r="AI533" s="23" t="str">
        <f>TEXT(Data[[#This Row],[Tanggal terjual]],"dddd")</f>
        <v>Tuesday</v>
      </c>
      <c r="AJ533" s="21" t="str">
        <f>TEXT(Data[[#This Row],[Tanggal terjual]],"wwww")</f>
        <v>wwww</v>
      </c>
    </row>
    <row r="534" spans="1:36" x14ac:dyDescent="0.2">
      <c r="A534" s="20">
        <v>533</v>
      </c>
      <c r="B534" s="21" t="str">
        <f>_xlfn.CONCAT("ORD-",INDEX(Helper!$B$2:$B$5,MATCH(Data[[#This Row],[Marketplace]],Helper!$A$2:$A$5,0)),TEXT(Data[[#This Row],[No]],"0000"),"-",TEXT(Data[[#This Row],[Tanggal terjual]],"dd/mm/yy"))</f>
        <v>ORD-BB0533-03/04/23</v>
      </c>
      <c r="C534" t="s">
        <v>59</v>
      </c>
      <c r="D534" t="str">
        <f>IFERROR(INDEX(Katalog!$A$3:$A$12,MATCH(Data[[#This Row],[ItemID A]],Katalog!$C$3:$C$12,0)),"-")</f>
        <v>Pakaian Wanita</v>
      </c>
      <c r="E534" t="str">
        <f>IFERROR(INDEX(Katalog!$B$3:$B$12,MATCH(Data[[#This Row],[ItemID A]],Katalog!$C$3:$C$12,0)),"-")</f>
        <v>Blouse</v>
      </c>
      <c r="F534">
        <v>5</v>
      </c>
      <c r="G534">
        <v>1</v>
      </c>
      <c r="H534" s="36">
        <f>IFERROR(INDEX(Katalog!$D$3:$D$12,MATCH(Data[[#This Row],[ItemID A]],Katalog!$C$3:$C$12,0))*Data[[#This Row],[Qty A]],"0")</f>
        <v>750000</v>
      </c>
      <c r="I534" s="36">
        <f>IFERROR(INDEX(Katalog!$F$3:$F$12,MATCH(Data[[#This Row],[ItemID A]],Katalog!$C$3:$C$12,0))*Data[[#This Row],[Qty A]],0)</f>
        <v>250000</v>
      </c>
      <c r="J534" t="s">
        <v>61</v>
      </c>
      <c r="K534" t="str">
        <f>IFERROR(INDEX(Katalog!$A$3:$A$12,MATCH(Data[[#This Row],[ItemID B]],Katalog!$C$3:$C$12,0)),"-")</f>
        <v>Pakaian Pria</v>
      </c>
      <c r="L534" t="str">
        <f>IFERROR(INDEX(Katalog!$B$3:$B$12,MATCH(Data[[#This Row],[ItemID B]],Katalog!$C$3:$C$12,0)),"-")</f>
        <v>Kaos Polo</v>
      </c>
      <c r="M534">
        <v>2</v>
      </c>
      <c r="N534">
        <v>2</v>
      </c>
      <c r="O534" s="36">
        <f>IFERROR(INDEX(Katalog!$D$3:$D$12,MATCH(Data[[#This Row],[ItemID B]],Katalog!$C$3:$C$12,0))*Data[[#This Row],[Qty B]],"0")</f>
        <v>400000</v>
      </c>
      <c r="P534" s="36">
        <f>IFERROR(INDEX(Katalog!$F$3:$F$12,MATCH(Data[[#This Row],[ItemID B]],Katalog!$C$3:$C$12,0))*Data[[#This Row],[Qty B]],"0")</f>
        <v>160000</v>
      </c>
      <c r="R534" t="str">
        <f>IFERROR(INDEX(Katalog!$A$3:$A$12,MATCH(Data[[#This Row],[ItemID C]],Katalog!$C$3:$C$12,0)),"-")</f>
        <v>-</v>
      </c>
      <c r="S534" t="str">
        <f>IFERROR(INDEX(Katalog!$B$3:$B$12,MATCH(Data[[#This Row],[ItemID C]],Katalog!$C$3:$C$12,0)),"-")</f>
        <v>-</v>
      </c>
      <c r="V534" s="36" t="str">
        <f>IFERROR(INDEX(Katalog!$D$3:$D$12,MATCH(Data[[#This Row],[ItemID C]],Katalog!$C$3:$C$12,0))*Data[[#This Row],[Qty C]],"0")</f>
        <v>0</v>
      </c>
      <c r="W534" s="36" t="str">
        <f>IFERROR(INDEX(Katalog!$F$3:$F$12,MATCH(Data[[#This Row],[ItemID C]],Katalog!$C$3:$C$12,0))*Data[[#This Row],[Qty C]],"0")</f>
        <v>0</v>
      </c>
      <c r="X534" s="21">
        <f>Data[[#This Row],[Qty A]]+Data[[#This Row],[Qty B]]+Data[[#This Row],[Qty C]]</f>
        <v>7</v>
      </c>
      <c r="Y534" s="22">
        <f>Data[[#This Row],[Harga Barang A]]+Data[[#This Row],[Harga Barang B]]+Data[[#This Row],[Harga Barang C]]</f>
        <v>1150000</v>
      </c>
      <c r="Z534" s="35">
        <f>IFERROR(Data[[#This Row],[Total Harga]]-(Data[[#This Row],[Total Harga]]*Data[[#This Row],[Diskon]]),Data[[#This Row],[Total Harga]])</f>
        <v>977500</v>
      </c>
      <c r="AA534" s="35">
        <f>(Data[[#This Row],[Profit A]]+Data[[#This Row],[Profit B]]+Data[[#This Row],[Profit C]])</f>
        <v>410000</v>
      </c>
      <c r="AB534" s="35">
        <f>IFERROR((Data[[#This Row],[Profit non Diskon]]-(Data[[#This Row],[Profit non Diskon]]*Data[[#This Row],[Diskon]])),Data[[#This Row],[Profit non Diskon]])</f>
        <v>348500</v>
      </c>
      <c r="AC534" s="23" t="s">
        <v>28</v>
      </c>
      <c r="AD534" s="37">
        <f>IFERROR(INDEX('Kode Diskon'!$D$3:$D$9,MATCH(Data[[#This Row],[Kode diskon]],'Kode Diskon'!$C$3:$C$9,0)),"-")</f>
        <v>0.15</v>
      </c>
      <c r="AE534" s="23" t="s">
        <v>29</v>
      </c>
      <c r="AF534" s="23" t="s">
        <v>14</v>
      </c>
      <c r="AG534" s="23" t="s">
        <v>80</v>
      </c>
      <c r="AH534" s="24">
        <v>45019</v>
      </c>
      <c r="AI534" s="23" t="str">
        <f>TEXT(Data[[#This Row],[Tanggal terjual]],"dddd")</f>
        <v>Monday</v>
      </c>
      <c r="AJ534" s="21" t="str">
        <f>TEXT(Data[[#This Row],[Tanggal terjual]],"wwww")</f>
        <v>wwww</v>
      </c>
    </row>
    <row r="535" spans="1:36" x14ac:dyDescent="0.2">
      <c r="A535" s="20">
        <v>534</v>
      </c>
      <c r="B535" s="21" t="str">
        <f>_xlfn.CONCAT("ORD-",INDEX(Helper!$B$2:$B$5,MATCH(Data[[#This Row],[Marketplace]],Helper!$A$2:$A$5,0)),TEXT(Data[[#This Row],[No]],"0000"),"-",TEXT(Data[[#This Row],[Tanggal terjual]],"dd/mm/yy"))</f>
        <v>ORD-TK0534-04/04/23</v>
      </c>
      <c r="C535" t="s">
        <v>64</v>
      </c>
      <c r="D535" t="str">
        <f>IFERROR(INDEX(Katalog!$A$3:$A$12,MATCH(Data[[#This Row],[ItemID A]],Katalog!$C$3:$C$12,0)),"-")</f>
        <v>Pakaian Unisex</v>
      </c>
      <c r="E535" t="str">
        <f>IFERROR(INDEX(Katalog!$B$3:$B$12,MATCH(Data[[#This Row],[ItemID A]],Katalog!$C$3:$C$12,0)),"-")</f>
        <v>Jaket Hoodie</v>
      </c>
      <c r="F535">
        <v>1</v>
      </c>
      <c r="G535">
        <v>5</v>
      </c>
      <c r="H535" s="36">
        <f>IFERROR(INDEX(Katalog!$D$3:$D$12,MATCH(Data[[#This Row],[ItemID A]],Katalog!$C$3:$C$12,0))*Data[[#This Row],[Qty A]],"0")</f>
        <v>350000</v>
      </c>
      <c r="I535" s="36">
        <f>IFERROR(INDEX(Katalog!$F$3:$F$12,MATCH(Data[[#This Row],[ItemID A]],Katalog!$C$3:$C$12,0))*Data[[#This Row],[Qty A]],0)</f>
        <v>130000</v>
      </c>
      <c r="K535" t="str">
        <f>IFERROR(INDEX(Katalog!$A$3:$A$12,MATCH(Data[[#This Row],[ItemID B]],Katalog!$C$3:$C$12,0)),"-")</f>
        <v>-</v>
      </c>
      <c r="L535" t="str">
        <f>IFERROR(INDEX(Katalog!$B$3:$B$12,MATCH(Data[[#This Row],[ItemID B]],Katalog!$C$3:$C$12,0)),"-")</f>
        <v>-</v>
      </c>
      <c r="O535" s="36" t="str">
        <f>IFERROR(INDEX(Katalog!$D$3:$D$12,MATCH(Data[[#This Row],[ItemID B]],Katalog!$C$3:$C$12,0))*Data[[#This Row],[Qty B]],"0")</f>
        <v>0</v>
      </c>
      <c r="P535" s="36" t="str">
        <f>IFERROR(INDEX(Katalog!$F$3:$F$12,MATCH(Data[[#This Row],[ItemID B]],Katalog!$C$3:$C$12,0))*Data[[#This Row],[Qty B]],"0")</f>
        <v>0</v>
      </c>
      <c r="R535" t="str">
        <f>IFERROR(INDEX(Katalog!$A$3:$A$12,MATCH(Data[[#This Row],[ItemID C]],Katalog!$C$3:$C$12,0)),"-")</f>
        <v>-</v>
      </c>
      <c r="S535" t="str">
        <f>IFERROR(INDEX(Katalog!$B$3:$B$12,MATCH(Data[[#This Row],[ItemID C]],Katalog!$C$3:$C$12,0)),"-")</f>
        <v>-</v>
      </c>
      <c r="V535" s="36" t="str">
        <f>IFERROR(INDEX(Katalog!$D$3:$D$12,MATCH(Data[[#This Row],[ItemID C]],Katalog!$C$3:$C$12,0))*Data[[#This Row],[Qty C]],"0")</f>
        <v>0</v>
      </c>
      <c r="W535" s="36" t="str">
        <f>IFERROR(INDEX(Katalog!$F$3:$F$12,MATCH(Data[[#This Row],[ItemID C]],Katalog!$C$3:$C$12,0))*Data[[#This Row],[Qty C]],"0")</f>
        <v>0</v>
      </c>
      <c r="X535" s="21">
        <f>Data[[#This Row],[Qty A]]+Data[[#This Row],[Qty B]]+Data[[#This Row],[Qty C]]</f>
        <v>1</v>
      </c>
      <c r="Y535" s="22">
        <f>Data[[#This Row],[Harga Barang A]]+Data[[#This Row],[Harga Barang B]]+Data[[#This Row],[Harga Barang C]]</f>
        <v>350000</v>
      </c>
      <c r="Z535" s="35">
        <f>IFERROR(Data[[#This Row],[Total Harga]]-(Data[[#This Row],[Total Harga]]*Data[[#This Row],[Diskon]]),Data[[#This Row],[Total Harga]])</f>
        <v>315000</v>
      </c>
      <c r="AA535" s="35">
        <f>(Data[[#This Row],[Profit A]]+Data[[#This Row],[Profit B]]+Data[[#This Row],[Profit C]])</f>
        <v>130000</v>
      </c>
      <c r="AB535" s="35">
        <f>IFERROR((Data[[#This Row],[Profit non Diskon]]-(Data[[#This Row],[Profit non Diskon]]*Data[[#This Row],[Diskon]])),Data[[#This Row],[Profit non Diskon]])</f>
        <v>117000</v>
      </c>
      <c r="AC535" s="23" t="s">
        <v>30</v>
      </c>
      <c r="AD535" s="37">
        <f>IFERROR(INDEX('Kode Diskon'!$D$3:$D$9,MATCH(Data[[#This Row],[Kode diskon]],'Kode Diskon'!$C$3:$C$9,0)),"-")</f>
        <v>0.1</v>
      </c>
      <c r="AE535" s="23" t="s">
        <v>29</v>
      </c>
      <c r="AF535" s="23" t="s">
        <v>10</v>
      </c>
      <c r="AG535" s="23" t="s">
        <v>80</v>
      </c>
      <c r="AH535" s="24">
        <v>45020</v>
      </c>
      <c r="AI535" s="23" t="str">
        <f>TEXT(Data[[#This Row],[Tanggal terjual]],"dddd")</f>
        <v>Tuesday</v>
      </c>
      <c r="AJ535" s="21" t="str">
        <f>TEXT(Data[[#This Row],[Tanggal terjual]],"wwww")</f>
        <v>wwww</v>
      </c>
    </row>
    <row r="536" spans="1:36" x14ac:dyDescent="0.2">
      <c r="A536" s="20">
        <v>535</v>
      </c>
      <c r="B536" s="21" t="str">
        <f>_xlfn.CONCAT("ORD-",INDEX(Helper!$B$2:$B$5,MATCH(Data[[#This Row],[Marketplace]],Helper!$A$2:$A$5,0)),TEXT(Data[[#This Row],[No]],"0000"),"-",TEXT(Data[[#This Row],[Tanggal terjual]],"dd/mm/yy"))</f>
        <v>ORD-SP0535-02/04/23</v>
      </c>
      <c r="C536" t="s">
        <v>61</v>
      </c>
      <c r="D536" t="str">
        <f>IFERROR(INDEX(Katalog!$A$3:$A$12,MATCH(Data[[#This Row],[ItemID A]],Katalog!$C$3:$C$12,0)),"-")</f>
        <v>Pakaian Pria</v>
      </c>
      <c r="E536" t="str">
        <f>IFERROR(INDEX(Katalog!$B$3:$B$12,MATCH(Data[[#This Row],[ItemID A]],Katalog!$C$3:$C$12,0)),"-")</f>
        <v>Kaos Polo</v>
      </c>
      <c r="F536">
        <v>4</v>
      </c>
      <c r="G536">
        <v>4</v>
      </c>
      <c r="H536" s="36">
        <f>IFERROR(INDEX(Katalog!$D$3:$D$12,MATCH(Data[[#This Row],[ItemID A]],Katalog!$C$3:$C$12,0))*Data[[#This Row],[Qty A]],"0")</f>
        <v>800000</v>
      </c>
      <c r="I536" s="36">
        <f>IFERROR(INDEX(Katalog!$F$3:$F$12,MATCH(Data[[#This Row],[ItemID A]],Katalog!$C$3:$C$12,0))*Data[[#This Row],[Qty A]],0)</f>
        <v>320000</v>
      </c>
      <c r="K536" t="str">
        <f>IFERROR(INDEX(Katalog!$A$3:$A$12,MATCH(Data[[#This Row],[ItemID B]],Katalog!$C$3:$C$12,0)),"-")</f>
        <v>-</v>
      </c>
      <c r="L536" t="str">
        <f>IFERROR(INDEX(Katalog!$B$3:$B$12,MATCH(Data[[#This Row],[ItemID B]],Katalog!$C$3:$C$12,0)),"-")</f>
        <v>-</v>
      </c>
      <c r="O536" s="36" t="str">
        <f>IFERROR(INDEX(Katalog!$D$3:$D$12,MATCH(Data[[#This Row],[ItemID B]],Katalog!$C$3:$C$12,0))*Data[[#This Row],[Qty B]],"0")</f>
        <v>0</v>
      </c>
      <c r="P536" s="36" t="str">
        <f>IFERROR(INDEX(Katalog!$F$3:$F$12,MATCH(Data[[#This Row],[ItemID B]],Katalog!$C$3:$C$12,0))*Data[[#This Row],[Qty B]],"0")</f>
        <v>0</v>
      </c>
      <c r="R536" t="str">
        <f>IFERROR(INDEX(Katalog!$A$3:$A$12,MATCH(Data[[#This Row],[ItemID C]],Katalog!$C$3:$C$12,0)),"-")</f>
        <v>-</v>
      </c>
      <c r="S536" t="str">
        <f>IFERROR(INDEX(Katalog!$B$3:$B$12,MATCH(Data[[#This Row],[ItemID C]],Katalog!$C$3:$C$12,0)),"-")</f>
        <v>-</v>
      </c>
      <c r="V536" s="36" t="str">
        <f>IFERROR(INDEX(Katalog!$D$3:$D$12,MATCH(Data[[#This Row],[ItemID C]],Katalog!$C$3:$C$12,0))*Data[[#This Row],[Qty C]],"0")</f>
        <v>0</v>
      </c>
      <c r="W536" s="36" t="str">
        <f>IFERROR(INDEX(Katalog!$F$3:$F$12,MATCH(Data[[#This Row],[ItemID C]],Katalog!$C$3:$C$12,0))*Data[[#This Row],[Qty C]],"0")</f>
        <v>0</v>
      </c>
      <c r="X536" s="21">
        <f>Data[[#This Row],[Qty A]]+Data[[#This Row],[Qty B]]+Data[[#This Row],[Qty C]]</f>
        <v>4</v>
      </c>
      <c r="Y536" s="22">
        <f>Data[[#This Row],[Harga Barang A]]+Data[[#This Row],[Harga Barang B]]+Data[[#This Row],[Harga Barang C]]</f>
        <v>800000</v>
      </c>
      <c r="Z536" s="35">
        <f>IFERROR(Data[[#This Row],[Total Harga]]-(Data[[#This Row],[Total Harga]]*Data[[#This Row],[Diskon]]),Data[[#This Row],[Total Harga]])</f>
        <v>720000</v>
      </c>
      <c r="AA536" s="35">
        <f>(Data[[#This Row],[Profit A]]+Data[[#This Row],[Profit B]]+Data[[#This Row],[Profit C]])</f>
        <v>320000</v>
      </c>
      <c r="AB536" s="35">
        <f>IFERROR((Data[[#This Row],[Profit non Diskon]]-(Data[[#This Row],[Profit non Diskon]]*Data[[#This Row],[Diskon]])),Data[[#This Row],[Profit non Diskon]])</f>
        <v>288000</v>
      </c>
      <c r="AC536" s="23" t="s">
        <v>6</v>
      </c>
      <c r="AD536" s="37">
        <f>IFERROR(INDEX('Kode Diskon'!$D$3:$D$9,MATCH(Data[[#This Row],[Kode diskon]],'Kode Diskon'!$C$3:$C$9,0)),"-")</f>
        <v>0.1</v>
      </c>
      <c r="AE536" s="23" t="s">
        <v>29</v>
      </c>
      <c r="AF536" s="23" t="s">
        <v>7</v>
      </c>
      <c r="AG536" s="23" t="s">
        <v>80</v>
      </c>
      <c r="AH536" s="24">
        <v>45018</v>
      </c>
      <c r="AI536" s="23" t="str">
        <f>TEXT(Data[[#This Row],[Tanggal terjual]],"dddd")</f>
        <v>Sunday</v>
      </c>
      <c r="AJ536" s="21" t="str">
        <f>TEXT(Data[[#This Row],[Tanggal terjual]],"wwww")</f>
        <v>wwww</v>
      </c>
    </row>
    <row r="537" spans="1:36" x14ac:dyDescent="0.2">
      <c r="A537" s="20">
        <v>536</v>
      </c>
      <c r="B537" s="21" t="str">
        <f>_xlfn.CONCAT("ORD-",INDEX(Helper!$B$2:$B$5,MATCH(Data[[#This Row],[Marketplace]],Helper!$A$2:$A$5,0)),TEXT(Data[[#This Row],[No]],"0000"),"-",TEXT(Data[[#This Row],[Tanggal terjual]],"dd/mm/yy"))</f>
        <v>ORD-BB0536-03/04/23</v>
      </c>
      <c r="C537" t="s">
        <v>64</v>
      </c>
      <c r="D537" t="str">
        <f>IFERROR(INDEX(Katalog!$A$3:$A$12,MATCH(Data[[#This Row],[ItemID A]],Katalog!$C$3:$C$12,0)),"-")</f>
        <v>Pakaian Unisex</v>
      </c>
      <c r="E537" t="str">
        <f>IFERROR(INDEX(Katalog!$B$3:$B$12,MATCH(Data[[#This Row],[ItemID A]],Katalog!$C$3:$C$12,0)),"-")</f>
        <v>Jaket Hoodie</v>
      </c>
      <c r="F537">
        <v>6</v>
      </c>
      <c r="G537">
        <v>5</v>
      </c>
      <c r="H537" s="36">
        <f>IFERROR(INDEX(Katalog!$D$3:$D$12,MATCH(Data[[#This Row],[ItemID A]],Katalog!$C$3:$C$12,0))*Data[[#This Row],[Qty A]],"0")</f>
        <v>2100000</v>
      </c>
      <c r="I537" s="36">
        <f>IFERROR(INDEX(Katalog!$F$3:$F$12,MATCH(Data[[#This Row],[ItemID A]],Katalog!$C$3:$C$12,0))*Data[[#This Row],[Qty A]],0)</f>
        <v>780000</v>
      </c>
      <c r="J537" t="s">
        <v>59</v>
      </c>
      <c r="K537" t="str">
        <f>IFERROR(INDEX(Katalog!$A$3:$A$12,MATCH(Data[[#This Row],[ItemID B]],Katalog!$C$3:$C$12,0)),"-")</f>
        <v>Pakaian Wanita</v>
      </c>
      <c r="L537" t="str">
        <f>IFERROR(INDEX(Katalog!$B$3:$B$12,MATCH(Data[[#This Row],[ItemID B]],Katalog!$C$3:$C$12,0)),"-")</f>
        <v>Blouse</v>
      </c>
      <c r="M537">
        <v>1</v>
      </c>
      <c r="N537">
        <v>3</v>
      </c>
      <c r="O537" s="36">
        <f>IFERROR(INDEX(Katalog!$D$3:$D$12,MATCH(Data[[#This Row],[ItemID B]],Katalog!$C$3:$C$12,0))*Data[[#This Row],[Qty B]],"0")</f>
        <v>150000</v>
      </c>
      <c r="P537" s="36">
        <f>IFERROR(INDEX(Katalog!$F$3:$F$12,MATCH(Data[[#This Row],[ItemID B]],Katalog!$C$3:$C$12,0))*Data[[#This Row],[Qty B]],"0")</f>
        <v>50000</v>
      </c>
      <c r="R537" t="str">
        <f>IFERROR(INDEX(Katalog!$A$3:$A$12,MATCH(Data[[#This Row],[ItemID C]],Katalog!$C$3:$C$12,0)),"-")</f>
        <v>-</v>
      </c>
      <c r="S537" t="str">
        <f>IFERROR(INDEX(Katalog!$B$3:$B$12,MATCH(Data[[#This Row],[ItemID C]],Katalog!$C$3:$C$12,0)),"-")</f>
        <v>-</v>
      </c>
      <c r="V537" s="36" t="str">
        <f>IFERROR(INDEX(Katalog!$D$3:$D$12,MATCH(Data[[#This Row],[ItemID C]],Katalog!$C$3:$C$12,0))*Data[[#This Row],[Qty C]],"0")</f>
        <v>0</v>
      </c>
      <c r="W537" s="36" t="str">
        <f>IFERROR(INDEX(Katalog!$F$3:$F$12,MATCH(Data[[#This Row],[ItemID C]],Katalog!$C$3:$C$12,0))*Data[[#This Row],[Qty C]],"0")</f>
        <v>0</v>
      </c>
      <c r="X537" s="21">
        <f>Data[[#This Row],[Qty A]]+Data[[#This Row],[Qty B]]+Data[[#This Row],[Qty C]]</f>
        <v>7</v>
      </c>
      <c r="Y537" s="22">
        <f>Data[[#This Row],[Harga Barang A]]+Data[[#This Row],[Harga Barang B]]+Data[[#This Row],[Harga Barang C]]</f>
        <v>2250000</v>
      </c>
      <c r="Z537" s="35">
        <f>IFERROR(Data[[#This Row],[Total Harga]]-(Data[[#This Row],[Total Harga]]*Data[[#This Row],[Diskon]]),Data[[#This Row],[Total Harga]])</f>
        <v>1912500</v>
      </c>
      <c r="AA537" s="35">
        <f>(Data[[#This Row],[Profit A]]+Data[[#This Row],[Profit B]]+Data[[#This Row],[Profit C]])</f>
        <v>830000</v>
      </c>
      <c r="AB537" s="35">
        <f>IFERROR((Data[[#This Row],[Profit non Diskon]]-(Data[[#This Row],[Profit non Diskon]]*Data[[#This Row],[Diskon]])),Data[[#This Row],[Profit non Diskon]])</f>
        <v>705500</v>
      </c>
      <c r="AC537" s="23" t="s">
        <v>28</v>
      </c>
      <c r="AD537" s="37">
        <f>IFERROR(INDEX('Kode Diskon'!$D$3:$D$9,MATCH(Data[[#This Row],[Kode diskon]],'Kode Diskon'!$C$3:$C$9,0)),"-")</f>
        <v>0.15</v>
      </c>
      <c r="AE537" s="23" t="s">
        <v>29</v>
      </c>
      <c r="AF537" s="23" t="s">
        <v>14</v>
      </c>
      <c r="AG537" s="23" t="s">
        <v>75</v>
      </c>
      <c r="AH537" s="24">
        <v>45019</v>
      </c>
      <c r="AI537" s="23" t="str">
        <f>TEXT(Data[[#This Row],[Tanggal terjual]],"dddd")</f>
        <v>Monday</v>
      </c>
      <c r="AJ537" s="21" t="str">
        <f>TEXT(Data[[#This Row],[Tanggal terjual]],"wwww")</f>
        <v>wwww</v>
      </c>
    </row>
    <row r="538" spans="1:36" x14ac:dyDescent="0.2">
      <c r="A538" s="20">
        <v>537</v>
      </c>
      <c r="B538" s="21" t="str">
        <f>_xlfn.CONCAT("ORD-",INDEX(Helper!$B$2:$B$5,MATCH(Data[[#This Row],[Marketplace]],Helper!$A$2:$A$5,0)),TEXT(Data[[#This Row],[No]],"0000"),"-",TEXT(Data[[#This Row],[Tanggal terjual]],"dd/mm/yy"))</f>
        <v>ORD-SP0537-07/04/23</v>
      </c>
      <c r="C538" t="s">
        <v>61</v>
      </c>
      <c r="D538" t="str">
        <f>IFERROR(INDEX(Katalog!$A$3:$A$12,MATCH(Data[[#This Row],[ItemID A]],Katalog!$C$3:$C$12,0)),"-")</f>
        <v>Pakaian Pria</v>
      </c>
      <c r="E538" t="str">
        <f>IFERROR(INDEX(Katalog!$B$3:$B$12,MATCH(Data[[#This Row],[ItemID A]],Katalog!$C$3:$C$12,0)),"-")</f>
        <v>Kaos Polo</v>
      </c>
      <c r="F538">
        <v>3</v>
      </c>
      <c r="G538">
        <v>2</v>
      </c>
      <c r="H538" s="36">
        <f>IFERROR(INDEX(Katalog!$D$3:$D$12,MATCH(Data[[#This Row],[ItemID A]],Katalog!$C$3:$C$12,0))*Data[[#This Row],[Qty A]],"0")</f>
        <v>600000</v>
      </c>
      <c r="I538" s="36">
        <f>IFERROR(INDEX(Katalog!$F$3:$F$12,MATCH(Data[[#This Row],[ItemID A]],Katalog!$C$3:$C$12,0))*Data[[#This Row],[Qty A]],0)</f>
        <v>240000</v>
      </c>
      <c r="J538" t="s">
        <v>65</v>
      </c>
      <c r="K538" t="str">
        <f>IFERROR(INDEX(Katalog!$A$3:$A$12,MATCH(Data[[#This Row],[ItemID B]],Katalog!$C$3:$C$12,0)),"-")</f>
        <v>Sepatu Pria</v>
      </c>
      <c r="L538" t="str">
        <f>IFERROR(INDEX(Katalog!$B$3:$B$12,MATCH(Data[[#This Row],[ItemID B]],Katalog!$C$3:$C$12,0)),"-")</f>
        <v>Sneakers</v>
      </c>
      <c r="M538">
        <v>1</v>
      </c>
      <c r="N538">
        <v>4</v>
      </c>
      <c r="O538" s="36">
        <f>IFERROR(INDEX(Katalog!$D$3:$D$12,MATCH(Data[[#This Row],[ItemID B]],Katalog!$C$3:$C$12,0))*Data[[#This Row],[Qty B]],"0")</f>
        <v>500000</v>
      </c>
      <c r="P538" s="36">
        <f>IFERROR(INDEX(Katalog!$F$3:$F$12,MATCH(Data[[#This Row],[ItemID B]],Katalog!$C$3:$C$12,0))*Data[[#This Row],[Qty B]],"0")</f>
        <v>200000</v>
      </c>
      <c r="R538" t="str">
        <f>IFERROR(INDEX(Katalog!$A$3:$A$12,MATCH(Data[[#This Row],[ItemID C]],Katalog!$C$3:$C$12,0)),"-")</f>
        <v>-</v>
      </c>
      <c r="S538" t="str">
        <f>IFERROR(INDEX(Katalog!$B$3:$B$12,MATCH(Data[[#This Row],[ItemID C]],Katalog!$C$3:$C$12,0)),"-")</f>
        <v>-</v>
      </c>
      <c r="V538" s="36" t="str">
        <f>IFERROR(INDEX(Katalog!$D$3:$D$12,MATCH(Data[[#This Row],[ItemID C]],Katalog!$C$3:$C$12,0))*Data[[#This Row],[Qty C]],"0")</f>
        <v>0</v>
      </c>
      <c r="W538" s="36" t="str">
        <f>IFERROR(INDEX(Katalog!$F$3:$F$12,MATCH(Data[[#This Row],[ItemID C]],Katalog!$C$3:$C$12,0))*Data[[#This Row],[Qty C]],"0")</f>
        <v>0</v>
      </c>
      <c r="X538" s="21">
        <f>Data[[#This Row],[Qty A]]+Data[[#This Row],[Qty B]]+Data[[#This Row],[Qty C]]</f>
        <v>4</v>
      </c>
      <c r="Y538" s="22">
        <f>Data[[#This Row],[Harga Barang A]]+Data[[#This Row],[Harga Barang B]]+Data[[#This Row],[Harga Barang C]]</f>
        <v>1100000</v>
      </c>
      <c r="Z538" s="35">
        <f>IFERROR(Data[[#This Row],[Total Harga]]-(Data[[#This Row],[Total Harga]]*Data[[#This Row],[Diskon]]),Data[[#This Row],[Total Harga]])</f>
        <v>1100000</v>
      </c>
      <c r="AA538" s="35">
        <f>(Data[[#This Row],[Profit A]]+Data[[#This Row],[Profit B]]+Data[[#This Row],[Profit C]])</f>
        <v>440000</v>
      </c>
      <c r="AB538" s="35">
        <f>IFERROR((Data[[#This Row],[Profit non Diskon]]-(Data[[#This Row],[Profit non Diskon]]*Data[[#This Row],[Diskon]])),Data[[#This Row],[Profit non Diskon]])</f>
        <v>440000</v>
      </c>
      <c r="AC538" s="23" t="s">
        <v>11</v>
      </c>
      <c r="AD538" s="37" t="str">
        <f>IFERROR(INDEX('Kode Diskon'!$D$3:$D$9,MATCH(Data[[#This Row],[Kode diskon]],'Kode Diskon'!$C$3:$C$9,0)),"-")</f>
        <v>-</v>
      </c>
      <c r="AE538" s="23" t="s">
        <v>11</v>
      </c>
      <c r="AF538" s="23" t="s">
        <v>7</v>
      </c>
      <c r="AG538" s="23" t="s">
        <v>80</v>
      </c>
      <c r="AH538" s="24">
        <v>45023</v>
      </c>
      <c r="AI538" s="23" t="str">
        <f>TEXT(Data[[#This Row],[Tanggal terjual]],"dddd")</f>
        <v>Friday</v>
      </c>
      <c r="AJ538" s="21" t="str">
        <f>TEXT(Data[[#This Row],[Tanggal terjual]],"wwww")</f>
        <v>wwww</v>
      </c>
    </row>
    <row r="539" spans="1:36" x14ac:dyDescent="0.2">
      <c r="A539" s="20">
        <v>538</v>
      </c>
      <c r="B539" s="21" t="str">
        <f>_xlfn.CONCAT("ORD-",INDEX(Helper!$B$2:$B$5,MATCH(Data[[#This Row],[Marketplace]],Helper!$A$2:$A$5,0)),TEXT(Data[[#This Row],[No]],"0000"),"-",TEXT(Data[[#This Row],[Tanggal terjual]],"dd/mm/yy"))</f>
        <v>ORD-BB0538-01/04/23</v>
      </c>
      <c r="C539" t="s">
        <v>67</v>
      </c>
      <c r="D539" t="str">
        <f>IFERROR(INDEX(Katalog!$A$3:$A$12,MATCH(Data[[#This Row],[ItemID A]],Katalog!$C$3:$C$12,0)),"-")</f>
        <v>Sepatu Wanita</v>
      </c>
      <c r="E539" t="str">
        <f>IFERROR(INDEX(Katalog!$B$3:$B$12,MATCH(Data[[#This Row],[ItemID A]],Katalog!$C$3:$C$12,0)),"-")</f>
        <v>Flat Shoes</v>
      </c>
      <c r="F539">
        <v>2</v>
      </c>
      <c r="G539">
        <v>2</v>
      </c>
      <c r="H539" s="36">
        <f>IFERROR(INDEX(Katalog!$D$3:$D$12,MATCH(Data[[#This Row],[ItemID A]],Katalog!$C$3:$C$12,0))*Data[[#This Row],[Qty A]],"0")</f>
        <v>500000</v>
      </c>
      <c r="I539" s="36">
        <f>IFERROR(INDEX(Katalog!$F$3:$F$12,MATCH(Data[[#This Row],[ItemID A]],Katalog!$C$3:$C$12,0))*Data[[#This Row],[Qty A]],0)</f>
        <v>200000</v>
      </c>
      <c r="K539" t="str">
        <f>IFERROR(INDEX(Katalog!$A$3:$A$12,MATCH(Data[[#This Row],[ItemID B]],Katalog!$C$3:$C$12,0)),"-")</f>
        <v>-</v>
      </c>
      <c r="L539" t="str">
        <f>IFERROR(INDEX(Katalog!$B$3:$B$12,MATCH(Data[[#This Row],[ItemID B]],Katalog!$C$3:$C$12,0)),"-")</f>
        <v>-</v>
      </c>
      <c r="O539" s="36" t="str">
        <f>IFERROR(INDEX(Katalog!$D$3:$D$12,MATCH(Data[[#This Row],[ItemID B]],Katalog!$C$3:$C$12,0))*Data[[#This Row],[Qty B]],"0")</f>
        <v>0</v>
      </c>
      <c r="P539" s="36" t="str">
        <f>IFERROR(INDEX(Katalog!$F$3:$F$12,MATCH(Data[[#This Row],[ItemID B]],Katalog!$C$3:$C$12,0))*Data[[#This Row],[Qty B]],"0")</f>
        <v>0</v>
      </c>
      <c r="R539" t="str">
        <f>IFERROR(INDEX(Katalog!$A$3:$A$12,MATCH(Data[[#This Row],[ItemID C]],Katalog!$C$3:$C$12,0)),"-")</f>
        <v>-</v>
      </c>
      <c r="S539" t="str">
        <f>IFERROR(INDEX(Katalog!$B$3:$B$12,MATCH(Data[[#This Row],[ItemID C]],Katalog!$C$3:$C$12,0)),"-")</f>
        <v>-</v>
      </c>
      <c r="V539" s="36" t="str">
        <f>IFERROR(INDEX(Katalog!$D$3:$D$12,MATCH(Data[[#This Row],[ItemID C]],Katalog!$C$3:$C$12,0))*Data[[#This Row],[Qty C]],"0")</f>
        <v>0</v>
      </c>
      <c r="W539" s="36" t="str">
        <f>IFERROR(INDEX(Katalog!$F$3:$F$12,MATCH(Data[[#This Row],[ItemID C]],Katalog!$C$3:$C$12,0))*Data[[#This Row],[Qty C]],"0")</f>
        <v>0</v>
      </c>
      <c r="X539" s="21">
        <f>Data[[#This Row],[Qty A]]+Data[[#This Row],[Qty B]]+Data[[#This Row],[Qty C]]</f>
        <v>2</v>
      </c>
      <c r="Y539" s="22">
        <f>Data[[#This Row],[Harga Barang A]]+Data[[#This Row],[Harga Barang B]]+Data[[#This Row],[Harga Barang C]]</f>
        <v>500000</v>
      </c>
      <c r="Z539" s="35">
        <f>IFERROR(Data[[#This Row],[Total Harga]]-(Data[[#This Row],[Total Harga]]*Data[[#This Row],[Diskon]]),Data[[#This Row],[Total Harga]])</f>
        <v>425000</v>
      </c>
      <c r="AA539" s="35">
        <f>(Data[[#This Row],[Profit A]]+Data[[#This Row],[Profit B]]+Data[[#This Row],[Profit C]])</f>
        <v>200000</v>
      </c>
      <c r="AB539" s="35">
        <f>IFERROR((Data[[#This Row],[Profit non Diskon]]-(Data[[#This Row],[Profit non Diskon]]*Data[[#This Row],[Diskon]])),Data[[#This Row],[Profit non Diskon]])</f>
        <v>170000</v>
      </c>
      <c r="AC539" s="23" t="s">
        <v>28</v>
      </c>
      <c r="AD539" s="37">
        <f>IFERROR(INDEX('Kode Diskon'!$D$3:$D$9,MATCH(Data[[#This Row],[Kode diskon]],'Kode Diskon'!$C$3:$C$9,0)),"-")</f>
        <v>0.15</v>
      </c>
      <c r="AE539" s="23" t="s">
        <v>29</v>
      </c>
      <c r="AF539" s="23" t="s">
        <v>14</v>
      </c>
      <c r="AG539" s="23" t="s">
        <v>77</v>
      </c>
      <c r="AH539" s="24">
        <v>45017</v>
      </c>
      <c r="AI539" s="23" t="str">
        <f>TEXT(Data[[#This Row],[Tanggal terjual]],"dddd")</f>
        <v>Saturday</v>
      </c>
      <c r="AJ539" s="21" t="str">
        <f>TEXT(Data[[#This Row],[Tanggal terjual]],"wwww")</f>
        <v>wwww</v>
      </c>
    </row>
    <row r="540" spans="1:36" x14ac:dyDescent="0.2">
      <c r="A540" s="20">
        <v>539</v>
      </c>
      <c r="B540" s="21" t="str">
        <f>_xlfn.CONCAT("ORD-",INDEX(Helper!$B$2:$B$5,MATCH(Data[[#This Row],[Marketplace]],Helper!$A$2:$A$5,0)),TEXT(Data[[#This Row],[No]],"0000"),"-",TEXT(Data[[#This Row],[Tanggal terjual]],"dd/mm/yy"))</f>
        <v>ORD-SP0539-01/04/23</v>
      </c>
      <c r="C540" t="s">
        <v>65</v>
      </c>
      <c r="D540" t="str">
        <f>IFERROR(INDEX(Katalog!$A$3:$A$12,MATCH(Data[[#This Row],[ItemID A]],Katalog!$C$3:$C$12,0)),"-")</f>
        <v>Sepatu Pria</v>
      </c>
      <c r="E540" t="str">
        <f>IFERROR(INDEX(Katalog!$B$3:$B$12,MATCH(Data[[#This Row],[ItemID A]],Katalog!$C$3:$C$12,0)),"-")</f>
        <v>Sneakers</v>
      </c>
      <c r="F540">
        <v>3</v>
      </c>
      <c r="G540">
        <v>5</v>
      </c>
      <c r="H540" s="36">
        <f>IFERROR(INDEX(Katalog!$D$3:$D$12,MATCH(Data[[#This Row],[ItemID A]],Katalog!$C$3:$C$12,0))*Data[[#This Row],[Qty A]],"0")</f>
        <v>1500000</v>
      </c>
      <c r="I540" s="36">
        <f>IFERROR(INDEX(Katalog!$F$3:$F$12,MATCH(Data[[#This Row],[ItemID A]],Katalog!$C$3:$C$12,0))*Data[[#This Row],[Qty A]],0)</f>
        <v>600000</v>
      </c>
      <c r="J540" t="s">
        <v>67</v>
      </c>
      <c r="K540" t="str">
        <f>IFERROR(INDEX(Katalog!$A$3:$A$12,MATCH(Data[[#This Row],[ItemID B]],Katalog!$C$3:$C$12,0)),"-")</f>
        <v>Sepatu Wanita</v>
      </c>
      <c r="L540" t="str">
        <f>IFERROR(INDEX(Katalog!$B$3:$B$12,MATCH(Data[[#This Row],[ItemID B]],Katalog!$C$3:$C$12,0)),"-")</f>
        <v>Flat Shoes</v>
      </c>
      <c r="M540">
        <v>1</v>
      </c>
      <c r="N540">
        <v>2</v>
      </c>
      <c r="O540" s="36">
        <f>IFERROR(INDEX(Katalog!$D$3:$D$12,MATCH(Data[[#This Row],[ItemID B]],Katalog!$C$3:$C$12,0))*Data[[#This Row],[Qty B]],"0")</f>
        <v>250000</v>
      </c>
      <c r="P540" s="36">
        <f>IFERROR(INDEX(Katalog!$F$3:$F$12,MATCH(Data[[#This Row],[ItemID B]],Katalog!$C$3:$C$12,0))*Data[[#This Row],[Qty B]],"0")</f>
        <v>100000</v>
      </c>
      <c r="R540" t="str">
        <f>IFERROR(INDEX(Katalog!$A$3:$A$12,MATCH(Data[[#This Row],[ItemID C]],Katalog!$C$3:$C$12,0)),"-")</f>
        <v>-</v>
      </c>
      <c r="S540" t="str">
        <f>IFERROR(INDEX(Katalog!$B$3:$B$12,MATCH(Data[[#This Row],[ItemID C]],Katalog!$C$3:$C$12,0)),"-")</f>
        <v>-</v>
      </c>
      <c r="V540" s="36" t="str">
        <f>IFERROR(INDEX(Katalog!$D$3:$D$12,MATCH(Data[[#This Row],[ItemID C]],Katalog!$C$3:$C$12,0))*Data[[#This Row],[Qty C]],"0")</f>
        <v>0</v>
      </c>
      <c r="W540" s="36" t="str">
        <f>IFERROR(INDEX(Katalog!$F$3:$F$12,MATCH(Data[[#This Row],[ItemID C]],Katalog!$C$3:$C$12,0))*Data[[#This Row],[Qty C]],"0")</f>
        <v>0</v>
      </c>
      <c r="X540" s="21">
        <f>Data[[#This Row],[Qty A]]+Data[[#This Row],[Qty B]]+Data[[#This Row],[Qty C]]</f>
        <v>4</v>
      </c>
      <c r="Y540" s="22">
        <f>Data[[#This Row],[Harga Barang A]]+Data[[#This Row],[Harga Barang B]]+Data[[#This Row],[Harga Barang C]]</f>
        <v>1750000</v>
      </c>
      <c r="Z540" s="35">
        <f>IFERROR(Data[[#This Row],[Total Harga]]-(Data[[#This Row],[Total Harga]]*Data[[#This Row],[Diskon]]),Data[[#This Row],[Total Harga]])</f>
        <v>1575000</v>
      </c>
      <c r="AA540" s="35">
        <f>(Data[[#This Row],[Profit A]]+Data[[#This Row],[Profit B]]+Data[[#This Row],[Profit C]])</f>
        <v>700000</v>
      </c>
      <c r="AB540" s="35">
        <f>IFERROR((Data[[#This Row],[Profit non Diskon]]-(Data[[#This Row],[Profit non Diskon]]*Data[[#This Row],[Diskon]])),Data[[#This Row],[Profit non Diskon]])</f>
        <v>630000</v>
      </c>
      <c r="AC540" s="23" t="s">
        <v>6</v>
      </c>
      <c r="AD540" s="37">
        <f>IFERROR(INDEX('Kode Diskon'!$D$3:$D$9,MATCH(Data[[#This Row],[Kode diskon]],'Kode Diskon'!$C$3:$C$9,0)),"-")</f>
        <v>0.1</v>
      </c>
      <c r="AE540" s="23" t="s">
        <v>29</v>
      </c>
      <c r="AF540" s="23" t="s">
        <v>7</v>
      </c>
      <c r="AG540" s="23" t="s">
        <v>76</v>
      </c>
      <c r="AH540" s="24">
        <v>45017</v>
      </c>
      <c r="AI540" s="23" t="str">
        <f>TEXT(Data[[#This Row],[Tanggal terjual]],"dddd")</f>
        <v>Saturday</v>
      </c>
      <c r="AJ540" s="21" t="str">
        <f>TEXT(Data[[#This Row],[Tanggal terjual]],"wwww")</f>
        <v>wwww</v>
      </c>
    </row>
    <row r="541" spans="1:36" x14ac:dyDescent="0.2">
      <c r="A541" s="20">
        <v>540</v>
      </c>
      <c r="B541" s="21" t="str">
        <f>_xlfn.CONCAT("ORD-",INDEX(Helper!$B$2:$B$5,MATCH(Data[[#This Row],[Marketplace]],Helper!$A$2:$A$5,0)),TEXT(Data[[#This Row],[No]],"0000"),"-",TEXT(Data[[#This Row],[Tanggal terjual]],"dd/mm/yy"))</f>
        <v>ORD-BL0540-29/04/23</v>
      </c>
      <c r="C541" t="s">
        <v>58</v>
      </c>
      <c r="D541" t="str">
        <f>IFERROR(INDEX(Katalog!$A$3:$A$12,MATCH(Data[[#This Row],[ItemID A]],Katalog!$C$3:$C$12,0)),"-")</f>
        <v>Pakaian Wanita</v>
      </c>
      <c r="E541" t="str">
        <f>IFERROR(INDEX(Katalog!$B$3:$B$12,MATCH(Data[[#This Row],[ItemID A]],Katalog!$C$3:$C$12,0)),"-")</f>
        <v>Dress</v>
      </c>
      <c r="F541">
        <v>3</v>
      </c>
      <c r="G541">
        <v>4</v>
      </c>
      <c r="H541" s="36">
        <f>IFERROR(INDEX(Katalog!$D$3:$D$12,MATCH(Data[[#This Row],[ItemID A]],Katalog!$C$3:$C$12,0))*Data[[#This Row],[Qty A]],"0")</f>
        <v>900000</v>
      </c>
      <c r="I541" s="36">
        <f>IFERROR(INDEX(Katalog!$F$3:$F$12,MATCH(Data[[#This Row],[ItemID A]],Katalog!$C$3:$C$12,0))*Data[[#This Row],[Qty A]],0)</f>
        <v>300000</v>
      </c>
      <c r="J541" t="s">
        <v>59</v>
      </c>
      <c r="K541" t="str">
        <f>IFERROR(INDEX(Katalog!$A$3:$A$12,MATCH(Data[[#This Row],[ItemID B]],Katalog!$C$3:$C$12,0)),"-")</f>
        <v>Pakaian Wanita</v>
      </c>
      <c r="L541" t="str">
        <f>IFERROR(INDEX(Katalog!$B$3:$B$12,MATCH(Data[[#This Row],[ItemID B]],Katalog!$C$3:$C$12,0)),"-")</f>
        <v>Blouse</v>
      </c>
      <c r="M541">
        <v>2</v>
      </c>
      <c r="N541">
        <v>4</v>
      </c>
      <c r="O541" s="36">
        <f>IFERROR(INDEX(Katalog!$D$3:$D$12,MATCH(Data[[#This Row],[ItemID B]],Katalog!$C$3:$C$12,0))*Data[[#This Row],[Qty B]],"0")</f>
        <v>300000</v>
      </c>
      <c r="P541" s="36">
        <f>IFERROR(INDEX(Katalog!$F$3:$F$12,MATCH(Data[[#This Row],[ItemID B]],Katalog!$C$3:$C$12,0))*Data[[#This Row],[Qty B]],"0")</f>
        <v>100000</v>
      </c>
      <c r="Q541" t="s">
        <v>62</v>
      </c>
      <c r="R541" t="str">
        <f>IFERROR(INDEX(Katalog!$A$3:$A$12,MATCH(Data[[#This Row],[ItemID C]],Katalog!$C$3:$C$12,0)),"-")</f>
        <v>Pakaian Pria</v>
      </c>
      <c r="S541" t="str">
        <f>IFERROR(INDEX(Katalog!$B$3:$B$12,MATCH(Data[[#This Row],[ItemID C]],Katalog!$C$3:$C$12,0)),"-")</f>
        <v>Celana Pendek</v>
      </c>
      <c r="T541">
        <v>1</v>
      </c>
      <c r="U541">
        <v>1</v>
      </c>
      <c r="V541" s="36">
        <f>IFERROR(INDEX(Katalog!$D$3:$D$12,MATCH(Data[[#This Row],[ItemID C]],Katalog!$C$3:$C$12,0))*Data[[#This Row],[Qty C]],"0")</f>
        <v>180000</v>
      </c>
      <c r="W541" s="36">
        <f>IFERROR(INDEX(Katalog!$F$3:$F$12,MATCH(Data[[#This Row],[ItemID C]],Katalog!$C$3:$C$12,0))*Data[[#This Row],[Qty C]],"0")</f>
        <v>70000</v>
      </c>
      <c r="X541" s="21">
        <f>Data[[#This Row],[Qty A]]+Data[[#This Row],[Qty B]]+Data[[#This Row],[Qty C]]</f>
        <v>6</v>
      </c>
      <c r="Y541" s="22">
        <f>Data[[#This Row],[Harga Barang A]]+Data[[#This Row],[Harga Barang B]]+Data[[#This Row],[Harga Barang C]]</f>
        <v>1380000</v>
      </c>
      <c r="Z541" s="35">
        <f>IFERROR(Data[[#This Row],[Total Harga]]-(Data[[#This Row],[Total Harga]]*Data[[#This Row],[Diskon]]),Data[[#This Row],[Total Harga]])</f>
        <v>1173000</v>
      </c>
      <c r="AA541" s="35">
        <f>(Data[[#This Row],[Profit A]]+Data[[#This Row],[Profit B]]+Data[[#This Row],[Profit C]])</f>
        <v>470000</v>
      </c>
      <c r="AB541" s="35">
        <f>IFERROR((Data[[#This Row],[Profit non Diskon]]-(Data[[#This Row],[Profit non Diskon]]*Data[[#This Row],[Diskon]])),Data[[#This Row],[Profit non Diskon]])</f>
        <v>399500</v>
      </c>
      <c r="AC541" s="23" t="s">
        <v>32</v>
      </c>
      <c r="AD541" s="37">
        <f>IFERROR(INDEX('Kode Diskon'!$D$3:$D$9,MATCH(Data[[#This Row],[Kode diskon]],'Kode Diskon'!$C$3:$C$9,0)),"-")</f>
        <v>0.15</v>
      </c>
      <c r="AE541" s="23" t="s">
        <v>9</v>
      </c>
      <c r="AF541" s="23" t="s">
        <v>12</v>
      </c>
      <c r="AG541" s="23" t="s">
        <v>76</v>
      </c>
      <c r="AH541" s="24">
        <v>45045</v>
      </c>
      <c r="AI541" s="23" t="str">
        <f>TEXT(Data[[#This Row],[Tanggal terjual]],"dddd")</f>
        <v>Saturday</v>
      </c>
      <c r="AJ541" s="21" t="str">
        <f>TEXT(Data[[#This Row],[Tanggal terjual]],"wwww")</f>
        <v>wwww</v>
      </c>
    </row>
    <row r="542" spans="1:36" x14ac:dyDescent="0.2">
      <c r="A542" s="20">
        <v>541</v>
      </c>
      <c r="B542" s="21" t="str">
        <f>_xlfn.CONCAT("ORD-",INDEX(Helper!$B$2:$B$5,MATCH(Data[[#This Row],[Marketplace]],Helper!$A$2:$A$5,0)),TEXT(Data[[#This Row],[No]],"0000"),"-",TEXT(Data[[#This Row],[Tanggal terjual]],"dd/mm/yy"))</f>
        <v>ORD-TK0541-05/04/23</v>
      </c>
      <c r="C542" t="s">
        <v>58</v>
      </c>
      <c r="D542" t="str">
        <f>IFERROR(INDEX(Katalog!$A$3:$A$12,MATCH(Data[[#This Row],[ItemID A]],Katalog!$C$3:$C$12,0)),"-")</f>
        <v>Pakaian Wanita</v>
      </c>
      <c r="E542" t="str">
        <f>IFERROR(INDEX(Katalog!$B$3:$B$12,MATCH(Data[[#This Row],[ItemID A]],Katalog!$C$3:$C$12,0)),"-")</f>
        <v>Dress</v>
      </c>
      <c r="F542">
        <v>1</v>
      </c>
      <c r="G542">
        <v>2</v>
      </c>
      <c r="H542" s="36">
        <f>IFERROR(INDEX(Katalog!$D$3:$D$12,MATCH(Data[[#This Row],[ItemID A]],Katalog!$C$3:$C$12,0))*Data[[#This Row],[Qty A]],"0")</f>
        <v>300000</v>
      </c>
      <c r="I542" s="36">
        <f>IFERROR(INDEX(Katalog!$F$3:$F$12,MATCH(Data[[#This Row],[ItemID A]],Katalog!$C$3:$C$12,0))*Data[[#This Row],[Qty A]],0)</f>
        <v>100000</v>
      </c>
      <c r="J542" t="s">
        <v>63</v>
      </c>
      <c r="K542" t="str">
        <f>IFERROR(INDEX(Katalog!$A$3:$A$12,MATCH(Data[[#This Row],[ItemID B]],Katalog!$C$3:$C$12,0)),"-")</f>
        <v>Pakaian Pria</v>
      </c>
      <c r="L542" t="str">
        <f>IFERROR(INDEX(Katalog!$B$3:$B$12,MATCH(Data[[#This Row],[ItemID B]],Katalog!$C$3:$C$12,0)),"-")</f>
        <v>Jaket Jeans</v>
      </c>
      <c r="M542">
        <v>1</v>
      </c>
      <c r="N542">
        <v>4</v>
      </c>
      <c r="O542" s="36">
        <f>IFERROR(INDEX(Katalog!$D$3:$D$12,MATCH(Data[[#This Row],[ItemID B]],Katalog!$C$3:$C$12,0))*Data[[#This Row],[Qty B]],"0")</f>
        <v>400000</v>
      </c>
      <c r="P542" s="36">
        <f>IFERROR(INDEX(Katalog!$F$3:$F$12,MATCH(Data[[#This Row],[ItemID B]],Katalog!$C$3:$C$12,0))*Data[[#This Row],[Qty B]],"0")</f>
        <v>150000</v>
      </c>
      <c r="R542" t="str">
        <f>IFERROR(INDEX(Katalog!$A$3:$A$12,MATCH(Data[[#This Row],[ItemID C]],Katalog!$C$3:$C$12,0)),"-")</f>
        <v>-</v>
      </c>
      <c r="S542" t="str">
        <f>IFERROR(INDEX(Katalog!$B$3:$B$12,MATCH(Data[[#This Row],[ItemID C]],Katalog!$C$3:$C$12,0)),"-")</f>
        <v>-</v>
      </c>
      <c r="V542" s="36" t="str">
        <f>IFERROR(INDEX(Katalog!$D$3:$D$12,MATCH(Data[[#This Row],[ItemID C]],Katalog!$C$3:$C$12,0))*Data[[#This Row],[Qty C]],"0")</f>
        <v>0</v>
      </c>
      <c r="W542" s="36" t="str">
        <f>IFERROR(INDEX(Katalog!$F$3:$F$12,MATCH(Data[[#This Row],[ItemID C]],Katalog!$C$3:$C$12,0))*Data[[#This Row],[Qty C]],"0")</f>
        <v>0</v>
      </c>
      <c r="X542" s="21">
        <f>Data[[#This Row],[Qty A]]+Data[[#This Row],[Qty B]]+Data[[#This Row],[Qty C]]</f>
        <v>2</v>
      </c>
      <c r="Y542" s="22">
        <f>Data[[#This Row],[Harga Barang A]]+Data[[#This Row],[Harga Barang B]]+Data[[#This Row],[Harga Barang C]]</f>
        <v>700000</v>
      </c>
      <c r="Z542" s="35">
        <f>IFERROR(Data[[#This Row],[Total Harga]]-(Data[[#This Row],[Total Harga]]*Data[[#This Row],[Diskon]]),Data[[#This Row],[Total Harga]])</f>
        <v>630000</v>
      </c>
      <c r="AA542" s="35">
        <f>(Data[[#This Row],[Profit A]]+Data[[#This Row],[Profit B]]+Data[[#This Row],[Profit C]])</f>
        <v>250000</v>
      </c>
      <c r="AB542" s="35">
        <f>IFERROR((Data[[#This Row],[Profit non Diskon]]-(Data[[#This Row],[Profit non Diskon]]*Data[[#This Row],[Diskon]])),Data[[#This Row],[Profit non Diskon]])</f>
        <v>225000</v>
      </c>
      <c r="AC542" s="23" t="s">
        <v>30</v>
      </c>
      <c r="AD542" s="37">
        <f>IFERROR(INDEX('Kode Diskon'!$D$3:$D$9,MATCH(Data[[#This Row],[Kode diskon]],'Kode Diskon'!$C$3:$C$9,0)),"-")</f>
        <v>0.1</v>
      </c>
      <c r="AE542" s="23" t="s">
        <v>29</v>
      </c>
      <c r="AF542" s="23" t="s">
        <v>10</v>
      </c>
      <c r="AG542" s="23" t="s">
        <v>80</v>
      </c>
      <c r="AH542" s="24">
        <v>45021</v>
      </c>
      <c r="AI542" s="23" t="str">
        <f>TEXT(Data[[#This Row],[Tanggal terjual]],"dddd")</f>
        <v>Wednesday</v>
      </c>
      <c r="AJ542" s="21" t="str">
        <f>TEXT(Data[[#This Row],[Tanggal terjual]],"wwww")</f>
        <v>wwww</v>
      </c>
    </row>
    <row r="543" spans="1:36" x14ac:dyDescent="0.2">
      <c r="A543" s="20">
        <v>542</v>
      </c>
      <c r="B543" s="21" t="str">
        <f>_xlfn.CONCAT("ORD-",INDEX(Helper!$B$2:$B$5,MATCH(Data[[#This Row],[Marketplace]],Helper!$A$2:$A$5,0)),TEXT(Data[[#This Row],[No]],"0000"),"-",TEXT(Data[[#This Row],[Tanggal terjual]],"dd/mm/yy"))</f>
        <v>ORD-SP0542-04/04/23</v>
      </c>
      <c r="C543" t="s">
        <v>62</v>
      </c>
      <c r="D543" t="str">
        <f>IFERROR(INDEX(Katalog!$A$3:$A$12,MATCH(Data[[#This Row],[ItemID A]],Katalog!$C$3:$C$12,0)),"-")</f>
        <v>Pakaian Pria</v>
      </c>
      <c r="E543" t="str">
        <f>IFERROR(INDEX(Katalog!$B$3:$B$12,MATCH(Data[[#This Row],[ItemID A]],Katalog!$C$3:$C$12,0)),"-")</f>
        <v>Celana Pendek</v>
      </c>
      <c r="F543">
        <v>1</v>
      </c>
      <c r="G543">
        <v>4</v>
      </c>
      <c r="H543" s="36">
        <f>IFERROR(INDEX(Katalog!$D$3:$D$12,MATCH(Data[[#This Row],[ItemID A]],Katalog!$C$3:$C$12,0))*Data[[#This Row],[Qty A]],"0")</f>
        <v>180000</v>
      </c>
      <c r="I543" s="36">
        <f>IFERROR(INDEX(Katalog!$F$3:$F$12,MATCH(Data[[#This Row],[ItemID A]],Katalog!$C$3:$C$12,0))*Data[[#This Row],[Qty A]],0)</f>
        <v>70000</v>
      </c>
      <c r="J543" t="s">
        <v>58</v>
      </c>
      <c r="K543" t="str">
        <f>IFERROR(INDEX(Katalog!$A$3:$A$12,MATCH(Data[[#This Row],[ItemID B]],Katalog!$C$3:$C$12,0)),"-")</f>
        <v>Pakaian Wanita</v>
      </c>
      <c r="L543" t="str">
        <f>IFERROR(INDEX(Katalog!$B$3:$B$12,MATCH(Data[[#This Row],[ItemID B]],Katalog!$C$3:$C$12,0)),"-")</f>
        <v>Dress</v>
      </c>
      <c r="M543">
        <v>2</v>
      </c>
      <c r="N543">
        <v>2</v>
      </c>
      <c r="O543" s="36">
        <f>IFERROR(INDEX(Katalog!$D$3:$D$12,MATCH(Data[[#This Row],[ItemID B]],Katalog!$C$3:$C$12,0))*Data[[#This Row],[Qty B]],"0")</f>
        <v>600000</v>
      </c>
      <c r="P543" s="36">
        <f>IFERROR(INDEX(Katalog!$F$3:$F$12,MATCH(Data[[#This Row],[ItemID B]],Katalog!$C$3:$C$12,0))*Data[[#This Row],[Qty B]],"0")</f>
        <v>200000</v>
      </c>
      <c r="Q543" t="s">
        <v>64</v>
      </c>
      <c r="R543" t="str">
        <f>IFERROR(INDEX(Katalog!$A$3:$A$12,MATCH(Data[[#This Row],[ItemID C]],Katalog!$C$3:$C$12,0)),"-")</f>
        <v>Pakaian Unisex</v>
      </c>
      <c r="S543" t="str">
        <f>IFERROR(INDEX(Katalog!$B$3:$B$12,MATCH(Data[[#This Row],[ItemID C]],Katalog!$C$3:$C$12,0)),"-")</f>
        <v>Jaket Hoodie</v>
      </c>
      <c r="T543">
        <v>2</v>
      </c>
      <c r="U543">
        <v>4</v>
      </c>
      <c r="V543" s="36">
        <f>IFERROR(INDEX(Katalog!$D$3:$D$12,MATCH(Data[[#This Row],[ItemID C]],Katalog!$C$3:$C$12,0))*Data[[#This Row],[Qty C]],"0")</f>
        <v>700000</v>
      </c>
      <c r="W543" s="36">
        <f>IFERROR(INDEX(Katalog!$F$3:$F$12,MATCH(Data[[#This Row],[ItemID C]],Katalog!$C$3:$C$12,0))*Data[[#This Row],[Qty C]],"0")</f>
        <v>260000</v>
      </c>
      <c r="X543" s="21">
        <f>Data[[#This Row],[Qty A]]+Data[[#This Row],[Qty B]]+Data[[#This Row],[Qty C]]</f>
        <v>5</v>
      </c>
      <c r="Y543" s="22">
        <f>Data[[#This Row],[Harga Barang A]]+Data[[#This Row],[Harga Barang B]]+Data[[#This Row],[Harga Barang C]]</f>
        <v>1480000</v>
      </c>
      <c r="Z543" s="35">
        <f>IFERROR(Data[[#This Row],[Total Harga]]-(Data[[#This Row],[Total Harga]]*Data[[#This Row],[Diskon]]),Data[[#This Row],[Total Harga]])</f>
        <v>1332000</v>
      </c>
      <c r="AA543" s="35">
        <f>(Data[[#This Row],[Profit A]]+Data[[#This Row],[Profit B]]+Data[[#This Row],[Profit C]])</f>
        <v>530000</v>
      </c>
      <c r="AB543" s="35">
        <f>IFERROR((Data[[#This Row],[Profit non Diskon]]-(Data[[#This Row],[Profit non Diskon]]*Data[[#This Row],[Diskon]])),Data[[#This Row],[Profit non Diskon]])</f>
        <v>477000</v>
      </c>
      <c r="AC543" s="23" t="s">
        <v>6</v>
      </c>
      <c r="AD543" s="37">
        <f>IFERROR(INDEX('Kode Diskon'!$D$3:$D$9,MATCH(Data[[#This Row],[Kode diskon]],'Kode Diskon'!$C$3:$C$9,0)),"-")</f>
        <v>0.1</v>
      </c>
      <c r="AE543" s="23" t="s">
        <v>29</v>
      </c>
      <c r="AF543" s="23" t="s">
        <v>7</v>
      </c>
      <c r="AG543" s="23" t="s">
        <v>76</v>
      </c>
      <c r="AH543" s="24">
        <v>45020</v>
      </c>
      <c r="AI543" s="23" t="str">
        <f>TEXT(Data[[#This Row],[Tanggal terjual]],"dddd")</f>
        <v>Tuesday</v>
      </c>
      <c r="AJ543" s="21" t="str">
        <f>TEXT(Data[[#This Row],[Tanggal terjual]],"wwww")</f>
        <v>wwww</v>
      </c>
    </row>
    <row r="544" spans="1:36" x14ac:dyDescent="0.2">
      <c r="A544" s="20">
        <v>543</v>
      </c>
      <c r="B544" s="21" t="str">
        <f>_xlfn.CONCAT("ORD-",INDEX(Helper!$B$2:$B$5,MATCH(Data[[#This Row],[Marketplace]],Helper!$A$2:$A$5,0)),TEXT(Data[[#This Row],[No]],"0000"),"-",TEXT(Data[[#This Row],[Tanggal terjual]],"dd/mm/yy"))</f>
        <v>ORD-SP0543-01/04/23</v>
      </c>
      <c r="C544" t="s">
        <v>58</v>
      </c>
      <c r="D544" t="str">
        <f>IFERROR(INDEX(Katalog!$A$3:$A$12,MATCH(Data[[#This Row],[ItemID A]],Katalog!$C$3:$C$12,0)),"-")</f>
        <v>Pakaian Wanita</v>
      </c>
      <c r="E544" t="str">
        <f>IFERROR(INDEX(Katalog!$B$3:$B$12,MATCH(Data[[#This Row],[ItemID A]],Katalog!$C$3:$C$12,0)),"-")</f>
        <v>Dress</v>
      </c>
      <c r="F544">
        <v>1</v>
      </c>
      <c r="G544">
        <v>5</v>
      </c>
      <c r="H544" s="36">
        <f>IFERROR(INDEX(Katalog!$D$3:$D$12,MATCH(Data[[#This Row],[ItemID A]],Katalog!$C$3:$C$12,0))*Data[[#This Row],[Qty A]],"0")</f>
        <v>300000</v>
      </c>
      <c r="I544" s="36">
        <f>IFERROR(INDEX(Katalog!$F$3:$F$12,MATCH(Data[[#This Row],[ItemID A]],Katalog!$C$3:$C$12,0))*Data[[#This Row],[Qty A]],0)</f>
        <v>100000</v>
      </c>
      <c r="J544" t="s">
        <v>63</v>
      </c>
      <c r="K544" t="str">
        <f>IFERROR(INDEX(Katalog!$A$3:$A$12,MATCH(Data[[#This Row],[ItemID B]],Katalog!$C$3:$C$12,0)),"-")</f>
        <v>Pakaian Pria</v>
      </c>
      <c r="L544" t="str">
        <f>IFERROR(INDEX(Katalog!$B$3:$B$12,MATCH(Data[[#This Row],[ItemID B]],Katalog!$C$3:$C$12,0)),"-")</f>
        <v>Jaket Jeans</v>
      </c>
      <c r="M544">
        <v>1</v>
      </c>
      <c r="N544">
        <v>2</v>
      </c>
      <c r="O544" s="36">
        <f>IFERROR(INDEX(Katalog!$D$3:$D$12,MATCH(Data[[#This Row],[ItemID B]],Katalog!$C$3:$C$12,0))*Data[[#This Row],[Qty B]],"0")</f>
        <v>400000</v>
      </c>
      <c r="P544" s="36">
        <f>IFERROR(INDEX(Katalog!$F$3:$F$12,MATCH(Data[[#This Row],[ItemID B]],Katalog!$C$3:$C$12,0))*Data[[#This Row],[Qty B]],"0")</f>
        <v>150000</v>
      </c>
      <c r="R544" t="str">
        <f>IFERROR(INDEX(Katalog!$A$3:$A$12,MATCH(Data[[#This Row],[ItemID C]],Katalog!$C$3:$C$12,0)),"-")</f>
        <v>-</v>
      </c>
      <c r="S544" t="str">
        <f>IFERROR(INDEX(Katalog!$B$3:$B$12,MATCH(Data[[#This Row],[ItemID C]],Katalog!$C$3:$C$12,0)),"-")</f>
        <v>-</v>
      </c>
      <c r="V544" s="36" t="str">
        <f>IFERROR(INDEX(Katalog!$D$3:$D$12,MATCH(Data[[#This Row],[ItemID C]],Katalog!$C$3:$C$12,0))*Data[[#This Row],[Qty C]],"0")</f>
        <v>0</v>
      </c>
      <c r="W544" s="36" t="str">
        <f>IFERROR(INDEX(Katalog!$F$3:$F$12,MATCH(Data[[#This Row],[ItemID C]],Katalog!$C$3:$C$12,0))*Data[[#This Row],[Qty C]],"0")</f>
        <v>0</v>
      </c>
      <c r="X544" s="21">
        <f>Data[[#This Row],[Qty A]]+Data[[#This Row],[Qty B]]+Data[[#This Row],[Qty C]]</f>
        <v>2</v>
      </c>
      <c r="Y544" s="22">
        <f>Data[[#This Row],[Harga Barang A]]+Data[[#This Row],[Harga Barang B]]+Data[[#This Row],[Harga Barang C]]</f>
        <v>700000</v>
      </c>
      <c r="Z544" s="35">
        <f>IFERROR(Data[[#This Row],[Total Harga]]-(Data[[#This Row],[Total Harga]]*Data[[#This Row],[Diskon]]),Data[[#This Row],[Total Harga]])</f>
        <v>595000</v>
      </c>
      <c r="AA544" s="35">
        <f>(Data[[#This Row],[Profit A]]+Data[[#This Row],[Profit B]]+Data[[#This Row],[Profit C]])</f>
        <v>250000</v>
      </c>
      <c r="AB544" s="35">
        <f>IFERROR((Data[[#This Row],[Profit non Diskon]]-(Data[[#This Row],[Profit non Diskon]]*Data[[#This Row],[Diskon]])),Data[[#This Row],[Profit non Diskon]])</f>
        <v>212500</v>
      </c>
      <c r="AC544" s="23" t="s">
        <v>13</v>
      </c>
      <c r="AD544" s="37">
        <f>IFERROR(INDEX('Kode Diskon'!$D$3:$D$9,MATCH(Data[[#This Row],[Kode diskon]],'Kode Diskon'!$C$3:$C$9,0)),"-")</f>
        <v>0.15</v>
      </c>
      <c r="AE544" s="23" t="s">
        <v>29</v>
      </c>
      <c r="AF544" s="23" t="s">
        <v>7</v>
      </c>
      <c r="AG544" s="23" t="s">
        <v>80</v>
      </c>
      <c r="AH544" s="24">
        <v>45017</v>
      </c>
      <c r="AI544" s="23" t="str">
        <f>TEXT(Data[[#This Row],[Tanggal terjual]],"dddd")</f>
        <v>Saturday</v>
      </c>
      <c r="AJ544" s="21" t="str">
        <f>TEXT(Data[[#This Row],[Tanggal terjual]],"wwww")</f>
        <v>wwww</v>
      </c>
    </row>
    <row r="545" spans="1:36" x14ac:dyDescent="0.2">
      <c r="A545" s="20">
        <v>544</v>
      </c>
      <c r="B545" s="21" t="str">
        <f>_xlfn.CONCAT("ORD-",INDEX(Helper!$B$2:$B$5,MATCH(Data[[#This Row],[Marketplace]],Helper!$A$2:$A$5,0)),TEXT(Data[[#This Row],[No]],"0000"),"-",TEXT(Data[[#This Row],[Tanggal terjual]],"dd/mm/yy"))</f>
        <v>ORD-BL0544-26/04/23</v>
      </c>
      <c r="C545" t="s">
        <v>63</v>
      </c>
      <c r="D545" t="str">
        <f>IFERROR(INDEX(Katalog!$A$3:$A$12,MATCH(Data[[#This Row],[ItemID A]],Katalog!$C$3:$C$12,0)),"-")</f>
        <v>Pakaian Pria</v>
      </c>
      <c r="E545" t="str">
        <f>IFERROR(INDEX(Katalog!$B$3:$B$12,MATCH(Data[[#This Row],[ItemID A]],Katalog!$C$3:$C$12,0)),"-")</f>
        <v>Jaket Jeans</v>
      </c>
      <c r="F545">
        <v>2</v>
      </c>
      <c r="G545">
        <v>2</v>
      </c>
      <c r="H545" s="36">
        <f>IFERROR(INDEX(Katalog!$D$3:$D$12,MATCH(Data[[#This Row],[ItemID A]],Katalog!$C$3:$C$12,0))*Data[[#This Row],[Qty A]],"0")</f>
        <v>800000</v>
      </c>
      <c r="I545" s="36">
        <f>IFERROR(INDEX(Katalog!$F$3:$F$12,MATCH(Data[[#This Row],[ItemID A]],Katalog!$C$3:$C$12,0))*Data[[#This Row],[Qty A]],0)</f>
        <v>300000</v>
      </c>
      <c r="J545" t="s">
        <v>62</v>
      </c>
      <c r="K545" t="str">
        <f>IFERROR(INDEX(Katalog!$A$3:$A$12,MATCH(Data[[#This Row],[ItemID B]],Katalog!$C$3:$C$12,0)),"-")</f>
        <v>Pakaian Pria</v>
      </c>
      <c r="L545" t="str">
        <f>IFERROR(INDEX(Katalog!$B$3:$B$12,MATCH(Data[[#This Row],[ItemID B]],Katalog!$C$3:$C$12,0)),"-")</f>
        <v>Celana Pendek</v>
      </c>
      <c r="M545">
        <v>1</v>
      </c>
      <c r="N545">
        <v>3</v>
      </c>
      <c r="O545" s="36">
        <f>IFERROR(INDEX(Katalog!$D$3:$D$12,MATCH(Data[[#This Row],[ItemID B]],Katalog!$C$3:$C$12,0))*Data[[#This Row],[Qty B]],"0")</f>
        <v>180000</v>
      </c>
      <c r="P545" s="36">
        <f>IFERROR(INDEX(Katalog!$F$3:$F$12,MATCH(Data[[#This Row],[ItemID B]],Katalog!$C$3:$C$12,0))*Data[[#This Row],[Qty B]],"0")</f>
        <v>70000</v>
      </c>
      <c r="R545" t="str">
        <f>IFERROR(INDEX(Katalog!$A$3:$A$12,MATCH(Data[[#This Row],[ItemID C]],Katalog!$C$3:$C$12,0)),"-")</f>
        <v>-</v>
      </c>
      <c r="S545" t="str">
        <f>IFERROR(INDEX(Katalog!$B$3:$B$12,MATCH(Data[[#This Row],[ItemID C]],Katalog!$C$3:$C$12,0)),"-")</f>
        <v>-</v>
      </c>
      <c r="V545" s="36" t="str">
        <f>IFERROR(INDEX(Katalog!$D$3:$D$12,MATCH(Data[[#This Row],[ItemID C]],Katalog!$C$3:$C$12,0))*Data[[#This Row],[Qty C]],"0")</f>
        <v>0</v>
      </c>
      <c r="W545" s="36" t="str">
        <f>IFERROR(INDEX(Katalog!$F$3:$F$12,MATCH(Data[[#This Row],[ItemID C]],Katalog!$C$3:$C$12,0))*Data[[#This Row],[Qty C]],"0")</f>
        <v>0</v>
      </c>
      <c r="X545" s="21">
        <f>Data[[#This Row],[Qty A]]+Data[[#This Row],[Qty B]]+Data[[#This Row],[Qty C]]</f>
        <v>3</v>
      </c>
      <c r="Y545" s="22">
        <f>Data[[#This Row],[Harga Barang A]]+Data[[#This Row],[Harga Barang B]]+Data[[#This Row],[Harga Barang C]]</f>
        <v>980000</v>
      </c>
      <c r="Z545" s="35">
        <f>IFERROR(Data[[#This Row],[Total Harga]]-(Data[[#This Row],[Total Harga]]*Data[[#This Row],[Diskon]]),Data[[#This Row],[Total Harga]])</f>
        <v>833000</v>
      </c>
      <c r="AA545" s="35">
        <f>(Data[[#This Row],[Profit A]]+Data[[#This Row],[Profit B]]+Data[[#This Row],[Profit C]])</f>
        <v>370000</v>
      </c>
      <c r="AB545" s="35">
        <f>IFERROR((Data[[#This Row],[Profit non Diskon]]-(Data[[#This Row],[Profit non Diskon]]*Data[[#This Row],[Diskon]])),Data[[#This Row],[Profit non Diskon]])</f>
        <v>314500</v>
      </c>
      <c r="AC545" s="23" t="s">
        <v>32</v>
      </c>
      <c r="AD545" s="37">
        <f>IFERROR(INDEX('Kode Diskon'!$D$3:$D$9,MATCH(Data[[#This Row],[Kode diskon]],'Kode Diskon'!$C$3:$C$9,0)),"-")</f>
        <v>0.15</v>
      </c>
      <c r="AE545" s="23" t="s">
        <v>9</v>
      </c>
      <c r="AF545" s="23" t="s">
        <v>12</v>
      </c>
      <c r="AG545" s="23" t="s">
        <v>75</v>
      </c>
      <c r="AH545" s="24">
        <v>45042</v>
      </c>
      <c r="AI545" s="23" t="str">
        <f>TEXT(Data[[#This Row],[Tanggal terjual]],"dddd")</f>
        <v>Wednesday</v>
      </c>
      <c r="AJ545" s="21" t="str">
        <f>TEXT(Data[[#This Row],[Tanggal terjual]],"wwww")</f>
        <v>wwww</v>
      </c>
    </row>
    <row r="546" spans="1:36" x14ac:dyDescent="0.2">
      <c r="A546" s="20">
        <v>545</v>
      </c>
      <c r="B546" s="21" t="str">
        <f>_xlfn.CONCAT("ORD-",INDEX(Helper!$B$2:$B$5,MATCH(Data[[#This Row],[Marketplace]],Helper!$A$2:$A$5,0)),TEXT(Data[[#This Row],[No]],"0000"),"-",TEXT(Data[[#This Row],[Tanggal terjual]],"dd/mm/yy"))</f>
        <v>ORD-TK0545-06/04/23</v>
      </c>
      <c r="C546" t="s">
        <v>60</v>
      </c>
      <c r="D546" t="str">
        <f>IFERROR(INDEX(Katalog!$A$3:$A$12,MATCH(Data[[#This Row],[ItemID A]],Katalog!$C$3:$C$12,0)),"-")</f>
        <v>Pakaian Wanita</v>
      </c>
      <c r="E546" t="str">
        <f>IFERROR(INDEX(Katalog!$B$3:$B$12,MATCH(Data[[#This Row],[ItemID A]],Katalog!$C$3:$C$12,0)),"-")</f>
        <v>Kaftan</v>
      </c>
      <c r="F546">
        <v>7</v>
      </c>
      <c r="G546">
        <v>3</v>
      </c>
      <c r="H546" s="36">
        <f>IFERROR(INDEX(Katalog!$D$3:$D$12,MATCH(Data[[#This Row],[ItemID A]],Katalog!$C$3:$C$12,0))*Data[[#This Row],[Qty A]],"0")</f>
        <v>1750000</v>
      </c>
      <c r="I546" s="36">
        <f>IFERROR(INDEX(Katalog!$F$3:$F$12,MATCH(Data[[#This Row],[ItemID A]],Katalog!$C$3:$C$12,0))*Data[[#This Row],[Qty A]],0)</f>
        <v>700000</v>
      </c>
      <c r="K546" t="str">
        <f>IFERROR(INDEX(Katalog!$A$3:$A$12,MATCH(Data[[#This Row],[ItemID B]],Katalog!$C$3:$C$12,0)),"-")</f>
        <v>-</v>
      </c>
      <c r="L546" t="str">
        <f>IFERROR(INDEX(Katalog!$B$3:$B$12,MATCH(Data[[#This Row],[ItemID B]],Katalog!$C$3:$C$12,0)),"-")</f>
        <v>-</v>
      </c>
      <c r="O546" s="36" t="str">
        <f>IFERROR(INDEX(Katalog!$D$3:$D$12,MATCH(Data[[#This Row],[ItemID B]],Katalog!$C$3:$C$12,0))*Data[[#This Row],[Qty B]],"0")</f>
        <v>0</v>
      </c>
      <c r="P546" s="36" t="str">
        <f>IFERROR(INDEX(Katalog!$F$3:$F$12,MATCH(Data[[#This Row],[ItemID B]],Katalog!$C$3:$C$12,0))*Data[[#This Row],[Qty B]],"0")</f>
        <v>0</v>
      </c>
      <c r="R546" t="str">
        <f>IFERROR(INDEX(Katalog!$A$3:$A$12,MATCH(Data[[#This Row],[ItemID C]],Katalog!$C$3:$C$12,0)),"-")</f>
        <v>-</v>
      </c>
      <c r="S546" t="str">
        <f>IFERROR(INDEX(Katalog!$B$3:$B$12,MATCH(Data[[#This Row],[ItemID C]],Katalog!$C$3:$C$12,0)),"-")</f>
        <v>-</v>
      </c>
      <c r="V546" s="36" t="str">
        <f>IFERROR(INDEX(Katalog!$D$3:$D$12,MATCH(Data[[#This Row],[ItemID C]],Katalog!$C$3:$C$12,0))*Data[[#This Row],[Qty C]],"0")</f>
        <v>0</v>
      </c>
      <c r="W546" s="36" t="str">
        <f>IFERROR(INDEX(Katalog!$F$3:$F$12,MATCH(Data[[#This Row],[ItemID C]],Katalog!$C$3:$C$12,0))*Data[[#This Row],[Qty C]],"0")</f>
        <v>0</v>
      </c>
      <c r="X546" s="21">
        <f>Data[[#This Row],[Qty A]]+Data[[#This Row],[Qty B]]+Data[[#This Row],[Qty C]]</f>
        <v>7</v>
      </c>
      <c r="Y546" s="22">
        <f>Data[[#This Row],[Harga Barang A]]+Data[[#This Row],[Harga Barang B]]+Data[[#This Row],[Harga Barang C]]</f>
        <v>1750000</v>
      </c>
      <c r="Z546" s="35">
        <f>IFERROR(Data[[#This Row],[Total Harga]]-(Data[[#This Row],[Total Harga]]*Data[[#This Row],[Diskon]]),Data[[#This Row],[Total Harga]])</f>
        <v>1575000</v>
      </c>
      <c r="AA546" s="35">
        <f>(Data[[#This Row],[Profit A]]+Data[[#This Row],[Profit B]]+Data[[#This Row],[Profit C]])</f>
        <v>700000</v>
      </c>
      <c r="AB546" s="35">
        <f>IFERROR((Data[[#This Row],[Profit non Diskon]]-(Data[[#This Row],[Profit non Diskon]]*Data[[#This Row],[Diskon]])),Data[[#This Row],[Profit non Diskon]])</f>
        <v>630000</v>
      </c>
      <c r="AC546" s="23" t="s">
        <v>30</v>
      </c>
      <c r="AD546" s="37">
        <f>IFERROR(INDEX('Kode Diskon'!$D$3:$D$9,MATCH(Data[[#This Row],[Kode diskon]],'Kode Diskon'!$C$3:$C$9,0)),"-")</f>
        <v>0.1</v>
      </c>
      <c r="AE546" s="23" t="s">
        <v>29</v>
      </c>
      <c r="AF546" s="23" t="s">
        <v>10</v>
      </c>
      <c r="AG546" s="23" t="s">
        <v>80</v>
      </c>
      <c r="AH546" s="24">
        <v>45022</v>
      </c>
      <c r="AI546" s="23" t="str">
        <f>TEXT(Data[[#This Row],[Tanggal terjual]],"dddd")</f>
        <v>Thursday</v>
      </c>
      <c r="AJ546" s="21" t="str">
        <f>TEXT(Data[[#This Row],[Tanggal terjual]],"wwww")</f>
        <v>wwww</v>
      </c>
    </row>
    <row r="547" spans="1:36" x14ac:dyDescent="0.2">
      <c r="A547" s="20">
        <v>546</v>
      </c>
      <c r="B547" s="21" t="str">
        <f>_xlfn.CONCAT("ORD-",INDEX(Helper!$B$2:$B$5,MATCH(Data[[#This Row],[Marketplace]],Helper!$A$2:$A$5,0)),TEXT(Data[[#This Row],[No]],"0000"),"-",TEXT(Data[[#This Row],[Tanggal terjual]],"dd/mm/yy"))</f>
        <v>ORD-BL0546-14/04/23</v>
      </c>
      <c r="C547" t="s">
        <v>64</v>
      </c>
      <c r="D547" t="str">
        <f>IFERROR(INDEX(Katalog!$A$3:$A$12,MATCH(Data[[#This Row],[ItemID A]],Katalog!$C$3:$C$12,0)),"-")</f>
        <v>Pakaian Unisex</v>
      </c>
      <c r="E547" t="str">
        <f>IFERROR(INDEX(Katalog!$B$3:$B$12,MATCH(Data[[#This Row],[ItemID A]],Katalog!$C$3:$C$12,0)),"-")</f>
        <v>Jaket Hoodie</v>
      </c>
      <c r="F547">
        <v>1</v>
      </c>
      <c r="G547">
        <v>4</v>
      </c>
      <c r="H547" s="36">
        <f>IFERROR(INDEX(Katalog!$D$3:$D$12,MATCH(Data[[#This Row],[ItemID A]],Katalog!$C$3:$C$12,0))*Data[[#This Row],[Qty A]],"0")</f>
        <v>350000</v>
      </c>
      <c r="I547" s="36">
        <f>IFERROR(INDEX(Katalog!$F$3:$F$12,MATCH(Data[[#This Row],[ItemID A]],Katalog!$C$3:$C$12,0))*Data[[#This Row],[Qty A]],0)</f>
        <v>130000</v>
      </c>
      <c r="J547" t="s">
        <v>62</v>
      </c>
      <c r="K547" t="str">
        <f>IFERROR(INDEX(Katalog!$A$3:$A$12,MATCH(Data[[#This Row],[ItemID B]],Katalog!$C$3:$C$12,0)),"-")</f>
        <v>Pakaian Pria</v>
      </c>
      <c r="L547" t="str">
        <f>IFERROR(INDEX(Katalog!$B$3:$B$12,MATCH(Data[[#This Row],[ItemID B]],Katalog!$C$3:$C$12,0)),"-")</f>
        <v>Celana Pendek</v>
      </c>
      <c r="M547">
        <v>2</v>
      </c>
      <c r="N547">
        <v>3</v>
      </c>
      <c r="O547" s="36">
        <f>IFERROR(INDEX(Katalog!$D$3:$D$12,MATCH(Data[[#This Row],[ItemID B]],Katalog!$C$3:$C$12,0))*Data[[#This Row],[Qty B]],"0")</f>
        <v>360000</v>
      </c>
      <c r="P547" s="36">
        <f>IFERROR(INDEX(Katalog!$F$3:$F$12,MATCH(Data[[#This Row],[ItemID B]],Katalog!$C$3:$C$12,0))*Data[[#This Row],[Qty B]],"0")</f>
        <v>140000</v>
      </c>
      <c r="R547" t="str">
        <f>IFERROR(INDEX(Katalog!$A$3:$A$12,MATCH(Data[[#This Row],[ItemID C]],Katalog!$C$3:$C$12,0)),"-")</f>
        <v>-</v>
      </c>
      <c r="S547" t="str">
        <f>IFERROR(INDEX(Katalog!$B$3:$B$12,MATCH(Data[[#This Row],[ItemID C]],Katalog!$C$3:$C$12,0)),"-")</f>
        <v>-</v>
      </c>
      <c r="V547" s="36" t="str">
        <f>IFERROR(INDEX(Katalog!$D$3:$D$12,MATCH(Data[[#This Row],[ItemID C]],Katalog!$C$3:$C$12,0))*Data[[#This Row],[Qty C]],"0")</f>
        <v>0</v>
      </c>
      <c r="W547" s="36" t="str">
        <f>IFERROR(INDEX(Katalog!$F$3:$F$12,MATCH(Data[[#This Row],[ItemID C]],Katalog!$C$3:$C$12,0))*Data[[#This Row],[Qty C]],"0")</f>
        <v>0</v>
      </c>
      <c r="X547" s="21">
        <f>Data[[#This Row],[Qty A]]+Data[[#This Row],[Qty B]]+Data[[#This Row],[Qty C]]</f>
        <v>3</v>
      </c>
      <c r="Y547" s="22">
        <f>Data[[#This Row],[Harga Barang A]]+Data[[#This Row],[Harga Barang B]]+Data[[#This Row],[Harga Barang C]]</f>
        <v>710000</v>
      </c>
      <c r="Z547" s="35">
        <f>IFERROR(Data[[#This Row],[Total Harga]]-(Data[[#This Row],[Total Harga]]*Data[[#This Row],[Diskon]]),Data[[#This Row],[Total Harga]])</f>
        <v>710000</v>
      </c>
      <c r="AA547" s="35">
        <f>(Data[[#This Row],[Profit A]]+Data[[#This Row],[Profit B]]+Data[[#This Row],[Profit C]])</f>
        <v>270000</v>
      </c>
      <c r="AB547" s="35">
        <f>IFERROR((Data[[#This Row],[Profit non Diskon]]-(Data[[#This Row],[Profit non Diskon]]*Data[[#This Row],[Diskon]])),Data[[#This Row],[Profit non Diskon]])</f>
        <v>270000</v>
      </c>
      <c r="AC547" s="23" t="s">
        <v>11</v>
      </c>
      <c r="AD547" s="37" t="str">
        <f>IFERROR(INDEX('Kode Diskon'!$D$3:$D$9,MATCH(Data[[#This Row],[Kode diskon]],'Kode Diskon'!$C$3:$C$9,0)),"-")</f>
        <v>-</v>
      </c>
      <c r="AE547" s="23" t="s">
        <v>11</v>
      </c>
      <c r="AF547" s="23" t="s">
        <v>12</v>
      </c>
      <c r="AG547" s="23" t="s">
        <v>76</v>
      </c>
      <c r="AH547" s="24">
        <v>45030</v>
      </c>
      <c r="AI547" s="23" t="str">
        <f>TEXT(Data[[#This Row],[Tanggal terjual]],"dddd")</f>
        <v>Friday</v>
      </c>
      <c r="AJ547" s="21" t="str">
        <f>TEXT(Data[[#This Row],[Tanggal terjual]],"wwww")</f>
        <v>wwww</v>
      </c>
    </row>
    <row r="548" spans="1:36" x14ac:dyDescent="0.2">
      <c r="A548" s="20">
        <v>547</v>
      </c>
      <c r="B548" s="21" t="str">
        <f>_xlfn.CONCAT("ORD-",INDEX(Helper!$B$2:$B$5,MATCH(Data[[#This Row],[Marketplace]],Helper!$A$2:$A$5,0)),TEXT(Data[[#This Row],[No]],"0000"),"-",TEXT(Data[[#This Row],[Tanggal terjual]],"dd/mm/yy"))</f>
        <v>ORD-BL0547-18/04/23</v>
      </c>
      <c r="C548" t="s">
        <v>60</v>
      </c>
      <c r="D548" t="str">
        <f>IFERROR(INDEX(Katalog!$A$3:$A$12,MATCH(Data[[#This Row],[ItemID A]],Katalog!$C$3:$C$12,0)),"-")</f>
        <v>Pakaian Wanita</v>
      </c>
      <c r="E548" t="str">
        <f>IFERROR(INDEX(Katalog!$B$3:$B$12,MATCH(Data[[#This Row],[ItemID A]],Katalog!$C$3:$C$12,0)),"-")</f>
        <v>Kaftan</v>
      </c>
      <c r="F548">
        <v>1</v>
      </c>
      <c r="G548">
        <v>1</v>
      </c>
      <c r="H548" s="36">
        <f>IFERROR(INDEX(Katalog!$D$3:$D$12,MATCH(Data[[#This Row],[ItemID A]],Katalog!$C$3:$C$12,0))*Data[[#This Row],[Qty A]],"0")</f>
        <v>250000</v>
      </c>
      <c r="I548" s="36">
        <f>IFERROR(INDEX(Katalog!$F$3:$F$12,MATCH(Data[[#This Row],[ItemID A]],Katalog!$C$3:$C$12,0))*Data[[#This Row],[Qty A]],0)</f>
        <v>100000</v>
      </c>
      <c r="J548" t="s">
        <v>66</v>
      </c>
      <c r="K548" t="str">
        <f>IFERROR(INDEX(Katalog!$A$3:$A$12,MATCH(Data[[#This Row],[ItemID B]],Katalog!$C$3:$C$12,0)),"-")</f>
        <v>Sepatu Pria</v>
      </c>
      <c r="L548" t="str">
        <f>IFERROR(INDEX(Katalog!$B$3:$B$12,MATCH(Data[[#This Row],[ItemID B]],Katalog!$C$3:$C$12,0)),"-")</f>
        <v>Sandal Slip On</v>
      </c>
      <c r="M548">
        <v>1</v>
      </c>
      <c r="N548">
        <v>1</v>
      </c>
      <c r="O548" s="36">
        <f>IFERROR(INDEX(Katalog!$D$3:$D$12,MATCH(Data[[#This Row],[ItemID B]],Katalog!$C$3:$C$12,0))*Data[[#This Row],[Qty B]],"0")</f>
        <v>150000</v>
      </c>
      <c r="P548" s="36">
        <f>IFERROR(INDEX(Katalog!$F$3:$F$12,MATCH(Data[[#This Row],[ItemID B]],Katalog!$C$3:$C$12,0))*Data[[#This Row],[Qty B]],"0")</f>
        <v>60000</v>
      </c>
      <c r="Q548" t="s">
        <v>62</v>
      </c>
      <c r="R548" t="str">
        <f>IFERROR(INDEX(Katalog!$A$3:$A$12,MATCH(Data[[#This Row],[ItemID C]],Katalog!$C$3:$C$12,0)),"-")</f>
        <v>Pakaian Pria</v>
      </c>
      <c r="S548" t="str">
        <f>IFERROR(INDEX(Katalog!$B$3:$B$12,MATCH(Data[[#This Row],[ItemID C]],Katalog!$C$3:$C$12,0)),"-")</f>
        <v>Celana Pendek</v>
      </c>
      <c r="T548">
        <v>1</v>
      </c>
      <c r="U548">
        <v>1</v>
      </c>
      <c r="V548" s="36">
        <f>IFERROR(INDEX(Katalog!$D$3:$D$12,MATCH(Data[[#This Row],[ItemID C]],Katalog!$C$3:$C$12,0))*Data[[#This Row],[Qty C]],"0")</f>
        <v>180000</v>
      </c>
      <c r="W548" s="36">
        <f>IFERROR(INDEX(Katalog!$F$3:$F$12,MATCH(Data[[#This Row],[ItemID C]],Katalog!$C$3:$C$12,0))*Data[[#This Row],[Qty C]],"0")</f>
        <v>70000</v>
      </c>
      <c r="X548" s="21">
        <f>Data[[#This Row],[Qty A]]+Data[[#This Row],[Qty B]]+Data[[#This Row],[Qty C]]</f>
        <v>3</v>
      </c>
      <c r="Y548" s="22">
        <f>Data[[#This Row],[Harga Barang A]]+Data[[#This Row],[Harga Barang B]]+Data[[#This Row],[Harga Barang C]]</f>
        <v>580000</v>
      </c>
      <c r="Z548" s="35">
        <f>IFERROR(Data[[#This Row],[Total Harga]]-(Data[[#This Row],[Total Harga]]*Data[[#This Row],[Diskon]]),Data[[#This Row],[Total Harga]])</f>
        <v>493000</v>
      </c>
      <c r="AA548" s="35">
        <f>(Data[[#This Row],[Profit A]]+Data[[#This Row],[Profit B]]+Data[[#This Row],[Profit C]])</f>
        <v>230000</v>
      </c>
      <c r="AB548" s="35">
        <f>IFERROR((Data[[#This Row],[Profit non Diskon]]-(Data[[#This Row],[Profit non Diskon]]*Data[[#This Row],[Diskon]])),Data[[#This Row],[Profit non Diskon]])</f>
        <v>195500</v>
      </c>
      <c r="AC548" s="23" t="s">
        <v>32</v>
      </c>
      <c r="AD548" s="37">
        <f>IFERROR(INDEX('Kode Diskon'!$D$3:$D$9,MATCH(Data[[#This Row],[Kode diskon]],'Kode Diskon'!$C$3:$C$9,0)),"-")</f>
        <v>0.15</v>
      </c>
      <c r="AE548" s="23" t="s">
        <v>9</v>
      </c>
      <c r="AF548" s="23" t="s">
        <v>12</v>
      </c>
      <c r="AG548" s="23" t="s">
        <v>75</v>
      </c>
      <c r="AH548" s="24">
        <v>45034</v>
      </c>
      <c r="AI548" s="23" t="str">
        <f>TEXT(Data[[#This Row],[Tanggal terjual]],"dddd")</f>
        <v>Tuesday</v>
      </c>
      <c r="AJ548" s="21" t="str">
        <f>TEXT(Data[[#This Row],[Tanggal terjual]],"wwww")</f>
        <v>wwww</v>
      </c>
    </row>
    <row r="549" spans="1:36" x14ac:dyDescent="0.2">
      <c r="A549" s="20">
        <v>548</v>
      </c>
      <c r="B549" s="21" t="str">
        <f>_xlfn.CONCAT("ORD-",INDEX(Helper!$B$2:$B$5,MATCH(Data[[#This Row],[Marketplace]],Helper!$A$2:$A$5,0)),TEXT(Data[[#This Row],[No]],"0000"),"-",TEXT(Data[[#This Row],[Tanggal terjual]],"dd/mm/yy"))</f>
        <v>ORD-TK0548-05/04/23</v>
      </c>
      <c r="C549" t="s">
        <v>64</v>
      </c>
      <c r="D549" t="str">
        <f>IFERROR(INDEX(Katalog!$A$3:$A$12,MATCH(Data[[#This Row],[ItemID A]],Katalog!$C$3:$C$12,0)),"-")</f>
        <v>Pakaian Unisex</v>
      </c>
      <c r="E549" t="str">
        <f>IFERROR(INDEX(Katalog!$B$3:$B$12,MATCH(Data[[#This Row],[ItemID A]],Katalog!$C$3:$C$12,0)),"-")</f>
        <v>Jaket Hoodie</v>
      </c>
      <c r="F549">
        <v>6</v>
      </c>
      <c r="G549">
        <v>3</v>
      </c>
      <c r="H549" s="36">
        <f>IFERROR(INDEX(Katalog!$D$3:$D$12,MATCH(Data[[#This Row],[ItemID A]],Katalog!$C$3:$C$12,0))*Data[[#This Row],[Qty A]],"0")</f>
        <v>2100000</v>
      </c>
      <c r="I549" s="36">
        <f>IFERROR(INDEX(Katalog!$F$3:$F$12,MATCH(Data[[#This Row],[ItemID A]],Katalog!$C$3:$C$12,0))*Data[[#This Row],[Qty A]],0)</f>
        <v>780000</v>
      </c>
      <c r="K549" t="str">
        <f>IFERROR(INDEX(Katalog!$A$3:$A$12,MATCH(Data[[#This Row],[ItemID B]],Katalog!$C$3:$C$12,0)),"-")</f>
        <v>-</v>
      </c>
      <c r="L549" t="str">
        <f>IFERROR(INDEX(Katalog!$B$3:$B$12,MATCH(Data[[#This Row],[ItemID B]],Katalog!$C$3:$C$12,0)),"-")</f>
        <v>-</v>
      </c>
      <c r="O549" s="36" t="str">
        <f>IFERROR(INDEX(Katalog!$D$3:$D$12,MATCH(Data[[#This Row],[ItemID B]],Katalog!$C$3:$C$12,0))*Data[[#This Row],[Qty B]],"0")</f>
        <v>0</v>
      </c>
      <c r="P549" s="36" t="str">
        <f>IFERROR(INDEX(Katalog!$F$3:$F$12,MATCH(Data[[#This Row],[ItemID B]],Katalog!$C$3:$C$12,0))*Data[[#This Row],[Qty B]],"0")</f>
        <v>0</v>
      </c>
      <c r="R549" t="str">
        <f>IFERROR(INDEX(Katalog!$A$3:$A$12,MATCH(Data[[#This Row],[ItemID C]],Katalog!$C$3:$C$12,0)),"-")</f>
        <v>-</v>
      </c>
      <c r="S549" t="str">
        <f>IFERROR(INDEX(Katalog!$B$3:$B$12,MATCH(Data[[#This Row],[ItemID C]],Katalog!$C$3:$C$12,0)),"-")</f>
        <v>-</v>
      </c>
      <c r="V549" s="36" t="str">
        <f>IFERROR(INDEX(Katalog!$D$3:$D$12,MATCH(Data[[#This Row],[ItemID C]],Katalog!$C$3:$C$12,0))*Data[[#This Row],[Qty C]],"0")</f>
        <v>0</v>
      </c>
      <c r="W549" s="36" t="str">
        <f>IFERROR(INDEX(Katalog!$F$3:$F$12,MATCH(Data[[#This Row],[ItemID C]],Katalog!$C$3:$C$12,0))*Data[[#This Row],[Qty C]],"0")</f>
        <v>0</v>
      </c>
      <c r="X549" s="21">
        <f>Data[[#This Row],[Qty A]]+Data[[#This Row],[Qty B]]+Data[[#This Row],[Qty C]]</f>
        <v>6</v>
      </c>
      <c r="Y549" s="22">
        <f>Data[[#This Row],[Harga Barang A]]+Data[[#This Row],[Harga Barang B]]+Data[[#This Row],[Harga Barang C]]</f>
        <v>2100000</v>
      </c>
      <c r="Z549" s="35">
        <f>IFERROR(Data[[#This Row],[Total Harga]]-(Data[[#This Row],[Total Harga]]*Data[[#This Row],[Diskon]]),Data[[#This Row],[Total Harga]])</f>
        <v>1890000</v>
      </c>
      <c r="AA549" s="35">
        <f>(Data[[#This Row],[Profit A]]+Data[[#This Row],[Profit B]]+Data[[#This Row],[Profit C]])</f>
        <v>780000</v>
      </c>
      <c r="AB549" s="35">
        <f>IFERROR((Data[[#This Row],[Profit non Diskon]]-(Data[[#This Row],[Profit non Diskon]]*Data[[#This Row],[Diskon]])),Data[[#This Row],[Profit non Diskon]])</f>
        <v>702000</v>
      </c>
      <c r="AC549" s="23" t="s">
        <v>30</v>
      </c>
      <c r="AD549" s="37">
        <f>IFERROR(INDEX('Kode Diskon'!$D$3:$D$9,MATCH(Data[[#This Row],[Kode diskon]],'Kode Diskon'!$C$3:$C$9,0)),"-")</f>
        <v>0.1</v>
      </c>
      <c r="AE549" s="23" t="s">
        <v>29</v>
      </c>
      <c r="AF549" s="23" t="s">
        <v>10</v>
      </c>
      <c r="AG549" s="23" t="s">
        <v>75</v>
      </c>
      <c r="AH549" s="24">
        <v>45021</v>
      </c>
      <c r="AI549" s="23" t="str">
        <f>TEXT(Data[[#This Row],[Tanggal terjual]],"dddd")</f>
        <v>Wednesday</v>
      </c>
      <c r="AJ549" s="21" t="str">
        <f>TEXT(Data[[#This Row],[Tanggal terjual]],"wwww")</f>
        <v>wwww</v>
      </c>
    </row>
    <row r="550" spans="1:36" x14ac:dyDescent="0.2">
      <c r="A550" s="20">
        <v>549</v>
      </c>
      <c r="B550" s="21" t="str">
        <f>_xlfn.CONCAT("ORD-",INDEX(Helper!$B$2:$B$5,MATCH(Data[[#This Row],[Marketplace]],Helper!$A$2:$A$5,0)),TEXT(Data[[#This Row],[No]],"0000"),"-",TEXT(Data[[#This Row],[Tanggal terjual]],"dd/mm/yy"))</f>
        <v>ORD-SP0549-02/04/23</v>
      </c>
      <c r="C550" t="s">
        <v>59</v>
      </c>
      <c r="D550" t="str">
        <f>IFERROR(INDEX(Katalog!$A$3:$A$12,MATCH(Data[[#This Row],[ItemID A]],Katalog!$C$3:$C$12,0)),"-")</f>
        <v>Pakaian Wanita</v>
      </c>
      <c r="E550" t="str">
        <f>IFERROR(INDEX(Katalog!$B$3:$B$12,MATCH(Data[[#This Row],[ItemID A]],Katalog!$C$3:$C$12,0)),"-")</f>
        <v>Blouse</v>
      </c>
      <c r="F550">
        <v>3</v>
      </c>
      <c r="G550">
        <v>1</v>
      </c>
      <c r="H550" s="36">
        <f>IFERROR(INDEX(Katalog!$D$3:$D$12,MATCH(Data[[#This Row],[ItemID A]],Katalog!$C$3:$C$12,0))*Data[[#This Row],[Qty A]],"0")</f>
        <v>450000</v>
      </c>
      <c r="I550" s="36">
        <f>IFERROR(INDEX(Katalog!$F$3:$F$12,MATCH(Data[[#This Row],[ItemID A]],Katalog!$C$3:$C$12,0))*Data[[#This Row],[Qty A]],0)</f>
        <v>150000</v>
      </c>
      <c r="J550" t="s">
        <v>63</v>
      </c>
      <c r="K550" t="str">
        <f>IFERROR(INDEX(Katalog!$A$3:$A$12,MATCH(Data[[#This Row],[ItemID B]],Katalog!$C$3:$C$12,0)),"-")</f>
        <v>Pakaian Pria</v>
      </c>
      <c r="L550" t="str">
        <f>IFERROR(INDEX(Katalog!$B$3:$B$12,MATCH(Data[[#This Row],[ItemID B]],Katalog!$C$3:$C$12,0)),"-")</f>
        <v>Jaket Jeans</v>
      </c>
      <c r="M550">
        <v>2</v>
      </c>
      <c r="N550">
        <v>5</v>
      </c>
      <c r="O550" s="36">
        <f>IFERROR(INDEX(Katalog!$D$3:$D$12,MATCH(Data[[#This Row],[ItemID B]],Katalog!$C$3:$C$12,0))*Data[[#This Row],[Qty B]],"0")</f>
        <v>800000</v>
      </c>
      <c r="P550" s="36">
        <f>IFERROR(INDEX(Katalog!$F$3:$F$12,MATCH(Data[[#This Row],[ItemID B]],Katalog!$C$3:$C$12,0))*Data[[#This Row],[Qty B]],"0")</f>
        <v>300000</v>
      </c>
      <c r="R550" t="str">
        <f>IFERROR(INDEX(Katalog!$A$3:$A$12,MATCH(Data[[#This Row],[ItemID C]],Katalog!$C$3:$C$12,0)),"-")</f>
        <v>-</v>
      </c>
      <c r="S550" t="str">
        <f>IFERROR(INDEX(Katalog!$B$3:$B$12,MATCH(Data[[#This Row],[ItemID C]],Katalog!$C$3:$C$12,0)),"-")</f>
        <v>-</v>
      </c>
      <c r="V550" s="36" t="str">
        <f>IFERROR(INDEX(Katalog!$D$3:$D$12,MATCH(Data[[#This Row],[ItemID C]],Katalog!$C$3:$C$12,0))*Data[[#This Row],[Qty C]],"0")</f>
        <v>0</v>
      </c>
      <c r="W550" s="36" t="str">
        <f>IFERROR(INDEX(Katalog!$F$3:$F$12,MATCH(Data[[#This Row],[ItemID C]],Katalog!$C$3:$C$12,0))*Data[[#This Row],[Qty C]],"0")</f>
        <v>0</v>
      </c>
      <c r="X550" s="21">
        <f>Data[[#This Row],[Qty A]]+Data[[#This Row],[Qty B]]+Data[[#This Row],[Qty C]]</f>
        <v>5</v>
      </c>
      <c r="Y550" s="22">
        <f>Data[[#This Row],[Harga Barang A]]+Data[[#This Row],[Harga Barang B]]+Data[[#This Row],[Harga Barang C]]</f>
        <v>1250000</v>
      </c>
      <c r="Z550" s="35">
        <f>IFERROR(Data[[#This Row],[Total Harga]]-(Data[[#This Row],[Total Harga]]*Data[[#This Row],[Diskon]]),Data[[#This Row],[Total Harga]])</f>
        <v>1062500</v>
      </c>
      <c r="AA550" s="35">
        <f>(Data[[#This Row],[Profit A]]+Data[[#This Row],[Profit B]]+Data[[#This Row],[Profit C]])</f>
        <v>450000</v>
      </c>
      <c r="AB550" s="35">
        <f>IFERROR((Data[[#This Row],[Profit non Diskon]]-(Data[[#This Row],[Profit non Diskon]]*Data[[#This Row],[Diskon]])),Data[[#This Row],[Profit non Diskon]])</f>
        <v>382500</v>
      </c>
      <c r="AC550" s="23" t="s">
        <v>13</v>
      </c>
      <c r="AD550" s="37">
        <f>IFERROR(INDEX('Kode Diskon'!$D$3:$D$9,MATCH(Data[[#This Row],[Kode diskon]],'Kode Diskon'!$C$3:$C$9,0)),"-")</f>
        <v>0.15</v>
      </c>
      <c r="AE550" s="23" t="s">
        <v>29</v>
      </c>
      <c r="AF550" s="23" t="s">
        <v>7</v>
      </c>
      <c r="AG550" s="23" t="s">
        <v>80</v>
      </c>
      <c r="AH550" s="24">
        <v>45018</v>
      </c>
      <c r="AI550" s="23" t="str">
        <f>TEXT(Data[[#This Row],[Tanggal terjual]],"dddd")</f>
        <v>Sunday</v>
      </c>
      <c r="AJ550" s="21" t="str">
        <f>TEXT(Data[[#This Row],[Tanggal terjual]],"wwww")</f>
        <v>wwww</v>
      </c>
    </row>
    <row r="551" spans="1:36" x14ac:dyDescent="0.2">
      <c r="A551" s="20">
        <v>550</v>
      </c>
      <c r="B551" s="21" t="str">
        <f>_xlfn.CONCAT("ORD-",INDEX(Helper!$B$2:$B$5,MATCH(Data[[#This Row],[Marketplace]],Helper!$A$2:$A$5,0)),TEXT(Data[[#This Row],[No]],"0000"),"-",TEXT(Data[[#This Row],[Tanggal terjual]],"dd/mm/yy"))</f>
        <v>ORD-SP0550-04/04/23</v>
      </c>
      <c r="C551" t="s">
        <v>61</v>
      </c>
      <c r="D551" t="str">
        <f>IFERROR(INDEX(Katalog!$A$3:$A$12,MATCH(Data[[#This Row],[ItemID A]],Katalog!$C$3:$C$12,0)),"-")</f>
        <v>Pakaian Pria</v>
      </c>
      <c r="E551" t="str">
        <f>IFERROR(INDEX(Katalog!$B$3:$B$12,MATCH(Data[[#This Row],[ItemID A]],Katalog!$C$3:$C$12,0)),"-")</f>
        <v>Kaos Polo</v>
      </c>
      <c r="F551">
        <v>1</v>
      </c>
      <c r="G551">
        <v>1</v>
      </c>
      <c r="H551" s="36">
        <f>IFERROR(INDEX(Katalog!$D$3:$D$12,MATCH(Data[[#This Row],[ItemID A]],Katalog!$C$3:$C$12,0))*Data[[#This Row],[Qty A]],"0")</f>
        <v>200000</v>
      </c>
      <c r="I551" s="36">
        <f>IFERROR(INDEX(Katalog!$F$3:$F$12,MATCH(Data[[#This Row],[ItemID A]],Katalog!$C$3:$C$12,0))*Data[[#This Row],[Qty A]],0)</f>
        <v>80000</v>
      </c>
      <c r="K551" t="str">
        <f>IFERROR(INDEX(Katalog!$A$3:$A$12,MATCH(Data[[#This Row],[ItemID B]],Katalog!$C$3:$C$12,0)),"-")</f>
        <v>-</v>
      </c>
      <c r="L551" t="str">
        <f>IFERROR(INDEX(Katalog!$B$3:$B$12,MATCH(Data[[#This Row],[ItemID B]],Katalog!$C$3:$C$12,0)),"-")</f>
        <v>-</v>
      </c>
      <c r="O551" s="36" t="str">
        <f>IFERROR(INDEX(Katalog!$D$3:$D$12,MATCH(Data[[#This Row],[ItemID B]],Katalog!$C$3:$C$12,0))*Data[[#This Row],[Qty B]],"0")</f>
        <v>0</v>
      </c>
      <c r="P551" s="36" t="str">
        <f>IFERROR(INDEX(Katalog!$F$3:$F$12,MATCH(Data[[#This Row],[ItemID B]],Katalog!$C$3:$C$12,0))*Data[[#This Row],[Qty B]],"0")</f>
        <v>0</v>
      </c>
      <c r="R551" t="str">
        <f>IFERROR(INDEX(Katalog!$A$3:$A$12,MATCH(Data[[#This Row],[ItemID C]],Katalog!$C$3:$C$12,0)),"-")</f>
        <v>-</v>
      </c>
      <c r="S551" t="str">
        <f>IFERROR(INDEX(Katalog!$B$3:$B$12,MATCH(Data[[#This Row],[ItemID C]],Katalog!$C$3:$C$12,0)),"-")</f>
        <v>-</v>
      </c>
      <c r="V551" s="36" t="str">
        <f>IFERROR(INDEX(Katalog!$D$3:$D$12,MATCH(Data[[#This Row],[ItemID C]],Katalog!$C$3:$C$12,0))*Data[[#This Row],[Qty C]],"0")</f>
        <v>0</v>
      </c>
      <c r="W551" s="36" t="str">
        <f>IFERROR(INDEX(Katalog!$F$3:$F$12,MATCH(Data[[#This Row],[ItemID C]],Katalog!$C$3:$C$12,0))*Data[[#This Row],[Qty C]],"0")</f>
        <v>0</v>
      </c>
      <c r="X551" s="21">
        <f>Data[[#This Row],[Qty A]]+Data[[#This Row],[Qty B]]+Data[[#This Row],[Qty C]]</f>
        <v>1</v>
      </c>
      <c r="Y551" s="22">
        <f>Data[[#This Row],[Harga Barang A]]+Data[[#This Row],[Harga Barang B]]+Data[[#This Row],[Harga Barang C]]</f>
        <v>200000</v>
      </c>
      <c r="Z551" s="35">
        <f>IFERROR(Data[[#This Row],[Total Harga]]-(Data[[#This Row],[Total Harga]]*Data[[#This Row],[Diskon]]),Data[[#This Row],[Total Harga]])</f>
        <v>170000</v>
      </c>
      <c r="AA551" s="35">
        <f>(Data[[#This Row],[Profit A]]+Data[[#This Row],[Profit B]]+Data[[#This Row],[Profit C]])</f>
        <v>80000</v>
      </c>
      <c r="AB551" s="35">
        <f>IFERROR((Data[[#This Row],[Profit non Diskon]]-(Data[[#This Row],[Profit non Diskon]]*Data[[#This Row],[Diskon]])),Data[[#This Row],[Profit non Diskon]])</f>
        <v>68000</v>
      </c>
      <c r="AC551" s="23" t="s">
        <v>13</v>
      </c>
      <c r="AD551" s="37">
        <f>IFERROR(INDEX('Kode Diskon'!$D$3:$D$9,MATCH(Data[[#This Row],[Kode diskon]],'Kode Diskon'!$C$3:$C$9,0)),"-")</f>
        <v>0.15</v>
      </c>
      <c r="AE551" s="23" t="s">
        <v>29</v>
      </c>
      <c r="AF551" s="23" t="s">
        <v>7</v>
      </c>
      <c r="AG551" s="23" t="s">
        <v>78</v>
      </c>
      <c r="AH551" s="24">
        <v>45020</v>
      </c>
      <c r="AI551" s="23" t="str">
        <f>TEXT(Data[[#This Row],[Tanggal terjual]],"dddd")</f>
        <v>Tuesday</v>
      </c>
      <c r="AJ551" s="21" t="str">
        <f>TEXT(Data[[#This Row],[Tanggal terjual]],"wwww")</f>
        <v>wwww</v>
      </c>
    </row>
    <row r="552" spans="1:36" x14ac:dyDescent="0.2">
      <c r="A552" s="20">
        <v>551</v>
      </c>
      <c r="B552" s="21" t="str">
        <f>_xlfn.CONCAT("ORD-",INDEX(Helper!$B$2:$B$5,MATCH(Data[[#This Row],[Marketplace]],Helper!$A$2:$A$5,0)),TEXT(Data[[#This Row],[No]],"0000"),"-",TEXT(Data[[#This Row],[Tanggal terjual]],"dd/mm/yy"))</f>
        <v>ORD-SP0551-24/04/23</v>
      </c>
      <c r="C552" t="s">
        <v>61</v>
      </c>
      <c r="D552" t="str">
        <f>IFERROR(INDEX(Katalog!$A$3:$A$12,MATCH(Data[[#This Row],[ItemID A]],Katalog!$C$3:$C$12,0)),"-")</f>
        <v>Pakaian Pria</v>
      </c>
      <c r="E552" t="str">
        <f>IFERROR(INDEX(Katalog!$B$3:$B$12,MATCH(Data[[#This Row],[ItemID A]],Katalog!$C$3:$C$12,0)),"-")</f>
        <v>Kaos Polo</v>
      </c>
      <c r="F552">
        <v>3</v>
      </c>
      <c r="G552">
        <v>3</v>
      </c>
      <c r="H552" s="36">
        <f>IFERROR(INDEX(Katalog!$D$3:$D$12,MATCH(Data[[#This Row],[ItemID A]],Katalog!$C$3:$C$12,0))*Data[[#This Row],[Qty A]],"0")</f>
        <v>600000</v>
      </c>
      <c r="I552" s="36">
        <f>IFERROR(INDEX(Katalog!$F$3:$F$12,MATCH(Data[[#This Row],[ItemID A]],Katalog!$C$3:$C$12,0))*Data[[#This Row],[Qty A]],0)</f>
        <v>240000</v>
      </c>
      <c r="J552" t="s">
        <v>60</v>
      </c>
      <c r="K552" t="str">
        <f>IFERROR(INDEX(Katalog!$A$3:$A$12,MATCH(Data[[#This Row],[ItemID B]],Katalog!$C$3:$C$12,0)),"-")</f>
        <v>Pakaian Wanita</v>
      </c>
      <c r="L552" t="str">
        <f>IFERROR(INDEX(Katalog!$B$3:$B$12,MATCH(Data[[#This Row],[ItemID B]],Katalog!$C$3:$C$12,0)),"-")</f>
        <v>Kaftan</v>
      </c>
      <c r="M552">
        <v>1</v>
      </c>
      <c r="N552">
        <v>2</v>
      </c>
      <c r="O552" s="36">
        <f>IFERROR(INDEX(Katalog!$D$3:$D$12,MATCH(Data[[#This Row],[ItemID B]],Katalog!$C$3:$C$12,0))*Data[[#This Row],[Qty B]],"0")</f>
        <v>250000</v>
      </c>
      <c r="P552" s="36">
        <f>IFERROR(INDEX(Katalog!$F$3:$F$12,MATCH(Data[[#This Row],[ItemID B]],Katalog!$C$3:$C$12,0))*Data[[#This Row],[Qty B]],"0")</f>
        <v>100000</v>
      </c>
      <c r="Q552" t="s">
        <v>59</v>
      </c>
      <c r="R552" t="str">
        <f>IFERROR(INDEX(Katalog!$A$3:$A$12,MATCH(Data[[#This Row],[ItemID C]],Katalog!$C$3:$C$12,0)),"-")</f>
        <v>Pakaian Wanita</v>
      </c>
      <c r="S552" t="str">
        <f>IFERROR(INDEX(Katalog!$B$3:$B$12,MATCH(Data[[#This Row],[ItemID C]],Katalog!$C$3:$C$12,0)),"-")</f>
        <v>Blouse</v>
      </c>
      <c r="T552">
        <v>1</v>
      </c>
      <c r="U552">
        <v>5</v>
      </c>
      <c r="V552" s="36">
        <f>IFERROR(INDEX(Katalog!$D$3:$D$12,MATCH(Data[[#This Row],[ItemID C]],Katalog!$C$3:$C$12,0))*Data[[#This Row],[Qty C]],"0")</f>
        <v>150000</v>
      </c>
      <c r="W552" s="36">
        <f>IFERROR(INDEX(Katalog!$F$3:$F$12,MATCH(Data[[#This Row],[ItemID C]],Katalog!$C$3:$C$12,0))*Data[[#This Row],[Qty C]],"0")</f>
        <v>50000</v>
      </c>
      <c r="X552" s="21">
        <f>Data[[#This Row],[Qty A]]+Data[[#This Row],[Qty B]]+Data[[#This Row],[Qty C]]</f>
        <v>5</v>
      </c>
      <c r="Y552" s="22">
        <f>Data[[#This Row],[Harga Barang A]]+Data[[#This Row],[Harga Barang B]]+Data[[#This Row],[Harga Barang C]]</f>
        <v>1000000</v>
      </c>
      <c r="Z552" s="35">
        <f>IFERROR(Data[[#This Row],[Total Harga]]-(Data[[#This Row],[Total Harga]]*Data[[#This Row],[Diskon]]),Data[[#This Row],[Total Harga]])</f>
        <v>800000</v>
      </c>
      <c r="AA552" s="35">
        <f>(Data[[#This Row],[Profit A]]+Data[[#This Row],[Profit B]]+Data[[#This Row],[Profit C]])</f>
        <v>390000</v>
      </c>
      <c r="AB552" s="35">
        <f>IFERROR((Data[[#This Row],[Profit non Diskon]]-(Data[[#This Row],[Profit non Diskon]]*Data[[#This Row],[Diskon]])),Data[[#This Row],[Profit non Diskon]])</f>
        <v>312000</v>
      </c>
      <c r="AC552" s="23" t="s">
        <v>8</v>
      </c>
      <c r="AD552" s="37">
        <f>IFERROR(INDEX('Kode Diskon'!$D$3:$D$9,MATCH(Data[[#This Row],[Kode diskon]],'Kode Diskon'!$C$3:$C$9,0)),"-")</f>
        <v>0.2</v>
      </c>
      <c r="AE552" s="23" t="s">
        <v>9</v>
      </c>
      <c r="AF552" s="23" t="s">
        <v>7</v>
      </c>
      <c r="AG552" s="23" t="s">
        <v>77</v>
      </c>
      <c r="AH552" s="24">
        <v>45040</v>
      </c>
      <c r="AI552" s="23" t="str">
        <f>TEXT(Data[[#This Row],[Tanggal terjual]],"dddd")</f>
        <v>Monday</v>
      </c>
      <c r="AJ552" s="21" t="str">
        <f>TEXT(Data[[#This Row],[Tanggal terjual]],"wwww")</f>
        <v>wwww</v>
      </c>
    </row>
    <row r="553" spans="1:36" x14ac:dyDescent="0.2">
      <c r="A553" s="20">
        <v>552</v>
      </c>
      <c r="B553" s="21" t="str">
        <f>_xlfn.CONCAT("ORD-",INDEX(Helper!$B$2:$B$5,MATCH(Data[[#This Row],[Marketplace]],Helper!$A$2:$A$5,0)),TEXT(Data[[#This Row],[No]],"0000"),"-",TEXT(Data[[#This Row],[Tanggal terjual]],"dd/mm/yy"))</f>
        <v>ORD-TK0552-01/04/23</v>
      </c>
      <c r="C553" t="s">
        <v>66</v>
      </c>
      <c r="D553" t="str">
        <f>IFERROR(INDEX(Katalog!$A$3:$A$12,MATCH(Data[[#This Row],[ItemID A]],Katalog!$C$3:$C$12,0)),"-")</f>
        <v>Sepatu Pria</v>
      </c>
      <c r="E553" t="str">
        <f>IFERROR(INDEX(Katalog!$B$3:$B$12,MATCH(Data[[#This Row],[ItemID A]],Katalog!$C$3:$C$12,0)),"-")</f>
        <v>Sandal Slip On</v>
      </c>
      <c r="F553">
        <v>1</v>
      </c>
      <c r="G553">
        <v>3</v>
      </c>
      <c r="H553" s="36">
        <f>IFERROR(INDEX(Katalog!$D$3:$D$12,MATCH(Data[[#This Row],[ItemID A]],Katalog!$C$3:$C$12,0))*Data[[#This Row],[Qty A]],"0")</f>
        <v>150000</v>
      </c>
      <c r="I553" s="36">
        <f>IFERROR(INDEX(Katalog!$F$3:$F$12,MATCH(Data[[#This Row],[ItemID A]],Katalog!$C$3:$C$12,0))*Data[[#This Row],[Qty A]],0)</f>
        <v>60000</v>
      </c>
      <c r="K553" t="str">
        <f>IFERROR(INDEX(Katalog!$A$3:$A$12,MATCH(Data[[#This Row],[ItemID B]],Katalog!$C$3:$C$12,0)),"-")</f>
        <v>-</v>
      </c>
      <c r="L553" t="str">
        <f>IFERROR(INDEX(Katalog!$B$3:$B$12,MATCH(Data[[#This Row],[ItemID B]],Katalog!$C$3:$C$12,0)),"-")</f>
        <v>-</v>
      </c>
      <c r="O553" s="36" t="str">
        <f>IFERROR(INDEX(Katalog!$D$3:$D$12,MATCH(Data[[#This Row],[ItemID B]],Katalog!$C$3:$C$12,0))*Data[[#This Row],[Qty B]],"0")</f>
        <v>0</v>
      </c>
      <c r="P553" s="36" t="str">
        <f>IFERROR(INDEX(Katalog!$F$3:$F$12,MATCH(Data[[#This Row],[ItemID B]],Katalog!$C$3:$C$12,0))*Data[[#This Row],[Qty B]],"0")</f>
        <v>0</v>
      </c>
      <c r="R553" t="str">
        <f>IFERROR(INDEX(Katalog!$A$3:$A$12,MATCH(Data[[#This Row],[ItemID C]],Katalog!$C$3:$C$12,0)),"-")</f>
        <v>-</v>
      </c>
      <c r="S553" t="str">
        <f>IFERROR(INDEX(Katalog!$B$3:$B$12,MATCH(Data[[#This Row],[ItemID C]],Katalog!$C$3:$C$12,0)),"-")</f>
        <v>-</v>
      </c>
      <c r="V553" s="36" t="str">
        <f>IFERROR(INDEX(Katalog!$D$3:$D$12,MATCH(Data[[#This Row],[ItemID C]],Katalog!$C$3:$C$12,0))*Data[[#This Row],[Qty C]],"0")</f>
        <v>0</v>
      </c>
      <c r="W553" s="36" t="str">
        <f>IFERROR(INDEX(Katalog!$F$3:$F$12,MATCH(Data[[#This Row],[ItemID C]],Katalog!$C$3:$C$12,0))*Data[[#This Row],[Qty C]],"0")</f>
        <v>0</v>
      </c>
      <c r="X553" s="21">
        <f>Data[[#This Row],[Qty A]]+Data[[#This Row],[Qty B]]+Data[[#This Row],[Qty C]]</f>
        <v>1</v>
      </c>
      <c r="Y553" s="22">
        <f>Data[[#This Row],[Harga Barang A]]+Data[[#This Row],[Harga Barang B]]+Data[[#This Row],[Harga Barang C]]</f>
        <v>150000</v>
      </c>
      <c r="Z553" s="35">
        <f>IFERROR(Data[[#This Row],[Total Harga]]-(Data[[#This Row],[Total Harga]]*Data[[#This Row],[Diskon]]),Data[[#This Row],[Total Harga]])</f>
        <v>135000</v>
      </c>
      <c r="AA553" s="35">
        <f>(Data[[#This Row],[Profit A]]+Data[[#This Row],[Profit B]]+Data[[#This Row],[Profit C]])</f>
        <v>60000</v>
      </c>
      <c r="AB553" s="35">
        <f>IFERROR((Data[[#This Row],[Profit non Diskon]]-(Data[[#This Row],[Profit non Diskon]]*Data[[#This Row],[Diskon]])),Data[[#This Row],[Profit non Diskon]])</f>
        <v>54000</v>
      </c>
      <c r="AC553" s="23" t="s">
        <v>30</v>
      </c>
      <c r="AD553" s="37">
        <f>IFERROR(INDEX('Kode Diskon'!$D$3:$D$9,MATCH(Data[[#This Row],[Kode diskon]],'Kode Diskon'!$C$3:$C$9,0)),"-")</f>
        <v>0.1</v>
      </c>
      <c r="AE553" s="23" t="s">
        <v>29</v>
      </c>
      <c r="AF553" s="23" t="s">
        <v>10</v>
      </c>
      <c r="AG553" s="23" t="s">
        <v>80</v>
      </c>
      <c r="AH553" s="24">
        <v>45017</v>
      </c>
      <c r="AI553" s="23" t="str">
        <f>TEXT(Data[[#This Row],[Tanggal terjual]],"dddd")</f>
        <v>Saturday</v>
      </c>
      <c r="AJ553" s="21" t="str">
        <f>TEXT(Data[[#This Row],[Tanggal terjual]],"wwww")</f>
        <v>wwww</v>
      </c>
    </row>
    <row r="554" spans="1:36" x14ac:dyDescent="0.2">
      <c r="A554" s="20">
        <v>553</v>
      </c>
      <c r="B554" s="21" t="str">
        <f>_xlfn.CONCAT("ORD-",INDEX(Helper!$B$2:$B$5,MATCH(Data[[#This Row],[Marketplace]],Helper!$A$2:$A$5,0)),TEXT(Data[[#This Row],[No]],"0000"),"-",TEXT(Data[[#This Row],[Tanggal terjual]],"dd/mm/yy"))</f>
        <v>ORD-BL0553-29/04/23</v>
      </c>
      <c r="C554" t="s">
        <v>66</v>
      </c>
      <c r="D554" t="str">
        <f>IFERROR(INDEX(Katalog!$A$3:$A$12,MATCH(Data[[#This Row],[ItemID A]],Katalog!$C$3:$C$12,0)),"-")</f>
        <v>Sepatu Pria</v>
      </c>
      <c r="E554" t="str">
        <f>IFERROR(INDEX(Katalog!$B$3:$B$12,MATCH(Data[[#This Row],[ItemID A]],Katalog!$C$3:$C$12,0)),"-")</f>
        <v>Sandal Slip On</v>
      </c>
      <c r="F554">
        <v>1</v>
      </c>
      <c r="G554">
        <v>4</v>
      </c>
      <c r="H554" s="36">
        <f>IFERROR(INDEX(Katalog!$D$3:$D$12,MATCH(Data[[#This Row],[ItemID A]],Katalog!$C$3:$C$12,0))*Data[[#This Row],[Qty A]],"0")</f>
        <v>150000</v>
      </c>
      <c r="I554" s="36">
        <f>IFERROR(INDEX(Katalog!$F$3:$F$12,MATCH(Data[[#This Row],[ItemID A]],Katalog!$C$3:$C$12,0))*Data[[#This Row],[Qty A]],0)</f>
        <v>60000</v>
      </c>
      <c r="J554" t="s">
        <v>62</v>
      </c>
      <c r="K554" t="str">
        <f>IFERROR(INDEX(Katalog!$A$3:$A$12,MATCH(Data[[#This Row],[ItemID B]],Katalog!$C$3:$C$12,0)),"-")</f>
        <v>Pakaian Pria</v>
      </c>
      <c r="L554" t="str">
        <f>IFERROR(INDEX(Katalog!$B$3:$B$12,MATCH(Data[[#This Row],[ItemID B]],Katalog!$C$3:$C$12,0)),"-")</f>
        <v>Celana Pendek</v>
      </c>
      <c r="M554">
        <v>1</v>
      </c>
      <c r="N554">
        <v>4</v>
      </c>
      <c r="O554" s="36">
        <f>IFERROR(INDEX(Katalog!$D$3:$D$12,MATCH(Data[[#This Row],[ItemID B]],Katalog!$C$3:$C$12,0))*Data[[#This Row],[Qty B]],"0")</f>
        <v>180000</v>
      </c>
      <c r="P554" s="36">
        <f>IFERROR(INDEX(Katalog!$F$3:$F$12,MATCH(Data[[#This Row],[ItemID B]],Katalog!$C$3:$C$12,0))*Data[[#This Row],[Qty B]],"0")</f>
        <v>70000</v>
      </c>
      <c r="R554" t="str">
        <f>IFERROR(INDEX(Katalog!$A$3:$A$12,MATCH(Data[[#This Row],[ItemID C]],Katalog!$C$3:$C$12,0)),"-")</f>
        <v>-</v>
      </c>
      <c r="S554" t="str">
        <f>IFERROR(INDEX(Katalog!$B$3:$B$12,MATCH(Data[[#This Row],[ItemID C]],Katalog!$C$3:$C$12,0)),"-")</f>
        <v>-</v>
      </c>
      <c r="V554" s="36" t="str">
        <f>IFERROR(INDEX(Katalog!$D$3:$D$12,MATCH(Data[[#This Row],[ItemID C]],Katalog!$C$3:$C$12,0))*Data[[#This Row],[Qty C]],"0")</f>
        <v>0</v>
      </c>
      <c r="W554" s="36" t="str">
        <f>IFERROR(INDEX(Katalog!$F$3:$F$12,MATCH(Data[[#This Row],[ItemID C]],Katalog!$C$3:$C$12,0))*Data[[#This Row],[Qty C]],"0")</f>
        <v>0</v>
      </c>
      <c r="X554" s="21">
        <f>Data[[#This Row],[Qty A]]+Data[[#This Row],[Qty B]]+Data[[#This Row],[Qty C]]</f>
        <v>2</v>
      </c>
      <c r="Y554" s="22">
        <f>Data[[#This Row],[Harga Barang A]]+Data[[#This Row],[Harga Barang B]]+Data[[#This Row],[Harga Barang C]]</f>
        <v>330000</v>
      </c>
      <c r="Z554" s="35">
        <f>IFERROR(Data[[#This Row],[Total Harga]]-(Data[[#This Row],[Total Harga]]*Data[[#This Row],[Diskon]]),Data[[#This Row],[Total Harga]])</f>
        <v>280500</v>
      </c>
      <c r="AA554" s="35">
        <f>(Data[[#This Row],[Profit A]]+Data[[#This Row],[Profit B]]+Data[[#This Row],[Profit C]])</f>
        <v>130000</v>
      </c>
      <c r="AB554" s="35">
        <f>IFERROR((Data[[#This Row],[Profit non Diskon]]-(Data[[#This Row],[Profit non Diskon]]*Data[[#This Row],[Diskon]])),Data[[#This Row],[Profit non Diskon]])</f>
        <v>110500</v>
      </c>
      <c r="AC554" s="23" t="s">
        <v>32</v>
      </c>
      <c r="AD554" s="37">
        <f>IFERROR(INDEX('Kode Diskon'!$D$3:$D$9,MATCH(Data[[#This Row],[Kode diskon]],'Kode Diskon'!$C$3:$C$9,0)),"-")</f>
        <v>0.15</v>
      </c>
      <c r="AE554" s="23" t="s">
        <v>9</v>
      </c>
      <c r="AF554" s="23" t="s">
        <v>12</v>
      </c>
      <c r="AG554" s="23" t="s">
        <v>80</v>
      </c>
      <c r="AH554" s="24">
        <v>45045</v>
      </c>
      <c r="AI554" s="23" t="str">
        <f>TEXT(Data[[#This Row],[Tanggal terjual]],"dddd")</f>
        <v>Saturday</v>
      </c>
      <c r="AJ554" s="21" t="str">
        <f>TEXT(Data[[#This Row],[Tanggal terjual]],"wwww")</f>
        <v>wwww</v>
      </c>
    </row>
    <row r="555" spans="1:36" x14ac:dyDescent="0.2">
      <c r="A555" s="20">
        <v>554</v>
      </c>
      <c r="B555" s="21" t="str">
        <f>_xlfn.CONCAT("ORD-",INDEX(Helper!$B$2:$B$5,MATCH(Data[[#This Row],[Marketplace]],Helper!$A$2:$A$5,0)),TEXT(Data[[#This Row],[No]],"0000"),"-",TEXT(Data[[#This Row],[Tanggal terjual]],"dd/mm/yy"))</f>
        <v>ORD-SP0554-01/04/23</v>
      </c>
      <c r="C555" t="s">
        <v>63</v>
      </c>
      <c r="D555" t="str">
        <f>IFERROR(INDEX(Katalog!$A$3:$A$12,MATCH(Data[[#This Row],[ItemID A]],Katalog!$C$3:$C$12,0)),"-")</f>
        <v>Pakaian Pria</v>
      </c>
      <c r="E555" t="str">
        <f>IFERROR(INDEX(Katalog!$B$3:$B$12,MATCH(Data[[#This Row],[ItemID A]],Katalog!$C$3:$C$12,0)),"-")</f>
        <v>Jaket Jeans</v>
      </c>
      <c r="F555">
        <v>2</v>
      </c>
      <c r="G555">
        <v>1</v>
      </c>
      <c r="H555" s="36">
        <f>IFERROR(INDEX(Katalog!$D$3:$D$12,MATCH(Data[[#This Row],[ItemID A]],Katalog!$C$3:$C$12,0))*Data[[#This Row],[Qty A]],"0")</f>
        <v>800000</v>
      </c>
      <c r="I555" s="36">
        <f>IFERROR(INDEX(Katalog!$F$3:$F$12,MATCH(Data[[#This Row],[ItemID A]],Katalog!$C$3:$C$12,0))*Data[[#This Row],[Qty A]],0)</f>
        <v>300000</v>
      </c>
      <c r="J555" t="s">
        <v>64</v>
      </c>
      <c r="K555" t="str">
        <f>IFERROR(INDEX(Katalog!$A$3:$A$12,MATCH(Data[[#This Row],[ItemID B]],Katalog!$C$3:$C$12,0)),"-")</f>
        <v>Pakaian Unisex</v>
      </c>
      <c r="L555" t="str">
        <f>IFERROR(INDEX(Katalog!$B$3:$B$12,MATCH(Data[[#This Row],[ItemID B]],Katalog!$C$3:$C$12,0)),"-")</f>
        <v>Jaket Hoodie</v>
      </c>
      <c r="M555">
        <v>4</v>
      </c>
      <c r="N555">
        <v>4</v>
      </c>
      <c r="O555" s="36">
        <f>IFERROR(INDEX(Katalog!$D$3:$D$12,MATCH(Data[[#This Row],[ItemID B]],Katalog!$C$3:$C$12,0))*Data[[#This Row],[Qty B]],"0")</f>
        <v>1400000</v>
      </c>
      <c r="P555" s="36">
        <f>IFERROR(INDEX(Katalog!$F$3:$F$12,MATCH(Data[[#This Row],[ItemID B]],Katalog!$C$3:$C$12,0))*Data[[#This Row],[Qty B]],"0")</f>
        <v>520000</v>
      </c>
      <c r="R555" t="str">
        <f>IFERROR(INDEX(Katalog!$A$3:$A$12,MATCH(Data[[#This Row],[ItemID C]],Katalog!$C$3:$C$12,0)),"-")</f>
        <v>-</v>
      </c>
      <c r="S555" t="str">
        <f>IFERROR(INDEX(Katalog!$B$3:$B$12,MATCH(Data[[#This Row],[ItemID C]],Katalog!$C$3:$C$12,0)),"-")</f>
        <v>-</v>
      </c>
      <c r="V555" s="36" t="str">
        <f>IFERROR(INDEX(Katalog!$D$3:$D$12,MATCH(Data[[#This Row],[ItemID C]],Katalog!$C$3:$C$12,0))*Data[[#This Row],[Qty C]],"0")</f>
        <v>0</v>
      </c>
      <c r="W555" s="36" t="str">
        <f>IFERROR(INDEX(Katalog!$F$3:$F$12,MATCH(Data[[#This Row],[ItemID C]],Katalog!$C$3:$C$12,0))*Data[[#This Row],[Qty C]],"0")</f>
        <v>0</v>
      </c>
      <c r="X555" s="21">
        <f>Data[[#This Row],[Qty A]]+Data[[#This Row],[Qty B]]+Data[[#This Row],[Qty C]]</f>
        <v>6</v>
      </c>
      <c r="Y555" s="22">
        <f>Data[[#This Row],[Harga Barang A]]+Data[[#This Row],[Harga Barang B]]+Data[[#This Row],[Harga Barang C]]</f>
        <v>2200000</v>
      </c>
      <c r="Z555" s="35">
        <f>IFERROR(Data[[#This Row],[Total Harga]]-(Data[[#This Row],[Total Harga]]*Data[[#This Row],[Diskon]]),Data[[#This Row],[Total Harga]])</f>
        <v>1870000</v>
      </c>
      <c r="AA555" s="35">
        <f>(Data[[#This Row],[Profit A]]+Data[[#This Row],[Profit B]]+Data[[#This Row],[Profit C]])</f>
        <v>820000</v>
      </c>
      <c r="AB555" s="35">
        <f>IFERROR((Data[[#This Row],[Profit non Diskon]]-(Data[[#This Row],[Profit non Diskon]]*Data[[#This Row],[Diskon]])),Data[[#This Row],[Profit non Diskon]])</f>
        <v>697000</v>
      </c>
      <c r="AC555" s="23" t="s">
        <v>13</v>
      </c>
      <c r="AD555" s="37">
        <f>IFERROR(INDEX('Kode Diskon'!$D$3:$D$9,MATCH(Data[[#This Row],[Kode diskon]],'Kode Diskon'!$C$3:$C$9,0)),"-")</f>
        <v>0.15</v>
      </c>
      <c r="AE555" s="23" t="s">
        <v>29</v>
      </c>
      <c r="AF555" s="23" t="s">
        <v>7</v>
      </c>
      <c r="AG555" s="23" t="s">
        <v>80</v>
      </c>
      <c r="AH555" s="24">
        <v>45017</v>
      </c>
      <c r="AI555" s="23" t="str">
        <f>TEXT(Data[[#This Row],[Tanggal terjual]],"dddd")</f>
        <v>Saturday</v>
      </c>
      <c r="AJ555" s="21" t="str">
        <f>TEXT(Data[[#This Row],[Tanggal terjual]],"wwww")</f>
        <v>wwww</v>
      </c>
    </row>
    <row r="556" spans="1:36" x14ac:dyDescent="0.2">
      <c r="A556" s="20">
        <v>555</v>
      </c>
      <c r="B556" s="21" t="str">
        <f>_xlfn.CONCAT("ORD-",INDEX(Helper!$B$2:$B$5,MATCH(Data[[#This Row],[Marketplace]],Helper!$A$2:$A$5,0)),TEXT(Data[[#This Row],[No]],"0000"),"-",TEXT(Data[[#This Row],[Tanggal terjual]],"dd/mm/yy"))</f>
        <v>ORD-SP0555-04/04/23</v>
      </c>
      <c r="C556" t="s">
        <v>65</v>
      </c>
      <c r="D556" t="str">
        <f>IFERROR(INDEX(Katalog!$A$3:$A$12,MATCH(Data[[#This Row],[ItemID A]],Katalog!$C$3:$C$12,0)),"-")</f>
        <v>Sepatu Pria</v>
      </c>
      <c r="E556" t="str">
        <f>IFERROR(INDEX(Katalog!$B$3:$B$12,MATCH(Data[[#This Row],[ItemID A]],Katalog!$C$3:$C$12,0)),"-")</f>
        <v>Sneakers</v>
      </c>
      <c r="F556">
        <v>3</v>
      </c>
      <c r="G556">
        <v>4</v>
      </c>
      <c r="H556" s="36">
        <f>IFERROR(INDEX(Katalog!$D$3:$D$12,MATCH(Data[[#This Row],[ItemID A]],Katalog!$C$3:$C$12,0))*Data[[#This Row],[Qty A]],"0")</f>
        <v>1500000</v>
      </c>
      <c r="I556" s="36">
        <f>IFERROR(INDEX(Katalog!$F$3:$F$12,MATCH(Data[[#This Row],[ItemID A]],Katalog!$C$3:$C$12,0))*Data[[#This Row],[Qty A]],0)</f>
        <v>600000</v>
      </c>
      <c r="J556" t="s">
        <v>63</v>
      </c>
      <c r="K556" t="str">
        <f>IFERROR(INDEX(Katalog!$A$3:$A$12,MATCH(Data[[#This Row],[ItemID B]],Katalog!$C$3:$C$12,0)),"-")</f>
        <v>Pakaian Pria</v>
      </c>
      <c r="L556" t="str">
        <f>IFERROR(INDEX(Katalog!$B$3:$B$12,MATCH(Data[[#This Row],[ItemID B]],Katalog!$C$3:$C$12,0)),"-")</f>
        <v>Jaket Jeans</v>
      </c>
      <c r="M556">
        <v>1</v>
      </c>
      <c r="N556">
        <v>2</v>
      </c>
      <c r="O556" s="36">
        <f>IFERROR(INDEX(Katalog!$D$3:$D$12,MATCH(Data[[#This Row],[ItemID B]],Katalog!$C$3:$C$12,0))*Data[[#This Row],[Qty B]],"0")</f>
        <v>400000</v>
      </c>
      <c r="P556" s="36">
        <f>IFERROR(INDEX(Katalog!$F$3:$F$12,MATCH(Data[[#This Row],[ItemID B]],Katalog!$C$3:$C$12,0))*Data[[#This Row],[Qty B]],"0")</f>
        <v>150000</v>
      </c>
      <c r="Q556" t="s">
        <v>65</v>
      </c>
      <c r="R556" t="str">
        <f>IFERROR(INDEX(Katalog!$A$3:$A$12,MATCH(Data[[#This Row],[ItemID C]],Katalog!$C$3:$C$12,0)),"-")</f>
        <v>Sepatu Pria</v>
      </c>
      <c r="S556" t="str">
        <f>IFERROR(INDEX(Katalog!$B$3:$B$12,MATCH(Data[[#This Row],[ItemID C]],Katalog!$C$3:$C$12,0)),"-")</f>
        <v>Sneakers</v>
      </c>
      <c r="T556">
        <v>2</v>
      </c>
      <c r="U556">
        <v>2</v>
      </c>
      <c r="V556" s="36">
        <f>IFERROR(INDEX(Katalog!$D$3:$D$12,MATCH(Data[[#This Row],[ItemID C]],Katalog!$C$3:$C$12,0))*Data[[#This Row],[Qty C]],"0")</f>
        <v>1000000</v>
      </c>
      <c r="W556" s="36">
        <f>IFERROR(INDEX(Katalog!$F$3:$F$12,MATCH(Data[[#This Row],[ItemID C]],Katalog!$C$3:$C$12,0))*Data[[#This Row],[Qty C]],"0")</f>
        <v>400000</v>
      </c>
      <c r="X556" s="21">
        <f>Data[[#This Row],[Qty A]]+Data[[#This Row],[Qty B]]+Data[[#This Row],[Qty C]]</f>
        <v>6</v>
      </c>
      <c r="Y556" s="22">
        <f>Data[[#This Row],[Harga Barang A]]+Data[[#This Row],[Harga Barang B]]+Data[[#This Row],[Harga Barang C]]</f>
        <v>2900000</v>
      </c>
      <c r="Z556" s="35">
        <f>IFERROR(Data[[#This Row],[Total Harga]]-(Data[[#This Row],[Total Harga]]*Data[[#This Row],[Diskon]]),Data[[#This Row],[Total Harga]])</f>
        <v>2610000</v>
      </c>
      <c r="AA556" s="35">
        <f>(Data[[#This Row],[Profit A]]+Data[[#This Row],[Profit B]]+Data[[#This Row],[Profit C]])</f>
        <v>1150000</v>
      </c>
      <c r="AB556" s="35">
        <f>IFERROR((Data[[#This Row],[Profit non Diskon]]-(Data[[#This Row],[Profit non Diskon]]*Data[[#This Row],[Diskon]])),Data[[#This Row],[Profit non Diskon]])</f>
        <v>1035000</v>
      </c>
      <c r="AC556" s="23" t="s">
        <v>6</v>
      </c>
      <c r="AD556" s="37">
        <f>IFERROR(INDEX('Kode Diskon'!$D$3:$D$9,MATCH(Data[[#This Row],[Kode diskon]],'Kode Diskon'!$C$3:$C$9,0)),"-")</f>
        <v>0.1</v>
      </c>
      <c r="AE556" s="23" t="s">
        <v>29</v>
      </c>
      <c r="AF556" s="23" t="s">
        <v>7</v>
      </c>
      <c r="AG556" s="23" t="s">
        <v>79</v>
      </c>
      <c r="AH556" s="24">
        <v>45020</v>
      </c>
      <c r="AI556" s="23" t="str">
        <f>TEXT(Data[[#This Row],[Tanggal terjual]],"dddd")</f>
        <v>Tuesday</v>
      </c>
      <c r="AJ556" s="21" t="str">
        <f>TEXT(Data[[#This Row],[Tanggal terjual]],"wwww")</f>
        <v>wwww</v>
      </c>
    </row>
    <row r="557" spans="1:36" x14ac:dyDescent="0.2">
      <c r="A557" s="20">
        <v>556</v>
      </c>
      <c r="B557" s="21" t="str">
        <f>_xlfn.CONCAT("ORD-",INDEX(Helper!$B$2:$B$5,MATCH(Data[[#This Row],[Marketplace]],Helper!$A$2:$A$5,0)),TEXT(Data[[#This Row],[No]],"0000"),"-",TEXT(Data[[#This Row],[Tanggal terjual]],"dd/mm/yy"))</f>
        <v>ORD-BB0556-03/04/23</v>
      </c>
      <c r="C557" t="s">
        <v>65</v>
      </c>
      <c r="D557" t="str">
        <f>IFERROR(INDEX(Katalog!$A$3:$A$12,MATCH(Data[[#This Row],[ItemID A]],Katalog!$C$3:$C$12,0)),"-")</f>
        <v>Sepatu Pria</v>
      </c>
      <c r="E557" t="str">
        <f>IFERROR(INDEX(Katalog!$B$3:$B$12,MATCH(Data[[#This Row],[ItemID A]],Katalog!$C$3:$C$12,0)),"-")</f>
        <v>Sneakers</v>
      </c>
      <c r="F557">
        <v>5</v>
      </c>
      <c r="G557">
        <v>2</v>
      </c>
      <c r="H557" s="36">
        <f>IFERROR(INDEX(Katalog!$D$3:$D$12,MATCH(Data[[#This Row],[ItemID A]],Katalog!$C$3:$C$12,0))*Data[[#This Row],[Qty A]],"0")</f>
        <v>2500000</v>
      </c>
      <c r="I557" s="36">
        <f>IFERROR(INDEX(Katalog!$F$3:$F$12,MATCH(Data[[#This Row],[ItemID A]],Katalog!$C$3:$C$12,0))*Data[[#This Row],[Qty A]],0)</f>
        <v>1000000</v>
      </c>
      <c r="J557" t="s">
        <v>66</v>
      </c>
      <c r="K557" t="str">
        <f>IFERROR(INDEX(Katalog!$A$3:$A$12,MATCH(Data[[#This Row],[ItemID B]],Katalog!$C$3:$C$12,0)),"-")</f>
        <v>Sepatu Pria</v>
      </c>
      <c r="L557" t="str">
        <f>IFERROR(INDEX(Katalog!$B$3:$B$12,MATCH(Data[[#This Row],[ItemID B]],Katalog!$C$3:$C$12,0)),"-")</f>
        <v>Sandal Slip On</v>
      </c>
      <c r="M557">
        <v>2</v>
      </c>
      <c r="N557">
        <v>5</v>
      </c>
      <c r="O557" s="36">
        <f>IFERROR(INDEX(Katalog!$D$3:$D$12,MATCH(Data[[#This Row],[ItemID B]],Katalog!$C$3:$C$12,0))*Data[[#This Row],[Qty B]],"0")</f>
        <v>300000</v>
      </c>
      <c r="P557" s="36">
        <f>IFERROR(INDEX(Katalog!$F$3:$F$12,MATCH(Data[[#This Row],[ItemID B]],Katalog!$C$3:$C$12,0))*Data[[#This Row],[Qty B]],"0")</f>
        <v>120000</v>
      </c>
      <c r="R557" t="str">
        <f>IFERROR(INDEX(Katalog!$A$3:$A$12,MATCH(Data[[#This Row],[ItemID C]],Katalog!$C$3:$C$12,0)),"-")</f>
        <v>-</v>
      </c>
      <c r="S557" t="str">
        <f>IFERROR(INDEX(Katalog!$B$3:$B$12,MATCH(Data[[#This Row],[ItemID C]],Katalog!$C$3:$C$12,0)),"-")</f>
        <v>-</v>
      </c>
      <c r="V557" s="36" t="str">
        <f>IFERROR(INDEX(Katalog!$D$3:$D$12,MATCH(Data[[#This Row],[ItemID C]],Katalog!$C$3:$C$12,0))*Data[[#This Row],[Qty C]],"0")</f>
        <v>0</v>
      </c>
      <c r="W557" s="36" t="str">
        <f>IFERROR(INDEX(Katalog!$F$3:$F$12,MATCH(Data[[#This Row],[ItemID C]],Katalog!$C$3:$C$12,0))*Data[[#This Row],[Qty C]],"0")</f>
        <v>0</v>
      </c>
      <c r="X557" s="21">
        <f>Data[[#This Row],[Qty A]]+Data[[#This Row],[Qty B]]+Data[[#This Row],[Qty C]]</f>
        <v>7</v>
      </c>
      <c r="Y557" s="22">
        <f>Data[[#This Row],[Harga Barang A]]+Data[[#This Row],[Harga Barang B]]+Data[[#This Row],[Harga Barang C]]</f>
        <v>2800000</v>
      </c>
      <c r="Z557" s="35">
        <f>IFERROR(Data[[#This Row],[Total Harga]]-(Data[[#This Row],[Total Harga]]*Data[[#This Row],[Diskon]]),Data[[#This Row],[Total Harga]])</f>
        <v>2380000</v>
      </c>
      <c r="AA557" s="35">
        <f>(Data[[#This Row],[Profit A]]+Data[[#This Row],[Profit B]]+Data[[#This Row],[Profit C]])</f>
        <v>1120000</v>
      </c>
      <c r="AB557" s="35">
        <f>IFERROR((Data[[#This Row],[Profit non Diskon]]-(Data[[#This Row],[Profit non Diskon]]*Data[[#This Row],[Diskon]])),Data[[#This Row],[Profit non Diskon]])</f>
        <v>952000</v>
      </c>
      <c r="AC557" s="23" t="s">
        <v>28</v>
      </c>
      <c r="AD557" s="37">
        <f>IFERROR(INDEX('Kode Diskon'!$D$3:$D$9,MATCH(Data[[#This Row],[Kode diskon]],'Kode Diskon'!$C$3:$C$9,0)),"-")</f>
        <v>0.15</v>
      </c>
      <c r="AE557" s="23" t="s">
        <v>29</v>
      </c>
      <c r="AF557" s="23" t="s">
        <v>14</v>
      </c>
      <c r="AG557" s="23" t="s">
        <v>77</v>
      </c>
      <c r="AH557" s="24">
        <v>45019</v>
      </c>
      <c r="AI557" s="23" t="str">
        <f>TEXT(Data[[#This Row],[Tanggal terjual]],"dddd")</f>
        <v>Monday</v>
      </c>
      <c r="AJ557" s="21" t="str">
        <f>TEXT(Data[[#This Row],[Tanggal terjual]],"wwww")</f>
        <v>wwww</v>
      </c>
    </row>
    <row r="558" spans="1:36" x14ac:dyDescent="0.2">
      <c r="A558" s="20">
        <v>557</v>
      </c>
      <c r="B558" s="21" t="str">
        <f>_xlfn.CONCAT("ORD-",INDEX(Helper!$B$2:$B$5,MATCH(Data[[#This Row],[Marketplace]],Helper!$A$2:$A$5,0)),TEXT(Data[[#This Row],[No]],"0000"),"-",TEXT(Data[[#This Row],[Tanggal terjual]],"dd/mm/yy"))</f>
        <v>ORD-SP0557-01/04/23</v>
      </c>
      <c r="C558" t="s">
        <v>59</v>
      </c>
      <c r="D558" t="str">
        <f>IFERROR(INDEX(Katalog!$A$3:$A$12,MATCH(Data[[#This Row],[ItemID A]],Katalog!$C$3:$C$12,0)),"-")</f>
        <v>Pakaian Wanita</v>
      </c>
      <c r="E558" t="str">
        <f>IFERROR(INDEX(Katalog!$B$3:$B$12,MATCH(Data[[#This Row],[ItemID A]],Katalog!$C$3:$C$12,0)),"-")</f>
        <v>Blouse</v>
      </c>
      <c r="F558">
        <v>1</v>
      </c>
      <c r="G558">
        <v>4</v>
      </c>
      <c r="H558" s="36">
        <f>IFERROR(INDEX(Katalog!$D$3:$D$12,MATCH(Data[[#This Row],[ItemID A]],Katalog!$C$3:$C$12,0))*Data[[#This Row],[Qty A]],"0")</f>
        <v>150000</v>
      </c>
      <c r="I558" s="36">
        <f>IFERROR(INDEX(Katalog!$F$3:$F$12,MATCH(Data[[#This Row],[ItemID A]],Katalog!$C$3:$C$12,0))*Data[[#This Row],[Qty A]],0)</f>
        <v>50000</v>
      </c>
      <c r="J558" t="s">
        <v>61</v>
      </c>
      <c r="K558" t="str">
        <f>IFERROR(INDEX(Katalog!$A$3:$A$12,MATCH(Data[[#This Row],[ItemID B]],Katalog!$C$3:$C$12,0)),"-")</f>
        <v>Pakaian Pria</v>
      </c>
      <c r="L558" t="str">
        <f>IFERROR(INDEX(Katalog!$B$3:$B$12,MATCH(Data[[#This Row],[ItemID B]],Katalog!$C$3:$C$12,0)),"-")</f>
        <v>Kaos Polo</v>
      </c>
      <c r="M558">
        <v>1</v>
      </c>
      <c r="N558">
        <v>3</v>
      </c>
      <c r="O558" s="36">
        <f>IFERROR(INDEX(Katalog!$D$3:$D$12,MATCH(Data[[#This Row],[ItemID B]],Katalog!$C$3:$C$12,0))*Data[[#This Row],[Qty B]],"0")</f>
        <v>200000</v>
      </c>
      <c r="P558" s="36">
        <f>IFERROR(INDEX(Katalog!$F$3:$F$12,MATCH(Data[[#This Row],[ItemID B]],Katalog!$C$3:$C$12,0))*Data[[#This Row],[Qty B]],"0")</f>
        <v>80000</v>
      </c>
      <c r="R558" t="str">
        <f>IFERROR(INDEX(Katalog!$A$3:$A$12,MATCH(Data[[#This Row],[ItemID C]],Katalog!$C$3:$C$12,0)),"-")</f>
        <v>-</v>
      </c>
      <c r="S558" t="str">
        <f>IFERROR(INDEX(Katalog!$B$3:$B$12,MATCH(Data[[#This Row],[ItemID C]],Katalog!$C$3:$C$12,0)),"-")</f>
        <v>-</v>
      </c>
      <c r="V558" s="36" t="str">
        <f>IFERROR(INDEX(Katalog!$D$3:$D$12,MATCH(Data[[#This Row],[ItemID C]],Katalog!$C$3:$C$12,0))*Data[[#This Row],[Qty C]],"0")</f>
        <v>0</v>
      </c>
      <c r="W558" s="36" t="str">
        <f>IFERROR(INDEX(Katalog!$F$3:$F$12,MATCH(Data[[#This Row],[ItemID C]],Katalog!$C$3:$C$12,0))*Data[[#This Row],[Qty C]],"0")</f>
        <v>0</v>
      </c>
      <c r="X558" s="21">
        <f>Data[[#This Row],[Qty A]]+Data[[#This Row],[Qty B]]+Data[[#This Row],[Qty C]]</f>
        <v>2</v>
      </c>
      <c r="Y558" s="22">
        <f>Data[[#This Row],[Harga Barang A]]+Data[[#This Row],[Harga Barang B]]+Data[[#This Row],[Harga Barang C]]</f>
        <v>350000</v>
      </c>
      <c r="Z558" s="35">
        <f>IFERROR(Data[[#This Row],[Total Harga]]-(Data[[#This Row],[Total Harga]]*Data[[#This Row],[Diskon]]),Data[[#This Row],[Total Harga]])</f>
        <v>297500</v>
      </c>
      <c r="AA558" s="35">
        <f>(Data[[#This Row],[Profit A]]+Data[[#This Row],[Profit B]]+Data[[#This Row],[Profit C]])</f>
        <v>130000</v>
      </c>
      <c r="AB558" s="35">
        <f>IFERROR((Data[[#This Row],[Profit non Diskon]]-(Data[[#This Row],[Profit non Diskon]]*Data[[#This Row],[Diskon]])),Data[[#This Row],[Profit non Diskon]])</f>
        <v>110500</v>
      </c>
      <c r="AC558" s="23" t="s">
        <v>13</v>
      </c>
      <c r="AD558" s="37">
        <f>IFERROR(INDEX('Kode Diskon'!$D$3:$D$9,MATCH(Data[[#This Row],[Kode diskon]],'Kode Diskon'!$C$3:$C$9,0)),"-")</f>
        <v>0.15</v>
      </c>
      <c r="AE558" s="23" t="s">
        <v>29</v>
      </c>
      <c r="AF558" s="23" t="s">
        <v>7</v>
      </c>
      <c r="AG558" s="23" t="s">
        <v>76</v>
      </c>
      <c r="AH558" s="24">
        <v>45017</v>
      </c>
      <c r="AI558" s="23" t="str">
        <f>TEXT(Data[[#This Row],[Tanggal terjual]],"dddd")</f>
        <v>Saturday</v>
      </c>
      <c r="AJ558" s="21" t="str">
        <f>TEXT(Data[[#This Row],[Tanggal terjual]],"wwww")</f>
        <v>wwww</v>
      </c>
    </row>
    <row r="559" spans="1:36" x14ac:dyDescent="0.2">
      <c r="A559" s="20">
        <v>558</v>
      </c>
      <c r="B559" s="21" t="str">
        <f>_xlfn.CONCAT("ORD-",INDEX(Helper!$B$2:$B$5,MATCH(Data[[#This Row],[Marketplace]],Helper!$A$2:$A$5,0)),TEXT(Data[[#This Row],[No]],"0000"),"-",TEXT(Data[[#This Row],[Tanggal terjual]],"dd/mm/yy"))</f>
        <v>ORD-SP0558-24/04/23</v>
      </c>
      <c r="C559" t="s">
        <v>63</v>
      </c>
      <c r="D559" t="str">
        <f>IFERROR(INDEX(Katalog!$A$3:$A$12,MATCH(Data[[#This Row],[ItemID A]],Katalog!$C$3:$C$12,0)),"-")</f>
        <v>Pakaian Pria</v>
      </c>
      <c r="E559" t="str">
        <f>IFERROR(INDEX(Katalog!$B$3:$B$12,MATCH(Data[[#This Row],[ItemID A]],Katalog!$C$3:$C$12,0)),"-")</f>
        <v>Jaket Jeans</v>
      </c>
      <c r="F559">
        <v>5</v>
      </c>
      <c r="G559">
        <v>4</v>
      </c>
      <c r="H559" s="36">
        <f>IFERROR(INDEX(Katalog!$D$3:$D$12,MATCH(Data[[#This Row],[ItemID A]],Katalog!$C$3:$C$12,0))*Data[[#This Row],[Qty A]],"0")</f>
        <v>2000000</v>
      </c>
      <c r="I559" s="36">
        <f>IFERROR(INDEX(Katalog!$F$3:$F$12,MATCH(Data[[#This Row],[ItemID A]],Katalog!$C$3:$C$12,0))*Data[[#This Row],[Qty A]],0)</f>
        <v>750000</v>
      </c>
      <c r="J559" t="s">
        <v>60</v>
      </c>
      <c r="K559" t="str">
        <f>IFERROR(INDEX(Katalog!$A$3:$A$12,MATCH(Data[[#This Row],[ItemID B]],Katalog!$C$3:$C$12,0)),"-")</f>
        <v>Pakaian Wanita</v>
      </c>
      <c r="L559" t="str">
        <f>IFERROR(INDEX(Katalog!$B$3:$B$12,MATCH(Data[[#This Row],[ItemID B]],Katalog!$C$3:$C$12,0)),"-")</f>
        <v>Kaftan</v>
      </c>
      <c r="M559">
        <v>1</v>
      </c>
      <c r="N559">
        <v>2</v>
      </c>
      <c r="O559" s="36">
        <f>IFERROR(INDEX(Katalog!$D$3:$D$12,MATCH(Data[[#This Row],[ItemID B]],Katalog!$C$3:$C$12,0))*Data[[#This Row],[Qty B]],"0")</f>
        <v>250000</v>
      </c>
      <c r="P559" s="36">
        <f>IFERROR(INDEX(Katalog!$F$3:$F$12,MATCH(Data[[#This Row],[ItemID B]],Katalog!$C$3:$C$12,0))*Data[[#This Row],[Qty B]],"0")</f>
        <v>100000</v>
      </c>
      <c r="R559" t="str">
        <f>IFERROR(INDEX(Katalog!$A$3:$A$12,MATCH(Data[[#This Row],[ItemID C]],Katalog!$C$3:$C$12,0)),"-")</f>
        <v>-</v>
      </c>
      <c r="S559" t="str">
        <f>IFERROR(INDEX(Katalog!$B$3:$B$12,MATCH(Data[[#This Row],[ItemID C]],Katalog!$C$3:$C$12,0)),"-")</f>
        <v>-</v>
      </c>
      <c r="V559" s="36" t="str">
        <f>IFERROR(INDEX(Katalog!$D$3:$D$12,MATCH(Data[[#This Row],[ItemID C]],Katalog!$C$3:$C$12,0))*Data[[#This Row],[Qty C]],"0")</f>
        <v>0</v>
      </c>
      <c r="W559" s="36" t="str">
        <f>IFERROR(INDEX(Katalog!$F$3:$F$12,MATCH(Data[[#This Row],[ItemID C]],Katalog!$C$3:$C$12,0))*Data[[#This Row],[Qty C]],"0")</f>
        <v>0</v>
      </c>
      <c r="X559" s="21">
        <f>Data[[#This Row],[Qty A]]+Data[[#This Row],[Qty B]]+Data[[#This Row],[Qty C]]</f>
        <v>6</v>
      </c>
      <c r="Y559" s="22">
        <f>Data[[#This Row],[Harga Barang A]]+Data[[#This Row],[Harga Barang B]]+Data[[#This Row],[Harga Barang C]]</f>
        <v>2250000</v>
      </c>
      <c r="Z559" s="35">
        <f>IFERROR(Data[[#This Row],[Total Harga]]-(Data[[#This Row],[Total Harga]]*Data[[#This Row],[Diskon]]),Data[[#This Row],[Total Harga]])</f>
        <v>1800000</v>
      </c>
      <c r="AA559" s="35">
        <f>(Data[[#This Row],[Profit A]]+Data[[#This Row],[Profit B]]+Data[[#This Row],[Profit C]])</f>
        <v>850000</v>
      </c>
      <c r="AB559" s="35">
        <f>IFERROR((Data[[#This Row],[Profit non Diskon]]-(Data[[#This Row],[Profit non Diskon]]*Data[[#This Row],[Diskon]])),Data[[#This Row],[Profit non Diskon]])</f>
        <v>680000</v>
      </c>
      <c r="AC559" s="23" t="s">
        <v>8</v>
      </c>
      <c r="AD559" s="37">
        <f>IFERROR(INDEX('Kode Diskon'!$D$3:$D$9,MATCH(Data[[#This Row],[Kode diskon]],'Kode Diskon'!$C$3:$C$9,0)),"-")</f>
        <v>0.2</v>
      </c>
      <c r="AE559" s="23" t="s">
        <v>9</v>
      </c>
      <c r="AF559" s="23" t="s">
        <v>7</v>
      </c>
      <c r="AG559" s="23" t="s">
        <v>77</v>
      </c>
      <c r="AH559" s="24">
        <v>45040</v>
      </c>
      <c r="AI559" s="23" t="str">
        <f>TEXT(Data[[#This Row],[Tanggal terjual]],"dddd")</f>
        <v>Monday</v>
      </c>
      <c r="AJ559" s="21" t="str">
        <f>TEXT(Data[[#This Row],[Tanggal terjual]],"wwww")</f>
        <v>wwww</v>
      </c>
    </row>
    <row r="560" spans="1:36" x14ac:dyDescent="0.2">
      <c r="A560" s="20">
        <v>559</v>
      </c>
      <c r="B560" s="21" t="str">
        <f>_xlfn.CONCAT("ORD-",INDEX(Helper!$B$2:$B$5,MATCH(Data[[#This Row],[Marketplace]],Helper!$A$2:$A$5,0)),TEXT(Data[[#This Row],[No]],"0000"),"-",TEXT(Data[[#This Row],[Tanggal terjual]],"dd/mm/yy"))</f>
        <v>ORD-BL0559-25/04/23</v>
      </c>
      <c r="C560" t="s">
        <v>60</v>
      </c>
      <c r="D560" t="str">
        <f>IFERROR(INDEX(Katalog!$A$3:$A$12,MATCH(Data[[#This Row],[ItemID A]],Katalog!$C$3:$C$12,0)),"-")</f>
        <v>Pakaian Wanita</v>
      </c>
      <c r="E560" t="str">
        <f>IFERROR(INDEX(Katalog!$B$3:$B$12,MATCH(Data[[#This Row],[ItemID A]],Katalog!$C$3:$C$12,0)),"-")</f>
        <v>Kaftan</v>
      </c>
      <c r="F560">
        <v>1</v>
      </c>
      <c r="G560">
        <v>3</v>
      </c>
      <c r="H560" s="36">
        <f>IFERROR(INDEX(Katalog!$D$3:$D$12,MATCH(Data[[#This Row],[ItemID A]],Katalog!$C$3:$C$12,0))*Data[[#This Row],[Qty A]],"0")</f>
        <v>250000</v>
      </c>
      <c r="I560" s="36">
        <f>IFERROR(INDEX(Katalog!$F$3:$F$12,MATCH(Data[[#This Row],[ItemID A]],Katalog!$C$3:$C$12,0))*Data[[#This Row],[Qty A]],0)</f>
        <v>100000</v>
      </c>
      <c r="J560" t="s">
        <v>58</v>
      </c>
      <c r="K560" t="str">
        <f>IFERROR(INDEX(Katalog!$A$3:$A$12,MATCH(Data[[#This Row],[ItemID B]],Katalog!$C$3:$C$12,0)),"-")</f>
        <v>Pakaian Wanita</v>
      </c>
      <c r="L560" t="str">
        <f>IFERROR(INDEX(Katalog!$B$3:$B$12,MATCH(Data[[#This Row],[ItemID B]],Katalog!$C$3:$C$12,0)),"-")</f>
        <v>Dress</v>
      </c>
      <c r="M560">
        <v>4</v>
      </c>
      <c r="N560">
        <v>4</v>
      </c>
      <c r="O560" s="36">
        <f>IFERROR(INDEX(Katalog!$D$3:$D$12,MATCH(Data[[#This Row],[ItemID B]],Katalog!$C$3:$C$12,0))*Data[[#This Row],[Qty B]],"0")</f>
        <v>1200000</v>
      </c>
      <c r="P560" s="36">
        <f>IFERROR(INDEX(Katalog!$F$3:$F$12,MATCH(Data[[#This Row],[ItemID B]],Katalog!$C$3:$C$12,0))*Data[[#This Row],[Qty B]],"0")</f>
        <v>400000</v>
      </c>
      <c r="Q560" t="s">
        <v>59</v>
      </c>
      <c r="R560" t="str">
        <f>IFERROR(INDEX(Katalog!$A$3:$A$12,MATCH(Data[[#This Row],[ItemID C]],Katalog!$C$3:$C$12,0)),"-")</f>
        <v>Pakaian Wanita</v>
      </c>
      <c r="S560" t="str">
        <f>IFERROR(INDEX(Katalog!$B$3:$B$12,MATCH(Data[[#This Row],[ItemID C]],Katalog!$C$3:$C$12,0)),"-")</f>
        <v>Blouse</v>
      </c>
      <c r="T560">
        <v>1</v>
      </c>
      <c r="U560">
        <v>1</v>
      </c>
      <c r="V560" s="36">
        <f>IFERROR(INDEX(Katalog!$D$3:$D$12,MATCH(Data[[#This Row],[ItemID C]],Katalog!$C$3:$C$12,0))*Data[[#This Row],[Qty C]],"0")</f>
        <v>150000</v>
      </c>
      <c r="W560" s="36">
        <f>IFERROR(INDEX(Katalog!$F$3:$F$12,MATCH(Data[[#This Row],[ItemID C]],Katalog!$C$3:$C$12,0))*Data[[#This Row],[Qty C]],"0")</f>
        <v>50000</v>
      </c>
      <c r="X560" s="21">
        <f>Data[[#This Row],[Qty A]]+Data[[#This Row],[Qty B]]+Data[[#This Row],[Qty C]]</f>
        <v>6</v>
      </c>
      <c r="Y560" s="22">
        <f>Data[[#This Row],[Harga Barang A]]+Data[[#This Row],[Harga Barang B]]+Data[[#This Row],[Harga Barang C]]</f>
        <v>1600000</v>
      </c>
      <c r="Z560" s="35">
        <f>IFERROR(Data[[#This Row],[Total Harga]]-(Data[[#This Row],[Total Harga]]*Data[[#This Row],[Diskon]]),Data[[#This Row],[Total Harga]])</f>
        <v>1360000</v>
      </c>
      <c r="AA560" s="35">
        <f>(Data[[#This Row],[Profit A]]+Data[[#This Row],[Profit B]]+Data[[#This Row],[Profit C]])</f>
        <v>550000</v>
      </c>
      <c r="AB560" s="35">
        <f>IFERROR((Data[[#This Row],[Profit non Diskon]]-(Data[[#This Row],[Profit non Diskon]]*Data[[#This Row],[Diskon]])),Data[[#This Row],[Profit non Diskon]])</f>
        <v>467500</v>
      </c>
      <c r="AC560" s="23" t="s">
        <v>32</v>
      </c>
      <c r="AD560" s="37">
        <f>IFERROR(INDEX('Kode Diskon'!$D$3:$D$9,MATCH(Data[[#This Row],[Kode diskon]],'Kode Diskon'!$C$3:$C$9,0)),"-")</f>
        <v>0.15</v>
      </c>
      <c r="AE560" s="23" t="s">
        <v>9</v>
      </c>
      <c r="AF560" s="23" t="s">
        <v>12</v>
      </c>
      <c r="AG560" s="23" t="s">
        <v>79</v>
      </c>
      <c r="AH560" s="24">
        <v>45041</v>
      </c>
      <c r="AI560" s="23" t="str">
        <f>TEXT(Data[[#This Row],[Tanggal terjual]],"dddd")</f>
        <v>Tuesday</v>
      </c>
      <c r="AJ560" s="21" t="str">
        <f>TEXT(Data[[#This Row],[Tanggal terjual]],"wwww")</f>
        <v>wwww</v>
      </c>
    </row>
    <row r="561" spans="1:36" x14ac:dyDescent="0.2">
      <c r="A561" s="20">
        <v>560</v>
      </c>
      <c r="B561" s="21" t="str">
        <f>_xlfn.CONCAT("ORD-",INDEX(Helper!$B$2:$B$5,MATCH(Data[[#This Row],[Marketplace]],Helper!$A$2:$A$5,0)),TEXT(Data[[#This Row],[No]],"0000"),"-",TEXT(Data[[#This Row],[Tanggal terjual]],"dd/mm/yy"))</f>
        <v>ORD-SP0560-05/04/23</v>
      </c>
      <c r="C561" t="s">
        <v>62</v>
      </c>
      <c r="D561" t="str">
        <f>IFERROR(INDEX(Katalog!$A$3:$A$12,MATCH(Data[[#This Row],[ItemID A]],Katalog!$C$3:$C$12,0)),"-")</f>
        <v>Pakaian Pria</v>
      </c>
      <c r="E561" t="str">
        <f>IFERROR(INDEX(Katalog!$B$3:$B$12,MATCH(Data[[#This Row],[ItemID A]],Katalog!$C$3:$C$12,0)),"-")</f>
        <v>Celana Pendek</v>
      </c>
      <c r="F561">
        <v>3</v>
      </c>
      <c r="G561">
        <v>2</v>
      </c>
      <c r="H561" s="36">
        <f>IFERROR(INDEX(Katalog!$D$3:$D$12,MATCH(Data[[#This Row],[ItemID A]],Katalog!$C$3:$C$12,0))*Data[[#This Row],[Qty A]],"0")</f>
        <v>540000</v>
      </c>
      <c r="I561" s="36">
        <f>IFERROR(INDEX(Katalog!$F$3:$F$12,MATCH(Data[[#This Row],[ItemID A]],Katalog!$C$3:$C$12,0))*Data[[#This Row],[Qty A]],0)</f>
        <v>210000</v>
      </c>
      <c r="J561" t="s">
        <v>60</v>
      </c>
      <c r="K561" t="str">
        <f>IFERROR(INDEX(Katalog!$A$3:$A$12,MATCH(Data[[#This Row],[ItemID B]],Katalog!$C$3:$C$12,0)),"-")</f>
        <v>Pakaian Wanita</v>
      </c>
      <c r="L561" t="str">
        <f>IFERROR(INDEX(Katalog!$B$3:$B$12,MATCH(Data[[#This Row],[ItemID B]],Katalog!$C$3:$C$12,0)),"-")</f>
        <v>Kaftan</v>
      </c>
      <c r="M561">
        <v>1</v>
      </c>
      <c r="N561">
        <v>3</v>
      </c>
      <c r="O561" s="36">
        <f>IFERROR(INDEX(Katalog!$D$3:$D$12,MATCH(Data[[#This Row],[ItemID B]],Katalog!$C$3:$C$12,0))*Data[[#This Row],[Qty B]],"0")</f>
        <v>250000</v>
      </c>
      <c r="P561" s="36">
        <f>IFERROR(INDEX(Katalog!$F$3:$F$12,MATCH(Data[[#This Row],[ItemID B]],Katalog!$C$3:$C$12,0))*Data[[#This Row],[Qty B]],"0")</f>
        <v>100000</v>
      </c>
      <c r="R561" t="str">
        <f>IFERROR(INDEX(Katalog!$A$3:$A$12,MATCH(Data[[#This Row],[ItemID C]],Katalog!$C$3:$C$12,0)),"-")</f>
        <v>-</v>
      </c>
      <c r="S561" t="str">
        <f>IFERROR(INDEX(Katalog!$B$3:$B$12,MATCH(Data[[#This Row],[ItemID C]],Katalog!$C$3:$C$12,0)),"-")</f>
        <v>-</v>
      </c>
      <c r="V561" s="36" t="str">
        <f>IFERROR(INDEX(Katalog!$D$3:$D$12,MATCH(Data[[#This Row],[ItemID C]],Katalog!$C$3:$C$12,0))*Data[[#This Row],[Qty C]],"0")</f>
        <v>0</v>
      </c>
      <c r="W561" s="36" t="str">
        <f>IFERROR(INDEX(Katalog!$F$3:$F$12,MATCH(Data[[#This Row],[ItemID C]],Katalog!$C$3:$C$12,0))*Data[[#This Row],[Qty C]],"0")</f>
        <v>0</v>
      </c>
      <c r="X561" s="21">
        <f>Data[[#This Row],[Qty A]]+Data[[#This Row],[Qty B]]+Data[[#This Row],[Qty C]]</f>
        <v>4</v>
      </c>
      <c r="Y561" s="22">
        <f>Data[[#This Row],[Harga Barang A]]+Data[[#This Row],[Harga Barang B]]+Data[[#This Row],[Harga Barang C]]</f>
        <v>790000</v>
      </c>
      <c r="Z561" s="35">
        <f>IFERROR(Data[[#This Row],[Total Harga]]-(Data[[#This Row],[Total Harga]]*Data[[#This Row],[Diskon]]),Data[[#This Row],[Total Harga]])</f>
        <v>671500</v>
      </c>
      <c r="AA561" s="35">
        <f>(Data[[#This Row],[Profit A]]+Data[[#This Row],[Profit B]]+Data[[#This Row],[Profit C]])</f>
        <v>310000</v>
      </c>
      <c r="AB561" s="35">
        <f>IFERROR((Data[[#This Row],[Profit non Diskon]]-(Data[[#This Row],[Profit non Diskon]]*Data[[#This Row],[Diskon]])),Data[[#This Row],[Profit non Diskon]])</f>
        <v>263500</v>
      </c>
      <c r="AC561" s="23" t="s">
        <v>13</v>
      </c>
      <c r="AD561" s="37">
        <f>IFERROR(INDEX('Kode Diskon'!$D$3:$D$9,MATCH(Data[[#This Row],[Kode diskon]],'Kode Diskon'!$C$3:$C$9,0)),"-")</f>
        <v>0.15</v>
      </c>
      <c r="AE561" s="23" t="s">
        <v>29</v>
      </c>
      <c r="AF561" s="23" t="s">
        <v>7</v>
      </c>
      <c r="AG561" s="23" t="s">
        <v>80</v>
      </c>
      <c r="AH561" s="24">
        <v>45021</v>
      </c>
      <c r="AI561" s="23" t="str">
        <f>TEXT(Data[[#This Row],[Tanggal terjual]],"dddd")</f>
        <v>Wednesday</v>
      </c>
      <c r="AJ561" s="21" t="str">
        <f>TEXT(Data[[#This Row],[Tanggal terjual]],"wwww")</f>
        <v>wwww</v>
      </c>
    </row>
    <row r="562" spans="1:36" x14ac:dyDescent="0.2">
      <c r="A562" s="20">
        <v>561</v>
      </c>
      <c r="B562" s="21" t="str">
        <f>_xlfn.CONCAT("ORD-",INDEX(Helper!$B$2:$B$5,MATCH(Data[[#This Row],[Marketplace]],Helper!$A$2:$A$5,0)),TEXT(Data[[#This Row],[No]],"0000"),"-",TEXT(Data[[#This Row],[Tanggal terjual]],"dd/mm/yy"))</f>
        <v>ORD-SP0561-06/04/23</v>
      </c>
      <c r="C562" t="s">
        <v>58</v>
      </c>
      <c r="D562" t="str">
        <f>IFERROR(INDEX(Katalog!$A$3:$A$12,MATCH(Data[[#This Row],[ItemID A]],Katalog!$C$3:$C$12,0)),"-")</f>
        <v>Pakaian Wanita</v>
      </c>
      <c r="E562" t="str">
        <f>IFERROR(INDEX(Katalog!$B$3:$B$12,MATCH(Data[[#This Row],[ItemID A]],Katalog!$C$3:$C$12,0)),"-")</f>
        <v>Dress</v>
      </c>
      <c r="F562">
        <v>3</v>
      </c>
      <c r="G562">
        <v>4</v>
      </c>
      <c r="H562" s="36">
        <f>IFERROR(INDEX(Katalog!$D$3:$D$12,MATCH(Data[[#This Row],[ItemID A]],Katalog!$C$3:$C$12,0))*Data[[#This Row],[Qty A]],"0")</f>
        <v>900000</v>
      </c>
      <c r="I562" s="36">
        <f>IFERROR(INDEX(Katalog!$F$3:$F$12,MATCH(Data[[#This Row],[ItemID A]],Katalog!$C$3:$C$12,0))*Data[[#This Row],[Qty A]],0)</f>
        <v>300000</v>
      </c>
      <c r="J562" t="s">
        <v>59</v>
      </c>
      <c r="K562" t="str">
        <f>IFERROR(INDEX(Katalog!$A$3:$A$12,MATCH(Data[[#This Row],[ItemID B]],Katalog!$C$3:$C$12,0)),"-")</f>
        <v>Pakaian Wanita</v>
      </c>
      <c r="L562" t="str">
        <f>IFERROR(INDEX(Katalog!$B$3:$B$12,MATCH(Data[[#This Row],[ItemID B]],Katalog!$C$3:$C$12,0)),"-")</f>
        <v>Blouse</v>
      </c>
      <c r="M562">
        <v>2</v>
      </c>
      <c r="N562">
        <v>4</v>
      </c>
      <c r="O562" s="36">
        <f>IFERROR(INDEX(Katalog!$D$3:$D$12,MATCH(Data[[#This Row],[ItemID B]],Katalog!$C$3:$C$12,0))*Data[[#This Row],[Qty B]],"0")</f>
        <v>300000</v>
      </c>
      <c r="P562" s="36">
        <f>IFERROR(INDEX(Katalog!$F$3:$F$12,MATCH(Data[[#This Row],[ItemID B]],Katalog!$C$3:$C$12,0))*Data[[#This Row],[Qty B]],"0")</f>
        <v>100000</v>
      </c>
      <c r="R562" t="str">
        <f>IFERROR(INDEX(Katalog!$A$3:$A$12,MATCH(Data[[#This Row],[ItemID C]],Katalog!$C$3:$C$12,0)),"-")</f>
        <v>-</v>
      </c>
      <c r="S562" t="str">
        <f>IFERROR(INDEX(Katalog!$B$3:$B$12,MATCH(Data[[#This Row],[ItemID C]],Katalog!$C$3:$C$12,0)),"-")</f>
        <v>-</v>
      </c>
      <c r="V562" s="36" t="str">
        <f>IFERROR(INDEX(Katalog!$D$3:$D$12,MATCH(Data[[#This Row],[ItemID C]],Katalog!$C$3:$C$12,0))*Data[[#This Row],[Qty C]],"0")</f>
        <v>0</v>
      </c>
      <c r="W562" s="36" t="str">
        <f>IFERROR(INDEX(Katalog!$F$3:$F$12,MATCH(Data[[#This Row],[ItemID C]],Katalog!$C$3:$C$12,0))*Data[[#This Row],[Qty C]],"0")</f>
        <v>0</v>
      </c>
      <c r="X562" s="21">
        <f>Data[[#This Row],[Qty A]]+Data[[#This Row],[Qty B]]+Data[[#This Row],[Qty C]]</f>
        <v>5</v>
      </c>
      <c r="Y562" s="22">
        <f>Data[[#This Row],[Harga Barang A]]+Data[[#This Row],[Harga Barang B]]+Data[[#This Row],[Harga Barang C]]</f>
        <v>1200000</v>
      </c>
      <c r="Z562" s="35">
        <f>IFERROR(Data[[#This Row],[Total Harga]]-(Data[[#This Row],[Total Harga]]*Data[[#This Row],[Diskon]]),Data[[#This Row],[Total Harga]])</f>
        <v>1020000</v>
      </c>
      <c r="AA562" s="35">
        <f>(Data[[#This Row],[Profit A]]+Data[[#This Row],[Profit B]]+Data[[#This Row],[Profit C]])</f>
        <v>400000</v>
      </c>
      <c r="AB562" s="35">
        <f>IFERROR((Data[[#This Row],[Profit non Diskon]]-(Data[[#This Row],[Profit non Diskon]]*Data[[#This Row],[Diskon]])),Data[[#This Row],[Profit non Diskon]])</f>
        <v>340000</v>
      </c>
      <c r="AC562" s="23" t="s">
        <v>13</v>
      </c>
      <c r="AD562" s="37">
        <f>IFERROR(INDEX('Kode Diskon'!$D$3:$D$9,MATCH(Data[[#This Row],[Kode diskon]],'Kode Diskon'!$C$3:$C$9,0)),"-")</f>
        <v>0.15</v>
      </c>
      <c r="AE562" s="23" t="s">
        <v>29</v>
      </c>
      <c r="AF562" s="23" t="s">
        <v>7</v>
      </c>
      <c r="AG562" s="23" t="s">
        <v>80</v>
      </c>
      <c r="AH562" s="24">
        <v>45022</v>
      </c>
      <c r="AI562" s="23" t="str">
        <f>TEXT(Data[[#This Row],[Tanggal terjual]],"dddd")</f>
        <v>Thursday</v>
      </c>
      <c r="AJ562" s="21" t="str">
        <f>TEXT(Data[[#This Row],[Tanggal terjual]],"wwww")</f>
        <v>wwww</v>
      </c>
    </row>
    <row r="563" spans="1:36" x14ac:dyDescent="0.2">
      <c r="A563" s="20">
        <v>562</v>
      </c>
      <c r="B563" s="21" t="str">
        <f>_xlfn.CONCAT("ORD-",INDEX(Helper!$B$2:$B$5,MATCH(Data[[#This Row],[Marketplace]],Helper!$A$2:$A$5,0)),TEXT(Data[[#This Row],[No]],"0000"),"-",TEXT(Data[[#This Row],[Tanggal terjual]],"dd/mm/yy"))</f>
        <v>ORD-SP0562-06/04/23</v>
      </c>
      <c r="C563" t="s">
        <v>63</v>
      </c>
      <c r="D563" t="str">
        <f>IFERROR(INDEX(Katalog!$A$3:$A$12,MATCH(Data[[#This Row],[ItemID A]],Katalog!$C$3:$C$12,0)),"-")</f>
        <v>Pakaian Pria</v>
      </c>
      <c r="E563" t="str">
        <f>IFERROR(INDEX(Katalog!$B$3:$B$12,MATCH(Data[[#This Row],[ItemID A]],Katalog!$C$3:$C$12,0)),"-")</f>
        <v>Jaket Jeans</v>
      </c>
      <c r="F563">
        <v>1</v>
      </c>
      <c r="G563">
        <v>3</v>
      </c>
      <c r="H563" s="36">
        <f>IFERROR(INDEX(Katalog!$D$3:$D$12,MATCH(Data[[#This Row],[ItemID A]],Katalog!$C$3:$C$12,0))*Data[[#This Row],[Qty A]],"0")</f>
        <v>400000</v>
      </c>
      <c r="I563" s="36">
        <f>IFERROR(INDEX(Katalog!$F$3:$F$12,MATCH(Data[[#This Row],[ItemID A]],Katalog!$C$3:$C$12,0))*Data[[#This Row],[Qty A]],0)</f>
        <v>150000</v>
      </c>
      <c r="J563" t="s">
        <v>66</v>
      </c>
      <c r="K563" t="str">
        <f>IFERROR(INDEX(Katalog!$A$3:$A$12,MATCH(Data[[#This Row],[ItemID B]],Katalog!$C$3:$C$12,0)),"-")</f>
        <v>Sepatu Pria</v>
      </c>
      <c r="L563" t="str">
        <f>IFERROR(INDEX(Katalog!$B$3:$B$12,MATCH(Data[[#This Row],[ItemID B]],Katalog!$C$3:$C$12,0)),"-")</f>
        <v>Sandal Slip On</v>
      </c>
      <c r="M563">
        <v>6</v>
      </c>
      <c r="N563">
        <v>5</v>
      </c>
      <c r="O563" s="36">
        <f>IFERROR(INDEX(Katalog!$D$3:$D$12,MATCH(Data[[#This Row],[ItemID B]],Katalog!$C$3:$C$12,0))*Data[[#This Row],[Qty B]],"0")</f>
        <v>900000</v>
      </c>
      <c r="P563" s="36">
        <f>IFERROR(INDEX(Katalog!$F$3:$F$12,MATCH(Data[[#This Row],[ItemID B]],Katalog!$C$3:$C$12,0))*Data[[#This Row],[Qty B]],"0")</f>
        <v>360000</v>
      </c>
      <c r="R563" t="str">
        <f>IFERROR(INDEX(Katalog!$A$3:$A$12,MATCH(Data[[#This Row],[ItemID C]],Katalog!$C$3:$C$12,0)),"-")</f>
        <v>-</v>
      </c>
      <c r="S563" t="str">
        <f>IFERROR(INDEX(Katalog!$B$3:$B$12,MATCH(Data[[#This Row],[ItemID C]],Katalog!$C$3:$C$12,0)),"-")</f>
        <v>-</v>
      </c>
      <c r="V563" s="36" t="str">
        <f>IFERROR(INDEX(Katalog!$D$3:$D$12,MATCH(Data[[#This Row],[ItemID C]],Katalog!$C$3:$C$12,0))*Data[[#This Row],[Qty C]],"0")</f>
        <v>0</v>
      </c>
      <c r="W563" s="36" t="str">
        <f>IFERROR(INDEX(Katalog!$F$3:$F$12,MATCH(Data[[#This Row],[ItemID C]],Katalog!$C$3:$C$12,0))*Data[[#This Row],[Qty C]],"0")</f>
        <v>0</v>
      </c>
      <c r="X563" s="21">
        <f>Data[[#This Row],[Qty A]]+Data[[#This Row],[Qty B]]+Data[[#This Row],[Qty C]]</f>
        <v>7</v>
      </c>
      <c r="Y563" s="22">
        <f>Data[[#This Row],[Harga Barang A]]+Data[[#This Row],[Harga Barang B]]+Data[[#This Row],[Harga Barang C]]</f>
        <v>1300000</v>
      </c>
      <c r="Z563" s="35">
        <f>IFERROR(Data[[#This Row],[Total Harga]]-(Data[[#This Row],[Total Harga]]*Data[[#This Row],[Diskon]]),Data[[#This Row],[Total Harga]])</f>
        <v>1170000</v>
      </c>
      <c r="AA563" s="35">
        <f>(Data[[#This Row],[Profit A]]+Data[[#This Row],[Profit B]]+Data[[#This Row],[Profit C]])</f>
        <v>510000</v>
      </c>
      <c r="AB563" s="35">
        <f>IFERROR((Data[[#This Row],[Profit non Diskon]]-(Data[[#This Row],[Profit non Diskon]]*Data[[#This Row],[Diskon]])),Data[[#This Row],[Profit non Diskon]])</f>
        <v>459000</v>
      </c>
      <c r="AC563" s="23" t="s">
        <v>6</v>
      </c>
      <c r="AD563" s="37">
        <f>IFERROR(INDEX('Kode Diskon'!$D$3:$D$9,MATCH(Data[[#This Row],[Kode diskon]],'Kode Diskon'!$C$3:$C$9,0)),"-")</f>
        <v>0.1</v>
      </c>
      <c r="AE563" s="23" t="s">
        <v>29</v>
      </c>
      <c r="AF563" s="23" t="s">
        <v>7</v>
      </c>
      <c r="AG563" s="23" t="s">
        <v>78</v>
      </c>
      <c r="AH563" s="24">
        <v>45022</v>
      </c>
      <c r="AI563" s="23" t="str">
        <f>TEXT(Data[[#This Row],[Tanggal terjual]],"dddd")</f>
        <v>Thursday</v>
      </c>
      <c r="AJ563" s="21" t="str">
        <f>TEXT(Data[[#This Row],[Tanggal terjual]],"wwww")</f>
        <v>wwww</v>
      </c>
    </row>
    <row r="564" spans="1:36" x14ac:dyDescent="0.2">
      <c r="A564" s="20">
        <v>563</v>
      </c>
      <c r="B564" s="21" t="str">
        <f>_xlfn.CONCAT("ORD-",INDEX(Helper!$B$2:$B$5,MATCH(Data[[#This Row],[Marketplace]],Helper!$A$2:$A$5,0)),TEXT(Data[[#This Row],[No]],"0000"),"-",TEXT(Data[[#This Row],[Tanggal terjual]],"dd/mm/yy"))</f>
        <v>ORD-TK0563-03/04/23</v>
      </c>
      <c r="C564" t="s">
        <v>61</v>
      </c>
      <c r="D564" t="str">
        <f>IFERROR(INDEX(Katalog!$A$3:$A$12,MATCH(Data[[#This Row],[ItemID A]],Katalog!$C$3:$C$12,0)),"-")</f>
        <v>Pakaian Pria</v>
      </c>
      <c r="E564" t="str">
        <f>IFERROR(INDEX(Katalog!$B$3:$B$12,MATCH(Data[[#This Row],[ItemID A]],Katalog!$C$3:$C$12,0)),"-")</f>
        <v>Kaos Polo</v>
      </c>
      <c r="F564">
        <v>4</v>
      </c>
      <c r="G564">
        <v>4</v>
      </c>
      <c r="H564" s="36">
        <f>IFERROR(INDEX(Katalog!$D$3:$D$12,MATCH(Data[[#This Row],[ItemID A]],Katalog!$C$3:$C$12,0))*Data[[#This Row],[Qty A]],"0")</f>
        <v>800000</v>
      </c>
      <c r="I564" s="36">
        <f>IFERROR(INDEX(Katalog!$F$3:$F$12,MATCH(Data[[#This Row],[ItemID A]],Katalog!$C$3:$C$12,0))*Data[[#This Row],[Qty A]],0)</f>
        <v>320000</v>
      </c>
      <c r="K564" t="str">
        <f>IFERROR(INDEX(Katalog!$A$3:$A$12,MATCH(Data[[#This Row],[ItemID B]],Katalog!$C$3:$C$12,0)),"-")</f>
        <v>-</v>
      </c>
      <c r="L564" t="str">
        <f>IFERROR(INDEX(Katalog!$B$3:$B$12,MATCH(Data[[#This Row],[ItemID B]],Katalog!$C$3:$C$12,0)),"-")</f>
        <v>-</v>
      </c>
      <c r="O564" s="36" t="str">
        <f>IFERROR(INDEX(Katalog!$D$3:$D$12,MATCH(Data[[#This Row],[ItemID B]],Katalog!$C$3:$C$12,0))*Data[[#This Row],[Qty B]],"0")</f>
        <v>0</v>
      </c>
      <c r="P564" s="36" t="str">
        <f>IFERROR(INDEX(Katalog!$F$3:$F$12,MATCH(Data[[#This Row],[ItemID B]],Katalog!$C$3:$C$12,0))*Data[[#This Row],[Qty B]],"0")</f>
        <v>0</v>
      </c>
      <c r="R564" t="str">
        <f>IFERROR(INDEX(Katalog!$A$3:$A$12,MATCH(Data[[#This Row],[ItemID C]],Katalog!$C$3:$C$12,0)),"-")</f>
        <v>-</v>
      </c>
      <c r="S564" t="str">
        <f>IFERROR(INDEX(Katalog!$B$3:$B$12,MATCH(Data[[#This Row],[ItemID C]],Katalog!$C$3:$C$12,0)),"-")</f>
        <v>-</v>
      </c>
      <c r="V564" s="36" t="str">
        <f>IFERROR(INDEX(Katalog!$D$3:$D$12,MATCH(Data[[#This Row],[ItemID C]],Katalog!$C$3:$C$12,0))*Data[[#This Row],[Qty C]],"0")</f>
        <v>0</v>
      </c>
      <c r="W564" s="36" t="str">
        <f>IFERROR(INDEX(Katalog!$F$3:$F$12,MATCH(Data[[#This Row],[ItemID C]],Katalog!$C$3:$C$12,0))*Data[[#This Row],[Qty C]],"0")</f>
        <v>0</v>
      </c>
      <c r="X564" s="21">
        <f>Data[[#This Row],[Qty A]]+Data[[#This Row],[Qty B]]+Data[[#This Row],[Qty C]]</f>
        <v>4</v>
      </c>
      <c r="Y564" s="22">
        <f>Data[[#This Row],[Harga Barang A]]+Data[[#This Row],[Harga Barang B]]+Data[[#This Row],[Harga Barang C]]</f>
        <v>800000</v>
      </c>
      <c r="Z564" s="35">
        <f>IFERROR(Data[[#This Row],[Total Harga]]-(Data[[#This Row],[Total Harga]]*Data[[#This Row],[Diskon]]),Data[[#This Row],[Total Harga]])</f>
        <v>720000</v>
      </c>
      <c r="AA564" s="35">
        <f>(Data[[#This Row],[Profit A]]+Data[[#This Row],[Profit B]]+Data[[#This Row],[Profit C]])</f>
        <v>320000</v>
      </c>
      <c r="AB564" s="35">
        <f>IFERROR((Data[[#This Row],[Profit non Diskon]]-(Data[[#This Row],[Profit non Diskon]]*Data[[#This Row],[Diskon]])),Data[[#This Row],[Profit non Diskon]])</f>
        <v>288000</v>
      </c>
      <c r="AC564" s="23" t="s">
        <v>30</v>
      </c>
      <c r="AD564" s="37">
        <f>IFERROR(INDEX('Kode Diskon'!$D$3:$D$9,MATCH(Data[[#This Row],[Kode diskon]],'Kode Diskon'!$C$3:$C$9,0)),"-")</f>
        <v>0.1</v>
      </c>
      <c r="AE564" s="23" t="s">
        <v>29</v>
      </c>
      <c r="AF564" s="23" t="s">
        <v>10</v>
      </c>
      <c r="AG564" s="23" t="s">
        <v>80</v>
      </c>
      <c r="AH564" s="24">
        <v>45019</v>
      </c>
      <c r="AI564" s="23" t="str">
        <f>TEXT(Data[[#This Row],[Tanggal terjual]],"dddd")</f>
        <v>Monday</v>
      </c>
      <c r="AJ564" s="21" t="str">
        <f>TEXT(Data[[#This Row],[Tanggal terjual]],"wwww")</f>
        <v>wwww</v>
      </c>
    </row>
    <row r="565" spans="1:36" x14ac:dyDescent="0.2">
      <c r="A565" s="20">
        <v>564</v>
      </c>
      <c r="B565" s="21" t="str">
        <f>_xlfn.CONCAT("ORD-",INDEX(Helper!$B$2:$B$5,MATCH(Data[[#This Row],[Marketplace]],Helper!$A$2:$A$5,0)),TEXT(Data[[#This Row],[No]],"0000"),"-",TEXT(Data[[#This Row],[Tanggal terjual]],"dd/mm/yy"))</f>
        <v>ORD-BB0564-06/04/23</v>
      </c>
      <c r="C565" t="s">
        <v>63</v>
      </c>
      <c r="D565" t="str">
        <f>IFERROR(INDEX(Katalog!$A$3:$A$12,MATCH(Data[[#This Row],[ItemID A]],Katalog!$C$3:$C$12,0)),"-")</f>
        <v>Pakaian Pria</v>
      </c>
      <c r="E565" t="str">
        <f>IFERROR(INDEX(Katalog!$B$3:$B$12,MATCH(Data[[#This Row],[ItemID A]],Katalog!$C$3:$C$12,0)),"-")</f>
        <v>Jaket Jeans</v>
      </c>
      <c r="F565">
        <v>2</v>
      </c>
      <c r="G565">
        <v>1</v>
      </c>
      <c r="H565" s="36">
        <f>IFERROR(INDEX(Katalog!$D$3:$D$12,MATCH(Data[[#This Row],[ItemID A]],Katalog!$C$3:$C$12,0))*Data[[#This Row],[Qty A]],"0")</f>
        <v>800000</v>
      </c>
      <c r="I565" s="36">
        <f>IFERROR(INDEX(Katalog!$F$3:$F$12,MATCH(Data[[#This Row],[ItemID A]],Katalog!$C$3:$C$12,0))*Data[[#This Row],[Qty A]],0)</f>
        <v>300000</v>
      </c>
      <c r="K565" t="str">
        <f>IFERROR(INDEX(Katalog!$A$3:$A$12,MATCH(Data[[#This Row],[ItemID B]],Katalog!$C$3:$C$12,0)),"-")</f>
        <v>-</v>
      </c>
      <c r="L565" t="str">
        <f>IFERROR(INDEX(Katalog!$B$3:$B$12,MATCH(Data[[#This Row],[ItemID B]],Katalog!$C$3:$C$12,0)),"-")</f>
        <v>-</v>
      </c>
      <c r="O565" s="36" t="str">
        <f>IFERROR(INDEX(Katalog!$D$3:$D$12,MATCH(Data[[#This Row],[ItemID B]],Katalog!$C$3:$C$12,0))*Data[[#This Row],[Qty B]],"0")</f>
        <v>0</v>
      </c>
      <c r="P565" s="36" t="str">
        <f>IFERROR(INDEX(Katalog!$F$3:$F$12,MATCH(Data[[#This Row],[ItemID B]],Katalog!$C$3:$C$12,0))*Data[[#This Row],[Qty B]],"0")</f>
        <v>0</v>
      </c>
      <c r="R565" t="str">
        <f>IFERROR(INDEX(Katalog!$A$3:$A$12,MATCH(Data[[#This Row],[ItemID C]],Katalog!$C$3:$C$12,0)),"-")</f>
        <v>-</v>
      </c>
      <c r="S565" t="str">
        <f>IFERROR(INDEX(Katalog!$B$3:$B$12,MATCH(Data[[#This Row],[ItemID C]],Katalog!$C$3:$C$12,0)),"-")</f>
        <v>-</v>
      </c>
      <c r="V565" s="36" t="str">
        <f>IFERROR(INDEX(Katalog!$D$3:$D$12,MATCH(Data[[#This Row],[ItemID C]],Katalog!$C$3:$C$12,0))*Data[[#This Row],[Qty C]],"0")</f>
        <v>0</v>
      </c>
      <c r="W565" s="36" t="str">
        <f>IFERROR(INDEX(Katalog!$F$3:$F$12,MATCH(Data[[#This Row],[ItemID C]],Katalog!$C$3:$C$12,0))*Data[[#This Row],[Qty C]],"0")</f>
        <v>0</v>
      </c>
      <c r="X565" s="21">
        <f>Data[[#This Row],[Qty A]]+Data[[#This Row],[Qty B]]+Data[[#This Row],[Qty C]]</f>
        <v>2</v>
      </c>
      <c r="Y565" s="22">
        <f>Data[[#This Row],[Harga Barang A]]+Data[[#This Row],[Harga Barang B]]+Data[[#This Row],[Harga Barang C]]</f>
        <v>800000</v>
      </c>
      <c r="Z565" s="35">
        <f>IFERROR(Data[[#This Row],[Total Harga]]-(Data[[#This Row],[Total Harga]]*Data[[#This Row],[Diskon]]),Data[[#This Row],[Total Harga]])</f>
        <v>680000</v>
      </c>
      <c r="AA565" s="35">
        <f>(Data[[#This Row],[Profit A]]+Data[[#This Row],[Profit B]]+Data[[#This Row],[Profit C]])</f>
        <v>300000</v>
      </c>
      <c r="AB565" s="35">
        <f>IFERROR((Data[[#This Row],[Profit non Diskon]]-(Data[[#This Row],[Profit non Diskon]]*Data[[#This Row],[Diskon]])),Data[[#This Row],[Profit non Diskon]])</f>
        <v>255000</v>
      </c>
      <c r="AC565" s="23" t="s">
        <v>28</v>
      </c>
      <c r="AD565" s="37">
        <f>IFERROR(INDEX('Kode Diskon'!$D$3:$D$9,MATCH(Data[[#This Row],[Kode diskon]],'Kode Diskon'!$C$3:$C$9,0)),"-")</f>
        <v>0.15</v>
      </c>
      <c r="AE565" s="23" t="s">
        <v>29</v>
      </c>
      <c r="AF565" s="23" t="s">
        <v>14</v>
      </c>
      <c r="AG565" s="23" t="s">
        <v>76</v>
      </c>
      <c r="AH565" s="24">
        <v>45022</v>
      </c>
      <c r="AI565" s="23" t="str">
        <f>TEXT(Data[[#This Row],[Tanggal terjual]],"dddd")</f>
        <v>Thursday</v>
      </c>
      <c r="AJ565" s="21" t="str">
        <f>TEXT(Data[[#This Row],[Tanggal terjual]],"wwww")</f>
        <v>wwww</v>
      </c>
    </row>
    <row r="566" spans="1:36" x14ac:dyDescent="0.2">
      <c r="A566" s="20">
        <v>565</v>
      </c>
      <c r="B566" s="21" t="str">
        <f>_xlfn.CONCAT("ORD-",INDEX(Helper!$B$2:$B$5,MATCH(Data[[#This Row],[Marketplace]],Helper!$A$2:$A$5,0)),TEXT(Data[[#This Row],[No]],"0000"),"-",TEXT(Data[[#This Row],[Tanggal terjual]],"dd/mm/yy"))</f>
        <v>ORD-TK0565-05/04/23</v>
      </c>
      <c r="C566" t="s">
        <v>63</v>
      </c>
      <c r="D566" t="str">
        <f>IFERROR(INDEX(Katalog!$A$3:$A$12,MATCH(Data[[#This Row],[ItemID A]],Katalog!$C$3:$C$12,0)),"-")</f>
        <v>Pakaian Pria</v>
      </c>
      <c r="E566" t="str">
        <f>IFERROR(INDEX(Katalog!$B$3:$B$12,MATCH(Data[[#This Row],[ItemID A]],Katalog!$C$3:$C$12,0)),"-")</f>
        <v>Jaket Jeans</v>
      </c>
      <c r="F566">
        <v>3</v>
      </c>
      <c r="G566">
        <v>2</v>
      </c>
      <c r="H566" s="36">
        <f>IFERROR(INDEX(Katalog!$D$3:$D$12,MATCH(Data[[#This Row],[ItemID A]],Katalog!$C$3:$C$12,0))*Data[[#This Row],[Qty A]],"0")</f>
        <v>1200000</v>
      </c>
      <c r="I566" s="36">
        <f>IFERROR(INDEX(Katalog!$F$3:$F$12,MATCH(Data[[#This Row],[ItemID A]],Katalog!$C$3:$C$12,0))*Data[[#This Row],[Qty A]],0)</f>
        <v>450000</v>
      </c>
      <c r="J566" t="s">
        <v>59</v>
      </c>
      <c r="K566" t="str">
        <f>IFERROR(INDEX(Katalog!$A$3:$A$12,MATCH(Data[[#This Row],[ItemID B]],Katalog!$C$3:$C$12,0)),"-")</f>
        <v>Pakaian Wanita</v>
      </c>
      <c r="L566" t="str">
        <f>IFERROR(INDEX(Katalog!$B$3:$B$12,MATCH(Data[[#This Row],[ItemID B]],Katalog!$C$3:$C$12,0)),"-")</f>
        <v>Blouse</v>
      </c>
      <c r="M566">
        <v>2</v>
      </c>
      <c r="N566">
        <v>4</v>
      </c>
      <c r="O566" s="36">
        <f>IFERROR(INDEX(Katalog!$D$3:$D$12,MATCH(Data[[#This Row],[ItemID B]],Katalog!$C$3:$C$12,0))*Data[[#This Row],[Qty B]],"0")</f>
        <v>300000</v>
      </c>
      <c r="P566" s="36">
        <f>IFERROR(INDEX(Katalog!$F$3:$F$12,MATCH(Data[[#This Row],[ItemID B]],Katalog!$C$3:$C$12,0))*Data[[#This Row],[Qty B]],"0")</f>
        <v>100000</v>
      </c>
      <c r="Q566" t="s">
        <v>58</v>
      </c>
      <c r="R566" t="str">
        <f>IFERROR(INDEX(Katalog!$A$3:$A$12,MATCH(Data[[#This Row],[ItemID C]],Katalog!$C$3:$C$12,0)),"-")</f>
        <v>Pakaian Wanita</v>
      </c>
      <c r="S566" t="str">
        <f>IFERROR(INDEX(Katalog!$B$3:$B$12,MATCH(Data[[#This Row],[ItemID C]],Katalog!$C$3:$C$12,0)),"-")</f>
        <v>Dress</v>
      </c>
      <c r="T566">
        <v>1</v>
      </c>
      <c r="U566">
        <v>5</v>
      </c>
      <c r="V566" s="36">
        <f>IFERROR(INDEX(Katalog!$D$3:$D$12,MATCH(Data[[#This Row],[ItemID C]],Katalog!$C$3:$C$12,0))*Data[[#This Row],[Qty C]],"0")</f>
        <v>300000</v>
      </c>
      <c r="W566" s="36">
        <f>IFERROR(INDEX(Katalog!$F$3:$F$12,MATCH(Data[[#This Row],[ItemID C]],Katalog!$C$3:$C$12,0))*Data[[#This Row],[Qty C]],"0")</f>
        <v>100000</v>
      </c>
      <c r="X566" s="21">
        <f>Data[[#This Row],[Qty A]]+Data[[#This Row],[Qty B]]+Data[[#This Row],[Qty C]]</f>
        <v>6</v>
      </c>
      <c r="Y566" s="22">
        <f>Data[[#This Row],[Harga Barang A]]+Data[[#This Row],[Harga Barang B]]+Data[[#This Row],[Harga Barang C]]</f>
        <v>1800000</v>
      </c>
      <c r="Z566" s="35">
        <f>IFERROR(Data[[#This Row],[Total Harga]]-(Data[[#This Row],[Total Harga]]*Data[[#This Row],[Diskon]]),Data[[#This Row],[Total Harga]])</f>
        <v>1620000</v>
      </c>
      <c r="AA566" s="35">
        <f>(Data[[#This Row],[Profit A]]+Data[[#This Row],[Profit B]]+Data[[#This Row],[Profit C]])</f>
        <v>650000</v>
      </c>
      <c r="AB566" s="35">
        <f>IFERROR((Data[[#This Row],[Profit non Diskon]]-(Data[[#This Row],[Profit non Diskon]]*Data[[#This Row],[Diskon]])),Data[[#This Row],[Profit non Diskon]])</f>
        <v>585000</v>
      </c>
      <c r="AC566" s="23" t="s">
        <v>30</v>
      </c>
      <c r="AD566" s="37">
        <f>IFERROR(INDEX('Kode Diskon'!$D$3:$D$9,MATCH(Data[[#This Row],[Kode diskon]],'Kode Diskon'!$C$3:$C$9,0)),"-")</f>
        <v>0.1</v>
      </c>
      <c r="AE566" s="23" t="s">
        <v>29</v>
      </c>
      <c r="AF566" s="23" t="s">
        <v>10</v>
      </c>
      <c r="AG566" s="23" t="s">
        <v>75</v>
      </c>
      <c r="AH566" s="24">
        <v>45021</v>
      </c>
      <c r="AI566" s="23" t="str">
        <f>TEXT(Data[[#This Row],[Tanggal terjual]],"dddd")</f>
        <v>Wednesday</v>
      </c>
      <c r="AJ566" s="21" t="str">
        <f>TEXT(Data[[#This Row],[Tanggal terjual]],"wwww")</f>
        <v>wwww</v>
      </c>
    </row>
    <row r="567" spans="1:36" x14ac:dyDescent="0.2">
      <c r="A567" s="20">
        <v>566</v>
      </c>
      <c r="B567" s="21" t="str">
        <f>_xlfn.CONCAT("ORD-",INDEX(Helper!$B$2:$B$5,MATCH(Data[[#This Row],[Marketplace]],Helper!$A$2:$A$5,0)),TEXT(Data[[#This Row],[No]],"0000"),"-",TEXT(Data[[#This Row],[Tanggal terjual]],"dd/mm/yy"))</f>
        <v>ORD-SP0566-05/04/23</v>
      </c>
      <c r="C567" t="s">
        <v>61</v>
      </c>
      <c r="D567" t="str">
        <f>IFERROR(INDEX(Katalog!$A$3:$A$12,MATCH(Data[[#This Row],[ItemID A]],Katalog!$C$3:$C$12,0)),"-")</f>
        <v>Pakaian Pria</v>
      </c>
      <c r="E567" t="str">
        <f>IFERROR(INDEX(Katalog!$B$3:$B$12,MATCH(Data[[#This Row],[ItemID A]],Katalog!$C$3:$C$12,0)),"-")</f>
        <v>Kaos Polo</v>
      </c>
      <c r="F567">
        <v>1</v>
      </c>
      <c r="G567">
        <v>4</v>
      </c>
      <c r="H567" s="36">
        <f>IFERROR(INDEX(Katalog!$D$3:$D$12,MATCH(Data[[#This Row],[ItemID A]],Katalog!$C$3:$C$12,0))*Data[[#This Row],[Qty A]],"0")</f>
        <v>200000</v>
      </c>
      <c r="I567" s="36">
        <f>IFERROR(INDEX(Katalog!$F$3:$F$12,MATCH(Data[[#This Row],[ItemID A]],Katalog!$C$3:$C$12,0))*Data[[#This Row],[Qty A]],0)</f>
        <v>80000</v>
      </c>
      <c r="K567" t="str">
        <f>IFERROR(INDEX(Katalog!$A$3:$A$12,MATCH(Data[[#This Row],[ItemID B]],Katalog!$C$3:$C$12,0)),"-")</f>
        <v>-</v>
      </c>
      <c r="L567" t="str">
        <f>IFERROR(INDEX(Katalog!$B$3:$B$12,MATCH(Data[[#This Row],[ItemID B]],Katalog!$C$3:$C$12,0)),"-")</f>
        <v>-</v>
      </c>
      <c r="O567" s="36" t="str">
        <f>IFERROR(INDEX(Katalog!$D$3:$D$12,MATCH(Data[[#This Row],[ItemID B]],Katalog!$C$3:$C$12,0))*Data[[#This Row],[Qty B]],"0")</f>
        <v>0</v>
      </c>
      <c r="P567" s="36" t="str">
        <f>IFERROR(INDEX(Katalog!$F$3:$F$12,MATCH(Data[[#This Row],[ItemID B]],Katalog!$C$3:$C$12,0))*Data[[#This Row],[Qty B]],"0")</f>
        <v>0</v>
      </c>
      <c r="R567" t="str">
        <f>IFERROR(INDEX(Katalog!$A$3:$A$12,MATCH(Data[[#This Row],[ItemID C]],Katalog!$C$3:$C$12,0)),"-")</f>
        <v>-</v>
      </c>
      <c r="S567" t="str">
        <f>IFERROR(INDEX(Katalog!$B$3:$B$12,MATCH(Data[[#This Row],[ItemID C]],Katalog!$C$3:$C$12,0)),"-")</f>
        <v>-</v>
      </c>
      <c r="V567" s="36" t="str">
        <f>IFERROR(INDEX(Katalog!$D$3:$D$12,MATCH(Data[[#This Row],[ItemID C]],Katalog!$C$3:$C$12,0))*Data[[#This Row],[Qty C]],"0")</f>
        <v>0</v>
      </c>
      <c r="W567" s="36" t="str">
        <f>IFERROR(INDEX(Katalog!$F$3:$F$12,MATCH(Data[[#This Row],[ItemID C]],Katalog!$C$3:$C$12,0))*Data[[#This Row],[Qty C]],"0")</f>
        <v>0</v>
      </c>
      <c r="X567" s="21">
        <f>Data[[#This Row],[Qty A]]+Data[[#This Row],[Qty B]]+Data[[#This Row],[Qty C]]</f>
        <v>1</v>
      </c>
      <c r="Y567" s="22">
        <f>Data[[#This Row],[Harga Barang A]]+Data[[#This Row],[Harga Barang B]]+Data[[#This Row],[Harga Barang C]]</f>
        <v>200000</v>
      </c>
      <c r="Z567" s="35">
        <f>IFERROR(Data[[#This Row],[Total Harga]]-(Data[[#This Row],[Total Harga]]*Data[[#This Row],[Diskon]]),Data[[#This Row],[Total Harga]])</f>
        <v>170000</v>
      </c>
      <c r="AA567" s="35">
        <f>(Data[[#This Row],[Profit A]]+Data[[#This Row],[Profit B]]+Data[[#This Row],[Profit C]])</f>
        <v>80000</v>
      </c>
      <c r="AB567" s="35">
        <f>IFERROR((Data[[#This Row],[Profit non Diskon]]-(Data[[#This Row],[Profit non Diskon]]*Data[[#This Row],[Diskon]])),Data[[#This Row],[Profit non Diskon]])</f>
        <v>68000</v>
      </c>
      <c r="AC567" s="23" t="s">
        <v>13</v>
      </c>
      <c r="AD567" s="37">
        <f>IFERROR(INDEX('Kode Diskon'!$D$3:$D$9,MATCH(Data[[#This Row],[Kode diskon]],'Kode Diskon'!$C$3:$C$9,0)),"-")</f>
        <v>0.15</v>
      </c>
      <c r="AE567" s="23" t="s">
        <v>29</v>
      </c>
      <c r="AF567" s="23" t="s">
        <v>7</v>
      </c>
      <c r="AG567" s="23" t="s">
        <v>79</v>
      </c>
      <c r="AH567" s="24">
        <v>45021</v>
      </c>
      <c r="AI567" s="23" t="str">
        <f>TEXT(Data[[#This Row],[Tanggal terjual]],"dddd")</f>
        <v>Wednesday</v>
      </c>
      <c r="AJ567" s="21" t="str">
        <f>TEXT(Data[[#This Row],[Tanggal terjual]],"wwww")</f>
        <v>wwww</v>
      </c>
    </row>
    <row r="568" spans="1:36" x14ac:dyDescent="0.2">
      <c r="A568" s="20">
        <v>567</v>
      </c>
      <c r="B568" s="21" t="str">
        <f>_xlfn.CONCAT("ORD-",INDEX(Helper!$B$2:$B$5,MATCH(Data[[#This Row],[Marketplace]],Helper!$A$2:$A$5,0)),TEXT(Data[[#This Row],[No]],"0000"),"-",TEXT(Data[[#This Row],[Tanggal terjual]],"dd/mm/yy"))</f>
        <v>ORD-BB0567-05/04/23</v>
      </c>
      <c r="C568" t="s">
        <v>65</v>
      </c>
      <c r="D568" t="str">
        <f>IFERROR(INDEX(Katalog!$A$3:$A$12,MATCH(Data[[#This Row],[ItemID A]],Katalog!$C$3:$C$12,0)),"-")</f>
        <v>Sepatu Pria</v>
      </c>
      <c r="E568" t="str">
        <f>IFERROR(INDEX(Katalog!$B$3:$B$12,MATCH(Data[[#This Row],[ItemID A]],Katalog!$C$3:$C$12,0)),"-")</f>
        <v>Sneakers</v>
      </c>
      <c r="F568">
        <v>3</v>
      </c>
      <c r="G568">
        <v>4</v>
      </c>
      <c r="H568" s="36">
        <f>IFERROR(INDEX(Katalog!$D$3:$D$12,MATCH(Data[[#This Row],[ItemID A]],Katalog!$C$3:$C$12,0))*Data[[#This Row],[Qty A]],"0")</f>
        <v>1500000</v>
      </c>
      <c r="I568" s="36">
        <f>IFERROR(INDEX(Katalog!$F$3:$F$12,MATCH(Data[[#This Row],[ItemID A]],Katalog!$C$3:$C$12,0))*Data[[#This Row],[Qty A]],0)</f>
        <v>600000</v>
      </c>
      <c r="K568" t="str">
        <f>IFERROR(INDEX(Katalog!$A$3:$A$12,MATCH(Data[[#This Row],[ItemID B]],Katalog!$C$3:$C$12,0)),"-")</f>
        <v>-</v>
      </c>
      <c r="L568" t="str">
        <f>IFERROR(INDEX(Katalog!$B$3:$B$12,MATCH(Data[[#This Row],[ItemID B]],Katalog!$C$3:$C$12,0)),"-")</f>
        <v>-</v>
      </c>
      <c r="O568" s="36" t="str">
        <f>IFERROR(INDEX(Katalog!$D$3:$D$12,MATCH(Data[[#This Row],[ItemID B]],Katalog!$C$3:$C$12,0))*Data[[#This Row],[Qty B]],"0")</f>
        <v>0</v>
      </c>
      <c r="P568" s="36" t="str">
        <f>IFERROR(INDEX(Katalog!$F$3:$F$12,MATCH(Data[[#This Row],[ItemID B]],Katalog!$C$3:$C$12,0))*Data[[#This Row],[Qty B]],"0")</f>
        <v>0</v>
      </c>
      <c r="R568" t="str">
        <f>IFERROR(INDEX(Katalog!$A$3:$A$12,MATCH(Data[[#This Row],[ItemID C]],Katalog!$C$3:$C$12,0)),"-")</f>
        <v>-</v>
      </c>
      <c r="S568" t="str">
        <f>IFERROR(INDEX(Katalog!$B$3:$B$12,MATCH(Data[[#This Row],[ItemID C]],Katalog!$C$3:$C$12,0)),"-")</f>
        <v>-</v>
      </c>
      <c r="V568" s="36" t="str">
        <f>IFERROR(INDEX(Katalog!$D$3:$D$12,MATCH(Data[[#This Row],[ItemID C]],Katalog!$C$3:$C$12,0))*Data[[#This Row],[Qty C]],"0")</f>
        <v>0</v>
      </c>
      <c r="W568" s="36" t="str">
        <f>IFERROR(INDEX(Katalog!$F$3:$F$12,MATCH(Data[[#This Row],[ItemID C]],Katalog!$C$3:$C$12,0))*Data[[#This Row],[Qty C]],"0")</f>
        <v>0</v>
      </c>
      <c r="X568" s="21">
        <f>Data[[#This Row],[Qty A]]+Data[[#This Row],[Qty B]]+Data[[#This Row],[Qty C]]</f>
        <v>3</v>
      </c>
      <c r="Y568" s="22">
        <f>Data[[#This Row],[Harga Barang A]]+Data[[#This Row],[Harga Barang B]]+Data[[#This Row],[Harga Barang C]]</f>
        <v>1500000</v>
      </c>
      <c r="Z568" s="35">
        <f>IFERROR(Data[[#This Row],[Total Harga]]-(Data[[#This Row],[Total Harga]]*Data[[#This Row],[Diskon]]),Data[[#This Row],[Total Harga]])</f>
        <v>1275000</v>
      </c>
      <c r="AA568" s="35">
        <f>(Data[[#This Row],[Profit A]]+Data[[#This Row],[Profit B]]+Data[[#This Row],[Profit C]])</f>
        <v>600000</v>
      </c>
      <c r="AB568" s="35">
        <f>IFERROR((Data[[#This Row],[Profit non Diskon]]-(Data[[#This Row],[Profit non Diskon]]*Data[[#This Row],[Diskon]])),Data[[#This Row],[Profit non Diskon]])</f>
        <v>510000</v>
      </c>
      <c r="AC568" s="23" t="s">
        <v>28</v>
      </c>
      <c r="AD568" s="37">
        <f>IFERROR(INDEX('Kode Diskon'!$D$3:$D$9,MATCH(Data[[#This Row],[Kode diskon]],'Kode Diskon'!$C$3:$C$9,0)),"-")</f>
        <v>0.15</v>
      </c>
      <c r="AE568" s="23" t="s">
        <v>29</v>
      </c>
      <c r="AF568" s="23" t="s">
        <v>14</v>
      </c>
      <c r="AG568" s="23" t="s">
        <v>80</v>
      </c>
      <c r="AH568" s="24">
        <v>45021</v>
      </c>
      <c r="AI568" s="23" t="str">
        <f>TEXT(Data[[#This Row],[Tanggal terjual]],"dddd")</f>
        <v>Wednesday</v>
      </c>
      <c r="AJ568" s="21" t="str">
        <f>TEXT(Data[[#This Row],[Tanggal terjual]],"wwww")</f>
        <v>wwww</v>
      </c>
    </row>
    <row r="569" spans="1:36" x14ac:dyDescent="0.2">
      <c r="A569" s="20">
        <v>568</v>
      </c>
      <c r="B569" s="21" t="str">
        <f>_xlfn.CONCAT("ORD-",INDEX(Helper!$B$2:$B$5,MATCH(Data[[#This Row],[Marketplace]],Helper!$A$2:$A$5,0)),TEXT(Data[[#This Row],[No]],"0000"),"-",TEXT(Data[[#This Row],[Tanggal terjual]],"dd/mm/yy"))</f>
        <v>ORD-TK0568-19/04/23</v>
      </c>
      <c r="C569" t="s">
        <v>66</v>
      </c>
      <c r="D569" t="str">
        <f>IFERROR(INDEX(Katalog!$A$3:$A$12,MATCH(Data[[#This Row],[ItemID A]],Katalog!$C$3:$C$12,0)),"-")</f>
        <v>Sepatu Pria</v>
      </c>
      <c r="E569" t="str">
        <f>IFERROR(INDEX(Katalog!$B$3:$B$12,MATCH(Data[[#This Row],[ItemID A]],Katalog!$C$3:$C$12,0)),"-")</f>
        <v>Sandal Slip On</v>
      </c>
      <c r="F569">
        <v>5</v>
      </c>
      <c r="G569">
        <v>2</v>
      </c>
      <c r="H569" s="36">
        <f>IFERROR(INDEX(Katalog!$D$3:$D$12,MATCH(Data[[#This Row],[ItemID A]],Katalog!$C$3:$C$12,0))*Data[[#This Row],[Qty A]],"0")</f>
        <v>750000</v>
      </c>
      <c r="I569" s="36">
        <f>IFERROR(INDEX(Katalog!$F$3:$F$12,MATCH(Data[[#This Row],[ItemID A]],Katalog!$C$3:$C$12,0))*Data[[#This Row],[Qty A]],0)</f>
        <v>300000</v>
      </c>
      <c r="J569" t="s">
        <v>62</v>
      </c>
      <c r="K569" t="str">
        <f>IFERROR(INDEX(Katalog!$A$3:$A$12,MATCH(Data[[#This Row],[ItemID B]],Katalog!$C$3:$C$12,0)),"-")</f>
        <v>Pakaian Pria</v>
      </c>
      <c r="L569" t="str">
        <f>IFERROR(INDEX(Katalog!$B$3:$B$12,MATCH(Data[[#This Row],[ItemID B]],Katalog!$C$3:$C$12,0)),"-")</f>
        <v>Celana Pendek</v>
      </c>
      <c r="M569">
        <v>1</v>
      </c>
      <c r="N569">
        <v>1</v>
      </c>
      <c r="O569" s="36">
        <f>IFERROR(INDEX(Katalog!$D$3:$D$12,MATCH(Data[[#This Row],[ItemID B]],Katalog!$C$3:$C$12,0))*Data[[#This Row],[Qty B]],"0")</f>
        <v>180000</v>
      </c>
      <c r="P569" s="36">
        <f>IFERROR(INDEX(Katalog!$F$3:$F$12,MATCH(Data[[#This Row],[ItemID B]],Katalog!$C$3:$C$12,0))*Data[[#This Row],[Qty B]],"0")</f>
        <v>70000</v>
      </c>
      <c r="R569" t="str">
        <f>IFERROR(INDEX(Katalog!$A$3:$A$12,MATCH(Data[[#This Row],[ItemID C]],Katalog!$C$3:$C$12,0)),"-")</f>
        <v>-</v>
      </c>
      <c r="S569" t="str">
        <f>IFERROR(INDEX(Katalog!$B$3:$B$12,MATCH(Data[[#This Row],[ItemID C]],Katalog!$C$3:$C$12,0)),"-")</f>
        <v>-</v>
      </c>
      <c r="V569" s="36" t="str">
        <f>IFERROR(INDEX(Katalog!$D$3:$D$12,MATCH(Data[[#This Row],[ItemID C]],Katalog!$C$3:$C$12,0))*Data[[#This Row],[Qty C]],"0")</f>
        <v>0</v>
      </c>
      <c r="W569" s="36" t="str">
        <f>IFERROR(INDEX(Katalog!$F$3:$F$12,MATCH(Data[[#This Row],[ItemID C]],Katalog!$C$3:$C$12,0))*Data[[#This Row],[Qty C]],"0")</f>
        <v>0</v>
      </c>
      <c r="X569" s="21">
        <f>Data[[#This Row],[Qty A]]+Data[[#This Row],[Qty B]]+Data[[#This Row],[Qty C]]</f>
        <v>6</v>
      </c>
      <c r="Y569" s="22">
        <f>Data[[#This Row],[Harga Barang A]]+Data[[#This Row],[Harga Barang B]]+Data[[#This Row],[Harga Barang C]]</f>
        <v>930000</v>
      </c>
      <c r="Z569" s="35">
        <f>IFERROR(Data[[#This Row],[Total Harga]]-(Data[[#This Row],[Total Harga]]*Data[[#This Row],[Diskon]]),Data[[#This Row],[Total Harga]])</f>
        <v>837000</v>
      </c>
      <c r="AA569" s="35">
        <f>(Data[[#This Row],[Profit A]]+Data[[#This Row],[Profit B]]+Data[[#This Row],[Profit C]])</f>
        <v>370000</v>
      </c>
      <c r="AB569" s="35">
        <f>IFERROR((Data[[#This Row],[Profit non Diskon]]-(Data[[#This Row],[Profit non Diskon]]*Data[[#This Row],[Diskon]])),Data[[#This Row],[Profit non Diskon]])</f>
        <v>333000</v>
      </c>
      <c r="AC569" s="23" t="s">
        <v>31</v>
      </c>
      <c r="AD569" s="37">
        <f>IFERROR(INDEX('Kode Diskon'!$D$3:$D$9,MATCH(Data[[#This Row],[Kode diskon]],'Kode Diskon'!$C$3:$C$9,0)),"-")</f>
        <v>0.1</v>
      </c>
      <c r="AE569" s="23" t="s">
        <v>9</v>
      </c>
      <c r="AF569" s="23" t="s">
        <v>10</v>
      </c>
      <c r="AG569" s="23" t="s">
        <v>77</v>
      </c>
      <c r="AH569" s="24">
        <v>45035</v>
      </c>
      <c r="AI569" s="23" t="str">
        <f>TEXT(Data[[#This Row],[Tanggal terjual]],"dddd")</f>
        <v>Wednesday</v>
      </c>
      <c r="AJ569" s="21" t="str">
        <f>TEXT(Data[[#This Row],[Tanggal terjual]],"wwww")</f>
        <v>wwww</v>
      </c>
    </row>
    <row r="570" spans="1:36" x14ac:dyDescent="0.2">
      <c r="A570" s="20">
        <v>569</v>
      </c>
      <c r="B570" s="21" t="str">
        <f>_xlfn.CONCAT("ORD-",INDEX(Helper!$B$2:$B$5,MATCH(Data[[#This Row],[Marketplace]],Helper!$A$2:$A$5,0)),TEXT(Data[[#This Row],[No]],"0000"),"-",TEXT(Data[[#This Row],[Tanggal terjual]],"dd/mm/yy"))</f>
        <v>ORD-SP0569-02/04/23</v>
      </c>
      <c r="C570" t="s">
        <v>63</v>
      </c>
      <c r="D570" t="str">
        <f>IFERROR(INDEX(Katalog!$A$3:$A$12,MATCH(Data[[#This Row],[ItemID A]],Katalog!$C$3:$C$12,0)),"-")</f>
        <v>Pakaian Pria</v>
      </c>
      <c r="E570" t="str">
        <f>IFERROR(INDEX(Katalog!$B$3:$B$12,MATCH(Data[[#This Row],[ItemID A]],Katalog!$C$3:$C$12,0)),"-")</f>
        <v>Jaket Jeans</v>
      </c>
      <c r="F570">
        <v>2</v>
      </c>
      <c r="G570">
        <v>4</v>
      </c>
      <c r="H570" s="36">
        <f>IFERROR(INDEX(Katalog!$D$3:$D$12,MATCH(Data[[#This Row],[ItemID A]],Katalog!$C$3:$C$12,0))*Data[[#This Row],[Qty A]],"0")</f>
        <v>800000</v>
      </c>
      <c r="I570" s="36">
        <f>IFERROR(INDEX(Katalog!$F$3:$F$12,MATCH(Data[[#This Row],[ItemID A]],Katalog!$C$3:$C$12,0))*Data[[#This Row],[Qty A]],0)</f>
        <v>300000</v>
      </c>
      <c r="K570" t="str">
        <f>IFERROR(INDEX(Katalog!$A$3:$A$12,MATCH(Data[[#This Row],[ItemID B]],Katalog!$C$3:$C$12,0)),"-")</f>
        <v>-</v>
      </c>
      <c r="L570" t="str">
        <f>IFERROR(INDEX(Katalog!$B$3:$B$12,MATCH(Data[[#This Row],[ItemID B]],Katalog!$C$3:$C$12,0)),"-")</f>
        <v>-</v>
      </c>
      <c r="O570" s="36" t="str">
        <f>IFERROR(INDEX(Katalog!$D$3:$D$12,MATCH(Data[[#This Row],[ItemID B]],Katalog!$C$3:$C$12,0))*Data[[#This Row],[Qty B]],"0")</f>
        <v>0</v>
      </c>
      <c r="P570" s="36" t="str">
        <f>IFERROR(INDEX(Katalog!$F$3:$F$12,MATCH(Data[[#This Row],[ItemID B]],Katalog!$C$3:$C$12,0))*Data[[#This Row],[Qty B]],"0")</f>
        <v>0</v>
      </c>
      <c r="R570" t="str">
        <f>IFERROR(INDEX(Katalog!$A$3:$A$12,MATCH(Data[[#This Row],[ItemID C]],Katalog!$C$3:$C$12,0)),"-")</f>
        <v>-</v>
      </c>
      <c r="S570" t="str">
        <f>IFERROR(INDEX(Katalog!$B$3:$B$12,MATCH(Data[[#This Row],[ItemID C]],Katalog!$C$3:$C$12,0)),"-")</f>
        <v>-</v>
      </c>
      <c r="V570" s="36" t="str">
        <f>IFERROR(INDEX(Katalog!$D$3:$D$12,MATCH(Data[[#This Row],[ItemID C]],Katalog!$C$3:$C$12,0))*Data[[#This Row],[Qty C]],"0")</f>
        <v>0</v>
      </c>
      <c r="W570" s="36" t="str">
        <f>IFERROR(INDEX(Katalog!$F$3:$F$12,MATCH(Data[[#This Row],[ItemID C]],Katalog!$C$3:$C$12,0))*Data[[#This Row],[Qty C]],"0")</f>
        <v>0</v>
      </c>
      <c r="X570" s="21">
        <f>Data[[#This Row],[Qty A]]+Data[[#This Row],[Qty B]]+Data[[#This Row],[Qty C]]</f>
        <v>2</v>
      </c>
      <c r="Y570" s="22">
        <f>Data[[#This Row],[Harga Barang A]]+Data[[#This Row],[Harga Barang B]]+Data[[#This Row],[Harga Barang C]]</f>
        <v>800000</v>
      </c>
      <c r="Z570" s="35">
        <f>IFERROR(Data[[#This Row],[Total Harga]]-(Data[[#This Row],[Total Harga]]*Data[[#This Row],[Diskon]]),Data[[#This Row],[Total Harga]])</f>
        <v>680000</v>
      </c>
      <c r="AA570" s="35">
        <f>(Data[[#This Row],[Profit A]]+Data[[#This Row],[Profit B]]+Data[[#This Row],[Profit C]])</f>
        <v>300000</v>
      </c>
      <c r="AB570" s="35">
        <f>IFERROR((Data[[#This Row],[Profit non Diskon]]-(Data[[#This Row],[Profit non Diskon]]*Data[[#This Row],[Diskon]])),Data[[#This Row],[Profit non Diskon]])</f>
        <v>255000</v>
      </c>
      <c r="AC570" s="23" t="s">
        <v>13</v>
      </c>
      <c r="AD570" s="37">
        <f>IFERROR(INDEX('Kode Diskon'!$D$3:$D$9,MATCH(Data[[#This Row],[Kode diskon]],'Kode Diskon'!$C$3:$C$9,0)),"-")</f>
        <v>0.15</v>
      </c>
      <c r="AE570" s="23" t="s">
        <v>29</v>
      </c>
      <c r="AF570" s="23" t="s">
        <v>7</v>
      </c>
      <c r="AG570" s="23" t="s">
        <v>78</v>
      </c>
      <c r="AH570" s="24">
        <v>45018</v>
      </c>
      <c r="AI570" s="23" t="str">
        <f>TEXT(Data[[#This Row],[Tanggal terjual]],"dddd")</f>
        <v>Sunday</v>
      </c>
      <c r="AJ570" s="21" t="str">
        <f>TEXT(Data[[#This Row],[Tanggal terjual]],"wwww")</f>
        <v>wwww</v>
      </c>
    </row>
    <row r="571" spans="1:36" x14ac:dyDescent="0.2">
      <c r="A571" s="20">
        <v>570</v>
      </c>
      <c r="B571" s="21" t="str">
        <f>_xlfn.CONCAT("ORD-",INDEX(Helper!$B$2:$B$5,MATCH(Data[[#This Row],[Marketplace]],Helper!$A$2:$A$5,0)),TEXT(Data[[#This Row],[No]],"0000"),"-",TEXT(Data[[#This Row],[Tanggal terjual]],"dd/mm/yy"))</f>
        <v>ORD-BB0570-05/04/23</v>
      </c>
      <c r="C571" t="s">
        <v>66</v>
      </c>
      <c r="D571" t="str">
        <f>IFERROR(INDEX(Katalog!$A$3:$A$12,MATCH(Data[[#This Row],[ItemID A]],Katalog!$C$3:$C$12,0)),"-")</f>
        <v>Sepatu Pria</v>
      </c>
      <c r="E571" t="str">
        <f>IFERROR(INDEX(Katalog!$B$3:$B$12,MATCH(Data[[#This Row],[ItemID A]],Katalog!$C$3:$C$12,0)),"-")</f>
        <v>Sandal Slip On</v>
      </c>
      <c r="F571">
        <v>5</v>
      </c>
      <c r="G571">
        <v>3</v>
      </c>
      <c r="H571" s="36">
        <f>IFERROR(INDEX(Katalog!$D$3:$D$12,MATCH(Data[[#This Row],[ItemID A]],Katalog!$C$3:$C$12,0))*Data[[#This Row],[Qty A]],"0")</f>
        <v>750000</v>
      </c>
      <c r="I571" s="36">
        <f>IFERROR(INDEX(Katalog!$F$3:$F$12,MATCH(Data[[#This Row],[ItemID A]],Katalog!$C$3:$C$12,0))*Data[[#This Row],[Qty A]],0)</f>
        <v>300000</v>
      </c>
      <c r="J571" t="s">
        <v>58</v>
      </c>
      <c r="K571" t="str">
        <f>IFERROR(INDEX(Katalog!$A$3:$A$12,MATCH(Data[[#This Row],[ItemID B]],Katalog!$C$3:$C$12,0)),"-")</f>
        <v>Pakaian Wanita</v>
      </c>
      <c r="L571" t="str">
        <f>IFERROR(INDEX(Katalog!$B$3:$B$12,MATCH(Data[[#This Row],[ItemID B]],Katalog!$C$3:$C$12,0)),"-")</f>
        <v>Dress</v>
      </c>
      <c r="M571">
        <v>1</v>
      </c>
      <c r="N571">
        <v>1</v>
      </c>
      <c r="O571" s="36">
        <f>IFERROR(INDEX(Katalog!$D$3:$D$12,MATCH(Data[[#This Row],[ItemID B]],Katalog!$C$3:$C$12,0))*Data[[#This Row],[Qty B]],"0")</f>
        <v>300000</v>
      </c>
      <c r="P571" s="36">
        <f>IFERROR(INDEX(Katalog!$F$3:$F$12,MATCH(Data[[#This Row],[ItemID B]],Katalog!$C$3:$C$12,0))*Data[[#This Row],[Qty B]],"0")</f>
        <v>100000</v>
      </c>
      <c r="Q571" t="s">
        <v>65</v>
      </c>
      <c r="R571" t="str">
        <f>IFERROR(INDEX(Katalog!$A$3:$A$12,MATCH(Data[[#This Row],[ItemID C]],Katalog!$C$3:$C$12,0)),"-")</f>
        <v>Sepatu Pria</v>
      </c>
      <c r="S571" t="str">
        <f>IFERROR(INDEX(Katalog!$B$3:$B$12,MATCH(Data[[#This Row],[ItemID C]],Katalog!$C$3:$C$12,0)),"-")</f>
        <v>Sneakers</v>
      </c>
      <c r="T571">
        <v>1</v>
      </c>
      <c r="U571">
        <v>5</v>
      </c>
      <c r="V571" s="36">
        <f>IFERROR(INDEX(Katalog!$D$3:$D$12,MATCH(Data[[#This Row],[ItemID C]],Katalog!$C$3:$C$12,0))*Data[[#This Row],[Qty C]],"0")</f>
        <v>500000</v>
      </c>
      <c r="W571" s="36">
        <f>IFERROR(INDEX(Katalog!$F$3:$F$12,MATCH(Data[[#This Row],[ItemID C]],Katalog!$C$3:$C$12,0))*Data[[#This Row],[Qty C]],"0")</f>
        <v>200000</v>
      </c>
      <c r="X571" s="21">
        <f>Data[[#This Row],[Qty A]]+Data[[#This Row],[Qty B]]+Data[[#This Row],[Qty C]]</f>
        <v>7</v>
      </c>
      <c r="Y571" s="22">
        <f>Data[[#This Row],[Harga Barang A]]+Data[[#This Row],[Harga Barang B]]+Data[[#This Row],[Harga Barang C]]</f>
        <v>1550000</v>
      </c>
      <c r="Z571" s="35">
        <f>IFERROR(Data[[#This Row],[Total Harga]]-(Data[[#This Row],[Total Harga]]*Data[[#This Row],[Diskon]]),Data[[#This Row],[Total Harga]])</f>
        <v>1317500</v>
      </c>
      <c r="AA571" s="35">
        <f>(Data[[#This Row],[Profit A]]+Data[[#This Row],[Profit B]]+Data[[#This Row],[Profit C]])</f>
        <v>600000</v>
      </c>
      <c r="AB571" s="35">
        <f>IFERROR((Data[[#This Row],[Profit non Diskon]]-(Data[[#This Row],[Profit non Diskon]]*Data[[#This Row],[Diskon]])),Data[[#This Row],[Profit non Diskon]])</f>
        <v>510000</v>
      </c>
      <c r="AC571" s="23" t="s">
        <v>28</v>
      </c>
      <c r="AD571" s="37">
        <f>IFERROR(INDEX('Kode Diskon'!$D$3:$D$9,MATCH(Data[[#This Row],[Kode diskon]],'Kode Diskon'!$C$3:$C$9,0)),"-")</f>
        <v>0.15</v>
      </c>
      <c r="AE571" s="23" t="s">
        <v>29</v>
      </c>
      <c r="AF571" s="23" t="s">
        <v>14</v>
      </c>
      <c r="AG571" s="23" t="s">
        <v>80</v>
      </c>
      <c r="AH571" s="24">
        <v>45021</v>
      </c>
      <c r="AI571" s="23" t="str">
        <f>TEXT(Data[[#This Row],[Tanggal terjual]],"dddd")</f>
        <v>Wednesday</v>
      </c>
      <c r="AJ571" s="21" t="str">
        <f>TEXT(Data[[#This Row],[Tanggal terjual]],"wwww")</f>
        <v>wwww</v>
      </c>
    </row>
    <row r="572" spans="1:36" x14ac:dyDescent="0.2">
      <c r="A572" s="20">
        <v>571</v>
      </c>
      <c r="B572" s="21" t="str">
        <f>_xlfn.CONCAT("ORD-",INDEX(Helper!$B$2:$B$5,MATCH(Data[[#This Row],[Marketplace]],Helper!$A$2:$A$5,0)),TEXT(Data[[#This Row],[No]],"0000"),"-",TEXT(Data[[#This Row],[Tanggal terjual]],"dd/mm/yy"))</f>
        <v>ORD-BB0571-02/04/23</v>
      </c>
      <c r="C572" t="s">
        <v>61</v>
      </c>
      <c r="D572" t="str">
        <f>IFERROR(INDEX(Katalog!$A$3:$A$12,MATCH(Data[[#This Row],[ItemID A]],Katalog!$C$3:$C$12,0)),"-")</f>
        <v>Pakaian Pria</v>
      </c>
      <c r="E572" t="str">
        <f>IFERROR(INDEX(Katalog!$B$3:$B$12,MATCH(Data[[#This Row],[ItemID A]],Katalog!$C$3:$C$12,0)),"-")</f>
        <v>Kaos Polo</v>
      </c>
      <c r="F572">
        <v>2</v>
      </c>
      <c r="G572">
        <v>3</v>
      </c>
      <c r="H572" s="36">
        <f>IFERROR(INDEX(Katalog!$D$3:$D$12,MATCH(Data[[#This Row],[ItemID A]],Katalog!$C$3:$C$12,0))*Data[[#This Row],[Qty A]],"0")</f>
        <v>400000</v>
      </c>
      <c r="I572" s="36">
        <f>IFERROR(INDEX(Katalog!$F$3:$F$12,MATCH(Data[[#This Row],[ItemID A]],Katalog!$C$3:$C$12,0))*Data[[#This Row],[Qty A]],0)</f>
        <v>160000</v>
      </c>
      <c r="J572" t="s">
        <v>62</v>
      </c>
      <c r="K572" t="str">
        <f>IFERROR(INDEX(Katalog!$A$3:$A$12,MATCH(Data[[#This Row],[ItemID B]],Katalog!$C$3:$C$12,0)),"-")</f>
        <v>Pakaian Pria</v>
      </c>
      <c r="L572" t="str">
        <f>IFERROR(INDEX(Katalog!$B$3:$B$12,MATCH(Data[[#This Row],[ItemID B]],Katalog!$C$3:$C$12,0)),"-")</f>
        <v>Celana Pendek</v>
      </c>
      <c r="M572">
        <v>2</v>
      </c>
      <c r="N572">
        <v>4</v>
      </c>
      <c r="O572" s="36">
        <f>IFERROR(INDEX(Katalog!$D$3:$D$12,MATCH(Data[[#This Row],[ItemID B]],Katalog!$C$3:$C$12,0))*Data[[#This Row],[Qty B]],"0")</f>
        <v>360000</v>
      </c>
      <c r="P572" s="36">
        <f>IFERROR(INDEX(Katalog!$F$3:$F$12,MATCH(Data[[#This Row],[ItemID B]],Katalog!$C$3:$C$12,0))*Data[[#This Row],[Qty B]],"0")</f>
        <v>140000</v>
      </c>
      <c r="Q572" t="s">
        <v>65</v>
      </c>
      <c r="R572" t="str">
        <f>IFERROR(INDEX(Katalog!$A$3:$A$12,MATCH(Data[[#This Row],[ItemID C]],Katalog!$C$3:$C$12,0)),"-")</f>
        <v>Sepatu Pria</v>
      </c>
      <c r="S572" t="str">
        <f>IFERROR(INDEX(Katalog!$B$3:$B$12,MATCH(Data[[#This Row],[ItemID C]],Katalog!$C$3:$C$12,0)),"-")</f>
        <v>Sneakers</v>
      </c>
      <c r="T572">
        <v>3</v>
      </c>
      <c r="U572">
        <v>3</v>
      </c>
      <c r="V572" s="36">
        <f>IFERROR(INDEX(Katalog!$D$3:$D$12,MATCH(Data[[#This Row],[ItemID C]],Katalog!$C$3:$C$12,0))*Data[[#This Row],[Qty C]],"0")</f>
        <v>1500000</v>
      </c>
      <c r="W572" s="36">
        <f>IFERROR(INDEX(Katalog!$F$3:$F$12,MATCH(Data[[#This Row],[ItemID C]],Katalog!$C$3:$C$12,0))*Data[[#This Row],[Qty C]],"0")</f>
        <v>600000</v>
      </c>
      <c r="X572" s="21">
        <f>Data[[#This Row],[Qty A]]+Data[[#This Row],[Qty B]]+Data[[#This Row],[Qty C]]</f>
        <v>7</v>
      </c>
      <c r="Y572" s="22">
        <f>Data[[#This Row],[Harga Barang A]]+Data[[#This Row],[Harga Barang B]]+Data[[#This Row],[Harga Barang C]]</f>
        <v>2260000</v>
      </c>
      <c r="Z572" s="35">
        <f>IFERROR(Data[[#This Row],[Total Harga]]-(Data[[#This Row],[Total Harga]]*Data[[#This Row],[Diskon]]),Data[[#This Row],[Total Harga]])</f>
        <v>1921000</v>
      </c>
      <c r="AA572" s="35">
        <f>(Data[[#This Row],[Profit A]]+Data[[#This Row],[Profit B]]+Data[[#This Row],[Profit C]])</f>
        <v>900000</v>
      </c>
      <c r="AB572" s="35">
        <f>IFERROR((Data[[#This Row],[Profit non Diskon]]-(Data[[#This Row],[Profit non Diskon]]*Data[[#This Row],[Diskon]])),Data[[#This Row],[Profit non Diskon]])</f>
        <v>765000</v>
      </c>
      <c r="AC572" s="23" t="s">
        <v>28</v>
      </c>
      <c r="AD572" s="37">
        <f>IFERROR(INDEX('Kode Diskon'!$D$3:$D$9,MATCH(Data[[#This Row],[Kode diskon]],'Kode Diskon'!$C$3:$C$9,0)),"-")</f>
        <v>0.15</v>
      </c>
      <c r="AE572" s="23" t="s">
        <v>29</v>
      </c>
      <c r="AF572" s="23" t="s">
        <v>14</v>
      </c>
      <c r="AG572" s="23" t="s">
        <v>77</v>
      </c>
      <c r="AH572" s="24">
        <v>45018</v>
      </c>
      <c r="AI572" s="23" t="str">
        <f>TEXT(Data[[#This Row],[Tanggal terjual]],"dddd")</f>
        <v>Sunday</v>
      </c>
      <c r="AJ572" s="21" t="str">
        <f>TEXT(Data[[#This Row],[Tanggal terjual]],"wwww")</f>
        <v>wwww</v>
      </c>
    </row>
    <row r="573" spans="1:36" x14ac:dyDescent="0.2">
      <c r="A573" s="20">
        <v>572</v>
      </c>
      <c r="B573" s="21" t="str">
        <f>_xlfn.CONCAT("ORD-",INDEX(Helper!$B$2:$B$5,MATCH(Data[[#This Row],[Marketplace]],Helper!$A$2:$A$5,0)),TEXT(Data[[#This Row],[No]],"0000"),"-",TEXT(Data[[#This Row],[Tanggal terjual]],"dd/mm/yy"))</f>
        <v>ORD-TK0572-04/04/23</v>
      </c>
      <c r="C573" t="s">
        <v>59</v>
      </c>
      <c r="D573" t="str">
        <f>IFERROR(INDEX(Katalog!$A$3:$A$12,MATCH(Data[[#This Row],[ItemID A]],Katalog!$C$3:$C$12,0)),"-")</f>
        <v>Pakaian Wanita</v>
      </c>
      <c r="E573" t="str">
        <f>IFERROR(INDEX(Katalog!$B$3:$B$12,MATCH(Data[[#This Row],[ItemID A]],Katalog!$C$3:$C$12,0)),"-")</f>
        <v>Blouse</v>
      </c>
      <c r="F573">
        <v>1</v>
      </c>
      <c r="G573">
        <v>2</v>
      </c>
      <c r="H573" s="36">
        <f>IFERROR(INDEX(Katalog!$D$3:$D$12,MATCH(Data[[#This Row],[ItemID A]],Katalog!$C$3:$C$12,0))*Data[[#This Row],[Qty A]],"0")</f>
        <v>150000</v>
      </c>
      <c r="I573" s="36">
        <f>IFERROR(INDEX(Katalog!$F$3:$F$12,MATCH(Data[[#This Row],[ItemID A]],Katalog!$C$3:$C$12,0))*Data[[#This Row],[Qty A]],0)</f>
        <v>50000</v>
      </c>
      <c r="K573" t="str">
        <f>IFERROR(INDEX(Katalog!$A$3:$A$12,MATCH(Data[[#This Row],[ItemID B]],Katalog!$C$3:$C$12,0)),"-")</f>
        <v>-</v>
      </c>
      <c r="L573" t="str">
        <f>IFERROR(INDEX(Katalog!$B$3:$B$12,MATCH(Data[[#This Row],[ItemID B]],Katalog!$C$3:$C$12,0)),"-")</f>
        <v>-</v>
      </c>
      <c r="O573" s="36" t="str">
        <f>IFERROR(INDEX(Katalog!$D$3:$D$12,MATCH(Data[[#This Row],[ItemID B]],Katalog!$C$3:$C$12,0))*Data[[#This Row],[Qty B]],"0")</f>
        <v>0</v>
      </c>
      <c r="P573" s="36" t="str">
        <f>IFERROR(INDEX(Katalog!$F$3:$F$12,MATCH(Data[[#This Row],[ItemID B]],Katalog!$C$3:$C$12,0))*Data[[#This Row],[Qty B]],"0")</f>
        <v>0</v>
      </c>
      <c r="R573" t="str">
        <f>IFERROR(INDEX(Katalog!$A$3:$A$12,MATCH(Data[[#This Row],[ItemID C]],Katalog!$C$3:$C$12,0)),"-")</f>
        <v>-</v>
      </c>
      <c r="S573" t="str">
        <f>IFERROR(INDEX(Katalog!$B$3:$B$12,MATCH(Data[[#This Row],[ItemID C]],Katalog!$C$3:$C$12,0)),"-")</f>
        <v>-</v>
      </c>
      <c r="V573" s="36" t="str">
        <f>IFERROR(INDEX(Katalog!$D$3:$D$12,MATCH(Data[[#This Row],[ItemID C]],Katalog!$C$3:$C$12,0))*Data[[#This Row],[Qty C]],"0")</f>
        <v>0</v>
      </c>
      <c r="W573" s="36" t="str">
        <f>IFERROR(INDEX(Katalog!$F$3:$F$12,MATCH(Data[[#This Row],[ItemID C]],Katalog!$C$3:$C$12,0))*Data[[#This Row],[Qty C]],"0")</f>
        <v>0</v>
      </c>
      <c r="X573" s="21">
        <f>Data[[#This Row],[Qty A]]+Data[[#This Row],[Qty B]]+Data[[#This Row],[Qty C]]</f>
        <v>1</v>
      </c>
      <c r="Y573" s="22">
        <f>Data[[#This Row],[Harga Barang A]]+Data[[#This Row],[Harga Barang B]]+Data[[#This Row],[Harga Barang C]]</f>
        <v>150000</v>
      </c>
      <c r="Z573" s="35">
        <f>IFERROR(Data[[#This Row],[Total Harga]]-(Data[[#This Row],[Total Harga]]*Data[[#This Row],[Diskon]]),Data[[#This Row],[Total Harga]])</f>
        <v>135000</v>
      </c>
      <c r="AA573" s="35">
        <f>(Data[[#This Row],[Profit A]]+Data[[#This Row],[Profit B]]+Data[[#This Row],[Profit C]])</f>
        <v>50000</v>
      </c>
      <c r="AB573" s="35">
        <f>IFERROR((Data[[#This Row],[Profit non Diskon]]-(Data[[#This Row],[Profit non Diskon]]*Data[[#This Row],[Diskon]])),Data[[#This Row],[Profit non Diskon]])</f>
        <v>45000</v>
      </c>
      <c r="AC573" s="23" t="s">
        <v>30</v>
      </c>
      <c r="AD573" s="37">
        <f>IFERROR(INDEX('Kode Diskon'!$D$3:$D$9,MATCH(Data[[#This Row],[Kode diskon]],'Kode Diskon'!$C$3:$C$9,0)),"-")</f>
        <v>0.1</v>
      </c>
      <c r="AE573" s="23" t="s">
        <v>29</v>
      </c>
      <c r="AF573" s="23" t="s">
        <v>10</v>
      </c>
      <c r="AG573" s="23" t="s">
        <v>76</v>
      </c>
      <c r="AH573" s="24">
        <v>45020</v>
      </c>
      <c r="AI573" s="23" t="str">
        <f>TEXT(Data[[#This Row],[Tanggal terjual]],"dddd")</f>
        <v>Tuesday</v>
      </c>
      <c r="AJ573" s="21" t="str">
        <f>TEXT(Data[[#This Row],[Tanggal terjual]],"wwww")</f>
        <v>wwww</v>
      </c>
    </row>
    <row r="574" spans="1:36" x14ac:dyDescent="0.2">
      <c r="A574" s="20">
        <v>573</v>
      </c>
      <c r="B574" s="21" t="str">
        <f>_xlfn.CONCAT("ORD-",INDEX(Helper!$B$2:$B$5,MATCH(Data[[#This Row],[Marketplace]],Helper!$A$2:$A$5,0)),TEXT(Data[[#This Row],[No]],"0000"),"-",TEXT(Data[[#This Row],[Tanggal terjual]],"dd/mm/yy"))</f>
        <v>ORD-SP0573-03/04/23</v>
      </c>
      <c r="C574" t="s">
        <v>59</v>
      </c>
      <c r="D574" t="str">
        <f>IFERROR(INDEX(Katalog!$A$3:$A$12,MATCH(Data[[#This Row],[ItemID A]],Katalog!$C$3:$C$12,0)),"-")</f>
        <v>Pakaian Wanita</v>
      </c>
      <c r="E574" t="str">
        <f>IFERROR(INDEX(Katalog!$B$3:$B$12,MATCH(Data[[#This Row],[ItemID A]],Katalog!$C$3:$C$12,0)),"-")</f>
        <v>Blouse</v>
      </c>
      <c r="F574">
        <v>2</v>
      </c>
      <c r="G574">
        <v>1</v>
      </c>
      <c r="H574" s="36">
        <f>IFERROR(INDEX(Katalog!$D$3:$D$12,MATCH(Data[[#This Row],[ItemID A]],Katalog!$C$3:$C$12,0))*Data[[#This Row],[Qty A]],"0")</f>
        <v>300000</v>
      </c>
      <c r="I574" s="36">
        <f>IFERROR(INDEX(Katalog!$F$3:$F$12,MATCH(Data[[#This Row],[ItemID A]],Katalog!$C$3:$C$12,0))*Data[[#This Row],[Qty A]],0)</f>
        <v>100000</v>
      </c>
      <c r="J574" t="s">
        <v>67</v>
      </c>
      <c r="K574" t="str">
        <f>IFERROR(INDEX(Katalog!$A$3:$A$12,MATCH(Data[[#This Row],[ItemID B]],Katalog!$C$3:$C$12,0)),"-")</f>
        <v>Sepatu Wanita</v>
      </c>
      <c r="L574" t="str">
        <f>IFERROR(INDEX(Katalog!$B$3:$B$12,MATCH(Data[[#This Row],[ItemID B]],Katalog!$C$3:$C$12,0)),"-")</f>
        <v>Flat Shoes</v>
      </c>
      <c r="M574">
        <v>1</v>
      </c>
      <c r="N574">
        <v>5</v>
      </c>
      <c r="O574" s="36">
        <f>IFERROR(INDEX(Katalog!$D$3:$D$12,MATCH(Data[[#This Row],[ItemID B]],Katalog!$C$3:$C$12,0))*Data[[#This Row],[Qty B]],"0")</f>
        <v>250000</v>
      </c>
      <c r="P574" s="36">
        <f>IFERROR(INDEX(Katalog!$F$3:$F$12,MATCH(Data[[#This Row],[ItemID B]],Katalog!$C$3:$C$12,0))*Data[[#This Row],[Qty B]],"0")</f>
        <v>100000</v>
      </c>
      <c r="Q574" t="s">
        <v>65</v>
      </c>
      <c r="R574" t="str">
        <f>IFERROR(INDEX(Katalog!$A$3:$A$12,MATCH(Data[[#This Row],[ItemID C]],Katalog!$C$3:$C$12,0)),"-")</f>
        <v>Sepatu Pria</v>
      </c>
      <c r="S574" t="str">
        <f>IFERROR(INDEX(Katalog!$B$3:$B$12,MATCH(Data[[#This Row],[ItemID C]],Katalog!$C$3:$C$12,0)),"-")</f>
        <v>Sneakers</v>
      </c>
      <c r="T574">
        <v>1</v>
      </c>
      <c r="U574">
        <v>4</v>
      </c>
      <c r="V574" s="36">
        <f>IFERROR(INDEX(Katalog!$D$3:$D$12,MATCH(Data[[#This Row],[ItemID C]],Katalog!$C$3:$C$12,0))*Data[[#This Row],[Qty C]],"0")</f>
        <v>500000</v>
      </c>
      <c r="W574" s="36">
        <f>IFERROR(INDEX(Katalog!$F$3:$F$12,MATCH(Data[[#This Row],[ItemID C]],Katalog!$C$3:$C$12,0))*Data[[#This Row],[Qty C]],"0")</f>
        <v>200000</v>
      </c>
      <c r="X574" s="21">
        <f>Data[[#This Row],[Qty A]]+Data[[#This Row],[Qty B]]+Data[[#This Row],[Qty C]]</f>
        <v>4</v>
      </c>
      <c r="Y574" s="22">
        <f>Data[[#This Row],[Harga Barang A]]+Data[[#This Row],[Harga Barang B]]+Data[[#This Row],[Harga Barang C]]</f>
        <v>1050000</v>
      </c>
      <c r="Z574" s="35">
        <f>IFERROR(Data[[#This Row],[Total Harga]]-(Data[[#This Row],[Total Harga]]*Data[[#This Row],[Diskon]]),Data[[#This Row],[Total Harga]])</f>
        <v>892500</v>
      </c>
      <c r="AA574" s="35">
        <f>(Data[[#This Row],[Profit A]]+Data[[#This Row],[Profit B]]+Data[[#This Row],[Profit C]])</f>
        <v>400000</v>
      </c>
      <c r="AB574" s="35">
        <f>IFERROR((Data[[#This Row],[Profit non Diskon]]-(Data[[#This Row],[Profit non Diskon]]*Data[[#This Row],[Diskon]])),Data[[#This Row],[Profit non Diskon]])</f>
        <v>340000</v>
      </c>
      <c r="AC574" s="23" t="s">
        <v>13</v>
      </c>
      <c r="AD574" s="37">
        <f>IFERROR(INDEX('Kode Diskon'!$D$3:$D$9,MATCH(Data[[#This Row],[Kode diskon]],'Kode Diskon'!$C$3:$C$9,0)),"-")</f>
        <v>0.15</v>
      </c>
      <c r="AE574" s="23" t="s">
        <v>29</v>
      </c>
      <c r="AF574" s="23" t="s">
        <v>7</v>
      </c>
      <c r="AG574" s="23" t="s">
        <v>78</v>
      </c>
      <c r="AH574" s="24">
        <v>45019</v>
      </c>
      <c r="AI574" s="23" t="str">
        <f>TEXT(Data[[#This Row],[Tanggal terjual]],"dddd")</f>
        <v>Monday</v>
      </c>
      <c r="AJ574" s="21" t="str">
        <f>TEXT(Data[[#This Row],[Tanggal terjual]],"wwww")</f>
        <v>wwww</v>
      </c>
    </row>
    <row r="575" spans="1:36" x14ac:dyDescent="0.2">
      <c r="A575" s="20">
        <v>574</v>
      </c>
      <c r="B575" s="21" t="str">
        <f>_xlfn.CONCAT("ORD-",INDEX(Helper!$B$2:$B$5,MATCH(Data[[#This Row],[Marketplace]],Helper!$A$2:$A$5,0)),TEXT(Data[[#This Row],[No]],"0000"),"-",TEXT(Data[[#This Row],[Tanggal terjual]],"dd/mm/yy"))</f>
        <v>ORD-BB0574-03/04/23</v>
      </c>
      <c r="C575" t="s">
        <v>63</v>
      </c>
      <c r="D575" t="str">
        <f>IFERROR(INDEX(Katalog!$A$3:$A$12,MATCH(Data[[#This Row],[ItemID A]],Katalog!$C$3:$C$12,0)),"-")</f>
        <v>Pakaian Pria</v>
      </c>
      <c r="E575" t="str">
        <f>IFERROR(INDEX(Katalog!$B$3:$B$12,MATCH(Data[[#This Row],[ItemID A]],Katalog!$C$3:$C$12,0)),"-")</f>
        <v>Jaket Jeans</v>
      </c>
      <c r="F575">
        <v>2</v>
      </c>
      <c r="G575">
        <v>5</v>
      </c>
      <c r="H575" s="36">
        <f>IFERROR(INDEX(Katalog!$D$3:$D$12,MATCH(Data[[#This Row],[ItemID A]],Katalog!$C$3:$C$12,0))*Data[[#This Row],[Qty A]],"0")</f>
        <v>800000</v>
      </c>
      <c r="I575" s="36">
        <f>IFERROR(INDEX(Katalog!$F$3:$F$12,MATCH(Data[[#This Row],[ItemID A]],Katalog!$C$3:$C$12,0))*Data[[#This Row],[Qty A]],0)</f>
        <v>300000</v>
      </c>
      <c r="K575" t="str">
        <f>IFERROR(INDEX(Katalog!$A$3:$A$12,MATCH(Data[[#This Row],[ItemID B]],Katalog!$C$3:$C$12,0)),"-")</f>
        <v>-</v>
      </c>
      <c r="L575" t="str">
        <f>IFERROR(INDEX(Katalog!$B$3:$B$12,MATCH(Data[[#This Row],[ItemID B]],Katalog!$C$3:$C$12,0)),"-")</f>
        <v>-</v>
      </c>
      <c r="O575" s="36" t="str">
        <f>IFERROR(INDEX(Katalog!$D$3:$D$12,MATCH(Data[[#This Row],[ItemID B]],Katalog!$C$3:$C$12,0))*Data[[#This Row],[Qty B]],"0")</f>
        <v>0</v>
      </c>
      <c r="P575" s="36" t="str">
        <f>IFERROR(INDEX(Katalog!$F$3:$F$12,MATCH(Data[[#This Row],[ItemID B]],Katalog!$C$3:$C$12,0))*Data[[#This Row],[Qty B]],"0")</f>
        <v>0</v>
      </c>
      <c r="R575" t="str">
        <f>IFERROR(INDEX(Katalog!$A$3:$A$12,MATCH(Data[[#This Row],[ItemID C]],Katalog!$C$3:$C$12,0)),"-")</f>
        <v>-</v>
      </c>
      <c r="S575" t="str">
        <f>IFERROR(INDEX(Katalog!$B$3:$B$12,MATCH(Data[[#This Row],[ItemID C]],Katalog!$C$3:$C$12,0)),"-")</f>
        <v>-</v>
      </c>
      <c r="V575" s="36" t="str">
        <f>IFERROR(INDEX(Katalog!$D$3:$D$12,MATCH(Data[[#This Row],[ItemID C]],Katalog!$C$3:$C$12,0))*Data[[#This Row],[Qty C]],"0")</f>
        <v>0</v>
      </c>
      <c r="W575" s="36" t="str">
        <f>IFERROR(INDEX(Katalog!$F$3:$F$12,MATCH(Data[[#This Row],[ItemID C]],Katalog!$C$3:$C$12,0))*Data[[#This Row],[Qty C]],"0")</f>
        <v>0</v>
      </c>
      <c r="X575" s="21">
        <f>Data[[#This Row],[Qty A]]+Data[[#This Row],[Qty B]]+Data[[#This Row],[Qty C]]</f>
        <v>2</v>
      </c>
      <c r="Y575" s="22">
        <f>Data[[#This Row],[Harga Barang A]]+Data[[#This Row],[Harga Barang B]]+Data[[#This Row],[Harga Barang C]]</f>
        <v>800000</v>
      </c>
      <c r="Z575" s="35">
        <f>IFERROR(Data[[#This Row],[Total Harga]]-(Data[[#This Row],[Total Harga]]*Data[[#This Row],[Diskon]]),Data[[#This Row],[Total Harga]])</f>
        <v>680000</v>
      </c>
      <c r="AA575" s="35">
        <f>(Data[[#This Row],[Profit A]]+Data[[#This Row],[Profit B]]+Data[[#This Row],[Profit C]])</f>
        <v>300000</v>
      </c>
      <c r="AB575" s="35">
        <f>IFERROR((Data[[#This Row],[Profit non Diskon]]-(Data[[#This Row],[Profit non Diskon]]*Data[[#This Row],[Diskon]])),Data[[#This Row],[Profit non Diskon]])</f>
        <v>255000</v>
      </c>
      <c r="AC575" s="23" t="s">
        <v>28</v>
      </c>
      <c r="AD575" s="37">
        <f>IFERROR(INDEX('Kode Diskon'!$D$3:$D$9,MATCH(Data[[#This Row],[Kode diskon]],'Kode Diskon'!$C$3:$C$9,0)),"-")</f>
        <v>0.15</v>
      </c>
      <c r="AE575" s="23" t="s">
        <v>29</v>
      </c>
      <c r="AF575" s="23" t="s">
        <v>14</v>
      </c>
      <c r="AG575" s="23" t="s">
        <v>77</v>
      </c>
      <c r="AH575" s="24">
        <v>45019</v>
      </c>
      <c r="AI575" s="23" t="str">
        <f>TEXT(Data[[#This Row],[Tanggal terjual]],"dddd")</f>
        <v>Monday</v>
      </c>
      <c r="AJ575" s="21" t="str">
        <f>TEXT(Data[[#This Row],[Tanggal terjual]],"wwww")</f>
        <v>wwww</v>
      </c>
    </row>
    <row r="576" spans="1:36" x14ac:dyDescent="0.2">
      <c r="A576" s="20">
        <v>575</v>
      </c>
      <c r="B576" s="21" t="str">
        <f>_xlfn.CONCAT("ORD-",INDEX(Helper!$B$2:$B$5,MATCH(Data[[#This Row],[Marketplace]],Helper!$A$2:$A$5,0)),TEXT(Data[[#This Row],[No]],"0000"),"-",TEXT(Data[[#This Row],[Tanggal terjual]],"dd/mm/yy"))</f>
        <v>ORD-BB0575-04/04/23</v>
      </c>
      <c r="C576" t="s">
        <v>58</v>
      </c>
      <c r="D576" t="str">
        <f>IFERROR(INDEX(Katalog!$A$3:$A$12,MATCH(Data[[#This Row],[ItemID A]],Katalog!$C$3:$C$12,0)),"-")</f>
        <v>Pakaian Wanita</v>
      </c>
      <c r="E576" t="str">
        <f>IFERROR(INDEX(Katalog!$B$3:$B$12,MATCH(Data[[#This Row],[ItemID A]],Katalog!$C$3:$C$12,0)),"-")</f>
        <v>Dress</v>
      </c>
      <c r="F576">
        <v>1</v>
      </c>
      <c r="G576">
        <v>2</v>
      </c>
      <c r="H576" s="36">
        <f>IFERROR(INDEX(Katalog!$D$3:$D$12,MATCH(Data[[#This Row],[ItemID A]],Katalog!$C$3:$C$12,0))*Data[[#This Row],[Qty A]],"0")</f>
        <v>300000</v>
      </c>
      <c r="I576" s="36">
        <f>IFERROR(INDEX(Katalog!$F$3:$F$12,MATCH(Data[[#This Row],[ItemID A]],Katalog!$C$3:$C$12,0))*Data[[#This Row],[Qty A]],0)</f>
        <v>100000</v>
      </c>
      <c r="K576" t="str">
        <f>IFERROR(INDEX(Katalog!$A$3:$A$12,MATCH(Data[[#This Row],[ItemID B]],Katalog!$C$3:$C$12,0)),"-")</f>
        <v>-</v>
      </c>
      <c r="L576" t="str">
        <f>IFERROR(INDEX(Katalog!$B$3:$B$12,MATCH(Data[[#This Row],[ItemID B]],Katalog!$C$3:$C$12,0)),"-")</f>
        <v>-</v>
      </c>
      <c r="O576" s="36" t="str">
        <f>IFERROR(INDEX(Katalog!$D$3:$D$12,MATCH(Data[[#This Row],[ItemID B]],Katalog!$C$3:$C$12,0))*Data[[#This Row],[Qty B]],"0")</f>
        <v>0</v>
      </c>
      <c r="P576" s="36" t="str">
        <f>IFERROR(INDEX(Katalog!$F$3:$F$12,MATCH(Data[[#This Row],[ItemID B]],Katalog!$C$3:$C$12,0))*Data[[#This Row],[Qty B]],"0")</f>
        <v>0</v>
      </c>
      <c r="R576" t="str">
        <f>IFERROR(INDEX(Katalog!$A$3:$A$12,MATCH(Data[[#This Row],[ItemID C]],Katalog!$C$3:$C$12,0)),"-")</f>
        <v>-</v>
      </c>
      <c r="S576" t="str">
        <f>IFERROR(INDEX(Katalog!$B$3:$B$12,MATCH(Data[[#This Row],[ItemID C]],Katalog!$C$3:$C$12,0)),"-")</f>
        <v>-</v>
      </c>
      <c r="V576" s="36" t="str">
        <f>IFERROR(INDEX(Katalog!$D$3:$D$12,MATCH(Data[[#This Row],[ItemID C]],Katalog!$C$3:$C$12,0))*Data[[#This Row],[Qty C]],"0")</f>
        <v>0</v>
      </c>
      <c r="W576" s="36" t="str">
        <f>IFERROR(INDEX(Katalog!$F$3:$F$12,MATCH(Data[[#This Row],[ItemID C]],Katalog!$C$3:$C$12,0))*Data[[#This Row],[Qty C]],"0")</f>
        <v>0</v>
      </c>
      <c r="X576" s="21">
        <f>Data[[#This Row],[Qty A]]+Data[[#This Row],[Qty B]]+Data[[#This Row],[Qty C]]</f>
        <v>1</v>
      </c>
      <c r="Y576" s="22">
        <f>Data[[#This Row],[Harga Barang A]]+Data[[#This Row],[Harga Barang B]]+Data[[#This Row],[Harga Barang C]]</f>
        <v>300000</v>
      </c>
      <c r="Z576" s="35">
        <f>IFERROR(Data[[#This Row],[Total Harga]]-(Data[[#This Row],[Total Harga]]*Data[[#This Row],[Diskon]]),Data[[#This Row],[Total Harga]])</f>
        <v>255000</v>
      </c>
      <c r="AA576" s="35">
        <f>(Data[[#This Row],[Profit A]]+Data[[#This Row],[Profit B]]+Data[[#This Row],[Profit C]])</f>
        <v>100000</v>
      </c>
      <c r="AB576" s="35">
        <f>IFERROR((Data[[#This Row],[Profit non Diskon]]-(Data[[#This Row],[Profit non Diskon]]*Data[[#This Row],[Diskon]])),Data[[#This Row],[Profit non Diskon]])</f>
        <v>85000</v>
      </c>
      <c r="AC576" s="23" t="s">
        <v>28</v>
      </c>
      <c r="AD576" s="37">
        <f>IFERROR(INDEX('Kode Diskon'!$D$3:$D$9,MATCH(Data[[#This Row],[Kode diskon]],'Kode Diskon'!$C$3:$C$9,0)),"-")</f>
        <v>0.15</v>
      </c>
      <c r="AE576" s="23" t="s">
        <v>29</v>
      </c>
      <c r="AF576" s="23" t="s">
        <v>14</v>
      </c>
      <c r="AG576" s="23" t="s">
        <v>80</v>
      </c>
      <c r="AH576" s="24">
        <v>45020</v>
      </c>
      <c r="AI576" s="23" t="str">
        <f>TEXT(Data[[#This Row],[Tanggal terjual]],"dddd")</f>
        <v>Tuesday</v>
      </c>
      <c r="AJ576" s="21" t="str">
        <f>TEXT(Data[[#This Row],[Tanggal terjual]],"wwww")</f>
        <v>wwww</v>
      </c>
    </row>
    <row r="577" spans="1:36" x14ac:dyDescent="0.2">
      <c r="A577" s="20">
        <v>576</v>
      </c>
      <c r="B577" s="21" t="str">
        <f>_xlfn.CONCAT("ORD-",INDEX(Helper!$B$2:$B$5,MATCH(Data[[#This Row],[Marketplace]],Helper!$A$2:$A$5,0)),TEXT(Data[[#This Row],[No]],"0000"),"-",TEXT(Data[[#This Row],[Tanggal terjual]],"dd/mm/yy"))</f>
        <v>ORD-BL0576-16/04/23</v>
      </c>
      <c r="C577" t="s">
        <v>62</v>
      </c>
      <c r="D577" t="str">
        <f>IFERROR(INDEX(Katalog!$A$3:$A$12,MATCH(Data[[#This Row],[ItemID A]],Katalog!$C$3:$C$12,0)),"-")</f>
        <v>Pakaian Pria</v>
      </c>
      <c r="E577" t="str">
        <f>IFERROR(INDEX(Katalog!$B$3:$B$12,MATCH(Data[[#This Row],[ItemID A]],Katalog!$C$3:$C$12,0)),"-")</f>
        <v>Celana Pendek</v>
      </c>
      <c r="F577">
        <v>4</v>
      </c>
      <c r="G577">
        <v>1</v>
      </c>
      <c r="H577" s="36">
        <f>IFERROR(INDEX(Katalog!$D$3:$D$12,MATCH(Data[[#This Row],[ItemID A]],Katalog!$C$3:$C$12,0))*Data[[#This Row],[Qty A]],"0")</f>
        <v>720000</v>
      </c>
      <c r="I577" s="36">
        <f>IFERROR(INDEX(Katalog!$F$3:$F$12,MATCH(Data[[#This Row],[ItemID A]],Katalog!$C$3:$C$12,0))*Data[[#This Row],[Qty A]],0)</f>
        <v>280000</v>
      </c>
      <c r="J577" t="s">
        <v>58</v>
      </c>
      <c r="K577" t="str">
        <f>IFERROR(INDEX(Katalog!$A$3:$A$12,MATCH(Data[[#This Row],[ItemID B]],Katalog!$C$3:$C$12,0)),"-")</f>
        <v>Pakaian Wanita</v>
      </c>
      <c r="L577" t="str">
        <f>IFERROR(INDEX(Katalog!$B$3:$B$12,MATCH(Data[[#This Row],[ItemID B]],Katalog!$C$3:$C$12,0)),"-")</f>
        <v>Dress</v>
      </c>
      <c r="M577">
        <v>2</v>
      </c>
      <c r="N577">
        <v>5</v>
      </c>
      <c r="O577" s="36">
        <f>IFERROR(INDEX(Katalog!$D$3:$D$12,MATCH(Data[[#This Row],[ItemID B]],Katalog!$C$3:$C$12,0))*Data[[#This Row],[Qty B]],"0")</f>
        <v>600000</v>
      </c>
      <c r="P577" s="36">
        <f>IFERROR(INDEX(Katalog!$F$3:$F$12,MATCH(Data[[#This Row],[ItemID B]],Katalog!$C$3:$C$12,0))*Data[[#This Row],[Qty B]],"0")</f>
        <v>200000</v>
      </c>
      <c r="R577" t="str">
        <f>IFERROR(INDEX(Katalog!$A$3:$A$12,MATCH(Data[[#This Row],[ItemID C]],Katalog!$C$3:$C$12,0)),"-")</f>
        <v>-</v>
      </c>
      <c r="S577" t="str">
        <f>IFERROR(INDEX(Katalog!$B$3:$B$12,MATCH(Data[[#This Row],[ItemID C]],Katalog!$C$3:$C$12,0)),"-")</f>
        <v>-</v>
      </c>
      <c r="V577" s="36" t="str">
        <f>IFERROR(INDEX(Katalog!$D$3:$D$12,MATCH(Data[[#This Row],[ItemID C]],Katalog!$C$3:$C$12,0))*Data[[#This Row],[Qty C]],"0")</f>
        <v>0</v>
      </c>
      <c r="W577" s="36" t="str">
        <f>IFERROR(INDEX(Katalog!$F$3:$F$12,MATCH(Data[[#This Row],[ItemID C]],Katalog!$C$3:$C$12,0))*Data[[#This Row],[Qty C]],"0")</f>
        <v>0</v>
      </c>
      <c r="X577" s="21">
        <f>Data[[#This Row],[Qty A]]+Data[[#This Row],[Qty B]]+Data[[#This Row],[Qty C]]</f>
        <v>6</v>
      </c>
      <c r="Y577" s="22">
        <f>Data[[#This Row],[Harga Barang A]]+Data[[#This Row],[Harga Barang B]]+Data[[#This Row],[Harga Barang C]]</f>
        <v>1320000</v>
      </c>
      <c r="Z577" s="35">
        <f>IFERROR(Data[[#This Row],[Total Harga]]-(Data[[#This Row],[Total Harga]]*Data[[#This Row],[Diskon]]),Data[[#This Row],[Total Harga]])</f>
        <v>1122000</v>
      </c>
      <c r="AA577" s="35">
        <f>(Data[[#This Row],[Profit A]]+Data[[#This Row],[Profit B]]+Data[[#This Row],[Profit C]])</f>
        <v>480000</v>
      </c>
      <c r="AB577" s="35">
        <f>IFERROR((Data[[#This Row],[Profit non Diskon]]-(Data[[#This Row],[Profit non Diskon]]*Data[[#This Row],[Diskon]])),Data[[#This Row],[Profit non Diskon]])</f>
        <v>408000</v>
      </c>
      <c r="AC577" s="23" t="s">
        <v>32</v>
      </c>
      <c r="AD577" s="37">
        <f>IFERROR(INDEX('Kode Diskon'!$D$3:$D$9,MATCH(Data[[#This Row],[Kode diskon]],'Kode Diskon'!$C$3:$C$9,0)),"-")</f>
        <v>0.15</v>
      </c>
      <c r="AE577" s="23" t="s">
        <v>9</v>
      </c>
      <c r="AF577" s="23" t="s">
        <v>12</v>
      </c>
      <c r="AG577" s="23" t="s">
        <v>75</v>
      </c>
      <c r="AH577" s="24">
        <v>45032</v>
      </c>
      <c r="AI577" s="23" t="str">
        <f>TEXT(Data[[#This Row],[Tanggal terjual]],"dddd")</f>
        <v>Sunday</v>
      </c>
      <c r="AJ577" s="21" t="str">
        <f>TEXT(Data[[#This Row],[Tanggal terjual]],"wwww")</f>
        <v>wwww</v>
      </c>
    </row>
    <row r="578" spans="1:36" x14ac:dyDescent="0.2">
      <c r="A578" s="20">
        <v>577</v>
      </c>
      <c r="B578" s="21" t="str">
        <f>_xlfn.CONCAT("ORD-",INDEX(Helper!$B$2:$B$5,MATCH(Data[[#This Row],[Marketplace]],Helper!$A$2:$A$5,0)),TEXT(Data[[#This Row],[No]],"0000"),"-",TEXT(Data[[#This Row],[Tanggal terjual]],"dd/mm/yy"))</f>
        <v>ORD-SP0577-06/04/23</v>
      </c>
      <c r="C578" t="s">
        <v>58</v>
      </c>
      <c r="D578" t="str">
        <f>IFERROR(INDEX(Katalog!$A$3:$A$12,MATCH(Data[[#This Row],[ItemID A]],Katalog!$C$3:$C$12,0)),"-")</f>
        <v>Pakaian Wanita</v>
      </c>
      <c r="E578" t="str">
        <f>IFERROR(INDEX(Katalog!$B$3:$B$12,MATCH(Data[[#This Row],[ItemID A]],Katalog!$C$3:$C$12,0)),"-")</f>
        <v>Dress</v>
      </c>
      <c r="F578">
        <v>1</v>
      </c>
      <c r="G578">
        <v>1</v>
      </c>
      <c r="H578" s="36">
        <f>IFERROR(INDEX(Katalog!$D$3:$D$12,MATCH(Data[[#This Row],[ItemID A]],Katalog!$C$3:$C$12,0))*Data[[#This Row],[Qty A]],"0")</f>
        <v>300000</v>
      </c>
      <c r="I578" s="36">
        <f>IFERROR(INDEX(Katalog!$F$3:$F$12,MATCH(Data[[#This Row],[ItemID A]],Katalog!$C$3:$C$12,0))*Data[[#This Row],[Qty A]],0)</f>
        <v>100000</v>
      </c>
      <c r="J578" t="s">
        <v>64</v>
      </c>
      <c r="K578" t="str">
        <f>IFERROR(INDEX(Katalog!$A$3:$A$12,MATCH(Data[[#This Row],[ItemID B]],Katalog!$C$3:$C$12,0)),"-")</f>
        <v>Pakaian Unisex</v>
      </c>
      <c r="L578" t="str">
        <f>IFERROR(INDEX(Katalog!$B$3:$B$12,MATCH(Data[[#This Row],[ItemID B]],Katalog!$C$3:$C$12,0)),"-")</f>
        <v>Jaket Hoodie</v>
      </c>
      <c r="M578">
        <v>3</v>
      </c>
      <c r="N578">
        <v>1</v>
      </c>
      <c r="O578" s="36">
        <f>IFERROR(INDEX(Katalog!$D$3:$D$12,MATCH(Data[[#This Row],[ItemID B]],Katalog!$C$3:$C$12,0))*Data[[#This Row],[Qty B]],"0")</f>
        <v>1050000</v>
      </c>
      <c r="P578" s="36">
        <f>IFERROR(INDEX(Katalog!$F$3:$F$12,MATCH(Data[[#This Row],[ItemID B]],Katalog!$C$3:$C$12,0))*Data[[#This Row],[Qty B]],"0")</f>
        <v>390000</v>
      </c>
      <c r="Q578" t="s">
        <v>58</v>
      </c>
      <c r="R578" t="str">
        <f>IFERROR(INDEX(Katalog!$A$3:$A$12,MATCH(Data[[#This Row],[ItemID C]],Katalog!$C$3:$C$12,0)),"-")</f>
        <v>Pakaian Wanita</v>
      </c>
      <c r="S578" t="str">
        <f>IFERROR(INDEX(Katalog!$B$3:$B$12,MATCH(Data[[#This Row],[ItemID C]],Katalog!$C$3:$C$12,0)),"-")</f>
        <v>Dress</v>
      </c>
      <c r="T578">
        <v>1</v>
      </c>
      <c r="U578">
        <v>4</v>
      </c>
      <c r="V578" s="36">
        <f>IFERROR(INDEX(Katalog!$D$3:$D$12,MATCH(Data[[#This Row],[ItemID C]],Katalog!$C$3:$C$12,0))*Data[[#This Row],[Qty C]],"0")</f>
        <v>300000</v>
      </c>
      <c r="W578" s="36">
        <f>IFERROR(INDEX(Katalog!$F$3:$F$12,MATCH(Data[[#This Row],[ItemID C]],Katalog!$C$3:$C$12,0))*Data[[#This Row],[Qty C]],"0")</f>
        <v>100000</v>
      </c>
      <c r="X578" s="21">
        <f>Data[[#This Row],[Qty A]]+Data[[#This Row],[Qty B]]+Data[[#This Row],[Qty C]]</f>
        <v>5</v>
      </c>
      <c r="Y578" s="22">
        <f>Data[[#This Row],[Harga Barang A]]+Data[[#This Row],[Harga Barang B]]+Data[[#This Row],[Harga Barang C]]</f>
        <v>1650000</v>
      </c>
      <c r="Z578" s="35">
        <f>IFERROR(Data[[#This Row],[Total Harga]]-(Data[[#This Row],[Total Harga]]*Data[[#This Row],[Diskon]]),Data[[#This Row],[Total Harga]])</f>
        <v>1402500</v>
      </c>
      <c r="AA578" s="35">
        <f>(Data[[#This Row],[Profit A]]+Data[[#This Row],[Profit B]]+Data[[#This Row],[Profit C]])</f>
        <v>590000</v>
      </c>
      <c r="AB578" s="35">
        <f>IFERROR((Data[[#This Row],[Profit non Diskon]]-(Data[[#This Row],[Profit non Diskon]]*Data[[#This Row],[Diskon]])),Data[[#This Row],[Profit non Diskon]])</f>
        <v>501500</v>
      </c>
      <c r="AC578" s="23" t="s">
        <v>13</v>
      </c>
      <c r="AD578" s="37">
        <f>IFERROR(INDEX('Kode Diskon'!$D$3:$D$9,MATCH(Data[[#This Row],[Kode diskon]],'Kode Diskon'!$C$3:$C$9,0)),"-")</f>
        <v>0.15</v>
      </c>
      <c r="AE578" s="23" t="s">
        <v>29</v>
      </c>
      <c r="AF578" s="23" t="s">
        <v>7</v>
      </c>
      <c r="AG578" s="23" t="s">
        <v>75</v>
      </c>
      <c r="AH578" s="24">
        <v>45022</v>
      </c>
      <c r="AI578" s="23" t="str">
        <f>TEXT(Data[[#This Row],[Tanggal terjual]],"dddd")</f>
        <v>Thursday</v>
      </c>
      <c r="AJ578" s="21" t="str">
        <f>TEXT(Data[[#This Row],[Tanggal terjual]],"wwww")</f>
        <v>wwww</v>
      </c>
    </row>
    <row r="579" spans="1:36" x14ac:dyDescent="0.2">
      <c r="A579" s="20">
        <v>578</v>
      </c>
      <c r="B579" s="21" t="str">
        <f>_xlfn.CONCAT("ORD-",INDEX(Helper!$B$2:$B$5,MATCH(Data[[#This Row],[Marketplace]],Helper!$A$2:$A$5,0)),TEXT(Data[[#This Row],[No]],"0000"),"-",TEXT(Data[[#This Row],[Tanggal terjual]],"dd/mm/yy"))</f>
        <v>ORD-BB0578-13/04/23</v>
      </c>
      <c r="C579" t="s">
        <v>63</v>
      </c>
      <c r="D579" t="str">
        <f>IFERROR(INDEX(Katalog!$A$3:$A$12,MATCH(Data[[#This Row],[ItemID A]],Katalog!$C$3:$C$12,0)),"-")</f>
        <v>Pakaian Pria</v>
      </c>
      <c r="E579" t="str">
        <f>IFERROR(INDEX(Katalog!$B$3:$B$12,MATCH(Data[[#This Row],[ItemID A]],Katalog!$C$3:$C$12,0)),"-")</f>
        <v>Jaket Jeans</v>
      </c>
      <c r="F579">
        <v>2</v>
      </c>
      <c r="G579">
        <v>2</v>
      </c>
      <c r="H579" s="36">
        <f>IFERROR(INDEX(Katalog!$D$3:$D$12,MATCH(Data[[#This Row],[ItemID A]],Katalog!$C$3:$C$12,0))*Data[[#This Row],[Qty A]],"0")</f>
        <v>800000</v>
      </c>
      <c r="I579" s="36">
        <f>IFERROR(INDEX(Katalog!$F$3:$F$12,MATCH(Data[[#This Row],[ItemID A]],Katalog!$C$3:$C$12,0))*Data[[#This Row],[Qty A]],0)</f>
        <v>300000</v>
      </c>
      <c r="J579" t="s">
        <v>58</v>
      </c>
      <c r="K579" t="str">
        <f>IFERROR(INDEX(Katalog!$A$3:$A$12,MATCH(Data[[#This Row],[ItemID B]],Katalog!$C$3:$C$12,0)),"-")</f>
        <v>Pakaian Wanita</v>
      </c>
      <c r="L579" t="str">
        <f>IFERROR(INDEX(Katalog!$B$3:$B$12,MATCH(Data[[#This Row],[ItemID B]],Katalog!$C$3:$C$12,0)),"-")</f>
        <v>Dress</v>
      </c>
      <c r="M579">
        <v>2</v>
      </c>
      <c r="N579">
        <v>2</v>
      </c>
      <c r="O579" s="36">
        <f>IFERROR(INDEX(Katalog!$D$3:$D$12,MATCH(Data[[#This Row],[ItemID B]],Katalog!$C$3:$C$12,0))*Data[[#This Row],[Qty B]],"0")</f>
        <v>600000</v>
      </c>
      <c r="P579" s="36">
        <f>IFERROR(INDEX(Katalog!$F$3:$F$12,MATCH(Data[[#This Row],[ItemID B]],Katalog!$C$3:$C$12,0))*Data[[#This Row],[Qty B]],"0")</f>
        <v>200000</v>
      </c>
      <c r="R579" t="str">
        <f>IFERROR(INDEX(Katalog!$A$3:$A$12,MATCH(Data[[#This Row],[ItemID C]],Katalog!$C$3:$C$12,0)),"-")</f>
        <v>-</v>
      </c>
      <c r="S579" t="str">
        <f>IFERROR(INDEX(Katalog!$B$3:$B$12,MATCH(Data[[#This Row],[ItemID C]],Katalog!$C$3:$C$12,0)),"-")</f>
        <v>-</v>
      </c>
      <c r="V579" s="36" t="str">
        <f>IFERROR(INDEX(Katalog!$D$3:$D$12,MATCH(Data[[#This Row],[ItemID C]],Katalog!$C$3:$C$12,0))*Data[[#This Row],[Qty C]],"0")</f>
        <v>0</v>
      </c>
      <c r="W579" s="36" t="str">
        <f>IFERROR(INDEX(Katalog!$F$3:$F$12,MATCH(Data[[#This Row],[ItemID C]],Katalog!$C$3:$C$12,0))*Data[[#This Row],[Qty C]],"0")</f>
        <v>0</v>
      </c>
      <c r="X579" s="21">
        <f>Data[[#This Row],[Qty A]]+Data[[#This Row],[Qty B]]+Data[[#This Row],[Qty C]]</f>
        <v>4</v>
      </c>
      <c r="Y579" s="22">
        <f>Data[[#This Row],[Harga Barang A]]+Data[[#This Row],[Harga Barang B]]+Data[[#This Row],[Harga Barang C]]</f>
        <v>1400000</v>
      </c>
      <c r="Z579" s="35">
        <f>IFERROR(Data[[#This Row],[Total Harga]]-(Data[[#This Row],[Total Harga]]*Data[[#This Row],[Diskon]]),Data[[#This Row],[Total Harga]])</f>
        <v>1400000</v>
      </c>
      <c r="AA579" s="35">
        <f>(Data[[#This Row],[Profit A]]+Data[[#This Row],[Profit B]]+Data[[#This Row],[Profit C]])</f>
        <v>500000</v>
      </c>
      <c r="AB579" s="35">
        <f>IFERROR((Data[[#This Row],[Profit non Diskon]]-(Data[[#This Row],[Profit non Diskon]]*Data[[#This Row],[Diskon]])),Data[[#This Row],[Profit non Diskon]])</f>
        <v>500000</v>
      </c>
      <c r="AC579" s="23" t="s">
        <v>11</v>
      </c>
      <c r="AD579" s="37" t="str">
        <f>IFERROR(INDEX('Kode Diskon'!$D$3:$D$9,MATCH(Data[[#This Row],[Kode diskon]],'Kode Diskon'!$C$3:$C$9,0)),"-")</f>
        <v>-</v>
      </c>
      <c r="AE579" s="23" t="s">
        <v>11</v>
      </c>
      <c r="AF579" s="23" t="s">
        <v>14</v>
      </c>
      <c r="AG579" s="23" t="s">
        <v>76</v>
      </c>
      <c r="AH579" s="24">
        <v>45029</v>
      </c>
      <c r="AI579" s="23" t="str">
        <f>TEXT(Data[[#This Row],[Tanggal terjual]],"dddd")</f>
        <v>Thursday</v>
      </c>
      <c r="AJ579" s="21" t="str">
        <f>TEXT(Data[[#This Row],[Tanggal terjual]],"wwww")</f>
        <v>wwww</v>
      </c>
    </row>
    <row r="580" spans="1:36" x14ac:dyDescent="0.2">
      <c r="A580" s="20">
        <v>579</v>
      </c>
      <c r="B580" s="21" t="str">
        <f>_xlfn.CONCAT("ORD-",INDEX(Helper!$B$2:$B$5,MATCH(Data[[#This Row],[Marketplace]],Helper!$A$2:$A$5,0)),TEXT(Data[[#This Row],[No]],"0000"),"-",TEXT(Data[[#This Row],[Tanggal terjual]],"dd/mm/yy"))</f>
        <v>ORD-BL0579-23/04/23</v>
      </c>
      <c r="C580" t="s">
        <v>62</v>
      </c>
      <c r="D580" t="str">
        <f>IFERROR(INDEX(Katalog!$A$3:$A$12,MATCH(Data[[#This Row],[ItemID A]],Katalog!$C$3:$C$12,0)),"-")</f>
        <v>Pakaian Pria</v>
      </c>
      <c r="E580" t="str">
        <f>IFERROR(INDEX(Katalog!$B$3:$B$12,MATCH(Data[[#This Row],[ItemID A]],Katalog!$C$3:$C$12,0)),"-")</f>
        <v>Celana Pendek</v>
      </c>
      <c r="F580">
        <v>1</v>
      </c>
      <c r="G580">
        <v>1</v>
      </c>
      <c r="H580" s="36">
        <f>IFERROR(INDEX(Katalog!$D$3:$D$12,MATCH(Data[[#This Row],[ItemID A]],Katalog!$C$3:$C$12,0))*Data[[#This Row],[Qty A]],"0")</f>
        <v>180000</v>
      </c>
      <c r="I580" s="36">
        <f>IFERROR(INDEX(Katalog!$F$3:$F$12,MATCH(Data[[#This Row],[ItemID A]],Katalog!$C$3:$C$12,0))*Data[[#This Row],[Qty A]],0)</f>
        <v>70000</v>
      </c>
      <c r="K580" t="str">
        <f>IFERROR(INDEX(Katalog!$A$3:$A$12,MATCH(Data[[#This Row],[ItemID B]],Katalog!$C$3:$C$12,0)),"-")</f>
        <v>-</v>
      </c>
      <c r="L580" t="str">
        <f>IFERROR(INDEX(Katalog!$B$3:$B$12,MATCH(Data[[#This Row],[ItemID B]],Katalog!$C$3:$C$12,0)),"-")</f>
        <v>-</v>
      </c>
      <c r="O580" s="36" t="str">
        <f>IFERROR(INDEX(Katalog!$D$3:$D$12,MATCH(Data[[#This Row],[ItemID B]],Katalog!$C$3:$C$12,0))*Data[[#This Row],[Qty B]],"0")</f>
        <v>0</v>
      </c>
      <c r="P580" s="36" t="str">
        <f>IFERROR(INDEX(Katalog!$F$3:$F$12,MATCH(Data[[#This Row],[ItemID B]],Katalog!$C$3:$C$12,0))*Data[[#This Row],[Qty B]],"0")</f>
        <v>0</v>
      </c>
      <c r="R580" t="str">
        <f>IFERROR(INDEX(Katalog!$A$3:$A$12,MATCH(Data[[#This Row],[ItemID C]],Katalog!$C$3:$C$12,0)),"-")</f>
        <v>-</v>
      </c>
      <c r="S580" t="str">
        <f>IFERROR(INDEX(Katalog!$B$3:$B$12,MATCH(Data[[#This Row],[ItemID C]],Katalog!$C$3:$C$12,0)),"-")</f>
        <v>-</v>
      </c>
      <c r="V580" s="36" t="str">
        <f>IFERROR(INDEX(Katalog!$D$3:$D$12,MATCH(Data[[#This Row],[ItemID C]],Katalog!$C$3:$C$12,0))*Data[[#This Row],[Qty C]],"0")</f>
        <v>0</v>
      </c>
      <c r="W580" s="36" t="str">
        <f>IFERROR(INDEX(Katalog!$F$3:$F$12,MATCH(Data[[#This Row],[ItemID C]],Katalog!$C$3:$C$12,0))*Data[[#This Row],[Qty C]],"0")</f>
        <v>0</v>
      </c>
      <c r="X580" s="21">
        <f>Data[[#This Row],[Qty A]]+Data[[#This Row],[Qty B]]+Data[[#This Row],[Qty C]]</f>
        <v>1</v>
      </c>
      <c r="Y580" s="22">
        <f>Data[[#This Row],[Harga Barang A]]+Data[[#This Row],[Harga Barang B]]+Data[[#This Row],[Harga Barang C]]</f>
        <v>180000</v>
      </c>
      <c r="Z580" s="35">
        <f>IFERROR(Data[[#This Row],[Total Harga]]-(Data[[#This Row],[Total Harga]]*Data[[#This Row],[Diskon]]),Data[[#This Row],[Total Harga]])</f>
        <v>153000</v>
      </c>
      <c r="AA580" s="35">
        <f>(Data[[#This Row],[Profit A]]+Data[[#This Row],[Profit B]]+Data[[#This Row],[Profit C]])</f>
        <v>70000</v>
      </c>
      <c r="AB580" s="35">
        <f>IFERROR((Data[[#This Row],[Profit non Diskon]]-(Data[[#This Row],[Profit non Diskon]]*Data[[#This Row],[Diskon]])),Data[[#This Row],[Profit non Diskon]])</f>
        <v>59500</v>
      </c>
      <c r="AC580" s="23" t="s">
        <v>32</v>
      </c>
      <c r="AD580" s="37">
        <f>IFERROR(INDEX('Kode Diskon'!$D$3:$D$9,MATCH(Data[[#This Row],[Kode diskon]],'Kode Diskon'!$C$3:$C$9,0)),"-")</f>
        <v>0.15</v>
      </c>
      <c r="AE580" s="23" t="s">
        <v>9</v>
      </c>
      <c r="AF580" s="23" t="s">
        <v>12</v>
      </c>
      <c r="AG580" s="23" t="s">
        <v>76</v>
      </c>
      <c r="AH580" s="24">
        <v>45039</v>
      </c>
      <c r="AI580" s="23" t="str">
        <f>TEXT(Data[[#This Row],[Tanggal terjual]],"dddd")</f>
        <v>Sunday</v>
      </c>
      <c r="AJ580" s="21" t="str">
        <f>TEXT(Data[[#This Row],[Tanggal terjual]],"wwww")</f>
        <v>wwww</v>
      </c>
    </row>
    <row r="581" spans="1:36" x14ac:dyDescent="0.2">
      <c r="A581" s="20">
        <v>580</v>
      </c>
      <c r="B581" s="21" t="str">
        <f>_xlfn.CONCAT("ORD-",INDEX(Helper!$B$2:$B$5,MATCH(Data[[#This Row],[Marketplace]],Helper!$A$2:$A$5,0)),TEXT(Data[[#This Row],[No]],"0000"),"-",TEXT(Data[[#This Row],[Tanggal terjual]],"dd/mm/yy"))</f>
        <v>ORD-BB0580-04/04/23</v>
      </c>
      <c r="C581" t="s">
        <v>67</v>
      </c>
      <c r="D581" t="str">
        <f>IFERROR(INDEX(Katalog!$A$3:$A$12,MATCH(Data[[#This Row],[ItemID A]],Katalog!$C$3:$C$12,0)),"-")</f>
        <v>Sepatu Wanita</v>
      </c>
      <c r="E581" t="str">
        <f>IFERROR(INDEX(Katalog!$B$3:$B$12,MATCH(Data[[#This Row],[ItemID A]],Katalog!$C$3:$C$12,0)),"-")</f>
        <v>Flat Shoes</v>
      </c>
      <c r="F581">
        <v>1</v>
      </c>
      <c r="G581">
        <v>5</v>
      </c>
      <c r="H581" s="36">
        <f>IFERROR(INDEX(Katalog!$D$3:$D$12,MATCH(Data[[#This Row],[ItemID A]],Katalog!$C$3:$C$12,0))*Data[[#This Row],[Qty A]],"0")</f>
        <v>250000</v>
      </c>
      <c r="I581" s="36">
        <f>IFERROR(INDEX(Katalog!$F$3:$F$12,MATCH(Data[[#This Row],[ItemID A]],Katalog!$C$3:$C$12,0))*Data[[#This Row],[Qty A]],0)</f>
        <v>100000</v>
      </c>
      <c r="J581" t="s">
        <v>65</v>
      </c>
      <c r="K581" t="str">
        <f>IFERROR(INDEX(Katalog!$A$3:$A$12,MATCH(Data[[#This Row],[ItemID B]],Katalog!$C$3:$C$12,0)),"-")</f>
        <v>Sepatu Pria</v>
      </c>
      <c r="L581" t="str">
        <f>IFERROR(INDEX(Katalog!$B$3:$B$12,MATCH(Data[[#This Row],[ItemID B]],Katalog!$C$3:$C$12,0)),"-")</f>
        <v>Sneakers</v>
      </c>
      <c r="M581">
        <v>1</v>
      </c>
      <c r="N581">
        <v>4</v>
      </c>
      <c r="O581" s="36">
        <f>IFERROR(INDEX(Katalog!$D$3:$D$12,MATCH(Data[[#This Row],[ItemID B]],Katalog!$C$3:$C$12,0))*Data[[#This Row],[Qty B]],"0")</f>
        <v>500000</v>
      </c>
      <c r="P581" s="36">
        <f>IFERROR(INDEX(Katalog!$F$3:$F$12,MATCH(Data[[#This Row],[ItemID B]],Katalog!$C$3:$C$12,0))*Data[[#This Row],[Qty B]],"0")</f>
        <v>200000</v>
      </c>
      <c r="Q581" t="s">
        <v>58</v>
      </c>
      <c r="R581" t="str">
        <f>IFERROR(INDEX(Katalog!$A$3:$A$12,MATCH(Data[[#This Row],[ItemID C]],Katalog!$C$3:$C$12,0)),"-")</f>
        <v>Pakaian Wanita</v>
      </c>
      <c r="S581" t="str">
        <f>IFERROR(INDEX(Katalog!$B$3:$B$12,MATCH(Data[[#This Row],[ItemID C]],Katalog!$C$3:$C$12,0)),"-")</f>
        <v>Dress</v>
      </c>
      <c r="T581">
        <v>1</v>
      </c>
      <c r="U581">
        <v>5</v>
      </c>
      <c r="V581" s="36">
        <f>IFERROR(INDEX(Katalog!$D$3:$D$12,MATCH(Data[[#This Row],[ItemID C]],Katalog!$C$3:$C$12,0))*Data[[#This Row],[Qty C]],"0")</f>
        <v>300000</v>
      </c>
      <c r="W581" s="36">
        <f>IFERROR(INDEX(Katalog!$F$3:$F$12,MATCH(Data[[#This Row],[ItemID C]],Katalog!$C$3:$C$12,0))*Data[[#This Row],[Qty C]],"0")</f>
        <v>100000</v>
      </c>
      <c r="X581" s="21">
        <f>Data[[#This Row],[Qty A]]+Data[[#This Row],[Qty B]]+Data[[#This Row],[Qty C]]</f>
        <v>3</v>
      </c>
      <c r="Y581" s="22">
        <f>Data[[#This Row],[Harga Barang A]]+Data[[#This Row],[Harga Barang B]]+Data[[#This Row],[Harga Barang C]]</f>
        <v>1050000</v>
      </c>
      <c r="Z581" s="35">
        <f>IFERROR(Data[[#This Row],[Total Harga]]-(Data[[#This Row],[Total Harga]]*Data[[#This Row],[Diskon]]),Data[[#This Row],[Total Harga]])</f>
        <v>892500</v>
      </c>
      <c r="AA581" s="35">
        <f>(Data[[#This Row],[Profit A]]+Data[[#This Row],[Profit B]]+Data[[#This Row],[Profit C]])</f>
        <v>400000</v>
      </c>
      <c r="AB581" s="35">
        <f>IFERROR((Data[[#This Row],[Profit non Diskon]]-(Data[[#This Row],[Profit non Diskon]]*Data[[#This Row],[Diskon]])),Data[[#This Row],[Profit non Diskon]])</f>
        <v>340000</v>
      </c>
      <c r="AC581" s="23" t="s">
        <v>28</v>
      </c>
      <c r="AD581" s="37">
        <f>IFERROR(INDEX('Kode Diskon'!$D$3:$D$9,MATCH(Data[[#This Row],[Kode diskon]],'Kode Diskon'!$C$3:$C$9,0)),"-")</f>
        <v>0.15</v>
      </c>
      <c r="AE581" s="23" t="s">
        <v>29</v>
      </c>
      <c r="AF581" s="23" t="s">
        <v>14</v>
      </c>
      <c r="AG581" s="23" t="s">
        <v>77</v>
      </c>
      <c r="AH581" s="24">
        <v>45020</v>
      </c>
      <c r="AI581" s="23" t="str">
        <f>TEXT(Data[[#This Row],[Tanggal terjual]],"dddd")</f>
        <v>Tuesday</v>
      </c>
      <c r="AJ581" s="21" t="str">
        <f>TEXT(Data[[#This Row],[Tanggal terjual]],"wwww")</f>
        <v>wwww</v>
      </c>
    </row>
    <row r="582" spans="1:36" x14ac:dyDescent="0.2">
      <c r="A582" s="20">
        <v>581</v>
      </c>
      <c r="B582" s="21" t="str">
        <f>_xlfn.CONCAT("ORD-",INDEX(Helper!$B$2:$B$5,MATCH(Data[[#This Row],[Marketplace]],Helper!$A$2:$A$5,0)),TEXT(Data[[#This Row],[No]],"0000"),"-",TEXT(Data[[#This Row],[Tanggal terjual]],"dd/mm/yy"))</f>
        <v>ORD-SP0581-01/04/23</v>
      </c>
      <c r="C582" t="s">
        <v>66</v>
      </c>
      <c r="D582" t="str">
        <f>IFERROR(INDEX(Katalog!$A$3:$A$12,MATCH(Data[[#This Row],[ItemID A]],Katalog!$C$3:$C$12,0)),"-")</f>
        <v>Sepatu Pria</v>
      </c>
      <c r="E582" t="str">
        <f>IFERROR(INDEX(Katalog!$B$3:$B$12,MATCH(Data[[#This Row],[ItemID A]],Katalog!$C$3:$C$12,0)),"-")</f>
        <v>Sandal Slip On</v>
      </c>
      <c r="F582">
        <v>7</v>
      </c>
      <c r="G582">
        <v>2</v>
      </c>
      <c r="H582" s="36">
        <f>IFERROR(INDEX(Katalog!$D$3:$D$12,MATCH(Data[[#This Row],[ItemID A]],Katalog!$C$3:$C$12,0))*Data[[#This Row],[Qty A]],"0")</f>
        <v>1050000</v>
      </c>
      <c r="I582" s="36">
        <f>IFERROR(INDEX(Katalog!$F$3:$F$12,MATCH(Data[[#This Row],[ItemID A]],Katalog!$C$3:$C$12,0))*Data[[#This Row],[Qty A]],0)</f>
        <v>420000</v>
      </c>
      <c r="K582" t="str">
        <f>IFERROR(INDEX(Katalog!$A$3:$A$12,MATCH(Data[[#This Row],[ItemID B]],Katalog!$C$3:$C$12,0)),"-")</f>
        <v>-</v>
      </c>
      <c r="L582" t="str">
        <f>IFERROR(INDEX(Katalog!$B$3:$B$12,MATCH(Data[[#This Row],[ItemID B]],Katalog!$C$3:$C$12,0)),"-")</f>
        <v>-</v>
      </c>
      <c r="O582" s="36" t="str">
        <f>IFERROR(INDEX(Katalog!$D$3:$D$12,MATCH(Data[[#This Row],[ItemID B]],Katalog!$C$3:$C$12,0))*Data[[#This Row],[Qty B]],"0")</f>
        <v>0</v>
      </c>
      <c r="P582" s="36" t="str">
        <f>IFERROR(INDEX(Katalog!$F$3:$F$12,MATCH(Data[[#This Row],[ItemID B]],Katalog!$C$3:$C$12,0))*Data[[#This Row],[Qty B]],"0")</f>
        <v>0</v>
      </c>
      <c r="R582" t="str">
        <f>IFERROR(INDEX(Katalog!$A$3:$A$12,MATCH(Data[[#This Row],[ItemID C]],Katalog!$C$3:$C$12,0)),"-")</f>
        <v>-</v>
      </c>
      <c r="S582" t="str">
        <f>IFERROR(INDEX(Katalog!$B$3:$B$12,MATCH(Data[[#This Row],[ItemID C]],Katalog!$C$3:$C$12,0)),"-")</f>
        <v>-</v>
      </c>
      <c r="V582" s="36" t="str">
        <f>IFERROR(INDEX(Katalog!$D$3:$D$12,MATCH(Data[[#This Row],[ItemID C]],Katalog!$C$3:$C$12,0))*Data[[#This Row],[Qty C]],"0")</f>
        <v>0</v>
      </c>
      <c r="W582" s="36" t="str">
        <f>IFERROR(INDEX(Katalog!$F$3:$F$12,MATCH(Data[[#This Row],[ItemID C]],Katalog!$C$3:$C$12,0))*Data[[#This Row],[Qty C]],"0")</f>
        <v>0</v>
      </c>
      <c r="X582" s="21">
        <f>Data[[#This Row],[Qty A]]+Data[[#This Row],[Qty B]]+Data[[#This Row],[Qty C]]</f>
        <v>7</v>
      </c>
      <c r="Y582" s="22">
        <f>Data[[#This Row],[Harga Barang A]]+Data[[#This Row],[Harga Barang B]]+Data[[#This Row],[Harga Barang C]]</f>
        <v>1050000</v>
      </c>
      <c r="Z582" s="35">
        <f>IFERROR(Data[[#This Row],[Total Harga]]-(Data[[#This Row],[Total Harga]]*Data[[#This Row],[Diskon]]),Data[[#This Row],[Total Harga]])</f>
        <v>892500</v>
      </c>
      <c r="AA582" s="35">
        <f>(Data[[#This Row],[Profit A]]+Data[[#This Row],[Profit B]]+Data[[#This Row],[Profit C]])</f>
        <v>420000</v>
      </c>
      <c r="AB582" s="35">
        <f>IFERROR((Data[[#This Row],[Profit non Diskon]]-(Data[[#This Row],[Profit non Diskon]]*Data[[#This Row],[Diskon]])),Data[[#This Row],[Profit non Diskon]])</f>
        <v>357000</v>
      </c>
      <c r="AC582" s="23" t="s">
        <v>13</v>
      </c>
      <c r="AD582" s="37">
        <f>IFERROR(INDEX('Kode Diskon'!$D$3:$D$9,MATCH(Data[[#This Row],[Kode diskon]],'Kode Diskon'!$C$3:$C$9,0)),"-")</f>
        <v>0.15</v>
      </c>
      <c r="AE582" s="23" t="s">
        <v>29</v>
      </c>
      <c r="AF582" s="23" t="s">
        <v>7</v>
      </c>
      <c r="AG582" s="23" t="s">
        <v>78</v>
      </c>
      <c r="AH582" s="24">
        <v>45017</v>
      </c>
      <c r="AI582" s="23" t="str">
        <f>TEXT(Data[[#This Row],[Tanggal terjual]],"dddd")</f>
        <v>Saturday</v>
      </c>
      <c r="AJ582" s="21" t="str">
        <f>TEXT(Data[[#This Row],[Tanggal terjual]],"wwww")</f>
        <v>wwww</v>
      </c>
    </row>
    <row r="583" spans="1:36" x14ac:dyDescent="0.2">
      <c r="A583" s="20">
        <v>582</v>
      </c>
      <c r="B583" s="21" t="str">
        <f>_xlfn.CONCAT("ORD-",INDEX(Helper!$B$2:$B$5,MATCH(Data[[#This Row],[Marketplace]],Helper!$A$2:$A$5,0)),TEXT(Data[[#This Row],[No]],"0000"),"-",TEXT(Data[[#This Row],[Tanggal terjual]],"dd/mm/yy"))</f>
        <v>ORD-BB0582-01/04/23</v>
      </c>
      <c r="C583" t="s">
        <v>64</v>
      </c>
      <c r="D583" t="str">
        <f>IFERROR(INDEX(Katalog!$A$3:$A$12,MATCH(Data[[#This Row],[ItemID A]],Katalog!$C$3:$C$12,0)),"-")</f>
        <v>Pakaian Unisex</v>
      </c>
      <c r="E583" t="str">
        <f>IFERROR(INDEX(Katalog!$B$3:$B$12,MATCH(Data[[#This Row],[ItemID A]],Katalog!$C$3:$C$12,0)),"-")</f>
        <v>Jaket Hoodie</v>
      </c>
      <c r="F583">
        <v>4</v>
      </c>
      <c r="G583">
        <v>1</v>
      </c>
      <c r="H583" s="36">
        <f>IFERROR(INDEX(Katalog!$D$3:$D$12,MATCH(Data[[#This Row],[ItemID A]],Katalog!$C$3:$C$12,0))*Data[[#This Row],[Qty A]],"0")</f>
        <v>1400000</v>
      </c>
      <c r="I583" s="36">
        <f>IFERROR(INDEX(Katalog!$F$3:$F$12,MATCH(Data[[#This Row],[ItemID A]],Katalog!$C$3:$C$12,0))*Data[[#This Row],[Qty A]],0)</f>
        <v>520000</v>
      </c>
      <c r="J583" t="s">
        <v>60</v>
      </c>
      <c r="K583" t="str">
        <f>IFERROR(INDEX(Katalog!$A$3:$A$12,MATCH(Data[[#This Row],[ItemID B]],Katalog!$C$3:$C$12,0)),"-")</f>
        <v>Pakaian Wanita</v>
      </c>
      <c r="L583" t="str">
        <f>IFERROR(INDEX(Katalog!$B$3:$B$12,MATCH(Data[[#This Row],[ItemID B]],Katalog!$C$3:$C$12,0)),"-")</f>
        <v>Kaftan</v>
      </c>
      <c r="M583">
        <v>1</v>
      </c>
      <c r="N583">
        <v>3</v>
      </c>
      <c r="O583" s="36">
        <f>IFERROR(INDEX(Katalog!$D$3:$D$12,MATCH(Data[[#This Row],[ItemID B]],Katalog!$C$3:$C$12,0))*Data[[#This Row],[Qty B]],"0")</f>
        <v>250000</v>
      </c>
      <c r="P583" s="36">
        <f>IFERROR(INDEX(Katalog!$F$3:$F$12,MATCH(Data[[#This Row],[ItemID B]],Katalog!$C$3:$C$12,0))*Data[[#This Row],[Qty B]],"0")</f>
        <v>100000</v>
      </c>
      <c r="R583" t="str">
        <f>IFERROR(INDEX(Katalog!$A$3:$A$12,MATCH(Data[[#This Row],[ItemID C]],Katalog!$C$3:$C$12,0)),"-")</f>
        <v>-</v>
      </c>
      <c r="S583" t="str">
        <f>IFERROR(INDEX(Katalog!$B$3:$B$12,MATCH(Data[[#This Row],[ItemID C]],Katalog!$C$3:$C$12,0)),"-")</f>
        <v>-</v>
      </c>
      <c r="V583" s="36" t="str">
        <f>IFERROR(INDEX(Katalog!$D$3:$D$12,MATCH(Data[[#This Row],[ItemID C]],Katalog!$C$3:$C$12,0))*Data[[#This Row],[Qty C]],"0")</f>
        <v>0</v>
      </c>
      <c r="W583" s="36" t="str">
        <f>IFERROR(INDEX(Katalog!$F$3:$F$12,MATCH(Data[[#This Row],[ItemID C]],Katalog!$C$3:$C$12,0))*Data[[#This Row],[Qty C]],"0")</f>
        <v>0</v>
      </c>
      <c r="X583" s="21">
        <f>Data[[#This Row],[Qty A]]+Data[[#This Row],[Qty B]]+Data[[#This Row],[Qty C]]</f>
        <v>5</v>
      </c>
      <c r="Y583" s="22">
        <f>Data[[#This Row],[Harga Barang A]]+Data[[#This Row],[Harga Barang B]]+Data[[#This Row],[Harga Barang C]]</f>
        <v>1650000</v>
      </c>
      <c r="Z583" s="35">
        <f>IFERROR(Data[[#This Row],[Total Harga]]-(Data[[#This Row],[Total Harga]]*Data[[#This Row],[Diskon]]),Data[[#This Row],[Total Harga]])</f>
        <v>1402500</v>
      </c>
      <c r="AA583" s="35">
        <f>(Data[[#This Row],[Profit A]]+Data[[#This Row],[Profit B]]+Data[[#This Row],[Profit C]])</f>
        <v>620000</v>
      </c>
      <c r="AB583" s="35">
        <f>IFERROR((Data[[#This Row],[Profit non Diskon]]-(Data[[#This Row],[Profit non Diskon]]*Data[[#This Row],[Diskon]])),Data[[#This Row],[Profit non Diskon]])</f>
        <v>527000</v>
      </c>
      <c r="AC583" s="23" t="s">
        <v>28</v>
      </c>
      <c r="AD583" s="37">
        <f>IFERROR(INDEX('Kode Diskon'!$D$3:$D$9,MATCH(Data[[#This Row],[Kode diskon]],'Kode Diskon'!$C$3:$C$9,0)),"-")</f>
        <v>0.15</v>
      </c>
      <c r="AE583" s="23" t="s">
        <v>29</v>
      </c>
      <c r="AF583" s="23" t="s">
        <v>14</v>
      </c>
      <c r="AG583" s="23" t="s">
        <v>78</v>
      </c>
      <c r="AH583" s="24">
        <v>45017</v>
      </c>
      <c r="AI583" s="23" t="str">
        <f>TEXT(Data[[#This Row],[Tanggal terjual]],"dddd")</f>
        <v>Saturday</v>
      </c>
      <c r="AJ583" s="21" t="str">
        <f>TEXT(Data[[#This Row],[Tanggal terjual]],"wwww")</f>
        <v>wwww</v>
      </c>
    </row>
    <row r="584" spans="1:36" x14ac:dyDescent="0.2">
      <c r="A584" s="20">
        <v>583</v>
      </c>
      <c r="B584" s="21" t="str">
        <f>_xlfn.CONCAT("ORD-",INDEX(Helper!$B$2:$B$5,MATCH(Data[[#This Row],[Marketplace]],Helper!$A$2:$A$5,0)),TEXT(Data[[#This Row],[No]],"0000"),"-",TEXT(Data[[#This Row],[Tanggal terjual]],"dd/mm/yy"))</f>
        <v>ORD-BL0583-17/04/23</v>
      </c>
      <c r="C584" t="s">
        <v>58</v>
      </c>
      <c r="D584" t="str">
        <f>IFERROR(INDEX(Katalog!$A$3:$A$12,MATCH(Data[[#This Row],[ItemID A]],Katalog!$C$3:$C$12,0)),"-")</f>
        <v>Pakaian Wanita</v>
      </c>
      <c r="E584" t="str">
        <f>IFERROR(INDEX(Katalog!$B$3:$B$12,MATCH(Data[[#This Row],[ItemID A]],Katalog!$C$3:$C$12,0)),"-")</f>
        <v>Dress</v>
      </c>
      <c r="F584">
        <v>2</v>
      </c>
      <c r="G584">
        <v>2</v>
      </c>
      <c r="H584" s="36">
        <f>IFERROR(INDEX(Katalog!$D$3:$D$12,MATCH(Data[[#This Row],[ItemID A]],Katalog!$C$3:$C$12,0))*Data[[#This Row],[Qty A]],"0")</f>
        <v>600000</v>
      </c>
      <c r="I584" s="36">
        <f>IFERROR(INDEX(Katalog!$F$3:$F$12,MATCH(Data[[#This Row],[ItemID A]],Katalog!$C$3:$C$12,0))*Data[[#This Row],[Qty A]],0)</f>
        <v>200000</v>
      </c>
      <c r="K584" t="str">
        <f>IFERROR(INDEX(Katalog!$A$3:$A$12,MATCH(Data[[#This Row],[ItemID B]],Katalog!$C$3:$C$12,0)),"-")</f>
        <v>-</v>
      </c>
      <c r="L584" t="str">
        <f>IFERROR(INDEX(Katalog!$B$3:$B$12,MATCH(Data[[#This Row],[ItemID B]],Katalog!$C$3:$C$12,0)),"-")</f>
        <v>-</v>
      </c>
      <c r="O584" s="36" t="str">
        <f>IFERROR(INDEX(Katalog!$D$3:$D$12,MATCH(Data[[#This Row],[ItemID B]],Katalog!$C$3:$C$12,0))*Data[[#This Row],[Qty B]],"0")</f>
        <v>0</v>
      </c>
      <c r="P584" s="36" t="str">
        <f>IFERROR(INDEX(Katalog!$F$3:$F$12,MATCH(Data[[#This Row],[ItemID B]],Katalog!$C$3:$C$12,0))*Data[[#This Row],[Qty B]],"0")</f>
        <v>0</v>
      </c>
      <c r="R584" t="str">
        <f>IFERROR(INDEX(Katalog!$A$3:$A$12,MATCH(Data[[#This Row],[ItemID C]],Katalog!$C$3:$C$12,0)),"-")</f>
        <v>-</v>
      </c>
      <c r="S584" t="str">
        <f>IFERROR(INDEX(Katalog!$B$3:$B$12,MATCH(Data[[#This Row],[ItemID C]],Katalog!$C$3:$C$12,0)),"-")</f>
        <v>-</v>
      </c>
      <c r="V584" s="36" t="str">
        <f>IFERROR(INDEX(Katalog!$D$3:$D$12,MATCH(Data[[#This Row],[ItemID C]],Katalog!$C$3:$C$12,0))*Data[[#This Row],[Qty C]],"0")</f>
        <v>0</v>
      </c>
      <c r="W584" s="36" t="str">
        <f>IFERROR(INDEX(Katalog!$F$3:$F$12,MATCH(Data[[#This Row],[ItemID C]],Katalog!$C$3:$C$12,0))*Data[[#This Row],[Qty C]],"0")</f>
        <v>0</v>
      </c>
      <c r="X584" s="21">
        <f>Data[[#This Row],[Qty A]]+Data[[#This Row],[Qty B]]+Data[[#This Row],[Qty C]]</f>
        <v>2</v>
      </c>
      <c r="Y584" s="22">
        <f>Data[[#This Row],[Harga Barang A]]+Data[[#This Row],[Harga Barang B]]+Data[[#This Row],[Harga Barang C]]</f>
        <v>600000</v>
      </c>
      <c r="Z584" s="35">
        <f>IFERROR(Data[[#This Row],[Total Harga]]-(Data[[#This Row],[Total Harga]]*Data[[#This Row],[Diskon]]),Data[[#This Row],[Total Harga]])</f>
        <v>510000</v>
      </c>
      <c r="AA584" s="35">
        <f>(Data[[#This Row],[Profit A]]+Data[[#This Row],[Profit B]]+Data[[#This Row],[Profit C]])</f>
        <v>200000</v>
      </c>
      <c r="AB584" s="35">
        <f>IFERROR((Data[[#This Row],[Profit non Diskon]]-(Data[[#This Row],[Profit non Diskon]]*Data[[#This Row],[Diskon]])),Data[[#This Row],[Profit non Diskon]])</f>
        <v>170000</v>
      </c>
      <c r="AC584" s="23" t="s">
        <v>32</v>
      </c>
      <c r="AD584" s="37">
        <f>IFERROR(INDEX('Kode Diskon'!$D$3:$D$9,MATCH(Data[[#This Row],[Kode diskon]],'Kode Diskon'!$C$3:$C$9,0)),"-")</f>
        <v>0.15</v>
      </c>
      <c r="AE584" s="23" t="s">
        <v>9</v>
      </c>
      <c r="AF584" s="23" t="s">
        <v>12</v>
      </c>
      <c r="AG584" s="23" t="s">
        <v>75</v>
      </c>
      <c r="AH584" s="24">
        <v>45033</v>
      </c>
      <c r="AI584" s="23" t="str">
        <f>TEXT(Data[[#This Row],[Tanggal terjual]],"dddd")</f>
        <v>Monday</v>
      </c>
      <c r="AJ584" s="21" t="str">
        <f>TEXT(Data[[#This Row],[Tanggal terjual]],"wwww")</f>
        <v>wwww</v>
      </c>
    </row>
    <row r="585" spans="1:36" x14ac:dyDescent="0.2">
      <c r="A585" s="20">
        <v>584</v>
      </c>
      <c r="B585" s="21" t="str">
        <f>_xlfn.CONCAT("ORD-",INDEX(Helper!$B$2:$B$5,MATCH(Data[[#This Row],[Marketplace]],Helper!$A$2:$A$5,0)),TEXT(Data[[#This Row],[No]],"0000"),"-",TEXT(Data[[#This Row],[Tanggal terjual]],"dd/mm/yy"))</f>
        <v>ORD-SP0584-02/04/23</v>
      </c>
      <c r="C585" t="s">
        <v>64</v>
      </c>
      <c r="D585" t="str">
        <f>IFERROR(INDEX(Katalog!$A$3:$A$12,MATCH(Data[[#This Row],[ItemID A]],Katalog!$C$3:$C$12,0)),"-")</f>
        <v>Pakaian Unisex</v>
      </c>
      <c r="E585" t="str">
        <f>IFERROR(INDEX(Katalog!$B$3:$B$12,MATCH(Data[[#This Row],[ItemID A]],Katalog!$C$3:$C$12,0)),"-")</f>
        <v>Jaket Hoodie</v>
      </c>
      <c r="F585">
        <v>4</v>
      </c>
      <c r="G585">
        <v>4</v>
      </c>
      <c r="H585" s="36">
        <f>IFERROR(INDEX(Katalog!$D$3:$D$12,MATCH(Data[[#This Row],[ItemID A]],Katalog!$C$3:$C$12,0))*Data[[#This Row],[Qty A]],"0")</f>
        <v>1400000</v>
      </c>
      <c r="I585" s="36">
        <f>IFERROR(INDEX(Katalog!$F$3:$F$12,MATCH(Data[[#This Row],[ItemID A]],Katalog!$C$3:$C$12,0))*Data[[#This Row],[Qty A]],0)</f>
        <v>520000</v>
      </c>
      <c r="J585" t="s">
        <v>66</v>
      </c>
      <c r="K585" t="str">
        <f>IFERROR(INDEX(Katalog!$A$3:$A$12,MATCH(Data[[#This Row],[ItemID B]],Katalog!$C$3:$C$12,0)),"-")</f>
        <v>Sepatu Pria</v>
      </c>
      <c r="L585" t="str">
        <f>IFERROR(INDEX(Katalog!$B$3:$B$12,MATCH(Data[[#This Row],[ItemID B]],Katalog!$C$3:$C$12,0)),"-")</f>
        <v>Sandal Slip On</v>
      </c>
      <c r="M585">
        <v>1</v>
      </c>
      <c r="N585">
        <v>4</v>
      </c>
      <c r="O585" s="36">
        <f>IFERROR(INDEX(Katalog!$D$3:$D$12,MATCH(Data[[#This Row],[ItemID B]],Katalog!$C$3:$C$12,0))*Data[[#This Row],[Qty B]],"0")</f>
        <v>150000</v>
      </c>
      <c r="P585" s="36">
        <f>IFERROR(INDEX(Katalog!$F$3:$F$12,MATCH(Data[[#This Row],[ItemID B]],Katalog!$C$3:$C$12,0))*Data[[#This Row],[Qty B]],"0")</f>
        <v>60000</v>
      </c>
      <c r="Q585" t="s">
        <v>63</v>
      </c>
      <c r="R585" t="str">
        <f>IFERROR(INDEX(Katalog!$A$3:$A$12,MATCH(Data[[#This Row],[ItemID C]],Katalog!$C$3:$C$12,0)),"-")</f>
        <v>Pakaian Pria</v>
      </c>
      <c r="S585" t="str">
        <f>IFERROR(INDEX(Katalog!$B$3:$B$12,MATCH(Data[[#This Row],[ItemID C]],Katalog!$C$3:$C$12,0)),"-")</f>
        <v>Jaket Jeans</v>
      </c>
      <c r="T585">
        <v>1</v>
      </c>
      <c r="U585">
        <v>2</v>
      </c>
      <c r="V585" s="36">
        <f>IFERROR(INDEX(Katalog!$D$3:$D$12,MATCH(Data[[#This Row],[ItemID C]],Katalog!$C$3:$C$12,0))*Data[[#This Row],[Qty C]],"0")</f>
        <v>400000</v>
      </c>
      <c r="W585" s="36">
        <f>IFERROR(INDEX(Katalog!$F$3:$F$12,MATCH(Data[[#This Row],[ItemID C]],Katalog!$C$3:$C$12,0))*Data[[#This Row],[Qty C]],"0")</f>
        <v>150000</v>
      </c>
      <c r="X585" s="21">
        <f>Data[[#This Row],[Qty A]]+Data[[#This Row],[Qty B]]+Data[[#This Row],[Qty C]]</f>
        <v>6</v>
      </c>
      <c r="Y585" s="22">
        <f>Data[[#This Row],[Harga Barang A]]+Data[[#This Row],[Harga Barang B]]+Data[[#This Row],[Harga Barang C]]</f>
        <v>1950000</v>
      </c>
      <c r="Z585" s="35">
        <f>IFERROR(Data[[#This Row],[Total Harga]]-(Data[[#This Row],[Total Harga]]*Data[[#This Row],[Diskon]]),Data[[#This Row],[Total Harga]])</f>
        <v>1755000</v>
      </c>
      <c r="AA585" s="35">
        <f>(Data[[#This Row],[Profit A]]+Data[[#This Row],[Profit B]]+Data[[#This Row],[Profit C]])</f>
        <v>730000</v>
      </c>
      <c r="AB585" s="35">
        <f>IFERROR((Data[[#This Row],[Profit non Diskon]]-(Data[[#This Row],[Profit non Diskon]]*Data[[#This Row],[Diskon]])),Data[[#This Row],[Profit non Diskon]])</f>
        <v>657000</v>
      </c>
      <c r="AC585" s="23" t="s">
        <v>6</v>
      </c>
      <c r="AD585" s="37">
        <f>IFERROR(INDEX('Kode Diskon'!$D$3:$D$9,MATCH(Data[[#This Row],[Kode diskon]],'Kode Diskon'!$C$3:$C$9,0)),"-")</f>
        <v>0.1</v>
      </c>
      <c r="AE585" s="23" t="s">
        <v>29</v>
      </c>
      <c r="AF585" s="23" t="s">
        <v>7</v>
      </c>
      <c r="AG585" s="23" t="s">
        <v>79</v>
      </c>
      <c r="AH585" s="24">
        <v>45018</v>
      </c>
      <c r="AI585" s="23" t="str">
        <f>TEXT(Data[[#This Row],[Tanggal terjual]],"dddd")</f>
        <v>Sunday</v>
      </c>
      <c r="AJ585" s="21" t="str">
        <f>TEXT(Data[[#This Row],[Tanggal terjual]],"wwww")</f>
        <v>wwww</v>
      </c>
    </row>
    <row r="586" spans="1:36" x14ac:dyDescent="0.2">
      <c r="A586" s="20">
        <v>585</v>
      </c>
      <c r="B586" s="21" t="str">
        <f>_xlfn.CONCAT("ORD-",INDEX(Helper!$B$2:$B$5,MATCH(Data[[#This Row],[Marketplace]],Helper!$A$2:$A$5,0)),TEXT(Data[[#This Row],[No]],"0000"),"-",TEXT(Data[[#This Row],[Tanggal terjual]],"dd/mm/yy"))</f>
        <v>ORD-TK0585-24/04/23</v>
      </c>
      <c r="C586" t="s">
        <v>63</v>
      </c>
      <c r="D586" t="str">
        <f>IFERROR(INDEX(Katalog!$A$3:$A$12,MATCH(Data[[#This Row],[ItemID A]],Katalog!$C$3:$C$12,0)),"-")</f>
        <v>Pakaian Pria</v>
      </c>
      <c r="E586" t="str">
        <f>IFERROR(INDEX(Katalog!$B$3:$B$12,MATCH(Data[[#This Row],[ItemID A]],Katalog!$C$3:$C$12,0)),"-")</f>
        <v>Jaket Jeans</v>
      </c>
      <c r="F586">
        <v>1</v>
      </c>
      <c r="G586">
        <v>3</v>
      </c>
      <c r="H586" s="36">
        <f>IFERROR(INDEX(Katalog!$D$3:$D$12,MATCH(Data[[#This Row],[ItemID A]],Katalog!$C$3:$C$12,0))*Data[[#This Row],[Qty A]],"0")</f>
        <v>400000</v>
      </c>
      <c r="I586" s="36">
        <f>IFERROR(INDEX(Katalog!$F$3:$F$12,MATCH(Data[[#This Row],[ItemID A]],Katalog!$C$3:$C$12,0))*Data[[#This Row],[Qty A]],0)</f>
        <v>150000</v>
      </c>
      <c r="K586" t="str">
        <f>IFERROR(INDEX(Katalog!$A$3:$A$12,MATCH(Data[[#This Row],[ItemID B]],Katalog!$C$3:$C$12,0)),"-")</f>
        <v>-</v>
      </c>
      <c r="L586" t="str">
        <f>IFERROR(INDEX(Katalog!$B$3:$B$12,MATCH(Data[[#This Row],[ItemID B]],Katalog!$C$3:$C$12,0)),"-")</f>
        <v>-</v>
      </c>
      <c r="O586" s="36" t="str">
        <f>IFERROR(INDEX(Katalog!$D$3:$D$12,MATCH(Data[[#This Row],[ItemID B]],Katalog!$C$3:$C$12,0))*Data[[#This Row],[Qty B]],"0")</f>
        <v>0</v>
      </c>
      <c r="P586" s="36" t="str">
        <f>IFERROR(INDEX(Katalog!$F$3:$F$12,MATCH(Data[[#This Row],[ItemID B]],Katalog!$C$3:$C$12,0))*Data[[#This Row],[Qty B]],"0")</f>
        <v>0</v>
      </c>
      <c r="R586" t="str">
        <f>IFERROR(INDEX(Katalog!$A$3:$A$12,MATCH(Data[[#This Row],[ItemID C]],Katalog!$C$3:$C$12,0)),"-")</f>
        <v>-</v>
      </c>
      <c r="S586" t="str">
        <f>IFERROR(INDEX(Katalog!$B$3:$B$12,MATCH(Data[[#This Row],[ItemID C]],Katalog!$C$3:$C$12,0)),"-")</f>
        <v>-</v>
      </c>
      <c r="V586" s="36" t="str">
        <f>IFERROR(INDEX(Katalog!$D$3:$D$12,MATCH(Data[[#This Row],[ItemID C]],Katalog!$C$3:$C$12,0))*Data[[#This Row],[Qty C]],"0")</f>
        <v>0</v>
      </c>
      <c r="W586" s="36" t="str">
        <f>IFERROR(INDEX(Katalog!$F$3:$F$12,MATCH(Data[[#This Row],[ItemID C]],Katalog!$C$3:$C$12,0))*Data[[#This Row],[Qty C]],"0")</f>
        <v>0</v>
      </c>
      <c r="X586" s="21">
        <f>Data[[#This Row],[Qty A]]+Data[[#This Row],[Qty B]]+Data[[#This Row],[Qty C]]</f>
        <v>1</v>
      </c>
      <c r="Y586" s="22">
        <f>Data[[#This Row],[Harga Barang A]]+Data[[#This Row],[Harga Barang B]]+Data[[#This Row],[Harga Barang C]]</f>
        <v>400000</v>
      </c>
      <c r="Z586" s="35">
        <f>IFERROR(Data[[#This Row],[Total Harga]]-(Data[[#This Row],[Total Harga]]*Data[[#This Row],[Diskon]]),Data[[#This Row],[Total Harga]])</f>
        <v>360000</v>
      </c>
      <c r="AA586" s="35">
        <f>(Data[[#This Row],[Profit A]]+Data[[#This Row],[Profit B]]+Data[[#This Row],[Profit C]])</f>
        <v>150000</v>
      </c>
      <c r="AB586" s="35">
        <f>IFERROR((Data[[#This Row],[Profit non Diskon]]-(Data[[#This Row],[Profit non Diskon]]*Data[[#This Row],[Diskon]])),Data[[#This Row],[Profit non Diskon]])</f>
        <v>135000</v>
      </c>
      <c r="AC586" s="23" t="s">
        <v>31</v>
      </c>
      <c r="AD586" s="37">
        <f>IFERROR(INDEX('Kode Diskon'!$D$3:$D$9,MATCH(Data[[#This Row],[Kode diskon]],'Kode Diskon'!$C$3:$C$9,0)),"-")</f>
        <v>0.1</v>
      </c>
      <c r="AE586" s="23" t="s">
        <v>9</v>
      </c>
      <c r="AF586" s="23" t="s">
        <v>10</v>
      </c>
      <c r="AG586" s="23" t="s">
        <v>76</v>
      </c>
      <c r="AH586" s="24">
        <v>45040</v>
      </c>
      <c r="AI586" s="23" t="str">
        <f>TEXT(Data[[#This Row],[Tanggal terjual]],"dddd")</f>
        <v>Monday</v>
      </c>
      <c r="AJ586" s="21" t="str">
        <f>TEXT(Data[[#This Row],[Tanggal terjual]],"wwww")</f>
        <v>wwww</v>
      </c>
    </row>
    <row r="587" spans="1:36" x14ac:dyDescent="0.2">
      <c r="A587" s="20">
        <v>586</v>
      </c>
      <c r="B587" s="21" t="str">
        <f>_xlfn.CONCAT("ORD-",INDEX(Helper!$B$2:$B$5,MATCH(Data[[#This Row],[Marketplace]],Helper!$A$2:$A$5,0)),TEXT(Data[[#This Row],[No]],"0000"),"-",TEXT(Data[[#This Row],[Tanggal terjual]],"dd/mm/yy"))</f>
        <v>ORD-SP0586-04/04/23</v>
      </c>
      <c r="C587" t="s">
        <v>60</v>
      </c>
      <c r="D587" t="str">
        <f>IFERROR(INDEX(Katalog!$A$3:$A$12,MATCH(Data[[#This Row],[ItemID A]],Katalog!$C$3:$C$12,0)),"-")</f>
        <v>Pakaian Wanita</v>
      </c>
      <c r="E587" t="str">
        <f>IFERROR(INDEX(Katalog!$B$3:$B$12,MATCH(Data[[#This Row],[ItemID A]],Katalog!$C$3:$C$12,0)),"-")</f>
        <v>Kaftan</v>
      </c>
      <c r="F587">
        <v>3</v>
      </c>
      <c r="G587">
        <v>4</v>
      </c>
      <c r="H587" s="36">
        <f>IFERROR(INDEX(Katalog!$D$3:$D$12,MATCH(Data[[#This Row],[ItemID A]],Katalog!$C$3:$C$12,0))*Data[[#This Row],[Qty A]],"0")</f>
        <v>750000</v>
      </c>
      <c r="I587" s="36">
        <f>IFERROR(INDEX(Katalog!$F$3:$F$12,MATCH(Data[[#This Row],[ItemID A]],Katalog!$C$3:$C$12,0))*Data[[#This Row],[Qty A]],0)</f>
        <v>300000</v>
      </c>
      <c r="J587" t="s">
        <v>59</v>
      </c>
      <c r="K587" t="str">
        <f>IFERROR(INDEX(Katalog!$A$3:$A$12,MATCH(Data[[#This Row],[ItemID B]],Katalog!$C$3:$C$12,0)),"-")</f>
        <v>Pakaian Wanita</v>
      </c>
      <c r="L587" t="str">
        <f>IFERROR(INDEX(Katalog!$B$3:$B$12,MATCH(Data[[#This Row],[ItemID B]],Katalog!$C$3:$C$12,0)),"-")</f>
        <v>Blouse</v>
      </c>
      <c r="M587">
        <v>4</v>
      </c>
      <c r="N587">
        <v>3</v>
      </c>
      <c r="O587" s="36">
        <f>IFERROR(INDEX(Katalog!$D$3:$D$12,MATCH(Data[[#This Row],[ItemID B]],Katalog!$C$3:$C$12,0))*Data[[#This Row],[Qty B]],"0")</f>
        <v>600000</v>
      </c>
      <c r="P587" s="36">
        <f>IFERROR(INDEX(Katalog!$F$3:$F$12,MATCH(Data[[#This Row],[ItemID B]],Katalog!$C$3:$C$12,0))*Data[[#This Row],[Qty B]],"0")</f>
        <v>200000</v>
      </c>
      <c r="R587" t="str">
        <f>IFERROR(INDEX(Katalog!$A$3:$A$12,MATCH(Data[[#This Row],[ItemID C]],Katalog!$C$3:$C$12,0)),"-")</f>
        <v>-</v>
      </c>
      <c r="S587" t="str">
        <f>IFERROR(INDEX(Katalog!$B$3:$B$12,MATCH(Data[[#This Row],[ItemID C]],Katalog!$C$3:$C$12,0)),"-")</f>
        <v>-</v>
      </c>
      <c r="V587" s="36" t="str">
        <f>IFERROR(INDEX(Katalog!$D$3:$D$12,MATCH(Data[[#This Row],[ItemID C]],Katalog!$C$3:$C$12,0))*Data[[#This Row],[Qty C]],"0")</f>
        <v>0</v>
      </c>
      <c r="W587" s="36" t="str">
        <f>IFERROR(INDEX(Katalog!$F$3:$F$12,MATCH(Data[[#This Row],[ItemID C]],Katalog!$C$3:$C$12,0))*Data[[#This Row],[Qty C]],"0")</f>
        <v>0</v>
      </c>
      <c r="X587" s="21">
        <f>Data[[#This Row],[Qty A]]+Data[[#This Row],[Qty B]]+Data[[#This Row],[Qty C]]</f>
        <v>7</v>
      </c>
      <c r="Y587" s="22">
        <f>Data[[#This Row],[Harga Barang A]]+Data[[#This Row],[Harga Barang B]]+Data[[#This Row],[Harga Barang C]]</f>
        <v>1350000</v>
      </c>
      <c r="Z587" s="35">
        <f>IFERROR(Data[[#This Row],[Total Harga]]-(Data[[#This Row],[Total Harga]]*Data[[#This Row],[Diskon]]),Data[[#This Row],[Total Harga]])</f>
        <v>1215000</v>
      </c>
      <c r="AA587" s="35">
        <f>(Data[[#This Row],[Profit A]]+Data[[#This Row],[Profit B]]+Data[[#This Row],[Profit C]])</f>
        <v>500000</v>
      </c>
      <c r="AB587" s="35">
        <f>IFERROR((Data[[#This Row],[Profit non Diskon]]-(Data[[#This Row],[Profit non Diskon]]*Data[[#This Row],[Diskon]])),Data[[#This Row],[Profit non Diskon]])</f>
        <v>450000</v>
      </c>
      <c r="AC587" s="23" t="s">
        <v>6</v>
      </c>
      <c r="AD587" s="37">
        <f>IFERROR(INDEX('Kode Diskon'!$D$3:$D$9,MATCH(Data[[#This Row],[Kode diskon]],'Kode Diskon'!$C$3:$C$9,0)),"-")</f>
        <v>0.1</v>
      </c>
      <c r="AE587" s="23" t="s">
        <v>29</v>
      </c>
      <c r="AF587" s="23" t="s">
        <v>7</v>
      </c>
      <c r="AG587" s="23" t="s">
        <v>80</v>
      </c>
      <c r="AH587" s="24">
        <v>45020</v>
      </c>
      <c r="AI587" s="23" t="str">
        <f>TEXT(Data[[#This Row],[Tanggal terjual]],"dddd")</f>
        <v>Tuesday</v>
      </c>
      <c r="AJ587" s="21" t="str">
        <f>TEXT(Data[[#This Row],[Tanggal terjual]],"wwww")</f>
        <v>wwww</v>
      </c>
    </row>
    <row r="588" spans="1:36" x14ac:dyDescent="0.2">
      <c r="A588" s="20">
        <v>587</v>
      </c>
      <c r="B588" s="21" t="str">
        <f>_xlfn.CONCAT("ORD-",INDEX(Helper!$B$2:$B$5,MATCH(Data[[#This Row],[Marketplace]],Helper!$A$2:$A$5,0)),TEXT(Data[[#This Row],[No]],"0000"),"-",TEXT(Data[[#This Row],[Tanggal terjual]],"dd/mm/yy"))</f>
        <v>ORD-SP0587-05/04/23</v>
      </c>
      <c r="C588" t="s">
        <v>60</v>
      </c>
      <c r="D588" t="str">
        <f>IFERROR(INDEX(Katalog!$A$3:$A$12,MATCH(Data[[#This Row],[ItemID A]],Katalog!$C$3:$C$12,0)),"-")</f>
        <v>Pakaian Wanita</v>
      </c>
      <c r="E588" t="str">
        <f>IFERROR(INDEX(Katalog!$B$3:$B$12,MATCH(Data[[#This Row],[ItemID A]],Katalog!$C$3:$C$12,0)),"-")</f>
        <v>Kaftan</v>
      </c>
      <c r="F588">
        <v>1</v>
      </c>
      <c r="G588">
        <v>3</v>
      </c>
      <c r="H588" s="36">
        <f>IFERROR(INDEX(Katalog!$D$3:$D$12,MATCH(Data[[#This Row],[ItemID A]],Katalog!$C$3:$C$12,0))*Data[[#This Row],[Qty A]],"0")</f>
        <v>250000</v>
      </c>
      <c r="I588" s="36">
        <f>IFERROR(INDEX(Katalog!$F$3:$F$12,MATCH(Data[[#This Row],[ItemID A]],Katalog!$C$3:$C$12,0))*Data[[#This Row],[Qty A]],0)</f>
        <v>100000</v>
      </c>
      <c r="K588" t="str">
        <f>IFERROR(INDEX(Katalog!$A$3:$A$12,MATCH(Data[[#This Row],[ItemID B]],Katalog!$C$3:$C$12,0)),"-")</f>
        <v>-</v>
      </c>
      <c r="L588" t="str">
        <f>IFERROR(INDEX(Katalog!$B$3:$B$12,MATCH(Data[[#This Row],[ItemID B]],Katalog!$C$3:$C$12,0)),"-")</f>
        <v>-</v>
      </c>
      <c r="O588" s="36" t="str">
        <f>IFERROR(INDEX(Katalog!$D$3:$D$12,MATCH(Data[[#This Row],[ItemID B]],Katalog!$C$3:$C$12,0))*Data[[#This Row],[Qty B]],"0")</f>
        <v>0</v>
      </c>
      <c r="P588" s="36" t="str">
        <f>IFERROR(INDEX(Katalog!$F$3:$F$12,MATCH(Data[[#This Row],[ItemID B]],Katalog!$C$3:$C$12,0))*Data[[#This Row],[Qty B]],"0")</f>
        <v>0</v>
      </c>
      <c r="R588" t="str">
        <f>IFERROR(INDEX(Katalog!$A$3:$A$12,MATCH(Data[[#This Row],[ItemID C]],Katalog!$C$3:$C$12,0)),"-")</f>
        <v>-</v>
      </c>
      <c r="S588" t="str">
        <f>IFERROR(INDEX(Katalog!$B$3:$B$12,MATCH(Data[[#This Row],[ItemID C]],Katalog!$C$3:$C$12,0)),"-")</f>
        <v>-</v>
      </c>
      <c r="V588" s="36" t="str">
        <f>IFERROR(INDEX(Katalog!$D$3:$D$12,MATCH(Data[[#This Row],[ItemID C]],Katalog!$C$3:$C$12,0))*Data[[#This Row],[Qty C]],"0")</f>
        <v>0</v>
      </c>
      <c r="W588" s="36" t="str">
        <f>IFERROR(INDEX(Katalog!$F$3:$F$12,MATCH(Data[[#This Row],[ItemID C]],Katalog!$C$3:$C$12,0))*Data[[#This Row],[Qty C]],"0")</f>
        <v>0</v>
      </c>
      <c r="X588" s="21">
        <f>Data[[#This Row],[Qty A]]+Data[[#This Row],[Qty B]]+Data[[#This Row],[Qty C]]</f>
        <v>1</v>
      </c>
      <c r="Y588" s="22">
        <f>Data[[#This Row],[Harga Barang A]]+Data[[#This Row],[Harga Barang B]]+Data[[#This Row],[Harga Barang C]]</f>
        <v>250000</v>
      </c>
      <c r="Z588" s="35">
        <f>IFERROR(Data[[#This Row],[Total Harga]]-(Data[[#This Row],[Total Harga]]*Data[[#This Row],[Diskon]]),Data[[#This Row],[Total Harga]])</f>
        <v>225000</v>
      </c>
      <c r="AA588" s="35">
        <f>(Data[[#This Row],[Profit A]]+Data[[#This Row],[Profit B]]+Data[[#This Row],[Profit C]])</f>
        <v>100000</v>
      </c>
      <c r="AB588" s="35">
        <f>IFERROR((Data[[#This Row],[Profit non Diskon]]-(Data[[#This Row],[Profit non Diskon]]*Data[[#This Row],[Diskon]])),Data[[#This Row],[Profit non Diskon]])</f>
        <v>90000</v>
      </c>
      <c r="AC588" s="23" t="s">
        <v>6</v>
      </c>
      <c r="AD588" s="37">
        <f>IFERROR(INDEX('Kode Diskon'!$D$3:$D$9,MATCH(Data[[#This Row],[Kode diskon]],'Kode Diskon'!$C$3:$C$9,0)),"-")</f>
        <v>0.1</v>
      </c>
      <c r="AE588" s="23" t="s">
        <v>29</v>
      </c>
      <c r="AF588" s="23" t="s">
        <v>7</v>
      </c>
      <c r="AG588" s="23" t="s">
        <v>77</v>
      </c>
      <c r="AH588" s="24">
        <v>45021</v>
      </c>
      <c r="AI588" s="23" t="str">
        <f>TEXT(Data[[#This Row],[Tanggal terjual]],"dddd")</f>
        <v>Wednesday</v>
      </c>
      <c r="AJ588" s="21" t="str">
        <f>TEXT(Data[[#This Row],[Tanggal terjual]],"wwww")</f>
        <v>wwww</v>
      </c>
    </row>
    <row r="589" spans="1:36" x14ac:dyDescent="0.2">
      <c r="A589" s="20">
        <v>588</v>
      </c>
      <c r="B589" s="21" t="str">
        <f>_xlfn.CONCAT("ORD-",INDEX(Helper!$B$2:$B$5,MATCH(Data[[#This Row],[Marketplace]],Helper!$A$2:$A$5,0)),TEXT(Data[[#This Row],[No]],"0000"),"-",TEXT(Data[[#This Row],[Tanggal terjual]],"dd/mm/yy"))</f>
        <v>ORD-BB0588-06/04/23</v>
      </c>
      <c r="C589" t="s">
        <v>67</v>
      </c>
      <c r="D589" t="str">
        <f>IFERROR(INDEX(Katalog!$A$3:$A$12,MATCH(Data[[#This Row],[ItemID A]],Katalog!$C$3:$C$12,0)),"-")</f>
        <v>Sepatu Wanita</v>
      </c>
      <c r="E589" t="str">
        <f>IFERROR(INDEX(Katalog!$B$3:$B$12,MATCH(Data[[#This Row],[ItemID A]],Katalog!$C$3:$C$12,0)),"-")</f>
        <v>Flat Shoes</v>
      </c>
      <c r="F589">
        <v>4</v>
      </c>
      <c r="G589">
        <v>4</v>
      </c>
      <c r="H589" s="36">
        <f>IFERROR(INDEX(Katalog!$D$3:$D$12,MATCH(Data[[#This Row],[ItemID A]],Katalog!$C$3:$C$12,0))*Data[[#This Row],[Qty A]],"0")</f>
        <v>1000000</v>
      </c>
      <c r="I589" s="36">
        <f>IFERROR(INDEX(Katalog!$F$3:$F$12,MATCH(Data[[#This Row],[ItemID A]],Katalog!$C$3:$C$12,0))*Data[[#This Row],[Qty A]],0)</f>
        <v>400000</v>
      </c>
      <c r="K589" t="str">
        <f>IFERROR(INDEX(Katalog!$A$3:$A$12,MATCH(Data[[#This Row],[ItemID B]],Katalog!$C$3:$C$12,0)),"-")</f>
        <v>-</v>
      </c>
      <c r="L589" t="str">
        <f>IFERROR(INDEX(Katalog!$B$3:$B$12,MATCH(Data[[#This Row],[ItemID B]],Katalog!$C$3:$C$12,0)),"-")</f>
        <v>-</v>
      </c>
      <c r="O589" s="36" t="str">
        <f>IFERROR(INDEX(Katalog!$D$3:$D$12,MATCH(Data[[#This Row],[ItemID B]],Katalog!$C$3:$C$12,0))*Data[[#This Row],[Qty B]],"0")</f>
        <v>0</v>
      </c>
      <c r="P589" s="36" t="str">
        <f>IFERROR(INDEX(Katalog!$F$3:$F$12,MATCH(Data[[#This Row],[ItemID B]],Katalog!$C$3:$C$12,0))*Data[[#This Row],[Qty B]],"0")</f>
        <v>0</v>
      </c>
      <c r="R589" t="str">
        <f>IFERROR(INDEX(Katalog!$A$3:$A$12,MATCH(Data[[#This Row],[ItemID C]],Katalog!$C$3:$C$12,0)),"-")</f>
        <v>-</v>
      </c>
      <c r="S589" t="str">
        <f>IFERROR(INDEX(Katalog!$B$3:$B$12,MATCH(Data[[#This Row],[ItemID C]],Katalog!$C$3:$C$12,0)),"-")</f>
        <v>-</v>
      </c>
      <c r="V589" s="36" t="str">
        <f>IFERROR(INDEX(Katalog!$D$3:$D$12,MATCH(Data[[#This Row],[ItemID C]],Katalog!$C$3:$C$12,0))*Data[[#This Row],[Qty C]],"0")</f>
        <v>0</v>
      </c>
      <c r="W589" s="36" t="str">
        <f>IFERROR(INDEX(Katalog!$F$3:$F$12,MATCH(Data[[#This Row],[ItemID C]],Katalog!$C$3:$C$12,0))*Data[[#This Row],[Qty C]],"0")</f>
        <v>0</v>
      </c>
      <c r="X589" s="21">
        <f>Data[[#This Row],[Qty A]]+Data[[#This Row],[Qty B]]+Data[[#This Row],[Qty C]]</f>
        <v>4</v>
      </c>
      <c r="Y589" s="22">
        <f>Data[[#This Row],[Harga Barang A]]+Data[[#This Row],[Harga Barang B]]+Data[[#This Row],[Harga Barang C]]</f>
        <v>1000000</v>
      </c>
      <c r="Z589" s="35">
        <f>IFERROR(Data[[#This Row],[Total Harga]]-(Data[[#This Row],[Total Harga]]*Data[[#This Row],[Diskon]]),Data[[#This Row],[Total Harga]])</f>
        <v>850000</v>
      </c>
      <c r="AA589" s="35">
        <f>(Data[[#This Row],[Profit A]]+Data[[#This Row],[Profit B]]+Data[[#This Row],[Profit C]])</f>
        <v>400000</v>
      </c>
      <c r="AB589" s="35">
        <f>IFERROR((Data[[#This Row],[Profit non Diskon]]-(Data[[#This Row],[Profit non Diskon]]*Data[[#This Row],[Diskon]])),Data[[#This Row],[Profit non Diskon]])</f>
        <v>340000</v>
      </c>
      <c r="AC589" s="23" t="s">
        <v>28</v>
      </c>
      <c r="AD589" s="37">
        <f>IFERROR(INDEX('Kode Diskon'!$D$3:$D$9,MATCH(Data[[#This Row],[Kode diskon]],'Kode Diskon'!$C$3:$C$9,0)),"-")</f>
        <v>0.15</v>
      </c>
      <c r="AE589" s="23" t="s">
        <v>29</v>
      </c>
      <c r="AF589" s="23" t="s">
        <v>14</v>
      </c>
      <c r="AG589" s="23" t="s">
        <v>78</v>
      </c>
      <c r="AH589" s="24">
        <v>45022</v>
      </c>
      <c r="AI589" s="23" t="str">
        <f>TEXT(Data[[#This Row],[Tanggal terjual]],"dddd")</f>
        <v>Thursday</v>
      </c>
      <c r="AJ589" s="21" t="str">
        <f>TEXT(Data[[#This Row],[Tanggal terjual]],"wwww")</f>
        <v>wwww</v>
      </c>
    </row>
    <row r="590" spans="1:36" x14ac:dyDescent="0.2">
      <c r="A590" s="20">
        <v>589</v>
      </c>
      <c r="B590" s="21" t="str">
        <f>_xlfn.CONCAT("ORD-",INDEX(Helper!$B$2:$B$5,MATCH(Data[[#This Row],[Marketplace]],Helper!$A$2:$A$5,0)),TEXT(Data[[#This Row],[No]],"0000"),"-",TEXT(Data[[#This Row],[Tanggal terjual]],"dd/mm/yy"))</f>
        <v>ORD-SP0589-03/04/23</v>
      </c>
      <c r="C590" t="s">
        <v>63</v>
      </c>
      <c r="D590" t="str">
        <f>IFERROR(INDEX(Katalog!$A$3:$A$12,MATCH(Data[[#This Row],[ItemID A]],Katalog!$C$3:$C$12,0)),"-")</f>
        <v>Pakaian Pria</v>
      </c>
      <c r="E590" t="str">
        <f>IFERROR(INDEX(Katalog!$B$3:$B$12,MATCH(Data[[#This Row],[ItemID A]],Katalog!$C$3:$C$12,0)),"-")</f>
        <v>Jaket Jeans</v>
      </c>
      <c r="F590">
        <v>2</v>
      </c>
      <c r="G590">
        <v>4</v>
      </c>
      <c r="H590" s="36">
        <f>IFERROR(INDEX(Katalog!$D$3:$D$12,MATCH(Data[[#This Row],[ItemID A]],Katalog!$C$3:$C$12,0))*Data[[#This Row],[Qty A]],"0")</f>
        <v>800000</v>
      </c>
      <c r="I590" s="36">
        <f>IFERROR(INDEX(Katalog!$F$3:$F$12,MATCH(Data[[#This Row],[ItemID A]],Katalog!$C$3:$C$12,0))*Data[[#This Row],[Qty A]],0)</f>
        <v>300000</v>
      </c>
      <c r="J590" t="s">
        <v>59</v>
      </c>
      <c r="K590" t="str">
        <f>IFERROR(INDEX(Katalog!$A$3:$A$12,MATCH(Data[[#This Row],[ItemID B]],Katalog!$C$3:$C$12,0)),"-")</f>
        <v>Pakaian Wanita</v>
      </c>
      <c r="L590" t="str">
        <f>IFERROR(INDEX(Katalog!$B$3:$B$12,MATCH(Data[[#This Row],[ItemID B]],Katalog!$C$3:$C$12,0)),"-")</f>
        <v>Blouse</v>
      </c>
      <c r="M590">
        <v>3</v>
      </c>
      <c r="N590">
        <v>3</v>
      </c>
      <c r="O590" s="36">
        <f>IFERROR(INDEX(Katalog!$D$3:$D$12,MATCH(Data[[#This Row],[ItemID B]],Katalog!$C$3:$C$12,0))*Data[[#This Row],[Qty B]],"0")</f>
        <v>450000</v>
      </c>
      <c r="P590" s="36">
        <f>IFERROR(INDEX(Katalog!$F$3:$F$12,MATCH(Data[[#This Row],[ItemID B]],Katalog!$C$3:$C$12,0))*Data[[#This Row],[Qty B]],"0")</f>
        <v>150000</v>
      </c>
      <c r="R590" t="str">
        <f>IFERROR(INDEX(Katalog!$A$3:$A$12,MATCH(Data[[#This Row],[ItemID C]],Katalog!$C$3:$C$12,0)),"-")</f>
        <v>-</v>
      </c>
      <c r="S590" t="str">
        <f>IFERROR(INDEX(Katalog!$B$3:$B$12,MATCH(Data[[#This Row],[ItemID C]],Katalog!$C$3:$C$12,0)),"-")</f>
        <v>-</v>
      </c>
      <c r="V590" s="36" t="str">
        <f>IFERROR(INDEX(Katalog!$D$3:$D$12,MATCH(Data[[#This Row],[ItemID C]],Katalog!$C$3:$C$12,0))*Data[[#This Row],[Qty C]],"0")</f>
        <v>0</v>
      </c>
      <c r="W590" s="36" t="str">
        <f>IFERROR(INDEX(Katalog!$F$3:$F$12,MATCH(Data[[#This Row],[ItemID C]],Katalog!$C$3:$C$12,0))*Data[[#This Row],[Qty C]],"0")</f>
        <v>0</v>
      </c>
      <c r="X590" s="21">
        <f>Data[[#This Row],[Qty A]]+Data[[#This Row],[Qty B]]+Data[[#This Row],[Qty C]]</f>
        <v>5</v>
      </c>
      <c r="Y590" s="22">
        <f>Data[[#This Row],[Harga Barang A]]+Data[[#This Row],[Harga Barang B]]+Data[[#This Row],[Harga Barang C]]</f>
        <v>1250000</v>
      </c>
      <c r="Z590" s="35">
        <f>IFERROR(Data[[#This Row],[Total Harga]]-(Data[[#This Row],[Total Harga]]*Data[[#This Row],[Diskon]]),Data[[#This Row],[Total Harga]])</f>
        <v>1125000</v>
      </c>
      <c r="AA590" s="35">
        <f>(Data[[#This Row],[Profit A]]+Data[[#This Row],[Profit B]]+Data[[#This Row],[Profit C]])</f>
        <v>450000</v>
      </c>
      <c r="AB590" s="35">
        <f>IFERROR((Data[[#This Row],[Profit non Diskon]]-(Data[[#This Row],[Profit non Diskon]]*Data[[#This Row],[Diskon]])),Data[[#This Row],[Profit non Diskon]])</f>
        <v>405000</v>
      </c>
      <c r="AC590" s="23" t="s">
        <v>6</v>
      </c>
      <c r="AD590" s="37">
        <f>IFERROR(INDEX('Kode Diskon'!$D$3:$D$9,MATCH(Data[[#This Row],[Kode diskon]],'Kode Diskon'!$C$3:$C$9,0)),"-")</f>
        <v>0.1</v>
      </c>
      <c r="AE590" s="23" t="s">
        <v>29</v>
      </c>
      <c r="AF590" s="23" t="s">
        <v>7</v>
      </c>
      <c r="AG590" s="23" t="s">
        <v>76</v>
      </c>
      <c r="AH590" s="24">
        <v>45019</v>
      </c>
      <c r="AI590" s="23" t="str">
        <f>TEXT(Data[[#This Row],[Tanggal terjual]],"dddd")</f>
        <v>Monday</v>
      </c>
      <c r="AJ590" s="21" t="str">
        <f>TEXT(Data[[#This Row],[Tanggal terjual]],"wwww")</f>
        <v>wwww</v>
      </c>
    </row>
    <row r="591" spans="1:36" x14ac:dyDescent="0.2">
      <c r="A591" s="20">
        <v>590</v>
      </c>
      <c r="B591" s="21" t="str">
        <f>_xlfn.CONCAT("ORD-",INDEX(Helper!$B$2:$B$5,MATCH(Data[[#This Row],[Marketplace]],Helper!$A$2:$A$5,0)),TEXT(Data[[#This Row],[No]],"0000"),"-",TEXT(Data[[#This Row],[Tanggal terjual]],"dd/mm/yy"))</f>
        <v>ORD-SP0590-25/04/23</v>
      </c>
      <c r="C591" t="s">
        <v>62</v>
      </c>
      <c r="D591" t="str">
        <f>IFERROR(INDEX(Katalog!$A$3:$A$12,MATCH(Data[[#This Row],[ItemID A]],Katalog!$C$3:$C$12,0)),"-")</f>
        <v>Pakaian Pria</v>
      </c>
      <c r="E591" t="str">
        <f>IFERROR(INDEX(Katalog!$B$3:$B$12,MATCH(Data[[#This Row],[ItemID A]],Katalog!$C$3:$C$12,0)),"-")</f>
        <v>Celana Pendek</v>
      </c>
      <c r="F591">
        <v>1</v>
      </c>
      <c r="G591">
        <v>4</v>
      </c>
      <c r="H591" s="36">
        <f>IFERROR(INDEX(Katalog!$D$3:$D$12,MATCH(Data[[#This Row],[ItemID A]],Katalog!$C$3:$C$12,0))*Data[[#This Row],[Qty A]],"0")</f>
        <v>180000</v>
      </c>
      <c r="I591" s="36">
        <f>IFERROR(INDEX(Katalog!$F$3:$F$12,MATCH(Data[[#This Row],[ItemID A]],Katalog!$C$3:$C$12,0))*Data[[#This Row],[Qty A]],0)</f>
        <v>70000</v>
      </c>
      <c r="J591" t="s">
        <v>65</v>
      </c>
      <c r="K591" t="str">
        <f>IFERROR(INDEX(Katalog!$A$3:$A$12,MATCH(Data[[#This Row],[ItemID B]],Katalog!$C$3:$C$12,0)),"-")</f>
        <v>Sepatu Pria</v>
      </c>
      <c r="L591" t="str">
        <f>IFERROR(INDEX(Katalog!$B$3:$B$12,MATCH(Data[[#This Row],[ItemID B]],Katalog!$C$3:$C$12,0)),"-")</f>
        <v>Sneakers</v>
      </c>
      <c r="M591">
        <v>2</v>
      </c>
      <c r="N591">
        <v>5</v>
      </c>
      <c r="O591" s="36">
        <f>IFERROR(INDEX(Katalog!$D$3:$D$12,MATCH(Data[[#This Row],[ItemID B]],Katalog!$C$3:$C$12,0))*Data[[#This Row],[Qty B]],"0")</f>
        <v>1000000</v>
      </c>
      <c r="P591" s="36">
        <f>IFERROR(INDEX(Katalog!$F$3:$F$12,MATCH(Data[[#This Row],[ItemID B]],Katalog!$C$3:$C$12,0))*Data[[#This Row],[Qty B]],"0")</f>
        <v>400000</v>
      </c>
      <c r="Q591" t="s">
        <v>66</v>
      </c>
      <c r="R591" t="str">
        <f>IFERROR(INDEX(Katalog!$A$3:$A$12,MATCH(Data[[#This Row],[ItemID C]],Katalog!$C$3:$C$12,0)),"-")</f>
        <v>Sepatu Pria</v>
      </c>
      <c r="S591" t="str">
        <f>IFERROR(INDEX(Katalog!$B$3:$B$12,MATCH(Data[[#This Row],[ItemID C]],Katalog!$C$3:$C$12,0)),"-")</f>
        <v>Sandal Slip On</v>
      </c>
      <c r="T591">
        <v>3</v>
      </c>
      <c r="U591">
        <v>5</v>
      </c>
      <c r="V591" s="36">
        <f>IFERROR(INDEX(Katalog!$D$3:$D$12,MATCH(Data[[#This Row],[ItemID C]],Katalog!$C$3:$C$12,0))*Data[[#This Row],[Qty C]],"0")</f>
        <v>450000</v>
      </c>
      <c r="W591" s="36">
        <f>IFERROR(INDEX(Katalog!$F$3:$F$12,MATCH(Data[[#This Row],[ItemID C]],Katalog!$C$3:$C$12,0))*Data[[#This Row],[Qty C]],"0")</f>
        <v>180000</v>
      </c>
      <c r="X591" s="21">
        <f>Data[[#This Row],[Qty A]]+Data[[#This Row],[Qty B]]+Data[[#This Row],[Qty C]]</f>
        <v>6</v>
      </c>
      <c r="Y591" s="22">
        <f>Data[[#This Row],[Harga Barang A]]+Data[[#This Row],[Harga Barang B]]+Data[[#This Row],[Harga Barang C]]</f>
        <v>1630000</v>
      </c>
      <c r="Z591" s="35">
        <f>IFERROR(Data[[#This Row],[Total Harga]]-(Data[[#This Row],[Total Harga]]*Data[[#This Row],[Diskon]]),Data[[#This Row],[Total Harga]])</f>
        <v>1304000</v>
      </c>
      <c r="AA591" s="35">
        <f>(Data[[#This Row],[Profit A]]+Data[[#This Row],[Profit B]]+Data[[#This Row],[Profit C]])</f>
        <v>650000</v>
      </c>
      <c r="AB591" s="35">
        <f>IFERROR((Data[[#This Row],[Profit non Diskon]]-(Data[[#This Row],[Profit non Diskon]]*Data[[#This Row],[Diskon]])),Data[[#This Row],[Profit non Diskon]])</f>
        <v>520000</v>
      </c>
      <c r="AC591" s="23" t="s">
        <v>8</v>
      </c>
      <c r="AD591" s="37">
        <f>IFERROR(INDEX('Kode Diskon'!$D$3:$D$9,MATCH(Data[[#This Row],[Kode diskon]],'Kode Diskon'!$C$3:$C$9,0)),"-")</f>
        <v>0.2</v>
      </c>
      <c r="AE591" s="23" t="s">
        <v>9</v>
      </c>
      <c r="AF591" s="23" t="s">
        <v>7</v>
      </c>
      <c r="AG591" s="23" t="s">
        <v>75</v>
      </c>
      <c r="AH591" s="24">
        <v>45041</v>
      </c>
      <c r="AI591" s="23" t="str">
        <f>TEXT(Data[[#This Row],[Tanggal terjual]],"dddd")</f>
        <v>Tuesday</v>
      </c>
      <c r="AJ591" s="21" t="str">
        <f>TEXT(Data[[#This Row],[Tanggal terjual]],"wwww")</f>
        <v>wwww</v>
      </c>
    </row>
    <row r="592" spans="1:36" x14ac:dyDescent="0.2">
      <c r="A592" s="20">
        <v>591</v>
      </c>
      <c r="B592" s="21" t="str">
        <f>_xlfn.CONCAT("ORD-",INDEX(Helper!$B$2:$B$5,MATCH(Data[[#This Row],[Marketplace]],Helper!$A$2:$A$5,0)),TEXT(Data[[#This Row],[No]],"0000"),"-",TEXT(Data[[#This Row],[Tanggal terjual]],"dd/mm/yy"))</f>
        <v>ORD-BL0591-11/04/23</v>
      </c>
      <c r="C592" t="s">
        <v>67</v>
      </c>
      <c r="D592" t="str">
        <f>IFERROR(INDEX(Katalog!$A$3:$A$12,MATCH(Data[[#This Row],[ItemID A]],Katalog!$C$3:$C$12,0)),"-")</f>
        <v>Sepatu Wanita</v>
      </c>
      <c r="E592" t="str">
        <f>IFERROR(INDEX(Katalog!$B$3:$B$12,MATCH(Data[[#This Row],[ItemID A]],Katalog!$C$3:$C$12,0)),"-")</f>
        <v>Flat Shoes</v>
      </c>
      <c r="F592">
        <v>1</v>
      </c>
      <c r="G592">
        <v>4</v>
      </c>
      <c r="H592" s="36">
        <f>IFERROR(INDEX(Katalog!$D$3:$D$12,MATCH(Data[[#This Row],[ItemID A]],Katalog!$C$3:$C$12,0))*Data[[#This Row],[Qty A]],"0")</f>
        <v>250000</v>
      </c>
      <c r="I592" s="36">
        <f>IFERROR(INDEX(Katalog!$F$3:$F$12,MATCH(Data[[#This Row],[ItemID A]],Katalog!$C$3:$C$12,0))*Data[[#This Row],[Qty A]],0)</f>
        <v>100000</v>
      </c>
      <c r="J592" t="s">
        <v>62</v>
      </c>
      <c r="K592" t="str">
        <f>IFERROR(INDEX(Katalog!$A$3:$A$12,MATCH(Data[[#This Row],[ItemID B]],Katalog!$C$3:$C$12,0)),"-")</f>
        <v>Pakaian Pria</v>
      </c>
      <c r="L592" t="str">
        <f>IFERROR(INDEX(Katalog!$B$3:$B$12,MATCH(Data[[#This Row],[ItemID B]],Katalog!$C$3:$C$12,0)),"-")</f>
        <v>Celana Pendek</v>
      </c>
      <c r="M592">
        <v>1</v>
      </c>
      <c r="N592">
        <v>4</v>
      </c>
      <c r="O592" s="36">
        <f>IFERROR(INDEX(Katalog!$D$3:$D$12,MATCH(Data[[#This Row],[ItemID B]],Katalog!$C$3:$C$12,0))*Data[[#This Row],[Qty B]],"0")</f>
        <v>180000</v>
      </c>
      <c r="P592" s="36">
        <f>IFERROR(INDEX(Katalog!$F$3:$F$12,MATCH(Data[[#This Row],[ItemID B]],Katalog!$C$3:$C$12,0))*Data[[#This Row],[Qty B]],"0")</f>
        <v>70000</v>
      </c>
      <c r="R592" t="str">
        <f>IFERROR(INDEX(Katalog!$A$3:$A$12,MATCH(Data[[#This Row],[ItemID C]],Katalog!$C$3:$C$12,0)),"-")</f>
        <v>-</v>
      </c>
      <c r="S592" t="str">
        <f>IFERROR(INDEX(Katalog!$B$3:$B$12,MATCH(Data[[#This Row],[ItemID C]],Katalog!$C$3:$C$12,0)),"-")</f>
        <v>-</v>
      </c>
      <c r="V592" s="36" t="str">
        <f>IFERROR(INDEX(Katalog!$D$3:$D$12,MATCH(Data[[#This Row],[ItemID C]],Katalog!$C$3:$C$12,0))*Data[[#This Row],[Qty C]],"0")</f>
        <v>0</v>
      </c>
      <c r="W592" s="36" t="str">
        <f>IFERROR(INDEX(Katalog!$F$3:$F$12,MATCH(Data[[#This Row],[ItemID C]],Katalog!$C$3:$C$12,0))*Data[[#This Row],[Qty C]],"0")</f>
        <v>0</v>
      </c>
      <c r="X592" s="21">
        <f>Data[[#This Row],[Qty A]]+Data[[#This Row],[Qty B]]+Data[[#This Row],[Qty C]]</f>
        <v>2</v>
      </c>
      <c r="Y592" s="22">
        <f>Data[[#This Row],[Harga Barang A]]+Data[[#This Row],[Harga Barang B]]+Data[[#This Row],[Harga Barang C]]</f>
        <v>430000</v>
      </c>
      <c r="Z592" s="35">
        <f>IFERROR(Data[[#This Row],[Total Harga]]-(Data[[#This Row],[Total Harga]]*Data[[#This Row],[Diskon]]),Data[[#This Row],[Total Harga]])</f>
        <v>430000</v>
      </c>
      <c r="AA592" s="35">
        <f>(Data[[#This Row],[Profit A]]+Data[[#This Row],[Profit B]]+Data[[#This Row],[Profit C]])</f>
        <v>170000</v>
      </c>
      <c r="AB592" s="35">
        <f>IFERROR((Data[[#This Row],[Profit non Diskon]]-(Data[[#This Row],[Profit non Diskon]]*Data[[#This Row],[Diskon]])),Data[[#This Row],[Profit non Diskon]])</f>
        <v>170000</v>
      </c>
      <c r="AC592" s="23" t="s">
        <v>11</v>
      </c>
      <c r="AD592" s="37" t="str">
        <f>IFERROR(INDEX('Kode Diskon'!$D$3:$D$9,MATCH(Data[[#This Row],[Kode diskon]],'Kode Diskon'!$C$3:$C$9,0)),"-")</f>
        <v>-</v>
      </c>
      <c r="AE592" s="23" t="s">
        <v>11</v>
      </c>
      <c r="AF592" s="23" t="s">
        <v>12</v>
      </c>
      <c r="AG592" s="23" t="s">
        <v>78</v>
      </c>
      <c r="AH592" s="24">
        <v>45027</v>
      </c>
      <c r="AI592" s="23" t="str">
        <f>TEXT(Data[[#This Row],[Tanggal terjual]],"dddd")</f>
        <v>Tuesday</v>
      </c>
      <c r="AJ592" s="21" t="str">
        <f>TEXT(Data[[#This Row],[Tanggal terjual]],"wwww")</f>
        <v>wwww</v>
      </c>
    </row>
    <row r="593" spans="1:36" x14ac:dyDescent="0.2">
      <c r="A593" s="20">
        <v>592</v>
      </c>
      <c r="B593" s="21" t="str">
        <f>_xlfn.CONCAT("ORD-",INDEX(Helper!$B$2:$B$5,MATCH(Data[[#This Row],[Marketplace]],Helper!$A$2:$A$5,0)),TEXT(Data[[#This Row],[No]],"0000"),"-",TEXT(Data[[#This Row],[Tanggal terjual]],"dd/mm/yy"))</f>
        <v>ORD-BL0592-30/04/23</v>
      </c>
      <c r="C593" t="s">
        <v>61</v>
      </c>
      <c r="D593" t="str">
        <f>IFERROR(INDEX(Katalog!$A$3:$A$12,MATCH(Data[[#This Row],[ItemID A]],Katalog!$C$3:$C$12,0)),"-")</f>
        <v>Pakaian Pria</v>
      </c>
      <c r="E593" t="str">
        <f>IFERROR(INDEX(Katalog!$B$3:$B$12,MATCH(Data[[#This Row],[ItemID A]],Katalog!$C$3:$C$12,0)),"-")</f>
        <v>Kaos Polo</v>
      </c>
      <c r="F593">
        <v>1</v>
      </c>
      <c r="G593">
        <v>1</v>
      </c>
      <c r="H593" s="36">
        <f>IFERROR(INDEX(Katalog!$D$3:$D$12,MATCH(Data[[#This Row],[ItemID A]],Katalog!$C$3:$C$12,0))*Data[[#This Row],[Qty A]],"0")</f>
        <v>200000</v>
      </c>
      <c r="I593" s="36">
        <f>IFERROR(INDEX(Katalog!$F$3:$F$12,MATCH(Data[[#This Row],[ItemID A]],Katalog!$C$3:$C$12,0))*Data[[#This Row],[Qty A]],0)</f>
        <v>80000</v>
      </c>
      <c r="K593" t="str">
        <f>IFERROR(INDEX(Katalog!$A$3:$A$12,MATCH(Data[[#This Row],[ItemID B]],Katalog!$C$3:$C$12,0)),"-")</f>
        <v>-</v>
      </c>
      <c r="L593" t="str">
        <f>IFERROR(INDEX(Katalog!$B$3:$B$12,MATCH(Data[[#This Row],[ItemID B]],Katalog!$C$3:$C$12,0)),"-")</f>
        <v>-</v>
      </c>
      <c r="O593" s="36" t="str">
        <f>IFERROR(INDEX(Katalog!$D$3:$D$12,MATCH(Data[[#This Row],[ItemID B]],Katalog!$C$3:$C$12,0))*Data[[#This Row],[Qty B]],"0")</f>
        <v>0</v>
      </c>
      <c r="P593" s="36" t="str">
        <f>IFERROR(INDEX(Katalog!$F$3:$F$12,MATCH(Data[[#This Row],[ItemID B]],Katalog!$C$3:$C$12,0))*Data[[#This Row],[Qty B]],"0")</f>
        <v>0</v>
      </c>
      <c r="R593" t="str">
        <f>IFERROR(INDEX(Katalog!$A$3:$A$12,MATCH(Data[[#This Row],[ItemID C]],Katalog!$C$3:$C$12,0)),"-")</f>
        <v>-</v>
      </c>
      <c r="S593" t="str">
        <f>IFERROR(INDEX(Katalog!$B$3:$B$12,MATCH(Data[[#This Row],[ItemID C]],Katalog!$C$3:$C$12,0)),"-")</f>
        <v>-</v>
      </c>
      <c r="V593" s="36" t="str">
        <f>IFERROR(INDEX(Katalog!$D$3:$D$12,MATCH(Data[[#This Row],[ItemID C]],Katalog!$C$3:$C$12,0))*Data[[#This Row],[Qty C]],"0")</f>
        <v>0</v>
      </c>
      <c r="W593" s="36" t="str">
        <f>IFERROR(INDEX(Katalog!$F$3:$F$12,MATCH(Data[[#This Row],[ItemID C]],Katalog!$C$3:$C$12,0))*Data[[#This Row],[Qty C]],"0")</f>
        <v>0</v>
      </c>
      <c r="X593" s="21">
        <f>Data[[#This Row],[Qty A]]+Data[[#This Row],[Qty B]]+Data[[#This Row],[Qty C]]</f>
        <v>1</v>
      </c>
      <c r="Y593" s="22">
        <f>Data[[#This Row],[Harga Barang A]]+Data[[#This Row],[Harga Barang B]]+Data[[#This Row],[Harga Barang C]]</f>
        <v>200000</v>
      </c>
      <c r="Z593" s="35">
        <f>IFERROR(Data[[#This Row],[Total Harga]]-(Data[[#This Row],[Total Harga]]*Data[[#This Row],[Diskon]]),Data[[#This Row],[Total Harga]])</f>
        <v>170000</v>
      </c>
      <c r="AA593" s="35">
        <f>(Data[[#This Row],[Profit A]]+Data[[#This Row],[Profit B]]+Data[[#This Row],[Profit C]])</f>
        <v>80000</v>
      </c>
      <c r="AB593" s="35">
        <f>IFERROR((Data[[#This Row],[Profit non Diskon]]-(Data[[#This Row],[Profit non Diskon]]*Data[[#This Row],[Diskon]])),Data[[#This Row],[Profit non Diskon]])</f>
        <v>68000</v>
      </c>
      <c r="AC593" s="23" t="s">
        <v>32</v>
      </c>
      <c r="AD593" s="37">
        <f>IFERROR(INDEX('Kode Diskon'!$D$3:$D$9,MATCH(Data[[#This Row],[Kode diskon]],'Kode Diskon'!$C$3:$C$9,0)),"-")</f>
        <v>0.15</v>
      </c>
      <c r="AE593" s="23" t="s">
        <v>9</v>
      </c>
      <c r="AF593" s="23" t="s">
        <v>12</v>
      </c>
      <c r="AG593" s="23" t="s">
        <v>75</v>
      </c>
      <c r="AH593" s="24">
        <v>45046</v>
      </c>
      <c r="AI593" s="23" t="str">
        <f>TEXT(Data[[#This Row],[Tanggal terjual]],"dddd")</f>
        <v>Sunday</v>
      </c>
      <c r="AJ593" s="21" t="str">
        <f>TEXT(Data[[#This Row],[Tanggal terjual]],"wwww")</f>
        <v>wwww</v>
      </c>
    </row>
    <row r="594" spans="1:36" x14ac:dyDescent="0.2">
      <c r="A594" s="20">
        <v>593</v>
      </c>
      <c r="B594" s="21" t="str">
        <f>_xlfn.CONCAT("ORD-",INDEX(Helper!$B$2:$B$5,MATCH(Data[[#This Row],[Marketplace]],Helper!$A$2:$A$5,0)),TEXT(Data[[#This Row],[No]],"0000"),"-",TEXT(Data[[#This Row],[Tanggal terjual]],"dd/mm/yy"))</f>
        <v>ORD-BL0593-30/04/23</v>
      </c>
      <c r="C594" t="s">
        <v>65</v>
      </c>
      <c r="D594" t="str">
        <f>IFERROR(INDEX(Katalog!$A$3:$A$12,MATCH(Data[[#This Row],[ItemID A]],Katalog!$C$3:$C$12,0)),"-")</f>
        <v>Sepatu Pria</v>
      </c>
      <c r="E594" t="str">
        <f>IFERROR(INDEX(Katalog!$B$3:$B$12,MATCH(Data[[#This Row],[ItemID A]],Katalog!$C$3:$C$12,0)),"-")</f>
        <v>Sneakers</v>
      </c>
      <c r="F594">
        <v>1</v>
      </c>
      <c r="G594">
        <v>3</v>
      </c>
      <c r="H594" s="36">
        <f>IFERROR(INDEX(Katalog!$D$3:$D$12,MATCH(Data[[#This Row],[ItemID A]],Katalog!$C$3:$C$12,0))*Data[[#This Row],[Qty A]],"0")</f>
        <v>500000</v>
      </c>
      <c r="I594" s="36">
        <f>IFERROR(INDEX(Katalog!$F$3:$F$12,MATCH(Data[[#This Row],[ItemID A]],Katalog!$C$3:$C$12,0))*Data[[#This Row],[Qty A]],0)</f>
        <v>200000</v>
      </c>
      <c r="J594" t="s">
        <v>66</v>
      </c>
      <c r="K594" t="str">
        <f>IFERROR(INDEX(Katalog!$A$3:$A$12,MATCH(Data[[#This Row],[ItemID B]],Katalog!$C$3:$C$12,0)),"-")</f>
        <v>Sepatu Pria</v>
      </c>
      <c r="L594" t="str">
        <f>IFERROR(INDEX(Katalog!$B$3:$B$12,MATCH(Data[[#This Row],[ItemID B]],Katalog!$C$3:$C$12,0)),"-")</f>
        <v>Sandal Slip On</v>
      </c>
      <c r="M594">
        <v>1</v>
      </c>
      <c r="N594">
        <v>3</v>
      </c>
      <c r="O594" s="36">
        <f>IFERROR(INDEX(Katalog!$D$3:$D$12,MATCH(Data[[#This Row],[ItemID B]],Katalog!$C$3:$C$12,0))*Data[[#This Row],[Qty B]],"0")</f>
        <v>150000</v>
      </c>
      <c r="P594" s="36">
        <f>IFERROR(INDEX(Katalog!$F$3:$F$12,MATCH(Data[[#This Row],[ItemID B]],Katalog!$C$3:$C$12,0))*Data[[#This Row],[Qty B]],"0")</f>
        <v>60000</v>
      </c>
      <c r="R594" t="str">
        <f>IFERROR(INDEX(Katalog!$A$3:$A$12,MATCH(Data[[#This Row],[ItemID C]],Katalog!$C$3:$C$12,0)),"-")</f>
        <v>-</v>
      </c>
      <c r="S594" t="str">
        <f>IFERROR(INDEX(Katalog!$B$3:$B$12,MATCH(Data[[#This Row],[ItemID C]],Katalog!$C$3:$C$12,0)),"-")</f>
        <v>-</v>
      </c>
      <c r="V594" s="36" t="str">
        <f>IFERROR(INDEX(Katalog!$D$3:$D$12,MATCH(Data[[#This Row],[ItemID C]],Katalog!$C$3:$C$12,0))*Data[[#This Row],[Qty C]],"0")</f>
        <v>0</v>
      </c>
      <c r="W594" s="36" t="str">
        <f>IFERROR(INDEX(Katalog!$F$3:$F$12,MATCH(Data[[#This Row],[ItemID C]],Katalog!$C$3:$C$12,0))*Data[[#This Row],[Qty C]],"0")</f>
        <v>0</v>
      </c>
      <c r="X594" s="21">
        <f>Data[[#This Row],[Qty A]]+Data[[#This Row],[Qty B]]+Data[[#This Row],[Qty C]]</f>
        <v>2</v>
      </c>
      <c r="Y594" s="22">
        <f>Data[[#This Row],[Harga Barang A]]+Data[[#This Row],[Harga Barang B]]+Data[[#This Row],[Harga Barang C]]</f>
        <v>650000</v>
      </c>
      <c r="Z594" s="35">
        <f>IFERROR(Data[[#This Row],[Total Harga]]-(Data[[#This Row],[Total Harga]]*Data[[#This Row],[Diskon]]),Data[[#This Row],[Total Harga]])</f>
        <v>552500</v>
      </c>
      <c r="AA594" s="35">
        <f>(Data[[#This Row],[Profit A]]+Data[[#This Row],[Profit B]]+Data[[#This Row],[Profit C]])</f>
        <v>260000</v>
      </c>
      <c r="AB594" s="35">
        <f>IFERROR((Data[[#This Row],[Profit non Diskon]]-(Data[[#This Row],[Profit non Diskon]]*Data[[#This Row],[Diskon]])),Data[[#This Row],[Profit non Diskon]])</f>
        <v>221000</v>
      </c>
      <c r="AC594" s="23" t="s">
        <v>32</v>
      </c>
      <c r="AD594" s="37">
        <f>IFERROR(INDEX('Kode Diskon'!$D$3:$D$9,MATCH(Data[[#This Row],[Kode diskon]],'Kode Diskon'!$C$3:$C$9,0)),"-")</f>
        <v>0.15</v>
      </c>
      <c r="AE594" s="23" t="s">
        <v>9</v>
      </c>
      <c r="AF594" s="23" t="s">
        <v>12</v>
      </c>
      <c r="AG594" s="23" t="s">
        <v>76</v>
      </c>
      <c r="AH594" s="24">
        <v>45046</v>
      </c>
      <c r="AI594" s="23" t="str">
        <f>TEXT(Data[[#This Row],[Tanggal terjual]],"dddd")</f>
        <v>Sunday</v>
      </c>
      <c r="AJ594" s="21" t="str">
        <f>TEXT(Data[[#This Row],[Tanggal terjual]],"wwww")</f>
        <v>wwww</v>
      </c>
    </row>
    <row r="595" spans="1:36" x14ac:dyDescent="0.2">
      <c r="A595" s="20">
        <v>594</v>
      </c>
      <c r="B595" s="21" t="str">
        <f>_xlfn.CONCAT("ORD-",INDEX(Helper!$B$2:$B$5,MATCH(Data[[#This Row],[Marketplace]],Helper!$A$2:$A$5,0)),TEXT(Data[[#This Row],[No]],"0000"),"-",TEXT(Data[[#This Row],[Tanggal terjual]],"dd/mm/yy"))</f>
        <v>ORD-BB0594-04/04/23</v>
      </c>
      <c r="C595" t="s">
        <v>65</v>
      </c>
      <c r="D595" t="str">
        <f>IFERROR(INDEX(Katalog!$A$3:$A$12,MATCH(Data[[#This Row],[ItemID A]],Katalog!$C$3:$C$12,0)),"-")</f>
        <v>Sepatu Pria</v>
      </c>
      <c r="E595" t="str">
        <f>IFERROR(INDEX(Katalog!$B$3:$B$12,MATCH(Data[[#This Row],[ItemID A]],Katalog!$C$3:$C$12,0)),"-")</f>
        <v>Sneakers</v>
      </c>
      <c r="F595">
        <v>3</v>
      </c>
      <c r="G595">
        <v>5</v>
      </c>
      <c r="H595" s="36">
        <f>IFERROR(INDEX(Katalog!$D$3:$D$12,MATCH(Data[[#This Row],[ItemID A]],Katalog!$C$3:$C$12,0))*Data[[#This Row],[Qty A]],"0")</f>
        <v>1500000</v>
      </c>
      <c r="I595" s="36">
        <f>IFERROR(INDEX(Katalog!$F$3:$F$12,MATCH(Data[[#This Row],[ItemID A]],Katalog!$C$3:$C$12,0))*Data[[#This Row],[Qty A]],0)</f>
        <v>600000</v>
      </c>
      <c r="J595" t="s">
        <v>64</v>
      </c>
      <c r="K595" t="str">
        <f>IFERROR(INDEX(Katalog!$A$3:$A$12,MATCH(Data[[#This Row],[ItemID B]],Katalog!$C$3:$C$12,0)),"-")</f>
        <v>Pakaian Unisex</v>
      </c>
      <c r="L595" t="str">
        <f>IFERROR(INDEX(Katalog!$B$3:$B$12,MATCH(Data[[#This Row],[ItemID B]],Katalog!$C$3:$C$12,0)),"-")</f>
        <v>Jaket Hoodie</v>
      </c>
      <c r="M595">
        <v>3</v>
      </c>
      <c r="N595">
        <v>5</v>
      </c>
      <c r="O595" s="36">
        <f>IFERROR(INDEX(Katalog!$D$3:$D$12,MATCH(Data[[#This Row],[ItemID B]],Katalog!$C$3:$C$12,0))*Data[[#This Row],[Qty B]],"0")</f>
        <v>1050000</v>
      </c>
      <c r="P595" s="36">
        <f>IFERROR(INDEX(Katalog!$F$3:$F$12,MATCH(Data[[#This Row],[ItemID B]],Katalog!$C$3:$C$12,0))*Data[[#This Row],[Qty B]],"0")</f>
        <v>390000</v>
      </c>
      <c r="R595" t="str">
        <f>IFERROR(INDEX(Katalog!$A$3:$A$12,MATCH(Data[[#This Row],[ItemID C]],Katalog!$C$3:$C$12,0)),"-")</f>
        <v>-</v>
      </c>
      <c r="S595" t="str">
        <f>IFERROR(INDEX(Katalog!$B$3:$B$12,MATCH(Data[[#This Row],[ItemID C]],Katalog!$C$3:$C$12,0)),"-")</f>
        <v>-</v>
      </c>
      <c r="V595" s="36" t="str">
        <f>IFERROR(INDEX(Katalog!$D$3:$D$12,MATCH(Data[[#This Row],[ItemID C]],Katalog!$C$3:$C$12,0))*Data[[#This Row],[Qty C]],"0")</f>
        <v>0</v>
      </c>
      <c r="W595" s="36" t="str">
        <f>IFERROR(INDEX(Katalog!$F$3:$F$12,MATCH(Data[[#This Row],[ItemID C]],Katalog!$C$3:$C$12,0))*Data[[#This Row],[Qty C]],"0")</f>
        <v>0</v>
      </c>
      <c r="X595" s="21">
        <f>Data[[#This Row],[Qty A]]+Data[[#This Row],[Qty B]]+Data[[#This Row],[Qty C]]</f>
        <v>6</v>
      </c>
      <c r="Y595" s="22">
        <f>Data[[#This Row],[Harga Barang A]]+Data[[#This Row],[Harga Barang B]]+Data[[#This Row],[Harga Barang C]]</f>
        <v>2550000</v>
      </c>
      <c r="Z595" s="35">
        <f>IFERROR(Data[[#This Row],[Total Harga]]-(Data[[#This Row],[Total Harga]]*Data[[#This Row],[Diskon]]),Data[[#This Row],[Total Harga]])</f>
        <v>2167500</v>
      </c>
      <c r="AA595" s="35">
        <f>(Data[[#This Row],[Profit A]]+Data[[#This Row],[Profit B]]+Data[[#This Row],[Profit C]])</f>
        <v>990000</v>
      </c>
      <c r="AB595" s="35">
        <f>IFERROR((Data[[#This Row],[Profit non Diskon]]-(Data[[#This Row],[Profit non Diskon]]*Data[[#This Row],[Diskon]])),Data[[#This Row],[Profit non Diskon]])</f>
        <v>841500</v>
      </c>
      <c r="AC595" s="23" t="s">
        <v>28</v>
      </c>
      <c r="AD595" s="37">
        <f>IFERROR(INDEX('Kode Diskon'!$D$3:$D$9,MATCH(Data[[#This Row],[Kode diskon]],'Kode Diskon'!$C$3:$C$9,0)),"-")</f>
        <v>0.15</v>
      </c>
      <c r="AE595" s="23" t="s">
        <v>29</v>
      </c>
      <c r="AF595" s="23" t="s">
        <v>14</v>
      </c>
      <c r="AG595" s="23" t="s">
        <v>79</v>
      </c>
      <c r="AH595" s="24">
        <v>45020</v>
      </c>
      <c r="AI595" s="23" t="str">
        <f>TEXT(Data[[#This Row],[Tanggal terjual]],"dddd")</f>
        <v>Tuesday</v>
      </c>
      <c r="AJ595" s="21" t="str">
        <f>TEXT(Data[[#This Row],[Tanggal terjual]],"wwww")</f>
        <v>wwww</v>
      </c>
    </row>
    <row r="596" spans="1:36" x14ac:dyDescent="0.2">
      <c r="A596" s="20">
        <v>595</v>
      </c>
      <c r="B596" s="21" t="str">
        <f>_xlfn.CONCAT("ORD-",INDEX(Helper!$B$2:$B$5,MATCH(Data[[#This Row],[Marketplace]],Helper!$A$2:$A$5,0)),TEXT(Data[[#This Row],[No]],"0000"),"-",TEXT(Data[[#This Row],[Tanggal terjual]],"dd/mm/yy"))</f>
        <v>ORD-BL0595-16/04/23</v>
      </c>
      <c r="C596" t="s">
        <v>59</v>
      </c>
      <c r="D596" t="str">
        <f>IFERROR(INDEX(Katalog!$A$3:$A$12,MATCH(Data[[#This Row],[ItemID A]],Katalog!$C$3:$C$12,0)),"-")</f>
        <v>Pakaian Wanita</v>
      </c>
      <c r="E596" t="str">
        <f>IFERROR(INDEX(Katalog!$B$3:$B$12,MATCH(Data[[#This Row],[ItemID A]],Katalog!$C$3:$C$12,0)),"-")</f>
        <v>Blouse</v>
      </c>
      <c r="F596">
        <v>2</v>
      </c>
      <c r="G596">
        <v>3</v>
      </c>
      <c r="H596" s="36">
        <f>IFERROR(INDEX(Katalog!$D$3:$D$12,MATCH(Data[[#This Row],[ItemID A]],Katalog!$C$3:$C$12,0))*Data[[#This Row],[Qty A]],"0")</f>
        <v>300000</v>
      </c>
      <c r="I596" s="36">
        <f>IFERROR(INDEX(Katalog!$F$3:$F$12,MATCH(Data[[#This Row],[ItemID A]],Katalog!$C$3:$C$12,0))*Data[[#This Row],[Qty A]],0)</f>
        <v>100000</v>
      </c>
      <c r="J596" t="s">
        <v>58</v>
      </c>
      <c r="K596" t="str">
        <f>IFERROR(INDEX(Katalog!$A$3:$A$12,MATCH(Data[[#This Row],[ItemID B]],Katalog!$C$3:$C$12,0)),"-")</f>
        <v>Pakaian Wanita</v>
      </c>
      <c r="L596" t="str">
        <f>IFERROR(INDEX(Katalog!$B$3:$B$12,MATCH(Data[[#This Row],[ItemID B]],Katalog!$C$3:$C$12,0)),"-")</f>
        <v>Dress</v>
      </c>
      <c r="M596">
        <v>2</v>
      </c>
      <c r="N596">
        <v>2</v>
      </c>
      <c r="O596" s="36">
        <f>IFERROR(INDEX(Katalog!$D$3:$D$12,MATCH(Data[[#This Row],[ItemID B]],Katalog!$C$3:$C$12,0))*Data[[#This Row],[Qty B]],"0")</f>
        <v>600000</v>
      </c>
      <c r="P596" s="36">
        <f>IFERROR(INDEX(Katalog!$F$3:$F$12,MATCH(Data[[#This Row],[ItemID B]],Katalog!$C$3:$C$12,0))*Data[[#This Row],[Qty B]],"0")</f>
        <v>200000</v>
      </c>
      <c r="Q596" t="s">
        <v>65</v>
      </c>
      <c r="R596" t="str">
        <f>IFERROR(INDEX(Katalog!$A$3:$A$12,MATCH(Data[[#This Row],[ItemID C]],Katalog!$C$3:$C$12,0)),"-")</f>
        <v>Sepatu Pria</v>
      </c>
      <c r="S596" t="str">
        <f>IFERROR(INDEX(Katalog!$B$3:$B$12,MATCH(Data[[#This Row],[ItemID C]],Katalog!$C$3:$C$12,0)),"-")</f>
        <v>Sneakers</v>
      </c>
      <c r="T596">
        <v>2</v>
      </c>
      <c r="U596">
        <v>2</v>
      </c>
      <c r="V596" s="36">
        <f>IFERROR(INDEX(Katalog!$D$3:$D$12,MATCH(Data[[#This Row],[ItemID C]],Katalog!$C$3:$C$12,0))*Data[[#This Row],[Qty C]],"0")</f>
        <v>1000000</v>
      </c>
      <c r="W596" s="36">
        <f>IFERROR(INDEX(Katalog!$F$3:$F$12,MATCH(Data[[#This Row],[ItemID C]],Katalog!$C$3:$C$12,0))*Data[[#This Row],[Qty C]],"0")</f>
        <v>400000</v>
      </c>
      <c r="X596" s="21">
        <f>Data[[#This Row],[Qty A]]+Data[[#This Row],[Qty B]]+Data[[#This Row],[Qty C]]</f>
        <v>6</v>
      </c>
      <c r="Y596" s="22">
        <f>Data[[#This Row],[Harga Barang A]]+Data[[#This Row],[Harga Barang B]]+Data[[#This Row],[Harga Barang C]]</f>
        <v>1900000</v>
      </c>
      <c r="Z596" s="35">
        <f>IFERROR(Data[[#This Row],[Total Harga]]-(Data[[#This Row],[Total Harga]]*Data[[#This Row],[Diskon]]),Data[[#This Row],[Total Harga]])</f>
        <v>1615000</v>
      </c>
      <c r="AA596" s="35">
        <f>(Data[[#This Row],[Profit A]]+Data[[#This Row],[Profit B]]+Data[[#This Row],[Profit C]])</f>
        <v>700000</v>
      </c>
      <c r="AB596" s="35">
        <f>IFERROR((Data[[#This Row],[Profit non Diskon]]-(Data[[#This Row],[Profit non Diskon]]*Data[[#This Row],[Diskon]])),Data[[#This Row],[Profit non Diskon]])</f>
        <v>595000</v>
      </c>
      <c r="AC596" s="23" t="s">
        <v>32</v>
      </c>
      <c r="AD596" s="37">
        <f>IFERROR(INDEX('Kode Diskon'!$D$3:$D$9,MATCH(Data[[#This Row],[Kode diskon]],'Kode Diskon'!$C$3:$C$9,0)),"-")</f>
        <v>0.15</v>
      </c>
      <c r="AE596" s="23" t="s">
        <v>9</v>
      </c>
      <c r="AF596" s="23" t="s">
        <v>12</v>
      </c>
      <c r="AG596" s="23" t="s">
        <v>75</v>
      </c>
      <c r="AH596" s="24">
        <v>45032</v>
      </c>
      <c r="AI596" s="23" t="str">
        <f>TEXT(Data[[#This Row],[Tanggal terjual]],"dddd")</f>
        <v>Sunday</v>
      </c>
      <c r="AJ596" s="21" t="str">
        <f>TEXT(Data[[#This Row],[Tanggal terjual]],"wwww")</f>
        <v>wwww</v>
      </c>
    </row>
    <row r="597" spans="1:36" x14ac:dyDescent="0.2">
      <c r="A597" s="20">
        <v>596</v>
      </c>
      <c r="B597" s="21" t="str">
        <f>_xlfn.CONCAT("ORD-",INDEX(Helper!$B$2:$B$5,MATCH(Data[[#This Row],[Marketplace]],Helper!$A$2:$A$5,0)),TEXT(Data[[#This Row],[No]],"0000"),"-",TEXT(Data[[#This Row],[Tanggal terjual]],"dd/mm/yy"))</f>
        <v>ORD-SP0596-04/04/23</v>
      </c>
      <c r="C597" t="s">
        <v>60</v>
      </c>
      <c r="D597" t="str">
        <f>IFERROR(INDEX(Katalog!$A$3:$A$12,MATCH(Data[[#This Row],[ItemID A]],Katalog!$C$3:$C$12,0)),"-")</f>
        <v>Pakaian Wanita</v>
      </c>
      <c r="E597" t="str">
        <f>IFERROR(INDEX(Katalog!$B$3:$B$12,MATCH(Data[[#This Row],[ItemID A]],Katalog!$C$3:$C$12,0)),"-")</f>
        <v>Kaftan</v>
      </c>
      <c r="F597">
        <v>1</v>
      </c>
      <c r="G597">
        <v>3</v>
      </c>
      <c r="H597" s="36">
        <f>IFERROR(INDEX(Katalog!$D$3:$D$12,MATCH(Data[[#This Row],[ItemID A]],Katalog!$C$3:$C$12,0))*Data[[#This Row],[Qty A]],"0")</f>
        <v>250000</v>
      </c>
      <c r="I597" s="36">
        <f>IFERROR(INDEX(Katalog!$F$3:$F$12,MATCH(Data[[#This Row],[ItemID A]],Katalog!$C$3:$C$12,0))*Data[[#This Row],[Qty A]],0)</f>
        <v>100000</v>
      </c>
      <c r="J597" t="s">
        <v>62</v>
      </c>
      <c r="K597" t="str">
        <f>IFERROR(INDEX(Katalog!$A$3:$A$12,MATCH(Data[[#This Row],[ItemID B]],Katalog!$C$3:$C$12,0)),"-")</f>
        <v>Pakaian Pria</v>
      </c>
      <c r="L597" t="str">
        <f>IFERROR(INDEX(Katalog!$B$3:$B$12,MATCH(Data[[#This Row],[ItemID B]],Katalog!$C$3:$C$12,0)),"-")</f>
        <v>Celana Pendek</v>
      </c>
      <c r="M597">
        <v>5</v>
      </c>
      <c r="N597">
        <v>2</v>
      </c>
      <c r="O597" s="36">
        <f>IFERROR(INDEX(Katalog!$D$3:$D$12,MATCH(Data[[#This Row],[ItemID B]],Katalog!$C$3:$C$12,0))*Data[[#This Row],[Qty B]],"0")</f>
        <v>900000</v>
      </c>
      <c r="P597" s="36">
        <f>IFERROR(INDEX(Katalog!$F$3:$F$12,MATCH(Data[[#This Row],[ItemID B]],Katalog!$C$3:$C$12,0))*Data[[#This Row],[Qty B]],"0")</f>
        <v>350000</v>
      </c>
      <c r="R597" t="str">
        <f>IFERROR(INDEX(Katalog!$A$3:$A$12,MATCH(Data[[#This Row],[ItemID C]],Katalog!$C$3:$C$12,0)),"-")</f>
        <v>-</v>
      </c>
      <c r="S597" t="str">
        <f>IFERROR(INDEX(Katalog!$B$3:$B$12,MATCH(Data[[#This Row],[ItemID C]],Katalog!$C$3:$C$12,0)),"-")</f>
        <v>-</v>
      </c>
      <c r="V597" s="36" t="str">
        <f>IFERROR(INDEX(Katalog!$D$3:$D$12,MATCH(Data[[#This Row],[ItemID C]],Katalog!$C$3:$C$12,0))*Data[[#This Row],[Qty C]],"0")</f>
        <v>0</v>
      </c>
      <c r="W597" s="36" t="str">
        <f>IFERROR(INDEX(Katalog!$F$3:$F$12,MATCH(Data[[#This Row],[ItemID C]],Katalog!$C$3:$C$12,0))*Data[[#This Row],[Qty C]],"0")</f>
        <v>0</v>
      </c>
      <c r="X597" s="21">
        <f>Data[[#This Row],[Qty A]]+Data[[#This Row],[Qty B]]+Data[[#This Row],[Qty C]]</f>
        <v>6</v>
      </c>
      <c r="Y597" s="22">
        <f>Data[[#This Row],[Harga Barang A]]+Data[[#This Row],[Harga Barang B]]+Data[[#This Row],[Harga Barang C]]</f>
        <v>1150000</v>
      </c>
      <c r="Z597" s="35">
        <f>IFERROR(Data[[#This Row],[Total Harga]]-(Data[[#This Row],[Total Harga]]*Data[[#This Row],[Diskon]]),Data[[#This Row],[Total Harga]])</f>
        <v>977500</v>
      </c>
      <c r="AA597" s="35">
        <f>(Data[[#This Row],[Profit A]]+Data[[#This Row],[Profit B]]+Data[[#This Row],[Profit C]])</f>
        <v>450000</v>
      </c>
      <c r="AB597" s="35">
        <f>IFERROR((Data[[#This Row],[Profit non Diskon]]-(Data[[#This Row],[Profit non Diskon]]*Data[[#This Row],[Diskon]])),Data[[#This Row],[Profit non Diskon]])</f>
        <v>382500</v>
      </c>
      <c r="AC597" s="23" t="s">
        <v>13</v>
      </c>
      <c r="AD597" s="37">
        <f>IFERROR(INDEX('Kode Diskon'!$D$3:$D$9,MATCH(Data[[#This Row],[Kode diskon]],'Kode Diskon'!$C$3:$C$9,0)),"-")</f>
        <v>0.15</v>
      </c>
      <c r="AE597" s="23" t="s">
        <v>29</v>
      </c>
      <c r="AF597" s="23" t="s">
        <v>7</v>
      </c>
      <c r="AG597" s="23" t="s">
        <v>77</v>
      </c>
      <c r="AH597" s="24">
        <v>45020</v>
      </c>
      <c r="AI597" s="23" t="str">
        <f>TEXT(Data[[#This Row],[Tanggal terjual]],"dddd")</f>
        <v>Tuesday</v>
      </c>
      <c r="AJ597" s="21" t="str">
        <f>TEXT(Data[[#This Row],[Tanggal terjual]],"wwww")</f>
        <v>wwww</v>
      </c>
    </row>
    <row r="598" spans="1:36" x14ac:dyDescent="0.2">
      <c r="A598" s="20">
        <v>597</v>
      </c>
      <c r="B598" s="21" t="str">
        <f>_xlfn.CONCAT("ORD-",INDEX(Helper!$B$2:$B$5,MATCH(Data[[#This Row],[Marketplace]],Helper!$A$2:$A$5,0)),TEXT(Data[[#This Row],[No]],"0000"),"-",TEXT(Data[[#This Row],[Tanggal terjual]],"dd/mm/yy"))</f>
        <v>ORD-BL0597-17/04/23</v>
      </c>
      <c r="C598" t="s">
        <v>59</v>
      </c>
      <c r="D598" t="str">
        <f>IFERROR(INDEX(Katalog!$A$3:$A$12,MATCH(Data[[#This Row],[ItemID A]],Katalog!$C$3:$C$12,0)),"-")</f>
        <v>Pakaian Wanita</v>
      </c>
      <c r="E598" t="str">
        <f>IFERROR(INDEX(Katalog!$B$3:$B$12,MATCH(Data[[#This Row],[ItemID A]],Katalog!$C$3:$C$12,0)),"-")</f>
        <v>Blouse</v>
      </c>
      <c r="F598">
        <v>1</v>
      </c>
      <c r="G598">
        <v>5</v>
      </c>
      <c r="H598" s="36">
        <f>IFERROR(INDEX(Katalog!$D$3:$D$12,MATCH(Data[[#This Row],[ItemID A]],Katalog!$C$3:$C$12,0))*Data[[#This Row],[Qty A]],"0")</f>
        <v>150000</v>
      </c>
      <c r="I598" s="36">
        <f>IFERROR(INDEX(Katalog!$F$3:$F$12,MATCH(Data[[#This Row],[ItemID A]],Katalog!$C$3:$C$12,0))*Data[[#This Row],[Qty A]],0)</f>
        <v>50000</v>
      </c>
      <c r="K598" t="str">
        <f>IFERROR(INDEX(Katalog!$A$3:$A$12,MATCH(Data[[#This Row],[ItemID B]],Katalog!$C$3:$C$12,0)),"-")</f>
        <v>-</v>
      </c>
      <c r="L598" t="str">
        <f>IFERROR(INDEX(Katalog!$B$3:$B$12,MATCH(Data[[#This Row],[ItemID B]],Katalog!$C$3:$C$12,0)),"-")</f>
        <v>-</v>
      </c>
      <c r="O598" s="36" t="str">
        <f>IFERROR(INDEX(Katalog!$D$3:$D$12,MATCH(Data[[#This Row],[ItemID B]],Katalog!$C$3:$C$12,0))*Data[[#This Row],[Qty B]],"0")</f>
        <v>0</v>
      </c>
      <c r="P598" s="36" t="str">
        <f>IFERROR(INDEX(Katalog!$F$3:$F$12,MATCH(Data[[#This Row],[ItemID B]],Katalog!$C$3:$C$12,0))*Data[[#This Row],[Qty B]],"0")</f>
        <v>0</v>
      </c>
      <c r="R598" t="str">
        <f>IFERROR(INDEX(Katalog!$A$3:$A$12,MATCH(Data[[#This Row],[ItemID C]],Katalog!$C$3:$C$12,0)),"-")</f>
        <v>-</v>
      </c>
      <c r="S598" t="str">
        <f>IFERROR(INDEX(Katalog!$B$3:$B$12,MATCH(Data[[#This Row],[ItemID C]],Katalog!$C$3:$C$12,0)),"-")</f>
        <v>-</v>
      </c>
      <c r="V598" s="36" t="str">
        <f>IFERROR(INDEX(Katalog!$D$3:$D$12,MATCH(Data[[#This Row],[ItemID C]],Katalog!$C$3:$C$12,0))*Data[[#This Row],[Qty C]],"0")</f>
        <v>0</v>
      </c>
      <c r="W598" s="36" t="str">
        <f>IFERROR(INDEX(Katalog!$F$3:$F$12,MATCH(Data[[#This Row],[ItemID C]],Katalog!$C$3:$C$12,0))*Data[[#This Row],[Qty C]],"0")</f>
        <v>0</v>
      </c>
      <c r="X598" s="21">
        <f>Data[[#This Row],[Qty A]]+Data[[#This Row],[Qty B]]+Data[[#This Row],[Qty C]]</f>
        <v>1</v>
      </c>
      <c r="Y598" s="22">
        <f>Data[[#This Row],[Harga Barang A]]+Data[[#This Row],[Harga Barang B]]+Data[[#This Row],[Harga Barang C]]</f>
        <v>150000</v>
      </c>
      <c r="Z598" s="35">
        <f>IFERROR(Data[[#This Row],[Total Harga]]-(Data[[#This Row],[Total Harga]]*Data[[#This Row],[Diskon]]),Data[[#This Row],[Total Harga]])</f>
        <v>127500</v>
      </c>
      <c r="AA598" s="35">
        <f>(Data[[#This Row],[Profit A]]+Data[[#This Row],[Profit B]]+Data[[#This Row],[Profit C]])</f>
        <v>50000</v>
      </c>
      <c r="AB598" s="35">
        <f>IFERROR((Data[[#This Row],[Profit non Diskon]]-(Data[[#This Row],[Profit non Diskon]]*Data[[#This Row],[Diskon]])),Data[[#This Row],[Profit non Diskon]])</f>
        <v>42500</v>
      </c>
      <c r="AC598" s="23" t="s">
        <v>32</v>
      </c>
      <c r="AD598" s="37">
        <f>IFERROR(INDEX('Kode Diskon'!$D$3:$D$9,MATCH(Data[[#This Row],[Kode diskon]],'Kode Diskon'!$C$3:$C$9,0)),"-")</f>
        <v>0.15</v>
      </c>
      <c r="AE598" s="23" t="s">
        <v>9</v>
      </c>
      <c r="AF598" s="23" t="s">
        <v>12</v>
      </c>
      <c r="AG598" s="23" t="s">
        <v>75</v>
      </c>
      <c r="AH598" s="24">
        <v>45033</v>
      </c>
      <c r="AI598" s="23" t="str">
        <f>TEXT(Data[[#This Row],[Tanggal terjual]],"dddd")</f>
        <v>Monday</v>
      </c>
      <c r="AJ598" s="21" t="str">
        <f>TEXT(Data[[#This Row],[Tanggal terjual]],"wwww")</f>
        <v>wwww</v>
      </c>
    </row>
    <row r="599" spans="1:36" x14ac:dyDescent="0.2">
      <c r="A599" s="20">
        <v>598</v>
      </c>
      <c r="B599" s="21" t="str">
        <f>_xlfn.CONCAT("ORD-",INDEX(Helper!$B$2:$B$5,MATCH(Data[[#This Row],[Marketplace]],Helper!$A$2:$A$5,0)),TEXT(Data[[#This Row],[No]],"0000"),"-",TEXT(Data[[#This Row],[Tanggal terjual]],"dd/mm/yy"))</f>
        <v>ORD-BB0598-01/04/23</v>
      </c>
      <c r="C599" t="s">
        <v>63</v>
      </c>
      <c r="D599" t="str">
        <f>IFERROR(INDEX(Katalog!$A$3:$A$12,MATCH(Data[[#This Row],[ItemID A]],Katalog!$C$3:$C$12,0)),"-")</f>
        <v>Pakaian Pria</v>
      </c>
      <c r="E599" t="str">
        <f>IFERROR(INDEX(Katalog!$B$3:$B$12,MATCH(Data[[#This Row],[ItemID A]],Katalog!$C$3:$C$12,0)),"-")</f>
        <v>Jaket Jeans</v>
      </c>
      <c r="F599">
        <v>4</v>
      </c>
      <c r="G599">
        <v>3</v>
      </c>
      <c r="H599" s="36">
        <f>IFERROR(INDEX(Katalog!$D$3:$D$12,MATCH(Data[[#This Row],[ItemID A]],Katalog!$C$3:$C$12,0))*Data[[#This Row],[Qty A]],"0")</f>
        <v>1600000</v>
      </c>
      <c r="I599" s="36">
        <f>IFERROR(INDEX(Katalog!$F$3:$F$12,MATCH(Data[[#This Row],[ItemID A]],Katalog!$C$3:$C$12,0))*Data[[#This Row],[Qty A]],0)</f>
        <v>600000</v>
      </c>
      <c r="K599" t="str">
        <f>IFERROR(INDEX(Katalog!$A$3:$A$12,MATCH(Data[[#This Row],[ItemID B]],Katalog!$C$3:$C$12,0)),"-")</f>
        <v>-</v>
      </c>
      <c r="L599" t="str">
        <f>IFERROR(INDEX(Katalog!$B$3:$B$12,MATCH(Data[[#This Row],[ItemID B]],Katalog!$C$3:$C$12,0)),"-")</f>
        <v>-</v>
      </c>
      <c r="O599" s="36" t="str">
        <f>IFERROR(INDEX(Katalog!$D$3:$D$12,MATCH(Data[[#This Row],[ItemID B]],Katalog!$C$3:$C$12,0))*Data[[#This Row],[Qty B]],"0")</f>
        <v>0</v>
      </c>
      <c r="P599" s="36" t="str">
        <f>IFERROR(INDEX(Katalog!$F$3:$F$12,MATCH(Data[[#This Row],[ItemID B]],Katalog!$C$3:$C$12,0))*Data[[#This Row],[Qty B]],"0")</f>
        <v>0</v>
      </c>
      <c r="R599" t="str">
        <f>IFERROR(INDEX(Katalog!$A$3:$A$12,MATCH(Data[[#This Row],[ItemID C]],Katalog!$C$3:$C$12,0)),"-")</f>
        <v>-</v>
      </c>
      <c r="S599" t="str">
        <f>IFERROR(INDEX(Katalog!$B$3:$B$12,MATCH(Data[[#This Row],[ItemID C]],Katalog!$C$3:$C$12,0)),"-")</f>
        <v>-</v>
      </c>
      <c r="V599" s="36" t="str">
        <f>IFERROR(INDEX(Katalog!$D$3:$D$12,MATCH(Data[[#This Row],[ItemID C]],Katalog!$C$3:$C$12,0))*Data[[#This Row],[Qty C]],"0")</f>
        <v>0</v>
      </c>
      <c r="W599" s="36" t="str">
        <f>IFERROR(INDEX(Katalog!$F$3:$F$12,MATCH(Data[[#This Row],[ItemID C]],Katalog!$C$3:$C$12,0))*Data[[#This Row],[Qty C]],"0")</f>
        <v>0</v>
      </c>
      <c r="X599" s="21">
        <f>Data[[#This Row],[Qty A]]+Data[[#This Row],[Qty B]]+Data[[#This Row],[Qty C]]</f>
        <v>4</v>
      </c>
      <c r="Y599" s="22">
        <f>Data[[#This Row],[Harga Barang A]]+Data[[#This Row],[Harga Barang B]]+Data[[#This Row],[Harga Barang C]]</f>
        <v>1600000</v>
      </c>
      <c r="Z599" s="35">
        <f>IFERROR(Data[[#This Row],[Total Harga]]-(Data[[#This Row],[Total Harga]]*Data[[#This Row],[Diskon]]),Data[[#This Row],[Total Harga]])</f>
        <v>1360000</v>
      </c>
      <c r="AA599" s="35">
        <f>(Data[[#This Row],[Profit A]]+Data[[#This Row],[Profit B]]+Data[[#This Row],[Profit C]])</f>
        <v>600000</v>
      </c>
      <c r="AB599" s="35">
        <f>IFERROR((Data[[#This Row],[Profit non Diskon]]-(Data[[#This Row],[Profit non Diskon]]*Data[[#This Row],[Diskon]])),Data[[#This Row],[Profit non Diskon]])</f>
        <v>510000</v>
      </c>
      <c r="AC599" s="23" t="s">
        <v>28</v>
      </c>
      <c r="AD599" s="37">
        <f>IFERROR(INDEX('Kode Diskon'!$D$3:$D$9,MATCH(Data[[#This Row],[Kode diskon]],'Kode Diskon'!$C$3:$C$9,0)),"-")</f>
        <v>0.15</v>
      </c>
      <c r="AE599" s="23" t="s">
        <v>29</v>
      </c>
      <c r="AF599" s="23" t="s">
        <v>14</v>
      </c>
      <c r="AG599" s="23" t="s">
        <v>80</v>
      </c>
      <c r="AH599" s="24">
        <v>45017</v>
      </c>
      <c r="AI599" s="23" t="str">
        <f>TEXT(Data[[#This Row],[Tanggal terjual]],"dddd")</f>
        <v>Saturday</v>
      </c>
      <c r="AJ599" s="21" t="str">
        <f>TEXT(Data[[#This Row],[Tanggal terjual]],"wwww")</f>
        <v>wwww</v>
      </c>
    </row>
    <row r="600" spans="1:36" x14ac:dyDescent="0.2">
      <c r="A600" s="20">
        <v>599</v>
      </c>
      <c r="B600" s="21" t="str">
        <f>_xlfn.CONCAT("ORD-",INDEX(Helper!$B$2:$B$5,MATCH(Data[[#This Row],[Marketplace]],Helper!$A$2:$A$5,0)),TEXT(Data[[#This Row],[No]],"0000"),"-",TEXT(Data[[#This Row],[Tanggal terjual]],"dd/mm/yy"))</f>
        <v>ORD-SP0599-14/04/23</v>
      </c>
      <c r="C600" t="s">
        <v>62</v>
      </c>
      <c r="D600" t="str">
        <f>IFERROR(INDEX(Katalog!$A$3:$A$12,MATCH(Data[[#This Row],[ItemID A]],Katalog!$C$3:$C$12,0)),"-")</f>
        <v>Pakaian Pria</v>
      </c>
      <c r="E600" t="str">
        <f>IFERROR(INDEX(Katalog!$B$3:$B$12,MATCH(Data[[#This Row],[ItemID A]],Katalog!$C$3:$C$12,0)),"-")</f>
        <v>Celana Pendek</v>
      </c>
      <c r="F600">
        <v>3</v>
      </c>
      <c r="G600">
        <v>5</v>
      </c>
      <c r="H600" s="36">
        <f>IFERROR(INDEX(Katalog!$D$3:$D$12,MATCH(Data[[#This Row],[ItemID A]],Katalog!$C$3:$C$12,0))*Data[[#This Row],[Qty A]],"0")</f>
        <v>540000</v>
      </c>
      <c r="I600" s="36">
        <f>IFERROR(INDEX(Katalog!$F$3:$F$12,MATCH(Data[[#This Row],[ItemID A]],Katalog!$C$3:$C$12,0))*Data[[#This Row],[Qty A]],0)</f>
        <v>210000</v>
      </c>
      <c r="J600" t="s">
        <v>66</v>
      </c>
      <c r="K600" t="str">
        <f>IFERROR(INDEX(Katalog!$A$3:$A$12,MATCH(Data[[#This Row],[ItemID B]],Katalog!$C$3:$C$12,0)),"-")</f>
        <v>Sepatu Pria</v>
      </c>
      <c r="L600" t="str">
        <f>IFERROR(INDEX(Katalog!$B$3:$B$12,MATCH(Data[[#This Row],[ItemID B]],Katalog!$C$3:$C$12,0)),"-")</f>
        <v>Sandal Slip On</v>
      </c>
      <c r="M600">
        <v>4</v>
      </c>
      <c r="N600">
        <v>4</v>
      </c>
      <c r="O600" s="36">
        <f>IFERROR(INDEX(Katalog!$D$3:$D$12,MATCH(Data[[#This Row],[ItemID B]],Katalog!$C$3:$C$12,0))*Data[[#This Row],[Qty B]],"0")</f>
        <v>600000</v>
      </c>
      <c r="P600" s="36">
        <f>IFERROR(INDEX(Katalog!$F$3:$F$12,MATCH(Data[[#This Row],[ItemID B]],Katalog!$C$3:$C$12,0))*Data[[#This Row],[Qty B]],"0")</f>
        <v>240000</v>
      </c>
      <c r="R600" t="str">
        <f>IFERROR(INDEX(Katalog!$A$3:$A$12,MATCH(Data[[#This Row],[ItemID C]],Katalog!$C$3:$C$12,0)),"-")</f>
        <v>-</v>
      </c>
      <c r="S600" t="str">
        <f>IFERROR(INDEX(Katalog!$B$3:$B$12,MATCH(Data[[#This Row],[ItemID C]],Katalog!$C$3:$C$12,0)),"-")</f>
        <v>-</v>
      </c>
      <c r="V600" s="36" t="str">
        <f>IFERROR(INDEX(Katalog!$D$3:$D$12,MATCH(Data[[#This Row],[ItemID C]],Katalog!$C$3:$C$12,0))*Data[[#This Row],[Qty C]],"0")</f>
        <v>0</v>
      </c>
      <c r="W600" s="36" t="str">
        <f>IFERROR(INDEX(Katalog!$F$3:$F$12,MATCH(Data[[#This Row],[ItemID C]],Katalog!$C$3:$C$12,0))*Data[[#This Row],[Qty C]],"0")</f>
        <v>0</v>
      </c>
      <c r="X600" s="21">
        <f>Data[[#This Row],[Qty A]]+Data[[#This Row],[Qty B]]+Data[[#This Row],[Qty C]]</f>
        <v>7</v>
      </c>
      <c r="Y600" s="22">
        <f>Data[[#This Row],[Harga Barang A]]+Data[[#This Row],[Harga Barang B]]+Data[[#This Row],[Harga Barang C]]</f>
        <v>1140000</v>
      </c>
      <c r="Z600" s="35">
        <f>IFERROR(Data[[#This Row],[Total Harga]]-(Data[[#This Row],[Total Harga]]*Data[[#This Row],[Diskon]]),Data[[#This Row],[Total Harga]])</f>
        <v>1140000</v>
      </c>
      <c r="AA600" s="35">
        <f>(Data[[#This Row],[Profit A]]+Data[[#This Row],[Profit B]]+Data[[#This Row],[Profit C]])</f>
        <v>450000</v>
      </c>
      <c r="AB600" s="35">
        <f>IFERROR((Data[[#This Row],[Profit non Diskon]]-(Data[[#This Row],[Profit non Diskon]]*Data[[#This Row],[Diskon]])),Data[[#This Row],[Profit non Diskon]])</f>
        <v>450000</v>
      </c>
      <c r="AC600" s="23" t="s">
        <v>11</v>
      </c>
      <c r="AD600" s="37" t="str">
        <f>IFERROR(INDEX('Kode Diskon'!$D$3:$D$9,MATCH(Data[[#This Row],[Kode diskon]],'Kode Diskon'!$C$3:$C$9,0)),"-")</f>
        <v>-</v>
      </c>
      <c r="AE600" s="23" t="s">
        <v>11</v>
      </c>
      <c r="AF600" s="23" t="s">
        <v>7</v>
      </c>
      <c r="AG600" s="23" t="s">
        <v>79</v>
      </c>
      <c r="AH600" s="24">
        <v>45030</v>
      </c>
      <c r="AI600" s="23" t="str">
        <f>TEXT(Data[[#This Row],[Tanggal terjual]],"dddd")</f>
        <v>Friday</v>
      </c>
      <c r="AJ600" s="21" t="str">
        <f>TEXT(Data[[#This Row],[Tanggal terjual]],"wwww")</f>
        <v>wwww</v>
      </c>
    </row>
    <row r="601" spans="1:36" x14ac:dyDescent="0.2">
      <c r="A601" s="20">
        <v>600</v>
      </c>
      <c r="B601" s="21" t="str">
        <f>_xlfn.CONCAT("ORD-",INDEX(Helper!$B$2:$B$5,MATCH(Data[[#This Row],[Marketplace]],Helper!$A$2:$A$5,0)),TEXT(Data[[#This Row],[No]],"0000"),"-",TEXT(Data[[#This Row],[Tanggal terjual]],"dd/mm/yy"))</f>
        <v>ORD-TK0600-05/04/23</v>
      </c>
      <c r="C601" t="s">
        <v>62</v>
      </c>
      <c r="D601" t="str">
        <f>IFERROR(INDEX(Katalog!$A$3:$A$12,MATCH(Data[[#This Row],[ItemID A]],Katalog!$C$3:$C$12,0)),"-")</f>
        <v>Pakaian Pria</v>
      </c>
      <c r="E601" t="str">
        <f>IFERROR(INDEX(Katalog!$B$3:$B$12,MATCH(Data[[#This Row],[ItemID A]],Katalog!$C$3:$C$12,0)),"-")</f>
        <v>Celana Pendek</v>
      </c>
      <c r="F601">
        <v>1</v>
      </c>
      <c r="G601">
        <v>1</v>
      </c>
      <c r="H601" s="36">
        <f>IFERROR(INDEX(Katalog!$D$3:$D$12,MATCH(Data[[#This Row],[ItemID A]],Katalog!$C$3:$C$12,0))*Data[[#This Row],[Qty A]],"0")</f>
        <v>180000</v>
      </c>
      <c r="I601" s="36">
        <f>IFERROR(INDEX(Katalog!$F$3:$F$12,MATCH(Data[[#This Row],[ItemID A]],Katalog!$C$3:$C$12,0))*Data[[#This Row],[Qty A]],0)</f>
        <v>70000</v>
      </c>
      <c r="K601" t="str">
        <f>IFERROR(INDEX(Katalog!$A$3:$A$12,MATCH(Data[[#This Row],[ItemID B]],Katalog!$C$3:$C$12,0)),"-")</f>
        <v>-</v>
      </c>
      <c r="L601" t="str">
        <f>IFERROR(INDEX(Katalog!$B$3:$B$12,MATCH(Data[[#This Row],[ItemID B]],Katalog!$C$3:$C$12,0)),"-")</f>
        <v>-</v>
      </c>
      <c r="O601" s="36" t="str">
        <f>IFERROR(INDEX(Katalog!$D$3:$D$12,MATCH(Data[[#This Row],[ItemID B]],Katalog!$C$3:$C$12,0))*Data[[#This Row],[Qty B]],"0")</f>
        <v>0</v>
      </c>
      <c r="P601" s="36" t="str">
        <f>IFERROR(INDEX(Katalog!$F$3:$F$12,MATCH(Data[[#This Row],[ItemID B]],Katalog!$C$3:$C$12,0))*Data[[#This Row],[Qty B]],"0")</f>
        <v>0</v>
      </c>
      <c r="R601" t="str">
        <f>IFERROR(INDEX(Katalog!$A$3:$A$12,MATCH(Data[[#This Row],[ItemID C]],Katalog!$C$3:$C$12,0)),"-")</f>
        <v>-</v>
      </c>
      <c r="S601" t="str">
        <f>IFERROR(INDEX(Katalog!$B$3:$B$12,MATCH(Data[[#This Row],[ItemID C]],Katalog!$C$3:$C$12,0)),"-")</f>
        <v>-</v>
      </c>
      <c r="V601" s="36" t="str">
        <f>IFERROR(INDEX(Katalog!$D$3:$D$12,MATCH(Data[[#This Row],[ItemID C]],Katalog!$C$3:$C$12,0))*Data[[#This Row],[Qty C]],"0")</f>
        <v>0</v>
      </c>
      <c r="W601" s="36" t="str">
        <f>IFERROR(INDEX(Katalog!$F$3:$F$12,MATCH(Data[[#This Row],[ItemID C]],Katalog!$C$3:$C$12,0))*Data[[#This Row],[Qty C]],"0")</f>
        <v>0</v>
      </c>
      <c r="X601" s="21">
        <f>Data[[#This Row],[Qty A]]+Data[[#This Row],[Qty B]]+Data[[#This Row],[Qty C]]</f>
        <v>1</v>
      </c>
      <c r="Y601" s="22">
        <f>Data[[#This Row],[Harga Barang A]]+Data[[#This Row],[Harga Barang B]]+Data[[#This Row],[Harga Barang C]]</f>
        <v>180000</v>
      </c>
      <c r="Z601" s="35">
        <f>IFERROR(Data[[#This Row],[Total Harga]]-(Data[[#This Row],[Total Harga]]*Data[[#This Row],[Diskon]]),Data[[#This Row],[Total Harga]])</f>
        <v>162000</v>
      </c>
      <c r="AA601" s="35">
        <f>(Data[[#This Row],[Profit A]]+Data[[#This Row],[Profit B]]+Data[[#This Row],[Profit C]])</f>
        <v>70000</v>
      </c>
      <c r="AB601" s="35">
        <f>IFERROR((Data[[#This Row],[Profit non Diskon]]-(Data[[#This Row],[Profit non Diskon]]*Data[[#This Row],[Diskon]])),Data[[#This Row],[Profit non Diskon]])</f>
        <v>63000</v>
      </c>
      <c r="AC601" s="23" t="s">
        <v>30</v>
      </c>
      <c r="AD601" s="37">
        <f>IFERROR(INDEX('Kode Diskon'!$D$3:$D$9,MATCH(Data[[#This Row],[Kode diskon]],'Kode Diskon'!$C$3:$C$9,0)),"-")</f>
        <v>0.1</v>
      </c>
      <c r="AE601" s="23" t="s">
        <v>29</v>
      </c>
      <c r="AF601" s="23" t="s">
        <v>10</v>
      </c>
      <c r="AG601" s="23" t="s">
        <v>80</v>
      </c>
      <c r="AH601" s="24">
        <v>45021</v>
      </c>
      <c r="AI601" s="23" t="str">
        <f>TEXT(Data[[#This Row],[Tanggal terjual]],"dddd")</f>
        <v>Wednesday</v>
      </c>
      <c r="AJ601" s="21" t="str">
        <f>TEXT(Data[[#This Row],[Tanggal terjual]],"wwww")</f>
        <v>wwww</v>
      </c>
    </row>
    <row r="602" spans="1:36" x14ac:dyDescent="0.2">
      <c r="A602" s="20">
        <v>601</v>
      </c>
      <c r="B602" s="21" t="str">
        <f>_xlfn.CONCAT("ORD-",INDEX(Helper!$B$2:$B$5,MATCH(Data[[#This Row],[Marketplace]],Helper!$A$2:$A$5,0)),TEXT(Data[[#This Row],[No]],"0000"),"-",TEXT(Data[[#This Row],[Tanggal terjual]],"dd/mm/yy"))</f>
        <v>ORD-SP0601-27/04/23</v>
      </c>
      <c r="C602" t="s">
        <v>60</v>
      </c>
      <c r="D602" t="str">
        <f>IFERROR(INDEX(Katalog!$A$3:$A$12,MATCH(Data[[#This Row],[ItemID A]],Katalog!$C$3:$C$12,0)),"-")</f>
        <v>Pakaian Wanita</v>
      </c>
      <c r="E602" t="str">
        <f>IFERROR(INDEX(Katalog!$B$3:$B$12,MATCH(Data[[#This Row],[ItemID A]],Katalog!$C$3:$C$12,0)),"-")</f>
        <v>Kaftan</v>
      </c>
      <c r="F602">
        <v>1</v>
      </c>
      <c r="G602">
        <v>1</v>
      </c>
      <c r="H602" s="36">
        <f>IFERROR(INDEX(Katalog!$D$3:$D$12,MATCH(Data[[#This Row],[ItemID A]],Katalog!$C$3:$C$12,0))*Data[[#This Row],[Qty A]],"0")</f>
        <v>250000</v>
      </c>
      <c r="I602" s="36">
        <f>IFERROR(INDEX(Katalog!$F$3:$F$12,MATCH(Data[[#This Row],[ItemID A]],Katalog!$C$3:$C$12,0))*Data[[#This Row],[Qty A]],0)</f>
        <v>100000</v>
      </c>
      <c r="J602" t="s">
        <v>58</v>
      </c>
      <c r="K602" t="str">
        <f>IFERROR(INDEX(Katalog!$A$3:$A$12,MATCH(Data[[#This Row],[ItemID B]],Katalog!$C$3:$C$12,0)),"-")</f>
        <v>Pakaian Wanita</v>
      </c>
      <c r="L602" t="str">
        <f>IFERROR(INDEX(Katalog!$B$3:$B$12,MATCH(Data[[#This Row],[ItemID B]],Katalog!$C$3:$C$12,0)),"-")</f>
        <v>Dress</v>
      </c>
      <c r="M602">
        <v>2</v>
      </c>
      <c r="N602">
        <v>3</v>
      </c>
      <c r="O602" s="36">
        <f>IFERROR(INDEX(Katalog!$D$3:$D$12,MATCH(Data[[#This Row],[ItemID B]],Katalog!$C$3:$C$12,0))*Data[[#This Row],[Qty B]],"0")</f>
        <v>600000</v>
      </c>
      <c r="P602" s="36">
        <f>IFERROR(INDEX(Katalog!$F$3:$F$12,MATCH(Data[[#This Row],[ItemID B]],Katalog!$C$3:$C$12,0))*Data[[#This Row],[Qty B]],"0")</f>
        <v>200000</v>
      </c>
      <c r="Q602" t="s">
        <v>61</v>
      </c>
      <c r="R602" t="str">
        <f>IFERROR(INDEX(Katalog!$A$3:$A$12,MATCH(Data[[#This Row],[ItemID C]],Katalog!$C$3:$C$12,0)),"-")</f>
        <v>Pakaian Pria</v>
      </c>
      <c r="S602" t="str">
        <f>IFERROR(INDEX(Katalog!$B$3:$B$12,MATCH(Data[[#This Row],[ItemID C]],Katalog!$C$3:$C$12,0)),"-")</f>
        <v>Kaos Polo</v>
      </c>
      <c r="T602">
        <v>3</v>
      </c>
      <c r="U602">
        <v>4</v>
      </c>
      <c r="V602" s="36">
        <f>IFERROR(INDEX(Katalog!$D$3:$D$12,MATCH(Data[[#This Row],[ItemID C]],Katalog!$C$3:$C$12,0))*Data[[#This Row],[Qty C]],"0")</f>
        <v>600000</v>
      </c>
      <c r="W602" s="36">
        <f>IFERROR(INDEX(Katalog!$F$3:$F$12,MATCH(Data[[#This Row],[ItemID C]],Katalog!$C$3:$C$12,0))*Data[[#This Row],[Qty C]],"0")</f>
        <v>240000</v>
      </c>
      <c r="X602" s="21">
        <f>Data[[#This Row],[Qty A]]+Data[[#This Row],[Qty B]]+Data[[#This Row],[Qty C]]</f>
        <v>6</v>
      </c>
      <c r="Y602" s="22">
        <f>Data[[#This Row],[Harga Barang A]]+Data[[#This Row],[Harga Barang B]]+Data[[#This Row],[Harga Barang C]]</f>
        <v>1450000</v>
      </c>
      <c r="Z602" s="35">
        <f>IFERROR(Data[[#This Row],[Total Harga]]-(Data[[#This Row],[Total Harga]]*Data[[#This Row],[Diskon]]),Data[[#This Row],[Total Harga]])</f>
        <v>1160000</v>
      </c>
      <c r="AA602" s="35">
        <f>(Data[[#This Row],[Profit A]]+Data[[#This Row],[Profit B]]+Data[[#This Row],[Profit C]])</f>
        <v>540000</v>
      </c>
      <c r="AB602" s="35">
        <f>IFERROR((Data[[#This Row],[Profit non Diskon]]-(Data[[#This Row],[Profit non Diskon]]*Data[[#This Row],[Diskon]])),Data[[#This Row],[Profit non Diskon]])</f>
        <v>432000</v>
      </c>
      <c r="AC602" s="23" t="s">
        <v>8</v>
      </c>
      <c r="AD602" s="37">
        <f>IFERROR(INDEX('Kode Diskon'!$D$3:$D$9,MATCH(Data[[#This Row],[Kode diskon]],'Kode Diskon'!$C$3:$C$9,0)),"-")</f>
        <v>0.2</v>
      </c>
      <c r="AE602" s="23" t="s">
        <v>9</v>
      </c>
      <c r="AF602" s="23" t="s">
        <v>7</v>
      </c>
      <c r="AG602" s="23" t="s">
        <v>80</v>
      </c>
      <c r="AH602" s="24">
        <v>45043</v>
      </c>
      <c r="AI602" s="23" t="str">
        <f>TEXT(Data[[#This Row],[Tanggal terjual]],"dddd")</f>
        <v>Thursday</v>
      </c>
      <c r="AJ602" s="21" t="str">
        <f>TEXT(Data[[#This Row],[Tanggal terjual]],"wwww")</f>
        <v>wwww</v>
      </c>
    </row>
    <row r="603" spans="1:36" x14ac:dyDescent="0.2">
      <c r="A603" s="20">
        <v>602</v>
      </c>
      <c r="B603" s="21" t="str">
        <f>_xlfn.CONCAT("ORD-",INDEX(Helper!$B$2:$B$5,MATCH(Data[[#This Row],[Marketplace]],Helper!$A$2:$A$5,0)),TEXT(Data[[#This Row],[No]],"0000"),"-",TEXT(Data[[#This Row],[Tanggal terjual]],"dd/mm/yy"))</f>
        <v>ORD-SP0602-13/04/23</v>
      </c>
      <c r="C603" t="s">
        <v>63</v>
      </c>
      <c r="D603" t="str">
        <f>IFERROR(INDEX(Katalog!$A$3:$A$12,MATCH(Data[[#This Row],[ItemID A]],Katalog!$C$3:$C$12,0)),"-")</f>
        <v>Pakaian Pria</v>
      </c>
      <c r="E603" t="str">
        <f>IFERROR(INDEX(Katalog!$B$3:$B$12,MATCH(Data[[#This Row],[ItemID A]],Katalog!$C$3:$C$12,0)),"-")</f>
        <v>Jaket Jeans</v>
      </c>
      <c r="F603">
        <v>5</v>
      </c>
      <c r="G603">
        <v>3</v>
      </c>
      <c r="H603" s="36">
        <f>IFERROR(INDEX(Katalog!$D$3:$D$12,MATCH(Data[[#This Row],[ItemID A]],Katalog!$C$3:$C$12,0))*Data[[#This Row],[Qty A]],"0")</f>
        <v>2000000</v>
      </c>
      <c r="I603" s="36">
        <f>IFERROR(INDEX(Katalog!$F$3:$F$12,MATCH(Data[[#This Row],[ItemID A]],Katalog!$C$3:$C$12,0))*Data[[#This Row],[Qty A]],0)</f>
        <v>750000</v>
      </c>
      <c r="J603" t="s">
        <v>67</v>
      </c>
      <c r="K603" t="str">
        <f>IFERROR(INDEX(Katalog!$A$3:$A$12,MATCH(Data[[#This Row],[ItemID B]],Katalog!$C$3:$C$12,0)),"-")</f>
        <v>Sepatu Wanita</v>
      </c>
      <c r="L603" t="str">
        <f>IFERROR(INDEX(Katalog!$B$3:$B$12,MATCH(Data[[#This Row],[ItemID B]],Katalog!$C$3:$C$12,0)),"-")</f>
        <v>Flat Shoes</v>
      </c>
      <c r="M603">
        <v>1</v>
      </c>
      <c r="N603">
        <v>3</v>
      </c>
      <c r="O603" s="36">
        <f>IFERROR(INDEX(Katalog!$D$3:$D$12,MATCH(Data[[#This Row],[ItemID B]],Katalog!$C$3:$C$12,0))*Data[[#This Row],[Qty B]],"0")</f>
        <v>250000</v>
      </c>
      <c r="P603" s="36">
        <f>IFERROR(INDEX(Katalog!$F$3:$F$12,MATCH(Data[[#This Row],[ItemID B]],Katalog!$C$3:$C$12,0))*Data[[#This Row],[Qty B]],"0")</f>
        <v>100000</v>
      </c>
      <c r="R603" t="str">
        <f>IFERROR(INDEX(Katalog!$A$3:$A$12,MATCH(Data[[#This Row],[ItemID C]],Katalog!$C$3:$C$12,0)),"-")</f>
        <v>-</v>
      </c>
      <c r="S603" t="str">
        <f>IFERROR(INDEX(Katalog!$B$3:$B$12,MATCH(Data[[#This Row],[ItemID C]],Katalog!$C$3:$C$12,0)),"-")</f>
        <v>-</v>
      </c>
      <c r="V603" s="36" t="str">
        <f>IFERROR(INDEX(Katalog!$D$3:$D$12,MATCH(Data[[#This Row],[ItemID C]],Katalog!$C$3:$C$12,0))*Data[[#This Row],[Qty C]],"0")</f>
        <v>0</v>
      </c>
      <c r="W603" s="36" t="str">
        <f>IFERROR(INDEX(Katalog!$F$3:$F$12,MATCH(Data[[#This Row],[ItemID C]],Katalog!$C$3:$C$12,0))*Data[[#This Row],[Qty C]],"0")</f>
        <v>0</v>
      </c>
      <c r="X603" s="21">
        <f>Data[[#This Row],[Qty A]]+Data[[#This Row],[Qty B]]+Data[[#This Row],[Qty C]]</f>
        <v>6</v>
      </c>
      <c r="Y603" s="22">
        <f>Data[[#This Row],[Harga Barang A]]+Data[[#This Row],[Harga Barang B]]+Data[[#This Row],[Harga Barang C]]</f>
        <v>2250000</v>
      </c>
      <c r="Z603" s="35">
        <f>IFERROR(Data[[#This Row],[Total Harga]]-(Data[[#This Row],[Total Harga]]*Data[[#This Row],[Diskon]]),Data[[#This Row],[Total Harga]])</f>
        <v>2250000</v>
      </c>
      <c r="AA603" s="35">
        <f>(Data[[#This Row],[Profit A]]+Data[[#This Row],[Profit B]]+Data[[#This Row],[Profit C]])</f>
        <v>850000</v>
      </c>
      <c r="AB603" s="35">
        <f>IFERROR((Data[[#This Row],[Profit non Diskon]]-(Data[[#This Row],[Profit non Diskon]]*Data[[#This Row],[Diskon]])),Data[[#This Row],[Profit non Diskon]])</f>
        <v>850000</v>
      </c>
      <c r="AC603" s="23" t="s">
        <v>11</v>
      </c>
      <c r="AD603" s="37" t="str">
        <f>IFERROR(INDEX('Kode Diskon'!$D$3:$D$9,MATCH(Data[[#This Row],[Kode diskon]],'Kode Diskon'!$C$3:$C$9,0)),"-")</f>
        <v>-</v>
      </c>
      <c r="AE603" s="23" t="s">
        <v>11</v>
      </c>
      <c r="AF603" s="23" t="s">
        <v>7</v>
      </c>
      <c r="AG603" s="23" t="s">
        <v>77</v>
      </c>
      <c r="AH603" s="24">
        <v>45029</v>
      </c>
      <c r="AI603" s="23" t="str">
        <f>TEXT(Data[[#This Row],[Tanggal terjual]],"dddd")</f>
        <v>Thursday</v>
      </c>
      <c r="AJ603" s="21" t="str">
        <f>TEXT(Data[[#This Row],[Tanggal terjual]],"wwww")</f>
        <v>wwww</v>
      </c>
    </row>
    <row r="604" spans="1:36" x14ac:dyDescent="0.2">
      <c r="A604" s="20">
        <v>603</v>
      </c>
      <c r="B604" s="21" t="str">
        <f>_xlfn.CONCAT("ORD-",INDEX(Helper!$B$2:$B$5,MATCH(Data[[#This Row],[Marketplace]],Helper!$A$2:$A$5,0)),TEXT(Data[[#This Row],[No]],"0000"),"-",TEXT(Data[[#This Row],[Tanggal terjual]],"dd/mm/yy"))</f>
        <v>ORD-BB0603-02/04/23</v>
      </c>
      <c r="C604" t="s">
        <v>61</v>
      </c>
      <c r="D604" t="str">
        <f>IFERROR(INDEX(Katalog!$A$3:$A$12,MATCH(Data[[#This Row],[ItemID A]],Katalog!$C$3:$C$12,0)),"-")</f>
        <v>Pakaian Pria</v>
      </c>
      <c r="E604" t="str">
        <f>IFERROR(INDEX(Katalog!$B$3:$B$12,MATCH(Data[[#This Row],[ItemID A]],Katalog!$C$3:$C$12,0)),"-")</f>
        <v>Kaos Polo</v>
      </c>
      <c r="F604">
        <v>4</v>
      </c>
      <c r="G604">
        <v>2</v>
      </c>
      <c r="H604" s="36">
        <f>IFERROR(INDEX(Katalog!$D$3:$D$12,MATCH(Data[[#This Row],[ItemID A]],Katalog!$C$3:$C$12,0))*Data[[#This Row],[Qty A]],"0")</f>
        <v>800000</v>
      </c>
      <c r="I604" s="36">
        <f>IFERROR(INDEX(Katalog!$F$3:$F$12,MATCH(Data[[#This Row],[ItemID A]],Katalog!$C$3:$C$12,0))*Data[[#This Row],[Qty A]],0)</f>
        <v>320000</v>
      </c>
      <c r="J604" t="s">
        <v>66</v>
      </c>
      <c r="K604" t="str">
        <f>IFERROR(INDEX(Katalog!$A$3:$A$12,MATCH(Data[[#This Row],[ItemID B]],Katalog!$C$3:$C$12,0)),"-")</f>
        <v>Sepatu Pria</v>
      </c>
      <c r="L604" t="str">
        <f>IFERROR(INDEX(Katalog!$B$3:$B$12,MATCH(Data[[#This Row],[ItemID B]],Katalog!$C$3:$C$12,0)),"-")</f>
        <v>Sandal Slip On</v>
      </c>
      <c r="M604">
        <v>1</v>
      </c>
      <c r="N604">
        <v>1</v>
      </c>
      <c r="O604" s="36">
        <f>IFERROR(INDEX(Katalog!$D$3:$D$12,MATCH(Data[[#This Row],[ItemID B]],Katalog!$C$3:$C$12,0))*Data[[#This Row],[Qty B]],"0")</f>
        <v>150000</v>
      </c>
      <c r="P604" s="36">
        <f>IFERROR(INDEX(Katalog!$F$3:$F$12,MATCH(Data[[#This Row],[ItemID B]],Katalog!$C$3:$C$12,0))*Data[[#This Row],[Qty B]],"0")</f>
        <v>60000</v>
      </c>
      <c r="Q604" t="s">
        <v>67</v>
      </c>
      <c r="R604" t="str">
        <f>IFERROR(INDEX(Katalog!$A$3:$A$12,MATCH(Data[[#This Row],[ItemID C]],Katalog!$C$3:$C$12,0)),"-")</f>
        <v>Sepatu Wanita</v>
      </c>
      <c r="S604" t="str">
        <f>IFERROR(INDEX(Katalog!$B$3:$B$12,MATCH(Data[[#This Row],[ItemID C]],Katalog!$C$3:$C$12,0)),"-")</f>
        <v>Flat Shoes</v>
      </c>
      <c r="T604">
        <v>2</v>
      </c>
      <c r="U604">
        <v>2</v>
      </c>
      <c r="V604" s="36">
        <f>IFERROR(INDEX(Katalog!$D$3:$D$12,MATCH(Data[[#This Row],[ItemID C]],Katalog!$C$3:$C$12,0))*Data[[#This Row],[Qty C]],"0")</f>
        <v>500000</v>
      </c>
      <c r="W604" s="36">
        <f>IFERROR(INDEX(Katalog!$F$3:$F$12,MATCH(Data[[#This Row],[ItemID C]],Katalog!$C$3:$C$12,0))*Data[[#This Row],[Qty C]],"0")</f>
        <v>200000</v>
      </c>
      <c r="X604" s="21">
        <f>Data[[#This Row],[Qty A]]+Data[[#This Row],[Qty B]]+Data[[#This Row],[Qty C]]</f>
        <v>7</v>
      </c>
      <c r="Y604" s="22">
        <f>Data[[#This Row],[Harga Barang A]]+Data[[#This Row],[Harga Barang B]]+Data[[#This Row],[Harga Barang C]]</f>
        <v>1450000</v>
      </c>
      <c r="Z604" s="35">
        <f>IFERROR(Data[[#This Row],[Total Harga]]-(Data[[#This Row],[Total Harga]]*Data[[#This Row],[Diskon]]),Data[[#This Row],[Total Harga]])</f>
        <v>1232500</v>
      </c>
      <c r="AA604" s="35">
        <f>(Data[[#This Row],[Profit A]]+Data[[#This Row],[Profit B]]+Data[[#This Row],[Profit C]])</f>
        <v>580000</v>
      </c>
      <c r="AB604" s="35">
        <f>IFERROR((Data[[#This Row],[Profit non Diskon]]-(Data[[#This Row],[Profit non Diskon]]*Data[[#This Row],[Diskon]])),Data[[#This Row],[Profit non Diskon]])</f>
        <v>493000</v>
      </c>
      <c r="AC604" s="23" t="s">
        <v>28</v>
      </c>
      <c r="AD604" s="37">
        <f>IFERROR(INDEX('Kode Diskon'!$D$3:$D$9,MATCH(Data[[#This Row],[Kode diskon]],'Kode Diskon'!$C$3:$C$9,0)),"-")</f>
        <v>0.15</v>
      </c>
      <c r="AE604" s="23" t="s">
        <v>29</v>
      </c>
      <c r="AF604" s="23" t="s">
        <v>14</v>
      </c>
      <c r="AG604" s="23" t="s">
        <v>75</v>
      </c>
      <c r="AH604" s="24">
        <v>45018</v>
      </c>
      <c r="AI604" s="23" t="str">
        <f>TEXT(Data[[#This Row],[Tanggal terjual]],"dddd")</f>
        <v>Sunday</v>
      </c>
      <c r="AJ604" s="21" t="str">
        <f>TEXT(Data[[#This Row],[Tanggal terjual]],"wwww")</f>
        <v>wwww</v>
      </c>
    </row>
    <row r="605" spans="1:36" x14ac:dyDescent="0.2">
      <c r="A605" s="20">
        <v>604</v>
      </c>
      <c r="B605" s="21" t="str">
        <f>_xlfn.CONCAT("ORD-",INDEX(Helper!$B$2:$B$5,MATCH(Data[[#This Row],[Marketplace]],Helper!$A$2:$A$5,0)),TEXT(Data[[#This Row],[No]],"0000"),"-",TEXT(Data[[#This Row],[Tanggal terjual]],"dd/mm/yy"))</f>
        <v>ORD-TK0604-08/04/23</v>
      </c>
      <c r="C605" t="s">
        <v>58</v>
      </c>
      <c r="D605" t="str">
        <f>IFERROR(INDEX(Katalog!$A$3:$A$12,MATCH(Data[[#This Row],[ItemID A]],Katalog!$C$3:$C$12,0)),"-")</f>
        <v>Pakaian Wanita</v>
      </c>
      <c r="E605" t="str">
        <f>IFERROR(INDEX(Katalog!$B$3:$B$12,MATCH(Data[[#This Row],[ItemID A]],Katalog!$C$3:$C$12,0)),"-")</f>
        <v>Dress</v>
      </c>
      <c r="F605">
        <v>3</v>
      </c>
      <c r="G605">
        <v>2</v>
      </c>
      <c r="H605" s="36">
        <f>IFERROR(INDEX(Katalog!$D$3:$D$12,MATCH(Data[[#This Row],[ItemID A]],Katalog!$C$3:$C$12,0))*Data[[#This Row],[Qty A]],"0")</f>
        <v>900000</v>
      </c>
      <c r="I605" s="36">
        <f>IFERROR(INDEX(Katalog!$F$3:$F$12,MATCH(Data[[#This Row],[ItemID A]],Katalog!$C$3:$C$12,0))*Data[[#This Row],[Qty A]],0)</f>
        <v>300000</v>
      </c>
      <c r="J605" t="s">
        <v>60</v>
      </c>
      <c r="K605" t="str">
        <f>IFERROR(INDEX(Katalog!$A$3:$A$12,MATCH(Data[[#This Row],[ItemID B]],Katalog!$C$3:$C$12,0)),"-")</f>
        <v>Pakaian Wanita</v>
      </c>
      <c r="L605" t="str">
        <f>IFERROR(INDEX(Katalog!$B$3:$B$12,MATCH(Data[[#This Row],[ItemID B]],Katalog!$C$3:$C$12,0)),"-")</f>
        <v>Kaftan</v>
      </c>
      <c r="M605">
        <v>1</v>
      </c>
      <c r="N605">
        <v>1</v>
      </c>
      <c r="O605" s="36">
        <f>IFERROR(INDEX(Katalog!$D$3:$D$12,MATCH(Data[[#This Row],[ItemID B]],Katalog!$C$3:$C$12,0))*Data[[#This Row],[Qty B]],"0")</f>
        <v>250000</v>
      </c>
      <c r="P605" s="36">
        <f>IFERROR(INDEX(Katalog!$F$3:$F$12,MATCH(Data[[#This Row],[ItemID B]],Katalog!$C$3:$C$12,0))*Data[[#This Row],[Qty B]],"0")</f>
        <v>100000</v>
      </c>
      <c r="R605" t="str">
        <f>IFERROR(INDEX(Katalog!$A$3:$A$12,MATCH(Data[[#This Row],[ItemID C]],Katalog!$C$3:$C$12,0)),"-")</f>
        <v>-</v>
      </c>
      <c r="S605" t="str">
        <f>IFERROR(INDEX(Katalog!$B$3:$B$12,MATCH(Data[[#This Row],[ItemID C]],Katalog!$C$3:$C$12,0)),"-")</f>
        <v>-</v>
      </c>
      <c r="V605" s="36" t="str">
        <f>IFERROR(INDEX(Katalog!$D$3:$D$12,MATCH(Data[[#This Row],[ItemID C]],Katalog!$C$3:$C$12,0))*Data[[#This Row],[Qty C]],"0")</f>
        <v>0</v>
      </c>
      <c r="W605" s="36" t="str">
        <f>IFERROR(INDEX(Katalog!$F$3:$F$12,MATCH(Data[[#This Row],[ItemID C]],Katalog!$C$3:$C$12,0))*Data[[#This Row],[Qty C]],"0")</f>
        <v>0</v>
      </c>
      <c r="X605" s="21">
        <f>Data[[#This Row],[Qty A]]+Data[[#This Row],[Qty B]]+Data[[#This Row],[Qty C]]</f>
        <v>4</v>
      </c>
      <c r="Y605" s="22">
        <f>Data[[#This Row],[Harga Barang A]]+Data[[#This Row],[Harga Barang B]]+Data[[#This Row],[Harga Barang C]]</f>
        <v>1150000</v>
      </c>
      <c r="Z605" s="35">
        <f>IFERROR(Data[[#This Row],[Total Harga]]-(Data[[#This Row],[Total Harga]]*Data[[#This Row],[Diskon]]),Data[[#This Row],[Total Harga]])</f>
        <v>1150000</v>
      </c>
      <c r="AA605" s="35">
        <f>(Data[[#This Row],[Profit A]]+Data[[#This Row],[Profit B]]+Data[[#This Row],[Profit C]])</f>
        <v>400000</v>
      </c>
      <c r="AB605" s="35">
        <f>IFERROR((Data[[#This Row],[Profit non Diskon]]-(Data[[#This Row],[Profit non Diskon]]*Data[[#This Row],[Diskon]])),Data[[#This Row],[Profit non Diskon]])</f>
        <v>400000</v>
      </c>
      <c r="AC605" s="23" t="s">
        <v>11</v>
      </c>
      <c r="AD605" s="37" t="str">
        <f>IFERROR(INDEX('Kode Diskon'!$D$3:$D$9,MATCH(Data[[#This Row],[Kode diskon]],'Kode Diskon'!$C$3:$C$9,0)),"-")</f>
        <v>-</v>
      </c>
      <c r="AE605" s="23" t="s">
        <v>11</v>
      </c>
      <c r="AF605" s="23" t="s">
        <v>10</v>
      </c>
      <c r="AG605" s="23" t="s">
        <v>76</v>
      </c>
      <c r="AH605" s="24">
        <v>45024</v>
      </c>
      <c r="AI605" s="23" t="str">
        <f>TEXT(Data[[#This Row],[Tanggal terjual]],"dddd")</f>
        <v>Saturday</v>
      </c>
      <c r="AJ605" s="21" t="str">
        <f>TEXT(Data[[#This Row],[Tanggal terjual]],"wwww")</f>
        <v>wwww</v>
      </c>
    </row>
    <row r="606" spans="1:36" x14ac:dyDescent="0.2">
      <c r="A606" s="20">
        <v>605</v>
      </c>
      <c r="B606" s="21" t="str">
        <f>_xlfn.CONCAT("ORD-",INDEX(Helper!$B$2:$B$5,MATCH(Data[[#This Row],[Marketplace]],Helper!$A$2:$A$5,0)),TEXT(Data[[#This Row],[No]],"0000"),"-",TEXT(Data[[#This Row],[Tanggal terjual]],"dd/mm/yy"))</f>
        <v>ORD-BL0605-17/04/23</v>
      </c>
      <c r="C606" t="s">
        <v>59</v>
      </c>
      <c r="D606" t="str">
        <f>IFERROR(INDEX(Katalog!$A$3:$A$12,MATCH(Data[[#This Row],[ItemID A]],Katalog!$C$3:$C$12,0)),"-")</f>
        <v>Pakaian Wanita</v>
      </c>
      <c r="E606" t="str">
        <f>IFERROR(INDEX(Katalog!$B$3:$B$12,MATCH(Data[[#This Row],[ItemID A]],Katalog!$C$3:$C$12,0)),"-")</f>
        <v>Blouse</v>
      </c>
      <c r="F606">
        <v>7</v>
      </c>
      <c r="G606">
        <v>3</v>
      </c>
      <c r="H606" s="36">
        <f>IFERROR(INDEX(Katalog!$D$3:$D$12,MATCH(Data[[#This Row],[ItemID A]],Katalog!$C$3:$C$12,0))*Data[[#This Row],[Qty A]],"0")</f>
        <v>1050000</v>
      </c>
      <c r="I606" s="36">
        <f>IFERROR(INDEX(Katalog!$F$3:$F$12,MATCH(Data[[#This Row],[ItemID A]],Katalog!$C$3:$C$12,0))*Data[[#This Row],[Qty A]],0)</f>
        <v>350000</v>
      </c>
      <c r="K606" t="str">
        <f>IFERROR(INDEX(Katalog!$A$3:$A$12,MATCH(Data[[#This Row],[ItemID B]],Katalog!$C$3:$C$12,0)),"-")</f>
        <v>-</v>
      </c>
      <c r="L606" t="str">
        <f>IFERROR(INDEX(Katalog!$B$3:$B$12,MATCH(Data[[#This Row],[ItemID B]],Katalog!$C$3:$C$12,0)),"-")</f>
        <v>-</v>
      </c>
      <c r="O606" s="36" t="str">
        <f>IFERROR(INDEX(Katalog!$D$3:$D$12,MATCH(Data[[#This Row],[ItemID B]],Katalog!$C$3:$C$12,0))*Data[[#This Row],[Qty B]],"0")</f>
        <v>0</v>
      </c>
      <c r="P606" s="36" t="str">
        <f>IFERROR(INDEX(Katalog!$F$3:$F$12,MATCH(Data[[#This Row],[ItemID B]],Katalog!$C$3:$C$12,0))*Data[[#This Row],[Qty B]],"0")</f>
        <v>0</v>
      </c>
      <c r="R606" t="str">
        <f>IFERROR(INDEX(Katalog!$A$3:$A$12,MATCH(Data[[#This Row],[ItemID C]],Katalog!$C$3:$C$12,0)),"-")</f>
        <v>-</v>
      </c>
      <c r="S606" t="str">
        <f>IFERROR(INDEX(Katalog!$B$3:$B$12,MATCH(Data[[#This Row],[ItemID C]],Katalog!$C$3:$C$12,0)),"-")</f>
        <v>-</v>
      </c>
      <c r="V606" s="36" t="str">
        <f>IFERROR(INDEX(Katalog!$D$3:$D$12,MATCH(Data[[#This Row],[ItemID C]],Katalog!$C$3:$C$12,0))*Data[[#This Row],[Qty C]],"0")</f>
        <v>0</v>
      </c>
      <c r="W606" s="36" t="str">
        <f>IFERROR(INDEX(Katalog!$F$3:$F$12,MATCH(Data[[#This Row],[ItemID C]],Katalog!$C$3:$C$12,0))*Data[[#This Row],[Qty C]],"0")</f>
        <v>0</v>
      </c>
      <c r="X606" s="21">
        <f>Data[[#This Row],[Qty A]]+Data[[#This Row],[Qty B]]+Data[[#This Row],[Qty C]]</f>
        <v>7</v>
      </c>
      <c r="Y606" s="22">
        <f>Data[[#This Row],[Harga Barang A]]+Data[[#This Row],[Harga Barang B]]+Data[[#This Row],[Harga Barang C]]</f>
        <v>1050000</v>
      </c>
      <c r="Z606" s="35">
        <f>IFERROR(Data[[#This Row],[Total Harga]]-(Data[[#This Row],[Total Harga]]*Data[[#This Row],[Diskon]]),Data[[#This Row],[Total Harga]])</f>
        <v>892500</v>
      </c>
      <c r="AA606" s="35">
        <f>(Data[[#This Row],[Profit A]]+Data[[#This Row],[Profit B]]+Data[[#This Row],[Profit C]])</f>
        <v>350000</v>
      </c>
      <c r="AB606" s="35">
        <f>IFERROR((Data[[#This Row],[Profit non Diskon]]-(Data[[#This Row],[Profit non Diskon]]*Data[[#This Row],[Diskon]])),Data[[#This Row],[Profit non Diskon]])</f>
        <v>297500</v>
      </c>
      <c r="AC606" s="23" t="s">
        <v>32</v>
      </c>
      <c r="AD606" s="37">
        <f>IFERROR(INDEX('Kode Diskon'!$D$3:$D$9,MATCH(Data[[#This Row],[Kode diskon]],'Kode Diskon'!$C$3:$C$9,0)),"-")</f>
        <v>0.15</v>
      </c>
      <c r="AE606" s="23" t="s">
        <v>9</v>
      </c>
      <c r="AF606" s="23" t="s">
        <v>12</v>
      </c>
      <c r="AG606" s="23" t="s">
        <v>79</v>
      </c>
      <c r="AH606" s="24">
        <v>45033</v>
      </c>
      <c r="AI606" s="23" t="str">
        <f>TEXT(Data[[#This Row],[Tanggal terjual]],"dddd")</f>
        <v>Monday</v>
      </c>
      <c r="AJ606" s="21" t="str">
        <f>TEXT(Data[[#This Row],[Tanggal terjual]],"wwww")</f>
        <v>wwww</v>
      </c>
    </row>
    <row r="607" spans="1:36" x14ac:dyDescent="0.2">
      <c r="A607" s="20">
        <v>606</v>
      </c>
      <c r="B607" s="21" t="str">
        <f>_xlfn.CONCAT("ORD-",INDEX(Helper!$B$2:$B$5,MATCH(Data[[#This Row],[Marketplace]],Helper!$A$2:$A$5,0)),TEXT(Data[[#This Row],[No]],"0000"),"-",TEXT(Data[[#This Row],[Tanggal terjual]],"dd/mm/yy"))</f>
        <v>ORD-BL0606-11/04/23</v>
      </c>
      <c r="C607" t="s">
        <v>66</v>
      </c>
      <c r="D607" t="str">
        <f>IFERROR(INDEX(Katalog!$A$3:$A$12,MATCH(Data[[#This Row],[ItemID A]],Katalog!$C$3:$C$12,0)),"-")</f>
        <v>Sepatu Pria</v>
      </c>
      <c r="E607" t="str">
        <f>IFERROR(INDEX(Katalog!$B$3:$B$12,MATCH(Data[[#This Row],[ItemID A]],Katalog!$C$3:$C$12,0)),"-")</f>
        <v>Sandal Slip On</v>
      </c>
      <c r="F607">
        <v>4</v>
      </c>
      <c r="G607">
        <v>5</v>
      </c>
      <c r="H607" s="36">
        <f>IFERROR(INDEX(Katalog!$D$3:$D$12,MATCH(Data[[#This Row],[ItemID A]],Katalog!$C$3:$C$12,0))*Data[[#This Row],[Qty A]],"0")</f>
        <v>600000</v>
      </c>
      <c r="I607" s="36">
        <f>IFERROR(INDEX(Katalog!$F$3:$F$12,MATCH(Data[[#This Row],[ItemID A]],Katalog!$C$3:$C$12,0))*Data[[#This Row],[Qty A]],0)</f>
        <v>240000</v>
      </c>
      <c r="J607" t="s">
        <v>62</v>
      </c>
      <c r="K607" t="str">
        <f>IFERROR(INDEX(Katalog!$A$3:$A$12,MATCH(Data[[#This Row],[ItemID B]],Katalog!$C$3:$C$12,0)),"-")</f>
        <v>Pakaian Pria</v>
      </c>
      <c r="L607" t="str">
        <f>IFERROR(INDEX(Katalog!$B$3:$B$12,MATCH(Data[[#This Row],[ItemID B]],Katalog!$C$3:$C$12,0)),"-")</f>
        <v>Celana Pendek</v>
      </c>
      <c r="M607">
        <v>3</v>
      </c>
      <c r="N607">
        <v>1</v>
      </c>
      <c r="O607" s="36">
        <f>IFERROR(INDEX(Katalog!$D$3:$D$12,MATCH(Data[[#This Row],[ItemID B]],Katalog!$C$3:$C$12,0))*Data[[#This Row],[Qty B]],"0")</f>
        <v>540000</v>
      </c>
      <c r="P607" s="36">
        <f>IFERROR(INDEX(Katalog!$F$3:$F$12,MATCH(Data[[#This Row],[ItemID B]],Katalog!$C$3:$C$12,0))*Data[[#This Row],[Qty B]],"0")</f>
        <v>210000</v>
      </c>
      <c r="R607" t="str">
        <f>IFERROR(INDEX(Katalog!$A$3:$A$12,MATCH(Data[[#This Row],[ItemID C]],Katalog!$C$3:$C$12,0)),"-")</f>
        <v>-</v>
      </c>
      <c r="S607" t="str">
        <f>IFERROR(INDEX(Katalog!$B$3:$B$12,MATCH(Data[[#This Row],[ItemID C]],Katalog!$C$3:$C$12,0)),"-")</f>
        <v>-</v>
      </c>
      <c r="V607" s="36" t="str">
        <f>IFERROR(INDEX(Katalog!$D$3:$D$12,MATCH(Data[[#This Row],[ItemID C]],Katalog!$C$3:$C$12,0))*Data[[#This Row],[Qty C]],"0")</f>
        <v>0</v>
      </c>
      <c r="W607" s="36" t="str">
        <f>IFERROR(INDEX(Katalog!$F$3:$F$12,MATCH(Data[[#This Row],[ItemID C]],Katalog!$C$3:$C$12,0))*Data[[#This Row],[Qty C]],"0")</f>
        <v>0</v>
      </c>
      <c r="X607" s="21">
        <f>Data[[#This Row],[Qty A]]+Data[[#This Row],[Qty B]]+Data[[#This Row],[Qty C]]</f>
        <v>7</v>
      </c>
      <c r="Y607" s="22">
        <f>Data[[#This Row],[Harga Barang A]]+Data[[#This Row],[Harga Barang B]]+Data[[#This Row],[Harga Barang C]]</f>
        <v>1140000</v>
      </c>
      <c r="Z607" s="35">
        <f>IFERROR(Data[[#This Row],[Total Harga]]-(Data[[#This Row],[Total Harga]]*Data[[#This Row],[Diskon]]),Data[[#This Row],[Total Harga]])</f>
        <v>1140000</v>
      </c>
      <c r="AA607" s="35">
        <f>(Data[[#This Row],[Profit A]]+Data[[#This Row],[Profit B]]+Data[[#This Row],[Profit C]])</f>
        <v>450000</v>
      </c>
      <c r="AB607" s="35">
        <f>IFERROR((Data[[#This Row],[Profit non Diskon]]-(Data[[#This Row],[Profit non Diskon]]*Data[[#This Row],[Diskon]])),Data[[#This Row],[Profit non Diskon]])</f>
        <v>450000</v>
      </c>
      <c r="AC607" s="23" t="s">
        <v>11</v>
      </c>
      <c r="AD607" s="37" t="str">
        <f>IFERROR(INDEX('Kode Diskon'!$D$3:$D$9,MATCH(Data[[#This Row],[Kode diskon]],'Kode Diskon'!$C$3:$C$9,0)),"-")</f>
        <v>-</v>
      </c>
      <c r="AE607" s="23" t="s">
        <v>11</v>
      </c>
      <c r="AF607" s="23" t="s">
        <v>12</v>
      </c>
      <c r="AG607" s="23" t="s">
        <v>77</v>
      </c>
      <c r="AH607" s="24">
        <v>45027</v>
      </c>
      <c r="AI607" s="23" t="str">
        <f>TEXT(Data[[#This Row],[Tanggal terjual]],"dddd")</f>
        <v>Tuesday</v>
      </c>
      <c r="AJ607" s="21" t="str">
        <f>TEXT(Data[[#This Row],[Tanggal terjual]],"wwww")</f>
        <v>wwww</v>
      </c>
    </row>
    <row r="608" spans="1:36" x14ac:dyDescent="0.2">
      <c r="A608" s="20">
        <v>607</v>
      </c>
      <c r="B608" s="21" t="str">
        <f>_xlfn.CONCAT("ORD-",INDEX(Helper!$B$2:$B$5,MATCH(Data[[#This Row],[Marketplace]],Helper!$A$2:$A$5,0)),TEXT(Data[[#This Row],[No]],"0000"),"-",TEXT(Data[[#This Row],[Tanggal terjual]],"dd/mm/yy"))</f>
        <v>ORD-SP0607-02/04/23</v>
      </c>
      <c r="C608" t="s">
        <v>67</v>
      </c>
      <c r="D608" t="str">
        <f>IFERROR(INDEX(Katalog!$A$3:$A$12,MATCH(Data[[#This Row],[ItemID A]],Katalog!$C$3:$C$12,0)),"-")</f>
        <v>Sepatu Wanita</v>
      </c>
      <c r="E608" t="str">
        <f>IFERROR(INDEX(Katalog!$B$3:$B$12,MATCH(Data[[#This Row],[ItemID A]],Katalog!$C$3:$C$12,0)),"-")</f>
        <v>Flat Shoes</v>
      </c>
      <c r="F608">
        <v>3</v>
      </c>
      <c r="G608">
        <v>3</v>
      </c>
      <c r="H608" s="36">
        <f>IFERROR(INDEX(Katalog!$D$3:$D$12,MATCH(Data[[#This Row],[ItemID A]],Katalog!$C$3:$C$12,0))*Data[[#This Row],[Qty A]],"0")</f>
        <v>750000</v>
      </c>
      <c r="I608" s="36">
        <f>IFERROR(INDEX(Katalog!$F$3:$F$12,MATCH(Data[[#This Row],[ItemID A]],Katalog!$C$3:$C$12,0))*Data[[#This Row],[Qty A]],0)</f>
        <v>300000</v>
      </c>
      <c r="J608" t="s">
        <v>66</v>
      </c>
      <c r="K608" t="str">
        <f>IFERROR(INDEX(Katalog!$A$3:$A$12,MATCH(Data[[#This Row],[ItemID B]],Katalog!$C$3:$C$12,0)),"-")</f>
        <v>Sepatu Pria</v>
      </c>
      <c r="L608" t="str">
        <f>IFERROR(INDEX(Katalog!$B$3:$B$12,MATCH(Data[[#This Row],[ItemID B]],Katalog!$C$3:$C$12,0)),"-")</f>
        <v>Sandal Slip On</v>
      </c>
      <c r="M608">
        <v>1</v>
      </c>
      <c r="N608">
        <v>3</v>
      </c>
      <c r="O608" s="36">
        <f>IFERROR(INDEX(Katalog!$D$3:$D$12,MATCH(Data[[#This Row],[ItemID B]],Katalog!$C$3:$C$12,0))*Data[[#This Row],[Qty B]],"0")</f>
        <v>150000</v>
      </c>
      <c r="P608" s="36">
        <f>IFERROR(INDEX(Katalog!$F$3:$F$12,MATCH(Data[[#This Row],[ItemID B]],Katalog!$C$3:$C$12,0))*Data[[#This Row],[Qty B]],"0")</f>
        <v>60000</v>
      </c>
      <c r="R608" t="str">
        <f>IFERROR(INDEX(Katalog!$A$3:$A$12,MATCH(Data[[#This Row],[ItemID C]],Katalog!$C$3:$C$12,0)),"-")</f>
        <v>-</v>
      </c>
      <c r="S608" t="str">
        <f>IFERROR(INDEX(Katalog!$B$3:$B$12,MATCH(Data[[#This Row],[ItemID C]],Katalog!$C$3:$C$12,0)),"-")</f>
        <v>-</v>
      </c>
      <c r="V608" s="36" t="str">
        <f>IFERROR(INDEX(Katalog!$D$3:$D$12,MATCH(Data[[#This Row],[ItemID C]],Katalog!$C$3:$C$12,0))*Data[[#This Row],[Qty C]],"0")</f>
        <v>0</v>
      </c>
      <c r="W608" s="36" t="str">
        <f>IFERROR(INDEX(Katalog!$F$3:$F$12,MATCH(Data[[#This Row],[ItemID C]],Katalog!$C$3:$C$12,0))*Data[[#This Row],[Qty C]],"0")</f>
        <v>0</v>
      </c>
      <c r="X608" s="21">
        <f>Data[[#This Row],[Qty A]]+Data[[#This Row],[Qty B]]+Data[[#This Row],[Qty C]]</f>
        <v>4</v>
      </c>
      <c r="Y608" s="22">
        <f>Data[[#This Row],[Harga Barang A]]+Data[[#This Row],[Harga Barang B]]+Data[[#This Row],[Harga Barang C]]</f>
        <v>900000</v>
      </c>
      <c r="Z608" s="35">
        <f>IFERROR(Data[[#This Row],[Total Harga]]-(Data[[#This Row],[Total Harga]]*Data[[#This Row],[Diskon]]),Data[[#This Row],[Total Harga]])</f>
        <v>810000</v>
      </c>
      <c r="AA608" s="35">
        <f>(Data[[#This Row],[Profit A]]+Data[[#This Row],[Profit B]]+Data[[#This Row],[Profit C]])</f>
        <v>360000</v>
      </c>
      <c r="AB608" s="35">
        <f>IFERROR((Data[[#This Row],[Profit non Diskon]]-(Data[[#This Row],[Profit non Diskon]]*Data[[#This Row],[Diskon]])),Data[[#This Row],[Profit non Diskon]])</f>
        <v>324000</v>
      </c>
      <c r="AC608" s="23" t="s">
        <v>6</v>
      </c>
      <c r="AD608" s="37">
        <f>IFERROR(INDEX('Kode Diskon'!$D$3:$D$9,MATCH(Data[[#This Row],[Kode diskon]],'Kode Diskon'!$C$3:$C$9,0)),"-")</f>
        <v>0.1</v>
      </c>
      <c r="AE608" s="23" t="s">
        <v>29</v>
      </c>
      <c r="AF608" s="23" t="s">
        <v>7</v>
      </c>
      <c r="AG608" s="23" t="s">
        <v>80</v>
      </c>
      <c r="AH608" s="24">
        <v>45018</v>
      </c>
      <c r="AI608" s="23" t="str">
        <f>TEXT(Data[[#This Row],[Tanggal terjual]],"dddd")</f>
        <v>Sunday</v>
      </c>
      <c r="AJ608" s="21" t="str">
        <f>TEXT(Data[[#This Row],[Tanggal terjual]],"wwww")</f>
        <v>wwww</v>
      </c>
    </row>
    <row r="609" spans="1:36" x14ac:dyDescent="0.2">
      <c r="A609" s="20">
        <v>608</v>
      </c>
      <c r="B609" s="21" t="str">
        <f>_xlfn.CONCAT("ORD-",INDEX(Helper!$B$2:$B$5,MATCH(Data[[#This Row],[Marketplace]],Helper!$A$2:$A$5,0)),TEXT(Data[[#This Row],[No]],"0000"),"-",TEXT(Data[[#This Row],[Tanggal terjual]],"dd/mm/yy"))</f>
        <v>ORD-BL0608-29/04/23</v>
      </c>
      <c r="C609" t="s">
        <v>62</v>
      </c>
      <c r="D609" t="str">
        <f>IFERROR(INDEX(Katalog!$A$3:$A$12,MATCH(Data[[#This Row],[ItemID A]],Katalog!$C$3:$C$12,0)),"-")</f>
        <v>Pakaian Pria</v>
      </c>
      <c r="E609" t="str">
        <f>IFERROR(INDEX(Katalog!$B$3:$B$12,MATCH(Data[[#This Row],[ItemID A]],Katalog!$C$3:$C$12,0)),"-")</f>
        <v>Celana Pendek</v>
      </c>
      <c r="F609">
        <v>1</v>
      </c>
      <c r="G609">
        <v>5</v>
      </c>
      <c r="H609" s="36">
        <f>IFERROR(INDEX(Katalog!$D$3:$D$12,MATCH(Data[[#This Row],[ItemID A]],Katalog!$C$3:$C$12,0))*Data[[#This Row],[Qty A]],"0")</f>
        <v>180000</v>
      </c>
      <c r="I609" s="36">
        <f>IFERROR(INDEX(Katalog!$F$3:$F$12,MATCH(Data[[#This Row],[ItemID A]],Katalog!$C$3:$C$12,0))*Data[[#This Row],[Qty A]],0)</f>
        <v>70000</v>
      </c>
      <c r="J609" t="s">
        <v>61</v>
      </c>
      <c r="K609" t="str">
        <f>IFERROR(INDEX(Katalog!$A$3:$A$12,MATCH(Data[[#This Row],[ItemID B]],Katalog!$C$3:$C$12,0)),"-")</f>
        <v>Pakaian Pria</v>
      </c>
      <c r="L609" t="str">
        <f>IFERROR(INDEX(Katalog!$B$3:$B$12,MATCH(Data[[#This Row],[ItemID B]],Katalog!$C$3:$C$12,0)),"-")</f>
        <v>Kaos Polo</v>
      </c>
      <c r="M609">
        <v>1</v>
      </c>
      <c r="N609">
        <v>2</v>
      </c>
      <c r="O609" s="36">
        <f>IFERROR(INDEX(Katalog!$D$3:$D$12,MATCH(Data[[#This Row],[ItemID B]],Katalog!$C$3:$C$12,0))*Data[[#This Row],[Qty B]],"0")</f>
        <v>200000</v>
      </c>
      <c r="P609" s="36">
        <f>IFERROR(INDEX(Katalog!$F$3:$F$12,MATCH(Data[[#This Row],[ItemID B]],Katalog!$C$3:$C$12,0))*Data[[#This Row],[Qty B]],"0")</f>
        <v>80000</v>
      </c>
      <c r="Q609" t="s">
        <v>62</v>
      </c>
      <c r="R609" t="str">
        <f>IFERROR(INDEX(Katalog!$A$3:$A$12,MATCH(Data[[#This Row],[ItemID C]],Katalog!$C$3:$C$12,0)),"-")</f>
        <v>Pakaian Pria</v>
      </c>
      <c r="S609" t="str">
        <f>IFERROR(INDEX(Katalog!$B$3:$B$12,MATCH(Data[[#This Row],[ItemID C]],Katalog!$C$3:$C$12,0)),"-")</f>
        <v>Celana Pendek</v>
      </c>
      <c r="T609">
        <v>1</v>
      </c>
      <c r="U609">
        <v>4</v>
      </c>
      <c r="V609" s="36">
        <f>IFERROR(INDEX(Katalog!$D$3:$D$12,MATCH(Data[[#This Row],[ItemID C]],Katalog!$C$3:$C$12,0))*Data[[#This Row],[Qty C]],"0")</f>
        <v>180000</v>
      </c>
      <c r="W609" s="36">
        <f>IFERROR(INDEX(Katalog!$F$3:$F$12,MATCH(Data[[#This Row],[ItemID C]],Katalog!$C$3:$C$12,0))*Data[[#This Row],[Qty C]],"0")</f>
        <v>70000</v>
      </c>
      <c r="X609" s="21">
        <f>Data[[#This Row],[Qty A]]+Data[[#This Row],[Qty B]]+Data[[#This Row],[Qty C]]</f>
        <v>3</v>
      </c>
      <c r="Y609" s="22">
        <f>Data[[#This Row],[Harga Barang A]]+Data[[#This Row],[Harga Barang B]]+Data[[#This Row],[Harga Barang C]]</f>
        <v>560000</v>
      </c>
      <c r="Z609" s="35">
        <f>IFERROR(Data[[#This Row],[Total Harga]]-(Data[[#This Row],[Total Harga]]*Data[[#This Row],[Diskon]]),Data[[#This Row],[Total Harga]])</f>
        <v>476000</v>
      </c>
      <c r="AA609" s="35">
        <f>(Data[[#This Row],[Profit A]]+Data[[#This Row],[Profit B]]+Data[[#This Row],[Profit C]])</f>
        <v>220000</v>
      </c>
      <c r="AB609" s="35">
        <f>IFERROR((Data[[#This Row],[Profit non Diskon]]-(Data[[#This Row],[Profit non Diskon]]*Data[[#This Row],[Diskon]])),Data[[#This Row],[Profit non Diskon]])</f>
        <v>187000</v>
      </c>
      <c r="AC609" s="23" t="s">
        <v>32</v>
      </c>
      <c r="AD609" s="37">
        <f>IFERROR(INDEX('Kode Diskon'!$D$3:$D$9,MATCH(Data[[#This Row],[Kode diskon]],'Kode Diskon'!$C$3:$C$9,0)),"-")</f>
        <v>0.15</v>
      </c>
      <c r="AE609" s="23" t="s">
        <v>9</v>
      </c>
      <c r="AF609" s="23" t="s">
        <v>12</v>
      </c>
      <c r="AG609" s="23" t="s">
        <v>79</v>
      </c>
      <c r="AH609" s="24">
        <v>45045</v>
      </c>
      <c r="AI609" s="23" t="str">
        <f>TEXT(Data[[#This Row],[Tanggal terjual]],"dddd")</f>
        <v>Saturday</v>
      </c>
      <c r="AJ609" s="21" t="str">
        <f>TEXT(Data[[#This Row],[Tanggal terjual]],"wwww")</f>
        <v>wwww</v>
      </c>
    </row>
    <row r="610" spans="1:36" x14ac:dyDescent="0.2">
      <c r="A610" s="20">
        <v>609</v>
      </c>
      <c r="B610" s="21" t="str">
        <f>_xlfn.CONCAT("ORD-",INDEX(Helper!$B$2:$B$5,MATCH(Data[[#This Row],[Marketplace]],Helper!$A$2:$A$5,0)),TEXT(Data[[#This Row],[No]],"0000"),"-",TEXT(Data[[#This Row],[Tanggal terjual]],"dd/mm/yy"))</f>
        <v>ORD-TK0609-01/04/23</v>
      </c>
      <c r="C610" t="s">
        <v>64</v>
      </c>
      <c r="D610" t="str">
        <f>IFERROR(INDEX(Katalog!$A$3:$A$12,MATCH(Data[[#This Row],[ItemID A]],Katalog!$C$3:$C$12,0)),"-")</f>
        <v>Pakaian Unisex</v>
      </c>
      <c r="E610" t="str">
        <f>IFERROR(INDEX(Katalog!$B$3:$B$12,MATCH(Data[[#This Row],[ItemID A]],Katalog!$C$3:$C$12,0)),"-")</f>
        <v>Jaket Hoodie</v>
      </c>
      <c r="F610">
        <v>3</v>
      </c>
      <c r="G610">
        <v>4</v>
      </c>
      <c r="H610" s="36">
        <f>IFERROR(INDEX(Katalog!$D$3:$D$12,MATCH(Data[[#This Row],[ItemID A]],Katalog!$C$3:$C$12,0))*Data[[#This Row],[Qty A]],"0")</f>
        <v>1050000</v>
      </c>
      <c r="I610" s="36">
        <f>IFERROR(INDEX(Katalog!$F$3:$F$12,MATCH(Data[[#This Row],[ItemID A]],Katalog!$C$3:$C$12,0))*Data[[#This Row],[Qty A]],0)</f>
        <v>390000</v>
      </c>
      <c r="J610" t="s">
        <v>63</v>
      </c>
      <c r="K610" t="str">
        <f>IFERROR(INDEX(Katalog!$A$3:$A$12,MATCH(Data[[#This Row],[ItemID B]],Katalog!$C$3:$C$12,0)),"-")</f>
        <v>Pakaian Pria</v>
      </c>
      <c r="L610" t="str">
        <f>IFERROR(INDEX(Katalog!$B$3:$B$12,MATCH(Data[[#This Row],[ItemID B]],Katalog!$C$3:$C$12,0)),"-")</f>
        <v>Jaket Jeans</v>
      </c>
      <c r="M610">
        <v>1</v>
      </c>
      <c r="N610">
        <v>5</v>
      </c>
      <c r="O610" s="36">
        <f>IFERROR(INDEX(Katalog!$D$3:$D$12,MATCH(Data[[#This Row],[ItemID B]],Katalog!$C$3:$C$12,0))*Data[[#This Row],[Qty B]],"0")</f>
        <v>400000</v>
      </c>
      <c r="P610" s="36">
        <f>IFERROR(INDEX(Katalog!$F$3:$F$12,MATCH(Data[[#This Row],[ItemID B]],Katalog!$C$3:$C$12,0))*Data[[#This Row],[Qty B]],"0")</f>
        <v>150000</v>
      </c>
      <c r="R610" t="str">
        <f>IFERROR(INDEX(Katalog!$A$3:$A$12,MATCH(Data[[#This Row],[ItemID C]],Katalog!$C$3:$C$12,0)),"-")</f>
        <v>-</v>
      </c>
      <c r="S610" t="str">
        <f>IFERROR(INDEX(Katalog!$B$3:$B$12,MATCH(Data[[#This Row],[ItemID C]],Katalog!$C$3:$C$12,0)),"-")</f>
        <v>-</v>
      </c>
      <c r="V610" s="36" t="str">
        <f>IFERROR(INDEX(Katalog!$D$3:$D$12,MATCH(Data[[#This Row],[ItemID C]],Katalog!$C$3:$C$12,0))*Data[[#This Row],[Qty C]],"0")</f>
        <v>0</v>
      </c>
      <c r="W610" s="36" t="str">
        <f>IFERROR(INDEX(Katalog!$F$3:$F$12,MATCH(Data[[#This Row],[ItemID C]],Katalog!$C$3:$C$12,0))*Data[[#This Row],[Qty C]],"0")</f>
        <v>0</v>
      </c>
      <c r="X610" s="21">
        <f>Data[[#This Row],[Qty A]]+Data[[#This Row],[Qty B]]+Data[[#This Row],[Qty C]]</f>
        <v>4</v>
      </c>
      <c r="Y610" s="22">
        <f>Data[[#This Row],[Harga Barang A]]+Data[[#This Row],[Harga Barang B]]+Data[[#This Row],[Harga Barang C]]</f>
        <v>1450000</v>
      </c>
      <c r="Z610" s="35">
        <f>IFERROR(Data[[#This Row],[Total Harga]]-(Data[[#This Row],[Total Harga]]*Data[[#This Row],[Diskon]]),Data[[#This Row],[Total Harga]])</f>
        <v>1305000</v>
      </c>
      <c r="AA610" s="35">
        <f>(Data[[#This Row],[Profit A]]+Data[[#This Row],[Profit B]]+Data[[#This Row],[Profit C]])</f>
        <v>540000</v>
      </c>
      <c r="AB610" s="35">
        <f>IFERROR((Data[[#This Row],[Profit non Diskon]]-(Data[[#This Row],[Profit non Diskon]]*Data[[#This Row],[Diskon]])),Data[[#This Row],[Profit non Diskon]])</f>
        <v>486000</v>
      </c>
      <c r="AC610" s="23" t="s">
        <v>30</v>
      </c>
      <c r="AD610" s="37">
        <f>IFERROR(INDEX('Kode Diskon'!$D$3:$D$9,MATCH(Data[[#This Row],[Kode diskon]],'Kode Diskon'!$C$3:$C$9,0)),"-")</f>
        <v>0.1</v>
      </c>
      <c r="AE610" s="23" t="s">
        <v>29</v>
      </c>
      <c r="AF610" s="23" t="s">
        <v>10</v>
      </c>
      <c r="AG610" s="23" t="s">
        <v>80</v>
      </c>
      <c r="AH610" s="24">
        <v>45017</v>
      </c>
      <c r="AI610" s="23" t="str">
        <f>TEXT(Data[[#This Row],[Tanggal terjual]],"dddd")</f>
        <v>Saturday</v>
      </c>
      <c r="AJ610" s="21" t="str">
        <f>TEXT(Data[[#This Row],[Tanggal terjual]],"wwww")</f>
        <v>wwww</v>
      </c>
    </row>
    <row r="611" spans="1:36" x14ac:dyDescent="0.2">
      <c r="A611" s="20">
        <v>610</v>
      </c>
      <c r="B611" s="21" t="str">
        <f>_xlfn.CONCAT("ORD-",INDEX(Helper!$B$2:$B$5,MATCH(Data[[#This Row],[Marketplace]],Helper!$A$2:$A$5,0)),TEXT(Data[[#This Row],[No]],"0000"),"-",TEXT(Data[[#This Row],[Tanggal terjual]],"dd/mm/yy"))</f>
        <v>ORD-TK0610-12/04/23</v>
      </c>
      <c r="C611" t="s">
        <v>61</v>
      </c>
      <c r="D611" t="str">
        <f>IFERROR(INDEX(Katalog!$A$3:$A$12,MATCH(Data[[#This Row],[ItemID A]],Katalog!$C$3:$C$12,0)),"-")</f>
        <v>Pakaian Pria</v>
      </c>
      <c r="E611" t="str">
        <f>IFERROR(INDEX(Katalog!$B$3:$B$12,MATCH(Data[[#This Row],[ItemID A]],Katalog!$C$3:$C$12,0)),"-")</f>
        <v>Kaos Polo</v>
      </c>
      <c r="F611">
        <v>6</v>
      </c>
      <c r="G611">
        <v>1</v>
      </c>
      <c r="H611" s="36">
        <f>IFERROR(INDEX(Katalog!$D$3:$D$12,MATCH(Data[[#This Row],[ItemID A]],Katalog!$C$3:$C$12,0))*Data[[#This Row],[Qty A]],"0")</f>
        <v>1200000</v>
      </c>
      <c r="I611" s="36">
        <f>IFERROR(INDEX(Katalog!$F$3:$F$12,MATCH(Data[[#This Row],[ItemID A]],Katalog!$C$3:$C$12,0))*Data[[#This Row],[Qty A]],0)</f>
        <v>480000</v>
      </c>
      <c r="J611" t="s">
        <v>60</v>
      </c>
      <c r="K611" t="str">
        <f>IFERROR(INDEX(Katalog!$A$3:$A$12,MATCH(Data[[#This Row],[ItemID B]],Katalog!$C$3:$C$12,0)),"-")</f>
        <v>Pakaian Wanita</v>
      </c>
      <c r="L611" t="str">
        <f>IFERROR(INDEX(Katalog!$B$3:$B$12,MATCH(Data[[#This Row],[ItemID B]],Katalog!$C$3:$C$12,0)),"-")</f>
        <v>Kaftan</v>
      </c>
      <c r="M611">
        <v>1</v>
      </c>
      <c r="N611">
        <v>2</v>
      </c>
      <c r="O611" s="36">
        <f>IFERROR(INDEX(Katalog!$D$3:$D$12,MATCH(Data[[#This Row],[ItemID B]],Katalog!$C$3:$C$12,0))*Data[[#This Row],[Qty B]],"0")</f>
        <v>250000</v>
      </c>
      <c r="P611" s="36">
        <f>IFERROR(INDEX(Katalog!$F$3:$F$12,MATCH(Data[[#This Row],[ItemID B]],Katalog!$C$3:$C$12,0))*Data[[#This Row],[Qty B]],"0")</f>
        <v>100000</v>
      </c>
      <c r="R611" t="str">
        <f>IFERROR(INDEX(Katalog!$A$3:$A$12,MATCH(Data[[#This Row],[ItemID C]],Katalog!$C$3:$C$12,0)),"-")</f>
        <v>-</v>
      </c>
      <c r="S611" t="str">
        <f>IFERROR(INDEX(Katalog!$B$3:$B$12,MATCH(Data[[#This Row],[ItemID C]],Katalog!$C$3:$C$12,0)),"-")</f>
        <v>-</v>
      </c>
      <c r="V611" s="36" t="str">
        <f>IFERROR(INDEX(Katalog!$D$3:$D$12,MATCH(Data[[#This Row],[ItemID C]],Katalog!$C$3:$C$12,0))*Data[[#This Row],[Qty C]],"0")</f>
        <v>0</v>
      </c>
      <c r="W611" s="36" t="str">
        <f>IFERROR(INDEX(Katalog!$F$3:$F$12,MATCH(Data[[#This Row],[ItemID C]],Katalog!$C$3:$C$12,0))*Data[[#This Row],[Qty C]],"0")</f>
        <v>0</v>
      </c>
      <c r="X611" s="21">
        <f>Data[[#This Row],[Qty A]]+Data[[#This Row],[Qty B]]+Data[[#This Row],[Qty C]]</f>
        <v>7</v>
      </c>
      <c r="Y611" s="22">
        <f>Data[[#This Row],[Harga Barang A]]+Data[[#This Row],[Harga Barang B]]+Data[[#This Row],[Harga Barang C]]</f>
        <v>1450000</v>
      </c>
      <c r="Z611" s="35">
        <f>IFERROR(Data[[#This Row],[Total Harga]]-(Data[[#This Row],[Total Harga]]*Data[[#This Row],[Diskon]]),Data[[#This Row],[Total Harga]])</f>
        <v>1450000</v>
      </c>
      <c r="AA611" s="35">
        <f>(Data[[#This Row],[Profit A]]+Data[[#This Row],[Profit B]]+Data[[#This Row],[Profit C]])</f>
        <v>580000</v>
      </c>
      <c r="AB611" s="35">
        <f>IFERROR((Data[[#This Row],[Profit non Diskon]]-(Data[[#This Row],[Profit non Diskon]]*Data[[#This Row],[Diskon]])),Data[[#This Row],[Profit non Diskon]])</f>
        <v>580000</v>
      </c>
      <c r="AC611" s="23" t="s">
        <v>11</v>
      </c>
      <c r="AD611" s="37" t="str">
        <f>IFERROR(INDEX('Kode Diskon'!$D$3:$D$9,MATCH(Data[[#This Row],[Kode diskon]],'Kode Diskon'!$C$3:$C$9,0)),"-")</f>
        <v>-</v>
      </c>
      <c r="AE611" s="23" t="s">
        <v>11</v>
      </c>
      <c r="AF611" s="23" t="s">
        <v>10</v>
      </c>
      <c r="AG611" s="23" t="s">
        <v>79</v>
      </c>
      <c r="AH611" s="24">
        <v>45028</v>
      </c>
      <c r="AI611" s="23" t="str">
        <f>TEXT(Data[[#This Row],[Tanggal terjual]],"dddd")</f>
        <v>Wednesday</v>
      </c>
      <c r="AJ611" s="21" t="str">
        <f>TEXT(Data[[#This Row],[Tanggal terjual]],"wwww")</f>
        <v>wwww</v>
      </c>
    </row>
    <row r="612" spans="1:36" x14ac:dyDescent="0.2">
      <c r="A612" s="20">
        <v>611</v>
      </c>
      <c r="B612" s="21" t="str">
        <f>_xlfn.CONCAT("ORD-",INDEX(Helper!$B$2:$B$5,MATCH(Data[[#This Row],[Marketplace]],Helper!$A$2:$A$5,0)),TEXT(Data[[#This Row],[No]],"0000"),"-",TEXT(Data[[#This Row],[Tanggal terjual]],"dd/mm/yy"))</f>
        <v>ORD-TK0611-01/04/23</v>
      </c>
      <c r="C612" t="s">
        <v>64</v>
      </c>
      <c r="D612" t="str">
        <f>IFERROR(INDEX(Katalog!$A$3:$A$12,MATCH(Data[[#This Row],[ItemID A]],Katalog!$C$3:$C$12,0)),"-")</f>
        <v>Pakaian Unisex</v>
      </c>
      <c r="E612" t="str">
        <f>IFERROR(INDEX(Katalog!$B$3:$B$12,MATCH(Data[[#This Row],[ItemID A]],Katalog!$C$3:$C$12,0)),"-")</f>
        <v>Jaket Hoodie</v>
      </c>
      <c r="F612">
        <v>2</v>
      </c>
      <c r="G612">
        <v>1</v>
      </c>
      <c r="H612" s="36">
        <f>IFERROR(INDEX(Katalog!$D$3:$D$12,MATCH(Data[[#This Row],[ItemID A]],Katalog!$C$3:$C$12,0))*Data[[#This Row],[Qty A]],"0")</f>
        <v>700000</v>
      </c>
      <c r="I612" s="36">
        <f>IFERROR(INDEX(Katalog!$F$3:$F$12,MATCH(Data[[#This Row],[ItemID A]],Katalog!$C$3:$C$12,0))*Data[[#This Row],[Qty A]],0)</f>
        <v>260000</v>
      </c>
      <c r="J612" t="s">
        <v>59</v>
      </c>
      <c r="K612" t="str">
        <f>IFERROR(INDEX(Katalog!$A$3:$A$12,MATCH(Data[[#This Row],[ItemID B]],Katalog!$C$3:$C$12,0)),"-")</f>
        <v>Pakaian Wanita</v>
      </c>
      <c r="L612" t="str">
        <f>IFERROR(INDEX(Katalog!$B$3:$B$12,MATCH(Data[[#This Row],[ItemID B]],Katalog!$C$3:$C$12,0)),"-")</f>
        <v>Blouse</v>
      </c>
      <c r="M612">
        <v>3</v>
      </c>
      <c r="N612">
        <v>4</v>
      </c>
      <c r="O612" s="36">
        <f>IFERROR(INDEX(Katalog!$D$3:$D$12,MATCH(Data[[#This Row],[ItemID B]],Katalog!$C$3:$C$12,0))*Data[[#This Row],[Qty B]],"0")</f>
        <v>450000</v>
      </c>
      <c r="P612" s="36">
        <f>IFERROR(INDEX(Katalog!$F$3:$F$12,MATCH(Data[[#This Row],[ItemID B]],Katalog!$C$3:$C$12,0))*Data[[#This Row],[Qty B]],"0")</f>
        <v>150000</v>
      </c>
      <c r="R612" t="str">
        <f>IFERROR(INDEX(Katalog!$A$3:$A$12,MATCH(Data[[#This Row],[ItemID C]],Katalog!$C$3:$C$12,0)),"-")</f>
        <v>-</v>
      </c>
      <c r="S612" t="str">
        <f>IFERROR(INDEX(Katalog!$B$3:$B$12,MATCH(Data[[#This Row],[ItemID C]],Katalog!$C$3:$C$12,0)),"-")</f>
        <v>-</v>
      </c>
      <c r="V612" s="36" t="str">
        <f>IFERROR(INDEX(Katalog!$D$3:$D$12,MATCH(Data[[#This Row],[ItemID C]],Katalog!$C$3:$C$12,0))*Data[[#This Row],[Qty C]],"0")</f>
        <v>0</v>
      </c>
      <c r="W612" s="36" t="str">
        <f>IFERROR(INDEX(Katalog!$F$3:$F$12,MATCH(Data[[#This Row],[ItemID C]],Katalog!$C$3:$C$12,0))*Data[[#This Row],[Qty C]],"0")</f>
        <v>0</v>
      </c>
      <c r="X612" s="21">
        <f>Data[[#This Row],[Qty A]]+Data[[#This Row],[Qty B]]+Data[[#This Row],[Qty C]]</f>
        <v>5</v>
      </c>
      <c r="Y612" s="22">
        <f>Data[[#This Row],[Harga Barang A]]+Data[[#This Row],[Harga Barang B]]+Data[[#This Row],[Harga Barang C]]</f>
        <v>1150000</v>
      </c>
      <c r="Z612" s="35">
        <f>IFERROR(Data[[#This Row],[Total Harga]]-(Data[[#This Row],[Total Harga]]*Data[[#This Row],[Diskon]]),Data[[#This Row],[Total Harga]])</f>
        <v>1035000</v>
      </c>
      <c r="AA612" s="35">
        <f>(Data[[#This Row],[Profit A]]+Data[[#This Row],[Profit B]]+Data[[#This Row],[Profit C]])</f>
        <v>410000</v>
      </c>
      <c r="AB612" s="35">
        <f>IFERROR((Data[[#This Row],[Profit non Diskon]]-(Data[[#This Row],[Profit non Diskon]]*Data[[#This Row],[Diskon]])),Data[[#This Row],[Profit non Diskon]])</f>
        <v>369000</v>
      </c>
      <c r="AC612" s="23" t="s">
        <v>30</v>
      </c>
      <c r="AD612" s="37">
        <f>IFERROR(INDEX('Kode Diskon'!$D$3:$D$9,MATCH(Data[[#This Row],[Kode diskon]],'Kode Diskon'!$C$3:$C$9,0)),"-")</f>
        <v>0.1</v>
      </c>
      <c r="AE612" s="23" t="s">
        <v>29</v>
      </c>
      <c r="AF612" s="23" t="s">
        <v>10</v>
      </c>
      <c r="AG612" s="23" t="s">
        <v>75</v>
      </c>
      <c r="AH612" s="24">
        <v>45017</v>
      </c>
      <c r="AI612" s="23" t="str">
        <f>TEXT(Data[[#This Row],[Tanggal terjual]],"dddd")</f>
        <v>Saturday</v>
      </c>
      <c r="AJ612" s="21" t="str">
        <f>TEXT(Data[[#This Row],[Tanggal terjual]],"wwww")</f>
        <v>wwww</v>
      </c>
    </row>
    <row r="613" spans="1:36" x14ac:dyDescent="0.2">
      <c r="A613" s="20">
        <v>612</v>
      </c>
      <c r="B613" s="21" t="str">
        <f>_xlfn.CONCAT("ORD-",INDEX(Helper!$B$2:$B$5,MATCH(Data[[#This Row],[Marketplace]],Helper!$A$2:$A$5,0)),TEXT(Data[[#This Row],[No]],"0000"),"-",TEXT(Data[[#This Row],[Tanggal terjual]],"dd/mm/yy"))</f>
        <v>ORD-BL0612-17/04/23</v>
      </c>
      <c r="C613" t="s">
        <v>61</v>
      </c>
      <c r="D613" t="str">
        <f>IFERROR(INDEX(Katalog!$A$3:$A$12,MATCH(Data[[#This Row],[ItemID A]],Katalog!$C$3:$C$12,0)),"-")</f>
        <v>Pakaian Pria</v>
      </c>
      <c r="E613" t="str">
        <f>IFERROR(INDEX(Katalog!$B$3:$B$12,MATCH(Data[[#This Row],[ItemID A]],Katalog!$C$3:$C$12,0)),"-")</f>
        <v>Kaos Polo</v>
      </c>
      <c r="F613">
        <v>4</v>
      </c>
      <c r="G613">
        <v>2</v>
      </c>
      <c r="H613" s="36">
        <f>IFERROR(INDEX(Katalog!$D$3:$D$12,MATCH(Data[[#This Row],[ItemID A]],Katalog!$C$3:$C$12,0))*Data[[#This Row],[Qty A]],"0")</f>
        <v>800000</v>
      </c>
      <c r="I613" s="36">
        <f>IFERROR(INDEX(Katalog!$F$3:$F$12,MATCH(Data[[#This Row],[ItemID A]],Katalog!$C$3:$C$12,0))*Data[[#This Row],[Qty A]],0)</f>
        <v>320000</v>
      </c>
      <c r="K613" t="str">
        <f>IFERROR(INDEX(Katalog!$A$3:$A$12,MATCH(Data[[#This Row],[ItemID B]],Katalog!$C$3:$C$12,0)),"-")</f>
        <v>-</v>
      </c>
      <c r="L613" t="str">
        <f>IFERROR(INDEX(Katalog!$B$3:$B$12,MATCH(Data[[#This Row],[ItemID B]],Katalog!$C$3:$C$12,0)),"-")</f>
        <v>-</v>
      </c>
      <c r="O613" s="36" t="str">
        <f>IFERROR(INDEX(Katalog!$D$3:$D$12,MATCH(Data[[#This Row],[ItemID B]],Katalog!$C$3:$C$12,0))*Data[[#This Row],[Qty B]],"0")</f>
        <v>0</v>
      </c>
      <c r="P613" s="36" t="str">
        <f>IFERROR(INDEX(Katalog!$F$3:$F$12,MATCH(Data[[#This Row],[ItemID B]],Katalog!$C$3:$C$12,0))*Data[[#This Row],[Qty B]],"0")</f>
        <v>0</v>
      </c>
      <c r="R613" t="str">
        <f>IFERROR(INDEX(Katalog!$A$3:$A$12,MATCH(Data[[#This Row],[ItemID C]],Katalog!$C$3:$C$12,0)),"-")</f>
        <v>-</v>
      </c>
      <c r="S613" t="str">
        <f>IFERROR(INDEX(Katalog!$B$3:$B$12,MATCH(Data[[#This Row],[ItemID C]],Katalog!$C$3:$C$12,0)),"-")</f>
        <v>-</v>
      </c>
      <c r="V613" s="36" t="str">
        <f>IFERROR(INDEX(Katalog!$D$3:$D$12,MATCH(Data[[#This Row],[ItemID C]],Katalog!$C$3:$C$12,0))*Data[[#This Row],[Qty C]],"0")</f>
        <v>0</v>
      </c>
      <c r="W613" s="36" t="str">
        <f>IFERROR(INDEX(Katalog!$F$3:$F$12,MATCH(Data[[#This Row],[ItemID C]],Katalog!$C$3:$C$12,0))*Data[[#This Row],[Qty C]],"0")</f>
        <v>0</v>
      </c>
      <c r="X613" s="21">
        <f>Data[[#This Row],[Qty A]]+Data[[#This Row],[Qty B]]+Data[[#This Row],[Qty C]]</f>
        <v>4</v>
      </c>
      <c r="Y613" s="22">
        <f>Data[[#This Row],[Harga Barang A]]+Data[[#This Row],[Harga Barang B]]+Data[[#This Row],[Harga Barang C]]</f>
        <v>800000</v>
      </c>
      <c r="Z613" s="35">
        <f>IFERROR(Data[[#This Row],[Total Harga]]-(Data[[#This Row],[Total Harga]]*Data[[#This Row],[Diskon]]),Data[[#This Row],[Total Harga]])</f>
        <v>680000</v>
      </c>
      <c r="AA613" s="35">
        <f>(Data[[#This Row],[Profit A]]+Data[[#This Row],[Profit B]]+Data[[#This Row],[Profit C]])</f>
        <v>320000</v>
      </c>
      <c r="AB613" s="35">
        <f>IFERROR((Data[[#This Row],[Profit non Diskon]]-(Data[[#This Row],[Profit non Diskon]]*Data[[#This Row],[Diskon]])),Data[[#This Row],[Profit non Diskon]])</f>
        <v>272000</v>
      </c>
      <c r="AC613" s="23" t="s">
        <v>32</v>
      </c>
      <c r="AD613" s="37">
        <f>IFERROR(INDEX('Kode Diskon'!$D$3:$D$9,MATCH(Data[[#This Row],[Kode diskon]],'Kode Diskon'!$C$3:$C$9,0)),"-")</f>
        <v>0.15</v>
      </c>
      <c r="AE613" s="23" t="s">
        <v>9</v>
      </c>
      <c r="AF613" s="23" t="s">
        <v>12</v>
      </c>
      <c r="AG613" s="23" t="s">
        <v>75</v>
      </c>
      <c r="AH613" s="24">
        <v>45033</v>
      </c>
      <c r="AI613" s="23" t="str">
        <f>TEXT(Data[[#This Row],[Tanggal terjual]],"dddd")</f>
        <v>Monday</v>
      </c>
      <c r="AJ613" s="21" t="str">
        <f>TEXT(Data[[#This Row],[Tanggal terjual]],"wwww")</f>
        <v>wwww</v>
      </c>
    </row>
    <row r="614" spans="1:36" x14ac:dyDescent="0.2">
      <c r="A614" s="20">
        <v>613</v>
      </c>
      <c r="B614" s="21" t="str">
        <f>_xlfn.CONCAT("ORD-",INDEX(Helper!$B$2:$B$5,MATCH(Data[[#This Row],[Marketplace]],Helper!$A$2:$A$5,0)),TEXT(Data[[#This Row],[No]],"0000"),"-",TEXT(Data[[#This Row],[Tanggal terjual]],"dd/mm/yy"))</f>
        <v>ORD-BL0613-20/04/23</v>
      </c>
      <c r="C614" t="s">
        <v>61</v>
      </c>
      <c r="D614" t="str">
        <f>IFERROR(INDEX(Katalog!$A$3:$A$12,MATCH(Data[[#This Row],[ItemID A]],Katalog!$C$3:$C$12,0)),"-")</f>
        <v>Pakaian Pria</v>
      </c>
      <c r="E614" t="str">
        <f>IFERROR(INDEX(Katalog!$B$3:$B$12,MATCH(Data[[#This Row],[ItemID A]],Katalog!$C$3:$C$12,0)),"-")</f>
        <v>Kaos Polo</v>
      </c>
      <c r="F614">
        <v>3</v>
      </c>
      <c r="G614">
        <v>4</v>
      </c>
      <c r="H614" s="36">
        <f>IFERROR(INDEX(Katalog!$D$3:$D$12,MATCH(Data[[#This Row],[ItemID A]],Katalog!$C$3:$C$12,0))*Data[[#This Row],[Qty A]],"0")</f>
        <v>600000</v>
      </c>
      <c r="I614" s="36">
        <f>IFERROR(INDEX(Katalog!$F$3:$F$12,MATCH(Data[[#This Row],[ItemID A]],Katalog!$C$3:$C$12,0))*Data[[#This Row],[Qty A]],0)</f>
        <v>240000</v>
      </c>
      <c r="K614" t="str">
        <f>IFERROR(INDEX(Katalog!$A$3:$A$12,MATCH(Data[[#This Row],[ItemID B]],Katalog!$C$3:$C$12,0)),"-")</f>
        <v>-</v>
      </c>
      <c r="L614" t="str">
        <f>IFERROR(INDEX(Katalog!$B$3:$B$12,MATCH(Data[[#This Row],[ItemID B]],Katalog!$C$3:$C$12,0)),"-")</f>
        <v>-</v>
      </c>
      <c r="O614" s="36" t="str">
        <f>IFERROR(INDEX(Katalog!$D$3:$D$12,MATCH(Data[[#This Row],[ItemID B]],Katalog!$C$3:$C$12,0))*Data[[#This Row],[Qty B]],"0")</f>
        <v>0</v>
      </c>
      <c r="P614" s="36" t="str">
        <f>IFERROR(INDEX(Katalog!$F$3:$F$12,MATCH(Data[[#This Row],[ItemID B]],Katalog!$C$3:$C$12,0))*Data[[#This Row],[Qty B]],"0")</f>
        <v>0</v>
      </c>
      <c r="R614" t="str">
        <f>IFERROR(INDEX(Katalog!$A$3:$A$12,MATCH(Data[[#This Row],[ItemID C]],Katalog!$C$3:$C$12,0)),"-")</f>
        <v>-</v>
      </c>
      <c r="S614" t="str">
        <f>IFERROR(INDEX(Katalog!$B$3:$B$12,MATCH(Data[[#This Row],[ItemID C]],Katalog!$C$3:$C$12,0)),"-")</f>
        <v>-</v>
      </c>
      <c r="V614" s="36" t="str">
        <f>IFERROR(INDEX(Katalog!$D$3:$D$12,MATCH(Data[[#This Row],[ItemID C]],Katalog!$C$3:$C$12,0))*Data[[#This Row],[Qty C]],"0")</f>
        <v>0</v>
      </c>
      <c r="W614" s="36" t="str">
        <f>IFERROR(INDEX(Katalog!$F$3:$F$12,MATCH(Data[[#This Row],[ItemID C]],Katalog!$C$3:$C$12,0))*Data[[#This Row],[Qty C]],"0")</f>
        <v>0</v>
      </c>
      <c r="X614" s="21">
        <f>Data[[#This Row],[Qty A]]+Data[[#This Row],[Qty B]]+Data[[#This Row],[Qty C]]</f>
        <v>3</v>
      </c>
      <c r="Y614" s="22">
        <f>Data[[#This Row],[Harga Barang A]]+Data[[#This Row],[Harga Barang B]]+Data[[#This Row],[Harga Barang C]]</f>
        <v>600000</v>
      </c>
      <c r="Z614" s="35">
        <f>IFERROR(Data[[#This Row],[Total Harga]]-(Data[[#This Row],[Total Harga]]*Data[[#This Row],[Diskon]]),Data[[#This Row],[Total Harga]])</f>
        <v>510000</v>
      </c>
      <c r="AA614" s="35">
        <f>(Data[[#This Row],[Profit A]]+Data[[#This Row],[Profit B]]+Data[[#This Row],[Profit C]])</f>
        <v>240000</v>
      </c>
      <c r="AB614" s="35">
        <f>IFERROR((Data[[#This Row],[Profit non Diskon]]-(Data[[#This Row],[Profit non Diskon]]*Data[[#This Row],[Diskon]])),Data[[#This Row],[Profit non Diskon]])</f>
        <v>204000</v>
      </c>
      <c r="AC614" s="23" t="s">
        <v>32</v>
      </c>
      <c r="AD614" s="37">
        <f>IFERROR(INDEX('Kode Diskon'!$D$3:$D$9,MATCH(Data[[#This Row],[Kode diskon]],'Kode Diskon'!$C$3:$C$9,0)),"-")</f>
        <v>0.15</v>
      </c>
      <c r="AE614" s="23" t="s">
        <v>9</v>
      </c>
      <c r="AF614" s="23" t="s">
        <v>12</v>
      </c>
      <c r="AG614" s="23" t="s">
        <v>80</v>
      </c>
      <c r="AH614" s="24">
        <v>45036</v>
      </c>
      <c r="AI614" s="23" t="str">
        <f>TEXT(Data[[#This Row],[Tanggal terjual]],"dddd")</f>
        <v>Thursday</v>
      </c>
      <c r="AJ614" s="21" t="str">
        <f>TEXT(Data[[#This Row],[Tanggal terjual]],"wwww")</f>
        <v>wwww</v>
      </c>
    </row>
    <row r="615" spans="1:36" x14ac:dyDescent="0.2">
      <c r="A615" s="20">
        <v>614</v>
      </c>
      <c r="B615" s="21" t="str">
        <f>_xlfn.CONCAT("ORD-",INDEX(Helper!$B$2:$B$5,MATCH(Data[[#This Row],[Marketplace]],Helper!$A$2:$A$5,0)),TEXT(Data[[#This Row],[No]],"0000"),"-",TEXT(Data[[#This Row],[Tanggal terjual]],"dd/mm/yy"))</f>
        <v>ORD-SP0614-30/04/23</v>
      </c>
      <c r="C615" t="s">
        <v>62</v>
      </c>
      <c r="D615" t="str">
        <f>IFERROR(INDEX(Katalog!$A$3:$A$12,MATCH(Data[[#This Row],[ItemID A]],Katalog!$C$3:$C$12,0)),"-")</f>
        <v>Pakaian Pria</v>
      </c>
      <c r="E615" t="str">
        <f>IFERROR(INDEX(Katalog!$B$3:$B$12,MATCH(Data[[#This Row],[ItemID A]],Katalog!$C$3:$C$12,0)),"-")</f>
        <v>Celana Pendek</v>
      </c>
      <c r="F615">
        <v>1</v>
      </c>
      <c r="G615">
        <v>5</v>
      </c>
      <c r="H615" s="36">
        <f>IFERROR(INDEX(Katalog!$D$3:$D$12,MATCH(Data[[#This Row],[ItemID A]],Katalog!$C$3:$C$12,0))*Data[[#This Row],[Qty A]],"0")</f>
        <v>180000</v>
      </c>
      <c r="I615" s="36">
        <f>IFERROR(INDEX(Katalog!$F$3:$F$12,MATCH(Data[[#This Row],[ItemID A]],Katalog!$C$3:$C$12,0))*Data[[#This Row],[Qty A]],0)</f>
        <v>70000</v>
      </c>
      <c r="J615" t="s">
        <v>66</v>
      </c>
      <c r="K615" t="str">
        <f>IFERROR(INDEX(Katalog!$A$3:$A$12,MATCH(Data[[#This Row],[ItemID B]],Katalog!$C$3:$C$12,0)),"-")</f>
        <v>Sepatu Pria</v>
      </c>
      <c r="L615" t="str">
        <f>IFERROR(INDEX(Katalog!$B$3:$B$12,MATCH(Data[[#This Row],[ItemID B]],Katalog!$C$3:$C$12,0)),"-")</f>
        <v>Sandal Slip On</v>
      </c>
      <c r="M615">
        <v>1</v>
      </c>
      <c r="N615">
        <v>3</v>
      </c>
      <c r="O615" s="36">
        <f>IFERROR(INDEX(Katalog!$D$3:$D$12,MATCH(Data[[#This Row],[ItemID B]],Katalog!$C$3:$C$12,0))*Data[[#This Row],[Qty B]],"0")</f>
        <v>150000</v>
      </c>
      <c r="P615" s="36">
        <f>IFERROR(INDEX(Katalog!$F$3:$F$12,MATCH(Data[[#This Row],[ItemID B]],Katalog!$C$3:$C$12,0))*Data[[#This Row],[Qty B]],"0")</f>
        <v>60000</v>
      </c>
      <c r="R615" t="str">
        <f>IFERROR(INDEX(Katalog!$A$3:$A$12,MATCH(Data[[#This Row],[ItemID C]],Katalog!$C$3:$C$12,0)),"-")</f>
        <v>-</v>
      </c>
      <c r="S615" t="str">
        <f>IFERROR(INDEX(Katalog!$B$3:$B$12,MATCH(Data[[#This Row],[ItemID C]],Katalog!$C$3:$C$12,0)),"-")</f>
        <v>-</v>
      </c>
      <c r="V615" s="36" t="str">
        <f>IFERROR(INDEX(Katalog!$D$3:$D$12,MATCH(Data[[#This Row],[ItemID C]],Katalog!$C$3:$C$12,0))*Data[[#This Row],[Qty C]],"0")</f>
        <v>0</v>
      </c>
      <c r="W615" s="36" t="str">
        <f>IFERROR(INDEX(Katalog!$F$3:$F$12,MATCH(Data[[#This Row],[ItemID C]],Katalog!$C$3:$C$12,0))*Data[[#This Row],[Qty C]],"0")</f>
        <v>0</v>
      </c>
      <c r="X615" s="21">
        <f>Data[[#This Row],[Qty A]]+Data[[#This Row],[Qty B]]+Data[[#This Row],[Qty C]]</f>
        <v>2</v>
      </c>
      <c r="Y615" s="22">
        <f>Data[[#This Row],[Harga Barang A]]+Data[[#This Row],[Harga Barang B]]+Data[[#This Row],[Harga Barang C]]</f>
        <v>330000</v>
      </c>
      <c r="Z615" s="35">
        <f>IFERROR(Data[[#This Row],[Total Harga]]-(Data[[#This Row],[Total Harga]]*Data[[#This Row],[Diskon]]),Data[[#This Row],[Total Harga]])</f>
        <v>264000</v>
      </c>
      <c r="AA615" s="35">
        <f>(Data[[#This Row],[Profit A]]+Data[[#This Row],[Profit B]]+Data[[#This Row],[Profit C]])</f>
        <v>130000</v>
      </c>
      <c r="AB615" s="35">
        <f>IFERROR((Data[[#This Row],[Profit non Diskon]]-(Data[[#This Row],[Profit non Diskon]]*Data[[#This Row],[Diskon]])),Data[[#This Row],[Profit non Diskon]])</f>
        <v>104000</v>
      </c>
      <c r="AC615" s="23" t="s">
        <v>8</v>
      </c>
      <c r="AD615" s="37">
        <f>IFERROR(INDEX('Kode Diskon'!$D$3:$D$9,MATCH(Data[[#This Row],[Kode diskon]],'Kode Diskon'!$C$3:$C$9,0)),"-")</f>
        <v>0.2</v>
      </c>
      <c r="AE615" s="23" t="s">
        <v>9</v>
      </c>
      <c r="AF615" s="23" t="s">
        <v>7</v>
      </c>
      <c r="AG615" s="23" t="s">
        <v>80</v>
      </c>
      <c r="AH615" s="24">
        <v>45046</v>
      </c>
      <c r="AI615" s="23" t="str">
        <f>TEXT(Data[[#This Row],[Tanggal terjual]],"dddd")</f>
        <v>Sunday</v>
      </c>
      <c r="AJ615" s="21" t="str">
        <f>TEXT(Data[[#This Row],[Tanggal terjual]],"wwww")</f>
        <v>wwww</v>
      </c>
    </row>
    <row r="616" spans="1:36" x14ac:dyDescent="0.2">
      <c r="A616" s="20">
        <v>615</v>
      </c>
      <c r="B616" s="21" t="str">
        <f>_xlfn.CONCAT("ORD-",INDEX(Helper!$B$2:$B$5,MATCH(Data[[#This Row],[Marketplace]],Helper!$A$2:$A$5,0)),TEXT(Data[[#This Row],[No]],"0000"),"-",TEXT(Data[[#This Row],[Tanggal terjual]],"dd/mm/yy"))</f>
        <v>ORD-BL0615-25/04/23</v>
      </c>
      <c r="C616" t="s">
        <v>64</v>
      </c>
      <c r="D616" t="str">
        <f>IFERROR(INDEX(Katalog!$A$3:$A$12,MATCH(Data[[#This Row],[ItemID A]],Katalog!$C$3:$C$12,0)),"-")</f>
        <v>Pakaian Unisex</v>
      </c>
      <c r="E616" t="str">
        <f>IFERROR(INDEX(Katalog!$B$3:$B$12,MATCH(Data[[#This Row],[ItemID A]],Katalog!$C$3:$C$12,0)),"-")</f>
        <v>Jaket Hoodie</v>
      </c>
      <c r="F616">
        <v>4</v>
      </c>
      <c r="G616">
        <v>1</v>
      </c>
      <c r="H616" s="36">
        <f>IFERROR(INDEX(Katalog!$D$3:$D$12,MATCH(Data[[#This Row],[ItemID A]],Katalog!$C$3:$C$12,0))*Data[[#This Row],[Qty A]],"0")</f>
        <v>1400000</v>
      </c>
      <c r="I616" s="36">
        <f>IFERROR(INDEX(Katalog!$F$3:$F$12,MATCH(Data[[#This Row],[ItemID A]],Katalog!$C$3:$C$12,0))*Data[[#This Row],[Qty A]],0)</f>
        <v>520000</v>
      </c>
      <c r="J616" t="s">
        <v>66</v>
      </c>
      <c r="K616" t="str">
        <f>IFERROR(INDEX(Katalog!$A$3:$A$12,MATCH(Data[[#This Row],[ItemID B]],Katalog!$C$3:$C$12,0)),"-")</f>
        <v>Sepatu Pria</v>
      </c>
      <c r="L616" t="str">
        <f>IFERROR(INDEX(Katalog!$B$3:$B$12,MATCH(Data[[#This Row],[ItemID B]],Katalog!$C$3:$C$12,0)),"-")</f>
        <v>Sandal Slip On</v>
      </c>
      <c r="M616">
        <v>2</v>
      </c>
      <c r="N616">
        <v>5</v>
      </c>
      <c r="O616" s="36">
        <f>IFERROR(INDEX(Katalog!$D$3:$D$12,MATCH(Data[[#This Row],[ItemID B]],Katalog!$C$3:$C$12,0))*Data[[#This Row],[Qty B]],"0")</f>
        <v>300000</v>
      </c>
      <c r="P616" s="36">
        <f>IFERROR(INDEX(Katalog!$F$3:$F$12,MATCH(Data[[#This Row],[ItemID B]],Katalog!$C$3:$C$12,0))*Data[[#This Row],[Qty B]],"0")</f>
        <v>120000</v>
      </c>
      <c r="Q616" t="s">
        <v>63</v>
      </c>
      <c r="R616" t="str">
        <f>IFERROR(INDEX(Katalog!$A$3:$A$12,MATCH(Data[[#This Row],[ItemID C]],Katalog!$C$3:$C$12,0)),"-")</f>
        <v>Pakaian Pria</v>
      </c>
      <c r="S616" t="str">
        <f>IFERROR(INDEX(Katalog!$B$3:$B$12,MATCH(Data[[#This Row],[ItemID C]],Katalog!$C$3:$C$12,0)),"-")</f>
        <v>Jaket Jeans</v>
      </c>
      <c r="T616">
        <v>1</v>
      </c>
      <c r="U616">
        <v>3</v>
      </c>
      <c r="V616" s="36">
        <f>IFERROR(INDEX(Katalog!$D$3:$D$12,MATCH(Data[[#This Row],[ItemID C]],Katalog!$C$3:$C$12,0))*Data[[#This Row],[Qty C]],"0")</f>
        <v>400000</v>
      </c>
      <c r="W616" s="36">
        <f>IFERROR(INDEX(Katalog!$F$3:$F$12,MATCH(Data[[#This Row],[ItemID C]],Katalog!$C$3:$C$12,0))*Data[[#This Row],[Qty C]],"0")</f>
        <v>150000</v>
      </c>
      <c r="X616" s="21">
        <f>Data[[#This Row],[Qty A]]+Data[[#This Row],[Qty B]]+Data[[#This Row],[Qty C]]</f>
        <v>7</v>
      </c>
      <c r="Y616" s="22">
        <f>Data[[#This Row],[Harga Barang A]]+Data[[#This Row],[Harga Barang B]]+Data[[#This Row],[Harga Barang C]]</f>
        <v>2100000</v>
      </c>
      <c r="Z616" s="35">
        <f>IFERROR(Data[[#This Row],[Total Harga]]-(Data[[#This Row],[Total Harga]]*Data[[#This Row],[Diskon]]),Data[[#This Row],[Total Harga]])</f>
        <v>1785000</v>
      </c>
      <c r="AA616" s="35">
        <f>(Data[[#This Row],[Profit A]]+Data[[#This Row],[Profit B]]+Data[[#This Row],[Profit C]])</f>
        <v>790000</v>
      </c>
      <c r="AB616" s="35">
        <f>IFERROR((Data[[#This Row],[Profit non Diskon]]-(Data[[#This Row],[Profit non Diskon]]*Data[[#This Row],[Diskon]])),Data[[#This Row],[Profit non Diskon]])</f>
        <v>671500</v>
      </c>
      <c r="AC616" s="23" t="s">
        <v>32</v>
      </c>
      <c r="AD616" s="37">
        <f>IFERROR(INDEX('Kode Diskon'!$D$3:$D$9,MATCH(Data[[#This Row],[Kode diskon]],'Kode Diskon'!$C$3:$C$9,0)),"-")</f>
        <v>0.15</v>
      </c>
      <c r="AE616" s="23" t="s">
        <v>9</v>
      </c>
      <c r="AF616" s="23" t="s">
        <v>12</v>
      </c>
      <c r="AG616" s="23" t="s">
        <v>76</v>
      </c>
      <c r="AH616" s="24">
        <v>45041</v>
      </c>
      <c r="AI616" s="23" t="str">
        <f>TEXT(Data[[#This Row],[Tanggal terjual]],"dddd")</f>
        <v>Tuesday</v>
      </c>
      <c r="AJ616" s="21" t="str">
        <f>TEXT(Data[[#This Row],[Tanggal terjual]],"wwww")</f>
        <v>wwww</v>
      </c>
    </row>
    <row r="617" spans="1:36" x14ac:dyDescent="0.2">
      <c r="A617" s="20">
        <v>616</v>
      </c>
      <c r="B617" s="21" t="str">
        <f>_xlfn.CONCAT("ORD-",INDEX(Helper!$B$2:$B$5,MATCH(Data[[#This Row],[Marketplace]],Helper!$A$2:$A$5,0)),TEXT(Data[[#This Row],[No]],"0000"),"-",TEXT(Data[[#This Row],[Tanggal terjual]],"dd/mm/yy"))</f>
        <v>ORD-SP0616-04/04/23</v>
      </c>
      <c r="C617" t="s">
        <v>58</v>
      </c>
      <c r="D617" t="str">
        <f>IFERROR(INDEX(Katalog!$A$3:$A$12,MATCH(Data[[#This Row],[ItemID A]],Katalog!$C$3:$C$12,0)),"-")</f>
        <v>Pakaian Wanita</v>
      </c>
      <c r="E617" t="str">
        <f>IFERROR(INDEX(Katalog!$B$3:$B$12,MATCH(Data[[#This Row],[ItemID A]],Katalog!$C$3:$C$12,0)),"-")</f>
        <v>Dress</v>
      </c>
      <c r="F617">
        <v>1</v>
      </c>
      <c r="G617">
        <v>2</v>
      </c>
      <c r="H617" s="36">
        <f>IFERROR(INDEX(Katalog!$D$3:$D$12,MATCH(Data[[#This Row],[ItemID A]],Katalog!$C$3:$C$12,0))*Data[[#This Row],[Qty A]],"0")</f>
        <v>300000</v>
      </c>
      <c r="I617" s="36">
        <f>IFERROR(INDEX(Katalog!$F$3:$F$12,MATCH(Data[[#This Row],[ItemID A]],Katalog!$C$3:$C$12,0))*Data[[#This Row],[Qty A]],0)</f>
        <v>100000</v>
      </c>
      <c r="K617" t="str">
        <f>IFERROR(INDEX(Katalog!$A$3:$A$12,MATCH(Data[[#This Row],[ItemID B]],Katalog!$C$3:$C$12,0)),"-")</f>
        <v>-</v>
      </c>
      <c r="L617" t="str">
        <f>IFERROR(INDEX(Katalog!$B$3:$B$12,MATCH(Data[[#This Row],[ItemID B]],Katalog!$C$3:$C$12,0)),"-")</f>
        <v>-</v>
      </c>
      <c r="O617" s="36" t="str">
        <f>IFERROR(INDEX(Katalog!$D$3:$D$12,MATCH(Data[[#This Row],[ItemID B]],Katalog!$C$3:$C$12,0))*Data[[#This Row],[Qty B]],"0")</f>
        <v>0</v>
      </c>
      <c r="P617" s="36" t="str">
        <f>IFERROR(INDEX(Katalog!$F$3:$F$12,MATCH(Data[[#This Row],[ItemID B]],Katalog!$C$3:$C$12,0))*Data[[#This Row],[Qty B]],"0")</f>
        <v>0</v>
      </c>
      <c r="R617" t="str">
        <f>IFERROR(INDEX(Katalog!$A$3:$A$12,MATCH(Data[[#This Row],[ItemID C]],Katalog!$C$3:$C$12,0)),"-")</f>
        <v>-</v>
      </c>
      <c r="S617" t="str">
        <f>IFERROR(INDEX(Katalog!$B$3:$B$12,MATCH(Data[[#This Row],[ItemID C]],Katalog!$C$3:$C$12,0)),"-")</f>
        <v>-</v>
      </c>
      <c r="V617" s="36" t="str">
        <f>IFERROR(INDEX(Katalog!$D$3:$D$12,MATCH(Data[[#This Row],[ItemID C]],Katalog!$C$3:$C$12,0))*Data[[#This Row],[Qty C]],"0")</f>
        <v>0</v>
      </c>
      <c r="W617" s="36" t="str">
        <f>IFERROR(INDEX(Katalog!$F$3:$F$12,MATCH(Data[[#This Row],[ItemID C]],Katalog!$C$3:$C$12,0))*Data[[#This Row],[Qty C]],"0")</f>
        <v>0</v>
      </c>
      <c r="X617" s="21">
        <f>Data[[#This Row],[Qty A]]+Data[[#This Row],[Qty B]]+Data[[#This Row],[Qty C]]</f>
        <v>1</v>
      </c>
      <c r="Y617" s="22">
        <f>Data[[#This Row],[Harga Barang A]]+Data[[#This Row],[Harga Barang B]]+Data[[#This Row],[Harga Barang C]]</f>
        <v>300000</v>
      </c>
      <c r="Z617" s="35">
        <f>IFERROR(Data[[#This Row],[Total Harga]]-(Data[[#This Row],[Total Harga]]*Data[[#This Row],[Diskon]]),Data[[#This Row],[Total Harga]])</f>
        <v>255000</v>
      </c>
      <c r="AA617" s="35">
        <f>(Data[[#This Row],[Profit A]]+Data[[#This Row],[Profit B]]+Data[[#This Row],[Profit C]])</f>
        <v>100000</v>
      </c>
      <c r="AB617" s="35">
        <f>IFERROR((Data[[#This Row],[Profit non Diskon]]-(Data[[#This Row],[Profit non Diskon]]*Data[[#This Row],[Diskon]])),Data[[#This Row],[Profit non Diskon]])</f>
        <v>85000</v>
      </c>
      <c r="AC617" s="23" t="s">
        <v>13</v>
      </c>
      <c r="AD617" s="37">
        <f>IFERROR(INDEX('Kode Diskon'!$D$3:$D$9,MATCH(Data[[#This Row],[Kode diskon]],'Kode Diskon'!$C$3:$C$9,0)),"-")</f>
        <v>0.15</v>
      </c>
      <c r="AE617" s="23" t="s">
        <v>29</v>
      </c>
      <c r="AF617" s="23" t="s">
        <v>7</v>
      </c>
      <c r="AG617" s="23" t="s">
        <v>76</v>
      </c>
      <c r="AH617" s="24">
        <v>45020</v>
      </c>
      <c r="AI617" s="23" t="str">
        <f>TEXT(Data[[#This Row],[Tanggal terjual]],"dddd")</f>
        <v>Tuesday</v>
      </c>
      <c r="AJ617" s="21" t="str">
        <f>TEXT(Data[[#This Row],[Tanggal terjual]],"wwww")</f>
        <v>wwww</v>
      </c>
    </row>
    <row r="618" spans="1:36" x14ac:dyDescent="0.2">
      <c r="A618" s="20">
        <v>617</v>
      </c>
      <c r="B618" s="21" t="str">
        <f>_xlfn.CONCAT("ORD-",INDEX(Helper!$B$2:$B$5,MATCH(Data[[#This Row],[Marketplace]],Helper!$A$2:$A$5,0)),TEXT(Data[[#This Row],[No]],"0000"),"-",TEXT(Data[[#This Row],[Tanggal terjual]],"dd/mm/yy"))</f>
        <v>ORD-TK0617-12/04/23</v>
      </c>
      <c r="C618" t="s">
        <v>60</v>
      </c>
      <c r="D618" t="str">
        <f>IFERROR(INDEX(Katalog!$A$3:$A$12,MATCH(Data[[#This Row],[ItemID A]],Katalog!$C$3:$C$12,0)),"-")</f>
        <v>Pakaian Wanita</v>
      </c>
      <c r="E618" t="str">
        <f>IFERROR(INDEX(Katalog!$B$3:$B$12,MATCH(Data[[#This Row],[ItemID A]],Katalog!$C$3:$C$12,0)),"-")</f>
        <v>Kaftan</v>
      </c>
      <c r="F618">
        <v>2</v>
      </c>
      <c r="G618">
        <v>4</v>
      </c>
      <c r="H618" s="36">
        <f>IFERROR(INDEX(Katalog!$D$3:$D$12,MATCH(Data[[#This Row],[ItemID A]],Katalog!$C$3:$C$12,0))*Data[[#This Row],[Qty A]],"0")</f>
        <v>500000</v>
      </c>
      <c r="I618" s="36">
        <f>IFERROR(INDEX(Katalog!$F$3:$F$12,MATCH(Data[[#This Row],[ItemID A]],Katalog!$C$3:$C$12,0))*Data[[#This Row],[Qty A]],0)</f>
        <v>200000</v>
      </c>
      <c r="K618" t="str">
        <f>IFERROR(INDEX(Katalog!$A$3:$A$12,MATCH(Data[[#This Row],[ItemID B]],Katalog!$C$3:$C$12,0)),"-")</f>
        <v>-</v>
      </c>
      <c r="L618" t="str">
        <f>IFERROR(INDEX(Katalog!$B$3:$B$12,MATCH(Data[[#This Row],[ItemID B]],Katalog!$C$3:$C$12,0)),"-")</f>
        <v>-</v>
      </c>
      <c r="O618" s="36" t="str">
        <f>IFERROR(INDEX(Katalog!$D$3:$D$12,MATCH(Data[[#This Row],[ItemID B]],Katalog!$C$3:$C$12,0))*Data[[#This Row],[Qty B]],"0")</f>
        <v>0</v>
      </c>
      <c r="P618" s="36" t="str">
        <f>IFERROR(INDEX(Katalog!$F$3:$F$12,MATCH(Data[[#This Row],[ItemID B]],Katalog!$C$3:$C$12,0))*Data[[#This Row],[Qty B]],"0")</f>
        <v>0</v>
      </c>
      <c r="R618" t="str">
        <f>IFERROR(INDEX(Katalog!$A$3:$A$12,MATCH(Data[[#This Row],[ItemID C]],Katalog!$C$3:$C$12,0)),"-")</f>
        <v>-</v>
      </c>
      <c r="S618" t="str">
        <f>IFERROR(INDEX(Katalog!$B$3:$B$12,MATCH(Data[[#This Row],[ItemID C]],Katalog!$C$3:$C$12,0)),"-")</f>
        <v>-</v>
      </c>
      <c r="V618" s="36" t="str">
        <f>IFERROR(INDEX(Katalog!$D$3:$D$12,MATCH(Data[[#This Row],[ItemID C]],Katalog!$C$3:$C$12,0))*Data[[#This Row],[Qty C]],"0")</f>
        <v>0</v>
      </c>
      <c r="W618" s="36" t="str">
        <f>IFERROR(INDEX(Katalog!$F$3:$F$12,MATCH(Data[[#This Row],[ItemID C]],Katalog!$C$3:$C$12,0))*Data[[#This Row],[Qty C]],"0")</f>
        <v>0</v>
      </c>
      <c r="X618" s="21">
        <f>Data[[#This Row],[Qty A]]+Data[[#This Row],[Qty B]]+Data[[#This Row],[Qty C]]</f>
        <v>2</v>
      </c>
      <c r="Y618" s="22">
        <f>Data[[#This Row],[Harga Barang A]]+Data[[#This Row],[Harga Barang B]]+Data[[#This Row],[Harga Barang C]]</f>
        <v>500000</v>
      </c>
      <c r="Z618" s="35">
        <f>IFERROR(Data[[#This Row],[Total Harga]]-(Data[[#This Row],[Total Harga]]*Data[[#This Row],[Diskon]]),Data[[#This Row],[Total Harga]])</f>
        <v>500000</v>
      </c>
      <c r="AA618" s="35">
        <f>(Data[[#This Row],[Profit A]]+Data[[#This Row],[Profit B]]+Data[[#This Row],[Profit C]])</f>
        <v>200000</v>
      </c>
      <c r="AB618" s="35">
        <f>IFERROR((Data[[#This Row],[Profit non Diskon]]-(Data[[#This Row],[Profit non Diskon]]*Data[[#This Row],[Diskon]])),Data[[#This Row],[Profit non Diskon]])</f>
        <v>200000</v>
      </c>
      <c r="AC618" s="23" t="s">
        <v>11</v>
      </c>
      <c r="AD618" s="37" t="str">
        <f>IFERROR(INDEX('Kode Diskon'!$D$3:$D$9,MATCH(Data[[#This Row],[Kode diskon]],'Kode Diskon'!$C$3:$C$9,0)),"-")</f>
        <v>-</v>
      </c>
      <c r="AE618" s="23" t="s">
        <v>11</v>
      </c>
      <c r="AF618" s="23" t="s">
        <v>10</v>
      </c>
      <c r="AG618" s="23" t="s">
        <v>76</v>
      </c>
      <c r="AH618" s="24">
        <v>45028</v>
      </c>
      <c r="AI618" s="23" t="str">
        <f>TEXT(Data[[#This Row],[Tanggal terjual]],"dddd")</f>
        <v>Wednesday</v>
      </c>
      <c r="AJ618" s="21" t="str">
        <f>TEXT(Data[[#This Row],[Tanggal terjual]],"wwww")</f>
        <v>wwww</v>
      </c>
    </row>
    <row r="619" spans="1:36" x14ac:dyDescent="0.2">
      <c r="A619" s="20">
        <v>618</v>
      </c>
      <c r="B619" s="21" t="str">
        <f>_xlfn.CONCAT("ORD-",INDEX(Helper!$B$2:$B$5,MATCH(Data[[#This Row],[Marketplace]],Helper!$A$2:$A$5,0)),TEXT(Data[[#This Row],[No]],"0000"),"-",TEXT(Data[[#This Row],[Tanggal terjual]],"dd/mm/yy"))</f>
        <v>ORD-BL0618-12/04/23</v>
      </c>
      <c r="C619" t="s">
        <v>66</v>
      </c>
      <c r="D619" t="str">
        <f>IFERROR(INDEX(Katalog!$A$3:$A$12,MATCH(Data[[#This Row],[ItemID A]],Katalog!$C$3:$C$12,0)),"-")</f>
        <v>Sepatu Pria</v>
      </c>
      <c r="E619" t="str">
        <f>IFERROR(INDEX(Katalog!$B$3:$B$12,MATCH(Data[[#This Row],[ItemID A]],Katalog!$C$3:$C$12,0)),"-")</f>
        <v>Sandal Slip On</v>
      </c>
      <c r="F619">
        <v>1</v>
      </c>
      <c r="G619">
        <v>5</v>
      </c>
      <c r="H619" s="36">
        <f>IFERROR(INDEX(Katalog!$D$3:$D$12,MATCH(Data[[#This Row],[ItemID A]],Katalog!$C$3:$C$12,0))*Data[[#This Row],[Qty A]],"0")</f>
        <v>150000</v>
      </c>
      <c r="I619" s="36">
        <f>IFERROR(INDEX(Katalog!$F$3:$F$12,MATCH(Data[[#This Row],[ItemID A]],Katalog!$C$3:$C$12,0))*Data[[#This Row],[Qty A]],0)</f>
        <v>60000</v>
      </c>
      <c r="J619" t="s">
        <v>63</v>
      </c>
      <c r="K619" t="str">
        <f>IFERROR(INDEX(Katalog!$A$3:$A$12,MATCH(Data[[#This Row],[ItemID B]],Katalog!$C$3:$C$12,0)),"-")</f>
        <v>Pakaian Pria</v>
      </c>
      <c r="L619" t="str">
        <f>IFERROR(INDEX(Katalog!$B$3:$B$12,MATCH(Data[[#This Row],[ItemID B]],Katalog!$C$3:$C$12,0)),"-")</f>
        <v>Jaket Jeans</v>
      </c>
      <c r="M619">
        <v>1</v>
      </c>
      <c r="N619">
        <v>2</v>
      </c>
      <c r="O619" s="36">
        <f>IFERROR(INDEX(Katalog!$D$3:$D$12,MATCH(Data[[#This Row],[ItemID B]],Katalog!$C$3:$C$12,0))*Data[[#This Row],[Qty B]],"0")</f>
        <v>400000</v>
      </c>
      <c r="P619" s="36">
        <f>IFERROR(INDEX(Katalog!$F$3:$F$12,MATCH(Data[[#This Row],[ItemID B]],Katalog!$C$3:$C$12,0))*Data[[#This Row],[Qty B]],"0")</f>
        <v>150000</v>
      </c>
      <c r="Q619" t="s">
        <v>58</v>
      </c>
      <c r="R619" t="str">
        <f>IFERROR(INDEX(Katalog!$A$3:$A$12,MATCH(Data[[#This Row],[ItemID C]],Katalog!$C$3:$C$12,0)),"-")</f>
        <v>Pakaian Wanita</v>
      </c>
      <c r="S619" t="str">
        <f>IFERROR(INDEX(Katalog!$B$3:$B$12,MATCH(Data[[#This Row],[ItemID C]],Katalog!$C$3:$C$12,0)),"-")</f>
        <v>Dress</v>
      </c>
      <c r="T619">
        <v>4</v>
      </c>
      <c r="U619">
        <v>5</v>
      </c>
      <c r="V619" s="36">
        <f>IFERROR(INDEX(Katalog!$D$3:$D$12,MATCH(Data[[#This Row],[ItemID C]],Katalog!$C$3:$C$12,0))*Data[[#This Row],[Qty C]],"0")</f>
        <v>1200000</v>
      </c>
      <c r="W619" s="36">
        <f>IFERROR(INDEX(Katalog!$F$3:$F$12,MATCH(Data[[#This Row],[ItemID C]],Katalog!$C$3:$C$12,0))*Data[[#This Row],[Qty C]],"0")</f>
        <v>400000</v>
      </c>
      <c r="X619" s="21">
        <f>Data[[#This Row],[Qty A]]+Data[[#This Row],[Qty B]]+Data[[#This Row],[Qty C]]</f>
        <v>6</v>
      </c>
      <c r="Y619" s="22">
        <f>Data[[#This Row],[Harga Barang A]]+Data[[#This Row],[Harga Barang B]]+Data[[#This Row],[Harga Barang C]]</f>
        <v>1750000</v>
      </c>
      <c r="Z619" s="35">
        <f>IFERROR(Data[[#This Row],[Total Harga]]-(Data[[#This Row],[Total Harga]]*Data[[#This Row],[Diskon]]),Data[[#This Row],[Total Harga]])</f>
        <v>1750000</v>
      </c>
      <c r="AA619" s="35">
        <f>(Data[[#This Row],[Profit A]]+Data[[#This Row],[Profit B]]+Data[[#This Row],[Profit C]])</f>
        <v>610000</v>
      </c>
      <c r="AB619" s="35">
        <f>IFERROR((Data[[#This Row],[Profit non Diskon]]-(Data[[#This Row],[Profit non Diskon]]*Data[[#This Row],[Diskon]])),Data[[#This Row],[Profit non Diskon]])</f>
        <v>610000</v>
      </c>
      <c r="AC619" s="23" t="s">
        <v>11</v>
      </c>
      <c r="AD619" s="37" t="str">
        <f>IFERROR(INDEX('Kode Diskon'!$D$3:$D$9,MATCH(Data[[#This Row],[Kode diskon]],'Kode Diskon'!$C$3:$C$9,0)),"-")</f>
        <v>-</v>
      </c>
      <c r="AE619" s="23" t="s">
        <v>11</v>
      </c>
      <c r="AF619" s="23" t="s">
        <v>12</v>
      </c>
      <c r="AG619" s="23" t="s">
        <v>80</v>
      </c>
      <c r="AH619" s="24">
        <v>45028</v>
      </c>
      <c r="AI619" s="23" t="str">
        <f>TEXT(Data[[#This Row],[Tanggal terjual]],"dddd")</f>
        <v>Wednesday</v>
      </c>
      <c r="AJ619" s="21" t="str">
        <f>TEXT(Data[[#This Row],[Tanggal terjual]],"wwww")</f>
        <v>wwww</v>
      </c>
    </row>
    <row r="620" spans="1:36" x14ac:dyDescent="0.2">
      <c r="A620" s="20">
        <v>619</v>
      </c>
      <c r="B620" s="21" t="str">
        <f>_xlfn.CONCAT("ORD-",INDEX(Helper!$B$2:$B$5,MATCH(Data[[#This Row],[Marketplace]],Helper!$A$2:$A$5,0)),TEXT(Data[[#This Row],[No]],"0000"),"-",TEXT(Data[[#This Row],[Tanggal terjual]],"dd/mm/yy"))</f>
        <v>ORD-TK0619-12/04/23</v>
      </c>
      <c r="C620" t="s">
        <v>59</v>
      </c>
      <c r="D620" t="str">
        <f>IFERROR(INDEX(Katalog!$A$3:$A$12,MATCH(Data[[#This Row],[ItemID A]],Katalog!$C$3:$C$12,0)),"-")</f>
        <v>Pakaian Wanita</v>
      </c>
      <c r="E620" t="str">
        <f>IFERROR(INDEX(Katalog!$B$3:$B$12,MATCH(Data[[#This Row],[ItemID A]],Katalog!$C$3:$C$12,0)),"-")</f>
        <v>Blouse</v>
      </c>
      <c r="F620">
        <v>5</v>
      </c>
      <c r="G620">
        <v>4</v>
      </c>
      <c r="H620" s="36">
        <f>IFERROR(INDEX(Katalog!$D$3:$D$12,MATCH(Data[[#This Row],[ItemID A]],Katalog!$C$3:$C$12,0))*Data[[#This Row],[Qty A]],"0")</f>
        <v>750000</v>
      </c>
      <c r="I620" s="36">
        <f>IFERROR(INDEX(Katalog!$F$3:$F$12,MATCH(Data[[#This Row],[ItemID A]],Katalog!$C$3:$C$12,0))*Data[[#This Row],[Qty A]],0)</f>
        <v>250000</v>
      </c>
      <c r="J620" t="s">
        <v>63</v>
      </c>
      <c r="K620" t="str">
        <f>IFERROR(INDEX(Katalog!$A$3:$A$12,MATCH(Data[[#This Row],[ItemID B]],Katalog!$C$3:$C$12,0)),"-")</f>
        <v>Pakaian Pria</v>
      </c>
      <c r="L620" t="str">
        <f>IFERROR(INDEX(Katalog!$B$3:$B$12,MATCH(Data[[#This Row],[ItemID B]],Katalog!$C$3:$C$12,0)),"-")</f>
        <v>Jaket Jeans</v>
      </c>
      <c r="M620">
        <v>1</v>
      </c>
      <c r="N620">
        <v>1</v>
      </c>
      <c r="O620" s="36">
        <f>IFERROR(INDEX(Katalog!$D$3:$D$12,MATCH(Data[[#This Row],[ItemID B]],Katalog!$C$3:$C$12,0))*Data[[#This Row],[Qty B]],"0")</f>
        <v>400000</v>
      </c>
      <c r="P620" s="36">
        <f>IFERROR(INDEX(Katalog!$F$3:$F$12,MATCH(Data[[#This Row],[ItemID B]],Katalog!$C$3:$C$12,0))*Data[[#This Row],[Qty B]],"0")</f>
        <v>150000</v>
      </c>
      <c r="R620" t="str">
        <f>IFERROR(INDEX(Katalog!$A$3:$A$12,MATCH(Data[[#This Row],[ItemID C]],Katalog!$C$3:$C$12,0)),"-")</f>
        <v>-</v>
      </c>
      <c r="S620" t="str">
        <f>IFERROR(INDEX(Katalog!$B$3:$B$12,MATCH(Data[[#This Row],[ItemID C]],Katalog!$C$3:$C$12,0)),"-")</f>
        <v>-</v>
      </c>
      <c r="V620" s="36" t="str">
        <f>IFERROR(INDEX(Katalog!$D$3:$D$12,MATCH(Data[[#This Row],[ItemID C]],Katalog!$C$3:$C$12,0))*Data[[#This Row],[Qty C]],"0")</f>
        <v>0</v>
      </c>
      <c r="W620" s="36" t="str">
        <f>IFERROR(INDEX(Katalog!$F$3:$F$12,MATCH(Data[[#This Row],[ItemID C]],Katalog!$C$3:$C$12,0))*Data[[#This Row],[Qty C]],"0")</f>
        <v>0</v>
      </c>
      <c r="X620" s="21">
        <f>Data[[#This Row],[Qty A]]+Data[[#This Row],[Qty B]]+Data[[#This Row],[Qty C]]</f>
        <v>6</v>
      </c>
      <c r="Y620" s="22">
        <f>Data[[#This Row],[Harga Barang A]]+Data[[#This Row],[Harga Barang B]]+Data[[#This Row],[Harga Barang C]]</f>
        <v>1150000</v>
      </c>
      <c r="Z620" s="35">
        <f>IFERROR(Data[[#This Row],[Total Harga]]-(Data[[#This Row],[Total Harga]]*Data[[#This Row],[Diskon]]),Data[[#This Row],[Total Harga]])</f>
        <v>1150000</v>
      </c>
      <c r="AA620" s="35">
        <f>(Data[[#This Row],[Profit A]]+Data[[#This Row],[Profit B]]+Data[[#This Row],[Profit C]])</f>
        <v>400000</v>
      </c>
      <c r="AB620" s="35">
        <f>IFERROR((Data[[#This Row],[Profit non Diskon]]-(Data[[#This Row],[Profit non Diskon]]*Data[[#This Row],[Diskon]])),Data[[#This Row],[Profit non Diskon]])</f>
        <v>400000</v>
      </c>
      <c r="AC620" s="23" t="s">
        <v>11</v>
      </c>
      <c r="AD620" s="37" t="str">
        <f>IFERROR(INDEX('Kode Diskon'!$D$3:$D$9,MATCH(Data[[#This Row],[Kode diskon]],'Kode Diskon'!$C$3:$C$9,0)),"-")</f>
        <v>-</v>
      </c>
      <c r="AE620" s="23" t="s">
        <v>11</v>
      </c>
      <c r="AF620" s="23" t="s">
        <v>10</v>
      </c>
      <c r="AG620" s="23" t="s">
        <v>80</v>
      </c>
      <c r="AH620" s="24">
        <v>45028</v>
      </c>
      <c r="AI620" s="23" t="str">
        <f>TEXT(Data[[#This Row],[Tanggal terjual]],"dddd")</f>
        <v>Wednesday</v>
      </c>
      <c r="AJ620" s="21" t="str">
        <f>TEXT(Data[[#This Row],[Tanggal terjual]],"wwww")</f>
        <v>wwww</v>
      </c>
    </row>
    <row r="621" spans="1:36" x14ac:dyDescent="0.2">
      <c r="A621" s="20">
        <v>620</v>
      </c>
      <c r="B621" s="21" t="str">
        <f>_xlfn.CONCAT("ORD-",INDEX(Helper!$B$2:$B$5,MATCH(Data[[#This Row],[Marketplace]],Helper!$A$2:$A$5,0)),TEXT(Data[[#This Row],[No]],"0000"),"-",TEXT(Data[[#This Row],[Tanggal terjual]],"dd/mm/yy"))</f>
        <v>ORD-TK0620-16/04/23</v>
      </c>
      <c r="C621" t="s">
        <v>61</v>
      </c>
      <c r="D621" t="str">
        <f>IFERROR(INDEX(Katalog!$A$3:$A$12,MATCH(Data[[#This Row],[ItemID A]],Katalog!$C$3:$C$12,0)),"-")</f>
        <v>Pakaian Pria</v>
      </c>
      <c r="E621" t="str">
        <f>IFERROR(INDEX(Katalog!$B$3:$B$12,MATCH(Data[[#This Row],[ItemID A]],Katalog!$C$3:$C$12,0)),"-")</f>
        <v>Kaos Polo</v>
      </c>
      <c r="F621">
        <v>5</v>
      </c>
      <c r="G621">
        <v>2</v>
      </c>
      <c r="H621" s="36">
        <f>IFERROR(INDEX(Katalog!$D$3:$D$12,MATCH(Data[[#This Row],[ItemID A]],Katalog!$C$3:$C$12,0))*Data[[#This Row],[Qty A]],"0")</f>
        <v>1000000</v>
      </c>
      <c r="I621" s="36">
        <f>IFERROR(INDEX(Katalog!$F$3:$F$12,MATCH(Data[[#This Row],[ItemID A]],Katalog!$C$3:$C$12,0))*Data[[#This Row],[Qty A]],0)</f>
        <v>400000</v>
      </c>
      <c r="K621" t="str">
        <f>IFERROR(INDEX(Katalog!$A$3:$A$12,MATCH(Data[[#This Row],[ItemID B]],Katalog!$C$3:$C$12,0)),"-")</f>
        <v>-</v>
      </c>
      <c r="L621" t="str">
        <f>IFERROR(INDEX(Katalog!$B$3:$B$12,MATCH(Data[[#This Row],[ItemID B]],Katalog!$C$3:$C$12,0)),"-")</f>
        <v>-</v>
      </c>
      <c r="O621" s="36" t="str">
        <f>IFERROR(INDEX(Katalog!$D$3:$D$12,MATCH(Data[[#This Row],[ItemID B]],Katalog!$C$3:$C$12,0))*Data[[#This Row],[Qty B]],"0")</f>
        <v>0</v>
      </c>
      <c r="P621" s="36" t="str">
        <f>IFERROR(INDEX(Katalog!$F$3:$F$12,MATCH(Data[[#This Row],[ItemID B]],Katalog!$C$3:$C$12,0))*Data[[#This Row],[Qty B]],"0")</f>
        <v>0</v>
      </c>
      <c r="R621" t="str">
        <f>IFERROR(INDEX(Katalog!$A$3:$A$12,MATCH(Data[[#This Row],[ItemID C]],Katalog!$C$3:$C$12,0)),"-")</f>
        <v>-</v>
      </c>
      <c r="S621" t="str">
        <f>IFERROR(INDEX(Katalog!$B$3:$B$12,MATCH(Data[[#This Row],[ItemID C]],Katalog!$C$3:$C$12,0)),"-")</f>
        <v>-</v>
      </c>
      <c r="V621" s="36" t="str">
        <f>IFERROR(INDEX(Katalog!$D$3:$D$12,MATCH(Data[[#This Row],[ItemID C]],Katalog!$C$3:$C$12,0))*Data[[#This Row],[Qty C]],"0")</f>
        <v>0</v>
      </c>
      <c r="W621" s="36" t="str">
        <f>IFERROR(INDEX(Katalog!$F$3:$F$12,MATCH(Data[[#This Row],[ItemID C]],Katalog!$C$3:$C$12,0))*Data[[#This Row],[Qty C]],"0")</f>
        <v>0</v>
      </c>
      <c r="X621" s="21">
        <f>Data[[#This Row],[Qty A]]+Data[[#This Row],[Qty B]]+Data[[#This Row],[Qty C]]</f>
        <v>5</v>
      </c>
      <c r="Y621" s="22">
        <f>Data[[#This Row],[Harga Barang A]]+Data[[#This Row],[Harga Barang B]]+Data[[#This Row],[Harga Barang C]]</f>
        <v>1000000</v>
      </c>
      <c r="Z621" s="35">
        <f>IFERROR(Data[[#This Row],[Total Harga]]-(Data[[#This Row],[Total Harga]]*Data[[#This Row],[Diskon]]),Data[[#This Row],[Total Harga]])</f>
        <v>900000</v>
      </c>
      <c r="AA621" s="35">
        <f>(Data[[#This Row],[Profit A]]+Data[[#This Row],[Profit B]]+Data[[#This Row],[Profit C]])</f>
        <v>400000</v>
      </c>
      <c r="AB621" s="35">
        <f>IFERROR((Data[[#This Row],[Profit non Diskon]]-(Data[[#This Row],[Profit non Diskon]]*Data[[#This Row],[Diskon]])),Data[[#This Row],[Profit non Diskon]])</f>
        <v>360000</v>
      </c>
      <c r="AC621" s="23" t="s">
        <v>31</v>
      </c>
      <c r="AD621" s="37">
        <f>IFERROR(INDEX('Kode Diskon'!$D$3:$D$9,MATCH(Data[[#This Row],[Kode diskon]],'Kode Diskon'!$C$3:$C$9,0)),"-")</f>
        <v>0.1</v>
      </c>
      <c r="AE621" s="23" t="s">
        <v>9</v>
      </c>
      <c r="AF621" s="23" t="s">
        <v>10</v>
      </c>
      <c r="AG621" s="23" t="s">
        <v>75</v>
      </c>
      <c r="AH621" s="24">
        <v>45032</v>
      </c>
      <c r="AI621" s="23" t="str">
        <f>TEXT(Data[[#This Row],[Tanggal terjual]],"dddd")</f>
        <v>Sunday</v>
      </c>
      <c r="AJ621" s="21" t="str">
        <f>TEXT(Data[[#This Row],[Tanggal terjual]],"wwww")</f>
        <v>wwww</v>
      </c>
    </row>
    <row r="622" spans="1:36" x14ac:dyDescent="0.2">
      <c r="A622" s="20">
        <v>621</v>
      </c>
      <c r="B622" s="21" t="str">
        <f>_xlfn.CONCAT("ORD-",INDEX(Helper!$B$2:$B$5,MATCH(Data[[#This Row],[Marketplace]],Helper!$A$2:$A$5,0)),TEXT(Data[[#This Row],[No]],"0000"),"-",TEXT(Data[[#This Row],[Tanggal terjual]],"dd/mm/yy"))</f>
        <v>ORD-SP0621-05/04/23</v>
      </c>
      <c r="C622" t="s">
        <v>67</v>
      </c>
      <c r="D622" t="str">
        <f>IFERROR(INDEX(Katalog!$A$3:$A$12,MATCH(Data[[#This Row],[ItemID A]],Katalog!$C$3:$C$12,0)),"-")</f>
        <v>Sepatu Wanita</v>
      </c>
      <c r="E622" t="str">
        <f>IFERROR(INDEX(Katalog!$B$3:$B$12,MATCH(Data[[#This Row],[ItemID A]],Katalog!$C$3:$C$12,0)),"-")</f>
        <v>Flat Shoes</v>
      </c>
      <c r="F622">
        <v>7</v>
      </c>
      <c r="G622">
        <v>4</v>
      </c>
      <c r="H622" s="36">
        <f>IFERROR(INDEX(Katalog!$D$3:$D$12,MATCH(Data[[#This Row],[ItemID A]],Katalog!$C$3:$C$12,0))*Data[[#This Row],[Qty A]],"0")</f>
        <v>1750000</v>
      </c>
      <c r="I622" s="36">
        <f>IFERROR(INDEX(Katalog!$F$3:$F$12,MATCH(Data[[#This Row],[ItemID A]],Katalog!$C$3:$C$12,0))*Data[[#This Row],[Qty A]],0)</f>
        <v>700000</v>
      </c>
      <c r="K622" t="str">
        <f>IFERROR(INDEX(Katalog!$A$3:$A$12,MATCH(Data[[#This Row],[ItemID B]],Katalog!$C$3:$C$12,0)),"-")</f>
        <v>-</v>
      </c>
      <c r="L622" t="str">
        <f>IFERROR(INDEX(Katalog!$B$3:$B$12,MATCH(Data[[#This Row],[ItemID B]],Katalog!$C$3:$C$12,0)),"-")</f>
        <v>-</v>
      </c>
      <c r="O622" s="36" t="str">
        <f>IFERROR(INDEX(Katalog!$D$3:$D$12,MATCH(Data[[#This Row],[ItemID B]],Katalog!$C$3:$C$12,0))*Data[[#This Row],[Qty B]],"0")</f>
        <v>0</v>
      </c>
      <c r="P622" s="36" t="str">
        <f>IFERROR(INDEX(Katalog!$F$3:$F$12,MATCH(Data[[#This Row],[ItemID B]],Katalog!$C$3:$C$12,0))*Data[[#This Row],[Qty B]],"0")</f>
        <v>0</v>
      </c>
      <c r="R622" t="str">
        <f>IFERROR(INDEX(Katalog!$A$3:$A$12,MATCH(Data[[#This Row],[ItemID C]],Katalog!$C$3:$C$12,0)),"-")</f>
        <v>-</v>
      </c>
      <c r="S622" t="str">
        <f>IFERROR(INDEX(Katalog!$B$3:$B$12,MATCH(Data[[#This Row],[ItemID C]],Katalog!$C$3:$C$12,0)),"-")</f>
        <v>-</v>
      </c>
      <c r="V622" s="36" t="str">
        <f>IFERROR(INDEX(Katalog!$D$3:$D$12,MATCH(Data[[#This Row],[ItemID C]],Katalog!$C$3:$C$12,0))*Data[[#This Row],[Qty C]],"0")</f>
        <v>0</v>
      </c>
      <c r="W622" s="36" t="str">
        <f>IFERROR(INDEX(Katalog!$F$3:$F$12,MATCH(Data[[#This Row],[ItemID C]],Katalog!$C$3:$C$12,0))*Data[[#This Row],[Qty C]],"0")</f>
        <v>0</v>
      </c>
      <c r="X622" s="21">
        <f>Data[[#This Row],[Qty A]]+Data[[#This Row],[Qty B]]+Data[[#This Row],[Qty C]]</f>
        <v>7</v>
      </c>
      <c r="Y622" s="22">
        <f>Data[[#This Row],[Harga Barang A]]+Data[[#This Row],[Harga Barang B]]+Data[[#This Row],[Harga Barang C]]</f>
        <v>1750000</v>
      </c>
      <c r="Z622" s="35">
        <f>IFERROR(Data[[#This Row],[Total Harga]]-(Data[[#This Row],[Total Harga]]*Data[[#This Row],[Diskon]]),Data[[#This Row],[Total Harga]])</f>
        <v>1487500</v>
      </c>
      <c r="AA622" s="35">
        <f>(Data[[#This Row],[Profit A]]+Data[[#This Row],[Profit B]]+Data[[#This Row],[Profit C]])</f>
        <v>700000</v>
      </c>
      <c r="AB622" s="35">
        <f>IFERROR((Data[[#This Row],[Profit non Diskon]]-(Data[[#This Row],[Profit non Diskon]]*Data[[#This Row],[Diskon]])),Data[[#This Row],[Profit non Diskon]])</f>
        <v>595000</v>
      </c>
      <c r="AC622" s="23" t="s">
        <v>13</v>
      </c>
      <c r="AD622" s="37">
        <f>IFERROR(INDEX('Kode Diskon'!$D$3:$D$9,MATCH(Data[[#This Row],[Kode diskon]],'Kode Diskon'!$C$3:$C$9,0)),"-")</f>
        <v>0.15</v>
      </c>
      <c r="AE622" s="23" t="s">
        <v>29</v>
      </c>
      <c r="AF622" s="23" t="s">
        <v>7</v>
      </c>
      <c r="AG622" s="23" t="s">
        <v>75</v>
      </c>
      <c r="AH622" s="24">
        <v>45021</v>
      </c>
      <c r="AI622" s="23" t="str">
        <f>TEXT(Data[[#This Row],[Tanggal terjual]],"dddd")</f>
        <v>Wednesday</v>
      </c>
      <c r="AJ622" s="21" t="str">
        <f>TEXT(Data[[#This Row],[Tanggal terjual]],"wwww")</f>
        <v>wwww</v>
      </c>
    </row>
    <row r="623" spans="1:36" x14ac:dyDescent="0.2">
      <c r="A623" s="20">
        <v>622</v>
      </c>
      <c r="B623" s="21" t="str">
        <f>_xlfn.CONCAT("ORD-",INDEX(Helper!$B$2:$B$5,MATCH(Data[[#This Row],[Marketplace]],Helper!$A$2:$A$5,0)),TEXT(Data[[#This Row],[No]],"0000"),"-",TEXT(Data[[#This Row],[Tanggal terjual]],"dd/mm/yy"))</f>
        <v>ORD-BL0622-25/04/23</v>
      </c>
      <c r="C623" t="s">
        <v>67</v>
      </c>
      <c r="D623" t="str">
        <f>IFERROR(INDEX(Katalog!$A$3:$A$12,MATCH(Data[[#This Row],[ItemID A]],Katalog!$C$3:$C$12,0)),"-")</f>
        <v>Sepatu Wanita</v>
      </c>
      <c r="E623" t="str">
        <f>IFERROR(INDEX(Katalog!$B$3:$B$12,MATCH(Data[[#This Row],[ItemID A]],Katalog!$C$3:$C$12,0)),"-")</f>
        <v>Flat Shoes</v>
      </c>
      <c r="F623">
        <v>3</v>
      </c>
      <c r="G623">
        <v>4</v>
      </c>
      <c r="H623" s="36">
        <f>IFERROR(INDEX(Katalog!$D$3:$D$12,MATCH(Data[[#This Row],[ItemID A]],Katalog!$C$3:$C$12,0))*Data[[#This Row],[Qty A]],"0")</f>
        <v>750000</v>
      </c>
      <c r="I623" s="36">
        <f>IFERROR(INDEX(Katalog!$F$3:$F$12,MATCH(Data[[#This Row],[ItemID A]],Katalog!$C$3:$C$12,0))*Data[[#This Row],[Qty A]],0)</f>
        <v>300000</v>
      </c>
      <c r="J623" t="s">
        <v>64</v>
      </c>
      <c r="K623" t="str">
        <f>IFERROR(INDEX(Katalog!$A$3:$A$12,MATCH(Data[[#This Row],[ItemID B]],Katalog!$C$3:$C$12,0)),"-")</f>
        <v>Pakaian Unisex</v>
      </c>
      <c r="L623" t="str">
        <f>IFERROR(INDEX(Katalog!$B$3:$B$12,MATCH(Data[[#This Row],[ItemID B]],Katalog!$C$3:$C$12,0)),"-")</f>
        <v>Jaket Hoodie</v>
      </c>
      <c r="M623">
        <v>1</v>
      </c>
      <c r="N623">
        <v>1</v>
      </c>
      <c r="O623" s="36">
        <f>IFERROR(INDEX(Katalog!$D$3:$D$12,MATCH(Data[[#This Row],[ItemID B]],Katalog!$C$3:$C$12,0))*Data[[#This Row],[Qty B]],"0")</f>
        <v>350000</v>
      </c>
      <c r="P623" s="36">
        <f>IFERROR(INDEX(Katalog!$F$3:$F$12,MATCH(Data[[#This Row],[ItemID B]],Katalog!$C$3:$C$12,0))*Data[[#This Row],[Qty B]],"0")</f>
        <v>130000</v>
      </c>
      <c r="R623" t="str">
        <f>IFERROR(INDEX(Katalog!$A$3:$A$12,MATCH(Data[[#This Row],[ItemID C]],Katalog!$C$3:$C$12,0)),"-")</f>
        <v>-</v>
      </c>
      <c r="S623" t="str">
        <f>IFERROR(INDEX(Katalog!$B$3:$B$12,MATCH(Data[[#This Row],[ItemID C]],Katalog!$C$3:$C$12,0)),"-")</f>
        <v>-</v>
      </c>
      <c r="V623" s="36" t="str">
        <f>IFERROR(INDEX(Katalog!$D$3:$D$12,MATCH(Data[[#This Row],[ItemID C]],Katalog!$C$3:$C$12,0))*Data[[#This Row],[Qty C]],"0")</f>
        <v>0</v>
      </c>
      <c r="W623" s="36" t="str">
        <f>IFERROR(INDEX(Katalog!$F$3:$F$12,MATCH(Data[[#This Row],[ItemID C]],Katalog!$C$3:$C$12,0))*Data[[#This Row],[Qty C]],"0")</f>
        <v>0</v>
      </c>
      <c r="X623" s="21">
        <f>Data[[#This Row],[Qty A]]+Data[[#This Row],[Qty B]]+Data[[#This Row],[Qty C]]</f>
        <v>4</v>
      </c>
      <c r="Y623" s="22">
        <f>Data[[#This Row],[Harga Barang A]]+Data[[#This Row],[Harga Barang B]]+Data[[#This Row],[Harga Barang C]]</f>
        <v>1100000</v>
      </c>
      <c r="Z623" s="35">
        <f>IFERROR(Data[[#This Row],[Total Harga]]-(Data[[#This Row],[Total Harga]]*Data[[#This Row],[Diskon]]),Data[[#This Row],[Total Harga]])</f>
        <v>935000</v>
      </c>
      <c r="AA623" s="35">
        <f>(Data[[#This Row],[Profit A]]+Data[[#This Row],[Profit B]]+Data[[#This Row],[Profit C]])</f>
        <v>430000</v>
      </c>
      <c r="AB623" s="35">
        <f>IFERROR((Data[[#This Row],[Profit non Diskon]]-(Data[[#This Row],[Profit non Diskon]]*Data[[#This Row],[Diskon]])),Data[[#This Row],[Profit non Diskon]])</f>
        <v>365500</v>
      </c>
      <c r="AC623" s="23" t="s">
        <v>32</v>
      </c>
      <c r="AD623" s="37">
        <f>IFERROR(INDEX('Kode Diskon'!$D$3:$D$9,MATCH(Data[[#This Row],[Kode diskon]],'Kode Diskon'!$C$3:$C$9,0)),"-")</f>
        <v>0.15</v>
      </c>
      <c r="AE623" s="23" t="s">
        <v>9</v>
      </c>
      <c r="AF623" s="23" t="s">
        <v>12</v>
      </c>
      <c r="AG623" s="23" t="s">
        <v>77</v>
      </c>
      <c r="AH623" s="24">
        <v>45041</v>
      </c>
      <c r="AI623" s="23" t="str">
        <f>TEXT(Data[[#This Row],[Tanggal terjual]],"dddd")</f>
        <v>Tuesday</v>
      </c>
      <c r="AJ623" s="21" t="str">
        <f>TEXT(Data[[#This Row],[Tanggal terjual]],"wwww")</f>
        <v>wwww</v>
      </c>
    </row>
    <row r="624" spans="1:36" x14ac:dyDescent="0.2">
      <c r="A624" s="20">
        <v>623</v>
      </c>
      <c r="B624" s="21" t="str">
        <f>_xlfn.CONCAT("ORD-",INDEX(Helper!$B$2:$B$5,MATCH(Data[[#This Row],[Marketplace]],Helper!$A$2:$A$5,0)),TEXT(Data[[#This Row],[No]],"0000"),"-",TEXT(Data[[#This Row],[Tanggal terjual]],"dd/mm/yy"))</f>
        <v>ORD-SP0623-03/04/23</v>
      </c>
      <c r="C624" t="s">
        <v>60</v>
      </c>
      <c r="D624" t="str">
        <f>IFERROR(INDEX(Katalog!$A$3:$A$12,MATCH(Data[[#This Row],[ItemID A]],Katalog!$C$3:$C$12,0)),"-")</f>
        <v>Pakaian Wanita</v>
      </c>
      <c r="E624" t="str">
        <f>IFERROR(INDEX(Katalog!$B$3:$B$12,MATCH(Data[[#This Row],[ItemID A]],Katalog!$C$3:$C$12,0)),"-")</f>
        <v>Kaftan</v>
      </c>
      <c r="F624">
        <v>6</v>
      </c>
      <c r="G624">
        <v>1</v>
      </c>
      <c r="H624" s="36">
        <f>IFERROR(INDEX(Katalog!$D$3:$D$12,MATCH(Data[[#This Row],[ItemID A]],Katalog!$C$3:$C$12,0))*Data[[#This Row],[Qty A]],"0")</f>
        <v>1500000</v>
      </c>
      <c r="I624" s="36">
        <f>IFERROR(INDEX(Katalog!$F$3:$F$12,MATCH(Data[[#This Row],[ItemID A]],Katalog!$C$3:$C$12,0))*Data[[#This Row],[Qty A]],0)</f>
        <v>600000</v>
      </c>
      <c r="J624" t="s">
        <v>65</v>
      </c>
      <c r="K624" t="str">
        <f>IFERROR(INDEX(Katalog!$A$3:$A$12,MATCH(Data[[#This Row],[ItemID B]],Katalog!$C$3:$C$12,0)),"-")</f>
        <v>Sepatu Pria</v>
      </c>
      <c r="L624" t="str">
        <f>IFERROR(INDEX(Katalog!$B$3:$B$12,MATCH(Data[[#This Row],[ItemID B]],Katalog!$C$3:$C$12,0)),"-")</f>
        <v>Sneakers</v>
      </c>
      <c r="M624">
        <v>1</v>
      </c>
      <c r="N624">
        <v>5</v>
      </c>
      <c r="O624" s="36">
        <f>IFERROR(INDEX(Katalog!$D$3:$D$12,MATCH(Data[[#This Row],[ItemID B]],Katalog!$C$3:$C$12,0))*Data[[#This Row],[Qty B]],"0")</f>
        <v>500000</v>
      </c>
      <c r="P624" s="36">
        <f>IFERROR(INDEX(Katalog!$F$3:$F$12,MATCH(Data[[#This Row],[ItemID B]],Katalog!$C$3:$C$12,0))*Data[[#This Row],[Qty B]],"0")</f>
        <v>200000</v>
      </c>
      <c r="R624" t="str">
        <f>IFERROR(INDEX(Katalog!$A$3:$A$12,MATCH(Data[[#This Row],[ItemID C]],Katalog!$C$3:$C$12,0)),"-")</f>
        <v>-</v>
      </c>
      <c r="S624" t="str">
        <f>IFERROR(INDEX(Katalog!$B$3:$B$12,MATCH(Data[[#This Row],[ItemID C]],Katalog!$C$3:$C$12,0)),"-")</f>
        <v>-</v>
      </c>
      <c r="V624" s="36" t="str">
        <f>IFERROR(INDEX(Katalog!$D$3:$D$12,MATCH(Data[[#This Row],[ItemID C]],Katalog!$C$3:$C$12,0))*Data[[#This Row],[Qty C]],"0")</f>
        <v>0</v>
      </c>
      <c r="W624" s="36" t="str">
        <f>IFERROR(INDEX(Katalog!$F$3:$F$12,MATCH(Data[[#This Row],[ItemID C]],Katalog!$C$3:$C$12,0))*Data[[#This Row],[Qty C]],"0")</f>
        <v>0</v>
      </c>
      <c r="X624" s="21">
        <f>Data[[#This Row],[Qty A]]+Data[[#This Row],[Qty B]]+Data[[#This Row],[Qty C]]</f>
        <v>7</v>
      </c>
      <c r="Y624" s="22">
        <f>Data[[#This Row],[Harga Barang A]]+Data[[#This Row],[Harga Barang B]]+Data[[#This Row],[Harga Barang C]]</f>
        <v>2000000</v>
      </c>
      <c r="Z624" s="35">
        <f>IFERROR(Data[[#This Row],[Total Harga]]-(Data[[#This Row],[Total Harga]]*Data[[#This Row],[Diskon]]),Data[[#This Row],[Total Harga]])</f>
        <v>1700000</v>
      </c>
      <c r="AA624" s="35">
        <f>(Data[[#This Row],[Profit A]]+Data[[#This Row],[Profit B]]+Data[[#This Row],[Profit C]])</f>
        <v>800000</v>
      </c>
      <c r="AB624" s="35">
        <f>IFERROR((Data[[#This Row],[Profit non Diskon]]-(Data[[#This Row],[Profit non Diskon]]*Data[[#This Row],[Diskon]])),Data[[#This Row],[Profit non Diskon]])</f>
        <v>680000</v>
      </c>
      <c r="AC624" s="23" t="s">
        <v>13</v>
      </c>
      <c r="AD624" s="37">
        <f>IFERROR(INDEX('Kode Diskon'!$D$3:$D$9,MATCH(Data[[#This Row],[Kode diskon]],'Kode Diskon'!$C$3:$C$9,0)),"-")</f>
        <v>0.15</v>
      </c>
      <c r="AE624" s="23" t="s">
        <v>29</v>
      </c>
      <c r="AF624" s="23" t="s">
        <v>7</v>
      </c>
      <c r="AG624" s="23" t="s">
        <v>80</v>
      </c>
      <c r="AH624" s="24">
        <v>45019</v>
      </c>
      <c r="AI624" s="23" t="str">
        <f>TEXT(Data[[#This Row],[Tanggal terjual]],"dddd")</f>
        <v>Monday</v>
      </c>
      <c r="AJ624" s="21" t="str">
        <f>TEXT(Data[[#This Row],[Tanggal terjual]],"wwww")</f>
        <v>wwww</v>
      </c>
    </row>
    <row r="625" spans="1:36" x14ac:dyDescent="0.2">
      <c r="A625" s="20">
        <v>624</v>
      </c>
      <c r="B625" s="21" t="str">
        <f>_xlfn.CONCAT("ORD-",INDEX(Helper!$B$2:$B$5,MATCH(Data[[#This Row],[Marketplace]],Helper!$A$2:$A$5,0)),TEXT(Data[[#This Row],[No]],"0000"),"-",TEXT(Data[[#This Row],[Tanggal terjual]],"dd/mm/yy"))</f>
        <v>ORD-TK0624-26/04/23</v>
      </c>
      <c r="C625" t="s">
        <v>62</v>
      </c>
      <c r="D625" t="str">
        <f>IFERROR(INDEX(Katalog!$A$3:$A$12,MATCH(Data[[#This Row],[ItemID A]],Katalog!$C$3:$C$12,0)),"-")</f>
        <v>Pakaian Pria</v>
      </c>
      <c r="E625" t="str">
        <f>IFERROR(INDEX(Katalog!$B$3:$B$12,MATCH(Data[[#This Row],[ItemID A]],Katalog!$C$3:$C$12,0)),"-")</f>
        <v>Celana Pendek</v>
      </c>
      <c r="F625">
        <v>2</v>
      </c>
      <c r="G625">
        <v>1</v>
      </c>
      <c r="H625" s="36">
        <f>IFERROR(INDEX(Katalog!$D$3:$D$12,MATCH(Data[[#This Row],[ItemID A]],Katalog!$C$3:$C$12,0))*Data[[#This Row],[Qty A]],"0")</f>
        <v>360000</v>
      </c>
      <c r="I625" s="36">
        <f>IFERROR(INDEX(Katalog!$F$3:$F$12,MATCH(Data[[#This Row],[ItemID A]],Katalog!$C$3:$C$12,0))*Data[[#This Row],[Qty A]],0)</f>
        <v>140000</v>
      </c>
      <c r="J625" t="s">
        <v>65</v>
      </c>
      <c r="K625" t="str">
        <f>IFERROR(INDEX(Katalog!$A$3:$A$12,MATCH(Data[[#This Row],[ItemID B]],Katalog!$C$3:$C$12,0)),"-")</f>
        <v>Sepatu Pria</v>
      </c>
      <c r="L625" t="str">
        <f>IFERROR(INDEX(Katalog!$B$3:$B$12,MATCH(Data[[#This Row],[ItemID B]],Katalog!$C$3:$C$12,0)),"-")</f>
        <v>Sneakers</v>
      </c>
      <c r="M625">
        <v>3</v>
      </c>
      <c r="N625">
        <v>2</v>
      </c>
      <c r="O625" s="36">
        <f>IFERROR(INDEX(Katalog!$D$3:$D$12,MATCH(Data[[#This Row],[ItemID B]],Katalog!$C$3:$C$12,0))*Data[[#This Row],[Qty B]],"0")</f>
        <v>1500000</v>
      </c>
      <c r="P625" s="36">
        <f>IFERROR(INDEX(Katalog!$F$3:$F$12,MATCH(Data[[#This Row],[ItemID B]],Katalog!$C$3:$C$12,0))*Data[[#This Row],[Qty B]],"0")</f>
        <v>600000</v>
      </c>
      <c r="R625" t="str">
        <f>IFERROR(INDEX(Katalog!$A$3:$A$12,MATCH(Data[[#This Row],[ItemID C]],Katalog!$C$3:$C$12,0)),"-")</f>
        <v>-</v>
      </c>
      <c r="S625" t="str">
        <f>IFERROR(INDEX(Katalog!$B$3:$B$12,MATCH(Data[[#This Row],[ItemID C]],Katalog!$C$3:$C$12,0)),"-")</f>
        <v>-</v>
      </c>
      <c r="V625" s="36" t="str">
        <f>IFERROR(INDEX(Katalog!$D$3:$D$12,MATCH(Data[[#This Row],[ItemID C]],Katalog!$C$3:$C$12,0))*Data[[#This Row],[Qty C]],"0")</f>
        <v>0</v>
      </c>
      <c r="W625" s="36" t="str">
        <f>IFERROR(INDEX(Katalog!$F$3:$F$12,MATCH(Data[[#This Row],[ItemID C]],Katalog!$C$3:$C$12,0))*Data[[#This Row],[Qty C]],"0")</f>
        <v>0</v>
      </c>
      <c r="X625" s="21">
        <f>Data[[#This Row],[Qty A]]+Data[[#This Row],[Qty B]]+Data[[#This Row],[Qty C]]</f>
        <v>5</v>
      </c>
      <c r="Y625" s="22">
        <f>Data[[#This Row],[Harga Barang A]]+Data[[#This Row],[Harga Barang B]]+Data[[#This Row],[Harga Barang C]]</f>
        <v>1860000</v>
      </c>
      <c r="Z625" s="35">
        <f>IFERROR(Data[[#This Row],[Total Harga]]-(Data[[#This Row],[Total Harga]]*Data[[#This Row],[Diskon]]),Data[[#This Row],[Total Harga]])</f>
        <v>1674000</v>
      </c>
      <c r="AA625" s="35">
        <f>(Data[[#This Row],[Profit A]]+Data[[#This Row],[Profit B]]+Data[[#This Row],[Profit C]])</f>
        <v>740000</v>
      </c>
      <c r="AB625" s="35">
        <f>IFERROR((Data[[#This Row],[Profit non Diskon]]-(Data[[#This Row],[Profit non Diskon]]*Data[[#This Row],[Diskon]])),Data[[#This Row],[Profit non Diskon]])</f>
        <v>666000</v>
      </c>
      <c r="AC625" s="23" t="s">
        <v>31</v>
      </c>
      <c r="AD625" s="37">
        <f>IFERROR(INDEX('Kode Diskon'!$D$3:$D$9,MATCH(Data[[#This Row],[Kode diskon]],'Kode Diskon'!$C$3:$C$9,0)),"-")</f>
        <v>0.1</v>
      </c>
      <c r="AE625" s="23" t="s">
        <v>9</v>
      </c>
      <c r="AF625" s="23" t="s">
        <v>10</v>
      </c>
      <c r="AG625" s="23" t="s">
        <v>80</v>
      </c>
      <c r="AH625" s="24">
        <v>45042</v>
      </c>
      <c r="AI625" s="23" t="str">
        <f>TEXT(Data[[#This Row],[Tanggal terjual]],"dddd")</f>
        <v>Wednesday</v>
      </c>
      <c r="AJ625" s="21" t="str">
        <f>TEXT(Data[[#This Row],[Tanggal terjual]],"wwww")</f>
        <v>wwww</v>
      </c>
    </row>
    <row r="626" spans="1:36" x14ac:dyDescent="0.2">
      <c r="A626" s="20">
        <v>625</v>
      </c>
      <c r="B626" s="21" t="str">
        <f>_xlfn.CONCAT("ORD-",INDEX(Helper!$B$2:$B$5,MATCH(Data[[#This Row],[Marketplace]],Helper!$A$2:$A$5,0)),TEXT(Data[[#This Row],[No]],"0000"),"-",TEXT(Data[[#This Row],[Tanggal terjual]],"dd/mm/yy"))</f>
        <v>ORD-SP0625-03/04/23</v>
      </c>
      <c r="C626" t="s">
        <v>67</v>
      </c>
      <c r="D626" t="str">
        <f>IFERROR(INDEX(Katalog!$A$3:$A$12,MATCH(Data[[#This Row],[ItemID A]],Katalog!$C$3:$C$12,0)),"-")</f>
        <v>Sepatu Wanita</v>
      </c>
      <c r="E626" t="str">
        <f>IFERROR(INDEX(Katalog!$B$3:$B$12,MATCH(Data[[#This Row],[ItemID A]],Katalog!$C$3:$C$12,0)),"-")</f>
        <v>Flat Shoes</v>
      </c>
      <c r="F626">
        <v>3</v>
      </c>
      <c r="G626">
        <v>1</v>
      </c>
      <c r="H626" s="36">
        <f>IFERROR(INDEX(Katalog!$D$3:$D$12,MATCH(Data[[#This Row],[ItemID A]],Katalog!$C$3:$C$12,0))*Data[[#This Row],[Qty A]],"0")</f>
        <v>750000</v>
      </c>
      <c r="I626" s="36">
        <f>IFERROR(INDEX(Katalog!$F$3:$F$12,MATCH(Data[[#This Row],[ItemID A]],Katalog!$C$3:$C$12,0))*Data[[#This Row],[Qty A]],0)</f>
        <v>300000</v>
      </c>
      <c r="J626" t="s">
        <v>60</v>
      </c>
      <c r="K626" t="str">
        <f>IFERROR(INDEX(Katalog!$A$3:$A$12,MATCH(Data[[#This Row],[ItemID B]],Katalog!$C$3:$C$12,0)),"-")</f>
        <v>Pakaian Wanita</v>
      </c>
      <c r="L626" t="str">
        <f>IFERROR(INDEX(Katalog!$B$3:$B$12,MATCH(Data[[#This Row],[ItemID B]],Katalog!$C$3:$C$12,0)),"-")</f>
        <v>Kaftan</v>
      </c>
      <c r="M626">
        <v>1</v>
      </c>
      <c r="N626">
        <v>4</v>
      </c>
      <c r="O626" s="36">
        <f>IFERROR(INDEX(Katalog!$D$3:$D$12,MATCH(Data[[#This Row],[ItemID B]],Katalog!$C$3:$C$12,0))*Data[[#This Row],[Qty B]],"0")</f>
        <v>250000</v>
      </c>
      <c r="P626" s="36">
        <f>IFERROR(INDEX(Katalog!$F$3:$F$12,MATCH(Data[[#This Row],[ItemID B]],Katalog!$C$3:$C$12,0))*Data[[#This Row],[Qty B]],"0")</f>
        <v>100000</v>
      </c>
      <c r="Q626" t="s">
        <v>64</v>
      </c>
      <c r="R626" t="str">
        <f>IFERROR(INDEX(Katalog!$A$3:$A$12,MATCH(Data[[#This Row],[ItemID C]],Katalog!$C$3:$C$12,0)),"-")</f>
        <v>Pakaian Unisex</v>
      </c>
      <c r="S626" t="str">
        <f>IFERROR(INDEX(Katalog!$B$3:$B$12,MATCH(Data[[#This Row],[ItemID C]],Katalog!$C$3:$C$12,0)),"-")</f>
        <v>Jaket Hoodie</v>
      </c>
      <c r="T626">
        <v>1</v>
      </c>
      <c r="U626">
        <v>2</v>
      </c>
      <c r="V626" s="36">
        <f>IFERROR(INDEX(Katalog!$D$3:$D$12,MATCH(Data[[#This Row],[ItemID C]],Katalog!$C$3:$C$12,0))*Data[[#This Row],[Qty C]],"0")</f>
        <v>350000</v>
      </c>
      <c r="W626" s="36">
        <f>IFERROR(INDEX(Katalog!$F$3:$F$12,MATCH(Data[[#This Row],[ItemID C]],Katalog!$C$3:$C$12,0))*Data[[#This Row],[Qty C]],"0")</f>
        <v>130000</v>
      </c>
      <c r="X626" s="21">
        <f>Data[[#This Row],[Qty A]]+Data[[#This Row],[Qty B]]+Data[[#This Row],[Qty C]]</f>
        <v>5</v>
      </c>
      <c r="Y626" s="22">
        <f>Data[[#This Row],[Harga Barang A]]+Data[[#This Row],[Harga Barang B]]+Data[[#This Row],[Harga Barang C]]</f>
        <v>1350000</v>
      </c>
      <c r="Z626" s="35">
        <f>IFERROR(Data[[#This Row],[Total Harga]]-(Data[[#This Row],[Total Harga]]*Data[[#This Row],[Diskon]]),Data[[#This Row],[Total Harga]])</f>
        <v>1147500</v>
      </c>
      <c r="AA626" s="35">
        <f>(Data[[#This Row],[Profit A]]+Data[[#This Row],[Profit B]]+Data[[#This Row],[Profit C]])</f>
        <v>530000</v>
      </c>
      <c r="AB626" s="35">
        <f>IFERROR((Data[[#This Row],[Profit non Diskon]]-(Data[[#This Row],[Profit non Diskon]]*Data[[#This Row],[Diskon]])),Data[[#This Row],[Profit non Diskon]])</f>
        <v>450500</v>
      </c>
      <c r="AC626" s="23" t="s">
        <v>13</v>
      </c>
      <c r="AD626" s="37">
        <f>IFERROR(INDEX('Kode Diskon'!$D$3:$D$9,MATCH(Data[[#This Row],[Kode diskon]],'Kode Diskon'!$C$3:$C$9,0)),"-")</f>
        <v>0.15</v>
      </c>
      <c r="AE626" s="23" t="s">
        <v>29</v>
      </c>
      <c r="AF626" s="23" t="s">
        <v>7</v>
      </c>
      <c r="AG626" s="23" t="s">
        <v>76</v>
      </c>
      <c r="AH626" s="24">
        <v>45019</v>
      </c>
      <c r="AI626" s="23" t="str">
        <f>TEXT(Data[[#This Row],[Tanggal terjual]],"dddd")</f>
        <v>Monday</v>
      </c>
      <c r="AJ626" s="21" t="str">
        <f>TEXT(Data[[#This Row],[Tanggal terjual]],"wwww")</f>
        <v>wwww</v>
      </c>
    </row>
    <row r="627" spans="1:36" x14ac:dyDescent="0.2">
      <c r="A627" s="20">
        <v>626</v>
      </c>
      <c r="B627" s="21" t="str">
        <f>_xlfn.CONCAT("ORD-",INDEX(Helper!$B$2:$B$5,MATCH(Data[[#This Row],[Marketplace]],Helper!$A$2:$A$5,0)),TEXT(Data[[#This Row],[No]],"0000"),"-",TEXT(Data[[#This Row],[Tanggal terjual]],"dd/mm/yy"))</f>
        <v>ORD-TK0626-01/04/23</v>
      </c>
      <c r="C627" t="s">
        <v>64</v>
      </c>
      <c r="D627" t="str">
        <f>IFERROR(INDEX(Katalog!$A$3:$A$12,MATCH(Data[[#This Row],[ItemID A]],Katalog!$C$3:$C$12,0)),"-")</f>
        <v>Pakaian Unisex</v>
      </c>
      <c r="E627" t="str">
        <f>IFERROR(INDEX(Katalog!$B$3:$B$12,MATCH(Data[[#This Row],[ItemID A]],Katalog!$C$3:$C$12,0)),"-")</f>
        <v>Jaket Hoodie</v>
      </c>
      <c r="F627">
        <v>1</v>
      </c>
      <c r="G627">
        <v>5</v>
      </c>
      <c r="H627" s="36">
        <f>IFERROR(INDEX(Katalog!$D$3:$D$12,MATCH(Data[[#This Row],[ItemID A]],Katalog!$C$3:$C$12,0))*Data[[#This Row],[Qty A]],"0")</f>
        <v>350000</v>
      </c>
      <c r="I627" s="36">
        <f>IFERROR(INDEX(Katalog!$F$3:$F$12,MATCH(Data[[#This Row],[ItemID A]],Katalog!$C$3:$C$12,0))*Data[[#This Row],[Qty A]],0)</f>
        <v>130000</v>
      </c>
      <c r="J627" t="s">
        <v>67</v>
      </c>
      <c r="K627" t="str">
        <f>IFERROR(INDEX(Katalog!$A$3:$A$12,MATCH(Data[[#This Row],[ItemID B]],Katalog!$C$3:$C$12,0)),"-")</f>
        <v>Sepatu Wanita</v>
      </c>
      <c r="L627" t="str">
        <f>IFERROR(INDEX(Katalog!$B$3:$B$12,MATCH(Data[[#This Row],[ItemID B]],Katalog!$C$3:$C$12,0)),"-")</f>
        <v>Flat Shoes</v>
      </c>
      <c r="M627">
        <v>1</v>
      </c>
      <c r="N627">
        <v>1</v>
      </c>
      <c r="O627" s="36">
        <f>IFERROR(INDEX(Katalog!$D$3:$D$12,MATCH(Data[[#This Row],[ItemID B]],Katalog!$C$3:$C$12,0))*Data[[#This Row],[Qty B]],"0")</f>
        <v>250000</v>
      </c>
      <c r="P627" s="36">
        <f>IFERROR(INDEX(Katalog!$F$3:$F$12,MATCH(Data[[#This Row],[ItemID B]],Katalog!$C$3:$C$12,0))*Data[[#This Row],[Qty B]],"0")</f>
        <v>100000</v>
      </c>
      <c r="Q627" t="s">
        <v>63</v>
      </c>
      <c r="R627" t="str">
        <f>IFERROR(INDEX(Katalog!$A$3:$A$12,MATCH(Data[[#This Row],[ItemID C]],Katalog!$C$3:$C$12,0)),"-")</f>
        <v>Pakaian Pria</v>
      </c>
      <c r="S627" t="str">
        <f>IFERROR(INDEX(Katalog!$B$3:$B$12,MATCH(Data[[#This Row],[ItemID C]],Katalog!$C$3:$C$12,0)),"-")</f>
        <v>Jaket Jeans</v>
      </c>
      <c r="T627">
        <v>2</v>
      </c>
      <c r="U627">
        <v>1</v>
      </c>
      <c r="V627" s="36">
        <f>IFERROR(INDEX(Katalog!$D$3:$D$12,MATCH(Data[[#This Row],[ItemID C]],Katalog!$C$3:$C$12,0))*Data[[#This Row],[Qty C]],"0")</f>
        <v>800000</v>
      </c>
      <c r="W627" s="36">
        <f>IFERROR(INDEX(Katalog!$F$3:$F$12,MATCH(Data[[#This Row],[ItemID C]],Katalog!$C$3:$C$12,0))*Data[[#This Row],[Qty C]],"0")</f>
        <v>300000</v>
      </c>
      <c r="X627" s="21">
        <f>Data[[#This Row],[Qty A]]+Data[[#This Row],[Qty B]]+Data[[#This Row],[Qty C]]</f>
        <v>4</v>
      </c>
      <c r="Y627" s="22">
        <f>Data[[#This Row],[Harga Barang A]]+Data[[#This Row],[Harga Barang B]]+Data[[#This Row],[Harga Barang C]]</f>
        <v>1400000</v>
      </c>
      <c r="Z627" s="35">
        <f>IFERROR(Data[[#This Row],[Total Harga]]-(Data[[#This Row],[Total Harga]]*Data[[#This Row],[Diskon]]),Data[[#This Row],[Total Harga]])</f>
        <v>1260000</v>
      </c>
      <c r="AA627" s="35">
        <f>(Data[[#This Row],[Profit A]]+Data[[#This Row],[Profit B]]+Data[[#This Row],[Profit C]])</f>
        <v>530000</v>
      </c>
      <c r="AB627" s="35">
        <f>IFERROR((Data[[#This Row],[Profit non Diskon]]-(Data[[#This Row],[Profit non Diskon]]*Data[[#This Row],[Diskon]])),Data[[#This Row],[Profit non Diskon]])</f>
        <v>477000</v>
      </c>
      <c r="AC627" s="23" t="s">
        <v>30</v>
      </c>
      <c r="AD627" s="37">
        <f>IFERROR(INDEX('Kode Diskon'!$D$3:$D$9,MATCH(Data[[#This Row],[Kode diskon]],'Kode Diskon'!$C$3:$C$9,0)),"-")</f>
        <v>0.1</v>
      </c>
      <c r="AE627" s="23" t="s">
        <v>29</v>
      </c>
      <c r="AF627" s="23" t="s">
        <v>10</v>
      </c>
      <c r="AG627" s="23" t="s">
        <v>76</v>
      </c>
      <c r="AH627" s="24">
        <v>45017</v>
      </c>
      <c r="AI627" s="23" t="str">
        <f>TEXT(Data[[#This Row],[Tanggal terjual]],"dddd")</f>
        <v>Saturday</v>
      </c>
      <c r="AJ627" s="21" t="str">
        <f>TEXT(Data[[#This Row],[Tanggal terjual]],"wwww")</f>
        <v>wwww</v>
      </c>
    </row>
    <row r="628" spans="1:36" x14ac:dyDescent="0.2">
      <c r="A628" s="20">
        <v>627</v>
      </c>
      <c r="B628" s="21" t="str">
        <f>_xlfn.CONCAT("ORD-",INDEX(Helper!$B$2:$B$5,MATCH(Data[[#This Row],[Marketplace]],Helper!$A$2:$A$5,0)),TEXT(Data[[#This Row],[No]],"0000"),"-",TEXT(Data[[#This Row],[Tanggal terjual]],"dd/mm/yy"))</f>
        <v>ORD-SP0627-21/04/23</v>
      </c>
      <c r="C628" t="s">
        <v>66</v>
      </c>
      <c r="D628" t="str">
        <f>IFERROR(INDEX(Katalog!$A$3:$A$12,MATCH(Data[[#This Row],[ItemID A]],Katalog!$C$3:$C$12,0)),"-")</f>
        <v>Sepatu Pria</v>
      </c>
      <c r="E628" t="str">
        <f>IFERROR(INDEX(Katalog!$B$3:$B$12,MATCH(Data[[#This Row],[ItemID A]],Katalog!$C$3:$C$12,0)),"-")</f>
        <v>Sandal Slip On</v>
      </c>
      <c r="F628">
        <v>7</v>
      </c>
      <c r="G628">
        <v>5</v>
      </c>
      <c r="H628" s="36">
        <f>IFERROR(INDEX(Katalog!$D$3:$D$12,MATCH(Data[[#This Row],[ItemID A]],Katalog!$C$3:$C$12,0))*Data[[#This Row],[Qty A]],"0")</f>
        <v>1050000</v>
      </c>
      <c r="I628" s="36">
        <f>IFERROR(INDEX(Katalog!$F$3:$F$12,MATCH(Data[[#This Row],[ItemID A]],Katalog!$C$3:$C$12,0))*Data[[#This Row],[Qty A]],0)</f>
        <v>420000</v>
      </c>
      <c r="K628" t="str">
        <f>IFERROR(INDEX(Katalog!$A$3:$A$12,MATCH(Data[[#This Row],[ItemID B]],Katalog!$C$3:$C$12,0)),"-")</f>
        <v>-</v>
      </c>
      <c r="L628" t="str">
        <f>IFERROR(INDEX(Katalog!$B$3:$B$12,MATCH(Data[[#This Row],[ItemID B]],Katalog!$C$3:$C$12,0)),"-")</f>
        <v>-</v>
      </c>
      <c r="O628" s="36" t="str">
        <f>IFERROR(INDEX(Katalog!$D$3:$D$12,MATCH(Data[[#This Row],[ItemID B]],Katalog!$C$3:$C$12,0))*Data[[#This Row],[Qty B]],"0")</f>
        <v>0</v>
      </c>
      <c r="P628" s="36" t="str">
        <f>IFERROR(INDEX(Katalog!$F$3:$F$12,MATCH(Data[[#This Row],[ItemID B]],Katalog!$C$3:$C$12,0))*Data[[#This Row],[Qty B]],"0")</f>
        <v>0</v>
      </c>
      <c r="R628" t="str">
        <f>IFERROR(INDEX(Katalog!$A$3:$A$12,MATCH(Data[[#This Row],[ItemID C]],Katalog!$C$3:$C$12,0)),"-")</f>
        <v>-</v>
      </c>
      <c r="S628" t="str">
        <f>IFERROR(INDEX(Katalog!$B$3:$B$12,MATCH(Data[[#This Row],[ItemID C]],Katalog!$C$3:$C$12,0)),"-")</f>
        <v>-</v>
      </c>
      <c r="V628" s="36" t="str">
        <f>IFERROR(INDEX(Katalog!$D$3:$D$12,MATCH(Data[[#This Row],[ItemID C]],Katalog!$C$3:$C$12,0))*Data[[#This Row],[Qty C]],"0")</f>
        <v>0</v>
      </c>
      <c r="W628" s="36" t="str">
        <f>IFERROR(INDEX(Katalog!$F$3:$F$12,MATCH(Data[[#This Row],[ItemID C]],Katalog!$C$3:$C$12,0))*Data[[#This Row],[Qty C]],"0")</f>
        <v>0</v>
      </c>
      <c r="X628" s="21">
        <f>Data[[#This Row],[Qty A]]+Data[[#This Row],[Qty B]]+Data[[#This Row],[Qty C]]</f>
        <v>7</v>
      </c>
      <c r="Y628" s="22">
        <f>Data[[#This Row],[Harga Barang A]]+Data[[#This Row],[Harga Barang B]]+Data[[#This Row],[Harga Barang C]]</f>
        <v>1050000</v>
      </c>
      <c r="Z628" s="35">
        <f>IFERROR(Data[[#This Row],[Total Harga]]-(Data[[#This Row],[Total Harga]]*Data[[#This Row],[Diskon]]),Data[[#This Row],[Total Harga]])</f>
        <v>840000</v>
      </c>
      <c r="AA628" s="35">
        <f>(Data[[#This Row],[Profit A]]+Data[[#This Row],[Profit B]]+Data[[#This Row],[Profit C]])</f>
        <v>420000</v>
      </c>
      <c r="AB628" s="35">
        <f>IFERROR((Data[[#This Row],[Profit non Diskon]]-(Data[[#This Row],[Profit non Diskon]]*Data[[#This Row],[Diskon]])),Data[[#This Row],[Profit non Diskon]])</f>
        <v>336000</v>
      </c>
      <c r="AC628" s="23" t="s">
        <v>8</v>
      </c>
      <c r="AD628" s="37">
        <f>IFERROR(INDEX('Kode Diskon'!$D$3:$D$9,MATCH(Data[[#This Row],[Kode diskon]],'Kode Diskon'!$C$3:$C$9,0)),"-")</f>
        <v>0.2</v>
      </c>
      <c r="AE628" s="23" t="s">
        <v>9</v>
      </c>
      <c r="AF628" s="23" t="s">
        <v>7</v>
      </c>
      <c r="AG628" s="23" t="s">
        <v>78</v>
      </c>
      <c r="AH628" s="24">
        <v>45037</v>
      </c>
      <c r="AI628" s="23" t="str">
        <f>TEXT(Data[[#This Row],[Tanggal terjual]],"dddd")</f>
        <v>Friday</v>
      </c>
      <c r="AJ628" s="21" t="str">
        <f>TEXT(Data[[#This Row],[Tanggal terjual]],"wwww")</f>
        <v>wwww</v>
      </c>
    </row>
    <row r="629" spans="1:36" x14ac:dyDescent="0.2">
      <c r="A629" s="20">
        <v>628</v>
      </c>
      <c r="B629" s="21" t="str">
        <f>_xlfn.CONCAT("ORD-",INDEX(Helper!$B$2:$B$5,MATCH(Data[[#This Row],[Marketplace]],Helper!$A$2:$A$5,0)),TEXT(Data[[#This Row],[No]],"0000"),"-",TEXT(Data[[#This Row],[Tanggal terjual]],"dd/mm/yy"))</f>
        <v>ORD-SP0628-25/04/23</v>
      </c>
      <c r="C629" t="s">
        <v>65</v>
      </c>
      <c r="D629" t="str">
        <f>IFERROR(INDEX(Katalog!$A$3:$A$12,MATCH(Data[[#This Row],[ItemID A]],Katalog!$C$3:$C$12,0)),"-")</f>
        <v>Sepatu Pria</v>
      </c>
      <c r="E629" t="str">
        <f>IFERROR(INDEX(Katalog!$B$3:$B$12,MATCH(Data[[#This Row],[ItemID A]],Katalog!$C$3:$C$12,0)),"-")</f>
        <v>Sneakers</v>
      </c>
      <c r="F629">
        <v>1</v>
      </c>
      <c r="G629">
        <v>1</v>
      </c>
      <c r="H629" s="36">
        <f>IFERROR(INDEX(Katalog!$D$3:$D$12,MATCH(Data[[#This Row],[ItemID A]],Katalog!$C$3:$C$12,0))*Data[[#This Row],[Qty A]],"0")</f>
        <v>500000</v>
      </c>
      <c r="I629" s="36">
        <f>IFERROR(INDEX(Katalog!$F$3:$F$12,MATCH(Data[[#This Row],[ItemID A]],Katalog!$C$3:$C$12,0))*Data[[#This Row],[Qty A]],0)</f>
        <v>200000</v>
      </c>
      <c r="J629" t="s">
        <v>60</v>
      </c>
      <c r="K629" t="str">
        <f>IFERROR(INDEX(Katalog!$A$3:$A$12,MATCH(Data[[#This Row],[ItemID B]],Katalog!$C$3:$C$12,0)),"-")</f>
        <v>Pakaian Wanita</v>
      </c>
      <c r="L629" t="str">
        <f>IFERROR(INDEX(Katalog!$B$3:$B$12,MATCH(Data[[#This Row],[ItemID B]],Katalog!$C$3:$C$12,0)),"-")</f>
        <v>Kaftan</v>
      </c>
      <c r="M629">
        <v>1</v>
      </c>
      <c r="N629">
        <v>2</v>
      </c>
      <c r="O629" s="36">
        <f>IFERROR(INDEX(Katalog!$D$3:$D$12,MATCH(Data[[#This Row],[ItemID B]],Katalog!$C$3:$C$12,0))*Data[[#This Row],[Qty B]],"0")</f>
        <v>250000</v>
      </c>
      <c r="P629" s="36">
        <f>IFERROR(INDEX(Katalog!$F$3:$F$12,MATCH(Data[[#This Row],[ItemID B]],Katalog!$C$3:$C$12,0))*Data[[#This Row],[Qty B]],"0")</f>
        <v>100000</v>
      </c>
      <c r="Q629" t="s">
        <v>62</v>
      </c>
      <c r="R629" t="str">
        <f>IFERROR(INDEX(Katalog!$A$3:$A$12,MATCH(Data[[#This Row],[ItemID C]],Katalog!$C$3:$C$12,0)),"-")</f>
        <v>Pakaian Pria</v>
      </c>
      <c r="S629" t="str">
        <f>IFERROR(INDEX(Katalog!$B$3:$B$12,MATCH(Data[[#This Row],[ItemID C]],Katalog!$C$3:$C$12,0)),"-")</f>
        <v>Celana Pendek</v>
      </c>
      <c r="T629">
        <v>4</v>
      </c>
      <c r="U629">
        <v>4</v>
      </c>
      <c r="V629" s="36">
        <f>IFERROR(INDEX(Katalog!$D$3:$D$12,MATCH(Data[[#This Row],[ItemID C]],Katalog!$C$3:$C$12,0))*Data[[#This Row],[Qty C]],"0")</f>
        <v>720000</v>
      </c>
      <c r="W629" s="36">
        <f>IFERROR(INDEX(Katalog!$F$3:$F$12,MATCH(Data[[#This Row],[ItemID C]],Katalog!$C$3:$C$12,0))*Data[[#This Row],[Qty C]],"0")</f>
        <v>280000</v>
      </c>
      <c r="X629" s="21">
        <f>Data[[#This Row],[Qty A]]+Data[[#This Row],[Qty B]]+Data[[#This Row],[Qty C]]</f>
        <v>6</v>
      </c>
      <c r="Y629" s="22">
        <f>Data[[#This Row],[Harga Barang A]]+Data[[#This Row],[Harga Barang B]]+Data[[#This Row],[Harga Barang C]]</f>
        <v>1470000</v>
      </c>
      <c r="Z629" s="35">
        <f>IFERROR(Data[[#This Row],[Total Harga]]-(Data[[#This Row],[Total Harga]]*Data[[#This Row],[Diskon]]),Data[[#This Row],[Total Harga]])</f>
        <v>1176000</v>
      </c>
      <c r="AA629" s="35">
        <f>(Data[[#This Row],[Profit A]]+Data[[#This Row],[Profit B]]+Data[[#This Row],[Profit C]])</f>
        <v>580000</v>
      </c>
      <c r="AB629" s="35">
        <f>IFERROR((Data[[#This Row],[Profit non Diskon]]-(Data[[#This Row],[Profit non Diskon]]*Data[[#This Row],[Diskon]])),Data[[#This Row],[Profit non Diskon]])</f>
        <v>464000</v>
      </c>
      <c r="AC629" s="23" t="s">
        <v>8</v>
      </c>
      <c r="AD629" s="37">
        <f>IFERROR(INDEX('Kode Diskon'!$D$3:$D$9,MATCH(Data[[#This Row],[Kode diskon]],'Kode Diskon'!$C$3:$C$9,0)),"-")</f>
        <v>0.2</v>
      </c>
      <c r="AE629" s="23" t="s">
        <v>9</v>
      </c>
      <c r="AF629" s="23" t="s">
        <v>7</v>
      </c>
      <c r="AG629" s="23" t="s">
        <v>80</v>
      </c>
      <c r="AH629" s="24">
        <v>45041</v>
      </c>
      <c r="AI629" s="23" t="str">
        <f>TEXT(Data[[#This Row],[Tanggal terjual]],"dddd")</f>
        <v>Tuesday</v>
      </c>
      <c r="AJ629" s="21" t="str">
        <f>TEXT(Data[[#This Row],[Tanggal terjual]],"wwww")</f>
        <v>wwww</v>
      </c>
    </row>
    <row r="630" spans="1:36" x14ac:dyDescent="0.2">
      <c r="A630" s="20">
        <v>629</v>
      </c>
      <c r="B630" s="21" t="str">
        <f>_xlfn.CONCAT("ORD-",INDEX(Helper!$B$2:$B$5,MATCH(Data[[#This Row],[Marketplace]],Helper!$A$2:$A$5,0)),TEXT(Data[[#This Row],[No]],"0000"),"-",TEXT(Data[[#This Row],[Tanggal terjual]],"dd/mm/yy"))</f>
        <v>ORD-TK0629-23/04/23</v>
      </c>
      <c r="C630" t="s">
        <v>66</v>
      </c>
      <c r="D630" t="str">
        <f>IFERROR(INDEX(Katalog!$A$3:$A$12,MATCH(Data[[#This Row],[ItemID A]],Katalog!$C$3:$C$12,0)),"-")</f>
        <v>Sepatu Pria</v>
      </c>
      <c r="E630" t="str">
        <f>IFERROR(INDEX(Katalog!$B$3:$B$12,MATCH(Data[[#This Row],[ItemID A]],Katalog!$C$3:$C$12,0)),"-")</f>
        <v>Sandal Slip On</v>
      </c>
      <c r="F630">
        <v>3</v>
      </c>
      <c r="G630">
        <v>5</v>
      </c>
      <c r="H630" s="36">
        <f>IFERROR(INDEX(Katalog!$D$3:$D$12,MATCH(Data[[#This Row],[ItemID A]],Katalog!$C$3:$C$12,0))*Data[[#This Row],[Qty A]],"0")</f>
        <v>450000</v>
      </c>
      <c r="I630" s="36">
        <f>IFERROR(INDEX(Katalog!$F$3:$F$12,MATCH(Data[[#This Row],[ItemID A]],Katalog!$C$3:$C$12,0))*Data[[#This Row],[Qty A]],0)</f>
        <v>180000</v>
      </c>
      <c r="J630" t="s">
        <v>65</v>
      </c>
      <c r="K630" t="str">
        <f>IFERROR(INDEX(Katalog!$A$3:$A$12,MATCH(Data[[#This Row],[ItemID B]],Katalog!$C$3:$C$12,0)),"-")</f>
        <v>Sepatu Pria</v>
      </c>
      <c r="L630" t="str">
        <f>IFERROR(INDEX(Katalog!$B$3:$B$12,MATCH(Data[[#This Row],[ItemID B]],Katalog!$C$3:$C$12,0)),"-")</f>
        <v>Sneakers</v>
      </c>
      <c r="M630">
        <v>2</v>
      </c>
      <c r="N630">
        <v>3</v>
      </c>
      <c r="O630" s="36">
        <f>IFERROR(INDEX(Katalog!$D$3:$D$12,MATCH(Data[[#This Row],[ItemID B]],Katalog!$C$3:$C$12,0))*Data[[#This Row],[Qty B]],"0")</f>
        <v>1000000</v>
      </c>
      <c r="P630" s="36">
        <f>IFERROR(INDEX(Katalog!$F$3:$F$12,MATCH(Data[[#This Row],[ItemID B]],Katalog!$C$3:$C$12,0))*Data[[#This Row],[Qty B]],"0")</f>
        <v>400000</v>
      </c>
      <c r="R630" t="str">
        <f>IFERROR(INDEX(Katalog!$A$3:$A$12,MATCH(Data[[#This Row],[ItemID C]],Katalog!$C$3:$C$12,0)),"-")</f>
        <v>-</v>
      </c>
      <c r="S630" t="str">
        <f>IFERROR(INDEX(Katalog!$B$3:$B$12,MATCH(Data[[#This Row],[ItemID C]],Katalog!$C$3:$C$12,0)),"-")</f>
        <v>-</v>
      </c>
      <c r="V630" s="36" t="str">
        <f>IFERROR(INDEX(Katalog!$D$3:$D$12,MATCH(Data[[#This Row],[ItemID C]],Katalog!$C$3:$C$12,0))*Data[[#This Row],[Qty C]],"0")</f>
        <v>0</v>
      </c>
      <c r="W630" s="36" t="str">
        <f>IFERROR(INDEX(Katalog!$F$3:$F$12,MATCH(Data[[#This Row],[ItemID C]],Katalog!$C$3:$C$12,0))*Data[[#This Row],[Qty C]],"0")</f>
        <v>0</v>
      </c>
      <c r="X630" s="21">
        <f>Data[[#This Row],[Qty A]]+Data[[#This Row],[Qty B]]+Data[[#This Row],[Qty C]]</f>
        <v>5</v>
      </c>
      <c r="Y630" s="22">
        <f>Data[[#This Row],[Harga Barang A]]+Data[[#This Row],[Harga Barang B]]+Data[[#This Row],[Harga Barang C]]</f>
        <v>1450000</v>
      </c>
      <c r="Z630" s="35">
        <f>IFERROR(Data[[#This Row],[Total Harga]]-(Data[[#This Row],[Total Harga]]*Data[[#This Row],[Diskon]]),Data[[#This Row],[Total Harga]])</f>
        <v>1305000</v>
      </c>
      <c r="AA630" s="35">
        <f>(Data[[#This Row],[Profit A]]+Data[[#This Row],[Profit B]]+Data[[#This Row],[Profit C]])</f>
        <v>580000</v>
      </c>
      <c r="AB630" s="35">
        <f>IFERROR((Data[[#This Row],[Profit non Diskon]]-(Data[[#This Row],[Profit non Diskon]]*Data[[#This Row],[Diskon]])),Data[[#This Row],[Profit non Diskon]])</f>
        <v>522000</v>
      </c>
      <c r="AC630" s="23" t="s">
        <v>31</v>
      </c>
      <c r="AD630" s="37">
        <f>IFERROR(INDEX('Kode Diskon'!$D$3:$D$9,MATCH(Data[[#This Row],[Kode diskon]],'Kode Diskon'!$C$3:$C$9,0)),"-")</f>
        <v>0.1</v>
      </c>
      <c r="AE630" s="23" t="s">
        <v>9</v>
      </c>
      <c r="AF630" s="23" t="s">
        <v>10</v>
      </c>
      <c r="AG630" s="23" t="s">
        <v>78</v>
      </c>
      <c r="AH630" s="24">
        <v>45039</v>
      </c>
      <c r="AI630" s="23" t="str">
        <f>TEXT(Data[[#This Row],[Tanggal terjual]],"dddd")</f>
        <v>Sunday</v>
      </c>
      <c r="AJ630" s="21" t="str">
        <f>TEXT(Data[[#This Row],[Tanggal terjual]],"wwww")</f>
        <v>wwww</v>
      </c>
    </row>
    <row r="631" spans="1:36" x14ac:dyDescent="0.2">
      <c r="A631" s="20">
        <v>630</v>
      </c>
      <c r="B631" s="21" t="str">
        <f>_xlfn.CONCAT("ORD-",INDEX(Helper!$B$2:$B$5,MATCH(Data[[#This Row],[Marketplace]],Helper!$A$2:$A$5,0)),TEXT(Data[[#This Row],[No]],"0000"),"-",TEXT(Data[[#This Row],[Tanggal terjual]],"dd/mm/yy"))</f>
        <v>ORD-SP0630-24/04/23</v>
      </c>
      <c r="C631" t="s">
        <v>66</v>
      </c>
      <c r="D631" t="str">
        <f>IFERROR(INDEX(Katalog!$A$3:$A$12,MATCH(Data[[#This Row],[ItemID A]],Katalog!$C$3:$C$12,0)),"-")</f>
        <v>Sepatu Pria</v>
      </c>
      <c r="E631" t="str">
        <f>IFERROR(INDEX(Katalog!$B$3:$B$12,MATCH(Data[[#This Row],[ItemID A]],Katalog!$C$3:$C$12,0)),"-")</f>
        <v>Sandal Slip On</v>
      </c>
      <c r="F631">
        <v>3</v>
      </c>
      <c r="G631">
        <v>2</v>
      </c>
      <c r="H631" s="36">
        <f>IFERROR(INDEX(Katalog!$D$3:$D$12,MATCH(Data[[#This Row],[ItemID A]],Katalog!$C$3:$C$12,0))*Data[[#This Row],[Qty A]],"0")</f>
        <v>450000</v>
      </c>
      <c r="I631" s="36">
        <f>IFERROR(INDEX(Katalog!$F$3:$F$12,MATCH(Data[[#This Row],[ItemID A]],Katalog!$C$3:$C$12,0))*Data[[#This Row],[Qty A]],0)</f>
        <v>180000</v>
      </c>
      <c r="J631" t="s">
        <v>67</v>
      </c>
      <c r="K631" t="str">
        <f>IFERROR(INDEX(Katalog!$A$3:$A$12,MATCH(Data[[#This Row],[ItemID B]],Katalog!$C$3:$C$12,0)),"-")</f>
        <v>Sepatu Wanita</v>
      </c>
      <c r="L631" t="str">
        <f>IFERROR(INDEX(Katalog!$B$3:$B$12,MATCH(Data[[#This Row],[ItemID B]],Katalog!$C$3:$C$12,0)),"-")</f>
        <v>Flat Shoes</v>
      </c>
      <c r="M631">
        <v>1</v>
      </c>
      <c r="N631">
        <v>2</v>
      </c>
      <c r="O631" s="36">
        <f>IFERROR(INDEX(Katalog!$D$3:$D$12,MATCH(Data[[#This Row],[ItemID B]],Katalog!$C$3:$C$12,0))*Data[[#This Row],[Qty B]],"0")</f>
        <v>250000</v>
      </c>
      <c r="P631" s="36">
        <f>IFERROR(INDEX(Katalog!$F$3:$F$12,MATCH(Data[[#This Row],[ItemID B]],Katalog!$C$3:$C$12,0))*Data[[#This Row],[Qty B]],"0")</f>
        <v>100000</v>
      </c>
      <c r="Q631" t="s">
        <v>67</v>
      </c>
      <c r="R631" t="str">
        <f>IFERROR(INDEX(Katalog!$A$3:$A$12,MATCH(Data[[#This Row],[ItemID C]],Katalog!$C$3:$C$12,0)),"-")</f>
        <v>Sepatu Wanita</v>
      </c>
      <c r="S631" t="str">
        <f>IFERROR(INDEX(Katalog!$B$3:$B$12,MATCH(Data[[#This Row],[ItemID C]],Katalog!$C$3:$C$12,0)),"-")</f>
        <v>Flat Shoes</v>
      </c>
      <c r="T631">
        <v>2</v>
      </c>
      <c r="U631">
        <v>2</v>
      </c>
      <c r="V631" s="36">
        <f>IFERROR(INDEX(Katalog!$D$3:$D$12,MATCH(Data[[#This Row],[ItemID C]],Katalog!$C$3:$C$12,0))*Data[[#This Row],[Qty C]],"0")</f>
        <v>500000</v>
      </c>
      <c r="W631" s="36">
        <f>IFERROR(INDEX(Katalog!$F$3:$F$12,MATCH(Data[[#This Row],[ItemID C]],Katalog!$C$3:$C$12,0))*Data[[#This Row],[Qty C]],"0")</f>
        <v>200000</v>
      </c>
      <c r="X631" s="21">
        <f>Data[[#This Row],[Qty A]]+Data[[#This Row],[Qty B]]+Data[[#This Row],[Qty C]]</f>
        <v>6</v>
      </c>
      <c r="Y631" s="22">
        <f>Data[[#This Row],[Harga Barang A]]+Data[[#This Row],[Harga Barang B]]+Data[[#This Row],[Harga Barang C]]</f>
        <v>1200000</v>
      </c>
      <c r="Z631" s="35">
        <f>IFERROR(Data[[#This Row],[Total Harga]]-(Data[[#This Row],[Total Harga]]*Data[[#This Row],[Diskon]]),Data[[#This Row],[Total Harga]])</f>
        <v>960000</v>
      </c>
      <c r="AA631" s="35">
        <f>(Data[[#This Row],[Profit A]]+Data[[#This Row],[Profit B]]+Data[[#This Row],[Profit C]])</f>
        <v>480000</v>
      </c>
      <c r="AB631" s="35">
        <f>IFERROR((Data[[#This Row],[Profit non Diskon]]-(Data[[#This Row],[Profit non Diskon]]*Data[[#This Row],[Diskon]])),Data[[#This Row],[Profit non Diskon]])</f>
        <v>384000</v>
      </c>
      <c r="AC631" s="23" t="s">
        <v>8</v>
      </c>
      <c r="AD631" s="37">
        <f>IFERROR(INDEX('Kode Diskon'!$D$3:$D$9,MATCH(Data[[#This Row],[Kode diskon]],'Kode Diskon'!$C$3:$C$9,0)),"-")</f>
        <v>0.2</v>
      </c>
      <c r="AE631" s="23" t="s">
        <v>9</v>
      </c>
      <c r="AF631" s="23" t="s">
        <v>7</v>
      </c>
      <c r="AG631" s="23" t="s">
        <v>80</v>
      </c>
      <c r="AH631" s="24">
        <v>45040</v>
      </c>
      <c r="AI631" s="23" t="str">
        <f>TEXT(Data[[#This Row],[Tanggal terjual]],"dddd")</f>
        <v>Monday</v>
      </c>
      <c r="AJ631" s="21" t="str">
        <f>TEXT(Data[[#This Row],[Tanggal terjual]],"wwww")</f>
        <v>wwww</v>
      </c>
    </row>
    <row r="632" spans="1:36" x14ac:dyDescent="0.2">
      <c r="A632" s="20">
        <v>631</v>
      </c>
      <c r="B632" s="21" t="str">
        <f>_xlfn.CONCAT("ORD-",INDEX(Helper!$B$2:$B$5,MATCH(Data[[#This Row],[Marketplace]],Helper!$A$2:$A$5,0)),TEXT(Data[[#This Row],[No]],"0000"),"-",TEXT(Data[[#This Row],[Tanggal terjual]],"dd/mm/yy"))</f>
        <v>ORD-TK0631-05/04/23</v>
      </c>
      <c r="C632" t="s">
        <v>67</v>
      </c>
      <c r="D632" t="str">
        <f>IFERROR(INDEX(Katalog!$A$3:$A$12,MATCH(Data[[#This Row],[ItemID A]],Katalog!$C$3:$C$12,0)),"-")</f>
        <v>Sepatu Wanita</v>
      </c>
      <c r="E632" t="str">
        <f>IFERROR(INDEX(Katalog!$B$3:$B$12,MATCH(Data[[#This Row],[ItemID A]],Katalog!$C$3:$C$12,0)),"-")</f>
        <v>Flat Shoes</v>
      </c>
      <c r="F632">
        <v>1</v>
      </c>
      <c r="G632">
        <v>4</v>
      </c>
      <c r="H632" s="36">
        <f>IFERROR(INDEX(Katalog!$D$3:$D$12,MATCH(Data[[#This Row],[ItemID A]],Katalog!$C$3:$C$12,0))*Data[[#This Row],[Qty A]],"0")</f>
        <v>250000</v>
      </c>
      <c r="I632" s="36">
        <f>IFERROR(INDEX(Katalog!$F$3:$F$12,MATCH(Data[[#This Row],[ItemID A]],Katalog!$C$3:$C$12,0))*Data[[#This Row],[Qty A]],0)</f>
        <v>100000</v>
      </c>
      <c r="J632" t="s">
        <v>58</v>
      </c>
      <c r="K632" t="str">
        <f>IFERROR(INDEX(Katalog!$A$3:$A$12,MATCH(Data[[#This Row],[ItemID B]],Katalog!$C$3:$C$12,0)),"-")</f>
        <v>Pakaian Wanita</v>
      </c>
      <c r="L632" t="str">
        <f>IFERROR(INDEX(Katalog!$B$3:$B$12,MATCH(Data[[#This Row],[ItemID B]],Katalog!$C$3:$C$12,0)),"-")</f>
        <v>Dress</v>
      </c>
      <c r="M632">
        <v>1</v>
      </c>
      <c r="N632">
        <v>1</v>
      </c>
      <c r="O632" s="36">
        <f>IFERROR(INDEX(Katalog!$D$3:$D$12,MATCH(Data[[#This Row],[ItemID B]],Katalog!$C$3:$C$12,0))*Data[[#This Row],[Qty B]],"0")</f>
        <v>300000</v>
      </c>
      <c r="P632" s="36">
        <f>IFERROR(INDEX(Katalog!$F$3:$F$12,MATCH(Data[[#This Row],[ItemID B]],Katalog!$C$3:$C$12,0))*Data[[#This Row],[Qty B]],"0")</f>
        <v>100000</v>
      </c>
      <c r="R632" t="str">
        <f>IFERROR(INDEX(Katalog!$A$3:$A$12,MATCH(Data[[#This Row],[ItemID C]],Katalog!$C$3:$C$12,0)),"-")</f>
        <v>-</v>
      </c>
      <c r="S632" t="str">
        <f>IFERROR(INDEX(Katalog!$B$3:$B$12,MATCH(Data[[#This Row],[ItemID C]],Katalog!$C$3:$C$12,0)),"-")</f>
        <v>-</v>
      </c>
      <c r="V632" s="36" t="str">
        <f>IFERROR(INDEX(Katalog!$D$3:$D$12,MATCH(Data[[#This Row],[ItemID C]],Katalog!$C$3:$C$12,0))*Data[[#This Row],[Qty C]],"0")</f>
        <v>0</v>
      </c>
      <c r="W632" s="36" t="str">
        <f>IFERROR(INDEX(Katalog!$F$3:$F$12,MATCH(Data[[#This Row],[ItemID C]],Katalog!$C$3:$C$12,0))*Data[[#This Row],[Qty C]],"0")</f>
        <v>0</v>
      </c>
      <c r="X632" s="21">
        <f>Data[[#This Row],[Qty A]]+Data[[#This Row],[Qty B]]+Data[[#This Row],[Qty C]]</f>
        <v>2</v>
      </c>
      <c r="Y632" s="22">
        <f>Data[[#This Row],[Harga Barang A]]+Data[[#This Row],[Harga Barang B]]+Data[[#This Row],[Harga Barang C]]</f>
        <v>550000</v>
      </c>
      <c r="Z632" s="35">
        <f>IFERROR(Data[[#This Row],[Total Harga]]-(Data[[#This Row],[Total Harga]]*Data[[#This Row],[Diskon]]),Data[[#This Row],[Total Harga]])</f>
        <v>495000</v>
      </c>
      <c r="AA632" s="35">
        <f>(Data[[#This Row],[Profit A]]+Data[[#This Row],[Profit B]]+Data[[#This Row],[Profit C]])</f>
        <v>200000</v>
      </c>
      <c r="AB632" s="35">
        <f>IFERROR((Data[[#This Row],[Profit non Diskon]]-(Data[[#This Row],[Profit non Diskon]]*Data[[#This Row],[Diskon]])),Data[[#This Row],[Profit non Diskon]])</f>
        <v>180000</v>
      </c>
      <c r="AC632" s="23" t="s">
        <v>30</v>
      </c>
      <c r="AD632" s="37">
        <f>IFERROR(INDEX('Kode Diskon'!$D$3:$D$9,MATCH(Data[[#This Row],[Kode diskon]],'Kode Diskon'!$C$3:$C$9,0)),"-")</f>
        <v>0.1</v>
      </c>
      <c r="AE632" s="23" t="s">
        <v>29</v>
      </c>
      <c r="AF632" s="23" t="s">
        <v>10</v>
      </c>
      <c r="AG632" s="23" t="s">
        <v>78</v>
      </c>
      <c r="AH632" s="24">
        <v>45021</v>
      </c>
      <c r="AI632" s="23" t="str">
        <f>TEXT(Data[[#This Row],[Tanggal terjual]],"dddd")</f>
        <v>Wednesday</v>
      </c>
      <c r="AJ632" s="21" t="str">
        <f>TEXT(Data[[#This Row],[Tanggal terjual]],"wwww")</f>
        <v>wwww</v>
      </c>
    </row>
    <row r="633" spans="1:36" x14ac:dyDescent="0.2">
      <c r="A633" s="20">
        <v>632</v>
      </c>
      <c r="B633" s="21" t="str">
        <f>_xlfn.CONCAT("ORD-",INDEX(Helper!$B$2:$B$5,MATCH(Data[[#This Row],[Marketplace]],Helper!$A$2:$A$5,0)),TEXT(Data[[#This Row],[No]],"0000"),"-",TEXT(Data[[#This Row],[Tanggal terjual]],"dd/mm/yy"))</f>
        <v>ORD-SP0632-26/04/23</v>
      </c>
      <c r="C633" t="s">
        <v>60</v>
      </c>
      <c r="D633" t="str">
        <f>IFERROR(INDEX(Katalog!$A$3:$A$12,MATCH(Data[[#This Row],[ItemID A]],Katalog!$C$3:$C$12,0)),"-")</f>
        <v>Pakaian Wanita</v>
      </c>
      <c r="E633" t="str">
        <f>IFERROR(INDEX(Katalog!$B$3:$B$12,MATCH(Data[[#This Row],[ItemID A]],Katalog!$C$3:$C$12,0)),"-")</f>
        <v>Kaftan</v>
      </c>
      <c r="F633">
        <v>1</v>
      </c>
      <c r="G633">
        <v>4</v>
      </c>
      <c r="H633" s="36">
        <f>IFERROR(INDEX(Katalog!$D$3:$D$12,MATCH(Data[[#This Row],[ItemID A]],Katalog!$C$3:$C$12,0))*Data[[#This Row],[Qty A]],"0")</f>
        <v>250000</v>
      </c>
      <c r="I633" s="36">
        <f>IFERROR(INDEX(Katalog!$F$3:$F$12,MATCH(Data[[#This Row],[ItemID A]],Katalog!$C$3:$C$12,0))*Data[[#This Row],[Qty A]],0)</f>
        <v>100000</v>
      </c>
      <c r="J633" t="s">
        <v>58</v>
      </c>
      <c r="K633" t="str">
        <f>IFERROR(INDEX(Katalog!$A$3:$A$12,MATCH(Data[[#This Row],[ItemID B]],Katalog!$C$3:$C$12,0)),"-")</f>
        <v>Pakaian Wanita</v>
      </c>
      <c r="L633" t="str">
        <f>IFERROR(INDEX(Katalog!$B$3:$B$12,MATCH(Data[[#This Row],[ItemID B]],Katalog!$C$3:$C$12,0)),"-")</f>
        <v>Dress</v>
      </c>
      <c r="M633">
        <v>3</v>
      </c>
      <c r="N633">
        <v>2</v>
      </c>
      <c r="O633" s="36">
        <f>IFERROR(INDEX(Katalog!$D$3:$D$12,MATCH(Data[[#This Row],[ItemID B]],Katalog!$C$3:$C$12,0))*Data[[#This Row],[Qty B]],"0")</f>
        <v>900000</v>
      </c>
      <c r="P633" s="36">
        <f>IFERROR(INDEX(Katalog!$F$3:$F$12,MATCH(Data[[#This Row],[ItemID B]],Katalog!$C$3:$C$12,0))*Data[[#This Row],[Qty B]],"0")</f>
        <v>300000</v>
      </c>
      <c r="R633" t="str">
        <f>IFERROR(INDEX(Katalog!$A$3:$A$12,MATCH(Data[[#This Row],[ItemID C]],Katalog!$C$3:$C$12,0)),"-")</f>
        <v>-</v>
      </c>
      <c r="S633" t="str">
        <f>IFERROR(INDEX(Katalog!$B$3:$B$12,MATCH(Data[[#This Row],[ItemID C]],Katalog!$C$3:$C$12,0)),"-")</f>
        <v>-</v>
      </c>
      <c r="V633" s="36" t="str">
        <f>IFERROR(INDEX(Katalog!$D$3:$D$12,MATCH(Data[[#This Row],[ItemID C]],Katalog!$C$3:$C$12,0))*Data[[#This Row],[Qty C]],"0")</f>
        <v>0</v>
      </c>
      <c r="W633" s="36" t="str">
        <f>IFERROR(INDEX(Katalog!$F$3:$F$12,MATCH(Data[[#This Row],[ItemID C]],Katalog!$C$3:$C$12,0))*Data[[#This Row],[Qty C]],"0")</f>
        <v>0</v>
      </c>
      <c r="X633" s="21">
        <f>Data[[#This Row],[Qty A]]+Data[[#This Row],[Qty B]]+Data[[#This Row],[Qty C]]</f>
        <v>4</v>
      </c>
      <c r="Y633" s="22">
        <f>Data[[#This Row],[Harga Barang A]]+Data[[#This Row],[Harga Barang B]]+Data[[#This Row],[Harga Barang C]]</f>
        <v>1150000</v>
      </c>
      <c r="Z633" s="35">
        <f>IFERROR(Data[[#This Row],[Total Harga]]-(Data[[#This Row],[Total Harga]]*Data[[#This Row],[Diskon]]),Data[[#This Row],[Total Harga]])</f>
        <v>920000</v>
      </c>
      <c r="AA633" s="35">
        <f>(Data[[#This Row],[Profit A]]+Data[[#This Row],[Profit B]]+Data[[#This Row],[Profit C]])</f>
        <v>400000</v>
      </c>
      <c r="AB633" s="35">
        <f>IFERROR((Data[[#This Row],[Profit non Diskon]]-(Data[[#This Row],[Profit non Diskon]]*Data[[#This Row],[Diskon]])),Data[[#This Row],[Profit non Diskon]])</f>
        <v>320000</v>
      </c>
      <c r="AC633" s="23" t="s">
        <v>8</v>
      </c>
      <c r="AD633" s="37">
        <f>IFERROR(INDEX('Kode Diskon'!$D$3:$D$9,MATCH(Data[[#This Row],[Kode diskon]],'Kode Diskon'!$C$3:$C$9,0)),"-")</f>
        <v>0.2</v>
      </c>
      <c r="AE633" s="23" t="s">
        <v>9</v>
      </c>
      <c r="AF633" s="23" t="s">
        <v>7</v>
      </c>
      <c r="AG633" s="23" t="s">
        <v>80</v>
      </c>
      <c r="AH633" s="24">
        <v>45042</v>
      </c>
      <c r="AI633" s="23" t="str">
        <f>TEXT(Data[[#This Row],[Tanggal terjual]],"dddd")</f>
        <v>Wednesday</v>
      </c>
      <c r="AJ633" s="21" t="str">
        <f>TEXT(Data[[#This Row],[Tanggal terjual]],"wwww")</f>
        <v>wwww</v>
      </c>
    </row>
    <row r="634" spans="1:36" x14ac:dyDescent="0.2">
      <c r="A634" s="20">
        <v>633</v>
      </c>
      <c r="B634" s="21" t="str">
        <f>_xlfn.CONCAT("ORD-",INDEX(Helper!$B$2:$B$5,MATCH(Data[[#This Row],[Marketplace]],Helper!$A$2:$A$5,0)),TEXT(Data[[#This Row],[No]],"0000"),"-",TEXT(Data[[#This Row],[Tanggal terjual]],"dd/mm/yy"))</f>
        <v>ORD-BL0633-15/04/23</v>
      </c>
      <c r="C634" t="s">
        <v>59</v>
      </c>
      <c r="D634" t="str">
        <f>IFERROR(INDEX(Katalog!$A$3:$A$12,MATCH(Data[[#This Row],[ItemID A]],Katalog!$C$3:$C$12,0)),"-")</f>
        <v>Pakaian Wanita</v>
      </c>
      <c r="E634" t="str">
        <f>IFERROR(INDEX(Katalog!$B$3:$B$12,MATCH(Data[[#This Row],[ItemID A]],Katalog!$C$3:$C$12,0)),"-")</f>
        <v>Blouse</v>
      </c>
      <c r="F634">
        <v>1</v>
      </c>
      <c r="G634">
        <v>5</v>
      </c>
      <c r="H634" s="36">
        <f>IFERROR(INDEX(Katalog!$D$3:$D$12,MATCH(Data[[#This Row],[ItemID A]],Katalog!$C$3:$C$12,0))*Data[[#This Row],[Qty A]],"0")</f>
        <v>150000</v>
      </c>
      <c r="I634" s="36">
        <f>IFERROR(INDEX(Katalog!$F$3:$F$12,MATCH(Data[[#This Row],[ItemID A]],Katalog!$C$3:$C$12,0))*Data[[#This Row],[Qty A]],0)</f>
        <v>50000</v>
      </c>
      <c r="J634" t="s">
        <v>63</v>
      </c>
      <c r="K634" t="str">
        <f>IFERROR(INDEX(Katalog!$A$3:$A$12,MATCH(Data[[#This Row],[ItemID B]],Katalog!$C$3:$C$12,0)),"-")</f>
        <v>Pakaian Pria</v>
      </c>
      <c r="L634" t="str">
        <f>IFERROR(INDEX(Katalog!$B$3:$B$12,MATCH(Data[[#This Row],[ItemID B]],Katalog!$C$3:$C$12,0)),"-")</f>
        <v>Jaket Jeans</v>
      </c>
      <c r="M634">
        <v>1</v>
      </c>
      <c r="N634">
        <v>5</v>
      </c>
      <c r="O634" s="36">
        <f>IFERROR(INDEX(Katalog!$D$3:$D$12,MATCH(Data[[#This Row],[ItemID B]],Katalog!$C$3:$C$12,0))*Data[[#This Row],[Qty B]],"0")</f>
        <v>400000</v>
      </c>
      <c r="P634" s="36">
        <f>IFERROR(INDEX(Katalog!$F$3:$F$12,MATCH(Data[[#This Row],[ItemID B]],Katalog!$C$3:$C$12,0))*Data[[#This Row],[Qty B]],"0")</f>
        <v>150000</v>
      </c>
      <c r="R634" t="str">
        <f>IFERROR(INDEX(Katalog!$A$3:$A$12,MATCH(Data[[#This Row],[ItemID C]],Katalog!$C$3:$C$12,0)),"-")</f>
        <v>-</v>
      </c>
      <c r="S634" t="str">
        <f>IFERROR(INDEX(Katalog!$B$3:$B$12,MATCH(Data[[#This Row],[ItemID C]],Katalog!$C$3:$C$12,0)),"-")</f>
        <v>-</v>
      </c>
      <c r="V634" s="36" t="str">
        <f>IFERROR(INDEX(Katalog!$D$3:$D$12,MATCH(Data[[#This Row],[ItemID C]],Katalog!$C$3:$C$12,0))*Data[[#This Row],[Qty C]],"0")</f>
        <v>0</v>
      </c>
      <c r="W634" s="36" t="str">
        <f>IFERROR(INDEX(Katalog!$F$3:$F$12,MATCH(Data[[#This Row],[ItemID C]],Katalog!$C$3:$C$12,0))*Data[[#This Row],[Qty C]],"0")</f>
        <v>0</v>
      </c>
      <c r="X634" s="21">
        <f>Data[[#This Row],[Qty A]]+Data[[#This Row],[Qty B]]+Data[[#This Row],[Qty C]]</f>
        <v>2</v>
      </c>
      <c r="Y634" s="22">
        <f>Data[[#This Row],[Harga Barang A]]+Data[[#This Row],[Harga Barang B]]+Data[[#This Row],[Harga Barang C]]</f>
        <v>550000</v>
      </c>
      <c r="Z634" s="35">
        <f>IFERROR(Data[[#This Row],[Total Harga]]-(Data[[#This Row],[Total Harga]]*Data[[#This Row],[Diskon]]),Data[[#This Row],[Total Harga]])</f>
        <v>550000</v>
      </c>
      <c r="AA634" s="35">
        <f>(Data[[#This Row],[Profit A]]+Data[[#This Row],[Profit B]]+Data[[#This Row],[Profit C]])</f>
        <v>200000</v>
      </c>
      <c r="AB634" s="35">
        <f>IFERROR((Data[[#This Row],[Profit non Diskon]]-(Data[[#This Row],[Profit non Diskon]]*Data[[#This Row],[Diskon]])),Data[[#This Row],[Profit non Diskon]])</f>
        <v>200000</v>
      </c>
      <c r="AC634" s="23" t="s">
        <v>11</v>
      </c>
      <c r="AD634" s="37" t="str">
        <f>IFERROR(INDEX('Kode Diskon'!$D$3:$D$9,MATCH(Data[[#This Row],[Kode diskon]],'Kode Diskon'!$C$3:$C$9,0)),"-")</f>
        <v>-</v>
      </c>
      <c r="AE634" s="23" t="s">
        <v>11</v>
      </c>
      <c r="AF634" s="23" t="s">
        <v>12</v>
      </c>
      <c r="AG634" s="23" t="s">
        <v>79</v>
      </c>
      <c r="AH634" s="24">
        <v>45031</v>
      </c>
      <c r="AI634" s="23" t="str">
        <f>TEXT(Data[[#This Row],[Tanggal terjual]],"dddd")</f>
        <v>Saturday</v>
      </c>
      <c r="AJ634" s="21" t="str">
        <f>TEXT(Data[[#This Row],[Tanggal terjual]],"wwww")</f>
        <v>wwww</v>
      </c>
    </row>
    <row r="635" spans="1:36" x14ac:dyDescent="0.2">
      <c r="A635" s="20">
        <v>634</v>
      </c>
      <c r="B635" s="21" t="str">
        <f>_xlfn.CONCAT("ORD-",INDEX(Helper!$B$2:$B$5,MATCH(Data[[#This Row],[Marketplace]],Helper!$A$2:$A$5,0)),TEXT(Data[[#This Row],[No]],"0000"),"-",TEXT(Data[[#This Row],[Tanggal terjual]],"dd/mm/yy"))</f>
        <v>ORD-TK0634-01/04/23</v>
      </c>
      <c r="C635" t="s">
        <v>66</v>
      </c>
      <c r="D635" t="str">
        <f>IFERROR(INDEX(Katalog!$A$3:$A$12,MATCH(Data[[#This Row],[ItemID A]],Katalog!$C$3:$C$12,0)),"-")</f>
        <v>Sepatu Pria</v>
      </c>
      <c r="E635" t="str">
        <f>IFERROR(INDEX(Katalog!$B$3:$B$12,MATCH(Data[[#This Row],[ItemID A]],Katalog!$C$3:$C$12,0)),"-")</f>
        <v>Sandal Slip On</v>
      </c>
      <c r="F635">
        <v>1</v>
      </c>
      <c r="G635">
        <v>5</v>
      </c>
      <c r="H635" s="36">
        <f>IFERROR(INDEX(Katalog!$D$3:$D$12,MATCH(Data[[#This Row],[ItemID A]],Katalog!$C$3:$C$12,0))*Data[[#This Row],[Qty A]],"0")</f>
        <v>150000</v>
      </c>
      <c r="I635" s="36">
        <f>IFERROR(INDEX(Katalog!$F$3:$F$12,MATCH(Data[[#This Row],[ItemID A]],Katalog!$C$3:$C$12,0))*Data[[#This Row],[Qty A]],0)</f>
        <v>60000</v>
      </c>
      <c r="K635" t="str">
        <f>IFERROR(INDEX(Katalog!$A$3:$A$12,MATCH(Data[[#This Row],[ItemID B]],Katalog!$C$3:$C$12,0)),"-")</f>
        <v>-</v>
      </c>
      <c r="L635" t="str">
        <f>IFERROR(INDEX(Katalog!$B$3:$B$12,MATCH(Data[[#This Row],[ItemID B]],Katalog!$C$3:$C$12,0)),"-")</f>
        <v>-</v>
      </c>
      <c r="O635" s="36" t="str">
        <f>IFERROR(INDEX(Katalog!$D$3:$D$12,MATCH(Data[[#This Row],[ItemID B]],Katalog!$C$3:$C$12,0))*Data[[#This Row],[Qty B]],"0")</f>
        <v>0</v>
      </c>
      <c r="P635" s="36" t="str">
        <f>IFERROR(INDEX(Katalog!$F$3:$F$12,MATCH(Data[[#This Row],[ItemID B]],Katalog!$C$3:$C$12,0))*Data[[#This Row],[Qty B]],"0")</f>
        <v>0</v>
      </c>
      <c r="R635" t="str">
        <f>IFERROR(INDEX(Katalog!$A$3:$A$12,MATCH(Data[[#This Row],[ItemID C]],Katalog!$C$3:$C$12,0)),"-")</f>
        <v>-</v>
      </c>
      <c r="S635" t="str">
        <f>IFERROR(INDEX(Katalog!$B$3:$B$12,MATCH(Data[[#This Row],[ItemID C]],Katalog!$C$3:$C$12,0)),"-")</f>
        <v>-</v>
      </c>
      <c r="V635" s="36" t="str">
        <f>IFERROR(INDEX(Katalog!$D$3:$D$12,MATCH(Data[[#This Row],[ItemID C]],Katalog!$C$3:$C$12,0))*Data[[#This Row],[Qty C]],"0")</f>
        <v>0</v>
      </c>
      <c r="W635" s="36" t="str">
        <f>IFERROR(INDEX(Katalog!$F$3:$F$12,MATCH(Data[[#This Row],[ItemID C]],Katalog!$C$3:$C$12,0))*Data[[#This Row],[Qty C]],"0")</f>
        <v>0</v>
      </c>
      <c r="X635" s="21">
        <f>Data[[#This Row],[Qty A]]+Data[[#This Row],[Qty B]]+Data[[#This Row],[Qty C]]</f>
        <v>1</v>
      </c>
      <c r="Y635" s="22">
        <f>Data[[#This Row],[Harga Barang A]]+Data[[#This Row],[Harga Barang B]]+Data[[#This Row],[Harga Barang C]]</f>
        <v>150000</v>
      </c>
      <c r="Z635" s="35">
        <f>IFERROR(Data[[#This Row],[Total Harga]]-(Data[[#This Row],[Total Harga]]*Data[[#This Row],[Diskon]]),Data[[#This Row],[Total Harga]])</f>
        <v>135000</v>
      </c>
      <c r="AA635" s="35">
        <f>(Data[[#This Row],[Profit A]]+Data[[#This Row],[Profit B]]+Data[[#This Row],[Profit C]])</f>
        <v>60000</v>
      </c>
      <c r="AB635" s="35">
        <f>IFERROR((Data[[#This Row],[Profit non Diskon]]-(Data[[#This Row],[Profit non Diskon]]*Data[[#This Row],[Diskon]])),Data[[#This Row],[Profit non Diskon]])</f>
        <v>54000</v>
      </c>
      <c r="AC635" s="23" t="s">
        <v>30</v>
      </c>
      <c r="AD635" s="37">
        <f>IFERROR(INDEX('Kode Diskon'!$D$3:$D$9,MATCH(Data[[#This Row],[Kode diskon]],'Kode Diskon'!$C$3:$C$9,0)),"-")</f>
        <v>0.1</v>
      </c>
      <c r="AE635" s="23" t="s">
        <v>29</v>
      </c>
      <c r="AF635" s="23" t="s">
        <v>10</v>
      </c>
      <c r="AG635" s="23" t="s">
        <v>75</v>
      </c>
      <c r="AH635" s="24">
        <v>45017</v>
      </c>
      <c r="AI635" s="23" t="str">
        <f>TEXT(Data[[#This Row],[Tanggal terjual]],"dddd")</f>
        <v>Saturday</v>
      </c>
      <c r="AJ635" s="21" t="str">
        <f>TEXT(Data[[#This Row],[Tanggal terjual]],"wwww")</f>
        <v>wwww</v>
      </c>
    </row>
    <row r="636" spans="1:36" x14ac:dyDescent="0.2">
      <c r="A636" s="20">
        <v>635</v>
      </c>
      <c r="B636" s="21" t="str">
        <f>_xlfn.CONCAT("ORD-",INDEX(Helper!$B$2:$B$5,MATCH(Data[[#This Row],[Marketplace]],Helper!$A$2:$A$5,0)),TEXT(Data[[#This Row],[No]],"0000"),"-",TEXT(Data[[#This Row],[Tanggal terjual]],"dd/mm/yy"))</f>
        <v>ORD-TK0635-06/04/23</v>
      </c>
      <c r="C636" t="s">
        <v>62</v>
      </c>
      <c r="D636" t="str">
        <f>IFERROR(INDEX(Katalog!$A$3:$A$12,MATCH(Data[[#This Row],[ItemID A]],Katalog!$C$3:$C$12,0)),"-")</f>
        <v>Pakaian Pria</v>
      </c>
      <c r="E636" t="str">
        <f>IFERROR(INDEX(Katalog!$B$3:$B$12,MATCH(Data[[#This Row],[ItemID A]],Katalog!$C$3:$C$12,0)),"-")</f>
        <v>Celana Pendek</v>
      </c>
      <c r="F636">
        <v>3</v>
      </c>
      <c r="G636">
        <v>2</v>
      </c>
      <c r="H636" s="36">
        <f>IFERROR(INDEX(Katalog!$D$3:$D$12,MATCH(Data[[#This Row],[ItemID A]],Katalog!$C$3:$C$12,0))*Data[[#This Row],[Qty A]],"0")</f>
        <v>540000</v>
      </c>
      <c r="I636" s="36">
        <f>IFERROR(INDEX(Katalog!$F$3:$F$12,MATCH(Data[[#This Row],[ItemID A]],Katalog!$C$3:$C$12,0))*Data[[#This Row],[Qty A]],0)</f>
        <v>210000</v>
      </c>
      <c r="J636" t="s">
        <v>65</v>
      </c>
      <c r="K636" t="str">
        <f>IFERROR(INDEX(Katalog!$A$3:$A$12,MATCH(Data[[#This Row],[ItemID B]],Katalog!$C$3:$C$12,0)),"-")</f>
        <v>Sepatu Pria</v>
      </c>
      <c r="L636" t="str">
        <f>IFERROR(INDEX(Katalog!$B$3:$B$12,MATCH(Data[[#This Row],[ItemID B]],Katalog!$C$3:$C$12,0)),"-")</f>
        <v>Sneakers</v>
      </c>
      <c r="M636">
        <v>1</v>
      </c>
      <c r="N636">
        <v>3</v>
      </c>
      <c r="O636" s="36">
        <f>IFERROR(INDEX(Katalog!$D$3:$D$12,MATCH(Data[[#This Row],[ItemID B]],Katalog!$C$3:$C$12,0))*Data[[#This Row],[Qty B]],"0")</f>
        <v>500000</v>
      </c>
      <c r="P636" s="36">
        <f>IFERROR(INDEX(Katalog!$F$3:$F$12,MATCH(Data[[#This Row],[ItemID B]],Katalog!$C$3:$C$12,0))*Data[[#This Row],[Qty B]],"0")</f>
        <v>200000</v>
      </c>
      <c r="R636" t="str">
        <f>IFERROR(INDEX(Katalog!$A$3:$A$12,MATCH(Data[[#This Row],[ItemID C]],Katalog!$C$3:$C$12,0)),"-")</f>
        <v>-</v>
      </c>
      <c r="S636" t="str">
        <f>IFERROR(INDEX(Katalog!$B$3:$B$12,MATCH(Data[[#This Row],[ItemID C]],Katalog!$C$3:$C$12,0)),"-")</f>
        <v>-</v>
      </c>
      <c r="V636" s="36" t="str">
        <f>IFERROR(INDEX(Katalog!$D$3:$D$12,MATCH(Data[[#This Row],[ItemID C]],Katalog!$C$3:$C$12,0))*Data[[#This Row],[Qty C]],"0")</f>
        <v>0</v>
      </c>
      <c r="W636" s="36" t="str">
        <f>IFERROR(INDEX(Katalog!$F$3:$F$12,MATCH(Data[[#This Row],[ItemID C]],Katalog!$C$3:$C$12,0))*Data[[#This Row],[Qty C]],"0")</f>
        <v>0</v>
      </c>
      <c r="X636" s="21">
        <f>Data[[#This Row],[Qty A]]+Data[[#This Row],[Qty B]]+Data[[#This Row],[Qty C]]</f>
        <v>4</v>
      </c>
      <c r="Y636" s="22">
        <f>Data[[#This Row],[Harga Barang A]]+Data[[#This Row],[Harga Barang B]]+Data[[#This Row],[Harga Barang C]]</f>
        <v>1040000</v>
      </c>
      <c r="Z636" s="35">
        <f>IFERROR(Data[[#This Row],[Total Harga]]-(Data[[#This Row],[Total Harga]]*Data[[#This Row],[Diskon]]),Data[[#This Row],[Total Harga]])</f>
        <v>936000</v>
      </c>
      <c r="AA636" s="35">
        <f>(Data[[#This Row],[Profit A]]+Data[[#This Row],[Profit B]]+Data[[#This Row],[Profit C]])</f>
        <v>410000</v>
      </c>
      <c r="AB636" s="35">
        <f>IFERROR((Data[[#This Row],[Profit non Diskon]]-(Data[[#This Row],[Profit non Diskon]]*Data[[#This Row],[Diskon]])),Data[[#This Row],[Profit non Diskon]])</f>
        <v>369000</v>
      </c>
      <c r="AC636" s="23" t="s">
        <v>30</v>
      </c>
      <c r="AD636" s="37">
        <f>IFERROR(INDEX('Kode Diskon'!$D$3:$D$9,MATCH(Data[[#This Row],[Kode diskon]],'Kode Diskon'!$C$3:$C$9,0)),"-")</f>
        <v>0.1</v>
      </c>
      <c r="AE636" s="23" t="s">
        <v>29</v>
      </c>
      <c r="AF636" s="23" t="s">
        <v>10</v>
      </c>
      <c r="AG636" s="23" t="s">
        <v>80</v>
      </c>
      <c r="AH636" s="24">
        <v>45022</v>
      </c>
      <c r="AI636" s="23" t="str">
        <f>TEXT(Data[[#This Row],[Tanggal terjual]],"dddd")</f>
        <v>Thursday</v>
      </c>
      <c r="AJ636" s="21" t="str">
        <f>TEXT(Data[[#This Row],[Tanggal terjual]],"wwww")</f>
        <v>wwww</v>
      </c>
    </row>
    <row r="637" spans="1:36" x14ac:dyDescent="0.2">
      <c r="A637" s="20">
        <v>636</v>
      </c>
      <c r="B637" s="21" t="str">
        <f>_xlfn.CONCAT("ORD-",INDEX(Helper!$B$2:$B$5,MATCH(Data[[#This Row],[Marketplace]],Helper!$A$2:$A$5,0)),TEXT(Data[[#This Row],[No]],"0000"),"-",TEXT(Data[[#This Row],[Tanggal terjual]],"dd/mm/yy"))</f>
        <v>ORD-TK0636-08/04/23</v>
      </c>
      <c r="C637" t="s">
        <v>58</v>
      </c>
      <c r="D637" t="str">
        <f>IFERROR(INDEX(Katalog!$A$3:$A$12,MATCH(Data[[#This Row],[ItemID A]],Katalog!$C$3:$C$12,0)),"-")</f>
        <v>Pakaian Wanita</v>
      </c>
      <c r="E637" t="str">
        <f>IFERROR(INDEX(Katalog!$B$3:$B$12,MATCH(Data[[#This Row],[ItemID A]],Katalog!$C$3:$C$12,0)),"-")</f>
        <v>Dress</v>
      </c>
      <c r="F637">
        <v>1</v>
      </c>
      <c r="G637">
        <v>5</v>
      </c>
      <c r="H637" s="36">
        <f>IFERROR(INDEX(Katalog!$D$3:$D$12,MATCH(Data[[#This Row],[ItemID A]],Katalog!$C$3:$C$12,0))*Data[[#This Row],[Qty A]],"0")</f>
        <v>300000</v>
      </c>
      <c r="I637" s="36">
        <f>IFERROR(INDEX(Katalog!$F$3:$F$12,MATCH(Data[[#This Row],[ItemID A]],Katalog!$C$3:$C$12,0))*Data[[#This Row],[Qty A]],0)</f>
        <v>100000</v>
      </c>
      <c r="K637" t="str">
        <f>IFERROR(INDEX(Katalog!$A$3:$A$12,MATCH(Data[[#This Row],[ItemID B]],Katalog!$C$3:$C$12,0)),"-")</f>
        <v>-</v>
      </c>
      <c r="L637" t="str">
        <f>IFERROR(INDEX(Katalog!$B$3:$B$12,MATCH(Data[[#This Row],[ItemID B]],Katalog!$C$3:$C$12,0)),"-")</f>
        <v>-</v>
      </c>
      <c r="O637" s="36" t="str">
        <f>IFERROR(INDEX(Katalog!$D$3:$D$12,MATCH(Data[[#This Row],[ItemID B]],Katalog!$C$3:$C$12,0))*Data[[#This Row],[Qty B]],"0")</f>
        <v>0</v>
      </c>
      <c r="P637" s="36" t="str">
        <f>IFERROR(INDEX(Katalog!$F$3:$F$12,MATCH(Data[[#This Row],[ItemID B]],Katalog!$C$3:$C$12,0))*Data[[#This Row],[Qty B]],"0")</f>
        <v>0</v>
      </c>
      <c r="R637" t="str">
        <f>IFERROR(INDEX(Katalog!$A$3:$A$12,MATCH(Data[[#This Row],[ItemID C]],Katalog!$C$3:$C$12,0)),"-")</f>
        <v>-</v>
      </c>
      <c r="S637" t="str">
        <f>IFERROR(INDEX(Katalog!$B$3:$B$12,MATCH(Data[[#This Row],[ItemID C]],Katalog!$C$3:$C$12,0)),"-")</f>
        <v>-</v>
      </c>
      <c r="V637" s="36" t="str">
        <f>IFERROR(INDEX(Katalog!$D$3:$D$12,MATCH(Data[[#This Row],[ItemID C]],Katalog!$C$3:$C$12,0))*Data[[#This Row],[Qty C]],"0")</f>
        <v>0</v>
      </c>
      <c r="W637" s="36" t="str">
        <f>IFERROR(INDEX(Katalog!$F$3:$F$12,MATCH(Data[[#This Row],[ItemID C]],Katalog!$C$3:$C$12,0))*Data[[#This Row],[Qty C]],"0")</f>
        <v>0</v>
      </c>
      <c r="X637" s="21">
        <f>Data[[#This Row],[Qty A]]+Data[[#This Row],[Qty B]]+Data[[#This Row],[Qty C]]</f>
        <v>1</v>
      </c>
      <c r="Y637" s="22">
        <f>Data[[#This Row],[Harga Barang A]]+Data[[#This Row],[Harga Barang B]]+Data[[#This Row],[Harga Barang C]]</f>
        <v>300000</v>
      </c>
      <c r="Z637" s="35">
        <f>IFERROR(Data[[#This Row],[Total Harga]]-(Data[[#This Row],[Total Harga]]*Data[[#This Row],[Diskon]]),Data[[#This Row],[Total Harga]])</f>
        <v>300000</v>
      </c>
      <c r="AA637" s="35">
        <f>(Data[[#This Row],[Profit A]]+Data[[#This Row],[Profit B]]+Data[[#This Row],[Profit C]])</f>
        <v>100000</v>
      </c>
      <c r="AB637" s="35">
        <f>IFERROR((Data[[#This Row],[Profit non Diskon]]-(Data[[#This Row],[Profit non Diskon]]*Data[[#This Row],[Diskon]])),Data[[#This Row],[Profit non Diskon]])</f>
        <v>100000</v>
      </c>
      <c r="AC637" s="23" t="s">
        <v>11</v>
      </c>
      <c r="AD637" s="37" t="str">
        <f>IFERROR(INDEX('Kode Diskon'!$D$3:$D$9,MATCH(Data[[#This Row],[Kode diskon]],'Kode Diskon'!$C$3:$C$9,0)),"-")</f>
        <v>-</v>
      </c>
      <c r="AE637" s="23" t="s">
        <v>11</v>
      </c>
      <c r="AF637" s="23" t="s">
        <v>10</v>
      </c>
      <c r="AG637" s="23" t="s">
        <v>77</v>
      </c>
      <c r="AH637" s="24">
        <v>45024</v>
      </c>
      <c r="AI637" s="23" t="str">
        <f>TEXT(Data[[#This Row],[Tanggal terjual]],"dddd")</f>
        <v>Saturday</v>
      </c>
      <c r="AJ637" s="21" t="str">
        <f>TEXT(Data[[#This Row],[Tanggal terjual]],"wwww")</f>
        <v>wwww</v>
      </c>
    </row>
    <row r="638" spans="1:36" x14ac:dyDescent="0.2">
      <c r="A638" s="20">
        <v>637</v>
      </c>
      <c r="B638" s="21" t="str">
        <f>_xlfn.CONCAT("ORD-",INDEX(Helper!$B$2:$B$5,MATCH(Data[[#This Row],[Marketplace]],Helper!$A$2:$A$5,0)),TEXT(Data[[#This Row],[No]],"0000"),"-",TEXT(Data[[#This Row],[Tanggal terjual]],"dd/mm/yy"))</f>
        <v>ORD-BB0637-01/04/23</v>
      </c>
      <c r="C638" t="s">
        <v>64</v>
      </c>
      <c r="D638" t="str">
        <f>IFERROR(INDEX(Katalog!$A$3:$A$12,MATCH(Data[[#This Row],[ItemID A]],Katalog!$C$3:$C$12,0)),"-")</f>
        <v>Pakaian Unisex</v>
      </c>
      <c r="E638" t="str">
        <f>IFERROR(INDEX(Katalog!$B$3:$B$12,MATCH(Data[[#This Row],[ItemID A]],Katalog!$C$3:$C$12,0)),"-")</f>
        <v>Jaket Hoodie</v>
      </c>
      <c r="F638">
        <v>1</v>
      </c>
      <c r="G638">
        <v>5</v>
      </c>
      <c r="H638" s="36">
        <f>IFERROR(INDEX(Katalog!$D$3:$D$12,MATCH(Data[[#This Row],[ItemID A]],Katalog!$C$3:$C$12,0))*Data[[#This Row],[Qty A]],"0")</f>
        <v>350000</v>
      </c>
      <c r="I638" s="36">
        <f>IFERROR(INDEX(Katalog!$F$3:$F$12,MATCH(Data[[#This Row],[ItemID A]],Katalog!$C$3:$C$12,0))*Data[[#This Row],[Qty A]],0)</f>
        <v>130000</v>
      </c>
      <c r="J638" t="s">
        <v>61</v>
      </c>
      <c r="K638" t="str">
        <f>IFERROR(INDEX(Katalog!$A$3:$A$12,MATCH(Data[[#This Row],[ItemID B]],Katalog!$C$3:$C$12,0)),"-")</f>
        <v>Pakaian Pria</v>
      </c>
      <c r="L638" t="str">
        <f>IFERROR(INDEX(Katalog!$B$3:$B$12,MATCH(Data[[#This Row],[ItemID B]],Katalog!$C$3:$C$12,0)),"-")</f>
        <v>Kaos Polo</v>
      </c>
      <c r="M638">
        <v>2</v>
      </c>
      <c r="N638">
        <v>3</v>
      </c>
      <c r="O638" s="36">
        <f>IFERROR(INDEX(Katalog!$D$3:$D$12,MATCH(Data[[#This Row],[ItemID B]],Katalog!$C$3:$C$12,0))*Data[[#This Row],[Qty B]],"0")</f>
        <v>400000</v>
      </c>
      <c r="P638" s="36">
        <f>IFERROR(INDEX(Katalog!$F$3:$F$12,MATCH(Data[[#This Row],[ItemID B]],Katalog!$C$3:$C$12,0))*Data[[#This Row],[Qty B]],"0")</f>
        <v>160000</v>
      </c>
      <c r="Q638" t="s">
        <v>62</v>
      </c>
      <c r="R638" t="str">
        <f>IFERROR(INDEX(Katalog!$A$3:$A$12,MATCH(Data[[#This Row],[ItemID C]],Katalog!$C$3:$C$12,0)),"-")</f>
        <v>Pakaian Pria</v>
      </c>
      <c r="S638" t="str">
        <f>IFERROR(INDEX(Katalog!$B$3:$B$12,MATCH(Data[[#This Row],[ItemID C]],Katalog!$C$3:$C$12,0)),"-")</f>
        <v>Celana Pendek</v>
      </c>
      <c r="T638">
        <v>3</v>
      </c>
      <c r="U638">
        <v>1</v>
      </c>
      <c r="V638" s="36">
        <f>IFERROR(INDEX(Katalog!$D$3:$D$12,MATCH(Data[[#This Row],[ItemID C]],Katalog!$C$3:$C$12,0))*Data[[#This Row],[Qty C]],"0")</f>
        <v>540000</v>
      </c>
      <c r="W638" s="36">
        <f>IFERROR(INDEX(Katalog!$F$3:$F$12,MATCH(Data[[#This Row],[ItemID C]],Katalog!$C$3:$C$12,0))*Data[[#This Row],[Qty C]],"0")</f>
        <v>210000</v>
      </c>
      <c r="X638" s="21">
        <f>Data[[#This Row],[Qty A]]+Data[[#This Row],[Qty B]]+Data[[#This Row],[Qty C]]</f>
        <v>6</v>
      </c>
      <c r="Y638" s="22">
        <f>Data[[#This Row],[Harga Barang A]]+Data[[#This Row],[Harga Barang B]]+Data[[#This Row],[Harga Barang C]]</f>
        <v>1290000</v>
      </c>
      <c r="Z638" s="35">
        <f>IFERROR(Data[[#This Row],[Total Harga]]-(Data[[#This Row],[Total Harga]]*Data[[#This Row],[Diskon]]),Data[[#This Row],[Total Harga]])</f>
        <v>1096500</v>
      </c>
      <c r="AA638" s="35">
        <f>(Data[[#This Row],[Profit A]]+Data[[#This Row],[Profit B]]+Data[[#This Row],[Profit C]])</f>
        <v>500000</v>
      </c>
      <c r="AB638" s="35">
        <f>IFERROR((Data[[#This Row],[Profit non Diskon]]-(Data[[#This Row],[Profit non Diskon]]*Data[[#This Row],[Diskon]])),Data[[#This Row],[Profit non Diskon]])</f>
        <v>425000</v>
      </c>
      <c r="AC638" s="23" t="s">
        <v>28</v>
      </c>
      <c r="AD638" s="37">
        <f>IFERROR(INDEX('Kode Diskon'!$D$3:$D$9,MATCH(Data[[#This Row],[Kode diskon]],'Kode Diskon'!$C$3:$C$9,0)),"-")</f>
        <v>0.15</v>
      </c>
      <c r="AE638" s="23" t="s">
        <v>29</v>
      </c>
      <c r="AF638" s="23" t="s">
        <v>14</v>
      </c>
      <c r="AG638" s="23" t="s">
        <v>76</v>
      </c>
      <c r="AH638" s="24">
        <v>45017</v>
      </c>
      <c r="AI638" s="23" t="str">
        <f>TEXT(Data[[#This Row],[Tanggal terjual]],"dddd")</f>
        <v>Saturday</v>
      </c>
      <c r="AJ638" s="21" t="str">
        <f>TEXT(Data[[#This Row],[Tanggal terjual]],"wwww")</f>
        <v>wwww</v>
      </c>
    </row>
    <row r="639" spans="1:36" x14ac:dyDescent="0.2">
      <c r="A639" s="20">
        <v>638</v>
      </c>
      <c r="B639" s="21" t="str">
        <f>_xlfn.CONCAT("ORD-",INDEX(Helper!$B$2:$B$5,MATCH(Data[[#This Row],[Marketplace]],Helper!$A$2:$A$5,0)),TEXT(Data[[#This Row],[No]],"0000"),"-",TEXT(Data[[#This Row],[Tanggal terjual]],"dd/mm/yy"))</f>
        <v>ORD-BB0638-04/04/23</v>
      </c>
      <c r="C639" t="s">
        <v>58</v>
      </c>
      <c r="D639" t="str">
        <f>IFERROR(INDEX(Katalog!$A$3:$A$12,MATCH(Data[[#This Row],[ItemID A]],Katalog!$C$3:$C$12,0)),"-")</f>
        <v>Pakaian Wanita</v>
      </c>
      <c r="E639" t="str">
        <f>IFERROR(INDEX(Katalog!$B$3:$B$12,MATCH(Data[[#This Row],[ItemID A]],Katalog!$C$3:$C$12,0)),"-")</f>
        <v>Dress</v>
      </c>
      <c r="F639">
        <v>4</v>
      </c>
      <c r="G639">
        <v>4</v>
      </c>
      <c r="H639" s="36">
        <f>IFERROR(INDEX(Katalog!$D$3:$D$12,MATCH(Data[[#This Row],[ItemID A]],Katalog!$C$3:$C$12,0))*Data[[#This Row],[Qty A]],"0")</f>
        <v>1200000</v>
      </c>
      <c r="I639" s="36">
        <f>IFERROR(INDEX(Katalog!$F$3:$F$12,MATCH(Data[[#This Row],[ItemID A]],Katalog!$C$3:$C$12,0))*Data[[#This Row],[Qty A]],0)</f>
        <v>400000</v>
      </c>
      <c r="K639" t="str">
        <f>IFERROR(INDEX(Katalog!$A$3:$A$12,MATCH(Data[[#This Row],[ItemID B]],Katalog!$C$3:$C$12,0)),"-")</f>
        <v>-</v>
      </c>
      <c r="L639" t="str">
        <f>IFERROR(INDEX(Katalog!$B$3:$B$12,MATCH(Data[[#This Row],[ItemID B]],Katalog!$C$3:$C$12,0)),"-")</f>
        <v>-</v>
      </c>
      <c r="O639" s="36" t="str">
        <f>IFERROR(INDEX(Katalog!$D$3:$D$12,MATCH(Data[[#This Row],[ItemID B]],Katalog!$C$3:$C$12,0))*Data[[#This Row],[Qty B]],"0")</f>
        <v>0</v>
      </c>
      <c r="P639" s="36" t="str">
        <f>IFERROR(INDEX(Katalog!$F$3:$F$12,MATCH(Data[[#This Row],[ItemID B]],Katalog!$C$3:$C$12,0))*Data[[#This Row],[Qty B]],"0")</f>
        <v>0</v>
      </c>
      <c r="R639" t="str">
        <f>IFERROR(INDEX(Katalog!$A$3:$A$12,MATCH(Data[[#This Row],[ItemID C]],Katalog!$C$3:$C$12,0)),"-")</f>
        <v>-</v>
      </c>
      <c r="S639" t="str">
        <f>IFERROR(INDEX(Katalog!$B$3:$B$12,MATCH(Data[[#This Row],[ItemID C]],Katalog!$C$3:$C$12,0)),"-")</f>
        <v>-</v>
      </c>
      <c r="V639" s="36" t="str">
        <f>IFERROR(INDEX(Katalog!$D$3:$D$12,MATCH(Data[[#This Row],[ItemID C]],Katalog!$C$3:$C$12,0))*Data[[#This Row],[Qty C]],"0")</f>
        <v>0</v>
      </c>
      <c r="W639" s="36" t="str">
        <f>IFERROR(INDEX(Katalog!$F$3:$F$12,MATCH(Data[[#This Row],[ItemID C]],Katalog!$C$3:$C$12,0))*Data[[#This Row],[Qty C]],"0")</f>
        <v>0</v>
      </c>
      <c r="X639" s="21">
        <f>Data[[#This Row],[Qty A]]+Data[[#This Row],[Qty B]]+Data[[#This Row],[Qty C]]</f>
        <v>4</v>
      </c>
      <c r="Y639" s="22">
        <f>Data[[#This Row],[Harga Barang A]]+Data[[#This Row],[Harga Barang B]]+Data[[#This Row],[Harga Barang C]]</f>
        <v>1200000</v>
      </c>
      <c r="Z639" s="35">
        <f>IFERROR(Data[[#This Row],[Total Harga]]-(Data[[#This Row],[Total Harga]]*Data[[#This Row],[Diskon]]),Data[[#This Row],[Total Harga]])</f>
        <v>1020000</v>
      </c>
      <c r="AA639" s="35">
        <f>(Data[[#This Row],[Profit A]]+Data[[#This Row],[Profit B]]+Data[[#This Row],[Profit C]])</f>
        <v>400000</v>
      </c>
      <c r="AB639" s="35">
        <f>IFERROR((Data[[#This Row],[Profit non Diskon]]-(Data[[#This Row],[Profit non Diskon]]*Data[[#This Row],[Diskon]])),Data[[#This Row],[Profit non Diskon]])</f>
        <v>340000</v>
      </c>
      <c r="AC639" s="23" t="s">
        <v>28</v>
      </c>
      <c r="AD639" s="37">
        <f>IFERROR(INDEX('Kode Diskon'!$D$3:$D$9,MATCH(Data[[#This Row],[Kode diskon]],'Kode Diskon'!$C$3:$C$9,0)),"-")</f>
        <v>0.15</v>
      </c>
      <c r="AE639" s="23" t="s">
        <v>29</v>
      </c>
      <c r="AF639" s="23" t="s">
        <v>14</v>
      </c>
      <c r="AG639" s="23" t="s">
        <v>80</v>
      </c>
      <c r="AH639" s="24">
        <v>45020</v>
      </c>
      <c r="AI639" s="23" t="str">
        <f>TEXT(Data[[#This Row],[Tanggal terjual]],"dddd")</f>
        <v>Tuesday</v>
      </c>
      <c r="AJ639" s="21" t="str">
        <f>TEXT(Data[[#This Row],[Tanggal terjual]],"wwww")</f>
        <v>wwww</v>
      </c>
    </row>
    <row r="640" spans="1:36" x14ac:dyDescent="0.2">
      <c r="A640" s="20">
        <v>639</v>
      </c>
      <c r="B640" s="21" t="str">
        <f>_xlfn.CONCAT("ORD-",INDEX(Helper!$B$2:$B$5,MATCH(Data[[#This Row],[Marketplace]],Helper!$A$2:$A$5,0)),TEXT(Data[[#This Row],[No]],"0000"),"-",TEXT(Data[[#This Row],[Tanggal terjual]],"dd/mm/yy"))</f>
        <v>ORD-TK0639-28/04/23</v>
      </c>
      <c r="C640" t="s">
        <v>59</v>
      </c>
      <c r="D640" t="str">
        <f>IFERROR(INDEX(Katalog!$A$3:$A$12,MATCH(Data[[#This Row],[ItemID A]],Katalog!$C$3:$C$12,0)),"-")</f>
        <v>Pakaian Wanita</v>
      </c>
      <c r="E640" t="str">
        <f>IFERROR(INDEX(Katalog!$B$3:$B$12,MATCH(Data[[#This Row],[ItemID A]],Katalog!$C$3:$C$12,0)),"-")</f>
        <v>Blouse</v>
      </c>
      <c r="F640">
        <v>1</v>
      </c>
      <c r="G640">
        <v>1</v>
      </c>
      <c r="H640" s="36">
        <f>IFERROR(INDEX(Katalog!$D$3:$D$12,MATCH(Data[[#This Row],[ItemID A]],Katalog!$C$3:$C$12,0))*Data[[#This Row],[Qty A]],"0")</f>
        <v>150000</v>
      </c>
      <c r="I640" s="36">
        <f>IFERROR(INDEX(Katalog!$F$3:$F$12,MATCH(Data[[#This Row],[ItemID A]],Katalog!$C$3:$C$12,0))*Data[[#This Row],[Qty A]],0)</f>
        <v>50000</v>
      </c>
      <c r="K640" t="str">
        <f>IFERROR(INDEX(Katalog!$A$3:$A$12,MATCH(Data[[#This Row],[ItemID B]],Katalog!$C$3:$C$12,0)),"-")</f>
        <v>-</v>
      </c>
      <c r="L640" t="str">
        <f>IFERROR(INDEX(Katalog!$B$3:$B$12,MATCH(Data[[#This Row],[ItemID B]],Katalog!$C$3:$C$12,0)),"-")</f>
        <v>-</v>
      </c>
      <c r="O640" s="36" t="str">
        <f>IFERROR(INDEX(Katalog!$D$3:$D$12,MATCH(Data[[#This Row],[ItemID B]],Katalog!$C$3:$C$12,0))*Data[[#This Row],[Qty B]],"0")</f>
        <v>0</v>
      </c>
      <c r="P640" s="36" t="str">
        <f>IFERROR(INDEX(Katalog!$F$3:$F$12,MATCH(Data[[#This Row],[ItemID B]],Katalog!$C$3:$C$12,0))*Data[[#This Row],[Qty B]],"0")</f>
        <v>0</v>
      </c>
      <c r="R640" t="str">
        <f>IFERROR(INDEX(Katalog!$A$3:$A$12,MATCH(Data[[#This Row],[ItemID C]],Katalog!$C$3:$C$12,0)),"-")</f>
        <v>-</v>
      </c>
      <c r="S640" t="str">
        <f>IFERROR(INDEX(Katalog!$B$3:$B$12,MATCH(Data[[#This Row],[ItemID C]],Katalog!$C$3:$C$12,0)),"-")</f>
        <v>-</v>
      </c>
      <c r="V640" s="36" t="str">
        <f>IFERROR(INDEX(Katalog!$D$3:$D$12,MATCH(Data[[#This Row],[ItemID C]],Katalog!$C$3:$C$12,0))*Data[[#This Row],[Qty C]],"0")</f>
        <v>0</v>
      </c>
      <c r="W640" s="36" t="str">
        <f>IFERROR(INDEX(Katalog!$F$3:$F$12,MATCH(Data[[#This Row],[ItemID C]],Katalog!$C$3:$C$12,0))*Data[[#This Row],[Qty C]],"0")</f>
        <v>0</v>
      </c>
      <c r="X640" s="21">
        <f>Data[[#This Row],[Qty A]]+Data[[#This Row],[Qty B]]+Data[[#This Row],[Qty C]]</f>
        <v>1</v>
      </c>
      <c r="Y640" s="22">
        <f>Data[[#This Row],[Harga Barang A]]+Data[[#This Row],[Harga Barang B]]+Data[[#This Row],[Harga Barang C]]</f>
        <v>150000</v>
      </c>
      <c r="Z640" s="35">
        <f>IFERROR(Data[[#This Row],[Total Harga]]-(Data[[#This Row],[Total Harga]]*Data[[#This Row],[Diskon]]),Data[[#This Row],[Total Harga]])</f>
        <v>135000</v>
      </c>
      <c r="AA640" s="35">
        <f>(Data[[#This Row],[Profit A]]+Data[[#This Row],[Profit B]]+Data[[#This Row],[Profit C]])</f>
        <v>50000</v>
      </c>
      <c r="AB640" s="35">
        <f>IFERROR((Data[[#This Row],[Profit non Diskon]]-(Data[[#This Row],[Profit non Diskon]]*Data[[#This Row],[Diskon]])),Data[[#This Row],[Profit non Diskon]])</f>
        <v>45000</v>
      </c>
      <c r="AC640" s="23" t="s">
        <v>31</v>
      </c>
      <c r="AD640" s="37">
        <f>IFERROR(INDEX('Kode Diskon'!$D$3:$D$9,MATCH(Data[[#This Row],[Kode diskon]],'Kode Diskon'!$C$3:$C$9,0)),"-")</f>
        <v>0.1</v>
      </c>
      <c r="AE640" s="23" t="s">
        <v>9</v>
      </c>
      <c r="AF640" s="23" t="s">
        <v>10</v>
      </c>
      <c r="AG640" s="23" t="s">
        <v>80</v>
      </c>
      <c r="AH640" s="24">
        <v>45044</v>
      </c>
      <c r="AI640" s="23" t="str">
        <f>TEXT(Data[[#This Row],[Tanggal terjual]],"dddd")</f>
        <v>Friday</v>
      </c>
      <c r="AJ640" s="21" t="str">
        <f>TEXT(Data[[#This Row],[Tanggal terjual]],"wwww")</f>
        <v>wwww</v>
      </c>
    </row>
    <row r="641" spans="1:36" x14ac:dyDescent="0.2">
      <c r="A641" s="20">
        <v>640</v>
      </c>
      <c r="B641" s="21" t="str">
        <f>_xlfn.CONCAT("ORD-",INDEX(Helper!$B$2:$B$5,MATCH(Data[[#This Row],[Marketplace]],Helper!$A$2:$A$5,0)),TEXT(Data[[#This Row],[No]],"0000"),"-",TEXT(Data[[#This Row],[Tanggal terjual]],"dd/mm/yy"))</f>
        <v>ORD-SP0640-05/04/23</v>
      </c>
      <c r="C641" t="s">
        <v>63</v>
      </c>
      <c r="D641" t="str">
        <f>IFERROR(INDEX(Katalog!$A$3:$A$12,MATCH(Data[[#This Row],[ItemID A]],Katalog!$C$3:$C$12,0)),"-")</f>
        <v>Pakaian Pria</v>
      </c>
      <c r="E641" t="str">
        <f>IFERROR(INDEX(Katalog!$B$3:$B$12,MATCH(Data[[#This Row],[ItemID A]],Katalog!$C$3:$C$12,0)),"-")</f>
        <v>Jaket Jeans</v>
      </c>
      <c r="F641">
        <v>6</v>
      </c>
      <c r="G641">
        <v>3</v>
      </c>
      <c r="H641" s="36">
        <f>IFERROR(INDEX(Katalog!$D$3:$D$12,MATCH(Data[[#This Row],[ItemID A]],Katalog!$C$3:$C$12,0))*Data[[#This Row],[Qty A]],"0")</f>
        <v>2400000</v>
      </c>
      <c r="I641" s="36">
        <f>IFERROR(INDEX(Katalog!$F$3:$F$12,MATCH(Data[[#This Row],[ItemID A]],Katalog!$C$3:$C$12,0))*Data[[#This Row],[Qty A]],0)</f>
        <v>900000</v>
      </c>
      <c r="K641" t="str">
        <f>IFERROR(INDEX(Katalog!$A$3:$A$12,MATCH(Data[[#This Row],[ItemID B]],Katalog!$C$3:$C$12,0)),"-")</f>
        <v>-</v>
      </c>
      <c r="L641" t="str">
        <f>IFERROR(INDEX(Katalog!$B$3:$B$12,MATCH(Data[[#This Row],[ItemID B]],Katalog!$C$3:$C$12,0)),"-")</f>
        <v>-</v>
      </c>
      <c r="O641" s="36" t="str">
        <f>IFERROR(INDEX(Katalog!$D$3:$D$12,MATCH(Data[[#This Row],[ItemID B]],Katalog!$C$3:$C$12,0))*Data[[#This Row],[Qty B]],"0")</f>
        <v>0</v>
      </c>
      <c r="P641" s="36" t="str">
        <f>IFERROR(INDEX(Katalog!$F$3:$F$12,MATCH(Data[[#This Row],[ItemID B]],Katalog!$C$3:$C$12,0))*Data[[#This Row],[Qty B]],"0")</f>
        <v>0</v>
      </c>
      <c r="R641" t="str">
        <f>IFERROR(INDEX(Katalog!$A$3:$A$12,MATCH(Data[[#This Row],[ItemID C]],Katalog!$C$3:$C$12,0)),"-")</f>
        <v>-</v>
      </c>
      <c r="S641" t="str">
        <f>IFERROR(INDEX(Katalog!$B$3:$B$12,MATCH(Data[[#This Row],[ItemID C]],Katalog!$C$3:$C$12,0)),"-")</f>
        <v>-</v>
      </c>
      <c r="V641" s="36" t="str">
        <f>IFERROR(INDEX(Katalog!$D$3:$D$12,MATCH(Data[[#This Row],[ItemID C]],Katalog!$C$3:$C$12,0))*Data[[#This Row],[Qty C]],"0")</f>
        <v>0</v>
      </c>
      <c r="W641" s="36" t="str">
        <f>IFERROR(INDEX(Katalog!$F$3:$F$12,MATCH(Data[[#This Row],[ItemID C]],Katalog!$C$3:$C$12,0))*Data[[#This Row],[Qty C]],"0")</f>
        <v>0</v>
      </c>
      <c r="X641" s="21">
        <f>Data[[#This Row],[Qty A]]+Data[[#This Row],[Qty B]]+Data[[#This Row],[Qty C]]</f>
        <v>6</v>
      </c>
      <c r="Y641" s="22">
        <f>Data[[#This Row],[Harga Barang A]]+Data[[#This Row],[Harga Barang B]]+Data[[#This Row],[Harga Barang C]]</f>
        <v>2400000</v>
      </c>
      <c r="Z641" s="35">
        <f>IFERROR(Data[[#This Row],[Total Harga]]-(Data[[#This Row],[Total Harga]]*Data[[#This Row],[Diskon]]),Data[[#This Row],[Total Harga]])</f>
        <v>2040000</v>
      </c>
      <c r="AA641" s="35">
        <f>(Data[[#This Row],[Profit A]]+Data[[#This Row],[Profit B]]+Data[[#This Row],[Profit C]])</f>
        <v>900000</v>
      </c>
      <c r="AB641" s="35">
        <f>IFERROR((Data[[#This Row],[Profit non Diskon]]-(Data[[#This Row],[Profit non Diskon]]*Data[[#This Row],[Diskon]])),Data[[#This Row],[Profit non Diskon]])</f>
        <v>765000</v>
      </c>
      <c r="AC641" s="23" t="s">
        <v>13</v>
      </c>
      <c r="AD641" s="37">
        <f>IFERROR(INDEX('Kode Diskon'!$D$3:$D$9,MATCH(Data[[#This Row],[Kode diskon]],'Kode Diskon'!$C$3:$C$9,0)),"-")</f>
        <v>0.15</v>
      </c>
      <c r="AE641" s="23" t="s">
        <v>29</v>
      </c>
      <c r="AF641" s="23" t="s">
        <v>7</v>
      </c>
      <c r="AG641" s="23" t="s">
        <v>76</v>
      </c>
      <c r="AH641" s="24">
        <v>45021</v>
      </c>
      <c r="AI641" s="23" t="str">
        <f>TEXT(Data[[#This Row],[Tanggal terjual]],"dddd")</f>
        <v>Wednesday</v>
      </c>
      <c r="AJ641" s="21" t="str">
        <f>TEXT(Data[[#This Row],[Tanggal terjual]],"wwww")</f>
        <v>wwww</v>
      </c>
    </row>
    <row r="642" spans="1:36" x14ac:dyDescent="0.2">
      <c r="A642" s="20">
        <v>641</v>
      </c>
      <c r="B642" s="21" t="str">
        <f>_xlfn.CONCAT("ORD-",INDEX(Helper!$B$2:$B$5,MATCH(Data[[#This Row],[Marketplace]],Helper!$A$2:$A$5,0)),TEXT(Data[[#This Row],[No]],"0000"),"-",TEXT(Data[[#This Row],[Tanggal terjual]],"dd/mm/yy"))</f>
        <v>ORD-TK0641-01/04/23</v>
      </c>
      <c r="C642" t="s">
        <v>64</v>
      </c>
      <c r="D642" t="str">
        <f>IFERROR(INDEX(Katalog!$A$3:$A$12,MATCH(Data[[#This Row],[ItemID A]],Katalog!$C$3:$C$12,0)),"-")</f>
        <v>Pakaian Unisex</v>
      </c>
      <c r="E642" t="str">
        <f>IFERROR(INDEX(Katalog!$B$3:$B$12,MATCH(Data[[#This Row],[ItemID A]],Katalog!$C$3:$C$12,0)),"-")</f>
        <v>Jaket Hoodie</v>
      </c>
      <c r="F642">
        <v>2</v>
      </c>
      <c r="G642">
        <v>2</v>
      </c>
      <c r="H642" s="36">
        <f>IFERROR(INDEX(Katalog!$D$3:$D$12,MATCH(Data[[#This Row],[ItemID A]],Katalog!$C$3:$C$12,0))*Data[[#This Row],[Qty A]],"0")</f>
        <v>700000</v>
      </c>
      <c r="I642" s="36">
        <f>IFERROR(INDEX(Katalog!$F$3:$F$12,MATCH(Data[[#This Row],[ItemID A]],Katalog!$C$3:$C$12,0))*Data[[#This Row],[Qty A]],0)</f>
        <v>260000</v>
      </c>
      <c r="K642" t="str">
        <f>IFERROR(INDEX(Katalog!$A$3:$A$12,MATCH(Data[[#This Row],[ItemID B]],Katalog!$C$3:$C$12,0)),"-")</f>
        <v>-</v>
      </c>
      <c r="L642" t="str">
        <f>IFERROR(INDEX(Katalog!$B$3:$B$12,MATCH(Data[[#This Row],[ItemID B]],Katalog!$C$3:$C$12,0)),"-")</f>
        <v>-</v>
      </c>
      <c r="O642" s="36" t="str">
        <f>IFERROR(INDEX(Katalog!$D$3:$D$12,MATCH(Data[[#This Row],[ItemID B]],Katalog!$C$3:$C$12,0))*Data[[#This Row],[Qty B]],"0")</f>
        <v>0</v>
      </c>
      <c r="P642" s="36" t="str">
        <f>IFERROR(INDEX(Katalog!$F$3:$F$12,MATCH(Data[[#This Row],[ItemID B]],Katalog!$C$3:$C$12,0))*Data[[#This Row],[Qty B]],"0")</f>
        <v>0</v>
      </c>
      <c r="R642" t="str">
        <f>IFERROR(INDEX(Katalog!$A$3:$A$12,MATCH(Data[[#This Row],[ItemID C]],Katalog!$C$3:$C$12,0)),"-")</f>
        <v>-</v>
      </c>
      <c r="S642" t="str">
        <f>IFERROR(INDEX(Katalog!$B$3:$B$12,MATCH(Data[[#This Row],[ItemID C]],Katalog!$C$3:$C$12,0)),"-")</f>
        <v>-</v>
      </c>
      <c r="V642" s="36" t="str">
        <f>IFERROR(INDEX(Katalog!$D$3:$D$12,MATCH(Data[[#This Row],[ItemID C]],Katalog!$C$3:$C$12,0))*Data[[#This Row],[Qty C]],"0")</f>
        <v>0</v>
      </c>
      <c r="W642" s="36" t="str">
        <f>IFERROR(INDEX(Katalog!$F$3:$F$12,MATCH(Data[[#This Row],[ItemID C]],Katalog!$C$3:$C$12,0))*Data[[#This Row],[Qty C]],"0")</f>
        <v>0</v>
      </c>
      <c r="X642" s="21">
        <f>Data[[#This Row],[Qty A]]+Data[[#This Row],[Qty B]]+Data[[#This Row],[Qty C]]</f>
        <v>2</v>
      </c>
      <c r="Y642" s="22">
        <f>Data[[#This Row],[Harga Barang A]]+Data[[#This Row],[Harga Barang B]]+Data[[#This Row],[Harga Barang C]]</f>
        <v>700000</v>
      </c>
      <c r="Z642" s="35">
        <f>IFERROR(Data[[#This Row],[Total Harga]]-(Data[[#This Row],[Total Harga]]*Data[[#This Row],[Diskon]]),Data[[#This Row],[Total Harga]])</f>
        <v>630000</v>
      </c>
      <c r="AA642" s="35">
        <f>(Data[[#This Row],[Profit A]]+Data[[#This Row],[Profit B]]+Data[[#This Row],[Profit C]])</f>
        <v>260000</v>
      </c>
      <c r="AB642" s="35">
        <f>IFERROR((Data[[#This Row],[Profit non Diskon]]-(Data[[#This Row],[Profit non Diskon]]*Data[[#This Row],[Diskon]])),Data[[#This Row],[Profit non Diskon]])</f>
        <v>234000</v>
      </c>
      <c r="AC642" s="23" t="s">
        <v>30</v>
      </c>
      <c r="AD642" s="37">
        <f>IFERROR(INDEX('Kode Diskon'!$D$3:$D$9,MATCH(Data[[#This Row],[Kode diskon]],'Kode Diskon'!$C$3:$C$9,0)),"-")</f>
        <v>0.1</v>
      </c>
      <c r="AE642" s="23" t="s">
        <v>29</v>
      </c>
      <c r="AF642" s="23" t="s">
        <v>10</v>
      </c>
      <c r="AG642" s="23" t="s">
        <v>75</v>
      </c>
      <c r="AH642" s="24">
        <v>45017</v>
      </c>
      <c r="AI642" s="23" t="str">
        <f>TEXT(Data[[#This Row],[Tanggal terjual]],"dddd")</f>
        <v>Saturday</v>
      </c>
      <c r="AJ642" s="21" t="str">
        <f>TEXT(Data[[#This Row],[Tanggal terjual]],"wwww")</f>
        <v>wwww</v>
      </c>
    </row>
    <row r="643" spans="1:36" x14ac:dyDescent="0.2">
      <c r="A643" s="20">
        <v>642</v>
      </c>
      <c r="B643" s="21" t="str">
        <f>_xlfn.CONCAT("ORD-",INDEX(Helper!$B$2:$B$5,MATCH(Data[[#This Row],[Marketplace]],Helper!$A$2:$A$5,0)),TEXT(Data[[#This Row],[No]],"0000"),"-",TEXT(Data[[#This Row],[Tanggal terjual]],"dd/mm/yy"))</f>
        <v>ORD-SP0642-06/04/23</v>
      </c>
      <c r="C643" t="s">
        <v>67</v>
      </c>
      <c r="D643" t="str">
        <f>IFERROR(INDEX(Katalog!$A$3:$A$12,MATCH(Data[[#This Row],[ItemID A]],Katalog!$C$3:$C$12,0)),"-")</f>
        <v>Sepatu Wanita</v>
      </c>
      <c r="E643" t="str">
        <f>IFERROR(INDEX(Katalog!$B$3:$B$12,MATCH(Data[[#This Row],[ItemID A]],Katalog!$C$3:$C$12,0)),"-")</f>
        <v>Flat Shoes</v>
      </c>
      <c r="F643">
        <v>1</v>
      </c>
      <c r="G643">
        <v>3</v>
      </c>
      <c r="H643" s="36">
        <f>IFERROR(INDEX(Katalog!$D$3:$D$12,MATCH(Data[[#This Row],[ItemID A]],Katalog!$C$3:$C$12,0))*Data[[#This Row],[Qty A]],"0")</f>
        <v>250000</v>
      </c>
      <c r="I643" s="36">
        <f>IFERROR(INDEX(Katalog!$F$3:$F$12,MATCH(Data[[#This Row],[ItemID A]],Katalog!$C$3:$C$12,0))*Data[[#This Row],[Qty A]],0)</f>
        <v>100000</v>
      </c>
      <c r="K643" t="str">
        <f>IFERROR(INDEX(Katalog!$A$3:$A$12,MATCH(Data[[#This Row],[ItemID B]],Katalog!$C$3:$C$12,0)),"-")</f>
        <v>-</v>
      </c>
      <c r="L643" t="str">
        <f>IFERROR(INDEX(Katalog!$B$3:$B$12,MATCH(Data[[#This Row],[ItemID B]],Katalog!$C$3:$C$12,0)),"-")</f>
        <v>-</v>
      </c>
      <c r="O643" s="36" t="str">
        <f>IFERROR(INDEX(Katalog!$D$3:$D$12,MATCH(Data[[#This Row],[ItemID B]],Katalog!$C$3:$C$12,0))*Data[[#This Row],[Qty B]],"0")</f>
        <v>0</v>
      </c>
      <c r="P643" s="36" t="str">
        <f>IFERROR(INDEX(Katalog!$F$3:$F$12,MATCH(Data[[#This Row],[ItemID B]],Katalog!$C$3:$C$12,0))*Data[[#This Row],[Qty B]],"0")</f>
        <v>0</v>
      </c>
      <c r="R643" t="str">
        <f>IFERROR(INDEX(Katalog!$A$3:$A$12,MATCH(Data[[#This Row],[ItemID C]],Katalog!$C$3:$C$12,0)),"-")</f>
        <v>-</v>
      </c>
      <c r="S643" t="str">
        <f>IFERROR(INDEX(Katalog!$B$3:$B$12,MATCH(Data[[#This Row],[ItemID C]],Katalog!$C$3:$C$12,0)),"-")</f>
        <v>-</v>
      </c>
      <c r="V643" s="36" t="str">
        <f>IFERROR(INDEX(Katalog!$D$3:$D$12,MATCH(Data[[#This Row],[ItemID C]],Katalog!$C$3:$C$12,0))*Data[[#This Row],[Qty C]],"0")</f>
        <v>0</v>
      </c>
      <c r="W643" s="36" t="str">
        <f>IFERROR(INDEX(Katalog!$F$3:$F$12,MATCH(Data[[#This Row],[ItemID C]],Katalog!$C$3:$C$12,0))*Data[[#This Row],[Qty C]],"0")</f>
        <v>0</v>
      </c>
      <c r="X643" s="21">
        <f>Data[[#This Row],[Qty A]]+Data[[#This Row],[Qty B]]+Data[[#This Row],[Qty C]]</f>
        <v>1</v>
      </c>
      <c r="Y643" s="22">
        <f>Data[[#This Row],[Harga Barang A]]+Data[[#This Row],[Harga Barang B]]+Data[[#This Row],[Harga Barang C]]</f>
        <v>250000</v>
      </c>
      <c r="Z643" s="35">
        <f>IFERROR(Data[[#This Row],[Total Harga]]-(Data[[#This Row],[Total Harga]]*Data[[#This Row],[Diskon]]),Data[[#This Row],[Total Harga]])</f>
        <v>225000</v>
      </c>
      <c r="AA643" s="35">
        <f>(Data[[#This Row],[Profit A]]+Data[[#This Row],[Profit B]]+Data[[#This Row],[Profit C]])</f>
        <v>100000</v>
      </c>
      <c r="AB643" s="35">
        <f>IFERROR((Data[[#This Row],[Profit non Diskon]]-(Data[[#This Row],[Profit non Diskon]]*Data[[#This Row],[Diskon]])),Data[[#This Row],[Profit non Diskon]])</f>
        <v>90000</v>
      </c>
      <c r="AC643" s="23" t="s">
        <v>6</v>
      </c>
      <c r="AD643" s="37">
        <f>IFERROR(INDEX('Kode Diskon'!$D$3:$D$9,MATCH(Data[[#This Row],[Kode diskon]],'Kode Diskon'!$C$3:$C$9,0)),"-")</f>
        <v>0.1</v>
      </c>
      <c r="AE643" s="23" t="s">
        <v>29</v>
      </c>
      <c r="AF643" s="23" t="s">
        <v>7</v>
      </c>
      <c r="AG643" s="23" t="s">
        <v>77</v>
      </c>
      <c r="AH643" s="24">
        <v>45022</v>
      </c>
      <c r="AI643" s="23" t="str">
        <f>TEXT(Data[[#This Row],[Tanggal terjual]],"dddd")</f>
        <v>Thursday</v>
      </c>
      <c r="AJ643" s="21" t="str">
        <f>TEXT(Data[[#This Row],[Tanggal terjual]],"wwww")</f>
        <v>wwww</v>
      </c>
    </row>
    <row r="644" spans="1:36" x14ac:dyDescent="0.2">
      <c r="A644" s="20">
        <v>643</v>
      </c>
      <c r="B644" s="21" t="str">
        <f>_xlfn.CONCAT("ORD-",INDEX(Helper!$B$2:$B$5,MATCH(Data[[#This Row],[Marketplace]],Helper!$A$2:$A$5,0)),TEXT(Data[[#This Row],[No]],"0000"),"-",TEXT(Data[[#This Row],[Tanggal terjual]],"dd/mm/yy"))</f>
        <v>ORD-SP0643-16/04/23</v>
      </c>
      <c r="C644" t="s">
        <v>62</v>
      </c>
      <c r="D644" t="str">
        <f>IFERROR(INDEX(Katalog!$A$3:$A$12,MATCH(Data[[#This Row],[ItemID A]],Katalog!$C$3:$C$12,0)),"-")</f>
        <v>Pakaian Pria</v>
      </c>
      <c r="E644" t="str">
        <f>IFERROR(INDEX(Katalog!$B$3:$B$12,MATCH(Data[[#This Row],[ItemID A]],Katalog!$C$3:$C$12,0)),"-")</f>
        <v>Celana Pendek</v>
      </c>
      <c r="F644">
        <v>1</v>
      </c>
      <c r="G644">
        <v>3</v>
      </c>
      <c r="H644" s="36">
        <f>IFERROR(INDEX(Katalog!$D$3:$D$12,MATCH(Data[[#This Row],[ItemID A]],Katalog!$C$3:$C$12,0))*Data[[#This Row],[Qty A]],"0")</f>
        <v>180000</v>
      </c>
      <c r="I644" s="36">
        <f>IFERROR(INDEX(Katalog!$F$3:$F$12,MATCH(Data[[#This Row],[ItemID A]],Katalog!$C$3:$C$12,0))*Data[[#This Row],[Qty A]],0)</f>
        <v>70000</v>
      </c>
      <c r="K644" t="str">
        <f>IFERROR(INDEX(Katalog!$A$3:$A$12,MATCH(Data[[#This Row],[ItemID B]],Katalog!$C$3:$C$12,0)),"-")</f>
        <v>-</v>
      </c>
      <c r="L644" t="str">
        <f>IFERROR(INDEX(Katalog!$B$3:$B$12,MATCH(Data[[#This Row],[ItemID B]],Katalog!$C$3:$C$12,0)),"-")</f>
        <v>-</v>
      </c>
      <c r="O644" s="36" t="str">
        <f>IFERROR(INDEX(Katalog!$D$3:$D$12,MATCH(Data[[#This Row],[ItemID B]],Katalog!$C$3:$C$12,0))*Data[[#This Row],[Qty B]],"0")</f>
        <v>0</v>
      </c>
      <c r="P644" s="36" t="str">
        <f>IFERROR(INDEX(Katalog!$F$3:$F$12,MATCH(Data[[#This Row],[ItemID B]],Katalog!$C$3:$C$12,0))*Data[[#This Row],[Qty B]],"0")</f>
        <v>0</v>
      </c>
      <c r="R644" t="str">
        <f>IFERROR(INDEX(Katalog!$A$3:$A$12,MATCH(Data[[#This Row],[ItemID C]],Katalog!$C$3:$C$12,0)),"-")</f>
        <v>-</v>
      </c>
      <c r="S644" t="str">
        <f>IFERROR(INDEX(Katalog!$B$3:$B$12,MATCH(Data[[#This Row],[ItemID C]],Katalog!$C$3:$C$12,0)),"-")</f>
        <v>-</v>
      </c>
      <c r="V644" s="36" t="str">
        <f>IFERROR(INDEX(Katalog!$D$3:$D$12,MATCH(Data[[#This Row],[ItemID C]],Katalog!$C$3:$C$12,0))*Data[[#This Row],[Qty C]],"0")</f>
        <v>0</v>
      </c>
      <c r="W644" s="36" t="str">
        <f>IFERROR(INDEX(Katalog!$F$3:$F$12,MATCH(Data[[#This Row],[ItemID C]],Katalog!$C$3:$C$12,0))*Data[[#This Row],[Qty C]],"0")</f>
        <v>0</v>
      </c>
      <c r="X644" s="21">
        <f>Data[[#This Row],[Qty A]]+Data[[#This Row],[Qty B]]+Data[[#This Row],[Qty C]]</f>
        <v>1</v>
      </c>
      <c r="Y644" s="22">
        <f>Data[[#This Row],[Harga Barang A]]+Data[[#This Row],[Harga Barang B]]+Data[[#This Row],[Harga Barang C]]</f>
        <v>180000</v>
      </c>
      <c r="Z644" s="35">
        <f>IFERROR(Data[[#This Row],[Total Harga]]-(Data[[#This Row],[Total Harga]]*Data[[#This Row],[Diskon]]),Data[[#This Row],[Total Harga]])</f>
        <v>144000</v>
      </c>
      <c r="AA644" s="35">
        <f>(Data[[#This Row],[Profit A]]+Data[[#This Row],[Profit B]]+Data[[#This Row],[Profit C]])</f>
        <v>70000</v>
      </c>
      <c r="AB644" s="35">
        <f>IFERROR((Data[[#This Row],[Profit non Diskon]]-(Data[[#This Row],[Profit non Diskon]]*Data[[#This Row],[Diskon]])),Data[[#This Row],[Profit non Diskon]])</f>
        <v>56000</v>
      </c>
      <c r="AC644" s="23" t="s">
        <v>8</v>
      </c>
      <c r="AD644" s="37">
        <f>IFERROR(INDEX('Kode Diskon'!$D$3:$D$9,MATCH(Data[[#This Row],[Kode diskon]],'Kode Diskon'!$C$3:$C$9,0)),"-")</f>
        <v>0.2</v>
      </c>
      <c r="AE644" s="23" t="s">
        <v>9</v>
      </c>
      <c r="AF644" s="23" t="s">
        <v>7</v>
      </c>
      <c r="AG644" s="23" t="s">
        <v>80</v>
      </c>
      <c r="AH644" s="24">
        <v>45032</v>
      </c>
      <c r="AI644" s="23" t="str">
        <f>TEXT(Data[[#This Row],[Tanggal terjual]],"dddd")</f>
        <v>Sunday</v>
      </c>
      <c r="AJ644" s="21" t="str">
        <f>TEXT(Data[[#This Row],[Tanggal terjual]],"wwww")</f>
        <v>wwww</v>
      </c>
    </row>
    <row r="645" spans="1:36" x14ac:dyDescent="0.2">
      <c r="A645" s="20">
        <v>644</v>
      </c>
      <c r="B645" s="21" t="str">
        <f>_xlfn.CONCAT("ORD-",INDEX(Helper!$B$2:$B$5,MATCH(Data[[#This Row],[Marketplace]],Helper!$A$2:$A$5,0)),TEXT(Data[[#This Row],[No]],"0000"),"-",TEXT(Data[[#This Row],[Tanggal terjual]],"dd/mm/yy"))</f>
        <v>ORD-TK0644-20/04/23</v>
      </c>
      <c r="C645" t="s">
        <v>65</v>
      </c>
      <c r="D645" t="str">
        <f>IFERROR(INDEX(Katalog!$A$3:$A$12,MATCH(Data[[#This Row],[ItemID A]],Katalog!$C$3:$C$12,0)),"-")</f>
        <v>Sepatu Pria</v>
      </c>
      <c r="E645" t="str">
        <f>IFERROR(INDEX(Katalog!$B$3:$B$12,MATCH(Data[[#This Row],[ItemID A]],Katalog!$C$3:$C$12,0)),"-")</f>
        <v>Sneakers</v>
      </c>
      <c r="F645">
        <v>4</v>
      </c>
      <c r="G645">
        <v>2</v>
      </c>
      <c r="H645" s="36">
        <f>IFERROR(INDEX(Katalog!$D$3:$D$12,MATCH(Data[[#This Row],[ItemID A]],Katalog!$C$3:$C$12,0))*Data[[#This Row],[Qty A]],"0")</f>
        <v>2000000</v>
      </c>
      <c r="I645" s="36">
        <f>IFERROR(INDEX(Katalog!$F$3:$F$12,MATCH(Data[[#This Row],[ItemID A]],Katalog!$C$3:$C$12,0))*Data[[#This Row],[Qty A]],0)</f>
        <v>800000</v>
      </c>
      <c r="J645" t="s">
        <v>64</v>
      </c>
      <c r="K645" t="str">
        <f>IFERROR(INDEX(Katalog!$A$3:$A$12,MATCH(Data[[#This Row],[ItemID B]],Katalog!$C$3:$C$12,0)),"-")</f>
        <v>Pakaian Unisex</v>
      </c>
      <c r="L645" t="str">
        <f>IFERROR(INDEX(Katalog!$B$3:$B$12,MATCH(Data[[#This Row],[ItemID B]],Katalog!$C$3:$C$12,0)),"-")</f>
        <v>Jaket Hoodie</v>
      </c>
      <c r="M645">
        <v>2</v>
      </c>
      <c r="N645">
        <v>1</v>
      </c>
      <c r="O645" s="36">
        <f>IFERROR(INDEX(Katalog!$D$3:$D$12,MATCH(Data[[#This Row],[ItemID B]],Katalog!$C$3:$C$12,0))*Data[[#This Row],[Qty B]],"0")</f>
        <v>700000</v>
      </c>
      <c r="P645" s="36">
        <f>IFERROR(INDEX(Katalog!$F$3:$F$12,MATCH(Data[[#This Row],[ItemID B]],Katalog!$C$3:$C$12,0))*Data[[#This Row],[Qty B]],"0")</f>
        <v>260000</v>
      </c>
      <c r="R645" t="str">
        <f>IFERROR(INDEX(Katalog!$A$3:$A$12,MATCH(Data[[#This Row],[ItemID C]],Katalog!$C$3:$C$12,0)),"-")</f>
        <v>-</v>
      </c>
      <c r="S645" t="str">
        <f>IFERROR(INDEX(Katalog!$B$3:$B$12,MATCH(Data[[#This Row],[ItemID C]],Katalog!$C$3:$C$12,0)),"-")</f>
        <v>-</v>
      </c>
      <c r="V645" s="36" t="str">
        <f>IFERROR(INDEX(Katalog!$D$3:$D$12,MATCH(Data[[#This Row],[ItemID C]],Katalog!$C$3:$C$12,0))*Data[[#This Row],[Qty C]],"0")</f>
        <v>0</v>
      </c>
      <c r="W645" s="36" t="str">
        <f>IFERROR(INDEX(Katalog!$F$3:$F$12,MATCH(Data[[#This Row],[ItemID C]],Katalog!$C$3:$C$12,0))*Data[[#This Row],[Qty C]],"0")</f>
        <v>0</v>
      </c>
      <c r="X645" s="21">
        <f>Data[[#This Row],[Qty A]]+Data[[#This Row],[Qty B]]+Data[[#This Row],[Qty C]]</f>
        <v>6</v>
      </c>
      <c r="Y645" s="22">
        <f>Data[[#This Row],[Harga Barang A]]+Data[[#This Row],[Harga Barang B]]+Data[[#This Row],[Harga Barang C]]</f>
        <v>2700000</v>
      </c>
      <c r="Z645" s="35">
        <f>IFERROR(Data[[#This Row],[Total Harga]]-(Data[[#This Row],[Total Harga]]*Data[[#This Row],[Diskon]]),Data[[#This Row],[Total Harga]])</f>
        <v>2430000</v>
      </c>
      <c r="AA645" s="35">
        <f>(Data[[#This Row],[Profit A]]+Data[[#This Row],[Profit B]]+Data[[#This Row],[Profit C]])</f>
        <v>1060000</v>
      </c>
      <c r="AB645" s="35">
        <f>IFERROR((Data[[#This Row],[Profit non Diskon]]-(Data[[#This Row],[Profit non Diskon]]*Data[[#This Row],[Diskon]])),Data[[#This Row],[Profit non Diskon]])</f>
        <v>954000</v>
      </c>
      <c r="AC645" s="23" t="s">
        <v>31</v>
      </c>
      <c r="AD645" s="37">
        <f>IFERROR(INDEX('Kode Diskon'!$D$3:$D$9,MATCH(Data[[#This Row],[Kode diskon]],'Kode Diskon'!$C$3:$C$9,0)),"-")</f>
        <v>0.1</v>
      </c>
      <c r="AE645" s="23" t="s">
        <v>9</v>
      </c>
      <c r="AF645" s="23" t="s">
        <v>10</v>
      </c>
      <c r="AG645" s="23" t="s">
        <v>75</v>
      </c>
      <c r="AH645" s="24">
        <v>45036</v>
      </c>
      <c r="AI645" s="23" t="str">
        <f>TEXT(Data[[#This Row],[Tanggal terjual]],"dddd")</f>
        <v>Thursday</v>
      </c>
      <c r="AJ645" s="21" t="str">
        <f>TEXT(Data[[#This Row],[Tanggal terjual]],"wwww")</f>
        <v>wwww</v>
      </c>
    </row>
    <row r="646" spans="1:36" x14ac:dyDescent="0.2">
      <c r="A646" s="20">
        <v>645</v>
      </c>
      <c r="B646" s="21" t="str">
        <f>_xlfn.CONCAT("ORD-",INDEX(Helper!$B$2:$B$5,MATCH(Data[[#This Row],[Marketplace]],Helper!$A$2:$A$5,0)),TEXT(Data[[#This Row],[No]],"0000"),"-",TEXT(Data[[#This Row],[Tanggal terjual]],"dd/mm/yy"))</f>
        <v>ORD-SP0645-05/04/23</v>
      </c>
      <c r="C646" t="s">
        <v>65</v>
      </c>
      <c r="D646" t="str">
        <f>IFERROR(INDEX(Katalog!$A$3:$A$12,MATCH(Data[[#This Row],[ItemID A]],Katalog!$C$3:$C$12,0)),"-")</f>
        <v>Sepatu Pria</v>
      </c>
      <c r="E646" t="str">
        <f>IFERROR(INDEX(Katalog!$B$3:$B$12,MATCH(Data[[#This Row],[ItemID A]],Katalog!$C$3:$C$12,0)),"-")</f>
        <v>Sneakers</v>
      </c>
      <c r="F646">
        <v>1</v>
      </c>
      <c r="G646">
        <v>1</v>
      </c>
      <c r="H646" s="36">
        <f>IFERROR(INDEX(Katalog!$D$3:$D$12,MATCH(Data[[#This Row],[ItemID A]],Katalog!$C$3:$C$12,0))*Data[[#This Row],[Qty A]],"0")</f>
        <v>500000</v>
      </c>
      <c r="I646" s="36">
        <f>IFERROR(INDEX(Katalog!$F$3:$F$12,MATCH(Data[[#This Row],[ItemID A]],Katalog!$C$3:$C$12,0))*Data[[#This Row],[Qty A]],0)</f>
        <v>200000</v>
      </c>
      <c r="J646" t="s">
        <v>59</v>
      </c>
      <c r="K646" t="str">
        <f>IFERROR(INDEX(Katalog!$A$3:$A$12,MATCH(Data[[#This Row],[ItemID B]],Katalog!$C$3:$C$12,0)),"-")</f>
        <v>Pakaian Wanita</v>
      </c>
      <c r="L646" t="str">
        <f>IFERROR(INDEX(Katalog!$B$3:$B$12,MATCH(Data[[#This Row],[ItemID B]],Katalog!$C$3:$C$12,0)),"-")</f>
        <v>Blouse</v>
      </c>
      <c r="M646">
        <v>2</v>
      </c>
      <c r="N646">
        <v>1</v>
      </c>
      <c r="O646" s="36">
        <f>IFERROR(INDEX(Katalog!$D$3:$D$12,MATCH(Data[[#This Row],[ItemID B]],Katalog!$C$3:$C$12,0))*Data[[#This Row],[Qty B]],"0")</f>
        <v>300000</v>
      </c>
      <c r="P646" s="36">
        <f>IFERROR(INDEX(Katalog!$F$3:$F$12,MATCH(Data[[#This Row],[ItemID B]],Katalog!$C$3:$C$12,0))*Data[[#This Row],[Qty B]],"0")</f>
        <v>100000</v>
      </c>
      <c r="Q646" t="s">
        <v>61</v>
      </c>
      <c r="R646" t="str">
        <f>IFERROR(INDEX(Katalog!$A$3:$A$12,MATCH(Data[[#This Row],[ItemID C]],Katalog!$C$3:$C$12,0)),"-")</f>
        <v>Pakaian Pria</v>
      </c>
      <c r="S646" t="str">
        <f>IFERROR(INDEX(Katalog!$B$3:$B$12,MATCH(Data[[#This Row],[ItemID C]],Katalog!$C$3:$C$12,0)),"-")</f>
        <v>Kaos Polo</v>
      </c>
      <c r="T646">
        <v>1</v>
      </c>
      <c r="U646">
        <v>2</v>
      </c>
      <c r="V646" s="36">
        <f>IFERROR(INDEX(Katalog!$D$3:$D$12,MATCH(Data[[#This Row],[ItemID C]],Katalog!$C$3:$C$12,0))*Data[[#This Row],[Qty C]],"0")</f>
        <v>200000</v>
      </c>
      <c r="W646" s="36">
        <f>IFERROR(INDEX(Katalog!$F$3:$F$12,MATCH(Data[[#This Row],[ItemID C]],Katalog!$C$3:$C$12,0))*Data[[#This Row],[Qty C]],"0")</f>
        <v>80000</v>
      </c>
      <c r="X646" s="21">
        <f>Data[[#This Row],[Qty A]]+Data[[#This Row],[Qty B]]+Data[[#This Row],[Qty C]]</f>
        <v>4</v>
      </c>
      <c r="Y646" s="22">
        <f>Data[[#This Row],[Harga Barang A]]+Data[[#This Row],[Harga Barang B]]+Data[[#This Row],[Harga Barang C]]</f>
        <v>1000000</v>
      </c>
      <c r="Z646" s="35">
        <f>IFERROR(Data[[#This Row],[Total Harga]]-(Data[[#This Row],[Total Harga]]*Data[[#This Row],[Diskon]]),Data[[#This Row],[Total Harga]])</f>
        <v>900000</v>
      </c>
      <c r="AA646" s="35">
        <f>(Data[[#This Row],[Profit A]]+Data[[#This Row],[Profit B]]+Data[[#This Row],[Profit C]])</f>
        <v>380000</v>
      </c>
      <c r="AB646" s="35">
        <f>IFERROR((Data[[#This Row],[Profit non Diskon]]-(Data[[#This Row],[Profit non Diskon]]*Data[[#This Row],[Diskon]])),Data[[#This Row],[Profit non Diskon]])</f>
        <v>342000</v>
      </c>
      <c r="AC646" s="23" t="s">
        <v>6</v>
      </c>
      <c r="AD646" s="37">
        <f>IFERROR(INDEX('Kode Diskon'!$D$3:$D$9,MATCH(Data[[#This Row],[Kode diskon]],'Kode Diskon'!$C$3:$C$9,0)),"-")</f>
        <v>0.1</v>
      </c>
      <c r="AE646" s="23" t="s">
        <v>29</v>
      </c>
      <c r="AF646" s="23" t="s">
        <v>7</v>
      </c>
      <c r="AG646" s="23" t="s">
        <v>75</v>
      </c>
      <c r="AH646" s="24">
        <v>45021</v>
      </c>
      <c r="AI646" s="23" t="str">
        <f>TEXT(Data[[#This Row],[Tanggal terjual]],"dddd")</f>
        <v>Wednesday</v>
      </c>
      <c r="AJ646" s="21" t="str">
        <f>TEXT(Data[[#This Row],[Tanggal terjual]],"wwww")</f>
        <v>wwww</v>
      </c>
    </row>
    <row r="647" spans="1:36" x14ac:dyDescent="0.2">
      <c r="A647" s="20">
        <v>646</v>
      </c>
      <c r="B647" s="21" t="str">
        <f>_xlfn.CONCAT("ORD-",INDEX(Helper!$B$2:$B$5,MATCH(Data[[#This Row],[Marketplace]],Helper!$A$2:$A$5,0)),TEXT(Data[[#This Row],[No]],"0000"),"-",TEXT(Data[[#This Row],[Tanggal terjual]],"dd/mm/yy"))</f>
        <v>ORD-TK0646-03/04/23</v>
      </c>
      <c r="C647" t="s">
        <v>59</v>
      </c>
      <c r="D647" t="str">
        <f>IFERROR(INDEX(Katalog!$A$3:$A$12,MATCH(Data[[#This Row],[ItemID A]],Katalog!$C$3:$C$12,0)),"-")</f>
        <v>Pakaian Wanita</v>
      </c>
      <c r="E647" t="str">
        <f>IFERROR(INDEX(Katalog!$B$3:$B$12,MATCH(Data[[#This Row],[ItemID A]],Katalog!$C$3:$C$12,0)),"-")</f>
        <v>Blouse</v>
      </c>
      <c r="F647">
        <v>2</v>
      </c>
      <c r="G647">
        <v>2</v>
      </c>
      <c r="H647" s="36">
        <f>IFERROR(INDEX(Katalog!$D$3:$D$12,MATCH(Data[[#This Row],[ItemID A]],Katalog!$C$3:$C$12,0))*Data[[#This Row],[Qty A]],"0")</f>
        <v>300000</v>
      </c>
      <c r="I647" s="36">
        <f>IFERROR(INDEX(Katalog!$F$3:$F$12,MATCH(Data[[#This Row],[ItemID A]],Katalog!$C$3:$C$12,0))*Data[[#This Row],[Qty A]],0)</f>
        <v>100000</v>
      </c>
      <c r="K647" t="str">
        <f>IFERROR(INDEX(Katalog!$A$3:$A$12,MATCH(Data[[#This Row],[ItemID B]],Katalog!$C$3:$C$12,0)),"-")</f>
        <v>-</v>
      </c>
      <c r="L647" t="str">
        <f>IFERROR(INDEX(Katalog!$B$3:$B$12,MATCH(Data[[#This Row],[ItemID B]],Katalog!$C$3:$C$12,0)),"-")</f>
        <v>-</v>
      </c>
      <c r="O647" s="36" t="str">
        <f>IFERROR(INDEX(Katalog!$D$3:$D$12,MATCH(Data[[#This Row],[ItemID B]],Katalog!$C$3:$C$12,0))*Data[[#This Row],[Qty B]],"0")</f>
        <v>0</v>
      </c>
      <c r="P647" s="36" t="str">
        <f>IFERROR(INDEX(Katalog!$F$3:$F$12,MATCH(Data[[#This Row],[ItemID B]],Katalog!$C$3:$C$12,0))*Data[[#This Row],[Qty B]],"0")</f>
        <v>0</v>
      </c>
      <c r="R647" t="str">
        <f>IFERROR(INDEX(Katalog!$A$3:$A$12,MATCH(Data[[#This Row],[ItemID C]],Katalog!$C$3:$C$12,0)),"-")</f>
        <v>-</v>
      </c>
      <c r="S647" t="str">
        <f>IFERROR(INDEX(Katalog!$B$3:$B$12,MATCH(Data[[#This Row],[ItemID C]],Katalog!$C$3:$C$12,0)),"-")</f>
        <v>-</v>
      </c>
      <c r="V647" s="36" t="str">
        <f>IFERROR(INDEX(Katalog!$D$3:$D$12,MATCH(Data[[#This Row],[ItemID C]],Katalog!$C$3:$C$12,0))*Data[[#This Row],[Qty C]],"0")</f>
        <v>0</v>
      </c>
      <c r="W647" s="36" t="str">
        <f>IFERROR(INDEX(Katalog!$F$3:$F$12,MATCH(Data[[#This Row],[ItemID C]],Katalog!$C$3:$C$12,0))*Data[[#This Row],[Qty C]],"0")</f>
        <v>0</v>
      </c>
      <c r="X647" s="21">
        <f>Data[[#This Row],[Qty A]]+Data[[#This Row],[Qty B]]+Data[[#This Row],[Qty C]]</f>
        <v>2</v>
      </c>
      <c r="Y647" s="22">
        <f>Data[[#This Row],[Harga Barang A]]+Data[[#This Row],[Harga Barang B]]+Data[[#This Row],[Harga Barang C]]</f>
        <v>300000</v>
      </c>
      <c r="Z647" s="35">
        <f>IFERROR(Data[[#This Row],[Total Harga]]-(Data[[#This Row],[Total Harga]]*Data[[#This Row],[Diskon]]),Data[[#This Row],[Total Harga]])</f>
        <v>270000</v>
      </c>
      <c r="AA647" s="35">
        <f>(Data[[#This Row],[Profit A]]+Data[[#This Row],[Profit B]]+Data[[#This Row],[Profit C]])</f>
        <v>100000</v>
      </c>
      <c r="AB647" s="35">
        <f>IFERROR((Data[[#This Row],[Profit non Diskon]]-(Data[[#This Row],[Profit non Diskon]]*Data[[#This Row],[Diskon]])),Data[[#This Row],[Profit non Diskon]])</f>
        <v>90000</v>
      </c>
      <c r="AC647" s="23" t="s">
        <v>30</v>
      </c>
      <c r="AD647" s="37">
        <f>IFERROR(INDEX('Kode Diskon'!$D$3:$D$9,MATCH(Data[[#This Row],[Kode diskon]],'Kode Diskon'!$C$3:$C$9,0)),"-")</f>
        <v>0.1</v>
      </c>
      <c r="AE647" s="23" t="s">
        <v>29</v>
      </c>
      <c r="AF647" s="23" t="s">
        <v>10</v>
      </c>
      <c r="AG647" s="23" t="s">
        <v>75</v>
      </c>
      <c r="AH647" s="24">
        <v>45019</v>
      </c>
      <c r="AI647" s="23" t="str">
        <f>TEXT(Data[[#This Row],[Tanggal terjual]],"dddd")</f>
        <v>Monday</v>
      </c>
      <c r="AJ647" s="21" t="str">
        <f>TEXT(Data[[#This Row],[Tanggal terjual]],"wwww")</f>
        <v>wwww</v>
      </c>
    </row>
    <row r="648" spans="1:36" x14ac:dyDescent="0.2">
      <c r="A648" s="20">
        <v>647</v>
      </c>
      <c r="B648" s="21" t="str">
        <f>_xlfn.CONCAT("ORD-",INDEX(Helper!$B$2:$B$5,MATCH(Data[[#This Row],[Marketplace]],Helper!$A$2:$A$5,0)),TEXT(Data[[#This Row],[No]],"0000"),"-",TEXT(Data[[#This Row],[Tanggal terjual]],"dd/mm/yy"))</f>
        <v>ORD-BL0647-27/04/23</v>
      </c>
      <c r="C648" t="s">
        <v>59</v>
      </c>
      <c r="D648" t="str">
        <f>IFERROR(INDEX(Katalog!$A$3:$A$12,MATCH(Data[[#This Row],[ItemID A]],Katalog!$C$3:$C$12,0)),"-")</f>
        <v>Pakaian Wanita</v>
      </c>
      <c r="E648" t="str">
        <f>IFERROR(INDEX(Katalog!$B$3:$B$12,MATCH(Data[[#This Row],[ItemID A]],Katalog!$C$3:$C$12,0)),"-")</f>
        <v>Blouse</v>
      </c>
      <c r="F648">
        <v>1</v>
      </c>
      <c r="G648">
        <v>1</v>
      </c>
      <c r="H648" s="36">
        <f>IFERROR(INDEX(Katalog!$D$3:$D$12,MATCH(Data[[#This Row],[ItemID A]],Katalog!$C$3:$C$12,0))*Data[[#This Row],[Qty A]],"0")</f>
        <v>150000</v>
      </c>
      <c r="I648" s="36">
        <f>IFERROR(INDEX(Katalog!$F$3:$F$12,MATCH(Data[[#This Row],[ItemID A]],Katalog!$C$3:$C$12,0))*Data[[#This Row],[Qty A]],0)</f>
        <v>50000</v>
      </c>
      <c r="J648" t="s">
        <v>66</v>
      </c>
      <c r="K648" t="str">
        <f>IFERROR(INDEX(Katalog!$A$3:$A$12,MATCH(Data[[#This Row],[ItemID B]],Katalog!$C$3:$C$12,0)),"-")</f>
        <v>Sepatu Pria</v>
      </c>
      <c r="L648" t="str">
        <f>IFERROR(INDEX(Katalog!$B$3:$B$12,MATCH(Data[[#This Row],[ItemID B]],Katalog!$C$3:$C$12,0)),"-")</f>
        <v>Sandal Slip On</v>
      </c>
      <c r="M648">
        <v>1</v>
      </c>
      <c r="N648">
        <v>1</v>
      </c>
      <c r="O648" s="36">
        <f>IFERROR(INDEX(Katalog!$D$3:$D$12,MATCH(Data[[#This Row],[ItemID B]],Katalog!$C$3:$C$12,0))*Data[[#This Row],[Qty B]],"0")</f>
        <v>150000</v>
      </c>
      <c r="P648" s="36">
        <f>IFERROR(INDEX(Katalog!$F$3:$F$12,MATCH(Data[[#This Row],[ItemID B]],Katalog!$C$3:$C$12,0))*Data[[#This Row],[Qty B]],"0")</f>
        <v>60000</v>
      </c>
      <c r="R648" t="str">
        <f>IFERROR(INDEX(Katalog!$A$3:$A$12,MATCH(Data[[#This Row],[ItemID C]],Katalog!$C$3:$C$12,0)),"-")</f>
        <v>-</v>
      </c>
      <c r="S648" t="str">
        <f>IFERROR(INDEX(Katalog!$B$3:$B$12,MATCH(Data[[#This Row],[ItemID C]],Katalog!$C$3:$C$12,0)),"-")</f>
        <v>-</v>
      </c>
      <c r="V648" s="36" t="str">
        <f>IFERROR(INDEX(Katalog!$D$3:$D$12,MATCH(Data[[#This Row],[ItemID C]],Katalog!$C$3:$C$12,0))*Data[[#This Row],[Qty C]],"0")</f>
        <v>0</v>
      </c>
      <c r="W648" s="36" t="str">
        <f>IFERROR(INDEX(Katalog!$F$3:$F$12,MATCH(Data[[#This Row],[ItemID C]],Katalog!$C$3:$C$12,0))*Data[[#This Row],[Qty C]],"0")</f>
        <v>0</v>
      </c>
      <c r="X648" s="21">
        <f>Data[[#This Row],[Qty A]]+Data[[#This Row],[Qty B]]+Data[[#This Row],[Qty C]]</f>
        <v>2</v>
      </c>
      <c r="Y648" s="22">
        <f>Data[[#This Row],[Harga Barang A]]+Data[[#This Row],[Harga Barang B]]+Data[[#This Row],[Harga Barang C]]</f>
        <v>300000</v>
      </c>
      <c r="Z648" s="35">
        <f>IFERROR(Data[[#This Row],[Total Harga]]-(Data[[#This Row],[Total Harga]]*Data[[#This Row],[Diskon]]),Data[[#This Row],[Total Harga]])</f>
        <v>255000</v>
      </c>
      <c r="AA648" s="35">
        <f>(Data[[#This Row],[Profit A]]+Data[[#This Row],[Profit B]]+Data[[#This Row],[Profit C]])</f>
        <v>110000</v>
      </c>
      <c r="AB648" s="35">
        <f>IFERROR((Data[[#This Row],[Profit non Diskon]]-(Data[[#This Row],[Profit non Diskon]]*Data[[#This Row],[Diskon]])),Data[[#This Row],[Profit non Diskon]])</f>
        <v>93500</v>
      </c>
      <c r="AC648" s="23" t="s">
        <v>32</v>
      </c>
      <c r="AD648" s="37">
        <f>IFERROR(INDEX('Kode Diskon'!$D$3:$D$9,MATCH(Data[[#This Row],[Kode diskon]],'Kode Diskon'!$C$3:$C$9,0)),"-")</f>
        <v>0.15</v>
      </c>
      <c r="AE648" s="23" t="s">
        <v>9</v>
      </c>
      <c r="AF648" s="23" t="s">
        <v>12</v>
      </c>
      <c r="AG648" s="23" t="s">
        <v>76</v>
      </c>
      <c r="AH648" s="24">
        <v>45043</v>
      </c>
      <c r="AI648" s="23" t="str">
        <f>TEXT(Data[[#This Row],[Tanggal terjual]],"dddd")</f>
        <v>Thursday</v>
      </c>
      <c r="AJ648" s="21" t="str">
        <f>TEXT(Data[[#This Row],[Tanggal terjual]],"wwww")</f>
        <v>wwww</v>
      </c>
    </row>
    <row r="649" spans="1:36" x14ac:dyDescent="0.2">
      <c r="A649" s="20">
        <v>648</v>
      </c>
      <c r="B649" s="21" t="str">
        <f>_xlfn.CONCAT("ORD-",INDEX(Helper!$B$2:$B$5,MATCH(Data[[#This Row],[Marketplace]],Helper!$A$2:$A$5,0)),TEXT(Data[[#This Row],[No]],"0000"),"-",TEXT(Data[[#This Row],[Tanggal terjual]],"dd/mm/yy"))</f>
        <v>ORD-BL0648-29/04/23</v>
      </c>
      <c r="C649" t="s">
        <v>59</v>
      </c>
      <c r="D649" t="str">
        <f>IFERROR(INDEX(Katalog!$A$3:$A$12,MATCH(Data[[#This Row],[ItemID A]],Katalog!$C$3:$C$12,0)),"-")</f>
        <v>Pakaian Wanita</v>
      </c>
      <c r="E649" t="str">
        <f>IFERROR(INDEX(Katalog!$B$3:$B$12,MATCH(Data[[#This Row],[ItemID A]],Katalog!$C$3:$C$12,0)),"-")</f>
        <v>Blouse</v>
      </c>
      <c r="F649">
        <v>3</v>
      </c>
      <c r="G649">
        <v>5</v>
      </c>
      <c r="H649" s="36">
        <f>IFERROR(INDEX(Katalog!$D$3:$D$12,MATCH(Data[[#This Row],[ItemID A]],Katalog!$C$3:$C$12,0))*Data[[#This Row],[Qty A]],"0")</f>
        <v>450000</v>
      </c>
      <c r="I649" s="36">
        <f>IFERROR(INDEX(Katalog!$F$3:$F$12,MATCH(Data[[#This Row],[ItemID A]],Katalog!$C$3:$C$12,0))*Data[[#This Row],[Qty A]],0)</f>
        <v>150000</v>
      </c>
      <c r="J649" t="s">
        <v>67</v>
      </c>
      <c r="K649" t="str">
        <f>IFERROR(INDEX(Katalog!$A$3:$A$12,MATCH(Data[[#This Row],[ItemID B]],Katalog!$C$3:$C$12,0)),"-")</f>
        <v>Sepatu Wanita</v>
      </c>
      <c r="L649" t="str">
        <f>IFERROR(INDEX(Katalog!$B$3:$B$12,MATCH(Data[[#This Row],[ItemID B]],Katalog!$C$3:$C$12,0)),"-")</f>
        <v>Flat Shoes</v>
      </c>
      <c r="M649">
        <v>3</v>
      </c>
      <c r="N649">
        <v>1</v>
      </c>
      <c r="O649" s="36">
        <f>IFERROR(INDEX(Katalog!$D$3:$D$12,MATCH(Data[[#This Row],[ItemID B]],Katalog!$C$3:$C$12,0))*Data[[#This Row],[Qty B]],"0")</f>
        <v>750000</v>
      </c>
      <c r="P649" s="36">
        <f>IFERROR(INDEX(Katalog!$F$3:$F$12,MATCH(Data[[#This Row],[ItemID B]],Katalog!$C$3:$C$12,0))*Data[[#This Row],[Qty B]],"0")</f>
        <v>300000</v>
      </c>
      <c r="R649" t="str">
        <f>IFERROR(INDEX(Katalog!$A$3:$A$12,MATCH(Data[[#This Row],[ItemID C]],Katalog!$C$3:$C$12,0)),"-")</f>
        <v>-</v>
      </c>
      <c r="S649" t="str">
        <f>IFERROR(INDEX(Katalog!$B$3:$B$12,MATCH(Data[[#This Row],[ItemID C]],Katalog!$C$3:$C$12,0)),"-")</f>
        <v>-</v>
      </c>
      <c r="V649" s="36" t="str">
        <f>IFERROR(INDEX(Katalog!$D$3:$D$12,MATCH(Data[[#This Row],[ItemID C]],Katalog!$C$3:$C$12,0))*Data[[#This Row],[Qty C]],"0")</f>
        <v>0</v>
      </c>
      <c r="W649" s="36" t="str">
        <f>IFERROR(INDEX(Katalog!$F$3:$F$12,MATCH(Data[[#This Row],[ItemID C]],Katalog!$C$3:$C$12,0))*Data[[#This Row],[Qty C]],"0")</f>
        <v>0</v>
      </c>
      <c r="X649" s="21">
        <f>Data[[#This Row],[Qty A]]+Data[[#This Row],[Qty B]]+Data[[#This Row],[Qty C]]</f>
        <v>6</v>
      </c>
      <c r="Y649" s="22">
        <f>Data[[#This Row],[Harga Barang A]]+Data[[#This Row],[Harga Barang B]]+Data[[#This Row],[Harga Barang C]]</f>
        <v>1200000</v>
      </c>
      <c r="Z649" s="35">
        <f>IFERROR(Data[[#This Row],[Total Harga]]-(Data[[#This Row],[Total Harga]]*Data[[#This Row],[Diskon]]),Data[[#This Row],[Total Harga]])</f>
        <v>1020000</v>
      </c>
      <c r="AA649" s="35">
        <f>(Data[[#This Row],[Profit A]]+Data[[#This Row],[Profit B]]+Data[[#This Row],[Profit C]])</f>
        <v>450000</v>
      </c>
      <c r="AB649" s="35">
        <f>IFERROR((Data[[#This Row],[Profit non Diskon]]-(Data[[#This Row],[Profit non Diskon]]*Data[[#This Row],[Diskon]])),Data[[#This Row],[Profit non Diskon]])</f>
        <v>382500</v>
      </c>
      <c r="AC649" s="23" t="s">
        <v>32</v>
      </c>
      <c r="AD649" s="37">
        <f>IFERROR(INDEX('Kode Diskon'!$D$3:$D$9,MATCH(Data[[#This Row],[Kode diskon]],'Kode Diskon'!$C$3:$C$9,0)),"-")</f>
        <v>0.15</v>
      </c>
      <c r="AE649" s="23" t="s">
        <v>9</v>
      </c>
      <c r="AF649" s="23" t="s">
        <v>12</v>
      </c>
      <c r="AG649" s="23" t="s">
        <v>79</v>
      </c>
      <c r="AH649" s="24">
        <v>45045</v>
      </c>
      <c r="AI649" s="23" t="str">
        <f>TEXT(Data[[#This Row],[Tanggal terjual]],"dddd")</f>
        <v>Saturday</v>
      </c>
      <c r="AJ649" s="21" t="str">
        <f>TEXT(Data[[#This Row],[Tanggal terjual]],"wwww")</f>
        <v>wwww</v>
      </c>
    </row>
    <row r="650" spans="1:36" x14ac:dyDescent="0.2">
      <c r="A650" s="20">
        <v>649</v>
      </c>
      <c r="B650" s="21" t="str">
        <f>_xlfn.CONCAT("ORD-",INDEX(Helper!$B$2:$B$5,MATCH(Data[[#This Row],[Marketplace]],Helper!$A$2:$A$5,0)),TEXT(Data[[#This Row],[No]],"0000"),"-",TEXT(Data[[#This Row],[Tanggal terjual]],"dd/mm/yy"))</f>
        <v>ORD-SP0649-15/04/23</v>
      </c>
      <c r="C650" t="s">
        <v>64</v>
      </c>
      <c r="D650" t="str">
        <f>IFERROR(INDEX(Katalog!$A$3:$A$12,MATCH(Data[[#This Row],[ItemID A]],Katalog!$C$3:$C$12,0)),"-")</f>
        <v>Pakaian Unisex</v>
      </c>
      <c r="E650" t="str">
        <f>IFERROR(INDEX(Katalog!$B$3:$B$12,MATCH(Data[[#This Row],[ItemID A]],Katalog!$C$3:$C$12,0)),"-")</f>
        <v>Jaket Hoodie</v>
      </c>
      <c r="F650">
        <v>4</v>
      </c>
      <c r="G650">
        <v>2</v>
      </c>
      <c r="H650" s="36">
        <f>IFERROR(INDEX(Katalog!$D$3:$D$12,MATCH(Data[[#This Row],[ItemID A]],Katalog!$C$3:$C$12,0))*Data[[#This Row],[Qty A]],"0")</f>
        <v>1400000</v>
      </c>
      <c r="I650" s="36">
        <f>IFERROR(INDEX(Katalog!$F$3:$F$12,MATCH(Data[[#This Row],[ItemID A]],Katalog!$C$3:$C$12,0))*Data[[#This Row],[Qty A]],0)</f>
        <v>520000</v>
      </c>
      <c r="J650" t="s">
        <v>66</v>
      </c>
      <c r="K650" t="str">
        <f>IFERROR(INDEX(Katalog!$A$3:$A$12,MATCH(Data[[#This Row],[ItemID B]],Katalog!$C$3:$C$12,0)),"-")</f>
        <v>Sepatu Pria</v>
      </c>
      <c r="L650" t="str">
        <f>IFERROR(INDEX(Katalog!$B$3:$B$12,MATCH(Data[[#This Row],[ItemID B]],Katalog!$C$3:$C$12,0)),"-")</f>
        <v>Sandal Slip On</v>
      </c>
      <c r="M650">
        <v>1</v>
      </c>
      <c r="N650">
        <v>4</v>
      </c>
      <c r="O650" s="36">
        <f>IFERROR(INDEX(Katalog!$D$3:$D$12,MATCH(Data[[#This Row],[ItemID B]],Katalog!$C$3:$C$12,0))*Data[[#This Row],[Qty B]],"0")</f>
        <v>150000</v>
      </c>
      <c r="P650" s="36">
        <f>IFERROR(INDEX(Katalog!$F$3:$F$12,MATCH(Data[[#This Row],[ItemID B]],Katalog!$C$3:$C$12,0))*Data[[#This Row],[Qty B]],"0")</f>
        <v>60000</v>
      </c>
      <c r="Q650" t="s">
        <v>63</v>
      </c>
      <c r="R650" t="str">
        <f>IFERROR(INDEX(Katalog!$A$3:$A$12,MATCH(Data[[#This Row],[ItemID C]],Katalog!$C$3:$C$12,0)),"-")</f>
        <v>Pakaian Pria</v>
      </c>
      <c r="S650" t="str">
        <f>IFERROR(INDEX(Katalog!$B$3:$B$12,MATCH(Data[[#This Row],[ItemID C]],Katalog!$C$3:$C$12,0)),"-")</f>
        <v>Jaket Jeans</v>
      </c>
      <c r="T650">
        <v>2</v>
      </c>
      <c r="U650">
        <v>3</v>
      </c>
      <c r="V650" s="36">
        <f>IFERROR(INDEX(Katalog!$D$3:$D$12,MATCH(Data[[#This Row],[ItemID C]],Katalog!$C$3:$C$12,0))*Data[[#This Row],[Qty C]],"0")</f>
        <v>800000</v>
      </c>
      <c r="W650" s="36">
        <f>IFERROR(INDEX(Katalog!$F$3:$F$12,MATCH(Data[[#This Row],[ItemID C]],Katalog!$C$3:$C$12,0))*Data[[#This Row],[Qty C]],"0")</f>
        <v>300000</v>
      </c>
      <c r="X650" s="21">
        <f>Data[[#This Row],[Qty A]]+Data[[#This Row],[Qty B]]+Data[[#This Row],[Qty C]]</f>
        <v>7</v>
      </c>
      <c r="Y650" s="22">
        <f>Data[[#This Row],[Harga Barang A]]+Data[[#This Row],[Harga Barang B]]+Data[[#This Row],[Harga Barang C]]</f>
        <v>2350000</v>
      </c>
      <c r="Z650" s="35">
        <f>IFERROR(Data[[#This Row],[Total Harga]]-(Data[[#This Row],[Total Harga]]*Data[[#This Row],[Diskon]]),Data[[#This Row],[Total Harga]])</f>
        <v>2350000</v>
      </c>
      <c r="AA650" s="35">
        <f>(Data[[#This Row],[Profit A]]+Data[[#This Row],[Profit B]]+Data[[#This Row],[Profit C]])</f>
        <v>880000</v>
      </c>
      <c r="AB650" s="35">
        <f>IFERROR((Data[[#This Row],[Profit non Diskon]]-(Data[[#This Row],[Profit non Diskon]]*Data[[#This Row],[Diskon]])),Data[[#This Row],[Profit non Diskon]])</f>
        <v>880000</v>
      </c>
      <c r="AC650" s="23" t="s">
        <v>11</v>
      </c>
      <c r="AD650" s="37" t="str">
        <f>IFERROR(INDEX('Kode Diskon'!$D$3:$D$9,MATCH(Data[[#This Row],[Kode diskon]],'Kode Diskon'!$C$3:$C$9,0)),"-")</f>
        <v>-</v>
      </c>
      <c r="AE650" s="23" t="s">
        <v>11</v>
      </c>
      <c r="AF650" s="23" t="s">
        <v>7</v>
      </c>
      <c r="AG650" s="23" t="s">
        <v>76</v>
      </c>
      <c r="AH650" s="24">
        <v>45031</v>
      </c>
      <c r="AI650" s="23" t="str">
        <f>TEXT(Data[[#This Row],[Tanggal terjual]],"dddd")</f>
        <v>Saturday</v>
      </c>
      <c r="AJ650" s="21" t="str">
        <f>TEXT(Data[[#This Row],[Tanggal terjual]],"wwww")</f>
        <v>wwww</v>
      </c>
    </row>
    <row r="651" spans="1:36" x14ac:dyDescent="0.2">
      <c r="A651" s="20">
        <v>650</v>
      </c>
      <c r="B651" s="21" t="str">
        <f>_xlfn.CONCAT("ORD-",INDEX(Helper!$B$2:$B$5,MATCH(Data[[#This Row],[Marketplace]],Helper!$A$2:$A$5,0)),TEXT(Data[[#This Row],[No]],"0000"),"-",TEXT(Data[[#This Row],[Tanggal terjual]],"dd/mm/yy"))</f>
        <v>ORD-SP0650-05/04/23</v>
      </c>
      <c r="C651" t="s">
        <v>63</v>
      </c>
      <c r="D651" t="str">
        <f>IFERROR(INDEX(Katalog!$A$3:$A$12,MATCH(Data[[#This Row],[ItemID A]],Katalog!$C$3:$C$12,0)),"-")</f>
        <v>Pakaian Pria</v>
      </c>
      <c r="E651" t="str">
        <f>IFERROR(INDEX(Katalog!$B$3:$B$12,MATCH(Data[[#This Row],[ItemID A]],Katalog!$C$3:$C$12,0)),"-")</f>
        <v>Jaket Jeans</v>
      </c>
      <c r="F651">
        <v>3</v>
      </c>
      <c r="G651">
        <v>1</v>
      </c>
      <c r="H651" s="36">
        <f>IFERROR(INDEX(Katalog!$D$3:$D$12,MATCH(Data[[#This Row],[ItemID A]],Katalog!$C$3:$C$12,0))*Data[[#This Row],[Qty A]],"0")</f>
        <v>1200000</v>
      </c>
      <c r="I651" s="36">
        <f>IFERROR(INDEX(Katalog!$F$3:$F$12,MATCH(Data[[#This Row],[ItemID A]],Katalog!$C$3:$C$12,0))*Data[[#This Row],[Qty A]],0)</f>
        <v>450000</v>
      </c>
      <c r="K651" t="str">
        <f>IFERROR(INDEX(Katalog!$A$3:$A$12,MATCH(Data[[#This Row],[ItemID B]],Katalog!$C$3:$C$12,0)),"-")</f>
        <v>-</v>
      </c>
      <c r="L651" t="str">
        <f>IFERROR(INDEX(Katalog!$B$3:$B$12,MATCH(Data[[#This Row],[ItemID B]],Katalog!$C$3:$C$12,0)),"-")</f>
        <v>-</v>
      </c>
      <c r="O651" s="36" t="str">
        <f>IFERROR(INDEX(Katalog!$D$3:$D$12,MATCH(Data[[#This Row],[ItemID B]],Katalog!$C$3:$C$12,0))*Data[[#This Row],[Qty B]],"0")</f>
        <v>0</v>
      </c>
      <c r="P651" s="36" t="str">
        <f>IFERROR(INDEX(Katalog!$F$3:$F$12,MATCH(Data[[#This Row],[ItemID B]],Katalog!$C$3:$C$12,0))*Data[[#This Row],[Qty B]],"0")</f>
        <v>0</v>
      </c>
      <c r="R651" t="str">
        <f>IFERROR(INDEX(Katalog!$A$3:$A$12,MATCH(Data[[#This Row],[ItemID C]],Katalog!$C$3:$C$12,0)),"-")</f>
        <v>-</v>
      </c>
      <c r="S651" t="str">
        <f>IFERROR(INDEX(Katalog!$B$3:$B$12,MATCH(Data[[#This Row],[ItemID C]],Katalog!$C$3:$C$12,0)),"-")</f>
        <v>-</v>
      </c>
      <c r="V651" s="36" t="str">
        <f>IFERROR(INDEX(Katalog!$D$3:$D$12,MATCH(Data[[#This Row],[ItemID C]],Katalog!$C$3:$C$12,0))*Data[[#This Row],[Qty C]],"0")</f>
        <v>0</v>
      </c>
      <c r="W651" s="36" t="str">
        <f>IFERROR(INDEX(Katalog!$F$3:$F$12,MATCH(Data[[#This Row],[ItemID C]],Katalog!$C$3:$C$12,0))*Data[[#This Row],[Qty C]],"0")</f>
        <v>0</v>
      </c>
      <c r="X651" s="21">
        <f>Data[[#This Row],[Qty A]]+Data[[#This Row],[Qty B]]+Data[[#This Row],[Qty C]]</f>
        <v>3</v>
      </c>
      <c r="Y651" s="22">
        <f>Data[[#This Row],[Harga Barang A]]+Data[[#This Row],[Harga Barang B]]+Data[[#This Row],[Harga Barang C]]</f>
        <v>1200000</v>
      </c>
      <c r="Z651" s="35">
        <f>IFERROR(Data[[#This Row],[Total Harga]]-(Data[[#This Row],[Total Harga]]*Data[[#This Row],[Diskon]]),Data[[#This Row],[Total Harga]])</f>
        <v>1080000</v>
      </c>
      <c r="AA651" s="35">
        <f>(Data[[#This Row],[Profit A]]+Data[[#This Row],[Profit B]]+Data[[#This Row],[Profit C]])</f>
        <v>450000</v>
      </c>
      <c r="AB651" s="35">
        <f>IFERROR((Data[[#This Row],[Profit non Diskon]]-(Data[[#This Row],[Profit non Diskon]]*Data[[#This Row],[Diskon]])),Data[[#This Row],[Profit non Diskon]])</f>
        <v>405000</v>
      </c>
      <c r="AC651" s="23" t="s">
        <v>6</v>
      </c>
      <c r="AD651" s="37">
        <f>IFERROR(INDEX('Kode Diskon'!$D$3:$D$9,MATCH(Data[[#This Row],[Kode diskon]],'Kode Diskon'!$C$3:$C$9,0)),"-")</f>
        <v>0.1</v>
      </c>
      <c r="AE651" s="23" t="s">
        <v>29</v>
      </c>
      <c r="AF651" s="23" t="s">
        <v>7</v>
      </c>
      <c r="AG651" s="23" t="s">
        <v>79</v>
      </c>
      <c r="AH651" s="24">
        <v>45021</v>
      </c>
      <c r="AI651" s="23" t="str">
        <f>TEXT(Data[[#This Row],[Tanggal terjual]],"dddd")</f>
        <v>Wednesday</v>
      </c>
      <c r="AJ651" s="21" t="str">
        <f>TEXT(Data[[#This Row],[Tanggal terjual]],"wwww")</f>
        <v>wwww</v>
      </c>
    </row>
    <row r="652" spans="1:36" x14ac:dyDescent="0.2">
      <c r="A652" s="20">
        <v>651</v>
      </c>
      <c r="B652" s="21" t="str">
        <f>_xlfn.CONCAT("ORD-",INDEX(Helper!$B$2:$B$5,MATCH(Data[[#This Row],[Marketplace]],Helper!$A$2:$A$5,0)),TEXT(Data[[#This Row],[No]],"0000"),"-",TEXT(Data[[#This Row],[Tanggal terjual]],"dd/mm/yy"))</f>
        <v>ORD-BL0651-28/04/23</v>
      </c>
      <c r="C652" t="s">
        <v>66</v>
      </c>
      <c r="D652" t="str">
        <f>IFERROR(INDEX(Katalog!$A$3:$A$12,MATCH(Data[[#This Row],[ItemID A]],Katalog!$C$3:$C$12,0)),"-")</f>
        <v>Sepatu Pria</v>
      </c>
      <c r="E652" t="str">
        <f>IFERROR(INDEX(Katalog!$B$3:$B$12,MATCH(Data[[#This Row],[ItemID A]],Katalog!$C$3:$C$12,0)),"-")</f>
        <v>Sandal Slip On</v>
      </c>
      <c r="F652">
        <v>1</v>
      </c>
      <c r="G652">
        <v>5</v>
      </c>
      <c r="H652" s="36">
        <f>IFERROR(INDEX(Katalog!$D$3:$D$12,MATCH(Data[[#This Row],[ItemID A]],Katalog!$C$3:$C$12,0))*Data[[#This Row],[Qty A]],"0")</f>
        <v>150000</v>
      </c>
      <c r="I652" s="36">
        <f>IFERROR(INDEX(Katalog!$F$3:$F$12,MATCH(Data[[#This Row],[ItemID A]],Katalog!$C$3:$C$12,0))*Data[[#This Row],[Qty A]],0)</f>
        <v>60000</v>
      </c>
      <c r="J652" t="s">
        <v>59</v>
      </c>
      <c r="K652" t="str">
        <f>IFERROR(INDEX(Katalog!$A$3:$A$12,MATCH(Data[[#This Row],[ItemID B]],Katalog!$C$3:$C$12,0)),"-")</f>
        <v>Pakaian Wanita</v>
      </c>
      <c r="L652" t="str">
        <f>IFERROR(INDEX(Katalog!$B$3:$B$12,MATCH(Data[[#This Row],[ItemID B]],Katalog!$C$3:$C$12,0)),"-")</f>
        <v>Blouse</v>
      </c>
      <c r="M652">
        <v>2</v>
      </c>
      <c r="N652">
        <v>2</v>
      </c>
      <c r="O652" s="36">
        <f>IFERROR(INDEX(Katalog!$D$3:$D$12,MATCH(Data[[#This Row],[ItemID B]],Katalog!$C$3:$C$12,0))*Data[[#This Row],[Qty B]],"0")</f>
        <v>300000</v>
      </c>
      <c r="P652" s="36">
        <f>IFERROR(INDEX(Katalog!$F$3:$F$12,MATCH(Data[[#This Row],[ItemID B]],Katalog!$C$3:$C$12,0))*Data[[#This Row],[Qty B]],"0")</f>
        <v>100000</v>
      </c>
      <c r="R652" t="str">
        <f>IFERROR(INDEX(Katalog!$A$3:$A$12,MATCH(Data[[#This Row],[ItemID C]],Katalog!$C$3:$C$12,0)),"-")</f>
        <v>-</v>
      </c>
      <c r="S652" t="str">
        <f>IFERROR(INDEX(Katalog!$B$3:$B$12,MATCH(Data[[#This Row],[ItemID C]],Katalog!$C$3:$C$12,0)),"-")</f>
        <v>-</v>
      </c>
      <c r="V652" s="36" t="str">
        <f>IFERROR(INDEX(Katalog!$D$3:$D$12,MATCH(Data[[#This Row],[ItemID C]],Katalog!$C$3:$C$12,0))*Data[[#This Row],[Qty C]],"0")</f>
        <v>0</v>
      </c>
      <c r="W652" s="36" t="str">
        <f>IFERROR(INDEX(Katalog!$F$3:$F$12,MATCH(Data[[#This Row],[ItemID C]],Katalog!$C$3:$C$12,0))*Data[[#This Row],[Qty C]],"0")</f>
        <v>0</v>
      </c>
      <c r="X652" s="21">
        <f>Data[[#This Row],[Qty A]]+Data[[#This Row],[Qty B]]+Data[[#This Row],[Qty C]]</f>
        <v>3</v>
      </c>
      <c r="Y652" s="22">
        <f>Data[[#This Row],[Harga Barang A]]+Data[[#This Row],[Harga Barang B]]+Data[[#This Row],[Harga Barang C]]</f>
        <v>450000</v>
      </c>
      <c r="Z652" s="35">
        <f>IFERROR(Data[[#This Row],[Total Harga]]-(Data[[#This Row],[Total Harga]]*Data[[#This Row],[Diskon]]),Data[[#This Row],[Total Harga]])</f>
        <v>382500</v>
      </c>
      <c r="AA652" s="35">
        <f>(Data[[#This Row],[Profit A]]+Data[[#This Row],[Profit B]]+Data[[#This Row],[Profit C]])</f>
        <v>160000</v>
      </c>
      <c r="AB652" s="35">
        <f>IFERROR((Data[[#This Row],[Profit non Diskon]]-(Data[[#This Row],[Profit non Diskon]]*Data[[#This Row],[Diskon]])),Data[[#This Row],[Profit non Diskon]])</f>
        <v>136000</v>
      </c>
      <c r="AC652" s="23" t="s">
        <v>32</v>
      </c>
      <c r="AD652" s="37">
        <f>IFERROR(INDEX('Kode Diskon'!$D$3:$D$9,MATCH(Data[[#This Row],[Kode diskon]],'Kode Diskon'!$C$3:$C$9,0)),"-")</f>
        <v>0.15</v>
      </c>
      <c r="AE652" s="23" t="s">
        <v>9</v>
      </c>
      <c r="AF652" s="23" t="s">
        <v>12</v>
      </c>
      <c r="AG652" s="23" t="s">
        <v>76</v>
      </c>
      <c r="AH652" s="24">
        <v>45044</v>
      </c>
      <c r="AI652" s="23" t="str">
        <f>TEXT(Data[[#This Row],[Tanggal terjual]],"dddd")</f>
        <v>Friday</v>
      </c>
      <c r="AJ652" s="21" t="str">
        <f>TEXT(Data[[#This Row],[Tanggal terjual]],"wwww")</f>
        <v>wwww</v>
      </c>
    </row>
    <row r="653" spans="1:36" x14ac:dyDescent="0.2">
      <c r="A653" s="20">
        <v>652</v>
      </c>
      <c r="B653" s="21" t="str">
        <f>_xlfn.CONCAT("ORD-",INDEX(Helper!$B$2:$B$5,MATCH(Data[[#This Row],[Marketplace]],Helper!$A$2:$A$5,0)),TEXT(Data[[#This Row],[No]],"0000"),"-",TEXT(Data[[#This Row],[Tanggal terjual]],"dd/mm/yy"))</f>
        <v>ORD-BL0652-14/04/23</v>
      </c>
      <c r="C653" t="s">
        <v>59</v>
      </c>
      <c r="D653" t="str">
        <f>IFERROR(INDEX(Katalog!$A$3:$A$12,MATCH(Data[[#This Row],[ItemID A]],Katalog!$C$3:$C$12,0)),"-")</f>
        <v>Pakaian Wanita</v>
      </c>
      <c r="E653" t="str">
        <f>IFERROR(INDEX(Katalog!$B$3:$B$12,MATCH(Data[[#This Row],[ItemID A]],Katalog!$C$3:$C$12,0)),"-")</f>
        <v>Blouse</v>
      </c>
      <c r="F653">
        <v>2</v>
      </c>
      <c r="G653">
        <v>1</v>
      </c>
      <c r="H653" s="36">
        <f>IFERROR(INDEX(Katalog!$D$3:$D$12,MATCH(Data[[#This Row],[ItemID A]],Katalog!$C$3:$C$12,0))*Data[[#This Row],[Qty A]],"0")</f>
        <v>300000</v>
      </c>
      <c r="I653" s="36">
        <f>IFERROR(INDEX(Katalog!$F$3:$F$12,MATCH(Data[[#This Row],[ItemID A]],Katalog!$C$3:$C$12,0))*Data[[#This Row],[Qty A]],0)</f>
        <v>100000</v>
      </c>
      <c r="J653" t="s">
        <v>63</v>
      </c>
      <c r="K653" t="str">
        <f>IFERROR(INDEX(Katalog!$A$3:$A$12,MATCH(Data[[#This Row],[ItemID B]],Katalog!$C$3:$C$12,0)),"-")</f>
        <v>Pakaian Pria</v>
      </c>
      <c r="L653" t="str">
        <f>IFERROR(INDEX(Katalog!$B$3:$B$12,MATCH(Data[[#This Row],[ItemID B]],Katalog!$C$3:$C$12,0)),"-")</f>
        <v>Jaket Jeans</v>
      </c>
      <c r="M653">
        <v>3</v>
      </c>
      <c r="N653">
        <v>3</v>
      </c>
      <c r="O653" s="36">
        <f>IFERROR(INDEX(Katalog!$D$3:$D$12,MATCH(Data[[#This Row],[ItemID B]],Katalog!$C$3:$C$12,0))*Data[[#This Row],[Qty B]],"0")</f>
        <v>1200000</v>
      </c>
      <c r="P653" s="36">
        <f>IFERROR(INDEX(Katalog!$F$3:$F$12,MATCH(Data[[#This Row],[ItemID B]],Katalog!$C$3:$C$12,0))*Data[[#This Row],[Qty B]],"0")</f>
        <v>450000</v>
      </c>
      <c r="Q653" t="s">
        <v>58</v>
      </c>
      <c r="R653" t="str">
        <f>IFERROR(INDEX(Katalog!$A$3:$A$12,MATCH(Data[[#This Row],[ItemID C]],Katalog!$C$3:$C$12,0)),"-")</f>
        <v>Pakaian Wanita</v>
      </c>
      <c r="S653" t="str">
        <f>IFERROR(INDEX(Katalog!$B$3:$B$12,MATCH(Data[[#This Row],[ItemID C]],Katalog!$C$3:$C$12,0)),"-")</f>
        <v>Dress</v>
      </c>
      <c r="T653">
        <v>1</v>
      </c>
      <c r="U653">
        <v>3</v>
      </c>
      <c r="V653" s="36">
        <f>IFERROR(INDEX(Katalog!$D$3:$D$12,MATCH(Data[[#This Row],[ItemID C]],Katalog!$C$3:$C$12,0))*Data[[#This Row],[Qty C]],"0")</f>
        <v>300000</v>
      </c>
      <c r="W653" s="36">
        <f>IFERROR(INDEX(Katalog!$F$3:$F$12,MATCH(Data[[#This Row],[ItemID C]],Katalog!$C$3:$C$12,0))*Data[[#This Row],[Qty C]],"0")</f>
        <v>100000</v>
      </c>
      <c r="X653" s="21">
        <f>Data[[#This Row],[Qty A]]+Data[[#This Row],[Qty B]]+Data[[#This Row],[Qty C]]</f>
        <v>6</v>
      </c>
      <c r="Y653" s="22">
        <f>Data[[#This Row],[Harga Barang A]]+Data[[#This Row],[Harga Barang B]]+Data[[#This Row],[Harga Barang C]]</f>
        <v>1800000</v>
      </c>
      <c r="Z653" s="35">
        <f>IFERROR(Data[[#This Row],[Total Harga]]-(Data[[#This Row],[Total Harga]]*Data[[#This Row],[Diskon]]),Data[[#This Row],[Total Harga]])</f>
        <v>1800000</v>
      </c>
      <c r="AA653" s="35">
        <f>(Data[[#This Row],[Profit A]]+Data[[#This Row],[Profit B]]+Data[[#This Row],[Profit C]])</f>
        <v>650000</v>
      </c>
      <c r="AB653" s="35">
        <f>IFERROR((Data[[#This Row],[Profit non Diskon]]-(Data[[#This Row],[Profit non Diskon]]*Data[[#This Row],[Diskon]])),Data[[#This Row],[Profit non Diskon]])</f>
        <v>650000</v>
      </c>
      <c r="AC653" s="23" t="s">
        <v>11</v>
      </c>
      <c r="AD653" s="37" t="str">
        <f>IFERROR(INDEX('Kode Diskon'!$D$3:$D$9,MATCH(Data[[#This Row],[Kode diskon]],'Kode Diskon'!$C$3:$C$9,0)),"-")</f>
        <v>-</v>
      </c>
      <c r="AE653" s="23" t="s">
        <v>11</v>
      </c>
      <c r="AF653" s="23" t="s">
        <v>12</v>
      </c>
      <c r="AG653" s="23" t="s">
        <v>78</v>
      </c>
      <c r="AH653" s="24">
        <v>45030</v>
      </c>
      <c r="AI653" s="23" t="str">
        <f>TEXT(Data[[#This Row],[Tanggal terjual]],"dddd")</f>
        <v>Friday</v>
      </c>
      <c r="AJ653" s="21" t="str">
        <f>TEXT(Data[[#This Row],[Tanggal terjual]],"wwww")</f>
        <v>wwww</v>
      </c>
    </row>
    <row r="654" spans="1:36" x14ac:dyDescent="0.2">
      <c r="A654" s="20">
        <v>653</v>
      </c>
      <c r="B654" s="21" t="str">
        <f>_xlfn.CONCAT("ORD-",INDEX(Helper!$B$2:$B$5,MATCH(Data[[#This Row],[Marketplace]],Helper!$A$2:$A$5,0)),TEXT(Data[[#This Row],[No]],"0000"),"-",TEXT(Data[[#This Row],[Tanggal terjual]],"dd/mm/yy"))</f>
        <v>ORD-BL0653-27/04/23</v>
      </c>
      <c r="C654" t="s">
        <v>62</v>
      </c>
      <c r="D654" t="str">
        <f>IFERROR(INDEX(Katalog!$A$3:$A$12,MATCH(Data[[#This Row],[ItemID A]],Katalog!$C$3:$C$12,0)),"-")</f>
        <v>Pakaian Pria</v>
      </c>
      <c r="E654" t="str">
        <f>IFERROR(INDEX(Katalog!$B$3:$B$12,MATCH(Data[[#This Row],[ItemID A]],Katalog!$C$3:$C$12,0)),"-")</f>
        <v>Celana Pendek</v>
      </c>
      <c r="F654">
        <v>1</v>
      </c>
      <c r="G654">
        <v>5</v>
      </c>
      <c r="H654" s="36">
        <f>IFERROR(INDEX(Katalog!$D$3:$D$12,MATCH(Data[[#This Row],[ItemID A]],Katalog!$C$3:$C$12,0))*Data[[#This Row],[Qty A]],"0")</f>
        <v>180000</v>
      </c>
      <c r="I654" s="36">
        <f>IFERROR(INDEX(Katalog!$F$3:$F$12,MATCH(Data[[#This Row],[ItemID A]],Katalog!$C$3:$C$12,0))*Data[[#This Row],[Qty A]],0)</f>
        <v>70000</v>
      </c>
      <c r="J654" t="s">
        <v>63</v>
      </c>
      <c r="K654" t="str">
        <f>IFERROR(INDEX(Katalog!$A$3:$A$12,MATCH(Data[[#This Row],[ItemID B]],Katalog!$C$3:$C$12,0)),"-")</f>
        <v>Pakaian Pria</v>
      </c>
      <c r="L654" t="str">
        <f>IFERROR(INDEX(Katalog!$B$3:$B$12,MATCH(Data[[#This Row],[ItemID B]],Katalog!$C$3:$C$12,0)),"-")</f>
        <v>Jaket Jeans</v>
      </c>
      <c r="M654">
        <v>3</v>
      </c>
      <c r="N654">
        <v>2</v>
      </c>
      <c r="O654" s="36">
        <f>IFERROR(INDEX(Katalog!$D$3:$D$12,MATCH(Data[[#This Row],[ItemID B]],Katalog!$C$3:$C$12,0))*Data[[#This Row],[Qty B]],"0")</f>
        <v>1200000</v>
      </c>
      <c r="P654" s="36">
        <f>IFERROR(INDEX(Katalog!$F$3:$F$12,MATCH(Data[[#This Row],[ItemID B]],Katalog!$C$3:$C$12,0))*Data[[#This Row],[Qty B]],"0")</f>
        <v>450000</v>
      </c>
      <c r="Q654" t="s">
        <v>60</v>
      </c>
      <c r="R654" t="str">
        <f>IFERROR(INDEX(Katalog!$A$3:$A$12,MATCH(Data[[#This Row],[ItemID C]],Katalog!$C$3:$C$12,0)),"-")</f>
        <v>Pakaian Wanita</v>
      </c>
      <c r="S654" t="str">
        <f>IFERROR(INDEX(Katalog!$B$3:$B$12,MATCH(Data[[#This Row],[ItemID C]],Katalog!$C$3:$C$12,0)),"-")</f>
        <v>Kaftan</v>
      </c>
      <c r="T654">
        <v>1</v>
      </c>
      <c r="U654">
        <v>3</v>
      </c>
      <c r="V654" s="36">
        <f>IFERROR(INDEX(Katalog!$D$3:$D$12,MATCH(Data[[#This Row],[ItemID C]],Katalog!$C$3:$C$12,0))*Data[[#This Row],[Qty C]],"0")</f>
        <v>250000</v>
      </c>
      <c r="W654" s="36">
        <f>IFERROR(INDEX(Katalog!$F$3:$F$12,MATCH(Data[[#This Row],[ItemID C]],Katalog!$C$3:$C$12,0))*Data[[#This Row],[Qty C]],"0")</f>
        <v>100000</v>
      </c>
      <c r="X654" s="21">
        <f>Data[[#This Row],[Qty A]]+Data[[#This Row],[Qty B]]+Data[[#This Row],[Qty C]]</f>
        <v>5</v>
      </c>
      <c r="Y654" s="22">
        <f>Data[[#This Row],[Harga Barang A]]+Data[[#This Row],[Harga Barang B]]+Data[[#This Row],[Harga Barang C]]</f>
        <v>1630000</v>
      </c>
      <c r="Z654" s="35">
        <f>IFERROR(Data[[#This Row],[Total Harga]]-(Data[[#This Row],[Total Harga]]*Data[[#This Row],[Diskon]]),Data[[#This Row],[Total Harga]])</f>
        <v>1385500</v>
      </c>
      <c r="AA654" s="35">
        <f>(Data[[#This Row],[Profit A]]+Data[[#This Row],[Profit B]]+Data[[#This Row],[Profit C]])</f>
        <v>620000</v>
      </c>
      <c r="AB654" s="35">
        <f>IFERROR((Data[[#This Row],[Profit non Diskon]]-(Data[[#This Row],[Profit non Diskon]]*Data[[#This Row],[Diskon]])),Data[[#This Row],[Profit non Diskon]])</f>
        <v>527000</v>
      </c>
      <c r="AC654" s="23" t="s">
        <v>32</v>
      </c>
      <c r="AD654" s="37">
        <f>IFERROR(INDEX('Kode Diskon'!$D$3:$D$9,MATCH(Data[[#This Row],[Kode diskon]],'Kode Diskon'!$C$3:$C$9,0)),"-")</f>
        <v>0.15</v>
      </c>
      <c r="AE654" s="23" t="s">
        <v>9</v>
      </c>
      <c r="AF654" s="23" t="s">
        <v>12</v>
      </c>
      <c r="AG654" s="23" t="s">
        <v>80</v>
      </c>
      <c r="AH654" s="24">
        <v>45043</v>
      </c>
      <c r="AI654" s="23" t="str">
        <f>TEXT(Data[[#This Row],[Tanggal terjual]],"dddd")</f>
        <v>Thursday</v>
      </c>
      <c r="AJ654" s="21" t="str">
        <f>TEXT(Data[[#This Row],[Tanggal terjual]],"wwww")</f>
        <v>wwww</v>
      </c>
    </row>
    <row r="655" spans="1:36" x14ac:dyDescent="0.2">
      <c r="A655" s="20">
        <v>654</v>
      </c>
      <c r="B655" s="21" t="str">
        <f>_xlfn.CONCAT("ORD-",INDEX(Helper!$B$2:$B$5,MATCH(Data[[#This Row],[Marketplace]],Helper!$A$2:$A$5,0)),TEXT(Data[[#This Row],[No]],"0000"),"-",TEXT(Data[[#This Row],[Tanggal terjual]],"dd/mm/yy"))</f>
        <v>ORD-SP0654-30/04/23</v>
      </c>
      <c r="C655" t="s">
        <v>67</v>
      </c>
      <c r="D655" t="str">
        <f>IFERROR(INDEX(Katalog!$A$3:$A$12,MATCH(Data[[#This Row],[ItemID A]],Katalog!$C$3:$C$12,0)),"-")</f>
        <v>Sepatu Wanita</v>
      </c>
      <c r="E655" t="str">
        <f>IFERROR(INDEX(Katalog!$B$3:$B$12,MATCH(Data[[#This Row],[ItemID A]],Katalog!$C$3:$C$12,0)),"-")</f>
        <v>Flat Shoes</v>
      </c>
      <c r="F655">
        <v>1</v>
      </c>
      <c r="G655">
        <v>2</v>
      </c>
      <c r="H655" s="36">
        <f>IFERROR(INDEX(Katalog!$D$3:$D$12,MATCH(Data[[#This Row],[ItemID A]],Katalog!$C$3:$C$12,0))*Data[[#This Row],[Qty A]],"0")</f>
        <v>250000</v>
      </c>
      <c r="I655" s="36">
        <f>IFERROR(INDEX(Katalog!$F$3:$F$12,MATCH(Data[[#This Row],[ItemID A]],Katalog!$C$3:$C$12,0))*Data[[#This Row],[Qty A]],0)</f>
        <v>100000</v>
      </c>
      <c r="K655" t="str">
        <f>IFERROR(INDEX(Katalog!$A$3:$A$12,MATCH(Data[[#This Row],[ItemID B]],Katalog!$C$3:$C$12,0)),"-")</f>
        <v>-</v>
      </c>
      <c r="L655" t="str">
        <f>IFERROR(INDEX(Katalog!$B$3:$B$12,MATCH(Data[[#This Row],[ItemID B]],Katalog!$C$3:$C$12,0)),"-")</f>
        <v>-</v>
      </c>
      <c r="O655" s="36" t="str">
        <f>IFERROR(INDEX(Katalog!$D$3:$D$12,MATCH(Data[[#This Row],[ItemID B]],Katalog!$C$3:$C$12,0))*Data[[#This Row],[Qty B]],"0")</f>
        <v>0</v>
      </c>
      <c r="P655" s="36" t="str">
        <f>IFERROR(INDEX(Katalog!$F$3:$F$12,MATCH(Data[[#This Row],[ItemID B]],Katalog!$C$3:$C$12,0))*Data[[#This Row],[Qty B]],"0")</f>
        <v>0</v>
      </c>
      <c r="R655" t="str">
        <f>IFERROR(INDEX(Katalog!$A$3:$A$12,MATCH(Data[[#This Row],[ItemID C]],Katalog!$C$3:$C$12,0)),"-")</f>
        <v>-</v>
      </c>
      <c r="S655" t="str">
        <f>IFERROR(INDEX(Katalog!$B$3:$B$12,MATCH(Data[[#This Row],[ItemID C]],Katalog!$C$3:$C$12,0)),"-")</f>
        <v>-</v>
      </c>
      <c r="V655" s="36" t="str">
        <f>IFERROR(INDEX(Katalog!$D$3:$D$12,MATCH(Data[[#This Row],[ItemID C]],Katalog!$C$3:$C$12,0))*Data[[#This Row],[Qty C]],"0")</f>
        <v>0</v>
      </c>
      <c r="W655" s="36" t="str">
        <f>IFERROR(INDEX(Katalog!$F$3:$F$12,MATCH(Data[[#This Row],[ItemID C]],Katalog!$C$3:$C$12,0))*Data[[#This Row],[Qty C]],"0")</f>
        <v>0</v>
      </c>
      <c r="X655" s="21">
        <f>Data[[#This Row],[Qty A]]+Data[[#This Row],[Qty B]]+Data[[#This Row],[Qty C]]</f>
        <v>1</v>
      </c>
      <c r="Y655" s="22">
        <f>Data[[#This Row],[Harga Barang A]]+Data[[#This Row],[Harga Barang B]]+Data[[#This Row],[Harga Barang C]]</f>
        <v>250000</v>
      </c>
      <c r="Z655" s="35">
        <f>IFERROR(Data[[#This Row],[Total Harga]]-(Data[[#This Row],[Total Harga]]*Data[[#This Row],[Diskon]]),Data[[#This Row],[Total Harga]])</f>
        <v>200000</v>
      </c>
      <c r="AA655" s="35">
        <f>(Data[[#This Row],[Profit A]]+Data[[#This Row],[Profit B]]+Data[[#This Row],[Profit C]])</f>
        <v>100000</v>
      </c>
      <c r="AB655" s="35">
        <f>IFERROR((Data[[#This Row],[Profit non Diskon]]-(Data[[#This Row],[Profit non Diskon]]*Data[[#This Row],[Diskon]])),Data[[#This Row],[Profit non Diskon]])</f>
        <v>80000</v>
      </c>
      <c r="AC655" s="23" t="s">
        <v>8</v>
      </c>
      <c r="AD655" s="37">
        <f>IFERROR(INDEX('Kode Diskon'!$D$3:$D$9,MATCH(Data[[#This Row],[Kode diskon]],'Kode Diskon'!$C$3:$C$9,0)),"-")</f>
        <v>0.2</v>
      </c>
      <c r="AE655" s="23" t="s">
        <v>9</v>
      </c>
      <c r="AF655" s="23" t="s">
        <v>7</v>
      </c>
      <c r="AG655" s="23" t="s">
        <v>80</v>
      </c>
      <c r="AH655" s="24">
        <v>45046</v>
      </c>
      <c r="AI655" s="23" t="str">
        <f>TEXT(Data[[#This Row],[Tanggal terjual]],"dddd")</f>
        <v>Sunday</v>
      </c>
      <c r="AJ655" s="21" t="str">
        <f>TEXT(Data[[#This Row],[Tanggal terjual]],"wwww")</f>
        <v>wwww</v>
      </c>
    </row>
    <row r="656" spans="1:36" x14ac:dyDescent="0.2">
      <c r="A656" s="20">
        <v>655</v>
      </c>
      <c r="B656" s="21" t="str">
        <f>_xlfn.CONCAT("ORD-",INDEX(Helper!$B$2:$B$5,MATCH(Data[[#This Row],[Marketplace]],Helper!$A$2:$A$5,0)),TEXT(Data[[#This Row],[No]],"0000"),"-",TEXT(Data[[#This Row],[Tanggal terjual]],"dd/mm/yy"))</f>
        <v>ORD-SP0655-05/04/23</v>
      </c>
      <c r="C656" t="s">
        <v>58</v>
      </c>
      <c r="D656" t="str">
        <f>IFERROR(INDEX(Katalog!$A$3:$A$12,MATCH(Data[[#This Row],[ItemID A]],Katalog!$C$3:$C$12,0)),"-")</f>
        <v>Pakaian Wanita</v>
      </c>
      <c r="E656" t="str">
        <f>IFERROR(INDEX(Katalog!$B$3:$B$12,MATCH(Data[[#This Row],[ItemID A]],Katalog!$C$3:$C$12,0)),"-")</f>
        <v>Dress</v>
      </c>
      <c r="F656">
        <v>1</v>
      </c>
      <c r="G656">
        <v>2</v>
      </c>
      <c r="H656" s="36">
        <f>IFERROR(INDEX(Katalog!$D$3:$D$12,MATCH(Data[[#This Row],[ItemID A]],Katalog!$C$3:$C$12,0))*Data[[#This Row],[Qty A]],"0")</f>
        <v>300000</v>
      </c>
      <c r="I656" s="36">
        <f>IFERROR(INDEX(Katalog!$F$3:$F$12,MATCH(Data[[#This Row],[ItemID A]],Katalog!$C$3:$C$12,0))*Data[[#This Row],[Qty A]],0)</f>
        <v>100000</v>
      </c>
      <c r="J656" t="s">
        <v>65</v>
      </c>
      <c r="K656" t="str">
        <f>IFERROR(INDEX(Katalog!$A$3:$A$12,MATCH(Data[[#This Row],[ItemID B]],Katalog!$C$3:$C$12,0)),"-")</f>
        <v>Sepatu Pria</v>
      </c>
      <c r="L656" t="str">
        <f>IFERROR(INDEX(Katalog!$B$3:$B$12,MATCH(Data[[#This Row],[ItemID B]],Katalog!$C$3:$C$12,0)),"-")</f>
        <v>Sneakers</v>
      </c>
      <c r="M656">
        <v>2</v>
      </c>
      <c r="N656">
        <v>1</v>
      </c>
      <c r="O656" s="36">
        <f>IFERROR(INDEX(Katalog!$D$3:$D$12,MATCH(Data[[#This Row],[ItemID B]],Katalog!$C$3:$C$12,0))*Data[[#This Row],[Qty B]],"0")</f>
        <v>1000000</v>
      </c>
      <c r="P656" s="36">
        <f>IFERROR(INDEX(Katalog!$F$3:$F$12,MATCH(Data[[#This Row],[ItemID B]],Katalog!$C$3:$C$12,0))*Data[[#This Row],[Qty B]],"0")</f>
        <v>400000</v>
      </c>
      <c r="R656" t="str">
        <f>IFERROR(INDEX(Katalog!$A$3:$A$12,MATCH(Data[[#This Row],[ItemID C]],Katalog!$C$3:$C$12,0)),"-")</f>
        <v>-</v>
      </c>
      <c r="S656" t="str">
        <f>IFERROR(INDEX(Katalog!$B$3:$B$12,MATCH(Data[[#This Row],[ItemID C]],Katalog!$C$3:$C$12,0)),"-")</f>
        <v>-</v>
      </c>
      <c r="V656" s="36" t="str">
        <f>IFERROR(INDEX(Katalog!$D$3:$D$12,MATCH(Data[[#This Row],[ItemID C]],Katalog!$C$3:$C$12,0))*Data[[#This Row],[Qty C]],"0")</f>
        <v>0</v>
      </c>
      <c r="W656" s="36" t="str">
        <f>IFERROR(INDEX(Katalog!$F$3:$F$12,MATCH(Data[[#This Row],[ItemID C]],Katalog!$C$3:$C$12,0))*Data[[#This Row],[Qty C]],"0")</f>
        <v>0</v>
      </c>
      <c r="X656" s="21">
        <f>Data[[#This Row],[Qty A]]+Data[[#This Row],[Qty B]]+Data[[#This Row],[Qty C]]</f>
        <v>3</v>
      </c>
      <c r="Y656" s="22">
        <f>Data[[#This Row],[Harga Barang A]]+Data[[#This Row],[Harga Barang B]]+Data[[#This Row],[Harga Barang C]]</f>
        <v>1300000</v>
      </c>
      <c r="Z656" s="35">
        <f>IFERROR(Data[[#This Row],[Total Harga]]-(Data[[#This Row],[Total Harga]]*Data[[#This Row],[Diskon]]),Data[[#This Row],[Total Harga]])</f>
        <v>1105000</v>
      </c>
      <c r="AA656" s="35">
        <f>(Data[[#This Row],[Profit A]]+Data[[#This Row],[Profit B]]+Data[[#This Row],[Profit C]])</f>
        <v>500000</v>
      </c>
      <c r="AB656" s="35">
        <f>IFERROR((Data[[#This Row],[Profit non Diskon]]-(Data[[#This Row],[Profit non Diskon]]*Data[[#This Row],[Diskon]])),Data[[#This Row],[Profit non Diskon]])</f>
        <v>425000</v>
      </c>
      <c r="AC656" s="23" t="s">
        <v>13</v>
      </c>
      <c r="AD656" s="37">
        <f>IFERROR(INDEX('Kode Diskon'!$D$3:$D$9,MATCH(Data[[#This Row],[Kode diskon]],'Kode Diskon'!$C$3:$C$9,0)),"-")</f>
        <v>0.15</v>
      </c>
      <c r="AE656" s="23" t="s">
        <v>29</v>
      </c>
      <c r="AF656" s="23" t="s">
        <v>7</v>
      </c>
      <c r="AG656" s="23" t="s">
        <v>75</v>
      </c>
      <c r="AH656" s="24">
        <v>45021</v>
      </c>
      <c r="AI656" s="23" t="str">
        <f>TEXT(Data[[#This Row],[Tanggal terjual]],"dddd")</f>
        <v>Wednesday</v>
      </c>
      <c r="AJ656" s="21" t="str">
        <f>TEXT(Data[[#This Row],[Tanggal terjual]],"wwww")</f>
        <v>wwww</v>
      </c>
    </row>
    <row r="657" spans="1:36" x14ac:dyDescent="0.2">
      <c r="A657" s="20">
        <v>656</v>
      </c>
      <c r="B657" s="21" t="str">
        <f>_xlfn.CONCAT("ORD-",INDEX(Helper!$B$2:$B$5,MATCH(Data[[#This Row],[Marketplace]],Helper!$A$2:$A$5,0)),TEXT(Data[[#This Row],[No]],"0000"),"-",TEXT(Data[[#This Row],[Tanggal terjual]],"dd/mm/yy"))</f>
        <v>ORD-BB0656-04/04/23</v>
      </c>
      <c r="C657" t="s">
        <v>59</v>
      </c>
      <c r="D657" t="str">
        <f>IFERROR(INDEX(Katalog!$A$3:$A$12,MATCH(Data[[#This Row],[ItemID A]],Katalog!$C$3:$C$12,0)),"-")</f>
        <v>Pakaian Wanita</v>
      </c>
      <c r="E657" t="str">
        <f>IFERROR(INDEX(Katalog!$B$3:$B$12,MATCH(Data[[#This Row],[ItemID A]],Katalog!$C$3:$C$12,0)),"-")</f>
        <v>Blouse</v>
      </c>
      <c r="F657">
        <v>2</v>
      </c>
      <c r="G657">
        <v>5</v>
      </c>
      <c r="H657" s="36">
        <f>IFERROR(INDEX(Katalog!$D$3:$D$12,MATCH(Data[[#This Row],[ItemID A]],Katalog!$C$3:$C$12,0))*Data[[#This Row],[Qty A]],"0")</f>
        <v>300000</v>
      </c>
      <c r="I657" s="36">
        <f>IFERROR(INDEX(Katalog!$F$3:$F$12,MATCH(Data[[#This Row],[ItemID A]],Katalog!$C$3:$C$12,0))*Data[[#This Row],[Qty A]],0)</f>
        <v>100000</v>
      </c>
      <c r="K657" t="str">
        <f>IFERROR(INDEX(Katalog!$A$3:$A$12,MATCH(Data[[#This Row],[ItemID B]],Katalog!$C$3:$C$12,0)),"-")</f>
        <v>-</v>
      </c>
      <c r="L657" t="str">
        <f>IFERROR(INDEX(Katalog!$B$3:$B$12,MATCH(Data[[#This Row],[ItemID B]],Katalog!$C$3:$C$12,0)),"-")</f>
        <v>-</v>
      </c>
      <c r="O657" s="36" t="str">
        <f>IFERROR(INDEX(Katalog!$D$3:$D$12,MATCH(Data[[#This Row],[ItemID B]],Katalog!$C$3:$C$12,0))*Data[[#This Row],[Qty B]],"0")</f>
        <v>0</v>
      </c>
      <c r="P657" s="36" t="str">
        <f>IFERROR(INDEX(Katalog!$F$3:$F$12,MATCH(Data[[#This Row],[ItemID B]],Katalog!$C$3:$C$12,0))*Data[[#This Row],[Qty B]],"0")</f>
        <v>0</v>
      </c>
      <c r="R657" t="str">
        <f>IFERROR(INDEX(Katalog!$A$3:$A$12,MATCH(Data[[#This Row],[ItemID C]],Katalog!$C$3:$C$12,0)),"-")</f>
        <v>-</v>
      </c>
      <c r="S657" t="str">
        <f>IFERROR(INDEX(Katalog!$B$3:$B$12,MATCH(Data[[#This Row],[ItemID C]],Katalog!$C$3:$C$12,0)),"-")</f>
        <v>-</v>
      </c>
      <c r="V657" s="36" t="str">
        <f>IFERROR(INDEX(Katalog!$D$3:$D$12,MATCH(Data[[#This Row],[ItemID C]],Katalog!$C$3:$C$12,0))*Data[[#This Row],[Qty C]],"0")</f>
        <v>0</v>
      </c>
      <c r="W657" s="36" t="str">
        <f>IFERROR(INDEX(Katalog!$F$3:$F$12,MATCH(Data[[#This Row],[ItemID C]],Katalog!$C$3:$C$12,0))*Data[[#This Row],[Qty C]],"0")</f>
        <v>0</v>
      </c>
      <c r="X657" s="21">
        <f>Data[[#This Row],[Qty A]]+Data[[#This Row],[Qty B]]+Data[[#This Row],[Qty C]]</f>
        <v>2</v>
      </c>
      <c r="Y657" s="22">
        <f>Data[[#This Row],[Harga Barang A]]+Data[[#This Row],[Harga Barang B]]+Data[[#This Row],[Harga Barang C]]</f>
        <v>300000</v>
      </c>
      <c r="Z657" s="35">
        <f>IFERROR(Data[[#This Row],[Total Harga]]-(Data[[#This Row],[Total Harga]]*Data[[#This Row],[Diskon]]),Data[[#This Row],[Total Harga]])</f>
        <v>255000</v>
      </c>
      <c r="AA657" s="35">
        <f>(Data[[#This Row],[Profit A]]+Data[[#This Row],[Profit B]]+Data[[#This Row],[Profit C]])</f>
        <v>100000</v>
      </c>
      <c r="AB657" s="35">
        <f>IFERROR((Data[[#This Row],[Profit non Diskon]]-(Data[[#This Row],[Profit non Diskon]]*Data[[#This Row],[Diskon]])),Data[[#This Row],[Profit non Diskon]])</f>
        <v>85000</v>
      </c>
      <c r="AC657" s="23" t="s">
        <v>28</v>
      </c>
      <c r="AD657" s="37">
        <f>IFERROR(INDEX('Kode Diskon'!$D$3:$D$9,MATCH(Data[[#This Row],[Kode diskon]],'Kode Diskon'!$C$3:$C$9,0)),"-")</f>
        <v>0.15</v>
      </c>
      <c r="AE657" s="23" t="s">
        <v>29</v>
      </c>
      <c r="AF657" s="23" t="s">
        <v>14</v>
      </c>
      <c r="AG657" s="23" t="s">
        <v>80</v>
      </c>
      <c r="AH657" s="24">
        <v>45020</v>
      </c>
      <c r="AI657" s="23" t="str">
        <f>TEXT(Data[[#This Row],[Tanggal terjual]],"dddd")</f>
        <v>Tuesday</v>
      </c>
      <c r="AJ657" s="21" t="str">
        <f>TEXT(Data[[#This Row],[Tanggal terjual]],"wwww")</f>
        <v>wwww</v>
      </c>
    </row>
    <row r="658" spans="1:36" x14ac:dyDescent="0.2">
      <c r="A658" s="20">
        <v>657</v>
      </c>
      <c r="B658" s="21" t="str">
        <f>_xlfn.CONCAT("ORD-",INDEX(Helper!$B$2:$B$5,MATCH(Data[[#This Row],[Marketplace]],Helper!$A$2:$A$5,0)),TEXT(Data[[#This Row],[No]],"0000"),"-",TEXT(Data[[#This Row],[Tanggal terjual]],"dd/mm/yy"))</f>
        <v>ORD-TK0657-03/04/23</v>
      </c>
      <c r="C658" t="s">
        <v>66</v>
      </c>
      <c r="D658" t="str">
        <f>IFERROR(INDEX(Katalog!$A$3:$A$12,MATCH(Data[[#This Row],[ItemID A]],Katalog!$C$3:$C$12,0)),"-")</f>
        <v>Sepatu Pria</v>
      </c>
      <c r="E658" t="str">
        <f>IFERROR(INDEX(Katalog!$B$3:$B$12,MATCH(Data[[#This Row],[ItemID A]],Katalog!$C$3:$C$12,0)),"-")</f>
        <v>Sandal Slip On</v>
      </c>
      <c r="F658">
        <v>5</v>
      </c>
      <c r="G658">
        <v>2</v>
      </c>
      <c r="H658" s="36">
        <f>IFERROR(INDEX(Katalog!$D$3:$D$12,MATCH(Data[[#This Row],[ItemID A]],Katalog!$C$3:$C$12,0))*Data[[#This Row],[Qty A]],"0")</f>
        <v>750000</v>
      </c>
      <c r="I658" s="36">
        <f>IFERROR(INDEX(Katalog!$F$3:$F$12,MATCH(Data[[#This Row],[ItemID A]],Katalog!$C$3:$C$12,0))*Data[[#This Row],[Qty A]],0)</f>
        <v>300000</v>
      </c>
      <c r="J658" t="s">
        <v>67</v>
      </c>
      <c r="K658" t="str">
        <f>IFERROR(INDEX(Katalog!$A$3:$A$12,MATCH(Data[[#This Row],[ItemID B]],Katalog!$C$3:$C$12,0)),"-")</f>
        <v>Sepatu Wanita</v>
      </c>
      <c r="L658" t="str">
        <f>IFERROR(INDEX(Katalog!$B$3:$B$12,MATCH(Data[[#This Row],[ItemID B]],Katalog!$C$3:$C$12,0)),"-")</f>
        <v>Flat Shoes</v>
      </c>
      <c r="M658">
        <v>1</v>
      </c>
      <c r="N658">
        <v>2</v>
      </c>
      <c r="O658" s="36">
        <f>IFERROR(INDEX(Katalog!$D$3:$D$12,MATCH(Data[[#This Row],[ItemID B]],Katalog!$C$3:$C$12,0))*Data[[#This Row],[Qty B]],"0")</f>
        <v>250000</v>
      </c>
      <c r="P658" s="36">
        <f>IFERROR(INDEX(Katalog!$F$3:$F$12,MATCH(Data[[#This Row],[ItemID B]],Katalog!$C$3:$C$12,0))*Data[[#This Row],[Qty B]],"0")</f>
        <v>100000</v>
      </c>
      <c r="R658" t="str">
        <f>IFERROR(INDEX(Katalog!$A$3:$A$12,MATCH(Data[[#This Row],[ItemID C]],Katalog!$C$3:$C$12,0)),"-")</f>
        <v>-</v>
      </c>
      <c r="S658" t="str">
        <f>IFERROR(INDEX(Katalog!$B$3:$B$12,MATCH(Data[[#This Row],[ItemID C]],Katalog!$C$3:$C$12,0)),"-")</f>
        <v>-</v>
      </c>
      <c r="V658" s="36" t="str">
        <f>IFERROR(INDEX(Katalog!$D$3:$D$12,MATCH(Data[[#This Row],[ItemID C]],Katalog!$C$3:$C$12,0))*Data[[#This Row],[Qty C]],"0")</f>
        <v>0</v>
      </c>
      <c r="W658" s="36" t="str">
        <f>IFERROR(INDEX(Katalog!$F$3:$F$12,MATCH(Data[[#This Row],[ItemID C]],Katalog!$C$3:$C$12,0))*Data[[#This Row],[Qty C]],"0")</f>
        <v>0</v>
      </c>
      <c r="X658" s="21">
        <f>Data[[#This Row],[Qty A]]+Data[[#This Row],[Qty B]]+Data[[#This Row],[Qty C]]</f>
        <v>6</v>
      </c>
      <c r="Y658" s="22">
        <f>Data[[#This Row],[Harga Barang A]]+Data[[#This Row],[Harga Barang B]]+Data[[#This Row],[Harga Barang C]]</f>
        <v>1000000</v>
      </c>
      <c r="Z658" s="35">
        <f>IFERROR(Data[[#This Row],[Total Harga]]-(Data[[#This Row],[Total Harga]]*Data[[#This Row],[Diskon]]),Data[[#This Row],[Total Harga]])</f>
        <v>900000</v>
      </c>
      <c r="AA658" s="35">
        <f>(Data[[#This Row],[Profit A]]+Data[[#This Row],[Profit B]]+Data[[#This Row],[Profit C]])</f>
        <v>400000</v>
      </c>
      <c r="AB658" s="35">
        <f>IFERROR((Data[[#This Row],[Profit non Diskon]]-(Data[[#This Row],[Profit non Diskon]]*Data[[#This Row],[Diskon]])),Data[[#This Row],[Profit non Diskon]])</f>
        <v>360000</v>
      </c>
      <c r="AC658" s="23" t="s">
        <v>30</v>
      </c>
      <c r="AD658" s="37">
        <f>IFERROR(INDEX('Kode Diskon'!$D$3:$D$9,MATCH(Data[[#This Row],[Kode diskon]],'Kode Diskon'!$C$3:$C$9,0)),"-")</f>
        <v>0.1</v>
      </c>
      <c r="AE658" s="23" t="s">
        <v>29</v>
      </c>
      <c r="AF658" s="23" t="s">
        <v>10</v>
      </c>
      <c r="AG658" s="23" t="s">
        <v>75</v>
      </c>
      <c r="AH658" s="24">
        <v>45019</v>
      </c>
      <c r="AI658" s="23" t="str">
        <f>TEXT(Data[[#This Row],[Tanggal terjual]],"dddd")</f>
        <v>Monday</v>
      </c>
      <c r="AJ658" s="21" t="str">
        <f>TEXT(Data[[#This Row],[Tanggal terjual]],"wwww")</f>
        <v>wwww</v>
      </c>
    </row>
    <row r="659" spans="1:36" x14ac:dyDescent="0.2">
      <c r="A659" s="20">
        <v>658</v>
      </c>
      <c r="B659" s="21" t="str">
        <f>_xlfn.CONCAT("ORD-",INDEX(Helper!$B$2:$B$5,MATCH(Data[[#This Row],[Marketplace]],Helper!$A$2:$A$5,0)),TEXT(Data[[#This Row],[No]],"0000"),"-",TEXT(Data[[#This Row],[Tanggal terjual]],"dd/mm/yy"))</f>
        <v>ORD-BL0658-16/04/23</v>
      </c>
      <c r="C659" t="s">
        <v>63</v>
      </c>
      <c r="D659" t="str">
        <f>IFERROR(INDEX(Katalog!$A$3:$A$12,MATCH(Data[[#This Row],[ItemID A]],Katalog!$C$3:$C$12,0)),"-")</f>
        <v>Pakaian Pria</v>
      </c>
      <c r="E659" t="str">
        <f>IFERROR(INDEX(Katalog!$B$3:$B$12,MATCH(Data[[#This Row],[ItemID A]],Katalog!$C$3:$C$12,0)),"-")</f>
        <v>Jaket Jeans</v>
      </c>
      <c r="F659">
        <v>2</v>
      </c>
      <c r="G659">
        <v>3</v>
      </c>
      <c r="H659" s="36">
        <f>IFERROR(INDEX(Katalog!$D$3:$D$12,MATCH(Data[[#This Row],[ItemID A]],Katalog!$C$3:$C$12,0))*Data[[#This Row],[Qty A]],"0")</f>
        <v>800000</v>
      </c>
      <c r="I659" s="36">
        <f>IFERROR(INDEX(Katalog!$F$3:$F$12,MATCH(Data[[#This Row],[ItemID A]],Katalog!$C$3:$C$12,0))*Data[[#This Row],[Qty A]],0)</f>
        <v>300000</v>
      </c>
      <c r="J659" t="s">
        <v>58</v>
      </c>
      <c r="K659" t="str">
        <f>IFERROR(INDEX(Katalog!$A$3:$A$12,MATCH(Data[[#This Row],[ItemID B]],Katalog!$C$3:$C$12,0)),"-")</f>
        <v>Pakaian Wanita</v>
      </c>
      <c r="L659" t="str">
        <f>IFERROR(INDEX(Katalog!$B$3:$B$12,MATCH(Data[[#This Row],[ItemID B]],Katalog!$C$3:$C$12,0)),"-")</f>
        <v>Dress</v>
      </c>
      <c r="M659">
        <v>2</v>
      </c>
      <c r="N659">
        <v>5</v>
      </c>
      <c r="O659" s="36">
        <f>IFERROR(INDEX(Katalog!$D$3:$D$12,MATCH(Data[[#This Row],[ItemID B]],Katalog!$C$3:$C$12,0))*Data[[#This Row],[Qty B]],"0")</f>
        <v>600000</v>
      </c>
      <c r="P659" s="36">
        <f>IFERROR(INDEX(Katalog!$F$3:$F$12,MATCH(Data[[#This Row],[ItemID B]],Katalog!$C$3:$C$12,0))*Data[[#This Row],[Qty B]],"0")</f>
        <v>200000</v>
      </c>
      <c r="Q659" t="s">
        <v>66</v>
      </c>
      <c r="R659" t="str">
        <f>IFERROR(INDEX(Katalog!$A$3:$A$12,MATCH(Data[[#This Row],[ItemID C]],Katalog!$C$3:$C$12,0)),"-")</f>
        <v>Sepatu Pria</v>
      </c>
      <c r="S659" t="str">
        <f>IFERROR(INDEX(Katalog!$B$3:$B$12,MATCH(Data[[#This Row],[ItemID C]],Katalog!$C$3:$C$12,0)),"-")</f>
        <v>Sandal Slip On</v>
      </c>
      <c r="T659">
        <v>1</v>
      </c>
      <c r="U659">
        <v>4</v>
      </c>
      <c r="V659" s="36">
        <f>IFERROR(INDEX(Katalog!$D$3:$D$12,MATCH(Data[[#This Row],[ItemID C]],Katalog!$C$3:$C$12,0))*Data[[#This Row],[Qty C]],"0")</f>
        <v>150000</v>
      </c>
      <c r="W659" s="36">
        <f>IFERROR(INDEX(Katalog!$F$3:$F$12,MATCH(Data[[#This Row],[ItemID C]],Katalog!$C$3:$C$12,0))*Data[[#This Row],[Qty C]],"0")</f>
        <v>60000</v>
      </c>
      <c r="X659" s="21">
        <f>Data[[#This Row],[Qty A]]+Data[[#This Row],[Qty B]]+Data[[#This Row],[Qty C]]</f>
        <v>5</v>
      </c>
      <c r="Y659" s="22">
        <f>Data[[#This Row],[Harga Barang A]]+Data[[#This Row],[Harga Barang B]]+Data[[#This Row],[Harga Barang C]]</f>
        <v>1550000</v>
      </c>
      <c r="Z659" s="35">
        <f>IFERROR(Data[[#This Row],[Total Harga]]-(Data[[#This Row],[Total Harga]]*Data[[#This Row],[Diskon]]),Data[[#This Row],[Total Harga]])</f>
        <v>1317500</v>
      </c>
      <c r="AA659" s="35">
        <f>(Data[[#This Row],[Profit A]]+Data[[#This Row],[Profit B]]+Data[[#This Row],[Profit C]])</f>
        <v>560000</v>
      </c>
      <c r="AB659" s="35">
        <f>IFERROR((Data[[#This Row],[Profit non Diskon]]-(Data[[#This Row],[Profit non Diskon]]*Data[[#This Row],[Diskon]])),Data[[#This Row],[Profit non Diskon]])</f>
        <v>476000</v>
      </c>
      <c r="AC659" s="23" t="s">
        <v>32</v>
      </c>
      <c r="AD659" s="37">
        <f>IFERROR(INDEX('Kode Diskon'!$D$3:$D$9,MATCH(Data[[#This Row],[Kode diskon]],'Kode Diskon'!$C$3:$C$9,0)),"-")</f>
        <v>0.15</v>
      </c>
      <c r="AE659" s="23" t="s">
        <v>9</v>
      </c>
      <c r="AF659" s="23" t="s">
        <v>12</v>
      </c>
      <c r="AG659" s="23" t="s">
        <v>76</v>
      </c>
      <c r="AH659" s="24">
        <v>45032</v>
      </c>
      <c r="AI659" s="23" t="str">
        <f>TEXT(Data[[#This Row],[Tanggal terjual]],"dddd")</f>
        <v>Sunday</v>
      </c>
      <c r="AJ659" s="21" t="str">
        <f>TEXT(Data[[#This Row],[Tanggal terjual]],"wwww")</f>
        <v>wwww</v>
      </c>
    </row>
    <row r="660" spans="1:36" x14ac:dyDescent="0.2">
      <c r="A660" s="20">
        <v>659</v>
      </c>
      <c r="B660" s="21" t="str">
        <f>_xlfn.CONCAT("ORD-",INDEX(Helper!$B$2:$B$5,MATCH(Data[[#This Row],[Marketplace]],Helper!$A$2:$A$5,0)),TEXT(Data[[#This Row],[No]],"0000"),"-",TEXT(Data[[#This Row],[Tanggal terjual]],"dd/mm/yy"))</f>
        <v>ORD-TK0659-30/04/23</v>
      </c>
      <c r="C660" t="s">
        <v>59</v>
      </c>
      <c r="D660" t="str">
        <f>IFERROR(INDEX(Katalog!$A$3:$A$12,MATCH(Data[[#This Row],[ItemID A]],Katalog!$C$3:$C$12,0)),"-")</f>
        <v>Pakaian Wanita</v>
      </c>
      <c r="E660" t="str">
        <f>IFERROR(INDEX(Katalog!$B$3:$B$12,MATCH(Data[[#This Row],[ItemID A]],Katalog!$C$3:$C$12,0)),"-")</f>
        <v>Blouse</v>
      </c>
      <c r="F660">
        <v>2</v>
      </c>
      <c r="G660">
        <v>1</v>
      </c>
      <c r="H660" s="36">
        <f>IFERROR(INDEX(Katalog!$D$3:$D$12,MATCH(Data[[#This Row],[ItemID A]],Katalog!$C$3:$C$12,0))*Data[[#This Row],[Qty A]],"0")</f>
        <v>300000</v>
      </c>
      <c r="I660" s="36">
        <f>IFERROR(INDEX(Katalog!$F$3:$F$12,MATCH(Data[[#This Row],[ItemID A]],Katalog!$C$3:$C$12,0))*Data[[#This Row],[Qty A]],0)</f>
        <v>100000</v>
      </c>
      <c r="J660" t="s">
        <v>63</v>
      </c>
      <c r="K660" t="str">
        <f>IFERROR(INDEX(Katalog!$A$3:$A$12,MATCH(Data[[#This Row],[ItemID B]],Katalog!$C$3:$C$12,0)),"-")</f>
        <v>Pakaian Pria</v>
      </c>
      <c r="L660" t="str">
        <f>IFERROR(INDEX(Katalog!$B$3:$B$12,MATCH(Data[[#This Row],[ItemID B]],Katalog!$C$3:$C$12,0)),"-")</f>
        <v>Jaket Jeans</v>
      </c>
      <c r="M660">
        <v>2</v>
      </c>
      <c r="N660">
        <v>2</v>
      </c>
      <c r="O660" s="36">
        <f>IFERROR(INDEX(Katalog!$D$3:$D$12,MATCH(Data[[#This Row],[ItemID B]],Katalog!$C$3:$C$12,0))*Data[[#This Row],[Qty B]],"0")</f>
        <v>800000</v>
      </c>
      <c r="P660" s="36">
        <f>IFERROR(INDEX(Katalog!$F$3:$F$12,MATCH(Data[[#This Row],[ItemID B]],Katalog!$C$3:$C$12,0))*Data[[#This Row],[Qty B]],"0")</f>
        <v>300000</v>
      </c>
      <c r="Q660" t="s">
        <v>65</v>
      </c>
      <c r="R660" t="str">
        <f>IFERROR(INDEX(Katalog!$A$3:$A$12,MATCH(Data[[#This Row],[ItemID C]],Katalog!$C$3:$C$12,0)),"-")</f>
        <v>Sepatu Pria</v>
      </c>
      <c r="S660" t="str">
        <f>IFERROR(INDEX(Katalog!$B$3:$B$12,MATCH(Data[[#This Row],[ItemID C]],Katalog!$C$3:$C$12,0)),"-")</f>
        <v>Sneakers</v>
      </c>
      <c r="T660">
        <v>2</v>
      </c>
      <c r="U660">
        <v>3</v>
      </c>
      <c r="V660" s="36">
        <f>IFERROR(INDEX(Katalog!$D$3:$D$12,MATCH(Data[[#This Row],[ItemID C]],Katalog!$C$3:$C$12,0))*Data[[#This Row],[Qty C]],"0")</f>
        <v>1000000</v>
      </c>
      <c r="W660" s="36">
        <f>IFERROR(INDEX(Katalog!$F$3:$F$12,MATCH(Data[[#This Row],[ItemID C]],Katalog!$C$3:$C$12,0))*Data[[#This Row],[Qty C]],"0")</f>
        <v>400000</v>
      </c>
      <c r="X660" s="21">
        <f>Data[[#This Row],[Qty A]]+Data[[#This Row],[Qty B]]+Data[[#This Row],[Qty C]]</f>
        <v>6</v>
      </c>
      <c r="Y660" s="22">
        <f>Data[[#This Row],[Harga Barang A]]+Data[[#This Row],[Harga Barang B]]+Data[[#This Row],[Harga Barang C]]</f>
        <v>2100000</v>
      </c>
      <c r="Z660" s="35">
        <f>IFERROR(Data[[#This Row],[Total Harga]]-(Data[[#This Row],[Total Harga]]*Data[[#This Row],[Diskon]]),Data[[#This Row],[Total Harga]])</f>
        <v>1890000</v>
      </c>
      <c r="AA660" s="35">
        <f>(Data[[#This Row],[Profit A]]+Data[[#This Row],[Profit B]]+Data[[#This Row],[Profit C]])</f>
        <v>800000</v>
      </c>
      <c r="AB660" s="35">
        <f>IFERROR((Data[[#This Row],[Profit non Diskon]]-(Data[[#This Row],[Profit non Diskon]]*Data[[#This Row],[Diskon]])),Data[[#This Row],[Profit non Diskon]])</f>
        <v>720000</v>
      </c>
      <c r="AC660" s="23" t="s">
        <v>31</v>
      </c>
      <c r="AD660" s="37">
        <f>IFERROR(INDEX('Kode Diskon'!$D$3:$D$9,MATCH(Data[[#This Row],[Kode diskon]],'Kode Diskon'!$C$3:$C$9,0)),"-")</f>
        <v>0.1</v>
      </c>
      <c r="AE660" s="23" t="s">
        <v>9</v>
      </c>
      <c r="AF660" s="23" t="s">
        <v>10</v>
      </c>
      <c r="AG660" s="23" t="s">
        <v>77</v>
      </c>
      <c r="AH660" s="24">
        <v>45046</v>
      </c>
      <c r="AI660" s="23" t="str">
        <f>TEXT(Data[[#This Row],[Tanggal terjual]],"dddd")</f>
        <v>Sunday</v>
      </c>
      <c r="AJ660" s="21" t="str">
        <f>TEXT(Data[[#This Row],[Tanggal terjual]],"wwww")</f>
        <v>wwww</v>
      </c>
    </row>
    <row r="661" spans="1:36" x14ac:dyDescent="0.2">
      <c r="A661" s="20">
        <v>660</v>
      </c>
      <c r="B661" s="21" t="str">
        <f>_xlfn.CONCAT("ORD-",INDEX(Helper!$B$2:$B$5,MATCH(Data[[#This Row],[Marketplace]],Helper!$A$2:$A$5,0)),TEXT(Data[[#This Row],[No]],"0000"),"-",TEXT(Data[[#This Row],[Tanggal terjual]],"dd/mm/yy"))</f>
        <v>ORD-BL0660-14/04/23</v>
      </c>
      <c r="C661" t="s">
        <v>67</v>
      </c>
      <c r="D661" t="str">
        <f>IFERROR(INDEX(Katalog!$A$3:$A$12,MATCH(Data[[#This Row],[ItemID A]],Katalog!$C$3:$C$12,0)),"-")</f>
        <v>Sepatu Wanita</v>
      </c>
      <c r="E661" t="str">
        <f>IFERROR(INDEX(Katalog!$B$3:$B$12,MATCH(Data[[#This Row],[ItemID A]],Katalog!$C$3:$C$12,0)),"-")</f>
        <v>Flat Shoes</v>
      </c>
      <c r="F661">
        <v>3</v>
      </c>
      <c r="G661">
        <v>1</v>
      </c>
      <c r="H661" s="36">
        <f>IFERROR(INDEX(Katalog!$D$3:$D$12,MATCH(Data[[#This Row],[ItemID A]],Katalog!$C$3:$C$12,0))*Data[[#This Row],[Qty A]],"0")</f>
        <v>750000</v>
      </c>
      <c r="I661" s="36">
        <f>IFERROR(INDEX(Katalog!$F$3:$F$12,MATCH(Data[[#This Row],[ItemID A]],Katalog!$C$3:$C$12,0))*Data[[#This Row],[Qty A]],0)</f>
        <v>300000</v>
      </c>
      <c r="J661" t="s">
        <v>60</v>
      </c>
      <c r="K661" t="str">
        <f>IFERROR(INDEX(Katalog!$A$3:$A$12,MATCH(Data[[#This Row],[ItemID B]],Katalog!$C$3:$C$12,0)),"-")</f>
        <v>Pakaian Wanita</v>
      </c>
      <c r="L661" t="str">
        <f>IFERROR(INDEX(Katalog!$B$3:$B$12,MATCH(Data[[#This Row],[ItemID B]],Katalog!$C$3:$C$12,0)),"-")</f>
        <v>Kaftan</v>
      </c>
      <c r="M661">
        <v>2</v>
      </c>
      <c r="N661">
        <v>1</v>
      </c>
      <c r="O661" s="36">
        <f>IFERROR(INDEX(Katalog!$D$3:$D$12,MATCH(Data[[#This Row],[ItemID B]],Katalog!$C$3:$C$12,0))*Data[[#This Row],[Qty B]],"0")</f>
        <v>500000</v>
      </c>
      <c r="P661" s="36">
        <f>IFERROR(INDEX(Katalog!$F$3:$F$12,MATCH(Data[[#This Row],[ItemID B]],Katalog!$C$3:$C$12,0))*Data[[#This Row],[Qty B]],"0")</f>
        <v>200000</v>
      </c>
      <c r="Q661" t="s">
        <v>59</v>
      </c>
      <c r="R661" t="str">
        <f>IFERROR(INDEX(Katalog!$A$3:$A$12,MATCH(Data[[#This Row],[ItemID C]],Katalog!$C$3:$C$12,0)),"-")</f>
        <v>Pakaian Wanita</v>
      </c>
      <c r="S661" t="str">
        <f>IFERROR(INDEX(Katalog!$B$3:$B$12,MATCH(Data[[#This Row],[ItemID C]],Katalog!$C$3:$C$12,0)),"-")</f>
        <v>Blouse</v>
      </c>
      <c r="T661">
        <v>1</v>
      </c>
      <c r="U661">
        <v>2</v>
      </c>
      <c r="V661" s="36">
        <f>IFERROR(INDEX(Katalog!$D$3:$D$12,MATCH(Data[[#This Row],[ItemID C]],Katalog!$C$3:$C$12,0))*Data[[#This Row],[Qty C]],"0")</f>
        <v>150000</v>
      </c>
      <c r="W661" s="36">
        <f>IFERROR(INDEX(Katalog!$F$3:$F$12,MATCH(Data[[#This Row],[ItemID C]],Katalog!$C$3:$C$12,0))*Data[[#This Row],[Qty C]],"0")</f>
        <v>50000</v>
      </c>
      <c r="X661" s="21">
        <f>Data[[#This Row],[Qty A]]+Data[[#This Row],[Qty B]]+Data[[#This Row],[Qty C]]</f>
        <v>6</v>
      </c>
      <c r="Y661" s="22">
        <f>Data[[#This Row],[Harga Barang A]]+Data[[#This Row],[Harga Barang B]]+Data[[#This Row],[Harga Barang C]]</f>
        <v>1400000</v>
      </c>
      <c r="Z661" s="35">
        <f>IFERROR(Data[[#This Row],[Total Harga]]-(Data[[#This Row],[Total Harga]]*Data[[#This Row],[Diskon]]),Data[[#This Row],[Total Harga]])</f>
        <v>1400000</v>
      </c>
      <c r="AA661" s="35">
        <f>(Data[[#This Row],[Profit A]]+Data[[#This Row],[Profit B]]+Data[[#This Row],[Profit C]])</f>
        <v>550000</v>
      </c>
      <c r="AB661" s="35">
        <f>IFERROR((Data[[#This Row],[Profit non Diskon]]-(Data[[#This Row],[Profit non Diskon]]*Data[[#This Row],[Diskon]])),Data[[#This Row],[Profit non Diskon]])</f>
        <v>550000</v>
      </c>
      <c r="AC661" s="23" t="s">
        <v>11</v>
      </c>
      <c r="AD661" s="37" t="str">
        <f>IFERROR(INDEX('Kode Diskon'!$D$3:$D$9,MATCH(Data[[#This Row],[Kode diskon]],'Kode Diskon'!$C$3:$C$9,0)),"-")</f>
        <v>-</v>
      </c>
      <c r="AE661" s="23" t="s">
        <v>11</v>
      </c>
      <c r="AF661" s="23" t="s">
        <v>12</v>
      </c>
      <c r="AG661" s="23" t="s">
        <v>76</v>
      </c>
      <c r="AH661" s="24">
        <v>45030</v>
      </c>
      <c r="AI661" s="23" t="str">
        <f>TEXT(Data[[#This Row],[Tanggal terjual]],"dddd")</f>
        <v>Friday</v>
      </c>
      <c r="AJ661" s="21" t="str">
        <f>TEXT(Data[[#This Row],[Tanggal terjual]],"wwww")</f>
        <v>wwww</v>
      </c>
    </row>
    <row r="662" spans="1:36" x14ac:dyDescent="0.2">
      <c r="A662" s="20">
        <v>661</v>
      </c>
      <c r="B662" s="21" t="str">
        <f>_xlfn.CONCAT("ORD-",INDEX(Helper!$B$2:$B$5,MATCH(Data[[#This Row],[Marketplace]],Helper!$A$2:$A$5,0)),TEXT(Data[[#This Row],[No]],"0000"),"-",TEXT(Data[[#This Row],[Tanggal terjual]],"dd/mm/yy"))</f>
        <v>ORD-SP0661-06/04/23</v>
      </c>
      <c r="C662" t="s">
        <v>66</v>
      </c>
      <c r="D662" t="str">
        <f>IFERROR(INDEX(Katalog!$A$3:$A$12,MATCH(Data[[#This Row],[ItemID A]],Katalog!$C$3:$C$12,0)),"-")</f>
        <v>Sepatu Pria</v>
      </c>
      <c r="E662" t="str">
        <f>IFERROR(INDEX(Katalog!$B$3:$B$12,MATCH(Data[[#This Row],[ItemID A]],Katalog!$C$3:$C$12,0)),"-")</f>
        <v>Sandal Slip On</v>
      </c>
      <c r="F662">
        <v>1</v>
      </c>
      <c r="G662">
        <v>4</v>
      </c>
      <c r="H662" s="36">
        <f>IFERROR(INDEX(Katalog!$D$3:$D$12,MATCH(Data[[#This Row],[ItemID A]],Katalog!$C$3:$C$12,0))*Data[[#This Row],[Qty A]],"0")</f>
        <v>150000</v>
      </c>
      <c r="I662" s="36">
        <f>IFERROR(INDEX(Katalog!$F$3:$F$12,MATCH(Data[[#This Row],[ItemID A]],Katalog!$C$3:$C$12,0))*Data[[#This Row],[Qty A]],0)</f>
        <v>60000</v>
      </c>
      <c r="J662" t="s">
        <v>63</v>
      </c>
      <c r="K662" t="str">
        <f>IFERROR(INDEX(Katalog!$A$3:$A$12,MATCH(Data[[#This Row],[ItemID B]],Katalog!$C$3:$C$12,0)),"-")</f>
        <v>Pakaian Pria</v>
      </c>
      <c r="L662" t="str">
        <f>IFERROR(INDEX(Katalog!$B$3:$B$12,MATCH(Data[[#This Row],[ItemID B]],Katalog!$C$3:$C$12,0)),"-")</f>
        <v>Jaket Jeans</v>
      </c>
      <c r="M662">
        <v>2</v>
      </c>
      <c r="N662">
        <v>3</v>
      </c>
      <c r="O662" s="36">
        <f>IFERROR(INDEX(Katalog!$D$3:$D$12,MATCH(Data[[#This Row],[ItemID B]],Katalog!$C$3:$C$12,0))*Data[[#This Row],[Qty B]],"0")</f>
        <v>800000</v>
      </c>
      <c r="P662" s="36">
        <f>IFERROR(INDEX(Katalog!$F$3:$F$12,MATCH(Data[[#This Row],[ItemID B]],Katalog!$C$3:$C$12,0))*Data[[#This Row],[Qty B]],"0")</f>
        <v>300000</v>
      </c>
      <c r="Q662" t="s">
        <v>65</v>
      </c>
      <c r="R662" t="str">
        <f>IFERROR(INDEX(Katalog!$A$3:$A$12,MATCH(Data[[#This Row],[ItemID C]],Katalog!$C$3:$C$12,0)),"-")</f>
        <v>Sepatu Pria</v>
      </c>
      <c r="S662" t="str">
        <f>IFERROR(INDEX(Katalog!$B$3:$B$12,MATCH(Data[[#This Row],[ItemID C]],Katalog!$C$3:$C$12,0)),"-")</f>
        <v>Sneakers</v>
      </c>
      <c r="T662">
        <v>2</v>
      </c>
      <c r="U662">
        <v>3</v>
      </c>
      <c r="V662" s="36">
        <f>IFERROR(INDEX(Katalog!$D$3:$D$12,MATCH(Data[[#This Row],[ItemID C]],Katalog!$C$3:$C$12,0))*Data[[#This Row],[Qty C]],"0")</f>
        <v>1000000</v>
      </c>
      <c r="W662" s="36">
        <f>IFERROR(INDEX(Katalog!$F$3:$F$12,MATCH(Data[[#This Row],[ItemID C]],Katalog!$C$3:$C$12,0))*Data[[#This Row],[Qty C]],"0")</f>
        <v>400000</v>
      </c>
      <c r="X662" s="21">
        <f>Data[[#This Row],[Qty A]]+Data[[#This Row],[Qty B]]+Data[[#This Row],[Qty C]]</f>
        <v>5</v>
      </c>
      <c r="Y662" s="22">
        <f>Data[[#This Row],[Harga Barang A]]+Data[[#This Row],[Harga Barang B]]+Data[[#This Row],[Harga Barang C]]</f>
        <v>1950000</v>
      </c>
      <c r="Z662" s="35">
        <f>IFERROR(Data[[#This Row],[Total Harga]]-(Data[[#This Row],[Total Harga]]*Data[[#This Row],[Diskon]]),Data[[#This Row],[Total Harga]])</f>
        <v>1755000</v>
      </c>
      <c r="AA662" s="35">
        <f>(Data[[#This Row],[Profit A]]+Data[[#This Row],[Profit B]]+Data[[#This Row],[Profit C]])</f>
        <v>760000</v>
      </c>
      <c r="AB662" s="35">
        <f>IFERROR((Data[[#This Row],[Profit non Diskon]]-(Data[[#This Row],[Profit non Diskon]]*Data[[#This Row],[Diskon]])),Data[[#This Row],[Profit non Diskon]])</f>
        <v>684000</v>
      </c>
      <c r="AC662" s="23" t="s">
        <v>6</v>
      </c>
      <c r="AD662" s="37">
        <f>IFERROR(INDEX('Kode Diskon'!$D$3:$D$9,MATCH(Data[[#This Row],[Kode diskon]],'Kode Diskon'!$C$3:$C$9,0)),"-")</f>
        <v>0.1</v>
      </c>
      <c r="AE662" s="23" t="s">
        <v>29</v>
      </c>
      <c r="AF662" s="23" t="s">
        <v>7</v>
      </c>
      <c r="AG662" s="23" t="s">
        <v>78</v>
      </c>
      <c r="AH662" s="24">
        <v>45022</v>
      </c>
      <c r="AI662" s="23" t="str">
        <f>TEXT(Data[[#This Row],[Tanggal terjual]],"dddd")</f>
        <v>Thursday</v>
      </c>
      <c r="AJ662" s="21" t="str">
        <f>TEXT(Data[[#This Row],[Tanggal terjual]],"wwww")</f>
        <v>wwww</v>
      </c>
    </row>
    <row r="663" spans="1:36" x14ac:dyDescent="0.2">
      <c r="A663" s="20">
        <v>662</v>
      </c>
      <c r="B663" s="21" t="str">
        <f>_xlfn.CONCAT("ORD-",INDEX(Helper!$B$2:$B$5,MATCH(Data[[#This Row],[Marketplace]],Helper!$A$2:$A$5,0)),TEXT(Data[[#This Row],[No]],"0000"),"-",TEXT(Data[[#This Row],[Tanggal terjual]],"dd/mm/yy"))</f>
        <v>ORD-SP0662-01/04/23</v>
      </c>
      <c r="C663" t="s">
        <v>60</v>
      </c>
      <c r="D663" t="str">
        <f>IFERROR(INDEX(Katalog!$A$3:$A$12,MATCH(Data[[#This Row],[ItemID A]],Katalog!$C$3:$C$12,0)),"-")</f>
        <v>Pakaian Wanita</v>
      </c>
      <c r="E663" t="str">
        <f>IFERROR(INDEX(Katalog!$B$3:$B$12,MATCH(Data[[#This Row],[ItemID A]],Katalog!$C$3:$C$12,0)),"-")</f>
        <v>Kaftan</v>
      </c>
      <c r="F663">
        <v>1</v>
      </c>
      <c r="G663">
        <v>5</v>
      </c>
      <c r="H663" s="36">
        <f>IFERROR(INDEX(Katalog!$D$3:$D$12,MATCH(Data[[#This Row],[ItemID A]],Katalog!$C$3:$C$12,0))*Data[[#This Row],[Qty A]],"0")</f>
        <v>250000</v>
      </c>
      <c r="I663" s="36">
        <f>IFERROR(INDEX(Katalog!$F$3:$F$12,MATCH(Data[[#This Row],[ItemID A]],Katalog!$C$3:$C$12,0))*Data[[#This Row],[Qty A]],0)</f>
        <v>100000</v>
      </c>
      <c r="J663" t="s">
        <v>64</v>
      </c>
      <c r="K663" t="str">
        <f>IFERROR(INDEX(Katalog!$A$3:$A$12,MATCH(Data[[#This Row],[ItemID B]],Katalog!$C$3:$C$12,0)),"-")</f>
        <v>Pakaian Unisex</v>
      </c>
      <c r="L663" t="str">
        <f>IFERROR(INDEX(Katalog!$B$3:$B$12,MATCH(Data[[#This Row],[ItemID B]],Katalog!$C$3:$C$12,0)),"-")</f>
        <v>Jaket Hoodie</v>
      </c>
      <c r="M663">
        <v>1</v>
      </c>
      <c r="N663">
        <v>4</v>
      </c>
      <c r="O663" s="36">
        <f>IFERROR(INDEX(Katalog!$D$3:$D$12,MATCH(Data[[#This Row],[ItemID B]],Katalog!$C$3:$C$12,0))*Data[[#This Row],[Qty B]],"0")</f>
        <v>350000</v>
      </c>
      <c r="P663" s="36">
        <f>IFERROR(INDEX(Katalog!$F$3:$F$12,MATCH(Data[[#This Row],[ItemID B]],Katalog!$C$3:$C$12,0))*Data[[#This Row],[Qty B]],"0")</f>
        <v>130000</v>
      </c>
      <c r="R663" t="str">
        <f>IFERROR(INDEX(Katalog!$A$3:$A$12,MATCH(Data[[#This Row],[ItemID C]],Katalog!$C$3:$C$12,0)),"-")</f>
        <v>-</v>
      </c>
      <c r="S663" t="str">
        <f>IFERROR(INDEX(Katalog!$B$3:$B$12,MATCH(Data[[#This Row],[ItemID C]],Katalog!$C$3:$C$12,0)),"-")</f>
        <v>-</v>
      </c>
      <c r="V663" s="36" t="str">
        <f>IFERROR(INDEX(Katalog!$D$3:$D$12,MATCH(Data[[#This Row],[ItemID C]],Katalog!$C$3:$C$12,0))*Data[[#This Row],[Qty C]],"0")</f>
        <v>0</v>
      </c>
      <c r="W663" s="36" t="str">
        <f>IFERROR(INDEX(Katalog!$F$3:$F$12,MATCH(Data[[#This Row],[ItemID C]],Katalog!$C$3:$C$12,0))*Data[[#This Row],[Qty C]],"0")</f>
        <v>0</v>
      </c>
      <c r="X663" s="21">
        <f>Data[[#This Row],[Qty A]]+Data[[#This Row],[Qty B]]+Data[[#This Row],[Qty C]]</f>
        <v>2</v>
      </c>
      <c r="Y663" s="22">
        <f>Data[[#This Row],[Harga Barang A]]+Data[[#This Row],[Harga Barang B]]+Data[[#This Row],[Harga Barang C]]</f>
        <v>600000</v>
      </c>
      <c r="Z663" s="35">
        <f>IFERROR(Data[[#This Row],[Total Harga]]-(Data[[#This Row],[Total Harga]]*Data[[#This Row],[Diskon]]),Data[[#This Row],[Total Harga]])</f>
        <v>510000</v>
      </c>
      <c r="AA663" s="35">
        <f>(Data[[#This Row],[Profit A]]+Data[[#This Row],[Profit B]]+Data[[#This Row],[Profit C]])</f>
        <v>230000</v>
      </c>
      <c r="AB663" s="35">
        <f>IFERROR((Data[[#This Row],[Profit non Diskon]]-(Data[[#This Row],[Profit non Diskon]]*Data[[#This Row],[Diskon]])),Data[[#This Row],[Profit non Diskon]])</f>
        <v>195500</v>
      </c>
      <c r="AC663" s="23" t="s">
        <v>13</v>
      </c>
      <c r="AD663" s="37">
        <f>IFERROR(INDEX('Kode Diskon'!$D$3:$D$9,MATCH(Data[[#This Row],[Kode diskon]],'Kode Diskon'!$C$3:$C$9,0)),"-")</f>
        <v>0.15</v>
      </c>
      <c r="AE663" s="23" t="s">
        <v>29</v>
      </c>
      <c r="AF663" s="23" t="s">
        <v>7</v>
      </c>
      <c r="AG663" s="23" t="s">
        <v>75</v>
      </c>
      <c r="AH663" s="24">
        <v>45017</v>
      </c>
      <c r="AI663" s="23" t="str">
        <f>TEXT(Data[[#This Row],[Tanggal terjual]],"dddd")</f>
        <v>Saturday</v>
      </c>
      <c r="AJ663" s="21" t="str">
        <f>TEXT(Data[[#This Row],[Tanggal terjual]],"wwww")</f>
        <v>wwww</v>
      </c>
    </row>
    <row r="664" spans="1:36" x14ac:dyDescent="0.2">
      <c r="A664" s="20">
        <v>663</v>
      </c>
      <c r="B664" s="21" t="str">
        <f>_xlfn.CONCAT("ORD-",INDEX(Helper!$B$2:$B$5,MATCH(Data[[#This Row],[Marketplace]],Helper!$A$2:$A$5,0)),TEXT(Data[[#This Row],[No]],"0000"),"-",TEXT(Data[[#This Row],[Tanggal terjual]],"dd/mm/yy"))</f>
        <v>ORD-TK0663-21/04/23</v>
      </c>
      <c r="C664" t="s">
        <v>66</v>
      </c>
      <c r="D664" t="str">
        <f>IFERROR(INDEX(Katalog!$A$3:$A$12,MATCH(Data[[#This Row],[ItemID A]],Katalog!$C$3:$C$12,0)),"-")</f>
        <v>Sepatu Pria</v>
      </c>
      <c r="E664" t="str">
        <f>IFERROR(INDEX(Katalog!$B$3:$B$12,MATCH(Data[[#This Row],[ItemID A]],Katalog!$C$3:$C$12,0)),"-")</f>
        <v>Sandal Slip On</v>
      </c>
      <c r="F664">
        <v>3</v>
      </c>
      <c r="G664">
        <v>4</v>
      </c>
      <c r="H664" s="36">
        <f>IFERROR(INDEX(Katalog!$D$3:$D$12,MATCH(Data[[#This Row],[ItemID A]],Katalog!$C$3:$C$12,0))*Data[[#This Row],[Qty A]],"0")</f>
        <v>450000</v>
      </c>
      <c r="I664" s="36">
        <f>IFERROR(INDEX(Katalog!$F$3:$F$12,MATCH(Data[[#This Row],[ItemID A]],Katalog!$C$3:$C$12,0))*Data[[#This Row],[Qty A]],0)</f>
        <v>180000</v>
      </c>
      <c r="J664" t="s">
        <v>63</v>
      </c>
      <c r="K664" t="str">
        <f>IFERROR(INDEX(Katalog!$A$3:$A$12,MATCH(Data[[#This Row],[ItemID B]],Katalog!$C$3:$C$12,0)),"-")</f>
        <v>Pakaian Pria</v>
      </c>
      <c r="L664" t="str">
        <f>IFERROR(INDEX(Katalog!$B$3:$B$12,MATCH(Data[[#This Row],[ItemID B]],Katalog!$C$3:$C$12,0)),"-")</f>
        <v>Jaket Jeans</v>
      </c>
      <c r="M664">
        <v>1</v>
      </c>
      <c r="N664">
        <v>2</v>
      </c>
      <c r="O664" s="36">
        <f>IFERROR(INDEX(Katalog!$D$3:$D$12,MATCH(Data[[#This Row],[ItemID B]],Katalog!$C$3:$C$12,0))*Data[[#This Row],[Qty B]],"0")</f>
        <v>400000</v>
      </c>
      <c r="P664" s="36">
        <f>IFERROR(INDEX(Katalog!$F$3:$F$12,MATCH(Data[[#This Row],[ItemID B]],Katalog!$C$3:$C$12,0))*Data[[#This Row],[Qty B]],"0")</f>
        <v>150000</v>
      </c>
      <c r="R664" t="str">
        <f>IFERROR(INDEX(Katalog!$A$3:$A$12,MATCH(Data[[#This Row],[ItemID C]],Katalog!$C$3:$C$12,0)),"-")</f>
        <v>-</v>
      </c>
      <c r="S664" t="str">
        <f>IFERROR(INDEX(Katalog!$B$3:$B$12,MATCH(Data[[#This Row],[ItemID C]],Katalog!$C$3:$C$12,0)),"-")</f>
        <v>-</v>
      </c>
      <c r="V664" s="36" t="str">
        <f>IFERROR(INDEX(Katalog!$D$3:$D$12,MATCH(Data[[#This Row],[ItemID C]],Katalog!$C$3:$C$12,0))*Data[[#This Row],[Qty C]],"0")</f>
        <v>0</v>
      </c>
      <c r="W664" s="36" t="str">
        <f>IFERROR(INDEX(Katalog!$F$3:$F$12,MATCH(Data[[#This Row],[ItemID C]],Katalog!$C$3:$C$12,0))*Data[[#This Row],[Qty C]],"0")</f>
        <v>0</v>
      </c>
      <c r="X664" s="21">
        <f>Data[[#This Row],[Qty A]]+Data[[#This Row],[Qty B]]+Data[[#This Row],[Qty C]]</f>
        <v>4</v>
      </c>
      <c r="Y664" s="22">
        <f>Data[[#This Row],[Harga Barang A]]+Data[[#This Row],[Harga Barang B]]+Data[[#This Row],[Harga Barang C]]</f>
        <v>850000</v>
      </c>
      <c r="Z664" s="35">
        <f>IFERROR(Data[[#This Row],[Total Harga]]-(Data[[#This Row],[Total Harga]]*Data[[#This Row],[Diskon]]),Data[[#This Row],[Total Harga]])</f>
        <v>765000</v>
      </c>
      <c r="AA664" s="35">
        <f>(Data[[#This Row],[Profit A]]+Data[[#This Row],[Profit B]]+Data[[#This Row],[Profit C]])</f>
        <v>330000</v>
      </c>
      <c r="AB664" s="35">
        <f>IFERROR((Data[[#This Row],[Profit non Diskon]]-(Data[[#This Row],[Profit non Diskon]]*Data[[#This Row],[Diskon]])),Data[[#This Row],[Profit non Diskon]])</f>
        <v>297000</v>
      </c>
      <c r="AC664" s="23" t="s">
        <v>31</v>
      </c>
      <c r="AD664" s="37">
        <f>IFERROR(INDEX('Kode Diskon'!$D$3:$D$9,MATCH(Data[[#This Row],[Kode diskon]],'Kode Diskon'!$C$3:$C$9,0)),"-")</f>
        <v>0.1</v>
      </c>
      <c r="AE664" s="23" t="s">
        <v>9</v>
      </c>
      <c r="AF664" s="23" t="s">
        <v>10</v>
      </c>
      <c r="AG664" s="23" t="s">
        <v>80</v>
      </c>
      <c r="AH664" s="24">
        <v>45037</v>
      </c>
      <c r="AI664" s="23" t="str">
        <f>TEXT(Data[[#This Row],[Tanggal terjual]],"dddd")</f>
        <v>Friday</v>
      </c>
      <c r="AJ664" s="21" t="str">
        <f>TEXT(Data[[#This Row],[Tanggal terjual]],"wwww")</f>
        <v>wwww</v>
      </c>
    </row>
    <row r="665" spans="1:36" x14ac:dyDescent="0.2">
      <c r="A665" s="20">
        <v>664</v>
      </c>
      <c r="B665" s="21" t="str">
        <f>_xlfn.CONCAT("ORD-",INDEX(Helper!$B$2:$B$5,MATCH(Data[[#This Row],[Marketplace]],Helper!$A$2:$A$5,0)),TEXT(Data[[#This Row],[No]],"0000"),"-",TEXT(Data[[#This Row],[Tanggal terjual]],"dd/mm/yy"))</f>
        <v>ORD-TK0664-26/04/23</v>
      </c>
      <c r="C665" t="s">
        <v>63</v>
      </c>
      <c r="D665" t="str">
        <f>IFERROR(INDEX(Katalog!$A$3:$A$12,MATCH(Data[[#This Row],[ItemID A]],Katalog!$C$3:$C$12,0)),"-")</f>
        <v>Pakaian Pria</v>
      </c>
      <c r="E665" t="str">
        <f>IFERROR(INDEX(Katalog!$B$3:$B$12,MATCH(Data[[#This Row],[ItemID A]],Katalog!$C$3:$C$12,0)),"-")</f>
        <v>Jaket Jeans</v>
      </c>
      <c r="F665">
        <v>1</v>
      </c>
      <c r="G665">
        <v>1</v>
      </c>
      <c r="H665" s="36">
        <f>IFERROR(INDEX(Katalog!$D$3:$D$12,MATCH(Data[[#This Row],[ItemID A]],Katalog!$C$3:$C$12,0))*Data[[#This Row],[Qty A]],"0")</f>
        <v>400000</v>
      </c>
      <c r="I665" s="36">
        <f>IFERROR(INDEX(Katalog!$F$3:$F$12,MATCH(Data[[#This Row],[ItemID A]],Katalog!$C$3:$C$12,0))*Data[[#This Row],[Qty A]],0)</f>
        <v>150000</v>
      </c>
      <c r="J665" t="s">
        <v>58</v>
      </c>
      <c r="K665" t="str">
        <f>IFERROR(INDEX(Katalog!$A$3:$A$12,MATCH(Data[[#This Row],[ItemID B]],Katalog!$C$3:$C$12,0)),"-")</f>
        <v>Pakaian Wanita</v>
      </c>
      <c r="L665" t="str">
        <f>IFERROR(INDEX(Katalog!$B$3:$B$12,MATCH(Data[[#This Row],[ItemID B]],Katalog!$C$3:$C$12,0)),"-")</f>
        <v>Dress</v>
      </c>
      <c r="M665">
        <v>3</v>
      </c>
      <c r="N665">
        <v>4</v>
      </c>
      <c r="O665" s="36">
        <f>IFERROR(INDEX(Katalog!$D$3:$D$12,MATCH(Data[[#This Row],[ItemID B]],Katalog!$C$3:$C$12,0))*Data[[#This Row],[Qty B]],"0")</f>
        <v>900000</v>
      </c>
      <c r="P665" s="36">
        <f>IFERROR(INDEX(Katalog!$F$3:$F$12,MATCH(Data[[#This Row],[ItemID B]],Katalog!$C$3:$C$12,0))*Data[[#This Row],[Qty B]],"0")</f>
        <v>300000</v>
      </c>
      <c r="Q665" t="s">
        <v>62</v>
      </c>
      <c r="R665" t="str">
        <f>IFERROR(INDEX(Katalog!$A$3:$A$12,MATCH(Data[[#This Row],[ItemID C]],Katalog!$C$3:$C$12,0)),"-")</f>
        <v>Pakaian Pria</v>
      </c>
      <c r="S665" t="str">
        <f>IFERROR(INDEX(Katalog!$B$3:$B$12,MATCH(Data[[#This Row],[ItemID C]],Katalog!$C$3:$C$12,0)),"-")</f>
        <v>Celana Pendek</v>
      </c>
      <c r="T665">
        <v>1</v>
      </c>
      <c r="U665">
        <v>3</v>
      </c>
      <c r="V665" s="36">
        <f>IFERROR(INDEX(Katalog!$D$3:$D$12,MATCH(Data[[#This Row],[ItemID C]],Katalog!$C$3:$C$12,0))*Data[[#This Row],[Qty C]],"0")</f>
        <v>180000</v>
      </c>
      <c r="W665" s="36">
        <f>IFERROR(INDEX(Katalog!$F$3:$F$12,MATCH(Data[[#This Row],[ItemID C]],Katalog!$C$3:$C$12,0))*Data[[#This Row],[Qty C]],"0")</f>
        <v>70000</v>
      </c>
      <c r="X665" s="21">
        <f>Data[[#This Row],[Qty A]]+Data[[#This Row],[Qty B]]+Data[[#This Row],[Qty C]]</f>
        <v>5</v>
      </c>
      <c r="Y665" s="22">
        <f>Data[[#This Row],[Harga Barang A]]+Data[[#This Row],[Harga Barang B]]+Data[[#This Row],[Harga Barang C]]</f>
        <v>1480000</v>
      </c>
      <c r="Z665" s="35">
        <f>IFERROR(Data[[#This Row],[Total Harga]]-(Data[[#This Row],[Total Harga]]*Data[[#This Row],[Diskon]]),Data[[#This Row],[Total Harga]])</f>
        <v>1332000</v>
      </c>
      <c r="AA665" s="35">
        <f>(Data[[#This Row],[Profit A]]+Data[[#This Row],[Profit B]]+Data[[#This Row],[Profit C]])</f>
        <v>520000</v>
      </c>
      <c r="AB665" s="35">
        <f>IFERROR((Data[[#This Row],[Profit non Diskon]]-(Data[[#This Row],[Profit non Diskon]]*Data[[#This Row],[Diskon]])),Data[[#This Row],[Profit non Diskon]])</f>
        <v>468000</v>
      </c>
      <c r="AC665" s="23" t="s">
        <v>31</v>
      </c>
      <c r="AD665" s="37">
        <f>IFERROR(INDEX('Kode Diskon'!$D$3:$D$9,MATCH(Data[[#This Row],[Kode diskon]],'Kode Diskon'!$C$3:$C$9,0)),"-")</f>
        <v>0.1</v>
      </c>
      <c r="AE665" s="23" t="s">
        <v>9</v>
      </c>
      <c r="AF665" s="23" t="s">
        <v>10</v>
      </c>
      <c r="AG665" s="23" t="s">
        <v>76</v>
      </c>
      <c r="AH665" s="24">
        <v>45042</v>
      </c>
      <c r="AI665" s="23" t="str">
        <f>TEXT(Data[[#This Row],[Tanggal terjual]],"dddd")</f>
        <v>Wednesday</v>
      </c>
      <c r="AJ665" s="21" t="str">
        <f>TEXT(Data[[#This Row],[Tanggal terjual]],"wwww")</f>
        <v>wwww</v>
      </c>
    </row>
    <row r="666" spans="1:36" x14ac:dyDescent="0.2">
      <c r="A666" s="20">
        <v>665</v>
      </c>
      <c r="B666" s="21" t="str">
        <f>_xlfn.CONCAT("ORD-",INDEX(Helper!$B$2:$B$5,MATCH(Data[[#This Row],[Marketplace]],Helper!$A$2:$A$5,0)),TEXT(Data[[#This Row],[No]],"0000"),"-",TEXT(Data[[#This Row],[Tanggal terjual]],"dd/mm/yy"))</f>
        <v>ORD-SP0665-02/04/23</v>
      </c>
      <c r="C666" t="s">
        <v>63</v>
      </c>
      <c r="D666" t="str">
        <f>IFERROR(INDEX(Katalog!$A$3:$A$12,MATCH(Data[[#This Row],[ItemID A]],Katalog!$C$3:$C$12,0)),"-")</f>
        <v>Pakaian Pria</v>
      </c>
      <c r="E666" t="str">
        <f>IFERROR(INDEX(Katalog!$B$3:$B$12,MATCH(Data[[#This Row],[ItemID A]],Katalog!$C$3:$C$12,0)),"-")</f>
        <v>Jaket Jeans</v>
      </c>
      <c r="F666">
        <v>2</v>
      </c>
      <c r="G666">
        <v>5</v>
      </c>
      <c r="H666" s="36">
        <f>IFERROR(INDEX(Katalog!$D$3:$D$12,MATCH(Data[[#This Row],[ItemID A]],Katalog!$C$3:$C$12,0))*Data[[#This Row],[Qty A]],"0")</f>
        <v>800000</v>
      </c>
      <c r="I666" s="36">
        <f>IFERROR(INDEX(Katalog!$F$3:$F$12,MATCH(Data[[#This Row],[ItemID A]],Katalog!$C$3:$C$12,0))*Data[[#This Row],[Qty A]],0)</f>
        <v>300000</v>
      </c>
      <c r="J666" t="s">
        <v>62</v>
      </c>
      <c r="K666" t="str">
        <f>IFERROR(INDEX(Katalog!$A$3:$A$12,MATCH(Data[[#This Row],[ItemID B]],Katalog!$C$3:$C$12,0)),"-")</f>
        <v>Pakaian Pria</v>
      </c>
      <c r="L666" t="str">
        <f>IFERROR(INDEX(Katalog!$B$3:$B$12,MATCH(Data[[#This Row],[ItemID B]],Katalog!$C$3:$C$12,0)),"-")</f>
        <v>Celana Pendek</v>
      </c>
      <c r="M666">
        <v>2</v>
      </c>
      <c r="N666">
        <v>4</v>
      </c>
      <c r="O666" s="36">
        <f>IFERROR(INDEX(Katalog!$D$3:$D$12,MATCH(Data[[#This Row],[ItemID B]],Katalog!$C$3:$C$12,0))*Data[[#This Row],[Qty B]],"0")</f>
        <v>360000</v>
      </c>
      <c r="P666" s="36">
        <f>IFERROR(INDEX(Katalog!$F$3:$F$12,MATCH(Data[[#This Row],[ItemID B]],Katalog!$C$3:$C$12,0))*Data[[#This Row],[Qty B]],"0")</f>
        <v>140000</v>
      </c>
      <c r="Q666" t="s">
        <v>67</v>
      </c>
      <c r="R666" t="str">
        <f>IFERROR(INDEX(Katalog!$A$3:$A$12,MATCH(Data[[#This Row],[ItemID C]],Katalog!$C$3:$C$12,0)),"-")</f>
        <v>Sepatu Wanita</v>
      </c>
      <c r="S666" t="str">
        <f>IFERROR(INDEX(Katalog!$B$3:$B$12,MATCH(Data[[#This Row],[ItemID C]],Katalog!$C$3:$C$12,0)),"-")</f>
        <v>Flat Shoes</v>
      </c>
      <c r="T666">
        <v>1</v>
      </c>
      <c r="U666">
        <v>5</v>
      </c>
      <c r="V666" s="36">
        <f>IFERROR(INDEX(Katalog!$D$3:$D$12,MATCH(Data[[#This Row],[ItemID C]],Katalog!$C$3:$C$12,0))*Data[[#This Row],[Qty C]],"0")</f>
        <v>250000</v>
      </c>
      <c r="W666" s="36">
        <f>IFERROR(INDEX(Katalog!$F$3:$F$12,MATCH(Data[[#This Row],[ItemID C]],Katalog!$C$3:$C$12,0))*Data[[#This Row],[Qty C]],"0")</f>
        <v>100000</v>
      </c>
      <c r="X666" s="21">
        <f>Data[[#This Row],[Qty A]]+Data[[#This Row],[Qty B]]+Data[[#This Row],[Qty C]]</f>
        <v>5</v>
      </c>
      <c r="Y666" s="22">
        <f>Data[[#This Row],[Harga Barang A]]+Data[[#This Row],[Harga Barang B]]+Data[[#This Row],[Harga Barang C]]</f>
        <v>1410000</v>
      </c>
      <c r="Z666" s="35">
        <f>IFERROR(Data[[#This Row],[Total Harga]]-(Data[[#This Row],[Total Harga]]*Data[[#This Row],[Diskon]]),Data[[#This Row],[Total Harga]])</f>
        <v>1198500</v>
      </c>
      <c r="AA666" s="35">
        <f>(Data[[#This Row],[Profit A]]+Data[[#This Row],[Profit B]]+Data[[#This Row],[Profit C]])</f>
        <v>540000</v>
      </c>
      <c r="AB666" s="35">
        <f>IFERROR((Data[[#This Row],[Profit non Diskon]]-(Data[[#This Row],[Profit non Diskon]]*Data[[#This Row],[Diskon]])),Data[[#This Row],[Profit non Diskon]])</f>
        <v>459000</v>
      </c>
      <c r="AC666" s="23" t="s">
        <v>13</v>
      </c>
      <c r="AD666" s="37">
        <f>IFERROR(INDEX('Kode Diskon'!$D$3:$D$9,MATCH(Data[[#This Row],[Kode diskon]],'Kode Diskon'!$C$3:$C$9,0)),"-")</f>
        <v>0.15</v>
      </c>
      <c r="AE666" s="23" t="s">
        <v>29</v>
      </c>
      <c r="AF666" s="23" t="s">
        <v>7</v>
      </c>
      <c r="AG666" s="23" t="s">
        <v>80</v>
      </c>
      <c r="AH666" s="24">
        <v>45018</v>
      </c>
      <c r="AI666" s="23" t="str">
        <f>TEXT(Data[[#This Row],[Tanggal terjual]],"dddd")</f>
        <v>Sunday</v>
      </c>
      <c r="AJ666" s="21" t="str">
        <f>TEXT(Data[[#This Row],[Tanggal terjual]],"wwww")</f>
        <v>wwww</v>
      </c>
    </row>
    <row r="667" spans="1:36" x14ac:dyDescent="0.2">
      <c r="A667" s="20">
        <v>666</v>
      </c>
      <c r="B667" s="21" t="str">
        <f>_xlfn.CONCAT("ORD-",INDEX(Helper!$B$2:$B$5,MATCH(Data[[#This Row],[Marketplace]],Helper!$A$2:$A$5,0)),TEXT(Data[[#This Row],[No]],"0000"),"-",TEXT(Data[[#This Row],[Tanggal terjual]],"dd/mm/yy"))</f>
        <v>ORD-SP0666-11/04/23</v>
      </c>
      <c r="C667" t="s">
        <v>66</v>
      </c>
      <c r="D667" t="str">
        <f>IFERROR(INDEX(Katalog!$A$3:$A$12,MATCH(Data[[#This Row],[ItemID A]],Katalog!$C$3:$C$12,0)),"-")</f>
        <v>Sepatu Pria</v>
      </c>
      <c r="E667" t="str">
        <f>IFERROR(INDEX(Katalog!$B$3:$B$12,MATCH(Data[[#This Row],[ItemID A]],Katalog!$C$3:$C$12,0)),"-")</f>
        <v>Sandal Slip On</v>
      </c>
      <c r="F667">
        <v>6</v>
      </c>
      <c r="G667">
        <v>1</v>
      </c>
      <c r="H667" s="36">
        <f>IFERROR(INDEX(Katalog!$D$3:$D$12,MATCH(Data[[#This Row],[ItemID A]],Katalog!$C$3:$C$12,0))*Data[[#This Row],[Qty A]],"0")</f>
        <v>900000</v>
      </c>
      <c r="I667" s="36">
        <f>IFERROR(INDEX(Katalog!$F$3:$F$12,MATCH(Data[[#This Row],[ItemID A]],Katalog!$C$3:$C$12,0))*Data[[#This Row],[Qty A]],0)</f>
        <v>360000</v>
      </c>
      <c r="K667" t="str">
        <f>IFERROR(INDEX(Katalog!$A$3:$A$12,MATCH(Data[[#This Row],[ItemID B]],Katalog!$C$3:$C$12,0)),"-")</f>
        <v>-</v>
      </c>
      <c r="L667" t="str">
        <f>IFERROR(INDEX(Katalog!$B$3:$B$12,MATCH(Data[[#This Row],[ItemID B]],Katalog!$C$3:$C$12,0)),"-")</f>
        <v>-</v>
      </c>
      <c r="O667" s="36" t="str">
        <f>IFERROR(INDEX(Katalog!$D$3:$D$12,MATCH(Data[[#This Row],[ItemID B]],Katalog!$C$3:$C$12,0))*Data[[#This Row],[Qty B]],"0")</f>
        <v>0</v>
      </c>
      <c r="P667" s="36" t="str">
        <f>IFERROR(INDEX(Katalog!$F$3:$F$12,MATCH(Data[[#This Row],[ItemID B]],Katalog!$C$3:$C$12,0))*Data[[#This Row],[Qty B]],"0")</f>
        <v>0</v>
      </c>
      <c r="R667" t="str">
        <f>IFERROR(INDEX(Katalog!$A$3:$A$12,MATCH(Data[[#This Row],[ItemID C]],Katalog!$C$3:$C$12,0)),"-")</f>
        <v>-</v>
      </c>
      <c r="S667" t="str">
        <f>IFERROR(INDEX(Katalog!$B$3:$B$12,MATCH(Data[[#This Row],[ItemID C]],Katalog!$C$3:$C$12,0)),"-")</f>
        <v>-</v>
      </c>
      <c r="V667" s="36" t="str">
        <f>IFERROR(INDEX(Katalog!$D$3:$D$12,MATCH(Data[[#This Row],[ItemID C]],Katalog!$C$3:$C$12,0))*Data[[#This Row],[Qty C]],"0")</f>
        <v>0</v>
      </c>
      <c r="W667" s="36" t="str">
        <f>IFERROR(INDEX(Katalog!$F$3:$F$12,MATCH(Data[[#This Row],[ItemID C]],Katalog!$C$3:$C$12,0))*Data[[#This Row],[Qty C]],"0")</f>
        <v>0</v>
      </c>
      <c r="X667" s="21">
        <f>Data[[#This Row],[Qty A]]+Data[[#This Row],[Qty B]]+Data[[#This Row],[Qty C]]</f>
        <v>6</v>
      </c>
      <c r="Y667" s="22">
        <f>Data[[#This Row],[Harga Barang A]]+Data[[#This Row],[Harga Barang B]]+Data[[#This Row],[Harga Barang C]]</f>
        <v>900000</v>
      </c>
      <c r="Z667" s="35">
        <f>IFERROR(Data[[#This Row],[Total Harga]]-(Data[[#This Row],[Total Harga]]*Data[[#This Row],[Diskon]]),Data[[#This Row],[Total Harga]])</f>
        <v>900000</v>
      </c>
      <c r="AA667" s="35">
        <f>(Data[[#This Row],[Profit A]]+Data[[#This Row],[Profit B]]+Data[[#This Row],[Profit C]])</f>
        <v>360000</v>
      </c>
      <c r="AB667" s="35">
        <f>IFERROR((Data[[#This Row],[Profit non Diskon]]-(Data[[#This Row],[Profit non Diskon]]*Data[[#This Row],[Diskon]])),Data[[#This Row],[Profit non Diskon]])</f>
        <v>360000</v>
      </c>
      <c r="AC667" s="23" t="s">
        <v>11</v>
      </c>
      <c r="AD667" s="37" t="str">
        <f>IFERROR(INDEX('Kode Diskon'!$D$3:$D$9,MATCH(Data[[#This Row],[Kode diskon]],'Kode Diskon'!$C$3:$C$9,0)),"-")</f>
        <v>-</v>
      </c>
      <c r="AE667" s="23" t="s">
        <v>11</v>
      </c>
      <c r="AF667" s="23" t="s">
        <v>7</v>
      </c>
      <c r="AG667" s="23" t="s">
        <v>80</v>
      </c>
      <c r="AH667" s="24">
        <v>45027</v>
      </c>
      <c r="AI667" s="23" t="str">
        <f>TEXT(Data[[#This Row],[Tanggal terjual]],"dddd")</f>
        <v>Tuesday</v>
      </c>
      <c r="AJ667" s="21" t="str">
        <f>TEXT(Data[[#This Row],[Tanggal terjual]],"wwww")</f>
        <v>wwww</v>
      </c>
    </row>
    <row r="668" spans="1:36" x14ac:dyDescent="0.2">
      <c r="A668" s="20">
        <v>667</v>
      </c>
      <c r="B668" s="21" t="str">
        <f>_xlfn.CONCAT("ORD-",INDEX(Helper!$B$2:$B$5,MATCH(Data[[#This Row],[Marketplace]],Helper!$A$2:$A$5,0)),TEXT(Data[[#This Row],[No]],"0000"),"-",TEXT(Data[[#This Row],[Tanggal terjual]],"dd/mm/yy"))</f>
        <v>ORD-BL0667-25/04/23</v>
      </c>
      <c r="C668" t="s">
        <v>59</v>
      </c>
      <c r="D668" t="str">
        <f>IFERROR(INDEX(Katalog!$A$3:$A$12,MATCH(Data[[#This Row],[ItemID A]],Katalog!$C$3:$C$12,0)),"-")</f>
        <v>Pakaian Wanita</v>
      </c>
      <c r="E668" t="str">
        <f>IFERROR(INDEX(Katalog!$B$3:$B$12,MATCH(Data[[#This Row],[ItemID A]],Katalog!$C$3:$C$12,0)),"-")</f>
        <v>Blouse</v>
      </c>
      <c r="F668">
        <v>5</v>
      </c>
      <c r="G668">
        <v>4</v>
      </c>
      <c r="H668" s="36">
        <f>IFERROR(INDEX(Katalog!$D$3:$D$12,MATCH(Data[[#This Row],[ItemID A]],Katalog!$C$3:$C$12,0))*Data[[#This Row],[Qty A]],"0")</f>
        <v>750000</v>
      </c>
      <c r="I668" s="36">
        <f>IFERROR(INDEX(Katalog!$F$3:$F$12,MATCH(Data[[#This Row],[ItemID A]],Katalog!$C$3:$C$12,0))*Data[[#This Row],[Qty A]],0)</f>
        <v>250000</v>
      </c>
      <c r="K668" t="str">
        <f>IFERROR(INDEX(Katalog!$A$3:$A$12,MATCH(Data[[#This Row],[ItemID B]],Katalog!$C$3:$C$12,0)),"-")</f>
        <v>-</v>
      </c>
      <c r="L668" t="str">
        <f>IFERROR(INDEX(Katalog!$B$3:$B$12,MATCH(Data[[#This Row],[ItemID B]],Katalog!$C$3:$C$12,0)),"-")</f>
        <v>-</v>
      </c>
      <c r="O668" s="36" t="str">
        <f>IFERROR(INDEX(Katalog!$D$3:$D$12,MATCH(Data[[#This Row],[ItemID B]],Katalog!$C$3:$C$12,0))*Data[[#This Row],[Qty B]],"0")</f>
        <v>0</v>
      </c>
      <c r="P668" s="36" t="str">
        <f>IFERROR(INDEX(Katalog!$F$3:$F$12,MATCH(Data[[#This Row],[ItemID B]],Katalog!$C$3:$C$12,0))*Data[[#This Row],[Qty B]],"0")</f>
        <v>0</v>
      </c>
      <c r="R668" t="str">
        <f>IFERROR(INDEX(Katalog!$A$3:$A$12,MATCH(Data[[#This Row],[ItemID C]],Katalog!$C$3:$C$12,0)),"-")</f>
        <v>-</v>
      </c>
      <c r="S668" t="str">
        <f>IFERROR(INDEX(Katalog!$B$3:$B$12,MATCH(Data[[#This Row],[ItemID C]],Katalog!$C$3:$C$12,0)),"-")</f>
        <v>-</v>
      </c>
      <c r="V668" s="36" t="str">
        <f>IFERROR(INDEX(Katalog!$D$3:$D$12,MATCH(Data[[#This Row],[ItemID C]],Katalog!$C$3:$C$12,0))*Data[[#This Row],[Qty C]],"0")</f>
        <v>0</v>
      </c>
      <c r="W668" s="36" t="str">
        <f>IFERROR(INDEX(Katalog!$F$3:$F$12,MATCH(Data[[#This Row],[ItemID C]],Katalog!$C$3:$C$12,0))*Data[[#This Row],[Qty C]],"0")</f>
        <v>0</v>
      </c>
      <c r="X668" s="21">
        <f>Data[[#This Row],[Qty A]]+Data[[#This Row],[Qty B]]+Data[[#This Row],[Qty C]]</f>
        <v>5</v>
      </c>
      <c r="Y668" s="22">
        <f>Data[[#This Row],[Harga Barang A]]+Data[[#This Row],[Harga Barang B]]+Data[[#This Row],[Harga Barang C]]</f>
        <v>750000</v>
      </c>
      <c r="Z668" s="35">
        <f>IFERROR(Data[[#This Row],[Total Harga]]-(Data[[#This Row],[Total Harga]]*Data[[#This Row],[Diskon]]),Data[[#This Row],[Total Harga]])</f>
        <v>637500</v>
      </c>
      <c r="AA668" s="35">
        <f>(Data[[#This Row],[Profit A]]+Data[[#This Row],[Profit B]]+Data[[#This Row],[Profit C]])</f>
        <v>250000</v>
      </c>
      <c r="AB668" s="35">
        <f>IFERROR((Data[[#This Row],[Profit non Diskon]]-(Data[[#This Row],[Profit non Diskon]]*Data[[#This Row],[Diskon]])),Data[[#This Row],[Profit non Diskon]])</f>
        <v>212500</v>
      </c>
      <c r="AC668" s="23" t="s">
        <v>32</v>
      </c>
      <c r="AD668" s="37">
        <f>IFERROR(INDEX('Kode Diskon'!$D$3:$D$9,MATCH(Data[[#This Row],[Kode diskon]],'Kode Diskon'!$C$3:$C$9,0)),"-")</f>
        <v>0.15</v>
      </c>
      <c r="AE668" s="23" t="s">
        <v>9</v>
      </c>
      <c r="AF668" s="23" t="s">
        <v>12</v>
      </c>
      <c r="AG668" s="23" t="s">
        <v>76</v>
      </c>
      <c r="AH668" s="24">
        <v>45041</v>
      </c>
      <c r="AI668" s="23" t="str">
        <f>TEXT(Data[[#This Row],[Tanggal terjual]],"dddd")</f>
        <v>Tuesday</v>
      </c>
      <c r="AJ668" s="21" t="str">
        <f>TEXT(Data[[#This Row],[Tanggal terjual]],"wwww")</f>
        <v>wwww</v>
      </c>
    </row>
    <row r="669" spans="1:36" x14ac:dyDescent="0.2">
      <c r="A669" s="20">
        <v>668</v>
      </c>
      <c r="B669" s="21" t="str">
        <f>_xlfn.CONCAT("ORD-",INDEX(Helper!$B$2:$B$5,MATCH(Data[[#This Row],[Marketplace]],Helper!$A$2:$A$5,0)),TEXT(Data[[#This Row],[No]],"0000"),"-",TEXT(Data[[#This Row],[Tanggal terjual]],"dd/mm/yy"))</f>
        <v>ORD-BL0668-20/04/23</v>
      </c>
      <c r="C669" t="s">
        <v>67</v>
      </c>
      <c r="D669" t="str">
        <f>IFERROR(INDEX(Katalog!$A$3:$A$12,MATCH(Data[[#This Row],[ItemID A]],Katalog!$C$3:$C$12,0)),"-")</f>
        <v>Sepatu Wanita</v>
      </c>
      <c r="E669" t="str">
        <f>IFERROR(INDEX(Katalog!$B$3:$B$12,MATCH(Data[[#This Row],[ItemID A]],Katalog!$C$3:$C$12,0)),"-")</f>
        <v>Flat Shoes</v>
      </c>
      <c r="F669">
        <v>3</v>
      </c>
      <c r="G669">
        <v>1</v>
      </c>
      <c r="H669" s="36">
        <f>IFERROR(INDEX(Katalog!$D$3:$D$12,MATCH(Data[[#This Row],[ItemID A]],Katalog!$C$3:$C$12,0))*Data[[#This Row],[Qty A]],"0")</f>
        <v>750000</v>
      </c>
      <c r="I669" s="36">
        <f>IFERROR(INDEX(Katalog!$F$3:$F$12,MATCH(Data[[#This Row],[ItemID A]],Katalog!$C$3:$C$12,0))*Data[[#This Row],[Qty A]],0)</f>
        <v>300000</v>
      </c>
      <c r="J669" t="s">
        <v>66</v>
      </c>
      <c r="K669" t="str">
        <f>IFERROR(INDEX(Katalog!$A$3:$A$12,MATCH(Data[[#This Row],[ItemID B]],Katalog!$C$3:$C$12,0)),"-")</f>
        <v>Sepatu Pria</v>
      </c>
      <c r="L669" t="str">
        <f>IFERROR(INDEX(Katalog!$B$3:$B$12,MATCH(Data[[#This Row],[ItemID B]],Katalog!$C$3:$C$12,0)),"-")</f>
        <v>Sandal Slip On</v>
      </c>
      <c r="M669">
        <v>1</v>
      </c>
      <c r="N669">
        <v>2</v>
      </c>
      <c r="O669" s="36">
        <f>IFERROR(INDEX(Katalog!$D$3:$D$12,MATCH(Data[[#This Row],[ItemID B]],Katalog!$C$3:$C$12,0))*Data[[#This Row],[Qty B]],"0")</f>
        <v>150000</v>
      </c>
      <c r="P669" s="36">
        <f>IFERROR(INDEX(Katalog!$F$3:$F$12,MATCH(Data[[#This Row],[ItemID B]],Katalog!$C$3:$C$12,0))*Data[[#This Row],[Qty B]],"0")</f>
        <v>60000</v>
      </c>
      <c r="R669" t="str">
        <f>IFERROR(INDEX(Katalog!$A$3:$A$12,MATCH(Data[[#This Row],[ItemID C]],Katalog!$C$3:$C$12,0)),"-")</f>
        <v>-</v>
      </c>
      <c r="S669" t="str">
        <f>IFERROR(INDEX(Katalog!$B$3:$B$12,MATCH(Data[[#This Row],[ItemID C]],Katalog!$C$3:$C$12,0)),"-")</f>
        <v>-</v>
      </c>
      <c r="V669" s="36" t="str">
        <f>IFERROR(INDEX(Katalog!$D$3:$D$12,MATCH(Data[[#This Row],[ItemID C]],Katalog!$C$3:$C$12,0))*Data[[#This Row],[Qty C]],"0")</f>
        <v>0</v>
      </c>
      <c r="W669" s="36" t="str">
        <f>IFERROR(INDEX(Katalog!$F$3:$F$12,MATCH(Data[[#This Row],[ItemID C]],Katalog!$C$3:$C$12,0))*Data[[#This Row],[Qty C]],"0")</f>
        <v>0</v>
      </c>
      <c r="X669" s="21">
        <f>Data[[#This Row],[Qty A]]+Data[[#This Row],[Qty B]]+Data[[#This Row],[Qty C]]</f>
        <v>4</v>
      </c>
      <c r="Y669" s="22">
        <f>Data[[#This Row],[Harga Barang A]]+Data[[#This Row],[Harga Barang B]]+Data[[#This Row],[Harga Barang C]]</f>
        <v>900000</v>
      </c>
      <c r="Z669" s="35">
        <f>IFERROR(Data[[#This Row],[Total Harga]]-(Data[[#This Row],[Total Harga]]*Data[[#This Row],[Diskon]]),Data[[#This Row],[Total Harga]])</f>
        <v>765000</v>
      </c>
      <c r="AA669" s="35">
        <f>(Data[[#This Row],[Profit A]]+Data[[#This Row],[Profit B]]+Data[[#This Row],[Profit C]])</f>
        <v>360000</v>
      </c>
      <c r="AB669" s="35">
        <f>IFERROR((Data[[#This Row],[Profit non Diskon]]-(Data[[#This Row],[Profit non Diskon]]*Data[[#This Row],[Diskon]])),Data[[#This Row],[Profit non Diskon]])</f>
        <v>306000</v>
      </c>
      <c r="AC669" s="23" t="s">
        <v>32</v>
      </c>
      <c r="AD669" s="37">
        <f>IFERROR(INDEX('Kode Diskon'!$D$3:$D$9,MATCH(Data[[#This Row],[Kode diskon]],'Kode Diskon'!$C$3:$C$9,0)),"-")</f>
        <v>0.15</v>
      </c>
      <c r="AE669" s="23" t="s">
        <v>9</v>
      </c>
      <c r="AF669" s="23" t="s">
        <v>12</v>
      </c>
      <c r="AG669" s="23" t="s">
        <v>76</v>
      </c>
      <c r="AH669" s="24">
        <v>45036</v>
      </c>
      <c r="AI669" s="23" t="str">
        <f>TEXT(Data[[#This Row],[Tanggal terjual]],"dddd")</f>
        <v>Thursday</v>
      </c>
      <c r="AJ669" s="21" t="str">
        <f>TEXT(Data[[#This Row],[Tanggal terjual]],"wwww")</f>
        <v>wwww</v>
      </c>
    </row>
    <row r="670" spans="1:36" x14ac:dyDescent="0.2">
      <c r="A670" s="20">
        <v>669</v>
      </c>
      <c r="B670" s="21" t="str">
        <f>_xlfn.CONCAT("ORD-",INDEX(Helper!$B$2:$B$5,MATCH(Data[[#This Row],[Marketplace]],Helper!$A$2:$A$5,0)),TEXT(Data[[#This Row],[No]],"0000"),"-",TEXT(Data[[#This Row],[Tanggal terjual]],"dd/mm/yy"))</f>
        <v>ORD-SP0669-26/04/23</v>
      </c>
      <c r="C670" t="s">
        <v>67</v>
      </c>
      <c r="D670" t="str">
        <f>IFERROR(INDEX(Katalog!$A$3:$A$12,MATCH(Data[[#This Row],[ItemID A]],Katalog!$C$3:$C$12,0)),"-")</f>
        <v>Sepatu Wanita</v>
      </c>
      <c r="E670" t="str">
        <f>IFERROR(INDEX(Katalog!$B$3:$B$12,MATCH(Data[[#This Row],[ItemID A]],Katalog!$C$3:$C$12,0)),"-")</f>
        <v>Flat Shoes</v>
      </c>
      <c r="F670">
        <v>2</v>
      </c>
      <c r="G670">
        <v>1</v>
      </c>
      <c r="H670" s="36">
        <f>IFERROR(INDEX(Katalog!$D$3:$D$12,MATCH(Data[[#This Row],[ItemID A]],Katalog!$C$3:$C$12,0))*Data[[#This Row],[Qty A]],"0")</f>
        <v>500000</v>
      </c>
      <c r="I670" s="36">
        <f>IFERROR(INDEX(Katalog!$F$3:$F$12,MATCH(Data[[#This Row],[ItemID A]],Katalog!$C$3:$C$12,0))*Data[[#This Row],[Qty A]],0)</f>
        <v>200000</v>
      </c>
      <c r="K670" t="str">
        <f>IFERROR(INDEX(Katalog!$A$3:$A$12,MATCH(Data[[#This Row],[ItemID B]],Katalog!$C$3:$C$12,0)),"-")</f>
        <v>-</v>
      </c>
      <c r="L670" t="str">
        <f>IFERROR(INDEX(Katalog!$B$3:$B$12,MATCH(Data[[#This Row],[ItemID B]],Katalog!$C$3:$C$12,0)),"-")</f>
        <v>-</v>
      </c>
      <c r="O670" s="36" t="str">
        <f>IFERROR(INDEX(Katalog!$D$3:$D$12,MATCH(Data[[#This Row],[ItemID B]],Katalog!$C$3:$C$12,0))*Data[[#This Row],[Qty B]],"0")</f>
        <v>0</v>
      </c>
      <c r="P670" s="36" t="str">
        <f>IFERROR(INDEX(Katalog!$F$3:$F$12,MATCH(Data[[#This Row],[ItemID B]],Katalog!$C$3:$C$12,0))*Data[[#This Row],[Qty B]],"0")</f>
        <v>0</v>
      </c>
      <c r="R670" t="str">
        <f>IFERROR(INDEX(Katalog!$A$3:$A$12,MATCH(Data[[#This Row],[ItemID C]],Katalog!$C$3:$C$12,0)),"-")</f>
        <v>-</v>
      </c>
      <c r="S670" t="str">
        <f>IFERROR(INDEX(Katalog!$B$3:$B$12,MATCH(Data[[#This Row],[ItemID C]],Katalog!$C$3:$C$12,0)),"-")</f>
        <v>-</v>
      </c>
      <c r="V670" s="36" t="str">
        <f>IFERROR(INDEX(Katalog!$D$3:$D$12,MATCH(Data[[#This Row],[ItemID C]],Katalog!$C$3:$C$12,0))*Data[[#This Row],[Qty C]],"0")</f>
        <v>0</v>
      </c>
      <c r="W670" s="36" t="str">
        <f>IFERROR(INDEX(Katalog!$F$3:$F$12,MATCH(Data[[#This Row],[ItemID C]],Katalog!$C$3:$C$12,0))*Data[[#This Row],[Qty C]],"0")</f>
        <v>0</v>
      </c>
      <c r="X670" s="21">
        <f>Data[[#This Row],[Qty A]]+Data[[#This Row],[Qty B]]+Data[[#This Row],[Qty C]]</f>
        <v>2</v>
      </c>
      <c r="Y670" s="22">
        <f>Data[[#This Row],[Harga Barang A]]+Data[[#This Row],[Harga Barang B]]+Data[[#This Row],[Harga Barang C]]</f>
        <v>500000</v>
      </c>
      <c r="Z670" s="35">
        <f>IFERROR(Data[[#This Row],[Total Harga]]-(Data[[#This Row],[Total Harga]]*Data[[#This Row],[Diskon]]),Data[[#This Row],[Total Harga]])</f>
        <v>400000</v>
      </c>
      <c r="AA670" s="35">
        <f>(Data[[#This Row],[Profit A]]+Data[[#This Row],[Profit B]]+Data[[#This Row],[Profit C]])</f>
        <v>200000</v>
      </c>
      <c r="AB670" s="35">
        <f>IFERROR((Data[[#This Row],[Profit non Diskon]]-(Data[[#This Row],[Profit non Diskon]]*Data[[#This Row],[Diskon]])),Data[[#This Row],[Profit non Diskon]])</f>
        <v>160000</v>
      </c>
      <c r="AC670" s="23" t="s">
        <v>8</v>
      </c>
      <c r="AD670" s="37">
        <f>IFERROR(INDEX('Kode Diskon'!$D$3:$D$9,MATCH(Data[[#This Row],[Kode diskon]],'Kode Diskon'!$C$3:$C$9,0)),"-")</f>
        <v>0.2</v>
      </c>
      <c r="AE670" s="23" t="s">
        <v>9</v>
      </c>
      <c r="AF670" s="23" t="s">
        <v>7</v>
      </c>
      <c r="AG670" s="23" t="s">
        <v>80</v>
      </c>
      <c r="AH670" s="24">
        <v>45042</v>
      </c>
      <c r="AI670" s="23" t="str">
        <f>TEXT(Data[[#This Row],[Tanggal terjual]],"dddd")</f>
        <v>Wednesday</v>
      </c>
      <c r="AJ670" s="21" t="str">
        <f>TEXT(Data[[#This Row],[Tanggal terjual]],"wwww")</f>
        <v>wwww</v>
      </c>
    </row>
    <row r="671" spans="1:36" x14ac:dyDescent="0.2">
      <c r="A671" s="20">
        <v>670</v>
      </c>
      <c r="B671" s="21" t="str">
        <f>_xlfn.CONCAT("ORD-",INDEX(Helper!$B$2:$B$5,MATCH(Data[[#This Row],[Marketplace]],Helper!$A$2:$A$5,0)),TEXT(Data[[#This Row],[No]],"0000"),"-",TEXT(Data[[#This Row],[Tanggal terjual]],"dd/mm/yy"))</f>
        <v>ORD-BB0670-04/04/23</v>
      </c>
      <c r="C671" t="s">
        <v>64</v>
      </c>
      <c r="D671" t="str">
        <f>IFERROR(INDEX(Katalog!$A$3:$A$12,MATCH(Data[[#This Row],[ItemID A]],Katalog!$C$3:$C$12,0)),"-")</f>
        <v>Pakaian Unisex</v>
      </c>
      <c r="E671" t="str">
        <f>IFERROR(INDEX(Katalog!$B$3:$B$12,MATCH(Data[[#This Row],[ItemID A]],Katalog!$C$3:$C$12,0)),"-")</f>
        <v>Jaket Hoodie</v>
      </c>
      <c r="F671">
        <v>4</v>
      </c>
      <c r="G671">
        <v>5</v>
      </c>
      <c r="H671" s="36">
        <f>IFERROR(INDEX(Katalog!$D$3:$D$12,MATCH(Data[[#This Row],[ItemID A]],Katalog!$C$3:$C$12,0))*Data[[#This Row],[Qty A]],"0")</f>
        <v>1400000</v>
      </c>
      <c r="I671" s="36">
        <f>IFERROR(INDEX(Katalog!$F$3:$F$12,MATCH(Data[[#This Row],[ItemID A]],Katalog!$C$3:$C$12,0))*Data[[#This Row],[Qty A]],0)</f>
        <v>520000</v>
      </c>
      <c r="J671" t="s">
        <v>65</v>
      </c>
      <c r="K671" t="str">
        <f>IFERROR(INDEX(Katalog!$A$3:$A$12,MATCH(Data[[#This Row],[ItemID B]],Katalog!$C$3:$C$12,0)),"-")</f>
        <v>Sepatu Pria</v>
      </c>
      <c r="L671" t="str">
        <f>IFERROR(INDEX(Katalog!$B$3:$B$12,MATCH(Data[[#This Row],[ItemID B]],Katalog!$C$3:$C$12,0)),"-")</f>
        <v>Sneakers</v>
      </c>
      <c r="M671">
        <v>1</v>
      </c>
      <c r="N671">
        <v>4</v>
      </c>
      <c r="O671" s="36">
        <f>IFERROR(INDEX(Katalog!$D$3:$D$12,MATCH(Data[[#This Row],[ItemID B]],Katalog!$C$3:$C$12,0))*Data[[#This Row],[Qty B]],"0")</f>
        <v>500000</v>
      </c>
      <c r="P671" s="36">
        <f>IFERROR(INDEX(Katalog!$F$3:$F$12,MATCH(Data[[#This Row],[ItemID B]],Katalog!$C$3:$C$12,0))*Data[[#This Row],[Qty B]],"0")</f>
        <v>200000</v>
      </c>
      <c r="Q671" t="s">
        <v>66</v>
      </c>
      <c r="R671" t="str">
        <f>IFERROR(INDEX(Katalog!$A$3:$A$12,MATCH(Data[[#This Row],[ItemID C]],Katalog!$C$3:$C$12,0)),"-")</f>
        <v>Sepatu Pria</v>
      </c>
      <c r="S671" t="str">
        <f>IFERROR(INDEX(Katalog!$B$3:$B$12,MATCH(Data[[#This Row],[ItemID C]],Katalog!$C$3:$C$12,0)),"-")</f>
        <v>Sandal Slip On</v>
      </c>
      <c r="T671">
        <v>1</v>
      </c>
      <c r="U671">
        <v>2</v>
      </c>
      <c r="V671" s="36">
        <f>IFERROR(INDEX(Katalog!$D$3:$D$12,MATCH(Data[[#This Row],[ItemID C]],Katalog!$C$3:$C$12,0))*Data[[#This Row],[Qty C]],"0")</f>
        <v>150000</v>
      </c>
      <c r="W671" s="36">
        <f>IFERROR(INDEX(Katalog!$F$3:$F$12,MATCH(Data[[#This Row],[ItemID C]],Katalog!$C$3:$C$12,0))*Data[[#This Row],[Qty C]],"0")</f>
        <v>60000</v>
      </c>
      <c r="X671" s="21">
        <f>Data[[#This Row],[Qty A]]+Data[[#This Row],[Qty B]]+Data[[#This Row],[Qty C]]</f>
        <v>6</v>
      </c>
      <c r="Y671" s="22">
        <f>Data[[#This Row],[Harga Barang A]]+Data[[#This Row],[Harga Barang B]]+Data[[#This Row],[Harga Barang C]]</f>
        <v>2050000</v>
      </c>
      <c r="Z671" s="35">
        <f>IFERROR(Data[[#This Row],[Total Harga]]-(Data[[#This Row],[Total Harga]]*Data[[#This Row],[Diskon]]),Data[[#This Row],[Total Harga]])</f>
        <v>1742500</v>
      </c>
      <c r="AA671" s="35">
        <f>(Data[[#This Row],[Profit A]]+Data[[#This Row],[Profit B]]+Data[[#This Row],[Profit C]])</f>
        <v>780000</v>
      </c>
      <c r="AB671" s="35">
        <f>IFERROR((Data[[#This Row],[Profit non Diskon]]-(Data[[#This Row],[Profit non Diskon]]*Data[[#This Row],[Diskon]])),Data[[#This Row],[Profit non Diskon]])</f>
        <v>663000</v>
      </c>
      <c r="AC671" s="23" t="s">
        <v>28</v>
      </c>
      <c r="AD671" s="37">
        <f>IFERROR(INDEX('Kode Diskon'!$D$3:$D$9,MATCH(Data[[#This Row],[Kode diskon]],'Kode Diskon'!$C$3:$C$9,0)),"-")</f>
        <v>0.15</v>
      </c>
      <c r="AE671" s="23" t="s">
        <v>29</v>
      </c>
      <c r="AF671" s="23" t="s">
        <v>14</v>
      </c>
      <c r="AG671" s="23" t="s">
        <v>75</v>
      </c>
      <c r="AH671" s="24">
        <v>45020</v>
      </c>
      <c r="AI671" s="23" t="str">
        <f>TEXT(Data[[#This Row],[Tanggal terjual]],"dddd")</f>
        <v>Tuesday</v>
      </c>
      <c r="AJ671" s="21" t="str">
        <f>TEXT(Data[[#This Row],[Tanggal terjual]],"wwww")</f>
        <v>wwww</v>
      </c>
    </row>
    <row r="672" spans="1:36" x14ac:dyDescent="0.2">
      <c r="A672" s="20">
        <v>671</v>
      </c>
      <c r="B672" s="21" t="str">
        <f>_xlfn.CONCAT("ORD-",INDEX(Helper!$B$2:$B$5,MATCH(Data[[#This Row],[Marketplace]],Helper!$A$2:$A$5,0)),TEXT(Data[[#This Row],[No]],"0000"),"-",TEXT(Data[[#This Row],[Tanggal terjual]],"dd/mm/yy"))</f>
        <v>ORD-TK0671-03/04/23</v>
      </c>
      <c r="C672" t="s">
        <v>63</v>
      </c>
      <c r="D672" t="str">
        <f>IFERROR(INDEX(Katalog!$A$3:$A$12,MATCH(Data[[#This Row],[ItemID A]],Katalog!$C$3:$C$12,0)),"-")</f>
        <v>Pakaian Pria</v>
      </c>
      <c r="E672" t="str">
        <f>IFERROR(INDEX(Katalog!$B$3:$B$12,MATCH(Data[[#This Row],[ItemID A]],Katalog!$C$3:$C$12,0)),"-")</f>
        <v>Jaket Jeans</v>
      </c>
      <c r="F672">
        <v>1</v>
      </c>
      <c r="G672">
        <v>1</v>
      </c>
      <c r="H672" s="36">
        <f>IFERROR(INDEX(Katalog!$D$3:$D$12,MATCH(Data[[#This Row],[ItemID A]],Katalog!$C$3:$C$12,0))*Data[[#This Row],[Qty A]],"0")</f>
        <v>400000</v>
      </c>
      <c r="I672" s="36">
        <f>IFERROR(INDEX(Katalog!$F$3:$F$12,MATCH(Data[[#This Row],[ItemID A]],Katalog!$C$3:$C$12,0))*Data[[#This Row],[Qty A]],0)</f>
        <v>150000</v>
      </c>
      <c r="K672" t="str">
        <f>IFERROR(INDEX(Katalog!$A$3:$A$12,MATCH(Data[[#This Row],[ItemID B]],Katalog!$C$3:$C$12,0)),"-")</f>
        <v>-</v>
      </c>
      <c r="L672" t="str">
        <f>IFERROR(INDEX(Katalog!$B$3:$B$12,MATCH(Data[[#This Row],[ItemID B]],Katalog!$C$3:$C$12,0)),"-")</f>
        <v>-</v>
      </c>
      <c r="O672" s="36" t="str">
        <f>IFERROR(INDEX(Katalog!$D$3:$D$12,MATCH(Data[[#This Row],[ItemID B]],Katalog!$C$3:$C$12,0))*Data[[#This Row],[Qty B]],"0")</f>
        <v>0</v>
      </c>
      <c r="P672" s="36" t="str">
        <f>IFERROR(INDEX(Katalog!$F$3:$F$12,MATCH(Data[[#This Row],[ItemID B]],Katalog!$C$3:$C$12,0))*Data[[#This Row],[Qty B]],"0")</f>
        <v>0</v>
      </c>
      <c r="R672" t="str">
        <f>IFERROR(INDEX(Katalog!$A$3:$A$12,MATCH(Data[[#This Row],[ItemID C]],Katalog!$C$3:$C$12,0)),"-")</f>
        <v>-</v>
      </c>
      <c r="S672" t="str">
        <f>IFERROR(INDEX(Katalog!$B$3:$B$12,MATCH(Data[[#This Row],[ItemID C]],Katalog!$C$3:$C$12,0)),"-")</f>
        <v>-</v>
      </c>
      <c r="V672" s="36" t="str">
        <f>IFERROR(INDEX(Katalog!$D$3:$D$12,MATCH(Data[[#This Row],[ItemID C]],Katalog!$C$3:$C$12,0))*Data[[#This Row],[Qty C]],"0")</f>
        <v>0</v>
      </c>
      <c r="W672" s="36" t="str">
        <f>IFERROR(INDEX(Katalog!$F$3:$F$12,MATCH(Data[[#This Row],[ItemID C]],Katalog!$C$3:$C$12,0))*Data[[#This Row],[Qty C]],"0")</f>
        <v>0</v>
      </c>
      <c r="X672" s="21">
        <f>Data[[#This Row],[Qty A]]+Data[[#This Row],[Qty B]]+Data[[#This Row],[Qty C]]</f>
        <v>1</v>
      </c>
      <c r="Y672" s="22">
        <f>Data[[#This Row],[Harga Barang A]]+Data[[#This Row],[Harga Barang B]]+Data[[#This Row],[Harga Barang C]]</f>
        <v>400000</v>
      </c>
      <c r="Z672" s="35">
        <f>IFERROR(Data[[#This Row],[Total Harga]]-(Data[[#This Row],[Total Harga]]*Data[[#This Row],[Diskon]]),Data[[#This Row],[Total Harga]])</f>
        <v>360000</v>
      </c>
      <c r="AA672" s="35">
        <f>(Data[[#This Row],[Profit A]]+Data[[#This Row],[Profit B]]+Data[[#This Row],[Profit C]])</f>
        <v>150000</v>
      </c>
      <c r="AB672" s="35">
        <f>IFERROR((Data[[#This Row],[Profit non Diskon]]-(Data[[#This Row],[Profit non Diskon]]*Data[[#This Row],[Diskon]])),Data[[#This Row],[Profit non Diskon]])</f>
        <v>135000</v>
      </c>
      <c r="AC672" s="23" t="s">
        <v>30</v>
      </c>
      <c r="AD672" s="37">
        <f>IFERROR(INDEX('Kode Diskon'!$D$3:$D$9,MATCH(Data[[#This Row],[Kode diskon]],'Kode Diskon'!$C$3:$C$9,0)),"-")</f>
        <v>0.1</v>
      </c>
      <c r="AE672" s="23" t="s">
        <v>29</v>
      </c>
      <c r="AF672" s="23" t="s">
        <v>10</v>
      </c>
      <c r="AG672" s="23" t="s">
        <v>79</v>
      </c>
      <c r="AH672" s="24">
        <v>45019</v>
      </c>
      <c r="AI672" s="23" t="str">
        <f>TEXT(Data[[#This Row],[Tanggal terjual]],"dddd")</f>
        <v>Monday</v>
      </c>
      <c r="AJ672" s="21" t="str">
        <f>TEXT(Data[[#This Row],[Tanggal terjual]],"wwww")</f>
        <v>wwww</v>
      </c>
    </row>
    <row r="673" spans="1:36" x14ac:dyDescent="0.2">
      <c r="A673" s="20">
        <v>672</v>
      </c>
      <c r="B673" s="21" t="str">
        <f>_xlfn.CONCAT("ORD-",INDEX(Helper!$B$2:$B$5,MATCH(Data[[#This Row],[Marketplace]],Helper!$A$2:$A$5,0)),TEXT(Data[[#This Row],[No]],"0000"),"-",TEXT(Data[[#This Row],[Tanggal terjual]],"dd/mm/yy"))</f>
        <v>ORD-TK0672-01/04/23</v>
      </c>
      <c r="C673" t="s">
        <v>61</v>
      </c>
      <c r="D673" t="str">
        <f>IFERROR(INDEX(Katalog!$A$3:$A$12,MATCH(Data[[#This Row],[ItemID A]],Katalog!$C$3:$C$12,0)),"-")</f>
        <v>Pakaian Pria</v>
      </c>
      <c r="E673" t="str">
        <f>IFERROR(INDEX(Katalog!$B$3:$B$12,MATCH(Data[[#This Row],[ItemID A]],Katalog!$C$3:$C$12,0)),"-")</f>
        <v>Kaos Polo</v>
      </c>
      <c r="F673">
        <v>1</v>
      </c>
      <c r="G673">
        <v>3</v>
      </c>
      <c r="H673" s="36">
        <f>IFERROR(INDEX(Katalog!$D$3:$D$12,MATCH(Data[[#This Row],[ItemID A]],Katalog!$C$3:$C$12,0))*Data[[#This Row],[Qty A]],"0")</f>
        <v>200000</v>
      </c>
      <c r="I673" s="36">
        <f>IFERROR(INDEX(Katalog!$F$3:$F$12,MATCH(Data[[#This Row],[ItemID A]],Katalog!$C$3:$C$12,0))*Data[[#This Row],[Qty A]],0)</f>
        <v>80000</v>
      </c>
      <c r="K673" t="str">
        <f>IFERROR(INDEX(Katalog!$A$3:$A$12,MATCH(Data[[#This Row],[ItemID B]],Katalog!$C$3:$C$12,0)),"-")</f>
        <v>-</v>
      </c>
      <c r="L673" t="str">
        <f>IFERROR(INDEX(Katalog!$B$3:$B$12,MATCH(Data[[#This Row],[ItemID B]],Katalog!$C$3:$C$12,0)),"-")</f>
        <v>-</v>
      </c>
      <c r="O673" s="36" t="str">
        <f>IFERROR(INDEX(Katalog!$D$3:$D$12,MATCH(Data[[#This Row],[ItemID B]],Katalog!$C$3:$C$12,0))*Data[[#This Row],[Qty B]],"0")</f>
        <v>0</v>
      </c>
      <c r="P673" s="36" t="str">
        <f>IFERROR(INDEX(Katalog!$F$3:$F$12,MATCH(Data[[#This Row],[ItemID B]],Katalog!$C$3:$C$12,0))*Data[[#This Row],[Qty B]],"0")</f>
        <v>0</v>
      </c>
      <c r="R673" t="str">
        <f>IFERROR(INDEX(Katalog!$A$3:$A$12,MATCH(Data[[#This Row],[ItemID C]],Katalog!$C$3:$C$12,0)),"-")</f>
        <v>-</v>
      </c>
      <c r="S673" t="str">
        <f>IFERROR(INDEX(Katalog!$B$3:$B$12,MATCH(Data[[#This Row],[ItemID C]],Katalog!$C$3:$C$12,0)),"-")</f>
        <v>-</v>
      </c>
      <c r="V673" s="36" t="str">
        <f>IFERROR(INDEX(Katalog!$D$3:$D$12,MATCH(Data[[#This Row],[ItemID C]],Katalog!$C$3:$C$12,0))*Data[[#This Row],[Qty C]],"0")</f>
        <v>0</v>
      </c>
      <c r="W673" s="36" t="str">
        <f>IFERROR(INDEX(Katalog!$F$3:$F$12,MATCH(Data[[#This Row],[ItemID C]],Katalog!$C$3:$C$12,0))*Data[[#This Row],[Qty C]],"0")</f>
        <v>0</v>
      </c>
      <c r="X673" s="21">
        <f>Data[[#This Row],[Qty A]]+Data[[#This Row],[Qty B]]+Data[[#This Row],[Qty C]]</f>
        <v>1</v>
      </c>
      <c r="Y673" s="22">
        <f>Data[[#This Row],[Harga Barang A]]+Data[[#This Row],[Harga Barang B]]+Data[[#This Row],[Harga Barang C]]</f>
        <v>200000</v>
      </c>
      <c r="Z673" s="35">
        <f>IFERROR(Data[[#This Row],[Total Harga]]-(Data[[#This Row],[Total Harga]]*Data[[#This Row],[Diskon]]),Data[[#This Row],[Total Harga]])</f>
        <v>180000</v>
      </c>
      <c r="AA673" s="35">
        <f>(Data[[#This Row],[Profit A]]+Data[[#This Row],[Profit B]]+Data[[#This Row],[Profit C]])</f>
        <v>80000</v>
      </c>
      <c r="AB673" s="35">
        <f>IFERROR((Data[[#This Row],[Profit non Diskon]]-(Data[[#This Row],[Profit non Diskon]]*Data[[#This Row],[Diskon]])),Data[[#This Row],[Profit non Diskon]])</f>
        <v>72000</v>
      </c>
      <c r="AC673" s="23" t="s">
        <v>30</v>
      </c>
      <c r="AD673" s="37">
        <f>IFERROR(INDEX('Kode Diskon'!$D$3:$D$9,MATCH(Data[[#This Row],[Kode diskon]],'Kode Diskon'!$C$3:$C$9,0)),"-")</f>
        <v>0.1</v>
      </c>
      <c r="AE673" s="23" t="s">
        <v>29</v>
      </c>
      <c r="AF673" s="23" t="s">
        <v>10</v>
      </c>
      <c r="AG673" s="23" t="s">
        <v>75</v>
      </c>
      <c r="AH673" s="24">
        <v>45017</v>
      </c>
      <c r="AI673" s="23" t="str">
        <f>TEXT(Data[[#This Row],[Tanggal terjual]],"dddd")</f>
        <v>Saturday</v>
      </c>
      <c r="AJ673" s="21" t="str">
        <f>TEXT(Data[[#This Row],[Tanggal terjual]],"wwww")</f>
        <v>wwww</v>
      </c>
    </row>
    <row r="674" spans="1:36" x14ac:dyDescent="0.2">
      <c r="A674" s="20">
        <v>673</v>
      </c>
      <c r="B674" s="21" t="str">
        <f>_xlfn.CONCAT("ORD-",INDEX(Helper!$B$2:$B$5,MATCH(Data[[#This Row],[Marketplace]],Helper!$A$2:$A$5,0)),TEXT(Data[[#This Row],[No]],"0000"),"-",TEXT(Data[[#This Row],[Tanggal terjual]],"dd/mm/yy"))</f>
        <v>ORD-TK0673-26/04/23</v>
      </c>
      <c r="C674" t="s">
        <v>60</v>
      </c>
      <c r="D674" t="str">
        <f>IFERROR(INDEX(Katalog!$A$3:$A$12,MATCH(Data[[#This Row],[ItemID A]],Katalog!$C$3:$C$12,0)),"-")</f>
        <v>Pakaian Wanita</v>
      </c>
      <c r="E674" t="str">
        <f>IFERROR(INDEX(Katalog!$B$3:$B$12,MATCH(Data[[#This Row],[ItemID A]],Katalog!$C$3:$C$12,0)),"-")</f>
        <v>Kaftan</v>
      </c>
      <c r="F674">
        <v>1</v>
      </c>
      <c r="G674">
        <v>2</v>
      </c>
      <c r="H674" s="36">
        <f>IFERROR(INDEX(Katalog!$D$3:$D$12,MATCH(Data[[#This Row],[ItemID A]],Katalog!$C$3:$C$12,0))*Data[[#This Row],[Qty A]],"0")</f>
        <v>250000</v>
      </c>
      <c r="I674" s="36">
        <f>IFERROR(INDEX(Katalog!$F$3:$F$12,MATCH(Data[[#This Row],[ItemID A]],Katalog!$C$3:$C$12,0))*Data[[#This Row],[Qty A]],0)</f>
        <v>100000</v>
      </c>
      <c r="K674" t="str">
        <f>IFERROR(INDEX(Katalog!$A$3:$A$12,MATCH(Data[[#This Row],[ItemID B]],Katalog!$C$3:$C$12,0)),"-")</f>
        <v>-</v>
      </c>
      <c r="L674" t="str">
        <f>IFERROR(INDEX(Katalog!$B$3:$B$12,MATCH(Data[[#This Row],[ItemID B]],Katalog!$C$3:$C$12,0)),"-")</f>
        <v>-</v>
      </c>
      <c r="O674" s="36" t="str">
        <f>IFERROR(INDEX(Katalog!$D$3:$D$12,MATCH(Data[[#This Row],[ItemID B]],Katalog!$C$3:$C$12,0))*Data[[#This Row],[Qty B]],"0")</f>
        <v>0</v>
      </c>
      <c r="P674" s="36" t="str">
        <f>IFERROR(INDEX(Katalog!$F$3:$F$12,MATCH(Data[[#This Row],[ItemID B]],Katalog!$C$3:$C$12,0))*Data[[#This Row],[Qty B]],"0")</f>
        <v>0</v>
      </c>
      <c r="R674" t="str">
        <f>IFERROR(INDEX(Katalog!$A$3:$A$12,MATCH(Data[[#This Row],[ItemID C]],Katalog!$C$3:$C$12,0)),"-")</f>
        <v>-</v>
      </c>
      <c r="S674" t="str">
        <f>IFERROR(INDEX(Katalog!$B$3:$B$12,MATCH(Data[[#This Row],[ItemID C]],Katalog!$C$3:$C$12,0)),"-")</f>
        <v>-</v>
      </c>
      <c r="V674" s="36" t="str">
        <f>IFERROR(INDEX(Katalog!$D$3:$D$12,MATCH(Data[[#This Row],[ItemID C]],Katalog!$C$3:$C$12,0))*Data[[#This Row],[Qty C]],"0")</f>
        <v>0</v>
      </c>
      <c r="W674" s="36" t="str">
        <f>IFERROR(INDEX(Katalog!$F$3:$F$12,MATCH(Data[[#This Row],[ItemID C]],Katalog!$C$3:$C$12,0))*Data[[#This Row],[Qty C]],"0")</f>
        <v>0</v>
      </c>
      <c r="X674" s="21">
        <f>Data[[#This Row],[Qty A]]+Data[[#This Row],[Qty B]]+Data[[#This Row],[Qty C]]</f>
        <v>1</v>
      </c>
      <c r="Y674" s="22">
        <f>Data[[#This Row],[Harga Barang A]]+Data[[#This Row],[Harga Barang B]]+Data[[#This Row],[Harga Barang C]]</f>
        <v>250000</v>
      </c>
      <c r="Z674" s="35">
        <f>IFERROR(Data[[#This Row],[Total Harga]]-(Data[[#This Row],[Total Harga]]*Data[[#This Row],[Diskon]]),Data[[#This Row],[Total Harga]])</f>
        <v>225000</v>
      </c>
      <c r="AA674" s="35">
        <f>(Data[[#This Row],[Profit A]]+Data[[#This Row],[Profit B]]+Data[[#This Row],[Profit C]])</f>
        <v>100000</v>
      </c>
      <c r="AB674" s="35">
        <f>IFERROR((Data[[#This Row],[Profit non Diskon]]-(Data[[#This Row],[Profit non Diskon]]*Data[[#This Row],[Diskon]])),Data[[#This Row],[Profit non Diskon]])</f>
        <v>90000</v>
      </c>
      <c r="AC674" s="23" t="s">
        <v>31</v>
      </c>
      <c r="AD674" s="37">
        <f>IFERROR(INDEX('Kode Diskon'!$D$3:$D$9,MATCH(Data[[#This Row],[Kode diskon]],'Kode Diskon'!$C$3:$C$9,0)),"-")</f>
        <v>0.1</v>
      </c>
      <c r="AE674" s="23" t="s">
        <v>9</v>
      </c>
      <c r="AF674" s="23" t="s">
        <v>10</v>
      </c>
      <c r="AG674" s="23" t="s">
        <v>78</v>
      </c>
      <c r="AH674" s="24">
        <v>45042</v>
      </c>
      <c r="AI674" s="23" t="str">
        <f>TEXT(Data[[#This Row],[Tanggal terjual]],"dddd")</f>
        <v>Wednesday</v>
      </c>
      <c r="AJ674" s="21" t="str">
        <f>TEXT(Data[[#This Row],[Tanggal terjual]],"wwww")</f>
        <v>wwww</v>
      </c>
    </row>
    <row r="675" spans="1:36" x14ac:dyDescent="0.2">
      <c r="A675" s="20">
        <v>674</v>
      </c>
      <c r="B675" s="21" t="str">
        <f>_xlfn.CONCAT("ORD-",INDEX(Helper!$B$2:$B$5,MATCH(Data[[#This Row],[Marketplace]],Helper!$A$2:$A$5,0)),TEXT(Data[[#This Row],[No]],"0000"),"-",TEXT(Data[[#This Row],[Tanggal terjual]],"dd/mm/yy"))</f>
        <v>ORD-SP0674-04/04/23</v>
      </c>
      <c r="C675" t="s">
        <v>64</v>
      </c>
      <c r="D675" t="str">
        <f>IFERROR(INDEX(Katalog!$A$3:$A$12,MATCH(Data[[#This Row],[ItemID A]],Katalog!$C$3:$C$12,0)),"-")</f>
        <v>Pakaian Unisex</v>
      </c>
      <c r="E675" t="str">
        <f>IFERROR(INDEX(Katalog!$B$3:$B$12,MATCH(Data[[#This Row],[ItemID A]],Katalog!$C$3:$C$12,0)),"-")</f>
        <v>Jaket Hoodie</v>
      </c>
      <c r="F675">
        <v>3</v>
      </c>
      <c r="G675">
        <v>4</v>
      </c>
      <c r="H675" s="36">
        <f>IFERROR(INDEX(Katalog!$D$3:$D$12,MATCH(Data[[#This Row],[ItemID A]],Katalog!$C$3:$C$12,0))*Data[[#This Row],[Qty A]],"0")</f>
        <v>1050000</v>
      </c>
      <c r="I675" s="36">
        <f>IFERROR(INDEX(Katalog!$F$3:$F$12,MATCH(Data[[#This Row],[ItemID A]],Katalog!$C$3:$C$12,0))*Data[[#This Row],[Qty A]],0)</f>
        <v>390000</v>
      </c>
      <c r="K675" t="str">
        <f>IFERROR(INDEX(Katalog!$A$3:$A$12,MATCH(Data[[#This Row],[ItemID B]],Katalog!$C$3:$C$12,0)),"-")</f>
        <v>-</v>
      </c>
      <c r="L675" t="str">
        <f>IFERROR(INDEX(Katalog!$B$3:$B$12,MATCH(Data[[#This Row],[ItemID B]],Katalog!$C$3:$C$12,0)),"-")</f>
        <v>-</v>
      </c>
      <c r="O675" s="36" t="str">
        <f>IFERROR(INDEX(Katalog!$D$3:$D$12,MATCH(Data[[#This Row],[ItemID B]],Katalog!$C$3:$C$12,0))*Data[[#This Row],[Qty B]],"0")</f>
        <v>0</v>
      </c>
      <c r="P675" s="36" t="str">
        <f>IFERROR(INDEX(Katalog!$F$3:$F$12,MATCH(Data[[#This Row],[ItemID B]],Katalog!$C$3:$C$12,0))*Data[[#This Row],[Qty B]],"0")</f>
        <v>0</v>
      </c>
      <c r="R675" t="str">
        <f>IFERROR(INDEX(Katalog!$A$3:$A$12,MATCH(Data[[#This Row],[ItemID C]],Katalog!$C$3:$C$12,0)),"-")</f>
        <v>-</v>
      </c>
      <c r="S675" t="str">
        <f>IFERROR(INDEX(Katalog!$B$3:$B$12,MATCH(Data[[#This Row],[ItemID C]],Katalog!$C$3:$C$12,0)),"-")</f>
        <v>-</v>
      </c>
      <c r="V675" s="36" t="str">
        <f>IFERROR(INDEX(Katalog!$D$3:$D$12,MATCH(Data[[#This Row],[ItemID C]],Katalog!$C$3:$C$12,0))*Data[[#This Row],[Qty C]],"0")</f>
        <v>0</v>
      </c>
      <c r="W675" s="36" t="str">
        <f>IFERROR(INDEX(Katalog!$F$3:$F$12,MATCH(Data[[#This Row],[ItemID C]],Katalog!$C$3:$C$12,0))*Data[[#This Row],[Qty C]],"0")</f>
        <v>0</v>
      </c>
      <c r="X675" s="21">
        <f>Data[[#This Row],[Qty A]]+Data[[#This Row],[Qty B]]+Data[[#This Row],[Qty C]]</f>
        <v>3</v>
      </c>
      <c r="Y675" s="22">
        <f>Data[[#This Row],[Harga Barang A]]+Data[[#This Row],[Harga Barang B]]+Data[[#This Row],[Harga Barang C]]</f>
        <v>1050000</v>
      </c>
      <c r="Z675" s="35">
        <f>IFERROR(Data[[#This Row],[Total Harga]]-(Data[[#This Row],[Total Harga]]*Data[[#This Row],[Diskon]]),Data[[#This Row],[Total Harga]])</f>
        <v>892500</v>
      </c>
      <c r="AA675" s="35">
        <f>(Data[[#This Row],[Profit A]]+Data[[#This Row],[Profit B]]+Data[[#This Row],[Profit C]])</f>
        <v>390000</v>
      </c>
      <c r="AB675" s="35">
        <f>IFERROR((Data[[#This Row],[Profit non Diskon]]-(Data[[#This Row],[Profit non Diskon]]*Data[[#This Row],[Diskon]])),Data[[#This Row],[Profit non Diskon]])</f>
        <v>331500</v>
      </c>
      <c r="AC675" s="23" t="s">
        <v>13</v>
      </c>
      <c r="AD675" s="37">
        <f>IFERROR(INDEX('Kode Diskon'!$D$3:$D$9,MATCH(Data[[#This Row],[Kode diskon]],'Kode Diskon'!$C$3:$C$9,0)),"-")</f>
        <v>0.15</v>
      </c>
      <c r="AE675" s="23" t="s">
        <v>29</v>
      </c>
      <c r="AF675" s="23" t="s">
        <v>7</v>
      </c>
      <c r="AG675" s="23" t="s">
        <v>78</v>
      </c>
      <c r="AH675" s="24">
        <v>45020</v>
      </c>
      <c r="AI675" s="23" t="str">
        <f>TEXT(Data[[#This Row],[Tanggal terjual]],"dddd")</f>
        <v>Tuesday</v>
      </c>
      <c r="AJ675" s="21" t="str">
        <f>TEXT(Data[[#This Row],[Tanggal terjual]],"wwww")</f>
        <v>wwww</v>
      </c>
    </row>
    <row r="676" spans="1:36" x14ac:dyDescent="0.2">
      <c r="A676" s="20">
        <v>675</v>
      </c>
      <c r="B676" s="21" t="str">
        <f>_xlfn.CONCAT("ORD-",INDEX(Helper!$B$2:$B$5,MATCH(Data[[#This Row],[Marketplace]],Helper!$A$2:$A$5,0)),TEXT(Data[[#This Row],[No]],"0000"),"-",TEXT(Data[[#This Row],[Tanggal terjual]],"dd/mm/yy"))</f>
        <v>ORD-TK0675-01/04/23</v>
      </c>
      <c r="C676" t="s">
        <v>59</v>
      </c>
      <c r="D676" t="str">
        <f>IFERROR(INDEX(Katalog!$A$3:$A$12,MATCH(Data[[#This Row],[ItemID A]],Katalog!$C$3:$C$12,0)),"-")</f>
        <v>Pakaian Wanita</v>
      </c>
      <c r="E676" t="str">
        <f>IFERROR(INDEX(Katalog!$B$3:$B$12,MATCH(Data[[#This Row],[ItemID A]],Katalog!$C$3:$C$12,0)),"-")</f>
        <v>Blouse</v>
      </c>
      <c r="F676">
        <v>1</v>
      </c>
      <c r="G676">
        <v>2</v>
      </c>
      <c r="H676" s="36">
        <f>IFERROR(INDEX(Katalog!$D$3:$D$12,MATCH(Data[[#This Row],[ItemID A]],Katalog!$C$3:$C$12,0))*Data[[#This Row],[Qty A]],"0")</f>
        <v>150000</v>
      </c>
      <c r="I676" s="36">
        <f>IFERROR(INDEX(Katalog!$F$3:$F$12,MATCH(Data[[#This Row],[ItemID A]],Katalog!$C$3:$C$12,0))*Data[[#This Row],[Qty A]],0)</f>
        <v>50000</v>
      </c>
      <c r="J676" t="s">
        <v>67</v>
      </c>
      <c r="K676" t="str">
        <f>IFERROR(INDEX(Katalog!$A$3:$A$12,MATCH(Data[[#This Row],[ItemID B]],Katalog!$C$3:$C$12,0)),"-")</f>
        <v>Sepatu Wanita</v>
      </c>
      <c r="L676" t="str">
        <f>IFERROR(INDEX(Katalog!$B$3:$B$12,MATCH(Data[[#This Row],[ItemID B]],Katalog!$C$3:$C$12,0)),"-")</f>
        <v>Flat Shoes</v>
      </c>
      <c r="M676">
        <v>4</v>
      </c>
      <c r="N676">
        <v>5</v>
      </c>
      <c r="O676" s="36">
        <f>IFERROR(INDEX(Katalog!$D$3:$D$12,MATCH(Data[[#This Row],[ItemID B]],Katalog!$C$3:$C$12,0))*Data[[#This Row],[Qty B]],"0")</f>
        <v>1000000</v>
      </c>
      <c r="P676" s="36">
        <f>IFERROR(INDEX(Katalog!$F$3:$F$12,MATCH(Data[[#This Row],[ItemID B]],Katalog!$C$3:$C$12,0))*Data[[#This Row],[Qty B]],"0")</f>
        <v>400000</v>
      </c>
      <c r="Q676" t="s">
        <v>66</v>
      </c>
      <c r="R676" t="str">
        <f>IFERROR(INDEX(Katalog!$A$3:$A$12,MATCH(Data[[#This Row],[ItemID C]],Katalog!$C$3:$C$12,0)),"-")</f>
        <v>Sepatu Pria</v>
      </c>
      <c r="S676" t="str">
        <f>IFERROR(INDEX(Katalog!$B$3:$B$12,MATCH(Data[[#This Row],[ItemID C]],Katalog!$C$3:$C$12,0)),"-")</f>
        <v>Sandal Slip On</v>
      </c>
      <c r="T676">
        <v>1</v>
      </c>
      <c r="U676">
        <v>4</v>
      </c>
      <c r="V676" s="36">
        <f>IFERROR(INDEX(Katalog!$D$3:$D$12,MATCH(Data[[#This Row],[ItemID C]],Katalog!$C$3:$C$12,0))*Data[[#This Row],[Qty C]],"0")</f>
        <v>150000</v>
      </c>
      <c r="W676" s="36">
        <f>IFERROR(INDEX(Katalog!$F$3:$F$12,MATCH(Data[[#This Row],[ItemID C]],Katalog!$C$3:$C$12,0))*Data[[#This Row],[Qty C]],"0")</f>
        <v>60000</v>
      </c>
      <c r="X676" s="21">
        <f>Data[[#This Row],[Qty A]]+Data[[#This Row],[Qty B]]+Data[[#This Row],[Qty C]]</f>
        <v>6</v>
      </c>
      <c r="Y676" s="22">
        <f>Data[[#This Row],[Harga Barang A]]+Data[[#This Row],[Harga Barang B]]+Data[[#This Row],[Harga Barang C]]</f>
        <v>1300000</v>
      </c>
      <c r="Z676" s="35">
        <f>IFERROR(Data[[#This Row],[Total Harga]]-(Data[[#This Row],[Total Harga]]*Data[[#This Row],[Diskon]]),Data[[#This Row],[Total Harga]])</f>
        <v>1170000</v>
      </c>
      <c r="AA676" s="35">
        <f>(Data[[#This Row],[Profit A]]+Data[[#This Row],[Profit B]]+Data[[#This Row],[Profit C]])</f>
        <v>510000</v>
      </c>
      <c r="AB676" s="35">
        <f>IFERROR((Data[[#This Row],[Profit non Diskon]]-(Data[[#This Row],[Profit non Diskon]]*Data[[#This Row],[Diskon]])),Data[[#This Row],[Profit non Diskon]])</f>
        <v>459000</v>
      </c>
      <c r="AC676" s="23" t="s">
        <v>30</v>
      </c>
      <c r="AD676" s="37">
        <f>IFERROR(INDEX('Kode Diskon'!$D$3:$D$9,MATCH(Data[[#This Row],[Kode diskon]],'Kode Diskon'!$C$3:$C$9,0)),"-")</f>
        <v>0.1</v>
      </c>
      <c r="AE676" s="23" t="s">
        <v>29</v>
      </c>
      <c r="AF676" s="23" t="s">
        <v>10</v>
      </c>
      <c r="AG676" s="23" t="s">
        <v>80</v>
      </c>
      <c r="AH676" s="24">
        <v>45017</v>
      </c>
      <c r="AI676" s="23" t="str">
        <f>TEXT(Data[[#This Row],[Tanggal terjual]],"dddd")</f>
        <v>Saturday</v>
      </c>
      <c r="AJ676" s="21" t="str">
        <f>TEXT(Data[[#This Row],[Tanggal terjual]],"wwww")</f>
        <v>wwww</v>
      </c>
    </row>
    <row r="677" spans="1:36" x14ac:dyDescent="0.2">
      <c r="A677" s="20">
        <v>676</v>
      </c>
      <c r="B677" s="21" t="str">
        <f>_xlfn.CONCAT("ORD-",INDEX(Helper!$B$2:$B$5,MATCH(Data[[#This Row],[Marketplace]],Helper!$A$2:$A$5,0)),TEXT(Data[[#This Row],[No]],"0000"),"-",TEXT(Data[[#This Row],[Tanggal terjual]],"dd/mm/yy"))</f>
        <v>ORD-TK0676-30/04/23</v>
      </c>
      <c r="C677" t="s">
        <v>61</v>
      </c>
      <c r="D677" t="str">
        <f>IFERROR(INDEX(Katalog!$A$3:$A$12,MATCH(Data[[#This Row],[ItemID A]],Katalog!$C$3:$C$12,0)),"-")</f>
        <v>Pakaian Pria</v>
      </c>
      <c r="E677" t="str">
        <f>IFERROR(INDEX(Katalog!$B$3:$B$12,MATCH(Data[[#This Row],[ItemID A]],Katalog!$C$3:$C$12,0)),"-")</f>
        <v>Kaos Polo</v>
      </c>
      <c r="F677">
        <v>3</v>
      </c>
      <c r="G677">
        <v>4</v>
      </c>
      <c r="H677" s="36">
        <f>IFERROR(INDEX(Katalog!$D$3:$D$12,MATCH(Data[[#This Row],[ItemID A]],Katalog!$C$3:$C$12,0))*Data[[#This Row],[Qty A]],"0")</f>
        <v>600000</v>
      </c>
      <c r="I677" s="36">
        <f>IFERROR(INDEX(Katalog!$F$3:$F$12,MATCH(Data[[#This Row],[ItemID A]],Katalog!$C$3:$C$12,0))*Data[[#This Row],[Qty A]],0)</f>
        <v>240000</v>
      </c>
      <c r="J677" t="s">
        <v>63</v>
      </c>
      <c r="K677" t="str">
        <f>IFERROR(INDEX(Katalog!$A$3:$A$12,MATCH(Data[[#This Row],[ItemID B]],Katalog!$C$3:$C$12,0)),"-")</f>
        <v>Pakaian Pria</v>
      </c>
      <c r="L677" t="str">
        <f>IFERROR(INDEX(Katalog!$B$3:$B$12,MATCH(Data[[#This Row],[ItemID B]],Katalog!$C$3:$C$12,0)),"-")</f>
        <v>Jaket Jeans</v>
      </c>
      <c r="M677">
        <v>2</v>
      </c>
      <c r="N677">
        <v>4</v>
      </c>
      <c r="O677" s="36">
        <f>IFERROR(INDEX(Katalog!$D$3:$D$12,MATCH(Data[[#This Row],[ItemID B]],Katalog!$C$3:$C$12,0))*Data[[#This Row],[Qty B]],"0")</f>
        <v>800000</v>
      </c>
      <c r="P677" s="36">
        <f>IFERROR(INDEX(Katalog!$F$3:$F$12,MATCH(Data[[#This Row],[ItemID B]],Katalog!$C$3:$C$12,0))*Data[[#This Row],[Qty B]],"0")</f>
        <v>300000</v>
      </c>
      <c r="R677" t="str">
        <f>IFERROR(INDEX(Katalog!$A$3:$A$12,MATCH(Data[[#This Row],[ItemID C]],Katalog!$C$3:$C$12,0)),"-")</f>
        <v>-</v>
      </c>
      <c r="S677" t="str">
        <f>IFERROR(INDEX(Katalog!$B$3:$B$12,MATCH(Data[[#This Row],[ItemID C]],Katalog!$C$3:$C$12,0)),"-")</f>
        <v>-</v>
      </c>
      <c r="V677" s="36" t="str">
        <f>IFERROR(INDEX(Katalog!$D$3:$D$12,MATCH(Data[[#This Row],[ItemID C]],Katalog!$C$3:$C$12,0))*Data[[#This Row],[Qty C]],"0")</f>
        <v>0</v>
      </c>
      <c r="W677" s="36" t="str">
        <f>IFERROR(INDEX(Katalog!$F$3:$F$12,MATCH(Data[[#This Row],[ItemID C]],Katalog!$C$3:$C$12,0))*Data[[#This Row],[Qty C]],"0")</f>
        <v>0</v>
      </c>
      <c r="X677" s="21">
        <f>Data[[#This Row],[Qty A]]+Data[[#This Row],[Qty B]]+Data[[#This Row],[Qty C]]</f>
        <v>5</v>
      </c>
      <c r="Y677" s="22">
        <f>Data[[#This Row],[Harga Barang A]]+Data[[#This Row],[Harga Barang B]]+Data[[#This Row],[Harga Barang C]]</f>
        <v>1400000</v>
      </c>
      <c r="Z677" s="35">
        <f>IFERROR(Data[[#This Row],[Total Harga]]-(Data[[#This Row],[Total Harga]]*Data[[#This Row],[Diskon]]),Data[[#This Row],[Total Harga]])</f>
        <v>1260000</v>
      </c>
      <c r="AA677" s="35">
        <f>(Data[[#This Row],[Profit A]]+Data[[#This Row],[Profit B]]+Data[[#This Row],[Profit C]])</f>
        <v>540000</v>
      </c>
      <c r="AB677" s="35">
        <f>IFERROR((Data[[#This Row],[Profit non Diskon]]-(Data[[#This Row],[Profit non Diskon]]*Data[[#This Row],[Diskon]])),Data[[#This Row],[Profit non Diskon]])</f>
        <v>486000</v>
      </c>
      <c r="AC677" s="23" t="s">
        <v>31</v>
      </c>
      <c r="AD677" s="37">
        <f>IFERROR(INDEX('Kode Diskon'!$D$3:$D$9,MATCH(Data[[#This Row],[Kode diskon]],'Kode Diskon'!$C$3:$C$9,0)),"-")</f>
        <v>0.1</v>
      </c>
      <c r="AE677" s="23" t="s">
        <v>9</v>
      </c>
      <c r="AF677" s="23" t="s">
        <v>10</v>
      </c>
      <c r="AG677" s="23" t="s">
        <v>79</v>
      </c>
      <c r="AH677" s="24">
        <v>45046</v>
      </c>
      <c r="AI677" s="23" t="str">
        <f>TEXT(Data[[#This Row],[Tanggal terjual]],"dddd")</f>
        <v>Sunday</v>
      </c>
      <c r="AJ677" s="21" t="str">
        <f>TEXT(Data[[#This Row],[Tanggal terjual]],"wwww")</f>
        <v>wwww</v>
      </c>
    </row>
    <row r="678" spans="1:36" x14ac:dyDescent="0.2">
      <c r="A678" s="20">
        <v>677</v>
      </c>
      <c r="B678" s="21" t="str">
        <f>_xlfn.CONCAT("ORD-",INDEX(Helper!$B$2:$B$5,MATCH(Data[[#This Row],[Marketplace]],Helper!$A$2:$A$5,0)),TEXT(Data[[#This Row],[No]],"0000"),"-",TEXT(Data[[#This Row],[Tanggal terjual]],"dd/mm/yy"))</f>
        <v>ORD-TK0677-04/04/23</v>
      </c>
      <c r="C678" t="s">
        <v>62</v>
      </c>
      <c r="D678" t="str">
        <f>IFERROR(INDEX(Katalog!$A$3:$A$12,MATCH(Data[[#This Row],[ItemID A]],Katalog!$C$3:$C$12,0)),"-")</f>
        <v>Pakaian Pria</v>
      </c>
      <c r="E678" t="str">
        <f>IFERROR(INDEX(Katalog!$B$3:$B$12,MATCH(Data[[#This Row],[ItemID A]],Katalog!$C$3:$C$12,0)),"-")</f>
        <v>Celana Pendek</v>
      </c>
      <c r="F678">
        <v>1</v>
      </c>
      <c r="G678">
        <v>4</v>
      </c>
      <c r="H678" s="36">
        <f>IFERROR(INDEX(Katalog!$D$3:$D$12,MATCH(Data[[#This Row],[ItemID A]],Katalog!$C$3:$C$12,0))*Data[[#This Row],[Qty A]],"0")</f>
        <v>180000</v>
      </c>
      <c r="I678" s="36">
        <f>IFERROR(INDEX(Katalog!$F$3:$F$12,MATCH(Data[[#This Row],[ItemID A]],Katalog!$C$3:$C$12,0))*Data[[#This Row],[Qty A]],0)</f>
        <v>70000</v>
      </c>
      <c r="K678" t="str">
        <f>IFERROR(INDEX(Katalog!$A$3:$A$12,MATCH(Data[[#This Row],[ItemID B]],Katalog!$C$3:$C$12,0)),"-")</f>
        <v>-</v>
      </c>
      <c r="L678" t="str">
        <f>IFERROR(INDEX(Katalog!$B$3:$B$12,MATCH(Data[[#This Row],[ItemID B]],Katalog!$C$3:$C$12,0)),"-")</f>
        <v>-</v>
      </c>
      <c r="O678" s="36" t="str">
        <f>IFERROR(INDEX(Katalog!$D$3:$D$12,MATCH(Data[[#This Row],[ItemID B]],Katalog!$C$3:$C$12,0))*Data[[#This Row],[Qty B]],"0")</f>
        <v>0</v>
      </c>
      <c r="P678" s="36" t="str">
        <f>IFERROR(INDEX(Katalog!$F$3:$F$12,MATCH(Data[[#This Row],[ItemID B]],Katalog!$C$3:$C$12,0))*Data[[#This Row],[Qty B]],"0")</f>
        <v>0</v>
      </c>
      <c r="R678" t="str">
        <f>IFERROR(INDEX(Katalog!$A$3:$A$12,MATCH(Data[[#This Row],[ItemID C]],Katalog!$C$3:$C$12,0)),"-")</f>
        <v>-</v>
      </c>
      <c r="S678" t="str">
        <f>IFERROR(INDEX(Katalog!$B$3:$B$12,MATCH(Data[[#This Row],[ItemID C]],Katalog!$C$3:$C$12,0)),"-")</f>
        <v>-</v>
      </c>
      <c r="V678" s="36" t="str">
        <f>IFERROR(INDEX(Katalog!$D$3:$D$12,MATCH(Data[[#This Row],[ItemID C]],Katalog!$C$3:$C$12,0))*Data[[#This Row],[Qty C]],"0")</f>
        <v>0</v>
      </c>
      <c r="W678" s="36" t="str">
        <f>IFERROR(INDEX(Katalog!$F$3:$F$12,MATCH(Data[[#This Row],[ItemID C]],Katalog!$C$3:$C$12,0))*Data[[#This Row],[Qty C]],"0")</f>
        <v>0</v>
      </c>
      <c r="X678" s="21">
        <f>Data[[#This Row],[Qty A]]+Data[[#This Row],[Qty B]]+Data[[#This Row],[Qty C]]</f>
        <v>1</v>
      </c>
      <c r="Y678" s="22">
        <f>Data[[#This Row],[Harga Barang A]]+Data[[#This Row],[Harga Barang B]]+Data[[#This Row],[Harga Barang C]]</f>
        <v>180000</v>
      </c>
      <c r="Z678" s="35">
        <f>IFERROR(Data[[#This Row],[Total Harga]]-(Data[[#This Row],[Total Harga]]*Data[[#This Row],[Diskon]]),Data[[#This Row],[Total Harga]])</f>
        <v>162000</v>
      </c>
      <c r="AA678" s="35">
        <f>(Data[[#This Row],[Profit A]]+Data[[#This Row],[Profit B]]+Data[[#This Row],[Profit C]])</f>
        <v>70000</v>
      </c>
      <c r="AB678" s="35">
        <f>IFERROR((Data[[#This Row],[Profit non Diskon]]-(Data[[#This Row],[Profit non Diskon]]*Data[[#This Row],[Diskon]])),Data[[#This Row],[Profit non Diskon]])</f>
        <v>63000</v>
      </c>
      <c r="AC678" s="23" t="s">
        <v>30</v>
      </c>
      <c r="AD678" s="37">
        <f>IFERROR(INDEX('Kode Diskon'!$D$3:$D$9,MATCH(Data[[#This Row],[Kode diskon]],'Kode Diskon'!$C$3:$C$9,0)),"-")</f>
        <v>0.1</v>
      </c>
      <c r="AE678" s="23" t="s">
        <v>29</v>
      </c>
      <c r="AF678" s="23" t="s">
        <v>10</v>
      </c>
      <c r="AG678" s="23" t="s">
        <v>79</v>
      </c>
      <c r="AH678" s="24">
        <v>45020</v>
      </c>
      <c r="AI678" s="23" t="str">
        <f>TEXT(Data[[#This Row],[Tanggal terjual]],"dddd")</f>
        <v>Tuesday</v>
      </c>
      <c r="AJ678" s="21" t="str">
        <f>TEXT(Data[[#This Row],[Tanggal terjual]],"wwww")</f>
        <v>wwww</v>
      </c>
    </row>
    <row r="679" spans="1:36" x14ac:dyDescent="0.2">
      <c r="A679" s="20">
        <v>678</v>
      </c>
      <c r="B679" s="21" t="str">
        <f>_xlfn.CONCAT("ORD-",INDEX(Helper!$B$2:$B$5,MATCH(Data[[#This Row],[Marketplace]],Helper!$A$2:$A$5,0)),TEXT(Data[[#This Row],[No]],"0000"),"-",TEXT(Data[[#This Row],[Tanggal terjual]],"dd/mm/yy"))</f>
        <v>ORD-BB0678-04/04/23</v>
      </c>
      <c r="C679" t="s">
        <v>66</v>
      </c>
      <c r="D679" t="str">
        <f>IFERROR(INDEX(Katalog!$A$3:$A$12,MATCH(Data[[#This Row],[ItemID A]],Katalog!$C$3:$C$12,0)),"-")</f>
        <v>Sepatu Pria</v>
      </c>
      <c r="E679" t="str">
        <f>IFERROR(INDEX(Katalog!$B$3:$B$12,MATCH(Data[[#This Row],[ItemID A]],Katalog!$C$3:$C$12,0)),"-")</f>
        <v>Sandal Slip On</v>
      </c>
      <c r="F679">
        <v>3</v>
      </c>
      <c r="G679">
        <v>5</v>
      </c>
      <c r="H679" s="36">
        <f>IFERROR(INDEX(Katalog!$D$3:$D$12,MATCH(Data[[#This Row],[ItemID A]],Katalog!$C$3:$C$12,0))*Data[[#This Row],[Qty A]],"0")</f>
        <v>450000</v>
      </c>
      <c r="I679" s="36">
        <f>IFERROR(INDEX(Katalog!$F$3:$F$12,MATCH(Data[[#This Row],[ItemID A]],Katalog!$C$3:$C$12,0))*Data[[#This Row],[Qty A]],0)</f>
        <v>180000</v>
      </c>
      <c r="J679" t="s">
        <v>63</v>
      </c>
      <c r="K679" t="str">
        <f>IFERROR(INDEX(Katalog!$A$3:$A$12,MATCH(Data[[#This Row],[ItemID B]],Katalog!$C$3:$C$12,0)),"-")</f>
        <v>Pakaian Pria</v>
      </c>
      <c r="L679" t="str">
        <f>IFERROR(INDEX(Katalog!$B$3:$B$12,MATCH(Data[[#This Row],[ItemID B]],Katalog!$C$3:$C$12,0)),"-")</f>
        <v>Jaket Jeans</v>
      </c>
      <c r="M679">
        <v>2</v>
      </c>
      <c r="N679">
        <v>2</v>
      </c>
      <c r="O679" s="36">
        <f>IFERROR(INDEX(Katalog!$D$3:$D$12,MATCH(Data[[#This Row],[ItemID B]],Katalog!$C$3:$C$12,0))*Data[[#This Row],[Qty B]],"0")</f>
        <v>800000</v>
      </c>
      <c r="P679" s="36">
        <f>IFERROR(INDEX(Katalog!$F$3:$F$12,MATCH(Data[[#This Row],[ItemID B]],Katalog!$C$3:$C$12,0))*Data[[#This Row],[Qty B]],"0")</f>
        <v>300000</v>
      </c>
      <c r="Q679" t="s">
        <v>65</v>
      </c>
      <c r="R679" t="str">
        <f>IFERROR(INDEX(Katalog!$A$3:$A$12,MATCH(Data[[#This Row],[ItemID C]],Katalog!$C$3:$C$12,0)),"-")</f>
        <v>Sepatu Pria</v>
      </c>
      <c r="S679" t="str">
        <f>IFERROR(INDEX(Katalog!$B$3:$B$12,MATCH(Data[[#This Row],[ItemID C]],Katalog!$C$3:$C$12,0)),"-")</f>
        <v>Sneakers</v>
      </c>
      <c r="T679">
        <v>1</v>
      </c>
      <c r="U679">
        <v>1</v>
      </c>
      <c r="V679" s="36">
        <f>IFERROR(INDEX(Katalog!$D$3:$D$12,MATCH(Data[[#This Row],[ItemID C]],Katalog!$C$3:$C$12,0))*Data[[#This Row],[Qty C]],"0")</f>
        <v>500000</v>
      </c>
      <c r="W679" s="36">
        <f>IFERROR(INDEX(Katalog!$F$3:$F$12,MATCH(Data[[#This Row],[ItemID C]],Katalog!$C$3:$C$12,0))*Data[[#This Row],[Qty C]],"0")</f>
        <v>200000</v>
      </c>
      <c r="X679" s="21">
        <f>Data[[#This Row],[Qty A]]+Data[[#This Row],[Qty B]]+Data[[#This Row],[Qty C]]</f>
        <v>6</v>
      </c>
      <c r="Y679" s="22">
        <f>Data[[#This Row],[Harga Barang A]]+Data[[#This Row],[Harga Barang B]]+Data[[#This Row],[Harga Barang C]]</f>
        <v>1750000</v>
      </c>
      <c r="Z679" s="35">
        <f>IFERROR(Data[[#This Row],[Total Harga]]-(Data[[#This Row],[Total Harga]]*Data[[#This Row],[Diskon]]),Data[[#This Row],[Total Harga]])</f>
        <v>1487500</v>
      </c>
      <c r="AA679" s="35">
        <f>(Data[[#This Row],[Profit A]]+Data[[#This Row],[Profit B]]+Data[[#This Row],[Profit C]])</f>
        <v>680000</v>
      </c>
      <c r="AB679" s="35">
        <f>IFERROR((Data[[#This Row],[Profit non Diskon]]-(Data[[#This Row],[Profit non Diskon]]*Data[[#This Row],[Diskon]])),Data[[#This Row],[Profit non Diskon]])</f>
        <v>578000</v>
      </c>
      <c r="AC679" s="23" t="s">
        <v>28</v>
      </c>
      <c r="AD679" s="37">
        <f>IFERROR(INDEX('Kode Diskon'!$D$3:$D$9,MATCH(Data[[#This Row],[Kode diskon]],'Kode Diskon'!$C$3:$C$9,0)),"-")</f>
        <v>0.15</v>
      </c>
      <c r="AE679" s="23" t="s">
        <v>29</v>
      </c>
      <c r="AF679" s="23" t="s">
        <v>14</v>
      </c>
      <c r="AG679" s="23" t="s">
        <v>78</v>
      </c>
      <c r="AH679" s="24">
        <v>45020</v>
      </c>
      <c r="AI679" s="23" t="str">
        <f>TEXT(Data[[#This Row],[Tanggal terjual]],"dddd")</f>
        <v>Tuesday</v>
      </c>
      <c r="AJ679" s="21" t="str">
        <f>TEXT(Data[[#This Row],[Tanggal terjual]],"wwww")</f>
        <v>wwww</v>
      </c>
    </row>
    <row r="680" spans="1:36" x14ac:dyDescent="0.2">
      <c r="A680" s="20">
        <v>679</v>
      </c>
      <c r="B680" s="21" t="str">
        <f>_xlfn.CONCAT("ORD-",INDEX(Helper!$B$2:$B$5,MATCH(Data[[#This Row],[Marketplace]],Helper!$A$2:$A$5,0)),TEXT(Data[[#This Row],[No]],"0000"),"-",TEXT(Data[[#This Row],[Tanggal terjual]],"dd/mm/yy"))</f>
        <v>ORD-BL0679-13/04/23</v>
      </c>
      <c r="C680" t="s">
        <v>66</v>
      </c>
      <c r="D680" t="str">
        <f>IFERROR(INDEX(Katalog!$A$3:$A$12,MATCH(Data[[#This Row],[ItemID A]],Katalog!$C$3:$C$12,0)),"-")</f>
        <v>Sepatu Pria</v>
      </c>
      <c r="E680" t="str">
        <f>IFERROR(INDEX(Katalog!$B$3:$B$12,MATCH(Data[[#This Row],[ItemID A]],Katalog!$C$3:$C$12,0)),"-")</f>
        <v>Sandal Slip On</v>
      </c>
      <c r="F680">
        <v>1</v>
      </c>
      <c r="G680">
        <v>3</v>
      </c>
      <c r="H680" s="36">
        <f>IFERROR(INDEX(Katalog!$D$3:$D$12,MATCH(Data[[#This Row],[ItemID A]],Katalog!$C$3:$C$12,0))*Data[[#This Row],[Qty A]],"0")</f>
        <v>150000</v>
      </c>
      <c r="I680" s="36">
        <f>IFERROR(INDEX(Katalog!$F$3:$F$12,MATCH(Data[[#This Row],[ItemID A]],Katalog!$C$3:$C$12,0))*Data[[#This Row],[Qty A]],0)</f>
        <v>60000</v>
      </c>
      <c r="J680" t="s">
        <v>62</v>
      </c>
      <c r="K680" t="str">
        <f>IFERROR(INDEX(Katalog!$A$3:$A$12,MATCH(Data[[#This Row],[ItemID B]],Katalog!$C$3:$C$12,0)),"-")</f>
        <v>Pakaian Pria</v>
      </c>
      <c r="L680" t="str">
        <f>IFERROR(INDEX(Katalog!$B$3:$B$12,MATCH(Data[[#This Row],[ItemID B]],Katalog!$C$3:$C$12,0)),"-")</f>
        <v>Celana Pendek</v>
      </c>
      <c r="M680">
        <v>1</v>
      </c>
      <c r="N680">
        <v>3</v>
      </c>
      <c r="O680" s="36">
        <f>IFERROR(INDEX(Katalog!$D$3:$D$12,MATCH(Data[[#This Row],[ItemID B]],Katalog!$C$3:$C$12,0))*Data[[#This Row],[Qty B]],"0")</f>
        <v>180000</v>
      </c>
      <c r="P680" s="36">
        <f>IFERROR(INDEX(Katalog!$F$3:$F$12,MATCH(Data[[#This Row],[ItemID B]],Katalog!$C$3:$C$12,0))*Data[[#This Row],[Qty B]],"0")</f>
        <v>70000</v>
      </c>
      <c r="Q680" t="s">
        <v>66</v>
      </c>
      <c r="R680" t="str">
        <f>IFERROR(INDEX(Katalog!$A$3:$A$12,MATCH(Data[[#This Row],[ItemID C]],Katalog!$C$3:$C$12,0)),"-")</f>
        <v>Sepatu Pria</v>
      </c>
      <c r="S680" t="str">
        <f>IFERROR(INDEX(Katalog!$B$3:$B$12,MATCH(Data[[#This Row],[ItemID C]],Katalog!$C$3:$C$12,0)),"-")</f>
        <v>Sandal Slip On</v>
      </c>
      <c r="T680">
        <v>2</v>
      </c>
      <c r="U680">
        <v>2</v>
      </c>
      <c r="V680" s="36">
        <f>IFERROR(INDEX(Katalog!$D$3:$D$12,MATCH(Data[[#This Row],[ItemID C]],Katalog!$C$3:$C$12,0))*Data[[#This Row],[Qty C]],"0")</f>
        <v>300000</v>
      </c>
      <c r="W680" s="36">
        <f>IFERROR(INDEX(Katalog!$F$3:$F$12,MATCH(Data[[#This Row],[ItemID C]],Katalog!$C$3:$C$12,0))*Data[[#This Row],[Qty C]],"0")</f>
        <v>120000</v>
      </c>
      <c r="X680" s="21">
        <f>Data[[#This Row],[Qty A]]+Data[[#This Row],[Qty B]]+Data[[#This Row],[Qty C]]</f>
        <v>4</v>
      </c>
      <c r="Y680" s="22">
        <f>Data[[#This Row],[Harga Barang A]]+Data[[#This Row],[Harga Barang B]]+Data[[#This Row],[Harga Barang C]]</f>
        <v>630000</v>
      </c>
      <c r="Z680" s="35">
        <f>IFERROR(Data[[#This Row],[Total Harga]]-(Data[[#This Row],[Total Harga]]*Data[[#This Row],[Diskon]]),Data[[#This Row],[Total Harga]])</f>
        <v>630000</v>
      </c>
      <c r="AA680" s="35">
        <f>(Data[[#This Row],[Profit A]]+Data[[#This Row],[Profit B]]+Data[[#This Row],[Profit C]])</f>
        <v>250000</v>
      </c>
      <c r="AB680" s="35">
        <f>IFERROR((Data[[#This Row],[Profit non Diskon]]-(Data[[#This Row],[Profit non Diskon]]*Data[[#This Row],[Diskon]])),Data[[#This Row],[Profit non Diskon]])</f>
        <v>250000</v>
      </c>
      <c r="AC680" s="23" t="s">
        <v>11</v>
      </c>
      <c r="AD680" s="37" t="str">
        <f>IFERROR(INDEX('Kode Diskon'!$D$3:$D$9,MATCH(Data[[#This Row],[Kode diskon]],'Kode Diskon'!$C$3:$C$9,0)),"-")</f>
        <v>-</v>
      </c>
      <c r="AE680" s="23" t="s">
        <v>11</v>
      </c>
      <c r="AF680" s="23" t="s">
        <v>12</v>
      </c>
      <c r="AG680" s="23" t="s">
        <v>80</v>
      </c>
      <c r="AH680" s="24">
        <v>45029</v>
      </c>
      <c r="AI680" s="23" t="str">
        <f>TEXT(Data[[#This Row],[Tanggal terjual]],"dddd")</f>
        <v>Thursday</v>
      </c>
      <c r="AJ680" s="21" t="str">
        <f>TEXT(Data[[#This Row],[Tanggal terjual]],"wwww")</f>
        <v>wwww</v>
      </c>
    </row>
    <row r="681" spans="1:36" x14ac:dyDescent="0.2">
      <c r="A681" s="20">
        <v>680</v>
      </c>
      <c r="B681" s="21" t="str">
        <f>_xlfn.CONCAT("ORD-",INDEX(Helper!$B$2:$B$5,MATCH(Data[[#This Row],[Marketplace]],Helper!$A$2:$A$5,0)),TEXT(Data[[#This Row],[No]],"0000"),"-",TEXT(Data[[#This Row],[Tanggal terjual]],"dd/mm/yy"))</f>
        <v>ORD-TK0680-03/04/23</v>
      </c>
      <c r="C681" t="s">
        <v>59</v>
      </c>
      <c r="D681" t="str">
        <f>IFERROR(INDEX(Katalog!$A$3:$A$12,MATCH(Data[[#This Row],[ItemID A]],Katalog!$C$3:$C$12,0)),"-")</f>
        <v>Pakaian Wanita</v>
      </c>
      <c r="E681" t="str">
        <f>IFERROR(INDEX(Katalog!$B$3:$B$12,MATCH(Data[[#This Row],[ItemID A]],Katalog!$C$3:$C$12,0)),"-")</f>
        <v>Blouse</v>
      </c>
      <c r="F681">
        <v>2</v>
      </c>
      <c r="G681">
        <v>1</v>
      </c>
      <c r="H681" s="36">
        <f>IFERROR(INDEX(Katalog!$D$3:$D$12,MATCH(Data[[#This Row],[ItemID A]],Katalog!$C$3:$C$12,0))*Data[[#This Row],[Qty A]],"0")</f>
        <v>300000</v>
      </c>
      <c r="I681" s="36">
        <f>IFERROR(INDEX(Katalog!$F$3:$F$12,MATCH(Data[[#This Row],[ItemID A]],Katalog!$C$3:$C$12,0))*Data[[#This Row],[Qty A]],0)</f>
        <v>100000</v>
      </c>
      <c r="J681" t="s">
        <v>63</v>
      </c>
      <c r="K681" t="str">
        <f>IFERROR(INDEX(Katalog!$A$3:$A$12,MATCH(Data[[#This Row],[ItemID B]],Katalog!$C$3:$C$12,0)),"-")</f>
        <v>Pakaian Pria</v>
      </c>
      <c r="L681" t="str">
        <f>IFERROR(INDEX(Katalog!$B$3:$B$12,MATCH(Data[[#This Row],[ItemID B]],Katalog!$C$3:$C$12,0)),"-")</f>
        <v>Jaket Jeans</v>
      </c>
      <c r="M681">
        <v>1</v>
      </c>
      <c r="N681">
        <v>1</v>
      </c>
      <c r="O681" s="36">
        <f>IFERROR(INDEX(Katalog!$D$3:$D$12,MATCH(Data[[#This Row],[ItemID B]],Katalog!$C$3:$C$12,0))*Data[[#This Row],[Qty B]],"0")</f>
        <v>400000</v>
      </c>
      <c r="P681" s="36">
        <f>IFERROR(INDEX(Katalog!$F$3:$F$12,MATCH(Data[[#This Row],[ItemID B]],Katalog!$C$3:$C$12,0))*Data[[#This Row],[Qty B]],"0")</f>
        <v>150000</v>
      </c>
      <c r="R681" t="str">
        <f>IFERROR(INDEX(Katalog!$A$3:$A$12,MATCH(Data[[#This Row],[ItemID C]],Katalog!$C$3:$C$12,0)),"-")</f>
        <v>-</v>
      </c>
      <c r="S681" t="str">
        <f>IFERROR(INDEX(Katalog!$B$3:$B$12,MATCH(Data[[#This Row],[ItemID C]],Katalog!$C$3:$C$12,0)),"-")</f>
        <v>-</v>
      </c>
      <c r="V681" s="36" t="str">
        <f>IFERROR(INDEX(Katalog!$D$3:$D$12,MATCH(Data[[#This Row],[ItemID C]],Katalog!$C$3:$C$12,0))*Data[[#This Row],[Qty C]],"0")</f>
        <v>0</v>
      </c>
      <c r="W681" s="36" t="str">
        <f>IFERROR(INDEX(Katalog!$F$3:$F$12,MATCH(Data[[#This Row],[ItemID C]],Katalog!$C$3:$C$12,0))*Data[[#This Row],[Qty C]],"0")</f>
        <v>0</v>
      </c>
      <c r="X681" s="21">
        <f>Data[[#This Row],[Qty A]]+Data[[#This Row],[Qty B]]+Data[[#This Row],[Qty C]]</f>
        <v>3</v>
      </c>
      <c r="Y681" s="22">
        <f>Data[[#This Row],[Harga Barang A]]+Data[[#This Row],[Harga Barang B]]+Data[[#This Row],[Harga Barang C]]</f>
        <v>700000</v>
      </c>
      <c r="Z681" s="35">
        <f>IFERROR(Data[[#This Row],[Total Harga]]-(Data[[#This Row],[Total Harga]]*Data[[#This Row],[Diskon]]),Data[[#This Row],[Total Harga]])</f>
        <v>630000</v>
      </c>
      <c r="AA681" s="35">
        <f>(Data[[#This Row],[Profit A]]+Data[[#This Row],[Profit B]]+Data[[#This Row],[Profit C]])</f>
        <v>250000</v>
      </c>
      <c r="AB681" s="35">
        <f>IFERROR((Data[[#This Row],[Profit non Diskon]]-(Data[[#This Row],[Profit non Diskon]]*Data[[#This Row],[Diskon]])),Data[[#This Row],[Profit non Diskon]])</f>
        <v>225000</v>
      </c>
      <c r="AC681" s="23" t="s">
        <v>30</v>
      </c>
      <c r="AD681" s="37">
        <f>IFERROR(INDEX('Kode Diskon'!$D$3:$D$9,MATCH(Data[[#This Row],[Kode diskon]],'Kode Diskon'!$C$3:$C$9,0)),"-")</f>
        <v>0.1</v>
      </c>
      <c r="AE681" s="23" t="s">
        <v>29</v>
      </c>
      <c r="AF681" s="23" t="s">
        <v>10</v>
      </c>
      <c r="AG681" s="23" t="s">
        <v>77</v>
      </c>
      <c r="AH681" s="24">
        <v>45019</v>
      </c>
      <c r="AI681" s="23" t="str">
        <f>TEXT(Data[[#This Row],[Tanggal terjual]],"dddd")</f>
        <v>Monday</v>
      </c>
      <c r="AJ681" s="21" t="str">
        <f>TEXT(Data[[#This Row],[Tanggal terjual]],"wwww")</f>
        <v>wwww</v>
      </c>
    </row>
    <row r="682" spans="1:36" x14ac:dyDescent="0.2">
      <c r="A682" s="20">
        <v>681</v>
      </c>
      <c r="B682" s="21" t="str">
        <f>_xlfn.CONCAT("ORD-",INDEX(Helper!$B$2:$B$5,MATCH(Data[[#This Row],[Marketplace]],Helper!$A$2:$A$5,0)),TEXT(Data[[#This Row],[No]],"0000"),"-",TEXT(Data[[#This Row],[Tanggal terjual]],"dd/mm/yy"))</f>
        <v>ORD-BL0681-21/04/23</v>
      </c>
      <c r="C682" t="s">
        <v>58</v>
      </c>
      <c r="D682" t="str">
        <f>IFERROR(INDEX(Katalog!$A$3:$A$12,MATCH(Data[[#This Row],[ItemID A]],Katalog!$C$3:$C$12,0)),"-")</f>
        <v>Pakaian Wanita</v>
      </c>
      <c r="E682" t="str">
        <f>IFERROR(INDEX(Katalog!$B$3:$B$12,MATCH(Data[[#This Row],[ItemID A]],Katalog!$C$3:$C$12,0)),"-")</f>
        <v>Dress</v>
      </c>
      <c r="F682">
        <v>1</v>
      </c>
      <c r="G682">
        <v>4</v>
      </c>
      <c r="H682" s="36">
        <f>IFERROR(INDEX(Katalog!$D$3:$D$12,MATCH(Data[[#This Row],[ItemID A]],Katalog!$C$3:$C$12,0))*Data[[#This Row],[Qty A]],"0")</f>
        <v>300000</v>
      </c>
      <c r="I682" s="36">
        <f>IFERROR(INDEX(Katalog!$F$3:$F$12,MATCH(Data[[#This Row],[ItemID A]],Katalog!$C$3:$C$12,0))*Data[[#This Row],[Qty A]],0)</f>
        <v>100000</v>
      </c>
      <c r="J682" t="s">
        <v>63</v>
      </c>
      <c r="K682" t="str">
        <f>IFERROR(INDEX(Katalog!$A$3:$A$12,MATCH(Data[[#This Row],[ItemID B]],Katalog!$C$3:$C$12,0)),"-")</f>
        <v>Pakaian Pria</v>
      </c>
      <c r="L682" t="str">
        <f>IFERROR(INDEX(Katalog!$B$3:$B$12,MATCH(Data[[#This Row],[ItemID B]],Katalog!$C$3:$C$12,0)),"-")</f>
        <v>Jaket Jeans</v>
      </c>
      <c r="M682">
        <v>3</v>
      </c>
      <c r="N682">
        <v>4</v>
      </c>
      <c r="O682" s="36">
        <f>IFERROR(INDEX(Katalog!$D$3:$D$12,MATCH(Data[[#This Row],[ItemID B]],Katalog!$C$3:$C$12,0))*Data[[#This Row],[Qty B]],"0")</f>
        <v>1200000</v>
      </c>
      <c r="P682" s="36">
        <f>IFERROR(INDEX(Katalog!$F$3:$F$12,MATCH(Data[[#This Row],[ItemID B]],Katalog!$C$3:$C$12,0))*Data[[#This Row],[Qty B]],"0")</f>
        <v>450000</v>
      </c>
      <c r="R682" t="str">
        <f>IFERROR(INDEX(Katalog!$A$3:$A$12,MATCH(Data[[#This Row],[ItemID C]],Katalog!$C$3:$C$12,0)),"-")</f>
        <v>-</v>
      </c>
      <c r="S682" t="str">
        <f>IFERROR(INDEX(Katalog!$B$3:$B$12,MATCH(Data[[#This Row],[ItemID C]],Katalog!$C$3:$C$12,0)),"-")</f>
        <v>-</v>
      </c>
      <c r="V682" s="36" t="str">
        <f>IFERROR(INDEX(Katalog!$D$3:$D$12,MATCH(Data[[#This Row],[ItemID C]],Katalog!$C$3:$C$12,0))*Data[[#This Row],[Qty C]],"0")</f>
        <v>0</v>
      </c>
      <c r="W682" s="36" t="str">
        <f>IFERROR(INDEX(Katalog!$F$3:$F$12,MATCH(Data[[#This Row],[ItemID C]],Katalog!$C$3:$C$12,0))*Data[[#This Row],[Qty C]],"0")</f>
        <v>0</v>
      </c>
      <c r="X682" s="21">
        <f>Data[[#This Row],[Qty A]]+Data[[#This Row],[Qty B]]+Data[[#This Row],[Qty C]]</f>
        <v>4</v>
      </c>
      <c r="Y682" s="22">
        <f>Data[[#This Row],[Harga Barang A]]+Data[[#This Row],[Harga Barang B]]+Data[[#This Row],[Harga Barang C]]</f>
        <v>1500000</v>
      </c>
      <c r="Z682" s="35">
        <f>IFERROR(Data[[#This Row],[Total Harga]]-(Data[[#This Row],[Total Harga]]*Data[[#This Row],[Diskon]]),Data[[#This Row],[Total Harga]])</f>
        <v>1275000</v>
      </c>
      <c r="AA682" s="35">
        <f>(Data[[#This Row],[Profit A]]+Data[[#This Row],[Profit B]]+Data[[#This Row],[Profit C]])</f>
        <v>550000</v>
      </c>
      <c r="AB682" s="35">
        <f>IFERROR((Data[[#This Row],[Profit non Diskon]]-(Data[[#This Row],[Profit non Diskon]]*Data[[#This Row],[Diskon]])),Data[[#This Row],[Profit non Diskon]])</f>
        <v>467500</v>
      </c>
      <c r="AC682" s="23" t="s">
        <v>32</v>
      </c>
      <c r="AD682" s="37">
        <f>IFERROR(INDEX('Kode Diskon'!$D$3:$D$9,MATCH(Data[[#This Row],[Kode diskon]],'Kode Diskon'!$C$3:$C$9,0)),"-")</f>
        <v>0.15</v>
      </c>
      <c r="AE682" s="23" t="s">
        <v>9</v>
      </c>
      <c r="AF682" s="23" t="s">
        <v>12</v>
      </c>
      <c r="AG682" s="23" t="s">
        <v>80</v>
      </c>
      <c r="AH682" s="24">
        <v>45037</v>
      </c>
      <c r="AI682" s="23" t="str">
        <f>TEXT(Data[[#This Row],[Tanggal terjual]],"dddd")</f>
        <v>Friday</v>
      </c>
      <c r="AJ682" s="21" t="str">
        <f>TEXT(Data[[#This Row],[Tanggal terjual]],"wwww")</f>
        <v>wwww</v>
      </c>
    </row>
    <row r="683" spans="1:36" x14ac:dyDescent="0.2">
      <c r="A683" s="20">
        <v>682</v>
      </c>
      <c r="B683" s="21" t="str">
        <f>_xlfn.CONCAT("ORD-",INDEX(Helper!$B$2:$B$5,MATCH(Data[[#This Row],[Marketplace]],Helper!$A$2:$A$5,0)),TEXT(Data[[#This Row],[No]],"0000"),"-",TEXT(Data[[#This Row],[Tanggal terjual]],"dd/mm/yy"))</f>
        <v>ORD-SP0682-01/04/23</v>
      </c>
      <c r="C683" t="s">
        <v>63</v>
      </c>
      <c r="D683" t="str">
        <f>IFERROR(INDEX(Katalog!$A$3:$A$12,MATCH(Data[[#This Row],[ItemID A]],Katalog!$C$3:$C$12,0)),"-")</f>
        <v>Pakaian Pria</v>
      </c>
      <c r="E683" t="str">
        <f>IFERROR(INDEX(Katalog!$B$3:$B$12,MATCH(Data[[#This Row],[ItemID A]],Katalog!$C$3:$C$12,0)),"-")</f>
        <v>Jaket Jeans</v>
      </c>
      <c r="F683">
        <v>4</v>
      </c>
      <c r="G683">
        <v>4</v>
      </c>
      <c r="H683" s="36">
        <f>IFERROR(INDEX(Katalog!$D$3:$D$12,MATCH(Data[[#This Row],[ItemID A]],Katalog!$C$3:$C$12,0))*Data[[#This Row],[Qty A]],"0")</f>
        <v>1600000</v>
      </c>
      <c r="I683" s="36">
        <f>IFERROR(INDEX(Katalog!$F$3:$F$12,MATCH(Data[[#This Row],[ItemID A]],Katalog!$C$3:$C$12,0))*Data[[#This Row],[Qty A]],0)</f>
        <v>600000</v>
      </c>
      <c r="J683" t="s">
        <v>67</v>
      </c>
      <c r="K683" t="str">
        <f>IFERROR(INDEX(Katalog!$A$3:$A$12,MATCH(Data[[#This Row],[ItemID B]],Katalog!$C$3:$C$12,0)),"-")</f>
        <v>Sepatu Wanita</v>
      </c>
      <c r="L683" t="str">
        <f>IFERROR(INDEX(Katalog!$B$3:$B$12,MATCH(Data[[#This Row],[ItemID B]],Katalog!$C$3:$C$12,0)),"-")</f>
        <v>Flat Shoes</v>
      </c>
      <c r="M683">
        <v>2</v>
      </c>
      <c r="N683">
        <v>3</v>
      </c>
      <c r="O683" s="36">
        <f>IFERROR(INDEX(Katalog!$D$3:$D$12,MATCH(Data[[#This Row],[ItemID B]],Katalog!$C$3:$C$12,0))*Data[[#This Row],[Qty B]],"0")</f>
        <v>500000</v>
      </c>
      <c r="P683" s="36">
        <f>IFERROR(INDEX(Katalog!$F$3:$F$12,MATCH(Data[[#This Row],[ItemID B]],Katalog!$C$3:$C$12,0))*Data[[#This Row],[Qty B]],"0")</f>
        <v>200000</v>
      </c>
      <c r="R683" t="str">
        <f>IFERROR(INDEX(Katalog!$A$3:$A$12,MATCH(Data[[#This Row],[ItemID C]],Katalog!$C$3:$C$12,0)),"-")</f>
        <v>-</v>
      </c>
      <c r="S683" t="str">
        <f>IFERROR(INDEX(Katalog!$B$3:$B$12,MATCH(Data[[#This Row],[ItemID C]],Katalog!$C$3:$C$12,0)),"-")</f>
        <v>-</v>
      </c>
      <c r="V683" s="36" t="str">
        <f>IFERROR(INDEX(Katalog!$D$3:$D$12,MATCH(Data[[#This Row],[ItemID C]],Katalog!$C$3:$C$12,0))*Data[[#This Row],[Qty C]],"0")</f>
        <v>0</v>
      </c>
      <c r="W683" s="36" t="str">
        <f>IFERROR(INDEX(Katalog!$F$3:$F$12,MATCH(Data[[#This Row],[ItemID C]],Katalog!$C$3:$C$12,0))*Data[[#This Row],[Qty C]],"0")</f>
        <v>0</v>
      </c>
      <c r="X683" s="21">
        <f>Data[[#This Row],[Qty A]]+Data[[#This Row],[Qty B]]+Data[[#This Row],[Qty C]]</f>
        <v>6</v>
      </c>
      <c r="Y683" s="22">
        <f>Data[[#This Row],[Harga Barang A]]+Data[[#This Row],[Harga Barang B]]+Data[[#This Row],[Harga Barang C]]</f>
        <v>2100000</v>
      </c>
      <c r="Z683" s="35">
        <f>IFERROR(Data[[#This Row],[Total Harga]]-(Data[[#This Row],[Total Harga]]*Data[[#This Row],[Diskon]]),Data[[#This Row],[Total Harga]])</f>
        <v>1890000</v>
      </c>
      <c r="AA683" s="35">
        <f>(Data[[#This Row],[Profit A]]+Data[[#This Row],[Profit B]]+Data[[#This Row],[Profit C]])</f>
        <v>800000</v>
      </c>
      <c r="AB683" s="35">
        <f>IFERROR((Data[[#This Row],[Profit non Diskon]]-(Data[[#This Row],[Profit non Diskon]]*Data[[#This Row],[Diskon]])),Data[[#This Row],[Profit non Diskon]])</f>
        <v>720000</v>
      </c>
      <c r="AC683" s="23" t="s">
        <v>6</v>
      </c>
      <c r="AD683" s="37">
        <f>IFERROR(INDEX('Kode Diskon'!$D$3:$D$9,MATCH(Data[[#This Row],[Kode diskon]],'Kode Diskon'!$C$3:$C$9,0)),"-")</f>
        <v>0.1</v>
      </c>
      <c r="AE683" s="23" t="s">
        <v>29</v>
      </c>
      <c r="AF683" s="23" t="s">
        <v>7</v>
      </c>
      <c r="AG683" s="23" t="s">
        <v>77</v>
      </c>
      <c r="AH683" s="24">
        <v>45017</v>
      </c>
      <c r="AI683" s="23" t="str">
        <f>TEXT(Data[[#This Row],[Tanggal terjual]],"dddd")</f>
        <v>Saturday</v>
      </c>
      <c r="AJ683" s="21" t="str">
        <f>TEXT(Data[[#This Row],[Tanggal terjual]],"wwww")</f>
        <v>wwww</v>
      </c>
    </row>
    <row r="684" spans="1:36" x14ac:dyDescent="0.2">
      <c r="A684" s="20">
        <v>683</v>
      </c>
      <c r="B684" s="21" t="str">
        <f>_xlfn.CONCAT("ORD-",INDEX(Helper!$B$2:$B$5,MATCH(Data[[#This Row],[Marketplace]],Helper!$A$2:$A$5,0)),TEXT(Data[[#This Row],[No]],"0000"),"-",TEXT(Data[[#This Row],[Tanggal terjual]],"dd/mm/yy"))</f>
        <v>ORD-SP0683-16/04/23</v>
      </c>
      <c r="C684" t="s">
        <v>61</v>
      </c>
      <c r="D684" t="str">
        <f>IFERROR(INDEX(Katalog!$A$3:$A$12,MATCH(Data[[#This Row],[ItemID A]],Katalog!$C$3:$C$12,0)),"-")</f>
        <v>Pakaian Pria</v>
      </c>
      <c r="E684" t="str">
        <f>IFERROR(INDEX(Katalog!$B$3:$B$12,MATCH(Data[[#This Row],[ItemID A]],Katalog!$C$3:$C$12,0)),"-")</f>
        <v>Kaos Polo</v>
      </c>
      <c r="F684">
        <v>5</v>
      </c>
      <c r="G684">
        <v>4</v>
      </c>
      <c r="H684" s="36">
        <f>IFERROR(INDEX(Katalog!$D$3:$D$12,MATCH(Data[[#This Row],[ItemID A]],Katalog!$C$3:$C$12,0))*Data[[#This Row],[Qty A]],"0")</f>
        <v>1000000</v>
      </c>
      <c r="I684" s="36">
        <f>IFERROR(INDEX(Katalog!$F$3:$F$12,MATCH(Data[[#This Row],[ItemID A]],Katalog!$C$3:$C$12,0))*Data[[#This Row],[Qty A]],0)</f>
        <v>400000</v>
      </c>
      <c r="J684" t="s">
        <v>66</v>
      </c>
      <c r="K684" t="str">
        <f>IFERROR(INDEX(Katalog!$A$3:$A$12,MATCH(Data[[#This Row],[ItemID B]],Katalog!$C$3:$C$12,0)),"-")</f>
        <v>Sepatu Pria</v>
      </c>
      <c r="L684" t="str">
        <f>IFERROR(INDEX(Katalog!$B$3:$B$12,MATCH(Data[[#This Row],[ItemID B]],Katalog!$C$3:$C$12,0)),"-")</f>
        <v>Sandal Slip On</v>
      </c>
      <c r="M684">
        <v>1</v>
      </c>
      <c r="N684">
        <v>4</v>
      </c>
      <c r="O684" s="36">
        <f>IFERROR(INDEX(Katalog!$D$3:$D$12,MATCH(Data[[#This Row],[ItemID B]],Katalog!$C$3:$C$12,0))*Data[[#This Row],[Qty B]],"0")</f>
        <v>150000</v>
      </c>
      <c r="P684" s="36">
        <f>IFERROR(INDEX(Katalog!$F$3:$F$12,MATCH(Data[[#This Row],[ItemID B]],Katalog!$C$3:$C$12,0))*Data[[#This Row],[Qty B]],"0")</f>
        <v>60000</v>
      </c>
      <c r="R684" t="str">
        <f>IFERROR(INDEX(Katalog!$A$3:$A$12,MATCH(Data[[#This Row],[ItemID C]],Katalog!$C$3:$C$12,0)),"-")</f>
        <v>-</v>
      </c>
      <c r="S684" t="str">
        <f>IFERROR(INDEX(Katalog!$B$3:$B$12,MATCH(Data[[#This Row],[ItemID C]],Katalog!$C$3:$C$12,0)),"-")</f>
        <v>-</v>
      </c>
      <c r="V684" s="36" t="str">
        <f>IFERROR(INDEX(Katalog!$D$3:$D$12,MATCH(Data[[#This Row],[ItemID C]],Katalog!$C$3:$C$12,0))*Data[[#This Row],[Qty C]],"0")</f>
        <v>0</v>
      </c>
      <c r="W684" s="36" t="str">
        <f>IFERROR(INDEX(Katalog!$F$3:$F$12,MATCH(Data[[#This Row],[ItemID C]],Katalog!$C$3:$C$12,0))*Data[[#This Row],[Qty C]],"0")</f>
        <v>0</v>
      </c>
      <c r="X684" s="21">
        <f>Data[[#This Row],[Qty A]]+Data[[#This Row],[Qty B]]+Data[[#This Row],[Qty C]]</f>
        <v>6</v>
      </c>
      <c r="Y684" s="22">
        <f>Data[[#This Row],[Harga Barang A]]+Data[[#This Row],[Harga Barang B]]+Data[[#This Row],[Harga Barang C]]</f>
        <v>1150000</v>
      </c>
      <c r="Z684" s="35">
        <f>IFERROR(Data[[#This Row],[Total Harga]]-(Data[[#This Row],[Total Harga]]*Data[[#This Row],[Diskon]]),Data[[#This Row],[Total Harga]])</f>
        <v>920000</v>
      </c>
      <c r="AA684" s="35">
        <f>(Data[[#This Row],[Profit A]]+Data[[#This Row],[Profit B]]+Data[[#This Row],[Profit C]])</f>
        <v>460000</v>
      </c>
      <c r="AB684" s="35">
        <f>IFERROR((Data[[#This Row],[Profit non Diskon]]-(Data[[#This Row],[Profit non Diskon]]*Data[[#This Row],[Diskon]])),Data[[#This Row],[Profit non Diskon]])</f>
        <v>368000</v>
      </c>
      <c r="AC684" s="23" t="s">
        <v>8</v>
      </c>
      <c r="AD684" s="37">
        <f>IFERROR(INDEX('Kode Diskon'!$D$3:$D$9,MATCH(Data[[#This Row],[Kode diskon]],'Kode Diskon'!$C$3:$C$9,0)),"-")</f>
        <v>0.2</v>
      </c>
      <c r="AE684" s="23" t="s">
        <v>9</v>
      </c>
      <c r="AF684" s="23" t="s">
        <v>7</v>
      </c>
      <c r="AG684" s="23" t="s">
        <v>78</v>
      </c>
      <c r="AH684" s="24">
        <v>45032</v>
      </c>
      <c r="AI684" s="23" t="str">
        <f>TEXT(Data[[#This Row],[Tanggal terjual]],"dddd")</f>
        <v>Sunday</v>
      </c>
      <c r="AJ684" s="21" t="str">
        <f>TEXT(Data[[#This Row],[Tanggal terjual]],"wwww")</f>
        <v>wwww</v>
      </c>
    </row>
    <row r="685" spans="1:36" x14ac:dyDescent="0.2">
      <c r="A685" s="20">
        <v>684</v>
      </c>
      <c r="B685" s="21" t="str">
        <f>_xlfn.CONCAT("ORD-",INDEX(Helper!$B$2:$B$5,MATCH(Data[[#This Row],[Marketplace]],Helper!$A$2:$A$5,0)),TEXT(Data[[#This Row],[No]],"0000"),"-",TEXT(Data[[#This Row],[Tanggal terjual]],"dd/mm/yy"))</f>
        <v>ORD-SP0684-29/04/23</v>
      </c>
      <c r="C685" t="s">
        <v>64</v>
      </c>
      <c r="D685" t="str">
        <f>IFERROR(INDEX(Katalog!$A$3:$A$12,MATCH(Data[[#This Row],[ItemID A]],Katalog!$C$3:$C$12,0)),"-")</f>
        <v>Pakaian Unisex</v>
      </c>
      <c r="E685" t="str">
        <f>IFERROR(INDEX(Katalog!$B$3:$B$12,MATCH(Data[[#This Row],[ItemID A]],Katalog!$C$3:$C$12,0)),"-")</f>
        <v>Jaket Hoodie</v>
      </c>
      <c r="F685">
        <v>2</v>
      </c>
      <c r="G685">
        <v>4</v>
      </c>
      <c r="H685" s="36">
        <f>IFERROR(INDEX(Katalog!$D$3:$D$12,MATCH(Data[[#This Row],[ItemID A]],Katalog!$C$3:$C$12,0))*Data[[#This Row],[Qty A]],"0")</f>
        <v>700000</v>
      </c>
      <c r="I685" s="36">
        <f>IFERROR(INDEX(Katalog!$F$3:$F$12,MATCH(Data[[#This Row],[ItemID A]],Katalog!$C$3:$C$12,0))*Data[[#This Row],[Qty A]],0)</f>
        <v>260000</v>
      </c>
      <c r="J685" t="s">
        <v>65</v>
      </c>
      <c r="K685" t="str">
        <f>IFERROR(INDEX(Katalog!$A$3:$A$12,MATCH(Data[[#This Row],[ItemID B]],Katalog!$C$3:$C$12,0)),"-")</f>
        <v>Sepatu Pria</v>
      </c>
      <c r="L685" t="str">
        <f>IFERROR(INDEX(Katalog!$B$3:$B$12,MATCH(Data[[#This Row],[ItemID B]],Katalog!$C$3:$C$12,0)),"-")</f>
        <v>Sneakers</v>
      </c>
      <c r="M685">
        <v>1</v>
      </c>
      <c r="N685">
        <v>2</v>
      </c>
      <c r="O685" s="36">
        <f>IFERROR(INDEX(Katalog!$D$3:$D$12,MATCH(Data[[#This Row],[ItemID B]],Katalog!$C$3:$C$12,0))*Data[[#This Row],[Qty B]],"0")</f>
        <v>500000</v>
      </c>
      <c r="P685" s="36">
        <f>IFERROR(INDEX(Katalog!$F$3:$F$12,MATCH(Data[[#This Row],[ItemID B]],Katalog!$C$3:$C$12,0))*Data[[#This Row],[Qty B]],"0")</f>
        <v>200000</v>
      </c>
      <c r="R685" t="str">
        <f>IFERROR(INDEX(Katalog!$A$3:$A$12,MATCH(Data[[#This Row],[ItemID C]],Katalog!$C$3:$C$12,0)),"-")</f>
        <v>-</v>
      </c>
      <c r="S685" t="str">
        <f>IFERROR(INDEX(Katalog!$B$3:$B$12,MATCH(Data[[#This Row],[ItemID C]],Katalog!$C$3:$C$12,0)),"-")</f>
        <v>-</v>
      </c>
      <c r="V685" s="36" t="str">
        <f>IFERROR(INDEX(Katalog!$D$3:$D$12,MATCH(Data[[#This Row],[ItemID C]],Katalog!$C$3:$C$12,0))*Data[[#This Row],[Qty C]],"0")</f>
        <v>0</v>
      </c>
      <c r="W685" s="36" t="str">
        <f>IFERROR(INDEX(Katalog!$F$3:$F$12,MATCH(Data[[#This Row],[ItemID C]],Katalog!$C$3:$C$12,0))*Data[[#This Row],[Qty C]],"0")</f>
        <v>0</v>
      </c>
      <c r="X685" s="21">
        <f>Data[[#This Row],[Qty A]]+Data[[#This Row],[Qty B]]+Data[[#This Row],[Qty C]]</f>
        <v>3</v>
      </c>
      <c r="Y685" s="22">
        <f>Data[[#This Row],[Harga Barang A]]+Data[[#This Row],[Harga Barang B]]+Data[[#This Row],[Harga Barang C]]</f>
        <v>1200000</v>
      </c>
      <c r="Z685" s="35">
        <f>IFERROR(Data[[#This Row],[Total Harga]]-(Data[[#This Row],[Total Harga]]*Data[[#This Row],[Diskon]]),Data[[#This Row],[Total Harga]])</f>
        <v>960000</v>
      </c>
      <c r="AA685" s="35">
        <f>(Data[[#This Row],[Profit A]]+Data[[#This Row],[Profit B]]+Data[[#This Row],[Profit C]])</f>
        <v>460000</v>
      </c>
      <c r="AB685" s="35">
        <f>IFERROR((Data[[#This Row],[Profit non Diskon]]-(Data[[#This Row],[Profit non Diskon]]*Data[[#This Row],[Diskon]])),Data[[#This Row],[Profit non Diskon]])</f>
        <v>368000</v>
      </c>
      <c r="AC685" s="23" t="s">
        <v>8</v>
      </c>
      <c r="AD685" s="37">
        <f>IFERROR(INDEX('Kode Diskon'!$D$3:$D$9,MATCH(Data[[#This Row],[Kode diskon]],'Kode Diskon'!$C$3:$C$9,0)),"-")</f>
        <v>0.2</v>
      </c>
      <c r="AE685" s="23" t="s">
        <v>9</v>
      </c>
      <c r="AF685" s="23" t="s">
        <v>7</v>
      </c>
      <c r="AG685" s="23" t="s">
        <v>80</v>
      </c>
      <c r="AH685" s="24">
        <v>45045</v>
      </c>
      <c r="AI685" s="23" t="str">
        <f>TEXT(Data[[#This Row],[Tanggal terjual]],"dddd")</f>
        <v>Saturday</v>
      </c>
      <c r="AJ685" s="21" t="str">
        <f>TEXT(Data[[#This Row],[Tanggal terjual]],"wwww")</f>
        <v>wwww</v>
      </c>
    </row>
    <row r="686" spans="1:36" x14ac:dyDescent="0.2">
      <c r="A686" s="20">
        <v>685</v>
      </c>
      <c r="B686" s="21" t="str">
        <f>_xlfn.CONCAT("ORD-",INDEX(Helper!$B$2:$B$5,MATCH(Data[[#This Row],[Marketplace]],Helper!$A$2:$A$5,0)),TEXT(Data[[#This Row],[No]],"0000"),"-",TEXT(Data[[#This Row],[Tanggal terjual]],"dd/mm/yy"))</f>
        <v>ORD-BL0685-30/04/23</v>
      </c>
      <c r="C686" t="s">
        <v>66</v>
      </c>
      <c r="D686" t="str">
        <f>IFERROR(INDEX(Katalog!$A$3:$A$12,MATCH(Data[[#This Row],[ItemID A]],Katalog!$C$3:$C$12,0)),"-")</f>
        <v>Sepatu Pria</v>
      </c>
      <c r="E686" t="str">
        <f>IFERROR(INDEX(Katalog!$B$3:$B$12,MATCH(Data[[#This Row],[ItemID A]],Katalog!$C$3:$C$12,0)),"-")</f>
        <v>Sandal Slip On</v>
      </c>
      <c r="F686">
        <v>3</v>
      </c>
      <c r="G686">
        <v>1</v>
      </c>
      <c r="H686" s="36">
        <f>IFERROR(INDEX(Katalog!$D$3:$D$12,MATCH(Data[[#This Row],[ItemID A]],Katalog!$C$3:$C$12,0))*Data[[#This Row],[Qty A]],"0")</f>
        <v>450000</v>
      </c>
      <c r="I686" s="36">
        <f>IFERROR(INDEX(Katalog!$F$3:$F$12,MATCH(Data[[#This Row],[ItemID A]],Katalog!$C$3:$C$12,0))*Data[[#This Row],[Qty A]],0)</f>
        <v>180000</v>
      </c>
      <c r="K686" t="str">
        <f>IFERROR(INDEX(Katalog!$A$3:$A$12,MATCH(Data[[#This Row],[ItemID B]],Katalog!$C$3:$C$12,0)),"-")</f>
        <v>-</v>
      </c>
      <c r="L686" t="str">
        <f>IFERROR(INDEX(Katalog!$B$3:$B$12,MATCH(Data[[#This Row],[ItemID B]],Katalog!$C$3:$C$12,0)),"-")</f>
        <v>-</v>
      </c>
      <c r="O686" s="36" t="str">
        <f>IFERROR(INDEX(Katalog!$D$3:$D$12,MATCH(Data[[#This Row],[ItemID B]],Katalog!$C$3:$C$12,0))*Data[[#This Row],[Qty B]],"0")</f>
        <v>0</v>
      </c>
      <c r="P686" s="36" t="str">
        <f>IFERROR(INDEX(Katalog!$F$3:$F$12,MATCH(Data[[#This Row],[ItemID B]],Katalog!$C$3:$C$12,0))*Data[[#This Row],[Qty B]],"0")</f>
        <v>0</v>
      </c>
      <c r="R686" t="str">
        <f>IFERROR(INDEX(Katalog!$A$3:$A$12,MATCH(Data[[#This Row],[ItemID C]],Katalog!$C$3:$C$12,0)),"-")</f>
        <v>-</v>
      </c>
      <c r="S686" t="str">
        <f>IFERROR(INDEX(Katalog!$B$3:$B$12,MATCH(Data[[#This Row],[ItemID C]],Katalog!$C$3:$C$12,0)),"-")</f>
        <v>-</v>
      </c>
      <c r="V686" s="36" t="str">
        <f>IFERROR(INDEX(Katalog!$D$3:$D$12,MATCH(Data[[#This Row],[ItemID C]],Katalog!$C$3:$C$12,0))*Data[[#This Row],[Qty C]],"0")</f>
        <v>0</v>
      </c>
      <c r="W686" s="36" t="str">
        <f>IFERROR(INDEX(Katalog!$F$3:$F$12,MATCH(Data[[#This Row],[ItemID C]],Katalog!$C$3:$C$12,0))*Data[[#This Row],[Qty C]],"0")</f>
        <v>0</v>
      </c>
      <c r="X686" s="21">
        <f>Data[[#This Row],[Qty A]]+Data[[#This Row],[Qty B]]+Data[[#This Row],[Qty C]]</f>
        <v>3</v>
      </c>
      <c r="Y686" s="22">
        <f>Data[[#This Row],[Harga Barang A]]+Data[[#This Row],[Harga Barang B]]+Data[[#This Row],[Harga Barang C]]</f>
        <v>450000</v>
      </c>
      <c r="Z686" s="35">
        <f>IFERROR(Data[[#This Row],[Total Harga]]-(Data[[#This Row],[Total Harga]]*Data[[#This Row],[Diskon]]),Data[[#This Row],[Total Harga]])</f>
        <v>382500</v>
      </c>
      <c r="AA686" s="35">
        <f>(Data[[#This Row],[Profit A]]+Data[[#This Row],[Profit B]]+Data[[#This Row],[Profit C]])</f>
        <v>180000</v>
      </c>
      <c r="AB686" s="35">
        <f>IFERROR((Data[[#This Row],[Profit non Diskon]]-(Data[[#This Row],[Profit non Diskon]]*Data[[#This Row],[Diskon]])),Data[[#This Row],[Profit non Diskon]])</f>
        <v>153000</v>
      </c>
      <c r="AC686" s="23" t="s">
        <v>32</v>
      </c>
      <c r="AD686" s="37">
        <f>IFERROR(INDEX('Kode Diskon'!$D$3:$D$9,MATCH(Data[[#This Row],[Kode diskon]],'Kode Diskon'!$C$3:$C$9,0)),"-")</f>
        <v>0.15</v>
      </c>
      <c r="AE686" s="23" t="s">
        <v>9</v>
      </c>
      <c r="AF686" s="23" t="s">
        <v>12</v>
      </c>
      <c r="AG686" s="23" t="s">
        <v>80</v>
      </c>
      <c r="AH686" s="24">
        <v>45046</v>
      </c>
      <c r="AI686" s="23" t="str">
        <f>TEXT(Data[[#This Row],[Tanggal terjual]],"dddd")</f>
        <v>Sunday</v>
      </c>
      <c r="AJ686" s="21" t="str">
        <f>TEXT(Data[[#This Row],[Tanggal terjual]],"wwww")</f>
        <v>wwww</v>
      </c>
    </row>
    <row r="687" spans="1:36" x14ac:dyDescent="0.2">
      <c r="A687" s="20">
        <v>686</v>
      </c>
      <c r="B687" s="21" t="str">
        <f>_xlfn.CONCAT("ORD-",INDEX(Helper!$B$2:$B$5,MATCH(Data[[#This Row],[Marketplace]],Helper!$A$2:$A$5,0)),TEXT(Data[[#This Row],[No]],"0000"),"-",TEXT(Data[[#This Row],[Tanggal terjual]],"dd/mm/yy"))</f>
        <v>ORD-SP0686-09/04/23</v>
      </c>
      <c r="C687" t="s">
        <v>58</v>
      </c>
      <c r="D687" t="str">
        <f>IFERROR(INDEX(Katalog!$A$3:$A$12,MATCH(Data[[#This Row],[ItemID A]],Katalog!$C$3:$C$12,0)),"-")</f>
        <v>Pakaian Wanita</v>
      </c>
      <c r="E687" t="str">
        <f>IFERROR(INDEX(Katalog!$B$3:$B$12,MATCH(Data[[#This Row],[ItemID A]],Katalog!$C$3:$C$12,0)),"-")</f>
        <v>Dress</v>
      </c>
      <c r="F687">
        <v>2</v>
      </c>
      <c r="G687">
        <v>5</v>
      </c>
      <c r="H687" s="36">
        <f>IFERROR(INDEX(Katalog!$D$3:$D$12,MATCH(Data[[#This Row],[ItemID A]],Katalog!$C$3:$C$12,0))*Data[[#This Row],[Qty A]],"0")</f>
        <v>600000</v>
      </c>
      <c r="I687" s="36">
        <f>IFERROR(INDEX(Katalog!$F$3:$F$12,MATCH(Data[[#This Row],[ItemID A]],Katalog!$C$3:$C$12,0))*Data[[#This Row],[Qty A]],0)</f>
        <v>200000</v>
      </c>
      <c r="J687" t="s">
        <v>64</v>
      </c>
      <c r="K687" t="str">
        <f>IFERROR(INDEX(Katalog!$A$3:$A$12,MATCH(Data[[#This Row],[ItemID B]],Katalog!$C$3:$C$12,0)),"-")</f>
        <v>Pakaian Unisex</v>
      </c>
      <c r="L687" t="str">
        <f>IFERROR(INDEX(Katalog!$B$3:$B$12,MATCH(Data[[#This Row],[ItemID B]],Katalog!$C$3:$C$12,0)),"-")</f>
        <v>Jaket Hoodie</v>
      </c>
      <c r="M687">
        <v>5</v>
      </c>
      <c r="N687">
        <v>5</v>
      </c>
      <c r="O687" s="36">
        <f>IFERROR(INDEX(Katalog!$D$3:$D$12,MATCH(Data[[#This Row],[ItemID B]],Katalog!$C$3:$C$12,0))*Data[[#This Row],[Qty B]],"0")</f>
        <v>1750000</v>
      </c>
      <c r="P687" s="36">
        <f>IFERROR(INDEX(Katalog!$F$3:$F$12,MATCH(Data[[#This Row],[ItemID B]],Katalog!$C$3:$C$12,0))*Data[[#This Row],[Qty B]],"0")</f>
        <v>650000</v>
      </c>
      <c r="R687" t="str">
        <f>IFERROR(INDEX(Katalog!$A$3:$A$12,MATCH(Data[[#This Row],[ItemID C]],Katalog!$C$3:$C$12,0)),"-")</f>
        <v>-</v>
      </c>
      <c r="S687" t="str">
        <f>IFERROR(INDEX(Katalog!$B$3:$B$12,MATCH(Data[[#This Row],[ItemID C]],Katalog!$C$3:$C$12,0)),"-")</f>
        <v>-</v>
      </c>
      <c r="V687" s="36" t="str">
        <f>IFERROR(INDEX(Katalog!$D$3:$D$12,MATCH(Data[[#This Row],[ItemID C]],Katalog!$C$3:$C$12,0))*Data[[#This Row],[Qty C]],"0")</f>
        <v>0</v>
      </c>
      <c r="W687" s="36" t="str">
        <f>IFERROR(INDEX(Katalog!$F$3:$F$12,MATCH(Data[[#This Row],[ItemID C]],Katalog!$C$3:$C$12,0))*Data[[#This Row],[Qty C]],"0")</f>
        <v>0</v>
      </c>
      <c r="X687" s="21">
        <f>Data[[#This Row],[Qty A]]+Data[[#This Row],[Qty B]]+Data[[#This Row],[Qty C]]</f>
        <v>7</v>
      </c>
      <c r="Y687" s="22">
        <f>Data[[#This Row],[Harga Barang A]]+Data[[#This Row],[Harga Barang B]]+Data[[#This Row],[Harga Barang C]]</f>
        <v>2350000</v>
      </c>
      <c r="Z687" s="35">
        <f>IFERROR(Data[[#This Row],[Total Harga]]-(Data[[#This Row],[Total Harga]]*Data[[#This Row],[Diskon]]),Data[[#This Row],[Total Harga]])</f>
        <v>2350000</v>
      </c>
      <c r="AA687" s="35">
        <f>(Data[[#This Row],[Profit A]]+Data[[#This Row],[Profit B]]+Data[[#This Row],[Profit C]])</f>
        <v>850000</v>
      </c>
      <c r="AB687" s="35">
        <f>IFERROR((Data[[#This Row],[Profit non Diskon]]-(Data[[#This Row],[Profit non Diskon]]*Data[[#This Row],[Diskon]])),Data[[#This Row],[Profit non Diskon]])</f>
        <v>850000</v>
      </c>
      <c r="AC687" s="23" t="s">
        <v>11</v>
      </c>
      <c r="AD687" s="37" t="str">
        <f>IFERROR(INDEX('Kode Diskon'!$D$3:$D$9,MATCH(Data[[#This Row],[Kode diskon]],'Kode Diskon'!$C$3:$C$9,0)),"-")</f>
        <v>-</v>
      </c>
      <c r="AE687" s="23" t="s">
        <v>11</v>
      </c>
      <c r="AF687" s="23" t="s">
        <v>7</v>
      </c>
      <c r="AG687" s="23" t="s">
        <v>75</v>
      </c>
      <c r="AH687" s="24">
        <v>45025</v>
      </c>
      <c r="AI687" s="23" t="str">
        <f>TEXT(Data[[#This Row],[Tanggal terjual]],"dddd")</f>
        <v>Sunday</v>
      </c>
      <c r="AJ687" s="21" t="str">
        <f>TEXT(Data[[#This Row],[Tanggal terjual]],"wwww")</f>
        <v>wwww</v>
      </c>
    </row>
    <row r="688" spans="1:36" x14ac:dyDescent="0.2">
      <c r="A688" s="20">
        <v>687</v>
      </c>
      <c r="B688" s="21" t="str">
        <f>_xlfn.CONCAT("ORD-",INDEX(Helper!$B$2:$B$5,MATCH(Data[[#This Row],[Marketplace]],Helper!$A$2:$A$5,0)),TEXT(Data[[#This Row],[No]],"0000"),"-",TEXT(Data[[#This Row],[Tanggal terjual]],"dd/mm/yy"))</f>
        <v>ORD-SP0687-23/04/23</v>
      </c>
      <c r="C688" t="s">
        <v>60</v>
      </c>
      <c r="D688" t="str">
        <f>IFERROR(INDEX(Katalog!$A$3:$A$12,MATCH(Data[[#This Row],[ItemID A]],Katalog!$C$3:$C$12,0)),"-")</f>
        <v>Pakaian Wanita</v>
      </c>
      <c r="E688" t="str">
        <f>IFERROR(INDEX(Katalog!$B$3:$B$12,MATCH(Data[[#This Row],[ItemID A]],Katalog!$C$3:$C$12,0)),"-")</f>
        <v>Kaftan</v>
      </c>
      <c r="F688">
        <v>3</v>
      </c>
      <c r="G688">
        <v>3</v>
      </c>
      <c r="H688" s="36">
        <f>IFERROR(INDEX(Katalog!$D$3:$D$12,MATCH(Data[[#This Row],[ItemID A]],Katalog!$C$3:$C$12,0))*Data[[#This Row],[Qty A]],"0")</f>
        <v>750000</v>
      </c>
      <c r="I688" s="36">
        <f>IFERROR(INDEX(Katalog!$F$3:$F$12,MATCH(Data[[#This Row],[ItemID A]],Katalog!$C$3:$C$12,0))*Data[[#This Row],[Qty A]],0)</f>
        <v>300000</v>
      </c>
      <c r="K688" t="str">
        <f>IFERROR(INDEX(Katalog!$A$3:$A$12,MATCH(Data[[#This Row],[ItemID B]],Katalog!$C$3:$C$12,0)),"-")</f>
        <v>-</v>
      </c>
      <c r="L688" t="str">
        <f>IFERROR(INDEX(Katalog!$B$3:$B$12,MATCH(Data[[#This Row],[ItemID B]],Katalog!$C$3:$C$12,0)),"-")</f>
        <v>-</v>
      </c>
      <c r="O688" s="36" t="str">
        <f>IFERROR(INDEX(Katalog!$D$3:$D$12,MATCH(Data[[#This Row],[ItemID B]],Katalog!$C$3:$C$12,0))*Data[[#This Row],[Qty B]],"0")</f>
        <v>0</v>
      </c>
      <c r="P688" s="36" t="str">
        <f>IFERROR(INDEX(Katalog!$F$3:$F$12,MATCH(Data[[#This Row],[ItemID B]],Katalog!$C$3:$C$12,0))*Data[[#This Row],[Qty B]],"0")</f>
        <v>0</v>
      </c>
      <c r="R688" t="str">
        <f>IFERROR(INDEX(Katalog!$A$3:$A$12,MATCH(Data[[#This Row],[ItemID C]],Katalog!$C$3:$C$12,0)),"-")</f>
        <v>-</v>
      </c>
      <c r="S688" t="str">
        <f>IFERROR(INDEX(Katalog!$B$3:$B$12,MATCH(Data[[#This Row],[ItemID C]],Katalog!$C$3:$C$12,0)),"-")</f>
        <v>-</v>
      </c>
      <c r="V688" s="36" t="str">
        <f>IFERROR(INDEX(Katalog!$D$3:$D$12,MATCH(Data[[#This Row],[ItemID C]],Katalog!$C$3:$C$12,0))*Data[[#This Row],[Qty C]],"0")</f>
        <v>0</v>
      </c>
      <c r="W688" s="36" t="str">
        <f>IFERROR(INDEX(Katalog!$F$3:$F$12,MATCH(Data[[#This Row],[ItemID C]],Katalog!$C$3:$C$12,0))*Data[[#This Row],[Qty C]],"0")</f>
        <v>0</v>
      </c>
      <c r="X688" s="21">
        <f>Data[[#This Row],[Qty A]]+Data[[#This Row],[Qty B]]+Data[[#This Row],[Qty C]]</f>
        <v>3</v>
      </c>
      <c r="Y688" s="22">
        <f>Data[[#This Row],[Harga Barang A]]+Data[[#This Row],[Harga Barang B]]+Data[[#This Row],[Harga Barang C]]</f>
        <v>750000</v>
      </c>
      <c r="Z688" s="35">
        <f>IFERROR(Data[[#This Row],[Total Harga]]-(Data[[#This Row],[Total Harga]]*Data[[#This Row],[Diskon]]),Data[[#This Row],[Total Harga]])</f>
        <v>600000</v>
      </c>
      <c r="AA688" s="35">
        <f>(Data[[#This Row],[Profit A]]+Data[[#This Row],[Profit B]]+Data[[#This Row],[Profit C]])</f>
        <v>300000</v>
      </c>
      <c r="AB688" s="35">
        <f>IFERROR((Data[[#This Row],[Profit non Diskon]]-(Data[[#This Row],[Profit non Diskon]]*Data[[#This Row],[Diskon]])),Data[[#This Row],[Profit non Diskon]])</f>
        <v>240000</v>
      </c>
      <c r="AC688" s="23" t="s">
        <v>8</v>
      </c>
      <c r="AD688" s="37">
        <f>IFERROR(INDEX('Kode Diskon'!$D$3:$D$9,MATCH(Data[[#This Row],[Kode diskon]],'Kode Diskon'!$C$3:$C$9,0)),"-")</f>
        <v>0.2</v>
      </c>
      <c r="AE688" s="23" t="s">
        <v>9</v>
      </c>
      <c r="AF688" s="23" t="s">
        <v>7</v>
      </c>
      <c r="AG688" s="23" t="s">
        <v>80</v>
      </c>
      <c r="AH688" s="24">
        <v>45039</v>
      </c>
      <c r="AI688" s="23" t="str">
        <f>TEXT(Data[[#This Row],[Tanggal terjual]],"dddd")</f>
        <v>Sunday</v>
      </c>
      <c r="AJ688" s="21" t="str">
        <f>TEXT(Data[[#This Row],[Tanggal terjual]],"wwww")</f>
        <v>wwww</v>
      </c>
    </row>
    <row r="689" spans="1:36" x14ac:dyDescent="0.2">
      <c r="A689" s="20">
        <v>688</v>
      </c>
      <c r="B689" s="21" t="str">
        <f>_xlfn.CONCAT("ORD-",INDEX(Helper!$B$2:$B$5,MATCH(Data[[#This Row],[Marketplace]],Helper!$A$2:$A$5,0)),TEXT(Data[[#This Row],[No]],"0000"),"-",TEXT(Data[[#This Row],[Tanggal terjual]],"dd/mm/yy"))</f>
        <v>ORD-SP0688-26/04/23</v>
      </c>
      <c r="C689" t="s">
        <v>64</v>
      </c>
      <c r="D689" t="str">
        <f>IFERROR(INDEX(Katalog!$A$3:$A$12,MATCH(Data[[#This Row],[ItemID A]],Katalog!$C$3:$C$12,0)),"-")</f>
        <v>Pakaian Unisex</v>
      </c>
      <c r="E689" t="str">
        <f>IFERROR(INDEX(Katalog!$B$3:$B$12,MATCH(Data[[#This Row],[ItemID A]],Katalog!$C$3:$C$12,0)),"-")</f>
        <v>Jaket Hoodie</v>
      </c>
      <c r="F689">
        <v>4</v>
      </c>
      <c r="G689">
        <v>2</v>
      </c>
      <c r="H689" s="36">
        <f>IFERROR(INDEX(Katalog!$D$3:$D$12,MATCH(Data[[#This Row],[ItemID A]],Katalog!$C$3:$C$12,0))*Data[[#This Row],[Qty A]],"0")</f>
        <v>1400000</v>
      </c>
      <c r="I689" s="36">
        <f>IFERROR(INDEX(Katalog!$F$3:$F$12,MATCH(Data[[#This Row],[ItemID A]],Katalog!$C$3:$C$12,0))*Data[[#This Row],[Qty A]],0)</f>
        <v>520000</v>
      </c>
      <c r="J689" t="s">
        <v>62</v>
      </c>
      <c r="K689" t="str">
        <f>IFERROR(INDEX(Katalog!$A$3:$A$12,MATCH(Data[[#This Row],[ItemID B]],Katalog!$C$3:$C$12,0)),"-")</f>
        <v>Pakaian Pria</v>
      </c>
      <c r="L689" t="str">
        <f>IFERROR(INDEX(Katalog!$B$3:$B$12,MATCH(Data[[#This Row],[ItemID B]],Katalog!$C$3:$C$12,0)),"-")</f>
        <v>Celana Pendek</v>
      </c>
      <c r="M689">
        <v>1</v>
      </c>
      <c r="N689">
        <v>2</v>
      </c>
      <c r="O689" s="36">
        <f>IFERROR(INDEX(Katalog!$D$3:$D$12,MATCH(Data[[#This Row],[ItemID B]],Katalog!$C$3:$C$12,0))*Data[[#This Row],[Qty B]],"0")</f>
        <v>180000</v>
      </c>
      <c r="P689" s="36">
        <f>IFERROR(INDEX(Katalog!$F$3:$F$12,MATCH(Data[[#This Row],[ItemID B]],Katalog!$C$3:$C$12,0))*Data[[#This Row],[Qty B]],"0")</f>
        <v>70000</v>
      </c>
      <c r="R689" t="str">
        <f>IFERROR(INDEX(Katalog!$A$3:$A$12,MATCH(Data[[#This Row],[ItemID C]],Katalog!$C$3:$C$12,0)),"-")</f>
        <v>-</v>
      </c>
      <c r="S689" t="str">
        <f>IFERROR(INDEX(Katalog!$B$3:$B$12,MATCH(Data[[#This Row],[ItemID C]],Katalog!$C$3:$C$12,0)),"-")</f>
        <v>-</v>
      </c>
      <c r="V689" s="36" t="str">
        <f>IFERROR(INDEX(Katalog!$D$3:$D$12,MATCH(Data[[#This Row],[ItemID C]],Katalog!$C$3:$C$12,0))*Data[[#This Row],[Qty C]],"0")</f>
        <v>0</v>
      </c>
      <c r="W689" s="36" t="str">
        <f>IFERROR(INDEX(Katalog!$F$3:$F$12,MATCH(Data[[#This Row],[ItemID C]],Katalog!$C$3:$C$12,0))*Data[[#This Row],[Qty C]],"0")</f>
        <v>0</v>
      </c>
      <c r="X689" s="21">
        <f>Data[[#This Row],[Qty A]]+Data[[#This Row],[Qty B]]+Data[[#This Row],[Qty C]]</f>
        <v>5</v>
      </c>
      <c r="Y689" s="22">
        <f>Data[[#This Row],[Harga Barang A]]+Data[[#This Row],[Harga Barang B]]+Data[[#This Row],[Harga Barang C]]</f>
        <v>1580000</v>
      </c>
      <c r="Z689" s="35">
        <f>IFERROR(Data[[#This Row],[Total Harga]]-(Data[[#This Row],[Total Harga]]*Data[[#This Row],[Diskon]]),Data[[#This Row],[Total Harga]])</f>
        <v>1264000</v>
      </c>
      <c r="AA689" s="35">
        <f>(Data[[#This Row],[Profit A]]+Data[[#This Row],[Profit B]]+Data[[#This Row],[Profit C]])</f>
        <v>590000</v>
      </c>
      <c r="AB689" s="35">
        <f>IFERROR((Data[[#This Row],[Profit non Diskon]]-(Data[[#This Row],[Profit non Diskon]]*Data[[#This Row],[Diskon]])),Data[[#This Row],[Profit non Diskon]])</f>
        <v>472000</v>
      </c>
      <c r="AC689" s="23" t="s">
        <v>8</v>
      </c>
      <c r="AD689" s="37">
        <f>IFERROR(INDEX('Kode Diskon'!$D$3:$D$9,MATCH(Data[[#This Row],[Kode diskon]],'Kode Diskon'!$C$3:$C$9,0)),"-")</f>
        <v>0.2</v>
      </c>
      <c r="AE689" s="23" t="s">
        <v>9</v>
      </c>
      <c r="AF689" s="23" t="s">
        <v>7</v>
      </c>
      <c r="AG689" s="23" t="s">
        <v>79</v>
      </c>
      <c r="AH689" s="24">
        <v>45042</v>
      </c>
      <c r="AI689" s="23" t="str">
        <f>TEXT(Data[[#This Row],[Tanggal terjual]],"dddd")</f>
        <v>Wednesday</v>
      </c>
      <c r="AJ689" s="21" t="str">
        <f>TEXT(Data[[#This Row],[Tanggal terjual]],"wwww")</f>
        <v>wwww</v>
      </c>
    </row>
    <row r="690" spans="1:36" x14ac:dyDescent="0.2">
      <c r="A690" s="20">
        <v>689</v>
      </c>
      <c r="B690" s="21" t="str">
        <f>_xlfn.CONCAT("ORD-",INDEX(Helper!$B$2:$B$5,MATCH(Data[[#This Row],[Marketplace]],Helper!$A$2:$A$5,0)),TEXT(Data[[#This Row],[No]],"0000"),"-",TEXT(Data[[#This Row],[Tanggal terjual]],"dd/mm/yy"))</f>
        <v>ORD-BB0689-09/04/23</v>
      </c>
      <c r="C690" t="s">
        <v>64</v>
      </c>
      <c r="D690" t="str">
        <f>IFERROR(INDEX(Katalog!$A$3:$A$12,MATCH(Data[[#This Row],[ItemID A]],Katalog!$C$3:$C$12,0)),"-")</f>
        <v>Pakaian Unisex</v>
      </c>
      <c r="E690" t="str">
        <f>IFERROR(INDEX(Katalog!$B$3:$B$12,MATCH(Data[[#This Row],[ItemID A]],Katalog!$C$3:$C$12,0)),"-")</f>
        <v>Jaket Hoodie</v>
      </c>
      <c r="F690">
        <v>1</v>
      </c>
      <c r="G690">
        <v>4</v>
      </c>
      <c r="H690" s="36">
        <f>IFERROR(INDEX(Katalog!$D$3:$D$12,MATCH(Data[[#This Row],[ItemID A]],Katalog!$C$3:$C$12,0))*Data[[#This Row],[Qty A]],"0")</f>
        <v>350000</v>
      </c>
      <c r="I690" s="36">
        <f>IFERROR(INDEX(Katalog!$F$3:$F$12,MATCH(Data[[#This Row],[ItemID A]],Katalog!$C$3:$C$12,0))*Data[[#This Row],[Qty A]],0)</f>
        <v>130000</v>
      </c>
      <c r="K690" t="str">
        <f>IFERROR(INDEX(Katalog!$A$3:$A$12,MATCH(Data[[#This Row],[ItemID B]],Katalog!$C$3:$C$12,0)),"-")</f>
        <v>-</v>
      </c>
      <c r="L690" t="str">
        <f>IFERROR(INDEX(Katalog!$B$3:$B$12,MATCH(Data[[#This Row],[ItemID B]],Katalog!$C$3:$C$12,0)),"-")</f>
        <v>-</v>
      </c>
      <c r="O690" s="36" t="str">
        <f>IFERROR(INDEX(Katalog!$D$3:$D$12,MATCH(Data[[#This Row],[ItemID B]],Katalog!$C$3:$C$12,0))*Data[[#This Row],[Qty B]],"0")</f>
        <v>0</v>
      </c>
      <c r="P690" s="36" t="str">
        <f>IFERROR(INDEX(Katalog!$F$3:$F$12,MATCH(Data[[#This Row],[ItemID B]],Katalog!$C$3:$C$12,0))*Data[[#This Row],[Qty B]],"0")</f>
        <v>0</v>
      </c>
      <c r="R690" t="str">
        <f>IFERROR(INDEX(Katalog!$A$3:$A$12,MATCH(Data[[#This Row],[ItemID C]],Katalog!$C$3:$C$12,0)),"-")</f>
        <v>-</v>
      </c>
      <c r="S690" t="str">
        <f>IFERROR(INDEX(Katalog!$B$3:$B$12,MATCH(Data[[#This Row],[ItemID C]],Katalog!$C$3:$C$12,0)),"-")</f>
        <v>-</v>
      </c>
      <c r="V690" s="36" t="str">
        <f>IFERROR(INDEX(Katalog!$D$3:$D$12,MATCH(Data[[#This Row],[ItemID C]],Katalog!$C$3:$C$12,0))*Data[[#This Row],[Qty C]],"0")</f>
        <v>0</v>
      </c>
      <c r="W690" s="36" t="str">
        <f>IFERROR(INDEX(Katalog!$F$3:$F$12,MATCH(Data[[#This Row],[ItemID C]],Katalog!$C$3:$C$12,0))*Data[[#This Row],[Qty C]],"0")</f>
        <v>0</v>
      </c>
      <c r="X690" s="21">
        <f>Data[[#This Row],[Qty A]]+Data[[#This Row],[Qty B]]+Data[[#This Row],[Qty C]]</f>
        <v>1</v>
      </c>
      <c r="Y690" s="22">
        <f>Data[[#This Row],[Harga Barang A]]+Data[[#This Row],[Harga Barang B]]+Data[[#This Row],[Harga Barang C]]</f>
        <v>350000</v>
      </c>
      <c r="Z690" s="35">
        <f>IFERROR(Data[[#This Row],[Total Harga]]-(Data[[#This Row],[Total Harga]]*Data[[#This Row],[Diskon]]),Data[[#This Row],[Total Harga]])</f>
        <v>350000</v>
      </c>
      <c r="AA690" s="35">
        <f>(Data[[#This Row],[Profit A]]+Data[[#This Row],[Profit B]]+Data[[#This Row],[Profit C]])</f>
        <v>130000</v>
      </c>
      <c r="AB690" s="35">
        <f>IFERROR((Data[[#This Row],[Profit non Diskon]]-(Data[[#This Row],[Profit non Diskon]]*Data[[#This Row],[Diskon]])),Data[[#This Row],[Profit non Diskon]])</f>
        <v>130000</v>
      </c>
      <c r="AC690" s="23" t="s">
        <v>11</v>
      </c>
      <c r="AD690" s="37" t="str">
        <f>IFERROR(INDEX('Kode Diskon'!$D$3:$D$9,MATCH(Data[[#This Row],[Kode diskon]],'Kode Diskon'!$C$3:$C$9,0)),"-")</f>
        <v>-</v>
      </c>
      <c r="AE690" s="23" t="s">
        <v>11</v>
      </c>
      <c r="AF690" s="23" t="s">
        <v>14</v>
      </c>
      <c r="AG690" s="23" t="s">
        <v>79</v>
      </c>
      <c r="AH690" s="24">
        <v>45025</v>
      </c>
      <c r="AI690" s="23" t="str">
        <f>TEXT(Data[[#This Row],[Tanggal terjual]],"dddd")</f>
        <v>Sunday</v>
      </c>
      <c r="AJ690" s="21" t="str">
        <f>TEXT(Data[[#This Row],[Tanggal terjual]],"wwww")</f>
        <v>wwww</v>
      </c>
    </row>
    <row r="691" spans="1:36" x14ac:dyDescent="0.2">
      <c r="A691" s="20">
        <v>690</v>
      </c>
      <c r="B691" s="21" t="str">
        <f>_xlfn.CONCAT("ORD-",INDEX(Helper!$B$2:$B$5,MATCH(Data[[#This Row],[Marketplace]],Helper!$A$2:$A$5,0)),TEXT(Data[[#This Row],[No]],"0000"),"-",TEXT(Data[[#This Row],[Tanggal terjual]],"dd/mm/yy"))</f>
        <v>ORD-SP0690-26/04/23</v>
      </c>
      <c r="C691" t="s">
        <v>63</v>
      </c>
      <c r="D691" t="str">
        <f>IFERROR(INDEX(Katalog!$A$3:$A$12,MATCH(Data[[#This Row],[ItemID A]],Katalog!$C$3:$C$12,0)),"-")</f>
        <v>Pakaian Pria</v>
      </c>
      <c r="E691" t="str">
        <f>IFERROR(INDEX(Katalog!$B$3:$B$12,MATCH(Data[[#This Row],[ItemID A]],Katalog!$C$3:$C$12,0)),"-")</f>
        <v>Jaket Jeans</v>
      </c>
      <c r="F691">
        <v>3</v>
      </c>
      <c r="G691">
        <v>4</v>
      </c>
      <c r="H691" s="36">
        <f>IFERROR(INDEX(Katalog!$D$3:$D$12,MATCH(Data[[#This Row],[ItemID A]],Katalog!$C$3:$C$12,0))*Data[[#This Row],[Qty A]],"0")</f>
        <v>1200000</v>
      </c>
      <c r="I691" s="36">
        <f>IFERROR(INDEX(Katalog!$F$3:$F$12,MATCH(Data[[#This Row],[ItemID A]],Katalog!$C$3:$C$12,0))*Data[[#This Row],[Qty A]],0)</f>
        <v>450000</v>
      </c>
      <c r="J691" t="s">
        <v>61</v>
      </c>
      <c r="K691" t="str">
        <f>IFERROR(INDEX(Katalog!$A$3:$A$12,MATCH(Data[[#This Row],[ItemID B]],Katalog!$C$3:$C$12,0)),"-")</f>
        <v>Pakaian Pria</v>
      </c>
      <c r="L691" t="str">
        <f>IFERROR(INDEX(Katalog!$B$3:$B$12,MATCH(Data[[#This Row],[ItemID B]],Katalog!$C$3:$C$12,0)),"-")</f>
        <v>Kaos Polo</v>
      </c>
      <c r="M691">
        <v>2</v>
      </c>
      <c r="N691">
        <v>5</v>
      </c>
      <c r="O691" s="36">
        <f>IFERROR(INDEX(Katalog!$D$3:$D$12,MATCH(Data[[#This Row],[ItemID B]],Katalog!$C$3:$C$12,0))*Data[[#This Row],[Qty B]],"0")</f>
        <v>400000</v>
      </c>
      <c r="P691" s="36">
        <f>IFERROR(INDEX(Katalog!$F$3:$F$12,MATCH(Data[[#This Row],[ItemID B]],Katalog!$C$3:$C$12,0))*Data[[#This Row],[Qty B]],"0")</f>
        <v>160000</v>
      </c>
      <c r="R691" t="str">
        <f>IFERROR(INDEX(Katalog!$A$3:$A$12,MATCH(Data[[#This Row],[ItemID C]],Katalog!$C$3:$C$12,0)),"-")</f>
        <v>-</v>
      </c>
      <c r="S691" t="str">
        <f>IFERROR(INDEX(Katalog!$B$3:$B$12,MATCH(Data[[#This Row],[ItemID C]],Katalog!$C$3:$C$12,0)),"-")</f>
        <v>-</v>
      </c>
      <c r="V691" s="36" t="str">
        <f>IFERROR(INDEX(Katalog!$D$3:$D$12,MATCH(Data[[#This Row],[ItemID C]],Katalog!$C$3:$C$12,0))*Data[[#This Row],[Qty C]],"0")</f>
        <v>0</v>
      </c>
      <c r="W691" s="36" t="str">
        <f>IFERROR(INDEX(Katalog!$F$3:$F$12,MATCH(Data[[#This Row],[ItemID C]],Katalog!$C$3:$C$12,0))*Data[[#This Row],[Qty C]],"0")</f>
        <v>0</v>
      </c>
      <c r="X691" s="21">
        <f>Data[[#This Row],[Qty A]]+Data[[#This Row],[Qty B]]+Data[[#This Row],[Qty C]]</f>
        <v>5</v>
      </c>
      <c r="Y691" s="22">
        <f>Data[[#This Row],[Harga Barang A]]+Data[[#This Row],[Harga Barang B]]+Data[[#This Row],[Harga Barang C]]</f>
        <v>1600000</v>
      </c>
      <c r="Z691" s="35">
        <f>IFERROR(Data[[#This Row],[Total Harga]]-(Data[[#This Row],[Total Harga]]*Data[[#This Row],[Diskon]]),Data[[#This Row],[Total Harga]])</f>
        <v>1280000</v>
      </c>
      <c r="AA691" s="35">
        <f>(Data[[#This Row],[Profit A]]+Data[[#This Row],[Profit B]]+Data[[#This Row],[Profit C]])</f>
        <v>610000</v>
      </c>
      <c r="AB691" s="35">
        <f>IFERROR((Data[[#This Row],[Profit non Diskon]]-(Data[[#This Row],[Profit non Diskon]]*Data[[#This Row],[Diskon]])),Data[[#This Row],[Profit non Diskon]])</f>
        <v>488000</v>
      </c>
      <c r="AC691" s="23" t="s">
        <v>8</v>
      </c>
      <c r="AD691" s="37">
        <f>IFERROR(INDEX('Kode Diskon'!$D$3:$D$9,MATCH(Data[[#This Row],[Kode diskon]],'Kode Diskon'!$C$3:$C$9,0)),"-")</f>
        <v>0.2</v>
      </c>
      <c r="AE691" s="23" t="s">
        <v>9</v>
      </c>
      <c r="AF691" s="23" t="s">
        <v>7</v>
      </c>
      <c r="AG691" s="23" t="s">
        <v>80</v>
      </c>
      <c r="AH691" s="24">
        <v>45042</v>
      </c>
      <c r="AI691" s="23" t="str">
        <f>TEXT(Data[[#This Row],[Tanggal terjual]],"dddd")</f>
        <v>Wednesday</v>
      </c>
      <c r="AJ691" s="21" t="str">
        <f>TEXT(Data[[#This Row],[Tanggal terjual]],"wwww")</f>
        <v>wwww</v>
      </c>
    </row>
    <row r="692" spans="1:36" x14ac:dyDescent="0.2">
      <c r="A692" s="20">
        <v>691</v>
      </c>
      <c r="B692" s="21" t="str">
        <f>_xlfn.CONCAT("ORD-",INDEX(Helper!$B$2:$B$5,MATCH(Data[[#This Row],[Marketplace]],Helper!$A$2:$A$5,0)),TEXT(Data[[#This Row],[No]],"0000"),"-",TEXT(Data[[#This Row],[Tanggal terjual]],"dd/mm/yy"))</f>
        <v>ORD-SP0691-04/04/23</v>
      </c>
      <c r="C692" t="s">
        <v>60</v>
      </c>
      <c r="D692" t="str">
        <f>IFERROR(INDEX(Katalog!$A$3:$A$12,MATCH(Data[[#This Row],[ItemID A]],Katalog!$C$3:$C$12,0)),"-")</f>
        <v>Pakaian Wanita</v>
      </c>
      <c r="E692" t="str">
        <f>IFERROR(INDEX(Katalog!$B$3:$B$12,MATCH(Data[[#This Row],[ItemID A]],Katalog!$C$3:$C$12,0)),"-")</f>
        <v>Kaftan</v>
      </c>
      <c r="F692">
        <v>3</v>
      </c>
      <c r="G692">
        <v>4</v>
      </c>
      <c r="H692" s="36">
        <f>IFERROR(INDEX(Katalog!$D$3:$D$12,MATCH(Data[[#This Row],[ItemID A]],Katalog!$C$3:$C$12,0))*Data[[#This Row],[Qty A]],"0")</f>
        <v>750000</v>
      </c>
      <c r="I692" s="36">
        <f>IFERROR(INDEX(Katalog!$F$3:$F$12,MATCH(Data[[#This Row],[ItemID A]],Katalog!$C$3:$C$12,0))*Data[[#This Row],[Qty A]],0)</f>
        <v>300000</v>
      </c>
      <c r="J692" t="s">
        <v>65</v>
      </c>
      <c r="K692" t="str">
        <f>IFERROR(INDEX(Katalog!$A$3:$A$12,MATCH(Data[[#This Row],[ItemID B]],Katalog!$C$3:$C$12,0)),"-")</f>
        <v>Sepatu Pria</v>
      </c>
      <c r="L692" t="str">
        <f>IFERROR(INDEX(Katalog!$B$3:$B$12,MATCH(Data[[#This Row],[ItemID B]],Katalog!$C$3:$C$12,0)),"-")</f>
        <v>Sneakers</v>
      </c>
      <c r="M692">
        <v>3</v>
      </c>
      <c r="N692">
        <v>3</v>
      </c>
      <c r="O692" s="36">
        <f>IFERROR(INDEX(Katalog!$D$3:$D$12,MATCH(Data[[#This Row],[ItemID B]],Katalog!$C$3:$C$12,0))*Data[[#This Row],[Qty B]],"0")</f>
        <v>1500000</v>
      </c>
      <c r="P692" s="36">
        <f>IFERROR(INDEX(Katalog!$F$3:$F$12,MATCH(Data[[#This Row],[ItemID B]],Katalog!$C$3:$C$12,0))*Data[[#This Row],[Qty B]],"0")</f>
        <v>600000</v>
      </c>
      <c r="Q692" t="s">
        <v>58</v>
      </c>
      <c r="R692" t="str">
        <f>IFERROR(INDEX(Katalog!$A$3:$A$12,MATCH(Data[[#This Row],[ItemID C]],Katalog!$C$3:$C$12,0)),"-")</f>
        <v>Pakaian Wanita</v>
      </c>
      <c r="S692" t="str">
        <f>IFERROR(INDEX(Katalog!$B$3:$B$12,MATCH(Data[[#This Row],[ItemID C]],Katalog!$C$3:$C$12,0)),"-")</f>
        <v>Dress</v>
      </c>
      <c r="T692">
        <v>1</v>
      </c>
      <c r="U692">
        <v>2</v>
      </c>
      <c r="V692" s="36">
        <f>IFERROR(INDEX(Katalog!$D$3:$D$12,MATCH(Data[[#This Row],[ItemID C]],Katalog!$C$3:$C$12,0))*Data[[#This Row],[Qty C]],"0")</f>
        <v>300000</v>
      </c>
      <c r="W692" s="36">
        <f>IFERROR(INDEX(Katalog!$F$3:$F$12,MATCH(Data[[#This Row],[ItemID C]],Katalog!$C$3:$C$12,0))*Data[[#This Row],[Qty C]],"0")</f>
        <v>100000</v>
      </c>
      <c r="X692" s="21">
        <f>Data[[#This Row],[Qty A]]+Data[[#This Row],[Qty B]]+Data[[#This Row],[Qty C]]</f>
        <v>7</v>
      </c>
      <c r="Y692" s="22">
        <f>Data[[#This Row],[Harga Barang A]]+Data[[#This Row],[Harga Barang B]]+Data[[#This Row],[Harga Barang C]]</f>
        <v>2550000</v>
      </c>
      <c r="Z692" s="35">
        <f>IFERROR(Data[[#This Row],[Total Harga]]-(Data[[#This Row],[Total Harga]]*Data[[#This Row],[Diskon]]),Data[[#This Row],[Total Harga]])</f>
        <v>2167500</v>
      </c>
      <c r="AA692" s="35">
        <f>(Data[[#This Row],[Profit A]]+Data[[#This Row],[Profit B]]+Data[[#This Row],[Profit C]])</f>
        <v>1000000</v>
      </c>
      <c r="AB692" s="35">
        <f>IFERROR((Data[[#This Row],[Profit non Diskon]]-(Data[[#This Row],[Profit non Diskon]]*Data[[#This Row],[Diskon]])),Data[[#This Row],[Profit non Diskon]])</f>
        <v>850000</v>
      </c>
      <c r="AC692" s="23" t="s">
        <v>13</v>
      </c>
      <c r="AD692" s="37">
        <f>IFERROR(INDEX('Kode Diskon'!$D$3:$D$9,MATCH(Data[[#This Row],[Kode diskon]],'Kode Diskon'!$C$3:$C$9,0)),"-")</f>
        <v>0.15</v>
      </c>
      <c r="AE692" s="23" t="s">
        <v>29</v>
      </c>
      <c r="AF692" s="23" t="s">
        <v>7</v>
      </c>
      <c r="AG692" s="23" t="s">
        <v>76</v>
      </c>
      <c r="AH692" s="24">
        <v>45020</v>
      </c>
      <c r="AI692" s="23" t="str">
        <f>TEXT(Data[[#This Row],[Tanggal terjual]],"dddd")</f>
        <v>Tuesday</v>
      </c>
      <c r="AJ692" s="21" t="str">
        <f>TEXT(Data[[#This Row],[Tanggal terjual]],"wwww")</f>
        <v>wwww</v>
      </c>
    </row>
    <row r="693" spans="1:36" x14ac:dyDescent="0.2">
      <c r="A693" s="20">
        <v>692</v>
      </c>
      <c r="B693" s="21" t="str">
        <f>_xlfn.CONCAT("ORD-",INDEX(Helper!$B$2:$B$5,MATCH(Data[[#This Row],[Marketplace]],Helper!$A$2:$A$5,0)),TEXT(Data[[#This Row],[No]],"0000"),"-",TEXT(Data[[#This Row],[Tanggal terjual]],"dd/mm/yy"))</f>
        <v>ORD-SP0692-04/04/23</v>
      </c>
      <c r="C693" t="s">
        <v>66</v>
      </c>
      <c r="D693" t="str">
        <f>IFERROR(INDEX(Katalog!$A$3:$A$12,MATCH(Data[[#This Row],[ItemID A]],Katalog!$C$3:$C$12,0)),"-")</f>
        <v>Sepatu Pria</v>
      </c>
      <c r="E693" t="str">
        <f>IFERROR(INDEX(Katalog!$B$3:$B$12,MATCH(Data[[#This Row],[ItemID A]],Katalog!$C$3:$C$12,0)),"-")</f>
        <v>Sandal Slip On</v>
      </c>
      <c r="F693">
        <v>1</v>
      </c>
      <c r="G693">
        <v>3</v>
      </c>
      <c r="H693" s="36">
        <f>IFERROR(INDEX(Katalog!$D$3:$D$12,MATCH(Data[[#This Row],[ItemID A]],Katalog!$C$3:$C$12,0))*Data[[#This Row],[Qty A]],"0")</f>
        <v>150000</v>
      </c>
      <c r="I693" s="36">
        <f>IFERROR(INDEX(Katalog!$F$3:$F$12,MATCH(Data[[#This Row],[ItemID A]],Katalog!$C$3:$C$12,0))*Data[[#This Row],[Qty A]],0)</f>
        <v>60000</v>
      </c>
      <c r="J693" t="s">
        <v>65</v>
      </c>
      <c r="K693" t="str">
        <f>IFERROR(INDEX(Katalog!$A$3:$A$12,MATCH(Data[[#This Row],[ItemID B]],Katalog!$C$3:$C$12,0)),"-")</f>
        <v>Sepatu Pria</v>
      </c>
      <c r="L693" t="str">
        <f>IFERROR(INDEX(Katalog!$B$3:$B$12,MATCH(Data[[#This Row],[ItemID B]],Katalog!$C$3:$C$12,0)),"-")</f>
        <v>Sneakers</v>
      </c>
      <c r="M693">
        <v>2</v>
      </c>
      <c r="N693">
        <v>2</v>
      </c>
      <c r="O693" s="36">
        <f>IFERROR(INDEX(Katalog!$D$3:$D$12,MATCH(Data[[#This Row],[ItemID B]],Katalog!$C$3:$C$12,0))*Data[[#This Row],[Qty B]],"0")</f>
        <v>1000000</v>
      </c>
      <c r="P693" s="36">
        <f>IFERROR(INDEX(Katalog!$F$3:$F$12,MATCH(Data[[#This Row],[ItemID B]],Katalog!$C$3:$C$12,0))*Data[[#This Row],[Qty B]],"0")</f>
        <v>400000</v>
      </c>
      <c r="Q693" t="s">
        <v>58</v>
      </c>
      <c r="R693" t="str">
        <f>IFERROR(INDEX(Katalog!$A$3:$A$12,MATCH(Data[[#This Row],[ItemID C]],Katalog!$C$3:$C$12,0)),"-")</f>
        <v>Pakaian Wanita</v>
      </c>
      <c r="S693" t="str">
        <f>IFERROR(INDEX(Katalog!$B$3:$B$12,MATCH(Data[[#This Row],[ItemID C]],Katalog!$C$3:$C$12,0)),"-")</f>
        <v>Dress</v>
      </c>
      <c r="T693">
        <v>3</v>
      </c>
      <c r="U693">
        <v>4</v>
      </c>
      <c r="V693" s="36">
        <f>IFERROR(INDEX(Katalog!$D$3:$D$12,MATCH(Data[[#This Row],[ItemID C]],Katalog!$C$3:$C$12,0))*Data[[#This Row],[Qty C]],"0")</f>
        <v>900000</v>
      </c>
      <c r="W693" s="36">
        <f>IFERROR(INDEX(Katalog!$F$3:$F$12,MATCH(Data[[#This Row],[ItemID C]],Katalog!$C$3:$C$12,0))*Data[[#This Row],[Qty C]],"0")</f>
        <v>300000</v>
      </c>
      <c r="X693" s="21">
        <f>Data[[#This Row],[Qty A]]+Data[[#This Row],[Qty B]]+Data[[#This Row],[Qty C]]</f>
        <v>6</v>
      </c>
      <c r="Y693" s="22">
        <f>Data[[#This Row],[Harga Barang A]]+Data[[#This Row],[Harga Barang B]]+Data[[#This Row],[Harga Barang C]]</f>
        <v>2050000</v>
      </c>
      <c r="Z693" s="35">
        <f>IFERROR(Data[[#This Row],[Total Harga]]-(Data[[#This Row],[Total Harga]]*Data[[#This Row],[Diskon]]),Data[[#This Row],[Total Harga]])</f>
        <v>1742500</v>
      </c>
      <c r="AA693" s="35">
        <f>(Data[[#This Row],[Profit A]]+Data[[#This Row],[Profit B]]+Data[[#This Row],[Profit C]])</f>
        <v>760000</v>
      </c>
      <c r="AB693" s="35">
        <f>IFERROR((Data[[#This Row],[Profit non Diskon]]-(Data[[#This Row],[Profit non Diskon]]*Data[[#This Row],[Diskon]])),Data[[#This Row],[Profit non Diskon]])</f>
        <v>646000</v>
      </c>
      <c r="AC693" s="23" t="s">
        <v>13</v>
      </c>
      <c r="AD693" s="37">
        <f>IFERROR(INDEX('Kode Diskon'!$D$3:$D$9,MATCH(Data[[#This Row],[Kode diskon]],'Kode Diskon'!$C$3:$C$9,0)),"-")</f>
        <v>0.15</v>
      </c>
      <c r="AE693" s="23" t="s">
        <v>29</v>
      </c>
      <c r="AF693" s="23" t="s">
        <v>7</v>
      </c>
      <c r="AG693" s="23" t="s">
        <v>78</v>
      </c>
      <c r="AH693" s="24">
        <v>45020</v>
      </c>
      <c r="AI693" s="23" t="str">
        <f>TEXT(Data[[#This Row],[Tanggal terjual]],"dddd")</f>
        <v>Tuesday</v>
      </c>
      <c r="AJ693" s="21" t="str">
        <f>TEXT(Data[[#This Row],[Tanggal terjual]],"wwww")</f>
        <v>wwww</v>
      </c>
    </row>
    <row r="694" spans="1:36" x14ac:dyDescent="0.2">
      <c r="A694" s="20">
        <v>693</v>
      </c>
      <c r="B694" s="21" t="str">
        <f>_xlfn.CONCAT("ORD-",INDEX(Helper!$B$2:$B$5,MATCH(Data[[#This Row],[Marketplace]],Helper!$A$2:$A$5,0)),TEXT(Data[[#This Row],[No]],"0000"),"-",TEXT(Data[[#This Row],[Tanggal terjual]],"dd/mm/yy"))</f>
        <v>ORD-SP0693-04/04/23</v>
      </c>
      <c r="C694" t="s">
        <v>60</v>
      </c>
      <c r="D694" t="str">
        <f>IFERROR(INDEX(Katalog!$A$3:$A$12,MATCH(Data[[#This Row],[ItemID A]],Katalog!$C$3:$C$12,0)),"-")</f>
        <v>Pakaian Wanita</v>
      </c>
      <c r="E694" t="str">
        <f>IFERROR(INDEX(Katalog!$B$3:$B$12,MATCH(Data[[#This Row],[ItemID A]],Katalog!$C$3:$C$12,0)),"-")</f>
        <v>Kaftan</v>
      </c>
      <c r="F694">
        <v>4</v>
      </c>
      <c r="G694">
        <v>2</v>
      </c>
      <c r="H694" s="36">
        <f>IFERROR(INDEX(Katalog!$D$3:$D$12,MATCH(Data[[#This Row],[ItemID A]],Katalog!$C$3:$C$12,0))*Data[[#This Row],[Qty A]],"0")</f>
        <v>1000000</v>
      </c>
      <c r="I694" s="36">
        <f>IFERROR(INDEX(Katalog!$F$3:$F$12,MATCH(Data[[#This Row],[ItemID A]],Katalog!$C$3:$C$12,0))*Data[[#This Row],[Qty A]],0)</f>
        <v>400000</v>
      </c>
      <c r="J694" t="s">
        <v>59</v>
      </c>
      <c r="K694" t="str">
        <f>IFERROR(INDEX(Katalog!$A$3:$A$12,MATCH(Data[[#This Row],[ItemID B]],Katalog!$C$3:$C$12,0)),"-")</f>
        <v>Pakaian Wanita</v>
      </c>
      <c r="L694" t="str">
        <f>IFERROR(INDEX(Katalog!$B$3:$B$12,MATCH(Data[[#This Row],[ItemID B]],Katalog!$C$3:$C$12,0)),"-")</f>
        <v>Blouse</v>
      </c>
      <c r="M694">
        <v>1</v>
      </c>
      <c r="N694">
        <v>5</v>
      </c>
      <c r="O694" s="36">
        <f>IFERROR(INDEX(Katalog!$D$3:$D$12,MATCH(Data[[#This Row],[ItemID B]],Katalog!$C$3:$C$12,0))*Data[[#This Row],[Qty B]],"0")</f>
        <v>150000</v>
      </c>
      <c r="P694" s="36">
        <f>IFERROR(INDEX(Katalog!$F$3:$F$12,MATCH(Data[[#This Row],[ItemID B]],Katalog!$C$3:$C$12,0))*Data[[#This Row],[Qty B]],"0")</f>
        <v>50000</v>
      </c>
      <c r="R694" t="str">
        <f>IFERROR(INDEX(Katalog!$A$3:$A$12,MATCH(Data[[#This Row],[ItemID C]],Katalog!$C$3:$C$12,0)),"-")</f>
        <v>-</v>
      </c>
      <c r="S694" t="str">
        <f>IFERROR(INDEX(Katalog!$B$3:$B$12,MATCH(Data[[#This Row],[ItemID C]],Katalog!$C$3:$C$12,0)),"-")</f>
        <v>-</v>
      </c>
      <c r="V694" s="36" t="str">
        <f>IFERROR(INDEX(Katalog!$D$3:$D$12,MATCH(Data[[#This Row],[ItemID C]],Katalog!$C$3:$C$12,0))*Data[[#This Row],[Qty C]],"0")</f>
        <v>0</v>
      </c>
      <c r="W694" s="36" t="str">
        <f>IFERROR(INDEX(Katalog!$F$3:$F$12,MATCH(Data[[#This Row],[ItemID C]],Katalog!$C$3:$C$12,0))*Data[[#This Row],[Qty C]],"0")</f>
        <v>0</v>
      </c>
      <c r="X694" s="21">
        <f>Data[[#This Row],[Qty A]]+Data[[#This Row],[Qty B]]+Data[[#This Row],[Qty C]]</f>
        <v>5</v>
      </c>
      <c r="Y694" s="22">
        <f>Data[[#This Row],[Harga Barang A]]+Data[[#This Row],[Harga Barang B]]+Data[[#This Row],[Harga Barang C]]</f>
        <v>1150000</v>
      </c>
      <c r="Z694" s="35">
        <f>IFERROR(Data[[#This Row],[Total Harga]]-(Data[[#This Row],[Total Harga]]*Data[[#This Row],[Diskon]]),Data[[#This Row],[Total Harga]])</f>
        <v>977500</v>
      </c>
      <c r="AA694" s="35">
        <f>(Data[[#This Row],[Profit A]]+Data[[#This Row],[Profit B]]+Data[[#This Row],[Profit C]])</f>
        <v>450000</v>
      </c>
      <c r="AB694" s="35">
        <f>IFERROR((Data[[#This Row],[Profit non Diskon]]-(Data[[#This Row],[Profit non Diskon]]*Data[[#This Row],[Diskon]])),Data[[#This Row],[Profit non Diskon]])</f>
        <v>382500</v>
      </c>
      <c r="AC694" s="23" t="s">
        <v>13</v>
      </c>
      <c r="AD694" s="37">
        <f>IFERROR(INDEX('Kode Diskon'!$D$3:$D$9,MATCH(Data[[#This Row],[Kode diskon]],'Kode Diskon'!$C$3:$C$9,0)),"-")</f>
        <v>0.15</v>
      </c>
      <c r="AE694" s="23" t="s">
        <v>29</v>
      </c>
      <c r="AF694" s="23" t="s">
        <v>7</v>
      </c>
      <c r="AG694" s="23" t="s">
        <v>78</v>
      </c>
      <c r="AH694" s="24">
        <v>45020</v>
      </c>
      <c r="AI694" s="23" t="str">
        <f>TEXT(Data[[#This Row],[Tanggal terjual]],"dddd")</f>
        <v>Tuesday</v>
      </c>
      <c r="AJ694" s="21" t="str">
        <f>TEXT(Data[[#This Row],[Tanggal terjual]],"wwww")</f>
        <v>wwww</v>
      </c>
    </row>
    <row r="695" spans="1:36" x14ac:dyDescent="0.2">
      <c r="A695" s="20">
        <v>694</v>
      </c>
      <c r="B695" s="21" t="str">
        <f>_xlfn.CONCAT("ORD-",INDEX(Helper!$B$2:$B$5,MATCH(Data[[#This Row],[Marketplace]],Helper!$A$2:$A$5,0)),TEXT(Data[[#This Row],[No]],"0000"),"-",TEXT(Data[[#This Row],[Tanggal terjual]],"dd/mm/yy"))</f>
        <v>ORD-SP0694-01/04/23</v>
      </c>
      <c r="C695" t="s">
        <v>58</v>
      </c>
      <c r="D695" t="str">
        <f>IFERROR(INDEX(Katalog!$A$3:$A$12,MATCH(Data[[#This Row],[ItemID A]],Katalog!$C$3:$C$12,0)),"-")</f>
        <v>Pakaian Wanita</v>
      </c>
      <c r="E695" t="str">
        <f>IFERROR(INDEX(Katalog!$B$3:$B$12,MATCH(Data[[#This Row],[ItemID A]],Katalog!$C$3:$C$12,0)),"-")</f>
        <v>Dress</v>
      </c>
      <c r="F695">
        <v>3</v>
      </c>
      <c r="G695">
        <v>4</v>
      </c>
      <c r="H695" s="36">
        <f>IFERROR(INDEX(Katalog!$D$3:$D$12,MATCH(Data[[#This Row],[ItemID A]],Katalog!$C$3:$C$12,0))*Data[[#This Row],[Qty A]],"0")</f>
        <v>900000</v>
      </c>
      <c r="I695" s="36">
        <f>IFERROR(INDEX(Katalog!$F$3:$F$12,MATCH(Data[[#This Row],[ItemID A]],Katalog!$C$3:$C$12,0))*Data[[#This Row],[Qty A]],0)</f>
        <v>300000</v>
      </c>
      <c r="K695" t="str">
        <f>IFERROR(INDEX(Katalog!$A$3:$A$12,MATCH(Data[[#This Row],[ItemID B]],Katalog!$C$3:$C$12,0)),"-")</f>
        <v>-</v>
      </c>
      <c r="L695" t="str">
        <f>IFERROR(INDEX(Katalog!$B$3:$B$12,MATCH(Data[[#This Row],[ItemID B]],Katalog!$C$3:$C$12,0)),"-")</f>
        <v>-</v>
      </c>
      <c r="O695" s="36" t="str">
        <f>IFERROR(INDEX(Katalog!$D$3:$D$12,MATCH(Data[[#This Row],[ItemID B]],Katalog!$C$3:$C$12,0))*Data[[#This Row],[Qty B]],"0")</f>
        <v>0</v>
      </c>
      <c r="P695" s="36" t="str">
        <f>IFERROR(INDEX(Katalog!$F$3:$F$12,MATCH(Data[[#This Row],[ItemID B]],Katalog!$C$3:$C$12,0))*Data[[#This Row],[Qty B]],"0")</f>
        <v>0</v>
      </c>
      <c r="R695" t="str">
        <f>IFERROR(INDEX(Katalog!$A$3:$A$12,MATCH(Data[[#This Row],[ItemID C]],Katalog!$C$3:$C$12,0)),"-")</f>
        <v>-</v>
      </c>
      <c r="S695" t="str">
        <f>IFERROR(INDEX(Katalog!$B$3:$B$12,MATCH(Data[[#This Row],[ItemID C]],Katalog!$C$3:$C$12,0)),"-")</f>
        <v>-</v>
      </c>
      <c r="V695" s="36" t="str">
        <f>IFERROR(INDEX(Katalog!$D$3:$D$12,MATCH(Data[[#This Row],[ItemID C]],Katalog!$C$3:$C$12,0))*Data[[#This Row],[Qty C]],"0")</f>
        <v>0</v>
      </c>
      <c r="W695" s="36" t="str">
        <f>IFERROR(INDEX(Katalog!$F$3:$F$12,MATCH(Data[[#This Row],[ItemID C]],Katalog!$C$3:$C$12,0))*Data[[#This Row],[Qty C]],"0")</f>
        <v>0</v>
      </c>
      <c r="X695" s="21">
        <f>Data[[#This Row],[Qty A]]+Data[[#This Row],[Qty B]]+Data[[#This Row],[Qty C]]</f>
        <v>3</v>
      </c>
      <c r="Y695" s="22">
        <f>Data[[#This Row],[Harga Barang A]]+Data[[#This Row],[Harga Barang B]]+Data[[#This Row],[Harga Barang C]]</f>
        <v>900000</v>
      </c>
      <c r="Z695" s="35">
        <f>IFERROR(Data[[#This Row],[Total Harga]]-(Data[[#This Row],[Total Harga]]*Data[[#This Row],[Diskon]]),Data[[#This Row],[Total Harga]])</f>
        <v>765000</v>
      </c>
      <c r="AA695" s="35">
        <f>(Data[[#This Row],[Profit A]]+Data[[#This Row],[Profit B]]+Data[[#This Row],[Profit C]])</f>
        <v>300000</v>
      </c>
      <c r="AB695" s="35">
        <f>IFERROR((Data[[#This Row],[Profit non Diskon]]-(Data[[#This Row],[Profit non Diskon]]*Data[[#This Row],[Diskon]])),Data[[#This Row],[Profit non Diskon]])</f>
        <v>255000</v>
      </c>
      <c r="AC695" s="23" t="s">
        <v>13</v>
      </c>
      <c r="AD695" s="37">
        <f>IFERROR(INDEX('Kode Diskon'!$D$3:$D$9,MATCH(Data[[#This Row],[Kode diskon]],'Kode Diskon'!$C$3:$C$9,0)),"-")</f>
        <v>0.15</v>
      </c>
      <c r="AE695" s="23" t="s">
        <v>29</v>
      </c>
      <c r="AF695" s="23" t="s">
        <v>7</v>
      </c>
      <c r="AG695" s="23" t="s">
        <v>75</v>
      </c>
      <c r="AH695" s="24">
        <v>45017</v>
      </c>
      <c r="AI695" s="23" t="str">
        <f>TEXT(Data[[#This Row],[Tanggal terjual]],"dddd")</f>
        <v>Saturday</v>
      </c>
      <c r="AJ695" s="21" t="str">
        <f>TEXT(Data[[#This Row],[Tanggal terjual]],"wwww")</f>
        <v>wwww</v>
      </c>
    </row>
    <row r="696" spans="1:36" x14ac:dyDescent="0.2">
      <c r="A696" s="20">
        <v>695</v>
      </c>
      <c r="B696" s="21" t="str">
        <f>_xlfn.CONCAT("ORD-",INDEX(Helper!$B$2:$B$5,MATCH(Data[[#This Row],[Marketplace]],Helper!$A$2:$A$5,0)),TEXT(Data[[#This Row],[No]],"0000"),"-",TEXT(Data[[#This Row],[Tanggal terjual]],"dd/mm/yy"))</f>
        <v>ORD-BB0695-15/04/23</v>
      </c>
      <c r="C696" t="s">
        <v>63</v>
      </c>
      <c r="D696" t="str">
        <f>IFERROR(INDEX(Katalog!$A$3:$A$12,MATCH(Data[[#This Row],[ItemID A]],Katalog!$C$3:$C$12,0)),"-")</f>
        <v>Pakaian Pria</v>
      </c>
      <c r="E696" t="str">
        <f>IFERROR(INDEX(Katalog!$B$3:$B$12,MATCH(Data[[#This Row],[ItemID A]],Katalog!$C$3:$C$12,0)),"-")</f>
        <v>Jaket Jeans</v>
      </c>
      <c r="F696">
        <v>1</v>
      </c>
      <c r="G696">
        <v>5</v>
      </c>
      <c r="H696" s="36">
        <f>IFERROR(INDEX(Katalog!$D$3:$D$12,MATCH(Data[[#This Row],[ItemID A]],Katalog!$C$3:$C$12,0))*Data[[#This Row],[Qty A]],"0")</f>
        <v>400000</v>
      </c>
      <c r="I696" s="36">
        <f>IFERROR(INDEX(Katalog!$F$3:$F$12,MATCH(Data[[#This Row],[ItemID A]],Katalog!$C$3:$C$12,0))*Data[[#This Row],[Qty A]],0)</f>
        <v>150000</v>
      </c>
      <c r="J696" t="s">
        <v>66</v>
      </c>
      <c r="K696" t="str">
        <f>IFERROR(INDEX(Katalog!$A$3:$A$12,MATCH(Data[[#This Row],[ItemID B]],Katalog!$C$3:$C$12,0)),"-")</f>
        <v>Sepatu Pria</v>
      </c>
      <c r="L696" t="str">
        <f>IFERROR(INDEX(Katalog!$B$3:$B$12,MATCH(Data[[#This Row],[ItemID B]],Katalog!$C$3:$C$12,0)),"-")</f>
        <v>Sandal Slip On</v>
      </c>
      <c r="M696">
        <v>1</v>
      </c>
      <c r="N696">
        <v>4</v>
      </c>
      <c r="O696" s="36">
        <f>IFERROR(INDEX(Katalog!$D$3:$D$12,MATCH(Data[[#This Row],[ItemID B]],Katalog!$C$3:$C$12,0))*Data[[#This Row],[Qty B]],"0")</f>
        <v>150000</v>
      </c>
      <c r="P696" s="36">
        <f>IFERROR(INDEX(Katalog!$F$3:$F$12,MATCH(Data[[#This Row],[ItemID B]],Katalog!$C$3:$C$12,0))*Data[[#This Row],[Qty B]],"0")</f>
        <v>60000</v>
      </c>
      <c r="R696" t="str">
        <f>IFERROR(INDEX(Katalog!$A$3:$A$12,MATCH(Data[[#This Row],[ItemID C]],Katalog!$C$3:$C$12,0)),"-")</f>
        <v>-</v>
      </c>
      <c r="S696" t="str">
        <f>IFERROR(INDEX(Katalog!$B$3:$B$12,MATCH(Data[[#This Row],[ItemID C]],Katalog!$C$3:$C$12,0)),"-")</f>
        <v>-</v>
      </c>
      <c r="V696" s="36" t="str">
        <f>IFERROR(INDEX(Katalog!$D$3:$D$12,MATCH(Data[[#This Row],[ItemID C]],Katalog!$C$3:$C$12,0))*Data[[#This Row],[Qty C]],"0")</f>
        <v>0</v>
      </c>
      <c r="W696" s="36" t="str">
        <f>IFERROR(INDEX(Katalog!$F$3:$F$12,MATCH(Data[[#This Row],[ItemID C]],Katalog!$C$3:$C$12,0))*Data[[#This Row],[Qty C]],"0")</f>
        <v>0</v>
      </c>
      <c r="X696" s="21">
        <f>Data[[#This Row],[Qty A]]+Data[[#This Row],[Qty B]]+Data[[#This Row],[Qty C]]</f>
        <v>2</v>
      </c>
      <c r="Y696" s="22">
        <f>Data[[#This Row],[Harga Barang A]]+Data[[#This Row],[Harga Barang B]]+Data[[#This Row],[Harga Barang C]]</f>
        <v>550000</v>
      </c>
      <c r="Z696" s="35">
        <f>IFERROR(Data[[#This Row],[Total Harga]]-(Data[[#This Row],[Total Harga]]*Data[[#This Row],[Diskon]]),Data[[#This Row],[Total Harga]])</f>
        <v>550000</v>
      </c>
      <c r="AA696" s="35">
        <f>(Data[[#This Row],[Profit A]]+Data[[#This Row],[Profit B]]+Data[[#This Row],[Profit C]])</f>
        <v>210000</v>
      </c>
      <c r="AB696" s="35">
        <f>IFERROR((Data[[#This Row],[Profit non Diskon]]-(Data[[#This Row],[Profit non Diskon]]*Data[[#This Row],[Diskon]])),Data[[#This Row],[Profit non Diskon]])</f>
        <v>210000</v>
      </c>
      <c r="AC696" s="23" t="s">
        <v>11</v>
      </c>
      <c r="AD696" s="37" t="str">
        <f>IFERROR(INDEX('Kode Diskon'!$D$3:$D$9,MATCH(Data[[#This Row],[Kode diskon]],'Kode Diskon'!$C$3:$C$9,0)),"-")</f>
        <v>-</v>
      </c>
      <c r="AE696" s="23" t="s">
        <v>11</v>
      </c>
      <c r="AF696" s="23" t="s">
        <v>14</v>
      </c>
      <c r="AG696" s="23" t="s">
        <v>75</v>
      </c>
      <c r="AH696" s="24">
        <v>45031</v>
      </c>
      <c r="AI696" s="23" t="str">
        <f>TEXT(Data[[#This Row],[Tanggal terjual]],"dddd")</f>
        <v>Saturday</v>
      </c>
      <c r="AJ696" s="21" t="str">
        <f>TEXT(Data[[#This Row],[Tanggal terjual]],"wwww")</f>
        <v>wwww</v>
      </c>
    </row>
    <row r="697" spans="1:36" x14ac:dyDescent="0.2">
      <c r="A697" s="20">
        <v>696</v>
      </c>
      <c r="B697" s="21" t="str">
        <f>_xlfn.CONCAT("ORD-",INDEX(Helper!$B$2:$B$5,MATCH(Data[[#This Row],[Marketplace]],Helper!$A$2:$A$5,0)),TEXT(Data[[#This Row],[No]],"0000"),"-",TEXT(Data[[#This Row],[Tanggal terjual]],"dd/mm/yy"))</f>
        <v>ORD-SP0696-06/04/23</v>
      </c>
      <c r="C697" t="s">
        <v>58</v>
      </c>
      <c r="D697" t="str">
        <f>IFERROR(INDEX(Katalog!$A$3:$A$12,MATCH(Data[[#This Row],[ItemID A]],Katalog!$C$3:$C$12,0)),"-")</f>
        <v>Pakaian Wanita</v>
      </c>
      <c r="E697" t="str">
        <f>IFERROR(INDEX(Katalog!$B$3:$B$12,MATCH(Data[[#This Row],[ItemID A]],Katalog!$C$3:$C$12,0)),"-")</f>
        <v>Dress</v>
      </c>
      <c r="F697">
        <v>1</v>
      </c>
      <c r="G697">
        <v>4</v>
      </c>
      <c r="H697" s="36">
        <f>IFERROR(INDEX(Katalog!$D$3:$D$12,MATCH(Data[[#This Row],[ItemID A]],Katalog!$C$3:$C$12,0))*Data[[#This Row],[Qty A]],"0")</f>
        <v>300000</v>
      </c>
      <c r="I697" s="36">
        <f>IFERROR(INDEX(Katalog!$F$3:$F$12,MATCH(Data[[#This Row],[ItemID A]],Katalog!$C$3:$C$12,0))*Data[[#This Row],[Qty A]],0)</f>
        <v>100000</v>
      </c>
      <c r="K697" t="str">
        <f>IFERROR(INDEX(Katalog!$A$3:$A$12,MATCH(Data[[#This Row],[ItemID B]],Katalog!$C$3:$C$12,0)),"-")</f>
        <v>-</v>
      </c>
      <c r="L697" t="str">
        <f>IFERROR(INDEX(Katalog!$B$3:$B$12,MATCH(Data[[#This Row],[ItemID B]],Katalog!$C$3:$C$12,0)),"-")</f>
        <v>-</v>
      </c>
      <c r="O697" s="36" t="str">
        <f>IFERROR(INDEX(Katalog!$D$3:$D$12,MATCH(Data[[#This Row],[ItemID B]],Katalog!$C$3:$C$12,0))*Data[[#This Row],[Qty B]],"0")</f>
        <v>0</v>
      </c>
      <c r="P697" s="36" t="str">
        <f>IFERROR(INDEX(Katalog!$F$3:$F$12,MATCH(Data[[#This Row],[ItemID B]],Katalog!$C$3:$C$12,0))*Data[[#This Row],[Qty B]],"0")</f>
        <v>0</v>
      </c>
      <c r="R697" t="str">
        <f>IFERROR(INDEX(Katalog!$A$3:$A$12,MATCH(Data[[#This Row],[ItemID C]],Katalog!$C$3:$C$12,0)),"-")</f>
        <v>-</v>
      </c>
      <c r="S697" t="str">
        <f>IFERROR(INDEX(Katalog!$B$3:$B$12,MATCH(Data[[#This Row],[ItemID C]],Katalog!$C$3:$C$12,0)),"-")</f>
        <v>-</v>
      </c>
      <c r="V697" s="36" t="str">
        <f>IFERROR(INDEX(Katalog!$D$3:$D$12,MATCH(Data[[#This Row],[ItemID C]],Katalog!$C$3:$C$12,0))*Data[[#This Row],[Qty C]],"0")</f>
        <v>0</v>
      </c>
      <c r="W697" s="36" t="str">
        <f>IFERROR(INDEX(Katalog!$F$3:$F$12,MATCH(Data[[#This Row],[ItemID C]],Katalog!$C$3:$C$12,0))*Data[[#This Row],[Qty C]],"0")</f>
        <v>0</v>
      </c>
      <c r="X697" s="21">
        <f>Data[[#This Row],[Qty A]]+Data[[#This Row],[Qty B]]+Data[[#This Row],[Qty C]]</f>
        <v>1</v>
      </c>
      <c r="Y697" s="22">
        <f>Data[[#This Row],[Harga Barang A]]+Data[[#This Row],[Harga Barang B]]+Data[[#This Row],[Harga Barang C]]</f>
        <v>300000</v>
      </c>
      <c r="Z697" s="35">
        <f>IFERROR(Data[[#This Row],[Total Harga]]-(Data[[#This Row],[Total Harga]]*Data[[#This Row],[Diskon]]),Data[[#This Row],[Total Harga]])</f>
        <v>255000</v>
      </c>
      <c r="AA697" s="35">
        <f>(Data[[#This Row],[Profit A]]+Data[[#This Row],[Profit B]]+Data[[#This Row],[Profit C]])</f>
        <v>100000</v>
      </c>
      <c r="AB697" s="35">
        <f>IFERROR((Data[[#This Row],[Profit non Diskon]]-(Data[[#This Row],[Profit non Diskon]]*Data[[#This Row],[Diskon]])),Data[[#This Row],[Profit non Diskon]])</f>
        <v>85000</v>
      </c>
      <c r="AC697" s="23" t="s">
        <v>13</v>
      </c>
      <c r="AD697" s="37">
        <f>IFERROR(INDEX('Kode Diskon'!$D$3:$D$9,MATCH(Data[[#This Row],[Kode diskon]],'Kode Diskon'!$C$3:$C$9,0)),"-")</f>
        <v>0.15</v>
      </c>
      <c r="AE697" s="23" t="s">
        <v>29</v>
      </c>
      <c r="AF697" s="23" t="s">
        <v>7</v>
      </c>
      <c r="AG697" s="23" t="s">
        <v>77</v>
      </c>
      <c r="AH697" s="24">
        <v>45022</v>
      </c>
      <c r="AI697" s="23" t="str">
        <f>TEXT(Data[[#This Row],[Tanggal terjual]],"dddd")</f>
        <v>Thursday</v>
      </c>
      <c r="AJ697" s="21" t="str">
        <f>TEXT(Data[[#This Row],[Tanggal terjual]],"wwww")</f>
        <v>wwww</v>
      </c>
    </row>
    <row r="698" spans="1:36" x14ac:dyDescent="0.2">
      <c r="A698" s="20">
        <v>697</v>
      </c>
      <c r="B698" s="21" t="str">
        <f>_xlfn.CONCAT("ORD-",INDEX(Helper!$B$2:$B$5,MATCH(Data[[#This Row],[Marketplace]],Helper!$A$2:$A$5,0)),TEXT(Data[[#This Row],[No]],"0000"),"-",TEXT(Data[[#This Row],[Tanggal terjual]],"dd/mm/yy"))</f>
        <v>ORD-TK0697-03/04/23</v>
      </c>
      <c r="C698" t="s">
        <v>65</v>
      </c>
      <c r="D698" t="str">
        <f>IFERROR(INDEX(Katalog!$A$3:$A$12,MATCH(Data[[#This Row],[ItemID A]],Katalog!$C$3:$C$12,0)),"-")</f>
        <v>Sepatu Pria</v>
      </c>
      <c r="E698" t="str">
        <f>IFERROR(INDEX(Katalog!$B$3:$B$12,MATCH(Data[[#This Row],[ItemID A]],Katalog!$C$3:$C$12,0)),"-")</f>
        <v>Sneakers</v>
      </c>
      <c r="F698">
        <v>2</v>
      </c>
      <c r="G698">
        <v>3</v>
      </c>
      <c r="H698" s="36">
        <f>IFERROR(INDEX(Katalog!$D$3:$D$12,MATCH(Data[[#This Row],[ItemID A]],Katalog!$C$3:$C$12,0))*Data[[#This Row],[Qty A]],"0")</f>
        <v>1000000</v>
      </c>
      <c r="I698" s="36">
        <f>IFERROR(INDEX(Katalog!$F$3:$F$12,MATCH(Data[[#This Row],[ItemID A]],Katalog!$C$3:$C$12,0))*Data[[#This Row],[Qty A]],0)</f>
        <v>400000</v>
      </c>
      <c r="K698" t="str">
        <f>IFERROR(INDEX(Katalog!$A$3:$A$12,MATCH(Data[[#This Row],[ItemID B]],Katalog!$C$3:$C$12,0)),"-")</f>
        <v>-</v>
      </c>
      <c r="L698" t="str">
        <f>IFERROR(INDEX(Katalog!$B$3:$B$12,MATCH(Data[[#This Row],[ItemID B]],Katalog!$C$3:$C$12,0)),"-")</f>
        <v>-</v>
      </c>
      <c r="O698" s="36" t="str">
        <f>IFERROR(INDEX(Katalog!$D$3:$D$12,MATCH(Data[[#This Row],[ItemID B]],Katalog!$C$3:$C$12,0))*Data[[#This Row],[Qty B]],"0")</f>
        <v>0</v>
      </c>
      <c r="P698" s="36" t="str">
        <f>IFERROR(INDEX(Katalog!$F$3:$F$12,MATCH(Data[[#This Row],[ItemID B]],Katalog!$C$3:$C$12,0))*Data[[#This Row],[Qty B]],"0")</f>
        <v>0</v>
      </c>
      <c r="R698" t="str">
        <f>IFERROR(INDEX(Katalog!$A$3:$A$12,MATCH(Data[[#This Row],[ItemID C]],Katalog!$C$3:$C$12,0)),"-")</f>
        <v>-</v>
      </c>
      <c r="S698" t="str">
        <f>IFERROR(INDEX(Katalog!$B$3:$B$12,MATCH(Data[[#This Row],[ItemID C]],Katalog!$C$3:$C$12,0)),"-")</f>
        <v>-</v>
      </c>
      <c r="V698" s="36" t="str">
        <f>IFERROR(INDEX(Katalog!$D$3:$D$12,MATCH(Data[[#This Row],[ItemID C]],Katalog!$C$3:$C$12,0))*Data[[#This Row],[Qty C]],"0")</f>
        <v>0</v>
      </c>
      <c r="W698" s="36" t="str">
        <f>IFERROR(INDEX(Katalog!$F$3:$F$12,MATCH(Data[[#This Row],[ItemID C]],Katalog!$C$3:$C$12,0))*Data[[#This Row],[Qty C]],"0")</f>
        <v>0</v>
      </c>
      <c r="X698" s="21">
        <f>Data[[#This Row],[Qty A]]+Data[[#This Row],[Qty B]]+Data[[#This Row],[Qty C]]</f>
        <v>2</v>
      </c>
      <c r="Y698" s="22">
        <f>Data[[#This Row],[Harga Barang A]]+Data[[#This Row],[Harga Barang B]]+Data[[#This Row],[Harga Barang C]]</f>
        <v>1000000</v>
      </c>
      <c r="Z698" s="35">
        <f>IFERROR(Data[[#This Row],[Total Harga]]-(Data[[#This Row],[Total Harga]]*Data[[#This Row],[Diskon]]),Data[[#This Row],[Total Harga]])</f>
        <v>900000</v>
      </c>
      <c r="AA698" s="35">
        <f>(Data[[#This Row],[Profit A]]+Data[[#This Row],[Profit B]]+Data[[#This Row],[Profit C]])</f>
        <v>400000</v>
      </c>
      <c r="AB698" s="35">
        <f>IFERROR((Data[[#This Row],[Profit non Diskon]]-(Data[[#This Row],[Profit non Diskon]]*Data[[#This Row],[Diskon]])),Data[[#This Row],[Profit non Diskon]])</f>
        <v>360000</v>
      </c>
      <c r="AC698" s="23" t="s">
        <v>30</v>
      </c>
      <c r="AD698" s="37">
        <f>IFERROR(INDEX('Kode Diskon'!$D$3:$D$9,MATCH(Data[[#This Row],[Kode diskon]],'Kode Diskon'!$C$3:$C$9,0)),"-")</f>
        <v>0.1</v>
      </c>
      <c r="AE698" s="23" t="s">
        <v>29</v>
      </c>
      <c r="AF698" s="23" t="s">
        <v>10</v>
      </c>
      <c r="AG698" s="23" t="s">
        <v>76</v>
      </c>
      <c r="AH698" s="24">
        <v>45019</v>
      </c>
      <c r="AI698" s="23" t="str">
        <f>TEXT(Data[[#This Row],[Tanggal terjual]],"dddd")</f>
        <v>Monday</v>
      </c>
      <c r="AJ698" s="21" t="str">
        <f>TEXT(Data[[#This Row],[Tanggal terjual]],"wwww")</f>
        <v>wwww</v>
      </c>
    </row>
    <row r="699" spans="1:36" x14ac:dyDescent="0.2">
      <c r="A699" s="20">
        <v>698</v>
      </c>
      <c r="B699" s="21" t="str">
        <f>_xlfn.CONCAT("ORD-",INDEX(Helper!$B$2:$B$5,MATCH(Data[[#This Row],[Marketplace]],Helper!$A$2:$A$5,0)),TEXT(Data[[#This Row],[No]],"0000"),"-",TEXT(Data[[#This Row],[Tanggal terjual]],"dd/mm/yy"))</f>
        <v>ORD-BL0698-30/04/23</v>
      </c>
      <c r="C699" t="s">
        <v>62</v>
      </c>
      <c r="D699" t="str">
        <f>IFERROR(INDEX(Katalog!$A$3:$A$12,MATCH(Data[[#This Row],[ItemID A]],Katalog!$C$3:$C$12,0)),"-")</f>
        <v>Pakaian Pria</v>
      </c>
      <c r="E699" t="str">
        <f>IFERROR(INDEX(Katalog!$B$3:$B$12,MATCH(Data[[#This Row],[ItemID A]],Katalog!$C$3:$C$12,0)),"-")</f>
        <v>Celana Pendek</v>
      </c>
      <c r="F699">
        <v>2</v>
      </c>
      <c r="G699">
        <v>5</v>
      </c>
      <c r="H699" s="36">
        <f>IFERROR(INDEX(Katalog!$D$3:$D$12,MATCH(Data[[#This Row],[ItemID A]],Katalog!$C$3:$C$12,0))*Data[[#This Row],[Qty A]],"0")</f>
        <v>360000</v>
      </c>
      <c r="I699" s="36">
        <f>IFERROR(INDEX(Katalog!$F$3:$F$12,MATCH(Data[[#This Row],[ItemID A]],Katalog!$C$3:$C$12,0))*Data[[#This Row],[Qty A]],0)</f>
        <v>140000</v>
      </c>
      <c r="K699" t="str">
        <f>IFERROR(INDEX(Katalog!$A$3:$A$12,MATCH(Data[[#This Row],[ItemID B]],Katalog!$C$3:$C$12,0)),"-")</f>
        <v>-</v>
      </c>
      <c r="L699" t="str">
        <f>IFERROR(INDEX(Katalog!$B$3:$B$12,MATCH(Data[[#This Row],[ItemID B]],Katalog!$C$3:$C$12,0)),"-")</f>
        <v>-</v>
      </c>
      <c r="O699" s="36" t="str">
        <f>IFERROR(INDEX(Katalog!$D$3:$D$12,MATCH(Data[[#This Row],[ItemID B]],Katalog!$C$3:$C$12,0))*Data[[#This Row],[Qty B]],"0")</f>
        <v>0</v>
      </c>
      <c r="P699" s="36" t="str">
        <f>IFERROR(INDEX(Katalog!$F$3:$F$12,MATCH(Data[[#This Row],[ItemID B]],Katalog!$C$3:$C$12,0))*Data[[#This Row],[Qty B]],"0")</f>
        <v>0</v>
      </c>
      <c r="R699" t="str">
        <f>IFERROR(INDEX(Katalog!$A$3:$A$12,MATCH(Data[[#This Row],[ItemID C]],Katalog!$C$3:$C$12,0)),"-")</f>
        <v>-</v>
      </c>
      <c r="S699" t="str">
        <f>IFERROR(INDEX(Katalog!$B$3:$B$12,MATCH(Data[[#This Row],[ItemID C]],Katalog!$C$3:$C$12,0)),"-")</f>
        <v>-</v>
      </c>
      <c r="V699" s="36" t="str">
        <f>IFERROR(INDEX(Katalog!$D$3:$D$12,MATCH(Data[[#This Row],[ItemID C]],Katalog!$C$3:$C$12,0))*Data[[#This Row],[Qty C]],"0")</f>
        <v>0</v>
      </c>
      <c r="W699" s="36" t="str">
        <f>IFERROR(INDEX(Katalog!$F$3:$F$12,MATCH(Data[[#This Row],[ItemID C]],Katalog!$C$3:$C$12,0))*Data[[#This Row],[Qty C]],"0")</f>
        <v>0</v>
      </c>
      <c r="X699" s="21">
        <f>Data[[#This Row],[Qty A]]+Data[[#This Row],[Qty B]]+Data[[#This Row],[Qty C]]</f>
        <v>2</v>
      </c>
      <c r="Y699" s="22">
        <f>Data[[#This Row],[Harga Barang A]]+Data[[#This Row],[Harga Barang B]]+Data[[#This Row],[Harga Barang C]]</f>
        <v>360000</v>
      </c>
      <c r="Z699" s="35">
        <f>IFERROR(Data[[#This Row],[Total Harga]]-(Data[[#This Row],[Total Harga]]*Data[[#This Row],[Diskon]]),Data[[#This Row],[Total Harga]])</f>
        <v>306000</v>
      </c>
      <c r="AA699" s="35">
        <f>(Data[[#This Row],[Profit A]]+Data[[#This Row],[Profit B]]+Data[[#This Row],[Profit C]])</f>
        <v>140000</v>
      </c>
      <c r="AB699" s="35">
        <f>IFERROR((Data[[#This Row],[Profit non Diskon]]-(Data[[#This Row],[Profit non Diskon]]*Data[[#This Row],[Diskon]])),Data[[#This Row],[Profit non Diskon]])</f>
        <v>119000</v>
      </c>
      <c r="AC699" s="23" t="s">
        <v>32</v>
      </c>
      <c r="AD699" s="37">
        <f>IFERROR(INDEX('Kode Diskon'!$D$3:$D$9,MATCH(Data[[#This Row],[Kode diskon]],'Kode Diskon'!$C$3:$C$9,0)),"-")</f>
        <v>0.15</v>
      </c>
      <c r="AE699" s="23" t="s">
        <v>9</v>
      </c>
      <c r="AF699" s="23" t="s">
        <v>12</v>
      </c>
      <c r="AG699" s="23" t="s">
        <v>79</v>
      </c>
      <c r="AH699" s="24">
        <v>45046</v>
      </c>
      <c r="AI699" s="23" t="str">
        <f>TEXT(Data[[#This Row],[Tanggal terjual]],"dddd")</f>
        <v>Sunday</v>
      </c>
      <c r="AJ699" s="21" t="str">
        <f>TEXT(Data[[#This Row],[Tanggal terjual]],"wwww")</f>
        <v>wwww</v>
      </c>
    </row>
    <row r="700" spans="1:36" x14ac:dyDescent="0.2">
      <c r="A700" s="20">
        <v>699</v>
      </c>
      <c r="B700" s="21" t="str">
        <f>_xlfn.CONCAT("ORD-",INDEX(Helper!$B$2:$B$5,MATCH(Data[[#This Row],[Marketplace]],Helper!$A$2:$A$5,0)),TEXT(Data[[#This Row],[No]],"0000"),"-",TEXT(Data[[#This Row],[Tanggal terjual]],"dd/mm/yy"))</f>
        <v>ORD-TK0699-25/04/23</v>
      </c>
      <c r="C700" t="s">
        <v>61</v>
      </c>
      <c r="D700" t="str">
        <f>IFERROR(INDEX(Katalog!$A$3:$A$12,MATCH(Data[[#This Row],[ItemID A]],Katalog!$C$3:$C$12,0)),"-")</f>
        <v>Pakaian Pria</v>
      </c>
      <c r="E700" t="str">
        <f>IFERROR(INDEX(Katalog!$B$3:$B$12,MATCH(Data[[#This Row],[ItemID A]],Katalog!$C$3:$C$12,0)),"-")</f>
        <v>Kaos Polo</v>
      </c>
      <c r="F700">
        <v>4</v>
      </c>
      <c r="G700">
        <v>2</v>
      </c>
      <c r="H700" s="36">
        <f>IFERROR(INDEX(Katalog!$D$3:$D$12,MATCH(Data[[#This Row],[ItemID A]],Katalog!$C$3:$C$12,0))*Data[[#This Row],[Qty A]],"0")</f>
        <v>800000</v>
      </c>
      <c r="I700" s="36">
        <f>IFERROR(INDEX(Katalog!$F$3:$F$12,MATCH(Data[[#This Row],[ItemID A]],Katalog!$C$3:$C$12,0))*Data[[#This Row],[Qty A]],0)</f>
        <v>320000</v>
      </c>
      <c r="J700" t="s">
        <v>66</v>
      </c>
      <c r="K700" t="str">
        <f>IFERROR(INDEX(Katalog!$A$3:$A$12,MATCH(Data[[#This Row],[ItemID B]],Katalog!$C$3:$C$12,0)),"-")</f>
        <v>Sepatu Pria</v>
      </c>
      <c r="L700" t="str">
        <f>IFERROR(INDEX(Katalog!$B$3:$B$12,MATCH(Data[[#This Row],[ItemID B]],Katalog!$C$3:$C$12,0)),"-")</f>
        <v>Sandal Slip On</v>
      </c>
      <c r="M700">
        <v>1</v>
      </c>
      <c r="N700">
        <v>1</v>
      </c>
      <c r="O700" s="36">
        <f>IFERROR(INDEX(Katalog!$D$3:$D$12,MATCH(Data[[#This Row],[ItemID B]],Katalog!$C$3:$C$12,0))*Data[[#This Row],[Qty B]],"0")</f>
        <v>150000</v>
      </c>
      <c r="P700" s="36">
        <f>IFERROR(INDEX(Katalog!$F$3:$F$12,MATCH(Data[[#This Row],[ItemID B]],Katalog!$C$3:$C$12,0))*Data[[#This Row],[Qty B]],"0")</f>
        <v>60000</v>
      </c>
      <c r="Q700" t="s">
        <v>58</v>
      </c>
      <c r="R700" t="str">
        <f>IFERROR(INDEX(Katalog!$A$3:$A$12,MATCH(Data[[#This Row],[ItemID C]],Katalog!$C$3:$C$12,0)),"-")</f>
        <v>Pakaian Wanita</v>
      </c>
      <c r="S700" t="str">
        <f>IFERROR(INDEX(Katalog!$B$3:$B$12,MATCH(Data[[#This Row],[ItemID C]],Katalog!$C$3:$C$12,0)),"-")</f>
        <v>Dress</v>
      </c>
      <c r="T700">
        <v>2</v>
      </c>
      <c r="U700">
        <v>1</v>
      </c>
      <c r="V700" s="36">
        <f>IFERROR(INDEX(Katalog!$D$3:$D$12,MATCH(Data[[#This Row],[ItemID C]],Katalog!$C$3:$C$12,0))*Data[[#This Row],[Qty C]],"0")</f>
        <v>600000</v>
      </c>
      <c r="W700" s="36">
        <f>IFERROR(INDEX(Katalog!$F$3:$F$12,MATCH(Data[[#This Row],[ItemID C]],Katalog!$C$3:$C$12,0))*Data[[#This Row],[Qty C]],"0")</f>
        <v>200000</v>
      </c>
      <c r="X700" s="21">
        <f>Data[[#This Row],[Qty A]]+Data[[#This Row],[Qty B]]+Data[[#This Row],[Qty C]]</f>
        <v>7</v>
      </c>
      <c r="Y700" s="22">
        <f>Data[[#This Row],[Harga Barang A]]+Data[[#This Row],[Harga Barang B]]+Data[[#This Row],[Harga Barang C]]</f>
        <v>1550000</v>
      </c>
      <c r="Z700" s="35">
        <f>IFERROR(Data[[#This Row],[Total Harga]]-(Data[[#This Row],[Total Harga]]*Data[[#This Row],[Diskon]]),Data[[#This Row],[Total Harga]])</f>
        <v>1395000</v>
      </c>
      <c r="AA700" s="35">
        <f>(Data[[#This Row],[Profit A]]+Data[[#This Row],[Profit B]]+Data[[#This Row],[Profit C]])</f>
        <v>580000</v>
      </c>
      <c r="AB700" s="35">
        <f>IFERROR((Data[[#This Row],[Profit non Diskon]]-(Data[[#This Row],[Profit non Diskon]]*Data[[#This Row],[Diskon]])),Data[[#This Row],[Profit non Diskon]])</f>
        <v>522000</v>
      </c>
      <c r="AC700" s="23" t="s">
        <v>31</v>
      </c>
      <c r="AD700" s="37">
        <f>IFERROR(INDEX('Kode Diskon'!$D$3:$D$9,MATCH(Data[[#This Row],[Kode diskon]],'Kode Diskon'!$C$3:$C$9,0)),"-")</f>
        <v>0.1</v>
      </c>
      <c r="AE700" s="23" t="s">
        <v>9</v>
      </c>
      <c r="AF700" s="23" t="s">
        <v>10</v>
      </c>
      <c r="AG700" s="23" t="s">
        <v>79</v>
      </c>
      <c r="AH700" s="24">
        <v>45041</v>
      </c>
      <c r="AI700" s="23" t="str">
        <f>TEXT(Data[[#This Row],[Tanggal terjual]],"dddd")</f>
        <v>Tuesday</v>
      </c>
      <c r="AJ700" s="21" t="str">
        <f>TEXT(Data[[#This Row],[Tanggal terjual]],"wwww")</f>
        <v>wwww</v>
      </c>
    </row>
    <row r="701" spans="1:36" x14ac:dyDescent="0.2">
      <c r="A701" s="20">
        <v>700</v>
      </c>
      <c r="B701" s="21" t="str">
        <f>_xlfn.CONCAT("ORD-",INDEX(Helper!$B$2:$B$5,MATCH(Data[[#This Row],[Marketplace]],Helper!$A$2:$A$5,0)),TEXT(Data[[#This Row],[No]],"0000"),"-",TEXT(Data[[#This Row],[Tanggal terjual]],"dd/mm/yy"))</f>
        <v>ORD-SP0700-04/04/23</v>
      </c>
      <c r="C701" t="s">
        <v>67</v>
      </c>
      <c r="D701" t="str">
        <f>IFERROR(INDEX(Katalog!$A$3:$A$12,MATCH(Data[[#This Row],[ItemID A]],Katalog!$C$3:$C$12,0)),"-")</f>
        <v>Sepatu Wanita</v>
      </c>
      <c r="E701" t="str">
        <f>IFERROR(INDEX(Katalog!$B$3:$B$12,MATCH(Data[[#This Row],[ItemID A]],Katalog!$C$3:$C$12,0)),"-")</f>
        <v>Flat Shoes</v>
      </c>
      <c r="F701">
        <v>6</v>
      </c>
      <c r="G701">
        <v>4</v>
      </c>
      <c r="H701" s="36">
        <f>IFERROR(INDEX(Katalog!$D$3:$D$12,MATCH(Data[[#This Row],[ItemID A]],Katalog!$C$3:$C$12,0))*Data[[#This Row],[Qty A]],"0")</f>
        <v>1500000</v>
      </c>
      <c r="I701" s="36">
        <f>IFERROR(INDEX(Katalog!$F$3:$F$12,MATCH(Data[[#This Row],[ItemID A]],Katalog!$C$3:$C$12,0))*Data[[#This Row],[Qty A]],0)</f>
        <v>600000</v>
      </c>
      <c r="J701" t="s">
        <v>66</v>
      </c>
      <c r="K701" t="str">
        <f>IFERROR(INDEX(Katalog!$A$3:$A$12,MATCH(Data[[#This Row],[ItemID B]],Katalog!$C$3:$C$12,0)),"-")</f>
        <v>Sepatu Pria</v>
      </c>
      <c r="L701" t="str">
        <f>IFERROR(INDEX(Katalog!$B$3:$B$12,MATCH(Data[[#This Row],[ItemID B]],Katalog!$C$3:$C$12,0)),"-")</f>
        <v>Sandal Slip On</v>
      </c>
      <c r="M701">
        <v>1</v>
      </c>
      <c r="N701">
        <v>3</v>
      </c>
      <c r="O701" s="36">
        <f>IFERROR(INDEX(Katalog!$D$3:$D$12,MATCH(Data[[#This Row],[ItemID B]],Katalog!$C$3:$C$12,0))*Data[[#This Row],[Qty B]],"0")</f>
        <v>150000</v>
      </c>
      <c r="P701" s="36">
        <f>IFERROR(INDEX(Katalog!$F$3:$F$12,MATCH(Data[[#This Row],[ItemID B]],Katalog!$C$3:$C$12,0))*Data[[#This Row],[Qty B]],"0")</f>
        <v>60000</v>
      </c>
      <c r="R701" t="str">
        <f>IFERROR(INDEX(Katalog!$A$3:$A$12,MATCH(Data[[#This Row],[ItemID C]],Katalog!$C$3:$C$12,0)),"-")</f>
        <v>-</v>
      </c>
      <c r="S701" t="str">
        <f>IFERROR(INDEX(Katalog!$B$3:$B$12,MATCH(Data[[#This Row],[ItemID C]],Katalog!$C$3:$C$12,0)),"-")</f>
        <v>-</v>
      </c>
      <c r="V701" s="36" t="str">
        <f>IFERROR(INDEX(Katalog!$D$3:$D$12,MATCH(Data[[#This Row],[ItemID C]],Katalog!$C$3:$C$12,0))*Data[[#This Row],[Qty C]],"0")</f>
        <v>0</v>
      </c>
      <c r="W701" s="36" t="str">
        <f>IFERROR(INDEX(Katalog!$F$3:$F$12,MATCH(Data[[#This Row],[ItemID C]],Katalog!$C$3:$C$12,0))*Data[[#This Row],[Qty C]],"0")</f>
        <v>0</v>
      </c>
      <c r="X701" s="21">
        <f>Data[[#This Row],[Qty A]]+Data[[#This Row],[Qty B]]+Data[[#This Row],[Qty C]]</f>
        <v>7</v>
      </c>
      <c r="Y701" s="22">
        <f>Data[[#This Row],[Harga Barang A]]+Data[[#This Row],[Harga Barang B]]+Data[[#This Row],[Harga Barang C]]</f>
        <v>1650000</v>
      </c>
      <c r="Z701" s="35">
        <f>IFERROR(Data[[#This Row],[Total Harga]]-(Data[[#This Row],[Total Harga]]*Data[[#This Row],[Diskon]]),Data[[#This Row],[Total Harga]])</f>
        <v>1485000</v>
      </c>
      <c r="AA701" s="35">
        <f>(Data[[#This Row],[Profit A]]+Data[[#This Row],[Profit B]]+Data[[#This Row],[Profit C]])</f>
        <v>660000</v>
      </c>
      <c r="AB701" s="35">
        <f>IFERROR((Data[[#This Row],[Profit non Diskon]]-(Data[[#This Row],[Profit non Diskon]]*Data[[#This Row],[Diskon]])),Data[[#This Row],[Profit non Diskon]])</f>
        <v>594000</v>
      </c>
      <c r="AC701" s="23" t="s">
        <v>6</v>
      </c>
      <c r="AD701" s="37">
        <f>IFERROR(INDEX('Kode Diskon'!$D$3:$D$9,MATCH(Data[[#This Row],[Kode diskon]],'Kode Diskon'!$C$3:$C$9,0)),"-")</f>
        <v>0.1</v>
      </c>
      <c r="AE701" s="23" t="s">
        <v>29</v>
      </c>
      <c r="AF701" s="23" t="s">
        <v>7</v>
      </c>
      <c r="AG701" s="23" t="s">
        <v>75</v>
      </c>
      <c r="AH701" s="24">
        <v>45020</v>
      </c>
      <c r="AI701" s="23" t="str">
        <f>TEXT(Data[[#This Row],[Tanggal terjual]],"dddd")</f>
        <v>Tuesday</v>
      </c>
      <c r="AJ701" s="21" t="str">
        <f>TEXT(Data[[#This Row],[Tanggal terjual]],"wwww")</f>
        <v>wwww</v>
      </c>
    </row>
    <row r="702" spans="1:36" x14ac:dyDescent="0.2">
      <c r="A702" s="20">
        <v>701</v>
      </c>
      <c r="B702" s="21" t="str">
        <f>_xlfn.CONCAT("ORD-",INDEX(Helper!$B$2:$B$5,MATCH(Data[[#This Row],[Marketplace]],Helper!$A$2:$A$5,0)),TEXT(Data[[#This Row],[No]],"0000"),"-",TEXT(Data[[#This Row],[Tanggal terjual]],"dd/mm/yy"))</f>
        <v>ORD-TK0701-19/04/23</v>
      </c>
      <c r="C702" t="s">
        <v>63</v>
      </c>
      <c r="D702" t="str">
        <f>IFERROR(INDEX(Katalog!$A$3:$A$12,MATCH(Data[[#This Row],[ItemID A]],Katalog!$C$3:$C$12,0)),"-")</f>
        <v>Pakaian Pria</v>
      </c>
      <c r="E702" t="str">
        <f>IFERROR(INDEX(Katalog!$B$3:$B$12,MATCH(Data[[#This Row],[ItemID A]],Katalog!$C$3:$C$12,0)),"-")</f>
        <v>Jaket Jeans</v>
      </c>
      <c r="F702">
        <v>1</v>
      </c>
      <c r="G702">
        <v>5</v>
      </c>
      <c r="H702" s="36">
        <f>IFERROR(INDEX(Katalog!$D$3:$D$12,MATCH(Data[[#This Row],[ItemID A]],Katalog!$C$3:$C$12,0))*Data[[#This Row],[Qty A]],"0")</f>
        <v>400000</v>
      </c>
      <c r="I702" s="36">
        <f>IFERROR(INDEX(Katalog!$F$3:$F$12,MATCH(Data[[#This Row],[ItemID A]],Katalog!$C$3:$C$12,0))*Data[[#This Row],[Qty A]],0)</f>
        <v>150000</v>
      </c>
      <c r="K702" t="str">
        <f>IFERROR(INDEX(Katalog!$A$3:$A$12,MATCH(Data[[#This Row],[ItemID B]],Katalog!$C$3:$C$12,0)),"-")</f>
        <v>-</v>
      </c>
      <c r="L702" t="str">
        <f>IFERROR(INDEX(Katalog!$B$3:$B$12,MATCH(Data[[#This Row],[ItemID B]],Katalog!$C$3:$C$12,0)),"-")</f>
        <v>-</v>
      </c>
      <c r="O702" s="36" t="str">
        <f>IFERROR(INDEX(Katalog!$D$3:$D$12,MATCH(Data[[#This Row],[ItemID B]],Katalog!$C$3:$C$12,0))*Data[[#This Row],[Qty B]],"0")</f>
        <v>0</v>
      </c>
      <c r="P702" s="36" t="str">
        <f>IFERROR(INDEX(Katalog!$F$3:$F$12,MATCH(Data[[#This Row],[ItemID B]],Katalog!$C$3:$C$12,0))*Data[[#This Row],[Qty B]],"0")</f>
        <v>0</v>
      </c>
      <c r="R702" t="str">
        <f>IFERROR(INDEX(Katalog!$A$3:$A$12,MATCH(Data[[#This Row],[ItemID C]],Katalog!$C$3:$C$12,0)),"-")</f>
        <v>-</v>
      </c>
      <c r="S702" t="str">
        <f>IFERROR(INDEX(Katalog!$B$3:$B$12,MATCH(Data[[#This Row],[ItemID C]],Katalog!$C$3:$C$12,0)),"-")</f>
        <v>-</v>
      </c>
      <c r="V702" s="36" t="str">
        <f>IFERROR(INDEX(Katalog!$D$3:$D$12,MATCH(Data[[#This Row],[ItemID C]],Katalog!$C$3:$C$12,0))*Data[[#This Row],[Qty C]],"0")</f>
        <v>0</v>
      </c>
      <c r="W702" s="36" t="str">
        <f>IFERROR(INDEX(Katalog!$F$3:$F$12,MATCH(Data[[#This Row],[ItemID C]],Katalog!$C$3:$C$12,0))*Data[[#This Row],[Qty C]],"0")</f>
        <v>0</v>
      </c>
      <c r="X702" s="21">
        <f>Data[[#This Row],[Qty A]]+Data[[#This Row],[Qty B]]+Data[[#This Row],[Qty C]]</f>
        <v>1</v>
      </c>
      <c r="Y702" s="22">
        <f>Data[[#This Row],[Harga Barang A]]+Data[[#This Row],[Harga Barang B]]+Data[[#This Row],[Harga Barang C]]</f>
        <v>400000</v>
      </c>
      <c r="Z702" s="35">
        <f>IFERROR(Data[[#This Row],[Total Harga]]-(Data[[#This Row],[Total Harga]]*Data[[#This Row],[Diskon]]),Data[[#This Row],[Total Harga]])</f>
        <v>360000</v>
      </c>
      <c r="AA702" s="35">
        <f>(Data[[#This Row],[Profit A]]+Data[[#This Row],[Profit B]]+Data[[#This Row],[Profit C]])</f>
        <v>150000</v>
      </c>
      <c r="AB702" s="35">
        <f>IFERROR((Data[[#This Row],[Profit non Diskon]]-(Data[[#This Row],[Profit non Diskon]]*Data[[#This Row],[Diskon]])),Data[[#This Row],[Profit non Diskon]])</f>
        <v>135000</v>
      </c>
      <c r="AC702" s="23" t="s">
        <v>31</v>
      </c>
      <c r="AD702" s="37">
        <f>IFERROR(INDEX('Kode Diskon'!$D$3:$D$9,MATCH(Data[[#This Row],[Kode diskon]],'Kode Diskon'!$C$3:$C$9,0)),"-")</f>
        <v>0.1</v>
      </c>
      <c r="AE702" s="23" t="s">
        <v>9</v>
      </c>
      <c r="AF702" s="23" t="s">
        <v>10</v>
      </c>
      <c r="AG702" s="23" t="s">
        <v>80</v>
      </c>
      <c r="AH702" s="24">
        <v>45035</v>
      </c>
      <c r="AI702" s="23" t="str">
        <f>TEXT(Data[[#This Row],[Tanggal terjual]],"dddd")</f>
        <v>Wednesday</v>
      </c>
      <c r="AJ702" s="21" t="str">
        <f>TEXT(Data[[#This Row],[Tanggal terjual]],"wwww")</f>
        <v>wwww</v>
      </c>
    </row>
    <row r="703" spans="1:36" x14ac:dyDescent="0.2">
      <c r="A703" s="20">
        <v>702</v>
      </c>
      <c r="B703" s="21" t="str">
        <f>_xlfn.CONCAT("ORD-",INDEX(Helper!$B$2:$B$5,MATCH(Data[[#This Row],[Marketplace]],Helper!$A$2:$A$5,0)),TEXT(Data[[#This Row],[No]],"0000"),"-",TEXT(Data[[#This Row],[Tanggal terjual]],"dd/mm/yy"))</f>
        <v>ORD-SP0702-28/04/23</v>
      </c>
      <c r="C703" t="s">
        <v>67</v>
      </c>
      <c r="D703" t="str">
        <f>IFERROR(INDEX(Katalog!$A$3:$A$12,MATCH(Data[[#This Row],[ItemID A]],Katalog!$C$3:$C$12,0)),"-")</f>
        <v>Sepatu Wanita</v>
      </c>
      <c r="E703" t="str">
        <f>IFERROR(INDEX(Katalog!$B$3:$B$12,MATCH(Data[[#This Row],[ItemID A]],Katalog!$C$3:$C$12,0)),"-")</f>
        <v>Flat Shoes</v>
      </c>
      <c r="F703">
        <v>1</v>
      </c>
      <c r="G703">
        <v>1</v>
      </c>
      <c r="H703" s="36">
        <f>IFERROR(INDEX(Katalog!$D$3:$D$12,MATCH(Data[[#This Row],[ItemID A]],Katalog!$C$3:$C$12,0))*Data[[#This Row],[Qty A]],"0")</f>
        <v>250000</v>
      </c>
      <c r="I703" s="36">
        <f>IFERROR(INDEX(Katalog!$F$3:$F$12,MATCH(Data[[#This Row],[ItemID A]],Katalog!$C$3:$C$12,0))*Data[[#This Row],[Qty A]],0)</f>
        <v>100000</v>
      </c>
      <c r="J703" t="s">
        <v>58</v>
      </c>
      <c r="K703" t="str">
        <f>IFERROR(INDEX(Katalog!$A$3:$A$12,MATCH(Data[[#This Row],[ItemID B]],Katalog!$C$3:$C$12,0)),"-")</f>
        <v>Pakaian Wanita</v>
      </c>
      <c r="L703" t="str">
        <f>IFERROR(INDEX(Katalog!$B$3:$B$12,MATCH(Data[[#This Row],[ItemID B]],Katalog!$C$3:$C$12,0)),"-")</f>
        <v>Dress</v>
      </c>
      <c r="M703">
        <v>2</v>
      </c>
      <c r="N703">
        <v>3</v>
      </c>
      <c r="O703" s="36">
        <f>IFERROR(INDEX(Katalog!$D$3:$D$12,MATCH(Data[[#This Row],[ItemID B]],Katalog!$C$3:$C$12,0))*Data[[#This Row],[Qty B]],"0")</f>
        <v>600000</v>
      </c>
      <c r="P703" s="36">
        <f>IFERROR(INDEX(Katalog!$F$3:$F$12,MATCH(Data[[#This Row],[ItemID B]],Katalog!$C$3:$C$12,0))*Data[[#This Row],[Qty B]],"0")</f>
        <v>200000</v>
      </c>
      <c r="Q703" t="s">
        <v>62</v>
      </c>
      <c r="R703" t="str">
        <f>IFERROR(INDEX(Katalog!$A$3:$A$12,MATCH(Data[[#This Row],[ItemID C]],Katalog!$C$3:$C$12,0)),"-")</f>
        <v>Pakaian Pria</v>
      </c>
      <c r="S703" t="str">
        <f>IFERROR(INDEX(Katalog!$B$3:$B$12,MATCH(Data[[#This Row],[ItemID C]],Katalog!$C$3:$C$12,0)),"-")</f>
        <v>Celana Pendek</v>
      </c>
      <c r="T703">
        <v>1</v>
      </c>
      <c r="U703">
        <v>4</v>
      </c>
      <c r="V703" s="36">
        <f>IFERROR(INDEX(Katalog!$D$3:$D$12,MATCH(Data[[#This Row],[ItemID C]],Katalog!$C$3:$C$12,0))*Data[[#This Row],[Qty C]],"0")</f>
        <v>180000</v>
      </c>
      <c r="W703" s="36">
        <f>IFERROR(INDEX(Katalog!$F$3:$F$12,MATCH(Data[[#This Row],[ItemID C]],Katalog!$C$3:$C$12,0))*Data[[#This Row],[Qty C]],"0")</f>
        <v>70000</v>
      </c>
      <c r="X703" s="21">
        <f>Data[[#This Row],[Qty A]]+Data[[#This Row],[Qty B]]+Data[[#This Row],[Qty C]]</f>
        <v>4</v>
      </c>
      <c r="Y703" s="22">
        <f>Data[[#This Row],[Harga Barang A]]+Data[[#This Row],[Harga Barang B]]+Data[[#This Row],[Harga Barang C]]</f>
        <v>1030000</v>
      </c>
      <c r="Z703" s="35">
        <f>IFERROR(Data[[#This Row],[Total Harga]]-(Data[[#This Row],[Total Harga]]*Data[[#This Row],[Diskon]]),Data[[#This Row],[Total Harga]])</f>
        <v>824000</v>
      </c>
      <c r="AA703" s="35">
        <f>(Data[[#This Row],[Profit A]]+Data[[#This Row],[Profit B]]+Data[[#This Row],[Profit C]])</f>
        <v>370000</v>
      </c>
      <c r="AB703" s="35">
        <f>IFERROR((Data[[#This Row],[Profit non Diskon]]-(Data[[#This Row],[Profit non Diskon]]*Data[[#This Row],[Diskon]])),Data[[#This Row],[Profit non Diskon]])</f>
        <v>296000</v>
      </c>
      <c r="AC703" s="23" t="s">
        <v>8</v>
      </c>
      <c r="AD703" s="37">
        <f>IFERROR(INDEX('Kode Diskon'!$D$3:$D$9,MATCH(Data[[#This Row],[Kode diskon]],'Kode Diskon'!$C$3:$C$9,0)),"-")</f>
        <v>0.2</v>
      </c>
      <c r="AE703" s="23" t="s">
        <v>9</v>
      </c>
      <c r="AF703" s="23" t="s">
        <v>7</v>
      </c>
      <c r="AG703" s="23" t="s">
        <v>75</v>
      </c>
      <c r="AH703" s="24">
        <v>45044</v>
      </c>
      <c r="AI703" s="23" t="str">
        <f>TEXT(Data[[#This Row],[Tanggal terjual]],"dddd")</f>
        <v>Friday</v>
      </c>
      <c r="AJ703" s="21" t="str">
        <f>TEXT(Data[[#This Row],[Tanggal terjual]],"wwww")</f>
        <v>wwww</v>
      </c>
    </row>
    <row r="704" spans="1:36" x14ac:dyDescent="0.2">
      <c r="A704" s="20">
        <v>703</v>
      </c>
      <c r="B704" s="21" t="str">
        <f>_xlfn.CONCAT("ORD-",INDEX(Helper!$B$2:$B$5,MATCH(Data[[#This Row],[Marketplace]],Helper!$A$2:$A$5,0)),TEXT(Data[[#This Row],[No]],"0000"),"-",TEXT(Data[[#This Row],[Tanggal terjual]],"dd/mm/yy"))</f>
        <v>ORD-TK0703-06/04/23</v>
      </c>
      <c r="C704" t="s">
        <v>61</v>
      </c>
      <c r="D704" t="str">
        <f>IFERROR(INDEX(Katalog!$A$3:$A$12,MATCH(Data[[#This Row],[ItemID A]],Katalog!$C$3:$C$12,0)),"-")</f>
        <v>Pakaian Pria</v>
      </c>
      <c r="E704" t="str">
        <f>IFERROR(INDEX(Katalog!$B$3:$B$12,MATCH(Data[[#This Row],[ItemID A]],Katalog!$C$3:$C$12,0)),"-")</f>
        <v>Kaos Polo</v>
      </c>
      <c r="F704">
        <v>1</v>
      </c>
      <c r="G704">
        <v>2</v>
      </c>
      <c r="H704" s="36">
        <f>IFERROR(INDEX(Katalog!$D$3:$D$12,MATCH(Data[[#This Row],[ItemID A]],Katalog!$C$3:$C$12,0))*Data[[#This Row],[Qty A]],"0")</f>
        <v>200000</v>
      </c>
      <c r="I704" s="36">
        <f>IFERROR(INDEX(Katalog!$F$3:$F$12,MATCH(Data[[#This Row],[ItemID A]],Katalog!$C$3:$C$12,0))*Data[[#This Row],[Qty A]],0)</f>
        <v>80000</v>
      </c>
      <c r="K704" t="str">
        <f>IFERROR(INDEX(Katalog!$A$3:$A$12,MATCH(Data[[#This Row],[ItemID B]],Katalog!$C$3:$C$12,0)),"-")</f>
        <v>-</v>
      </c>
      <c r="L704" t="str">
        <f>IFERROR(INDEX(Katalog!$B$3:$B$12,MATCH(Data[[#This Row],[ItemID B]],Katalog!$C$3:$C$12,0)),"-")</f>
        <v>-</v>
      </c>
      <c r="O704" s="36" t="str">
        <f>IFERROR(INDEX(Katalog!$D$3:$D$12,MATCH(Data[[#This Row],[ItemID B]],Katalog!$C$3:$C$12,0))*Data[[#This Row],[Qty B]],"0")</f>
        <v>0</v>
      </c>
      <c r="P704" s="36" t="str">
        <f>IFERROR(INDEX(Katalog!$F$3:$F$12,MATCH(Data[[#This Row],[ItemID B]],Katalog!$C$3:$C$12,0))*Data[[#This Row],[Qty B]],"0")</f>
        <v>0</v>
      </c>
      <c r="R704" t="str">
        <f>IFERROR(INDEX(Katalog!$A$3:$A$12,MATCH(Data[[#This Row],[ItemID C]],Katalog!$C$3:$C$12,0)),"-")</f>
        <v>-</v>
      </c>
      <c r="S704" t="str">
        <f>IFERROR(INDEX(Katalog!$B$3:$B$12,MATCH(Data[[#This Row],[ItemID C]],Katalog!$C$3:$C$12,0)),"-")</f>
        <v>-</v>
      </c>
      <c r="V704" s="36" t="str">
        <f>IFERROR(INDEX(Katalog!$D$3:$D$12,MATCH(Data[[#This Row],[ItemID C]],Katalog!$C$3:$C$12,0))*Data[[#This Row],[Qty C]],"0")</f>
        <v>0</v>
      </c>
      <c r="W704" s="36" t="str">
        <f>IFERROR(INDEX(Katalog!$F$3:$F$12,MATCH(Data[[#This Row],[ItemID C]],Katalog!$C$3:$C$12,0))*Data[[#This Row],[Qty C]],"0")</f>
        <v>0</v>
      </c>
      <c r="X704" s="21">
        <f>Data[[#This Row],[Qty A]]+Data[[#This Row],[Qty B]]+Data[[#This Row],[Qty C]]</f>
        <v>1</v>
      </c>
      <c r="Y704" s="22">
        <f>Data[[#This Row],[Harga Barang A]]+Data[[#This Row],[Harga Barang B]]+Data[[#This Row],[Harga Barang C]]</f>
        <v>200000</v>
      </c>
      <c r="Z704" s="35">
        <f>IFERROR(Data[[#This Row],[Total Harga]]-(Data[[#This Row],[Total Harga]]*Data[[#This Row],[Diskon]]),Data[[#This Row],[Total Harga]])</f>
        <v>180000</v>
      </c>
      <c r="AA704" s="35">
        <f>(Data[[#This Row],[Profit A]]+Data[[#This Row],[Profit B]]+Data[[#This Row],[Profit C]])</f>
        <v>80000</v>
      </c>
      <c r="AB704" s="35">
        <f>IFERROR((Data[[#This Row],[Profit non Diskon]]-(Data[[#This Row],[Profit non Diskon]]*Data[[#This Row],[Diskon]])),Data[[#This Row],[Profit non Diskon]])</f>
        <v>72000</v>
      </c>
      <c r="AC704" s="23" t="s">
        <v>30</v>
      </c>
      <c r="AD704" s="37">
        <f>IFERROR(INDEX('Kode Diskon'!$D$3:$D$9,MATCH(Data[[#This Row],[Kode diskon]],'Kode Diskon'!$C$3:$C$9,0)),"-")</f>
        <v>0.1</v>
      </c>
      <c r="AE704" s="23" t="s">
        <v>29</v>
      </c>
      <c r="AF704" s="23" t="s">
        <v>10</v>
      </c>
      <c r="AG704" s="23" t="s">
        <v>76</v>
      </c>
      <c r="AH704" s="24">
        <v>45022</v>
      </c>
      <c r="AI704" s="23" t="str">
        <f>TEXT(Data[[#This Row],[Tanggal terjual]],"dddd")</f>
        <v>Thursday</v>
      </c>
      <c r="AJ704" s="21" t="str">
        <f>TEXT(Data[[#This Row],[Tanggal terjual]],"wwww")</f>
        <v>wwww</v>
      </c>
    </row>
    <row r="705" spans="1:36" x14ac:dyDescent="0.2">
      <c r="A705" s="20">
        <v>704</v>
      </c>
      <c r="B705" s="21" t="str">
        <f>_xlfn.CONCAT("ORD-",INDEX(Helper!$B$2:$B$5,MATCH(Data[[#This Row],[Marketplace]],Helper!$A$2:$A$5,0)),TEXT(Data[[#This Row],[No]],"0000"),"-",TEXT(Data[[#This Row],[Tanggal terjual]],"dd/mm/yy"))</f>
        <v>ORD-TK0704-01/04/23</v>
      </c>
      <c r="C705" t="s">
        <v>58</v>
      </c>
      <c r="D705" t="str">
        <f>IFERROR(INDEX(Katalog!$A$3:$A$12,MATCH(Data[[#This Row],[ItemID A]],Katalog!$C$3:$C$12,0)),"-")</f>
        <v>Pakaian Wanita</v>
      </c>
      <c r="E705" t="str">
        <f>IFERROR(INDEX(Katalog!$B$3:$B$12,MATCH(Data[[#This Row],[ItemID A]],Katalog!$C$3:$C$12,0)),"-")</f>
        <v>Dress</v>
      </c>
      <c r="F705">
        <v>4</v>
      </c>
      <c r="G705">
        <v>2</v>
      </c>
      <c r="H705" s="36">
        <f>IFERROR(INDEX(Katalog!$D$3:$D$12,MATCH(Data[[#This Row],[ItemID A]],Katalog!$C$3:$C$12,0))*Data[[#This Row],[Qty A]],"0")</f>
        <v>1200000</v>
      </c>
      <c r="I705" s="36">
        <f>IFERROR(INDEX(Katalog!$F$3:$F$12,MATCH(Data[[#This Row],[ItemID A]],Katalog!$C$3:$C$12,0))*Data[[#This Row],[Qty A]],0)</f>
        <v>400000</v>
      </c>
      <c r="J705" t="s">
        <v>65</v>
      </c>
      <c r="K705" t="str">
        <f>IFERROR(INDEX(Katalog!$A$3:$A$12,MATCH(Data[[#This Row],[ItemID B]],Katalog!$C$3:$C$12,0)),"-")</f>
        <v>Sepatu Pria</v>
      </c>
      <c r="L705" t="str">
        <f>IFERROR(INDEX(Katalog!$B$3:$B$12,MATCH(Data[[#This Row],[ItemID B]],Katalog!$C$3:$C$12,0)),"-")</f>
        <v>Sneakers</v>
      </c>
      <c r="M705">
        <v>3</v>
      </c>
      <c r="N705">
        <v>2</v>
      </c>
      <c r="O705" s="36">
        <f>IFERROR(INDEX(Katalog!$D$3:$D$12,MATCH(Data[[#This Row],[ItemID B]],Katalog!$C$3:$C$12,0))*Data[[#This Row],[Qty B]],"0")</f>
        <v>1500000</v>
      </c>
      <c r="P705" s="36">
        <f>IFERROR(INDEX(Katalog!$F$3:$F$12,MATCH(Data[[#This Row],[ItemID B]],Katalog!$C$3:$C$12,0))*Data[[#This Row],[Qty B]],"0")</f>
        <v>600000</v>
      </c>
      <c r="R705" t="str">
        <f>IFERROR(INDEX(Katalog!$A$3:$A$12,MATCH(Data[[#This Row],[ItemID C]],Katalog!$C$3:$C$12,0)),"-")</f>
        <v>-</v>
      </c>
      <c r="S705" t="str">
        <f>IFERROR(INDEX(Katalog!$B$3:$B$12,MATCH(Data[[#This Row],[ItemID C]],Katalog!$C$3:$C$12,0)),"-")</f>
        <v>-</v>
      </c>
      <c r="V705" s="36" t="str">
        <f>IFERROR(INDEX(Katalog!$D$3:$D$12,MATCH(Data[[#This Row],[ItemID C]],Katalog!$C$3:$C$12,0))*Data[[#This Row],[Qty C]],"0")</f>
        <v>0</v>
      </c>
      <c r="W705" s="36" t="str">
        <f>IFERROR(INDEX(Katalog!$F$3:$F$12,MATCH(Data[[#This Row],[ItemID C]],Katalog!$C$3:$C$12,0))*Data[[#This Row],[Qty C]],"0")</f>
        <v>0</v>
      </c>
      <c r="X705" s="21">
        <f>Data[[#This Row],[Qty A]]+Data[[#This Row],[Qty B]]+Data[[#This Row],[Qty C]]</f>
        <v>7</v>
      </c>
      <c r="Y705" s="22">
        <f>Data[[#This Row],[Harga Barang A]]+Data[[#This Row],[Harga Barang B]]+Data[[#This Row],[Harga Barang C]]</f>
        <v>2700000</v>
      </c>
      <c r="Z705" s="35">
        <f>IFERROR(Data[[#This Row],[Total Harga]]-(Data[[#This Row],[Total Harga]]*Data[[#This Row],[Diskon]]),Data[[#This Row],[Total Harga]])</f>
        <v>2430000</v>
      </c>
      <c r="AA705" s="35">
        <f>(Data[[#This Row],[Profit A]]+Data[[#This Row],[Profit B]]+Data[[#This Row],[Profit C]])</f>
        <v>1000000</v>
      </c>
      <c r="AB705" s="35">
        <f>IFERROR((Data[[#This Row],[Profit non Diskon]]-(Data[[#This Row],[Profit non Diskon]]*Data[[#This Row],[Diskon]])),Data[[#This Row],[Profit non Diskon]])</f>
        <v>900000</v>
      </c>
      <c r="AC705" s="23" t="s">
        <v>30</v>
      </c>
      <c r="AD705" s="37">
        <f>IFERROR(INDEX('Kode Diskon'!$D$3:$D$9,MATCH(Data[[#This Row],[Kode diskon]],'Kode Diskon'!$C$3:$C$9,0)),"-")</f>
        <v>0.1</v>
      </c>
      <c r="AE705" s="23" t="s">
        <v>29</v>
      </c>
      <c r="AF705" s="23" t="s">
        <v>10</v>
      </c>
      <c r="AG705" s="23" t="s">
        <v>76</v>
      </c>
      <c r="AH705" s="24">
        <v>45017</v>
      </c>
      <c r="AI705" s="23" t="str">
        <f>TEXT(Data[[#This Row],[Tanggal terjual]],"dddd")</f>
        <v>Saturday</v>
      </c>
      <c r="AJ705" s="21" t="str">
        <f>TEXT(Data[[#This Row],[Tanggal terjual]],"wwww")</f>
        <v>wwww</v>
      </c>
    </row>
    <row r="706" spans="1:36" x14ac:dyDescent="0.2">
      <c r="A706" s="20">
        <v>705</v>
      </c>
      <c r="B706" s="21" t="str">
        <f>_xlfn.CONCAT("ORD-",INDEX(Helper!$B$2:$B$5,MATCH(Data[[#This Row],[Marketplace]],Helper!$A$2:$A$5,0)),TEXT(Data[[#This Row],[No]],"0000"),"-",TEXT(Data[[#This Row],[Tanggal terjual]],"dd/mm/yy"))</f>
        <v>ORD-TK0705-30/04/23</v>
      </c>
      <c r="C706" t="s">
        <v>61</v>
      </c>
      <c r="D706" t="str">
        <f>IFERROR(INDEX(Katalog!$A$3:$A$12,MATCH(Data[[#This Row],[ItemID A]],Katalog!$C$3:$C$12,0)),"-")</f>
        <v>Pakaian Pria</v>
      </c>
      <c r="E706" t="str">
        <f>IFERROR(INDEX(Katalog!$B$3:$B$12,MATCH(Data[[#This Row],[ItemID A]],Katalog!$C$3:$C$12,0)),"-")</f>
        <v>Kaos Polo</v>
      </c>
      <c r="F706">
        <v>2</v>
      </c>
      <c r="G706">
        <v>3</v>
      </c>
      <c r="H706" s="36">
        <f>IFERROR(INDEX(Katalog!$D$3:$D$12,MATCH(Data[[#This Row],[ItemID A]],Katalog!$C$3:$C$12,0))*Data[[#This Row],[Qty A]],"0")</f>
        <v>400000</v>
      </c>
      <c r="I706" s="36">
        <f>IFERROR(INDEX(Katalog!$F$3:$F$12,MATCH(Data[[#This Row],[ItemID A]],Katalog!$C$3:$C$12,0))*Data[[#This Row],[Qty A]],0)</f>
        <v>160000</v>
      </c>
      <c r="K706" t="str">
        <f>IFERROR(INDEX(Katalog!$A$3:$A$12,MATCH(Data[[#This Row],[ItemID B]],Katalog!$C$3:$C$12,0)),"-")</f>
        <v>-</v>
      </c>
      <c r="L706" t="str">
        <f>IFERROR(INDEX(Katalog!$B$3:$B$12,MATCH(Data[[#This Row],[ItemID B]],Katalog!$C$3:$C$12,0)),"-")</f>
        <v>-</v>
      </c>
      <c r="O706" s="36" t="str">
        <f>IFERROR(INDEX(Katalog!$D$3:$D$12,MATCH(Data[[#This Row],[ItemID B]],Katalog!$C$3:$C$12,0))*Data[[#This Row],[Qty B]],"0")</f>
        <v>0</v>
      </c>
      <c r="P706" s="36" t="str">
        <f>IFERROR(INDEX(Katalog!$F$3:$F$12,MATCH(Data[[#This Row],[ItemID B]],Katalog!$C$3:$C$12,0))*Data[[#This Row],[Qty B]],"0")</f>
        <v>0</v>
      </c>
      <c r="R706" t="str">
        <f>IFERROR(INDEX(Katalog!$A$3:$A$12,MATCH(Data[[#This Row],[ItemID C]],Katalog!$C$3:$C$12,0)),"-")</f>
        <v>-</v>
      </c>
      <c r="S706" t="str">
        <f>IFERROR(INDEX(Katalog!$B$3:$B$12,MATCH(Data[[#This Row],[ItemID C]],Katalog!$C$3:$C$12,0)),"-")</f>
        <v>-</v>
      </c>
      <c r="V706" s="36" t="str">
        <f>IFERROR(INDEX(Katalog!$D$3:$D$12,MATCH(Data[[#This Row],[ItemID C]],Katalog!$C$3:$C$12,0))*Data[[#This Row],[Qty C]],"0")</f>
        <v>0</v>
      </c>
      <c r="W706" s="36" t="str">
        <f>IFERROR(INDEX(Katalog!$F$3:$F$12,MATCH(Data[[#This Row],[ItemID C]],Katalog!$C$3:$C$12,0))*Data[[#This Row],[Qty C]],"0")</f>
        <v>0</v>
      </c>
      <c r="X706" s="21">
        <f>Data[[#This Row],[Qty A]]+Data[[#This Row],[Qty B]]+Data[[#This Row],[Qty C]]</f>
        <v>2</v>
      </c>
      <c r="Y706" s="22">
        <f>Data[[#This Row],[Harga Barang A]]+Data[[#This Row],[Harga Barang B]]+Data[[#This Row],[Harga Barang C]]</f>
        <v>400000</v>
      </c>
      <c r="Z706" s="35">
        <f>IFERROR(Data[[#This Row],[Total Harga]]-(Data[[#This Row],[Total Harga]]*Data[[#This Row],[Diskon]]),Data[[#This Row],[Total Harga]])</f>
        <v>360000</v>
      </c>
      <c r="AA706" s="35">
        <f>(Data[[#This Row],[Profit A]]+Data[[#This Row],[Profit B]]+Data[[#This Row],[Profit C]])</f>
        <v>160000</v>
      </c>
      <c r="AB706" s="35">
        <f>IFERROR((Data[[#This Row],[Profit non Diskon]]-(Data[[#This Row],[Profit non Diskon]]*Data[[#This Row],[Diskon]])),Data[[#This Row],[Profit non Diskon]])</f>
        <v>144000</v>
      </c>
      <c r="AC706" s="23" t="s">
        <v>31</v>
      </c>
      <c r="AD706" s="37">
        <f>IFERROR(INDEX('Kode Diskon'!$D$3:$D$9,MATCH(Data[[#This Row],[Kode diskon]],'Kode Diskon'!$C$3:$C$9,0)),"-")</f>
        <v>0.1</v>
      </c>
      <c r="AE706" s="23" t="s">
        <v>9</v>
      </c>
      <c r="AF706" s="23" t="s">
        <v>10</v>
      </c>
      <c r="AG706" s="23" t="s">
        <v>77</v>
      </c>
      <c r="AH706" s="24">
        <v>45046</v>
      </c>
      <c r="AI706" s="23" t="str">
        <f>TEXT(Data[[#This Row],[Tanggal terjual]],"dddd")</f>
        <v>Sunday</v>
      </c>
      <c r="AJ706" s="21" t="str">
        <f>TEXT(Data[[#This Row],[Tanggal terjual]],"wwww")</f>
        <v>wwww</v>
      </c>
    </row>
    <row r="707" spans="1:36" x14ac:dyDescent="0.2">
      <c r="A707" s="20">
        <v>706</v>
      </c>
      <c r="B707" s="21" t="str">
        <f>_xlfn.CONCAT("ORD-",INDEX(Helper!$B$2:$B$5,MATCH(Data[[#This Row],[Marketplace]],Helper!$A$2:$A$5,0)),TEXT(Data[[#This Row],[No]],"0000"),"-",TEXT(Data[[#This Row],[Tanggal terjual]],"dd/mm/yy"))</f>
        <v>ORD-TK0706-02/04/23</v>
      </c>
      <c r="C707" t="s">
        <v>63</v>
      </c>
      <c r="D707" t="str">
        <f>IFERROR(INDEX(Katalog!$A$3:$A$12,MATCH(Data[[#This Row],[ItemID A]],Katalog!$C$3:$C$12,0)),"-")</f>
        <v>Pakaian Pria</v>
      </c>
      <c r="E707" t="str">
        <f>IFERROR(INDEX(Katalog!$B$3:$B$12,MATCH(Data[[#This Row],[ItemID A]],Katalog!$C$3:$C$12,0)),"-")</f>
        <v>Jaket Jeans</v>
      </c>
      <c r="F707">
        <v>2</v>
      </c>
      <c r="G707">
        <v>2</v>
      </c>
      <c r="H707" s="36">
        <f>IFERROR(INDEX(Katalog!$D$3:$D$12,MATCH(Data[[#This Row],[ItemID A]],Katalog!$C$3:$C$12,0))*Data[[#This Row],[Qty A]],"0")</f>
        <v>800000</v>
      </c>
      <c r="I707" s="36">
        <f>IFERROR(INDEX(Katalog!$F$3:$F$12,MATCH(Data[[#This Row],[ItemID A]],Katalog!$C$3:$C$12,0))*Data[[#This Row],[Qty A]],0)</f>
        <v>300000</v>
      </c>
      <c r="J707" t="s">
        <v>58</v>
      </c>
      <c r="K707" t="str">
        <f>IFERROR(INDEX(Katalog!$A$3:$A$12,MATCH(Data[[#This Row],[ItemID B]],Katalog!$C$3:$C$12,0)),"-")</f>
        <v>Pakaian Wanita</v>
      </c>
      <c r="L707" t="str">
        <f>IFERROR(INDEX(Katalog!$B$3:$B$12,MATCH(Data[[#This Row],[ItemID B]],Katalog!$C$3:$C$12,0)),"-")</f>
        <v>Dress</v>
      </c>
      <c r="M707">
        <v>4</v>
      </c>
      <c r="N707">
        <v>5</v>
      </c>
      <c r="O707" s="36">
        <f>IFERROR(INDEX(Katalog!$D$3:$D$12,MATCH(Data[[#This Row],[ItemID B]],Katalog!$C$3:$C$12,0))*Data[[#This Row],[Qty B]],"0")</f>
        <v>1200000</v>
      </c>
      <c r="P707" s="36">
        <f>IFERROR(INDEX(Katalog!$F$3:$F$12,MATCH(Data[[#This Row],[ItemID B]],Katalog!$C$3:$C$12,0))*Data[[#This Row],[Qty B]],"0")</f>
        <v>400000</v>
      </c>
      <c r="R707" t="str">
        <f>IFERROR(INDEX(Katalog!$A$3:$A$12,MATCH(Data[[#This Row],[ItemID C]],Katalog!$C$3:$C$12,0)),"-")</f>
        <v>-</v>
      </c>
      <c r="S707" t="str">
        <f>IFERROR(INDEX(Katalog!$B$3:$B$12,MATCH(Data[[#This Row],[ItemID C]],Katalog!$C$3:$C$12,0)),"-")</f>
        <v>-</v>
      </c>
      <c r="V707" s="36" t="str">
        <f>IFERROR(INDEX(Katalog!$D$3:$D$12,MATCH(Data[[#This Row],[ItemID C]],Katalog!$C$3:$C$12,0))*Data[[#This Row],[Qty C]],"0")</f>
        <v>0</v>
      </c>
      <c r="W707" s="36" t="str">
        <f>IFERROR(INDEX(Katalog!$F$3:$F$12,MATCH(Data[[#This Row],[ItemID C]],Katalog!$C$3:$C$12,0))*Data[[#This Row],[Qty C]],"0")</f>
        <v>0</v>
      </c>
      <c r="X707" s="21">
        <f>Data[[#This Row],[Qty A]]+Data[[#This Row],[Qty B]]+Data[[#This Row],[Qty C]]</f>
        <v>6</v>
      </c>
      <c r="Y707" s="22">
        <f>Data[[#This Row],[Harga Barang A]]+Data[[#This Row],[Harga Barang B]]+Data[[#This Row],[Harga Barang C]]</f>
        <v>2000000</v>
      </c>
      <c r="Z707" s="35">
        <f>IFERROR(Data[[#This Row],[Total Harga]]-(Data[[#This Row],[Total Harga]]*Data[[#This Row],[Diskon]]),Data[[#This Row],[Total Harga]])</f>
        <v>1800000</v>
      </c>
      <c r="AA707" s="35">
        <f>(Data[[#This Row],[Profit A]]+Data[[#This Row],[Profit B]]+Data[[#This Row],[Profit C]])</f>
        <v>700000</v>
      </c>
      <c r="AB707" s="35">
        <f>IFERROR((Data[[#This Row],[Profit non Diskon]]-(Data[[#This Row],[Profit non Diskon]]*Data[[#This Row],[Diskon]])),Data[[#This Row],[Profit non Diskon]])</f>
        <v>630000</v>
      </c>
      <c r="AC707" s="23" t="s">
        <v>30</v>
      </c>
      <c r="AD707" s="37">
        <f>IFERROR(INDEX('Kode Diskon'!$D$3:$D$9,MATCH(Data[[#This Row],[Kode diskon]],'Kode Diskon'!$C$3:$C$9,0)),"-")</f>
        <v>0.1</v>
      </c>
      <c r="AE707" s="23" t="s">
        <v>29</v>
      </c>
      <c r="AF707" s="23" t="s">
        <v>10</v>
      </c>
      <c r="AG707" s="23" t="s">
        <v>79</v>
      </c>
      <c r="AH707" s="24">
        <v>45018</v>
      </c>
      <c r="AI707" s="23" t="str">
        <f>TEXT(Data[[#This Row],[Tanggal terjual]],"dddd")</f>
        <v>Sunday</v>
      </c>
      <c r="AJ707" s="21" t="str">
        <f>TEXT(Data[[#This Row],[Tanggal terjual]],"wwww")</f>
        <v>wwww</v>
      </c>
    </row>
    <row r="708" spans="1:36" x14ac:dyDescent="0.2">
      <c r="A708" s="20">
        <v>707</v>
      </c>
      <c r="B708" s="21" t="str">
        <f>_xlfn.CONCAT("ORD-",INDEX(Helper!$B$2:$B$5,MATCH(Data[[#This Row],[Marketplace]],Helper!$A$2:$A$5,0)),TEXT(Data[[#This Row],[No]],"0000"),"-",TEXT(Data[[#This Row],[Tanggal terjual]],"dd/mm/yy"))</f>
        <v>ORD-SP0707-06/04/23</v>
      </c>
      <c r="C708" t="s">
        <v>59</v>
      </c>
      <c r="D708" t="str">
        <f>IFERROR(INDEX(Katalog!$A$3:$A$12,MATCH(Data[[#This Row],[ItemID A]],Katalog!$C$3:$C$12,0)),"-")</f>
        <v>Pakaian Wanita</v>
      </c>
      <c r="E708" t="str">
        <f>IFERROR(INDEX(Katalog!$B$3:$B$12,MATCH(Data[[#This Row],[ItemID A]],Katalog!$C$3:$C$12,0)),"-")</f>
        <v>Blouse</v>
      </c>
      <c r="F708">
        <v>4</v>
      </c>
      <c r="G708">
        <v>3</v>
      </c>
      <c r="H708" s="36">
        <f>IFERROR(INDEX(Katalog!$D$3:$D$12,MATCH(Data[[#This Row],[ItemID A]],Katalog!$C$3:$C$12,0))*Data[[#This Row],[Qty A]],"0")</f>
        <v>600000</v>
      </c>
      <c r="I708" s="36">
        <f>IFERROR(INDEX(Katalog!$F$3:$F$12,MATCH(Data[[#This Row],[ItemID A]],Katalog!$C$3:$C$12,0))*Data[[#This Row],[Qty A]],0)</f>
        <v>200000</v>
      </c>
      <c r="K708" t="str">
        <f>IFERROR(INDEX(Katalog!$A$3:$A$12,MATCH(Data[[#This Row],[ItemID B]],Katalog!$C$3:$C$12,0)),"-")</f>
        <v>-</v>
      </c>
      <c r="L708" t="str">
        <f>IFERROR(INDEX(Katalog!$B$3:$B$12,MATCH(Data[[#This Row],[ItemID B]],Katalog!$C$3:$C$12,0)),"-")</f>
        <v>-</v>
      </c>
      <c r="O708" s="36" t="str">
        <f>IFERROR(INDEX(Katalog!$D$3:$D$12,MATCH(Data[[#This Row],[ItemID B]],Katalog!$C$3:$C$12,0))*Data[[#This Row],[Qty B]],"0")</f>
        <v>0</v>
      </c>
      <c r="P708" s="36" t="str">
        <f>IFERROR(INDEX(Katalog!$F$3:$F$12,MATCH(Data[[#This Row],[ItemID B]],Katalog!$C$3:$C$12,0))*Data[[#This Row],[Qty B]],"0")</f>
        <v>0</v>
      </c>
      <c r="R708" t="str">
        <f>IFERROR(INDEX(Katalog!$A$3:$A$12,MATCH(Data[[#This Row],[ItemID C]],Katalog!$C$3:$C$12,0)),"-")</f>
        <v>-</v>
      </c>
      <c r="S708" t="str">
        <f>IFERROR(INDEX(Katalog!$B$3:$B$12,MATCH(Data[[#This Row],[ItemID C]],Katalog!$C$3:$C$12,0)),"-")</f>
        <v>-</v>
      </c>
      <c r="V708" s="36" t="str">
        <f>IFERROR(INDEX(Katalog!$D$3:$D$12,MATCH(Data[[#This Row],[ItemID C]],Katalog!$C$3:$C$12,0))*Data[[#This Row],[Qty C]],"0")</f>
        <v>0</v>
      </c>
      <c r="W708" s="36" t="str">
        <f>IFERROR(INDEX(Katalog!$F$3:$F$12,MATCH(Data[[#This Row],[ItemID C]],Katalog!$C$3:$C$12,0))*Data[[#This Row],[Qty C]],"0")</f>
        <v>0</v>
      </c>
      <c r="X708" s="21">
        <f>Data[[#This Row],[Qty A]]+Data[[#This Row],[Qty B]]+Data[[#This Row],[Qty C]]</f>
        <v>4</v>
      </c>
      <c r="Y708" s="22">
        <f>Data[[#This Row],[Harga Barang A]]+Data[[#This Row],[Harga Barang B]]+Data[[#This Row],[Harga Barang C]]</f>
        <v>600000</v>
      </c>
      <c r="Z708" s="35">
        <f>IFERROR(Data[[#This Row],[Total Harga]]-(Data[[#This Row],[Total Harga]]*Data[[#This Row],[Diskon]]),Data[[#This Row],[Total Harga]])</f>
        <v>540000</v>
      </c>
      <c r="AA708" s="35">
        <f>(Data[[#This Row],[Profit A]]+Data[[#This Row],[Profit B]]+Data[[#This Row],[Profit C]])</f>
        <v>200000</v>
      </c>
      <c r="AB708" s="35">
        <f>IFERROR((Data[[#This Row],[Profit non Diskon]]-(Data[[#This Row],[Profit non Diskon]]*Data[[#This Row],[Diskon]])),Data[[#This Row],[Profit non Diskon]])</f>
        <v>180000</v>
      </c>
      <c r="AC708" s="23" t="s">
        <v>6</v>
      </c>
      <c r="AD708" s="37">
        <f>IFERROR(INDEX('Kode Diskon'!$D$3:$D$9,MATCH(Data[[#This Row],[Kode diskon]],'Kode Diskon'!$C$3:$C$9,0)),"-")</f>
        <v>0.1</v>
      </c>
      <c r="AE708" s="23" t="s">
        <v>29</v>
      </c>
      <c r="AF708" s="23" t="s">
        <v>7</v>
      </c>
      <c r="AG708" s="23" t="s">
        <v>79</v>
      </c>
      <c r="AH708" s="24">
        <v>45022</v>
      </c>
      <c r="AI708" s="23" t="str">
        <f>TEXT(Data[[#This Row],[Tanggal terjual]],"dddd")</f>
        <v>Thursday</v>
      </c>
      <c r="AJ708" s="21" t="str">
        <f>TEXT(Data[[#This Row],[Tanggal terjual]],"wwww")</f>
        <v>wwww</v>
      </c>
    </row>
    <row r="709" spans="1:36" x14ac:dyDescent="0.2">
      <c r="A709" s="20">
        <v>708</v>
      </c>
      <c r="B709" s="21" t="str">
        <f>_xlfn.CONCAT("ORD-",INDEX(Helper!$B$2:$B$5,MATCH(Data[[#This Row],[Marketplace]],Helper!$A$2:$A$5,0)),TEXT(Data[[#This Row],[No]],"0000"),"-",TEXT(Data[[#This Row],[Tanggal terjual]],"dd/mm/yy"))</f>
        <v>ORD-SP0708-05/04/23</v>
      </c>
      <c r="C709" t="s">
        <v>67</v>
      </c>
      <c r="D709" t="str">
        <f>IFERROR(INDEX(Katalog!$A$3:$A$12,MATCH(Data[[#This Row],[ItemID A]],Katalog!$C$3:$C$12,0)),"-")</f>
        <v>Sepatu Wanita</v>
      </c>
      <c r="E709" t="str">
        <f>IFERROR(INDEX(Katalog!$B$3:$B$12,MATCH(Data[[#This Row],[ItemID A]],Katalog!$C$3:$C$12,0)),"-")</f>
        <v>Flat Shoes</v>
      </c>
      <c r="F709">
        <v>2</v>
      </c>
      <c r="G709">
        <v>4</v>
      </c>
      <c r="H709" s="36">
        <f>IFERROR(INDEX(Katalog!$D$3:$D$12,MATCH(Data[[#This Row],[ItemID A]],Katalog!$C$3:$C$12,0))*Data[[#This Row],[Qty A]],"0")</f>
        <v>500000</v>
      </c>
      <c r="I709" s="36">
        <f>IFERROR(INDEX(Katalog!$F$3:$F$12,MATCH(Data[[#This Row],[ItemID A]],Katalog!$C$3:$C$12,0))*Data[[#This Row],[Qty A]],0)</f>
        <v>200000</v>
      </c>
      <c r="J709" t="s">
        <v>63</v>
      </c>
      <c r="K709" t="str">
        <f>IFERROR(INDEX(Katalog!$A$3:$A$12,MATCH(Data[[#This Row],[ItemID B]],Katalog!$C$3:$C$12,0)),"-")</f>
        <v>Pakaian Pria</v>
      </c>
      <c r="L709" t="str">
        <f>IFERROR(INDEX(Katalog!$B$3:$B$12,MATCH(Data[[#This Row],[ItemID B]],Katalog!$C$3:$C$12,0)),"-")</f>
        <v>Jaket Jeans</v>
      </c>
      <c r="M709">
        <v>3</v>
      </c>
      <c r="N709">
        <v>4</v>
      </c>
      <c r="O709" s="36">
        <f>IFERROR(INDEX(Katalog!$D$3:$D$12,MATCH(Data[[#This Row],[ItemID B]],Katalog!$C$3:$C$12,0))*Data[[#This Row],[Qty B]],"0")</f>
        <v>1200000</v>
      </c>
      <c r="P709" s="36">
        <f>IFERROR(INDEX(Katalog!$F$3:$F$12,MATCH(Data[[#This Row],[ItemID B]],Katalog!$C$3:$C$12,0))*Data[[#This Row],[Qty B]],"0")</f>
        <v>450000</v>
      </c>
      <c r="Q709" t="s">
        <v>67</v>
      </c>
      <c r="R709" t="str">
        <f>IFERROR(INDEX(Katalog!$A$3:$A$12,MATCH(Data[[#This Row],[ItemID C]],Katalog!$C$3:$C$12,0)),"-")</f>
        <v>Sepatu Wanita</v>
      </c>
      <c r="S709" t="str">
        <f>IFERROR(INDEX(Katalog!$B$3:$B$12,MATCH(Data[[#This Row],[ItemID C]],Katalog!$C$3:$C$12,0)),"-")</f>
        <v>Flat Shoes</v>
      </c>
      <c r="T709">
        <v>2</v>
      </c>
      <c r="U709">
        <v>3</v>
      </c>
      <c r="V709" s="36">
        <f>IFERROR(INDEX(Katalog!$D$3:$D$12,MATCH(Data[[#This Row],[ItemID C]],Katalog!$C$3:$C$12,0))*Data[[#This Row],[Qty C]],"0")</f>
        <v>500000</v>
      </c>
      <c r="W709" s="36">
        <f>IFERROR(INDEX(Katalog!$F$3:$F$12,MATCH(Data[[#This Row],[ItemID C]],Katalog!$C$3:$C$12,0))*Data[[#This Row],[Qty C]],"0")</f>
        <v>200000</v>
      </c>
      <c r="X709" s="21">
        <f>Data[[#This Row],[Qty A]]+Data[[#This Row],[Qty B]]+Data[[#This Row],[Qty C]]</f>
        <v>7</v>
      </c>
      <c r="Y709" s="22">
        <f>Data[[#This Row],[Harga Barang A]]+Data[[#This Row],[Harga Barang B]]+Data[[#This Row],[Harga Barang C]]</f>
        <v>2200000</v>
      </c>
      <c r="Z709" s="35">
        <f>IFERROR(Data[[#This Row],[Total Harga]]-(Data[[#This Row],[Total Harga]]*Data[[#This Row],[Diskon]]),Data[[#This Row],[Total Harga]])</f>
        <v>1980000</v>
      </c>
      <c r="AA709" s="35">
        <f>(Data[[#This Row],[Profit A]]+Data[[#This Row],[Profit B]]+Data[[#This Row],[Profit C]])</f>
        <v>850000</v>
      </c>
      <c r="AB709" s="35">
        <f>IFERROR((Data[[#This Row],[Profit non Diskon]]-(Data[[#This Row],[Profit non Diskon]]*Data[[#This Row],[Diskon]])),Data[[#This Row],[Profit non Diskon]])</f>
        <v>765000</v>
      </c>
      <c r="AC709" s="23" t="s">
        <v>6</v>
      </c>
      <c r="AD709" s="37">
        <f>IFERROR(INDEX('Kode Diskon'!$D$3:$D$9,MATCH(Data[[#This Row],[Kode diskon]],'Kode Diskon'!$C$3:$C$9,0)),"-")</f>
        <v>0.1</v>
      </c>
      <c r="AE709" s="23" t="s">
        <v>29</v>
      </c>
      <c r="AF709" s="23" t="s">
        <v>7</v>
      </c>
      <c r="AG709" s="23" t="s">
        <v>79</v>
      </c>
      <c r="AH709" s="24">
        <v>45021</v>
      </c>
      <c r="AI709" s="23" t="str">
        <f>TEXT(Data[[#This Row],[Tanggal terjual]],"dddd")</f>
        <v>Wednesday</v>
      </c>
      <c r="AJ709" s="21" t="str">
        <f>TEXT(Data[[#This Row],[Tanggal terjual]],"wwww")</f>
        <v>wwww</v>
      </c>
    </row>
    <row r="710" spans="1:36" x14ac:dyDescent="0.2">
      <c r="A710" s="20">
        <v>709</v>
      </c>
      <c r="B710" s="21" t="str">
        <f>_xlfn.CONCAT("ORD-",INDEX(Helper!$B$2:$B$5,MATCH(Data[[#This Row],[Marketplace]],Helper!$A$2:$A$5,0)),TEXT(Data[[#This Row],[No]],"0000"),"-",TEXT(Data[[#This Row],[Tanggal terjual]],"dd/mm/yy"))</f>
        <v>ORD-BB0709-06/04/23</v>
      </c>
      <c r="C710" t="s">
        <v>66</v>
      </c>
      <c r="D710" t="str">
        <f>IFERROR(INDEX(Katalog!$A$3:$A$12,MATCH(Data[[#This Row],[ItemID A]],Katalog!$C$3:$C$12,0)),"-")</f>
        <v>Sepatu Pria</v>
      </c>
      <c r="E710" t="str">
        <f>IFERROR(INDEX(Katalog!$B$3:$B$12,MATCH(Data[[#This Row],[ItemID A]],Katalog!$C$3:$C$12,0)),"-")</f>
        <v>Sandal Slip On</v>
      </c>
      <c r="F710">
        <v>1</v>
      </c>
      <c r="G710">
        <v>2</v>
      </c>
      <c r="H710" s="36">
        <f>IFERROR(INDEX(Katalog!$D$3:$D$12,MATCH(Data[[#This Row],[ItemID A]],Katalog!$C$3:$C$12,0))*Data[[#This Row],[Qty A]],"0")</f>
        <v>150000</v>
      </c>
      <c r="I710" s="36">
        <f>IFERROR(INDEX(Katalog!$F$3:$F$12,MATCH(Data[[#This Row],[ItemID A]],Katalog!$C$3:$C$12,0))*Data[[#This Row],[Qty A]],0)</f>
        <v>60000</v>
      </c>
      <c r="J710" t="s">
        <v>60</v>
      </c>
      <c r="K710" t="str">
        <f>IFERROR(INDEX(Katalog!$A$3:$A$12,MATCH(Data[[#This Row],[ItemID B]],Katalog!$C$3:$C$12,0)),"-")</f>
        <v>Pakaian Wanita</v>
      </c>
      <c r="L710" t="str">
        <f>IFERROR(INDEX(Katalog!$B$3:$B$12,MATCH(Data[[#This Row],[ItemID B]],Katalog!$C$3:$C$12,0)),"-")</f>
        <v>Kaftan</v>
      </c>
      <c r="M710">
        <v>1</v>
      </c>
      <c r="N710">
        <v>5</v>
      </c>
      <c r="O710" s="36">
        <f>IFERROR(INDEX(Katalog!$D$3:$D$12,MATCH(Data[[#This Row],[ItemID B]],Katalog!$C$3:$C$12,0))*Data[[#This Row],[Qty B]],"0")</f>
        <v>250000</v>
      </c>
      <c r="P710" s="36">
        <f>IFERROR(INDEX(Katalog!$F$3:$F$12,MATCH(Data[[#This Row],[ItemID B]],Katalog!$C$3:$C$12,0))*Data[[#This Row],[Qty B]],"0")</f>
        <v>100000</v>
      </c>
      <c r="R710" t="str">
        <f>IFERROR(INDEX(Katalog!$A$3:$A$12,MATCH(Data[[#This Row],[ItemID C]],Katalog!$C$3:$C$12,0)),"-")</f>
        <v>-</v>
      </c>
      <c r="S710" t="str">
        <f>IFERROR(INDEX(Katalog!$B$3:$B$12,MATCH(Data[[#This Row],[ItemID C]],Katalog!$C$3:$C$12,0)),"-")</f>
        <v>-</v>
      </c>
      <c r="V710" s="36" t="str">
        <f>IFERROR(INDEX(Katalog!$D$3:$D$12,MATCH(Data[[#This Row],[ItemID C]],Katalog!$C$3:$C$12,0))*Data[[#This Row],[Qty C]],"0")</f>
        <v>0</v>
      </c>
      <c r="W710" s="36" t="str">
        <f>IFERROR(INDEX(Katalog!$F$3:$F$12,MATCH(Data[[#This Row],[ItemID C]],Katalog!$C$3:$C$12,0))*Data[[#This Row],[Qty C]],"0")</f>
        <v>0</v>
      </c>
      <c r="X710" s="21">
        <f>Data[[#This Row],[Qty A]]+Data[[#This Row],[Qty B]]+Data[[#This Row],[Qty C]]</f>
        <v>2</v>
      </c>
      <c r="Y710" s="22">
        <f>Data[[#This Row],[Harga Barang A]]+Data[[#This Row],[Harga Barang B]]+Data[[#This Row],[Harga Barang C]]</f>
        <v>400000</v>
      </c>
      <c r="Z710" s="35">
        <f>IFERROR(Data[[#This Row],[Total Harga]]-(Data[[#This Row],[Total Harga]]*Data[[#This Row],[Diskon]]),Data[[#This Row],[Total Harga]])</f>
        <v>340000</v>
      </c>
      <c r="AA710" s="35">
        <f>(Data[[#This Row],[Profit A]]+Data[[#This Row],[Profit B]]+Data[[#This Row],[Profit C]])</f>
        <v>160000</v>
      </c>
      <c r="AB710" s="35">
        <f>IFERROR((Data[[#This Row],[Profit non Diskon]]-(Data[[#This Row],[Profit non Diskon]]*Data[[#This Row],[Diskon]])),Data[[#This Row],[Profit non Diskon]])</f>
        <v>136000</v>
      </c>
      <c r="AC710" s="23" t="s">
        <v>28</v>
      </c>
      <c r="AD710" s="37">
        <f>IFERROR(INDEX('Kode Diskon'!$D$3:$D$9,MATCH(Data[[#This Row],[Kode diskon]],'Kode Diskon'!$C$3:$C$9,0)),"-")</f>
        <v>0.15</v>
      </c>
      <c r="AE710" s="23" t="s">
        <v>29</v>
      </c>
      <c r="AF710" s="23" t="s">
        <v>14</v>
      </c>
      <c r="AG710" s="23" t="s">
        <v>80</v>
      </c>
      <c r="AH710" s="24">
        <v>45022</v>
      </c>
      <c r="AI710" s="23" t="str">
        <f>TEXT(Data[[#This Row],[Tanggal terjual]],"dddd")</f>
        <v>Thursday</v>
      </c>
      <c r="AJ710" s="21" t="str">
        <f>TEXT(Data[[#This Row],[Tanggal terjual]],"wwww")</f>
        <v>wwww</v>
      </c>
    </row>
    <row r="711" spans="1:36" x14ac:dyDescent="0.2">
      <c r="A711" s="20">
        <v>710</v>
      </c>
      <c r="B711" s="21" t="str">
        <f>_xlfn.CONCAT("ORD-",INDEX(Helper!$B$2:$B$5,MATCH(Data[[#This Row],[Marketplace]],Helper!$A$2:$A$5,0)),TEXT(Data[[#This Row],[No]],"0000"),"-",TEXT(Data[[#This Row],[Tanggal terjual]],"dd/mm/yy"))</f>
        <v>ORD-SP0710-19/04/23</v>
      </c>
      <c r="C711" t="s">
        <v>63</v>
      </c>
      <c r="D711" t="str">
        <f>IFERROR(INDEX(Katalog!$A$3:$A$12,MATCH(Data[[#This Row],[ItemID A]],Katalog!$C$3:$C$12,0)),"-")</f>
        <v>Pakaian Pria</v>
      </c>
      <c r="E711" t="str">
        <f>IFERROR(INDEX(Katalog!$B$3:$B$12,MATCH(Data[[#This Row],[ItemID A]],Katalog!$C$3:$C$12,0)),"-")</f>
        <v>Jaket Jeans</v>
      </c>
      <c r="F711">
        <v>2</v>
      </c>
      <c r="G711">
        <v>4</v>
      </c>
      <c r="H711" s="36">
        <f>IFERROR(INDEX(Katalog!$D$3:$D$12,MATCH(Data[[#This Row],[ItemID A]],Katalog!$C$3:$C$12,0))*Data[[#This Row],[Qty A]],"0")</f>
        <v>800000</v>
      </c>
      <c r="I711" s="36">
        <f>IFERROR(INDEX(Katalog!$F$3:$F$12,MATCH(Data[[#This Row],[ItemID A]],Katalog!$C$3:$C$12,0))*Data[[#This Row],[Qty A]],0)</f>
        <v>300000</v>
      </c>
      <c r="K711" t="str">
        <f>IFERROR(INDEX(Katalog!$A$3:$A$12,MATCH(Data[[#This Row],[ItemID B]],Katalog!$C$3:$C$12,0)),"-")</f>
        <v>-</v>
      </c>
      <c r="L711" t="str">
        <f>IFERROR(INDEX(Katalog!$B$3:$B$12,MATCH(Data[[#This Row],[ItemID B]],Katalog!$C$3:$C$12,0)),"-")</f>
        <v>-</v>
      </c>
      <c r="O711" s="36" t="str">
        <f>IFERROR(INDEX(Katalog!$D$3:$D$12,MATCH(Data[[#This Row],[ItemID B]],Katalog!$C$3:$C$12,0))*Data[[#This Row],[Qty B]],"0")</f>
        <v>0</v>
      </c>
      <c r="P711" s="36" t="str">
        <f>IFERROR(INDEX(Katalog!$F$3:$F$12,MATCH(Data[[#This Row],[ItemID B]],Katalog!$C$3:$C$12,0))*Data[[#This Row],[Qty B]],"0")</f>
        <v>0</v>
      </c>
      <c r="R711" t="str">
        <f>IFERROR(INDEX(Katalog!$A$3:$A$12,MATCH(Data[[#This Row],[ItemID C]],Katalog!$C$3:$C$12,0)),"-")</f>
        <v>-</v>
      </c>
      <c r="S711" t="str">
        <f>IFERROR(INDEX(Katalog!$B$3:$B$12,MATCH(Data[[#This Row],[ItemID C]],Katalog!$C$3:$C$12,0)),"-")</f>
        <v>-</v>
      </c>
      <c r="V711" s="36" t="str">
        <f>IFERROR(INDEX(Katalog!$D$3:$D$12,MATCH(Data[[#This Row],[ItemID C]],Katalog!$C$3:$C$12,0))*Data[[#This Row],[Qty C]],"0")</f>
        <v>0</v>
      </c>
      <c r="W711" s="36" t="str">
        <f>IFERROR(INDEX(Katalog!$F$3:$F$12,MATCH(Data[[#This Row],[ItemID C]],Katalog!$C$3:$C$12,0))*Data[[#This Row],[Qty C]],"0")</f>
        <v>0</v>
      </c>
      <c r="X711" s="21">
        <f>Data[[#This Row],[Qty A]]+Data[[#This Row],[Qty B]]+Data[[#This Row],[Qty C]]</f>
        <v>2</v>
      </c>
      <c r="Y711" s="22">
        <f>Data[[#This Row],[Harga Barang A]]+Data[[#This Row],[Harga Barang B]]+Data[[#This Row],[Harga Barang C]]</f>
        <v>800000</v>
      </c>
      <c r="Z711" s="35">
        <f>IFERROR(Data[[#This Row],[Total Harga]]-(Data[[#This Row],[Total Harga]]*Data[[#This Row],[Diskon]]),Data[[#This Row],[Total Harga]])</f>
        <v>640000</v>
      </c>
      <c r="AA711" s="35">
        <f>(Data[[#This Row],[Profit A]]+Data[[#This Row],[Profit B]]+Data[[#This Row],[Profit C]])</f>
        <v>300000</v>
      </c>
      <c r="AB711" s="35">
        <f>IFERROR((Data[[#This Row],[Profit non Diskon]]-(Data[[#This Row],[Profit non Diskon]]*Data[[#This Row],[Diskon]])),Data[[#This Row],[Profit non Diskon]])</f>
        <v>240000</v>
      </c>
      <c r="AC711" s="23" t="s">
        <v>8</v>
      </c>
      <c r="AD711" s="37">
        <f>IFERROR(INDEX('Kode Diskon'!$D$3:$D$9,MATCH(Data[[#This Row],[Kode diskon]],'Kode Diskon'!$C$3:$C$9,0)),"-")</f>
        <v>0.2</v>
      </c>
      <c r="AE711" s="23" t="s">
        <v>9</v>
      </c>
      <c r="AF711" s="23" t="s">
        <v>7</v>
      </c>
      <c r="AG711" s="23" t="s">
        <v>80</v>
      </c>
      <c r="AH711" s="24">
        <v>45035</v>
      </c>
      <c r="AI711" s="23" t="str">
        <f>TEXT(Data[[#This Row],[Tanggal terjual]],"dddd")</f>
        <v>Wednesday</v>
      </c>
      <c r="AJ711" s="21" t="str">
        <f>TEXT(Data[[#This Row],[Tanggal terjual]],"wwww")</f>
        <v>wwww</v>
      </c>
    </row>
    <row r="712" spans="1:36" x14ac:dyDescent="0.2">
      <c r="A712" s="20">
        <v>711</v>
      </c>
      <c r="B712" s="21" t="str">
        <f>_xlfn.CONCAT("ORD-",INDEX(Helper!$B$2:$B$5,MATCH(Data[[#This Row],[Marketplace]],Helper!$A$2:$A$5,0)),TEXT(Data[[#This Row],[No]],"0000"),"-",TEXT(Data[[#This Row],[Tanggal terjual]],"dd/mm/yy"))</f>
        <v>ORD-TK0711-23/04/23</v>
      </c>
      <c r="C712" t="s">
        <v>58</v>
      </c>
      <c r="D712" t="str">
        <f>IFERROR(INDEX(Katalog!$A$3:$A$12,MATCH(Data[[#This Row],[ItemID A]],Katalog!$C$3:$C$12,0)),"-")</f>
        <v>Pakaian Wanita</v>
      </c>
      <c r="E712" t="str">
        <f>IFERROR(INDEX(Katalog!$B$3:$B$12,MATCH(Data[[#This Row],[ItemID A]],Katalog!$C$3:$C$12,0)),"-")</f>
        <v>Dress</v>
      </c>
      <c r="F712">
        <v>2</v>
      </c>
      <c r="G712">
        <v>5</v>
      </c>
      <c r="H712" s="36">
        <f>IFERROR(INDEX(Katalog!$D$3:$D$12,MATCH(Data[[#This Row],[ItemID A]],Katalog!$C$3:$C$12,0))*Data[[#This Row],[Qty A]],"0")</f>
        <v>600000</v>
      </c>
      <c r="I712" s="36">
        <f>IFERROR(INDEX(Katalog!$F$3:$F$12,MATCH(Data[[#This Row],[ItemID A]],Katalog!$C$3:$C$12,0))*Data[[#This Row],[Qty A]],0)</f>
        <v>200000</v>
      </c>
      <c r="J712" t="s">
        <v>66</v>
      </c>
      <c r="K712" t="str">
        <f>IFERROR(INDEX(Katalog!$A$3:$A$12,MATCH(Data[[#This Row],[ItemID B]],Katalog!$C$3:$C$12,0)),"-")</f>
        <v>Sepatu Pria</v>
      </c>
      <c r="L712" t="str">
        <f>IFERROR(INDEX(Katalog!$B$3:$B$12,MATCH(Data[[#This Row],[ItemID B]],Katalog!$C$3:$C$12,0)),"-")</f>
        <v>Sandal Slip On</v>
      </c>
      <c r="M712">
        <v>3</v>
      </c>
      <c r="N712">
        <v>2</v>
      </c>
      <c r="O712" s="36">
        <f>IFERROR(INDEX(Katalog!$D$3:$D$12,MATCH(Data[[#This Row],[ItemID B]],Katalog!$C$3:$C$12,0))*Data[[#This Row],[Qty B]],"0")</f>
        <v>450000</v>
      </c>
      <c r="P712" s="36">
        <f>IFERROR(INDEX(Katalog!$F$3:$F$12,MATCH(Data[[#This Row],[ItemID B]],Katalog!$C$3:$C$12,0))*Data[[#This Row],[Qty B]],"0")</f>
        <v>180000</v>
      </c>
      <c r="Q712" t="s">
        <v>60</v>
      </c>
      <c r="R712" t="str">
        <f>IFERROR(INDEX(Katalog!$A$3:$A$12,MATCH(Data[[#This Row],[ItemID C]],Katalog!$C$3:$C$12,0)),"-")</f>
        <v>Pakaian Wanita</v>
      </c>
      <c r="S712" t="str">
        <f>IFERROR(INDEX(Katalog!$B$3:$B$12,MATCH(Data[[#This Row],[ItemID C]],Katalog!$C$3:$C$12,0)),"-")</f>
        <v>Kaftan</v>
      </c>
      <c r="T712">
        <v>2</v>
      </c>
      <c r="U712">
        <v>4</v>
      </c>
      <c r="V712" s="36">
        <f>IFERROR(INDEX(Katalog!$D$3:$D$12,MATCH(Data[[#This Row],[ItemID C]],Katalog!$C$3:$C$12,0))*Data[[#This Row],[Qty C]],"0")</f>
        <v>500000</v>
      </c>
      <c r="W712" s="36">
        <f>IFERROR(INDEX(Katalog!$F$3:$F$12,MATCH(Data[[#This Row],[ItemID C]],Katalog!$C$3:$C$12,0))*Data[[#This Row],[Qty C]],"0")</f>
        <v>200000</v>
      </c>
      <c r="X712" s="21">
        <f>Data[[#This Row],[Qty A]]+Data[[#This Row],[Qty B]]+Data[[#This Row],[Qty C]]</f>
        <v>7</v>
      </c>
      <c r="Y712" s="22">
        <f>Data[[#This Row],[Harga Barang A]]+Data[[#This Row],[Harga Barang B]]+Data[[#This Row],[Harga Barang C]]</f>
        <v>1550000</v>
      </c>
      <c r="Z712" s="35">
        <f>IFERROR(Data[[#This Row],[Total Harga]]-(Data[[#This Row],[Total Harga]]*Data[[#This Row],[Diskon]]),Data[[#This Row],[Total Harga]])</f>
        <v>1395000</v>
      </c>
      <c r="AA712" s="35">
        <f>(Data[[#This Row],[Profit A]]+Data[[#This Row],[Profit B]]+Data[[#This Row],[Profit C]])</f>
        <v>580000</v>
      </c>
      <c r="AB712" s="35">
        <f>IFERROR((Data[[#This Row],[Profit non Diskon]]-(Data[[#This Row],[Profit non Diskon]]*Data[[#This Row],[Diskon]])),Data[[#This Row],[Profit non Diskon]])</f>
        <v>522000</v>
      </c>
      <c r="AC712" s="23" t="s">
        <v>31</v>
      </c>
      <c r="AD712" s="37">
        <f>IFERROR(INDEX('Kode Diskon'!$D$3:$D$9,MATCH(Data[[#This Row],[Kode diskon]],'Kode Diskon'!$C$3:$C$9,0)),"-")</f>
        <v>0.1</v>
      </c>
      <c r="AE712" s="23" t="s">
        <v>9</v>
      </c>
      <c r="AF712" s="23" t="s">
        <v>10</v>
      </c>
      <c r="AG712" s="23" t="s">
        <v>76</v>
      </c>
      <c r="AH712" s="24">
        <v>45039</v>
      </c>
      <c r="AI712" s="23" t="str">
        <f>TEXT(Data[[#This Row],[Tanggal terjual]],"dddd")</f>
        <v>Sunday</v>
      </c>
      <c r="AJ712" s="21" t="str">
        <f>TEXT(Data[[#This Row],[Tanggal terjual]],"wwww")</f>
        <v>wwww</v>
      </c>
    </row>
    <row r="713" spans="1:36" x14ac:dyDescent="0.2">
      <c r="A713" s="20">
        <v>712</v>
      </c>
      <c r="B713" s="21" t="str">
        <f>_xlfn.CONCAT("ORD-",INDEX(Helper!$B$2:$B$5,MATCH(Data[[#This Row],[Marketplace]],Helper!$A$2:$A$5,0)),TEXT(Data[[#This Row],[No]],"0000"),"-",TEXT(Data[[#This Row],[Tanggal terjual]],"dd/mm/yy"))</f>
        <v>ORD-BB0712-06/04/23</v>
      </c>
      <c r="C713" t="s">
        <v>65</v>
      </c>
      <c r="D713" t="str">
        <f>IFERROR(INDEX(Katalog!$A$3:$A$12,MATCH(Data[[#This Row],[ItemID A]],Katalog!$C$3:$C$12,0)),"-")</f>
        <v>Sepatu Pria</v>
      </c>
      <c r="E713" t="str">
        <f>IFERROR(INDEX(Katalog!$B$3:$B$12,MATCH(Data[[#This Row],[ItemID A]],Katalog!$C$3:$C$12,0)),"-")</f>
        <v>Sneakers</v>
      </c>
      <c r="F713">
        <v>4</v>
      </c>
      <c r="G713">
        <v>5</v>
      </c>
      <c r="H713" s="36">
        <f>IFERROR(INDEX(Katalog!$D$3:$D$12,MATCH(Data[[#This Row],[ItemID A]],Katalog!$C$3:$C$12,0))*Data[[#This Row],[Qty A]],"0")</f>
        <v>2000000</v>
      </c>
      <c r="I713" s="36">
        <f>IFERROR(INDEX(Katalog!$F$3:$F$12,MATCH(Data[[#This Row],[ItemID A]],Katalog!$C$3:$C$12,0))*Data[[#This Row],[Qty A]],0)</f>
        <v>800000</v>
      </c>
      <c r="K713" t="str">
        <f>IFERROR(INDEX(Katalog!$A$3:$A$12,MATCH(Data[[#This Row],[ItemID B]],Katalog!$C$3:$C$12,0)),"-")</f>
        <v>-</v>
      </c>
      <c r="L713" t="str">
        <f>IFERROR(INDEX(Katalog!$B$3:$B$12,MATCH(Data[[#This Row],[ItemID B]],Katalog!$C$3:$C$12,0)),"-")</f>
        <v>-</v>
      </c>
      <c r="O713" s="36" t="str">
        <f>IFERROR(INDEX(Katalog!$D$3:$D$12,MATCH(Data[[#This Row],[ItemID B]],Katalog!$C$3:$C$12,0))*Data[[#This Row],[Qty B]],"0")</f>
        <v>0</v>
      </c>
      <c r="P713" s="36" t="str">
        <f>IFERROR(INDEX(Katalog!$F$3:$F$12,MATCH(Data[[#This Row],[ItemID B]],Katalog!$C$3:$C$12,0))*Data[[#This Row],[Qty B]],"0")</f>
        <v>0</v>
      </c>
      <c r="R713" t="str">
        <f>IFERROR(INDEX(Katalog!$A$3:$A$12,MATCH(Data[[#This Row],[ItemID C]],Katalog!$C$3:$C$12,0)),"-")</f>
        <v>-</v>
      </c>
      <c r="S713" t="str">
        <f>IFERROR(INDEX(Katalog!$B$3:$B$12,MATCH(Data[[#This Row],[ItemID C]],Katalog!$C$3:$C$12,0)),"-")</f>
        <v>-</v>
      </c>
      <c r="V713" s="36" t="str">
        <f>IFERROR(INDEX(Katalog!$D$3:$D$12,MATCH(Data[[#This Row],[ItemID C]],Katalog!$C$3:$C$12,0))*Data[[#This Row],[Qty C]],"0")</f>
        <v>0</v>
      </c>
      <c r="W713" s="36" t="str">
        <f>IFERROR(INDEX(Katalog!$F$3:$F$12,MATCH(Data[[#This Row],[ItemID C]],Katalog!$C$3:$C$12,0))*Data[[#This Row],[Qty C]],"0")</f>
        <v>0</v>
      </c>
      <c r="X713" s="21">
        <f>Data[[#This Row],[Qty A]]+Data[[#This Row],[Qty B]]+Data[[#This Row],[Qty C]]</f>
        <v>4</v>
      </c>
      <c r="Y713" s="22">
        <f>Data[[#This Row],[Harga Barang A]]+Data[[#This Row],[Harga Barang B]]+Data[[#This Row],[Harga Barang C]]</f>
        <v>2000000</v>
      </c>
      <c r="Z713" s="35">
        <f>IFERROR(Data[[#This Row],[Total Harga]]-(Data[[#This Row],[Total Harga]]*Data[[#This Row],[Diskon]]),Data[[#This Row],[Total Harga]])</f>
        <v>1700000</v>
      </c>
      <c r="AA713" s="35">
        <f>(Data[[#This Row],[Profit A]]+Data[[#This Row],[Profit B]]+Data[[#This Row],[Profit C]])</f>
        <v>800000</v>
      </c>
      <c r="AB713" s="35">
        <f>IFERROR((Data[[#This Row],[Profit non Diskon]]-(Data[[#This Row],[Profit non Diskon]]*Data[[#This Row],[Diskon]])),Data[[#This Row],[Profit non Diskon]])</f>
        <v>680000</v>
      </c>
      <c r="AC713" s="23" t="s">
        <v>28</v>
      </c>
      <c r="AD713" s="37">
        <f>IFERROR(INDEX('Kode Diskon'!$D$3:$D$9,MATCH(Data[[#This Row],[Kode diskon]],'Kode Diskon'!$C$3:$C$9,0)),"-")</f>
        <v>0.15</v>
      </c>
      <c r="AE713" s="23" t="s">
        <v>29</v>
      </c>
      <c r="AF713" s="23" t="s">
        <v>14</v>
      </c>
      <c r="AG713" s="23" t="s">
        <v>80</v>
      </c>
      <c r="AH713" s="24">
        <v>45022</v>
      </c>
      <c r="AI713" s="23" t="str">
        <f>TEXT(Data[[#This Row],[Tanggal terjual]],"dddd")</f>
        <v>Thursday</v>
      </c>
      <c r="AJ713" s="21" t="str">
        <f>TEXT(Data[[#This Row],[Tanggal terjual]],"wwww")</f>
        <v>wwww</v>
      </c>
    </row>
    <row r="714" spans="1:36" x14ac:dyDescent="0.2">
      <c r="A714" s="20">
        <v>713</v>
      </c>
      <c r="B714" s="21" t="str">
        <f>_xlfn.CONCAT("ORD-",INDEX(Helper!$B$2:$B$5,MATCH(Data[[#This Row],[Marketplace]],Helper!$A$2:$A$5,0)),TEXT(Data[[#This Row],[No]],"0000"),"-",TEXT(Data[[#This Row],[Tanggal terjual]],"dd/mm/yy"))</f>
        <v>ORD-SP0713-06/04/23</v>
      </c>
      <c r="C714" t="s">
        <v>62</v>
      </c>
      <c r="D714" t="str">
        <f>IFERROR(INDEX(Katalog!$A$3:$A$12,MATCH(Data[[#This Row],[ItemID A]],Katalog!$C$3:$C$12,0)),"-")</f>
        <v>Pakaian Pria</v>
      </c>
      <c r="E714" t="str">
        <f>IFERROR(INDEX(Katalog!$B$3:$B$12,MATCH(Data[[#This Row],[ItemID A]],Katalog!$C$3:$C$12,0)),"-")</f>
        <v>Celana Pendek</v>
      </c>
      <c r="F714">
        <v>4</v>
      </c>
      <c r="G714">
        <v>1</v>
      </c>
      <c r="H714" s="36">
        <f>IFERROR(INDEX(Katalog!$D$3:$D$12,MATCH(Data[[#This Row],[ItemID A]],Katalog!$C$3:$C$12,0))*Data[[#This Row],[Qty A]],"0")</f>
        <v>720000</v>
      </c>
      <c r="I714" s="36">
        <f>IFERROR(INDEX(Katalog!$F$3:$F$12,MATCH(Data[[#This Row],[ItemID A]],Katalog!$C$3:$C$12,0))*Data[[#This Row],[Qty A]],0)</f>
        <v>280000</v>
      </c>
      <c r="J714" t="s">
        <v>61</v>
      </c>
      <c r="K714" t="str">
        <f>IFERROR(INDEX(Katalog!$A$3:$A$12,MATCH(Data[[#This Row],[ItemID B]],Katalog!$C$3:$C$12,0)),"-")</f>
        <v>Pakaian Pria</v>
      </c>
      <c r="L714" t="str">
        <f>IFERROR(INDEX(Katalog!$B$3:$B$12,MATCH(Data[[#This Row],[ItemID B]],Katalog!$C$3:$C$12,0)),"-")</f>
        <v>Kaos Polo</v>
      </c>
      <c r="M714">
        <v>3</v>
      </c>
      <c r="N714">
        <v>2</v>
      </c>
      <c r="O714" s="36">
        <f>IFERROR(INDEX(Katalog!$D$3:$D$12,MATCH(Data[[#This Row],[ItemID B]],Katalog!$C$3:$C$12,0))*Data[[#This Row],[Qty B]],"0")</f>
        <v>600000</v>
      </c>
      <c r="P714" s="36">
        <f>IFERROR(INDEX(Katalog!$F$3:$F$12,MATCH(Data[[#This Row],[ItemID B]],Katalog!$C$3:$C$12,0))*Data[[#This Row],[Qty B]],"0")</f>
        <v>240000</v>
      </c>
      <c r="R714" t="str">
        <f>IFERROR(INDEX(Katalog!$A$3:$A$12,MATCH(Data[[#This Row],[ItemID C]],Katalog!$C$3:$C$12,0)),"-")</f>
        <v>-</v>
      </c>
      <c r="S714" t="str">
        <f>IFERROR(INDEX(Katalog!$B$3:$B$12,MATCH(Data[[#This Row],[ItemID C]],Katalog!$C$3:$C$12,0)),"-")</f>
        <v>-</v>
      </c>
      <c r="V714" s="36" t="str">
        <f>IFERROR(INDEX(Katalog!$D$3:$D$12,MATCH(Data[[#This Row],[ItemID C]],Katalog!$C$3:$C$12,0))*Data[[#This Row],[Qty C]],"0")</f>
        <v>0</v>
      </c>
      <c r="W714" s="36" t="str">
        <f>IFERROR(INDEX(Katalog!$F$3:$F$12,MATCH(Data[[#This Row],[ItemID C]],Katalog!$C$3:$C$12,0))*Data[[#This Row],[Qty C]],"0")</f>
        <v>0</v>
      </c>
      <c r="X714" s="21">
        <f>Data[[#This Row],[Qty A]]+Data[[#This Row],[Qty B]]+Data[[#This Row],[Qty C]]</f>
        <v>7</v>
      </c>
      <c r="Y714" s="22">
        <f>Data[[#This Row],[Harga Barang A]]+Data[[#This Row],[Harga Barang B]]+Data[[#This Row],[Harga Barang C]]</f>
        <v>1320000</v>
      </c>
      <c r="Z714" s="35">
        <f>IFERROR(Data[[#This Row],[Total Harga]]-(Data[[#This Row],[Total Harga]]*Data[[#This Row],[Diskon]]),Data[[#This Row],[Total Harga]])</f>
        <v>1122000</v>
      </c>
      <c r="AA714" s="35">
        <f>(Data[[#This Row],[Profit A]]+Data[[#This Row],[Profit B]]+Data[[#This Row],[Profit C]])</f>
        <v>520000</v>
      </c>
      <c r="AB714" s="35">
        <f>IFERROR((Data[[#This Row],[Profit non Diskon]]-(Data[[#This Row],[Profit non Diskon]]*Data[[#This Row],[Diskon]])),Data[[#This Row],[Profit non Diskon]])</f>
        <v>442000</v>
      </c>
      <c r="AC714" s="23" t="s">
        <v>13</v>
      </c>
      <c r="AD714" s="37">
        <f>IFERROR(INDEX('Kode Diskon'!$D$3:$D$9,MATCH(Data[[#This Row],[Kode diskon]],'Kode Diskon'!$C$3:$C$9,0)),"-")</f>
        <v>0.15</v>
      </c>
      <c r="AE714" s="23" t="s">
        <v>29</v>
      </c>
      <c r="AF714" s="23" t="s">
        <v>7</v>
      </c>
      <c r="AG714" s="23" t="s">
        <v>78</v>
      </c>
      <c r="AH714" s="24">
        <v>45022</v>
      </c>
      <c r="AI714" s="23" t="str">
        <f>TEXT(Data[[#This Row],[Tanggal terjual]],"dddd")</f>
        <v>Thursday</v>
      </c>
      <c r="AJ714" s="21" t="str">
        <f>TEXT(Data[[#This Row],[Tanggal terjual]],"wwww")</f>
        <v>wwww</v>
      </c>
    </row>
    <row r="715" spans="1:36" x14ac:dyDescent="0.2">
      <c r="A715" s="20">
        <v>714</v>
      </c>
      <c r="B715" s="21" t="str">
        <f>_xlfn.CONCAT("ORD-",INDEX(Helper!$B$2:$B$5,MATCH(Data[[#This Row],[Marketplace]],Helper!$A$2:$A$5,0)),TEXT(Data[[#This Row],[No]],"0000"),"-",TEXT(Data[[#This Row],[Tanggal terjual]],"dd/mm/yy"))</f>
        <v>ORD-SP0714-17/04/23</v>
      </c>
      <c r="C715" t="s">
        <v>61</v>
      </c>
      <c r="D715" t="str">
        <f>IFERROR(INDEX(Katalog!$A$3:$A$12,MATCH(Data[[#This Row],[ItemID A]],Katalog!$C$3:$C$12,0)),"-")</f>
        <v>Pakaian Pria</v>
      </c>
      <c r="E715" t="str">
        <f>IFERROR(INDEX(Katalog!$B$3:$B$12,MATCH(Data[[#This Row],[ItemID A]],Katalog!$C$3:$C$12,0)),"-")</f>
        <v>Kaos Polo</v>
      </c>
      <c r="F715">
        <v>2</v>
      </c>
      <c r="G715">
        <v>2</v>
      </c>
      <c r="H715" s="36">
        <f>IFERROR(INDEX(Katalog!$D$3:$D$12,MATCH(Data[[#This Row],[ItemID A]],Katalog!$C$3:$C$12,0))*Data[[#This Row],[Qty A]],"0")</f>
        <v>400000</v>
      </c>
      <c r="I715" s="36">
        <f>IFERROR(INDEX(Katalog!$F$3:$F$12,MATCH(Data[[#This Row],[ItemID A]],Katalog!$C$3:$C$12,0))*Data[[#This Row],[Qty A]],0)</f>
        <v>160000</v>
      </c>
      <c r="J715" t="s">
        <v>66</v>
      </c>
      <c r="K715" t="str">
        <f>IFERROR(INDEX(Katalog!$A$3:$A$12,MATCH(Data[[#This Row],[ItemID B]],Katalog!$C$3:$C$12,0)),"-")</f>
        <v>Sepatu Pria</v>
      </c>
      <c r="L715" t="str">
        <f>IFERROR(INDEX(Katalog!$B$3:$B$12,MATCH(Data[[#This Row],[ItemID B]],Katalog!$C$3:$C$12,0)),"-")</f>
        <v>Sandal Slip On</v>
      </c>
      <c r="M715">
        <v>1</v>
      </c>
      <c r="N715">
        <v>3</v>
      </c>
      <c r="O715" s="36">
        <f>IFERROR(INDEX(Katalog!$D$3:$D$12,MATCH(Data[[#This Row],[ItemID B]],Katalog!$C$3:$C$12,0))*Data[[#This Row],[Qty B]],"0")</f>
        <v>150000</v>
      </c>
      <c r="P715" s="36">
        <f>IFERROR(INDEX(Katalog!$F$3:$F$12,MATCH(Data[[#This Row],[ItemID B]],Katalog!$C$3:$C$12,0))*Data[[#This Row],[Qty B]],"0")</f>
        <v>60000</v>
      </c>
      <c r="R715" t="str">
        <f>IFERROR(INDEX(Katalog!$A$3:$A$12,MATCH(Data[[#This Row],[ItemID C]],Katalog!$C$3:$C$12,0)),"-")</f>
        <v>-</v>
      </c>
      <c r="S715" t="str">
        <f>IFERROR(INDEX(Katalog!$B$3:$B$12,MATCH(Data[[#This Row],[ItemID C]],Katalog!$C$3:$C$12,0)),"-")</f>
        <v>-</v>
      </c>
      <c r="V715" s="36" t="str">
        <f>IFERROR(INDEX(Katalog!$D$3:$D$12,MATCH(Data[[#This Row],[ItemID C]],Katalog!$C$3:$C$12,0))*Data[[#This Row],[Qty C]],"0")</f>
        <v>0</v>
      </c>
      <c r="W715" s="36" t="str">
        <f>IFERROR(INDEX(Katalog!$F$3:$F$12,MATCH(Data[[#This Row],[ItemID C]],Katalog!$C$3:$C$12,0))*Data[[#This Row],[Qty C]],"0")</f>
        <v>0</v>
      </c>
      <c r="X715" s="21">
        <f>Data[[#This Row],[Qty A]]+Data[[#This Row],[Qty B]]+Data[[#This Row],[Qty C]]</f>
        <v>3</v>
      </c>
      <c r="Y715" s="22">
        <f>Data[[#This Row],[Harga Barang A]]+Data[[#This Row],[Harga Barang B]]+Data[[#This Row],[Harga Barang C]]</f>
        <v>550000</v>
      </c>
      <c r="Z715" s="35">
        <f>IFERROR(Data[[#This Row],[Total Harga]]-(Data[[#This Row],[Total Harga]]*Data[[#This Row],[Diskon]]),Data[[#This Row],[Total Harga]])</f>
        <v>440000</v>
      </c>
      <c r="AA715" s="35">
        <f>(Data[[#This Row],[Profit A]]+Data[[#This Row],[Profit B]]+Data[[#This Row],[Profit C]])</f>
        <v>220000</v>
      </c>
      <c r="AB715" s="35">
        <f>IFERROR((Data[[#This Row],[Profit non Diskon]]-(Data[[#This Row],[Profit non Diskon]]*Data[[#This Row],[Diskon]])),Data[[#This Row],[Profit non Diskon]])</f>
        <v>176000</v>
      </c>
      <c r="AC715" s="23" t="s">
        <v>8</v>
      </c>
      <c r="AD715" s="37">
        <f>IFERROR(INDEX('Kode Diskon'!$D$3:$D$9,MATCH(Data[[#This Row],[Kode diskon]],'Kode Diskon'!$C$3:$C$9,0)),"-")</f>
        <v>0.2</v>
      </c>
      <c r="AE715" s="23" t="s">
        <v>9</v>
      </c>
      <c r="AF715" s="23" t="s">
        <v>7</v>
      </c>
      <c r="AG715" s="23" t="s">
        <v>78</v>
      </c>
      <c r="AH715" s="24">
        <v>45033</v>
      </c>
      <c r="AI715" s="23" t="str">
        <f>TEXT(Data[[#This Row],[Tanggal terjual]],"dddd")</f>
        <v>Monday</v>
      </c>
      <c r="AJ715" s="21" t="str">
        <f>TEXT(Data[[#This Row],[Tanggal terjual]],"wwww")</f>
        <v>wwww</v>
      </c>
    </row>
    <row r="716" spans="1:36" x14ac:dyDescent="0.2">
      <c r="A716" s="20">
        <v>715</v>
      </c>
      <c r="B716" s="21" t="str">
        <f>_xlfn.CONCAT("ORD-",INDEX(Helper!$B$2:$B$5,MATCH(Data[[#This Row],[Marketplace]],Helper!$A$2:$A$5,0)),TEXT(Data[[#This Row],[No]],"0000"),"-",TEXT(Data[[#This Row],[Tanggal terjual]],"dd/mm/yy"))</f>
        <v>ORD-SP0715-21/04/23</v>
      </c>
      <c r="C716" t="s">
        <v>58</v>
      </c>
      <c r="D716" t="str">
        <f>IFERROR(INDEX(Katalog!$A$3:$A$12,MATCH(Data[[#This Row],[ItemID A]],Katalog!$C$3:$C$12,0)),"-")</f>
        <v>Pakaian Wanita</v>
      </c>
      <c r="E716" t="str">
        <f>IFERROR(INDEX(Katalog!$B$3:$B$12,MATCH(Data[[#This Row],[ItemID A]],Katalog!$C$3:$C$12,0)),"-")</f>
        <v>Dress</v>
      </c>
      <c r="F716">
        <v>2</v>
      </c>
      <c r="G716">
        <v>5</v>
      </c>
      <c r="H716" s="36">
        <f>IFERROR(INDEX(Katalog!$D$3:$D$12,MATCH(Data[[#This Row],[ItemID A]],Katalog!$C$3:$C$12,0))*Data[[#This Row],[Qty A]],"0")</f>
        <v>600000</v>
      </c>
      <c r="I716" s="36">
        <f>IFERROR(INDEX(Katalog!$F$3:$F$12,MATCH(Data[[#This Row],[ItemID A]],Katalog!$C$3:$C$12,0))*Data[[#This Row],[Qty A]],0)</f>
        <v>200000</v>
      </c>
      <c r="J716" t="s">
        <v>67</v>
      </c>
      <c r="K716" t="str">
        <f>IFERROR(INDEX(Katalog!$A$3:$A$12,MATCH(Data[[#This Row],[ItemID B]],Katalog!$C$3:$C$12,0)),"-")</f>
        <v>Sepatu Wanita</v>
      </c>
      <c r="L716" t="str">
        <f>IFERROR(INDEX(Katalog!$B$3:$B$12,MATCH(Data[[#This Row],[ItemID B]],Katalog!$C$3:$C$12,0)),"-")</f>
        <v>Flat Shoes</v>
      </c>
      <c r="M716">
        <v>2</v>
      </c>
      <c r="N716">
        <v>1</v>
      </c>
      <c r="O716" s="36">
        <f>IFERROR(INDEX(Katalog!$D$3:$D$12,MATCH(Data[[#This Row],[ItemID B]],Katalog!$C$3:$C$12,0))*Data[[#This Row],[Qty B]],"0")</f>
        <v>500000</v>
      </c>
      <c r="P716" s="36">
        <f>IFERROR(INDEX(Katalog!$F$3:$F$12,MATCH(Data[[#This Row],[ItemID B]],Katalog!$C$3:$C$12,0))*Data[[#This Row],[Qty B]],"0")</f>
        <v>200000</v>
      </c>
      <c r="Q716" t="s">
        <v>66</v>
      </c>
      <c r="R716" t="str">
        <f>IFERROR(INDEX(Katalog!$A$3:$A$12,MATCH(Data[[#This Row],[ItemID C]],Katalog!$C$3:$C$12,0)),"-")</f>
        <v>Sepatu Pria</v>
      </c>
      <c r="S716" t="str">
        <f>IFERROR(INDEX(Katalog!$B$3:$B$12,MATCH(Data[[#This Row],[ItemID C]],Katalog!$C$3:$C$12,0)),"-")</f>
        <v>Sandal Slip On</v>
      </c>
      <c r="T716">
        <v>3</v>
      </c>
      <c r="U716">
        <v>5</v>
      </c>
      <c r="V716" s="36">
        <f>IFERROR(INDEX(Katalog!$D$3:$D$12,MATCH(Data[[#This Row],[ItemID C]],Katalog!$C$3:$C$12,0))*Data[[#This Row],[Qty C]],"0")</f>
        <v>450000</v>
      </c>
      <c r="W716" s="36">
        <f>IFERROR(INDEX(Katalog!$F$3:$F$12,MATCH(Data[[#This Row],[ItemID C]],Katalog!$C$3:$C$12,0))*Data[[#This Row],[Qty C]],"0")</f>
        <v>180000</v>
      </c>
      <c r="X716" s="21">
        <f>Data[[#This Row],[Qty A]]+Data[[#This Row],[Qty B]]+Data[[#This Row],[Qty C]]</f>
        <v>7</v>
      </c>
      <c r="Y716" s="22">
        <f>Data[[#This Row],[Harga Barang A]]+Data[[#This Row],[Harga Barang B]]+Data[[#This Row],[Harga Barang C]]</f>
        <v>1550000</v>
      </c>
      <c r="Z716" s="35">
        <f>IFERROR(Data[[#This Row],[Total Harga]]-(Data[[#This Row],[Total Harga]]*Data[[#This Row],[Diskon]]),Data[[#This Row],[Total Harga]])</f>
        <v>1240000</v>
      </c>
      <c r="AA716" s="35">
        <f>(Data[[#This Row],[Profit A]]+Data[[#This Row],[Profit B]]+Data[[#This Row],[Profit C]])</f>
        <v>580000</v>
      </c>
      <c r="AB716" s="35">
        <f>IFERROR((Data[[#This Row],[Profit non Diskon]]-(Data[[#This Row],[Profit non Diskon]]*Data[[#This Row],[Diskon]])),Data[[#This Row],[Profit non Diskon]])</f>
        <v>464000</v>
      </c>
      <c r="AC716" s="23" t="s">
        <v>8</v>
      </c>
      <c r="AD716" s="37">
        <f>IFERROR(INDEX('Kode Diskon'!$D$3:$D$9,MATCH(Data[[#This Row],[Kode diskon]],'Kode Diskon'!$C$3:$C$9,0)),"-")</f>
        <v>0.2</v>
      </c>
      <c r="AE716" s="23" t="s">
        <v>9</v>
      </c>
      <c r="AF716" s="23" t="s">
        <v>7</v>
      </c>
      <c r="AG716" s="23" t="s">
        <v>80</v>
      </c>
      <c r="AH716" s="24">
        <v>45037</v>
      </c>
      <c r="AI716" s="23" t="str">
        <f>TEXT(Data[[#This Row],[Tanggal terjual]],"dddd")</f>
        <v>Friday</v>
      </c>
      <c r="AJ716" s="21" t="str">
        <f>TEXT(Data[[#This Row],[Tanggal terjual]],"wwww")</f>
        <v>wwww</v>
      </c>
    </row>
    <row r="717" spans="1:36" x14ac:dyDescent="0.2">
      <c r="A717" s="20">
        <v>716</v>
      </c>
      <c r="B717" s="21" t="str">
        <f>_xlfn.CONCAT("ORD-",INDEX(Helper!$B$2:$B$5,MATCH(Data[[#This Row],[Marketplace]],Helper!$A$2:$A$5,0)),TEXT(Data[[#This Row],[No]],"0000"),"-",TEXT(Data[[#This Row],[Tanggal terjual]],"dd/mm/yy"))</f>
        <v>ORD-SP0716-06/04/23</v>
      </c>
      <c r="C717" t="s">
        <v>65</v>
      </c>
      <c r="D717" t="str">
        <f>IFERROR(INDEX(Katalog!$A$3:$A$12,MATCH(Data[[#This Row],[ItemID A]],Katalog!$C$3:$C$12,0)),"-")</f>
        <v>Sepatu Pria</v>
      </c>
      <c r="E717" t="str">
        <f>IFERROR(INDEX(Katalog!$B$3:$B$12,MATCH(Data[[#This Row],[ItemID A]],Katalog!$C$3:$C$12,0)),"-")</f>
        <v>Sneakers</v>
      </c>
      <c r="F717">
        <v>7</v>
      </c>
      <c r="G717">
        <v>4</v>
      </c>
      <c r="H717" s="36">
        <f>IFERROR(INDEX(Katalog!$D$3:$D$12,MATCH(Data[[#This Row],[ItemID A]],Katalog!$C$3:$C$12,0))*Data[[#This Row],[Qty A]],"0")</f>
        <v>3500000</v>
      </c>
      <c r="I717" s="36">
        <f>IFERROR(INDEX(Katalog!$F$3:$F$12,MATCH(Data[[#This Row],[ItemID A]],Katalog!$C$3:$C$12,0))*Data[[#This Row],[Qty A]],0)</f>
        <v>1400000</v>
      </c>
      <c r="K717" t="str">
        <f>IFERROR(INDEX(Katalog!$A$3:$A$12,MATCH(Data[[#This Row],[ItemID B]],Katalog!$C$3:$C$12,0)),"-")</f>
        <v>-</v>
      </c>
      <c r="L717" t="str">
        <f>IFERROR(INDEX(Katalog!$B$3:$B$12,MATCH(Data[[#This Row],[ItemID B]],Katalog!$C$3:$C$12,0)),"-")</f>
        <v>-</v>
      </c>
      <c r="O717" s="36" t="str">
        <f>IFERROR(INDEX(Katalog!$D$3:$D$12,MATCH(Data[[#This Row],[ItemID B]],Katalog!$C$3:$C$12,0))*Data[[#This Row],[Qty B]],"0")</f>
        <v>0</v>
      </c>
      <c r="P717" s="36" t="str">
        <f>IFERROR(INDEX(Katalog!$F$3:$F$12,MATCH(Data[[#This Row],[ItemID B]],Katalog!$C$3:$C$12,0))*Data[[#This Row],[Qty B]],"0")</f>
        <v>0</v>
      </c>
      <c r="R717" t="str">
        <f>IFERROR(INDEX(Katalog!$A$3:$A$12,MATCH(Data[[#This Row],[ItemID C]],Katalog!$C$3:$C$12,0)),"-")</f>
        <v>-</v>
      </c>
      <c r="S717" t="str">
        <f>IFERROR(INDEX(Katalog!$B$3:$B$12,MATCH(Data[[#This Row],[ItemID C]],Katalog!$C$3:$C$12,0)),"-")</f>
        <v>-</v>
      </c>
      <c r="V717" s="36" t="str">
        <f>IFERROR(INDEX(Katalog!$D$3:$D$12,MATCH(Data[[#This Row],[ItemID C]],Katalog!$C$3:$C$12,0))*Data[[#This Row],[Qty C]],"0")</f>
        <v>0</v>
      </c>
      <c r="W717" s="36" t="str">
        <f>IFERROR(INDEX(Katalog!$F$3:$F$12,MATCH(Data[[#This Row],[ItemID C]],Katalog!$C$3:$C$12,0))*Data[[#This Row],[Qty C]],"0")</f>
        <v>0</v>
      </c>
      <c r="X717" s="21">
        <f>Data[[#This Row],[Qty A]]+Data[[#This Row],[Qty B]]+Data[[#This Row],[Qty C]]</f>
        <v>7</v>
      </c>
      <c r="Y717" s="22">
        <f>Data[[#This Row],[Harga Barang A]]+Data[[#This Row],[Harga Barang B]]+Data[[#This Row],[Harga Barang C]]</f>
        <v>3500000</v>
      </c>
      <c r="Z717" s="35">
        <f>IFERROR(Data[[#This Row],[Total Harga]]-(Data[[#This Row],[Total Harga]]*Data[[#This Row],[Diskon]]),Data[[#This Row],[Total Harga]])</f>
        <v>2975000</v>
      </c>
      <c r="AA717" s="35">
        <f>(Data[[#This Row],[Profit A]]+Data[[#This Row],[Profit B]]+Data[[#This Row],[Profit C]])</f>
        <v>1400000</v>
      </c>
      <c r="AB717" s="35">
        <f>IFERROR((Data[[#This Row],[Profit non Diskon]]-(Data[[#This Row],[Profit non Diskon]]*Data[[#This Row],[Diskon]])),Data[[#This Row],[Profit non Diskon]])</f>
        <v>1190000</v>
      </c>
      <c r="AC717" s="23" t="s">
        <v>13</v>
      </c>
      <c r="AD717" s="37">
        <f>IFERROR(INDEX('Kode Diskon'!$D$3:$D$9,MATCH(Data[[#This Row],[Kode diskon]],'Kode Diskon'!$C$3:$C$9,0)),"-")</f>
        <v>0.15</v>
      </c>
      <c r="AE717" s="23" t="s">
        <v>29</v>
      </c>
      <c r="AF717" s="23" t="s">
        <v>7</v>
      </c>
      <c r="AG717" s="23" t="s">
        <v>80</v>
      </c>
      <c r="AH717" s="24">
        <v>45022</v>
      </c>
      <c r="AI717" s="23" t="str">
        <f>TEXT(Data[[#This Row],[Tanggal terjual]],"dddd")</f>
        <v>Thursday</v>
      </c>
      <c r="AJ717" s="21" t="str">
        <f>TEXT(Data[[#This Row],[Tanggal terjual]],"wwww")</f>
        <v>wwww</v>
      </c>
    </row>
    <row r="718" spans="1:36" x14ac:dyDescent="0.2">
      <c r="A718" s="20">
        <v>717</v>
      </c>
      <c r="B718" s="21" t="str">
        <f>_xlfn.CONCAT("ORD-",INDEX(Helper!$B$2:$B$5,MATCH(Data[[#This Row],[Marketplace]],Helper!$A$2:$A$5,0)),TEXT(Data[[#This Row],[No]],"0000"),"-",TEXT(Data[[#This Row],[Tanggal terjual]],"dd/mm/yy"))</f>
        <v>ORD-TK0717-05/04/23</v>
      </c>
      <c r="C718" t="s">
        <v>62</v>
      </c>
      <c r="D718" t="str">
        <f>IFERROR(INDEX(Katalog!$A$3:$A$12,MATCH(Data[[#This Row],[ItemID A]],Katalog!$C$3:$C$12,0)),"-")</f>
        <v>Pakaian Pria</v>
      </c>
      <c r="E718" t="str">
        <f>IFERROR(INDEX(Katalog!$B$3:$B$12,MATCH(Data[[#This Row],[ItemID A]],Katalog!$C$3:$C$12,0)),"-")</f>
        <v>Celana Pendek</v>
      </c>
      <c r="F718">
        <v>3</v>
      </c>
      <c r="G718">
        <v>3</v>
      </c>
      <c r="H718" s="36">
        <f>IFERROR(INDEX(Katalog!$D$3:$D$12,MATCH(Data[[#This Row],[ItemID A]],Katalog!$C$3:$C$12,0))*Data[[#This Row],[Qty A]],"0")</f>
        <v>540000</v>
      </c>
      <c r="I718" s="36">
        <f>IFERROR(INDEX(Katalog!$F$3:$F$12,MATCH(Data[[#This Row],[ItemID A]],Katalog!$C$3:$C$12,0))*Data[[#This Row],[Qty A]],0)</f>
        <v>210000</v>
      </c>
      <c r="J718" t="s">
        <v>62</v>
      </c>
      <c r="K718" t="str">
        <f>IFERROR(INDEX(Katalog!$A$3:$A$12,MATCH(Data[[#This Row],[ItemID B]],Katalog!$C$3:$C$12,0)),"-")</f>
        <v>Pakaian Pria</v>
      </c>
      <c r="L718" t="str">
        <f>IFERROR(INDEX(Katalog!$B$3:$B$12,MATCH(Data[[#This Row],[ItemID B]],Katalog!$C$3:$C$12,0)),"-")</f>
        <v>Celana Pendek</v>
      </c>
      <c r="M718">
        <v>2</v>
      </c>
      <c r="N718">
        <v>5</v>
      </c>
      <c r="O718" s="36">
        <f>IFERROR(INDEX(Katalog!$D$3:$D$12,MATCH(Data[[#This Row],[ItemID B]],Katalog!$C$3:$C$12,0))*Data[[#This Row],[Qty B]],"0")</f>
        <v>360000</v>
      </c>
      <c r="P718" s="36">
        <f>IFERROR(INDEX(Katalog!$F$3:$F$12,MATCH(Data[[#This Row],[ItemID B]],Katalog!$C$3:$C$12,0))*Data[[#This Row],[Qty B]],"0")</f>
        <v>140000</v>
      </c>
      <c r="Q718" t="s">
        <v>58</v>
      </c>
      <c r="R718" t="str">
        <f>IFERROR(INDEX(Katalog!$A$3:$A$12,MATCH(Data[[#This Row],[ItemID C]],Katalog!$C$3:$C$12,0)),"-")</f>
        <v>Pakaian Wanita</v>
      </c>
      <c r="S718" t="str">
        <f>IFERROR(INDEX(Katalog!$B$3:$B$12,MATCH(Data[[#This Row],[ItemID C]],Katalog!$C$3:$C$12,0)),"-")</f>
        <v>Dress</v>
      </c>
      <c r="T718">
        <v>2</v>
      </c>
      <c r="U718">
        <v>2</v>
      </c>
      <c r="V718" s="36">
        <f>IFERROR(INDEX(Katalog!$D$3:$D$12,MATCH(Data[[#This Row],[ItemID C]],Katalog!$C$3:$C$12,0))*Data[[#This Row],[Qty C]],"0")</f>
        <v>600000</v>
      </c>
      <c r="W718" s="36">
        <f>IFERROR(INDEX(Katalog!$F$3:$F$12,MATCH(Data[[#This Row],[ItemID C]],Katalog!$C$3:$C$12,0))*Data[[#This Row],[Qty C]],"0")</f>
        <v>200000</v>
      </c>
      <c r="X718" s="21">
        <f>Data[[#This Row],[Qty A]]+Data[[#This Row],[Qty B]]+Data[[#This Row],[Qty C]]</f>
        <v>7</v>
      </c>
      <c r="Y718" s="22">
        <f>Data[[#This Row],[Harga Barang A]]+Data[[#This Row],[Harga Barang B]]+Data[[#This Row],[Harga Barang C]]</f>
        <v>1500000</v>
      </c>
      <c r="Z718" s="35">
        <f>IFERROR(Data[[#This Row],[Total Harga]]-(Data[[#This Row],[Total Harga]]*Data[[#This Row],[Diskon]]),Data[[#This Row],[Total Harga]])</f>
        <v>1350000</v>
      </c>
      <c r="AA718" s="35">
        <f>(Data[[#This Row],[Profit A]]+Data[[#This Row],[Profit B]]+Data[[#This Row],[Profit C]])</f>
        <v>550000</v>
      </c>
      <c r="AB718" s="35">
        <f>IFERROR((Data[[#This Row],[Profit non Diskon]]-(Data[[#This Row],[Profit non Diskon]]*Data[[#This Row],[Diskon]])),Data[[#This Row],[Profit non Diskon]])</f>
        <v>495000</v>
      </c>
      <c r="AC718" s="23" t="s">
        <v>30</v>
      </c>
      <c r="AD718" s="37">
        <f>IFERROR(INDEX('Kode Diskon'!$D$3:$D$9,MATCH(Data[[#This Row],[Kode diskon]],'Kode Diskon'!$C$3:$C$9,0)),"-")</f>
        <v>0.1</v>
      </c>
      <c r="AE718" s="23" t="s">
        <v>29</v>
      </c>
      <c r="AF718" s="23" t="s">
        <v>10</v>
      </c>
      <c r="AG718" s="23" t="s">
        <v>80</v>
      </c>
      <c r="AH718" s="24">
        <v>45021</v>
      </c>
      <c r="AI718" s="23" t="str">
        <f>TEXT(Data[[#This Row],[Tanggal terjual]],"dddd")</f>
        <v>Wednesday</v>
      </c>
      <c r="AJ718" s="21" t="str">
        <f>TEXT(Data[[#This Row],[Tanggal terjual]],"wwww")</f>
        <v>wwww</v>
      </c>
    </row>
    <row r="719" spans="1:36" x14ac:dyDescent="0.2">
      <c r="A719" s="20">
        <v>718</v>
      </c>
      <c r="B719" s="21" t="str">
        <f>_xlfn.CONCAT("ORD-",INDEX(Helper!$B$2:$B$5,MATCH(Data[[#This Row],[Marketplace]],Helper!$A$2:$A$5,0)),TEXT(Data[[#This Row],[No]],"0000"),"-",TEXT(Data[[#This Row],[Tanggal terjual]],"dd/mm/yy"))</f>
        <v>ORD-SP0718-26/04/23</v>
      </c>
      <c r="C719" t="s">
        <v>60</v>
      </c>
      <c r="D719" t="str">
        <f>IFERROR(INDEX(Katalog!$A$3:$A$12,MATCH(Data[[#This Row],[ItemID A]],Katalog!$C$3:$C$12,0)),"-")</f>
        <v>Pakaian Wanita</v>
      </c>
      <c r="E719" t="str">
        <f>IFERROR(INDEX(Katalog!$B$3:$B$12,MATCH(Data[[#This Row],[ItemID A]],Katalog!$C$3:$C$12,0)),"-")</f>
        <v>Kaftan</v>
      </c>
      <c r="F719">
        <v>3</v>
      </c>
      <c r="G719">
        <v>2</v>
      </c>
      <c r="H719" s="36">
        <f>IFERROR(INDEX(Katalog!$D$3:$D$12,MATCH(Data[[#This Row],[ItemID A]],Katalog!$C$3:$C$12,0))*Data[[#This Row],[Qty A]],"0")</f>
        <v>750000</v>
      </c>
      <c r="I719" s="36">
        <f>IFERROR(INDEX(Katalog!$F$3:$F$12,MATCH(Data[[#This Row],[ItemID A]],Katalog!$C$3:$C$12,0))*Data[[#This Row],[Qty A]],0)</f>
        <v>300000</v>
      </c>
      <c r="J719" t="s">
        <v>64</v>
      </c>
      <c r="K719" t="str">
        <f>IFERROR(INDEX(Katalog!$A$3:$A$12,MATCH(Data[[#This Row],[ItemID B]],Katalog!$C$3:$C$12,0)),"-")</f>
        <v>Pakaian Unisex</v>
      </c>
      <c r="L719" t="str">
        <f>IFERROR(INDEX(Katalog!$B$3:$B$12,MATCH(Data[[#This Row],[ItemID B]],Katalog!$C$3:$C$12,0)),"-")</f>
        <v>Jaket Hoodie</v>
      </c>
      <c r="M719">
        <v>3</v>
      </c>
      <c r="N719">
        <v>1</v>
      </c>
      <c r="O719" s="36">
        <f>IFERROR(INDEX(Katalog!$D$3:$D$12,MATCH(Data[[#This Row],[ItemID B]],Katalog!$C$3:$C$12,0))*Data[[#This Row],[Qty B]],"0")</f>
        <v>1050000</v>
      </c>
      <c r="P719" s="36">
        <f>IFERROR(INDEX(Katalog!$F$3:$F$12,MATCH(Data[[#This Row],[ItemID B]],Katalog!$C$3:$C$12,0))*Data[[#This Row],[Qty B]],"0")</f>
        <v>390000</v>
      </c>
      <c r="R719" t="str">
        <f>IFERROR(INDEX(Katalog!$A$3:$A$12,MATCH(Data[[#This Row],[ItemID C]],Katalog!$C$3:$C$12,0)),"-")</f>
        <v>-</v>
      </c>
      <c r="S719" t="str">
        <f>IFERROR(INDEX(Katalog!$B$3:$B$12,MATCH(Data[[#This Row],[ItemID C]],Katalog!$C$3:$C$12,0)),"-")</f>
        <v>-</v>
      </c>
      <c r="V719" s="36" t="str">
        <f>IFERROR(INDEX(Katalog!$D$3:$D$12,MATCH(Data[[#This Row],[ItemID C]],Katalog!$C$3:$C$12,0))*Data[[#This Row],[Qty C]],"0")</f>
        <v>0</v>
      </c>
      <c r="W719" s="36" t="str">
        <f>IFERROR(INDEX(Katalog!$F$3:$F$12,MATCH(Data[[#This Row],[ItemID C]],Katalog!$C$3:$C$12,0))*Data[[#This Row],[Qty C]],"0")</f>
        <v>0</v>
      </c>
      <c r="X719" s="21">
        <f>Data[[#This Row],[Qty A]]+Data[[#This Row],[Qty B]]+Data[[#This Row],[Qty C]]</f>
        <v>6</v>
      </c>
      <c r="Y719" s="22">
        <f>Data[[#This Row],[Harga Barang A]]+Data[[#This Row],[Harga Barang B]]+Data[[#This Row],[Harga Barang C]]</f>
        <v>1800000</v>
      </c>
      <c r="Z719" s="35">
        <f>IFERROR(Data[[#This Row],[Total Harga]]-(Data[[#This Row],[Total Harga]]*Data[[#This Row],[Diskon]]),Data[[#This Row],[Total Harga]])</f>
        <v>1440000</v>
      </c>
      <c r="AA719" s="35">
        <f>(Data[[#This Row],[Profit A]]+Data[[#This Row],[Profit B]]+Data[[#This Row],[Profit C]])</f>
        <v>690000</v>
      </c>
      <c r="AB719" s="35">
        <f>IFERROR((Data[[#This Row],[Profit non Diskon]]-(Data[[#This Row],[Profit non Diskon]]*Data[[#This Row],[Diskon]])),Data[[#This Row],[Profit non Diskon]])</f>
        <v>552000</v>
      </c>
      <c r="AC719" s="23" t="s">
        <v>8</v>
      </c>
      <c r="AD719" s="37">
        <f>IFERROR(INDEX('Kode Diskon'!$D$3:$D$9,MATCH(Data[[#This Row],[Kode diskon]],'Kode Diskon'!$C$3:$C$9,0)),"-")</f>
        <v>0.2</v>
      </c>
      <c r="AE719" s="23" t="s">
        <v>9</v>
      </c>
      <c r="AF719" s="23" t="s">
        <v>7</v>
      </c>
      <c r="AG719" s="23" t="s">
        <v>80</v>
      </c>
      <c r="AH719" s="24">
        <v>45042</v>
      </c>
      <c r="AI719" s="23" t="str">
        <f>TEXT(Data[[#This Row],[Tanggal terjual]],"dddd")</f>
        <v>Wednesday</v>
      </c>
      <c r="AJ719" s="21" t="str">
        <f>TEXT(Data[[#This Row],[Tanggal terjual]],"wwww")</f>
        <v>wwww</v>
      </c>
    </row>
    <row r="720" spans="1:36" x14ac:dyDescent="0.2">
      <c r="A720" s="20">
        <v>719</v>
      </c>
      <c r="B720" s="21" t="str">
        <f>_xlfn.CONCAT("ORD-",INDEX(Helper!$B$2:$B$5,MATCH(Data[[#This Row],[Marketplace]],Helper!$A$2:$A$5,0)),TEXT(Data[[#This Row],[No]],"0000"),"-",TEXT(Data[[#This Row],[Tanggal terjual]],"dd/mm/yy"))</f>
        <v>ORD-TK0719-04/04/23</v>
      </c>
      <c r="C720" t="s">
        <v>60</v>
      </c>
      <c r="D720" t="str">
        <f>IFERROR(INDEX(Katalog!$A$3:$A$12,MATCH(Data[[#This Row],[ItemID A]],Katalog!$C$3:$C$12,0)),"-")</f>
        <v>Pakaian Wanita</v>
      </c>
      <c r="E720" t="str">
        <f>IFERROR(INDEX(Katalog!$B$3:$B$12,MATCH(Data[[#This Row],[ItemID A]],Katalog!$C$3:$C$12,0)),"-")</f>
        <v>Kaftan</v>
      </c>
      <c r="F720">
        <v>1</v>
      </c>
      <c r="G720">
        <v>2</v>
      </c>
      <c r="H720" s="36">
        <f>IFERROR(INDEX(Katalog!$D$3:$D$12,MATCH(Data[[#This Row],[ItemID A]],Katalog!$C$3:$C$12,0))*Data[[#This Row],[Qty A]],"0")</f>
        <v>250000</v>
      </c>
      <c r="I720" s="36">
        <f>IFERROR(INDEX(Katalog!$F$3:$F$12,MATCH(Data[[#This Row],[ItemID A]],Katalog!$C$3:$C$12,0))*Data[[#This Row],[Qty A]],0)</f>
        <v>100000</v>
      </c>
      <c r="J720" t="s">
        <v>63</v>
      </c>
      <c r="K720" t="str">
        <f>IFERROR(INDEX(Katalog!$A$3:$A$12,MATCH(Data[[#This Row],[ItemID B]],Katalog!$C$3:$C$12,0)),"-")</f>
        <v>Pakaian Pria</v>
      </c>
      <c r="L720" t="str">
        <f>IFERROR(INDEX(Katalog!$B$3:$B$12,MATCH(Data[[#This Row],[ItemID B]],Katalog!$C$3:$C$12,0)),"-")</f>
        <v>Jaket Jeans</v>
      </c>
      <c r="M720">
        <v>4</v>
      </c>
      <c r="N720">
        <v>1</v>
      </c>
      <c r="O720" s="36">
        <f>IFERROR(INDEX(Katalog!$D$3:$D$12,MATCH(Data[[#This Row],[ItemID B]],Katalog!$C$3:$C$12,0))*Data[[#This Row],[Qty B]],"0")</f>
        <v>1600000</v>
      </c>
      <c r="P720" s="36">
        <f>IFERROR(INDEX(Katalog!$F$3:$F$12,MATCH(Data[[#This Row],[ItemID B]],Katalog!$C$3:$C$12,0))*Data[[#This Row],[Qty B]],"0")</f>
        <v>600000</v>
      </c>
      <c r="Q720" t="s">
        <v>66</v>
      </c>
      <c r="R720" t="str">
        <f>IFERROR(INDEX(Katalog!$A$3:$A$12,MATCH(Data[[#This Row],[ItemID C]],Katalog!$C$3:$C$12,0)),"-")</f>
        <v>Sepatu Pria</v>
      </c>
      <c r="S720" t="str">
        <f>IFERROR(INDEX(Katalog!$B$3:$B$12,MATCH(Data[[#This Row],[ItemID C]],Katalog!$C$3:$C$12,0)),"-")</f>
        <v>Sandal Slip On</v>
      </c>
      <c r="T720">
        <v>1</v>
      </c>
      <c r="U720">
        <v>5</v>
      </c>
      <c r="V720" s="36">
        <f>IFERROR(INDEX(Katalog!$D$3:$D$12,MATCH(Data[[#This Row],[ItemID C]],Katalog!$C$3:$C$12,0))*Data[[#This Row],[Qty C]],"0")</f>
        <v>150000</v>
      </c>
      <c r="W720" s="36">
        <f>IFERROR(INDEX(Katalog!$F$3:$F$12,MATCH(Data[[#This Row],[ItemID C]],Katalog!$C$3:$C$12,0))*Data[[#This Row],[Qty C]],"0")</f>
        <v>60000</v>
      </c>
      <c r="X720" s="21">
        <f>Data[[#This Row],[Qty A]]+Data[[#This Row],[Qty B]]+Data[[#This Row],[Qty C]]</f>
        <v>6</v>
      </c>
      <c r="Y720" s="22">
        <f>Data[[#This Row],[Harga Barang A]]+Data[[#This Row],[Harga Barang B]]+Data[[#This Row],[Harga Barang C]]</f>
        <v>2000000</v>
      </c>
      <c r="Z720" s="35">
        <f>IFERROR(Data[[#This Row],[Total Harga]]-(Data[[#This Row],[Total Harga]]*Data[[#This Row],[Diskon]]),Data[[#This Row],[Total Harga]])</f>
        <v>1800000</v>
      </c>
      <c r="AA720" s="35">
        <f>(Data[[#This Row],[Profit A]]+Data[[#This Row],[Profit B]]+Data[[#This Row],[Profit C]])</f>
        <v>760000</v>
      </c>
      <c r="AB720" s="35">
        <f>IFERROR((Data[[#This Row],[Profit non Diskon]]-(Data[[#This Row],[Profit non Diskon]]*Data[[#This Row],[Diskon]])),Data[[#This Row],[Profit non Diskon]])</f>
        <v>684000</v>
      </c>
      <c r="AC720" s="23" t="s">
        <v>30</v>
      </c>
      <c r="AD720" s="37">
        <f>IFERROR(INDEX('Kode Diskon'!$D$3:$D$9,MATCH(Data[[#This Row],[Kode diskon]],'Kode Diskon'!$C$3:$C$9,0)),"-")</f>
        <v>0.1</v>
      </c>
      <c r="AE720" s="23" t="s">
        <v>29</v>
      </c>
      <c r="AF720" s="23" t="s">
        <v>10</v>
      </c>
      <c r="AG720" s="23" t="s">
        <v>80</v>
      </c>
      <c r="AH720" s="24">
        <v>45020</v>
      </c>
      <c r="AI720" s="23" t="str">
        <f>TEXT(Data[[#This Row],[Tanggal terjual]],"dddd")</f>
        <v>Tuesday</v>
      </c>
      <c r="AJ720" s="21" t="str">
        <f>TEXT(Data[[#This Row],[Tanggal terjual]],"wwww")</f>
        <v>wwww</v>
      </c>
    </row>
    <row r="721" spans="1:36" x14ac:dyDescent="0.2">
      <c r="A721" s="20">
        <v>720</v>
      </c>
      <c r="B721" s="21" t="str">
        <f>_xlfn.CONCAT("ORD-",INDEX(Helper!$B$2:$B$5,MATCH(Data[[#This Row],[Marketplace]],Helper!$A$2:$A$5,0)),TEXT(Data[[#This Row],[No]],"0000"),"-",TEXT(Data[[#This Row],[Tanggal terjual]],"dd/mm/yy"))</f>
        <v>ORD-TK0720-06/04/23</v>
      </c>
      <c r="C721" t="s">
        <v>59</v>
      </c>
      <c r="D721" t="str">
        <f>IFERROR(INDEX(Katalog!$A$3:$A$12,MATCH(Data[[#This Row],[ItemID A]],Katalog!$C$3:$C$12,0)),"-")</f>
        <v>Pakaian Wanita</v>
      </c>
      <c r="E721" t="str">
        <f>IFERROR(INDEX(Katalog!$B$3:$B$12,MATCH(Data[[#This Row],[ItemID A]],Katalog!$C$3:$C$12,0)),"-")</f>
        <v>Blouse</v>
      </c>
      <c r="F721">
        <v>1</v>
      </c>
      <c r="G721">
        <v>4</v>
      </c>
      <c r="H721" s="36">
        <f>IFERROR(INDEX(Katalog!$D$3:$D$12,MATCH(Data[[#This Row],[ItemID A]],Katalog!$C$3:$C$12,0))*Data[[#This Row],[Qty A]],"0")</f>
        <v>150000</v>
      </c>
      <c r="I721" s="36">
        <f>IFERROR(INDEX(Katalog!$F$3:$F$12,MATCH(Data[[#This Row],[ItemID A]],Katalog!$C$3:$C$12,0))*Data[[#This Row],[Qty A]],0)</f>
        <v>50000</v>
      </c>
      <c r="K721" t="str">
        <f>IFERROR(INDEX(Katalog!$A$3:$A$12,MATCH(Data[[#This Row],[ItemID B]],Katalog!$C$3:$C$12,0)),"-")</f>
        <v>-</v>
      </c>
      <c r="L721" t="str">
        <f>IFERROR(INDEX(Katalog!$B$3:$B$12,MATCH(Data[[#This Row],[ItemID B]],Katalog!$C$3:$C$12,0)),"-")</f>
        <v>-</v>
      </c>
      <c r="O721" s="36" t="str">
        <f>IFERROR(INDEX(Katalog!$D$3:$D$12,MATCH(Data[[#This Row],[ItemID B]],Katalog!$C$3:$C$12,0))*Data[[#This Row],[Qty B]],"0")</f>
        <v>0</v>
      </c>
      <c r="P721" s="36" t="str">
        <f>IFERROR(INDEX(Katalog!$F$3:$F$12,MATCH(Data[[#This Row],[ItemID B]],Katalog!$C$3:$C$12,0))*Data[[#This Row],[Qty B]],"0")</f>
        <v>0</v>
      </c>
      <c r="R721" t="str">
        <f>IFERROR(INDEX(Katalog!$A$3:$A$12,MATCH(Data[[#This Row],[ItemID C]],Katalog!$C$3:$C$12,0)),"-")</f>
        <v>-</v>
      </c>
      <c r="S721" t="str">
        <f>IFERROR(INDEX(Katalog!$B$3:$B$12,MATCH(Data[[#This Row],[ItemID C]],Katalog!$C$3:$C$12,0)),"-")</f>
        <v>-</v>
      </c>
      <c r="V721" s="36" t="str">
        <f>IFERROR(INDEX(Katalog!$D$3:$D$12,MATCH(Data[[#This Row],[ItemID C]],Katalog!$C$3:$C$12,0))*Data[[#This Row],[Qty C]],"0")</f>
        <v>0</v>
      </c>
      <c r="W721" s="36" t="str">
        <f>IFERROR(INDEX(Katalog!$F$3:$F$12,MATCH(Data[[#This Row],[ItemID C]],Katalog!$C$3:$C$12,0))*Data[[#This Row],[Qty C]],"0")</f>
        <v>0</v>
      </c>
      <c r="X721" s="21">
        <f>Data[[#This Row],[Qty A]]+Data[[#This Row],[Qty B]]+Data[[#This Row],[Qty C]]</f>
        <v>1</v>
      </c>
      <c r="Y721" s="22">
        <f>Data[[#This Row],[Harga Barang A]]+Data[[#This Row],[Harga Barang B]]+Data[[#This Row],[Harga Barang C]]</f>
        <v>150000</v>
      </c>
      <c r="Z721" s="35">
        <f>IFERROR(Data[[#This Row],[Total Harga]]-(Data[[#This Row],[Total Harga]]*Data[[#This Row],[Diskon]]),Data[[#This Row],[Total Harga]])</f>
        <v>135000</v>
      </c>
      <c r="AA721" s="35">
        <f>(Data[[#This Row],[Profit A]]+Data[[#This Row],[Profit B]]+Data[[#This Row],[Profit C]])</f>
        <v>50000</v>
      </c>
      <c r="AB721" s="35">
        <f>IFERROR((Data[[#This Row],[Profit non Diskon]]-(Data[[#This Row],[Profit non Diskon]]*Data[[#This Row],[Diskon]])),Data[[#This Row],[Profit non Diskon]])</f>
        <v>45000</v>
      </c>
      <c r="AC721" s="23" t="s">
        <v>30</v>
      </c>
      <c r="AD721" s="37">
        <f>IFERROR(INDEX('Kode Diskon'!$D$3:$D$9,MATCH(Data[[#This Row],[Kode diskon]],'Kode Diskon'!$C$3:$C$9,0)),"-")</f>
        <v>0.1</v>
      </c>
      <c r="AE721" s="23" t="s">
        <v>29</v>
      </c>
      <c r="AF721" s="23" t="s">
        <v>10</v>
      </c>
      <c r="AG721" s="23" t="s">
        <v>77</v>
      </c>
      <c r="AH721" s="24">
        <v>45022</v>
      </c>
      <c r="AI721" s="23" t="str">
        <f>TEXT(Data[[#This Row],[Tanggal terjual]],"dddd")</f>
        <v>Thursday</v>
      </c>
      <c r="AJ721" s="21" t="str">
        <f>TEXT(Data[[#This Row],[Tanggal terjual]],"wwww")</f>
        <v>wwww</v>
      </c>
    </row>
    <row r="722" spans="1:36" x14ac:dyDescent="0.2">
      <c r="A722" s="20">
        <v>721</v>
      </c>
      <c r="B722" s="21" t="str">
        <f>_xlfn.CONCAT("ORD-",INDEX(Helper!$B$2:$B$5,MATCH(Data[[#This Row],[Marketplace]],Helper!$A$2:$A$5,0)),TEXT(Data[[#This Row],[No]],"0000"),"-",TEXT(Data[[#This Row],[Tanggal terjual]],"dd/mm/yy"))</f>
        <v>ORD-TK0721-05/04/23</v>
      </c>
      <c r="C722" t="s">
        <v>67</v>
      </c>
      <c r="D722" t="str">
        <f>IFERROR(INDEX(Katalog!$A$3:$A$12,MATCH(Data[[#This Row],[ItemID A]],Katalog!$C$3:$C$12,0)),"-")</f>
        <v>Sepatu Wanita</v>
      </c>
      <c r="E722" t="str">
        <f>IFERROR(INDEX(Katalog!$B$3:$B$12,MATCH(Data[[#This Row],[ItemID A]],Katalog!$C$3:$C$12,0)),"-")</f>
        <v>Flat Shoes</v>
      </c>
      <c r="F722">
        <v>1</v>
      </c>
      <c r="G722">
        <v>1</v>
      </c>
      <c r="H722" s="36">
        <f>IFERROR(INDEX(Katalog!$D$3:$D$12,MATCH(Data[[#This Row],[ItemID A]],Katalog!$C$3:$C$12,0))*Data[[#This Row],[Qty A]],"0")</f>
        <v>250000</v>
      </c>
      <c r="I722" s="36">
        <f>IFERROR(INDEX(Katalog!$F$3:$F$12,MATCH(Data[[#This Row],[ItemID A]],Katalog!$C$3:$C$12,0))*Data[[#This Row],[Qty A]],0)</f>
        <v>100000</v>
      </c>
      <c r="K722" t="str">
        <f>IFERROR(INDEX(Katalog!$A$3:$A$12,MATCH(Data[[#This Row],[ItemID B]],Katalog!$C$3:$C$12,0)),"-")</f>
        <v>-</v>
      </c>
      <c r="L722" t="str">
        <f>IFERROR(INDEX(Katalog!$B$3:$B$12,MATCH(Data[[#This Row],[ItemID B]],Katalog!$C$3:$C$12,0)),"-")</f>
        <v>-</v>
      </c>
      <c r="O722" s="36" t="str">
        <f>IFERROR(INDEX(Katalog!$D$3:$D$12,MATCH(Data[[#This Row],[ItemID B]],Katalog!$C$3:$C$12,0))*Data[[#This Row],[Qty B]],"0")</f>
        <v>0</v>
      </c>
      <c r="P722" s="36" t="str">
        <f>IFERROR(INDEX(Katalog!$F$3:$F$12,MATCH(Data[[#This Row],[ItemID B]],Katalog!$C$3:$C$12,0))*Data[[#This Row],[Qty B]],"0")</f>
        <v>0</v>
      </c>
      <c r="R722" t="str">
        <f>IFERROR(INDEX(Katalog!$A$3:$A$12,MATCH(Data[[#This Row],[ItemID C]],Katalog!$C$3:$C$12,0)),"-")</f>
        <v>-</v>
      </c>
      <c r="S722" t="str">
        <f>IFERROR(INDEX(Katalog!$B$3:$B$12,MATCH(Data[[#This Row],[ItemID C]],Katalog!$C$3:$C$12,0)),"-")</f>
        <v>-</v>
      </c>
      <c r="V722" s="36" t="str">
        <f>IFERROR(INDEX(Katalog!$D$3:$D$12,MATCH(Data[[#This Row],[ItemID C]],Katalog!$C$3:$C$12,0))*Data[[#This Row],[Qty C]],"0")</f>
        <v>0</v>
      </c>
      <c r="W722" s="36" t="str">
        <f>IFERROR(INDEX(Katalog!$F$3:$F$12,MATCH(Data[[#This Row],[ItemID C]],Katalog!$C$3:$C$12,0))*Data[[#This Row],[Qty C]],"0")</f>
        <v>0</v>
      </c>
      <c r="X722" s="21">
        <f>Data[[#This Row],[Qty A]]+Data[[#This Row],[Qty B]]+Data[[#This Row],[Qty C]]</f>
        <v>1</v>
      </c>
      <c r="Y722" s="22">
        <f>Data[[#This Row],[Harga Barang A]]+Data[[#This Row],[Harga Barang B]]+Data[[#This Row],[Harga Barang C]]</f>
        <v>250000</v>
      </c>
      <c r="Z722" s="35">
        <f>IFERROR(Data[[#This Row],[Total Harga]]-(Data[[#This Row],[Total Harga]]*Data[[#This Row],[Diskon]]),Data[[#This Row],[Total Harga]])</f>
        <v>225000</v>
      </c>
      <c r="AA722" s="35">
        <f>(Data[[#This Row],[Profit A]]+Data[[#This Row],[Profit B]]+Data[[#This Row],[Profit C]])</f>
        <v>100000</v>
      </c>
      <c r="AB722" s="35">
        <f>IFERROR((Data[[#This Row],[Profit non Diskon]]-(Data[[#This Row],[Profit non Diskon]]*Data[[#This Row],[Diskon]])),Data[[#This Row],[Profit non Diskon]])</f>
        <v>90000</v>
      </c>
      <c r="AC722" s="23" t="s">
        <v>30</v>
      </c>
      <c r="AD722" s="37">
        <f>IFERROR(INDEX('Kode Diskon'!$D$3:$D$9,MATCH(Data[[#This Row],[Kode diskon]],'Kode Diskon'!$C$3:$C$9,0)),"-")</f>
        <v>0.1</v>
      </c>
      <c r="AE722" s="23" t="s">
        <v>29</v>
      </c>
      <c r="AF722" s="23" t="s">
        <v>10</v>
      </c>
      <c r="AG722" s="23" t="s">
        <v>80</v>
      </c>
      <c r="AH722" s="24">
        <v>45021</v>
      </c>
      <c r="AI722" s="23" t="str">
        <f>TEXT(Data[[#This Row],[Tanggal terjual]],"dddd")</f>
        <v>Wednesday</v>
      </c>
      <c r="AJ722" s="21" t="str">
        <f>TEXT(Data[[#This Row],[Tanggal terjual]],"wwww")</f>
        <v>wwww</v>
      </c>
    </row>
    <row r="723" spans="1:36" x14ac:dyDescent="0.2">
      <c r="A723" s="20">
        <v>722</v>
      </c>
      <c r="B723" s="21" t="str">
        <f>_xlfn.CONCAT("ORD-",INDEX(Helper!$B$2:$B$5,MATCH(Data[[#This Row],[Marketplace]],Helper!$A$2:$A$5,0)),TEXT(Data[[#This Row],[No]],"0000"),"-",TEXT(Data[[#This Row],[Tanggal terjual]],"dd/mm/yy"))</f>
        <v>ORD-TK0722-01/04/23</v>
      </c>
      <c r="C723" t="s">
        <v>66</v>
      </c>
      <c r="D723" t="str">
        <f>IFERROR(INDEX(Katalog!$A$3:$A$12,MATCH(Data[[#This Row],[ItemID A]],Katalog!$C$3:$C$12,0)),"-")</f>
        <v>Sepatu Pria</v>
      </c>
      <c r="E723" t="str">
        <f>IFERROR(INDEX(Katalog!$B$3:$B$12,MATCH(Data[[#This Row],[ItemID A]],Katalog!$C$3:$C$12,0)),"-")</f>
        <v>Sandal Slip On</v>
      </c>
      <c r="F723">
        <v>4</v>
      </c>
      <c r="G723">
        <v>2</v>
      </c>
      <c r="H723" s="36">
        <f>IFERROR(INDEX(Katalog!$D$3:$D$12,MATCH(Data[[#This Row],[ItemID A]],Katalog!$C$3:$C$12,0))*Data[[#This Row],[Qty A]],"0")</f>
        <v>600000</v>
      </c>
      <c r="I723" s="36">
        <f>IFERROR(INDEX(Katalog!$F$3:$F$12,MATCH(Data[[#This Row],[ItemID A]],Katalog!$C$3:$C$12,0))*Data[[#This Row],[Qty A]],0)</f>
        <v>240000</v>
      </c>
      <c r="K723" t="str">
        <f>IFERROR(INDEX(Katalog!$A$3:$A$12,MATCH(Data[[#This Row],[ItemID B]],Katalog!$C$3:$C$12,0)),"-")</f>
        <v>-</v>
      </c>
      <c r="L723" t="str">
        <f>IFERROR(INDEX(Katalog!$B$3:$B$12,MATCH(Data[[#This Row],[ItemID B]],Katalog!$C$3:$C$12,0)),"-")</f>
        <v>-</v>
      </c>
      <c r="O723" s="36" t="str">
        <f>IFERROR(INDEX(Katalog!$D$3:$D$12,MATCH(Data[[#This Row],[ItemID B]],Katalog!$C$3:$C$12,0))*Data[[#This Row],[Qty B]],"0")</f>
        <v>0</v>
      </c>
      <c r="P723" s="36" t="str">
        <f>IFERROR(INDEX(Katalog!$F$3:$F$12,MATCH(Data[[#This Row],[ItemID B]],Katalog!$C$3:$C$12,0))*Data[[#This Row],[Qty B]],"0")</f>
        <v>0</v>
      </c>
      <c r="R723" t="str">
        <f>IFERROR(INDEX(Katalog!$A$3:$A$12,MATCH(Data[[#This Row],[ItemID C]],Katalog!$C$3:$C$12,0)),"-")</f>
        <v>-</v>
      </c>
      <c r="S723" t="str">
        <f>IFERROR(INDEX(Katalog!$B$3:$B$12,MATCH(Data[[#This Row],[ItemID C]],Katalog!$C$3:$C$12,0)),"-")</f>
        <v>-</v>
      </c>
      <c r="V723" s="36" t="str">
        <f>IFERROR(INDEX(Katalog!$D$3:$D$12,MATCH(Data[[#This Row],[ItemID C]],Katalog!$C$3:$C$12,0))*Data[[#This Row],[Qty C]],"0")</f>
        <v>0</v>
      </c>
      <c r="W723" s="36" t="str">
        <f>IFERROR(INDEX(Katalog!$F$3:$F$12,MATCH(Data[[#This Row],[ItemID C]],Katalog!$C$3:$C$12,0))*Data[[#This Row],[Qty C]],"0")</f>
        <v>0</v>
      </c>
      <c r="X723" s="21">
        <f>Data[[#This Row],[Qty A]]+Data[[#This Row],[Qty B]]+Data[[#This Row],[Qty C]]</f>
        <v>4</v>
      </c>
      <c r="Y723" s="22">
        <f>Data[[#This Row],[Harga Barang A]]+Data[[#This Row],[Harga Barang B]]+Data[[#This Row],[Harga Barang C]]</f>
        <v>600000</v>
      </c>
      <c r="Z723" s="35">
        <f>IFERROR(Data[[#This Row],[Total Harga]]-(Data[[#This Row],[Total Harga]]*Data[[#This Row],[Diskon]]),Data[[#This Row],[Total Harga]])</f>
        <v>540000</v>
      </c>
      <c r="AA723" s="35">
        <f>(Data[[#This Row],[Profit A]]+Data[[#This Row],[Profit B]]+Data[[#This Row],[Profit C]])</f>
        <v>240000</v>
      </c>
      <c r="AB723" s="35">
        <f>IFERROR((Data[[#This Row],[Profit non Diskon]]-(Data[[#This Row],[Profit non Diskon]]*Data[[#This Row],[Diskon]])),Data[[#This Row],[Profit non Diskon]])</f>
        <v>216000</v>
      </c>
      <c r="AC723" s="23" t="s">
        <v>30</v>
      </c>
      <c r="AD723" s="37">
        <f>IFERROR(INDEX('Kode Diskon'!$D$3:$D$9,MATCH(Data[[#This Row],[Kode diskon]],'Kode Diskon'!$C$3:$C$9,0)),"-")</f>
        <v>0.1</v>
      </c>
      <c r="AE723" s="23" t="s">
        <v>29</v>
      </c>
      <c r="AF723" s="23" t="s">
        <v>10</v>
      </c>
      <c r="AG723" s="23" t="s">
        <v>80</v>
      </c>
      <c r="AH723" s="24">
        <v>45017</v>
      </c>
      <c r="AI723" s="23" t="str">
        <f>TEXT(Data[[#This Row],[Tanggal terjual]],"dddd")</f>
        <v>Saturday</v>
      </c>
      <c r="AJ723" s="21" t="str">
        <f>TEXT(Data[[#This Row],[Tanggal terjual]],"wwww")</f>
        <v>wwww</v>
      </c>
    </row>
    <row r="724" spans="1:36" x14ac:dyDescent="0.2">
      <c r="A724" s="20">
        <v>723</v>
      </c>
      <c r="B724" s="21" t="str">
        <f>_xlfn.CONCAT("ORD-",INDEX(Helper!$B$2:$B$5,MATCH(Data[[#This Row],[Marketplace]],Helper!$A$2:$A$5,0)),TEXT(Data[[#This Row],[No]],"0000"),"-",TEXT(Data[[#This Row],[Tanggal terjual]],"dd/mm/yy"))</f>
        <v>ORD-TK0723-23/04/23</v>
      </c>
      <c r="C724" t="s">
        <v>63</v>
      </c>
      <c r="D724" t="str">
        <f>IFERROR(INDEX(Katalog!$A$3:$A$12,MATCH(Data[[#This Row],[ItemID A]],Katalog!$C$3:$C$12,0)),"-")</f>
        <v>Pakaian Pria</v>
      </c>
      <c r="E724" t="str">
        <f>IFERROR(INDEX(Katalog!$B$3:$B$12,MATCH(Data[[#This Row],[ItemID A]],Katalog!$C$3:$C$12,0)),"-")</f>
        <v>Jaket Jeans</v>
      </c>
      <c r="F724">
        <v>2</v>
      </c>
      <c r="G724">
        <v>4</v>
      </c>
      <c r="H724" s="36">
        <f>IFERROR(INDEX(Katalog!$D$3:$D$12,MATCH(Data[[#This Row],[ItemID A]],Katalog!$C$3:$C$12,0))*Data[[#This Row],[Qty A]],"0")</f>
        <v>800000</v>
      </c>
      <c r="I724" s="36">
        <f>IFERROR(INDEX(Katalog!$F$3:$F$12,MATCH(Data[[#This Row],[ItemID A]],Katalog!$C$3:$C$12,0))*Data[[#This Row],[Qty A]],0)</f>
        <v>300000</v>
      </c>
      <c r="J724" t="s">
        <v>60</v>
      </c>
      <c r="K724" t="str">
        <f>IFERROR(INDEX(Katalog!$A$3:$A$12,MATCH(Data[[#This Row],[ItemID B]],Katalog!$C$3:$C$12,0)),"-")</f>
        <v>Pakaian Wanita</v>
      </c>
      <c r="L724" t="str">
        <f>IFERROR(INDEX(Katalog!$B$3:$B$12,MATCH(Data[[#This Row],[ItemID B]],Katalog!$C$3:$C$12,0)),"-")</f>
        <v>Kaftan</v>
      </c>
      <c r="M724">
        <v>1</v>
      </c>
      <c r="N724">
        <v>2</v>
      </c>
      <c r="O724" s="36">
        <f>IFERROR(INDEX(Katalog!$D$3:$D$12,MATCH(Data[[#This Row],[ItemID B]],Katalog!$C$3:$C$12,0))*Data[[#This Row],[Qty B]],"0")</f>
        <v>250000</v>
      </c>
      <c r="P724" s="36">
        <f>IFERROR(INDEX(Katalog!$F$3:$F$12,MATCH(Data[[#This Row],[ItemID B]],Katalog!$C$3:$C$12,0))*Data[[#This Row],[Qty B]],"0")</f>
        <v>100000</v>
      </c>
      <c r="Q724" t="s">
        <v>63</v>
      </c>
      <c r="R724" t="str">
        <f>IFERROR(INDEX(Katalog!$A$3:$A$12,MATCH(Data[[#This Row],[ItemID C]],Katalog!$C$3:$C$12,0)),"-")</f>
        <v>Pakaian Pria</v>
      </c>
      <c r="S724" t="str">
        <f>IFERROR(INDEX(Katalog!$B$3:$B$12,MATCH(Data[[#This Row],[ItemID C]],Katalog!$C$3:$C$12,0)),"-")</f>
        <v>Jaket Jeans</v>
      </c>
      <c r="T724">
        <v>2</v>
      </c>
      <c r="U724">
        <v>3</v>
      </c>
      <c r="V724" s="36">
        <f>IFERROR(INDEX(Katalog!$D$3:$D$12,MATCH(Data[[#This Row],[ItemID C]],Katalog!$C$3:$C$12,0))*Data[[#This Row],[Qty C]],"0")</f>
        <v>800000</v>
      </c>
      <c r="W724" s="36">
        <f>IFERROR(INDEX(Katalog!$F$3:$F$12,MATCH(Data[[#This Row],[ItemID C]],Katalog!$C$3:$C$12,0))*Data[[#This Row],[Qty C]],"0")</f>
        <v>300000</v>
      </c>
      <c r="X724" s="21">
        <f>Data[[#This Row],[Qty A]]+Data[[#This Row],[Qty B]]+Data[[#This Row],[Qty C]]</f>
        <v>5</v>
      </c>
      <c r="Y724" s="22">
        <f>Data[[#This Row],[Harga Barang A]]+Data[[#This Row],[Harga Barang B]]+Data[[#This Row],[Harga Barang C]]</f>
        <v>1850000</v>
      </c>
      <c r="Z724" s="35">
        <f>IFERROR(Data[[#This Row],[Total Harga]]-(Data[[#This Row],[Total Harga]]*Data[[#This Row],[Diskon]]),Data[[#This Row],[Total Harga]])</f>
        <v>1665000</v>
      </c>
      <c r="AA724" s="35">
        <f>(Data[[#This Row],[Profit A]]+Data[[#This Row],[Profit B]]+Data[[#This Row],[Profit C]])</f>
        <v>700000</v>
      </c>
      <c r="AB724" s="35">
        <f>IFERROR((Data[[#This Row],[Profit non Diskon]]-(Data[[#This Row],[Profit non Diskon]]*Data[[#This Row],[Diskon]])),Data[[#This Row],[Profit non Diskon]])</f>
        <v>630000</v>
      </c>
      <c r="AC724" s="23" t="s">
        <v>31</v>
      </c>
      <c r="AD724" s="37">
        <f>IFERROR(INDEX('Kode Diskon'!$D$3:$D$9,MATCH(Data[[#This Row],[Kode diskon]],'Kode Diskon'!$C$3:$C$9,0)),"-")</f>
        <v>0.1</v>
      </c>
      <c r="AE724" s="23" t="s">
        <v>9</v>
      </c>
      <c r="AF724" s="23" t="s">
        <v>10</v>
      </c>
      <c r="AG724" s="23" t="s">
        <v>79</v>
      </c>
      <c r="AH724" s="24">
        <v>45039</v>
      </c>
      <c r="AI724" s="23" t="str">
        <f>TEXT(Data[[#This Row],[Tanggal terjual]],"dddd")</f>
        <v>Sunday</v>
      </c>
      <c r="AJ724" s="21" t="str">
        <f>TEXT(Data[[#This Row],[Tanggal terjual]],"wwww")</f>
        <v>wwww</v>
      </c>
    </row>
    <row r="725" spans="1:36" x14ac:dyDescent="0.2">
      <c r="A725" s="20">
        <v>724</v>
      </c>
      <c r="B725" s="21" t="str">
        <f>_xlfn.CONCAT("ORD-",INDEX(Helper!$B$2:$B$5,MATCH(Data[[#This Row],[Marketplace]],Helper!$A$2:$A$5,0)),TEXT(Data[[#This Row],[No]],"0000"),"-",TEXT(Data[[#This Row],[Tanggal terjual]],"dd/mm/yy"))</f>
        <v>ORD-SP0724-28/04/23</v>
      </c>
      <c r="C725" t="s">
        <v>63</v>
      </c>
      <c r="D725" t="str">
        <f>IFERROR(INDEX(Katalog!$A$3:$A$12,MATCH(Data[[#This Row],[ItemID A]],Katalog!$C$3:$C$12,0)),"-")</f>
        <v>Pakaian Pria</v>
      </c>
      <c r="E725" t="str">
        <f>IFERROR(INDEX(Katalog!$B$3:$B$12,MATCH(Data[[#This Row],[ItemID A]],Katalog!$C$3:$C$12,0)),"-")</f>
        <v>Jaket Jeans</v>
      </c>
      <c r="F725">
        <v>4</v>
      </c>
      <c r="G725">
        <v>3</v>
      </c>
      <c r="H725" s="36">
        <f>IFERROR(INDEX(Katalog!$D$3:$D$12,MATCH(Data[[#This Row],[ItemID A]],Katalog!$C$3:$C$12,0))*Data[[#This Row],[Qty A]],"0")</f>
        <v>1600000</v>
      </c>
      <c r="I725" s="36">
        <f>IFERROR(INDEX(Katalog!$F$3:$F$12,MATCH(Data[[#This Row],[ItemID A]],Katalog!$C$3:$C$12,0))*Data[[#This Row],[Qty A]],0)</f>
        <v>600000</v>
      </c>
      <c r="J725" t="s">
        <v>66</v>
      </c>
      <c r="K725" t="str">
        <f>IFERROR(INDEX(Katalog!$A$3:$A$12,MATCH(Data[[#This Row],[ItemID B]],Katalog!$C$3:$C$12,0)),"-")</f>
        <v>Sepatu Pria</v>
      </c>
      <c r="L725" t="str">
        <f>IFERROR(INDEX(Katalog!$B$3:$B$12,MATCH(Data[[#This Row],[ItemID B]],Katalog!$C$3:$C$12,0)),"-")</f>
        <v>Sandal Slip On</v>
      </c>
      <c r="M725">
        <v>1</v>
      </c>
      <c r="N725">
        <v>4</v>
      </c>
      <c r="O725" s="36">
        <f>IFERROR(INDEX(Katalog!$D$3:$D$12,MATCH(Data[[#This Row],[ItemID B]],Katalog!$C$3:$C$12,0))*Data[[#This Row],[Qty B]],"0")</f>
        <v>150000</v>
      </c>
      <c r="P725" s="36">
        <f>IFERROR(INDEX(Katalog!$F$3:$F$12,MATCH(Data[[#This Row],[ItemID B]],Katalog!$C$3:$C$12,0))*Data[[#This Row],[Qty B]],"0")</f>
        <v>60000</v>
      </c>
      <c r="R725" t="str">
        <f>IFERROR(INDEX(Katalog!$A$3:$A$12,MATCH(Data[[#This Row],[ItemID C]],Katalog!$C$3:$C$12,0)),"-")</f>
        <v>-</v>
      </c>
      <c r="S725" t="str">
        <f>IFERROR(INDEX(Katalog!$B$3:$B$12,MATCH(Data[[#This Row],[ItemID C]],Katalog!$C$3:$C$12,0)),"-")</f>
        <v>-</v>
      </c>
      <c r="V725" s="36" t="str">
        <f>IFERROR(INDEX(Katalog!$D$3:$D$12,MATCH(Data[[#This Row],[ItemID C]],Katalog!$C$3:$C$12,0))*Data[[#This Row],[Qty C]],"0")</f>
        <v>0</v>
      </c>
      <c r="W725" s="36" t="str">
        <f>IFERROR(INDEX(Katalog!$F$3:$F$12,MATCH(Data[[#This Row],[ItemID C]],Katalog!$C$3:$C$12,0))*Data[[#This Row],[Qty C]],"0")</f>
        <v>0</v>
      </c>
      <c r="X725" s="21">
        <f>Data[[#This Row],[Qty A]]+Data[[#This Row],[Qty B]]+Data[[#This Row],[Qty C]]</f>
        <v>5</v>
      </c>
      <c r="Y725" s="22">
        <f>Data[[#This Row],[Harga Barang A]]+Data[[#This Row],[Harga Barang B]]+Data[[#This Row],[Harga Barang C]]</f>
        <v>1750000</v>
      </c>
      <c r="Z725" s="35">
        <f>IFERROR(Data[[#This Row],[Total Harga]]-(Data[[#This Row],[Total Harga]]*Data[[#This Row],[Diskon]]),Data[[#This Row],[Total Harga]])</f>
        <v>1400000</v>
      </c>
      <c r="AA725" s="35">
        <f>(Data[[#This Row],[Profit A]]+Data[[#This Row],[Profit B]]+Data[[#This Row],[Profit C]])</f>
        <v>660000</v>
      </c>
      <c r="AB725" s="35">
        <f>IFERROR((Data[[#This Row],[Profit non Diskon]]-(Data[[#This Row],[Profit non Diskon]]*Data[[#This Row],[Diskon]])),Data[[#This Row],[Profit non Diskon]])</f>
        <v>528000</v>
      </c>
      <c r="AC725" s="23" t="s">
        <v>8</v>
      </c>
      <c r="AD725" s="37">
        <f>IFERROR(INDEX('Kode Diskon'!$D$3:$D$9,MATCH(Data[[#This Row],[Kode diskon]],'Kode Diskon'!$C$3:$C$9,0)),"-")</f>
        <v>0.2</v>
      </c>
      <c r="AE725" s="23" t="s">
        <v>9</v>
      </c>
      <c r="AF725" s="23" t="s">
        <v>7</v>
      </c>
      <c r="AG725" s="23" t="s">
        <v>76</v>
      </c>
      <c r="AH725" s="24">
        <v>45044</v>
      </c>
      <c r="AI725" s="23" t="str">
        <f>TEXT(Data[[#This Row],[Tanggal terjual]],"dddd")</f>
        <v>Friday</v>
      </c>
      <c r="AJ725" s="21" t="str">
        <f>TEXT(Data[[#This Row],[Tanggal terjual]],"wwww")</f>
        <v>wwww</v>
      </c>
    </row>
    <row r="726" spans="1:36" x14ac:dyDescent="0.2">
      <c r="A726" s="20">
        <v>725</v>
      </c>
      <c r="B726" s="21" t="str">
        <f>_xlfn.CONCAT("ORD-",INDEX(Helper!$B$2:$B$5,MATCH(Data[[#This Row],[Marketplace]],Helper!$A$2:$A$5,0)),TEXT(Data[[#This Row],[No]],"0000"),"-",TEXT(Data[[#This Row],[Tanggal terjual]],"dd/mm/yy"))</f>
        <v>ORD-SP0725-14/04/23</v>
      </c>
      <c r="C726" t="s">
        <v>62</v>
      </c>
      <c r="D726" t="str">
        <f>IFERROR(INDEX(Katalog!$A$3:$A$12,MATCH(Data[[#This Row],[ItemID A]],Katalog!$C$3:$C$12,0)),"-")</f>
        <v>Pakaian Pria</v>
      </c>
      <c r="E726" t="str">
        <f>IFERROR(INDEX(Katalog!$B$3:$B$12,MATCH(Data[[#This Row],[ItemID A]],Katalog!$C$3:$C$12,0)),"-")</f>
        <v>Celana Pendek</v>
      </c>
      <c r="F726">
        <v>1</v>
      </c>
      <c r="G726">
        <v>1</v>
      </c>
      <c r="H726" s="36">
        <f>IFERROR(INDEX(Katalog!$D$3:$D$12,MATCH(Data[[#This Row],[ItemID A]],Katalog!$C$3:$C$12,0))*Data[[#This Row],[Qty A]],"0")</f>
        <v>180000</v>
      </c>
      <c r="I726" s="36">
        <f>IFERROR(INDEX(Katalog!$F$3:$F$12,MATCH(Data[[#This Row],[ItemID A]],Katalog!$C$3:$C$12,0))*Data[[#This Row],[Qty A]],0)</f>
        <v>70000</v>
      </c>
      <c r="J726" t="s">
        <v>61</v>
      </c>
      <c r="K726" t="str">
        <f>IFERROR(INDEX(Katalog!$A$3:$A$12,MATCH(Data[[#This Row],[ItemID B]],Katalog!$C$3:$C$12,0)),"-")</f>
        <v>Pakaian Pria</v>
      </c>
      <c r="L726" t="str">
        <f>IFERROR(INDEX(Katalog!$B$3:$B$12,MATCH(Data[[#This Row],[ItemID B]],Katalog!$C$3:$C$12,0)),"-")</f>
        <v>Kaos Polo</v>
      </c>
      <c r="M726">
        <v>2</v>
      </c>
      <c r="N726">
        <v>5</v>
      </c>
      <c r="O726" s="36">
        <f>IFERROR(INDEX(Katalog!$D$3:$D$12,MATCH(Data[[#This Row],[ItemID B]],Katalog!$C$3:$C$12,0))*Data[[#This Row],[Qty B]],"0")</f>
        <v>400000</v>
      </c>
      <c r="P726" s="36">
        <f>IFERROR(INDEX(Katalog!$F$3:$F$12,MATCH(Data[[#This Row],[ItemID B]],Katalog!$C$3:$C$12,0))*Data[[#This Row],[Qty B]],"0")</f>
        <v>160000</v>
      </c>
      <c r="Q726" t="s">
        <v>60</v>
      </c>
      <c r="R726" t="str">
        <f>IFERROR(INDEX(Katalog!$A$3:$A$12,MATCH(Data[[#This Row],[ItemID C]],Katalog!$C$3:$C$12,0)),"-")</f>
        <v>Pakaian Wanita</v>
      </c>
      <c r="S726" t="str">
        <f>IFERROR(INDEX(Katalog!$B$3:$B$12,MATCH(Data[[#This Row],[ItemID C]],Katalog!$C$3:$C$12,0)),"-")</f>
        <v>Kaftan</v>
      </c>
      <c r="T726">
        <v>3</v>
      </c>
      <c r="U726">
        <v>5</v>
      </c>
      <c r="V726" s="36">
        <f>IFERROR(INDEX(Katalog!$D$3:$D$12,MATCH(Data[[#This Row],[ItemID C]],Katalog!$C$3:$C$12,0))*Data[[#This Row],[Qty C]],"0")</f>
        <v>750000</v>
      </c>
      <c r="W726" s="36">
        <f>IFERROR(INDEX(Katalog!$F$3:$F$12,MATCH(Data[[#This Row],[ItemID C]],Katalog!$C$3:$C$12,0))*Data[[#This Row],[Qty C]],"0")</f>
        <v>300000</v>
      </c>
      <c r="X726" s="21">
        <f>Data[[#This Row],[Qty A]]+Data[[#This Row],[Qty B]]+Data[[#This Row],[Qty C]]</f>
        <v>6</v>
      </c>
      <c r="Y726" s="22">
        <f>Data[[#This Row],[Harga Barang A]]+Data[[#This Row],[Harga Barang B]]+Data[[#This Row],[Harga Barang C]]</f>
        <v>1330000</v>
      </c>
      <c r="Z726" s="35">
        <f>IFERROR(Data[[#This Row],[Total Harga]]-(Data[[#This Row],[Total Harga]]*Data[[#This Row],[Diskon]]),Data[[#This Row],[Total Harga]])</f>
        <v>1330000</v>
      </c>
      <c r="AA726" s="35">
        <f>(Data[[#This Row],[Profit A]]+Data[[#This Row],[Profit B]]+Data[[#This Row],[Profit C]])</f>
        <v>530000</v>
      </c>
      <c r="AB726" s="35">
        <f>IFERROR((Data[[#This Row],[Profit non Diskon]]-(Data[[#This Row],[Profit non Diskon]]*Data[[#This Row],[Diskon]])),Data[[#This Row],[Profit non Diskon]])</f>
        <v>530000</v>
      </c>
      <c r="AC726" s="23" t="s">
        <v>11</v>
      </c>
      <c r="AD726" s="37" t="str">
        <f>IFERROR(INDEX('Kode Diskon'!$D$3:$D$9,MATCH(Data[[#This Row],[Kode diskon]],'Kode Diskon'!$C$3:$C$9,0)),"-")</f>
        <v>-</v>
      </c>
      <c r="AE726" s="23" t="s">
        <v>11</v>
      </c>
      <c r="AF726" s="23" t="s">
        <v>7</v>
      </c>
      <c r="AG726" s="23" t="s">
        <v>77</v>
      </c>
      <c r="AH726" s="24">
        <v>45030</v>
      </c>
      <c r="AI726" s="23" t="str">
        <f>TEXT(Data[[#This Row],[Tanggal terjual]],"dddd")</f>
        <v>Friday</v>
      </c>
      <c r="AJ726" s="21" t="str">
        <f>TEXT(Data[[#This Row],[Tanggal terjual]],"wwww")</f>
        <v>wwww</v>
      </c>
    </row>
    <row r="727" spans="1:36" x14ac:dyDescent="0.2">
      <c r="A727" s="20">
        <v>726</v>
      </c>
      <c r="B727" s="21" t="str">
        <f>_xlfn.CONCAT("ORD-",INDEX(Helper!$B$2:$B$5,MATCH(Data[[#This Row],[Marketplace]],Helper!$A$2:$A$5,0)),TEXT(Data[[#This Row],[No]],"0000"),"-",TEXT(Data[[#This Row],[Tanggal terjual]],"dd/mm/yy"))</f>
        <v>ORD-BL0726-17/04/23</v>
      </c>
      <c r="C727" t="s">
        <v>64</v>
      </c>
      <c r="D727" t="str">
        <f>IFERROR(INDEX(Katalog!$A$3:$A$12,MATCH(Data[[#This Row],[ItemID A]],Katalog!$C$3:$C$12,0)),"-")</f>
        <v>Pakaian Unisex</v>
      </c>
      <c r="E727" t="str">
        <f>IFERROR(INDEX(Katalog!$B$3:$B$12,MATCH(Data[[#This Row],[ItemID A]],Katalog!$C$3:$C$12,0)),"-")</f>
        <v>Jaket Hoodie</v>
      </c>
      <c r="F727">
        <v>1</v>
      </c>
      <c r="G727">
        <v>1</v>
      </c>
      <c r="H727" s="36">
        <f>IFERROR(INDEX(Katalog!$D$3:$D$12,MATCH(Data[[#This Row],[ItemID A]],Katalog!$C$3:$C$12,0))*Data[[#This Row],[Qty A]],"0")</f>
        <v>350000</v>
      </c>
      <c r="I727" s="36">
        <f>IFERROR(INDEX(Katalog!$F$3:$F$12,MATCH(Data[[#This Row],[ItemID A]],Katalog!$C$3:$C$12,0))*Data[[#This Row],[Qty A]],0)</f>
        <v>130000</v>
      </c>
      <c r="K727" t="str">
        <f>IFERROR(INDEX(Katalog!$A$3:$A$12,MATCH(Data[[#This Row],[ItemID B]],Katalog!$C$3:$C$12,0)),"-")</f>
        <v>-</v>
      </c>
      <c r="L727" t="str">
        <f>IFERROR(INDEX(Katalog!$B$3:$B$12,MATCH(Data[[#This Row],[ItemID B]],Katalog!$C$3:$C$12,0)),"-")</f>
        <v>-</v>
      </c>
      <c r="O727" s="36" t="str">
        <f>IFERROR(INDEX(Katalog!$D$3:$D$12,MATCH(Data[[#This Row],[ItemID B]],Katalog!$C$3:$C$12,0))*Data[[#This Row],[Qty B]],"0")</f>
        <v>0</v>
      </c>
      <c r="P727" s="36" t="str">
        <f>IFERROR(INDEX(Katalog!$F$3:$F$12,MATCH(Data[[#This Row],[ItemID B]],Katalog!$C$3:$C$12,0))*Data[[#This Row],[Qty B]],"0")</f>
        <v>0</v>
      </c>
      <c r="R727" t="str">
        <f>IFERROR(INDEX(Katalog!$A$3:$A$12,MATCH(Data[[#This Row],[ItemID C]],Katalog!$C$3:$C$12,0)),"-")</f>
        <v>-</v>
      </c>
      <c r="S727" t="str">
        <f>IFERROR(INDEX(Katalog!$B$3:$B$12,MATCH(Data[[#This Row],[ItemID C]],Katalog!$C$3:$C$12,0)),"-")</f>
        <v>-</v>
      </c>
      <c r="V727" s="36" t="str">
        <f>IFERROR(INDEX(Katalog!$D$3:$D$12,MATCH(Data[[#This Row],[ItemID C]],Katalog!$C$3:$C$12,0))*Data[[#This Row],[Qty C]],"0")</f>
        <v>0</v>
      </c>
      <c r="W727" s="36" t="str">
        <f>IFERROR(INDEX(Katalog!$F$3:$F$12,MATCH(Data[[#This Row],[ItemID C]],Katalog!$C$3:$C$12,0))*Data[[#This Row],[Qty C]],"0")</f>
        <v>0</v>
      </c>
      <c r="X727" s="21">
        <f>Data[[#This Row],[Qty A]]+Data[[#This Row],[Qty B]]+Data[[#This Row],[Qty C]]</f>
        <v>1</v>
      </c>
      <c r="Y727" s="22">
        <f>Data[[#This Row],[Harga Barang A]]+Data[[#This Row],[Harga Barang B]]+Data[[#This Row],[Harga Barang C]]</f>
        <v>350000</v>
      </c>
      <c r="Z727" s="35">
        <f>IFERROR(Data[[#This Row],[Total Harga]]-(Data[[#This Row],[Total Harga]]*Data[[#This Row],[Diskon]]),Data[[#This Row],[Total Harga]])</f>
        <v>297500</v>
      </c>
      <c r="AA727" s="35">
        <f>(Data[[#This Row],[Profit A]]+Data[[#This Row],[Profit B]]+Data[[#This Row],[Profit C]])</f>
        <v>130000</v>
      </c>
      <c r="AB727" s="35">
        <f>IFERROR((Data[[#This Row],[Profit non Diskon]]-(Data[[#This Row],[Profit non Diskon]]*Data[[#This Row],[Diskon]])),Data[[#This Row],[Profit non Diskon]])</f>
        <v>110500</v>
      </c>
      <c r="AC727" s="23" t="s">
        <v>32</v>
      </c>
      <c r="AD727" s="37">
        <f>IFERROR(INDEX('Kode Diskon'!$D$3:$D$9,MATCH(Data[[#This Row],[Kode diskon]],'Kode Diskon'!$C$3:$C$9,0)),"-")</f>
        <v>0.15</v>
      </c>
      <c r="AE727" s="23" t="s">
        <v>9</v>
      </c>
      <c r="AF727" s="23" t="s">
        <v>12</v>
      </c>
      <c r="AG727" s="23" t="s">
        <v>80</v>
      </c>
      <c r="AH727" s="24">
        <v>45033</v>
      </c>
      <c r="AI727" s="23" t="str">
        <f>TEXT(Data[[#This Row],[Tanggal terjual]],"dddd")</f>
        <v>Monday</v>
      </c>
      <c r="AJ727" s="21" t="str">
        <f>TEXT(Data[[#This Row],[Tanggal terjual]],"wwww")</f>
        <v>wwww</v>
      </c>
    </row>
    <row r="728" spans="1:36" x14ac:dyDescent="0.2">
      <c r="A728" s="20">
        <v>727</v>
      </c>
      <c r="B728" s="21" t="str">
        <f>_xlfn.CONCAT("ORD-",INDEX(Helper!$B$2:$B$5,MATCH(Data[[#This Row],[Marketplace]],Helper!$A$2:$A$5,0)),TEXT(Data[[#This Row],[No]],"0000"),"-",TEXT(Data[[#This Row],[Tanggal terjual]],"dd/mm/yy"))</f>
        <v>ORD-SP0727-09/04/23</v>
      </c>
      <c r="C728" t="s">
        <v>61</v>
      </c>
      <c r="D728" t="str">
        <f>IFERROR(INDEX(Katalog!$A$3:$A$12,MATCH(Data[[#This Row],[ItemID A]],Katalog!$C$3:$C$12,0)),"-")</f>
        <v>Pakaian Pria</v>
      </c>
      <c r="E728" t="str">
        <f>IFERROR(INDEX(Katalog!$B$3:$B$12,MATCH(Data[[#This Row],[ItemID A]],Katalog!$C$3:$C$12,0)),"-")</f>
        <v>Kaos Polo</v>
      </c>
      <c r="F728">
        <v>3</v>
      </c>
      <c r="G728">
        <v>3</v>
      </c>
      <c r="H728" s="36">
        <f>IFERROR(INDEX(Katalog!$D$3:$D$12,MATCH(Data[[#This Row],[ItemID A]],Katalog!$C$3:$C$12,0))*Data[[#This Row],[Qty A]],"0")</f>
        <v>600000</v>
      </c>
      <c r="I728" s="36">
        <f>IFERROR(INDEX(Katalog!$F$3:$F$12,MATCH(Data[[#This Row],[ItemID A]],Katalog!$C$3:$C$12,0))*Data[[#This Row],[Qty A]],0)</f>
        <v>240000</v>
      </c>
      <c r="J728" t="s">
        <v>64</v>
      </c>
      <c r="K728" t="str">
        <f>IFERROR(INDEX(Katalog!$A$3:$A$12,MATCH(Data[[#This Row],[ItemID B]],Katalog!$C$3:$C$12,0)),"-")</f>
        <v>Pakaian Unisex</v>
      </c>
      <c r="L728" t="str">
        <f>IFERROR(INDEX(Katalog!$B$3:$B$12,MATCH(Data[[#This Row],[ItemID B]],Katalog!$C$3:$C$12,0)),"-")</f>
        <v>Jaket Hoodie</v>
      </c>
      <c r="M728">
        <v>1</v>
      </c>
      <c r="N728">
        <v>3</v>
      </c>
      <c r="O728" s="36">
        <f>IFERROR(INDEX(Katalog!$D$3:$D$12,MATCH(Data[[#This Row],[ItemID B]],Katalog!$C$3:$C$12,0))*Data[[#This Row],[Qty B]],"0")</f>
        <v>350000</v>
      </c>
      <c r="P728" s="36">
        <f>IFERROR(INDEX(Katalog!$F$3:$F$12,MATCH(Data[[#This Row],[ItemID B]],Katalog!$C$3:$C$12,0))*Data[[#This Row],[Qty B]],"0")</f>
        <v>130000</v>
      </c>
      <c r="R728" t="str">
        <f>IFERROR(INDEX(Katalog!$A$3:$A$12,MATCH(Data[[#This Row],[ItemID C]],Katalog!$C$3:$C$12,0)),"-")</f>
        <v>-</v>
      </c>
      <c r="S728" t="str">
        <f>IFERROR(INDEX(Katalog!$B$3:$B$12,MATCH(Data[[#This Row],[ItemID C]],Katalog!$C$3:$C$12,0)),"-")</f>
        <v>-</v>
      </c>
      <c r="V728" s="36" t="str">
        <f>IFERROR(INDEX(Katalog!$D$3:$D$12,MATCH(Data[[#This Row],[ItemID C]],Katalog!$C$3:$C$12,0))*Data[[#This Row],[Qty C]],"0")</f>
        <v>0</v>
      </c>
      <c r="W728" s="36" t="str">
        <f>IFERROR(INDEX(Katalog!$F$3:$F$12,MATCH(Data[[#This Row],[ItemID C]],Katalog!$C$3:$C$12,0))*Data[[#This Row],[Qty C]],"0")</f>
        <v>0</v>
      </c>
      <c r="X728" s="21">
        <f>Data[[#This Row],[Qty A]]+Data[[#This Row],[Qty B]]+Data[[#This Row],[Qty C]]</f>
        <v>4</v>
      </c>
      <c r="Y728" s="22">
        <f>Data[[#This Row],[Harga Barang A]]+Data[[#This Row],[Harga Barang B]]+Data[[#This Row],[Harga Barang C]]</f>
        <v>950000</v>
      </c>
      <c r="Z728" s="35">
        <f>IFERROR(Data[[#This Row],[Total Harga]]-(Data[[#This Row],[Total Harga]]*Data[[#This Row],[Diskon]]),Data[[#This Row],[Total Harga]])</f>
        <v>950000</v>
      </c>
      <c r="AA728" s="35">
        <f>(Data[[#This Row],[Profit A]]+Data[[#This Row],[Profit B]]+Data[[#This Row],[Profit C]])</f>
        <v>370000</v>
      </c>
      <c r="AB728" s="35">
        <f>IFERROR((Data[[#This Row],[Profit non Diskon]]-(Data[[#This Row],[Profit non Diskon]]*Data[[#This Row],[Diskon]])),Data[[#This Row],[Profit non Diskon]])</f>
        <v>370000</v>
      </c>
      <c r="AC728" s="23" t="s">
        <v>11</v>
      </c>
      <c r="AD728" s="37" t="str">
        <f>IFERROR(INDEX('Kode Diskon'!$D$3:$D$9,MATCH(Data[[#This Row],[Kode diskon]],'Kode Diskon'!$C$3:$C$9,0)),"-")</f>
        <v>-</v>
      </c>
      <c r="AE728" s="23" t="s">
        <v>11</v>
      </c>
      <c r="AF728" s="23" t="s">
        <v>7</v>
      </c>
      <c r="AG728" s="23" t="s">
        <v>79</v>
      </c>
      <c r="AH728" s="24">
        <v>45025</v>
      </c>
      <c r="AI728" s="23" t="str">
        <f>TEXT(Data[[#This Row],[Tanggal terjual]],"dddd")</f>
        <v>Sunday</v>
      </c>
      <c r="AJ728" s="21" t="str">
        <f>TEXT(Data[[#This Row],[Tanggal terjual]],"wwww")</f>
        <v>wwww</v>
      </c>
    </row>
    <row r="729" spans="1:36" x14ac:dyDescent="0.2">
      <c r="A729" s="20">
        <v>728</v>
      </c>
      <c r="B729" s="21" t="str">
        <f>_xlfn.CONCAT("ORD-",INDEX(Helper!$B$2:$B$5,MATCH(Data[[#This Row],[Marketplace]],Helper!$A$2:$A$5,0)),TEXT(Data[[#This Row],[No]],"0000"),"-",TEXT(Data[[#This Row],[Tanggal terjual]],"dd/mm/yy"))</f>
        <v>ORD-SP0728-11/04/23</v>
      </c>
      <c r="C729" t="s">
        <v>63</v>
      </c>
      <c r="D729" t="str">
        <f>IFERROR(INDEX(Katalog!$A$3:$A$12,MATCH(Data[[#This Row],[ItemID A]],Katalog!$C$3:$C$12,0)),"-")</f>
        <v>Pakaian Pria</v>
      </c>
      <c r="E729" t="str">
        <f>IFERROR(INDEX(Katalog!$B$3:$B$12,MATCH(Data[[#This Row],[ItemID A]],Katalog!$C$3:$C$12,0)),"-")</f>
        <v>Jaket Jeans</v>
      </c>
      <c r="F729">
        <v>1</v>
      </c>
      <c r="G729">
        <v>4</v>
      </c>
      <c r="H729" s="36">
        <f>IFERROR(INDEX(Katalog!$D$3:$D$12,MATCH(Data[[#This Row],[ItemID A]],Katalog!$C$3:$C$12,0))*Data[[#This Row],[Qty A]],"0")</f>
        <v>400000</v>
      </c>
      <c r="I729" s="36">
        <f>IFERROR(INDEX(Katalog!$F$3:$F$12,MATCH(Data[[#This Row],[ItemID A]],Katalog!$C$3:$C$12,0))*Data[[#This Row],[Qty A]],0)</f>
        <v>150000</v>
      </c>
      <c r="K729" t="str">
        <f>IFERROR(INDEX(Katalog!$A$3:$A$12,MATCH(Data[[#This Row],[ItemID B]],Katalog!$C$3:$C$12,0)),"-")</f>
        <v>-</v>
      </c>
      <c r="L729" t="str">
        <f>IFERROR(INDEX(Katalog!$B$3:$B$12,MATCH(Data[[#This Row],[ItemID B]],Katalog!$C$3:$C$12,0)),"-")</f>
        <v>-</v>
      </c>
      <c r="O729" s="36" t="str">
        <f>IFERROR(INDEX(Katalog!$D$3:$D$12,MATCH(Data[[#This Row],[ItemID B]],Katalog!$C$3:$C$12,0))*Data[[#This Row],[Qty B]],"0")</f>
        <v>0</v>
      </c>
      <c r="P729" s="36" t="str">
        <f>IFERROR(INDEX(Katalog!$F$3:$F$12,MATCH(Data[[#This Row],[ItemID B]],Katalog!$C$3:$C$12,0))*Data[[#This Row],[Qty B]],"0")</f>
        <v>0</v>
      </c>
      <c r="R729" t="str">
        <f>IFERROR(INDEX(Katalog!$A$3:$A$12,MATCH(Data[[#This Row],[ItemID C]],Katalog!$C$3:$C$12,0)),"-")</f>
        <v>-</v>
      </c>
      <c r="S729" t="str">
        <f>IFERROR(INDEX(Katalog!$B$3:$B$12,MATCH(Data[[#This Row],[ItemID C]],Katalog!$C$3:$C$12,0)),"-")</f>
        <v>-</v>
      </c>
      <c r="V729" s="36" t="str">
        <f>IFERROR(INDEX(Katalog!$D$3:$D$12,MATCH(Data[[#This Row],[ItemID C]],Katalog!$C$3:$C$12,0))*Data[[#This Row],[Qty C]],"0")</f>
        <v>0</v>
      </c>
      <c r="W729" s="36" t="str">
        <f>IFERROR(INDEX(Katalog!$F$3:$F$12,MATCH(Data[[#This Row],[ItemID C]],Katalog!$C$3:$C$12,0))*Data[[#This Row],[Qty C]],"0")</f>
        <v>0</v>
      </c>
      <c r="X729" s="21">
        <f>Data[[#This Row],[Qty A]]+Data[[#This Row],[Qty B]]+Data[[#This Row],[Qty C]]</f>
        <v>1</v>
      </c>
      <c r="Y729" s="22">
        <f>Data[[#This Row],[Harga Barang A]]+Data[[#This Row],[Harga Barang B]]+Data[[#This Row],[Harga Barang C]]</f>
        <v>400000</v>
      </c>
      <c r="Z729" s="35">
        <f>IFERROR(Data[[#This Row],[Total Harga]]-(Data[[#This Row],[Total Harga]]*Data[[#This Row],[Diskon]]),Data[[#This Row],[Total Harga]])</f>
        <v>400000</v>
      </c>
      <c r="AA729" s="35">
        <f>(Data[[#This Row],[Profit A]]+Data[[#This Row],[Profit B]]+Data[[#This Row],[Profit C]])</f>
        <v>150000</v>
      </c>
      <c r="AB729" s="35">
        <f>IFERROR((Data[[#This Row],[Profit non Diskon]]-(Data[[#This Row],[Profit non Diskon]]*Data[[#This Row],[Diskon]])),Data[[#This Row],[Profit non Diskon]])</f>
        <v>150000</v>
      </c>
      <c r="AC729" s="23" t="s">
        <v>11</v>
      </c>
      <c r="AD729" s="37" t="str">
        <f>IFERROR(INDEX('Kode Diskon'!$D$3:$D$9,MATCH(Data[[#This Row],[Kode diskon]],'Kode Diskon'!$C$3:$C$9,0)),"-")</f>
        <v>-</v>
      </c>
      <c r="AE729" s="23" t="s">
        <v>11</v>
      </c>
      <c r="AF729" s="23" t="s">
        <v>7</v>
      </c>
      <c r="AG729" s="23" t="s">
        <v>79</v>
      </c>
      <c r="AH729" s="24">
        <v>45027</v>
      </c>
      <c r="AI729" s="23" t="str">
        <f>TEXT(Data[[#This Row],[Tanggal terjual]],"dddd")</f>
        <v>Tuesday</v>
      </c>
      <c r="AJ729" s="21" t="str">
        <f>TEXT(Data[[#This Row],[Tanggal terjual]],"wwww")</f>
        <v>wwww</v>
      </c>
    </row>
    <row r="730" spans="1:36" x14ac:dyDescent="0.2">
      <c r="A730" s="20">
        <v>729</v>
      </c>
      <c r="B730" s="21" t="str">
        <f>_xlfn.CONCAT("ORD-",INDEX(Helper!$B$2:$B$5,MATCH(Data[[#This Row],[Marketplace]],Helper!$A$2:$A$5,0)),TEXT(Data[[#This Row],[No]],"0000"),"-",TEXT(Data[[#This Row],[Tanggal terjual]],"dd/mm/yy"))</f>
        <v>ORD-BB0729-08/04/23</v>
      </c>
      <c r="C730" t="s">
        <v>62</v>
      </c>
      <c r="D730" t="str">
        <f>IFERROR(INDEX(Katalog!$A$3:$A$12,MATCH(Data[[#This Row],[ItemID A]],Katalog!$C$3:$C$12,0)),"-")</f>
        <v>Pakaian Pria</v>
      </c>
      <c r="E730" t="str">
        <f>IFERROR(INDEX(Katalog!$B$3:$B$12,MATCH(Data[[#This Row],[ItemID A]],Katalog!$C$3:$C$12,0)),"-")</f>
        <v>Celana Pendek</v>
      </c>
      <c r="F730">
        <v>4</v>
      </c>
      <c r="G730">
        <v>4</v>
      </c>
      <c r="H730" s="36">
        <f>IFERROR(INDEX(Katalog!$D$3:$D$12,MATCH(Data[[#This Row],[ItemID A]],Katalog!$C$3:$C$12,0))*Data[[#This Row],[Qty A]],"0")</f>
        <v>720000</v>
      </c>
      <c r="I730" s="36">
        <f>IFERROR(INDEX(Katalog!$F$3:$F$12,MATCH(Data[[#This Row],[ItemID A]],Katalog!$C$3:$C$12,0))*Data[[#This Row],[Qty A]],0)</f>
        <v>280000</v>
      </c>
      <c r="K730" t="str">
        <f>IFERROR(INDEX(Katalog!$A$3:$A$12,MATCH(Data[[#This Row],[ItemID B]],Katalog!$C$3:$C$12,0)),"-")</f>
        <v>-</v>
      </c>
      <c r="L730" t="str">
        <f>IFERROR(INDEX(Katalog!$B$3:$B$12,MATCH(Data[[#This Row],[ItemID B]],Katalog!$C$3:$C$12,0)),"-")</f>
        <v>-</v>
      </c>
      <c r="O730" s="36" t="str">
        <f>IFERROR(INDEX(Katalog!$D$3:$D$12,MATCH(Data[[#This Row],[ItemID B]],Katalog!$C$3:$C$12,0))*Data[[#This Row],[Qty B]],"0")</f>
        <v>0</v>
      </c>
      <c r="P730" s="36" t="str">
        <f>IFERROR(INDEX(Katalog!$F$3:$F$12,MATCH(Data[[#This Row],[ItemID B]],Katalog!$C$3:$C$12,0))*Data[[#This Row],[Qty B]],"0")</f>
        <v>0</v>
      </c>
      <c r="R730" t="str">
        <f>IFERROR(INDEX(Katalog!$A$3:$A$12,MATCH(Data[[#This Row],[ItemID C]],Katalog!$C$3:$C$12,0)),"-")</f>
        <v>-</v>
      </c>
      <c r="S730" t="str">
        <f>IFERROR(INDEX(Katalog!$B$3:$B$12,MATCH(Data[[#This Row],[ItemID C]],Katalog!$C$3:$C$12,0)),"-")</f>
        <v>-</v>
      </c>
      <c r="V730" s="36" t="str">
        <f>IFERROR(INDEX(Katalog!$D$3:$D$12,MATCH(Data[[#This Row],[ItemID C]],Katalog!$C$3:$C$12,0))*Data[[#This Row],[Qty C]],"0")</f>
        <v>0</v>
      </c>
      <c r="W730" s="36" t="str">
        <f>IFERROR(INDEX(Katalog!$F$3:$F$12,MATCH(Data[[#This Row],[ItemID C]],Katalog!$C$3:$C$12,0))*Data[[#This Row],[Qty C]],"0")</f>
        <v>0</v>
      </c>
      <c r="X730" s="21">
        <f>Data[[#This Row],[Qty A]]+Data[[#This Row],[Qty B]]+Data[[#This Row],[Qty C]]</f>
        <v>4</v>
      </c>
      <c r="Y730" s="22">
        <f>Data[[#This Row],[Harga Barang A]]+Data[[#This Row],[Harga Barang B]]+Data[[#This Row],[Harga Barang C]]</f>
        <v>720000</v>
      </c>
      <c r="Z730" s="35">
        <f>IFERROR(Data[[#This Row],[Total Harga]]-(Data[[#This Row],[Total Harga]]*Data[[#This Row],[Diskon]]),Data[[#This Row],[Total Harga]])</f>
        <v>720000</v>
      </c>
      <c r="AA730" s="35">
        <f>(Data[[#This Row],[Profit A]]+Data[[#This Row],[Profit B]]+Data[[#This Row],[Profit C]])</f>
        <v>280000</v>
      </c>
      <c r="AB730" s="35">
        <f>IFERROR((Data[[#This Row],[Profit non Diskon]]-(Data[[#This Row],[Profit non Diskon]]*Data[[#This Row],[Diskon]])),Data[[#This Row],[Profit non Diskon]])</f>
        <v>280000</v>
      </c>
      <c r="AC730" s="23" t="s">
        <v>11</v>
      </c>
      <c r="AD730" s="37" t="str">
        <f>IFERROR(INDEX('Kode Diskon'!$D$3:$D$9,MATCH(Data[[#This Row],[Kode diskon]],'Kode Diskon'!$C$3:$C$9,0)),"-")</f>
        <v>-</v>
      </c>
      <c r="AE730" s="23" t="s">
        <v>11</v>
      </c>
      <c r="AF730" s="23" t="s">
        <v>14</v>
      </c>
      <c r="AG730" s="23" t="s">
        <v>76</v>
      </c>
      <c r="AH730" s="24">
        <v>45024</v>
      </c>
      <c r="AI730" s="23" t="str">
        <f>TEXT(Data[[#This Row],[Tanggal terjual]],"dddd")</f>
        <v>Saturday</v>
      </c>
      <c r="AJ730" s="21" t="str">
        <f>TEXT(Data[[#This Row],[Tanggal terjual]],"wwww")</f>
        <v>wwww</v>
      </c>
    </row>
    <row r="731" spans="1:36" x14ac:dyDescent="0.2">
      <c r="A731" s="20">
        <v>730</v>
      </c>
      <c r="B731" s="21" t="str">
        <f>_xlfn.CONCAT("ORD-",INDEX(Helper!$B$2:$B$5,MATCH(Data[[#This Row],[Marketplace]],Helper!$A$2:$A$5,0)),TEXT(Data[[#This Row],[No]],"0000"),"-",TEXT(Data[[#This Row],[Tanggal terjual]],"dd/mm/yy"))</f>
        <v>ORD-SP0730-19/04/23</v>
      </c>
      <c r="C731" t="s">
        <v>63</v>
      </c>
      <c r="D731" t="str">
        <f>IFERROR(INDEX(Katalog!$A$3:$A$12,MATCH(Data[[#This Row],[ItemID A]],Katalog!$C$3:$C$12,0)),"-")</f>
        <v>Pakaian Pria</v>
      </c>
      <c r="E731" t="str">
        <f>IFERROR(INDEX(Katalog!$B$3:$B$12,MATCH(Data[[#This Row],[ItemID A]],Katalog!$C$3:$C$12,0)),"-")</f>
        <v>Jaket Jeans</v>
      </c>
      <c r="F731">
        <v>5</v>
      </c>
      <c r="G731">
        <v>2</v>
      </c>
      <c r="H731" s="36">
        <f>IFERROR(INDEX(Katalog!$D$3:$D$12,MATCH(Data[[#This Row],[ItemID A]],Katalog!$C$3:$C$12,0))*Data[[#This Row],[Qty A]],"0")</f>
        <v>2000000</v>
      </c>
      <c r="I731" s="36">
        <f>IFERROR(INDEX(Katalog!$F$3:$F$12,MATCH(Data[[#This Row],[ItemID A]],Katalog!$C$3:$C$12,0))*Data[[#This Row],[Qty A]],0)</f>
        <v>750000</v>
      </c>
      <c r="J731" t="s">
        <v>66</v>
      </c>
      <c r="K731" t="str">
        <f>IFERROR(INDEX(Katalog!$A$3:$A$12,MATCH(Data[[#This Row],[ItemID B]],Katalog!$C$3:$C$12,0)),"-")</f>
        <v>Sepatu Pria</v>
      </c>
      <c r="L731" t="str">
        <f>IFERROR(INDEX(Katalog!$B$3:$B$12,MATCH(Data[[#This Row],[ItemID B]],Katalog!$C$3:$C$12,0)),"-")</f>
        <v>Sandal Slip On</v>
      </c>
      <c r="M731">
        <v>1</v>
      </c>
      <c r="N731">
        <v>4</v>
      </c>
      <c r="O731" s="36">
        <f>IFERROR(INDEX(Katalog!$D$3:$D$12,MATCH(Data[[#This Row],[ItemID B]],Katalog!$C$3:$C$12,0))*Data[[#This Row],[Qty B]],"0")</f>
        <v>150000</v>
      </c>
      <c r="P731" s="36">
        <f>IFERROR(INDEX(Katalog!$F$3:$F$12,MATCH(Data[[#This Row],[ItemID B]],Katalog!$C$3:$C$12,0))*Data[[#This Row],[Qty B]],"0")</f>
        <v>60000</v>
      </c>
      <c r="R731" t="str">
        <f>IFERROR(INDEX(Katalog!$A$3:$A$12,MATCH(Data[[#This Row],[ItemID C]],Katalog!$C$3:$C$12,0)),"-")</f>
        <v>-</v>
      </c>
      <c r="S731" t="str">
        <f>IFERROR(INDEX(Katalog!$B$3:$B$12,MATCH(Data[[#This Row],[ItemID C]],Katalog!$C$3:$C$12,0)),"-")</f>
        <v>-</v>
      </c>
      <c r="V731" s="36" t="str">
        <f>IFERROR(INDEX(Katalog!$D$3:$D$12,MATCH(Data[[#This Row],[ItemID C]],Katalog!$C$3:$C$12,0))*Data[[#This Row],[Qty C]],"0")</f>
        <v>0</v>
      </c>
      <c r="W731" s="36" t="str">
        <f>IFERROR(INDEX(Katalog!$F$3:$F$12,MATCH(Data[[#This Row],[ItemID C]],Katalog!$C$3:$C$12,0))*Data[[#This Row],[Qty C]],"0")</f>
        <v>0</v>
      </c>
      <c r="X731" s="21">
        <f>Data[[#This Row],[Qty A]]+Data[[#This Row],[Qty B]]+Data[[#This Row],[Qty C]]</f>
        <v>6</v>
      </c>
      <c r="Y731" s="22">
        <f>Data[[#This Row],[Harga Barang A]]+Data[[#This Row],[Harga Barang B]]+Data[[#This Row],[Harga Barang C]]</f>
        <v>2150000</v>
      </c>
      <c r="Z731" s="35">
        <f>IFERROR(Data[[#This Row],[Total Harga]]-(Data[[#This Row],[Total Harga]]*Data[[#This Row],[Diskon]]),Data[[#This Row],[Total Harga]])</f>
        <v>1720000</v>
      </c>
      <c r="AA731" s="35">
        <f>(Data[[#This Row],[Profit A]]+Data[[#This Row],[Profit B]]+Data[[#This Row],[Profit C]])</f>
        <v>810000</v>
      </c>
      <c r="AB731" s="35">
        <f>IFERROR((Data[[#This Row],[Profit non Diskon]]-(Data[[#This Row],[Profit non Diskon]]*Data[[#This Row],[Diskon]])),Data[[#This Row],[Profit non Diskon]])</f>
        <v>648000</v>
      </c>
      <c r="AC731" s="23" t="s">
        <v>8</v>
      </c>
      <c r="AD731" s="37">
        <f>IFERROR(INDEX('Kode Diskon'!$D$3:$D$9,MATCH(Data[[#This Row],[Kode diskon]],'Kode Diskon'!$C$3:$C$9,0)),"-")</f>
        <v>0.2</v>
      </c>
      <c r="AE731" s="23" t="s">
        <v>9</v>
      </c>
      <c r="AF731" s="23" t="s">
        <v>7</v>
      </c>
      <c r="AG731" s="23" t="s">
        <v>80</v>
      </c>
      <c r="AH731" s="24">
        <v>45035</v>
      </c>
      <c r="AI731" s="23" t="str">
        <f>TEXT(Data[[#This Row],[Tanggal terjual]],"dddd")</f>
        <v>Wednesday</v>
      </c>
      <c r="AJ731" s="21" t="str">
        <f>TEXT(Data[[#This Row],[Tanggal terjual]],"wwww")</f>
        <v>wwww</v>
      </c>
    </row>
    <row r="732" spans="1:36" x14ac:dyDescent="0.2">
      <c r="A732" s="20">
        <v>731</v>
      </c>
      <c r="B732" s="21" t="str">
        <f>_xlfn.CONCAT("ORD-",INDEX(Helper!$B$2:$B$5,MATCH(Data[[#This Row],[Marketplace]],Helper!$A$2:$A$5,0)),TEXT(Data[[#This Row],[No]],"0000"),"-",TEXT(Data[[#This Row],[Tanggal terjual]],"dd/mm/yy"))</f>
        <v>ORD-SP0731-03/04/23</v>
      </c>
      <c r="C732" t="s">
        <v>66</v>
      </c>
      <c r="D732" t="str">
        <f>IFERROR(INDEX(Katalog!$A$3:$A$12,MATCH(Data[[#This Row],[ItemID A]],Katalog!$C$3:$C$12,0)),"-")</f>
        <v>Sepatu Pria</v>
      </c>
      <c r="E732" t="str">
        <f>IFERROR(INDEX(Katalog!$B$3:$B$12,MATCH(Data[[#This Row],[ItemID A]],Katalog!$C$3:$C$12,0)),"-")</f>
        <v>Sandal Slip On</v>
      </c>
      <c r="F732">
        <v>5</v>
      </c>
      <c r="G732">
        <v>1</v>
      </c>
      <c r="H732" s="36">
        <f>IFERROR(INDEX(Katalog!$D$3:$D$12,MATCH(Data[[#This Row],[ItemID A]],Katalog!$C$3:$C$12,0))*Data[[#This Row],[Qty A]],"0")</f>
        <v>750000</v>
      </c>
      <c r="I732" s="36">
        <f>IFERROR(INDEX(Katalog!$F$3:$F$12,MATCH(Data[[#This Row],[ItemID A]],Katalog!$C$3:$C$12,0))*Data[[#This Row],[Qty A]],0)</f>
        <v>300000</v>
      </c>
      <c r="J732" t="s">
        <v>67</v>
      </c>
      <c r="K732" t="str">
        <f>IFERROR(INDEX(Katalog!$A$3:$A$12,MATCH(Data[[#This Row],[ItemID B]],Katalog!$C$3:$C$12,0)),"-")</f>
        <v>Sepatu Wanita</v>
      </c>
      <c r="L732" t="str">
        <f>IFERROR(INDEX(Katalog!$B$3:$B$12,MATCH(Data[[#This Row],[ItemID B]],Katalog!$C$3:$C$12,0)),"-")</f>
        <v>Flat Shoes</v>
      </c>
      <c r="M732">
        <v>1</v>
      </c>
      <c r="N732">
        <v>1</v>
      </c>
      <c r="O732" s="36">
        <f>IFERROR(INDEX(Katalog!$D$3:$D$12,MATCH(Data[[#This Row],[ItemID B]],Katalog!$C$3:$C$12,0))*Data[[#This Row],[Qty B]],"0")</f>
        <v>250000</v>
      </c>
      <c r="P732" s="36">
        <f>IFERROR(INDEX(Katalog!$F$3:$F$12,MATCH(Data[[#This Row],[ItemID B]],Katalog!$C$3:$C$12,0))*Data[[#This Row],[Qty B]],"0")</f>
        <v>100000</v>
      </c>
      <c r="R732" t="str">
        <f>IFERROR(INDEX(Katalog!$A$3:$A$12,MATCH(Data[[#This Row],[ItemID C]],Katalog!$C$3:$C$12,0)),"-")</f>
        <v>-</v>
      </c>
      <c r="S732" t="str">
        <f>IFERROR(INDEX(Katalog!$B$3:$B$12,MATCH(Data[[#This Row],[ItemID C]],Katalog!$C$3:$C$12,0)),"-")</f>
        <v>-</v>
      </c>
      <c r="V732" s="36" t="str">
        <f>IFERROR(INDEX(Katalog!$D$3:$D$12,MATCH(Data[[#This Row],[ItemID C]],Katalog!$C$3:$C$12,0))*Data[[#This Row],[Qty C]],"0")</f>
        <v>0</v>
      </c>
      <c r="W732" s="36" t="str">
        <f>IFERROR(INDEX(Katalog!$F$3:$F$12,MATCH(Data[[#This Row],[ItemID C]],Katalog!$C$3:$C$12,0))*Data[[#This Row],[Qty C]],"0")</f>
        <v>0</v>
      </c>
      <c r="X732" s="21">
        <f>Data[[#This Row],[Qty A]]+Data[[#This Row],[Qty B]]+Data[[#This Row],[Qty C]]</f>
        <v>6</v>
      </c>
      <c r="Y732" s="22">
        <f>Data[[#This Row],[Harga Barang A]]+Data[[#This Row],[Harga Barang B]]+Data[[#This Row],[Harga Barang C]]</f>
        <v>1000000</v>
      </c>
      <c r="Z732" s="35">
        <f>IFERROR(Data[[#This Row],[Total Harga]]-(Data[[#This Row],[Total Harga]]*Data[[#This Row],[Diskon]]),Data[[#This Row],[Total Harga]])</f>
        <v>850000</v>
      </c>
      <c r="AA732" s="35">
        <f>(Data[[#This Row],[Profit A]]+Data[[#This Row],[Profit B]]+Data[[#This Row],[Profit C]])</f>
        <v>400000</v>
      </c>
      <c r="AB732" s="35">
        <f>IFERROR((Data[[#This Row],[Profit non Diskon]]-(Data[[#This Row],[Profit non Diskon]]*Data[[#This Row],[Diskon]])),Data[[#This Row],[Profit non Diskon]])</f>
        <v>340000</v>
      </c>
      <c r="AC732" s="23" t="s">
        <v>13</v>
      </c>
      <c r="AD732" s="37">
        <f>IFERROR(INDEX('Kode Diskon'!$D$3:$D$9,MATCH(Data[[#This Row],[Kode diskon]],'Kode Diskon'!$C$3:$C$9,0)),"-")</f>
        <v>0.15</v>
      </c>
      <c r="AE732" s="23" t="s">
        <v>29</v>
      </c>
      <c r="AF732" s="23" t="s">
        <v>7</v>
      </c>
      <c r="AG732" s="23" t="s">
        <v>75</v>
      </c>
      <c r="AH732" s="24">
        <v>45019</v>
      </c>
      <c r="AI732" s="23" t="str">
        <f>TEXT(Data[[#This Row],[Tanggal terjual]],"dddd")</f>
        <v>Monday</v>
      </c>
      <c r="AJ732" s="21" t="str">
        <f>TEXT(Data[[#This Row],[Tanggal terjual]],"wwww")</f>
        <v>wwww</v>
      </c>
    </row>
    <row r="733" spans="1:36" x14ac:dyDescent="0.2">
      <c r="A733" s="20">
        <v>732</v>
      </c>
      <c r="B733" s="21" t="str">
        <f>_xlfn.CONCAT("ORD-",INDEX(Helper!$B$2:$B$5,MATCH(Data[[#This Row],[Marketplace]],Helper!$A$2:$A$5,0)),TEXT(Data[[#This Row],[No]],"0000"),"-",TEXT(Data[[#This Row],[Tanggal terjual]],"dd/mm/yy"))</f>
        <v>ORD-TK0732-07/04/23</v>
      </c>
      <c r="C733" t="s">
        <v>60</v>
      </c>
      <c r="D733" t="str">
        <f>IFERROR(INDEX(Katalog!$A$3:$A$12,MATCH(Data[[#This Row],[ItemID A]],Katalog!$C$3:$C$12,0)),"-")</f>
        <v>Pakaian Wanita</v>
      </c>
      <c r="E733" t="str">
        <f>IFERROR(INDEX(Katalog!$B$3:$B$12,MATCH(Data[[#This Row],[ItemID A]],Katalog!$C$3:$C$12,0)),"-")</f>
        <v>Kaftan</v>
      </c>
      <c r="F733">
        <v>1</v>
      </c>
      <c r="G733">
        <v>3</v>
      </c>
      <c r="H733" s="36">
        <f>IFERROR(INDEX(Katalog!$D$3:$D$12,MATCH(Data[[#This Row],[ItemID A]],Katalog!$C$3:$C$12,0))*Data[[#This Row],[Qty A]],"0")</f>
        <v>250000</v>
      </c>
      <c r="I733" s="36">
        <f>IFERROR(INDEX(Katalog!$F$3:$F$12,MATCH(Data[[#This Row],[ItemID A]],Katalog!$C$3:$C$12,0))*Data[[#This Row],[Qty A]],0)</f>
        <v>100000</v>
      </c>
      <c r="K733" t="str">
        <f>IFERROR(INDEX(Katalog!$A$3:$A$12,MATCH(Data[[#This Row],[ItemID B]],Katalog!$C$3:$C$12,0)),"-")</f>
        <v>-</v>
      </c>
      <c r="L733" t="str">
        <f>IFERROR(INDEX(Katalog!$B$3:$B$12,MATCH(Data[[#This Row],[ItemID B]],Katalog!$C$3:$C$12,0)),"-")</f>
        <v>-</v>
      </c>
      <c r="O733" s="36" t="str">
        <f>IFERROR(INDEX(Katalog!$D$3:$D$12,MATCH(Data[[#This Row],[ItemID B]],Katalog!$C$3:$C$12,0))*Data[[#This Row],[Qty B]],"0")</f>
        <v>0</v>
      </c>
      <c r="P733" s="36" t="str">
        <f>IFERROR(INDEX(Katalog!$F$3:$F$12,MATCH(Data[[#This Row],[ItemID B]],Katalog!$C$3:$C$12,0))*Data[[#This Row],[Qty B]],"0")</f>
        <v>0</v>
      </c>
      <c r="R733" t="str">
        <f>IFERROR(INDEX(Katalog!$A$3:$A$12,MATCH(Data[[#This Row],[ItemID C]],Katalog!$C$3:$C$12,0)),"-")</f>
        <v>-</v>
      </c>
      <c r="S733" t="str">
        <f>IFERROR(INDEX(Katalog!$B$3:$B$12,MATCH(Data[[#This Row],[ItemID C]],Katalog!$C$3:$C$12,0)),"-")</f>
        <v>-</v>
      </c>
      <c r="V733" s="36" t="str">
        <f>IFERROR(INDEX(Katalog!$D$3:$D$12,MATCH(Data[[#This Row],[ItemID C]],Katalog!$C$3:$C$12,0))*Data[[#This Row],[Qty C]],"0")</f>
        <v>0</v>
      </c>
      <c r="W733" s="36" t="str">
        <f>IFERROR(INDEX(Katalog!$F$3:$F$12,MATCH(Data[[#This Row],[ItemID C]],Katalog!$C$3:$C$12,0))*Data[[#This Row],[Qty C]],"0")</f>
        <v>0</v>
      </c>
      <c r="X733" s="21">
        <f>Data[[#This Row],[Qty A]]+Data[[#This Row],[Qty B]]+Data[[#This Row],[Qty C]]</f>
        <v>1</v>
      </c>
      <c r="Y733" s="22">
        <f>Data[[#This Row],[Harga Barang A]]+Data[[#This Row],[Harga Barang B]]+Data[[#This Row],[Harga Barang C]]</f>
        <v>250000</v>
      </c>
      <c r="Z733" s="35">
        <f>IFERROR(Data[[#This Row],[Total Harga]]-(Data[[#This Row],[Total Harga]]*Data[[#This Row],[Diskon]]),Data[[#This Row],[Total Harga]])</f>
        <v>250000</v>
      </c>
      <c r="AA733" s="35">
        <f>(Data[[#This Row],[Profit A]]+Data[[#This Row],[Profit B]]+Data[[#This Row],[Profit C]])</f>
        <v>100000</v>
      </c>
      <c r="AB733" s="35">
        <f>IFERROR((Data[[#This Row],[Profit non Diskon]]-(Data[[#This Row],[Profit non Diskon]]*Data[[#This Row],[Diskon]])),Data[[#This Row],[Profit non Diskon]])</f>
        <v>100000</v>
      </c>
      <c r="AC733" s="23" t="s">
        <v>11</v>
      </c>
      <c r="AD733" s="37" t="str">
        <f>IFERROR(INDEX('Kode Diskon'!$D$3:$D$9,MATCH(Data[[#This Row],[Kode diskon]],'Kode Diskon'!$C$3:$C$9,0)),"-")</f>
        <v>-</v>
      </c>
      <c r="AE733" s="23" t="s">
        <v>11</v>
      </c>
      <c r="AF733" s="23" t="s">
        <v>10</v>
      </c>
      <c r="AG733" s="23" t="s">
        <v>80</v>
      </c>
      <c r="AH733" s="24">
        <v>45023</v>
      </c>
      <c r="AI733" s="23" t="str">
        <f>TEXT(Data[[#This Row],[Tanggal terjual]],"dddd")</f>
        <v>Friday</v>
      </c>
      <c r="AJ733" s="21" t="str">
        <f>TEXT(Data[[#This Row],[Tanggal terjual]],"wwww")</f>
        <v>wwww</v>
      </c>
    </row>
    <row r="734" spans="1:36" x14ac:dyDescent="0.2">
      <c r="A734" s="20">
        <v>733</v>
      </c>
      <c r="B734" s="21" t="str">
        <f>_xlfn.CONCAT("ORD-",INDEX(Helper!$B$2:$B$5,MATCH(Data[[#This Row],[Marketplace]],Helper!$A$2:$A$5,0)),TEXT(Data[[#This Row],[No]],"0000"),"-",TEXT(Data[[#This Row],[Tanggal terjual]],"dd/mm/yy"))</f>
        <v>ORD-TK0733-16/04/23</v>
      </c>
      <c r="C734" t="s">
        <v>62</v>
      </c>
      <c r="D734" t="str">
        <f>IFERROR(INDEX(Katalog!$A$3:$A$12,MATCH(Data[[#This Row],[ItemID A]],Katalog!$C$3:$C$12,0)),"-")</f>
        <v>Pakaian Pria</v>
      </c>
      <c r="E734" t="str">
        <f>IFERROR(INDEX(Katalog!$B$3:$B$12,MATCH(Data[[#This Row],[ItemID A]],Katalog!$C$3:$C$12,0)),"-")</f>
        <v>Celana Pendek</v>
      </c>
      <c r="F734">
        <v>1</v>
      </c>
      <c r="G734">
        <v>2</v>
      </c>
      <c r="H734" s="36">
        <f>IFERROR(INDEX(Katalog!$D$3:$D$12,MATCH(Data[[#This Row],[ItemID A]],Katalog!$C$3:$C$12,0))*Data[[#This Row],[Qty A]],"0")</f>
        <v>180000</v>
      </c>
      <c r="I734" s="36">
        <f>IFERROR(INDEX(Katalog!$F$3:$F$12,MATCH(Data[[#This Row],[ItemID A]],Katalog!$C$3:$C$12,0))*Data[[#This Row],[Qty A]],0)</f>
        <v>70000</v>
      </c>
      <c r="J734" t="s">
        <v>66</v>
      </c>
      <c r="K734" t="str">
        <f>IFERROR(INDEX(Katalog!$A$3:$A$12,MATCH(Data[[#This Row],[ItemID B]],Katalog!$C$3:$C$12,0)),"-")</f>
        <v>Sepatu Pria</v>
      </c>
      <c r="L734" t="str">
        <f>IFERROR(INDEX(Katalog!$B$3:$B$12,MATCH(Data[[#This Row],[ItemID B]],Katalog!$C$3:$C$12,0)),"-")</f>
        <v>Sandal Slip On</v>
      </c>
      <c r="M734">
        <v>3</v>
      </c>
      <c r="N734">
        <v>3</v>
      </c>
      <c r="O734" s="36">
        <f>IFERROR(INDEX(Katalog!$D$3:$D$12,MATCH(Data[[#This Row],[ItemID B]],Katalog!$C$3:$C$12,0))*Data[[#This Row],[Qty B]],"0")</f>
        <v>450000</v>
      </c>
      <c r="P734" s="36">
        <f>IFERROR(INDEX(Katalog!$F$3:$F$12,MATCH(Data[[#This Row],[ItemID B]],Katalog!$C$3:$C$12,0))*Data[[#This Row],[Qty B]],"0")</f>
        <v>180000</v>
      </c>
      <c r="R734" t="str">
        <f>IFERROR(INDEX(Katalog!$A$3:$A$12,MATCH(Data[[#This Row],[ItemID C]],Katalog!$C$3:$C$12,0)),"-")</f>
        <v>-</v>
      </c>
      <c r="S734" t="str">
        <f>IFERROR(INDEX(Katalog!$B$3:$B$12,MATCH(Data[[#This Row],[ItemID C]],Katalog!$C$3:$C$12,0)),"-")</f>
        <v>-</v>
      </c>
      <c r="V734" s="36" t="str">
        <f>IFERROR(INDEX(Katalog!$D$3:$D$12,MATCH(Data[[#This Row],[ItemID C]],Katalog!$C$3:$C$12,0))*Data[[#This Row],[Qty C]],"0")</f>
        <v>0</v>
      </c>
      <c r="W734" s="36" t="str">
        <f>IFERROR(INDEX(Katalog!$F$3:$F$12,MATCH(Data[[#This Row],[ItemID C]],Katalog!$C$3:$C$12,0))*Data[[#This Row],[Qty C]],"0")</f>
        <v>0</v>
      </c>
      <c r="X734" s="21">
        <f>Data[[#This Row],[Qty A]]+Data[[#This Row],[Qty B]]+Data[[#This Row],[Qty C]]</f>
        <v>4</v>
      </c>
      <c r="Y734" s="22">
        <f>Data[[#This Row],[Harga Barang A]]+Data[[#This Row],[Harga Barang B]]+Data[[#This Row],[Harga Barang C]]</f>
        <v>630000</v>
      </c>
      <c r="Z734" s="35">
        <f>IFERROR(Data[[#This Row],[Total Harga]]-(Data[[#This Row],[Total Harga]]*Data[[#This Row],[Diskon]]),Data[[#This Row],[Total Harga]])</f>
        <v>567000</v>
      </c>
      <c r="AA734" s="35">
        <f>(Data[[#This Row],[Profit A]]+Data[[#This Row],[Profit B]]+Data[[#This Row],[Profit C]])</f>
        <v>250000</v>
      </c>
      <c r="AB734" s="35">
        <f>IFERROR((Data[[#This Row],[Profit non Diskon]]-(Data[[#This Row],[Profit non Diskon]]*Data[[#This Row],[Diskon]])),Data[[#This Row],[Profit non Diskon]])</f>
        <v>225000</v>
      </c>
      <c r="AC734" s="23" t="s">
        <v>31</v>
      </c>
      <c r="AD734" s="37">
        <f>IFERROR(INDEX('Kode Diskon'!$D$3:$D$9,MATCH(Data[[#This Row],[Kode diskon]],'Kode Diskon'!$C$3:$C$9,0)),"-")</f>
        <v>0.1</v>
      </c>
      <c r="AE734" s="23" t="s">
        <v>9</v>
      </c>
      <c r="AF734" s="23" t="s">
        <v>10</v>
      </c>
      <c r="AG734" s="23" t="s">
        <v>75</v>
      </c>
      <c r="AH734" s="24">
        <v>45032</v>
      </c>
      <c r="AI734" s="23" t="str">
        <f>TEXT(Data[[#This Row],[Tanggal terjual]],"dddd")</f>
        <v>Sunday</v>
      </c>
      <c r="AJ734" s="21" t="str">
        <f>TEXT(Data[[#This Row],[Tanggal terjual]],"wwww")</f>
        <v>wwww</v>
      </c>
    </row>
    <row r="735" spans="1:36" x14ac:dyDescent="0.2">
      <c r="A735" s="20">
        <v>734</v>
      </c>
      <c r="B735" s="21" t="str">
        <f>_xlfn.CONCAT("ORD-",INDEX(Helper!$B$2:$B$5,MATCH(Data[[#This Row],[Marketplace]],Helper!$A$2:$A$5,0)),TEXT(Data[[#This Row],[No]],"0000"),"-",TEXT(Data[[#This Row],[Tanggal terjual]],"dd/mm/yy"))</f>
        <v>ORD-TK0734-06/04/23</v>
      </c>
      <c r="C735" t="s">
        <v>65</v>
      </c>
      <c r="D735" t="str">
        <f>IFERROR(INDEX(Katalog!$A$3:$A$12,MATCH(Data[[#This Row],[ItemID A]],Katalog!$C$3:$C$12,0)),"-")</f>
        <v>Sepatu Pria</v>
      </c>
      <c r="E735" t="str">
        <f>IFERROR(INDEX(Katalog!$B$3:$B$12,MATCH(Data[[#This Row],[ItemID A]],Katalog!$C$3:$C$12,0)),"-")</f>
        <v>Sneakers</v>
      </c>
      <c r="F735">
        <v>2</v>
      </c>
      <c r="G735">
        <v>1</v>
      </c>
      <c r="H735" s="36">
        <f>IFERROR(INDEX(Katalog!$D$3:$D$12,MATCH(Data[[#This Row],[ItemID A]],Katalog!$C$3:$C$12,0))*Data[[#This Row],[Qty A]],"0")</f>
        <v>1000000</v>
      </c>
      <c r="I735" s="36">
        <f>IFERROR(INDEX(Katalog!$F$3:$F$12,MATCH(Data[[#This Row],[ItemID A]],Katalog!$C$3:$C$12,0))*Data[[#This Row],[Qty A]],0)</f>
        <v>400000</v>
      </c>
      <c r="J735" t="s">
        <v>67</v>
      </c>
      <c r="K735" t="str">
        <f>IFERROR(INDEX(Katalog!$A$3:$A$12,MATCH(Data[[#This Row],[ItemID B]],Katalog!$C$3:$C$12,0)),"-")</f>
        <v>Sepatu Wanita</v>
      </c>
      <c r="L735" t="str">
        <f>IFERROR(INDEX(Katalog!$B$3:$B$12,MATCH(Data[[#This Row],[ItemID B]],Katalog!$C$3:$C$12,0)),"-")</f>
        <v>Flat Shoes</v>
      </c>
      <c r="M735">
        <v>2</v>
      </c>
      <c r="N735">
        <v>3</v>
      </c>
      <c r="O735" s="36">
        <f>IFERROR(INDEX(Katalog!$D$3:$D$12,MATCH(Data[[#This Row],[ItemID B]],Katalog!$C$3:$C$12,0))*Data[[#This Row],[Qty B]],"0")</f>
        <v>500000</v>
      </c>
      <c r="P735" s="36">
        <f>IFERROR(INDEX(Katalog!$F$3:$F$12,MATCH(Data[[#This Row],[ItemID B]],Katalog!$C$3:$C$12,0))*Data[[#This Row],[Qty B]],"0")</f>
        <v>200000</v>
      </c>
      <c r="R735" t="str">
        <f>IFERROR(INDEX(Katalog!$A$3:$A$12,MATCH(Data[[#This Row],[ItemID C]],Katalog!$C$3:$C$12,0)),"-")</f>
        <v>-</v>
      </c>
      <c r="S735" t="str">
        <f>IFERROR(INDEX(Katalog!$B$3:$B$12,MATCH(Data[[#This Row],[ItemID C]],Katalog!$C$3:$C$12,0)),"-")</f>
        <v>-</v>
      </c>
      <c r="V735" s="36" t="str">
        <f>IFERROR(INDEX(Katalog!$D$3:$D$12,MATCH(Data[[#This Row],[ItemID C]],Katalog!$C$3:$C$12,0))*Data[[#This Row],[Qty C]],"0")</f>
        <v>0</v>
      </c>
      <c r="W735" s="36" t="str">
        <f>IFERROR(INDEX(Katalog!$F$3:$F$12,MATCH(Data[[#This Row],[ItemID C]],Katalog!$C$3:$C$12,0))*Data[[#This Row],[Qty C]],"0")</f>
        <v>0</v>
      </c>
      <c r="X735" s="21">
        <f>Data[[#This Row],[Qty A]]+Data[[#This Row],[Qty B]]+Data[[#This Row],[Qty C]]</f>
        <v>4</v>
      </c>
      <c r="Y735" s="22">
        <f>Data[[#This Row],[Harga Barang A]]+Data[[#This Row],[Harga Barang B]]+Data[[#This Row],[Harga Barang C]]</f>
        <v>1500000</v>
      </c>
      <c r="Z735" s="35">
        <f>IFERROR(Data[[#This Row],[Total Harga]]-(Data[[#This Row],[Total Harga]]*Data[[#This Row],[Diskon]]),Data[[#This Row],[Total Harga]])</f>
        <v>1350000</v>
      </c>
      <c r="AA735" s="35">
        <f>(Data[[#This Row],[Profit A]]+Data[[#This Row],[Profit B]]+Data[[#This Row],[Profit C]])</f>
        <v>600000</v>
      </c>
      <c r="AB735" s="35">
        <f>IFERROR((Data[[#This Row],[Profit non Diskon]]-(Data[[#This Row],[Profit non Diskon]]*Data[[#This Row],[Diskon]])),Data[[#This Row],[Profit non Diskon]])</f>
        <v>540000</v>
      </c>
      <c r="AC735" s="23" t="s">
        <v>30</v>
      </c>
      <c r="AD735" s="37">
        <f>IFERROR(INDEX('Kode Diskon'!$D$3:$D$9,MATCH(Data[[#This Row],[Kode diskon]],'Kode Diskon'!$C$3:$C$9,0)),"-")</f>
        <v>0.1</v>
      </c>
      <c r="AE735" s="23" t="s">
        <v>29</v>
      </c>
      <c r="AF735" s="23" t="s">
        <v>10</v>
      </c>
      <c r="AG735" s="23" t="s">
        <v>76</v>
      </c>
      <c r="AH735" s="24">
        <v>45022</v>
      </c>
      <c r="AI735" s="23" t="str">
        <f>TEXT(Data[[#This Row],[Tanggal terjual]],"dddd")</f>
        <v>Thursday</v>
      </c>
      <c r="AJ735" s="21" t="str">
        <f>TEXT(Data[[#This Row],[Tanggal terjual]],"wwww")</f>
        <v>wwww</v>
      </c>
    </row>
    <row r="736" spans="1:36" x14ac:dyDescent="0.2">
      <c r="A736" s="20">
        <v>735</v>
      </c>
      <c r="B736" s="21" t="str">
        <f>_xlfn.CONCAT("ORD-",INDEX(Helper!$B$2:$B$5,MATCH(Data[[#This Row],[Marketplace]],Helper!$A$2:$A$5,0)),TEXT(Data[[#This Row],[No]],"0000"),"-",TEXT(Data[[#This Row],[Tanggal terjual]],"dd/mm/yy"))</f>
        <v>ORD-TK0735-02/04/23</v>
      </c>
      <c r="C736" t="s">
        <v>58</v>
      </c>
      <c r="D736" t="str">
        <f>IFERROR(INDEX(Katalog!$A$3:$A$12,MATCH(Data[[#This Row],[ItemID A]],Katalog!$C$3:$C$12,0)),"-")</f>
        <v>Pakaian Wanita</v>
      </c>
      <c r="E736" t="str">
        <f>IFERROR(INDEX(Katalog!$B$3:$B$12,MATCH(Data[[#This Row],[ItemID A]],Katalog!$C$3:$C$12,0)),"-")</f>
        <v>Dress</v>
      </c>
      <c r="F736">
        <v>1</v>
      </c>
      <c r="G736">
        <v>4</v>
      </c>
      <c r="H736" s="36">
        <f>IFERROR(INDEX(Katalog!$D$3:$D$12,MATCH(Data[[#This Row],[ItemID A]],Katalog!$C$3:$C$12,0))*Data[[#This Row],[Qty A]],"0")</f>
        <v>300000</v>
      </c>
      <c r="I736" s="36">
        <f>IFERROR(INDEX(Katalog!$F$3:$F$12,MATCH(Data[[#This Row],[ItemID A]],Katalog!$C$3:$C$12,0))*Data[[#This Row],[Qty A]],0)</f>
        <v>100000</v>
      </c>
      <c r="J736" t="s">
        <v>64</v>
      </c>
      <c r="K736" t="str">
        <f>IFERROR(INDEX(Katalog!$A$3:$A$12,MATCH(Data[[#This Row],[ItemID B]],Katalog!$C$3:$C$12,0)),"-")</f>
        <v>Pakaian Unisex</v>
      </c>
      <c r="L736" t="str">
        <f>IFERROR(INDEX(Katalog!$B$3:$B$12,MATCH(Data[[#This Row],[ItemID B]],Katalog!$C$3:$C$12,0)),"-")</f>
        <v>Jaket Hoodie</v>
      </c>
      <c r="M736">
        <v>1</v>
      </c>
      <c r="N736">
        <v>4</v>
      </c>
      <c r="O736" s="36">
        <f>IFERROR(INDEX(Katalog!$D$3:$D$12,MATCH(Data[[#This Row],[ItemID B]],Katalog!$C$3:$C$12,0))*Data[[#This Row],[Qty B]],"0")</f>
        <v>350000</v>
      </c>
      <c r="P736" s="36">
        <f>IFERROR(INDEX(Katalog!$F$3:$F$12,MATCH(Data[[#This Row],[ItemID B]],Katalog!$C$3:$C$12,0))*Data[[#This Row],[Qty B]],"0")</f>
        <v>130000</v>
      </c>
      <c r="Q736" t="s">
        <v>61</v>
      </c>
      <c r="R736" t="str">
        <f>IFERROR(INDEX(Katalog!$A$3:$A$12,MATCH(Data[[#This Row],[ItemID C]],Katalog!$C$3:$C$12,0)),"-")</f>
        <v>Pakaian Pria</v>
      </c>
      <c r="S736" t="str">
        <f>IFERROR(INDEX(Katalog!$B$3:$B$12,MATCH(Data[[#This Row],[ItemID C]],Katalog!$C$3:$C$12,0)),"-")</f>
        <v>Kaos Polo</v>
      </c>
      <c r="T736">
        <v>5</v>
      </c>
      <c r="U736">
        <v>2</v>
      </c>
      <c r="V736" s="36">
        <f>IFERROR(INDEX(Katalog!$D$3:$D$12,MATCH(Data[[#This Row],[ItemID C]],Katalog!$C$3:$C$12,0))*Data[[#This Row],[Qty C]],"0")</f>
        <v>1000000</v>
      </c>
      <c r="W736" s="36">
        <f>IFERROR(INDEX(Katalog!$F$3:$F$12,MATCH(Data[[#This Row],[ItemID C]],Katalog!$C$3:$C$12,0))*Data[[#This Row],[Qty C]],"0")</f>
        <v>400000</v>
      </c>
      <c r="X736" s="21">
        <f>Data[[#This Row],[Qty A]]+Data[[#This Row],[Qty B]]+Data[[#This Row],[Qty C]]</f>
        <v>7</v>
      </c>
      <c r="Y736" s="22">
        <f>Data[[#This Row],[Harga Barang A]]+Data[[#This Row],[Harga Barang B]]+Data[[#This Row],[Harga Barang C]]</f>
        <v>1650000</v>
      </c>
      <c r="Z736" s="35">
        <f>IFERROR(Data[[#This Row],[Total Harga]]-(Data[[#This Row],[Total Harga]]*Data[[#This Row],[Diskon]]),Data[[#This Row],[Total Harga]])</f>
        <v>1485000</v>
      </c>
      <c r="AA736" s="35">
        <f>(Data[[#This Row],[Profit A]]+Data[[#This Row],[Profit B]]+Data[[#This Row],[Profit C]])</f>
        <v>630000</v>
      </c>
      <c r="AB736" s="35">
        <f>IFERROR((Data[[#This Row],[Profit non Diskon]]-(Data[[#This Row],[Profit non Diskon]]*Data[[#This Row],[Diskon]])),Data[[#This Row],[Profit non Diskon]])</f>
        <v>567000</v>
      </c>
      <c r="AC736" s="23" t="s">
        <v>30</v>
      </c>
      <c r="AD736" s="37">
        <f>IFERROR(INDEX('Kode Diskon'!$D$3:$D$9,MATCH(Data[[#This Row],[Kode diskon]],'Kode Diskon'!$C$3:$C$9,0)),"-")</f>
        <v>0.1</v>
      </c>
      <c r="AE736" s="23" t="s">
        <v>29</v>
      </c>
      <c r="AF736" s="23" t="s">
        <v>10</v>
      </c>
      <c r="AG736" s="23" t="s">
        <v>76</v>
      </c>
      <c r="AH736" s="24">
        <v>45018</v>
      </c>
      <c r="AI736" s="23" t="str">
        <f>TEXT(Data[[#This Row],[Tanggal terjual]],"dddd")</f>
        <v>Sunday</v>
      </c>
      <c r="AJ736" s="21" t="str">
        <f>TEXT(Data[[#This Row],[Tanggal terjual]],"wwww")</f>
        <v>wwww</v>
      </c>
    </row>
    <row r="737" spans="1:36" x14ac:dyDescent="0.2">
      <c r="A737" s="20">
        <v>736</v>
      </c>
      <c r="B737" s="21" t="str">
        <f>_xlfn.CONCAT("ORD-",INDEX(Helper!$B$2:$B$5,MATCH(Data[[#This Row],[Marketplace]],Helper!$A$2:$A$5,0)),TEXT(Data[[#This Row],[No]],"0000"),"-",TEXT(Data[[#This Row],[Tanggal terjual]],"dd/mm/yy"))</f>
        <v>ORD-TK0736-15/04/23</v>
      </c>
      <c r="C737" t="s">
        <v>58</v>
      </c>
      <c r="D737" t="str">
        <f>IFERROR(INDEX(Katalog!$A$3:$A$12,MATCH(Data[[#This Row],[ItemID A]],Katalog!$C$3:$C$12,0)),"-")</f>
        <v>Pakaian Wanita</v>
      </c>
      <c r="E737" t="str">
        <f>IFERROR(INDEX(Katalog!$B$3:$B$12,MATCH(Data[[#This Row],[ItemID A]],Katalog!$C$3:$C$12,0)),"-")</f>
        <v>Dress</v>
      </c>
      <c r="F737">
        <v>1</v>
      </c>
      <c r="G737">
        <v>3</v>
      </c>
      <c r="H737" s="36">
        <f>IFERROR(INDEX(Katalog!$D$3:$D$12,MATCH(Data[[#This Row],[ItemID A]],Katalog!$C$3:$C$12,0))*Data[[#This Row],[Qty A]],"0")</f>
        <v>300000</v>
      </c>
      <c r="I737" s="36">
        <f>IFERROR(INDEX(Katalog!$F$3:$F$12,MATCH(Data[[#This Row],[ItemID A]],Katalog!$C$3:$C$12,0))*Data[[#This Row],[Qty A]],0)</f>
        <v>100000</v>
      </c>
      <c r="K737" t="str">
        <f>IFERROR(INDEX(Katalog!$A$3:$A$12,MATCH(Data[[#This Row],[ItemID B]],Katalog!$C$3:$C$12,0)),"-")</f>
        <v>-</v>
      </c>
      <c r="L737" t="str">
        <f>IFERROR(INDEX(Katalog!$B$3:$B$12,MATCH(Data[[#This Row],[ItemID B]],Katalog!$C$3:$C$12,0)),"-")</f>
        <v>-</v>
      </c>
      <c r="O737" s="36" t="str">
        <f>IFERROR(INDEX(Katalog!$D$3:$D$12,MATCH(Data[[#This Row],[ItemID B]],Katalog!$C$3:$C$12,0))*Data[[#This Row],[Qty B]],"0")</f>
        <v>0</v>
      </c>
      <c r="P737" s="36" t="str">
        <f>IFERROR(INDEX(Katalog!$F$3:$F$12,MATCH(Data[[#This Row],[ItemID B]],Katalog!$C$3:$C$12,0))*Data[[#This Row],[Qty B]],"0")</f>
        <v>0</v>
      </c>
      <c r="R737" t="str">
        <f>IFERROR(INDEX(Katalog!$A$3:$A$12,MATCH(Data[[#This Row],[ItemID C]],Katalog!$C$3:$C$12,0)),"-")</f>
        <v>-</v>
      </c>
      <c r="S737" t="str">
        <f>IFERROR(INDEX(Katalog!$B$3:$B$12,MATCH(Data[[#This Row],[ItemID C]],Katalog!$C$3:$C$12,0)),"-")</f>
        <v>-</v>
      </c>
      <c r="V737" s="36" t="str">
        <f>IFERROR(INDEX(Katalog!$D$3:$D$12,MATCH(Data[[#This Row],[ItemID C]],Katalog!$C$3:$C$12,0))*Data[[#This Row],[Qty C]],"0")</f>
        <v>0</v>
      </c>
      <c r="W737" s="36" t="str">
        <f>IFERROR(INDEX(Katalog!$F$3:$F$12,MATCH(Data[[#This Row],[ItemID C]],Katalog!$C$3:$C$12,0))*Data[[#This Row],[Qty C]],"0")</f>
        <v>0</v>
      </c>
      <c r="X737" s="21">
        <f>Data[[#This Row],[Qty A]]+Data[[#This Row],[Qty B]]+Data[[#This Row],[Qty C]]</f>
        <v>1</v>
      </c>
      <c r="Y737" s="22">
        <f>Data[[#This Row],[Harga Barang A]]+Data[[#This Row],[Harga Barang B]]+Data[[#This Row],[Harga Barang C]]</f>
        <v>300000</v>
      </c>
      <c r="Z737" s="35">
        <f>IFERROR(Data[[#This Row],[Total Harga]]-(Data[[#This Row],[Total Harga]]*Data[[#This Row],[Diskon]]),Data[[#This Row],[Total Harga]])</f>
        <v>300000</v>
      </c>
      <c r="AA737" s="35">
        <f>(Data[[#This Row],[Profit A]]+Data[[#This Row],[Profit B]]+Data[[#This Row],[Profit C]])</f>
        <v>100000</v>
      </c>
      <c r="AB737" s="35">
        <f>IFERROR((Data[[#This Row],[Profit non Diskon]]-(Data[[#This Row],[Profit non Diskon]]*Data[[#This Row],[Diskon]])),Data[[#This Row],[Profit non Diskon]])</f>
        <v>100000</v>
      </c>
      <c r="AC737" s="23" t="s">
        <v>11</v>
      </c>
      <c r="AD737" s="37" t="str">
        <f>IFERROR(INDEX('Kode Diskon'!$D$3:$D$9,MATCH(Data[[#This Row],[Kode diskon]],'Kode Diskon'!$C$3:$C$9,0)),"-")</f>
        <v>-</v>
      </c>
      <c r="AE737" s="23" t="s">
        <v>11</v>
      </c>
      <c r="AF737" s="23" t="s">
        <v>10</v>
      </c>
      <c r="AG737" s="23" t="s">
        <v>77</v>
      </c>
      <c r="AH737" s="24">
        <v>45031</v>
      </c>
      <c r="AI737" s="23" t="str">
        <f>TEXT(Data[[#This Row],[Tanggal terjual]],"dddd")</f>
        <v>Saturday</v>
      </c>
      <c r="AJ737" s="21" t="str">
        <f>TEXT(Data[[#This Row],[Tanggal terjual]],"wwww")</f>
        <v>wwww</v>
      </c>
    </row>
    <row r="738" spans="1:36" x14ac:dyDescent="0.2">
      <c r="A738" s="20">
        <v>737</v>
      </c>
      <c r="B738" s="21" t="str">
        <f>_xlfn.CONCAT("ORD-",INDEX(Helper!$B$2:$B$5,MATCH(Data[[#This Row],[Marketplace]],Helper!$A$2:$A$5,0)),TEXT(Data[[#This Row],[No]],"0000"),"-",TEXT(Data[[#This Row],[Tanggal terjual]],"dd/mm/yy"))</f>
        <v>ORD-BB0737-06/04/23</v>
      </c>
      <c r="C738" t="s">
        <v>62</v>
      </c>
      <c r="D738" t="str">
        <f>IFERROR(INDEX(Katalog!$A$3:$A$12,MATCH(Data[[#This Row],[ItemID A]],Katalog!$C$3:$C$12,0)),"-")</f>
        <v>Pakaian Pria</v>
      </c>
      <c r="E738" t="str">
        <f>IFERROR(INDEX(Katalog!$B$3:$B$12,MATCH(Data[[#This Row],[ItemID A]],Katalog!$C$3:$C$12,0)),"-")</f>
        <v>Celana Pendek</v>
      </c>
      <c r="F738">
        <v>2</v>
      </c>
      <c r="G738">
        <v>1</v>
      </c>
      <c r="H738" s="36">
        <f>IFERROR(INDEX(Katalog!$D$3:$D$12,MATCH(Data[[#This Row],[ItemID A]],Katalog!$C$3:$C$12,0))*Data[[#This Row],[Qty A]],"0")</f>
        <v>360000</v>
      </c>
      <c r="I738" s="36">
        <f>IFERROR(INDEX(Katalog!$F$3:$F$12,MATCH(Data[[#This Row],[ItemID A]],Katalog!$C$3:$C$12,0))*Data[[#This Row],[Qty A]],0)</f>
        <v>140000</v>
      </c>
      <c r="J738" t="s">
        <v>61</v>
      </c>
      <c r="K738" t="str">
        <f>IFERROR(INDEX(Katalog!$A$3:$A$12,MATCH(Data[[#This Row],[ItemID B]],Katalog!$C$3:$C$12,0)),"-")</f>
        <v>Pakaian Pria</v>
      </c>
      <c r="L738" t="str">
        <f>IFERROR(INDEX(Katalog!$B$3:$B$12,MATCH(Data[[#This Row],[ItemID B]],Katalog!$C$3:$C$12,0)),"-")</f>
        <v>Kaos Polo</v>
      </c>
      <c r="M738">
        <v>1</v>
      </c>
      <c r="N738">
        <v>5</v>
      </c>
      <c r="O738" s="36">
        <f>IFERROR(INDEX(Katalog!$D$3:$D$12,MATCH(Data[[#This Row],[ItemID B]],Katalog!$C$3:$C$12,0))*Data[[#This Row],[Qty B]],"0")</f>
        <v>200000</v>
      </c>
      <c r="P738" s="36">
        <f>IFERROR(INDEX(Katalog!$F$3:$F$12,MATCH(Data[[#This Row],[ItemID B]],Katalog!$C$3:$C$12,0))*Data[[#This Row],[Qty B]],"0")</f>
        <v>80000</v>
      </c>
      <c r="R738" t="str">
        <f>IFERROR(INDEX(Katalog!$A$3:$A$12,MATCH(Data[[#This Row],[ItemID C]],Katalog!$C$3:$C$12,0)),"-")</f>
        <v>-</v>
      </c>
      <c r="S738" t="str">
        <f>IFERROR(INDEX(Katalog!$B$3:$B$12,MATCH(Data[[#This Row],[ItemID C]],Katalog!$C$3:$C$12,0)),"-")</f>
        <v>-</v>
      </c>
      <c r="V738" s="36" t="str">
        <f>IFERROR(INDEX(Katalog!$D$3:$D$12,MATCH(Data[[#This Row],[ItemID C]],Katalog!$C$3:$C$12,0))*Data[[#This Row],[Qty C]],"0")</f>
        <v>0</v>
      </c>
      <c r="W738" s="36" t="str">
        <f>IFERROR(INDEX(Katalog!$F$3:$F$12,MATCH(Data[[#This Row],[ItemID C]],Katalog!$C$3:$C$12,0))*Data[[#This Row],[Qty C]],"0")</f>
        <v>0</v>
      </c>
      <c r="X738" s="21">
        <f>Data[[#This Row],[Qty A]]+Data[[#This Row],[Qty B]]+Data[[#This Row],[Qty C]]</f>
        <v>3</v>
      </c>
      <c r="Y738" s="22">
        <f>Data[[#This Row],[Harga Barang A]]+Data[[#This Row],[Harga Barang B]]+Data[[#This Row],[Harga Barang C]]</f>
        <v>560000</v>
      </c>
      <c r="Z738" s="35">
        <f>IFERROR(Data[[#This Row],[Total Harga]]-(Data[[#This Row],[Total Harga]]*Data[[#This Row],[Diskon]]),Data[[#This Row],[Total Harga]])</f>
        <v>476000</v>
      </c>
      <c r="AA738" s="35">
        <f>(Data[[#This Row],[Profit A]]+Data[[#This Row],[Profit B]]+Data[[#This Row],[Profit C]])</f>
        <v>220000</v>
      </c>
      <c r="AB738" s="35">
        <f>IFERROR((Data[[#This Row],[Profit non Diskon]]-(Data[[#This Row],[Profit non Diskon]]*Data[[#This Row],[Diskon]])),Data[[#This Row],[Profit non Diskon]])</f>
        <v>187000</v>
      </c>
      <c r="AC738" s="23" t="s">
        <v>28</v>
      </c>
      <c r="AD738" s="37">
        <f>IFERROR(INDEX('Kode Diskon'!$D$3:$D$9,MATCH(Data[[#This Row],[Kode diskon]],'Kode Diskon'!$C$3:$C$9,0)),"-")</f>
        <v>0.15</v>
      </c>
      <c r="AE738" s="23" t="s">
        <v>29</v>
      </c>
      <c r="AF738" s="23" t="s">
        <v>14</v>
      </c>
      <c r="AG738" s="23" t="s">
        <v>76</v>
      </c>
      <c r="AH738" s="24">
        <v>45022</v>
      </c>
      <c r="AI738" s="23" t="str">
        <f>TEXT(Data[[#This Row],[Tanggal terjual]],"dddd")</f>
        <v>Thursday</v>
      </c>
      <c r="AJ738" s="21" t="str">
        <f>TEXT(Data[[#This Row],[Tanggal terjual]],"wwww")</f>
        <v>wwww</v>
      </c>
    </row>
    <row r="739" spans="1:36" x14ac:dyDescent="0.2">
      <c r="A739" s="20">
        <v>738</v>
      </c>
      <c r="B739" s="21" t="str">
        <f>_xlfn.CONCAT("ORD-",INDEX(Helper!$B$2:$B$5,MATCH(Data[[#This Row],[Marketplace]],Helper!$A$2:$A$5,0)),TEXT(Data[[#This Row],[No]],"0000"),"-",TEXT(Data[[#This Row],[Tanggal terjual]],"dd/mm/yy"))</f>
        <v>ORD-SP0738-03/04/23</v>
      </c>
      <c r="C739" t="s">
        <v>64</v>
      </c>
      <c r="D739" t="str">
        <f>IFERROR(INDEX(Katalog!$A$3:$A$12,MATCH(Data[[#This Row],[ItemID A]],Katalog!$C$3:$C$12,0)),"-")</f>
        <v>Pakaian Unisex</v>
      </c>
      <c r="E739" t="str">
        <f>IFERROR(INDEX(Katalog!$B$3:$B$12,MATCH(Data[[#This Row],[ItemID A]],Katalog!$C$3:$C$12,0)),"-")</f>
        <v>Jaket Hoodie</v>
      </c>
      <c r="F739">
        <v>4</v>
      </c>
      <c r="G739">
        <v>2</v>
      </c>
      <c r="H739" s="36">
        <f>IFERROR(INDEX(Katalog!$D$3:$D$12,MATCH(Data[[#This Row],[ItemID A]],Katalog!$C$3:$C$12,0))*Data[[#This Row],[Qty A]],"0")</f>
        <v>1400000</v>
      </c>
      <c r="I739" s="36">
        <f>IFERROR(INDEX(Katalog!$F$3:$F$12,MATCH(Data[[#This Row],[ItemID A]],Katalog!$C$3:$C$12,0))*Data[[#This Row],[Qty A]],0)</f>
        <v>520000</v>
      </c>
      <c r="J739" t="s">
        <v>65</v>
      </c>
      <c r="K739" t="str">
        <f>IFERROR(INDEX(Katalog!$A$3:$A$12,MATCH(Data[[#This Row],[ItemID B]],Katalog!$C$3:$C$12,0)),"-")</f>
        <v>Sepatu Pria</v>
      </c>
      <c r="L739" t="str">
        <f>IFERROR(INDEX(Katalog!$B$3:$B$12,MATCH(Data[[#This Row],[ItemID B]],Katalog!$C$3:$C$12,0)),"-")</f>
        <v>Sneakers</v>
      </c>
      <c r="M739">
        <v>2</v>
      </c>
      <c r="N739">
        <v>4</v>
      </c>
      <c r="O739" s="36">
        <f>IFERROR(INDEX(Katalog!$D$3:$D$12,MATCH(Data[[#This Row],[ItemID B]],Katalog!$C$3:$C$12,0))*Data[[#This Row],[Qty B]],"0")</f>
        <v>1000000</v>
      </c>
      <c r="P739" s="36">
        <f>IFERROR(INDEX(Katalog!$F$3:$F$12,MATCH(Data[[#This Row],[ItemID B]],Katalog!$C$3:$C$12,0))*Data[[#This Row],[Qty B]],"0")</f>
        <v>400000</v>
      </c>
      <c r="Q739" t="s">
        <v>59</v>
      </c>
      <c r="R739" t="str">
        <f>IFERROR(INDEX(Katalog!$A$3:$A$12,MATCH(Data[[#This Row],[ItemID C]],Katalog!$C$3:$C$12,0)),"-")</f>
        <v>Pakaian Wanita</v>
      </c>
      <c r="S739" t="str">
        <f>IFERROR(INDEX(Katalog!$B$3:$B$12,MATCH(Data[[#This Row],[ItemID C]],Katalog!$C$3:$C$12,0)),"-")</f>
        <v>Blouse</v>
      </c>
      <c r="T739">
        <v>1</v>
      </c>
      <c r="U739">
        <v>1</v>
      </c>
      <c r="V739" s="36">
        <f>IFERROR(INDEX(Katalog!$D$3:$D$12,MATCH(Data[[#This Row],[ItemID C]],Katalog!$C$3:$C$12,0))*Data[[#This Row],[Qty C]],"0")</f>
        <v>150000</v>
      </c>
      <c r="W739" s="36">
        <f>IFERROR(INDEX(Katalog!$F$3:$F$12,MATCH(Data[[#This Row],[ItemID C]],Katalog!$C$3:$C$12,0))*Data[[#This Row],[Qty C]],"0")</f>
        <v>50000</v>
      </c>
      <c r="X739" s="21">
        <f>Data[[#This Row],[Qty A]]+Data[[#This Row],[Qty B]]+Data[[#This Row],[Qty C]]</f>
        <v>7</v>
      </c>
      <c r="Y739" s="22">
        <f>Data[[#This Row],[Harga Barang A]]+Data[[#This Row],[Harga Barang B]]+Data[[#This Row],[Harga Barang C]]</f>
        <v>2550000</v>
      </c>
      <c r="Z739" s="35">
        <f>IFERROR(Data[[#This Row],[Total Harga]]-(Data[[#This Row],[Total Harga]]*Data[[#This Row],[Diskon]]),Data[[#This Row],[Total Harga]])</f>
        <v>2167500</v>
      </c>
      <c r="AA739" s="35">
        <f>(Data[[#This Row],[Profit A]]+Data[[#This Row],[Profit B]]+Data[[#This Row],[Profit C]])</f>
        <v>970000</v>
      </c>
      <c r="AB739" s="35">
        <f>IFERROR((Data[[#This Row],[Profit non Diskon]]-(Data[[#This Row],[Profit non Diskon]]*Data[[#This Row],[Diskon]])),Data[[#This Row],[Profit non Diskon]])</f>
        <v>824500</v>
      </c>
      <c r="AC739" s="23" t="s">
        <v>13</v>
      </c>
      <c r="AD739" s="37">
        <f>IFERROR(INDEX('Kode Diskon'!$D$3:$D$9,MATCH(Data[[#This Row],[Kode diskon]],'Kode Diskon'!$C$3:$C$9,0)),"-")</f>
        <v>0.15</v>
      </c>
      <c r="AE739" s="23" t="s">
        <v>29</v>
      </c>
      <c r="AF739" s="23" t="s">
        <v>7</v>
      </c>
      <c r="AG739" s="23" t="s">
        <v>77</v>
      </c>
      <c r="AH739" s="24">
        <v>45019</v>
      </c>
      <c r="AI739" s="23" t="str">
        <f>TEXT(Data[[#This Row],[Tanggal terjual]],"dddd")</f>
        <v>Monday</v>
      </c>
      <c r="AJ739" s="21" t="str">
        <f>TEXT(Data[[#This Row],[Tanggal terjual]],"wwww")</f>
        <v>wwww</v>
      </c>
    </row>
    <row r="740" spans="1:36" x14ac:dyDescent="0.2">
      <c r="A740" s="20">
        <v>739</v>
      </c>
      <c r="B740" s="21" t="str">
        <f>_xlfn.CONCAT("ORD-",INDEX(Helper!$B$2:$B$5,MATCH(Data[[#This Row],[Marketplace]],Helper!$A$2:$A$5,0)),TEXT(Data[[#This Row],[No]],"0000"),"-",TEXT(Data[[#This Row],[Tanggal terjual]],"dd/mm/yy"))</f>
        <v>ORD-TK0739-06/04/23</v>
      </c>
      <c r="C740" t="s">
        <v>65</v>
      </c>
      <c r="D740" t="str">
        <f>IFERROR(INDEX(Katalog!$A$3:$A$12,MATCH(Data[[#This Row],[ItemID A]],Katalog!$C$3:$C$12,0)),"-")</f>
        <v>Sepatu Pria</v>
      </c>
      <c r="E740" t="str">
        <f>IFERROR(INDEX(Katalog!$B$3:$B$12,MATCH(Data[[#This Row],[ItemID A]],Katalog!$C$3:$C$12,0)),"-")</f>
        <v>Sneakers</v>
      </c>
      <c r="F740">
        <v>1</v>
      </c>
      <c r="G740">
        <v>1</v>
      </c>
      <c r="H740" s="36">
        <f>IFERROR(INDEX(Katalog!$D$3:$D$12,MATCH(Data[[#This Row],[ItemID A]],Katalog!$C$3:$C$12,0))*Data[[#This Row],[Qty A]],"0")</f>
        <v>500000</v>
      </c>
      <c r="I740" s="36">
        <f>IFERROR(INDEX(Katalog!$F$3:$F$12,MATCH(Data[[#This Row],[ItemID A]],Katalog!$C$3:$C$12,0))*Data[[#This Row],[Qty A]],0)</f>
        <v>200000</v>
      </c>
      <c r="J740" t="s">
        <v>66</v>
      </c>
      <c r="K740" t="str">
        <f>IFERROR(INDEX(Katalog!$A$3:$A$12,MATCH(Data[[#This Row],[ItemID B]],Katalog!$C$3:$C$12,0)),"-")</f>
        <v>Sepatu Pria</v>
      </c>
      <c r="L740" t="str">
        <f>IFERROR(INDEX(Katalog!$B$3:$B$12,MATCH(Data[[#This Row],[ItemID B]],Katalog!$C$3:$C$12,0)),"-")</f>
        <v>Sandal Slip On</v>
      </c>
      <c r="M740">
        <v>1</v>
      </c>
      <c r="N740">
        <v>2</v>
      </c>
      <c r="O740" s="36">
        <f>IFERROR(INDEX(Katalog!$D$3:$D$12,MATCH(Data[[#This Row],[ItemID B]],Katalog!$C$3:$C$12,0))*Data[[#This Row],[Qty B]],"0")</f>
        <v>150000</v>
      </c>
      <c r="P740" s="36">
        <f>IFERROR(INDEX(Katalog!$F$3:$F$12,MATCH(Data[[#This Row],[ItemID B]],Katalog!$C$3:$C$12,0))*Data[[#This Row],[Qty B]],"0")</f>
        <v>60000</v>
      </c>
      <c r="Q740" t="s">
        <v>64</v>
      </c>
      <c r="R740" t="str">
        <f>IFERROR(INDEX(Katalog!$A$3:$A$12,MATCH(Data[[#This Row],[ItemID C]],Katalog!$C$3:$C$12,0)),"-")</f>
        <v>Pakaian Unisex</v>
      </c>
      <c r="S740" t="str">
        <f>IFERROR(INDEX(Katalog!$B$3:$B$12,MATCH(Data[[#This Row],[ItemID C]],Katalog!$C$3:$C$12,0)),"-")</f>
        <v>Jaket Hoodie</v>
      </c>
      <c r="T740">
        <v>4</v>
      </c>
      <c r="U740">
        <v>1</v>
      </c>
      <c r="V740" s="36">
        <f>IFERROR(INDEX(Katalog!$D$3:$D$12,MATCH(Data[[#This Row],[ItemID C]],Katalog!$C$3:$C$12,0))*Data[[#This Row],[Qty C]],"0")</f>
        <v>1400000</v>
      </c>
      <c r="W740" s="36">
        <f>IFERROR(INDEX(Katalog!$F$3:$F$12,MATCH(Data[[#This Row],[ItemID C]],Katalog!$C$3:$C$12,0))*Data[[#This Row],[Qty C]],"0")</f>
        <v>520000</v>
      </c>
      <c r="X740" s="21">
        <f>Data[[#This Row],[Qty A]]+Data[[#This Row],[Qty B]]+Data[[#This Row],[Qty C]]</f>
        <v>6</v>
      </c>
      <c r="Y740" s="22">
        <f>Data[[#This Row],[Harga Barang A]]+Data[[#This Row],[Harga Barang B]]+Data[[#This Row],[Harga Barang C]]</f>
        <v>2050000</v>
      </c>
      <c r="Z740" s="35">
        <f>IFERROR(Data[[#This Row],[Total Harga]]-(Data[[#This Row],[Total Harga]]*Data[[#This Row],[Diskon]]),Data[[#This Row],[Total Harga]])</f>
        <v>1845000</v>
      </c>
      <c r="AA740" s="35">
        <f>(Data[[#This Row],[Profit A]]+Data[[#This Row],[Profit B]]+Data[[#This Row],[Profit C]])</f>
        <v>780000</v>
      </c>
      <c r="AB740" s="35">
        <f>IFERROR((Data[[#This Row],[Profit non Diskon]]-(Data[[#This Row],[Profit non Diskon]]*Data[[#This Row],[Diskon]])),Data[[#This Row],[Profit non Diskon]])</f>
        <v>702000</v>
      </c>
      <c r="AC740" s="23" t="s">
        <v>30</v>
      </c>
      <c r="AD740" s="37">
        <f>IFERROR(INDEX('Kode Diskon'!$D$3:$D$9,MATCH(Data[[#This Row],[Kode diskon]],'Kode Diskon'!$C$3:$C$9,0)),"-")</f>
        <v>0.1</v>
      </c>
      <c r="AE740" s="23" t="s">
        <v>29</v>
      </c>
      <c r="AF740" s="23" t="s">
        <v>10</v>
      </c>
      <c r="AG740" s="23" t="s">
        <v>80</v>
      </c>
      <c r="AH740" s="24">
        <v>45022</v>
      </c>
      <c r="AI740" s="23" t="str">
        <f>TEXT(Data[[#This Row],[Tanggal terjual]],"dddd")</f>
        <v>Thursday</v>
      </c>
      <c r="AJ740" s="21" t="str">
        <f>TEXT(Data[[#This Row],[Tanggal terjual]],"wwww")</f>
        <v>wwww</v>
      </c>
    </row>
    <row r="741" spans="1:36" x14ac:dyDescent="0.2">
      <c r="A741" s="20">
        <v>740</v>
      </c>
      <c r="B741" s="21" t="str">
        <f>_xlfn.CONCAT("ORD-",INDEX(Helper!$B$2:$B$5,MATCH(Data[[#This Row],[Marketplace]],Helper!$A$2:$A$5,0)),TEXT(Data[[#This Row],[No]],"0000"),"-",TEXT(Data[[#This Row],[Tanggal terjual]],"dd/mm/yy"))</f>
        <v>ORD-SP0740-01/04/23</v>
      </c>
      <c r="C741" t="s">
        <v>61</v>
      </c>
      <c r="D741" t="str">
        <f>IFERROR(INDEX(Katalog!$A$3:$A$12,MATCH(Data[[#This Row],[ItemID A]],Katalog!$C$3:$C$12,0)),"-")</f>
        <v>Pakaian Pria</v>
      </c>
      <c r="E741" t="str">
        <f>IFERROR(INDEX(Katalog!$B$3:$B$12,MATCH(Data[[#This Row],[ItemID A]],Katalog!$C$3:$C$12,0)),"-")</f>
        <v>Kaos Polo</v>
      </c>
      <c r="F741">
        <v>2</v>
      </c>
      <c r="G741">
        <v>4</v>
      </c>
      <c r="H741" s="36">
        <f>IFERROR(INDEX(Katalog!$D$3:$D$12,MATCH(Data[[#This Row],[ItemID A]],Katalog!$C$3:$C$12,0))*Data[[#This Row],[Qty A]],"0")</f>
        <v>400000</v>
      </c>
      <c r="I741" s="36">
        <f>IFERROR(INDEX(Katalog!$F$3:$F$12,MATCH(Data[[#This Row],[ItemID A]],Katalog!$C$3:$C$12,0))*Data[[#This Row],[Qty A]],0)</f>
        <v>160000</v>
      </c>
      <c r="J741" t="s">
        <v>65</v>
      </c>
      <c r="K741" t="str">
        <f>IFERROR(INDEX(Katalog!$A$3:$A$12,MATCH(Data[[#This Row],[ItemID B]],Katalog!$C$3:$C$12,0)),"-")</f>
        <v>Sepatu Pria</v>
      </c>
      <c r="L741" t="str">
        <f>IFERROR(INDEX(Katalog!$B$3:$B$12,MATCH(Data[[#This Row],[ItemID B]],Katalog!$C$3:$C$12,0)),"-")</f>
        <v>Sneakers</v>
      </c>
      <c r="M741">
        <v>2</v>
      </c>
      <c r="N741">
        <v>4</v>
      </c>
      <c r="O741" s="36">
        <f>IFERROR(INDEX(Katalog!$D$3:$D$12,MATCH(Data[[#This Row],[ItemID B]],Katalog!$C$3:$C$12,0))*Data[[#This Row],[Qty B]],"0")</f>
        <v>1000000</v>
      </c>
      <c r="P741" s="36">
        <f>IFERROR(INDEX(Katalog!$F$3:$F$12,MATCH(Data[[#This Row],[ItemID B]],Katalog!$C$3:$C$12,0))*Data[[#This Row],[Qty B]],"0")</f>
        <v>400000</v>
      </c>
      <c r="R741" t="str">
        <f>IFERROR(INDEX(Katalog!$A$3:$A$12,MATCH(Data[[#This Row],[ItemID C]],Katalog!$C$3:$C$12,0)),"-")</f>
        <v>-</v>
      </c>
      <c r="S741" t="str">
        <f>IFERROR(INDEX(Katalog!$B$3:$B$12,MATCH(Data[[#This Row],[ItemID C]],Katalog!$C$3:$C$12,0)),"-")</f>
        <v>-</v>
      </c>
      <c r="V741" s="36" t="str">
        <f>IFERROR(INDEX(Katalog!$D$3:$D$12,MATCH(Data[[#This Row],[ItemID C]],Katalog!$C$3:$C$12,0))*Data[[#This Row],[Qty C]],"0")</f>
        <v>0</v>
      </c>
      <c r="W741" s="36" t="str">
        <f>IFERROR(INDEX(Katalog!$F$3:$F$12,MATCH(Data[[#This Row],[ItemID C]],Katalog!$C$3:$C$12,0))*Data[[#This Row],[Qty C]],"0")</f>
        <v>0</v>
      </c>
      <c r="X741" s="21">
        <f>Data[[#This Row],[Qty A]]+Data[[#This Row],[Qty B]]+Data[[#This Row],[Qty C]]</f>
        <v>4</v>
      </c>
      <c r="Y741" s="22">
        <f>Data[[#This Row],[Harga Barang A]]+Data[[#This Row],[Harga Barang B]]+Data[[#This Row],[Harga Barang C]]</f>
        <v>1400000</v>
      </c>
      <c r="Z741" s="35">
        <f>IFERROR(Data[[#This Row],[Total Harga]]-(Data[[#This Row],[Total Harga]]*Data[[#This Row],[Diskon]]),Data[[#This Row],[Total Harga]])</f>
        <v>1260000</v>
      </c>
      <c r="AA741" s="35">
        <f>(Data[[#This Row],[Profit A]]+Data[[#This Row],[Profit B]]+Data[[#This Row],[Profit C]])</f>
        <v>560000</v>
      </c>
      <c r="AB741" s="35">
        <f>IFERROR((Data[[#This Row],[Profit non Diskon]]-(Data[[#This Row],[Profit non Diskon]]*Data[[#This Row],[Diskon]])),Data[[#This Row],[Profit non Diskon]])</f>
        <v>504000</v>
      </c>
      <c r="AC741" s="23" t="s">
        <v>6</v>
      </c>
      <c r="AD741" s="37">
        <f>IFERROR(INDEX('Kode Diskon'!$D$3:$D$9,MATCH(Data[[#This Row],[Kode diskon]],'Kode Diskon'!$C$3:$C$9,0)),"-")</f>
        <v>0.1</v>
      </c>
      <c r="AE741" s="23" t="s">
        <v>29</v>
      </c>
      <c r="AF741" s="23" t="s">
        <v>7</v>
      </c>
      <c r="AG741" s="23" t="s">
        <v>77</v>
      </c>
      <c r="AH741" s="24">
        <v>45017</v>
      </c>
      <c r="AI741" s="23" t="str">
        <f>TEXT(Data[[#This Row],[Tanggal terjual]],"dddd")</f>
        <v>Saturday</v>
      </c>
      <c r="AJ741" s="21" t="str">
        <f>TEXT(Data[[#This Row],[Tanggal terjual]],"wwww")</f>
        <v>wwww</v>
      </c>
    </row>
    <row r="742" spans="1:36" x14ac:dyDescent="0.2">
      <c r="A742" s="20">
        <v>741</v>
      </c>
      <c r="B742" s="21" t="str">
        <f>_xlfn.CONCAT("ORD-",INDEX(Helper!$B$2:$B$5,MATCH(Data[[#This Row],[Marketplace]],Helper!$A$2:$A$5,0)),TEXT(Data[[#This Row],[No]],"0000"),"-",TEXT(Data[[#This Row],[Tanggal terjual]],"dd/mm/yy"))</f>
        <v>ORD-SP0741-26/04/23</v>
      </c>
      <c r="C742" t="s">
        <v>62</v>
      </c>
      <c r="D742" t="str">
        <f>IFERROR(INDEX(Katalog!$A$3:$A$12,MATCH(Data[[#This Row],[ItemID A]],Katalog!$C$3:$C$12,0)),"-")</f>
        <v>Pakaian Pria</v>
      </c>
      <c r="E742" t="str">
        <f>IFERROR(INDEX(Katalog!$B$3:$B$12,MATCH(Data[[#This Row],[ItemID A]],Katalog!$C$3:$C$12,0)),"-")</f>
        <v>Celana Pendek</v>
      </c>
      <c r="F742">
        <v>2</v>
      </c>
      <c r="G742">
        <v>4</v>
      </c>
      <c r="H742" s="36">
        <f>IFERROR(INDEX(Katalog!$D$3:$D$12,MATCH(Data[[#This Row],[ItemID A]],Katalog!$C$3:$C$12,0))*Data[[#This Row],[Qty A]],"0")</f>
        <v>360000</v>
      </c>
      <c r="I742" s="36">
        <f>IFERROR(INDEX(Katalog!$F$3:$F$12,MATCH(Data[[#This Row],[ItemID A]],Katalog!$C$3:$C$12,0))*Data[[#This Row],[Qty A]],0)</f>
        <v>140000</v>
      </c>
      <c r="J742" t="s">
        <v>65</v>
      </c>
      <c r="K742" t="str">
        <f>IFERROR(INDEX(Katalog!$A$3:$A$12,MATCH(Data[[#This Row],[ItemID B]],Katalog!$C$3:$C$12,0)),"-")</f>
        <v>Sepatu Pria</v>
      </c>
      <c r="L742" t="str">
        <f>IFERROR(INDEX(Katalog!$B$3:$B$12,MATCH(Data[[#This Row],[ItemID B]],Katalog!$C$3:$C$12,0)),"-")</f>
        <v>Sneakers</v>
      </c>
      <c r="M742">
        <v>1</v>
      </c>
      <c r="N742">
        <v>4</v>
      </c>
      <c r="O742" s="36">
        <f>IFERROR(INDEX(Katalog!$D$3:$D$12,MATCH(Data[[#This Row],[ItemID B]],Katalog!$C$3:$C$12,0))*Data[[#This Row],[Qty B]],"0")</f>
        <v>500000</v>
      </c>
      <c r="P742" s="36">
        <f>IFERROR(INDEX(Katalog!$F$3:$F$12,MATCH(Data[[#This Row],[ItemID B]],Katalog!$C$3:$C$12,0))*Data[[#This Row],[Qty B]],"0")</f>
        <v>200000</v>
      </c>
      <c r="Q742" t="s">
        <v>67</v>
      </c>
      <c r="R742" t="str">
        <f>IFERROR(INDEX(Katalog!$A$3:$A$12,MATCH(Data[[#This Row],[ItemID C]],Katalog!$C$3:$C$12,0)),"-")</f>
        <v>Sepatu Wanita</v>
      </c>
      <c r="S742" t="str">
        <f>IFERROR(INDEX(Katalog!$B$3:$B$12,MATCH(Data[[#This Row],[ItemID C]],Katalog!$C$3:$C$12,0)),"-")</f>
        <v>Flat Shoes</v>
      </c>
      <c r="T742">
        <v>1</v>
      </c>
      <c r="U742">
        <v>3</v>
      </c>
      <c r="V742" s="36">
        <f>IFERROR(INDEX(Katalog!$D$3:$D$12,MATCH(Data[[#This Row],[ItemID C]],Katalog!$C$3:$C$12,0))*Data[[#This Row],[Qty C]],"0")</f>
        <v>250000</v>
      </c>
      <c r="W742" s="36">
        <f>IFERROR(INDEX(Katalog!$F$3:$F$12,MATCH(Data[[#This Row],[ItemID C]],Katalog!$C$3:$C$12,0))*Data[[#This Row],[Qty C]],"0")</f>
        <v>100000</v>
      </c>
      <c r="X742" s="21">
        <f>Data[[#This Row],[Qty A]]+Data[[#This Row],[Qty B]]+Data[[#This Row],[Qty C]]</f>
        <v>4</v>
      </c>
      <c r="Y742" s="22">
        <f>Data[[#This Row],[Harga Barang A]]+Data[[#This Row],[Harga Barang B]]+Data[[#This Row],[Harga Barang C]]</f>
        <v>1110000</v>
      </c>
      <c r="Z742" s="35">
        <f>IFERROR(Data[[#This Row],[Total Harga]]-(Data[[#This Row],[Total Harga]]*Data[[#This Row],[Diskon]]),Data[[#This Row],[Total Harga]])</f>
        <v>888000</v>
      </c>
      <c r="AA742" s="35">
        <f>(Data[[#This Row],[Profit A]]+Data[[#This Row],[Profit B]]+Data[[#This Row],[Profit C]])</f>
        <v>440000</v>
      </c>
      <c r="AB742" s="35">
        <f>IFERROR((Data[[#This Row],[Profit non Diskon]]-(Data[[#This Row],[Profit non Diskon]]*Data[[#This Row],[Diskon]])),Data[[#This Row],[Profit non Diskon]])</f>
        <v>352000</v>
      </c>
      <c r="AC742" s="23" t="s">
        <v>8</v>
      </c>
      <c r="AD742" s="37">
        <f>IFERROR(INDEX('Kode Diskon'!$D$3:$D$9,MATCH(Data[[#This Row],[Kode diskon]],'Kode Diskon'!$C$3:$C$9,0)),"-")</f>
        <v>0.2</v>
      </c>
      <c r="AE742" s="23" t="s">
        <v>9</v>
      </c>
      <c r="AF742" s="23" t="s">
        <v>7</v>
      </c>
      <c r="AG742" s="23" t="s">
        <v>77</v>
      </c>
      <c r="AH742" s="24">
        <v>45042</v>
      </c>
      <c r="AI742" s="23" t="str">
        <f>TEXT(Data[[#This Row],[Tanggal terjual]],"dddd")</f>
        <v>Wednesday</v>
      </c>
      <c r="AJ742" s="21" t="str">
        <f>TEXT(Data[[#This Row],[Tanggal terjual]],"wwww")</f>
        <v>wwww</v>
      </c>
    </row>
    <row r="743" spans="1:36" x14ac:dyDescent="0.2">
      <c r="A743" s="20">
        <v>742</v>
      </c>
      <c r="B743" s="21" t="str">
        <f>_xlfn.CONCAT("ORD-",INDEX(Helper!$B$2:$B$5,MATCH(Data[[#This Row],[Marketplace]],Helper!$A$2:$A$5,0)),TEXT(Data[[#This Row],[No]],"0000"),"-",TEXT(Data[[#This Row],[Tanggal terjual]],"dd/mm/yy"))</f>
        <v>ORD-TK0742-03/04/23</v>
      </c>
      <c r="C743" t="s">
        <v>59</v>
      </c>
      <c r="D743" t="str">
        <f>IFERROR(INDEX(Katalog!$A$3:$A$12,MATCH(Data[[#This Row],[ItemID A]],Katalog!$C$3:$C$12,0)),"-")</f>
        <v>Pakaian Wanita</v>
      </c>
      <c r="E743" t="str">
        <f>IFERROR(INDEX(Katalog!$B$3:$B$12,MATCH(Data[[#This Row],[ItemID A]],Katalog!$C$3:$C$12,0)),"-")</f>
        <v>Blouse</v>
      </c>
      <c r="F743">
        <v>1</v>
      </c>
      <c r="G743">
        <v>1</v>
      </c>
      <c r="H743" s="36">
        <f>IFERROR(INDEX(Katalog!$D$3:$D$12,MATCH(Data[[#This Row],[ItemID A]],Katalog!$C$3:$C$12,0))*Data[[#This Row],[Qty A]],"0")</f>
        <v>150000</v>
      </c>
      <c r="I743" s="36">
        <f>IFERROR(INDEX(Katalog!$F$3:$F$12,MATCH(Data[[#This Row],[ItemID A]],Katalog!$C$3:$C$12,0))*Data[[#This Row],[Qty A]],0)</f>
        <v>50000</v>
      </c>
      <c r="J743" t="s">
        <v>62</v>
      </c>
      <c r="K743" t="str">
        <f>IFERROR(INDEX(Katalog!$A$3:$A$12,MATCH(Data[[#This Row],[ItemID B]],Katalog!$C$3:$C$12,0)),"-")</f>
        <v>Pakaian Pria</v>
      </c>
      <c r="L743" t="str">
        <f>IFERROR(INDEX(Katalog!$B$3:$B$12,MATCH(Data[[#This Row],[ItemID B]],Katalog!$C$3:$C$12,0)),"-")</f>
        <v>Celana Pendek</v>
      </c>
      <c r="M743">
        <v>2</v>
      </c>
      <c r="N743">
        <v>4</v>
      </c>
      <c r="O743" s="36">
        <f>IFERROR(INDEX(Katalog!$D$3:$D$12,MATCH(Data[[#This Row],[ItemID B]],Katalog!$C$3:$C$12,0))*Data[[#This Row],[Qty B]],"0")</f>
        <v>360000</v>
      </c>
      <c r="P743" s="36">
        <f>IFERROR(INDEX(Katalog!$F$3:$F$12,MATCH(Data[[#This Row],[ItemID B]],Katalog!$C$3:$C$12,0))*Data[[#This Row],[Qty B]],"0")</f>
        <v>140000</v>
      </c>
      <c r="Q743" t="s">
        <v>66</v>
      </c>
      <c r="R743" t="str">
        <f>IFERROR(INDEX(Katalog!$A$3:$A$12,MATCH(Data[[#This Row],[ItemID C]],Katalog!$C$3:$C$12,0)),"-")</f>
        <v>Sepatu Pria</v>
      </c>
      <c r="S743" t="str">
        <f>IFERROR(INDEX(Katalog!$B$3:$B$12,MATCH(Data[[#This Row],[ItemID C]],Katalog!$C$3:$C$12,0)),"-")</f>
        <v>Sandal Slip On</v>
      </c>
      <c r="T743">
        <v>1</v>
      </c>
      <c r="U743">
        <v>1</v>
      </c>
      <c r="V743" s="36">
        <f>IFERROR(INDEX(Katalog!$D$3:$D$12,MATCH(Data[[#This Row],[ItemID C]],Katalog!$C$3:$C$12,0))*Data[[#This Row],[Qty C]],"0")</f>
        <v>150000</v>
      </c>
      <c r="W743" s="36">
        <f>IFERROR(INDEX(Katalog!$F$3:$F$12,MATCH(Data[[#This Row],[ItemID C]],Katalog!$C$3:$C$12,0))*Data[[#This Row],[Qty C]],"0")</f>
        <v>60000</v>
      </c>
      <c r="X743" s="21">
        <f>Data[[#This Row],[Qty A]]+Data[[#This Row],[Qty B]]+Data[[#This Row],[Qty C]]</f>
        <v>4</v>
      </c>
      <c r="Y743" s="22">
        <f>Data[[#This Row],[Harga Barang A]]+Data[[#This Row],[Harga Barang B]]+Data[[#This Row],[Harga Barang C]]</f>
        <v>660000</v>
      </c>
      <c r="Z743" s="35">
        <f>IFERROR(Data[[#This Row],[Total Harga]]-(Data[[#This Row],[Total Harga]]*Data[[#This Row],[Diskon]]),Data[[#This Row],[Total Harga]])</f>
        <v>594000</v>
      </c>
      <c r="AA743" s="35">
        <f>(Data[[#This Row],[Profit A]]+Data[[#This Row],[Profit B]]+Data[[#This Row],[Profit C]])</f>
        <v>250000</v>
      </c>
      <c r="AB743" s="35">
        <f>IFERROR((Data[[#This Row],[Profit non Diskon]]-(Data[[#This Row],[Profit non Diskon]]*Data[[#This Row],[Diskon]])),Data[[#This Row],[Profit non Diskon]])</f>
        <v>225000</v>
      </c>
      <c r="AC743" s="23" t="s">
        <v>30</v>
      </c>
      <c r="AD743" s="37">
        <f>IFERROR(INDEX('Kode Diskon'!$D$3:$D$9,MATCH(Data[[#This Row],[Kode diskon]],'Kode Diskon'!$C$3:$C$9,0)),"-")</f>
        <v>0.1</v>
      </c>
      <c r="AE743" s="23" t="s">
        <v>29</v>
      </c>
      <c r="AF743" s="23" t="s">
        <v>10</v>
      </c>
      <c r="AG743" s="23" t="s">
        <v>80</v>
      </c>
      <c r="AH743" s="24">
        <v>45019</v>
      </c>
      <c r="AI743" s="23" t="str">
        <f>TEXT(Data[[#This Row],[Tanggal terjual]],"dddd")</f>
        <v>Monday</v>
      </c>
      <c r="AJ743" s="21" t="str">
        <f>TEXT(Data[[#This Row],[Tanggal terjual]],"wwww")</f>
        <v>wwww</v>
      </c>
    </row>
    <row r="744" spans="1:36" x14ac:dyDescent="0.2">
      <c r="A744" s="20">
        <v>743</v>
      </c>
      <c r="B744" s="21" t="str">
        <f>_xlfn.CONCAT("ORD-",INDEX(Helper!$B$2:$B$5,MATCH(Data[[#This Row],[Marketplace]],Helper!$A$2:$A$5,0)),TEXT(Data[[#This Row],[No]],"0000"),"-",TEXT(Data[[#This Row],[Tanggal terjual]],"dd/mm/yy"))</f>
        <v>ORD-BL0743-18/04/23</v>
      </c>
      <c r="C744" t="s">
        <v>64</v>
      </c>
      <c r="D744" t="str">
        <f>IFERROR(INDEX(Katalog!$A$3:$A$12,MATCH(Data[[#This Row],[ItemID A]],Katalog!$C$3:$C$12,0)),"-")</f>
        <v>Pakaian Unisex</v>
      </c>
      <c r="E744" t="str">
        <f>IFERROR(INDEX(Katalog!$B$3:$B$12,MATCH(Data[[#This Row],[ItemID A]],Katalog!$C$3:$C$12,0)),"-")</f>
        <v>Jaket Hoodie</v>
      </c>
      <c r="F744">
        <v>3</v>
      </c>
      <c r="G744">
        <v>2</v>
      </c>
      <c r="H744" s="36">
        <f>IFERROR(INDEX(Katalog!$D$3:$D$12,MATCH(Data[[#This Row],[ItemID A]],Katalog!$C$3:$C$12,0))*Data[[#This Row],[Qty A]],"0")</f>
        <v>1050000</v>
      </c>
      <c r="I744" s="36">
        <f>IFERROR(INDEX(Katalog!$F$3:$F$12,MATCH(Data[[#This Row],[ItemID A]],Katalog!$C$3:$C$12,0))*Data[[#This Row],[Qty A]],0)</f>
        <v>390000</v>
      </c>
      <c r="K744" t="str">
        <f>IFERROR(INDEX(Katalog!$A$3:$A$12,MATCH(Data[[#This Row],[ItemID B]],Katalog!$C$3:$C$12,0)),"-")</f>
        <v>-</v>
      </c>
      <c r="L744" t="str">
        <f>IFERROR(INDEX(Katalog!$B$3:$B$12,MATCH(Data[[#This Row],[ItemID B]],Katalog!$C$3:$C$12,0)),"-")</f>
        <v>-</v>
      </c>
      <c r="O744" s="36" t="str">
        <f>IFERROR(INDEX(Katalog!$D$3:$D$12,MATCH(Data[[#This Row],[ItemID B]],Katalog!$C$3:$C$12,0))*Data[[#This Row],[Qty B]],"0")</f>
        <v>0</v>
      </c>
      <c r="P744" s="36" t="str">
        <f>IFERROR(INDEX(Katalog!$F$3:$F$12,MATCH(Data[[#This Row],[ItemID B]],Katalog!$C$3:$C$12,0))*Data[[#This Row],[Qty B]],"0")</f>
        <v>0</v>
      </c>
      <c r="R744" t="str">
        <f>IFERROR(INDEX(Katalog!$A$3:$A$12,MATCH(Data[[#This Row],[ItemID C]],Katalog!$C$3:$C$12,0)),"-")</f>
        <v>-</v>
      </c>
      <c r="S744" t="str">
        <f>IFERROR(INDEX(Katalog!$B$3:$B$12,MATCH(Data[[#This Row],[ItemID C]],Katalog!$C$3:$C$12,0)),"-")</f>
        <v>-</v>
      </c>
      <c r="V744" s="36" t="str">
        <f>IFERROR(INDEX(Katalog!$D$3:$D$12,MATCH(Data[[#This Row],[ItemID C]],Katalog!$C$3:$C$12,0))*Data[[#This Row],[Qty C]],"0")</f>
        <v>0</v>
      </c>
      <c r="W744" s="36" t="str">
        <f>IFERROR(INDEX(Katalog!$F$3:$F$12,MATCH(Data[[#This Row],[ItemID C]],Katalog!$C$3:$C$12,0))*Data[[#This Row],[Qty C]],"0")</f>
        <v>0</v>
      </c>
      <c r="X744" s="21">
        <f>Data[[#This Row],[Qty A]]+Data[[#This Row],[Qty B]]+Data[[#This Row],[Qty C]]</f>
        <v>3</v>
      </c>
      <c r="Y744" s="22">
        <f>Data[[#This Row],[Harga Barang A]]+Data[[#This Row],[Harga Barang B]]+Data[[#This Row],[Harga Barang C]]</f>
        <v>1050000</v>
      </c>
      <c r="Z744" s="35">
        <f>IFERROR(Data[[#This Row],[Total Harga]]-(Data[[#This Row],[Total Harga]]*Data[[#This Row],[Diskon]]),Data[[#This Row],[Total Harga]])</f>
        <v>892500</v>
      </c>
      <c r="AA744" s="35">
        <f>(Data[[#This Row],[Profit A]]+Data[[#This Row],[Profit B]]+Data[[#This Row],[Profit C]])</f>
        <v>390000</v>
      </c>
      <c r="AB744" s="35">
        <f>IFERROR((Data[[#This Row],[Profit non Diskon]]-(Data[[#This Row],[Profit non Diskon]]*Data[[#This Row],[Diskon]])),Data[[#This Row],[Profit non Diskon]])</f>
        <v>331500</v>
      </c>
      <c r="AC744" s="23" t="s">
        <v>32</v>
      </c>
      <c r="AD744" s="37">
        <f>IFERROR(INDEX('Kode Diskon'!$D$3:$D$9,MATCH(Data[[#This Row],[Kode diskon]],'Kode Diskon'!$C$3:$C$9,0)),"-")</f>
        <v>0.15</v>
      </c>
      <c r="AE744" s="23" t="s">
        <v>9</v>
      </c>
      <c r="AF744" s="23" t="s">
        <v>12</v>
      </c>
      <c r="AG744" s="23" t="s">
        <v>76</v>
      </c>
      <c r="AH744" s="24">
        <v>45034</v>
      </c>
      <c r="AI744" s="23" t="str">
        <f>TEXT(Data[[#This Row],[Tanggal terjual]],"dddd")</f>
        <v>Tuesday</v>
      </c>
      <c r="AJ744" s="21" t="str">
        <f>TEXT(Data[[#This Row],[Tanggal terjual]],"wwww")</f>
        <v>wwww</v>
      </c>
    </row>
    <row r="745" spans="1:36" x14ac:dyDescent="0.2">
      <c r="A745" s="20">
        <v>744</v>
      </c>
      <c r="B745" s="21" t="str">
        <f>_xlfn.CONCAT("ORD-",INDEX(Helper!$B$2:$B$5,MATCH(Data[[#This Row],[Marketplace]],Helper!$A$2:$A$5,0)),TEXT(Data[[#This Row],[No]],"0000"),"-",TEXT(Data[[#This Row],[Tanggal terjual]],"dd/mm/yy"))</f>
        <v>ORD-BB0744-02/04/23</v>
      </c>
      <c r="C745" t="s">
        <v>63</v>
      </c>
      <c r="D745" t="str">
        <f>IFERROR(INDEX(Katalog!$A$3:$A$12,MATCH(Data[[#This Row],[ItemID A]],Katalog!$C$3:$C$12,0)),"-")</f>
        <v>Pakaian Pria</v>
      </c>
      <c r="E745" t="str">
        <f>IFERROR(INDEX(Katalog!$B$3:$B$12,MATCH(Data[[#This Row],[ItemID A]],Katalog!$C$3:$C$12,0)),"-")</f>
        <v>Jaket Jeans</v>
      </c>
      <c r="F745">
        <v>1</v>
      </c>
      <c r="G745">
        <v>1</v>
      </c>
      <c r="H745" s="36">
        <f>IFERROR(INDEX(Katalog!$D$3:$D$12,MATCH(Data[[#This Row],[ItemID A]],Katalog!$C$3:$C$12,0))*Data[[#This Row],[Qty A]],"0")</f>
        <v>400000</v>
      </c>
      <c r="I745" s="36">
        <f>IFERROR(INDEX(Katalog!$F$3:$F$12,MATCH(Data[[#This Row],[ItemID A]],Katalog!$C$3:$C$12,0))*Data[[#This Row],[Qty A]],0)</f>
        <v>150000</v>
      </c>
      <c r="J745" t="s">
        <v>61</v>
      </c>
      <c r="K745" t="str">
        <f>IFERROR(INDEX(Katalog!$A$3:$A$12,MATCH(Data[[#This Row],[ItemID B]],Katalog!$C$3:$C$12,0)),"-")</f>
        <v>Pakaian Pria</v>
      </c>
      <c r="L745" t="str">
        <f>IFERROR(INDEX(Katalog!$B$3:$B$12,MATCH(Data[[#This Row],[ItemID B]],Katalog!$C$3:$C$12,0)),"-")</f>
        <v>Kaos Polo</v>
      </c>
      <c r="M745">
        <v>1</v>
      </c>
      <c r="N745">
        <v>4</v>
      </c>
      <c r="O745" s="36">
        <f>IFERROR(INDEX(Katalog!$D$3:$D$12,MATCH(Data[[#This Row],[ItemID B]],Katalog!$C$3:$C$12,0))*Data[[#This Row],[Qty B]],"0")</f>
        <v>200000</v>
      </c>
      <c r="P745" s="36">
        <f>IFERROR(INDEX(Katalog!$F$3:$F$12,MATCH(Data[[#This Row],[ItemID B]],Katalog!$C$3:$C$12,0))*Data[[#This Row],[Qty B]],"0")</f>
        <v>80000</v>
      </c>
      <c r="Q745" t="s">
        <v>60</v>
      </c>
      <c r="R745" t="str">
        <f>IFERROR(INDEX(Katalog!$A$3:$A$12,MATCH(Data[[#This Row],[ItemID C]],Katalog!$C$3:$C$12,0)),"-")</f>
        <v>Pakaian Wanita</v>
      </c>
      <c r="S745" t="str">
        <f>IFERROR(INDEX(Katalog!$B$3:$B$12,MATCH(Data[[#This Row],[ItemID C]],Katalog!$C$3:$C$12,0)),"-")</f>
        <v>Kaftan</v>
      </c>
      <c r="T745">
        <v>3</v>
      </c>
      <c r="U745">
        <v>3</v>
      </c>
      <c r="V745" s="36">
        <f>IFERROR(INDEX(Katalog!$D$3:$D$12,MATCH(Data[[#This Row],[ItemID C]],Katalog!$C$3:$C$12,0))*Data[[#This Row],[Qty C]],"0")</f>
        <v>750000</v>
      </c>
      <c r="W745" s="36">
        <f>IFERROR(INDEX(Katalog!$F$3:$F$12,MATCH(Data[[#This Row],[ItemID C]],Katalog!$C$3:$C$12,0))*Data[[#This Row],[Qty C]],"0")</f>
        <v>300000</v>
      </c>
      <c r="X745" s="21">
        <f>Data[[#This Row],[Qty A]]+Data[[#This Row],[Qty B]]+Data[[#This Row],[Qty C]]</f>
        <v>5</v>
      </c>
      <c r="Y745" s="22">
        <f>Data[[#This Row],[Harga Barang A]]+Data[[#This Row],[Harga Barang B]]+Data[[#This Row],[Harga Barang C]]</f>
        <v>1350000</v>
      </c>
      <c r="Z745" s="35">
        <f>IFERROR(Data[[#This Row],[Total Harga]]-(Data[[#This Row],[Total Harga]]*Data[[#This Row],[Diskon]]),Data[[#This Row],[Total Harga]])</f>
        <v>1147500</v>
      </c>
      <c r="AA745" s="35">
        <f>(Data[[#This Row],[Profit A]]+Data[[#This Row],[Profit B]]+Data[[#This Row],[Profit C]])</f>
        <v>530000</v>
      </c>
      <c r="AB745" s="35">
        <f>IFERROR((Data[[#This Row],[Profit non Diskon]]-(Data[[#This Row],[Profit non Diskon]]*Data[[#This Row],[Diskon]])),Data[[#This Row],[Profit non Diskon]])</f>
        <v>450500</v>
      </c>
      <c r="AC745" s="23" t="s">
        <v>28</v>
      </c>
      <c r="AD745" s="37">
        <f>IFERROR(INDEX('Kode Diskon'!$D$3:$D$9,MATCH(Data[[#This Row],[Kode diskon]],'Kode Diskon'!$C$3:$C$9,0)),"-")</f>
        <v>0.15</v>
      </c>
      <c r="AE745" s="23" t="s">
        <v>29</v>
      </c>
      <c r="AF745" s="23" t="s">
        <v>14</v>
      </c>
      <c r="AG745" s="23" t="s">
        <v>78</v>
      </c>
      <c r="AH745" s="24">
        <v>45018</v>
      </c>
      <c r="AI745" s="23" t="str">
        <f>TEXT(Data[[#This Row],[Tanggal terjual]],"dddd")</f>
        <v>Sunday</v>
      </c>
      <c r="AJ745" s="21" t="str">
        <f>TEXT(Data[[#This Row],[Tanggal terjual]],"wwww")</f>
        <v>wwww</v>
      </c>
    </row>
    <row r="746" spans="1:36" x14ac:dyDescent="0.2">
      <c r="A746" s="20">
        <v>745</v>
      </c>
      <c r="B746" s="21" t="str">
        <f>_xlfn.CONCAT("ORD-",INDEX(Helper!$B$2:$B$5,MATCH(Data[[#This Row],[Marketplace]],Helper!$A$2:$A$5,0)),TEXT(Data[[#This Row],[No]],"0000"),"-",TEXT(Data[[#This Row],[Tanggal terjual]],"dd/mm/yy"))</f>
        <v>ORD-SP0745-14/04/23</v>
      </c>
      <c r="C746" t="s">
        <v>59</v>
      </c>
      <c r="D746" t="str">
        <f>IFERROR(INDEX(Katalog!$A$3:$A$12,MATCH(Data[[#This Row],[ItemID A]],Katalog!$C$3:$C$12,0)),"-")</f>
        <v>Pakaian Wanita</v>
      </c>
      <c r="E746" t="str">
        <f>IFERROR(INDEX(Katalog!$B$3:$B$12,MATCH(Data[[#This Row],[ItemID A]],Katalog!$C$3:$C$12,0)),"-")</f>
        <v>Blouse</v>
      </c>
      <c r="F746">
        <v>1</v>
      </c>
      <c r="G746">
        <v>2</v>
      </c>
      <c r="H746" s="36">
        <f>IFERROR(INDEX(Katalog!$D$3:$D$12,MATCH(Data[[#This Row],[ItemID A]],Katalog!$C$3:$C$12,0))*Data[[#This Row],[Qty A]],"0")</f>
        <v>150000</v>
      </c>
      <c r="I746" s="36">
        <f>IFERROR(INDEX(Katalog!$F$3:$F$12,MATCH(Data[[#This Row],[ItemID A]],Katalog!$C$3:$C$12,0))*Data[[#This Row],[Qty A]],0)</f>
        <v>50000</v>
      </c>
      <c r="K746" t="str">
        <f>IFERROR(INDEX(Katalog!$A$3:$A$12,MATCH(Data[[#This Row],[ItemID B]],Katalog!$C$3:$C$12,0)),"-")</f>
        <v>-</v>
      </c>
      <c r="L746" t="str">
        <f>IFERROR(INDEX(Katalog!$B$3:$B$12,MATCH(Data[[#This Row],[ItemID B]],Katalog!$C$3:$C$12,0)),"-")</f>
        <v>-</v>
      </c>
      <c r="O746" s="36" t="str">
        <f>IFERROR(INDEX(Katalog!$D$3:$D$12,MATCH(Data[[#This Row],[ItemID B]],Katalog!$C$3:$C$12,0))*Data[[#This Row],[Qty B]],"0")</f>
        <v>0</v>
      </c>
      <c r="P746" s="36" t="str">
        <f>IFERROR(INDEX(Katalog!$F$3:$F$12,MATCH(Data[[#This Row],[ItemID B]],Katalog!$C$3:$C$12,0))*Data[[#This Row],[Qty B]],"0")</f>
        <v>0</v>
      </c>
      <c r="R746" t="str">
        <f>IFERROR(INDEX(Katalog!$A$3:$A$12,MATCH(Data[[#This Row],[ItemID C]],Katalog!$C$3:$C$12,0)),"-")</f>
        <v>-</v>
      </c>
      <c r="S746" t="str">
        <f>IFERROR(INDEX(Katalog!$B$3:$B$12,MATCH(Data[[#This Row],[ItemID C]],Katalog!$C$3:$C$12,0)),"-")</f>
        <v>-</v>
      </c>
      <c r="V746" s="36" t="str">
        <f>IFERROR(INDEX(Katalog!$D$3:$D$12,MATCH(Data[[#This Row],[ItemID C]],Katalog!$C$3:$C$12,0))*Data[[#This Row],[Qty C]],"0")</f>
        <v>0</v>
      </c>
      <c r="W746" s="36" t="str">
        <f>IFERROR(INDEX(Katalog!$F$3:$F$12,MATCH(Data[[#This Row],[ItemID C]],Katalog!$C$3:$C$12,0))*Data[[#This Row],[Qty C]],"0")</f>
        <v>0</v>
      </c>
      <c r="X746" s="21">
        <f>Data[[#This Row],[Qty A]]+Data[[#This Row],[Qty B]]+Data[[#This Row],[Qty C]]</f>
        <v>1</v>
      </c>
      <c r="Y746" s="22">
        <f>Data[[#This Row],[Harga Barang A]]+Data[[#This Row],[Harga Barang B]]+Data[[#This Row],[Harga Barang C]]</f>
        <v>150000</v>
      </c>
      <c r="Z746" s="35">
        <f>IFERROR(Data[[#This Row],[Total Harga]]-(Data[[#This Row],[Total Harga]]*Data[[#This Row],[Diskon]]),Data[[#This Row],[Total Harga]])</f>
        <v>150000</v>
      </c>
      <c r="AA746" s="35">
        <f>(Data[[#This Row],[Profit A]]+Data[[#This Row],[Profit B]]+Data[[#This Row],[Profit C]])</f>
        <v>50000</v>
      </c>
      <c r="AB746" s="35">
        <f>IFERROR((Data[[#This Row],[Profit non Diskon]]-(Data[[#This Row],[Profit non Diskon]]*Data[[#This Row],[Diskon]])),Data[[#This Row],[Profit non Diskon]])</f>
        <v>50000</v>
      </c>
      <c r="AC746" s="23" t="s">
        <v>11</v>
      </c>
      <c r="AD746" s="37" t="str">
        <f>IFERROR(INDEX('Kode Diskon'!$D$3:$D$9,MATCH(Data[[#This Row],[Kode diskon]],'Kode Diskon'!$C$3:$C$9,0)),"-")</f>
        <v>-</v>
      </c>
      <c r="AE746" s="23" t="s">
        <v>11</v>
      </c>
      <c r="AF746" s="23" t="s">
        <v>7</v>
      </c>
      <c r="AG746" s="23" t="s">
        <v>79</v>
      </c>
      <c r="AH746" s="24">
        <v>45030</v>
      </c>
      <c r="AI746" s="23" t="str">
        <f>TEXT(Data[[#This Row],[Tanggal terjual]],"dddd")</f>
        <v>Friday</v>
      </c>
      <c r="AJ746" s="21" t="str">
        <f>TEXT(Data[[#This Row],[Tanggal terjual]],"wwww")</f>
        <v>wwww</v>
      </c>
    </row>
    <row r="747" spans="1:36" x14ac:dyDescent="0.2">
      <c r="A747" s="20">
        <v>746</v>
      </c>
      <c r="B747" s="21" t="str">
        <f>_xlfn.CONCAT("ORD-",INDEX(Helper!$B$2:$B$5,MATCH(Data[[#This Row],[Marketplace]],Helper!$A$2:$A$5,0)),TEXT(Data[[#This Row],[No]],"0000"),"-",TEXT(Data[[#This Row],[Tanggal terjual]],"dd/mm/yy"))</f>
        <v>ORD-SP0746-05/04/23</v>
      </c>
      <c r="C747" t="s">
        <v>63</v>
      </c>
      <c r="D747" t="str">
        <f>IFERROR(INDEX(Katalog!$A$3:$A$12,MATCH(Data[[#This Row],[ItemID A]],Katalog!$C$3:$C$12,0)),"-")</f>
        <v>Pakaian Pria</v>
      </c>
      <c r="E747" t="str">
        <f>IFERROR(INDEX(Katalog!$B$3:$B$12,MATCH(Data[[#This Row],[ItemID A]],Katalog!$C$3:$C$12,0)),"-")</f>
        <v>Jaket Jeans</v>
      </c>
      <c r="F747">
        <v>6</v>
      </c>
      <c r="G747">
        <v>3</v>
      </c>
      <c r="H747" s="36">
        <f>IFERROR(INDEX(Katalog!$D$3:$D$12,MATCH(Data[[#This Row],[ItemID A]],Katalog!$C$3:$C$12,0))*Data[[#This Row],[Qty A]],"0")</f>
        <v>2400000</v>
      </c>
      <c r="I747" s="36">
        <f>IFERROR(INDEX(Katalog!$F$3:$F$12,MATCH(Data[[#This Row],[ItemID A]],Katalog!$C$3:$C$12,0))*Data[[#This Row],[Qty A]],0)</f>
        <v>900000</v>
      </c>
      <c r="K747" t="str">
        <f>IFERROR(INDEX(Katalog!$A$3:$A$12,MATCH(Data[[#This Row],[ItemID B]],Katalog!$C$3:$C$12,0)),"-")</f>
        <v>-</v>
      </c>
      <c r="L747" t="str">
        <f>IFERROR(INDEX(Katalog!$B$3:$B$12,MATCH(Data[[#This Row],[ItemID B]],Katalog!$C$3:$C$12,0)),"-")</f>
        <v>-</v>
      </c>
      <c r="O747" s="36" t="str">
        <f>IFERROR(INDEX(Katalog!$D$3:$D$12,MATCH(Data[[#This Row],[ItemID B]],Katalog!$C$3:$C$12,0))*Data[[#This Row],[Qty B]],"0")</f>
        <v>0</v>
      </c>
      <c r="P747" s="36" t="str">
        <f>IFERROR(INDEX(Katalog!$F$3:$F$12,MATCH(Data[[#This Row],[ItemID B]],Katalog!$C$3:$C$12,0))*Data[[#This Row],[Qty B]],"0")</f>
        <v>0</v>
      </c>
      <c r="R747" t="str">
        <f>IFERROR(INDEX(Katalog!$A$3:$A$12,MATCH(Data[[#This Row],[ItemID C]],Katalog!$C$3:$C$12,0)),"-")</f>
        <v>-</v>
      </c>
      <c r="S747" t="str">
        <f>IFERROR(INDEX(Katalog!$B$3:$B$12,MATCH(Data[[#This Row],[ItemID C]],Katalog!$C$3:$C$12,0)),"-")</f>
        <v>-</v>
      </c>
      <c r="V747" s="36" t="str">
        <f>IFERROR(INDEX(Katalog!$D$3:$D$12,MATCH(Data[[#This Row],[ItemID C]],Katalog!$C$3:$C$12,0))*Data[[#This Row],[Qty C]],"0")</f>
        <v>0</v>
      </c>
      <c r="W747" s="36" t="str">
        <f>IFERROR(INDEX(Katalog!$F$3:$F$12,MATCH(Data[[#This Row],[ItemID C]],Katalog!$C$3:$C$12,0))*Data[[#This Row],[Qty C]],"0")</f>
        <v>0</v>
      </c>
      <c r="X747" s="21">
        <f>Data[[#This Row],[Qty A]]+Data[[#This Row],[Qty B]]+Data[[#This Row],[Qty C]]</f>
        <v>6</v>
      </c>
      <c r="Y747" s="22">
        <f>Data[[#This Row],[Harga Barang A]]+Data[[#This Row],[Harga Barang B]]+Data[[#This Row],[Harga Barang C]]</f>
        <v>2400000</v>
      </c>
      <c r="Z747" s="35">
        <f>IFERROR(Data[[#This Row],[Total Harga]]-(Data[[#This Row],[Total Harga]]*Data[[#This Row],[Diskon]]),Data[[#This Row],[Total Harga]])</f>
        <v>2160000</v>
      </c>
      <c r="AA747" s="35">
        <f>(Data[[#This Row],[Profit A]]+Data[[#This Row],[Profit B]]+Data[[#This Row],[Profit C]])</f>
        <v>900000</v>
      </c>
      <c r="AB747" s="35">
        <f>IFERROR((Data[[#This Row],[Profit non Diskon]]-(Data[[#This Row],[Profit non Diskon]]*Data[[#This Row],[Diskon]])),Data[[#This Row],[Profit non Diskon]])</f>
        <v>810000</v>
      </c>
      <c r="AC747" s="23" t="s">
        <v>6</v>
      </c>
      <c r="AD747" s="37">
        <f>IFERROR(INDEX('Kode Diskon'!$D$3:$D$9,MATCH(Data[[#This Row],[Kode diskon]],'Kode Diskon'!$C$3:$C$9,0)),"-")</f>
        <v>0.1</v>
      </c>
      <c r="AE747" s="23" t="s">
        <v>29</v>
      </c>
      <c r="AF747" s="23" t="s">
        <v>7</v>
      </c>
      <c r="AG747" s="23" t="s">
        <v>77</v>
      </c>
      <c r="AH747" s="24">
        <v>45021</v>
      </c>
      <c r="AI747" s="23" t="str">
        <f>TEXT(Data[[#This Row],[Tanggal terjual]],"dddd")</f>
        <v>Wednesday</v>
      </c>
      <c r="AJ747" s="21" t="str">
        <f>TEXT(Data[[#This Row],[Tanggal terjual]],"wwww")</f>
        <v>wwww</v>
      </c>
    </row>
    <row r="748" spans="1:36" x14ac:dyDescent="0.2">
      <c r="A748" s="20">
        <v>747</v>
      </c>
      <c r="B748" s="21" t="str">
        <f>_xlfn.CONCAT("ORD-",INDEX(Helper!$B$2:$B$5,MATCH(Data[[#This Row],[Marketplace]],Helper!$A$2:$A$5,0)),TEXT(Data[[#This Row],[No]],"0000"),"-",TEXT(Data[[#This Row],[Tanggal terjual]],"dd/mm/yy"))</f>
        <v>ORD-SP0747-26/04/23</v>
      </c>
      <c r="C748" t="s">
        <v>60</v>
      </c>
      <c r="D748" t="str">
        <f>IFERROR(INDEX(Katalog!$A$3:$A$12,MATCH(Data[[#This Row],[ItemID A]],Katalog!$C$3:$C$12,0)),"-")</f>
        <v>Pakaian Wanita</v>
      </c>
      <c r="E748" t="str">
        <f>IFERROR(INDEX(Katalog!$B$3:$B$12,MATCH(Data[[#This Row],[ItemID A]],Katalog!$C$3:$C$12,0)),"-")</f>
        <v>Kaftan</v>
      </c>
      <c r="F748">
        <v>2</v>
      </c>
      <c r="G748">
        <v>4</v>
      </c>
      <c r="H748" s="36">
        <f>IFERROR(INDEX(Katalog!$D$3:$D$12,MATCH(Data[[#This Row],[ItemID A]],Katalog!$C$3:$C$12,0))*Data[[#This Row],[Qty A]],"0")</f>
        <v>500000</v>
      </c>
      <c r="I748" s="36">
        <f>IFERROR(INDEX(Katalog!$F$3:$F$12,MATCH(Data[[#This Row],[ItemID A]],Katalog!$C$3:$C$12,0))*Data[[#This Row],[Qty A]],0)</f>
        <v>200000</v>
      </c>
      <c r="J748" t="s">
        <v>58</v>
      </c>
      <c r="K748" t="str">
        <f>IFERROR(INDEX(Katalog!$A$3:$A$12,MATCH(Data[[#This Row],[ItemID B]],Katalog!$C$3:$C$12,0)),"-")</f>
        <v>Pakaian Wanita</v>
      </c>
      <c r="L748" t="str">
        <f>IFERROR(INDEX(Katalog!$B$3:$B$12,MATCH(Data[[#This Row],[ItemID B]],Katalog!$C$3:$C$12,0)),"-")</f>
        <v>Dress</v>
      </c>
      <c r="M748">
        <v>1</v>
      </c>
      <c r="N748">
        <v>3</v>
      </c>
      <c r="O748" s="36">
        <f>IFERROR(INDEX(Katalog!$D$3:$D$12,MATCH(Data[[#This Row],[ItemID B]],Katalog!$C$3:$C$12,0))*Data[[#This Row],[Qty B]],"0")</f>
        <v>300000</v>
      </c>
      <c r="P748" s="36">
        <f>IFERROR(INDEX(Katalog!$F$3:$F$12,MATCH(Data[[#This Row],[ItemID B]],Katalog!$C$3:$C$12,0))*Data[[#This Row],[Qty B]],"0")</f>
        <v>100000</v>
      </c>
      <c r="Q748" t="s">
        <v>67</v>
      </c>
      <c r="R748" t="str">
        <f>IFERROR(INDEX(Katalog!$A$3:$A$12,MATCH(Data[[#This Row],[ItemID C]],Katalog!$C$3:$C$12,0)),"-")</f>
        <v>Sepatu Wanita</v>
      </c>
      <c r="S748" t="str">
        <f>IFERROR(INDEX(Katalog!$B$3:$B$12,MATCH(Data[[#This Row],[ItemID C]],Katalog!$C$3:$C$12,0)),"-")</f>
        <v>Flat Shoes</v>
      </c>
      <c r="T748">
        <v>3</v>
      </c>
      <c r="U748">
        <v>5</v>
      </c>
      <c r="V748" s="36">
        <f>IFERROR(INDEX(Katalog!$D$3:$D$12,MATCH(Data[[#This Row],[ItemID C]],Katalog!$C$3:$C$12,0))*Data[[#This Row],[Qty C]],"0")</f>
        <v>750000</v>
      </c>
      <c r="W748" s="36">
        <f>IFERROR(INDEX(Katalog!$F$3:$F$12,MATCH(Data[[#This Row],[ItemID C]],Katalog!$C$3:$C$12,0))*Data[[#This Row],[Qty C]],"0")</f>
        <v>300000</v>
      </c>
      <c r="X748" s="21">
        <f>Data[[#This Row],[Qty A]]+Data[[#This Row],[Qty B]]+Data[[#This Row],[Qty C]]</f>
        <v>6</v>
      </c>
      <c r="Y748" s="22">
        <f>Data[[#This Row],[Harga Barang A]]+Data[[#This Row],[Harga Barang B]]+Data[[#This Row],[Harga Barang C]]</f>
        <v>1550000</v>
      </c>
      <c r="Z748" s="35">
        <f>IFERROR(Data[[#This Row],[Total Harga]]-(Data[[#This Row],[Total Harga]]*Data[[#This Row],[Diskon]]),Data[[#This Row],[Total Harga]])</f>
        <v>1240000</v>
      </c>
      <c r="AA748" s="35">
        <f>(Data[[#This Row],[Profit A]]+Data[[#This Row],[Profit B]]+Data[[#This Row],[Profit C]])</f>
        <v>600000</v>
      </c>
      <c r="AB748" s="35">
        <f>IFERROR((Data[[#This Row],[Profit non Diskon]]-(Data[[#This Row],[Profit non Diskon]]*Data[[#This Row],[Diskon]])),Data[[#This Row],[Profit non Diskon]])</f>
        <v>480000</v>
      </c>
      <c r="AC748" s="23" t="s">
        <v>8</v>
      </c>
      <c r="AD748" s="37">
        <f>IFERROR(INDEX('Kode Diskon'!$D$3:$D$9,MATCH(Data[[#This Row],[Kode diskon]],'Kode Diskon'!$C$3:$C$9,0)),"-")</f>
        <v>0.2</v>
      </c>
      <c r="AE748" s="23" t="s">
        <v>9</v>
      </c>
      <c r="AF748" s="23" t="s">
        <v>7</v>
      </c>
      <c r="AG748" s="23" t="s">
        <v>79</v>
      </c>
      <c r="AH748" s="24">
        <v>45042</v>
      </c>
      <c r="AI748" s="23" t="str">
        <f>TEXT(Data[[#This Row],[Tanggal terjual]],"dddd")</f>
        <v>Wednesday</v>
      </c>
      <c r="AJ748" s="21" t="str">
        <f>TEXT(Data[[#This Row],[Tanggal terjual]],"wwww")</f>
        <v>wwww</v>
      </c>
    </row>
    <row r="749" spans="1:36" x14ac:dyDescent="0.2">
      <c r="A749" s="20">
        <v>748</v>
      </c>
      <c r="B749" s="21" t="str">
        <f>_xlfn.CONCAT("ORD-",INDEX(Helper!$B$2:$B$5,MATCH(Data[[#This Row],[Marketplace]],Helper!$A$2:$A$5,0)),TEXT(Data[[#This Row],[No]],"0000"),"-",TEXT(Data[[#This Row],[Tanggal terjual]],"dd/mm/yy"))</f>
        <v>ORD-SP0748-04/04/23</v>
      </c>
      <c r="C749" t="s">
        <v>66</v>
      </c>
      <c r="D749" t="str">
        <f>IFERROR(INDEX(Katalog!$A$3:$A$12,MATCH(Data[[#This Row],[ItemID A]],Katalog!$C$3:$C$12,0)),"-")</f>
        <v>Sepatu Pria</v>
      </c>
      <c r="E749" t="str">
        <f>IFERROR(INDEX(Katalog!$B$3:$B$12,MATCH(Data[[#This Row],[ItemID A]],Katalog!$C$3:$C$12,0)),"-")</f>
        <v>Sandal Slip On</v>
      </c>
      <c r="F749">
        <v>2</v>
      </c>
      <c r="G749">
        <v>2</v>
      </c>
      <c r="H749" s="36">
        <f>IFERROR(INDEX(Katalog!$D$3:$D$12,MATCH(Data[[#This Row],[ItemID A]],Katalog!$C$3:$C$12,0))*Data[[#This Row],[Qty A]],"0")</f>
        <v>300000</v>
      </c>
      <c r="I749" s="36">
        <f>IFERROR(INDEX(Katalog!$F$3:$F$12,MATCH(Data[[#This Row],[ItemID A]],Katalog!$C$3:$C$12,0))*Data[[#This Row],[Qty A]],0)</f>
        <v>120000</v>
      </c>
      <c r="K749" t="str">
        <f>IFERROR(INDEX(Katalog!$A$3:$A$12,MATCH(Data[[#This Row],[ItemID B]],Katalog!$C$3:$C$12,0)),"-")</f>
        <v>-</v>
      </c>
      <c r="L749" t="str">
        <f>IFERROR(INDEX(Katalog!$B$3:$B$12,MATCH(Data[[#This Row],[ItemID B]],Katalog!$C$3:$C$12,0)),"-")</f>
        <v>-</v>
      </c>
      <c r="O749" s="36" t="str">
        <f>IFERROR(INDEX(Katalog!$D$3:$D$12,MATCH(Data[[#This Row],[ItemID B]],Katalog!$C$3:$C$12,0))*Data[[#This Row],[Qty B]],"0")</f>
        <v>0</v>
      </c>
      <c r="P749" s="36" t="str">
        <f>IFERROR(INDEX(Katalog!$F$3:$F$12,MATCH(Data[[#This Row],[ItemID B]],Katalog!$C$3:$C$12,0))*Data[[#This Row],[Qty B]],"0")</f>
        <v>0</v>
      </c>
      <c r="R749" t="str">
        <f>IFERROR(INDEX(Katalog!$A$3:$A$12,MATCH(Data[[#This Row],[ItemID C]],Katalog!$C$3:$C$12,0)),"-")</f>
        <v>-</v>
      </c>
      <c r="S749" t="str">
        <f>IFERROR(INDEX(Katalog!$B$3:$B$12,MATCH(Data[[#This Row],[ItemID C]],Katalog!$C$3:$C$12,0)),"-")</f>
        <v>-</v>
      </c>
      <c r="V749" s="36" t="str">
        <f>IFERROR(INDEX(Katalog!$D$3:$D$12,MATCH(Data[[#This Row],[ItemID C]],Katalog!$C$3:$C$12,0))*Data[[#This Row],[Qty C]],"0")</f>
        <v>0</v>
      </c>
      <c r="W749" s="36" t="str">
        <f>IFERROR(INDEX(Katalog!$F$3:$F$12,MATCH(Data[[#This Row],[ItemID C]],Katalog!$C$3:$C$12,0))*Data[[#This Row],[Qty C]],"0")</f>
        <v>0</v>
      </c>
      <c r="X749" s="21">
        <f>Data[[#This Row],[Qty A]]+Data[[#This Row],[Qty B]]+Data[[#This Row],[Qty C]]</f>
        <v>2</v>
      </c>
      <c r="Y749" s="22">
        <f>Data[[#This Row],[Harga Barang A]]+Data[[#This Row],[Harga Barang B]]+Data[[#This Row],[Harga Barang C]]</f>
        <v>300000</v>
      </c>
      <c r="Z749" s="35">
        <f>IFERROR(Data[[#This Row],[Total Harga]]-(Data[[#This Row],[Total Harga]]*Data[[#This Row],[Diskon]]),Data[[#This Row],[Total Harga]])</f>
        <v>255000</v>
      </c>
      <c r="AA749" s="35">
        <f>(Data[[#This Row],[Profit A]]+Data[[#This Row],[Profit B]]+Data[[#This Row],[Profit C]])</f>
        <v>120000</v>
      </c>
      <c r="AB749" s="35">
        <f>IFERROR((Data[[#This Row],[Profit non Diskon]]-(Data[[#This Row],[Profit non Diskon]]*Data[[#This Row],[Diskon]])),Data[[#This Row],[Profit non Diskon]])</f>
        <v>102000</v>
      </c>
      <c r="AC749" s="23" t="s">
        <v>13</v>
      </c>
      <c r="AD749" s="37">
        <f>IFERROR(INDEX('Kode Diskon'!$D$3:$D$9,MATCH(Data[[#This Row],[Kode diskon]],'Kode Diskon'!$C$3:$C$9,0)),"-")</f>
        <v>0.15</v>
      </c>
      <c r="AE749" s="23" t="s">
        <v>29</v>
      </c>
      <c r="AF749" s="23" t="s">
        <v>7</v>
      </c>
      <c r="AG749" s="23" t="s">
        <v>80</v>
      </c>
      <c r="AH749" s="24">
        <v>45020</v>
      </c>
      <c r="AI749" s="23" t="str">
        <f>TEXT(Data[[#This Row],[Tanggal terjual]],"dddd")</f>
        <v>Tuesday</v>
      </c>
      <c r="AJ749" s="21" t="str">
        <f>TEXT(Data[[#This Row],[Tanggal terjual]],"wwww")</f>
        <v>wwww</v>
      </c>
    </row>
    <row r="750" spans="1:36" x14ac:dyDescent="0.2">
      <c r="A750" s="20">
        <v>749</v>
      </c>
      <c r="B750" s="21" t="str">
        <f>_xlfn.CONCAT("ORD-",INDEX(Helper!$B$2:$B$5,MATCH(Data[[#This Row],[Marketplace]],Helper!$A$2:$A$5,0)),TEXT(Data[[#This Row],[No]],"0000"),"-",TEXT(Data[[#This Row],[Tanggal terjual]],"dd/mm/yy"))</f>
        <v>ORD-BB0749-14/04/23</v>
      </c>
      <c r="C750" t="s">
        <v>62</v>
      </c>
      <c r="D750" t="str">
        <f>IFERROR(INDEX(Katalog!$A$3:$A$12,MATCH(Data[[#This Row],[ItemID A]],Katalog!$C$3:$C$12,0)),"-")</f>
        <v>Pakaian Pria</v>
      </c>
      <c r="E750" t="str">
        <f>IFERROR(INDEX(Katalog!$B$3:$B$12,MATCH(Data[[#This Row],[ItemID A]],Katalog!$C$3:$C$12,0)),"-")</f>
        <v>Celana Pendek</v>
      </c>
      <c r="F750">
        <v>1</v>
      </c>
      <c r="G750">
        <v>3</v>
      </c>
      <c r="H750" s="36">
        <f>IFERROR(INDEX(Katalog!$D$3:$D$12,MATCH(Data[[#This Row],[ItemID A]],Katalog!$C$3:$C$12,0))*Data[[#This Row],[Qty A]],"0")</f>
        <v>180000</v>
      </c>
      <c r="I750" s="36">
        <f>IFERROR(INDEX(Katalog!$F$3:$F$12,MATCH(Data[[#This Row],[ItemID A]],Katalog!$C$3:$C$12,0))*Data[[#This Row],[Qty A]],0)</f>
        <v>70000</v>
      </c>
      <c r="J750" t="s">
        <v>66</v>
      </c>
      <c r="K750" t="str">
        <f>IFERROR(INDEX(Katalog!$A$3:$A$12,MATCH(Data[[#This Row],[ItemID B]],Katalog!$C$3:$C$12,0)),"-")</f>
        <v>Sepatu Pria</v>
      </c>
      <c r="L750" t="str">
        <f>IFERROR(INDEX(Katalog!$B$3:$B$12,MATCH(Data[[#This Row],[ItemID B]],Katalog!$C$3:$C$12,0)),"-")</f>
        <v>Sandal Slip On</v>
      </c>
      <c r="M750">
        <v>4</v>
      </c>
      <c r="N750">
        <v>5</v>
      </c>
      <c r="O750" s="36">
        <f>IFERROR(INDEX(Katalog!$D$3:$D$12,MATCH(Data[[#This Row],[ItemID B]],Katalog!$C$3:$C$12,0))*Data[[#This Row],[Qty B]],"0")</f>
        <v>600000</v>
      </c>
      <c r="P750" s="36">
        <f>IFERROR(INDEX(Katalog!$F$3:$F$12,MATCH(Data[[#This Row],[ItemID B]],Katalog!$C$3:$C$12,0))*Data[[#This Row],[Qty B]],"0")</f>
        <v>240000</v>
      </c>
      <c r="Q750" t="s">
        <v>60</v>
      </c>
      <c r="R750" t="str">
        <f>IFERROR(INDEX(Katalog!$A$3:$A$12,MATCH(Data[[#This Row],[ItemID C]],Katalog!$C$3:$C$12,0)),"-")</f>
        <v>Pakaian Wanita</v>
      </c>
      <c r="S750" t="str">
        <f>IFERROR(INDEX(Katalog!$B$3:$B$12,MATCH(Data[[#This Row],[ItemID C]],Katalog!$C$3:$C$12,0)),"-")</f>
        <v>Kaftan</v>
      </c>
      <c r="T750">
        <v>2</v>
      </c>
      <c r="U750">
        <v>2</v>
      </c>
      <c r="V750" s="36">
        <f>IFERROR(INDEX(Katalog!$D$3:$D$12,MATCH(Data[[#This Row],[ItemID C]],Katalog!$C$3:$C$12,0))*Data[[#This Row],[Qty C]],"0")</f>
        <v>500000</v>
      </c>
      <c r="W750" s="36">
        <f>IFERROR(INDEX(Katalog!$F$3:$F$12,MATCH(Data[[#This Row],[ItemID C]],Katalog!$C$3:$C$12,0))*Data[[#This Row],[Qty C]],"0")</f>
        <v>200000</v>
      </c>
      <c r="X750" s="21">
        <f>Data[[#This Row],[Qty A]]+Data[[#This Row],[Qty B]]+Data[[#This Row],[Qty C]]</f>
        <v>7</v>
      </c>
      <c r="Y750" s="22">
        <f>Data[[#This Row],[Harga Barang A]]+Data[[#This Row],[Harga Barang B]]+Data[[#This Row],[Harga Barang C]]</f>
        <v>1280000</v>
      </c>
      <c r="Z750" s="35">
        <f>IFERROR(Data[[#This Row],[Total Harga]]-(Data[[#This Row],[Total Harga]]*Data[[#This Row],[Diskon]]),Data[[#This Row],[Total Harga]])</f>
        <v>1280000</v>
      </c>
      <c r="AA750" s="35">
        <f>(Data[[#This Row],[Profit A]]+Data[[#This Row],[Profit B]]+Data[[#This Row],[Profit C]])</f>
        <v>510000</v>
      </c>
      <c r="AB750" s="35">
        <f>IFERROR((Data[[#This Row],[Profit non Diskon]]-(Data[[#This Row],[Profit non Diskon]]*Data[[#This Row],[Diskon]])),Data[[#This Row],[Profit non Diskon]])</f>
        <v>510000</v>
      </c>
      <c r="AC750" s="23" t="s">
        <v>11</v>
      </c>
      <c r="AD750" s="37" t="str">
        <f>IFERROR(INDEX('Kode Diskon'!$D$3:$D$9,MATCH(Data[[#This Row],[Kode diskon]],'Kode Diskon'!$C$3:$C$9,0)),"-")</f>
        <v>-</v>
      </c>
      <c r="AE750" s="23" t="s">
        <v>11</v>
      </c>
      <c r="AF750" s="23" t="s">
        <v>14</v>
      </c>
      <c r="AG750" s="23" t="s">
        <v>79</v>
      </c>
      <c r="AH750" s="24">
        <v>45030</v>
      </c>
      <c r="AI750" s="23" t="str">
        <f>TEXT(Data[[#This Row],[Tanggal terjual]],"dddd")</f>
        <v>Friday</v>
      </c>
      <c r="AJ750" s="21" t="str">
        <f>TEXT(Data[[#This Row],[Tanggal terjual]],"wwww")</f>
        <v>wwww</v>
      </c>
    </row>
    <row r="751" spans="1:36" x14ac:dyDescent="0.2">
      <c r="A751" s="20">
        <v>750</v>
      </c>
      <c r="B751" s="21" t="str">
        <f>_xlfn.CONCAT("ORD-",INDEX(Helper!$B$2:$B$5,MATCH(Data[[#This Row],[Marketplace]],Helper!$A$2:$A$5,0)),TEXT(Data[[#This Row],[No]],"0000"),"-",TEXT(Data[[#This Row],[Tanggal terjual]],"dd/mm/yy"))</f>
        <v>ORD-SP0750-25/04/23</v>
      </c>
      <c r="C751" t="s">
        <v>64</v>
      </c>
      <c r="D751" t="str">
        <f>IFERROR(INDEX(Katalog!$A$3:$A$12,MATCH(Data[[#This Row],[ItemID A]],Katalog!$C$3:$C$12,0)),"-")</f>
        <v>Pakaian Unisex</v>
      </c>
      <c r="E751" t="str">
        <f>IFERROR(INDEX(Katalog!$B$3:$B$12,MATCH(Data[[#This Row],[ItemID A]],Katalog!$C$3:$C$12,0)),"-")</f>
        <v>Jaket Hoodie</v>
      </c>
      <c r="F751">
        <v>1</v>
      </c>
      <c r="G751">
        <v>1</v>
      </c>
      <c r="H751" s="36">
        <f>IFERROR(INDEX(Katalog!$D$3:$D$12,MATCH(Data[[#This Row],[ItemID A]],Katalog!$C$3:$C$12,0))*Data[[#This Row],[Qty A]],"0")</f>
        <v>350000</v>
      </c>
      <c r="I751" s="36">
        <f>IFERROR(INDEX(Katalog!$F$3:$F$12,MATCH(Data[[#This Row],[ItemID A]],Katalog!$C$3:$C$12,0))*Data[[#This Row],[Qty A]],0)</f>
        <v>130000</v>
      </c>
      <c r="J751" t="s">
        <v>67</v>
      </c>
      <c r="K751" t="str">
        <f>IFERROR(INDEX(Katalog!$A$3:$A$12,MATCH(Data[[#This Row],[ItemID B]],Katalog!$C$3:$C$12,0)),"-")</f>
        <v>Sepatu Wanita</v>
      </c>
      <c r="L751" t="str">
        <f>IFERROR(INDEX(Katalog!$B$3:$B$12,MATCH(Data[[#This Row],[ItemID B]],Katalog!$C$3:$C$12,0)),"-")</f>
        <v>Flat Shoes</v>
      </c>
      <c r="M751">
        <v>3</v>
      </c>
      <c r="N751">
        <v>1</v>
      </c>
      <c r="O751" s="36">
        <f>IFERROR(INDEX(Katalog!$D$3:$D$12,MATCH(Data[[#This Row],[ItemID B]],Katalog!$C$3:$C$12,0))*Data[[#This Row],[Qty B]],"0")</f>
        <v>750000</v>
      </c>
      <c r="P751" s="36">
        <f>IFERROR(INDEX(Katalog!$F$3:$F$12,MATCH(Data[[#This Row],[ItemID B]],Katalog!$C$3:$C$12,0))*Data[[#This Row],[Qty B]],"0")</f>
        <v>300000</v>
      </c>
      <c r="R751" t="str">
        <f>IFERROR(INDEX(Katalog!$A$3:$A$12,MATCH(Data[[#This Row],[ItemID C]],Katalog!$C$3:$C$12,0)),"-")</f>
        <v>-</v>
      </c>
      <c r="S751" t="str">
        <f>IFERROR(INDEX(Katalog!$B$3:$B$12,MATCH(Data[[#This Row],[ItemID C]],Katalog!$C$3:$C$12,0)),"-")</f>
        <v>-</v>
      </c>
      <c r="V751" s="36" t="str">
        <f>IFERROR(INDEX(Katalog!$D$3:$D$12,MATCH(Data[[#This Row],[ItemID C]],Katalog!$C$3:$C$12,0))*Data[[#This Row],[Qty C]],"0")</f>
        <v>0</v>
      </c>
      <c r="W751" s="36" t="str">
        <f>IFERROR(INDEX(Katalog!$F$3:$F$12,MATCH(Data[[#This Row],[ItemID C]],Katalog!$C$3:$C$12,0))*Data[[#This Row],[Qty C]],"0")</f>
        <v>0</v>
      </c>
      <c r="X751" s="21">
        <f>Data[[#This Row],[Qty A]]+Data[[#This Row],[Qty B]]+Data[[#This Row],[Qty C]]</f>
        <v>4</v>
      </c>
      <c r="Y751" s="22">
        <f>Data[[#This Row],[Harga Barang A]]+Data[[#This Row],[Harga Barang B]]+Data[[#This Row],[Harga Barang C]]</f>
        <v>1100000</v>
      </c>
      <c r="Z751" s="35">
        <f>IFERROR(Data[[#This Row],[Total Harga]]-(Data[[#This Row],[Total Harga]]*Data[[#This Row],[Diskon]]),Data[[#This Row],[Total Harga]])</f>
        <v>880000</v>
      </c>
      <c r="AA751" s="35">
        <f>(Data[[#This Row],[Profit A]]+Data[[#This Row],[Profit B]]+Data[[#This Row],[Profit C]])</f>
        <v>430000</v>
      </c>
      <c r="AB751" s="35">
        <f>IFERROR((Data[[#This Row],[Profit non Diskon]]-(Data[[#This Row],[Profit non Diskon]]*Data[[#This Row],[Diskon]])),Data[[#This Row],[Profit non Diskon]])</f>
        <v>344000</v>
      </c>
      <c r="AC751" s="23" t="s">
        <v>8</v>
      </c>
      <c r="AD751" s="37">
        <f>IFERROR(INDEX('Kode Diskon'!$D$3:$D$9,MATCH(Data[[#This Row],[Kode diskon]],'Kode Diskon'!$C$3:$C$9,0)),"-")</f>
        <v>0.2</v>
      </c>
      <c r="AE751" s="23" t="s">
        <v>9</v>
      </c>
      <c r="AF751" s="23" t="s">
        <v>7</v>
      </c>
      <c r="AG751" s="23" t="s">
        <v>80</v>
      </c>
      <c r="AH751" s="24">
        <v>45041</v>
      </c>
      <c r="AI751" s="23" t="str">
        <f>TEXT(Data[[#This Row],[Tanggal terjual]],"dddd")</f>
        <v>Tuesday</v>
      </c>
      <c r="AJ751" s="21" t="str">
        <f>TEXT(Data[[#This Row],[Tanggal terjual]],"wwww")</f>
        <v>wwww</v>
      </c>
    </row>
    <row r="752" spans="1:36" x14ac:dyDescent="0.2">
      <c r="A752" s="20">
        <v>751</v>
      </c>
      <c r="B752" s="21" t="str">
        <f>_xlfn.CONCAT("ORD-",INDEX(Helper!$B$2:$B$5,MATCH(Data[[#This Row],[Marketplace]],Helper!$A$2:$A$5,0)),TEXT(Data[[#This Row],[No]],"0000"),"-",TEXT(Data[[#This Row],[Tanggal terjual]],"dd/mm/yy"))</f>
        <v>ORD-SP0751-13/04/23</v>
      </c>
      <c r="C752" t="s">
        <v>63</v>
      </c>
      <c r="D752" t="str">
        <f>IFERROR(INDEX(Katalog!$A$3:$A$12,MATCH(Data[[#This Row],[ItemID A]],Katalog!$C$3:$C$12,0)),"-")</f>
        <v>Pakaian Pria</v>
      </c>
      <c r="E752" t="str">
        <f>IFERROR(INDEX(Katalog!$B$3:$B$12,MATCH(Data[[#This Row],[ItemID A]],Katalog!$C$3:$C$12,0)),"-")</f>
        <v>Jaket Jeans</v>
      </c>
      <c r="F752">
        <v>2</v>
      </c>
      <c r="G752">
        <v>2</v>
      </c>
      <c r="H752" s="36">
        <f>IFERROR(INDEX(Katalog!$D$3:$D$12,MATCH(Data[[#This Row],[ItemID A]],Katalog!$C$3:$C$12,0))*Data[[#This Row],[Qty A]],"0")</f>
        <v>800000</v>
      </c>
      <c r="I752" s="36">
        <f>IFERROR(INDEX(Katalog!$F$3:$F$12,MATCH(Data[[#This Row],[ItemID A]],Katalog!$C$3:$C$12,0))*Data[[#This Row],[Qty A]],0)</f>
        <v>300000</v>
      </c>
      <c r="J752" t="s">
        <v>66</v>
      </c>
      <c r="K752" t="str">
        <f>IFERROR(INDEX(Katalog!$A$3:$A$12,MATCH(Data[[#This Row],[ItemID B]],Katalog!$C$3:$C$12,0)),"-")</f>
        <v>Sepatu Pria</v>
      </c>
      <c r="L752" t="str">
        <f>IFERROR(INDEX(Katalog!$B$3:$B$12,MATCH(Data[[#This Row],[ItemID B]],Katalog!$C$3:$C$12,0)),"-")</f>
        <v>Sandal Slip On</v>
      </c>
      <c r="M752">
        <v>5</v>
      </c>
      <c r="N752">
        <v>2</v>
      </c>
      <c r="O752" s="36">
        <f>IFERROR(INDEX(Katalog!$D$3:$D$12,MATCH(Data[[#This Row],[ItemID B]],Katalog!$C$3:$C$12,0))*Data[[#This Row],[Qty B]],"0")</f>
        <v>750000</v>
      </c>
      <c r="P752" s="36">
        <f>IFERROR(INDEX(Katalog!$F$3:$F$12,MATCH(Data[[#This Row],[ItemID B]],Katalog!$C$3:$C$12,0))*Data[[#This Row],[Qty B]],"0")</f>
        <v>300000</v>
      </c>
      <c r="R752" t="str">
        <f>IFERROR(INDEX(Katalog!$A$3:$A$12,MATCH(Data[[#This Row],[ItemID C]],Katalog!$C$3:$C$12,0)),"-")</f>
        <v>-</v>
      </c>
      <c r="S752" t="str">
        <f>IFERROR(INDEX(Katalog!$B$3:$B$12,MATCH(Data[[#This Row],[ItemID C]],Katalog!$C$3:$C$12,0)),"-")</f>
        <v>-</v>
      </c>
      <c r="V752" s="36" t="str">
        <f>IFERROR(INDEX(Katalog!$D$3:$D$12,MATCH(Data[[#This Row],[ItemID C]],Katalog!$C$3:$C$12,0))*Data[[#This Row],[Qty C]],"0")</f>
        <v>0</v>
      </c>
      <c r="W752" s="36" t="str">
        <f>IFERROR(INDEX(Katalog!$F$3:$F$12,MATCH(Data[[#This Row],[ItemID C]],Katalog!$C$3:$C$12,0))*Data[[#This Row],[Qty C]],"0")</f>
        <v>0</v>
      </c>
      <c r="X752" s="21">
        <f>Data[[#This Row],[Qty A]]+Data[[#This Row],[Qty B]]+Data[[#This Row],[Qty C]]</f>
        <v>7</v>
      </c>
      <c r="Y752" s="22">
        <f>Data[[#This Row],[Harga Barang A]]+Data[[#This Row],[Harga Barang B]]+Data[[#This Row],[Harga Barang C]]</f>
        <v>1550000</v>
      </c>
      <c r="Z752" s="35">
        <f>IFERROR(Data[[#This Row],[Total Harga]]-(Data[[#This Row],[Total Harga]]*Data[[#This Row],[Diskon]]),Data[[#This Row],[Total Harga]])</f>
        <v>1550000</v>
      </c>
      <c r="AA752" s="35">
        <f>(Data[[#This Row],[Profit A]]+Data[[#This Row],[Profit B]]+Data[[#This Row],[Profit C]])</f>
        <v>600000</v>
      </c>
      <c r="AB752" s="35">
        <f>IFERROR((Data[[#This Row],[Profit non Diskon]]-(Data[[#This Row],[Profit non Diskon]]*Data[[#This Row],[Diskon]])),Data[[#This Row],[Profit non Diskon]])</f>
        <v>600000</v>
      </c>
      <c r="AC752" s="23" t="s">
        <v>11</v>
      </c>
      <c r="AD752" s="37" t="str">
        <f>IFERROR(INDEX('Kode Diskon'!$D$3:$D$9,MATCH(Data[[#This Row],[Kode diskon]],'Kode Diskon'!$C$3:$C$9,0)),"-")</f>
        <v>-</v>
      </c>
      <c r="AE752" s="23" t="s">
        <v>11</v>
      </c>
      <c r="AF752" s="23" t="s">
        <v>7</v>
      </c>
      <c r="AG752" s="23" t="s">
        <v>80</v>
      </c>
      <c r="AH752" s="24">
        <v>45029</v>
      </c>
      <c r="AI752" s="23" t="str">
        <f>TEXT(Data[[#This Row],[Tanggal terjual]],"dddd")</f>
        <v>Thursday</v>
      </c>
      <c r="AJ752" s="21" t="str">
        <f>TEXT(Data[[#This Row],[Tanggal terjual]],"wwww")</f>
        <v>wwww</v>
      </c>
    </row>
    <row r="753" spans="1:36" x14ac:dyDescent="0.2">
      <c r="A753" s="20">
        <v>752</v>
      </c>
      <c r="B753" s="21" t="str">
        <f>_xlfn.CONCAT("ORD-",INDEX(Helper!$B$2:$B$5,MATCH(Data[[#This Row],[Marketplace]],Helper!$A$2:$A$5,0)),TEXT(Data[[#This Row],[No]],"0000"),"-",TEXT(Data[[#This Row],[Tanggal terjual]],"dd/mm/yy"))</f>
        <v>ORD-SP0752-28/04/23</v>
      </c>
      <c r="C753" t="s">
        <v>60</v>
      </c>
      <c r="D753" t="str">
        <f>IFERROR(INDEX(Katalog!$A$3:$A$12,MATCH(Data[[#This Row],[ItemID A]],Katalog!$C$3:$C$12,0)),"-")</f>
        <v>Pakaian Wanita</v>
      </c>
      <c r="E753" t="str">
        <f>IFERROR(INDEX(Katalog!$B$3:$B$12,MATCH(Data[[#This Row],[ItemID A]],Katalog!$C$3:$C$12,0)),"-")</f>
        <v>Kaftan</v>
      </c>
      <c r="F753">
        <v>3</v>
      </c>
      <c r="G753">
        <v>4</v>
      </c>
      <c r="H753" s="36">
        <f>IFERROR(INDEX(Katalog!$D$3:$D$12,MATCH(Data[[#This Row],[ItemID A]],Katalog!$C$3:$C$12,0))*Data[[#This Row],[Qty A]],"0")</f>
        <v>750000</v>
      </c>
      <c r="I753" s="36">
        <f>IFERROR(INDEX(Katalog!$F$3:$F$12,MATCH(Data[[#This Row],[ItemID A]],Katalog!$C$3:$C$12,0))*Data[[#This Row],[Qty A]],0)</f>
        <v>300000</v>
      </c>
      <c r="J753" t="s">
        <v>66</v>
      </c>
      <c r="K753" t="str">
        <f>IFERROR(INDEX(Katalog!$A$3:$A$12,MATCH(Data[[#This Row],[ItemID B]],Katalog!$C$3:$C$12,0)),"-")</f>
        <v>Sepatu Pria</v>
      </c>
      <c r="L753" t="str">
        <f>IFERROR(INDEX(Katalog!$B$3:$B$12,MATCH(Data[[#This Row],[ItemID B]],Katalog!$C$3:$C$12,0)),"-")</f>
        <v>Sandal Slip On</v>
      </c>
      <c r="M753">
        <v>1</v>
      </c>
      <c r="N753">
        <v>3</v>
      </c>
      <c r="O753" s="36">
        <f>IFERROR(INDEX(Katalog!$D$3:$D$12,MATCH(Data[[#This Row],[ItemID B]],Katalog!$C$3:$C$12,0))*Data[[#This Row],[Qty B]],"0")</f>
        <v>150000</v>
      </c>
      <c r="P753" s="36">
        <f>IFERROR(INDEX(Katalog!$F$3:$F$12,MATCH(Data[[#This Row],[ItemID B]],Katalog!$C$3:$C$12,0))*Data[[#This Row],[Qty B]],"0")</f>
        <v>60000</v>
      </c>
      <c r="R753" t="str">
        <f>IFERROR(INDEX(Katalog!$A$3:$A$12,MATCH(Data[[#This Row],[ItemID C]],Katalog!$C$3:$C$12,0)),"-")</f>
        <v>-</v>
      </c>
      <c r="S753" t="str">
        <f>IFERROR(INDEX(Katalog!$B$3:$B$12,MATCH(Data[[#This Row],[ItemID C]],Katalog!$C$3:$C$12,0)),"-")</f>
        <v>-</v>
      </c>
      <c r="V753" s="36" t="str">
        <f>IFERROR(INDEX(Katalog!$D$3:$D$12,MATCH(Data[[#This Row],[ItemID C]],Katalog!$C$3:$C$12,0))*Data[[#This Row],[Qty C]],"0")</f>
        <v>0</v>
      </c>
      <c r="W753" s="36" t="str">
        <f>IFERROR(INDEX(Katalog!$F$3:$F$12,MATCH(Data[[#This Row],[ItemID C]],Katalog!$C$3:$C$12,0))*Data[[#This Row],[Qty C]],"0")</f>
        <v>0</v>
      </c>
      <c r="X753" s="21">
        <f>Data[[#This Row],[Qty A]]+Data[[#This Row],[Qty B]]+Data[[#This Row],[Qty C]]</f>
        <v>4</v>
      </c>
      <c r="Y753" s="22">
        <f>Data[[#This Row],[Harga Barang A]]+Data[[#This Row],[Harga Barang B]]+Data[[#This Row],[Harga Barang C]]</f>
        <v>900000</v>
      </c>
      <c r="Z753" s="35">
        <f>IFERROR(Data[[#This Row],[Total Harga]]-(Data[[#This Row],[Total Harga]]*Data[[#This Row],[Diskon]]),Data[[#This Row],[Total Harga]])</f>
        <v>720000</v>
      </c>
      <c r="AA753" s="35">
        <f>(Data[[#This Row],[Profit A]]+Data[[#This Row],[Profit B]]+Data[[#This Row],[Profit C]])</f>
        <v>360000</v>
      </c>
      <c r="AB753" s="35">
        <f>IFERROR((Data[[#This Row],[Profit non Diskon]]-(Data[[#This Row],[Profit non Diskon]]*Data[[#This Row],[Diskon]])),Data[[#This Row],[Profit non Diskon]])</f>
        <v>288000</v>
      </c>
      <c r="AC753" s="23" t="s">
        <v>8</v>
      </c>
      <c r="AD753" s="37">
        <f>IFERROR(INDEX('Kode Diskon'!$D$3:$D$9,MATCH(Data[[#This Row],[Kode diskon]],'Kode Diskon'!$C$3:$C$9,0)),"-")</f>
        <v>0.2</v>
      </c>
      <c r="AE753" s="23" t="s">
        <v>9</v>
      </c>
      <c r="AF753" s="23" t="s">
        <v>7</v>
      </c>
      <c r="AG753" s="23" t="s">
        <v>79</v>
      </c>
      <c r="AH753" s="24">
        <v>45044</v>
      </c>
      <c r="AI753" s="23" t="str">
        <f>TEXT(Data[[#This Row],[Tanggal terjual]],"dddd")</f>
        <v>Friday</v>
      </c>
      <c r="AJ753" s="21" t="str">
        <f>TEXT(Data[[#This Row],[Tanggal terjual]],"wwww")</f>
        <v>wwww</v>
      </c>
    </row>
    <row r="754" spans="1:36" x14ac:dyDescent="0.2">
      <c r="A754" s="20">
        <v>753</v>
      </c>
      <c r="B754" s="21" t="str">
        <f>_xlfn.CONCAT("ORD-",INDEX(Helper!$B$2:$B$5,MATCH(Data[[#This Row],[Marketplace]],Helper!$A$2:$A$5,0)),TEXT(Data[[#This Row],[No]],"0000"),"-",TEXT(Data[[#This Row],[Tanggal terjual]],"dd/mm/yy"))</f>
        <v>ORD-SP0753-07/04/23</v>
      </c>
      <c r="C754" t="s">
        <v>65</v>
      </c>
      <c r="D754" t="str">
        <f>IFERROR(INDEX(Katalog!$A$3:$A$12,MATCH(Data[[#This Row],[ItemID A]],Katalog!$C$3:$C$12,0)),"-")</f>
        <v>Sepatu Pria</v>
      </c>
      <c r="E754" t="str">
        <f>IFERROR(INDEX(Katalog!$B$3:$B$12,MATCH(Data[[#This Row],[ItemID A]],Katalog!$C$3:$C$12,0)),"-")</f>
        <v>Sneakers</v>
      </c>
      <c r="F754">
        <v>1</v>
      </c>
      <c r="G754">
        <v>2</v>
      </c>
      <c r="H754" s="36">
        <f>IFERROR(INDEX(Katalog!$D$3:$D$12,MATCH(Data[[#This Row],[ItemID A]],Katalog!$C$3:$C$12,0))*Data[[#This Row],[Qty A]],"0")</f>
        <v>500000</v>
      </c>
      <c r="I754" s="36">
        <f>IFERROR(INDEX(Katalog!$F$3:$F$12,MATCH(Data[[#This Row],[ItemID A]],Katalog!$C$3:$C$12,0))*Data[[#This Row],[Qty A]],0)</f>
        <v>200000</v>
      </c>
      <c r="K754" t="str">
        <f>IFERROR(INDEX(Katalog!$A$3:$A$12,MATCH(Data[[#This Row],[ItemID B]],Katalog!$C$3:$C$12,0)),"-")</f>
        <v>-</v>
      </c>
      <c r="L754" t="str">
        <f>IFERROR(INDEX(Katalog!$B$3:$B$12,MATCH(Data[[#This Row],[ItemID B]],Katalog!$C$3:$C$12,0)),"-")</f>
        <v>-</v>
      </c>
      <c r="O754" s="36" t="str">
        <f>IFERROR(INDEX(Katalog!$D$3:$D$12,MATCH(Data[[#This Row],[ItemID B]],Katalog!$C$3:$C$12,0))*Data[[#This Row],[Qty B]],"0")</f>
        <v>0</v>
      </c>
      <c r="P754" s="36" t="str">
        <f>IFERROR(INDEX(Katalog!$F$3:$F$12,MATCH(Data[[#This Row],[ItemID B]],Katalog!$C$3:$C$12,0))*Data[[#This Row],[Qty B]],"0")</f>
        <v>0</v>
      </c>
      <c r="R754" t="str">
        <f>IFERROR(INDEX(Katalog!$A$3:$A$12,MATCH(Data[[#This Row],[ItemID C]],Katalog!$C$3:$C$12,0)),"-")</f>
        <v>-</v>
      </c>
      <c r="S754" t="str">
        <f>IFERROR(INDEX(Katalog!$B$3:$B$12,MATCH(Data[[#This Row],[ItemID C]],Katalog!$C$3:$C$12,0)),"-")</f>
        <v>-</v>
      </c>
      <c r="V754" s="36" t="str">
        <f>IFERROR(INDEX(Katalog!$D$3:$D$12,MATCH(Data[[#This Row],[ItemID C]],Katalog!$C$3:$C$12,0))*Data[[#This Row],[Qty C]],"0")</f>
        <v>0</v>
      </c>
      <c r="W754" s="36" t="str">
        <f>IFERROR(INDEX(Katalog!$F$3:$F$12,MATCH(Data[[#This Row],[ItemID C]],Katalog!$C$3:$C$12,0))*Data[[#This Row],[Qty C]],"0")</f>
        <v>0</v>
      </c>
      <c r="X754" s="21">
        <f>Data[[#This Row],[Qty A]]+Data[[#This Row],[Qty B]]+Data[[#This Row],[Qty C]]</f>
        <v>1</v>
      </c>
      <c r="Y754" s="22">
        <f>Data[[#This Row],[Harga Barang A]]+Data[[#This Row],[Harga Barang B]]+Data[[#This Row],[Harga Barang C]]</f>
        <v>500000</v>
      </c>
      <c r="Z754" s="35">
        <f>IFERROR(Data[[#This Row],[Total Harga]]-(Data[[#This Row],[Total Harga]]*Data[[#This Row],[Diskon]]),Data[[#This Row],[Total Harga]])</f>
        <v>500000</v>
      </c>
      <c r="AA754" s="35">
        <f>(Data[[#This Row],[Profit A]]+Data[[#This Row],[Profit B]]+Data[[#This Row],[Profit C]])</f>
        <v>200000</v>
      </c>
      <c r="AB754" s="35">
        <f>IFERROR((Data[[#This Row],[Profit non Diskon]]-(Data[[#This Row],[Profit non Diskon]]*Data[[#This Row],[Diskon]])),Data[[#This Row],[Profit non Diskon]])</f>
        <v>200000</v>
      </c>
      <c r="AC754" s="23" t="s">
        <v>11</v>
      </c>
      <c r="AD754" s="37" t="str">
        <f>IFERROR(INDEX('Kode Diskon'!$D$3:$D$9,MATCH(Data[[#This Row],[Kode diskon]],'Kode Diskon'!$C$3:$C$9,0)),"-")</f>
        <v>-</v>
      </c>
      <c r="AE754" s="23" t="s">
        <v>11</v>
      </c>
      <c r="AF754" s="23" t="s">
        <v>7</v>
      </c>
      <c r="AG754" s="23" t="s">
        <v>80</v>
      </c>
      <c r="AH754" s="24">
        <v>45023</v>
      </c>
      <c r="AI754" s="23" t="str">
        <f>TEXT(Data[[#This Row],[Tanggal terjual]],"dddd")</f>
        <v>Friday</v>
      </c>
      <c r="AJ754" s="21" t="str">
        <f>TEXT(Data[[#This Row],[Tanggal terjual]],"wwww")</f>
        <v>wwww</v>
      </c>
    </row>
    <row r="755" spans="1:36" x14ac:dyDescent="0.2">
      <c r="A755" s="20">
        <v>754</v>
      </c>
      <c r="B755" s="21" t="str">
        <f>_xlfn.CONCAT("ORD-",INDEX(Helper!$B$2:$B$5,MATCH(Data[[#This Row],[Marketplace]],Helper!$A$2:$A$5,0)),TEXT(Data[[#This Row],[No]],"0000"),"-",TEXT(Data[[#This Row],[Tanggal terjual]],"dd/mm/yy"))</f>
        <v>ORD-SP0754-05/04/23</v>
      </c>
      <c r="C755" t="s">
        <v>63</v>
      </c>
      <c r="D755" t="str">
        <f>IFERROR(INDEX(Katalog!$A$3:$A$12,MATCH(Data[[#This Row],[ItemID A]],Katalog!$C$3:$C$12,0)),"-")</f>
        <v>Pakaian Pria</v>
      </c>
      <c r="E755" t="str">
        <f>IFERROR(INDEX(Katalog!$B$3:$B$12,MATCH(Data[[#This Row],[ItemID A]],Katalog!$C$3:$C$12,0)),"-")</f>
        <v>Jaket Jeans</v>
      </c>
      <c r="F755">
        <v>1</v>
      </c>
      <c r="G755">
        <v>5</v>
      </c>
      <c r="H755" s="36">
        <f>IFERROR(INDEX(Katalog!$D$3:$D$12,MATCH(Data[[#This Row],[ItemID A]],Katalog!$C$3:$C$12,0))*Data[[#This Row],[Qty A]],"0")</f>
        <v>400000</v>
      </c>
      <c r="I755" s="36">
        <f>IFERROR(INDEX(Katalog!$F$3:$F$12,MATCH(Data[[#This Row],[ItemID A]],Katalog!$C$3:$C$12,0))*Data[[#This Row],[Qty A]],0)</f>
        <v>150000</v>
      </c>
      <c r="J755" t="s">
        <v>62</v>
      </c>
      <c r="K755" t="str">
        <f>IFERROR(INDEX(Katalog!$A$3:$A$12,MATCH(Data[[#This Row],[ItemID B]],Katalog!$C$3:$C$12,0)),"-")</f>
        <v>Pakaian Pria</v>
      </c>
      <c r="L755" t="str">
        <f>IFERROR(INDEX(Katalog!$B$3:$B$12,MATCH(Data[[#This Row],[ItemID B]],Katalog!$C$3:$C$12,0)),"-")</f>
        <v>Celana Pendek</v>
      </c>
      <c r="M755">
        <v>1</v>
      </c>
      <c r="N755">
        <v>4</v>
      </c>
      <c r="O755" s="36">
        <f>IFERROR(INDEX(Katalog!$D$3:$D$12,MATCH(Data[[#This Row],[ItemID B]],Katalog!$C$3:$C$12,0))*Data[[#This Row],[Qty B]],"0")</f>
        <v>180000</v>
      </c>
      <c r="P755" s="36">
        <f>IFERROR(INDEX(Katalog!$F$3:$F$12,MATCH(Data[[#This Row],[ItemID B]],Katalog!$C$3:$C$12,0))*Data[[#This Row],[Qty B]],"0")</f>
        <v>70000</v>
      </c>
      <c r="Q755" t="s">
        <v>66</v>
      </c>
      <c r="R755" t="str">
        <f>IFERROR(INDEX(Katalog!$A$3:$A$12,MATCH(Data[[#This Row],[ItemID C]],Katalog!$C$3:$C$12,0)),"-")</f>
        <v>Sepatu Pria</v>
      </c>
      <c r="S755" t="str">
        <f>IFERROR(INDEX(Katalog!$B$3:$B$12,MATCH(Data[[#This Row],[ItemID C]],Katalog!$C$3:$C$12,0)),"-")</f>
        <v>Sandal Slip On</v>
      </c>
      <c r="T755">
        <v>5</v>
      </c>
      <c r="U755">
        <v>3</v>
      </c>
      <c r="V755" s="36">
        <f>IFERROR(INDEX(Katalog!$D$3:$D$12,MATCH(Data[[#This Row],[ItemID C]],Katalog!$C$3:$C$12,0))*Data[[#This Row],[Qty C]],"0")</f>
        <v>750000</v>
      </c>
      <c r="W755" s="36">
        <f>IFERROR(INDEX(Katalog!$F$3:$F$12,MATCH(Data[[#This Row],[ItemID C]],Katalog!$C$3:$C$12,0))*Data[[#This Row],[Qty C]],"0")</f>
        <v>300000</v>
      </c>
      <c r="X755" s="21">
        <f>Data[[#This Row],[Qty A]]+Data[[#This Row],[Qty B]]+Data[[#This Row],[Qty C]]</f>
        <v>7</v>
      </c>
      <c r="Y755" s="22">
        <f>Data[[#This Row],[Harga Barang A]]+Data[[#This Row],[Harga Barang B]]+Data[[#This Row],[Harga Barang C]]</f>
        <v>1330000</v>
      </c>
      <c r="Z755" s="35">
        <f>IFERROR(Data[[#This Row],[Total Harga]]-(Data[[#This Row],[Total Harga]]*Data[[#This Row],[Diskon]]),Data[[#This Row],[Total Harga]])</f>
        <v>1130500</v>
      </c>
      <c r="AA755" s="35">
        <f>(Data[[#This Row],[Profit A]]+Data[[#This Row],[Profit B]]+Data[[#This Row],[Profit C]])</f>
        <v>520000</v>
      </c>
      <c r="AB755" s="35">
        <f>IFERROR((Data[[#This Row],[Profit non Diskon]]-(Data[[#This Row],[Profit non Diskon]]*Data[[#This Row],[Diskon]])),Data[[#This Row],[Profit non Diskon]])</f>
        <v>442000</v>
      </c>
      <c r="AC755" s="23" t="s">
        <v>13</v>
      </c>
      <c r="AD755" s="37">
        <f>IFERROR(INDEX('Kode Diskon'!$D$3:$D$9,MATCH(Data[[#This Row],[Kode diskon]],'Kode Diskon'!$C$3:$C$9,0)),"-")</f>
        <v>0.15</v>
      </c>
      <c r="AE755" s="23" t="s">
        <v>29</v>
      </c>
      <c r="AF755" s="23" t="s">
        <v>7</v>
      </c>
      <c r="AG755" s="23" t="s">
        <v>75</v>
      </c>
      <c r="AH755" s="24">
        <v>45021</v>
      </c>
      <c r="AI755" s="23" t="str">
        <f>TEXT(Data[[#This Row],[Tanggal terjual]],"dddd")</f>
        <v>Wednesday</v>
      </c>
      <c r="AJ755" s="21" t="str">
        <f>TEXT(Data[[#This Row],[Tanggal terjual]],"wwww")</f>
        <v>wwww</v>
      </c>
    </row>
    <row r="756" spans="1:36" x14ac:dyDescent="0.2">
      <c r="A756" s="20">
        <v>755</v>
      </c>
      <c r="B756" s="21" t="str">
        <f>_xlfn.CONCAT("ORD-",INDEX(Helper!$B$2:$B$5,MATCH(Data[[#This Row],[Marketplace]],Helper!$A$2:$A$5,0)),TEXT(Data[[#This Row],[No]],"0000"),"-",TEXT(Data[[#This Row],[Tanggal terjual]],"dd/mm/yy"))</f>
        <v>ORD-TK0755-05/04/23</v>
      </c>
      <c r="C756" t="s">
        <v>66</v>
      </c>
      <c r="D756" t="str">
        <f>IFERROR(INDEX(Katalog!$A$3:$A$12,MATCH(Data[[#This Row],[ItemID A]],Katalog!$C$3:$C$12,0)),"-")</f>
        <v>Sepatu Pria</v>
      </c>
      <c r="E756" t="str">
        <f>IFERROR(INDEX(Katalog!$B$3:$B$12,MATCH(Data[[#This Row],[ItemID A]],Katalog!$C$3:$C$12,0)),"-")</f>
        <v>Sandal Slip On</v>
      </c>
      <c r="F756">
        <v>2</v>
      </c>
      <c r="G756">
        <v>3</v>
      </c>
      <c r="H756" s="36">
        <f>IFERROR(INDEX(Katalog!$D$3:$D$12,MATCH(Data[[#This Row],[ItemID A]],Katalog!$C$3:$C$12,0))*Data[[#This Row],[Qty A]],"0")</f>
        <v>300000</v>
      </c>
      <c r="I756" s="36">
        <f>IFERROR(INDEX(Katalog!$F$3:$F$12,MATCH(Data[[#This Row],[ItemID A]],Katalog!$C$3:$C$12,0))*Data[[#This Row],[Qty A]],0)</f>
        <v>120000</v>
      </c>
      <c r="K756" t="str">
        <f>IFERROR(INDEX(Katalog!$A$3:$A$12,MATCH(Data[[#This Row],[ItemID B]],Katalog!$C$3:$C$12,0)),"-")</f>
        <v>-</v>
      </c>
      <c r="L756" t="str">
        <f>IFERROR(INDEX(Katalog!$B$3:$B$12,MATCH(Data[[#This Row],[ItemID B]],Katalog!$C$3:$C$12,0)),"-")</f>
        <v>-</v>
      </c>
      <c r="O756" s="36" t="str">
        <f>IFERROR(INDEX(Katalog!$D$3:$D$12,MATCH(Data[[#This Row],[ItemID B]],Katalog!$C$3:$C$12,0))*Data[[#This Row],[Qty B]],"0")</f>
        <v>0</v>
      </c>
      <c r="P756" s="36" t="str">
        <f>IFERROR(INDEX(Katalog!$F$3:$F$12,MATCH(Data[[#This Row],[ItemID B]],Katalog!$C$3:$C$12,0))*Data[[#This Row],[Qty B]],"0")</f>
        <v>0</v>
      </c>
      <c r="R756" t="str">
        <f>IFERROR(INDEX(Katalog!$A$3:$A$12,MATCH(Data[[#This Row],[ItemID C]],Katalog!$C$3:$C$12,0)),"-")</f>
        <v>-</v>
      </c>
      <c r="S756" t="str">
        <f>IFERROR(INDEX(Katalog!$B$3:$B$12,MATCH(Data[[#This Row],[ItemID C]],Katalog!$C$3:$C$12,0)),"-")</f>
        <v>-</v>
      </c>
      <c r="V756" s="36" t="str">
        <f>IFERROR(INDEX(Katalog!$D$3:$D$12,MATCH(Data[[#This Row],[ItemID C]],Katalog!$C$3:$C$12,0))*Data[[#This Row],[Qty C]],"0")</f>
        <v>0</v>
      </c>
      <c r="W756" s="36" t="str">
        <f>IFERROR(INDEX(Katalog!$F$3:$F$12,MATCH(Data[[#This Row],[ItemID C]],Katalog!$C$3:$C$12,0))*Data[[#This Row],[Qty C]],"0")</f>
        <v>0</v>
      </c>
      <c r="X756" s="21">
        <f>Data[[#This Row],[Qty A]]+Data[[#This Row],[Qty B]]+Data[[#This Row],[Qty C]]</f>
        <v>2</v>
      </c>
      <c r="Y756" s="22">
        <f>Data[[#This Row],[Harga Barang A]]+Data[[#This Row],[Harga Barang B]]+Data[[#This Row],[Harga Barang C]]</f>
        <v>300000</v>
      </c>
      <c r="Z756" s="35">
        <f>IFERROR(Data[[#This Row],[Total Harga]]-(Data[[#This Row],[Total Harga]]*Data[[#This Row],[Diskon]]),Data[[#This Row],[Total Harga]])</f>
        <v>270000</v>
      </c>
      <c r="AA756" s="35">
        <f>(Data[[#This Row],[Profit A]]+Data[[#This Row],[Profit B]]+Data[[#This Row],[Profit C]])</f>
        <v>120000</v>
      </c>
      <c r="AB756" s="35">
        <f>IFERROR((Data[[#This Row],[Profit non Diskon]]-(Data[[#This Row],[Profit non Diskon]]*Data[[#This Row],[Diskon]])),Data[[#This Row],[Profit non Diskon]])</f>
        <v>108000</v>
      </c>
      <c r="AC756" s="23" t="s">
        <v>30</v>
      </c>
      <c r="AD756" s="37">
        <f>IFERROR(INDEX('Kode Diskon'!$D$3:$D$9,MATCH(Data[[#This Row],[Kode diskon]],'Kode Diskon'!$C$3:$C$9,0)),"-")</f>
        <v>0.1</v>
      </c>
      <c r="AE756" s="23" t="s">
        <v>29</v>
      </c>
      <c r="AF756" s="23" t="s">
        <v>10</v>
      </c>
      <c r="AG756" s="23" t="s">
        <v>80</v>
      </c>
      <c r="AH756" s="24">
        <v>45021</v>
      </c>
      <c r="AI756" s="23" t="str">
        <f>TEXT(Data[[#This Row],[Tanggal terjual]],"dddd")</f>
        <v>Wednesday</v>
      </c>
      <c r="AJ756" s="21" t="str">
        <f>TEXT(Data[[#This Row],[Tanggal terjual]],"wwww")</f>
        <v>wwww</v>
      </c>
    </row>
    <row r="757" spans="1:36" x14ac:dyDescent="0.2">
      <c r="A757" s="20">
        <v>756</v>
      </c>
      <c r="B757" s="21" t="str">
        <f>_xlfn.CONCAT("ORD-",INDEX(Helper!$B$2:$B$5,MATCH(Data[[#This Row],[Marketplace]],Helper!$A$2:$A$5,0)),TEXT(Data[[#This Row],[No]],"0000"),"-",TEXT(Data[[#This Row],[Tanggal terjual]],"dd/mm/yy"))</f>
        <v>ORD-BL0756-28/04/23</v>
      </c>
      <c r="C757" t="s">
        <v>64</v>
      </c>
      <c r="D757" t="str">
        <f>IFERROR(INDEX(Katalog!$A$3:$A$12,MATCH(Data[[#This Row],[ItemID A]],Katalog!$C$3:$C$12,0)),"-")</f>
        <v>Pakaian Unisex</v>
      </c>
      <c r="E757" t="str">
        <f>IFERROR(INDEX(Katalog!$B$3:$B$12,MATCH(Data[[#This Row],[ItemID A]],Katalog!$C$3:$C$12,0)),"-")</f>
        <v>Jaket Hoodie</v>
      </c>
      <c r="F757">
        <v>1</v>
      </c>
      <c r="G757">
        <v>4</v>
      </c>
      <c r="H757" s="36">
        <f>IFERROR(INDEX(Katalog!$D$3:$D$12,MATCH(Data[[#This Row],[ItemID A]],Katalog!$C$3:$C$12,0))*Data[[#This Row],[Qty A]],"0")</f>
        <v>350000</v>
      </c>
      <c r="I757" s="36">
        <f>IFERROR(INDEX(Katalog!$F$3:$F$12,MATCH(Data[[#This Row],[ItemID A]],Katalog!$C$3:$C$12,0))*Data[[#This Row],[Qty A]],0)</f>
        <v>130000</v>
      </c>
      <c r="K757" t="str">
        <f>IFERROR(INDEX(Katalog!$A$3:$A$12,MATCH(Data[[#This Row],[ItemID B]],Katalog!$C$3:$C$12,0)),"-")</f>
        <v>-</v>
      </c>
      <c r="L757" t="str">
        <f>IFERROR(INDEX(Katalog!$B$3:$B$12,MATCH(Data[[#This Row],[ItemID B]],Katalog!$C$3:$C$12,0)),"-")</f>
        <v>-</v>
      </c>
      <c r="O757" s="36" t="str">
        <f>IFERROR(INDEX(Katalog!$D$3:$D$12,MATCH(Data[[#This Row],[ItemID B]],Katalog!$C$3:$C$12,0))*Data[[#This Row],[Qty B]],"0")</f>
        <v>0</v>
      </c>
      <c r="P757" s="36" t="str">
        <f>IFERROR(INDEX(Katalog!$F$3:$F$12,MATCH(Data[[#This Row],[ItemID B]],Katalog!$C$3:$C$12,0))*Data[[#This Row],[Qty B]],"0")</f>
        <v>0</v>
      </c>
      <c r="R757" t="str">
        <f>IFERROR(INDEX(Katalog!$A$3:$A$12,MATCH(Data[[#This Row],[ItemID C]],Katalog!$C$3:$C$12,0)),"-")</f>
        <v>-</v>
      </c>
      <c r="S757" t="str">
        <f>IFERROR(INDEX(Katalog!$B$3:$B$12,MATCH(Data[[#This Row],[ItemID C]],Katalog!$C$3:$C$12,0)),"-")</f>
        <v>-</v>
      </c>
      <c r="V757" s="36" t="str">
        <f>IFERROR(INDEX(Katalog!$D$3:$D$12,MATCH(Data[[#This Row],[ItemID C]],Katalog!$C$3:$C$12,0))*Data[[#This Row],[Qty C]],"0")</f>
        <v>0</v>
      </c>
      <c r="W757" s="36" t="str">
        <f>IFERROR(INDEX(Katalog!$F$3:$F$12,MATCH(Data[[#This Row],[ItemID C]],Katalog!$C$3:$C$12,0))*Data[[#This Row],[Qty C]],"0")</f>
        <v>0</v>
      </c>
      <c r="X757" s="21">
        <f>Data[[#This Row],[Qty A]]+Data[[#This Row],[Qty B]]+Data[[#This Row],[Qty C]]</f>
        <v>1</v>
      </c>
      <c r="Y757" s="22">
        <f>Data[[#This Row],[Harga Barang A]]+Data[[#This Row],[Harga Barang B]]+Data[[#This Row],[Harga Barang C]]</f>
        <v>350000</v>
      </c>
      <c r="Z757" s="35">
        <f>IFERROR(Data[[#This Row],[Total Harga]]-(Data[[#This Row],[Total Harga]]*Data[[#This Row],[Diskon]]),Data[[#This Row],[Total Harga]])</f>
        <v>297500</v>
      </c>
      <c r="AA757" s="35">
        <f>(Data[[#This Row],[Profit A]]+Data[[#This Row],[Profit B]]+Data[[#This Row],[Profit C]])</f>
        <v>130000</v>
      </c>
      <c r="AB757" s="35">
        <f>IFERROR((Data[[#This Row],[Profit non Diskon]]-(Data[[#This Row],[Profit non Diskon]]*Data[[#This Row],[Diskon]])),Data[[#This Row],[Profit non Diskon]])</f>
        <v>110500</v>
      </c>
      <c r="AC757" s="23" t="s">
        <v>32</v>
      </c>
      <c r="AD757" s="37">
        <f>IFERROR(INDEX('Kode Diskon'!$D$3:$D$9,MATCH(Data[[#This Row],[Kode diskon]],'Kode Diskon'!$C$3:$C$9,0)),"-")</f>
        <v>0.15</v>
      </c>
      <c r="AE757" s="23" t="s">
        <v>9</v>
      </c>
      <c r="AF757" s="23" t="s">
        <v>12</v>
      </c>
      <c r="AG757" s="23" t="s">
        <v>75</v>
      </c>
      <c r="AH757" s="24">
        <v>45044</v>
      </c>
      <c r="AI757" s="23" t="str">
        <f>TEXT(Data[[#This Row],[Tanggal terjual]],"dddd")</f>
        <v>Friday</v>
      </c>
      <c r="AJ757" s="21" t="str">
        <f>TEXT(Data[[#This Row],[Tanggal terjual]],"wwww")</f>
        <v>wwww</v>
      </c>
    </row>
    <row r="758" spans="1:36" x14ac:dyDescent="0.2">
      <c r="A758" s="20">
        <v>757</v>
      </c>
      <c r="B758" s="21" t="str">
        <f>_xlfn.CONCAT("ORD-",INDEX(Helper!$B$2:$B$5,MATCH(Data[[#This Row],[Marketplace]],Helper!$A$2:$A$5,0)),TEXT(Data[[#This Row],[No]],"0000"),"-",TEXT(Data[[#This Row],[Tanggal terjual]],"dd/mm/yy"))</f>
        <v>ORD-BB0757-06/04/23</v>
      </c>
      <c r="C758" t="s">
        <v>60</v>
      </c>
      <c r="D758" t="str">
        <f>IFERROR(INDEX(Katalog!$A$3:$A$12,MATCH(Data[[#This Row],[ItemID A]],Katalog!$C$3:$C$12,0)),"-")</f>
        <v>Pakaian Wanita</v>
      </c>
      <c r="E758" t="str">
        <f>IFERROR(INDEX(Katalog!$B$3:$B$12,MATCH(Data[[#This Row],[ItemID A]],Katalog!$C$3:$C$12,0)),"-")</f>
        <v>Kaftan</v>
      </c>
      <c r="F758">
        <v>3</v>
      </c>
      <c r="G758">
        <v>2</v>
      </c>
      <c r="H758" s="36">
        <f>IFERROR(INDEX(Katalog!$D$3:$D$12,MATCH(Data[[#This Row],[ItemID A]],Katalog!$C$3:$C$12,0))*Data[[#This Row],[Qty A]],"0")</f>
        <v>750000</v>
      </c>
      <c r="I758" s="36">
        <f>IFERROR(INDEX(Katalog!$F$3:$F$12,MATCH(Data[[#This Row],[ItemID A]],Katalog!$C$3:$C$12,0))*Data[[#This Row],[Qty A]],0)</f>
        <v>300000</v>
      </c>
      <c r="J758" t="s">
        <v>63</v>
      </c>
      <c r="K758" t="str">
        <f>IFERROR(INDEX(Katalog!$A$3:$A$12,MATCH(Data[[#This Row],[ItemID B]],Katalog!$C$3:$C$12,0)),"-")</f>
        <v>Pakaian Pria</v>
      </c>
      <c r="L758" t="str">
        <f>IFERROR(INDEX(Katalog!$B$3:$B$12,MATCH(Data[[#This Row],[ItemID B]],Katalog!$C$3:$C$12,0)),"-")</f>
        <v>Jaket Jeans</v>
      </c>
      <c r="M758">
        <v>1</v>
      </c>
      <c r="N758">
        <v>4</v>
      </c>
      <c r="O758" s="36">
        <f>IFERROR(INDEX(Katalog!$D$3:$D$12,MATCH(Data[[#This Row],[ItemID B]],Katalog!$C$3:$C$12,0))*Data[[#This Row],[Qty B]],"0")</f>
        <v>400000</v>
      </c>
      <c r="P758" s="36">
        <f>IFERROR(INDEX(Katalog!$F$3:$F$12,MATCH(Data[[#This Row],[ItemID B]],Katalog!$C$3:$C$12,0))*Data[[#This Row],[Qty B]],"0")</f>
        <v>150000</v>
      </c>
      <c r="R758" t="str">
        <f>IFERROR(INDEX(Katalog!$A$3:$A$12,MATCH(Data[[#This Row],[ItemID C]],Katalog!$C$3:$C$12,0)),"-")</f>
        <v>-</v>
      </c>
      <c r="S758" t="str">
        <f>IFERROR(INDEX(Katalog!$B$3:$B$12,MATCH(Data[[#This Row],[ItemID C]],Katalog!$C$3:$C$12,0)),"-")</f>
        <v>-</v>
      </c>
      <c r="V758" s="36" t="str">
        <f>IFERROR(INDEX(Katalog!$D$3:$D$12,MATCH(Data[[#This Row],[ItemID C]],Katalog!$C$3:$C$12,0))*Data[[#This Row],[Qty C]],"0")</f>
        <v>0</v>
      </c>
      <c r="W758" s="36" t="str">
        <f>IFERROR(INDEX(Katalog!$F$3:$F$12,MATCH(Data[[#This Row],[ItemID C]],Katalog!$C$3:$C$12,0))*Data[[#This Row],[Qty C]],"0")</f>
        <v>0</v>
      </c>
      <c r="X758" s="21">
        <f>Data[[#This Row],[Qty A]]+Data[[#This Row],[Qty B]]+Data[[#This Row],[Qty C]]</f>
        <v>4</v>
      </c>
      <c r="Y758" s="22">
        <f>Data[[#This Row],[Harga Barang A]]+Data[[#This Row],[Harga Barang B]]+Data[[#This Row],[Harga Barang C]]</f>
        <v>1150000</v>
      </c>
      <c r="Z758" s="35">
        <f>IFERROR(Data[[#This Row],[Total Harga]]-(Data[[#This Row],[Total Harga]]*Data[[#This Row],[Diskon]]),Data[[#This Row],[Total Harga]])</f>
        <v>977500</v>
      </c>
      <c r="AA758" s="35">
        <f>(Data[[#This Row],[Profit A]]+Data[[#This Row],[Profit B]]+Data[[#This Row],[Profit C]])</f>
        <v>450000</v>
      </c>
      <c r="AB758" s="35">
        <f>IFERROR((Data[[#This Row],[Profit non Diskon]]-(Data[[#This Row],[Profit non Diskon]]*Data[[#This Row],[Diskon]])),Data[[#This Row],[Profit non Diskon]])</f>
        <v>382500</v>
      </c>
      <c r="AC758" s="23" t="s">
        <v>28</v>
      </c>
      <c r="AD758" s="37">
        <f>IFERROR(INDEX('Kode Diskon'!$D$3:$D$9,MATCH(Data[[#This Row],[Kode diskon]],'Kode Diskon'!$C$3:$C$9,0)),"-")</f>
        <v>0.15</v>
      </c>
      <c r="AE758" s="23" t="s">
        <v>29</v>
      </c>
      <c r="AF758" s="23" t="s">
        <v>14</v>
      </c>
      <c r="AG758" s="23" t="s">
        <v>80</v>
      </c>
      <c r="AH758" s="24">
        <v>45022</v>
      </c>
      <c r="AI758" s="23" t="str">
        <f>TEXT(Data[[#This Row],[Tanggal terjual]],"dddd")</f>
        <v>Thursday</v>
      </c>
      <c r="AJ758" s="21" t="str">
        <f>TEXT(Data[[#This Row],[Tanggal terjual]],"wwww")</f>
        <v>wwww</v>
      </c>
    </row>
    <row r="759" spans="1:36" x14ac:dyDescent="0.2">
      <c r="A759" s="20">
        <v>758</v>
      </c>
      <c r="B759" s="21" t="str">
        <f>_xlfn.CONCAT("ORD-",INDEX(Helper!$B$2:$B$5,MATCH(Data[[#This Row],[Marketplace]],Helper!$A$2:$A$5,0)),TEXT(Data[[#This Row],[No]],"0000"),"-",TEXT(Data[[#This Row],[Tanggal terjual]],"dd/mm/yy"))</f>
        <v>ORD-BL0758-17/04/23</v>
      </c>
      <c r="C759" t="s">
        <v>61</v>
      </c>
      <c r="D759" t="str">
        <f>IFERROR(INDEX(Katalog!$A$3:$A$12,MATCH(Data[[#This Row],[ItemID A]],Katalog!$C$3:$C$12,0)),"-")</f>
        <v>Pakaian Pria</v>
      </c>
      <c r="E759" t="str">
        <f>IFERROR(INDEX(Katalog!$B$3:$B$12,MATCH(Data[[#This Row],[ItemID A]],Katalog!$C$3:$C$12,0)),"-")</f>
        <v>Kaos Polo</v>
      </c>
      <c r="F759">
        <v>2</v>
      </c>
      <c r="G759">
        <v>1</v>
      </c>
      <c r="H759" s="36">
        <f>IFERROR(INDEX(Katalog!$D$3:$D$12,MATCH(Data[[#This Row],[ItemID A]],Katalog!$C$3:$C$12,0))*Data[[#This Row],[Qty A]],"0")</f>
        <v>400000</v>
      </c>
      <c r="I759" s="36">
        <f>IFERROR(INDEX(Katalog!$F$3:$F$12,MATCH(Data[[#This Row],[ItemID A]],Katalog!$C$3:$C$12,0))*Data[[#This Row],[Qty A]],0)</f>
        <v>160000</v>
      </c>
      <c r="J759" t="s">
        <v>60</v>
      </c>
      <c r="K759" t="str">
        <f>IFERROR(INDEX(Katalog!$A$3:$A$12,MATCH(Data[[#This Row],[ItemID B]],Katalog!$C$3:$C$12,0)),"-")</f>
        <v>Pakaian Wanita</v>
      </c>
      <c r="L759" t="str">
        <f>IFERROR(INDEX(Katalog!$B$3:$B$12,MATCH(Data[[#This Row],[ItemID B]],Katalog!$C$3:$C$12,0)),"-")</f>
        <v>Kaftan</v>
      </c>
      <c r="M759">
        <v>1</v>
      </c>
      <c r="N759">
        <v>1</v>
      </c>
      <c r="O759" s="36">
        <f>IFERROR(INDEX(Katalog!$D$3:$D$12,MATCH(Data[[#This Row],[ItemID B]],Katalog!$C$3:$C$12,0))*Data[[#This Row],[Qty B]],"0")</f>
        <v>250000</v>
      </c>
      <c r="P759" s="36">
        <f>IFERROR(INDEX(Katalog!$F$3:$F$12,MATCH(Data[[#This Row],[ItemID B]],Katalog!$C$3:$C$12,0))*Data[[#This Row],[Qty B]],"0")</f>
        <v>100000</v>
      </c>
      <c r="Q759" t="s">
        <v>59</v>
      </c>
      <c r="R759" t="str">
        <f>IFERROR(INDEX(Katalog!$A$3:$A$12,MATCH(Data[[#This Row],[ItemID C]],Katalog!$C$3:$C$12,0)),"-")</f>
        <v>Pakaian Wanita</v>
      </c>
      <c r="S759" t="str">
        <f>IFERROR(INDEX(Katalog!$B$3:$B$12,MATCH(Data[[#This Row],[ItemID C]],Katalog!$C$3:$C$12,0)),"-")</f>
        <v>Blouse</v>
      </c>
      <c r="T759">
        <v>2</v>
      </c>
      <c r="U759">
        <v>1</v>
      </c>
      <c r="V759" s="36">
        <f>IFERROR(INDEX(Katalog!$D$3:$D$12,MATCH(Data[[#This Row],[ItemID C]],Katalog!$C$3:$C$12,0))*Data[[#This Row],[Qty C]],"0")</f>
        <v>300000</v>
      </c>
      <c r="W759" s="36">
        <f>IFERROR(INDEX(Katalog!$F$3:$F$12,MATCH(Data[[#This Row],[ItemID C]],Katalog!$C$3:$C$12,0))*Data[[#This Row],[Qty C]],"0")</f>
        <v>100000</v>
      </c>
      <c r="X759" s="21">
        <f>Data[[#This Row],[Qty A]]+Data[[#This Row],[Qty B]]+Data[[#This Row],[Qty C]]</f>
        <v>5</v>
      </c>
      <c r="Y759" s="22">
        <f>Data[[#This Row],[Harga Barang A]]+Data[[#This Row],[Harga Barang B]]+Data[[#This Row],[Harga Barang C]]</f>
        <v>950000</v>
      </c>
      <c r="Z759" s="35">
        <f>IFERROR(Data[[#This Row],[Total Harga]]-(Data[[#This Row],[Total Harga]]*Data[[#This Row],[Diskon]]),Data[[#This Row],[Total Harga]])</f>
        <v>807500</v>
      </c>
      <c r="AA759" s="35">
        <f>(Data[[#This Row],[Profit A]]+Data[[#This Row],[Profit B]]+Data[[#This Row],[Profit C]])</f>
        <v>360000</v>
      </c>
      <c r="AB759" s="35">
        <f>IFERROR((Data[[#This Row],[Profit non Diskon]]-(Data[[#This Row],[Profit non Diskon]]*Data[[#This Row],[Diskon]])),Data[[#This Row],[Profit non Diskon]])</f>
        <v>306000</v>
      </c>
      <c r="AC759" s="23" t="s">
        <v>32</v>
      </c>
      <c r="AD759" s="37">
        <f>IFERROR(INDEX('Kode Diskon'!$D$3:$D$9,MATCH(Data[[#This Row],[Kode diskon]],'Kode Diskon'!$C$3:$C$9,0)),"-")</f>
        <v>0.15</v>
      </c>
      <c r="AE759" s="23" t="s">
        <v>9</v>
      </c>
      <c r="AF759" s="23" t="s">
        <v>12</v>
      </c>
      <c r="AG759" s="23" t="s">
        <v>75</v>
      </c>
      <c r="AH759" s="24">
        <v>45033</v>
      </c>
      <c r="AI759" s="23" t="str">
        <f>TEXT(Data[[#This Row],[Tanggal terjual]],"dddd")</f>
        <v>Monday</v>
      </c>
      <c r="AJ759" s="21" t="str">
        <f>TEXT(Data[[#This Row],[Tanggal terjual]],"wwww")</f>
        <v>wwww</v>
      </c>
    </row>
    <row r="760" spans="1:36" x14ac:dyDescent="0.2">
      <c r="A760" s="20">
        <v>759</v>
      </c>
      <c r="B760" s="21" t="str">
        <f>_xlfn.CONCAT("ORD-",INDEX(Helper!$B$2:$B$5,MATCH(Data[[#This Row],[Marketplace]],Helper!$A$2:$A$5,0)),TEXT(Data[[#This Row],[No]],"0000"),"-",TEXT(Data[[#This Row],[Tanggal terjual]],"dd/mm/yy"))</f>
        <v>ORD-BL0759-16/04/23</v>
      </c>
      <c r="C760" t="s">
        <v>61</v>
      </c>
      <c r="D760" t="str">
        <f>IFERROR(INDEX(Katalog!$A$3:$A$12,MATCH(Data[[#This Row],[ItemID A]],Katalog!$C$3:$C$12,0)),"-")</f>
        <v>Pakaian Pria</v>
      </c>
      <c r="E760" t="str">
        <f>IFERROR(INDEX(Katalog!$B$3:$B$12,MATCH(Data[[#This Row],[ItemID A]],Katalog!$C$3:$C$12,0)),"-")</f>
        <v>Kaos Polo</v>
      </c>
      <c r="F760">
        <v>4</v>
      </c>
      <c r="G760">
        <v>5</v>
      </c>
      <c r="H760" s="36">
        <f>IFERROR(INDEX(Katalog!$D$3:$D$12,MATCH(Data[[#This Row],[ItemID A]],Katalog!$C$3:$C$12,0))*Data[[#This Row],[Qty A]],"0")</f>
        <v>800000</v>
      </c>
      <c r="I760" s="36">
        <f>IFERROR(INDEX(Katalog!$F$3:$F$12,MATCH(Data[[#This Row],[ItemID A]],Katalog!$C$3:$C$12,0))*Data[[#This Row],[Qty A]],0)</f>
        <v>320000</v>
      </c>
      <c r="K760" t="str">
        <f>IFERROR(INDEX(Katalog!$A$3:$A$12,MATCH(Data[[#This Row],[ItemID B]],Katalog!$C$3:$C$12,0)),"-")</f>
        <v>-</v>
      </c>
      <c r="L760" t="str">
        <f>IFERROR(INDEX(Katalog!$B$3:$B$12,MATCH(Data[[#This Row],[ItemID B]],Katalog!$C$3:$C$12,0)),"-")</f>
        <v>-</v>
      </c>
      <c r="O760" s="36" t="str">
        <f>IFERROR(INDEX(Katalog!$D$3:$D$12,MATCH(Data[[#This Row],[ItemID B]],Katalog!$C$3:$C$12,0))*Data[[#This Row],[Qty B]],"0")</f>
        <v>0</v>
      </c>
      <c r="P760" s="36" t="str">
        <f>IFERROR(INDEX(Katalog!$F$3:$F$12,MATCH(Data[[#This Row],[ItemID B]],Katalog!$C$3:$C$12,0))*Data[[#This Row],[Qty B]],"0")</f>
        <v>0</v>
      </c>
      <c r="R760" t="str">
        <f>IFERROR(INDEX(Katalog!$A$3:$A$12,MATCH(Data[[#This Row],[ItemID C]],Katalog!$C$3:$C$12,0)),"-")</f>
        <v>-</v>
      </c>
      <c r="S760" t="str">
        <f>IFERROR(INDEX(Katalog!$B$3:$B$12,MATCH(Data[[#This Row],[ItemID C]],Katalog!$C$3:$C$12,0)),"-")</f>
        <v>-</v>
      </c>
      <c r="V760" s="36" t="str">
        <f>IFERROR(INDEX(Katalog!$D$3:$D$12,MATCH(Data[[#This Row],[ItemID C]],Katalog!$C$3:$C$12,0))*Data[[#This Row],[Qty C]],"0")</f>
        <v>0</v>
      </c>
      <c r="W760" s="36" t="str">
        <f>IFERROR(INDEX(Katalog!$F$3:$F$12,MATCH(Data[[#This Row],[ItemID C]],Katalog!$C$3:$C$12,0))*Data[[#This Row],[Qty C]],"0")</f>
        <v>0</v>
      </c>
      <c r="X760" s="21">
        <f>Data[[#This Row],[Qty A]]+Data[[#This Row],[Qty B]]+Data[[#This Row],[Qty C]]</f>
        <v>4</v>
      </c>
      <c r="Y760" s="22">
        <f>Data[[#This Row],[Harga Barang A]]+Data[[#This Row],[Harga Barang B]]+Data[[#This Row],[Harga Barang C]]</f>
        <v>800000</v>
      </c>
      <c r="Z760" s="35">
        <f>IFERROR(Data[[#This Row],[Total Harga]]-(Data[[#This Row],[Total Harga]]*Data[[#This Row],[Diskon]]),Data[[#This Row],[Total Harga]])</f>
        <v>680000</v>
      </c>
      <c r="AA760" s="35">
        <f>(Data[[#This Row],[Profit A]]+Data[[#This Row],[Profit B]]+Data[[#This Row],[Profit C]])</f>
        <v>320000</v>
      </c>
      <c r="AB760" s="35">
        <f>IFERROR((Data[[#This Row],[Profit non Diskon]]-(Data[[#This Row],[Profit non Diskon]]*Data[[#This Row],[Diskon]])),Data[[#This Row],[Profit non Diskon]])</f>
        <v>272000</v>
      </c>
      <c r="AC760" s="23" t="s">
        <v>32</v>
      </c>
      <c r="AD760" s="37">
        <f>IFERROR(INDEX('Kode Diskon'!$D$3:$D$9,MATCH(Data[[#This Row],[Kode diskon]],'Kode Diskon'!$C$3:$C$9,0)),"-")</f>
        <v>0.15</v>
      </c>
      <c r="AE760" s="23" t="s">
        <v>9</v>
      </c>
      <c r="AF760" s="23" t="s">
        <v>12</v>
      </c>
      <c r="AG760" s="23" t="s">
        <v>76</v>
      </c>
      <c r="AH760" s="24">
        <v>45032</v>
      </c>
      <c r="AI760" s="23" t="str">
        <f>TEXT(Data[[#This Row],[Tanggal terjual]],"dddd")</f>
        <v>Sunday</v>
      </c>
      <c r="AJ760" s="21" t="str">
        <f>TEXT(Data[[#This Row],[Tanggal terjual]],"wwww")</f>
        <v>wwww</v>
      </c>
    </row>
    <row r="761" spans="1:36" x14ac:dyDescent="0.2">
      <c r="A761" s="20">
        <v>760</v>
      </c>
      <c r="B761" s="21" t="str">
        <f>_xlfn.CONCAT("ORD-",INDEX(Helper!$B$2:$B$5,MATCH(Data[[#This Row],[Marketplace]],Helper!$A$2:$A$5,0)),TEXT(Data[[#This Row],[No]],"0000"),"-",TEXT(Data[[#This Row],[Tanggal terjual]],"dd/mm/yy"))</f>
        <v>ORD-SP0760-03/04/23</v>
      </c>
      <c r="C761" t="s">
        <v>59</v>
      </c>
      <c r="D761" t="str">
        <f>IFERROR(INDEX(Katalog!$A$3:$A$12,MATCH(Data[[#This Row],[ItemID A]],Katalog!$C$3:$C$12,0)),"-")</f>
        <v>Pakaian Wanita</v>
      </c>
      <c r="E761" t="str">
        <f>IFERROR(INDEX(Katalog!$B$3:$B$12,MATCH(Data[[#This Row],[ItemID A]],Katalog!$C$3:$C$12,0)),"-")</f>
        <v>Blouse</v>
      </c>
      <c r="F761">
        <v>2</v>
      </c>
      <c r="G761">
        <v>3</v>
      </c>
      <c r="H761" s="36">
        <f>IFERROR(INDEX(Katalog!$D$3:$D$12,MATCH(Data[[#This Row],[ItemID A]],Katalog!$C$3:$C$12,0))*Data[[#This Row],[Qty A]],"0")</f>
        <v>300000</v>
      </c>
      <c r="I761" s="36">
        <f>IFERROR(INDEX(Katalog!$F$3:$F$12,MATCH(Data[[#This Row],[ItemID A]],Katalog!$C$3:$C$12,0))*Data[[#This Row],[Qty A]],0)</f>
        <v>100000</v>
      </c>
      <c r="J761" t="s">
        <v>62</v>
      </c>
      <c r="K761" t="str">
        <f>IFERROR(INDEX(Katalog!$A$3:$A$12,MATCH(Data[[#This Row],[ItemID B]],Katalog!$C$3:$C$12,0)),"-")</f>
        <v>Pakaian Pria</v>
      </c>
      <c r="L761" t="str">
        <f>IFERROR(INDEX(Katalog!$B$3:$B$12,MATCH(Data[[#This Row],[ItemID B]],Katalog!$C$3:$C$12,0)),"-")</f>
        <v>Celana Pendek</v>
      </c>
      <c r="M761">
        <v>1</v>
      </c>
      <c r="N761">
        <v>5</v>
      </c>
      <c r="O761" s="36">
        <f>IFERROR(INDEX(Katalog!$D$3:$D$12,MATCH(Data[[#This Row],[ItemID B]],Katalog!$C$3:$C$12,0))*Data[[#This Row],[Qty B]],"0")</f>
        <v>180000</v>
      </c>
      <c r="P761" s="36">
        <f>IFERROR(INDEX(Katalog!$F$3:$F$12,MATCH(Data[[#This Row],[ItemID B]],Katalog!$C$3:$C$12,0))*Data[[#This Row],[Qty B]],"0")</f>
        <v>70000</v>
      </c>
      <c r="R761" t="str">
        <f>IFERROR(INDEX(Katalog!$A$3:$A$12,MATCH(Data[[#This Row],[ItemID C]],Katalog!$C$3:$C$12,0)),"-")</f>
        <v>-</v>
      </c>
      <c r="S761" t="str">
        <f>IFERROR(INDEX(Katalog!$B$3:$B$12,MATCH(Data[[#This Row],[ItemID C]],Katalog!$C$3:$C$12,0)),"-")</f>
        <v>-</v>
      </c>
      <c r="V761" s="36" t="str">
        <f>IFERROR(INDEX(Katalog!$D$3:$D$12,MATCH(Data[[#This Row],[ItemID C]],Katalog!$C$3:$C$12,0))*Data[[#This Row],[Qty C]],"0")</f>
        <v>0</v>
      </c>
      <c r="W761" s="36" t="str">
        <f>IFERROR(INDEX(Katalog!$F$3:$F$12,MATCH(Data[[#This Row],[ItemID C]],Katalog!$C$3:$C$12,0))*Data[[#This Row],[Qty C]],"0")</f>
        <v>0</v>
      </c>
      <c r="X761" s="21">
        <f>Data[[#This Row],[Qty A]]+Data[[#This Row],[Qty B]]+Data[[#This Row],[Qty C]]</f>
        <v>3</v>
      </c>
      <c r="Y761" s="22">
        <f>Data[[#This Row],[Harga Barang A]]+Data[[#This Row],[Harga Barang B]]+Data[[#This Row],[Harga Barang C]]</f>
        <v>480000</v>
      </c>
      <c r="Z761" s="35">
        <f>IFERROR(Data[[#This Row],[Total Harga]]-(Data[[#This Row],[Total Harga]]*Data[[#This Row],[Diskon]]),Data[[#This Row],[Total Harga]])</f>
        <v>408000</v>
      </c>
      <c r="AA761" s="35">
        <f>(Data[[#This Row],[Profit A]]+Data[[#This Row],[Profit B]]+Data[[#This Row],[Profit C]])</f>
        <v>170000</v>
      </c>
      <c r="AB761" s="35">
        <f>IFERROR((Data[[#This Row],[Profit non Diskon]]-(Data[[#This Row],[Profit non Diskon]]*Data[[#This Row],[Diskon]])),Data[[#This Row],[Profit non Diskon]])</f>
        <v>144500</v>
      </c>
      <c r="AC761" s="23" t="s">
        <v>13</v>
      </c>
      <c r="AD761" s="37">
        <f>IFERROR(INDEX('Kode Diskon'!$D$3:$D$9,MATCH(Data[[#This Row],[Kode diskon]],'Kode Diskon'!$C$3:$C$9,0)),"-")</f>
        <v>0.15</v>
      </c>
      <c r="AE761" s="23" t="s">
        <v>29</v>
      </c>
      <c r="AF761" s="23" t="s">
        <v>7</v>
      </c>
      <c r="AG761" s="23" t="s">
        <v>76</v>
      </c>
      <c r="AH761" s="24">
        <v>45019</v>
      </c>
      <c r="AI761" s="23" t="str">
        <f>TEXT(Data[[#This Row],[Tanggal terjual]],"dddd")</f>
        <v>Monday</v>
      </c>
      <c r="AJ761" s="21" t="str">
        <f>TEXT(Data[[#This Row],[Tanggal terjual]],"wwww")</f>
        <v>wwww</v>
      </c>
    </row>
    <row r="762" spans="1:36" x14ac:dyDescent="0.2">
      <c r="A762" s="20">
        <v>761</v>
      </c>
      <c r="B762" s="21" t="str">
        <f>_xlfn.CONCAT("ORD-",INDEX(Helper!$B$2:$B$5,MATCH(Data[[#This Row],[Marketplace]],Helper!$A$2:$A$5,0)),TEXT(Data[[#This Row],[No]],"0000"),"-",TEXT(Data[[#This Row],[Tanggal terjual]],"dd/mm/yy"))</f>
        <v>ORD-BB0761-04/04/23</v>
      </c>
      <c r="C762" t="s">
        <v>67</v>
      </c>
      <c r="D762" t="str">
        <f>IFERROR(INDEX(Katalog!$A$3:$A$12,MATCH(Data[[#This Row],[ItemID A]],Katalog!$C$3:$C$12,0)),"-")</f>
        <v>Sepatu Wanita</v>
      </c>
      <c r="E762" t="str">
        <f>IFERROR(INDEX(Katalog!$B$3:$B$12,MATCH(Data[[#This Row],[ItemID A]],Katalog!$C$3:$C$12,0)),"-")</f>
        <v>Flat Shoes</v>
      </c>
      <c r="F762">
        <v>1</v>
      </c>
      <c r="G762">
        <v>5</v>
      </c>
      <c r="H762" s="36">
        <f>IFERROR(INDEX(Katalog!$D$3:$D$12,MATCH(Data[[#This Row],[ItemID A]],Katalog!$C$3:$C$12,0))*Data[[#This Row],[Qty A]],"0")</f>
        <v>250000</v>
      </c>
      <c r="I762" s="36">
        <f>IFERROR(INDEX(Katalog!$F$3:$F$12,MATCH(Data[[#This Row],[ItemID A]],Katalog!$C$3:$C$12,0))*Data[[#This Row],[Qty A]],0)</f>
        <v>100000</v>
      </c>
      <c r="J762" t="s">
        <v>65</v>
      </c>
      <c r="K762" t="str">
        <f>IFERROR(INDEX(Katalog!$A$3:$A$12,MATCH(Data[[#This Row],[ItemID B]],Katalog!$C$3:$C$12,0)),"-")</f>
        <v>Sepatu Pria</v>
      </c>
      <c r="L762" t="str">
        <f>IFERROR(INDEX(Katalog!$B$3:$B$12,MATCH(Data[[#This Row],[ItemID B]],Katalog!$C$3:$C$12,0)),"-")</f>
        <v>Sneakers</v>
      </c>
      <c r="M762">
        <v>1</v>
      </c>
      <c r="N762">
        <v>3</v>
      </c>
      <c r="O762" s="36">
        <f>IFERROR(INDEX(Katalog!$D$3:$D$12,MATCH(Data[[#This Row],[ItemID B]],Katalog!$C$3:$C$12,0))*Data[[#This Row],[Qty B]],"0")</f>
        <v>500000</v>
      </c>
      <c r="P762" s="36">
        <f>IFERROR(INDEX(Katalog!$F$3:$F$12,MATCH(Data[[#This Row],[ItemID B]],Katalog!$C$3:$C$12,0))*Data[[#This Row],[Qty B]],"0")</f>
        <v>200000</v>
      </c>
      <c r="R762" t="str">
        <f>IFERROR(INDEX(Katalog!$A$3:$A$12,MATCH(Data[[#This Row],[ItemID C]],Katalog!$C$3:$C$12,0)),"-")</f>
        <v>-</v>
      </c>
      <c r="S762" t="str">
        <f>IFERROR(INDEX(Katalog!$B$3:$B$12,MATCH(Data[[#This Row],[ItemID C]],Katalog!$C$3:$C$12,0)),"-")</f>
        <v>-</v>
      </c>
      <c r="V762" s="36" t="str">
        <f>IFERROR(INDEX(Katalog!$D$3:$D$12,MATCH(Data[[#This Row],[ItemID C]],Katalog!$C$3:$C$12,0))*Data[[#This Row],[Qty C]],"0")</f>
        <v>0</v>
      </c>
      <c r="W762" s="36" t="str">
        <f>IFERROR(INDEX(Katalog!$F$3:$F$12,MATCH(Data[[#This Row],[ItemID C]],Katalog!$C$3:$C$12,0))*Data[[#This Row],[Qty C]],"0")</f>
        <v>0</v>
      </c>
      <c r="X762" s="21">
        <f>Data[[#This Row],[Qty A]]+Data[[#This Row],[Qty B]]+Data[[#This Row],[Qty C]]</f>
        <v>2</v>
      </c>
      <c r="Y762" s="22">
        <f>Data[[#This Row],[Harga Barang A]]+Data[[#This Row],[Harga Barang B]]+Data[[#This Row],[Harga Barang C]]</f>
        <v>750000</v>
      </c>
      <c r="Z762" s="35">
        <f>IFERROR(Data[[#This Row],[Total Harga]]-(Data[[#This Row],[Total Harga]]*Data[[#This Row],[Diskon]]),Data[[#This Row],[Total Harga]])</f>
        <v>637500</v>
      </c>
      <c r="AA762" s="35">
        <f>(Data[[#This Row],[Profit A]]+Data[[#This Row],[Profit B]]+Data[[#This Row],[Profit C]])</f>
        <v>300000</v>
      </c>
      <c r="AB762" s="35">
        <f>IFERROR((Data[[#This Row],[Profit non Diskon]]-(Data[[#This Row],[Profit non Diskon]]*Data[[#This Row],[Diskon]])),Data[[#This Row],[Profit non Diskon]])</f>
        <v>255000</v>
      </c>
      <c r="AC762" s="23" t="s">
        <v>28</v>
      </c>
      <c r="AD762" s="37">
        <f>IFERROR(INDEX('Kode Diskon'!$D$3:$D$9,MATCH(Data[[#This Row],[Kode diskon]],'Kode Diskon'!$C$3:$C$9,0)),"-")</f>
        <v>0.15</v>
      </c>
      <c r="AE762" s="23" t="s">
        <v>29</v>
      </c>
      <c r="AF762" s="23" t="s">
        <v>14</v>
      </c>
      <c r="AG762" s="23" t="s">
        <v>78</v>
      </c>
      <c r="AH762" s="24">
        <v>45020</v>
      </c>
      <c r="AI762" s="23" t="str">
        <f>TEXT(Data[[#This Row],[Tanggal terjual]],"dddd")</f>
        <v>Tuesday</v>
      </c>
      <c r="AJ762" s="21" t="str">
        <f>TEXT(Data[[#This Row],[Tanggal terjual]],"wwww")</f>
        <v>wwww</v>
      </c>
    </row>
    <row r="763" spans="1:36" x14ac:dyDescent="0.2">
      <c r="A763" s="20">
        <v>762</v>
      </c>
      <c r="B763" s="21" t="str">
        <f>_xlfn.CONCAT("ORD-",INDEX(Helper!$B$2:$B$5,MATCH(Data[[#This Row],[Marketplace]],Helper!$A$2:$A$5,0)),TEXT(Data[[#This Row],[No]],"0000"),"-",TEXT(Data[[#This Row],[Tanggal terjual]],"dd/mm/yy"))</f>
        <v>ORD-TK0762-13/04/23</v>
      </c>
      <c r="C763" t="s">
        <v>66</v>
      </c>
      <c r="D763" t="str">
        <f>IFERROR(INDEX(Katalog!$A$3:$A$12,MATCH(Data[[#This Row],[ItemID A]],Katalog!$C$3:$C$12,0)),"-")</f>
        <v>Sepatu Pria</v>
      </c>
      <c r="E763" t="str">
        <f>IFERROR(INDEX(Katalog!$B$3:$B$12,MATCH(Data[[#This Row],[ItemID A]],Katalog!$C$3:$C$12,0)),"-")</f>
        <v>Sandal Slip On</v>
      </c>
      <c r="F763">
        <v>2</v>
      </c>
      <c r="G763">
        <v>1</v>
      </c>
      <c r="H763" s="36">
        <f>IFERROR(INDEX(Katalog!$D$3:$D$12,MATCH(Data[[#This Row],[ItemID A]],Katalog!$C$3:$C$12,0))*Data[[#This Row],[Qty A]],"0")</f>
        <v>300000</v>
      </c>
      <c r="I763" s="36">
        <f>IFERROR(INDEX(Katalog!$F$3:$F$12,MATCH(Data[[#This Row],[ItemID A]],Katalog!$C$3:$C$12,0))*Data[[#This Row],[Qty A]],0)</f>
        <v>120000</v>
      </c>
      <c r="K763" t="str">
        <f>IFERROR(INDEX(Katalog!$A$3:$A$12,MATCH(Data[[#This Row],[ItemID B]],Katalog!$C$3:$C$12,0)),"-")</f>
        <v>-</v>
      </c>
      <c r="L763" t="str">
        <f>IFERROR(INDEX(Katalog!$B$3:$B$12,MATCH(Data[[#This Row],[ItemID B]],Katalog!$C$3:$C$12,0)),"-")</f>
        <v>-</v>
      </c>
      <c r="O763" s="36" t="str">
        <f>IFERROR(INDEX(Katalog!$D$3:$D$12,MATCH(Data[[#This Row],[ItemID B]],Katalog!$C$3:$C$12,0))*Data[[#This Row],[Qty B]],"0")</f>
        <v>0</v>
      </c>
      <c r="P763" s="36" t="str">
        <f>IFERROR(INDEX(Katalog!$F$3:$F$12,MATCH(Data[[#This Row],[ItemID B]],Katalog!$C$3:$C$12,0))*Data[[#This Row],[Qty B]],"0")</f>
        <v>0</v>
      </c>
      <c r="R763" t="str">
        <f>IFERROR(INDEX(Katalog!$A$3:$A$12,MATCH(Data[[#This Row],[ItemID C]],Katalog!$C$3:$C$12,0)),"-")</f>
        <v>-</v>
      </c>
      <c r="S763" t="str">
        <f>IFERROR(INDEX(Katalog!$B$3:$B$12,MATCH(Data[[#This Row],[ItemID C]],Katalog!$C$3:$C$12,0)),"-")</f>
        <v>-</v>
      </c>
      <c r="V763" s="36" t="str">
        <f>IFERROR(INDEX(Katalog!$D$3:$D$12,MATCH(Data[[#This Row],[ItemID C]],Katalog!$C$3:$C$12,0))*Data[[#This Row],[Qty C]],"0")</f>
        <v>0</v>
      </c>
      <c r="W763" s="36" t="str">
        <f>IFERROR(INDEX(Katalog!$F$3:$F$12,MATCH(Data[[#This Row],[ItemID C]],Katalog!$C$3:$C$12,0))*Data[[#This Row],[Qty C]],"0")</f>
        <v>0</v>
      </c>
      <c r="X763" s="21">
        <f>Data[[#This Row],[Qty A]]+Data[[#This Row],[Qty B]]+Data[[#This Row],[Qty C]]</f>
        <v>2</v>
      </c>
      <c r="Y763" s="22">
        <f>Data[[#This Row],[Harga Barang A]]+Data[[#This Row],[Harga Barang B]]+Data[[#This Row],[Harga Barang C]]</f>
        <v>300000</v>
      </c>
      <c r="Z763" s="35">
        <f>IFERROR(Data[[#This Row],[Total Harga]]-(Data[[#This Row],[Total Harga]]*Data[[#This Row],[Diskon]]),Data[[#This Row],[Total Harga]])</f>
        <v>300000</v>
      </c>
      <c r="AA763" s="35">
        <f>(Data[[#This Row],[Profit A]]+Data[[#This Row],[Profit B]]+Data[[#This Row],[Profit C]])</f>
        <v>120000</v>
      </c>
      <c r="AB763" s="35">
        <f>IFERROR((Data[[#This Row],[Profit non Diskon]]-(Data[[#This Row],[Profit non Diskon]]*Data[[#This Row],[Diskon]])),Data[[#This Row],[Profit non Diskon]])</f>
        <v>120000</v>
      </c>
      <c r="AC763" s="23" t="s">
        <v>11</v>
      </c>
      <c r="AD763" s="37" t="str">
        <f>IFERROR(INDEX('Kode Diskon'!$D$3:$D$9,MATCH(Data[[#This Row],[Kode diskon]],'Kode Diskon'!$C$3:$C$9,0)),"-")</f>
        <v>-</v>
      </c>
      <c r="AE763" s="23" t="s">
        <v>11</v>
      </c>
      <c r="AF763" s="23" t="s">
        <v>10</v>
      </c>
      <c r="AG763" s="23" t="s">
        <v>75</v>
      </c>
      <c r="AH763" s="24">
        <v>45029</v>
      </c>
      <c r="AI763" s="23" t="str">
        <f>TEXT(Data[[#This Row],[Tanggal terjual]],"dddd")</f>
        <v>Thursday</v>
      </c>
      <c r="AJ763" s="21" t="str">
        <f>TEXT(Data[[#This Row],[Tanggal terjual]],"wwww")</f>
        <v>wwww</v>
      </c>
    </row>
    <row r="764" spans="1:36" x14ac:dyDescent="0.2">
      <c r="A764" s="20">
        <v>763</v>
      </c>
      <c r="B764" s="21" t="str">
        <f>_xlfn.CONCAT("ORD-",INDEX(Helper!$B$2:$B$5,MATCH(Data[[#This Row],[Marketplace]],Helper!$A$2:$A$5,0)),TEXT(Data[[#This Row],[No]],"0000"),"-",TEXT(Data[[#This Row],[Tanggal terjual]],"dd/mm/yy"))</f>
        <v>ORD-TK0763-25/04/23</v>
      </c>
      <c r="C764" t="s">
        <v>61</v>
      </c>
      <c r="D764" t="str">
        <f>IFERROR(INDEX(Katalog!$A$3:$A$12,MATCH(Data[[#This Row],[ItemID A]],Katalog!$C$3:$C$12,0)),"-")</f>
        <v>Pakaian Pria</v>
      </c>
      <c r="E764" t="str">
        <f>IFERROR(INDEX(Katalog!$B$3:$B$12,MATCH(Data[[#This Row],[ItemID A]],Katalog!$C$3:$C$12,0)),"-")</f>
        <v>Kaos Polo</v>
      </c>
      <c r="F764">
        <v>3</v>
      </c>
      <c r="G764">
        <v>1</v>
      </c>
      <c r="H764" s="36">
        <f>IFERROR(INDEX(Katalog!$D$3:$D$12,MATCH(Data[[#This Row],[ItemID A]],Katalog!$C$3:$C$12,0))*Data[[#This Row],[Qty A]],"0")</f>
        <v>600000</v>
      </c>
      <c r="I764" s="36">
        <f>IFERROR(INDEX(Katalog!$F$3:$F$12,MATCH(Data[[#This Row],[ItemID A]],Katalog!$C$3:$C$12,0))*Data[[#This Row],[Qty A]],0)</f>
        <v>240000</v>
      </c>
      <c r="J764" t="s">
        <v>60</v>
      </c>
      <c r="K764" t="str">
        <f>IFERROR(INDEX(Katalog!$A$3:$A$12,MATCH(Data[[#This Row],[ItemID B]],Katalog!$C$3:$C$12,0)),"-")</f>
        <v>Pakaian Wanita</v>
      </c>
      <c r="L764" t="str">
        <f>IFERROR(INDEX(Katalog!$B$3:$B$12,MATCH(Data[[#This Row],[ItemID B]],Katalog!$C$3:$C$12,0)),"-")</f>
        <v>Kaftan</v>
      </c>
      <c r="M764">
        <v>1</v>
      </c>
      <c r="N764">
        <v>4</v>
      </c>
      <c r="O764" s="36">
        <f>IFERROR(INDEX(Katalog!$D$3:$D$12,MATCH(Data[[#This Row],[ItemID B]],Katalog!$C$3:$C$12,0))*Data[[#This Row],[Qty B]],"0")</f>
        <v>250000</v>
      </c>
      <c r="P764" s="36">
        <f>IFERROR(INDEX(Katalog!$F$3:$F$12,MATCH(Data[[#This Row],[ItemID B]],Katalog!$C$3:$C$12,0))*Data[[#This Row],[Qty B]],"0")</f>
        <v>100000</v>
      </c>
      <c r="R764" t="str">
        <f>IFERROR(INDEX(Katalog!$A$3:$A$12,MATCH(Data[[#This Row],[ItemID C]],Katalog!$C$3:$C$12,0)),"-")</f>
        <v>-</v>
      </c>
      <c r="S764" t="str">
        <f>IFERROR(INDEX(Katalog!$B$3:$B$12,MATCH(Data[[#This Row],[ItemID C]],Katalog!$C$3:$C$12,0)),"-")</f>
        <v>-</v>
      </c>
      <c r="V764" s="36" t="str">
        <f>IFERROR(INDEX(Katalog!$D$3:$D$12,MATCH(Data[[#This Row],[ItemID C]],Katalog!$C$3:$C$12,0))*Data[[#This Row],[Qty C]],"0")</f>
        <v>0</v>
      </c>
      <c r="W764" s="36" t="str">
        <f>IFERROR(INDEX(Katalog!$F$3:$F$12,MATCH(Data[[#This Row],[ItemID C]],Katalog!$C$3:$C$12,0))*Data[[#This Row],[Qty C]],"0")</f>
        <v>0</v>
      </c>
      <c r="X764" s="21">
        <f>Data[[#This Row],[Qty A]]+Data[[#This Row],[Qty B]]+Data[[#This Row],[Qty C]]</f>
        <v>4</v>
      </c>
      <c r="Y764" s="22">
        <f>Data[[#This Row],[Harga Barang A]]+Data[[#This Row],[Harga Barang B]]+Data[[#This Row],[Harga Barang C]]</f>
        <v>850000</v>
      </c>
      <c r="Z764" s="35">
        <f>IFERROR(Data[[#This Row],[Total Harga]]-(Data[[#This Row],[Total Harga]]*Data[[#This Row],[Diskon]]),Data[[#This Row],[Total Harga]])</f>
        <v>765000</v>
      </c>
      <c r="AA764" s="35">
        <f>(Data[[#This Row],[Profit A]]+Data[[#This Row],[Profit B]]+Data[[#This Row],[Profit C]])</f>
        <v>340000</v>
      </c>
      <c r="AB764" s="35">
        <f>IFERROR((Data[[#This Row],[Profit non Diskon]]-(Data[[#This Row],[Profit non Diskon]]*Data[[#This Row],[Diskon]])),Data[[#This Row],[Profit non Diskon]])</f>
        <v>306000</v>
      </c>
      <c r="AC764" s="23" t="s">
        <v>31</v>
      </c>
      <c r="AD764" s="37">
        <f>IFERROR(INDEX('Kode Diskon'!$D$3:$D$9,MATCH(Data[[#This Row],[Kode diskon]],'Kode Diskon'!$C$3:$C$9,0)),"-")</f>
        <v>0.1</v>
      </c>
      <c r="AE764" s="23" t="s">
        <v>9</v>
      </c>
      <c r="AF764" s="23" t="s">
        <v>10</v>
      </c>
      <c r="AG764" s="23" t="s">
        <v>75</v>
      </c>
      <c r="AH764" s="24">
        <v>45041</v>
      </c>
      <c r="AI764" s="23" t="str">
        <f>TEXT(Data[[#This Row],[Tanggal terjual]],"dddd")</f>
        <v>Tuesday</v>
      </c>
      <c r="AJ764" s="21" t="str">
        <f>TEXT(Data[[#This Row],[Tanggal terjual]],"wwww")</f>
        <v>wwww</v>
      </c>
    </row>
    <row r="765" spans="1:36" x14ac:dyDescent="0.2">
      <c r="A765" s="20">
        <v>764</v>
      </c>
      <c r="B765" s="21" t="str">
        <f>_xlfn.CONCAT("ORD-",INDEX(Helper!$B$2:$B$5,MATCH(Data[[#This Row],[Marketplace]],Helper!$A$2:$A$5,0)),TEXT(Data[[#This Row],[No]],"0000"),"-",TEXT(Data[[#This Row],[Tanggal terjual]],"dd/mm/yy"))</f>
        <v>ORD-BL0764-21/04/23</v>
      </c>
      <c r="C765" t="s">
        <v>61</v>
      </c>
      <c r="D765" t="str">
        <f>IFERROR(INDEX(Katalog!$A$3:$A$12,MATCH(Data[[#This Row],[ItemID A]],Katalog!$C$3:$C$12,0)),"-")</f>
        <v>Pakaian Pria</v>
      </c>
      <c r="E765" t="str">
        <f>IFERROR(INDEX(Katalog!$B$3:$B$12,MATCH(Data[[#This Row],[ItemID A]],Katalog!$C$3:$C$12,0)),"-")</f>
        <v>Kaos Polo</v>
      </c>
      <c r="F765">
        <v>5</v>
      </c>
      <c r="G765">
        <v>4</v>
      </c>
      <c r="H765" s="36">
        <f>IFERROR(INDEX(Katalog!$D$3:$D$12,MATCH(Data[[#This Row],[ItemID A]],Katalog!$C$3:$C$12,0))*Data[[#This Row],[Qty A]],"0")</f>
        <v>1000000</v>
      </c>
      <c r="I765" s="36">
        <f>IFERROR(INDEX(Katalog!$F$3:$F$12,MATCH(Data[[#This Row],[ItemID A]],Katalog!$C$3:$C$12,0))*Data[[#This Row],[Qty A]],0)</f>
        <v>400000</v>
      </c>
      <c r="K765" t="str">
        <f>IFERROR(INDEX(Katalog!$A$3:$A$12,MATCH(Data[[#This Row],[ItemID B]],Katalog!$C$3:$C$12,0)),"-")</f>
        <v>-</v>
      </c>
      <c r="L765" t="str">
        <f>IFERROR(INDEX(Katalog!$B$3:$B$12,MATCH(Data[[#This Row],[ItemID B]],Katalog!$C$3:$C$12,0)),"-")</f>
        <v>-</v>
      </c>
      <c r="O765" s="36" t="str">
        <f>IFERROR(INDEX(Katalog!$D$3:$D$12,MATCH(Data[[#This Row],[ItemID B]],Katalog!$C$3:$C$12,0))*Data[[#This Row],[Qty B]],"0")</f>
        <v>0</v>
      </c>
      <c r="P765" s="36" t="str">
        <f>IFERROR(INDEX(Katalog!$F$3:$F$12,MATCH(Data[[#This Row],[ItemID B]],Katalog!$C$3:$C$12,0))*Data[[#This Row],[Qty B]],"0")</f>
        <v>0</v>
      </c>
      <c r="R765" t="str">
        <f>IFERROR(INDEX(Katalog!$A$3:$A$12,MATCH(Data[[#This Row],[ItemID C]],Katalog!$C$3:$C$12,0)),"-")</f>
        <v>-</v>
      </c>
      <c r="S765" t="str">
        <f>IFERROR(INDEX(Katalog!$B$3:$B$12,MATCH(Data[[#This Row],[ItemID C]],Katalog!$C$3:$C$12,0)),"-")</f>
        <v>-</v>
      </c>
      <c r="V765" s="36" t="str">
        <f>IFERROR(INDEX(Katalog!$D$3:$D$12,MATCH(Data[[#This Row],[ItemID C]],Katalog!$C$3:$C$12,0))*Data[[#This Row],[Qty C]],"0")</f>
        <v>0</v>
      </c>
      <c r="W765" s="36" t="str">
        <f>IFERROR(INDEX(Katalog!$F$3:$F$12,MATCH(Data[[#This Row],[ItemID C]],Katalog!$C$3:$C$12,0))*Data[[#This Row],[Qty C]],"0")</f>
        <v>0</v>
      </c>
      <c r="X765" s="21">
        <f>Data[[#This Row],[Qty A]]+Data[[#This Row],[Qty B]]+Data[[#This Row],[Qty C]]</f>
        <v>5</v>
      </c>
      <c r="Y765" s="22">
        <f>Data[[#This Row],[Harga Barang A]]+Data[[#This Row],[Harga Barang B]]+Data[[#This Row],[Harga Barang C]]</f>
        <v>1000000</v>
      </c>
      <c r="Z765" s="35">
        <f>IFERROR(Data[[#This Row],[Total Harga]]-(Data[[#This Row],[Total Harga]]*Data[[#This Row],[Diskon]]),Data[[#This Row],[Total Harga]])</f>
        <v>850000</v>
      </c>
      <c r="AA765" s="35">
        <f>(Data[[#This Row],[Profit A]]+Data[[#This Row],[Profit B]]+Data[[#This Row],[Profit C]])</f>
        <v>400000</v>
      </c>
      <c r="AB765" s="35">
        <f>IFERROR((Data[[#This Row],[Profit non Diskon]]-(Data[[#This Row],[Profit non Diskon]]*Data[[#This Row],[Diskon]])),Data[[#This Row],[Profit non Diskon]])</f>
        <v>340000</v>
      </c>
      <c r="AC765" s="23" t="s">
        <v>32</v>
      </c>
      <c r="AD765" s="37">
        <f>IFERROR(INDEX('Kode Diskon'!$D$3:$D$9,MATCH(Data[[#This Row],[Kode diskon]],'Kode Diskon'!$C$3:$C$9,0)),"-")</f>
        <v>0.15</v>
      </c>
      <c r="AE765" s="23" t="s">
        <v>9</v>
      </c>
      <c r="AF765" s="23" t="s">
        <v>12</v>
      </c>
      <c r="AG765" s="23" t="s">
        <v>80</v>
      </c>
      <c r="AH765" s="24">
        <v>45037</v>
      </c>
      <c r="AI765" s="23" t="str">
        <f>TEXT(Data[[#This Row],[Tanggal terjual]],"dddd")</f>
        <v>Friday</v>
      </c>
      <c r="AJ765" s="21" t="str">
        <f>TEXT(Data[[#This Row],[Tanggal terjual]],"wwww")</f>
        <v>wwww</v>
      </c>
    </row>
    <row r="766" spans="1:36" x14ac:dyDescent="0.2">
      <c r="A766" s="20">
        <v>765</v>
      </c>
      <c r="B766" s="21" t="str">
        <f>_xlfn.CONCAT("ORD-",INDEX(Helper!$B$2:$B$5,MATCH(Data[[#This Row],[Marketplace]],Helper!$A$2:$A$5,0)),TEXT(Data[[#This Row],[No]],"0000"),"-",TEXT(Data[[#This Row],[Tanggal terjual]],"dd/mm/yy"))</f>
        <v>ORD-SP0765-29/04/23</v>
      </c>
      <c r="C766" t="s">
        <v>61</v>
      </c>
      <c r="D766" t="str">
        <f>IFERROR(INDEX(Katalog!$A$3:$A$12,MATCH(Data[[#This Row],[ItemID A]],Katalog!$C$3:$C$12,0)),"-")</f>
        <v>Pakaian Pria</v>
      </c>
      <c r="E766" t="str">
        <f>IFERROR(INDEX(Katalog!$B$3:$B$12,MATCH(Data[[#This Row],[ItemID A]],Katalog!$C$3:$C$12,0)),"-")</f>
        <v>Kaos Polo</v>
      </c>
      <c r="F766">
        <v>4</v>
      </c>
      <c r="G766">
        <v>1</v>
      </c>
      <c r="H766" s="36">
        <f>IFERROR(INDEX(Katalog!$D$3:$D$12,MATCH(Data[[#This Row],[ItemID A]],Katalog!$C$3:$C$12,0))*Data[[#This Row],[Qty A]],"0")</f>
        <v>800000</v>
      </c>
      <c r="I766" s="36">
        <f>IFERROR(INDEX(Katalog!$F$3:$F$12,MATCH(Data[[#This Row],[ItemID A]],Katalog!$C$3:$C$12,0))*Data[[#This Row],[Qty A]],0)</f>
        <v>320000</v>
      </c>
      <c r="J766" t="s">
        <v>62</v>
      </c>
      <c r="K766" t="str">
        <f>IFERROR(INDEX(Katalog!$A$3:$A$12,MATCH(Data[[#This Row],[ItemID B]],Katalog!$C$3:$C$12,0)),"-")</f>
        <v>Pakaian Pria</v>
      </c>
      <c r="L766" t="str">
        <f>IFERROR(INDEX(Katalog!$B$3:$B$12,MATCH(Data[[#This Row],[ItemID B]],Katalog!$C$3:$C$12,0)),"-")</f>
        <v>Celana Pendek</v>
      </c>
      <c r="M766">
        <v>1</v>
      </c>
      <c r="N766">
        <v>4</v>
      </c>
      <c r="O766" s="36">
        <f>IFERROR(INDEX(Katalog!$D$3:$D$12,MATCH(Data[[#This Row],[ItemID B]],Katalog!$C$3:$C$12,0))*Data[[#This Row],[Qty B]],"0")</f>
        <v>180000</v>
      </c>
      <c r="P766" s="36">
        <f>IFERROR(INDEX(Katalog!$F$3:$F$12,MATCH(Data[[#This Row],[ItemID B]],Katalog!$C$3:$C$12,0))*Data[[#This Row],[Qty B]],"0")</f>
        <v>70000</v>
      </c>
      <c r="R766" t="str">
        <f>IFERROR(INDEX(Katalog!$A$3:$A$12,MATCH(Data[[#This Row],[ItemID C]],Katalog!$C$3:$C$12,0)),"-")</f>
        <v>-</v>
      </c>
      <c r="S766" t="str">
        <f>IFERROR(INDEX(Katalog!$B$3:$B$12,MATCH(Data[[#This Row],[ItemID C]],Katalog!$C$3:$C$12,0)),"-")</f>
        <v>-</v>
      </c>
      <c r="V766" s="36" t="str">
        <f>IFERROR(INDEX(Katalog!$D$3:$D$12,MATCH(Data[[#This Row],[ItemID C]],Katalog!$C$3:$C$12,0))*Data[[#This Row],[Qty C]],"0")</f>
        <v>0</v>
      </c>
      <c r="W766" s="36" t="str">
        <f>IFERROR(INDEX(Katalog!$F$3:$F$12,MATCH(Data[[#This Row],[ItemID C]],Katalog!$C$3:$C$12,0))*Data[[#This Row],[Qty C]],"0")</f>
        <v>0</v>
      </c>
      <c r="X766" s="21">
        <f>Data[[#This Row],[Qty A]]+Data[[#This Row],[Qty B]]+Data[[#This Row],[Qty C]]</f>
        <v>5</v>
      </c>
      <c r="Y766" s="22">
        <f>Data[[#This Row],[Harga Barang A]]+Data[[#This Row],[Harga Barang B]]+Data[[#This Row],[Harga Barang C]]</f>
        <v>980000</v>
      </c>
      <c r="Z766" s="35">
        <f>IFERROR(Data[[#This Row],[Total Harga]]-(Data[[#This Row],[Total Harga]]*Data[[#This Row],[Diskon]]),Data[[#This Row],[Total Harga]])</f>
        <v>784000</v>
      </c>
      <c r="AA766" s="35">
        <f>(Data[[#This Row],[Profit A]]+Data[[#This Row],[Profit B]]+Data[[#This Row],[Profit C]])</f>
        <v>390000</v>
      </c>
      <c r="AB766" s="35">
        <f>IFERROR((Data[[#This Row],[Profit non Diskon]]-(Data[[#This Row],[Profit non Diskon]]*Data[[#This Row],[Diskon]])),Data[[#This Row],[Profit non Diskon]])</f>
        <v>312000</v>
      </c>
      <c r="AC766" s="23" t="s">
        <v>8</v>
      </c>
      <c r="AD766" s="37">
        <f>IFERROR(INDEX('Kode Diskon'!$D$3:$D$9,MATCH(Data[[#This Row],[Kode diskon]],'Kode Diskon'!$C$3:$C$9,0)),"-")</f>
        <v>0.2</v>
      </c>
      <c r="AE766" s="23" t="s">
        <v>9</v>
      </c>
      <c r="AF766" s="23" t="s">
        <v>7</v>
      </c>
      <c r="AG766" s="23" t="s">
        <v>80</v>
      </c>
      <c r="AH766" s="24">
        <v>45045</v>
      </c>
      <c r="AI766" s="23" t="str">
        <f>TEXT(Data[[#This Row],[Tanggal terjual]],"dddd")</f>
        <v>Saturday</v>
      </c>
      <c r="AJ766" s="21" t="str">
        <f>TEXT(Data[[#This Row],[Tanggal terjual]],"wwww")</f>
        <v>wwww</v>
      </c>
    </row>
    <row r="767" spans="1:36" x14ac:dyDescent="0.2">
      <c r="A767" s="20">
        <v>766</v>
      </c>
      <c r="B767" s="21" t="str">
        <f>_xlfn.CONCAT("ORD-",INDEX(Helper!$B$2:$B$5,MATCH(Data[[#This Row],[Marketplace]],Helper!$A$2:$A$5,0)),TEXT(Data[[#This Row],[No]],"0000"),"-",TEXT(Data[[#This Row],[Tanggal terjual]],"dd/mm/yy"))</f>
        <v>ORD-BL0766-21/04/23</v>
      </c>
      <c r="C767" t="s">
        <v>58</v>
      </c>
      <c r="D767" t="str">
        <f>IFERROR(INDEX(Katalog!$A$3:$A$12,MATCH(Data[[#This Row],[ItemID A]],Katalog!$C$3:$C$12,0)),"-")</f>
        <v>Pakaian Wanita</v>
      </c>
      <c r="E767" t="str">
        <f>IFERROR(INDEX(Katalog!$B$3:$B$12,MATCH(Data[[#This Row],[ItemID A]],Katalog!$C$3:$C$12,0)),"-")</f>
        <v>Dress</v>
      </c>
      <c r="F767">
        <v>3</v>
      </c>
      <c r="G767">
        <v>1</v>
      </c>
      <c r="H767" s="36">
        <f>IFERROR(INDEX(Katalog!$D$3:$D$12,MATCH(Data[[#This Row],[ItemID A]],Katalog!$C$3:$C$12,0))*Data[[#This Row],[Qty A]],"0")</f>
        <v>900000</v>
      </c>
      <c r="I767" s="36">
        <f>IFERROR(INDEX(Katalog!$F$3:$F$12,MATCH(Data[[#This Row],[ItemID A]],Katalog!$C$3:$C$12,0))*Data[[#This Row],[Qty A]],0)</f>
        <v>300000</v>
      </c>
      <c r="J767" t="s">
        <v>64</v>
      </c>
      <c r="K767" t="str">
        <f>IFERROR(INDEX(Katalog!$A$3:$A$12,MATCH(Data[[#This Row],[ItemID B]],Katalog!$C$3:$C$12,0)),"-")</f>
        <v>Pakaian Unisex</v>
      </c>
      <c r="L767" t="str">
        <f>IFERROR(INDEX(Katalog!$B$3:$B$12,MATCH(Data[[#This Row],[ItemID B]],Katalog!$C$3:$C$12,0)),"-")</f>
        <v>Jaket Hoodie</v>
      </c>
      <c r="M767">
        <v>4</v>
      </c>
      <c r="N767">
        <v>1</v>
      </c>
      <c r="O767" s="36">
        <f>IFERROR(INDEX(Katalog!$D$3:$D$12,MATCH(Data[[#This Row],[ItemID B]],Katalog!$C$3:$C$12,0))*Data[[#This Row],[Qty B]],"0")</f>
        <v>1400000</v>
      </c>
      <c r="P767" s="36">
        <f>IFERROR(INDEX(Katalog!$F$3:$F$12,MATCH(Data[[#This Row],[ItemID B]],Katalog!$C$3:$C$12,0))*Data[[#This Row],[Qty B]],"0")</f>
        <v>520000</v>
      </c>
      <c r="R767" t="str">
        <f>IFERROR(INDEX(Katalog!$A$3:$A$12,MATCH(Data[[#This Row],[ItemID C]],Katalog!$C$3:$C$12,0)),"-")</f>
        <v>-</v>
      </c>
      <c r="S767" t="str">
        <f>IFERROR(INDEX(Katalog!$B$3:$B$12,MATCH(Data[[#This Row],[ItemID C]],Katalog!$C$3:$C$12,0)),"-")</f>
        <v>-</v>
      </c>
      <c r="V767" s="36" t="str">
        <f>IFERROR(INDEX(Katalog!$D$3:$D$12,MATCH(Data[[#This Row],[ItemID C]],Katalog!$C$3:$C$12,0))*Data[[#This Row],[Qty C]],"0")</f>
        <v>0</v>
      </c>
      <c r="W767" s="36" t="str">
        <f>IFERROR(INDEX(Katalog!$F$3:$F$12,MATCH(Data[[#This Row],[ItemID C]],Katalog!$C$3:$C$12,0))*Data[[#This Row],[Qty C]],"0")</f>
        <v>0</v>
      </c>
      <c r="X767" s="21">
        <f>Data[[#This Row],[Qty A]]+Data[[#This Row],[Qty B]]+Data[[#This Row],[Qty C]]</f>
        <v>7</v>
      </c>
      <c r="Y767" s="22">
        <f>Data[[#This Row],[Harga Barang A]]+Data[[#This Row],[Harga Barang B]]+Data[[#This Row],[Harga Barang C]]</f>
        <v>2300000</v>
      </c>
      <c r="Z767" s="35">
        <f>IFERROR(Data[[#This Row],[Total Harga]]-(Data[[#This Row],[Total Harga]]*Data[[#This Row],[Diskon]]),Data[[#This Row],[Total Harga]])</f>
        <v>1955000</v>
      </c>
      <c r="AA767" s="35">
        <f>(Data[[#This Row],[Profit A]]+Data[[#This Row],[Profit B]]+Data[[#This Row],[Profit C]])</f>
        <v>820000</v>
      </c>
      <c r="AB767" s="35">
        <f>IFERROR((Data[[#This Row],[Profit non Diskon]]-(Data[[#This Row],[Profit non Diskon]]*Data[[#This Row],[Diskon]])),Data[[#This Row],[Profit non Diskon]])</f>
        <v>697000</v>
      </c>
      <c r="AC767" s="23" t="s">
        <v>32</v>
      </c>
      <c r="AD767" s="37">
        <f>IFERROR(INDEX('Kode Diskon'!$D$3:$D$9,MATCH(Data[[#This Row],[Kode diskon]],'Kode Diskon'!$C$3:$C$9,0)),"-")</f>
        <v>0.15</v>
      </c>
      <c r="AE767" s="23" t="s">
        <v>9</v>
      </c>
      <c r="AF767" s="23" t="s">
        <v>12</v>
      </c>
      <c r="AG767" s="23" t="s">
        <v>80</v>
      </c>
      <c r="AH767" s="24">
        <v>45037</v>
      </c>
      <c r="AI767" s="23" t="str">
        <f>TEXT(Data[[#This Row],[Tanggal terjual]],"dddd")</f>
        <v>Friday</v>
      </c>
      <c r="AJ767" s="21" t="str">
        <f>TEXT(Data[[#This Row],[Tanggal terjual]],"wwww")</f>
        <v>wwww</v>
      </c>
    </row>
    <row r="768" spans="1:36" x14ac:dyDescent="0.2">
      <c r="A768" s="20">
        <v>767</v>
      </c>
      <c r="B768" s="21" t="str">
        <f>_xlfn.CONCAT("ORD-",INDEX(Helper!$B$2:$B$5,MATCH(Data[[#This Row],[Marketplace]],Helper!$A$2:$A$5,0)),TEXT(Data[[#This Row],[No]],"0000"),"-",TEXT(Data[[#This Row],[Tanggal terjual]],"dd/mm/yy"))</f>
        <v>ORD-TK0767-24/04/23</v>
      </c>
      <c r="C768" t="s">
        <v>58</v>
      </c>
      <c r="D768" t="str">
        <f>IFERROR(INDEX(Katalog!$A$3:$A$12,MATCH(Data[[#This Row],[ItemID A]],Katalog!$C$3:$C$12,0)),"-")</f>
        <v>Pakaian Wanita</v>
      </c>
      <c r="E768" t="str">
        <f>IFERROR(INDEX(Katalog!$B$3:$B$12,MATCH(Data[[#This Row],[ItemID A]],Katalog!$C$3:$C$12,0)),"-")</f>
        <v>Dress</v>
      </c>
      <c r="F768">
        <v>1</v>
      </c>
      <c r="G768">
        <v>2</v>
      </c>
      <c r="H768" s="36">
        <f>IFERROR(INDEX(Katalog!$D$3:$D$12,MATCH(Data[[#This Row],[ItemID A]],Katalog!$C$3:$C$12,0))*Data[[#This Row],[Qty A]],"0")</f>
        <v>300000</v>
      </c>
      <c r="I768" s="36">
        <f>IFERROR(INDEX(Katalog!$F$3:$F$12,MATCH(Data[[#This Row],[ItemID A]],Katalog!$C$3:$C$12,0))*Data[[#This Row],[Qty A]],0)</f>
        <v>100000</v>
      </c>
      <c r="J768" t="s">
        <v>63</v>
      </c>
      <c r="K768" t="str">
        <f>IFERROR(INDEX(Katalog!$A$3:$A$12,MATCH(Data[[#This Row],[ItemID B]],Katalog!$C$3:$C$12,0)),"-")</f>
        <v>Pakaian Pria</v>
      </c>
      <c r="L768" t="str">
        <f>IFERROR(INDEX(Katalog!$B$3:$B$12,MATCH(Data[[#This Row],[ItemID B]],Katalog!$C$3:$C$12,0)),"-")</f>
        <v>Jaket Jeans</v>
      </c>
      <c r="M768">
        <v>1</v>
      </c>
      <c r="N768">
        <v>1</v>
      </c>
      <c r="O768" s="36">
        <f>IFERROR(INDEX(Katalog!$D$3:$D$12,MATCH(Data[[#This Row],[ItemID B]],Katalog!$C$3:$C$12,0))*Data[[#This Row],[Qty B]],"0")</f>
        <v>400000</v>
      </c>
      <c r="P768" s="36">
        <f>IFERROR(INDEX(Katalog!$F$3:$F$12,MATCH(Data[[#This Row],[ItemID B]],Katalog!$C$3:$C$12,0))*Data[[#This Row],[Qty B]],"0")</f>
        <v>150000</v>
      </c>
      <c r="R768" t="str">
        <f>IFERROR(INDEX(Katalog!$A$3:$A$12,MATCH(Data[[#This Row],[ItemID C]],Katalog!$C$3:$C$12,0)),"-")</f>
        <v>-</v>
      </c>
      <c r="S768" t="str">
        <f>IFERROR(INDEX(Katalog!$B$3:$B$12,MATCH(Data[[#This Row],[ItemID C]],Katalog!$C$3:$C$12,0)),"-")</f>
        <v>-</v>
      </c>
      <c r="V768" s="36" t="str">
        <f>IFERROR(INDEX(Katalog!$D$3:$D$12,MATCH(Data[[#This Row],[ItemID C]],Katalog!$C$3:$C$12,0))*Data[[#This Row],[Qty C]],"0")</f>
        <v>0</v>
      </c>
      <c r="W768" s="36" t="str">
        <f>IFERROR(INDEX(Katalog!$F$3:$F$12,MATCH(Data[[#This Row],[ItemID C]],Katalog!$C$3:$C$12,0))*Data[[#This Row],[Qty C]],"0")</f>
        <v>0</v>
      </c>
      <c r="X768" s="21">
        <f>Data[[#This Row],[Qty A]]+Data[[#This Row],[Qty B]]+Data[[#This Row],[Qty C]]</f>
        <v>2</v>
      </c>
      <c r="Y768" s="22">
        <f>Data[[#This Row],[Harga Barang A]]+Data[[#This Row],[Harga Barang B]]+Data[[#This Row],[Harga Barang C]]</f>
        <v>700000</v>
      </c>
      <c r="Z768" s="35">
        <f>IFERROR(Data[[#This Row],[Total Harga]]-(Data[[#This Row],[Total Harga]]*Data[[#This Row],[Diskon]]),Data[[#This Row],[Total Harga]])</f>
        <v>630000</v>
      </c>
      <c r="AA768" s="35">
        <f>(Data[[#This Row],[Profit A]]+Data[[#This Row],[Profit B]]+Data[[#This Row],[Profit C]])</f>
        <v>250000</v>
      </c>
      <c r="AB768" s="35">
        <f>IFERROR((Data[[#This Row],[Profit non Diskon]]-(Data[[#This Row],[Profit non Diskon]]*Data[[#This Row],[Diskon]])),Data[[#This Row],[Profit non Diskon]])</f>
        <v>225000</v>
      </c>
      <c r="AC768" s="23" t="s">
        <v>31</v>
      </c>
      <c r="AD768" s="37">
        <f>IFERROR(INDEX('Kode Diskon'!$D$3:$D$9,MATCH(Data[[#This Row],[Kode diskon]],'Kode Diskon'!$C$3:$C$9,0)),"-")</f>
        <v>0.1</v>
      </c>
      <c r="AE768" s="23" t="s">
        <v>9</v>
      </c>
      <c r="AF768" s="23" t="s">
        <v>10</v>
      </c>
      <c r="AG768" s="23" t="s">
        <v>77</v>
      </c>
      <c r="AH768" s="24">
        <v>45040</v>
      </c>
      <c r="AI768" s="23" t="str">
        <f>TEXT(Data[[#This Row],[Tanggal terjual]],"dddd")</f>
        <v>Monday</v>
      </c>
      <c r="AJ768" s="21" t="str">
        <f>TEXT(Data[[#This Row],[Tanggal terjual]],"wwww")</f>
        <v>wwww</v>
      </c>
    </row>
    <row r="769" spans="1:36" x14ac:dyDescent="0.2">
      <c r="A769" s="20">
        <v>768</v>
      </c>
      <c r="B769" s="21" t="str">
        <f>_xlfn.CONCAT("ORD-",INDEX(Helper!$B$2:$B$5,MATCH(Data[[#This Row],[Marketplace]],Helper!$A$2:$A$5,0)),TEXT(Data[[#This Row],[No]],"0000"),"-",TEXT(Data[[#This Row],[Tanggal terjual]],"dd/mm/yy"))</f>
        <v>ORD-SP0768-02/04/23</v>
      </c>
      <c r="C769" t="s">
        <v>67</v>
      </c>
      <c r="D769" t="str">
        <f>IFERROR(INDEX(Katalog!$A$3:$A$12,MATCH(Data[[#This Row],[ItemID A]],Katalog!$C$3:$C$12,0)),"-")</f>
        <v>Sepatu Wanita</v>
      </c>
      <c r="E769" t="str">
        <f>IFERROR(INDEX(Katalog!$B$3:$B$12,MATCH(Data[[#This Row],[ItemID A]],Katalog!$C$3:$C$12,0)),"-")</f>
        <v>Flat Shoes</v>
      </c>
      <c r="F769">
        <v>2</v>
      </c>
      <c r="G769">
        <v>3</v>
      </c>
      <c r="H769" s="36">
        <f>IFERROR(INDEX(Katalog!$D$3:$D$12,MATCH(Data[[#This Row],[ItemID A]],Katalog!$C$3:$C$12,0))*Data[[#This Row],[Qty A]],"0")</f>
        <v>500000</v>
      </c>
      <c r="I769" s="36">
        <f>IFERROR(INDEX(Katalog!$F$3:$F$12,MATCH(Data[[#This Row],[ItemID A]],Katalog!$C$3:$C$12,0))*Data[[#This Row],[Qty A]],0)</f>
        <v>200000</v>
      </c>
      <c r="J769" t="s">
        <v>59</v>
      </c>
      <c r="K769" t="str">
        <f>IFERROR(INDEX(Katalog!$A$3:$A$12,MATCH(Data[[#This Row],[ItemID B]],Katalog!$C$3:$C$12,0)),"-")</f>
        <v>Pakaian Wanita</v>
      </c>
      <c r="L769" t="str">
        <f>IFERROR(INDEX(Katalog!$B$3:$B$12,MATCH(Data[[#This Row],[ItemID B]],Katalog!$C$3:$C$12,0)),"-")</f>
        <v>Blouse</v>
      </c>
      <c r="M769">
        <v>4</v>
      </c>
      <c r="N769">
        <v>1</v>
      </c>
      <c r="O769" s="36">
        <f>IFERROR(INDEX(Katalog!$D$3:$D$12,MATCH(Data[[#This Row],[ItemID B]],Katalog!$C$3:$C$12,0))*Data[[#This Row],[Qty B]],"0")</f>
        <v>600000</v>
      </c>
      <c r="P769" s="36">
        <f>IFERROR(INDEX(Katalog!$F$3:$F$12,MATCH(Data[[#This Row],[ItemID B]],Katalog!$C$3:$C$12,0))*Data[[#This Row],[Qty B]],"0")</f>
        <v>200000</v>
      </c>
      <c r="R769" t="str">
        <f>IFERROR(INDEX(Katalog!$A$3:$A$12,MATCH(Data[[#This Row],[ItemID C]],Katalog!$C$3:$C$12,0)),"-")</f>
        <v>-</v>
      </c>
      <c r="S769" t="str">
        <f>IFERROR(INDEX(Katalog!$B$3:$B$12,MATCH(Data[[#This Row],[ItemID C]],Katalog!$C$3:$C$12,0)),"-")</f>
        <v>-</v>
      </c>
      <c r="V769" s="36" t="str">
        <f>IFERROR(INDEX(Katalog!$D$3:$D$12,MATCH(Data[[#This Row],[ItemID C]],Katalog!$C$3:$C$12,0))*Data[[#This Row],[Qty C]],"0")</f>
        <v>0</v>
      </c>
      <c r="W769" s="36" t="str">
        <f>IFERROR(INDEX(Katalog!$F$3:$F$12,MATCH(Data[[#This Row],[ItemID C]],Katalog!$C$3:$C$12,0))*Data[[#This Row],[Qty C]],"0")</f>
        <v>0</v>
      </c>
      <c r="X769" s="21">
        <f>Data[[#This Row],[Qty A]]+Data[[#This Row],[Qty B]]+Data[[#This Row],[Qty C]]</f>
        <v>6</v>
      </c>
      <c r="Y769" s="22">
        <f>Data[[#This Row],[Harga Barang A]]+Data[[#This Row],[Harga Barang B]]+Data[[#This Row],[Harga Barang C]]</f>
        <v>1100000</v>
      </c>
      <c r="Z769" s="35">
        <f>IFERROR(Data[[#This Row],[Total Harga]]-(Data[[#This Row],[Total Harga]]*Data[[#This Row],[Diskon]]),Data[[#This Row],[Total Harga]])</f>
        <v>935000</v>
      </c>
      <c r="AA769" s="35">
        <f>(Data[[#This Row],[Profit A]]+Data[[#This Row],[Profit B]]+Data[[#This Row],[Profit C]])</f>
        <v>400000</v>
      </c>
      <c r="AB769" s="35">
        <f>IFERROR((Data[[#This Row],[Profit non Diskon]]-(Data[[#This Row],[Profit non Diskon]]*Data[[#This Row],[Diskon]])),Data[[#This Row],[Profit non Diskon]])</f>
        <v>340000</v>
      </c>
      <c r="AC769" s="23" t="s">
        <v>13</v>
      </c>
      <c r="AD769" s="37">
        <f>IFERROR(INDEX('Kode Diskon'!$D$3:$D$9,MATCH(Data[[#This Row],[Kode diskon]],'Kode Diskon'!$C$3:$C$9,0)),"-")</f>
        <v>0.15</v>
      </c>
      <c r="AE769" s="23" t="s">
        <v>29</v>
      </c>
      <c r="AF769" s="23" t="s">
        <v>7</v>
      </c>
      <c r="AG769" s="23" t="s">
        <v>79</v>
      </c>
      <c r="AH769" s="24">
        <v>45018</v>
      </c>
      <c r="AI769" s="23" t="str">
        <f>TEXT(Data[[#This Row],[Tanggal terjual]],"dddd")</f>
        <v>Sunday</v>
      </c>
      <c r="AJ769" s="21" t="str">
        <f>TEXT(Data[[#This Row],[Tanggal terjual]],"wwww")</f>
        <v>wwww</v>
      </c>
    </row>
    <row r="770" spans="1:36" x14ac:dyDescent="0.2">
      <c r="A770" s="20">
        <v>769</v>
      </c>
      <c r="B770" s="21" t="str">
        <f>_xlfn.CONCAT("ORD-",INDEX(Helper!$B$2:$B$5,MATCH(Data[[#This Row],[Marketplace]],Helper!$A$2:$A$5,0)),TEXT(Data[[#This Row],[No]],"0000"),"-",TEXT(Data[[#This Row],[Tanggal terjual]],"dd/mm/yy"))</f>
        <v>ORD-TK0769-29/04/23</v>
      </c>
      <c r="C770" t="s">
        <v>63</v>
      </c>
      <c r="D770" t="str">
        <f>IFERROR(INDEX(Katalog!$A$3:$A$12,MATCH(Data[[#This Row],[ItemID A]],Katalog!$C$3:$C$12,0)),"-")</f>
        <v>Pakaian Pria</v>
      </c>
      <c r="E770" t="str">
        <f>IFERROR(INDEX(Katalog!$B$3:$B$12,MATCH(Data[[#This Row],[ItemID A]],Katalog!$C$3:$C$12,0)),"-")</f>
        <v>Jaket Jeans</v>
      </c>
      <c r="F770">
        <v>3</v>
      </c>
      <c r="G770">
        <v>3</v>
      </c>
      <c r="H770" s="36">
        <f>IFERROR(INDEX(Katalog!$D$3:$D$12,MATCH(Data[[#This Row],[ItemID A]],Katalog!$C$3:$C$12,0))*Data[[#This Row],[Qty A]],"0")</f>
        <v>1200000</v>
      </c>
      <c r="I770" s="36">
        <f>IFERROR(INDEX(Katalog!$F$3:$F$12,MATCH(Data[[#This Row],[ItemID A]],Katalog!$C$3:$C$12,0))*Data[[#This Row],[Qty A]],0)</f>
        <v>450000</v>
      </c>
      <c r="J770" t="s">
        <v>59</v>
      </c>
      <c r="K770" t="str">
        <f>IFERROR(INDEX(Katalog!$A$3:$A$12,MATCH(Data[[#This Row],[ItemID B]],Katalog!$C$3:$C$12,0)),"-")</f>
        <v>Pakaian Wanita</v>
      </c>
      <c r="L770" t="str">
        <f>IFERROR(INDEX(Katalog!$B$3:$B$12,MATCH(Data[[#This Row],[ItemID B]],Katalog!$C$3:$C$12,0)),"-")</f>
        <v>Blouse</v>
      </c>
      <c r="M770">
        <v>3</v>
      </c>
      <c r="N770">
        <v>3</v>
      </c>
      <c r="O770" s="36">
        <f>IFERROR(INDEX(Katalog!$D$3:$D$12,MATCH(Data[[#This Row],[ItemID B]],Katalog!$C$3:$C$12,0))*Data[[#This Row],[Qty B]],"0")</f>
        <v>450000</v>
      </c>
      <c r="P770" s="36">
        <f>IFERROR(INDEX(Katalog!$F$3:$F$12,MATCH(Data[[#This Row],[ItemID B]],Katalog!$C$3:$C$12,0))*Data[[#This Row],[Qty B]],"0")</f>
        <v>150000</v>
      </c>
      <c r="R770" t="str">
        <f>IFERROR(INDEX(Katalog!$A$3:$A$12,MATCH(Data[[#This Row],[ItemID C]],Katalog!$C$3:$C$12,0)),"-")</f>
        <v>-</v>
      </c>
      <c r="S770" t="str">
        <f>IFERROR(INDEX(Katalog!$B$3:$B$12,MATCH(Data[[#This Row],[ItemID C]],Katalog!$C$3:$C$12,0)),"-")</f>
        <v>-</v>
      </c>
      <c r="V770" s="36" t="str">
        <f>IFERROR(INDEX(Katalog!$D$3:$D$12,MATCH(Data[[#This Row],[ItemID C]],Katalog!$C$3:$C$12,0))*Data[[#This Row],[Qty C]],"0")</f>
        <v>0</v>
      </c>
      <c r="W770" s="36" t="str">
        <f>IFERROR(INDEX(Katalog!$F$3:$F$12,MATCH(Data[[#This Row],[ItemID C]],Katalog!$C$3:$C$12,0))*Data[[#This Row],[Qty C]],"0")</f>
        <v>0</v>
      </c>
      <c r="X770" s="21">
        <f>Data[[#This Row],[Qty A]]+Data[[#This Row],[Qty B]]+Data[[#This Row],[Qty C]]</f>
        <v>6</v>
      </c>
      <c r="Y770" s="22">
        <f>Data[[#This Row],[Harga Barang A]]+Data[[#This Row],[Harga Barang B]]+Data[[#This Row],[Harga Barang C]]</f>
        <v>1650000</v>
      </c>
      <c r="Z770" s="35">
        <f>IFERROR(Data[[#This Row],[Total Harga]]-(Data[[#This Row],[Total Harga]]*Data[[#This Row],[Diskon]]),Data[[#This Row],[Total Harga]])</f>
        <v>1485000</v>
      </c>
      <c r="AA770" s="35">
        <f>(Data[[#This Row],[Profit A]]+Data[[#This Row],[Profit B]]+Data[[#This Row],[Profit C]])</f>
        <v>600000</v>
      </c>
      <c r="AB770" s="35">
        <f>IFERROR((Data[[#This Row],[Profit non Diskon]]-(Data[[#This Row],[Profit non Diskon]]*Data[[#This Row],[Diskon]])),Data[[#This Row],[Profit non Diskon]])</f>
        <v>540000</v>
      </c>
      <c r="AC770" s="23" t="s">
        <v>31</v>
      </c>
      <c r="AD770" s="37">
        <f>IFERROR(INDEX('Kode Diskon'!$D$3:$D$9,MATCH(Data[[#This Row],[Kode diskon]],'Kode Diskon'!$C$3:$C$9,0)),"-")</f>
        <v>0.1</v>
      </c>
      <c r="AE770" s="23" t="s">
        <v>9</v>
      </c>
      <c r="AF770" s="23" t="s">
        <v>10</v>
      </c>
      <c r="AG770" s="23" t="s">
        <v>76</v>
      </c>
      <c r="AH770" s="24">
        <v>45045</v>
      </c>
      <c r="AI770" s="23" t="str">
        <f>TEXT(Data[[#This Row],[Tanggal terjual]],"dddd")</f>
        <v>Saturday</v>
      </c>
      <c r="AJ770" s="21" t="str">
        <f>TEXT(Data[[#This Row],[Tanggal terjual]],"wwww")</f>
        <v>wwww</v>
      </c>
    </row>
    <row r="771" spans="1:36" x14ac:dyDescent="0.2">
      <c r="A771" s="20">
        <v>770</v>
      </c>
      <c r="B771" s="21" t="str">
        <f>_xlfn.CONCAT("ORD-",INDEX(Helper!$B$2:$B$5,MATCH(Data[[#This Row],[Marketplace]],Helper!$A$2:$A$5,0)),TEXT(Data[[#This Row],[No]],"0000"),"-",TEXT(Data[[#This Row],[Tanggal terjual]],"dd/mm/yy"))</f>
        <v>ORD-TK0770-26/04/23</v>
      </c>
      <c r="C771" t="s">
        <v>66</v>
      </c>
      <c r="D771" t="str">
        <f>IFERROR(INDEX(Katalog!$A$3:$A$12,MATCH(Data[[#This Row],[ItemID A]],Katalog!$C$3:$C$12,0)),"-")</f>
        <v>Sepatu Pria</v>
      </c>
      <c r="E771" t="str">
        <f>IFERROR(INDEX(Katalog!$B$3:$B$12,MATCH(Data[[#This Row],[ItemID A]],Katalog!$C$3:$C$12,0)),"-")</f>
        <v>Sandal Slip On</v>
      </c>
      <c r="F771">
        <v>2</v>
      </c>
      <c r="G771">
        <v>2</v>
      </c>
      <c r="H771" s="36">
        <f>IFERROR(INDEX(Katalog!$D$3:$D$12,MATCH(Data[[#This Row],[ItemID A]],Katalog!$C$3:$C$12,0))*Data[[#This Row],[Qty A]],"0")</f>
        <v>300000</v>
      </c>
      <c r="I771" s="36">
        <f>IFERROR(INDEX(Katalog!$F$3:$F$12,MATCH(Data[[#This Row],[ItemID A]],Katalog!$C$3:$C$12,0))*Data[[#This Row],[Qty A]],0)</f>
        <v>120000</v>
      </c>
      <c r="K771" t="str">
        <f>IFERROR(INDEX(Katalog!$A$3:$A$12,MATCH(Data[[#This Row],[ItemID B]],Katalog!$C$3:$C$12,0)),"-")</f>
        <v>-</v>
      </c>
      <c r="L771" t="str">
        <f>IFERROR(INDEX(Katalog!$B$3:$B$12,MATCH(Data[[#This Row],[ItemID B]],Katalog!$C$3:$C$12,0)),"-")</f>
        <v>-</v>
      </c>
      <c r="O771" s="36" t="str">
        <f>IFERROR(INDEX(Katalog!$D$3:$D$12,MATCH(Data[[#This Row],[ItemID B]],Katalog!$C$3:$C$12,0))*Data[[#This Row],[Qty B]],"0")</f>
        <v>0</v>
      </c>
      <c r="P771" s="36" t="str">
        <f>IFERROR(INDEX(Katalog!$F$3:$F$12,MATCH(Data[[#This Row],[ItemID B]],Katalog!$C$3:$C$12,0))*Data[[#This Row],[Qty B]],"0")</f>
        <v>0</v>
      </c>
      <c r="R771" t="str">
        <f>IFERROR(INDEX(Katalog!$A$3:$A$12,MATCH(Data[[#This Row],[ItemID C]],Katalog!$C$3:$C$12,0)),"-")</f>
        <v>-</v>
      </c>
      <c r="S771" t="str">
        <f>IFERROR(INDEX(Katalog!$B$3:$B$12,MATCH(Data[[#This Row],[ItemID C]],Katalog!$C$3:$C$12,0)),"-")</f>
        <v>-</v>
      </c>
      <c r="V771" s="36" t="str">
        <f>IFERROR(INDEX(Katalog!$D$3:$D$12,MATCH(Data[[#This Row],[ItemID C]],Katalog!$C$3:$C$12,0))*Data[[#This Row],[Qty C]],"0")</f>
        <v>0</v>
      </c>
      <c r="W771" s="36" t="str">
        <f>IFERROR(INDEX(Katalog!$F$3:$F$12,MATCH(Data[[#This Row],[ItemID C]],Katalog!$C$3:$C$12,0))*Data[[#This Row],[Qty C]],"0")</f>
        <v>0</v>
      </c>
      <c r="X771" s="21">
        <f>Data[[#This Row],[Qty A]]+Data[[#This Row],[Qty B]]+Data[[#This Row],[Qty C]]</f>
        <v>2</v>
      </c>
      <c r="Y771" s="22">
        <f>Data[[#This Row],[Harga Barang A]]+Data[[#This Row],[Harga Barang B]]+Data[[#This Row],[Harga Barang C]]</f>
        <v>300000</v>
      </c>
      <c r="Z771" s="35">
        <f>IFERROR(Data[[#This Row],[Total Harga]]-(Data[[#This Row],[Total Harga]]*Data[[#This Row],[Diskon]]),Data[[#This Row],[Total Harga]])</f>
        <v>270000</v>
      </c>
      <c r="AA771" s="35">
        <f>(Data[[#This Row],[Profit A]]+Data[[#This Row],[Profit B]]+Data[[#This Row],[Profit C]])</f>
        <v>120000</v>
      </c>
      <c r="AB771" s="35">
        <f>IFERROR((Data[[#This Row],[Profit non Diskon]]-(Data[[#This Row],[Profit non Diskon]]*Data[[#This Row],[Diskon]])),Data[[#This Row],[Profit non Diskon]])</f>
        <v>108000</v>
      </c>
      <c r="AC771" s="23" t="s">
        <v>31</v>
      </c>
      <c r="AD771" s="37">
        <f>IFERROR(INDEX('Kode Diskon'!$D$3:$D$9,MATCH(Data[[#This Row],[Kode diskon]],'Kode Diskon'!$C$3:$C$9,0)),"-")</f>
        <v>0.1</v>
      </c>
      <c r="AE771" s="23" t="s">
        <v>9</v>
      </c>
      <c r="AF771" s="23" t="s">
        <v>10</v>
      </c>
      <c r="AG771" s="23" t="s">
        <v>80</v>
      </c>
      <c r="AH771" s="24">
        <v>45042</v>
      </c>
      <c r="AI771" s="23" t="str">
        <f>TEXT(Data[[#This Row],[Tanggal terjual]],"dddd")</f>
        <v>Wednesday</v>
      </c>
      <c r="AJ771" s="21" t="str">
        <f>TEXT(Data[[#This Row],[Tanggal terjual]],"wwww")</f>
        <v>wwww</v>
      </c>
    </row>
    <row r="772" spans="1:36" x14ac:dyDescent="0.2">
      <c r="A772" s="20">
        <v>771</v>
      </c>
      <c r="B772" s="21" t="str">
        <f>_xlfn.CONCAT("ORD-",INDEX(Helper!$B$2:$B$5,MATCH(Data[[#This Row],[Marketplace]],Helper!$A$2:$A$5,0)),TEXT(Data[[#This Row],[No]],"0000"),"-",TEXT(Data[[#This Row],[Tanggal terjual]],"dd/mm/yy"))</f>
        <v>ORD-TK0771-30/04/23</v>
      </c>
      <c r="C772" t="s">
        <v>59</v>
      </c>
      <c r="D772" t="str">
        <f>IFERROR(INDEX(Katalog!$A$3:$A$12,MATCH(Data[[#This Row],[ItemID A]],Katalog!$C$3:$C$12,0)),"-")</f>
        <v>Pakaian Wanita</v>
      </c>
      <c r="E772" t="str">
        <f>IFERROR(INDEX(Katalog!$B$3:$B$12,MATCH(Data[[#This Row],[ItemID A]],Katalog!$C$3:$C$12,0)),"-")</f>
        <v>Blouse</v>
      </c>
      <c r="F772">
        <v>7</v>
      </c>
      <c r="G772">
        <v>3</v>
      </c>
      <c r="H772" s="36">
        <f>IFERROR(INDEX(Katalog!$D$3:$D$12,MATCH(Data[[#This Row],[ItemID A]],Katalog!$C$3:$C$12,0))*Data[[#This Row],[Qty A]],"0")</f>
        <v>1050000</v>
      </c>
      <c r="I772" s="36">
        <f>IFERROR(INDEX(Katalog!$F$3:$F$12,MATCH(Data[[#This Row],[ItemID A]],Katalog!$C$3:$C$12,0))*Data[[#This Row],[Qty A]],0)</f>
        <v>350000</v>
      </c>
      <c r="K772" t="str">
        <f>IFERROR(INDEX(Katalog!$A$3:$A$12,MATCH(Data[[#This Row],[ItemID B]],Katalog!$C$3:$C$12,0)),"-")</f>
        <v>-</v>
      </c>
      <c r="L772" t="str">
        <f>IFERROR(INDEX(Katalog!$B$3:$B$12,MATCH(Data[[#This Row],[ItemID B]],Katalog!$C$3:$C$12,0)),"-")</f>
        <v>-</v>
      </c>
      <c r="O772" s="36" t="str">
        <f>IFERROR(INDEX(Katalog!$D$3:$D$12,MATCH(Data[[#This Row],[ItemID B]],Katalog!$C$3:$C$12,0))*Data[[#This Row],[Qty B]],"0")</f>
        <v>0</v>
      </c>
      <c r="P772" s="36" t="str">
        <f>IFERROR(INDEX(Katalog!$F$3:$F$12,MATCH(Data[[#This Row],[ItemID B]],Katalog!$C$3:$C$12,0))*Data[[#This Row],[Qty B]],"0")</f>
        <v>0</v>
      </c>
      <c r="R772" t="str">
        <f>IFERROR(INDEX(Katalog!$A$3:$A$12,MATCH(Data[[#This Row],[ItemID C]],Katalog!$C$3:$C$12,0)),"-")</f>
        <v>-</v>
      </c>
      <c r="S772" t="str">
        <f>IFERROR(INDEX(Katalog!$B$3:$B$12,MATCH(Data[[#This Row],[ItemID C]],Katalog!$C$3:$C$12,0)),"-")</f>
        <v>-</v>
      </c>
      <c r="V772" s="36" t="str">
        <f>IFERROR(INDEX(Katalog!$D$3:$D$12,MATCH(Data[[#This Row],[ItemID C]],Katalog!$C$3:$C$12,0))*Data[[#This Row],[Qty C]],"0")</f>
        <v>0</v>
      </c>
      <c r="W772" s="36" t="str">
        <f>IFERROR(INDEX(Katalog!$F$3:$F$12,MATCH(Data[[#This Row],[ItemID C]],Katalog!$C$3:$C$12,0))*Data[[#This Row],[Qty C]],"0")</f>
        <v>0</v>
      </c>
      <c r="X772" s="21">
        <f>Data[[#This Row],[Qty A]]+Data[[#This Row],[Qty B]]+Data[[#This Row],[Qty C]]</f>
        <v>7</v>
      </c>
      <c r="Y772" s="22">
        <f>Data[[#This Row],[Harga Barang A]]+Data[[#This Row],[Harga Barang B]]+Data[[#This Row],[Harga Barang C]]</f>
        <v>1050000</v>
      </c>
      <c r="Z772" s="35">
        <f>IFERROR(Data[[#This Row],[Total Harga]]-(Data[[#This Row],[Total Harga]]*Data[[#This Row],[Diskon]]),Data[[#This Row],[Total Harga]])</f>
        <v>945000</v>
      </c>
      <c r="AA772" s="35">
        <f>(Data[[#This Row],[Profit A]]+Data[[#This Row],[Profit B]]+Data[[#This Row],[Profit C]])</f>
        <v>350000</v>
      </c>
      <c r="AB772" s="35">
        <f>IFERROR((Data[[#This Row],[Profit non Diskon]]-(Data[[#This Row],[Profit non Diskon]]*Data[[#This Row],[Diskon]])),Data[[#This Row],[Profit non Diskon]])</f>
        <v>315000</v>
      </c>
      <c r="AC772" s="23" t="s">
        <v>31</v>
      </c>
      <c r="AD772" s="37">
        <f>IFERROR(INDEX('Kode Diskon'!$D$3:$D$9,MATCH(Data[[#This Row],[Kode diskon]],'Kode Diskon'!$C$3:$C$9,0)),"-")</f>
        <v>0.1</v>
      </c>
      <c r="AE772" s="23" t="s">
        <v>9</v>
      </c>
      <c r="AF772" s="23" t="s">
        <v>10</v>
      </c>
      <c r="AG772" s="23" t="s">
        <v>80</v>
      </c>
      <c r="AH772" s="24">
        <v>45046</v>
      </c>
      <c r="AI772" s="23" t="str">
        <f>TEXT(Data[[#This Row],[Tanggal terjual]],"dddd")</f>
        <v>Sunday</v>
      </c>
      <c r="AJ772" s="21" t="str">
        <f>TEXT(Data[[#This Row],[Tanggal terjual]],"wwww")</f>
        <v>wwww</v>
      </c>
    </row>
    <row r="773" spans="1:36" x14ac:dyDescent="0.2">
      <c r="A773" s="20">
        <v>772</v>
      </c>
      <c r="B773" s="21" t="str">
        <f>_xlfn.CONCAT("ORD-",INDEX(Helper!$B$2:$B$5,MATCH(Data[[#This Row],[Marketplace]],Helper!$A$2:$A$5,0)),TEXT(Data[[#This Row],[No]],"0000"),"-",TEXT(Data[[#This Row],[Tanggal terjual]],"dd/mm/yy"))</f>
        <v>ORD-SP0772-04/04/23</v>
      </c>
      <c r="C773" t="s">
        <v>65</v>
      </c>
      <c r="D773" t="str">
        <f>IFERROR(INDEX(Katalog!$A$3:$A$12,MATCH(Data[[#This Row],[ItemID A]],Katalog!$C$3:$C$12,0)),"-")</f>
        <v>Sepatu Pria</v>
      </c>
      <c r="E773" t="str">
        <f>IFERROR(INDEX(Katalog!$B$3:$B$12,MATCH(Data[[#This Row],[ItemID A]],Katalog!$C$3:$C$12,0)),"-")</f>
        <v>Sneakers</v>
      </c>
      <c r="F773">
        <v>1</v>
      </c>
      <c r="G773">
        <v>3</v>
      </c>
      <c r="H773" s="36">
        <f>IFERROR(INDEX(Katalog!$D$3:$D$12,MATCH(Data[[#This Row],[ItemID A]],Katalog!$C$3:$C$12,0))*Data[[#This Row],[Qty A]],"0")</f>
        <v>500000</v>
      </c>
      <c r="I773" s="36">
        <f>IFERROR(INDEX(Katalog!$F$3:$F$12,MATCH(Data[[#This Row],[ItemID A]],Katalog!$C$3:$C$12,0))*Data[[#This Row],[Qty A]],0)</f>
        <v>200000</v>
      </c>
      <c r="J773" t="s">
        <v>60</v>
      </c>
      <c r="K773" t="str">
        <f>IFERROR(INDEX(Katalog!$A$3:$A$12,MATCH(Data[[#This Row],[ItemID B]],Katalog!$C$3:$C$12,0)),"-")</f>
        <v>Pakaian Wanita</v>
      </c>
      <c r="L773" t="str">
        <f>IFERROR(INDEX(Katalog!$B$3:$B$12,MATCH(Data[[#This Row],[ItemID B]],Katalog!$C$3:$C$12,0)),"-")</f>
        <v>Kaftan</v>
      </c>
      <c r="M773">
        <v>4</v>
      </c>
      <c r="N773">
        <v>4</v>
      </c>
      <c r="O773" s="36">
        <f>IFERROR(INDEX(Katalog!$D$3:$D$12,MATCH(Data[[#This Row],[ItemID B]],Katalog!$C$3:$C$12,0))*Data[[#This Row],[Qty B]],"0")</f>
        <v>1000000</v>
      </c>
      <c r="P773" s="36">
        <f>IFERROR(INDEX(Katalog!$F$3:$F$12,MATCH(Data[[#This Row],[ItemID B]],Katalog!$C$3:$C$12,0))*Data[[#This Row],[Qty B]],"0")</f>
        <v>400000</v>
      </c>
      <c r="R773" t="str">
        <f>IFERROR(INDEX(Katalog!$A$3:$A$12,MATCH(Data[[#This Row],[ItemID C]],Katalog!$C$3:$C$12,0)),"-")</f>
        <v>-</v>
      </c>
      <c r="S773" t="str">
        <f>IFERROR(INDEX(Katalog!$B$3:$B$12,MATCH(Data[[#This Row],[ItemID C]],Katalog!$C$3:$C$12,0)),"-")</f>
        <v>-</v>
      </c>
      <c r="V773" s="36" t="str">
        <f>IFERROR(INDEX(Katalog!$D$3:$D$12,MATCH(Data[[#This Row],[ItemID C]],Katalog!$C$3:$C$12,0))*Data[[#This Row],[Qty C]],"0")</f>
        <v>0</v>
      </c>
      <c r="W773" s="36" t="str">
        <f>IFERROR(INDEX(Katalog!$F$3:$F$12,MATCH(Data[[#This Row],[ItemID C]],Katalog!$C$3:$C$12,0))*Data[[#This Row],[Qty C]],"0")</f>
        <v>0</v>
      </c>
      <c r="X773" s="21">
        <f>Data[[#This Row],[Qty A]]+Data[[#This Row],[Qty B]]+Data[[#This Row],[Qty C]]</f>
        <v>5</v>
      </c>
      <c r="Y773" s="22">
        <f>Data[[#This Row],[Harga Barang A]]+Data[[#This Row],[Harga Barang B]]+Data[[#This Row],[Harga Barang C]]</f>
        <v>1500000</v>
      </c>
      <c r="Z773" s="35">
        <f>IFERROR(Data[[#This Row],[Total Harga]]-(Data[[#This Row],[Total Harga]]*Data[[#This Row],[Diskon]]),Data[[#This Row],[Total Harga]])</f>
        <v>1275000</v>
      </c>
      <c r="AA773" s="35">
        <f>(Data[[#This Row],[Profit A]]+Data[[#This Row],[Profit B]]+Data[[#This Row],[Profit C]])</f>
        <v>600000</v>
      </c>
      <c r="AB773" s="35">
        <f>IFERROR((Data[[#This Row],[Profit non Diskon]]-(Data[[#This Row],[Profit non Diskon]]*Data[[#This Row],[Diskon]])),Data[[#This Row],[Profit non Diskon]])</f>
        <v>510000</v>
      </c>
      <c r="AC773" s="23" t="s">
        <v>13</v>
      </c>
      <c r="AD773" s="37">
        <f>IFERROR(INDEX('Kode Diskon'!$D$3:$D$9,MATCH(Data[[#This Row],[Kode diskon]],'Kode Diskon'!$C$3:$C$9,0)),"-")</f>
        <v>0.15</v>
      </c>
      <c r="AE773" s="23" t="s">
        <v>29</v>
      </c>
      <c r="AF773" s="23" t="s">
        <v>7</v>
      </c>
      <c r="AG773" s="23" t="s">
        <v>77</v>
      </c>
      <c r="AH773" s="24">
        <v>45020</v>
      </c>
      <c r="AI773" s="23" t="str">
        <f>TEXT(Data[[#This Row],[Tanggal terjual]],"dddd")</f>
        <v>Tuesday</v>
      </c>
      <c r="AJ773" s="21" t="str">
        <f>TEXT(Data[[#This Row],[Tanggal terjual]],"wwww")</f>
        <v>wwww</v>
      </c>
    </row>
    <row r="774" spans="1:36" x14ac:dyDescent="0.2">
      <c r="A774" s="20">
        <v>773</v>
      </c>
      <c r="B774" s="21" t="str">
        <f>_xlfn.CONCAT("ORD-",INDEX(Helper!$B$2:$B$5,MATCH(Data[[#This Row],[Marketplace]],Helper!$A$2:$A$5,0)),TEXT(Data[[#This Row],[No]],"0000"),"-",TEXT(Data[[#This Row],[Tanggal terjual]],"dd/mm/yy"))</f>
        <v>ORD-SP0773-16/04/23</v>
      </c>
      <c r="C774" t="s">
        <v>63</v>
      </c>
      <c r="D774" t="str">
        <f>IFERROR(INDEX(Katalog!$A$3:$A$12,MATCH(Data[[#This Row],[ItemID A]],Katalog!$C$3:$C$12,0)),"-")</f>
        <v>Pakaian Pria</v>
      </c>
      <c r="E774" t="str">
        <f>IFERROR(INDEX(Katalog!$B$3:$B$12,MATCH(Data[[#This Row],[ItemID A]],Katalog!$C$3:$C$12,0)),"-")</f>
        <v>Jaket Jeans</v>
      </c>
      <c r="F774">
        <v>5</v>
      </c>
      <c r="G774">
        <v>2</v>
      </c>
      <c r="H774" s="36">
        <f>IFERROR(INDEX(Katalog!$D$3:$D$12,MATCH(Data[[#This Row],[ItemID A]],Katalog!$C$3:$C$12,0))*Data[[#This Row],[Qty A]],"0")</f>
        <v>2000000</v>
      </c>
      <c r="I774" s="36">
        <f>IFERROR(INDEX(Katalog!$F$3:$F$12,MATCH(Data[[#This Row],[ItemID A]],Katalog!$C$3:$C$12,0))*Data[[#This Row],[Qty A]],0)</f>
        <v>750000</v>
      </c>
      <c r="J774" t="s">
        <v>67</v>
      </c>
      <c r="K774" t="str">
        <f>IFERROR(INDEX(Katalog!$A$3:$A$12,MATCH(Data[[#This Row],[ItemID B]],Katalog!$C$3:$C$12,0)),"-")</f>
        <v>Sepatu Wanita</v>
      </c>
      <c r="L774" t="str">
        <f>IFERROR(INDEX(Katalog!$B$3:$B$12,MATCH(Data[[#This Row],[ItemID B]],Katalog!$C$3:$C$12,0)),"-")</f>
        <v>Flat Shoes</v>
      </c>
      <c r="M774">
        <v>2</v>
      </c>
      <c r="N774">
        <v>2</v>
      </c>
      <c r="O774" s="36">
        <f>IFERROR(INDEX(Katalog!$D$3:$D$12,MATCH(Data[[#This Row],[ItemID B]],Katalog!$C$3:$C$12,0))*Data[[#This Row],[Qty B]],"0")</f>
        <v>500000</v>
      </c>
      <c r="P774" s="36">
        <f>IFERROR(INDEX(Katalog!$F$3:$F$12,MATCH(Data[[#This Row],[ItemID B]],Katalog!$C$3:$C$12,0))*Data[[#This Row],[Qty B]],"0")</f>
        <v>200000</v>
      </c>
      <c r="R774" t="str">
        <f>IFERROR(INDEX(Katalog!$A$3:$A$12,MATCH(Data[[#This Row],[ItemID C]],Katalog!$C$3:$C$12,0)),"-")</f>
        <v>-</v>
      </c>
      <c r="S774" t="str">
        <f>IFERROR(INDEX(Katalog!$B$3:$B$12,MATCH(Data[[#This Row],[ItemID C]],Katalog!$C$3:$C$12,0)),"-")</f>
        <v>-</v>
      </c>
      <c r="V774" s="36" t="str">
        <f>IFERROR(INDEX(Katalog!$D$3:$D$12,MATCH(Data[[#This Row],[ItemID C]],Katalog!$C$3:$C$12,0))*Data[[#This Row],[Qty C]],"0")</f>
        <v>0</v>
      </c>
      <c r="W774" s="36" t="str">
        <f>IFERROR(INDEX(Katalog!$F$3:$F$12,MATCH(Data[[#This Row],[ItemID C]],Katalog!$C$3:$C$12,0))*Data[[#This Row],[Qty C]],"0")</f>
        <v>0</v>
      </c>
      <c r="X774" s="21">
        <f>Data[[#This Row],[Qty A]]+Data[[#This Row],[Qty B]]+Data[[#This Row],[Qty C]]</f>
        <v>7</v>
      </c>
      <c r="Y774" s="22">
        <f>Data[[#This Row],[Harga Barang A]]+Data[[#This Row],[Harga Barang B]]+Data[[#This Row],[Harga Barang C]]</f>
        <v>2500000</v>
      </c>
      <c r="Z774" s="35">
        <f>IFERROR(Data[[#This Row],[Total Harga]]-(Data[[#This Row],[Total Harga]]*Data[[#This Row],[Diskon]]),Data[[#This Row],[Total Harga]])</f>
        <v>2000000</v>
      </c>
      <c r="AA774" s="35">
        <f>(Data[[#This Row],[Profit A]]+Data[[#This Row],[Profit B]]+Data[[#This Row],[Profit C]])</f>
        <v>950000</v>
      </c>
      <c r="AB774" s="35">
        <f>IFERROR((Data[[#This Row],[Profit non Diskon]]-(Data[[#This Row],[Profit non Diskon]]*Data[[#This Row],[Diskon]])),Data[[#This Row],[Profit non Diskon]])</f>
        <v>760000</v>
      </c>
      <c r="AC774" s="23" t="s">
        <v>8</v>
      </c>
      <c r="AD774" s="37">
        <f>IFERROR(INDEX('Kode Diskon'!$D$3:$D$9,MATCH(Data[[#This Row],[Kode diskon]],'Kode Diskon'!$C$3:$C$9,0)),"-")</f>
        <v>0.2</v>
      </c>
      <c r="AE774" s="23" t="s">
        <v>9</v>
      </c>
      <c r="AF774" s="23" t="s">
        <v>7</v>
      </c>
      <c r="AG774" s="23" t="s">
        <v>80</v>
      </c>
      <c r="AH774" s="24">
        <v>45032</v>
      </c>
      <c r="AI774" s="23" t="str">
        <f>TEXT(Data[[#This Row],[Tanggal terjual]],"dddd")</f>
        <v>Sunday</v>
      </c>
      <c r="AJ774" s="21" t="str">
        <f>TEXT(Data[[#This Row],[Tanggal terjual]],"wwww")</f>
        <v>wwww</v>
      </c>
    </row>
    <row r="775" spans="1:36" x14ac:dyDescent="0.2">
      <c r="A775" s="20">
        <v>774</v>
      </c>
      <c r="B775" s="21" t="str">
        <f>_xlfn.CONCAT("ORD-",INDEX(Helper!$B$2:$B$5,MATCH(Data[[#This Row],[Marketplace]],Helper!$A$2:$A$5,0)),TEXT(Data[[#This Row],[No]],"0000"),"-",TEXT(Data[[#This Row],[Tanggal terjual]],"dd/mm/yy"))</f>
        <v>ORD-SP0774-17/04/23</v>
      </c>
      <c r="C775" t="s">
        <v>67</v>
      </c>
      <c r="D775" t="str">
        <f>IFERROR(INDEX(Katalog!$A$3:$A$12,MATCH(Data[[#This Row],[ItemID A]],Katalog!$C$3:$C$12,0)),"-")</f>
        <v>Sepatu Wanita</v>
      </c>
      <c r="E775" t="str">
        <f>IFERROR(INDEX(Katalog!$B$3:$B$12,MATCH(Data[[#This Row],[ItemID A]],Katalog!$C$3:$C$12,0)),"-")</f>
        <v>Flat Shoes</v>
      </c>
      <c r="F775">
        <v>1</v>
      </c>
      <c r="G775">
        <v>3</v>
      </c>
      <c r="H775" s="36">
        <f>IFERROR(INDEX(Katalog!$D$3:$D$12,MATCH(Data[[#This Row],[ItemID A]],Katalog!$C$3:$C$12,0))*Data[[#This Row],[Qty A]],"0")</f>
        <v>250000</v>
      </c>
      <c r="I775" s="36">
        <f>IFERROR(INDEX(Katalog!$F$3:$F$12,MATCH(Data[[#This Row],[ItemID A]],Katalog!$C$3:$C$12,0))*Data[[#This Row],[Qty A]],0)</f>
        <v>100000</v>
      </c>
      <c r="K775" t="str">
        <f>IFERROR(INDEX(Katalog!$A$3:$A$12,MATCH(Data[[#This Row],[ItemID B]],Katalog!$C$3:$C$12,0)),"-")</f>
        <v>-</v>
      </c>
      <c r="L775" t="str">
        <f>IFERROR(INDEX(Katalog!$B$3:$B$12,MATCH(Data[[#This Row],[ItemID B]],Katalog!$C$3:$C$12,0)),"-")</f>
        <v>-</v>
      </c>
      <c r="O775" s="36" t="str">
        <f>IFERROR(INDEX(Katalog!$D$3:$D$12,MATCH(Data[[#This Row],[ItemID B]],Katalog!$C$3:$C$12,0))*Data[[#This Row],[Qty B]],"0")</f>
        <v>0</v>
      </c>
      <c r="P775" s="36" t="str">
        <f>IFERROR(INDEX(Katalog!$F$3:$F$12,MATCH(Data[[#This Row],[ItemID B]],Katalog!$C$3:$C$12,0))*Data[[#This Row],[Qty B]],"0")</f>
        <v>0</v>
      </c>
      <c r="R775" t="str">
        <f>IFERROR(INDEX(Katalog!$A$3:$A$12,MATCH(Data[[#This Row],[ItemID C]],Katalog!$C$3:$C$12,0)),"-")</f>
        <v>-</v>
      </c>
      <c r="S775" t="str">
        <f>IFERROR(INDEX(Katalog!$B$3:$B$12,MATCH(Data[[#This Row],[ItemID C]],Katalog!$C$3:$C$12,0)),"-")</f>
        <v>-</v>
      </c>
      <c r="V775" s="36" t="str">
        <f>IFERROR(INDEX(Katalog!$D$3:$D$12,MATCH(Data[[#This Row],[ItemID C]],Katalog!$C$3:$C$12,0))*Data[[#This Row],[Qty C]],"0")</f>
        <v>0</v>
      </c>
      <c r="W775" s="36" t="str">
        <f>IFERROR(INDEX(Katalog!$F$3:$F$12,MATCH(Data[[#This Row],[ItemID C]],Katalog!$C$3:$C$12,0))*Data[[#This Row],[Qty C]],"0")</f>
        <v>0</v>
      </c>
      <c r="X775" s="21">
        <f>Data[[#This Row],[Qty A]]+Data[[#This Row],[Qty B]]+Data[[#This Row],[Qty C]]</f>
        <v>1</v>
      </c>
      <c r="Y775" s="22">
        <f>Data[[#This Row],[Harga Barang A]]+Data[[#This Row],[Harga Barang B]]+Data[[#This Row],[Harga Barang C]]</f>
        <v>250000</v>
      </c>
      <c r="Z775" s="35">
        <f>IFERROR(Data[[#This Row],[Total Harga]]-(Data[[#This Row],[Total Harga]]*Data[[#This Row],[Diskon]]),Data[[#This Row],[Total Harga]])</f>
        <v>200000</v>
      </c>
      <c r="AA775" s="35">
        <f>(Data[[#This Row],[Profit A]]+Data[[#This Row],[Profit B]]+Data[[#This Row],[Profit C]])</f>
        <v>100000</v>
      </c>
      <c r="AB775" s="35">
        <f>IFERROR((Data[[#This Row],[Profit non Diskon]]-(Data[[#This Row],[Profit non Diskon]]*Data[[#This Row],[Diskon]])),Data[[#This Row],[Profit non Diskon]])</f>
        <v>80000</v>
      </c>
      <c r="AC775" s="23" t="s">
        <v>8</v>
      </c>
      <c r="AD775" s="37">
        <f>IFERROR(INDEX('Kode Diskon'!$D$3:$D$9,MATCH(Data[[#This Row],[Kode diskon]],'Kode Diskon'!$C$3:$C$9,0)),"-")</f>
        <v>0.2</v>
      </c>
      <c r="AE775" s="23" t="s">
        <v>9</v>
      </c>
      <c r="AF775" s="23" t="s">
        <v>7</v>
      </c>
      <c r="AG775" s="23" t="s">
        <v>76</v>
      </c>
      <c r="AH775" s="24">
        <v>45033</v>
      </c>
      <c r="AI775" s="23" t="str">
        <f>TEXT(Data[[#This Row],[Tanggal terjual]],"dddd")</f>
        <v>Monday</v>
      </c>
      <c r="AJ775" s="21" t="str">
        <f>TEXT(Data[[#This Row],[Tanggal terjual]],"wwww")</f>
        <v>wwww</v>
      </c>
    </row>
    <row r="776" spans="1:36" x14ac:dyDescent="0.2">
      <c r="A776" s="20">
        <v>775</v>
      </c>
      <c r="B776" s="21" t="str">
        <f>_xlfn.CONCAT("ORD-",INDEX(Helper!$B$2:$B$5,MATCH(Data[[#This Row],[Marketplace]],Helper!$A$2:$A$5,0)),TEXT(Data[[#This Row],[No]],"0000"),"-",TEXT(Data[[#This Row],[Tanggal terjual]],"dd/mm/yy"))</f>
        <v>ORD-BB0775-03/04/23</v>
      </c>
      <c r="C776" t="s">
        <v>63</v>
      </c>
      <c r="D776" t="str">
        <f>IFERROR(INDEX(Katalog!$A$3:$A$12,MATCH(Data[[#This Row],[ItemID A]],Katalog!$C$3:$C$12,0)),"-")</f>
        <v>Pakaian Pria</v>
      </c>
      <c r="E776" t="str">
        <f>IFERROR(INDEX(Katalog!$B$3:$B$12,MATCH(Data[[#This Row],[ItemID A]],Katalog!$C$3:$C$12,0)),"-")</f>
        <v>Jaket Jeans</v>
      </c>
      <c r="F776">
        <v>1</v>
      </c>
      <c r="G776">
        <v>5</v>
      </c>
      <c r="H776" s="36">
        <f>IFERROR(INDEX(Katalog!$D$3:$D$12,MATCH(Data[[#This Row],[ItemID A]],Katalog!$C$3:$C$12,0))*Data[[#This Row],[Qty A]],"0")</f>
        <v>400000</v>
      </c>
      <c r="I776" s="36">
        <f>IFERROR(INDEX(Katalog!$F$3:$F$12,MATCH(Data[[#This Row],[ItemID A]],Katalog!$C$3:$C$12,0))*Data[[#This Row],[Qty A]],0)</f>
        <v>150000</v>
      </c>
      <c r="J776" t="s">
        <v>59</v>
      </c>
      <c r="K776" t="str">
        <f>IFERROR(INDEX(Katalog!$A$3:$A$12,MATCH(Data[[#This Row],[ItemID B]],Katalog!$C$3:$C$12,0)),"-")</f>
        <v>Pakaian Wanita</v>
      </c>
      <c r="L776" t="str">
        <f>IFERROR(INDEX(Katalog!$B$3:$B$12,MATCH(Data[[#This Row],[ItemID B]],Katalog!$C$3:$C$12,0)),"-")</f>
        <v>Blouse</v>
      </c>
      <c r="M776">
        <v>2</v>
      </c>
      <c r="N776">
        <v>3</v>
      </c>
      <c r="O776" s="36">
        <f>IFERROR(INDEX(Katalog!$D$3:$D$12,MATCH(Data[[#This Row],[ItemID B]],Katalog!$C$3:$C$12,0))*Data[[#This Row],[Qty B]],"0")</f>
        <v>300000</v>
      </c>
      <c r="P776" s="36">
        <f>IFERROR(INDEX(Katalog!$F$3:$F$12,MATCH(Data[[#This Row],[ItemID B]],Katalog!$C$3:$C$12,0))*Data[[#This Row],[Qty B]],"0")</f>
        <v>100000</v>
      </c>
      <c r="Q776" t="s">
        <v>61</v>
      </c>
      <c r="R776" t="str">
        <f>IFERROR(INDEX(Katalog!$A$3:$A$12,MATCH(Data[[#This Row],[ItemID C]],Katalog!$C$3:$C$12,0)),"-")</f>
        <v>Pakaian Pria</v>
      </c>
      <c r="S776" t="str">
        <f>IFERROR(INDEX(Katalog!$B$3:$B$12,MATCH(Data[[#This Row],[ItemID C]],Katalog!$C$3:$C$12,0)),"-")</f>
        <v>Kaos Polo</v>
      </c>
      <c r="T776">
        <v>1</v>
      </c>
      <c r="U776">
        <v>5</v>
      </c>
      <c r="V776" s="36">
        <f>IFERROR(INDEX(Katalog!$D$3:$D$12,MATCH(Data[[#This Row],[ItemID C]],Katalog!$C$3:$C$12,0))*Data[[#This Row],[Qty C]],"0")</f>
        <v>200000</v>
      </c>
      <c r="W776" s="36">
        <f>IFERROR(INDEX(Katalog!$F$3:$F$12,MATCH(Data[[#This Row],[ItemID C]],Katalog!$C$3:$C$12,0))*Data[[#This Row],[Qty C]],"0")</f>
        <v>80000</v>
      </c>
      <c r="X776" s="21">
        <f>Data[[#This Row],[Qty A]]+Data[[#This Row],[Qty B]]+Data[[#This Row],[Qty C]]</f>
        <v>4</v>
      </c>
      <c r="Y776" s="22">
        <f>Data[[#This Row],[Harga Barang A]]+Data[[#This Row],[Harga Barang B]]+Data[[#This Row],[Harga Barang C]]</f>
        <v>900000</v>
      </c>
      <c r="Z776" s="35">
        <f>IFERROR(Data[[#This Row],[Total Harga]]-(Data[[#This Row],[Total Harga]]*Data[[#This Row],[Diskon]]),Data[[#This Row],[Total Harga]])</f>
        <v>765000</v>
      </c>
      <c r="AA776" s="35">
        <f>(Data[[#This Row],[Profit A]]+Data[[#This Row],[Profit B]]+Data[[#This Row],[Profit C]])</f>
        <v>330000</v>
      </c>
      <c r="AB776" s="35">
        <f>IFERROR((Data[[#This Row],[Profit non Diskon]]-(Data[[#This Row],[Profit non Diskon]]*Data[[#This Row],[Diskon]])),Data[[#This Row],[Profit non Diskon]])</f>
        <v>280500</v>
      </c>
      <c r="AC776" s="23" t="s">
        <v>28</v>
      </c>
      <c r="AD776" s="37">
        <f>IFERROR(INDEX('Kode Diskon'!$D$3:$D$9,MATCH(Data[[#This Row],[Kode diskon]],'Kode Diskon'!$C$3:$C$9,0)),"-")</f>
        <v>0.15</v>
      </c>
      <c r="AE776" s="23" t="s">
        <v>29</v>
      </c>
      <c r="AF776" s="23" t="s">
        <v>14</v>
      </c>
      <c r="AG776" s="23" t="s">
        <v>76</v>
      </c>
      <c r="AH776" s="24">
        <v>45019</v>
      </c>
      <c r="AI776" s="23" t="str">
        <f>TEXT(Data[[#This Row],[Tanggal terjual]],"dddd")</f>
        <v>Monday</v>
      </c>
      <c r="AJ776" s="21" t="str">
        <f>TEXT(Data[[#This Row],[Tanggal terjual]],"wwww")</f>
        <v>wwww</v>
      </c>
    </row>
    <row r="777" spans="1:36" x14ac:dyDescent="0.2">
      <c r="A777" s="20">
        <v>776</v>
      </c>
      <c r="B777" s="21" t="str">
        <f>_xlfn.CONCAT("ORD-",INDEX(Helper!$B$2:$B$5,MATCH(Data[[#This Row],[Marketplace]],Helper!$A$2:$A$5,0)),TEXT(Data[[#This Row],[No]],"0000"),"-",TEXT(Data[[#This Row],[Tanggal terjual]],"dd/mm/yy"))</f>
        <v>ORD-SP0776-03/04/23</v>
      </c>
      <c r="C777" t="s">
        <v>67</v>
      </c>
      <c r="D777" t="str">
        <f>IFERROR(INDEX(Katalog!$A$3:$A$12,MATCH(Data[[#This Row],[ItemID A]],Katalog!$C$3:$C$12,0)),"-")</f>
        <v>Sepatu Wanita</v>
      </c>
      <c r="E777" t="str">
        <f>IFERROR(INDEX(Katalog!$B$3:$B$12,MATCH(Data[[#This Row],[ItemID A]],Katalog!$C$3:$C$12,0)),"-")</f>
        <v>Flat Shoes</v>
      </c>
      <c r="F777">
        <v>1</v>
      </c>
      <c r="G777">
        <v>1</v>
      </c>
      <c r="H777" s="36">
        <f>IFERROR(INDEX(Katalog!$D$3:$D$12,MATCH(Data[[#This Row],[ItemID A]],Katalog!$C$3:$C$12,0))*Data[[#This Row],[Qty A]],"0")</f>
        <v>250000</v>
      </c>
      <c r="I777" s="36">
        <f>IFERROR(INDEX(Katalog!$F$3:$F$12,MATCH(Data[[#This Row],[ItemID A]],Katalog!$C$3:$C$12,0))*Data[[#This Row],[Qty A]],0)</f>
        <v>100000</v>
      </c>
      <c r="J777" t="s">
        <v>59</v>
      </c>
      <c r="K777" t="str">
        <f>IFERROR(INDEX(Katalog!$A$3:$A$12,MATCH(Data[[#This Row],[ItemID B]],Katalog!$C$3:$C$12,0)),"-")</f>
        <v>Pakaian Wanita</v>
      </c>
      <c r="L777" t="str">
        <f>IFERROR(INDEX(Katalog!$B$3:$B$12,MATCH(Data[[#This Row],[ItemID B]],Katalog!$C$3:$C$12,0)),"-")</f>
        <v>Blouse</v>
      </c>
      <c r="M777">
        <v>1</v>
      </c>
      <c r="N777">
        <v>1</v>
      </c>
      <c r="O777" s="36">
        <f>IFERROR(INDEX(Katalog!$D$3:$D$12,MATCH(Data[[#This Row],[ItemID B]],Katalog!$C$3:$C$12,0))*Data[[#This Row],[Qty B]],"0")</f>
        <v>150000</v>
      </c>
      <c r="P777" s="36">
        <f>IFERROR(INDEX(Katalog!$F$3:$F$12,MATCH(Data[[#This Row],[ItemID B]],Katalog!$C$3:$C$12,0))*Data[[#This Row],[Qty B]],"0")</f>
        <v>50000</v>
      </c>
      <c r="Q777" t="s">
        <v>63</v>
      </c>
      <c r="R777" t="str">
        <f>IFERROR(INDEX(Katalog!$A$3:$A$12,MATCH(Data[[#This Row],[ItemID C]],Katalog!$C$3:$C$12,0)),"-")</f>
        <v>Pakaian Pria</v>
      </c>
      <c r="S777" t="str">
        <f>IFERROR(INDEX(Katalog!$B$3:$B$12,MATCH(Data[[#This Row],[ItemID C]],Katalog!$C$3:$C$12,0)),"-")</f>
        <v>Jaket Jeans</v>
      </c>
      <c r="T777">
        <v>1</v>
      </c>
      <c r="U777">
        <v>2</v>
      </c>
      <c r="V777" s="36">
        <f>IFERROR(INDEX(Katalog!$D$3:$D$12,MATCH(Data[[#This Row],[ItemID C]],Katalog!$C$3:$C$12,0))*Data[[#This Row],[Qty C]],"0")</f>
        <v>400000</v>
      </c>
      <c r="W777" s="36">
        <f>IFERROR(INDEX(Katalog!$F$3:$F$12,MATCH(Data[[#This Row],[ItemID C]],Katalog!$C$3:$C$12,0))*Data[[#This Row],[Qty C]],"0")</f>
        <v>150000</v>
      </c>
      <c r="X777" s="21">
        <f>Data[[#This Row],[Qty A]]+Data[[#This Row],[Qty B]]+Data[[#This Row],[Qty C]]</f>
        <v>3</v>
      </c>
      <c r="Y777" s="22">
        <f>Data[[#This Row],[Harga Barang A]]+Data[[#This Row],[Harga Barang B]]+Data[[#This Row],[Harga Barang C]]</f>
        <v>800000</v>
      </c>
      <c r="Z777" s="35">
        <f>IFERROR(Data[[#This Row],[Total Harga]]-(Data[[#This Row],[Total Harga]]*Data[[#This Row],[Diskon]]),Data[[#This Row],[Total Harga]])</f>
        <v>720000</v>
      </c>
      <c r="AA777" s="35">
        <f>(Data[[#This Row],[Profit A]]+Data[[#This Row],[Profit B]]+Data[[#This Row],[Profit C]])</f>
        <v>300000</v>
      </c>
      <c r="AB777" s="35">
        <f>IFERROR((Data[[#This Row],[Profit non Diskon]]-(Data[[#This Row],[Profit non Diskon]]*Data[[#This Row],[Diskon]])),Data[[#This Row],[Profit non Diskon]])</f>
        <v>270000</v>
      </c>
      <c r="AC777" s="23" t="s">
        <v>6</v>
      </c>
      <c r="AD777" s="37">
        <f>IFERROR(INDEX('Kode Diskon'!$D$3:$D$9,MATCH(Data[[#This Row],[Kode diskon]],'Kode Diskon'!$C$3:$C$9,0)),"-")</f>
        <v>0.1</v>
      </c>
      <c r="AE777" s="23" t="s">
        <v>29</v>
      </c>
      <c r="AF777" s="23" t="s">
        <v>7</v>
      </c>
      <c r="AG777" s="23" t="s">
        <v>75</v>
      </c>
      <c r="AH777" s="24">
        <v>45019</v>
      </c>
      <c r="AI777" s="23" t="str">
        <f>TEXT(Data[[#This Row],[Tanggal terjual]],"dddd")</f>
        <v>Monday</v>
      </c>
      <c r="AJ777" s="21" t="str">
        <f>TEXT(Data[[#This Row],[Tanggal terjual]],"wwww")</f>
        <v>wwww</v>
      </c>
    </row>
    <row r="778" spans="1:36" x14ac:dyDescent="0.2">
      <c r="A778" s="20">
        <v>777</v>
      </c>
      <c r="B778" s="21" t="str">
        <f>_xlfn.CONCAT("ORD-",INDEX(Helper!$B$2:$B$5,MATCH(Data[[#This Row],[Marketplace]],Helper!$A$2:$A$5,0)),TEXT(Data[[#This Row],[No]],"0000"),"-",TEXT(Data[[#This Row],[Tanggal terjual]],"dd/mm/yy"))</f>
        <v>ORD-TK0777-03/04/23</v>
      </c>
      <c r="C778" t="s">
        <v>59</v>
      </c>
      <c r="D778" t="str">
        <f>IFERROR(INDEX(Katalog!$A$3:$A$12,MATCH(Data[[#This Row],[ItemID A]],Katalog!$C$3:$C$12,0)),"-")</f>
        <v>Pakaian Wanita</v>
      </c>
      <c r="E778" t="str">
        <f>IFERROR(INDEX(Katalog!$B$3:$B$12,MATCH(Data[[#This Row],[ItemID A]],Katalog!$C$3:$C$12,0)),"-")</f>
        <v>Blouse</v>
      </c>
      <c r="F778">
        <v>2</v>
      </c>
      <c r="G778">
        <v>2</v>
      </c>
      <c r="H778" s="36">
        <f>IFERROR(INDEX(Katalog!$D$3:$D$12,MATCH(Data[[#This Row],[ItemID A]],Katalog!$C$3:$C$12,0))*Data[[#This Row],[Qty A]],"0")</f>
        <v>300000</v>
      </c>
      <c r="I778" s="36">
        <f>IFERROR(INDEX(Katalog!$F$3:$F$12,MATCH(Data[[#This Row],[ItemID A]],Katalog!$C$3:$C$12,0))*Data[[#This Row],[Qty A]],0)</f>
        <v>100000</v>
      </c>
      <c r="J778" t="s">
        <v>61</v>
      </c>
      <c r="K778" t="str">
        <f>IFERROR(INDEX(Katalog!$A$3:$A$12,MATCH(Data[[#This Row],[ItemID B]],Katalog!$C$3:$C$12,0)),"-")</f>
        <v>Pakaian Pria</v>
      </c>
      <c r="L778" t="str">
        <f>IFERROR(INDEX(Katalog!$B$3:$B$12,MATCH(Data[[#This Row],[ItemID B]],Katalog!$C$3:$C$12,0)),"-")</f>
        <v>Kaos Polo</v>
      </c>
      <c r="M778">
        <v>3</v>
      </c>
      <c r="N778">
        <v>4</v>
      </c>
      <c r="O778" s="36">
        <f>IFERROR(INDEX(Katalog!$D$3:$D$12,MATCH(Data[[#This Row],[ItemID B]],Katalog!$C$3:$C$12,0))*Data[[#This Row],[Qty B]],"0")</f>
        <v>600000</v>
      </c>
      <c r="P778" s="36">
        <f>IFERROR(INDEX(Katalog!$F$3:$F$12,MATCH(Data[[#This Row],[ItemID B]],Katalog!$C$3:$C$12,0))*Data[[#This Row],[Qty B]],"0")</f>
        <v>240000</v>
      </c>
      <c r="R778" t="str">
        <f>IFERROR(INDEX(Katalog!$A$3:$A$12,MATCH(Data[[#This Row],[ItemID C]],Katalog!$C$3:$C$12,0)),"-")</f>
        <v>-</v>
      </c>
      <c r="S778" t="str">
        <f>IFERROR(INDEX(Katalog!$B$3:$B$12,MATCH(Data[[#This Row],[ItemID C]],Katalog!$C$3:$C$12,0)),"-")</f>
        <v>-</v>
      </c>
      <c r="V778" s="36" t="str">
        <f>IFERROR(INDEX(Katalog!$D$3:$D$12,MATCH(Data[[#This Row],[ItemID C]],Katalog!$C$3:$C$12,0))*Data[[#This Row],[Qty C]],"0")</f>
        <v>0</v>
      </c>
      <c r="W778" s="36" t="str">
        <f>IFERROR(INDEX(Katalog!$F$3:$F$12,MATCH(Data[[#This Row],[ItemID C]],Katalog!$C$3:$C$12,0))*Data[[#This Row],[Qty C]],"0")</f>
        <v>0</v>
      </c>
      <c r="X778" s="21">
        <f>Data[[#This Row],[Qty A]]+Data[[#This Row],[Qty B]]+Data[[#This Row],[Qty C]]</f>
        <v>5</v>
      </c>
      <c r="Y778" s="22">
        <f>Data[[#This Row],[Harga Barang A]]+Data[[#This Row],[Harga Barang B]]+Data[[#This Row],[Harga Barang C]]</f>
        <v>900000</v>
      </c>
      <c r="Z778" s="35">
        <f>IFERROR(Data[[#This Row],[Total Harga]]-(Data[[#This Row],[Total Harga]]*Data[[#This Row],[Diskon]]),Data[[#This Row],[Total Harga]])</f>
        <v>810000</v>
      </c>
      <c r="AA778" s="35">
        <f>(Data[[#This Row],[Profit A]]+Data[[#This Row],[Profit B]]+Data[[#This Row],[Profit C]])</f>
        <v>340000</v>
      </c>
      <c r="AB778" s="35">
        <f>IFERROR((Data[[#This Row],[Profit non Diskon]]-(Data[[#This Row],[Profit non Diskon]]*Data[[#This Row],[Diskon]])),Data[[#This Row],[Profit non Diskon]])</f>
        <v>306000</v>
      </c>
      <c r="AC778" s="23" t="s">
        <v>30</v>
      </c>
      <c r="AD778" s="37">
        <f>IFERROR(INDEX('Kode Diskon'!$D$3:$D$9,MATCH(Data[[#This Row],[Kode diskon]],'Kode Diskon'!$C$3:$C$9,0)),"-")</f>
        <v>0.1</v>
      </c>
      <c r="AE778" s="23" t="s">
        <v>29</v>
      </c>
      <c r="AF778" s="23" t="s">
        <v>10</v>
      </c>
      <c r="AG778" s="23" t="s">
        <v>80</v>
      </c>
      <c r="AH778" s="24">
        <v>45019</v>
      </c>
      <c r="AI778" s="23" t="str">
        <f>TEXT(Data[[#This Row],[Tanggal terjual]],"dddd")</f>
        <v>Monday</v>
      </c>
      <c r="AJ778" s="21" t="str">
        <f>TEXT(Data[[#This Row],[Tanggal terjual]],"wwww")</f>
        <v>wwww</v>
      </c>
    </row>
    <row r="779" spans="1:36" x14ac:dyDescent="0.2">
      <c r="A779" s="20">
        <v>778</v>
      </c>
      <c r="B779" s="21" t="str">
        <f>_xlfn.CONCAT("ORD-",INDEX(Helper!$B$2:$B$5,MATCH(Data[[#This Row],[Marketplace]],Helper!$A$2:$A$5,0)),TEXT(Data[[#This Row],[No]],"0000"),"-",TEXT(Data[[#This Row],[Tanggal terjual]],"dd/mm/yy"))</f>
        <v>ORD-SP0778-01/04/23</v>
      </c>
      <c r="C779" t="s">
        <v>58</v>
      </c>
      <c r="D779" t="str">
        <f>IFERROR(INDEX(Katalog!$A$3:$A$12,MATCH(Data[[#This Row],[ItemID A]],Katalog!$C$3:$C$12,0)),"-")</f>
        <v>Pakaian Wanita</v>
      </c>
      <c r="E779" t="str">
        <f>IFERROR(INDEX(Katalog!$B$3:$B$12,MATCH(Data[[#This Row],[ItemID A]],Katalog!$C$3:$C$12,0)),"-")</f>
        <v>Dress</v>
      </c>
      <c r="F779">
        <v>3</v>
      </c>
      <c r="G779">
        <v>4</v>
      </c>
      <c r="H779" s="36">
        <f>IFERROR(INDEX(Katalog!$D$3:$D$12,MATCH(Data[[#This Row],[ItemID A]],Katalog!$C$3:$C$12,0))*Data[[#This Row],[Qty A]],"0")</f>
        <v>900000</v>
      </c>
      <c r="I779" s="36">
        <f>IFERROR(INDEX(Katalog!$F$3:$F$12,MATCH(Data[[#This Row],[ItemID A]],Katalog!$C$3:$C$12,0))*Data[[#This Row],[Qty A]],0)</f>
        <v>300000</v>
      </c>
      <c r="K779" t="str">
        <f>IFERROR(INDEX(Katalog!$A$3:$A$12,MATCH(Data[[#This Row],[ItemID B]],Katalog!$C$3:$C$12,0)),"-")</f>
        <v>-</v>
      </c>
      <c r="L779" t="str">
        <f>IFERROR(INDEX(Katalog!$B$3:$B$12,MATCH(Data[[#This Row],[ItemID B]],Katalog!$C$3:$C$12,0)),"-")</f>
        <v>-</v>
      </c>
      <c r="O779" s="36" t="str">
        <f>IFERROR(INDEX(Katalog!$D$3:$D$12,MATCH(Data[[#This Row],[ItemID B]],Katalog!$C$3:$C$12,0))*Data[[#This Row],[Qty B]],"0")</f>
        <v>0</v>
      </c>
      <c r="P779" s="36" t="str">
        <f>IFERROR(INDEX(Katalog!$F$3:$F$12,MATCH(Data[[#This Row],[ItemID B]],Katalog!$C$3:$C$12,0))*Data[[#This Row],[Qty B]],"0")</f>
        <v>0</v>
      </c>
      <c r="R779" t="str">
        <f>IFERROR(INDEX(Katalog!$A$3:$A$12,MATCH(Data[[#This Row],[ItemID C]],Katalog!$C$3:$C$12,0)),"-")</f>
        <v>-</v>
      </c>
      <c r="S779" t="str">
        <f>IFERROR(INDEX(Katalog!$B$3:$B$12,MATCH(Data[[#This Row],[ItemID C]],Katalog!$C$3:$C$12,0)),"-")</f>
        <v>-</v>
      </c>
      <c r="V779" s="36" t="str">
        <f>IFERROR(INDEX(Katalog!$D$3:$D$12,MATCH(Data[[#This Row],[ItemID C]],Katalog!$C$3:$C$12,0))*Data[[#This Row],[Qty C]],"0")</f>
        <v>0</v>
      </c>
      <c r="W779" s="36" t="str">
        <f>IFERROR(INDEX(Katalog!$F$3:$F$12,MATCH(Data[[#This Row],[ItemID C]],Katalog!$C$3:$C$12,0))*Data[[#This Row],[Qty C]],"0")</f>
        <v>0</v>
      </c>
      <c r="X779" s="21">
        <f>Data[[#This Row],[Qty A]]+Data[[#This Row],[Qty B]]+Data[[#This Row],[Qty C]]</f>
        <v>3</v>
      </c>
      <c r="Y779" s="22">
        <f>Data[[#This Row],[Harga Barang A]]+Data[[#This Row],[Harga Barang B]]+Data[[#This Row],[Harga Barang C]]</f>
        <v>900000</v>
      </c>
      <c r="Z779" s="35">
        <f>IFERROR(Data[[#This Row],[Total Harga]]-(Data[[#This Row],[Total Harga]]*Data[[#This Row],[Diskon]]),Data[[#This Row],[Total Harga]])</f>
        <v>765000</v>
      </c>
      <c r="AA779" s="35">
        <f>(Data[[#This Row],[Profit A]]+Data[[#This Row],[Profit B]]+Data[[#This Row],[Profit C]])</f>
        <v>300000</v>
      </c>
      <c r="AB779" s="35">
        <f>IFERROR((Data[[#This Row],[Profit non Diskon]]-(Data[[#This Row],[Profit non Diskon]]*Data[[#This Row],[Diskon]])),Data[[#This Row],[Profit non Diskon]])</f>
        <v>255000</v>
      </c>
      <c r="AC779" s="23" t="s">
        <v>13</v>
      </c>
      <c r="AD779" s="37">
        <f>IFERROR(INDEX('Kode Diskon'!$D$3:$D$9,MATCH(Data[[#This Row],[Kode diskon]],'Kode Diskon'!$C$3:$C$9,0)),"-")</f>
        <v>0.15</v>
      </c>
      <c r="AE779" s="23" t="s">
        <v>29</v>
      </c>
      <c r="AF779" s="23" t="s">
        <v>7</v>
      </c>
      <c r="AG779" s="23" t="s">
        <v>80</v>
      </c>
      <c r="AH779" s="24">
        <v>45017</v>
      </c>
      <c r="AI779" s="23" t="str">
        <f>TEXT(Data[[#This Row],[Tanggal terjual]],"dddd")</f>
        <v>Saturday</v>
      </c>
      <c r="AJ779" s="21" t="str">
        <f>TEXT(Data[[#This Row],[Tanggal terjual]],"wwww")</f>
        <v>wwww</v>
      </c>
    </row>
    <row r="780" spans="1:36" x14ac:dyDescent="0.2">
      <c r="A780" s="20">
        <v>779</v>
      </c>
      <c r="B780" s="21" t="str">
        <f>_xlfn.CONCAT("ORD-",INDEX(Helper!$B$2:$B$5,MATCH(Data[[#This Row],[Marketplace]],Helper!$A$2:$A$5,0)),TEXT(Data[[#This Row],[No]],"0000"),"-",TEXT(Data[[#This Row],[Tanggal terjual]],"dd/mm/yy"))</f>
        <v>ORD-TK0779-04/04/23</v>
      </c>
      <c r="C780" t="s">
        <v>60</v>
      </c>
      <c r="D780" t="str">
        <f>IFERROR(INDEX(Katalog!$A$3:$A$12,MATCH(Data[[#This Row],[ItemID A]],Katalog!$C$3:$C$12,0)),"-")</f>
        <v>Pakaian Wanita</v>
      </c>
      <c r="E780" t="str">
        <f>IFERROR(INDEX(Katalog!$B$3:$B$12,MATCH(Data[[#This Row],[ItemID A]],Katalog!$C$3:$C$12,0)),"-")</f>
        <v>Kaftan</v>
      </c>
      <c r="F780">
        <v>1</v>
      </c>
      <c r="G780">
        <v>4</v>
      </c>
      <c r="H780" s="36">
        <f>IFERROR(INDEX(Katalog!$D$3:$D$12,MATCH(Data[[#This Row],[ItemID A]],Katalog!$C$3:$C$12,0))*Data[[#This Row],[Qty A]],"0")</f>
        <v>250000</v>
      </c>
      <c r="I780" s="36">
        <f>IFERROR(INDEX(Katalog!$F$3:$F$12,MATCH(Data[[#This Row],[ItemID A]],Katalog!$C$3:$C$12,0))*Data[[#This Row],[Qty A]],0)</f>
        <v>100000</v>
      </c>
      <c r="K780" t="str">
        <f>IFERROR(INDEX(Katalog!$A$3:$A$12,MATCH(Data[[#This Row],[ItemID B]],Katalog!$C$3:$C$12,0)),"-")</f>
        <v>-</v>
      </c>
      <c r="L780" t="str">
        <f>IFERROR(INDEX(Katalog!$B$3:$B$12,MATCH(Data[[#This Row],[ItemID B]],Katalog!$C$3:$C$12,0)),"-")</f>
        <v>-</v>
      </c>
      <c r="O780" s="36" t="str">
        <f>IFERROR(INDEX(Katalog!$D$3:$D$12,MATCH(Data[[#This Row],[ItemID B]],Katalog!$C$3:$C$12,0))*Data[[#This Row],[Qty B]],"0")</f>
        <v>0</v>
      </c>
      <c r="P780" s="36" t="str">
        <f>IFERROR(INDEX(Katalog!$F$3:$F$12,MATCH(Data[[#This Row],[ItemID B]],Katalog!$C$3:$C$12,0))*Data[[#This Row],[Qty B]],"0")</f>
        <v>0</v>
      </c>
      <c r="R780" t="str">
        <f>IFERROR(INDEX(Katalog!$A$3:$A$12,MATCH(Data[[#This Row],[ItemID C]],Katalog!$C$3:$C$12,0)),"-")</f>
        <v>-</v>
      </c>
      <c r="S780" t="str">
        <f>IFERROR(INDEX(Katalog!$B$3:$B$12,MATCH(Data[[#This Row],[ItemID C]],Katalog!$C$3:$C$12,0)),"-")</f>
        <v>-</v>
      </c>
      <c r="V780" s="36" t="str">
        <f>IFERROR(INDEX(Katalog!$D$3:$D$12,MATCH(Data[[#This Row],[ItemID C]],Katalog!$C$3:$C$12,0))*Data[[#This Row],[Qty C]],"0")</f>
        <v>0</v>
      </c>
      <c r="W780" s="36" t="str">
        <f>IFERROR(INDEX(Katalog!$F$3:$F$12,MATCH(Data[[#This Row],[ItemID C]],Katalog!$C$3:$C$12,0))*Data[[#This Row],[Qty C]],"0")</f>
        <v>0</v>
      </c>
      <c r="X780" s="21">
        <f>Data[[#This Row],[Qty A]]+Data[[#This Row],[Qty B]]+Data[[#This Row],[Qty C]]</f>
        <v>1</v>
      </c>
      <c r="Y780" s="22">
        <f>Data[[#This Row],[Harga Barang A]]+Data[[#This Row],[Harga Barang B]]+Data[[#This Row],[Harga Barang C]]</f>
        <v>250000</v>
      </c>
      <c r="Z780" s="35">
        <f>IFERROR(Data[[#This Row],[Total Harga]]-(Data[[#This Row],[Total Harga]]*Data[[#This Row],[Diskon]]),Data[[#This Row],[Total Harga]])</f>
        <v>225000</v>
      </c>
      <c r="AA780" s="35">
        <f>(Data[[#This Row],[Profit A]]+Data[[#This Row],[Profit B]]+Data[[#This Row],[Profit C]])</f>
        <v>100000</v>
      </c>
      <c r="AB780" s="35">
        <f>IFERROR((Data[[#This Row],[Profit non Diskon]]-(Data[[#This Row],[Profit non Diskon]]*Data[[#This Row],[Diskon]])),Data[[#This Row],[Profit non Diskon]])</f>
        <v>90000</v>
      </c>
      <c r="AC780" s="23" t="s">
        <v>30</v>
      </c>
      <c r="AD780" s="37">
        <f>IFERROR(INDEX('Kode Diskon'!$D$3:$D$9,MATCH(Data[[#This Row],[Kode diskon]],'Kode Diskon'!$C$3:$C$9,0)),"-")</f>
        <v>0.1</v>
      </c>
      <c r="AE780" s="23" t="s">
        <v>29</v>
      </c>
      <c r="AF780" s="23" t="s">
        <v>10</v>
      </c>
      <c r="AG780" s="23" t="s">
        <v>79</v>
      </c>
      <c r="AH780" s="24">
        <v>45020</v>
      </c>
      <c r="AI780" s="23" t="str">
        <f>TEXT(Data[[#This Row],[Tanggal terjual]],"dddd")</f>
        <v>Tuesday</v>
      </c>
      <c r="AJ780" s="21" t="str">
        <f>TEXT(Data[[#This Row],[Tanggal terjual]],"wwww")</f>
        <v>wwww</v>
      </c>
    </row>
    <row r="781" spans="1:36" x14ac:dyDescent="0.2">
      <c r="A781" s="20">
        <v>780</v>
      </c>
      <c r="B781" s="21" t="str">
        <f>_xlfn.CONCAT("ORD-",INDEX(Helper!$B$2:$B$5,MATCH(Data[[#This Row],[Marketplace]],Helper!$A$2:$A$5,0)),TEXT(Data[[#This Row],[No]],"0000"),"-",TEXT(Data[[#This Row],[Tanggal terjual]],"dd/mm/yy"))</f>
        <v>ORD-SP0780-01/04/23</v>
      </c>
      <c r="C781" t="s">
        <v>65</v>
      </c>
      <c r="D781" t="str">
        <f>IFERROR(INDEX(Katalog!$A$3:$A$12,MATCH(Data[[#This Row],[ItemID A]],Katalog!$C$3:$C$12,0)),"-")</f>
        <v>Sepatu Pria</v>
      </c>
      <c r="E781" t="str">
        <f>IFERROR(INDEX(Katalog!$B$3:$B$12,MATCH(Data[[#This Row],[ItemID A]],Katalog!$C$3:$C$12,0)),"-")</f>
        <v>Sneakers</v>
      </c>
      <c r="F781">
        <v>2</v>
      </c>
      <c r="G781">
        <v>4</v>
      </c>
      <c r="H781" s="36">
        <f>IFERROR(INDEX(Katalog!$D$3:$D$12,MATCH(Data[[#This Row],[ItemID A]],Katalog!$C$3:$C$12,0))*Data[[#This Row],[Qty A]],"0")</f>
        <v>1000000</v>
      </c>
      <c r="I781" s="36">
        <f>IFERROR(INDEX(Katalog!$F$3:$F$12,MATCH(Data[[#This Row],[ItemID A]],Katalog!$C$3:$C$12,0))*Data[[#This Row],[Qty A]],0)</f>
        <v>400000</v>
      </c>
      <c r="J781" t="s">
        <v>58</v>
      </c>
      <c r="K781" t="str">
        <f>IFERROR(INDEX(Katalog!$A$3:$A$12,MATCH(Data[[#This Row],[ItemID B]],Katalog!$C$3:$C$12,0)),"-")</f>
        <v>Pakaian Wanita</v>
      </c>
      <c r="L781" t="str">
        <f>IFERROR(INDEX(Katalog!$B$3:$B$12,MATCH(Data[[#This Row],[ItemID B]],Katalog!$C$3:$C$12,0)),"-")</f>
        <v>Dress</v>
      </c>
      <c r="M781">
        <v>2</v>
      </c>
      <c r="N781">
        <v>2</v>
      </c>
      <c r="O781" s="36">
        <f>IFERROR(INDEX(Katalog!$D$3:$D$12,MATCH(Data[[#This Row],[ItemID B]],Katalog!$C$3:$C$12,0))*Data[[#This Row],[Qty B]],"0")</f>
        <v>600000</v>
      </c>
      <c r="P781" s="36">
        <f>IFERROR(INDEX(Katalog!$F$3:$F$12,MATCH(Data[[#This Row],[ItemID B]],Katalog!$C$3:$C$12,0))*Data[[#This Row],[Qty B]],"0")</f>
        <v>200000</v>
      </c>
      <c r="R781" t="str">
        <f>IFERROR(INDEX(Katalog!$A$3:$A$12,MATCH(Data[[#This Row],[ItemID C]],Katalog!$C$3:$C$12,0)),"-")</f>
        <v>-</v>
      </c>
      <c r="S781" t="str">
        <f>IFERROR(INDEX(Katalog!$B$3:$B$12,MATCH(Data[[#This Row],[ItemID C]],Katalog!$C$3:$C$12,0)),"-")</f>
        <v>-</v>
      </c>
      <c r="V781" s="36" t="str">
        <f>IFERROR(INDEX(Katalog!$D$3:$D$12,MATCH(Data[[#This Row],[ItemID C]],Katalog!$C$3:$C$12,0))*Data[[#This Row],[Qty C]],"0")</f>
        <v>0</v>
      </c>
      <c r="W781" s="36" t="str">
        <f>IFERROR(INDEX(Katalog!$F$3:$F$12,MATCH(Data[[#This Row],[ItemID C]],Katalog!$C$3:$C$12,0))*Data[[#This Row],[Qty C]],"0")</f>
        <v>0</v>
      </c>
      <c r="X781" s="21">
        <f>Data[[#This Row],[Qty A]]+Data[[#This Row],[Qty B]]+Data[[#This Row],[Qty C]]</f>
        <v>4</v>
      </c>
      <c r="Y781" s="22">
        <f>Data[[#This Row],[Harga Barang A]]+Data[[#This Row],[Harga Barang B]]+Data[[#This Row],[Harga Barang C]]</f>
        <v>1600000</v>
      </c>
      <c r="Z781" s="35">
        <f>IFERROR(Data[[#This Row],[Total Harga]]-(Data[[#This Row],[Total Harga]]*Data[[#This Row],[Diskon]]),Data[[#This Row],[Total Harga]])</f>
        <v>1360000</v>
      </c>
      <c r="AA781" s="35">
        <f>(Data[[#This Row],[Profit A]]+Data[[#This Row],[Profit B]]+Data[[#This Row],[Profit C]])</f>
        <v>600000</v>
      </c>
      <c r="AB781" s="35">
        <f>IFERROR((Data[[#This Row],[Profit non Diskon]]-(Data[[#This Row],[Profit non Diskon]]*Data[[#This Row],[Diskon]])),Data[[#This Row],[Profit non Diskon]])</f>
        <v>510000</v>
      </c>
      <c r="AC781" s="23" t="s">
        <v>13</v>
      </c>
      <c r="AD781" s="37">
        <f>IFERROR(INDEX('Kode Diskon'!$D$3:$D$9,MATCH(Data[[#This Row],[Kode diskon]],'Kode Diskon'!$C$3:$C$9,0)),"-")</f>
        <v>0.15</v>
      </c>
      <c r="AE781" s="23" t="s">
        <v>29</v>
      </c>
      <c r="AF781" s="23" t="s">
        <v>7</v>
      </c>
      <c r="AG781" s="23" t="s">
        <v>76</v>
      </c>
      <c r="AH781" s="24">
        <v>45017</v>
      </c>
      <c r="AI781" s="23" t="str">
        <f>TEXT(Data[[#This Row],[Tanggal terjual]],"dddd")</f>
        <v>Saturday</v>
      </c>
      <c r="AJ781" s="21" t="str">
        <f>TEXT(Data[[#This Row],[Tanggal terjual]],"wwww")</f>
        <v>wwww</v>
      </c>
    </row>
    <row r="782" spans="1:36" x14ac:dyDescent="0.2">
      <c r="A782" s="20">
        <v>781</v>
      </c>
      <c r="B782" s="21" t="str">
        <f>_xlfn.CONCAT("ORD-",INDEX(Helper!$B$2:$B$5,MATCH(Data[[#This Row],[Marketplace]],Helper!$A$2:$A$5,0)),TEXT(Data[[#This Row],[No]],"0000"),"-",TEXT(Data[[#This Row],[Tanggal terjual]],"dd/mm/yy"))</f>
        <v>ORD-SP0781-14/04/23</v>
      </c>
      <c r="C782" t="s">
        <v>60</v>
      </c>
      <c r="D782" t="str">
        <f>IFERROR(INDEX(Katalog!$A$3:$A$12,MATCH(Data[[#This Row],[ItemID A]],Katalog!$C$3:$C$12,0)),"-")</f>
        <v>Pakaian Wanita</v>
      </c>
      <c r="E782" t="str">
        <f>IFERROR(INDEX(Katalog!$B$3:$B$12,MATCH(Data[[#This Row],[ItemID A]],Katalog!$C$3:$C$12,0)),"-")</f>
        <v>Kaftan</v>
      </c>
      <c r="F782">
        <v>4</v>
      </c>
      <c r="G782">
        <v>3</v>
      </c>
      <c r="H782" s="36">
        <f>IFERROR(INDEX(Katalog!$D$3:$D$12,MATCH(Data[[#This Row],[ItemID A]],Katalog!$C$3:$C$12,0))*Data[[#This Row],[Qty A]],"0")</f>
        <v>1000000</v>
      </c>
      <c r="I782" s="36">
        <f>IFERROR(INDEX(Katalog!$F$3:$F$12,MATCH(Data[[#This Row],[ItemID A]],Katalog!$C$3:$C$12,0))*Data[[#This Row],[Qty A]],0)</f>
        <v>400000</v>
      </c>
      <c r="K782" t="str">
        <f>IFERROR(INDEX(Katalog!$A$3:$A$12,MATCH(Data[[#This Row],[ItemID B]],Katalog!$C$3:$C$12,0)),"-")</f>
        <v>-</v>
      </c>
      <c r="L782" t="str">
        <f>IFERROR(INDEX(Katalog!$B$3:$B$12,MATCH(Data[[#This Row],[ItemID B]],Katalog!$C$3:$C$12,0)),"-")</f>
        <v>-</v>
      </c>
      <c r="O782" s="36" t="str">
        <f>IFERROR(INDEX(Katalog!$D$3:$D$12,MATCH(Data[[#This Row],[ItemID B]],Katalog!$C$3:$C$12,0))*Data[[#This Row],[Qty B]],"0")</f>
        <v>0</v>
      </c>
      <c r="P782" s="36" t="str">
        <f>IFERROR(INDEX(Katalog!$F$3:$F$12,MATCH(Data[[#This Row],[ItemID B]],Katalog!$C$3:$C$12,0))*Data[[#This Row],[Qty B]],"0")</f>
        <v>0</v>
      </c>
      <c r="R782" t="str">
        <f>IFERROR(INDEX(Katalog!$A$3:$A$12,MATCH(Data[[#This Row],[ItemID C]],Katalog!$C$3:$C$12,0)),"-")</f>
        <v>-</v>
      </c>
      <c r="S782" t="str">
        <f>IFERROR(INDEX(Katalog!$B$3:$B$12,MATCH(Data[[#This Row],[ItemID C]],Katalog!$C$3:$C$12,0)),"-")</f>
        <v>-</v>
      </c>
      <c r="V782" s="36" t="str">
        <f>IFERROR(INDEX(Katalog!$D$3:$D$12,MATCH(Data[[#This Row],[ItemID C]],Katalog!$C$3:$C$12,0))*Data[[#This Row],[Qty C]],"0")</f>
        <v>0</v>
      </c>
      <c r="W782" s="36" t="str">
        <f>IFERROR(INDEX(Katalog!$F$3:$F$12,MATCH(Data[[#This Row],[ItemID C]],Katalog!$C$3:$C$12,0))*Data[[#This Row],[Qty C]],"0")</f>
        <v>0</v>
      </c>
      <c r="X782" s="21">
        <f>Data[[#This Row],[Qty A]]+Data[[#This Row],[Qty B]]+Data[[#This Row],[Qty C]]</f>
        <v>4</v>
      </c>
      <c r="Y782" s="22">
        <f>Data[[#This Row],[Harga Barang A]]+Data[[#This Row],[Harga Barang B]]+Data[[#This Row],[Harga Barang C]]</f>
        <v>1000000</v>
      </c>
      <c r="Z782" s="35">
        <f>IFERROR(Data[[#This Row],[Total Harga]]-(Data[[#This Row],[Total Harga]]*Data[[#This Row],[Diskon]]),Data[[#This Row],[Total Harga]])</f>
        <v>1000000</v>
      </c>
      <c r="AA782" s="35">
        <f>(Data[[#This Row],[Profit A]]+Data[[#This Row],[Profit B]]+Data[[#This Row],[Profit C]])</f>
        <v>400000</v>
      </c>
      <c r="AB782" s="35">
        <f>IFERROR((Data[[#This Row],[Profit non Diskon]]-(Data[[#This Row],[Profit non Diskon]]*Data[[#This Row],[Diskon]])),Data[[#This Row],[Profit non Diskon]])</f>
        <v>400000</v>
      </c>
      <c r="AC782" s="23" t="s">
        <v>11</v>
      </c>
      <c r="AD782" s="37" t="str">
        <f>IFERROR(INDEX('Kode Diskon'!$D$3:$D$9,MATCH(Data[[#This Row],[Kode diskon]],'Kode Diskon'!$C$3:$C$9,0)),"-")</f>
        <v>-</v>
      </c>
      <c r="AE782" s="23" t="s">
        <v>11</v>
      </c>
      <c r="AF782" s="23" t="s">
        <v>7</v>
      </c>
      <c r="AG782" s="23" t="s">
        <v>76</v>
      </c>
      <c r="AH782" s="24">
        <v>45030</v>
      </c>
      <c r="AI782" s="23" t="str">
        <f>TEXT(Data[[#This Row],[Tanggal terjual]],"dddd")</f>
        <v>Friday</v>
      </c>
      <c r="AJ782" s="21" t="str">
        <f>TEXT(Data[[#This Row],[Tanggal terjual]],"wwww")</f>
        <v>wwww</v>
      </c>
    </row>
    <row r="783" spans="1:36" x14ac:dyDescent="0.2">
      <c r="A783" s="20">
        <v>782</v>
      </c>
      <c r="B783" s="21" t="str">
        <f>_xlfn.CONCAT("ORD-",INDEX(Helper!$B$2:$B$5,MATCH(Data[[#This Row],[Marketplace]],Helper!$A$2:$A$5,0)),TEXT(Data[[#This Row],[No]],"0000"),"-",TEXT(Data[[#This Row],[Tanggal terjual]],"dd/mm/yy"))</f>
        <v>ORD-TK0782-03/04/23</v>
      </c>
      <c r="C783" t="s">
        <v>60</v>
      </c>
      <c r="D783" t="str">
        <f>IFERROR(INDEX(Katalog!$A$3:$A$12,MATCH(Data[[#This Row],[ItemID A]],Katalog!$C$3:$C$12,0)),"-")</f>
        <v>Pakaian Wanita</v>
      </c>
      <c r="E783" t="str">
        <f>IFERROR(INDEX(Katalog!$B$3:$B$12,MATCH(Data[[#This Row],[ItemID A]],Katalog!$C$3:$C$12,0)),"-")</f>
        <v>Kaftan</v>
      </c>
      <c r="F783">
        <v>4</v>
      </c>
      <c r="G783">
        <v>5</v>
      </c>
      <c r="H783" s="36">
        <f>IFERROR(INDEX(Katalog!$D$3:$D$12,MATCH(Data[[#This Row],[ItemID A]],Katalog!$C$3:$C$12,0))*Data[[#This Row],[Qty A]],"0")</f>
        <v>1000000</v>
      </c>
      <c r="I783" s="36">
        <f>IFERROR(INDEX(Katalog!$F$3:$F$12,MATCH(Data[[#This Row],[ItemID A]],Katalog!$C$3:$C$12,0))*Data[[#This Row],[Qty A]],0)</f>
        <v>400000</v>
      </c>
      <c r="J783" t="s">
        <v>67</v>
      </c>
      <c r="K783" t="str">
        <f>IFERROR(INDEX(Katalog!$A$3:$A$12,MATCH(Data[[#This Row],[ItemID B]],Katalog!$C$3:$C$12,0)),"-")</f>
        <v>Sepatu Wanita</v>
      </c>
      <c r="L783" t="str">
        <f>IFERROR(INDEX(Katalog!$B$3:$B$12,MATCH(Data[[#This Row],[ItemID B]],Katalog!$C$3:$C$12,0)),"-")</f>
        <v>Flat Shoes</v>
      </c>
      <c r="M783">
        <v>3</v>
      </c>
      <c r="N783">
        <v>1</v>
      </c>
      <c r="O783" s="36">
        <f>IFERROR(INDEX(Katalog!$D$3:$D$12,MATCH(Data[[#This Row],[ItemID B]],Katalog!$C$3:$C$12,0))*Data[[#This Row],[Qty B]],"0")</f>
        <v>750000</v>
      </c>
      <c r="P783" s="36">
        <f>IFERROR(INDEX(Katalog!$F$3:$F$12,MATCH(Data[[#This Row],[ItemID B]],Katalog!$C$3:$C$12,0))*Data[[#This Row],[Qty B]],"0")</f>
        <v>300000</v>
      </c>
      <c r="R783" t="str">
        <f>IFERROR(INDEX(Katalog!$A$3:$A$12,MATCH(Data[[#This Row],[ItemID C]],Katalog!$C$3:$C$12,0)),"-")</f>
        <v>-</v>
      </c>
      <c r="S783" t="str">
        <f>IFERROR(INDEX(Katalog!$B$3:$B$12,MATCH(Data[[#This Row],[ItemID C]],Katalog!$C$3:$C$12,0)),"-")</f>
        <v>-</v>
      </c>
      <c r="V783" s="36" t="str">
        <f>IFERROR(INDEX(Katalog!$D$3:$D$12,MATCH(Data[[#This Row],[ItemID C]],Katalog!$C$3:$C$12,0))*Data[[#This Row],[Qty C]],"0")</f>
        <v>0</v>
      </c>
      <c r="W783" s="36" t="str">
        <f>IFERROR(INDEX(Katalog!$F$3:$F$12,MATCH(Data[[#This Row],[ItemID C]],Katalog!$C$3:$C$12,0))*Data[[#This Row],[Qty C]],"0")</f>
        <v>0</v>
      </c>
      <c r="X783" s="21">
        <f>Data[[#This Row],[Qty A]]+Data[[#This Row],[Qty B]]+Data[[#This Row],[Qty C]]</f>
        <v>7</v>
      </c>
      <c r="Y783" s="22">
        <f>Data[[#This Row],[Harga Barang A]]+Data[[#This Row],[Harga Barang B]]+Data[[#This Row],[Harga Barang C]]</f>
        <v>1750000</v>
      </c>
      <c r="Z783" s="35">
        <f>IFERROR(Data[[#This Row],[Total Harga]]-(Data[[#This Row],[Total Harga]]*Data[[#This Row],[Diskon]]),Data[[#This Row],[Total Harga]])</f>
        <v>1575000</v>
      </c>
      <c r="AA783" s="35">
        <f>(Data[[#This Row],[Profit A]]+Data[[#This Row],[Profit B]]+Data[[#This Row],[Profit C]])</f>
        <v>700000</v>
      </c>
      <c r="AB783" s="35">
        <f>IFERROR((Data[[#This Row],[Profit non Diskon]]-(Data[[#This Row],[Profit non Diskon]]*Data[[#This Row],[Diskon]])),Data[[#This Row],[Profit non Diskon]])</f>
        <v>630000</v>
      </c>
      <c r="AC783" s="23" t="s">
        <v>30</v>
      </c>
      <c r="AD783" s="37">
        <f>IFERROR(INDEX('Kode Diskon'!$D$3:$D$9,MATCH(Data[[#This Row],[Kode diskon]],'Kode Diskon'!$C$3:$C$9,0)),"-")</f>
        <v>0.1</v>
      </c>
      <c r="AE783" s="23" t="s">
        <v>29</v>
      </c>
      <c r="AF783" s="23" t="s">
        <v>10</v>
      </c>
      <c r="AG783" s="23" t="s">
        <v>75</v>
      </c>
      <c r="AH783" s="24">
        <v>45019</v>
      </c>
      <c r="AI783" s="23" t="str">
        <f>TEXT(Data[[#This Row],[Tanggal terjual]],"dddd")</f>
        <v>Monday</v>
      </c>
      <c r="AJ783" s="21" t="str">
        <f>TEXT(Data[[#This Row],[Tanggal terjual]],"wwww")</f>
        <v>wwww</v>
      </c>
    </row>
    <row r="784" spans="1:36" x14ac:dyDescent="0.2">
      <c r="A784" s="20">
        <v>783</v>
      </c>
      <c r="B784" s="21" t="str">
        <f>_xlfn.CONCAT("ORD-",INDEX(Helper!$B$2:$B$5,MATCH(Data[[#This Row],[Marketplace]],Helper!$A$2:$A$5,0)),TEXT(Data[[#This Row],[No]],"0000"),"-",TEXT(Data[[#This Row],[Tanggal terjual]],"dd/mm/yy"))</f>
        <v>ORD-SP0783-02/04/23</v>
      </c>
      <c r="C784" t="s">
        <v>58</v>
      </c>
      <c r="D784" t="str">
        <f>IFERROR(INDEX(Katalog!$A$3:$A$12,MATCH(Data[[#This Row],[ItemID A]],Katalog!$C$3:$C$12,0)),"-")</f>
        <v>Pakaian Wanita</v>
      </c>
      <c r="E784" t="str">
        <f>IFERROR(INDEX(Katalog!$B$3:$B$12,MATCH(Data[[#This Row],[ItemID A]],Katalog!$C$3:$C$12,0)),"-")</f>
        <v>Dress</v>
      </c>
      <c r="F784">
        <v>2</v>
      </c>
      <c r="G784">
        <v>2</v>
      </c>
      <c r="H784" s="36">
        <f>IFERROR(INDEX(Katalog!$D$3:$D$12,MATCH(Data[[#This Row],[ItemID A]],Katalog!$C$3:$C$12,0))*Data[[#This Row],[Qty A]],"0")</f>
        <v>600000</v>
      </c>
      <c r="I784" s="36">
        <f>IFERROR(INDEX(Katalog!$F$3:$F$12,MATCH(Data[[#This Row],[ItemID A]],Katalog!$C$3:$C$12,0))*Data[[#This Row],[Qty A]],0)</f>
        <v>200000</v>
      </c>
      <c r="J784" t="s">
        <v>60</v>
      </c>
      <c r="K784" t="str">
        <f>IFERROR(INDEX(Katalog!$A$3:$A$12,MATCH(Data[[#This Row],[ItemID B]],Katalog!$C$3:$C$12,0)),"-")</f>
        <v>Pakaian Wanita</v>
      </c>
      <c r="L784" t="str">
        <f>IFERROR(INDEX(Katalog!$B$3:$B$12,MATCH(Data[[#This Row],[ItemID B]],Katalog!$C$3:$C$12,0)),"-")</f>
        <v>Kaftan</v>
      </c>
      <c r="M784">
        <v>1</v>
      </c>
      <c r="N784">
        <v>5</v>
      </c>
      <c r="O784" s="36">
        <f>IFERROR(INDEX(Katalog!$D$3:$D$12,MATCH(Data[[#This Row],[ItemID B]],Katalog!$C$3:$C$12,0))*Data[[#This Row],[Qty B]],"0")</f>
        <v>250000</v>
      </c>
      <c r="P784" s="36">
        <f>IFERROR(INDEX(Katalog!$F$3:$F$12,MATCH(Data[[#This Row],[ItemID B]],Katalog!$C$3:$C$12,0))*Data[[#This Row],[Qty B]],"0")</f>
        <v>100000</v>
      </c>
      <c r="Q784" t="s">
        <v>67</v>
      </c>
      <c r="R784" t="str">
        <f>IFERROR(INDEX(Katalog!$A$3:$A$12,MATCH(Data[[#This Row],[ItemID C]],Katalog!$C$3:$C$12,0)),"-")</f>
        <v>Sepatu Wanita</v>
      </c>
      <c r="S784" t="str">
        <f>IFERROR(INDEX(Katalog!$B$3:$B$12,MATCH(Data[[#This Row],[ItemID C]],Katalog!$C$3:$C$12,0)),"-")</f>
        <v>Flat Shoes</v>
      </c>
      <c r="T784">
        <v>1</v>
      </c>
      <c r="U784">
        <v>4</v>
      </c>
      <c r="V784" s="36">
        <f>IFERROR(INDEX(Katalog!$D$3:$D$12,MATCH(Data[[#This Row],[ItemID C]],Katalog!$C$3:$C$12,0))*Data[[#This Row],[Qty C]],"0")</f>
        <v>250000</v>
      </c>
      <c r="W784" s="36">
        <f>IFERROR(INDEX(Katalog!$F$3:$F$12,MATCH(Data[[#This Row],[ItemID C]],Katalog!$C$3:$C$12,0))*Data[[#This Row],[Qty C]],"0")</f>
        <v>100000</v>
      </c>
      <c r="X784" s="21">
        <f>Data[[#This Row],[Qty A]]+Data[[#This Row],[Qty B]]+Data[[#This Row],[Qty C]]</f>
        <v>4</v>
      </c>
      <c r="Y784" s="22">
        <f>Data[[#This Row],[Harga Barang A]]+Data[[#This Row],[Harga Barang B]]+Data[[#This Row],[Harga Barang C]]</f>
        <v>1100000</v>
      </c>
      <c r="Z784" s="35">
        <f>IFERROR(Data[[#This Row],[Total Harga]]-(Data[[#This Row],[Total Harga]]*Data[[#This Row],[Diskon]]),Data[[#This Row],[Total Harga]])</f>
        <v>935000</v>
      </c>
      <c r="AA784" s="35">
        <f>(Data[[#This Row],[Profit A]]+Data[[#This Row],[Profit B]]+Data[[#This Row],[Profit C]])</f>
        <v>400000</v>
      </c>
      <c r="AB784" s="35">
        <f>IFERROR((Data[[#This Row],[Profit non Diskon]]-(Data[[#This Row],[Profit non Diskon]]*Data[[#This Row],[Diskon]])),Data[[#This Row],[Profit non Diskon]])</f>
        <v>340000</v>
      </c>
      <c r="AC784" s="23" t="s">
        <v>13</v>
      </c>
      <c r="AD784" s="37">
        <f>IFERROR(INDEX('Kode Diskon'!$D$3:$D$9,MATCH(Data[[#This Row],[Kode diskon]],'Kode Diskon'!$C$3:$C$9,0)),"-")</f>
        <v>0.15</v>
      </c>
      <c r="AE784" s="23" t="s">
        <v>29</v>
      </c>
      <c r="AF784" s="23" t="s">
        <v>7</v>
      </c>
      <c r="AG784" s="23" t="s">
        <v>79</v>
      </c>
      <c r="AH784" s="24">
        <v>45018</v>
      </c>
      <c r="AI784" s="23" t="str">
        <f>TEXT(Data[[#This Row],[Tanggal terjual]],"dddd")</f>
        <v>Sunday</v>
      </c>
      <c r="AJ784" s="21" t="str">
        <f>TEXT(Data[[#This Row],[Tanggal terjual]],"wwww")</f>
        <v>wwww</v>
      </c>
    </row>
    <row r="785" spans="1:36" x14ac:dyDescent="0.2">
      <c r="A785" s="20">
        <v>784</v>
      </c>
      <c r="B785" s="21" t="str">
        <f>_xlfn.CONCAT("ORD-",INDEX(Helper!$B$2:$B$5,MATCH(Data[[#This Row],[Marketplace]],Helper!$A$2:$A$5,0)),TEXT(Data[[#This Row],[No]],"0000"),"-",TEXT(Data[[#This Row],[Tanggal terjual]],"dd/mm/yy"))</f>
        <v>ORD-SP0784-22/04/23</v>
      </c>
      <c r="C785" t="s">
        <v>66</v>
      </c>
      <c r="D785" t="str">
        <f>IFERROR(INDEX(Katalog!$A$3:$A$12,MATCH(Data[[#This Row],[ItemID A]],Katalog!$C$3:$C$12,0)),"-")</f>
        <v>Sepatu Pria</v>
      </c>
      <c r="E785" t="str">
        <f>IFERROR(INDEX(Katalog!$B$3:$B$12,MATCH(Data[[#This Row],[ItemID A]],Katalog!$C$3:$C$12,0)),"-")</f>
        <v>Sandal Slip On</v>
      </c>
      <c r="F785">
        <v>5</v>
      </c>
      <c r="G785">
        <v>5</v>
      </c>
      <c r="H785" s="36">
        <f>IFERROR(INDEX(Katalog!$D$3:$D$12,MATCH(Data[[#This Row],[ItemID A]],Katalog!$C$3:$C$12,0))*Data[[#This Row],[Qty A]],"0")</f>
        <v>750000</v>
      </c>
      <c r="I785" s="36">
        <f>IFERROR(INDEX(Katalog!$F$3:$F$12,MATCH(Data[[#This Row],[ItemID A]],Katalog!$C$3:$C$12,0))*Data[[#This Row],[Qty A]],0)</f>
        <v>300000</v>
      </c>
      <c r="J785" t="s">
        <v>67</v>
      </c>
      <c r="K785" t="str">
        <f>IFERROR(INDEX(Katalog!$A$3:$A$12,MATCH(Data[[#This Row],[ItemID B]],Katalog!$C$3:$C$12,0)),"-")</f>
        <v>Sepatu Wanita</v>
      </c>
      <c r="L785" t="str">
        <f>IFERROR(INDEX(Katalog!$B$3:$B$12,MATCH(Data[[#This Row],[ItemID B]],Katalog!$C$3:$C$12,0)),"-")</f>
        <v>Flat Shoes</v>
      </c>
      <c r="M785">
        <v>1</v>
      </c>
      <c r="N785">
        <v>2</v>
      </c>
      <c r="O785" s="36">
        <f>IFERROR(INDEX(Katalog!$D$3:$D$12,MATCH(Data[[#This Row],[ItemID B]],Katalog!$C$3:$C$12,0))*Data[[#This Row],[Qty B]],"0")</f>
        <v>250000</v>
      </c>
      <c r="P785" s="36">
        <f>IFERROR(INDEX(Katalog!$F$3:$F$12,MATCH(Data[[#This Row],[ItemID B]],Katalog!$C$3:$C$12,0))*Data[[#This Row],[Qty B]],"0")</f>
        <v>100000</v>
      </c>
      <c r="Q785" t="s">
        <v>61</v>
      </c>
      <c r="R785" t="str">
        <f>IFERROR(INDEX(Katalog!$A$3:$A$12,MATCH(Data[[#This Row],[ItemID C]],Katalog!$C$3:$C$12,0)),"-")</f>
        <v>Pakaian Pria</v>
      </c>
      <c r="S785" t="str">
        <f>IFERROR(INDEX(Katalog!$B$3:$B$12,MATCH(Data[[#This Row],[ItemID C]],Katalog!$C$3:$C$12,0)),"-")</f>
        <v>Kaos Polo</v>
      </c>
      <c r="T785">
        <v>1</v>
      </c>
      <c r="U785">
        <v>5</v>
      </c>
      <c r="V785" s="36">
        <f>IFERROR(INDEX(Katalog!$D$3:$D$12,MATCH(Data[[#This Row],[ItemID C]],Katalog!$C$3:$C$12,0))*Data[[#This Row],[Qty C]],"0")</f>
        <v>200000</v>
      </c>
      <c r="W785" s="36">
        <f>IFERROR(INDEX(Katalog!$F$3:$F$12,MATCH(Data[[#This Row],[ItemID C]],Katalog!$C$3:$C$12,0))*Data[[#This Row],[Qty C]],"0")</f>
        <v>80000</v>
      </c>
      <c r="X785" s="21">
        <f>Data[[#This Row],[Qty A]]+Data[[#This Row],[Qty B]]+Data[[#This Row],[Qty C]]</f>
        <v>7</v>
      </c>
      <c r="Y785" s="22">
        <f>Data[[#This Row],[Harga Barang A]]+Data[[#This Row],[Harga Barang B]]+Data[[#This Row],[Harga Barang C]]</f>
        <v>1200000</v>
      </c>
      <c r="Z785" s="35">
        <f>IFERROR(Data[[#This Row],[Total Harga]]-(Data[[#This Row],[Total Harga]]*Data[[#This Row],[Diskon]]),Data[[#This Row],[Total Harga]])</f>
        <v>960000</v>
      </c>
      <c r="AA785" s="35">
        <f>(Data[[#This Row],[Profit A]]+Data[[#This Row],[Profit B]]+Data[[#This Row],[Profit C]])</f>
        <v>480000</v>
      </c>
      <c r="AB785" s="35">
        <f>IFERROR((Data[[#This Row],[Profit non Diskon]]-(Data[[#This Row],[Profit non Diskon]]*Data[[#This Row],[Diskon]])),Data[[#This Row],[Profit non Diskon]])</f>
        <v>384000</v>
      </c>
      <c r="AC785" s="23" t="s">
        <v>8</v>
      </c>
      <c r="AD785" s="37">
        <f>IFERROR(INDEX('Kode Diskon'!$D$3:$D$9,MATCH(Data[[#This Row],[Kode diskon]],'Kode Diskon'!$C$3:$C$9,0)),"-")</f>
        <v>0.2</v>
      </c>
      <c r="AE785" s="23" t="s">
        <v>9</v>
      </c>
      <c r="AF785" s="23" t="s">
        <v>7</v>
      </c>
      <c r="AG785" s="23" t="s">
        <v>77</v>
      </c>
      <c r="AH785" s="24">
        <v>45038</v>
      </c>
      <c r="AI785" s="23" t="str">
        <f>TEXT(Data[[#This Row],[Tanggal terjual]],"dddd")</f>
        <v>Saturday</v>
      </c>
      <c r="AJ785" s="21" t="str">
        <f>TEXT(Data[[#This Row],[Tanggal terjual]],"wwww")</f>
        <v>wwww</v>
      </c>
    </row>
    <row r="786" spans="1:36" x14ac:dyDescent="0.2">
      <c r="A786" s="20">
        <v>785</v>
      </c>
      <c r="B786" s="21" t="str">
        <f>_xlfn.CONCAT("ORD-",INDEX(Helper!$B$2:$B$5,MATCH(Data[[#This Row],[Marketplace]],Helper!$A$2:$A$5,0)),TEXT(Data[[#This Row],[No]],"0000"),"-",TEXT(Data[[#This Row],[Tanggal terjual]],"dd/mm/yy"))</f>
        <v>ORD-TK0785-01/04/23</v>
      </c>
      <c r="C786" t="s">
        <v>65</v>
      </c>
      <c r="D786" t="str">
        <f>IFERROR(INDEX(Katalog!$A$3:$A$12,MATCH(Data[[#This Row],[ItemID A]],Katalog!$C$3:$C$12,0)),"-")</f>
        <v>Sepatu Pria</v>
      </c>
      <c r="E786" t="str">
        <f>IFERROR(INDEX(Katalog!$B$3:$B$12,MATCH(Data[[#This Row],[ItemID A]],Katalog!$C$3:$C$12,0)),"-")</f>
        <v>Sneakers</v>
      </c>
      <c r="F786">
        <v>1</v>
      </c>
      <c r="G786">
        <v>1</v>
      </c>
      <c r="H786" s="36">
        <f>IFERROR(INDEX(Katalog!$D$3:$D$12,MATCH(Data[[#This Row],[ItemID A]],Katalog!$C$3:$C$12,0))*Data[[#This Row],[Qty A]],"0")</f>
        <v>500000</v>
      </c>
      <c r="I786" s="36">
        <f>IFERROR(INDEX(Katalog!$F$3:$F$12,MATCH(Data[[#This Row],[ItemID A]],Katalog!$C$3:$C$12,0))*Data[[#This Row],[Qty A]],0)</f>
        <v>200000</v>
      </c>
      <c r="K786" t="str">
        <f>IFERROR(INDEX(Katalog!$A$3:$A$12,MATCH(Data[[#This Row],[ItemID B]],Katalog!$C$3:$C$12,0)),"-")</f>
        <v>-</v>
      </c>
      <c r="L786" t="str">
        <f>IFERROR(INDEX(Katalog!$B$3:$B$12,MATCH(Data[[#This Row],[ItemID B]],Katalog!$C$3:$C$12,0)),"-")</f>
        <v>-</v>
      </c>
      <c r="O786" s="36" t="str">
        <f>IFERROR(INDEX(Katalog!$D$3:$D$12,MATCH(Data[[#This Row],[ItemID B]],Katalog!$C$3:$C$12,0))*Data[[#This Row],[Qty B]],"0")</f>
        <v>0</v>
      </c>
      <c r="P786" s="36" t="str">
        <f>IFERROR(INDEX(Katalog!$F$3:$F$12,MATCH(Data[[#This Row],[ItemID B]],Katalog!$C$3:$C$12,0))*Data[[#This Row],[Qty B]],"0")</f>
        <v>0</v>
      </c>
      <c r="R786" t="str">
        <f>IFERROR(INDEX(Katalog!$A$3:$A$12,MATCH(Data[[#This Row],[ItemID C]],Katalog!$C$3:$C$12,0)),"-")</f>
        <v>-</v>
      </c>
      <c r="S786" t="str">
        <f>IFERROR(INDEX(Katalog!$B$3:$B$12,MATCH(Data[[#This Row],[ItemID C]],Katalog!$C$3:$C$12,0)),"-")</f>
        <v>-</v>
      </c>
      <c r="V786" s="36" t="str">
        <f>IFERROR(INDEX(Katalog!$D$3:$D$12,MATCH(Data[[#This Row],[ItemID C]],Katalog!$C$3:$C$12,0))*Data[[#This Row],[Qty C]],"0")</f>
        <v>0</v>
      </c>
      <c r="W786" s="36" t="str">
        <f>IFERROR(INDEX(Katalog!$F$3:$F$12,MATCH(Data[[#This Row],[ItemID C]],Katalog!$C$3:$C$12,0))*Data[[#This Row],[Qty C]],"0")</f>
        <v>0</v>
      </c>
      <c r="X786" s="21">
        <f>Data[[#This Row],[Qty A]]+Data[[#This Row],[Qty B]]+Data[[#This Row],[Qty C]]</f>
        <v>1</v>
      </c>
      <c r="Y786" s="22">
        <f>Data[[#This Row],[Harga Barang A]]+Data[[#This Row],[Harga Barang B]]+Data[[#This Row],[Harga Barang C]]</f>
        <v>500000</v>
      </c>
      <c r="Z786" s="35">
        <f>IFERROR(Data[[#This Row],[Total Harga]]-(Data[[#This Row],[Total Harga]]*Data[[#This Row],[Diskon]]),Data[[#This Row],[Total Harga]])</f>
        <v>450000</v>
      </c>
      <c r="AA786" s="35">
        <f>(Data[[#This Row],[Profit A]]+Data[[#This Row],[Profit B]]+Data[[#This Row],[Profit C]])</f>
        <v>200000</v>
      </c>
      <c r="AB786" s="35">
        <f>IFERROR((Data[[#This Row],[Profit non Diskon]]-(Data[[#This Row],[Profit non Diskon]]*Data[[#This Row],[Diskon]])),Data[[#This Row],[Profit non Diskon]])</f>
        <v>180000</v>
      </c>
      <c r="AC786" s="23" t="s">
        <v>30</v>
      </c>
      <c r="AD786" s="37">
        <f>IFERROR(INDEX('Kode Diskon'!$D$3:$D$9,MATCH(Data[[#This Row],[Kode diskon]],'Kode Diskon'!$C$3:$C$9,0)),"-")</f>
        <v>0.1</v>
      </c>
      <c r="AE786" s="23" t="s">
        <v>29</v>
      </c>
      <c r="AF786" s="23" t="s">
        <v>10</v>
      </c>
      <c r="AG786" s="23" t="s">
        <v>78</v>
      </c>
      <c r="AH786" s="24">
        <v>45017</v>
      </c>
      <c r="AI786" s="23" t="str">
        <f>TEXT(Data[[#This Row],[Tanggal terjual]],"dddd")</f>
        <v>Saturday</v>
      </c>
      <c r="AJ786" s="21" t="str">
        <f>TEXT(Data[[#This Row],[Tanggal terjual]],"wwww")</f>
        <v>wwww</v>
      </c>
    </row>
    <row r="787" spans="1:36" x14ac:dyDescent="0.2">
      <c r="A787" s="20">
        <v>786</v>
      </c>
      <c r="B787" s="21" t="str">
        <f>_xlfn.CONCAT("ORD-",INDEX(Helper!$B$2:$B$5,MATCH(Data[[#This Row],[Marketplace]],Helper!$A$2:$A$5,0)),TEXT(Data[[#This Row],[No]],"0000"),"-",TEXT(Data[[#This Row],[Tanggal terjual]],"dd/mm/yy"))</f>
        <v>ORD-BL0786-11/04/23</v>
      </c>
      <c r="C787" t="s">
        <v>62</v>
      </c>
      <c r="D787" t="str">
        <f>IFERROR(INDEX(Katalog!$A$3:$A$12,MATCH(Data[[#This Row],[ItemID A]],Katalog!$C$3:$C$12,0)),"-")</f>
        <v>Pakaian Pria</v>
      </c>
      <c r="E787" t="str">
        <f>IFERROR(INDEX(Katalog!$B$3:$B$12,MATCH(Data[[#This Row],[ItemID A]],Katalog!$C$3:$C$12,0)),"-")</f>
        <v>Celana Pendek</v>
      </c>
      <c r="F787">
        <v>1</v>
      </c>
      <c r="G787">
        <v>2</v>
      </c>
      <c r="H787" s="36">
        <f>IFERROR(INDEX(Katalog!$D$3:$D$12,MATCH(Data[[#This Row],[ItemID A]],Katalog!$C$3:$C$12,0))*Data[[#This Row],[Qty A]],"0")</f>
        <v>180000</v>
      </c>
      <c r="I787" s="36">
        <f>IFERROR(INDEX(Katalog!$F$3:$F$12,MATCH(Data[[#This Row],[ItemID A]],Katalog!$C$3:$C$12,0))*Data[[#This Row],[Qty A]],0)</f>
        <v>70000</v>
      </c>
      <c r="K787" t="str">
        <f>IFERROR(INDEX(Katalog!$A$3:$A$12,MATCH(Data[[#This Row],[ItemID B]],Katalog!$C$3:$C$12,0)),"-")</f>
        <v>-</v>
      </c>
      <c r="L787" t="str">
        <f>IFERROR(INDEX(Katalog!$B$3:$B$12,MATCH(Data[[#This Row],[ItemID B]],Katalog!$C$3:$C$12,0)),"-")</f>
        <v>-</v>
      </c>
      <c r="O787" s="36" t="str">
        <f>IFERROR(INDEX(Katalog!$D$3:$D$12,MATCH(Data[[#This Row],[ItemID B]],Katalog!$C$3:$C$12,0))*Data[[#This Row],[Qty B]],"0")</f>
        <v>0</v>
      </c>
      <c r="P787" s="36" t="str">
        <f>IFERROR(INDEX(Katalog!$F$3:$F$12,MATCH(Data[[#This Row],[ItemID B]],Katalog!$C$3:$C$12,0))*Data[[#This Row],[Qty B]],"0")</f>
        <v>0</v>
      </c>
      <c r="R787" t="str">
        <f>IFERROR(INDEX(Katalog!$A$3:$A$12,MATCH(Data[[#This Row],[ItemID C]],Katalog!$C$3:$C$12,0)),"-")</f>
        <v>-</v>
      </c>
      <c r="S787" t="str">
        <f>IFERROR(INDEX(Katalog!$B$3:$B$12,MATCH(Data[[#This Row],[ItemID C]],Katalog!$C$3:$C$12,0)),"-")</f>
        <v>-</v>
      </c>
      <c r="V787" s="36" t="str">
        <f>IFERROR(INDEX(Katalog!$D$3:$D$12,MATCH(Data[[#This Row],[ItemID C]],Katalog!$C$3:$C$12,0))*Data[[#This Row],[Qty C]],"0")</f>
        <v>0</v>
      </c>
      <c r="W787" s="36" t="str">
        <f>IFERROR(INDEX(Katalog!$F$3:$F$12,MATCH(Data[[#This Row],[ItemID C]],Katalog!$C$3:$C$12,0))*Data[[#This Row],[Qty C]],"0")</f>
        <v>0</v>
      </c>
      <c r="X787" s="21">
        <f>Data[[#This Row],[Qty A]]+Data[[#This Row],[Qty B]]+Data[[#This Row],[Qty C]]</f>
        <v>1</v>
      </c>
      <c r="Y787" s="22">
        <f>Data[[#This Row],[Harga Barang A]]+Data[[#This Row],[Harga Barang B]]+Data[[#This Row],[Harga Barang C]]</f>
        <v>180000</v>
      </c>
      <c r="Z787" s="35">
        <f>IFERROR(Data[[#This Row],[Total Harga]]-(Data[[#This Row],[Total Harga]]*Data[[#This Row],[Diskon]]),Data[[#This Row],[Total Harga]])</f>
        <v>180000</v>
      </c>
      <c r="AA787" s="35">
        <f>(Data[[#This Row],[Profit A]]+Data[[#This Row],[Profit B]]+Data[[#This Row],[Profit C]])</f>
        <v>70000</v>
      </c>
      <c r="AB787" s="35">
        <f>IFERROR((Data[[#This Row],[Profit non Diskon]]-(Data[[#This Row],[Profit non Diskon]]*Data[[#This Row],[Diskon]])),Data[[#This Row],[Profit non Diskon]])</f>
        <v>70000</v>
      </c>
      <c r="AC787" s="23" t="s">
        <v>11</v>
      </c>
      <c r="AD787" s="37" t="str">
        <f>IFERROR(INDEX('Kode Diskon'!$D$3:$D$9,MATCH(Data[[#This Row],[Kode diskon]],'Kode Diskon'!$C$3:$C$9,0)),"-")</f>
        <v>-</v>
      </c>
      <c r="AE787" s="23" t="s">
        <v>11</v>
      </c>
      <c r="AF787" s="23" t="s">
        <v>12</v>
      </c>
      <c r="AG787" s="23" t="s">
        <v>79</v>
      </c>
      <c r="AH787" s="24">
        <v>45027</v>
      </c>
      <c r="AI787" s="23" t="str">
        <f>TEXT(Data[[#This Row],[Tanggal terjual]],"dddd")</f>
        <v>Tuesday</v>
      </c>
      <c r="AJ787" s="21" t="str">
        <f>TEXT(Data[[#This Row],[Tanggal terjual]],"wwww")</f>
        <v>wwww</v>
      </c>
    </row>
    <row r="788" spans="1:36" x14ac:dyDescent="0.2">
      <c r="A788" s="20">
        <v>787</v>
      </c>
      <c r="B788" s="21" t="str">
        <f>_xlfn.CONCAT("ORD-",INDEX(Helper!$B$2:$B$5,MATCH(Data[[#This Row],[Marketplace]],Helper!$A$2:$A$5,0)),TEXT(Data[[#This Row],[No]],"0000"),"-",TEXT(Data[[#This Row],[Tanggal terjual]],"dd/mm/yy"))</f>
        <v>ORD-TK0787-04/04/23</v>
      </c>
      <c r="C788" t="s">
        <v>62</v>
      </c>
      <c r="D788" t="str">
        <f>IFERROR(INDEX(Katalog!$A$3:$A$12,MATCH(Data[[#This Row],[ItemID A]],Katalog!$C$3:$C$12,0)),"-")</f>
        <v>Pakaian Pria</v>
      </c>
      <c r="E788" t="str">
        <f>IFERROR(INDEX(Katalog!$B$3:$B$12,MATCH(Data[[#This Row],[ItemID A]],Katalog!$C$3:$C$12,0)),"-")</f>
        <v>Celana Pendek</v>
      </c>
      <c r="F788">
        <v>1</v>
      </c>
      <c r="G788">
        <v>3</v>
      </c>
      <c r="H788" s="36">
        <f>IFERROR(INDEX(Katalog!$D$3:$D$12,MATCH(Data[[#This Row],[ItemID A]],Katalog!$C$3:$C$12,0))*Data[[#This Row],[Qty A]],"0")</f>
        <v>180000</v>
      </c>
      <c r="I788" s="36">
        <f>IFERROR(INDEX(Katalog!$F$3:$F$12,MATCH(Data[[#This Row],[ItemID A]],Katalog!$C$3:$C$12,0))*Data[[#This Row],[Qty A]],0)</f>
        <v>70000</v>
      </c>
      <c r="J788" t="s">
        <v>65</v>
      </c>
      <c r="K788" t="str">
        <f>IFERROR(INDEX(Katalog!$A$3:$A$12,MATCH(Data[[#This Row],[ItemID B]],Katalog!$C$3:$C$12,0)),"-")</f>
        <v>Sepatu Pria</v>
      </c>
      <c r="L788" t="str">
        <f>IFERROR(INDEX(Katalog!$B$3:$B$12,MATCH(Data[[#This Row],[ItemID B]],Katalog!$C$3:$C$12,0)),"-")</f>
        <v>Sneakers</v>
      </c>
      <c r="M788">
        <v>2</v>
      </c>
      <c r="N788">
        <v>1</v>
      </c>
      <c r="O788" s="36">
        <f>IFERROR(INDEX(Katalog!$D$3:$D$12,MATCH(Data[[#This Row],[ItemID B]],Katalog!$C$3:$C$12,0))*Data[[#This Row],[Qty B]],"0")</f>
        <v>1000000</v>
      </c>
      <c r="P788" s="36">
        <f>IFERROR(INDEX(Katalog!$F$3:$F$12,MATCH(Data[[#This Row],[ItemID B]],Katalog!$C$3:$C$12,0))*Data[[#This Row],[Qty B]],"0")</f>
        <v>400000</v>
      </c>
      <c r="Q788" t="s">
        <v>58</v>
      </c>
      <c r="R788" t="str">
        <f>IFERROR(INDEX(Katalog!$A$3:$A$12,MATCH(Data[[#This Row],[ItemID C]],Katalog!$C$3:$C$12,0)),"-")</f>
        <v>Pakaian Wanita</v>
      </c>
      <c r="S788" t="str">
        <f>IFERROR(INDEX(Katalog!$B$3:$B$12,MATCH(Data[[#This Row],[ItemID C]],Katalog!$C$3:$C$12,0)),"-")</f>
        <v>Dress</v>
      </c>
      <c r="T788">
        <v>2</v>
      </c>
      <c r="U788">
        <v>2</v>
      </c>
      <c r="V788" s="36">
        <f>IFERROR(INDEX(Katalog!$D$3:$D$12,MATCH(Data[[#This Row],[ItemID C]],Katalog!$C$3:$C$12,0))*Data[[#This Row],[Qty C]],"0")</f>
        <v>600000</v>
      </c>
      <c r="W788" s="36">
        <f>IFERROR(INDEX(Katalog!$F$3:$F$12,MATCH(Data[[#This Row],[ItemID C]],Katalog!$C$3:$C$12,0))*Data[[#This Row],[Qty C]],"0")</f>
        <v>200000</v>
      </c>
      <c r="X788" s="21">
        <f>Data[[#This Row],[Qty A]]+Data[[#This Row],[Qty B]]+Data[[#This Row],[Qty C]]</f>
        <v>5</v>
      </c>
      <c r="Y788" s="22">
        <f>Data[[#This Row],[Harga Barang A]]+Data[[#This Row],[Harga Barang B]]+Data[[#This Row],[Harga Barang C]]</f>
        <v>1780000</v>
      </c>
      <c r="Z788" s="35">
        <f>IFERROR(Data[[#This Row],[Total Harga]]-(Data[[#This Row],[Total Harga]]*Data[[#This Row],[Diskon]]),Data[[#This Row],[Total Harga]])</f>
        <v>1602000</v>
      </c>
      <c r="AA788" s="35">
        <f>(Data[[#This Row],[Profit A]]+Data[[#This Row],[Profit B]]+Data[[#This Row],[Profit C]])</f>
        <v>670000</v>
      </c>
      <c r="AB788" s="35">
        <f>IFERROR((Data[[#This Row],[Profit non Diskon]]-(Data[[#This Row],[Profit non Diskon]]*Data[[#This Row],[Diskon]])),Data[[#This Row],[Profit non Diskon]])</f>
        <v>603000</v>
      </c>
      <c r="AC788" s="23" t="s">
        <v>30</v>
      </c>
      <c r="AD788" s="37">
        <f>IFERROR(INDEX('Kode Diskon'!$D$3:$D$9,MATCH(Data[[#This Row],[Kode diskon]],'Kode Diskon'!$C$3:$C$9,0)),"-")</f>
        <v>0.1</v>
      </c>
      <c r="AE788" s="23" t="s">
        <v>29</v>
      </c>
      <c r="AF788" s="23" t="s">
        <v>10</v>
      </c>
      <c r="AG788" s="23" t="s">
        <v>76</v>
      </c>
      <c r="AH788" s="24">
        <v>45020</v>
      </c>
      <c r="AI788" s="23" t="str">
        <f>TEXT(Data[[#This Row],[Tanggal terjual]],"dddd")</f>
        <v>Tuesday</v>
      </c>
      <c r="AJ788" s="21" t="str">
        <f>TEXT(Data[[#This Row],[Tanggal terjual]],"wwww")</f>
        <v>wwww</v>
      </c>
    </row>
    <row r="789" spans="1:36" x14ac:dyDescent="0.2">
      <c r="A789" s="20">
        <v>788</v>
      </c>
      <c r="B789" s="21" t="str">
        <f>_xlfn.CONCAT("ORD-",INDEX(Helper!$B$2:$B$5,MATCH(Data[[#This Row],[Marketplace]],Helper!$A$2:$A$5,0)),TEXT(Data[[#This Row],[No]],"0000"),"-",TEXT(Data[[#This Row],[Tanggal terjual]],"dd/mm/yy"))</f>
        <v>ORD-SP0788-09/04/23</v>
      </c>
      <c r="C789" t="s">
        <v>64</v>
      </c>
      <c r="D789" t="str">
        <f>IFERROR(INDEX(Katalog!$A$3:$A$12,MATCH(Data[[#This Row],[ItemID A]],Katalog!$C$3:$C$12,0)),"-")</f>
        <v>Pakaian Unisex</v>
      </c>
      <c r="E789" t="str">
        <f>IFERROR(INDEX(Katalog!$B$3:$B$12,MATCH(Data[[#This Row],[ItemID A]],Katalog!$C$3:$C$12,0)),"-")</f>
        <v>Jaket Hoodie</v>
      </c>
      <c r="F789">
        <v>6</v>
      </c>
      <c r="G789">
        <v>4</v>
      </c>
      <c r="H789" s="36">
        <f>IFERROR(INDEX(Katalog!$D$3:$D$12,MATCH(Data[[#This Row],[ItemID A]],Katalog!$C$3:$C$12,0))*Data[[#This Row],[Qty A]],"0")</f>
        <v>2100000</v>
      </c>
      <c r="I789" s="36">
        <f>IFERROR(INDEX(Katalog!$F$3:$F$12,MATCH(Data[[#This Row],[ItemID A]],Katalog!$C$3:$C$12,0))*Data[[#This Row],[Qty A]],0)</f>
        <v>780000</v>
      </c>
      <c r="J789" t="s">
        <v>59</v>
      </c>
      <c r="K789" t="str">
        <f>IFERROR(INDEX(Katalog!$A$3:$A$12,MATCH(Data[[#This Row],[ItemID B]],Katalog!$C$3:$C$12,0)),"-")</f>
        <v>Pakaian Wanita</v>
      </c>
      <c r="L789" t="str">
        <f>IFERROR(INDEX(Katalog!$B$3:$B$12,MATCH(Data[[#This Row],[ItemID B]],Katalog!$C$3:$C$12,0)),"-")</f>
        <v>Blouse</v>
      </c>
      <c r="M789">
        <v>1</v>
      </c>
      <c r="N789">
        <v>2</v>
      </c>
      <c r="O789" s="36">
        <f>IFERROR(INDEX(Katalog!$D$3:$D$12,MATCH(Data[[#This Row],[ItemID B]],Katalog!$C$3:$C$12,0))*Data[[#This Row],[Qty B]],"0")</f>
        <v>150000</v>
      </c>
      <c r="P789" s="36">
        <f>IFERROR(INDEX(Katalog!$F$3:$F$12,MATCH(Data[[#This Row],[ItemID B]],Katalog!$C$3:$C$12,0))*Data[[#This Row],[Qty B]],"0")</f>
        <v>50000</v>
      </c>
      <c r="R789" t="str">
        <f>IFERROR(INDEX(Katalog!$A$3:$A$12,MATCH(Data[[#This Row],[ItemID C]],Katalog!$C$3:$C$12,0)),"-")</f>
        <v>-</v>
      </c>
      <c r="S789" t="str">
        <f>IFERROR(INDEX(Katalog!$B$3:$B$12,MATCH(Data[[#This Row],[ItemID C]],Katalog!$C$3:$C$12,0)),"-")</f>
        <v>-</v>
      </c>
      <c r="V789" s="36" t="str">
        <f>IFERROR(INDEX(Katalog!$D$3:$D$12,MATCH(Data[[#This Row],[ItemID C]],Katalog!$C$3:$C$12,0))*Data[[#This Row],[Qty C]],"0")</f>
        <v>0</v>
      </c>
      <c r="W789" s="36" t="str">
        <f>IFERROR(INDEX(Katalog!$F$3:$F$12,MATCH(Data[[#This Row],[ItemID C]],Katalog!$C$3:$C$12,0))*Data[[#This Row],[Qty C]],"0")</f>
        <v>0</v>
      </c>
      <c r="X789" s="21">
        <f>Data[[#This Row],[Qty A]]+Data[[#This Row],[Qty B]]+Data[[#This Row],[Qty C]]</f>
        <v>7</v>
      </c>
      <c r="Y789" s="22">
        <f>Data[[#This Row],[Harga Barang A]]+Data[[#This Row],[Harga Barang B]]+Data[[#This Row],[Harga Barang C]]</f>
        <v>2250000</v>
      </c>
      <c r="Z789" s="35">
        <f>IFERROR(Data[[#This Row],[Total Harga]]-(Data[[#This Row],[Total Harga]]*Data[[#This Row],[Diskon]]),Data[[#This Row],[Total Harga]])</f>
        <v>2250000</v>
      </c>
      <c r="AA789" s="35">
        <f>(Data[[#This Row],[Profit A]]+Data[[#This Row],[Profit B]]+Data[[#This Row],[Profit C]])</f>
        <v>830000</v>
      </c>
      <c r="AB789" s="35">
        <f>IFERROR((Data[[#This Row],[Profit non Diskon]]-(Data[[#This Row],[Profit non Diskon]]*Data[[#This Row],[Diskon]])),Data[[#This Row],[Profit non Diskon]])</f>
        <v>830000</v>
      </c>
      <c r="AC789" s="23" t="s">
        <v>11</v>
      </c>
      <c r="AD789" s="37" t="str">
        <f>IFERROR(INDEX('Kode Diskon'!$D$3:$D$9,MATCH(Data[[#This Row],[Kode diskon]],'Kode Diskon'!$C$3:$C$9,0)),"-")</f>
        <v>-</v>
      </c>
      <c r="AE789" s="23" t="s">
        <v>11</v>
      </c>
      <c r="AF789" s="23" t="s">
        <v>7</v>
      </c>
      <c r="AG789" s="23" t="s">
        <v>75</v>
      </c>
      <c r="AH789" s="24">
        <v>45025</v>
      </c>
      <c r="AI789" s="23" t="str">
        <f>TEXT(Data[[#This Row],[Tanggal terjual]],"dddd")</f>
        <v>Sunday</v>
      </c>
      <c r="AJ789" s="21" t="str">
        <f>TEXT(Data[[#This Row],[Tanggal terjual]],"wwww")</f>
        <v>wwww</v>
      </c>
    </row>
    <row r="790" spans="1:36" x14ac:dyDescent="0.2">
      <c r="A790" s="20">
        <v>789</v>
      </c>
      <c r="B790" s="21" t="str">
        <f>_xlfn.CONCAT("ORD-",INDEX(Helper!$B$2:$B$5,MATCH(Data[[#This Row],[Marketplace]],Helper!$A$2:$A$5,0)),TEXT(Data[[#This Row],[No]],"0000"),"-",TEXT(Data[[#This Row],[Tanggal terjual]],"dd/mm/yy"))</f>
        <v>ORD-BB0789-03/04/23</v>
      </c>
      <c r="C790" t="s">
        <v>66</v>
      </c>
      <c r="D790" t="str">
        <f>IFERROR(INDEX(Katalog!$A$3:$A$12,MATCH(Data[[#This Row],[ItemID A]],Katalog!$C$3:$C$12,0)),"-")</f>
        <v>Sepatu Pria</v>
      </c>
      <c r="E790" t="str">
        <f>IFERROR(INDEX(Katalog!$B$3:$B$12,MATCH(Data[[#This Row],[ItemID A]],Katalog!$C$3:$C$12,0)),"-")</f>
        <v>Sandal Slip On</v>
      </c>
      <c r="F790">
        <v>2</v>
      </c>
      <c r="G790">
        <v>2</v>
      </c>
      <c r="H790" s="36">
        <f>IFERROR(INDEX(Katalog!$D$3:$D$12,MATCH(Data[[#This Row],[ItemID A]],Katalog!$C$3:$C$12,0))*Data[[#This Row],[Qty A]],"0")</f>
        <v>300000</v>
      </c>
      <c r="I790" s="36">
        <f>IFERROR(INDEX(Katalog!$F$3:$F$12,MATCH(Data[[#This Row],[ItemID A]],Katalog!$C$3:$C$12,0))*Data[[#This Row],[Qty A]],0)</f>
        <v>120000</v>
      </c>
      <c r="K790" t="str">
        <f>IFERROR(INDEX(Katalog!$A$3:$A$12,MATCH(Data[[#This Row],[ItemID B]],Katalog!$C$3:$C$12,0)),"-")</f>
        <v>-</v>
      </c>
      <c r="L790" t="str">
        <f>IFERROR(INDEX(Katalog!$B$3:$B$12,MATCH(Data[[#This Row],[ItemID B]],Katalog!$C$3:$C$12,0)),"-")</f>
        <v>-</v>
      </c>
      <c r="O790" s="36" t="str">
        <f>IFERROR(INDEX(Katalog!$D$3:$D$12,MATCH(Data[[#This Row],[ItemID B]],Katalog!$C$3:$C$12,0))*Data[[#This Row],[Qty B]],"0")</f>
        <v>0</v>
      </c>
      <c r="P790" s="36" t="str">
        <f>IFERROR(INDEX(Katalog!$F$3:$F$12,MATCH(Data[[#This Row],[ItemID B]],Katalog!$C$3:$C$12,0))*Data[[#This Row],[Qty B]],"0")</f>
        <v>0</v>
      </c>
      <c r="R790" t="str">
        <f>IFERROR(INDEX(Katalog!$A$3:$A$12,MATCH(Data[[#This Row],[ItemID C]],Katalog!$C$3:$C$12,0)),"-")</f>
        <v>-</v>
      </c>
      <c r="S790" t="str">
        <f>IFERROR(INDEX(Katalog!$B$3:$B$12,MATCH(Data[[#This Row],[ItemID C]],Katalog!$C$3:$C$12,0)),"-")</f>
        <v>-</v>
      </c>
      <c r="V790" s="36" t="str">
        <f>IFERROR(INDEX(Katalog!$D$3:$D$12,MATCH(Data[[#This Row],[ItemID C]],Katalog!$C$3:$C$12,0))*Data[[#This Row],[Qty C]],"0")</f>
        <v>0</v>
      </c>
      <c r="W790" s="36" t="str">
        <f>IFERROR(INDEX(Katalog!$F$3:$F$12,MATCH(Data[[#This Row],[ItemID C]],Katalog!$C$3:$C$12,0))*Data[[#This Row],[Qty C]],"0")</f>
        <v>0</v>
      </c>
      <c r="X790" s="21">
        <f>Data[[#This Row],[Qty A]]+Data[[#This Row],[Qty B]]+Data[[#This Row],[Qty C]]</f>
        <v>2</v>
      </c>
      <c r="Y790" s="22">
        <f>Data[[#This Row],[Harga Barang A]]+Data[[#This Row],[Harga Barang B]]+Data[[#This Row],[Harga Barang C]]</f>
        <v>300000</v>
      </c>
      <c r="Z790" s="35">
        <f>IFERROR(Data[[#This Row],[Total Harga]]-(Data[[#This Row],[Total Harga]]*Data[[#This Row],[Diskon]]),Data[[#This Row],[Total Harga]])</f>
        <v>255000</v>
      </c>
      <c r="AA790" s="35">
        <f>(Data[[#This Row],[Profit A]]+Data[[#This Row],[Profit B]]+Data[[#This Row],[Profit C]])</f>
        <v>120000</v>
      </c>
      <c r="AB790" s="35">
        <f>IFERROR((Data[[#This Row],[Profit non Diskon]]-(Data[[#This Row],[Profit non Diskon]]*Data[[#This Row],[Diskon]])),Data[[#This Row],[Profit non Diskon]])</f>
        <v>102000</v>
      </c>
      <c r="AC790" s="23" t="s">
        <v>28</v>
      </c>
      <c r="AD790" s="37">
        <f>IFERROR(INDEX('Kode Diskon'!$D$3:$D$9,MATCH(Data[[#This Row],[Kode diskon]],'Kode Diskon'!$C$3:$C$9,0)),"-")</f>
        <v>0.15</v>
      </c>
      <c r="AE790" s="23" t="s">
        <v>29</v>
      </c>
      <c r="AF790" s="23" t="s">
        <v>14</v>
      </c>
      <c r="AG790" s="23" t="s">
        <v>76</v>
      </c>
      <c r="AH790" s="24">
        <v>45019</v>
      </c>
      <c r="AI790" s="23" t="str">
        <f>TEXT(Data[[#This Row],[Tanggal terjual]],"dddd")</f>
        <v>Monday</v>
      </c>
      <c r="AJ790" s="21" t="str">
        <f>TEXT(Data[[#This Row],[Tanggal terjual]],"wwww")</f>
        <v>wwww</v>
      </c>
    </row>
    <row r="791" spans="1:36" x14ac:dyDescent="0.2">
      <c r="A791" s="20">
        <v>790</v>
      </c>
      <c r="B791" s="21" t="str">
        <f>_xlfn.CONCAT("ORD-",INDEX(Helper!$B$2:$B$5,MATCH(Data[[#This Row],[Marketplace]],Helper!$A$2:$A$5,0)),TEXT(Data[[#This Row],[No]],"0000"),"-",TEXT(Data[[#This Row],[Tanggal terjual]],"dd/mm/yy"))</f>
        <v>ORD-BL0790-17/04/23</v>
      </c>
      <c r="C791" t="s">
        <v>62</v>
      </c>
      <c r="D791" t="str">
        <f>IFERROR(INDEX(Katalog!$A$3:$A$12,MATCH(Data[[#This Row],[ItemID A]],Katalog!$C$3:$C$12,0)),"-")</f>
        <v>Pakaian Pria</v>
      </c>
      <c r="E791" t="str">
        <f>IFERROR(INDEX(Katalog!$B$3:$B$12,MATCH(Data[[#This Row],[ItemID A]],Katalog!$C$3:$C$12,0)),"-")</f>
        <v>Celana Pendek</v>
      </c>
      <c r="F791">
        <v>2</v>
      </c>
      <c r="G791">
        <v>5</v>
      </c>
      <c r="H791" s="36">
        <f>IFERROR(INDEX(Katalog!$D$3:$D$12,MATCH(Data[[#This Row],[ItemID A]],Katalog!$C$3:$C$12,0))*Data[[#This Row],[Qty A]],"0")</f>
        <v>360000</v>
      </c>
      <c r="I791" s="36">
        <f>IFERROR(INDEX(Katalog!$F$3:$F$12,MATCH(Data[[#This Row],[ItemID A]],Katalog!$C$3:$C$12,0))*Data[[#This Row],[Qty A]],0)</f>
        <v>140000</v>
      </c>
      <c r="J791" t="s">
        <v>66</v>
      </c>
      <c r="K791" t="str">
        <f>IFERROR(INDEX(Katalog!$A$3:$A$12,MATCH(Data[[#This Row],[ItemID B]],Katalog!$C$3:$C$12,0)),"-")</f>
        <v>Sepatu Pria</v>
      </c>
      <c r="L791" t="str">
        <f>IFERROR(INDEX(Katalog!$B$3:$B$12,MATCH(Data[[#This Row],[ItemID B]],Katalog!$C$3:$C$12,0)),"-")</f>
        <v>Sandal Slip On</v>
      </c>
      <c r="M791">
        <v>4</v>
      </c>
      <c r="N791">
        <v>1</v>
      </c>
      <c r="O791" s="36">
        <f>IFERROR(INDEX(Katalog!$D$3:$D$12,MATCH(Data[[#This Row],[ItemID B]],Katalog!$C$3:$C$12,0))*Data[[#This Row],[Qty B]],"0")</f>
        <v>600000</v>
      </c>
      <c r="P791" s="36">
        <f>IFERROR(INDEX(Katalog!$F$3:$F$12,MATCH(Data[[#This Row],[ItemID B]],Katalog!$C$3:$C$12,0))*Data[[#This Row],[Qty B]],"0")</f>
        <v>240000</v>
      </c>
      <c r="R791" t="str">
        <f>IFERROR(INDEX(Katalog!$A$3:$A$12,MATCH(Data[[#This Row],[ItemID C]],Katalog!$C$3:$C$12,0)),"-")</f>
        <v>-</v>
      </c>
      <c r="S791" t="str">
        <f>IFERROR(INDEX(Katalog!$B$3:$B$12,MATCH(Data[[#This Row],[ItemID C]],Katalog!$C$3:$C$12,0)),"-")</f>
        <v>-</v>
      </c>
      <c r="V791" s="36" t="str">
        <f>IFERROR(INDEX(Katalog!$D$3:$D$12,MATCH(Data[[#This Row],[ItemID C]],Katalog!$C$3:$C$12,0))*Data[[#This Row],[Qty C]],"0")</f>
        <v>0</v>
      </c>
      <c r="W791" s="36" t="str">
        <f>IFERROR(INDEX(Katalog!$F$3:$F$12,MATCH(Data[[#This Row],[ItemID C]],Katalog!$C$3:$C$12,0))*Data[[#This Row],[Qty C]],"0")</f>
        <v>0</v>
      </c>
      <c r="X791" s="21">
        <f>Data[[#This Row],[Qty A]]+Data[[#This Row],[Qty B]]+Data[[#This Row],[Qty C]]</f>
        <v>6</v>
      </c>
      <c r="Y791" s="22">
        <f>Data[[#This Row],[Harga Barang A]]+Data[[#This Row],[Harga Barang B]]+Data[[#This Row],[Harga Barang C]]</f>
        <v>960000</v>
      </c>
      <c r="Z791" s="35">
        <f>IFERROR(Data[[#This Row],[Total Harga]]-(Data[[#This Row],[Total Harga]]*Data[[#This Row],[Diskon]]),Data[[#This Row],[Total Harga]])</f>
        <v>816000</v>
      </c>
      <c r="AA791" s="35">
        <f>(Data[[#This Row],[Profit A]]+Data[[#This Row],[Profit B]]+Data[[#This Row],[Profit C]])</f>
        <v>380000</v>
      </c>
      <c r="AB791" s="35">
        <f>IFERROR((Data[[#This Row],[Profit non Diskon]]-(Data[[#This Row],[Profit non Diskon]]*Data[[#This Row],[Diskon]])),Data[[#This Row],[Profit non Diskon]])</f>
        <v>323000</v>
      </c>
      <c r="AC791" s="23" t="s">
        <v>32</v>
      </c>
      <c r="AD791" s="37">
        <f>IFERROR(INDEX('Kode Diskon'!$D$3:$D$9,MATCH(Data[[#This Row],[Kode diskon]],'Kode Diskon'!$C$3:$C$9,0)),"-")</f>
        <v>0.15</v>
      </c>
      <c r="AE791" s="23" t="s">
        <v>9</v>
      </c>
      <c r="AF791" s="23" t="s">
        <v>12</v>
      </c>
      <c r="AG791" s="23" t="s">
        <v>80</v>
      </c>
      <c r="AH791" s="24">
        <v>45033</v>
      </c>
      <c r="AI791" s="23" t="str">
        <f>TEXT(Data[[#This Row],[Tanggal terjual]],"dddd")</f>
        <v>Monday</v>
      </c>
      <c r="AJ791" s="21" t="str">
        <f>TEXT(Data[[#This Row],[Tanggal terjual]],"wwww")</f>
        <v>wwww</v>
      </c>
    </row>
    <row r="792" spans="1:36" x14ac:dyDescent="0.2">
      <c r="A792" s="20">
        <v>791</v>
      </c>
      <c r="B792" s="21" t="str">
        <f>_xlfn.CONCAT("ORD-",INDEX(Helper!$B$2:$B$5,MATCH(Data[[#This Row],[Marketplace]],Helper!$A$2:$A$5,0)),TEXT(Data[[#This Row],[No]],"0000"),"-",TEXT(Data[[#This Row],[Tanggal terjual]],"dd/mm/yy"))</f>
        <v>ORD-TK0791-07/04/23</v>
      </c>
      <c r="C792" t="s">
        <v>66</v>
      </c>
      <c r="D792" t="str">
        <f>IFERROR(INDEX(Katalog!$A$3:$A$12,MATCH(Data[[#This Row],[ItemID A]],Katalog!$C$3:$C$12,0)),"-")</f>
        <v>Sepatu Pria</v>
      </c>
      <c r="E792" t="str">
        <f>IFERROR(INDEX(Katalog!$B$3:$B$12,MATCH(Data[[#This Row],[ItemID A]],Katalog!$C$3:$C$12,0)),"-")</f>
        <v>Sandal Slip On</v>
      </c>
      <c r="F792">
        <v>1</v>
      </c>
      <c r="G792">
        <v>3</v>
      </c>
      <c r="H792" s="36">
        <f>IFERROR(INDEX(Katalog!$D$3:$D$12,MATCH(Data[[#This Row],[ItemID A]],Katalog!$C$3:$C$12,0))*Data[[#This Row],[Qty A]],"0")</f>
        <v>150000</v>
      </c>
      <c r="I792" s="36">
        <f>IFERROR(INDEX(Katalog!$F$3:$F$12,MATCH(Data[[#This Row],[ItemID A]],Katalog!$C$3:$C$12,0))*Data[[#This Row],[Qty A]],0)</f>
        <v>60000</v>
      </c>
      <c r="J792" t="s">
        <v>67</v>
      </c>
      <c r="K792" t="str">
        <f>IFERROR(INDEX(Katalog!$A$3:$A$12,MATCH(Data[[#This Row],[ItemID B]],Katalog!$C$3:$C$12,0)),"-")</f>
        <v>Sepatu Wanita</v>
      </c>
      <c r="L792" t="str">
        <f>IFERROR(INDEX(Katalog!$B$3:$B$12,MATCH(Data[[#This Row],[ItemID B]],Katalog!$C$3:$C$12,0)),"-")</f>
        <v>Flat Shoes</v>
      </c>
      <c r="M792">
        <v>3</v>
      </c>
      <c r="N792">
        <v>5</v>
      </c>
      <c r="O792" s="36">
        <f>IFERROR(INDEX(Katalog!$D$3:$D$12,MATCH(Data[[#This Row],[ItemID B]],Katalog!$C$3:$C$12,0))*Data[[#This Row],[Qty B]],"0")</f>
        <v>750000</v>
      </c>
      <c r="P792" s="36">
        <f>IFERROR(INDEX(Katalog!$F$3:$F$12,MATCH(Data[[#This Row],[ItemID B]],Katalog!$C$3:$C$12,0))*Data[[#This Row],[Qty B]],"0")</f>
        <v>300000</v>
      </c>
      <c r="R792" t="str">
        <f>IFERROR(INDEX(Katalog!$A$3:$A$12,MATCH(Data[[#This Row],[ItemID C]],Katalog!$C$3:$C$12,0)),"-")</f>
        <v>-</v>
      </c>
      <c r="S792" t="str">
        <f>IFERROR(INDEX(Katalog!$B$3:$B$12,MATCH(Data[[#This Row],[ItemID C]],Katalog!$C$3:$C$12,0)),"-")</f>
        <v>-</v>
      </c>
      <c r="V792" s="36" t="str">
        <f>IFERROR(INDEX(Katalog!$D$3:$D$12,MATCH(Data[[#This Row],[ItemID C]],Katalog!$C$3:$C$12,0))*Data[[#This Row],[Qty C]],"0")</f>
        <v>0</v>
      </c>
      <c r="W792" s="36" t="str">
        <f>IFERROR(INDEX(Katalog!$F$3:$F$12,MATCH(Data[[#This Row],[ItemID C]],Katalog!$C$3:$C$12,0))*Data[[#This Row],[Qty C]],"0")</f>
        <v>0</v>
      </c>
      <c r="X792" s="21">
        <f>Data[[#This Row],[Qty A]]+Data[[#This Row],[Qty B]]+Data[[#This Row],[Qty C]]</f>
        <v>4</v>
      </c>
      <c r="Y792" s="22">
        <f>Data[[#This Row],[Harga Barang A]]+Data[[#This Row],[Harga Barang B]]+Data[[#This Row],[Harga Barang C]]</f>
        <v>900000</v>
      </c>
      <c r="Z792" s="35">
        <f>IFERROR(Data[[#This Row],[Total Harga]]-(Data[[#This Row],[Total Harga]]*Data[[#This Row],[Diskon]]),Data[[#This Row],[Total Harga]])</f>
        <v>900000</v>
      </c>
      <c r="AA792" s="35">
        <f>(Data[[#This Row],[Profit A]]+Data[[#This Row],[Profit B]]+Data[[#This Row],[Profit C]])</f>
        <v>360000</v>
      </c>
      <c r="AB792" s="35">
        <f>IFERROR((Data[[#This Row],[Profit non Diskon]]-(Data[[#This Row],[Profit non Diskon]]*Data[[#This Row],[Diskon]])),Data[[#This Row],[Profit non Diskon]])</f>
        <v>360000</v>
      </c>
      <c r="AC792" s="23" t="s">
        <v>11</v>
      </c>
      <c r="AD792" s="37" t="str">
        <f>IFERROR(INDEX('Kode Diskon'!$D$3:$D$9,MATCH(Data[[#This Row],[Kode diskon]],'Kode Diskon'!$C$3:$C$9,0)),"-")</f>
        <v>-</v>
      </c>
      <c r="AE792" s="23" t="s">
        <v>11</v>
      </c>
      <c r="AF792" s="23" t="s">
        <v>10</v>
      </c>
      <c r="AG792" s="23" t="s">
        <v>80</v>
      </c>
      <c r="AH792" s="24">
        <v>45023</v>
      </c>
      <c r="AI792" s="23" t="str">
        <f>TEXT(Data[[#This Row],[Tanggal terjual]],"dddd")</f>
        <v>Friday</v>
      </c>
      <c r="AJ792" s="21" t="str">
        <f>TEXT(Data[[#This Row],[Tanggal terjual]],"wwww")</f>
        <v>wwww</v>
      </c>
    </row>
    <row r="793" spans="1:36" x14ac:dyDescent="0.2">
      <c r="A793" s="20">
        <v>792</v>
      </c>
      <c r="B793" s="21" t="str">
        <f>_xlfn.CONCAT("ORD-",INDEX(Helper!$B$2:$B$5,MATCH(Data[[#This Row],[Marketplace]],Helper!$A$2:$A$5,0)),TEXT(Data[[#This Row],[No]],"0000"),"-",TEXT(Data[[#This Row],[Tanggal terjual]],"dd/mm/yy"))</f>
        <v>ORD-SP0792-03/04/23</v>
      </c>
      <c r="C793" t="s">
        <v>61</v>
      </c>
      <c r="D793" t="str">
        <f>IFERROR(INDEX(Katalog!$A$3:$A$12,MATCH(Data[[#This Row],[ItemID A]],Katalog!$C$3:$C$12,0)),"-")</f>
        <v>Pakaian Pria</v>
      </c>
      <c r="E793" t="str">
        <f>IFERROR(INDEX(Katalog!$B$3:$B$12,MATCH(Data[[#This Row],[ItemID A]],Katalog!$C$3:$C$12,0)),"-")</f>
        <v>Kaos Polo</v>
      </c>
      <c r="F793">
        <v>4</v>
      </c>
      <c r="G793">
        <v>1</v>
      </c>
      <c r="H793" s="36">
        <f>IFERROR(INDEX(Katalog!$D$3:$D$12,MATCH(Data[[#This Row],[ItemID A]],Katalog!$C$3:$C$12,0))*Data[[#This Row],[Qty A]],"0")</f>
        <v>800000</v>
      </c>
      <c r="I793" s="36">
        <f>IFERROR(INDEX(Katalog!$F$3:$F$12,MATCH(Data[[#This Row],[ItemID A]],Katalog!$C$3:$C$12,0))*Data[[#This Row],[Qty A]],0)</f>
        <v>320000</v>
      </c>
      <c r="K793" t="str">
        <f>IFERROR(INDEX(Katalog!$A$3:$A$12,MATCH(Data[[#This Row],[ItemID B]],Katalog!$C$3:$C$12,0)),"-")</f>
        <v>-</v>
      </c>
      <c r="L793" t="str">
        <f>IFERROR(INDEX(Katalog!$B$3:$B$12,MATCH(Data[[#This Row],[ItemID B]],Katalog!$C$3:$C$12,0)),"-")</f>
        <v>-</v>
      </c>
      <c r="O793" s="36" t="str">
        <f>IFERROR(INDEX(Katalog!$D$3:$D$12,MATCH(Data[[#This Row],[ItemID B]],Katalog!$C$3:$C$12,0))*Data[[#This Row],[Qty B]],"0")</f>
        <v>0</v>
      </c>
      <c r="P793" s="36" t="str">
        <f>IFERROR(INDEX(Katalog!$F$3:$F$12,MATCH(Data[[#This Row],[ItemID B]],Katalog!$C$3:$C$12,0))*Data[[#This Row],[Qty B]],"0")</f>
        <v>0</v>
      </c>
      <c r="R793" t="str">
        <f>IFERROR(INDEX(Katalog!$A$3:$A$12,MATCH(Data[[#This Row],[ItemID C]],Katalog!$C$3:$C$12,0)),"-")</f>
        <v>-</v>
      </c>
      <c r="S793" t="str">
        <f>IFERROR(INDEX(Katalog!$B$3:$B$12,MATCH(Data[[#This Row],[ItemID C]],Katalog!$C$3:$C$12,0)),"-")</f>
        <v>-</v>
      </c>
      <c r="V793" s="36" t="str">
        <f>IFERROR(INDEX(Katalog!$D$3:$D$12,MATCH(Data[[#This Row],[ItemID C]],Katalog!$C$3:$C$12,0))*Data[[#This Row],[Qty C]],"0")</f>
        <v>0</v>
      </c>
      <c r="W793" s="36" t="str">
        <f>IFERROR(INDEX(Katalog!$F$3:$F$12,MATCH(Data[[#This Row],[ItemID C]],Katalog!$C$3:$C$12,0))*Data[[#This Row],[Qty C]],"0")</f>
        <v>0</v>
      </c>
      <c r="X793" s="21">
        <f>Data[[#This Row],[Qty A]]+Data[[#This Row],[Qty B]]+Data[[#This Row],[Qty C]]</f>
        <v>4</v>
      </c>
      <c r="Y793" s="22">
        <f>Data[[#This Row],[Harga Barang A]]+Data[[#This Row],[Harga Barang B]]+Data[[#This Row],[Harga Barang C]]</f>
        <v>800000</v>
      </c>
      <c r="Z793" s="35">
        <f>IFERROR(Data[[#This Row],[Total Harga]]-(Data[[#This Row],[Total Harga]]*Data[[#This Row],[Diskon]]),Data[[#This Row],[Total Harga]])</f>
        <v>680000</v>
      </c>
      <c r="AA793" s="35">
        <f>(Data[[#This Row],[Profit A]]+Data[[#This Row],[Profit B]]+Data[[#This Row],[Profit C]])</f>
        <v>320000</v>
      </c>
      <c r="AB793" s="35">
        <f>IFERROR((Data[[#This Row],[Profit non Diskon]]-(Data[[#This Row],[Profit non Diskon]]*Data[[#This Row],[Diskon]])),Data[[#This Row],[Profit non Diskon]])</f>
        <v>272000</v>
      </c>
      <c r="AC793" s="23" t="s">
        <v>13</v>
      </c>
      <c r="AD793" s="37">
        <f>IFERROR(INDEX('Kode Diskon'!$D$3:$D$9,MATCH(Data[[#This Row],[Kode diskon]],'Kode Diskon'!$C$3:$C$9,0)),"-")</f>
        <v>0.15</v>
      </c>
      <c r="AE793" s="23" t="s">
        <v>29</v>
      </c>
      <c r="AF793" s="23" t="s">
        <v>7</v>
      </c>
      <c r="AG793" s="23" t="s">
        <v>80</v>
      </c>
      <c r="AH793" s="24">
        <v>45019</v>
      </c>
      <c r="AI793" s="23" t="str">
        <f>TEXT(Data[[#This Row],[Tanggal terjual]],"dddd")</f>
        <v>Monday</v>
      </c>
      <c r="AJ793" s="21" t="str">
        <f>TEXT(Data[[#This Row],[Tanggal terjual]],"wwww")</f>
        <v>wwww</v>
      </c>
    </row>
    <row r="794" spans="1:36" x14ac:dyDescent="0.2">
      <c r="A794" s="20">
        <v>793</v>
      </c>
      <c r="B794" s="21" t="str">
        <f>_xlfn.CONCAT("ORD-",INDEX(Helper!$B$2:$B$5,MATCH(Data[[#This Row],[Marketplace]],Helper!$A$2:$A$5,0)),TEXT(Data[[#This Row],[No]],"0000"),"-",TEXT(Data[[#This Row],[Tanggal terjual]],"dd/mm/yy"))</f>
        <v>ORD-BL0793-24/04/23</v>
      </c>
      <c r="C794" t="s">
        <v>67</v>
      </c>
      <c r="D794" t="str">
        <f>IFERROR(INDEX(Katalog!$A$3:$A$12,MATCH(Data[[#This Row],[ItemID A]],Katalog!$C$3:$C$12,0)),"-")</f>
        <v>Sepatu Wanita</v>
      </c>
      <c r="E794" t="str">
        <f>IFERROR(INDEX(Katalog!$B$3:$B$12,MATCH(Data[[#This Row],[ItemID A]],Katalog!$C$3:$C$12,0)),"-")</f>
        <v>Flat Shoes</v>
      </c>
      <c r="F794">
        <v>2</v>
      </c>
      <c r="G794">
        <v>2</v>
      </c>
      <c r="H794" s="36">
        <f>IFERROR(INDEX(Katalog!$D$3:$D$12,MATCH(Data[[#This Row],[ItemID A]],Katalog!$C$3:$C$12,0))*Data[[#This Row],[Qty A]],"0")</f>
        <v>500000</v>
      </c>
      <c r="I794" s="36">
        <f>IFERROR(INDEX(Katalog!$F$3:$F$12,MATCH(Data[[#This Row],[ItemID A]],Katalog!$C$3:$C$12,0))*Data[[#This Row],[Qty A]],0)</f>
        <v>200000</v>
      </c>
      <c r="K794" t="str">
        <f>IFERROR(INDEX(Katalog!$A$3:$A$12,MATCH(Data[[#This Row],[ItemID B]],Katalog!$C$3:$C$12,0)),"-")</f>
        <v>-</v>
      </c>
      <c r="L794" t="str">
        <f>IFERROR(INDEX(Katalog!$B$3:$B$12,MATCH(Data[[#This Row],[ItemID B]],Katalog!$C$3:$C$12,0)),"-")</f>
        <v>-</v>
      </c>
      <c r="O794" s="36" t="str">
        <f>IFERROR(INDEX(Katalog!$D$3:$D$12,MATCH(Data[[#This Row],[ItemID B]],Katalog!$C$3:$C$12,0))*Data[[#This Row],[Qty B]],"0")</f>
        <v>0</v>
      </c>
      <c r="P794" s="36" t="str">
        <f>IFERROR(INDEX(Katalog!$F$3:$F$12,MATCH(Data[[#This Row],[ItemID B]],Katalog!$C$3:$C$12,0))*Data[[#This Row],[Qty B]],"0")</f>
        <v>0</v>
      </c>
      <c r="R794" t="str">
        <f>IFERROR(INDEX(Katalog!$A$3:$A$12,MATCH(Data[[#This Row],[ItemID C]],Katalog!$C$3:$C$12,0)),"-")</f>
        <v>-</v>
      </c>
      <c r="S794" t="str">
        <f>IFERROR(INDEX(Katalog!$B$3:$B$12,MATCH(Data[[#This Row],[ItemID C]],Katalog!$C$3:$C$12,0)),"-")</f>
        <v>-</v>
      </c>
      <c r="V794" s="36" t="str">
        <f>IFERROR(INDEX(Katalog!$D$3:$D$12,MATCH(Data[[#This Row],[ItemID C]],Katalog!$C$3:$C$12,0))*Data[[#This Row],[Qty C]],"0")</f>
        <v>0</v>
      </c>
      <c r="W794" s="36" t="str">
        <f>IFERROR(INDEX(Katalog!$F$3:$F$12,MATCH(Data[[#This Row],[ItemID C]],Katalog!$C$3:$C$12,0))*Data[[#This Row],[Qty C]],"0")</f>
        <v>0</v>
      </c>
      <c r="X794" s="21">
        <f>Data[[#This Row],[Qty A]]+Data[[#This Row],[Qty B]]+Data[[#This Row],[Qty C]]</f>
        <v>2</v>
      </c>
      <c r="Y794" s="22">
        <f>Data[[#This Row],[Harga Barang A]]+Data[[#This Row],[Harga Barang B]]+Data[[#This Row],[Harga Barang C]]</f>
        <v>500000</v>
      </c>
      <c r="Z794" s="35">
        <f>IFERROR(Data[[#This Row],[Total Harga]]-(Data[[#This Row],[Total Harga]]*Data[[#This Row],[Diskon]]),Data[[#This Row],[Total Harga]])</f>
        <v>425000</v>
      </c>
      <c r="AA794" s="35">
        <f>(Data[[#This Row],[Profit A]]+Data[[#This Row],[Profit B]]+Data[[#This Row],[Profit C]])</f>
        <v>200000</v>
      </c>
      <c r="AB794" s="35">
        <f>IFERROR((Data[[#This Row],[Profit non Diskon]]-(Data[[#This Row],[Profit non Diskon]]*Data[[#This Row],[Diskon]])),Data[[#This Row],[Profit non Diskon]])</f>
        <v>170000</v>
      </c>
      <c r="AC794" s="23" t="s">
        <v>32</v>
      </c>
      <c r="AD794" s="37">
        <f>IFERROR(INDEX('Kode Diskon'!$D$3:$D$9,MATCH(Data[[#This Row],[Kode diskon]],'Kode Diskon'!$C$3:$C$9,0)),"-")</f>
        <v>0.15</v>
      </c>
      <c r="AE794" s="23" t="s">
        <v>9</v>
      </c>
      <c r="AF794" s="23" t="s">
        <v>12</v>
      </c>
      <c r="AG794" s="23" t="s">
        <v>79</v>
      </c>
      <c r="AH794" s="24">
        <v>45040</v>
      </c>
      <c r="AI794" s="23" t="str">
        <f>TEXT(Data[[#This Row],[Tanggal terjual]],"dddd")</f>
        <v>Monday</v>
      </c>
      <c r="AJ794" s="21" t="str">
        <f>TEXT(Data[[#This Row],[Tanggal terjual]],"wwww")</f>
        <v>wwww</v>
      </c>
    </row>
    <row r="795" spans="1:36" x14ac:dyDescent="0.2">
      <c r="A795" s="20">
        <v>794</v>
      </c>
      <c r="B795" s="21" t="str">
        <f>_xlfn.CONCAT("ORD-",INDEX(Helper!$B$2:$B$5,MATCH(Data[[#This Row],[Marketplace]],Helper!$A$2:$A$5,0)),TEXT(Data[[#This Row],[No]],"0000"),"-",TEXT(Data[[#This Row],[Tanggal terjual]],"dd/mm/yy"))</f>
        <v>ORD-BL0794-14/04/23</v>
      </c>
      <c r="C795" t="s">
        <v>61</v>
      </c>
      <c r="D795" t="str">
        <f>IFERROR(INDEX(Katalog!$A$3:$A$12,MATCH(Data[[#This Row],[ItemID A]],Katalog!$C$3:$C$12,0)),"-")</f>
        <v>Pakaian Pria</v>
      </c>
      <c r="E795" t="str">
        <f>IFERROR(INDEX(Katalog!$B$3:$B$12,MATCH(Data[[#This Row],[ItemID A]],Katalog!$C$3:$C$12,0)),"-")</f>
        <v>Kaos Polo</v>
      </c>
      <c r="F795">
        <v>1</v>
      </c>
      <c r="G795">
        <v>2</v>
      </c>
      <c r="H795" s="36">
        <f>IFERROR(INDEX(Katalog!$D$3:$D$12,MATCH(Data[[#This Row],[ItemID A]],Katalog!$C$3:$C$12,0))*Data[[#This Row],[Qty A]],"0")</f>
        <v>200000</v>
      </c>
      <c r="I795" s="36">
        <f>IFERROR(INDEX(Katalog!$F$3:$F$12,MATCH(Data[[#This Row],[ItemID A]],Katalog!$C$3:$C$12,0))*Data[[#This Row],[Qty A]],0)</f>
        <v>80000</v>
      </c>
      <c r="J795" t="s">
        <v>62</v>
      </c>
      <c r="K795" t="str">
        <f>IFERROR(INDEX(Katalog!$A$3:$A$12,MATCH(Data[[#This Row],[ItemID B]],Katalog!$C$3:$C$12,0)),"-")</f>
        <v>Pakaian Pria</v>
      </c>
      <c r="L795" t="str">
        <f>IFERROR(INDEX(Katalog!$B$3:$B$12,MATCH(Data[[#This Row],[ItemID B]],Katalog!$C$3:$C$12,0)),"-")</f>
        <v>Celana Pendek</v>
      </c>
      <c r="M795">
        <v>1</v>
      </c>
      <c r="N795">
        <v>1</v>
      </c>
      <c r="O795" s="36">
        <f>IFERROR(INDEX(Katalog!$D$3:$D$12,MATCH(Data[[#This Row],[ItemID B]],Katalog!$C$3:$C$12,0))*Data[[#This Row],[Qty B]],"0")</f>
        <v>180000</v>
      </c>
      <c r="P795" s="36">
        <f>IFERROR(INDEX(Katalog!$F$3:$F$12,MATCH(Data[[#This Row],[ItemID B]],Katalog!$C$3:$C$12,0))*Data[[#This Row],[Qty B]],"0")</f>
        <v>70000</v>
      </c>
      <c r="Q795" t="s">
        <v>66</v>
      </c>
      <c r="R795" t="str">
        <f>IFERROR(INDEX(Katalog!$A$3:$A$12,MATCH(Data[[#This Row],[ItemID C]],Katalog!$C$3:$C$12,0)),"-")</f>
        <v>Sepatu Pria</v>
      </c>
      <c r="S795" t="str">
        <f>IFERROR(INDEX(Katalog!$B$3:$B$12,MATCH(Data[[#This Row],[ItemID C]],Katalog!$C$3:$C$12,0)),"-")</f>
        <v>Sandal Slip On</v>
      </c>
      <c r="T795">
        <v>1</v>
      </c>
      <c r="U795">
        <v>4</v>
      </c>
      <c r="V795" s="36">
        <f>IFERROR(INDEX(Katalog!$D$3:$D$12,MATCH(Data[[#This Row],[ItemID C]],Katalog!$C$3:$C$12,0))*Data[[#This Row],[Qty C]],"0")</f>
        <v>150000</v>
      </c>
      <c r="W795" s="36">
        <f>IFERROR(INDEX(Katalog!$F$3:$F$12,MATCH(Data[[#This Row],[ItemID C]],Katalog!$C$3:$C$12,0))*Data[[#This Row],[Qty C]],"0")</f>
        <v>60000</v>
      </c>
      <c r="X795" s="21">
        <f>Data[[#This Row],[Qty A]]+Data[[#This Row],[Qty B]]+Data[[#This Row],[Qty C]]</f>
        <v>3</v>
      </c>
      <c r="Y795" s="22">
        <f>Data[[#This Row],[Harga Barang A]]+Data[[#This Row],[Harga Barang B]]+Data[[#This Row],[Harga Barang C]]</f>
        <v>530000</v>
      </c>
      <c r="Z795" s="35">
        <f>IFERROR(Data[[#This Row],[Total Harga]]-(Data[[#This Row],[Total Harga]]*Data[[#This Row],[Diskon]]),Data[[#This Row],[Total Harga]])</f>
        <v>530000</v>
      </c>
      <c r="AA795" s="35">
        <f>(Data[[#This Row],[Profit A]]+Data[[#This Row],[Profit B]]+Data[[#This Row],[Profit C]])</f>
        <v>210000</v>
      </c>
      <c r="AB795" s="35">
        <f>IFERROR((Data[[#This Row],[Profit non Diskon]]-(Data[[#This Row],[Profit non Diskon]]*Data[[#This Row],[Diskon]])),Data[[#This Row],[Profit non Diskon]])</f>
        <v>210000</v>
      </c>
      <c r="AC795" s="23" t="s">
        <v>11</v>
      </c>
      <c r="AD795" s="37" t="str">
        <f>IFERROR(INDEX('Kode Diskon'!$D$3:$D$9,MATCH(Data[[#This Row],[Kode diskon]],'Kode Diskon'!$C$3:$C$9,0)),"-")</f>
        <v>-</v>
      </c>
      <c r="AE795" s="23" t="s">
        <v>11</v>
      </c>
      <c r="AF795" s="23" t="s">
        <v>12</v>
      </c>
      <c r="AG795" s="23" t="s">
        <v>80</v>
      </c>
      <c r="AH795" s="24">
        <v>45030</v>
      </c>
      <c r="AI795" s="23" t="str">
        <f>TEXT(Data[[#This Row],[Tanggal terjual]],"dddd")</f>
        <v>Friday</v>
      </c>
      <c r="AJ795" s="21" t="str">
        <f>TEXT(Data[[#This Row],[Tanggal terjual]],"wwww")</f>
        <v>wwww</v>
      </c>
    </row>
    <row r="796" spans="1:36" x14ac:dyDescent="0.2">
      <c r="A796" s="20">
        <v>795</v>
      </c>
      <c r="B796" s="21" t="str">
        <f>_xlfn.CONCAT("ORD-",INDEX(Helper!$B$2:$B$5,MATCH(Data[[#This Row],[Marketplace]],Helper!$A$2:$A$5,0)),TEXT(Data[[#This Row],[No]],"0000"),"-",TEXT(Data[[#This Row],[Tanggal terjual]],"dd/mm/yy"))</f>
        <v>ORD-BB0795-02/04/23</v>
      </c>
      <c r="C796" t="s">
        <v>65</v>
      </c>
      <c r="D796" t="str">
        <f>IFERROR(INDEX(Katalog!$A$3:$A$12,MATCH(Data[[#This Row],[ItemID A]],Katalog!$C$3:$C$12,0)),"-")</f>
        <v>Sepatu Pria</v>
      </c>
      <c r="E796" t="str">
        <f>IFERROR(INDEX(Katalog!$B$3:$B$12,MATCH(Data[[#This Row],[ItemID A]],Katalog!$C$3:$C$12,0)),"-")</f>
        <v>Sneakers</v>
      </c>
      <c r="F796">
        <v>1</v>
      </c>
      <c r="G796">
        <v>4</v>
      </c>
      <c r="H796" s="36">
        <f>IFERROR(INDEX(Katalog!$D$3:$D$12,MATCH(Data[[#This Row],[ItemID A]],Katalog!$C$3:$C$12,0))*Data[[#This Row],[Qty A]],"0")</f>
        <v>500000</v>
      </c>
      <c r="I796" s="36">
        <f>IFERROR(INDEX(Katalog!$F$3:$F$12,MATCH(Data[[#This Row],[ItemID A]],Katalog!$C$3:$C$12,0))*Data[[#This Row],[Qty A]],0)</f>
        <v>200000</v>
      </c>
      <c r="J796" t="s">
        <v>62</v>
      </c>
      <c r="K796" t="str">
        <f>IFERROR(INDEX(Katalog!$A$3:$A$12,MATCH(Data[[#This Row],[ItemID B]],Katalog!$C$3:$C$12,0)),"-")</f>
        <v>Pakaian Pria</v>
      </c>
      <c r="L796" t="str">
        <f>IFERROR(INDEX(Katalog!$B$3:$B$12,MATCH(Data[[#This Row],[ItemID B]],Katalog!$C$3:$C$12,0)),"-")</f>
        <v>Celana Pendek</v>
      </c>
      <c r="M796">
        <v>1</v>
      </c>
      <c r="N796">
        <v>2</v>
      </c>
      <c r="O796" s="36">
        <f>IFERROR(INDEX(Katalog!$D$3:$D$12,MATCH(Data[[#This Row],[ItemID B]],Katalog!$C$3:$C$12,0))*Data[[#This Row],[Qty B]],"0")</f>
        <v>180000</v>
      </c>
      <c r="P796" s="36">
        <f>IFERROR(INDEX(Katalog!$F$3:$F$12,MATCH(Data[[#This Row],[ItemID B]],Katalog!$C$3:$C$12,0))*Data[[#This Row],[Qty B]],"0")</f>
        <v>70000</v>
      </c>
      <c r="R796" t="str">
        <f>IFERROR(INDEX(Katalog!$A$3:$A$12,MATCH(Data[[#This Row],[ItemID C]],Katalog!$C$3:$C$12,0)),"-")</f>
        <v>-</v>
      </c>
      <c r="S796" t="str">
        <f>IFERROR(INDEX(Katalog!$B$3:$B$12,MATCH(Data[[#This Row],[ItemID C]],Katalog!$C$3:$C$12,0)),"-")</f>
        <v>-</v>
      </c>
      <c r="V796" s="36" t="str">
        <f>IFERROR(INDEX(Katalog!$D$3:$D$12,MATCH(Data[[#This Row],[ItemID C]],Katalog!$C$3:$C$12,0))*Data[[#This Row],[Qty C]],"0")</f>
        <v>0</v>
      </c>
      <c r="W796" s="36" t="str">
        <f>IFERROR(INDEX(Katalog!$F$3:$F$12,MATCH(Data[[#This Row],[ItemID C]],Katalog!$C$3:$C$12,0))*Data[[#This Row],[Qty C]],"0")</f>
        <v>0</v>
      </c>
      <c r="X796" s="21">
        <f>Data[[#This Row],[Qty A]]+Data[[#This Row],[Qty B]]+Data[[#This Row],[Qty C]]</f>
        <v>2</v>
      </c>
      <c r="Y796" s="22">
        <f>Data[[#This Row],[Harga Barang A]]+Data[[#This Row],[Harga Barang B]]+Data[[#This Row],[Harga Barang C]]</f>
        <v>680000</v>
      </c>
      <c r="Z796" s="35">
        <f>IFERROR(Data[[#This Row],[Total Harga]]-(Data[[#This Row],[Total Harga]]*Data[[#This Row],[Diskon]]),Data[[#This Row],[Total Harga]])</f>
        <v>578000</v>
      </c>
      <c r="AA796" s="35">
        <f>(Data[[#This Row],[Profit A]]+Data[[#This Row],[Profit B]]+Data[[#This Row],[Profit C]])</f>
        <v>270000</v>
      </c>
      <c r="AB796" s="35">
        <f>IFERROR((Data[[#This Row],[Profit non Diskon]]-(Data[[#This Row],[Profit non Diskon]]*Data[[#This Row],[Diskon]])),Data[[#This Row],[Profit non Diskon]])</f>
        <v>229500</v>
      </c>
      <c r="AC796" s="23" t="s">
        <v>28</v>
      </c>
      <c r="AD796" s="37">
        <f>IFERROR(INDEX('Kode Diskon'!$D$3:$D$9,MATCH(Data[[#This Row],[Kode diskon]],'Kode Diskon'!$C$3:$C$9,0)),"-")</f>
        <v>0.15</v>
      </c>
      <c r="AE796" s="23" t="s">
        <v>29</v>
      </c>
      <c r="AF796" s="23" t="s">
        <v>14</v>
      </c>
      <c r="AG796" s="23" t="s">
        <v>80</v>
      </c>
      <c r="AH796" s="24">
        <v>45018</v>
      </c>
      <c r="AI796" s="23" t="str">
        <f>TEXT(Data[[#This Row],[Tanggal terjual]],"dddd")</f>
        <v>Sunday</v>
      </c>
      <c r="AJ796" s="21" t="str">
        <f>TEXT(Data[[#This Row],[Tanggal terjual]],"wwww")</f>
        <v>wwww</v>
      </c>
    </row>
    <row r="797" spans="1:36" x14ac:dyDescent="0.2">
      <c r="A797" s="20">
        <v>796</v>
      </c>
      <c r="B797" s="21" t="str">
        <f>_xlfn.CONCAT("ORD-",INDEX(Helper!$B$2:$B$5,MATCH(Data[[#This Row],[Marketplace]],Helper!$A$2:$A$5,0)),TEXT(Data[[#This Row],[No]],"0000"),"-",TEXT(Data[[#This Row],[Tanggal terjual]],"dd/mm/yy"))</f>
        <v>ORD-BL0796-21/04/23</v>
      </c>
      <c r="C797" t="s">
        <v>65</v>
      </c>
      <c r="D797" t="str">
        <f>IFERROR(INDEX(Katalog!$A$3:$A$12,MATCH(Data[[#This Row],[ItemID A]],Katalog!$C$3:$C$12,0)),"-")</f>
        <v>Sepatu Pria</v>
      </c>
      <c r="E797" t="str">
        <f>IFERROR(INDEX(Katalog!$B$3:$B$12,MATCH(Data[[#This Row],[ItemID A]],Katalog!$C$3:$C$12,0)),"-")</f>
        <v>Sneakers</v>
      </c>
      <c r="F797">
        <v>1</v>
      </c>
      <c r="G797">
        <v>3</v>
      </c>
      <c r="H797" s="36">
        <f>IFERROR(INDEX(Katalog!$D$3:$D$12,MATCH(Data[[#This Row],[ItemID A]],Katalog!$C$3:$C$12,0))*Data[[#This Row],[Qty A]],"0")</f>
        <v>500000</v>
      </c>
      <c r="I797" s="36">
        <f>IFERROR(INDEX(Katalog!$F$3:$F$12,MATCH(Data[[#This Row],[ItemID A]],Katalog!$C$3:$C$12,0))*Data[[#This Row],[Qty A]],0)</f>
        <v>200000</v>
      </c>
      <c r="K797" t="str">
        <f>IFERROR(INDEX(Katalog!$A$3:$A$12,MATCH(Data[[#This Row],[ItemID B]],Katalog!$C$3:$C$12,0)),"-")</f>
        <v>-</v>
      </c>
      <c r="L797" t="str">
        <f>IFERROR(INDEX(Katalog!$B$3:$B$12,MATCH(Data[[#This Row],[ItemID B]],Katalog!$C$3:$C$12,0)),"-")</f>
        <v>-</v>
      </c>
      <c r="O797" s="36" t="str">
        <f>IFERROR(INDEX(Katalog!$D$3:$D$12,MATCH(Data[[#This Row],[ItemID B]],Katalog!$C$3:$C$12,0))*Data[[#This Row],[Qty B]],"0")</f>
        <v>0</v>
      </c>
      <c r="P797" s="36" t="str">
        <f>IFERROR(INDEX(Katalog!$F$3:$F$12,MATCH(Data[[#This Row],[ItemID B]],Katalog!$C$3:$C$12,0))*Data[[#This Row],[Qty B]],"0")</f>
        <v>0</v>
      </c>
      <c r="R797" t="str">
        <f>IFERROR(INDEX(Katalog!$A$3:$A$12,MATCH(Data[[#This Row],[ItemID C]],Katalog!$C$3:$C$12,0)),"-")</f>
        <v>-</v>
      </c>
      <c r="S797" t="str">
        <f>IFERROR(INDEX(Katalog!$B$3:$B$12,MATCH(Data[[#This Row],[ItemID C]],Katalog!$C$3:$C$12,0)),"-")</f>
        <v>-</v>
      </c>
      <c r="V797" s="36" t="str">
        <f>IFERROR(INDEX(Katalog!$D$3:$D$12,MATCH(Data[[#This Row],[ItemID C]],Katalog!$C$3:$C$12,0))*Data[[#This Row],[Qty C]],"0")</f>
        <v>0</v>
      </c>
      <c r="W797" s="36" t="str">
        <f>IFERROR(INDEX(Katalog!$F$3:$F$12,MATCH(Data[[#This Row],[ItemID C]],Katalog!$C$3:$C$12,0))*Data[[#This Row],[Qty C]],"0")</f>
        <v>0</v>
      </c>
      <c r="X797" s="21">
        <f>Data[[#This Row],[Qty A]]+Data[[#This Row],[Qty B]]+Data[[#This Row],[Qty C]]</f>
        <v>1</v>
      </c>
      <c r="Y797" s="22">
        <f>Data[[#This Row],[Harga Barang A]]+Data[[#This Row],[Harga Barang B]]+Data[[#This Row],[Harga Barang C]]</f>
        <v>500000</v>
      </c>
      <c r="Z797" s="35">
        <f>IFERROR(Data[[#This Row],[Total Harga]]-(Data[[#This Row],[Total Harga]]*Data[[#This Row],[Diskon]]),Data[[#This Row],[Total Harga]])</f>
        <v>425000</v>
      </c>
      <c r="AA797" s="35">
        <f>(Data[[#This Row],[Profit A]]+Data[[#This Row],[Profit B]]+Data[[#This Row],[Profit C]])</f>
        <v>200000</v>
      </c>
      <c r="AB797" s="35">
        <f>IFERROR((Data[[#This Row],[Profit non Diskon]]-(Data[[#This Row],[Profit non Diskon]]*Data[[#This Row],[Diskon]])),Data[[#This Row],[Profit non Diskon]])</f>
        <v>170000</v>
      </c>
      <c r="AC797" s="23" t="s">
        <v>32</v>
      </c>
      <c r="AD797" s="37">
        <f>IFERROR(INDEX('Kode Diskon'!$D$3:$D$9,MATCH(Data[[#This Row],[Kode diskon]],'Kode Diskon'!$C$3:$C$9,0)),"-")</f>
        <v>0.15</v>
      </c>
      <c r="AE797" s="23" t="s">
        <v>9</v>
      </c>
      <c r="AF797" s="23" t="s">
        <v>12</v>
      </c>
      <c r="AG797" s="23" t="s">
        <v>79</v>
      </c>
      <c r="AH797" s="24">
        <v>45037</v>
      </c>
      <c r="AI797" s="23" t="str">
        <f>TEXT(Data[[#This Row],[Tanggal terjual]],"dddd")</f>
        <v>Friday</v>
      </c>
      <c r="AJ797" s="21" t="str">
        <f>TEXT(Data[[#This Row],[Tanggal terjual]],"wwww")</f>
        <v>wwww</v>
      </c>
    </row>
    <row r="798" spans="1:36" x14ac:dyDescent="0.2">
      <c r="A798" s="20">
        <v>797</v>
      </c>
      <c r="B798" s="21" t="str">
        <f>_xlfn.CONCAT("ORD-",INDEX(Helper!$B$2:$B$5,MATCH(Data[[#This Row],[Marketplace]],Helper!$A$2:$A$5,0)),TEXT(Data[[#This Row],[No]],"0000"),"-",TEXT(Data[[#This Row],[Tanggal terjual]],"dd/mm/yy"))</f>
        <v>ORD-BL0797-24/04/23</v>
      </c>
      <c r="C798" t="s">
        <v>61</v>
      </c>
      <c r="D798" t="str">
        <f>IFERROR(INDEX(Katalog!$A$3:$A$12,MATCH(Data[[#This Row],[ItemID A]],Katalog!$C$3:$C$12,0)),"-")</f>
        <v>Pakaian Pria</v>
      </c>
      <c r="E798" t="str">
        <f>IFERROR(INDEX(Katalog!$B$3:$B$12,MATCH(Data[[#This Row],[ItemID A]],Katalog!$C$3:$C$12,0)),"-")</f>
        <v>Kaos Polo</v>
      </c>
      <c r="F798">
        <v>3</v>
      </c>
      <c r="G798">
        <v>4</v>
      </c>
      <c r="H798" s="36">
        <f>IFERROR(INDEX(Katalog!$D$3:$D$12,MATCH(Data[[#This Row],[ItemID A]],Katalog!$C$3:$C$12,0))*Data[[#This Row],[Qty A]],"0")</f>
        <v>600000</v>
      </c>
      <c r="I798" s="36">
        <f>IFERROR(INDEX(Katalog!$F$3:$F$12,MATCH(Data[[#This Row],[ItemID A]],Katalog!$C$3:$C$12,0))*Data[[#This Row],[Qty A]],0)</f>
        <v>240000</v>
      </c>
      <c r="J798" t="s">
        <v>65</v>
      </c>
      <c r="K798" t="str">
        <f>IFERROR(INDEX(Katalog!$A$3:$A$12,MATCH(Data[[#This Row],[ItemID B]],Katalog!$C$3:$C$12,0)),"-")</f>
        <v>Sepatu Pria</v>
      </c>
      <c r="L798" t="str">
        <f>IFERROR(INDEX(Katalog!$B$3:$B$12,MATCH(Data[[#This Row],[ItemID B]],Katalog!$C$3:$C$12,0)),"-")</f>
        <v>Sneakers</v>
      </c>
      <c r="M798">
        <v>1</v>
      </c>
      <c r="N798">
        <v>2</v>
      </c>
      <c r="O798" s="36">
        <f>IFERROR(INDEX(Katalog!$D$3:$D$12,MATCH(Data[[#This Row],[ItemID B]],Katalog!$C$3:$C$12,0))*Data[[#This Row],[Qty B]],"0")</f>
        <v>500000</v>
      </c>
      <c r="P798" s="36">
        <f>IFERROR(INDEX(Katalog!$F$3:$F$12,MATCH(Data[[#This Row],[ItemID B]],Katalog!$C$3:$C$12,0))*Data[[#This Row],[Qty B]],"0")</f>
        <v>200000</v>
      </c>
      <c r="R798" t="str">
        <f>IFERROR(INDEX(Katalog!$A$3:$A$12,MATCH(Data[[#This Row],[ItemID C]],Katalog!$C$3:$C$12,0)),"-")</f>
        <v>-</v>
      </c>
      <c r="S798" t="str">
        <f>IFERROR(INDEX(Katalog!$B$3:$B$12,MATCH(Data[[#This Row],[ItemID C]],Katalog!$C$3:$C$12,0)),"-")</f>
        <v>-</v>
      </c>
      <c r="V798" s="36" t="str">
        <f>IFERROR(INDEX(Katalog!$D$3:$D$12,MATCH(Data[[#This Row],[ItemID C]],Katalog!$C$3:$C$12,0))*Data[[#This Row],[Qty C]],"0")</f>
        <v>0</v>
      </c>
      <c r="W798" s="36" t="str">
        <f>IFERROR(INDEX(Katalog!$F$3:$F$12,MATCH(Data[[#This Row],[ItemID C]],Katalog!$C$3:$C$12,0))*Data[[#This Row],[Qty C]],"0")</f>
        <v>0</v>
      </c>
      <c r="X798" s="21">
        <f>Data[[#This Row],[Qty A]]+Data[[#This Row],[Qty B]]+Data[[#This Row],[Qty C]]</f>
        <v>4</v>
      </c>
      <c r="Y798" s="22">
        <f>Data[[#This Row],[Harga Barang A]]+Data[[#This Row],[Harga Barang B]]+Data[[#This Row],[Harga Barang C]]</f>
        <v>1100000</v>
      </c>
      <c r="Z798" s="35">
        <f>IFERROR(Data[[#This Row],[Total Harga]]-(Data[[#This Row],[Total Harga]]*Data[[#This Row],[Diskon]]),Data[[#This Row],[Total Harga]])</f>
        <v>935000</v>
      </c>
      <c r="AA798" s="35">
        <f>(Data[[#This Row],[Profit A]]+Data[[#This Row],[Profit B]]+Data[[#This Row],[Profit C]])</f>
        <v>440000</v>
      </c>
      <c r="AB798" s="35">
        <f>IFERROR((Data[[#This Row],[Profit non Diskon]]-(Data[[#This Row],[Profit non Diskon]]*Data[[#This Row],[Diskon]])),Data[[#This Row],[Profit non Diskon]])</f>
        <v>374000</v>
      </c>
      <c r="AC798" s="23" t="s">
        <v>32</v>
      </c>
      <c r="AD798" s="37">
        <f>IFERROR(INDEX('Kode Diskon'!$D$3:$D$9,MATCH(Data[[#This Row],[Kode diskon]],'Kode Diskon'!$C$3:$C$9,0)),"-")</f>
        <v>0.15</v>
      </c>
      <c r="AE798" s="23" t="s">
        <v>9</v>
      </c>
      <c r="AF798" s="23" t="s">
        <v>12</v>
      </c>
      <c r="AG798" s="23" t="s">
        <v>79</v>
      </c>
      <c r="AH798" s="24">
        <v>45040</v>
      </c>
      <c r="AI798" s="23" t="str">
        <f>TEXT(Data[[#This Row],[Tanggal terjual]],"dddd")</f>
        <v>Monday</v>
      </c>
      <c r="AJ798" s="21" t="str">
        <f>TEXT(Data[[#This Row],[Tanggal terjual]],"wwww")</f>
        <v>wwww</v>
      </c>
    </row>
    <row r="799" spans="1:36" x14ac:dyDescent="0.2">
      <c r="A799" s="20">
        <v>798</v>
      </c>
      <c r="B799" s="21" t="str">
        <f>_xlfn.CONCAT("ORD-",INDEX(Helper!$B$2:$B$5,MATCH(Data[[#This Row],[Marketplace]],Helper!$A$2:$A$5,0)),TEXT(Data[[#This Row],[No]],"0000"),"-",TEXT(Data[[#This Row],[Tanggal terjual]],"dd/mm/yy"))</f>
        <v>ORD-TK0798-08/04/23</v>
      </c>
      <c r="C799" t="s">
        <v>67</v>
      </c>
      <c r="D799" t="str">
        <f>IFERROR(INDEX(Katalog!$A$3:$A$12,MATCH(Data[[#This Row],[ItemID A]],Katalog!$C$3:$C$12,0)),"-")</f>
        <v>Sepatu Wanita</v>
      </c>
      <c r="E799" t="str">
        <f>IFERROR(INDEX(Katalog!$B$3:$B$12,MATCH(Data[[#This Row],[ItemID A]],Katalog!$C$3:$C$12,0)),"-")</f>
        <v>Flat Shoes</v>
      </c>
      <c r="F799">
        <v>1</v>
      </c>
      <c r="G799">
        <v>2</v>
      </c>
      <c r="H799" s="36">
        <f>IFERROR(INDEX(Katalog!$D$3:$D$12,MATCH(Data[[#This Row],[ItemID A]],Katalog!$C$3:$C$12,0))*Data[[#This Row],[Qty A]],"0")</f>
        <v>250000</v>
      </c>
      <c r="I799" s="36">
        <f>IFERROR(INDEX(Katalog!$F$3:$F$12,MATCH(Data[[#This Row],[ItemID A]],Katalog!$C$3:$C$12,0))*Data[[#This Row],[Qty A]],0)</f>
        <v>100000</v>
      </c>
      <c r="J799" t="s">
        <v>59</v>
      </c>
      <c r="K799" t="str">
        <f>IFERROR(INDEX(Katalog!$A$3:$A$12,MATCH(Data[[#This Row],[ItemID B]],Katalog!$C$3:$C$12,0)),"-")</f>
        <v>Pakaian Wanita</v>
      </c>
      <c r="L799" t="str">
        <f>IFERROR(INDEX(Katalog!$B$3:$B$12,MATCH(Data[[#This Row],[ItemID B]],Katalog!$C$3:$C$12,0)),"-")</f>
        <v>Blouse</v>
      </c>
      <c r="M799">
        <v>1</v>
      </c>
      <c r="N799">
        <v>1</v>
      </c>
      <c r="O799" s="36">
        <f>IFERROR(INDEX(Katalog!$D$3:$D$12,MATCH(Data[[#This Row],[ItemID B]],Katalog!$C$3:$C$12,0))*Data[[#This Row],[Qty B]],"0")</f>
        <v>150000</v>
      </c>
      <c r="P799" s="36">
        <f>IFERROR(INDEX(Katalog!$F$3:$F$12,MATCH(Data[[#This Row],[ItemID B]],Katalog!$C$3:$C$12,0))*Data[[#This Row],[Qty B]],"0")</f>
        <v>50000</v>
      </c>
      <c r="R799" t="str">
        <f>IFERROR(INDEX(Katalog!$A$3:$A$12,MATCH(Data[[#This Row],[ItemID C]],Katalog!$C$3:$C$12,0)),"-")</f>
        <v>-</v>
      </c>
      <c r="S799" t="str">
        <f>IFERROR(INDEX(Katalog!$B$3:$B$12,MATCH(Data[[#This Row],[ItemID C]],Katalog!$C$3:$C$12,0)),"-")</f>
        <v>-</v>
      </c>
      <c r="V799" s="36" t="str">
        <f>IFERROR(INDEX(Katalog!$D$3:$D$12,MATCH(Data[[#This Row],[ItemID C]],Katalog!$C$3:$C$12,0))*Data[[#This Row],[Qty C]],"0")</f>
        <v>0</v>
      </c>
      <c r="W799" s="36" t="str">
        <f>IFERROR(INDEX(Katalog!$F$3:$F$12,MATCH(Data[[#This Row],[ItemID C]],Katalog!$C$3:$C$12,0))*Data[[#This Row],[Qty C]],"0")</f>
        <v>0</v>
      </c>
      <c r="X799" s="21">
        <f>Data[[#This Row],[Qty A]]+Data[[#This Row],[Qty B]]+Data[[#This Row],[Qty C]]</f>
        <v>2</v>
      </c>
      <c r="Y799" s="22">
        <f>Data[[#This Row],[Harga Barang A]]+Data[[#This Row],[Harga Barang B]]+Data[[#This Row],[Harga Barang C]]</f>
        <v>400000</v>
      </c>
      <c r="Z799" s="35">
        <f>IFERROR(Data[[#This Row],[Total Harga]]-(Data[[#This Row],[Total Harga]]*Data[[#This Row],[Diskon]]),Data[[#This Row],[Total Harga]])</f>
        <v>400000</v>
      </c>
      <c r="AA799" s="35">
        <f>(Data[[#This Row],[Profit A]]+Data[[#This Row],[Profit B]]+Data[[#This Row],[Profit C]])</f>
        <v>150000</v>
      </c>
      <c r="AB799" s="35">
        <f>IFERROR((Data[[#This Row],[Profit non Diskon]]-(Data[[#This Row],[Profit non Diskon]]*Data[[#This Row],[Diskon]])),Data[[#This Row],[Profit non Diskon]])</f>
        <v>150000</v>
      </c>
      <c r="AC799" s="23" t="s">
        <v>11</v>
      </c>
      <c r="AD799" s="37" t="str">
        <f>IFERROR(INDEX('Kode Diskon'!$D$3:$D$9,MATCH(Data[[#This Row],[Kode diskon]],'Kode Diskon'!$C$3:$C$9,0)),"-")</f>
        <v>-</v>
      </c>
      <c r="AE799" s="23" t="s">
        <v>11</v>
      </c>
      <c r="AF799" s="23" t="s">
        <v>10</v>
      </c>
      <c r="AG799" s="23" t="s">
        <v>78</v>
      </c>
      <c r="AH799" s="24">
        <v>45024</v>
      </c>
      <c r="AI799" s="23" t="str">
        <f>TEXT(Data[[#This Row],[Tanggal terjual]],"dddd")</f>
        <v>Saturday</v>
      </c>
      <c r="AJ799" s="21" t="str">
        <f>TEXT(Data[[#This Row],[Tanggal terjual]],"wwww")</f>
        <v>wwww</v>
      </c>
    </row>
    <row r="800" spans="1:36" x14ac:dyDescent="0.2">
      <c r="A800" s="20">
        <v>799</v>
      </c>
      <c r="B800" s="21" t="str">
        <f>_xlfn.CONCAT("ORD-",INDEX(Helper!$B$2:$B$5,MATCH(Data[[#This Row],[Marketplace]],Helper!$A$2:$A$5,0)),TEXT(Data[[#This Row],[No]],"0000"),"-",TEXT(Data[[#This Row],[Tanggal terjual]],"dd/mm/yy"))</f>
        <v>ORD-SP0799-05/04/23</v>
      </c>
      <c r="C800" t="s">
        <v>63</v>
      </c>
      <c r="D800" t="str">
        <f>IFERROR(INDEX(Katalog!$A$3:$A$12,MATCH(Data[[#This Row],[ItemID A]],Katalog!$C$3:$C$12,0)),"-")</f>
        <v>Pakaian Pria</v>
      </c>
      <c r="E800" t="str">
        <f>IFERROR(INDEX(Katalog!$B$3:$B$12,MATCH(Data[[#This Row],[ItemID A]],Katalog!$C$3:$C$12,0)),"-")</f>
        <v>Jaket Jeans</v>
      </c>
      <c r="F800">
        <v>1</v>
      </c>
      <c r="G800">
        <v>4</v>
      </c>
      <c r="H800" s="36">
        <f>IFERROR(INDEX(Katalog!$D$3:$D$12,MATCH(Data[[#This Row],[ItemID A]],Katalog!$C$3:$C$12,0))*Data[[#This Row],[Qty A]],"0")</f>
        <v>400000</v>
      </c>
      <c r="I800" s="36">
        <f>IFERROR(INDEX(Katalog!$F$3:$F$12,MATCH(Data[[#This Row],[ItemID A]],Katalog!$C$3:$C$12,0))*Data[[#This Row],[Qty A]],0)</f>
        <v>150000</v>
      </c>
      <c r="J800" t="s">
        <v>65</v>
      </c>
      <c r="K800" t="str">
        <f>IFERROR(INDEX(Katalog!$A$3:$A$12,MATCH(Data[[#This Row],[ItemID B]],Katalog!$C$3:$C$12,0)),"-")</f>
        <v>Sepatu Pria</v>
      </c>
      <c r="L800" t="str">
        <f>IFERROR(INDEX(Katalog!$B$3:$B$12,MATCH(Data[[#This Row],[ItemID B]],Katalog!$C$3:$C$12,0)),"-")</f>
        <v>Sneakers</v>
      </c>
      <c r="M800">
        <v>1</v>
      </c>
      <c r="N800">
        <v>2</v>
      </c>
      <c r="O800" s="36">
        <f>IFERROR(INDEX(Katalog!$D$3:$D$12,MATCH(Data[[#This Row],[ItemID B]],Katalog!$C$3:$C$12,0))*Data[[#This Row],[Qty B]],"0")</f>
        <v>500000</v>
      </c>
      <c r="P800" s="36">
        <f>IFERROR(INDEX(Katalog!$F$3:$F$12,MATCH(Data[[#This Row],[ItemID B]],Katalog!$C$3:$C$12,0))*Data[[#This Row],[Qty B]],"0")</f>
        <v>200000</v>
      </c>
      <c r="R800" t="str">
        <f>IFERROR(INDEX(Katalog!$A$3:$A$12,MATCH(Data[[#This Row],[ItemID C]],Katalog!$C$3:$C$12,0)),"-")</f>
        <v>-</v>
      </c>
      <c r="S800" t="str">
        <f>IFERROR(INDEX(Katalog!$B$3:$B$12,MATCH(Data[[#This Row],[ItemID C]],Katalog!$C$3:$C$12,0)),"-")</f>
        <v>-</v>
      </c>
      <c r="V800" s="36" t="str">
        <f>IFERROR(INDEX(Katalog!$D$3:$D$12,MATCH(Data[[#This Row],[ItemID C]],Katalog!$C$3:$C$12,0))*Data[[#This Row],[Qty C]],"0")</f>
        <v>0</v>
      </c>
      <c r="W800" s="36" t="str">
        <f>IFERROR(INDEX(Katalog!$F$3:$F$12,MATCH(Data[[#This Row],[ItemID C]],Katalog!$C$3:$C$12,0))*Data[[#This Row],[Qty C]],"0")</f>
        <v>0</v>
      </c>
      <c r="X800" s="21">
        <f>Data[[#This Row],[Qty A]]+Data[[#This Row],[Qty B]]+Data[[#This Row],[Qty C]]</f>
        <v>2</v>
      </c>
      <c r="Y800" s="22">
        <f>Data[[#This Row],[Harga Barang A]]+Data[[#This Row],[Harga Barang B]]+Data[[#This Row],[Harga Barang C]]</f>
        <v>900000</v>
      </c>
      <c r="Z800" s="35">
        <f>IFERROR(Data[[#This Row],[Total Harga]]-(Data[[#This Row],[Total Harga]]*Data[[#This Row],[Diskon]]),Data[[#This Row],[Total Harga]])</f>
        <v>810000</v>
      </c>
      <c r="AA800" s="35">
        <f>(Data[[#This Row],[Profit A]]+Data[[#This Row],[Profit B]]+Data[[#This Row],[Profit C]])</f>
        <v>350000</v>
      </c>
      <c r="AB800" s="35">
        <f>IFERROR((Data[[#This Row],[Profit non Diskon]]-(Data[[#This Row],[Profit non Diskon]]*Data[[#This Row],[Diskon]])),Data[[#This Row],[Profit non Diskon]])</f>
        <v>315000</v>
      </c>
      <c r="AC800" s="23" t="s">
        <v>6</v>
      </c>
      <c r="AD800" s="37">
        <f>IFERROR(INDEX('Kode Diskon'!$D$3:$D$9,MATCH(Data[[#This Row],[Kode diskon]],'Kode Diskon'!$C$3:$C$9,0)),"-")</f>
        <v>0.1</v>
      </c>
      <c r="AE800" s="23" t="s">
        <v>29</v>
      </c>
      <c r="AF800" s="23" t="s">
        <v>7</v>
      </c>
      <c r="AG800" s="23" t="s">
        <v>80</v>
      </c>
      <c r="AH800" s="24">
        <v>45021</v>
      </c>
      <c r="AI800" s="23" t="str">
        <f>TEXT(Data[[#This Row],[Tanggal terjual]],"dddd")</f>
        <v>Wednesday</v>
      </c>
      <c r="AJ800" s="21" t="str">
        <f>TEXT(Data[[#This Row],[Tanggal terjual]],"wwww")</f>
        <v>wwww</v>
      </c>
    </row>
    <row r="801" spans="1:36" x14ac:dyDescent="0.2">
      <c r="A801" s="20">
        <v>800</v>
      </c>
      <c r="B801" s="21" t="str">
        <f>_xlfn.CONCAT("ORD-",INDEX(Helper!$B$2:$B$5,MATCH(Data[[#This Row],[Marketplace]],Helper!$A$2:$A$5,0)),TEXT(Data[[#This Row],[No]],"0000"),"-",TEXT(Data[[#This Row],[Tanggal terjual]],"dd/mm/yy"))</f>
        <v>ORD-SP0800-19/04/23</v>
      </c>
      <c r="C801" t="s">
        <v>60</v>
      </c>
      <c r="D801" t="str">
        <f>IFERROR(INDEX(Katalog!$A$3:$A$12,MATCH(Data[[#This Row],[ItemID A]],Katalog!$C$3:$C$12,0)),"-")</f>
        <v>Pakaian Wanita</v>
      </c>
      <c r="E801" t="str">
        <f>IFERROR(INDEX(Katalog!$B$3:$B$12,MATCH(Data[[#This Row],[ItemID A]],Katalog!$C$3:$C$12,0)),"-")</f>
        <v>Kaftan</v>
      </c>
      <c r="F801">
        <v>5</v>
      </c>
      <c r="G801">
        <v>4</v>
      </c>
      <c r="H801" s="36">
        <f>IFERROR(INDEX(Katalog!$D$3:$D$12,MATCH(Data[[#This Row],[ItemID A]],Katalog!$C$3:$C$12,0))*Data[[#This Row],[Qty A]],"0")</f>
        <v>1250000</v>
      </c>
      <c r="I801" s="36">
        <f>IFERROR(INDEX(Katalog!$F$3:$F$12,MATCH(Data[[#This Row],[ItemID A]],Katalog!$C$3:$C$12,0))*Data[[#This Row],[Qty A]],0)</f>
        <v>500000</v>
      </c>
      <c r="J801" t="s">
        <v>61</v>
      </c>
      <c r="K801" t="str">
        <f>IFERROR(INDEX(Katalog!$A$3:$A$12,MATCH(Data[[#This Row],[ItemID B]],Katalog!$C$3:$C$12,0)),"-")</f>
        <v>Pakaian Pria</v>
      </c>
      <c r="L801" t="str">
        <f>IFERROR(INDEX(Katalog!$B$3:$B$12,MATCH(Data[[#This Row],[ItemID B]],Katalog!$C$3:$C$12,0)),"-")</f>
        <v>Kaos Polo</v>
      </c>
      <c r="M801">
        <v>1</v>
      </c>
      <c r="N801">
        <v>3</v>
      </c>
      <c r="O801" s="36">
        <f>IFERROR(INDEX(Katalog!$D$3:$D$12,MATCH(Data[[#This Row],[ItemID B]],Katalog!$C$3:$C$12,0))*Data[[#This Row],[Qty B]],"0")</f>
        <v>200000</v>
      </c>
      <c r="P801" s="36">
        <f>IFERROR(INDEX(Katalog!$F$3:$F$12,MATCH(Data[[#This Row],[ItemID B]],Katalog!$C$3:$C$12,0))*Data[[#This Row],[Qty B]],"0")</f>
        <v>80000</v>
      </c>
      <c r="R801" t="str">
        <f>IFERROR(INDEX(Katalog!$A$3:$A$12,MATCH(Data[[#This Row],[ItemID C]],Katalog!$C$3:$C$12,0)),"-")</f>
        <v>-</v>
      </c>
      <c r="S801" t="str">
        <f>IFERROR(INDEX(Katalog!$B$3:$B$12,MATCH(Data[[#This Row],[ItemID C]],Katalog!$C$3:$C$12,0)),"-")</f>
        <v>-</v>
      </c>
      <c r="V801" s="36" t="str">
        <f>IFERROR(INDEX(Katalog!$D$3:$D$12,MATCH(Data[[#This Row],[ItemID C]],Katalog!$C$3:$C$12,0))*Data[[#This Row],[Qty C]],"0")</f>
        <v>0</v>
      </c>
      <c r="W801" s="36" t="str">
        <f>IFERROR(INDEX(Katalog!$F$3:$F$12,MATCH(Data[[#This Row],[ItemID C]],Katalog!$C$3:$C$12,0))*Data[[#This Row],[Qty C]],"0")</f>
        <v>0</v>
      </c>
      <c r="X801" s="21">
        <f>Data[[#This Row],[Qty A]]+Data[[#This Row],[Qty B]]+Data[[#This Row],[Qty C]]</f>
        <v>6</v>
      </c>
      <c r="Y801" s="22">
        <f>Data[[#This Row],[Harga Barang A]]+Data[[#This Row],[Harga Barang B]]+Data[[#This Row],[Harga Barang C]]</f>
        <v>1450000</v>
      </c>
      <c r="Z801" s="35">
        <f>IFERROR(Data[[#This Row],[Total Harga]]-(Data[[#This Row],[Total Harga]]*Data[[#This Row],[Diskon]]),Data[[#This Row],[Total Harga]])</f>
        <v>1160000</v>
      </c>
      <c r="AA801" s="35">
        <f>(Data[[#This Row],[Profit A]]+Data[[#This Row],[Profit B]]+Data[[#This Row],[Profit C]])</f>
        <v>580000</v>
      </c>
      <c r="AB801" s="35">
        <f>IFERROR((Data[[#This Row],[Profit non Diskon]]-(Data[[#This Row],[Profit non Diskon]]*Data[[#This Row],[Diskon]])),Data[[#This Row],[Profit non Diskon]])</f>
        <v>464000</v>
      </c>
      <c r="AC801" s="23" t="s">
        <v>8</v>
      </c>
      <c r="AD801" s="37">
        <f>IFERROR(INDEX('Kode Diskon'!$D$3:$D$9,MATCH(Data[[#This Row],[Kode diskon]],'Kode Diskon'!$C$3:$C$9,0)),"-")</f>
        <v>0.2</v>
      </c>
      <c r="AE801" s="23" t="s">
        <v>9</v>
      </c>
      <c r="AF801" s="23" t="s">
        <v>7</v>
      </c>
      <c r="AG801" s="23" t="s">
        <v>79</v>
      </c>
      <c r="AH801" s="24">
        <v>45035</v>
      </c>
      <c r="AI801" s="23" t="str">
        <f>TEXT(Data[[#This Row],[Tanggal terjual]],"dddd")</f>
        <v>Wednesday</v>
      </c>
      <c r="AJ801" s="21" t="str">
        <f>TEXT(Data[[#This Row],[Tanggal terjual]],"wwww")</f>
        <v>wwww</v>
      </c>
    </row>
    <row r="802" spans="1:36" x14ac:dyDescent="0.2">
      <c r="A802" s="20">
        <v>801</v>
      </c>
      <c r="B802" s="21" t="str">
        <f>_xlfn.CONCAT("ORD-",INDEX(Helper!$B$2:$B$5,MATCH(Data[[#This Row],[Marketplace]],Helper!$A$2:$A$5,0)),TEXT(Data[[#This Row],[No]],"0000"),"-",TEXT(Data[[#This Row],[Tanggal terjual]],"dd/mm/yy"))</f>
        <v>ORD-TK0801-21/04/23</v>
      </c>
      <c r="C802" t="s">
        <v>67</v>
      </c>
      <c r="D802" t="str">
        <f>IFERROR(INDEX(Katalog!$A$3:$A$12,MATCH(Data[[#This Row],[ItemID A]],Katalog!$C$3:$C$12,0)),"-")</f>
        <v>Sepatu Wanita</v>
      </c>
      <c r="E802" t="str">
        <f>IFERROR(INDEX(Katalog!$B$3:$B$12,MATCH(Data[[#This Row],[ItemID A]],Katalog!$C$3:$C$12,0)),"-")</f>
        <v>Flat Shoes</v>
      </c>
      <c r="F802">
        <v>1</v>
      </c>
      <c r="G802">
        <v>3</v>
      </c>
      <c r="H802" s="36">
        <f>IFERROR(INDEX(Katalog!$D$3:$D$12,MATCH(Data[[#This Row],[ItemID A]],Katalog!$C$3:$C$12,0))*Data[[#This Row],[Qty A]],"0")</f>
        <v>250000</v>
      </c>
      <c r="I802" s="36">
        <f>IFERROR(INDEX(Katalog!$F$3:$F$12,MATCH(Data[[#This Row],[ItemID A]],Katalog!$C$3:$C$12,0))*Data[[#This Row],[Qty A]],0)</f>
        <v>100000</v>
      </c>
      <c r="J802" t="s">
        <v>63</v>
      </c>
      <c r="K802" t="str">
        <f>IFERROR(INDEX(Katalog!$A$3:$A$12,MATCH(Data[[#This Row],[ItemID B]],Katalog!$C$3:$C$12,0)),"-")</f>
        <v>Pakaian Pria</v>
      </c>
      <c r="L802" t="str">
        <f>IFERROR(INDEX(Katalog!$B$3:$B$12,MATCH(Data[[#This Row],[ItemID B]],Katalog!$C$3:$C$12,0)),"-")</f>
        <v>Jaket Jeans</v>
      </c>
      <c r="M802">
        <v>1</v>
      </c>
      <c r="N802">
        <v>3</v>
      </c>
      <c r="O802" s="36">
        <f>IFERROR(INDEX(Katalog!$D$3:$D$12,MATCH(Data[[#This Row],[ItemID B]],Katalog!$C$3:$C$12,0))*Data[[#This Row],[Qty B]],"0")</f>
        <v>400000</v>
      </c>
      <c r="P802" s="36">
        <f>IFERROR(INDEX(Katalog!$F$3:$F$12,MATCH(Data[[#This Row],[ItemID B]],Katalog!$C$3:$C$12,0))*Data[[#This Row],[Qty B]],"0")</f>
        <v>150000</v>
      </c>
      <c r="Q802" t="s">
        <v>59</v>
      </c>
      <c r="R802" t="str">
        <f>IFERROR(INDEX(Katalog!$A$3:$A$12,MATCH(Data[[#This Row],[ItemID C]],Katalog!$C$3:$C$12,0)),"-")</f>
        <v>Pakaian Wanita</v>
      </c>
      <c r="S802" t="str">
        <f>IFERROR(INDEX(Katalog!$B$3:$B$12,MATCH(Data[[#This Row],[ItemID C]],Katalog!$C$3:$C$12,0)),"-")</f>
        <v>Blouse</v>
      </c>
      <c r="T802">
        <v>2</v>
      </c>
      <c r="U802">
        <v>2</v>
      </c>
      <c r="V802" s="36">
        <f>IFERROR(INDEX(Katalog!$D$3:$D$12,MATCH(Data[[#This Row],[ItemID C]],Katalog!$C$3:$C$12,0))*Data[[#This Row],[Qty C]],"0")</f>
        <v>300000</v>
      </c>
      <c r="W802" s="36">
        <f>IFERROR(INDEX(Katalog!$F$3:$F$12,MATCH(Data[[#This Row],[ItemID C]],Katalog!$C$3:$C$12,0))*Data[[#This Row],[Qty C]],"0")</f>
        <v>100000</v>
      </c>
      <c r="X802" s="21">
        <f>Data[[#This Row],[Qty A]]+Data[[#This Row],[Qty B]]+Data[[#This Row],[Qty C]]</f>
        <v>4</v>
      </c>
      <c r="Y802" s="22">
        <f>Data[[#This Row],[Harga Barang A]]+Data[[#This Row],[Harga Barang B]]+Data[[#This Row],[Harga Barang C]]</f>
        <v>950000</v>
      </c>
      <c r="Z802" s="35">
        <f>IFERROR(Data[[#This Row],[Total Harga]]-(Data[[#This Row],[Total Harga]]*Data[[#This Row],[Diskon]]),Data[[#This Row],[Total Harga]])</f>
        <v>855000</v>
      </c>
      <c r="AA802" s="35">
        <f>(Data[[#This Row],[Profit A]]+Data[[#This Row],[Profit B]]+Data[[#This Row],[Profit C]])</f>
        <v>350000</v>
      </c>
      <c r="AB802" s="35">
        <f>IFERROR((Data[[#This Row],[Profit non Diskon]]-(Data[[#This Row],[Profit non Diskon]]*Data[[#This Row],[Diskon]])),Data[[#This Row],[Profit non Diskon]])</f>
        <v>315000</v>
      </c>
      <c r="AC802" s="23" t="s">
        <v>31</v>
      </c>
      <c r="AD802" s="37">
        <f>IFERROR(INDEX('Kode Diskon'!$D$3:$D$9,MATCH(Data[[#This Row],[Kode diskon]],'Kode Diskon'!$C$3:$C$9,0)),"-")</f>
        <v>0.1</v>
      </c>
      <c r="AE802" s="23" t="s">
        <v>9</v>
      </c>
      <c r="AF802" s="23" t="s">
        <v>10</v>
      </c>
      <c r="AG802" s="23" t="s">
        <v>75</v>
      </c>
      <c r="AH802" s="24">
        <v>45037</v>
      </c>
      <c r="AI802" s="23" t="str">
        <f>TEXT(Data[[#This Row],[Tanggal terjual]],"dddd")</f>
        <v>Friday</v>
      </c>
      <c r="AJ802" s="21" t="str">
        <f>TEXT(Data[[#This Row],[Tanggal terjual]],"wwww")</f>
        <v>wwww</v>
      </c>
    </row>
    <row r="803" spans="1:36" x14ac:dyDescent="0.2">
      <c r="A803" s="20">
        <v>802</v>
      </c>
      <c r="B803" s="21" t="str">
        <f>_xlfn.CONCAT("ORD-",INDEX(Helper!$B$2:$B$5,MATCH(Data[[#This Row],[Marketplace]],Helper!$A$2:$A$5,0)),TEXT(Data[[#This Row],[No]],"0000"),"-",TEXT(Data[[#This Row],[Tanggal terjual]],"dd/mm/yy"))</f>
        <v>ORD-BB0802-07/04/23</v>
      </c>
      <c r="C803" t="s">
        <v>59</v>
      </c>
      <c r="D803" t="str">
        <f>IFERROR(INDEX(Katalog!$A$3:$A$12,MATCH(Data[[#This Row],[ItemID A]],Katalog!$C$3:$C$12,0)),"-")</f>
        <v>Pakaian Wanita</v>
      </c>
      <c r="E803" t="str">
        <f>IFERROR(INDEX(Katalog!$B$3:$B$12,MATCH(Data[[#This Row],[ItemID A]],Katalog!$C$3:$C$12,0)),"-")</f>
        <v>Blouse</v>
      </c>
      <c r="F803">
        <v>3</v>
      </c>
      <c r="G803">
        <v>2</v>
      </c>
      <c r="H803" s="36">
        <f>IFERROR(INDEX(Katalog!$D$3:$D$12,MATCH(Data[[#This Row],[ItemID A]],Katalog!$C$3:$C$12,0))*Data[[#This Row],[Qty A]],"0")</f>
        <v>450000</v>
      </c>
      <c r="I803" s="36">
        <f>IFERROR(INDEX(Katalog!$F$3:$F$12,MATCH(Data[[#This Row],[ItemID A]],Katalog!$C$3:$C$12,0))*Data[[#This Row],[Qty A]],0)</f>
        <v>150000</v>
      </c>
      <c r="K803" t="str">
        <f>IFERROR(INDEX(Katalog!$A$3:$A$12,MATCH(Data[[#This Row],[ItemID B]],Katalog!$C$3:$C$12,0)),"-")</f>
        <v>-</v>
      </c>
      <c r="L803" t="str">
        <f>IFERROR(INDEX(Katalog!$B$3:$B$12,MATCH(Data[[#This Row],[ItemID B]],Katalog!$C$3:$C$12,0)),"-")</f>
        <v>-</v>
      </c>
      <c r="O803" s="36" t="str">
        <f>IFERROR(INDEX(Katalog!$D$3:$D$12,MATCH(Data[[#This Row],[ItemID B]],Katalog!$C$3:$C$12,0))*Data[[#This Row],[Qty B]],"0")</f>
        <v>0</v>
      </c>
      <c r="P803" s="36" t="str">
        <f>IFERROR(INDEX(Katalog!$F$3:$F$12,MATCH(Data[[#This Row],[ItemID B]],Katalog!$C$3:$C$12,0))*Data[[#This Row],[Qty B]],"0")</f>
        <v>0</v>
      </c>
      <c r="R803" t="str">
        <f>IFERROR(INDEX(Katalog!$A$3:$A$12,MATCH(Data[[#This Row],[ItemID C]],Katalog!$C$3:$C$12,0)),"-")</f>
        <v>-</v>
      </c>
      <c r="S803" t="str">
        <f>IFERROR(INDEX(Katalog!$B$3:$B$12,MATCH(Data[[#This Row],[ItemID C]],Katalog!$C$3:$C$12,0)),"-")</f>
        <v>-</v>
      </c>
      <c r="V803" s="36" t="str">
        <f>IFERROR(INDEX(Katalog!$D$3:$D$12,MATCH(Data[[#This Row],[ItemID C]],Katalog!$C$3:$C$12,0))*Data[[#This Row],[Qty C]],"0")</f>
        <v>0</v>
      </c>
      <c r="W803" s="36" t="str">
        <f>IFERROR(INDEX(Katalog!$F$3:$F$12,MATCH(Data[[#This Row],[ItemID C]],Katalog!$C$3:$C$12,0))*Data[[#This Row],[Qty C]],"0")</f>
        <v>0</v>
      </c>
      <c r="X803" s="21">
        <f>Data[[#This Row],[Qty A]]+Data[[#This Row],[Qty B]]+Data[[#This Row],[Qty C]]</f>
        <v>3</v>
      </c>
      <c r="Y803" s="22">
        <f>Data[[#This Row],[Harga Barang A]]+Data[[#This Row],[Harga Barang B]]+Data[[#This Row],[Harga Barang C]]</f>
        <v>450000</v>
      </c>
      <c r="Z803" s="35">
        <f>IFERROR(Data[[#This Row],[Total Harga]]-(Data[[#This Row],[Total Harga]]*Data[[#This Row],[Diskon]]),Data[[#This Row],[Total Harga]])</f>
        <v>450000</v>
      </c>
      <c r="AA803" s="35">
        <f>(Data[[#This Row],[Profit A]]+Data[[#This Row],[Profit B]]+Data[[#This Row],[Profit C]])</f>
        <v>150000</v>
      </c>
      <c r="AB803" s="35">
        <f>IFERROR((Data[[#This Row],[Profit non Diskon]]-(Data[[#This Row],[Profit non Diskon]]*Data[[#This Row],[Diskon]])),Data[[#This Row],[Profit non Diskon]])</f>
        <v>150000</v>
      </c>
      <c r="AC803" s="23" t="s">
        <v>11</v>
      </c>
      <c r="AD803" s="37" t="str">
        <f>IFERROR(INDEX('Kode Diskon'!$D$3:$D$9,MATCH(Data[[#This Row],[Kode diskon]],'Kode Diskon'!$C$3:$C$9,0)),"-")</f>
        <v>-</v>
      </c>
      <c r="AE803" s="23" t="s">
        <v>11</v>
      </c>
      <c r="AF803" s="23" t="s">
        <v>14</v>
      </c>
      <c r="AG803" s="23" t="s">
        <v>80</v>
      </c>
      <c r="AH803" s="24">
        <v>45023</v>
      </c>
      <c r="AI803" s="23" t="str">
        <f>TEXT(Data[[#This Row],[Tanggal terjual]],"dddd")</f>
        <v>Friday</v>
      </c>
      <c r="AJ803" s="21" t="str">
        <f>TEXT(Data[[#This Row],[Tanggal terjual]],"wwww")</f>
        <v>wwww</v>
      </c>
    </row>
    <row r="804" spans="1:36" x14ac:dyDescent="0.2">
      <c r="A804" s="20">
        <v>803</v>
      </c>
      <c r="B804" s="21" t="str">
        <f>_xlfn.CONCAT("ORD-",INDEX(Helper!$B$2:$B$5,MATCH(Data[[#This Row],[Marketplace]],Helper!$A$2:$A$5,0)),TEXT(Data[[#This Row],[No]],"0000"),"-",TEXT(Data[[#This Row],[Tanggal terjual]],"dd/mm/yy"))</f>
        <v>ORD-SP0803-21/04/23</v>
      </c>
      <c r="C804" t="s">
        <v>60</v>
      </c>
      <c r="D804" t="str">
        <f>IFERROR(INDEX(Katalog!$A$3:$A$12,MATCH(Data[[#This Row],[ItemID A]],Katalog!$C$3:$C$12,0)),"-")</f>
        <v>Pakaian Wanita</v>
      </c>
      <c r="E804" t="str">
        <f>IFERROR(INDEX(Katalog!$B$3:$B$12,MATCH(Data[[#This Row],[ItemID A]],Katalog!$C$3:$C$12,0)),"-")</f>
        <v>Kaftan</v>
      </c>
      <c r="F804">
        <v>4</v>
      </c>
      <c r="G804">
        <v>3</v>
      </c>
      <c r="H804" s="36">
        <f>IFERROR(INDEX(Katalog!$D$3:$D$12,MATCH(Data[[#This Row],[ItemID A]],Katalog!$C$3:$C$12,0))*Data[[#This Row],[Qty A]],"0")</f>
        <v>1000000</v>
      </c>
      <c r="I804" s="36">
        <f>IFERROR(INDEX(Katalog!$F$3:$F$12,MATCH(Data[[#This Row],[ItemID A]],Katalog!$C$3:$C$12,0))*Data[[#This Row],[Qty A]],0)</f>
        <v>400000</v>
      </c>
      <c r="J804" t="s">
        <v>64</v>
      </c>
      <c r="K804" t="str">
        <f>IFERROR(INDEX(Katalog!$A$3:$A$12,MATCH(Data[[#This Row],[ItemID B]],Katalog!$C$3:$C$12,0)),"-")</f>
        <v>Pakaian Unisex</v>
      </c>
      <c r="L804" t="str">
        <f>IFERROR(INDEX(Katalog!$B$3:$B$12,MATCH(Data[[#This Row],[ItemID B]],Katalog!$C$3:$C$12,0)),"-")</f>
        <v>Jaket Hoodie</v>
      </c>
      <c r="M804">
        <v>1</v>
      </c>
      <c r="N804">
        <v>4</v>
      </c>
      <c r="O804" s="36">
        <f>IFERROR(INDEX(Katalog!$D$3:$D$12,MATCH(Data[[#This Row],[ItemID B]],Katalog!$C$3:$C$12,0))*Data[[#This Row],[Qty B]],"0")</f>
        <v>350000</v>
      </c>
      <c r="P804" s="36">
        <f>IFERROR(INDEX(Katalog!$F$3:$F$12,MATCH(Data[[#This Row],[ItemID B]],Katalog!$C$3:$C$12,0))*Data[[#This Row],[Qty B]],"0")</f>
        <v>130000</v>
      </c>
      <c r="R804" t="str">
        <f>IFERROR(INDEX(Katalog!$A$3:$A$12,MATCH(Data[[#This Row],[ItemID C]],Katalog!$C$3:$C$12,0)),"-")</f>
        <v>-</v>
      </c>
      <c r="S804" t="str">
        <f>IFERROR(INDEX(Katalog!$B$3:$B$12,MATCH(Data[[#This Row],[ItemID C]],Katalog!$C$3:$C$12,0)),"-")</f>
        <v>-</v>
      </c>
      <c r="V804" s="36" t="str">
        <f>IFERROR(INDEX(Katalog!$D$3:$D$12,MATCH(Data[[#This Row],[ItemID C]],Katalog!$C$3:$C$12,0))*Data[[#This Row],[Qty C]],"0")</f>
        <v>0</v>
      </c>
      <c r="W804" s="36" t="str">
        <f>IFERROR(INDEX(Katalog!$F$3:$F$12,MATCH(Data[[#This Row],[ItemID C]],Katalog!$C$3:$C$12,0))*Data[[#This Row],[Qty C]],"0")</f>
        <v>0</v>
      </c>
      <c r="X804" s="21">
        <f>Data[[#This Row],[Qty A]]+Data[[#This Row],[Qty B]]+Data[[#This Row],[Qty C]]</f>
        <v>5</v>
      </c>
      <c r="Y804" s="22">
        <f>Data[[#This Row],[Harga Barang A]]+Data[[#This Row],[Harga Barang B]]+Data[[#This Row],[Harga Barang C]]</f>
        <v>1350000</v>
      </c>
      <c r="Z804" s="35">
        <f>IFERROR(Data[[#This Row],[Total Harga]]-(Data[[#This Row],[Total Harga]]*Data[[#This Row],[Diskon]]),Data[[#This Row],[Total Harga]])</f>
        <v>1080000</v>
      </c>
      <c r="AA804" s="35">
        <f>(Data[[#This Row],[Profit A]]+Data[[#This Row],[Profit B]]+Data[[#This Row],[Profit C]])</f>
        <v>530000</v>
      </c>
      <c r="AB804" s="35">
        <f>IFERROR((Data[[#This Row],[Profit non Diskon]]-(Data[[#This Row],[Profit non Diskon]]*Data[[#This Row],[Diskon]])),Data[[#This Row],[Profit non Diskon]])</f>
        <v>424000</v>
      </c>
      <c r="AC804" s="23" t="s">
        <v>8</v>
      </c>
      <c r="AD804" s="37">
        <f>IFERROR(INDEX('Kode Diskon'!$D$3:$D$9,MATCH(Data[[#This Row],[Kode diskon]],'Kode Diskon'!$C$3:$C$9,0)),"-")</f>
        <v>0.2</v>
      </c>
      <c r="AE804" s="23" t="s">
        <v>9</v>
      </c>
      <c r="AF804" s="23" t="s">
        <v>7</v>
      </c>
      <c r="AG804" s="23" t="s">
        <v>75</v>
      </c>
      <c r="AH804" s="24">
        <v>45037</v>
      </c>
      <c r="AI804" s="23" t="str">
        <f>TEXT(Data[[#This Row],[Tanggal terjual]],"dddd")</f>
        <v>Friday</v>
      </c>
      <c r="AJ804" s="21" t="str">
        <f>TEXT(Data[[#This Row],[Tanggal terjual]],"wwww")</f>
        <v>wwww</v>
      </c>
    </row>
    <row r="805" spans="1:36" x14ac:dyDescent="0.2">
      <c r="A805" s="20">
        <v>804</v>
      </c>
      <c r="B805" s="21" t="str">
        <f>_xlfn.CONCAT("ORD-",INDEX(Helper!$B$2:$B$5,MATCH(Data[[#This Row],[Marketplace]],Helper!$A$2:$A$5,0)),TEXT(Data[[#This Row],[No]],"0000"),"-",TEXT(Data[[#This Row],[Tanggal terjual]],"dd/mm/yy"))</f>
        <v>ORD-BB0804-11/04/23</v>
      </c>
      <c r="C805" t="s">
        <v>60</v>
      </c>
      <c r="D805" t="str">
        <f>IFERROR(INDEX(Katalog!$A$3:$A$12,MATCH(Data[[#This Row],[ItemID A]],Katalog!$C$3:$C$12,0)),"-")</f>
        <v>Pakaian Wanita</v>
      </c>
      <c r="E805" t="str">
        <f>IFERROR(INDEX(Katalog!$B$3:$B$12,MATCH(Data[[#This Row],[ItemID A]],Katalog!$C$3:$C$12,0)),"-")</f>
        <v>Kaftan</v>
      </c>
      <c r="F805">
        <v>5</v>
      </c>
      <c r="G805">
        <v>1</v>
      </c>
      <c r="H805" s="36">
        <f>IFERROR(INDEX(Katalog!$D$3:$D$12,MATCH(Data[[#This Row],[ItemID A]],Katalog!$C$3:$C$12,0))*Data[[#This Row],[Qty A]],"0")</f>
        <v>1250000</v>
      </c>
      <c r="I805" s="36">
        <f>IFERROR(INDEX(Katalog!$F$3:$F$12,MATCH(Data[[#This Row],[ItemID A]],Katalog!$C$3:$C$12,0))*Data[[#This Row],[Qty A]],0)</f>
        <v>500000</v>
      </c>
      <c r="J805" t="s">
        <v>65</v>
      </c>
      <c r="K805" t="str">
        <f>IFERROR(INDEX(Katalog!$A$3:$A$12,MATCH(Data[[#This Row],[ItemID B]],Katalog!$C$3:$C$12,0)),"-")</f>
        <v>Sepatu Pria</v>
      </c>
      <c r="L805" t="str">
        <f>IFERROR(INDEX(Katalog!$B$3:$B$12,MATCH(Data[[#This Row],[ItemID B]],Katalog!$C$3:$C$12,0)),"-")</f>
        <v>Sneakers</v>
      </c>
      <c r="M805">
        <v>1</v>
      </c>
      <c r="N805">
        <v>4</v>
      </c>
      <c r="O805" s="36">
        <f>IFERROR(INDEX(Katalog!$D$3:$D$12,MATCH(Data[[#This Row],[ItemID B]],Katalog!$C$3:$C$12,0))*Data[[#This Row],[Qty B]],"0")</f>
        <v>500000</v>
      </c>
      <c r="P805" s="36">
        <f>IFERROR(INDEX(Katalog!$F$3:$F$12,MATCH(Data[[#This Row],[ItemID B]],Katalog!$C$3:$C$12,0))*Data[[#This Row],[Qty B]],"0")</f>
        <v>200000</v>
      </c>
      <c r="R805" t="str">
        <f>IFERROR(INDEX(Katalog!$A$3:$A$12,MATCH(Data[[#This Row],[ItemID C]],Katalog!$C$3:$C$12,0)),"-")</f>
        <v>-</v>
      </c>
      <c r="S805" t="str">
        <f>IFERROR(INDEX(Katalog!$B$3:$B$12,MATCH(Data[[#This Row],[ItemID C]],Katalog!$C$3:$C$12,0)),"-")</f>
        <v>-</v>
      </c>
      <c r="V805" s="36" t="str">
        <f>IFERROR(INDEX(Katalog!$D$3:$D$12,MATCH(Data[[#This Row],[ItemID C]],Katalog!$C$3:$C$12,0))*Data[[#This Row],[Qty C]],"0")</f>
        <v>0</v>
      </c>
      <c r="W805" s="36" t="str">
        <f>IFERROR(INDEX(Katalog!$F$3:$F$12,MATCH(Data[[#This Row],[ItemID C]],Katalog!$C$3:$C$12,0))*Data[[#This Row],[Qty C]],"0")</f>
        <v>0</v>
      </c>
      <c r="X805" s="21">
        <f>Data[[#This Row],[Qty A]]+Data[[#This Row],[Qty B]]+Data[[#This Row],[Qty C]]</f>
        <v>6</v>
      </c>
      <c r="Y805" s="22">
        <f>Data[[#This Row],[Harga Barang A]]+Data[[#This Row],[Harga Barang B]]+Data[[#This Row],[Harga Barang C]]</f>
        <v>1750000</v>
      </c>
      <c r="Z805" s="35">
        <f>IFERROR(Data[[#This Row],[Total Harga]]-(Data[[#This Row],[Total Harga]]*Data[[#This Row],[Diskon]]),Data[[#This Row],[Total Harga]])</f>
        <v>1750000</v>
      </c>
      <c r="AA805" s="35">
        <f>(Data[[#This Row],[Profit A]]+Data[[#This Row],[Profit B]]+Data[[#This Row],[Profit C]])</f>
        <v>700000</v>
      </c>
      <c r="AB805" s="35">
        <f>IFERROR((Data[[#This Row],[Profit non Diskon]]-(Data[[#This Row],[Profit non Diskon]]*Data[[#This Row],[Diskon]])),Data[[#This Row],[Profit non Diskon]])</f>
        <v>700000</v>
      </c>
      <c r="AC805" s="23" t="s">
        <v>11</v>
      </c>
      <c r="AD805" s="37" t="str">
        <f>IFERROR(INDEX('Kode Diskon'!$D$3:$D$9,MATCH(Data[[#This Row],[Kode diskon]],'Kode Diskon'!$C$3:$C$9,0)),"-")</f>
        <v>-</v>
      </c>
      <c r="AE805" s="23" t="s">
        <v>11</v>
      </c>
      <c r="AF805" s="23" t="s">
        <v>14</v>
      </c>
      <c r="AG805" s="23" t="s">
        <v>77</v>
      </c>
      <c r="AH805" s="24">
        <v>45027</v>
      </c>
      <c r="AI805" s="23" t="str">
        <f>TEXT(Data[[#This Row],[Tanggal terjual]],"dddd")</f>
        <v>Tuesday</v>
      </c>
      <c r="AJ805" s="21" t="str">
        <f>TEXT(Data[[#This Row],[Tanggal terjual]],"wwww")</f>
        <v>wwww</v>
      </c>
    </row>
    <row r="806" spans="1:36" x14ac:dyDescent="0.2">
      <c r="A806" s="20">
        <v>805</v>
      </c>
      <c r="B806" s="21" t="str">
        <f>_xlfn.CONCAT("ORD-",INDEX(Helper!$B$2:$B$5,MATCH(Data[[#This Row],[Marketplace]],Helper!$A$2:$A$5,0)),TEXT(Data[[#This Row],[No]],"0000"),"-",TEXT(Data[[#This Row],[Tanggal terjual]],"dd/mm/yy"))</f>
        <v>ORD-SP0805-13/04/23</v>
      </c>
      <c r="C806" t="s">
        <v>62</v>
      </c>
      <c r="D806" t="str">
        <f>IFERROR(INDEX(Katalog!$A$3:$A$12,MATCH(Data[[#This Row],[ItemID A]],Katalog!$C$3:$C$12,0)),"-")</f>
        <v>Pakaian Pria</v>
      </c>
      <c r="E806" t="str">
        <f>IFERROR(INDEX(Katalog!$B$3:$B$12,MATCH(Data[[#This Row],[ItemID A]],Katalog!$C$3:$C$12,0)),"-")</f>
        <v>Celana Pendek</v>
      </c>
      <c r="F806">
        <v>4</v>
      </c>
      <c r="G806">
        <v>3</v>
      </c>
      <c r="H806" s="36">
        <f>IFERROR(INDEX(Katalog!$D$3:$D$12,MATCH(Data[[#This Row],[ItemID A]],Katalog!$C$3:$C$12,0))*Data[[#This Row],[Qty A]],"0")</f>
        <v>720000</v>
      </c>
      <c r="I806" s="36">
        <f>IFERROR(INDEX(Katalog!$F$3:$F$12,MATCH(Data[[#This Row],[ItemID A]],Katalog!$C$3:$C$12,0))*Data[[#This Row],[Qty A]],0)</f>
        <v>280000</v>
      </c>
      <c r="K806" t="str">
        <f>IFERROR(INDEX(Katalog!$A$3:$A$12,MATCH(Data[[#This Row],[ItemID B]],Katalog!$C$3:$C$12,0)),"-")</f>
        <v>-</v>
      </c>
      <c r="L806" t="str">
        <f>IFERROR(INDEX(Katalog!$B$3:$B$12,MATCH(Data[[#This Row],[ItemID B]],Katalog!$C$3:$C$12,0)),"-")</f>
        <v>-</v>
      </c>
      <c r="O806" s="36" t="str">
        <f>IFERROR(INDEX(Katalog!$D$3:$D$12,MATCH(Data[[#This Row],[ItemID B]],Katalog!$C$3:$C$12,0))*Data[[#This Row],[Qty B]],"0")</f>
        <v>0</v>
      </c>
      <c r="P806" s="36" t="str">
        <f>IFERROR(INDEX(Katalog!$F$3:$F$12,MATCH(Data[[#This Row],[ItemID B]],Katalog!$C$3:$C$12,0))*Data[[#This Row],[Qty B]],"0")</f>
        <v>0</v>
      </c>
      <c r="R806" t="str">
        <f>IFERROR(INDEX(Katalog!$A$3:$A$12,MATCH(Data[[#This Row],[ItemID C]],Katalog!$C$3:$C$12,0)),"-")</f>
        <v>-</v>
      </c>
      <c r="S806" t="str">
        <f>IFERROR(INDEX(Katalog!$B$3:$B$12,MATCH(Data[[#This Row],[ItemID C]],Katalog!$C$3:$C$12,0)),"-")</f>
        <v>-</v>
      </c>
      <c r="V806" s="36" t="str">
        <f>IFERROR(INDEX(Katalog!$D$3:$D$12,MATCH(Data[[#This Row],[ItemID C]],Katalog!$C$3:$C$12,0))*Data[[#This Row],[Qty C]],"0")</f>
        <v>0</v>
      </c>
      <c r="W806" s="36" t="str">
        <f>IFERROR(INDEX(Katalog!$F$3:$F$12,MATCH(Data[[#This Row],[ItemID C]],Katalog!$C$3:$C$12,0))*Data[[#This Row],[Qty C]],"0")</f>
        <v>0</v>
      </c>
      <c r="X806" s="21">
        <f>Data[[#This Row],[Qty A]]+Data[[#This Row],[Qty B]]+Data[[#This Row],[Qty C]]</f>
        <v>4</v>
      </c>
      <c r="Y806" s="22">
        <f>Data[[#This Row],[Harga Barang A]]+Data[[#This Row],[Harga Barang B]]+Data[[#This Row],[Harga Barang C]]</f>
        <v>720000</v>
      </c>
      <c r="Z806" s="35">
        <f>IFERROR(Data[[#This Row],[Total Harga]]-(Data[[#This Row],[Total Harga]]*Data[[#This Row],[Diskon]]),Data[[#This Row],[Total Harga]])</f>
        <v>720000</v>
      </c>
      <c r="AA806" s="35">
        <f>(Data[[#This Row],[Profit A]]+Data[[#This Row],[Profit B]]+Data[[#This Row],[Profit C]])</f>
        <v>280000</v>
      </c>
      <c r="AB806" s="35">
        <f>IFERROR((Data[[#This Row],[Profit non Diskon]]-(Data[[#This Row],[Profit non Diskon]]*Data[[#This Row],[Diskon]])),Data[[#This Row],[Profit non Diskon]])</f>
        <v>280000</v>
      </c>
      <c r="AC806" s="23" t="s">
        <v>11</v>
      </c>
      <c r="AD806" s="37" t="str">
        <f>IFERROR(INDEX('Kode Diskon'!$D$3:$D$9,MATCH(Data[[#This Row],[Kode diskon]],'Kode Diskon'!$C$3:$C$9,0)),"-")</f>
        <v>-</v>
      </c>
      <c r="AE806" s="23" t="s">
        <v>11</v>
      </c>
      <c r="AF806" s="23" t="s">
        <v>7</v>
      </c>
      <c r="AG806" s="23" t="s">
        <v>76</v>
      </c>
      <c r="AH806" s="24">
        <v>45029</v>
      </c>
      <c r="AI806" s="23" t="str">
        <f>TEXT(Data[[#This Row],[Tanggal terjual]],"dddd")</f>
        <v>Thursday</v>
      </c>
      <c r="AJ806" s="21" t="str">
        <f>TEXT(Data[[#This Row],[Tanggal terjual]],"wwww")</f>
        <v>wwww</v>
      </c>
    </row>
    <row r="807" spans="1:36" x14ac:dyDescent="0.2">
      <c r="A807" s="20">
        <v>806</v>
      </c>
      <c r="B807" s="21" t="str">
        <f>_xlfn.CONCAT("ORD-",INDEX(Helper!$B$2:$B$5,MATCH(Data[[#This Row],[Marketplace]],Helper!$A$2:$A$5,0)),TEXT(Data[[#This Row],[No]],"0000"),"-",TEXT(Data[[#This Row],[Tanggal terjual]],"dd/mm/yy"))</f>
        <v>ORD-BB0806-15/04/23</v>
      </c>
      <c r="C807" t="s">
        <v>59</v>
      </c>
      <c r="D807" t="str">
        <f>IFERROR(INDEX(Katalog!$A$3:$A$12,MATCH(Data[[#This Row],[ItemID A]],Katalog!$C$3:$C$12,0)),"-")</f>
        <v>Pakaian Wanita</v>
      </c>
      <c r="E807" t="str">
        <f>IFERROR(INDEX(Katalog!$B$3:$B$12,MATCH(Data[[#This Row],[ItemID A]],Katalog!$C$3:$C$12,0)),"-")</f>
        <v>Blouse</v>
      </c>
      <c r="F807">
        <v>1</v>
      </c>
      <c r="G807">
        <v>4</v>
      </c>
      <c r="H807" s="36">
        <f>IFERROR(INDEX(Katalog!$D$3:$D$12,MATCH(Data[[#This Row],[ItemID A]],Katalog!$C$3:$C$12,0))*Data[[#This Row],[Qty A]],"0")</f>
        <v>150000</v>
      </c>
      <c r="I807" s="36">
        <f>IFERROR(INDEX(Katalog!$F$3:$F$12,MATCH(Data[[#This Row],[ItemID A]],Katalog!$C$3:$C$12,0))*Data[[#This Row],[Qty A]],0)</f>
        <v>50000</v>
      </c>
      <c r="K807" t="str">
        <f>IFERROR(INDEX(Katalog!$A$3:$A$12,MATCH(Data[[#This Row],[ItemID B]],Katalog!$C$3:$C$12,0)),"-")</f>
        <v>-</v>
      </c>
      <c r="L807" t="str">
        <f>IFERROR(INDEX(Katalog!$B$3:$B$12,MATCH(Data[[#This Row],[ItemID B]],Katalog!$C$3:$C$12,0)),"-")</f>
        <v>-</v>
      </c>
      <c r="O807" s="36" t="str">
        <f>IFERROR(INDEX(Katalog!$D$3:$D$12,MATCH(Data[[#This Row],[ItemID B]],Katalog!$C$3:$C$12,0))*Data[[#This Row],[Qty B]],"0")</f>
        <v>0</v>
      </c>
      <c r="P807" s="36" t="str">
        <f>IFERROR(INDEX(Katalog!$F$3:$F$12,MATCH(Data[[#This Row],[ItemID B]],Katalog!$C$3:$C$12,0))*Data[[#This Row],[Qty B]],"0")</f>
        <v>0</v>
      </c>
      <c r="R807" t="str">
        <f>IFERROR(INDEX(Katalog!$A$3:$A$12,MATCH(Data[[#This Row],[ItemID C]],Katalog!$C$3:$C$12,0)),"-")</f>
        <v>-</v>
      </c>
      <c r="S807" t="str">
        <f>IFERROR(INDEX(Katalog!$B$3:$B$12,MATCH(Data[[#This Row],[ItemID C]],Katalog!$C$3:$C$12,0)),"-")</f>
        <v>-</v>
      </c>
      <c r="V807" s="36" t="str">
        <f>IFERROR(INDEX(Katalog!$D$3:$D$12,MATCH(Data[[#This Row],[ItemID C]],Katalog!$C$3:$C$12,0))*Data[[#This Row],[Qty C]],"0")</f>
        <v>0</v>
      </c>
      <c r="W807" s="36" t="str">
        <f>IFERROR(INDEX(Katalog!$F$3:$F$12,MATCH(Data[[#This Row],[ItemID C]],Katalog!$C$3:$C$12,0))*Data[[#This Row],[Qty C]],"0")</f>
        <v>0</v>
      </c>
      <c r="X807" s="21">
        <f>Data[[#This Row],[Qty A]]+Data[[#This Row],[Qty B]]+Data[[#This Row],[Qty C]]</f>
        <v>1</v>
      </c>
      <c r="Y807" s="22">
        <f>Data[[#This Row],[Harga Barang A]]+Data[[#This Row],[Harga Barang B]]+Data[[#This Row],[Harga Barang C]]</f>
        <v>150000</v>
      </c>
      <c r="Z807" s="35">
        <f>IFERROR(Data[[#This Row],[Total Harga]]-(Data[[#This Row],[Total Harga]]*Data[[#This Row],[Diskon]]),Data[[#This Row],[Total Harga]])</f>
        <v>150000</v>
      </c>
      <c r="AA807" s="35">
        <f>(Data[[#This Row],[Profit A]]+Data[[#This Row],[Profit B]]+Data[[#This Row],[Profit C]])</f>
        <v>50000</v>
      </c>
      <c r="AB807" s="35">
        <f>IFERROR((Data[[#This Row],[Profit non Diskon]]-(Data[[#This Row],[Profit non Diskon]]*Data[[#This Row],[Diskon]])),Data[[#This Row],[Profit non Diskon]])</f>
        <v>50000</v>
      </c>
      <c r="AC807" s="23" t="s">
        <v>11</v>
      </c>
      <c r="AD807" s="37" t="str">
        <f>IFERROR(INDEX('Kode Diskon'!$D$3:$D$9,MATCH(Data[[#This Row],[Kode diskon]],'Kode Diskon'!$C$3:$C$9,0)),"-")</f>
        <v>-</v>
      </c>
      <c r="AE807" s="23" t="s">
        <v>11</v>
      </c>
      <c r="AF807" s="23" t="s">
        <v>14</v>
      </c>
      <c r="AG807" s="23" t="s">
        <v>75</v>
      </c>
      <c r="AH807" s="24">
        <v>45031</v>
      </c>
      <c r="AI807" s="23" t="str">
        <f>TEXT(Data[[#This Row],[Tanggal terjual]],"dddd")</f>
        <v>Saturday</v>
      </c>
      <c r="AJ807" s="21" t="str">
        <f>TEXT(Data[[#This Row],[Tanggal terjual]],"wwww")</f>
        <v>wwww</v>
      </c>
    </row>
    <row r="808" spans="1:36" x14ac:dyDescent="0.2">
      <c r="A808" s="20">
        <v>807</v>
      </c>
      <c r="B808" s="21" t="str">
        <f>_xlfn.CONCAT("ORD-",INDEX(Helper!$B$2:$B$5,MATCH(Data[[#This Row],[Marketplace]],Helper!$A$2:$A$5,0)),TEXT(Data[[#This Row],[No]],"0000"),"-",TEXT(Data[[#This Row],[Tanggal terjual]],"dd/mm/yy"))</f>
        <v>ORD-SP0807-27/04/23</v>
      </c>
      <c r="C808" t="s">
        <v>64</v>
      </c>
      <c r="D808" t="str">
        <f>IFERROR(INDEX(Katalog!$A$3:$A$12,MATCH(Data[[#This Row],[ItemID A]],Katalog!$C$3:$C$12,0)),"-")</f>
        <v>Pakaian Unisex</v>
      </c>
      <c r="E808" t="str">
        <f>IFERROR(INDEX(Katalog!$B$3:$B$12,MATCH(Data[[#This Row],[ItemID A]],Katalog!$C$3:$C$12,0)),"-")</f>
        <v>Jaket Hoodie</v>
      </c>
      <c r="F808">
        <v>3</v>
      </c>
      <c r="G808">
        <v>1</v>
      </c>
      <c r="H808" s="36">
        <f>IFERROR(INDEX(Katalog!$D$3:$D$12,MATCH(Data[[#This Row],[ItemID A]],Katalog!$C$3:$C$12,0))*Data[[#This Row],[Qty A]],"0")</f>
        <v>1050000</v>
      </c>
      <c r="I808" s="36">
        <f>IFERROR(INDEX(Katalog!$F$3:$F$12,MATCH(Data[[#This Row],[ItemID A]],Katalog!$C$3:$C$12,0))*Data[[#This Row],[Qty A]],0)</f>
        <v>390000</v>
      </c>
      <c r="K808" t="str">
        <f>IFERROR(INDEX(Katalog!$A$3:$A$12,MATCH(Data[[#This Row],[ItemID B]],Katalog!$C$3:$C$12,0)),"-")</f>
        <v>-</v>
      </c>
      <c r="L808" t="str">
        <f>IFERROR(INDEX(Katalog!$B$3:$B$12,MATCH(Data[[#This Row],[ItemID B]],Katalog!$C$3:$C$12,0)),"-")</f>
        <v>-</v>
      </c>
      <c r="O808" s="36" t="str">
        <f>IFERROR(INDEX(Katalog!$D$3:$D$12,MATCH(Data[[#This Row],[ItemID B]],Katalog!$C$3:$C$12,0))*Data[[#This Row],[Qty B]],"0")</f>
        <v>0</v>
      </c>
      <c r="P808" s="36" t="str">
        <f>IFERROR(INDEX(Katalog!$F$3:$F$12,MATCH(Data[[#This Row],[ItemID B]],Katalog!$C$3:$C$12,0))*Data[[#This Row],[Qty B]],"0")</f>
        <v>0</v>
      </c>
      <c r="R808" t="str">
        <f>IFERROR(INDEX(Katalog!$A$3:$A$12,MATCH(Data[[#This Row],[ItemID C]],Katalog!$C$3:$C$12,0)),"-")</f>
        <v>-</v>
      </c>
      <c r="S808" t="str">
        <f>IFERROR(INDEX(Katalog!$B$3:$B$12,MATCH(Data[[#This Row],[ItemID C]],Katalog!$C$3:$C$12,0)),"-")</f>
        <v>-</v>
      </c>
      <c r="V808" s="36" t="str">
        <f>IFERROR(INDEX(Katalog!$D$3:$D$12,MATCH(Data[[#This Row],[ItemID C]],Katalog!$C$3:$C$12,0))*Data[[#This Row],[Qty C]],"0")</f>
        <v>0</v>
      </c>
      <c r="W808" s="36" t="str">
        <f>IFERROR(INDEX(Katalog!$F$3:$F$12,MATCH(Data[[#This Row],[ItemID C]],Katalog!$C$3:$C$12,0))*Data[[#This Row],[Qty C]],"0")</f>
        <v>0</v>
      </c>
      <c r="X808" s="21">
        <f>Data[[#This Row],[Qty A]]+Data[[#This Row],[Qty B]]+Data[[#This Row],[Qty C]]</f>
        <v>3</v>
      </c>
      <c r="Y808" s="22">
        <f>Data[[#This Row],[Harga Barang A]]+Data[[#This Row],[Harga Barang B]]+Data[[#This Row],[Harga Barang C]]</f>
        <v>1050000</v>
      </c>
      <c r="Z808" s="35">
        <f>IFERROR(Data[[#This Row],[Total Harga]]-(Data[[#This Row],[Total Harga]]*Data[[#This Row],[Diskon]]),Data[[#This Row],[Total Harga]])</f>
        <v>840000</v>
      </c>
      <c r="AA808" s="35">
        <f>(Data[[#This Row],[Profit A]]+Data[[#This Row],[Profit B]]+Data[[#This Row],[Profit C]])</f>
        <v>390000</v>
      </c>
      <c r="AB808" s="35">
        <f>IFERROR((Data[[#This Row],[Profit non Diskon]]-(Data[[#This Row],[Profit non Diskon]]*Data[[#This Row],[Diskon]])),Data[[#This Row],[Profit non Diskon]])</f>
        <v>312000</v>
      </c>
      <c r="AC808" s="23" t="s">
        <v>8</v>
      </c>
      <c r="AD808" s="37">
        <f>IFERROR(INDEX('Kode Diskon'!$D$3:$D$9,MATCH(Data[[#This Row],[Kode diskon]],'Kode Diskon'!$C$3:$C$9,0)),"-")</f>
        <v>0.2</v>
      </c>
      <c r="AE808" s="23" t="s">
        <v>9</v>
      </c>
      <c r="AF808" s="23" t="s">
        <v>7</v>
      </c>
      <c r="AG808" s="23" t="s">
        <v>78</v>
      </c>
      <c r="AH808" s="24">
        <v>45043</v>
      </c>
      <c r="AI808" s="23" t="str">
        <f>TEXT(Data[[#This Row],[Tanggal terjual]],"dddd")</f>
        <v>Thursday</v>
      </c>
      <c r="AJ808" s="21" t="str">
        <f>TEXT(Data[[#This Row],[Tanggal terjual]],"wwww")</f>
        <v>wwww</v>
      </c>
    </row>
    <row r="809" spans="1:36" x14ac:dyDescent="0.2">
      <c r="A809" s="20">
        <v>808</v>
      </c>
      <c r="B809" s="21" t="str">
        <f>_xlfn.CONCAT("ORD-",INDEX(Helper!$B$2:$B$5,MATCH(Data[[#This Row],[Marketplace]],Helper!$A$2:$A$5,0)),TEXT(Data[[#This Row],[No]],"0000"),"-",TEXT(Data[[#This Row],[Tanggal terjual]],"dd/mm/yy"))</f>
        <v>ORD-SP0808-01/04/23</v>
      </c>
      <c r="C809" t="s">
        <v>62</v>
      </c>
      <c r="D809" t="str">
        <f>IFERROR(INDEX(Katalog!$A$3:$A$12,MATCH(Data[[#This Row],[ItemID A]],Katalog!$C$3:$C$12,0)),"-")</f>
        <v>Pakaian Pria</v>
      </c>
      <c r="E809" t="str">
        <f>IFERROR(INDEX(Katalog!$B$3:$B$12,MATCH(Data[[#This Row],[ItemID A]],Katalog!$C$3:$C$12,0)),"-")</f>
        <v>Celana Pendek</v>
      </c>
      <c r="F809">
        <v>1</v>
      </c>
      <c r="G809">
        <v>1</v>
      </c>
      <c r="H809" s="36">
        <f>IFERROR(INDEX(Katalog!$D$3:$D$12,MATCH(Data[[#This Row],[ItemID A]],Katalog!$C$3:$C$12,0))*Data[[#This Row],[Qty A]],"0")</f>
        <v>180000</v>
      </c>
      <c r="I809" s="36">
        <f>IFERROR(INDEX(Katalog!$F$3:$F$12,MATCH(Data[[#This Row],[ItemID A]],Katalog!$C$3:$C$12,0))*Data[[#This Row],[Qty A]],0)</f>
        <v>70000</v>
      </c>
      <c r="J809" t="s">
        <v>66</v>
      </c>
      <c r="K809" t="str">
        <f>IFERROR(INDEX(Katalog!$A$3:$A$12,MATCH(Data[[#This Row],[ItemID B]],Katalog!$C$3:$C$12,0)),"-")</f>
        <v>Sepatu Pria</v>
      </c>
      <c r="L809" t="str">
        <f>IFERROR(INDEX(Katalog!$B$3:$B$12,MATCH(Data[[#This Row],[ItemID B]],Katalog!$C$3:$C$12,0)),"-")</f>
        <v>Sandal Slip On</v>
      </c>
      <c r="M809">
        <v>1</v>
      </c>
      <c r="N809">
        <v>1</v>
      </c>
      <c r="O809" s="36">
        <f>IFERROR(INDEX(Katalog!$D$3:$D$12,MATCH(Data[[#This Row],[ItemID B]],Katalog!$C$3:$C$12,0))*Data[[#This Row],[Qty B]],"0")</f>
        <v>150000</v>
      </c>
      <c r="P809" s="36">
        <f>IFERROR(INDEX(Katalog!$F$3:$F$12,MATCH(Data[[#This Row],[ItemID B]],Katalog!$C$3:$C$12,0))*Data[[#This Row],[Qty B]],"0")</f>
        <v>60000</v>
      </c>
      <c r="Q809" t="s">
        <v>65</v>
      </c>
      <c r="R809" t="str">
        <f>IFERROR(INDEX(Katalog!$A$3:$A$12,MATCH(Data[[#This Row],[ItemID C]],Katalog!$C$3:$C$12,0)),"-")</f>
        <v>Sepatu Pria</v>
      </c>
      <c r="S809" t="str">
        <f>IFERROR(INDEX(Katalog!$B$3:$B$12,MATCH(Data[[#This Row],[ItemID C]],Katalog!$C$3:$C$12,0)),"-")</f>
        <v>Sneakers</v>
      </c>
      <c r="T809">
        <v>1</v>
      </c>
      <c r="U809">
        <v>1</v>
      </c>
      <c r="V809" s="36">
        <f>IFERROR(INDEX(Katalog!$D$3:$D$12,MATCH(Data[[#This Row],[ItemID C]],Katalog!$C$3:$C$12,0))*Data[[#This Row],[Qty C]],"0")</f>
        <v>500000</v>
      </c>
      <c r="W809" s="36">
        <f>IFERROR(INDEX(Katalog!$F$3:$F$12,MATCH(Data[[#This Row],[ItemID C]],Katalog!$C$3:$C$12,0))*Data[[#This Row],[Qty C]],"0")</f>
        <v>200000</v>
      </c>
      <c r="X809" s="21">
        <f>Data[[#This Row],[Qty A]]+Data[[#This Row],[Qty B]]+Data[[#This Row],[Qty C]]</f>
        <v>3</v>
      </c>
      <c r="Y809" s="22">
        <f>Data[[#This Row],[Harga Barang A]]+Data[[#This Row],[Harga Barang B]]+Data[[#This Row],[Harga Barang C]]</f>
        <v>830000</v>
      </c>
      <c r="Z809" s="35">
        <f>IFERROR(Data[[#This Row],[Total Harga]]-(Data[[#This Row],[Total Harga]]*Data[[#This Row],[Diskon]]),Data[[#This Row],[Total Harga]])</f>
        <v>747000</v>
      </c>
      <c r="AA809" s="35">
        <f>(Data[[#This Row],[Profit A]]+Data[[#This Row],[Profit B]]+Data[[#This Row],[Profit C]])</f>
        <v>330000</v>
      </c>
      <c r="AB809" s="35">
        <f>IFERROR((Data[[#This Row],[Profit non Diskon]]-(Data[[#This Row],[Profit non Diskon]]*Data[[#This Row],[Diskon]])),Data[[#This Row],[Profit non Diskon]])</f>
        <v>297000</v>
      </c>
      <c r="AC809" s="23" t="s">
        <v>6</v>
      </c>
      <c r="AD809" s="37">
        <f>IFERROR(INDEX('Kode Diskon'!$D$3:$D$9,MATCH(Data[[#This Row],[Kode diskon]],'Kode Diskon'!$C$3:$C$9,0)),"-")</f>
        <v>0.1</v>
      </c>
      <c r="AE809" s="23" t="s">
        <v>29</v>
      </c>
      <c r="AF809" s="23" t="s">
        <v>7</v>
      </c>
      <c r="AG809" s="23" t="s">
        <v>80</v>
      </c>
      <c r="AH809" s="24">
        <v>45017</v>
      </c>
      <c r="AI809" s="23" t="str">
        <f>TEXT(Data[[#This Row],[Tanggal terjual]],"dddd")</f>
        <v>Saturday</v>
      </c>
      <c r="AJ809" s="21" t="str">
        <f>TEXT(Data[[#This Row],[Tanggal terjual]],"wwww")</f>
        <v>wwww</v>
      </c>
    </row>
    <row r="810" spans="1:36" x14ac:dyDescent="0.2">
      <c r="A810" s="20">
        <v>809</v>
      </c>
      <c r="B810" s="21" t="str">
        <f>_xlfn.CONCAT("ORD-",INDEX(Helper!$B$2:$B$5,MATCH(Data[[#This Row],[Marketplace]],Helper!$A$2:$A$5,0)),TEXT(Data[[#This Row],[No]],"0000"),"-",TEXT(Data[[#This Row],[Tanggal terjual]],"dd/mm/yy"))</f>
        <v>ORD-SP0809-04/04/23</v>
      </c>
      <c r="C810" t="s">
        <v>61</v>
      </c>
      <c r="D810" t="str">
        <f>IFERROR(INDEX(Katalog!$A$3:$A$12,MATCH(Data[[#This Row],[ItemID A]],Katalog!$C$3:$C$12,0)),"-")</f>
        <v>Pakaian Pria</v>
      </c>
      <c r="E810" t="str">
        <f>IFERROR(INDEX(Katalog!$B$3:$B$12,MATCH(Data[[#This Row],[ItemID A]],Katalog!$C$3:$C$12,0)),"-")</f>
        <v>Kaos Polo</v>
      </c>
      <c r="F810">
        <v>1</v>
      </c>
      <c r="G810">
        <v>3</v>
      </c>
      <c r="H810" s="36">
        <f>IFERROR(INDEX(Katalog!$D$3:$D$12,MATCH(Data[[#This Row],[ItemID A]],Katalog!$C$3:$C$12,0))*Data[[#This Row],[Qty A]],"0")</f>
        <v>200000</v>
      </c>
      <c r="I810" s="36">
        <f>IFERROR(INDEX(Katalog!$F$3:$F$12,MATCH(Data[[#This Row],[ItemID A]],Katalog!$C$3:$C$12,0))*Data[[#This Row],[Qty A]],0)</f>
        <v>80000</v>
      </c>
      <c r="J810" t="s">
        <v>60</v>
      </c>
      <c r="K810" t="str">
        <f>IFERROR(INDEX(Katalog!$A$3:$A$12,MATCH(Data[[#This Row],[ItemID B]],Katalog!$C$3:$C$12,0)),"-")</f>
        <v>Pakaian Wanita</v>
      </c>
      <c r="L810" t="str">
        <f>IFERROR(INDEX(Katalog!$B$3:$B$12,MATCH(Data[[#This Row],[ItemID B]],Katalog!$C$3:$C$12,0)),"-")</f>
        <v>Kaftan</v>
      </c>
      <c r="M810">
        <v>2</v>
      </c>
      <c r="N810">
        <v>5</v>
      </c>
      <c r="O810" s="36">
        <f>IFERROR(INDEX(Katalog!$D$3:$D$12,MATCH(Data[[#This Row],[ItemID B]],Katalog!$C$3:$C$12,0))*Data[[#This Row],[Qty B]],"0")</f>
        <v>500000</v>
      </c>
      <c r="P810" s="36">
        <f>IFERROR(INDEX(Katalog!$F$3:$F$12,MATCH(Data[[#This Row],[ItemID B]],Katalog!$C$3:$C$12,0))*Data[[#This Row],[Qty B]],"0")</f>
        <v>200000</v>
      </c>
      <c r="Q810" t="s">
        <v>64</v>
      </c>
      <c r="R810" t="str">
        <f>IFERROR(INDEX(Katalog!$A$3:$A$12,MATCH(Data[[#This Row],[ItemID C]],Katalog!$C$3:$C$12,0)),"-")</f>
        <v>Pakaian Unisex</v>
      </c>
      <c r="S810" t="str">
        <f>IFERROR(INDEX(Katalog!$B$3:$B$12,MATCH(Data[[#This Row],[ItemID C]],Katalog!$C$3:$C$12,0)),"-")</f>
        <v>Jaket Hoodie</v>
      </c>
      <c r="T810">
        <v>2</v>
      </c>
      <c r="U810">
        <v>2</v>
      </c>
      <c r="V810" s="36">
        <f>IFERROR(INDEX(Katalog!$D$3:$D$12,MATCH(Data[[#This Row],[ItemID C]],Katalog!$C$3:$C$12,0))*Data[[#This Row],[Qty C]],"0")</f>
        <v>700000</v>
      </c>
      <c r="W810" s="36">
        <f>IFERROR(INDEX(Katalog!$F$3:$F$12,MATCH(Data[[#This Row],[ItemID C]],Katalog!$C$3:$C$12,0))*Data[[#This Row],[Qty C]],"0")</f>
        <v>260000</v>
      </c>
      <c r="X810" s="21">
        <f>Data[[#This Row],[Qty A]]+Data[[#This Row],[Qty B]]+Data[[#This Row],[Qty C]]</f>
        <v>5</v>
      </c>
      <c r="Y810" s="22">
        <f>Data[[#This Row],[Harga Barang A]]+Data[[#This Row],[Harga Barang B]]+Data[[#This Row],[Harga Barang C]]</f>
        <v>1400000</v>
      </c>
      <c r="Z810" s="35">
        <f>IFERROR(Data[[#This Row],[Total Harga]]-(Data[[#This Row],[Total Harga]]*Data[[#This Row],[Diskon]]),Data[[#This Row],[Total Harga]])</f>
        <v>1190000</v>
      </c>
      <c r="AA810" s="35">
        <f>(Data[[#This Row],[Profit A]]+Data[[#This Row],[Profit B]]+Data[[#This Row],[Profit C]])</f>
        <v>540000</v>
      </c>
      <c r="AB810" s="35">
        <f>IFERROR((Data[[#This Row],[Profit non Diskon]]-(Data[[#This Row],[Profit non Diskon]]*Data[[#This Row],[Diskon]])),Data[[#This Row],[Profit non Diskon]])</f>
        <v>459000</v>
      </c>
      <c r="AC810" s="23" t="s">
        <v>13</v>
      </c>
      <c r="AD810" s="37">
        <f>IFERROR(INDEX('Kode Diskon'!$D$3:$D$9,MATCH(Data[[#This Row],[Kode diskon]],'Kode Diskon'!$C$3:$C$9,0)),"-")</f>
        <v>0.15</v>
      </c>
      <c r="AE810" s="23" t="s">
        <v>29</v>
      </c>
      <c r="AF810" s="23" t="s">
        <v>7</v>
      </c>
      <c r="AG810" s="23" t="s">
        <v>79</v>
      </c>
      <c r="AH810" s="24">
        <v>45020</v>
      </c>
      <c r="AI810" s="23" t="str">
        <f>TEXT(Data[[#This Row],[Tanggal terjual]],"dddd")</f>
        <v>Tuesday</v>
      </c>
      <c r="AJ810" s="21" t="str">
        <f>TEXT(Data[[#This Row],[Tanggal terjual]],"wwww")</f>
        <v>wwww</v>
      </c>
    </row>
    <row r="811" spans="1:36" x14ac:dyDescent="0.2">
      <c r="A811" s="20">
        <v>810</v>
      </c>
      <c r="B811" s="21" t="str">
        <f>_xlfn.CONCAT("ORD-",INDEX(Helper!$B$2:$B$5,MATCH(Data[[#This Row],[Marketplace]],Helper!$A$2:$A$5,0)),TEXT(Data[[#This Row],[No]],"0000"),"-",TEXT(Data[[#This Row],[Tanggal terjual]],"dd/mm/yy"))</f>
        <v>ORD-SP0810-22/04/23</v>
      </c>
      <c r="C811" t="s">
        <v>58</v>
      </c>
      <c r="D811" t="str">
        <f>IFERROR(INDEX(Katalog!$A$3:$A$12,MATCH(Data[[#This Row],[ItemID A]],Katalog!$C$3:$C$12,0)),"-")</f>
        <v>Pakaian Wanita</v>
      </c>
      <c r="E811" t="str">
        <f>IFERROR(INDEX(Katalog!$B$3:$B$12,MATCH(Data[[#This Row],[ItemID A]],Katalog!$C$3:$C$12,0)),"-")</f>
        <v>Dress</v>
      </c>
      <c r="F811">
        <v>1</v>
      </c>
      <c r="G811">
        <v>3</v>
      </c>
      <c r="H811" s="36">
        <f>IFERROR(INDEX(Katalog!$D$3:$D$12,MATCH(Data[[#This Row],[ItemID A]],Katalog!$C$3:$C$12,0))*Data[[#This Row],[Qty A]],"0")</f>
        <v>300000</v>
      </c>
      <c r="I811" s="36">
        <f>IFERROR(INDEX(Katalog!$F$3:$F$12,MATCH(Data[[#This Row],[ItemID A]],Katalog!$C$3:$C$12,0))*Data[[#This Row],[Qty A]],0)</f>
        <v>100000</v>
      </c>
      <c r="J811" t="s">
        <v>66</v>
      </c>
      <c r="K811" t="str">
        <f>IFERROR(INDEX(Katalog!$A$3:$A$12,MATCH(Data[[#This Row],[ItemID B]],Katalog!$C$3:$C$12,0)),"-")</f>
        <v>Sepatu Pria</v>
      </c>
      <c r="L811" t="str">
        <f>IFERROR(INDEX(Katalog!$B$3:$B$12,MATCH(Data[[#This Row],[ItemID B]],Katalog!$C$3:$C$12,0)),"-")</f>
        <v>Sandal Slip On</v>
      </c>
      <c r="M811">
        <v>3</v>
      </c>
      <c r="N811">
        <v>5</v>
      </c>
      <c r="O811" s="36">
        <f>IFERROR(INDEX(Katalog!$D$3:$D$12,MATCH(Data[[#This Row],[ItemID B]],Katalog!$C$3:$C$12,0))*Data[[#This Row],[Qty B]],"0")</f>
        <v>450000</v>
      </c>
      <c r="P811" s="36">
        <f>IFERROR(INDEX(Katalog!$F$3:$F$12,MATCH(Data[[#This Row],[ItemID B]],Katalog!$C$3:$C$12,0))*Data[[#This Row],[Qty B]],"0")</f>
        <v>180000</v>
      </c>
      <c r="Q811" t="s">
        <v>59</v>
      </c>
      <c r="R811" t="str">
        <f>IFERROR(INDEX(Katalog!$A$3:$A$12,MATCH(Data[[#This Row],[ItemID C]],Katalog!$C$3:$C$12,0)),"-")</f>
        <v>Pakaian Wanita</v>
      </c>
      <c r="S811" t="str">
        <f>IFERROR(INDEX(Katalog!$B$3:$B$12,MATCH(Data[[#This Row],[ItemID C]],Katalog!$C$3:$C$12,0)),"-")</f>
        <v>Blouse</v>
      </c>
      <c r="T811">
        <v>3</v>
      </c>
      <c r="U811">
        <v>4</v>
      </c>
      <c r="V811" s="36">
        <f>IFERROR(INDEX(Katalog!$D$3:$D$12,MATCH(Data[[#This Row],[ItemID C]],Katalog!$C$3:$C$12,0))*Data[[#This Row],[Qty C]],"0")</f>
        <v>450000</v>
      </c>
      <c r="W811" s="36">
        <f>IFERROR(INDEX(Katalog!$F$3:$F$12,MATCH(Data[[#This Row],[ItemID C]],Katalog!$C$3:$C$12,0))*Data[[#This Row],[Qty C]],"0")</f>
        <v>150000</v>
      </c>
      <c r="X811" s="21">
        <f>Data[[#This Row],[Qty A]]+Data[[#This Row],[Qty B]]+Data[[#This Row],[Qty C]]</f>
        <v>7</v>
      </c>
      <c r="Y811" s="22">
        <f>Data[[#This Row],[Harga Barang A]]+Data[[#This Row],[Harga Barang B]]+Data[[#This Row],[Harga Barang C]]</f>
        <v>1200000</v>
      </c>
      <c r="Z811" s="35">
        <f>IFERROR(Data[[#This Row],[Total Harga]]-(Data[[#This Row],[Total Harga]]*Data[[#This Row],[Diskon]]),Data[[#This Row],[Total Harga]])</f>
        <v>960000</v>
      </c>
      <c r="AA811" s="35">
        <f>(Data[[#This Row],[Profit A]]+Data[[#This Row],[Profit B]]+Data[[#This Row],[Profit C]])</f>
        <v>430000</v>
      </c>
      <c r="AB811" s="35">
        <f>IFERROR((Data[[#This Row],[Profit non Diskon]]-(Data[[#This Row],[Profit non Diskon]]*Data[[#This Row],[Diskon]])),Data[[#This Row],[Profit non Diskon]])</f>
        <v>344000</v>
      </c>
      <c r="AC811" s="23" t="s">
        <v>8</v>
      </c>
      <c r="AD811" s="37">
        <f>IFERROR(INDEX('Kode Diskon'!$D$3:$D$9,MATCH(Data[[#This Row],[Kode diskon]],'Kode Diskon'!$C$3:$C$9,0)),"-")</f>
        <v>0.2</v>
      </c>
      <c r="AE811" s="23" t="s">
        <v>9</v>
      </c>
      <c r="AF811" s="23" t="s">
        <v>7</v>
      </c>
      <c r="AG811" s="23" t="s">
        <v>79</v>
      </c>
      <c r="AH811" s="24">
        <v>45038</v>
      </c>
      <c r="AI811" s="23" t="str">
        <f>TEXT(Data[[#This Row],[Tanggal terjual]],"dddd")</f>
        <v>Saturday</v>
      </c>
      <c r="AJ811" s="21" t="str">
        <f>TEXT(Data[[#This Row],[Tanggal terjual]],"wwww")</f>
        <v>wwww</v>
      </c>
    </row>
    <row r="812" spans="1:36" x14ac:dyDescent="0.2">
      <c r="A812" s="20">
        <v>811</v>
      </c>
      <c r="B812" s="21" t="str">
        <f>_xlfn.CONCAT("ORD-",INDEX(Helper!$B$2:$B$5,MATCH(Data[[#This Row],[Marketplace]],Helper!$A$2:$A$5,0)),TEXT(Data[[#This Row],[No]],"0000"),"-",TEXT(Data[[#This Row],[Tanggal terjual]],"dd/mm/yy"))</f>
        <v>ORD-SP0811-01/04/23</v>
      </c>
      <c r="C812" t="s">
        <v>66</v>
      </c>
      <c r="D812" t="str">
        <f>IFERROR(INDEX(Katalog!$A$3:$A$12,MATCH(Data[[#This Row],[ItemID A]],Katalog!$C$3:$C$12,0)),"-")</f>
        <v>Sepatu Pria</v>
      </c>
      <c r="E812" t="str">
        <f>IFERROR(INDEX(Katalog!$B$3:$B$12,MATCH(Data[[#This Row],[ItemID A]],Katalog!$C$3:$C$12,0)),"-")</f>
        <v>Sandal Slip On</v>
      </c>
      <c r="F812">
        <v>4</v>
      </c>
      <c r="G812">
        <v>1</v>
      </c>
      <c r="H812" s="36">
        <f>IFERROR(INDEX(Katalog!$D$3:$D$12,MATCH(Data[[#This Row],[ItemID A]],Katalog!$C$3:$C$12,0))*Data[[#This Row],[Qty A]],"0")</f>
        <v>600000</v>
      </c>
      <c r="I812" s="36">
        <f>IFERROR(INDEX(Katalog!$F$3:$F$12,MATCH(Data[[#This Row],[ItemID A]],Katalog!$C$3:$C$12,0))*Data[[#This Row],[Qty A]],0)</f>
        <v>240000</v>
      </c>
      <c r="J812" t="s">
        <v>64</v>
      </c>
      <c r="K812" t="str">
        <f>IFERROR(INDEX(Katalog!$A$3:$A$12,MATCH(Data[[#This Row],[ItemID B]],Katalog!$C$3:$C$12,0)),"-")</f>
        <v>Pakaian Unisex</v>
      </c>
      <c r="L812" t="str">
        <f>IFERROR(INDEX(Katalog!$B$3:$B$12,MATCH(Data[[#This Row],[ItemID B]],Katalog!$C$3:$C$12,0)),"-")</f>
        <v>Jaket Hoodie</v>
      </c>
      <c r="M812">
        <v>2</v>
      </c>
      <c r="N812">
        <v>4</v>
      </c>
      <c r="O812" s="36">
        <f>IFERROR(INDEX(Katalog!$D$3:$D$12,MATCH(Data[[#This Row],[ItemID B]],Katalog!$C$3:$C$12,0))*Data[[#This Row],[Qty B]],"0")</f>
        <v>700000</v>
      </c>
      <c r="P812" s="36">
        <f>IFERROR(INDEX(Katalog!$F$3:$F$12,MATCH(Data[[#This Row],[ItemID B]],Katalog!$C$3:$C$12,0))*Data[[#This Row],[Qty B]],"0")</f>
        <v>260000</v>
      </c>
      <c r="R812" t="str">
        <f>IFERROR(INDEX(Katalog!$A$3:$A$12,MATCH(Data[[#This Row],[ItemID C]],Katalog!$C$3:$C$12,0)),"-")</f>
        <v>-</v>
      </c>
      <c r="S812" t="str">
        <f>IFERROR(INDEX(Katalog!$B$3:$B$12,MATCH(Data[[#This Row],[ItemID C]],Katalog!$C$3:$C$12,0)),"-")</f>
        <v>-</v>
      </c>
      <c r="V812" s="36" t="str">
        <f>IFERROR(INDEX(Katalog!$D$3:$D$12,MATCH(Data[[#This Row],[ItemID C]],Katalog!$C$3:$C$12,0))*Data[[#This Row],[Qty C]],"0")</f>
        <v>0</v>
      </c>
      <c r="W812" s="36" t="str">
        <f>IFERROR(INDEX(Katalog!$F$3:$F$12,MATCH(Data[[#This Row],[ItemID C]],Katalog!$C$3:$C$12,0))*Data[[#This Row],[Qty C]],"0")</f>
        <v>0</v>
      </c>
      <c r="X812" s="21">
        <f>Data[[#This Row],[Qty A]]+Data[[#This Row],[Qty B]]+Data[[#This Row],[Qty C]]</f>
        <v>6</v>
      </c>
      <c r="Y812" s="22">
        <f>Data[[#This Row],[Harga Barang A]]+Data[[#This Row],[Harga Barang B]]+Data[[#This Row],[Harga Barang C]]</f>
        <v>1300000</v>
      </c>
      <c r="Z812" s="35">
        <f>IFERROR(Data[[#This Row],[Total Harga]]-(Data[[#This Row],[Total Harga]]*Data[[#This Row],[Diskon]]),Data[[#This Row],[Total Harga]])</f>
        <v>1170000</v>
      </c>
      <c r="AA812" s="35">
        <f>(Data[[#This Row],[Profit A]]+Data[[#This Row],[Profit B]]+Data[[#This Row],[Profit C]])</f>
        <v>500000</v>
      </c>
      <c r="AB812" s="35">
        <f>IFERROR((Data[[#This Row],[Profit non Diskon]]-(Data[[#This Row],[Profit non Diskon]]*Data[[#This Row],[Diskon]])),Data[[#This Row],[Profit non Diskon]])</f>
        <v>450000</v>
      </c>
      <c r="AC812" s="23" t="s">
        <v>6</v>
      </c>
      <c r="AD812" s="37">
        <f>IFERROR(INDEX('Kode Diskon'!$D$3:$D$9,MATCH(Data[[#This Row],[Kode diskon]],'Kode Diskon'!$C$3:$C$9,0)),"-")</f>
        <v>0.1</v>
      </c>
      <c r="AE812" s="23" t="s">
        <v>29</v>
      </c>
      <c r="AF812" s="23" t="s">
        <v>7</v>
      </c>
      <c r="AG812" s="23" t="s">
        <v>80</v>
      </c>
      <c r="AH812" s="24">
        <v>45017</v>
      </c>
      <c r="AI812" s="23" t="str">
        <f>TEXT(Data[[#This Row],[Tanggal terjual]],"dddd")</f>
        <v>Saturday</v>
      </c>
      <c r="AJ812" s="21" t="str">
        <f>TEXT(Data[[#This Row],[Tanggal terjual]],"wwww")</f>
        <v>wwww</v>
      </c>
    </row>
    <row r="813" spans="1:36" x14ac:dyDescent="0.2">
      <c r="A813" s="20">
        <v>812</v>
      </c>
      <c r="B813" s="21" t="str">
        <f>_xlfn.CONCAT("ORD-",INDEX(Helper!$B$2:$B$5,MATCH(Data[[#This Row],[Marketplace]],Helper!$A$2:$A$5,0)),TEXT(Data[[#This Row],[No]],"0000"),"-",TEXT(Data[[#This Row],[Tanggal terjual]],"dd/mm/yy"))</f>
        <v>ORD-BB0812-02/04/23</v>
      </c>
      <c r="C813" t="s">
        <v>59</v>
      </c>
      <c r="D813" t="str">
        <f>IFERROR(INDEX(Katalog!$A$3:$A$12,MATCH(Data[[#This Row],[ItemID A]],Katalog!$C$3:$C$12,0)),"-")</f>
        <v>Pakaian Wanita</v>
      </c>
      <c r="E813" t="str">
        <f>IFERROR(INDEX(Katalog!$B$3:$B$12,MATCH(Data[[#This Row],[ItemID A]],Katalog!$C$3:$C$12,0)),"-")</f>
        <v>Blouse</v>
      </c>
      <c r="F813">
        <v>1</v>
      </c>
      <c r="G813">
        <v>1</v>
      </c>
      <c r="H813" s="36">
        <f>IFERROR(INDEX(Katalog!$D$3:$D$12,MATCH(Data[[#This Row],[ItemID A]],Katalog!$C$3:$C$12,0))*Data[[#This Row],[Qty A]],"0")</f>
        <v>150000</v>
      </c>
      <c r="I813" s="36">
        <f>IFERROR(INDEX(Katalog!$F$3:$F$12,MATCH(Data[[#This Row],[ItemID A]],Katalog!$C$3:$C$12,0))*Data[[#This Row],[Qty A]],0)</f>
        <v>50000</v>
      </c>
      <c r="J813" t="s">
        <v>66</v>
      </c>
      <c r="K813" t="str">
        <f>IFERROR(INDEX(Katalog!$A$3:$A$12,MATCH(Data[[#This Row],[ItemID B]],Katalog!$C$3:$C$12,0)),"-")</f>
        <v>Sepatu Pria</v>
      </c>
      <c r="L813" t="str">
        <f>IFERROR(INDEX(Katalog!$B$3:$B$12,MATCH(Data[[#This Row],[ItemID B]],Katalog!$C$3:$C$12,0)),"-")</f>
        <v>Sandal Slip On</v>
      </c>
      <c r="M813">
        <v>1</v>
      </c>
      <c r="N813">
        <v>1</v>
      </c>
      <c r="O813" s="36">
        <f>IFERROR(INDEX(Katalog!$D$3:$D$12,MATCH(Data[[#This Row],[ItemID B]],Katalog!$C$3:$C$12,0))*Data[[#This Row],[Qty B]],"0")</f>
        <v>150000</v>
      </c>
      <c r="P813" s="36">
        <f>IFERROR(INDEX(Katalog!$F$3:$F$12,MATCH(Data[[#This Row],[ItemID B]],Katalog!$C$3:$C$12,0))*Data[[#This Row],[Qty B]],"0")</f>
        <v>60000</v>
      </c>
      <c r="Q813" t="s">
        <v>65</v>
      </c>
      <c r="R813" t="str">
        <f>IFERROR(INDEX(Katalog!$A$3:$A$12,MATCH(Data[[#This Row],[ItemID C]],Katalog!$C$3:$C$12,0)),"-")</f>
        <v>Sepatu Pria</v>
      </c>
      <c r="S813" t="str">
        <f>IFERROR(INDEX(Katalog!$B$3:$B$12,MATCH(Data[[#This Row],[ItemID C]],Katalog!$C$3:$C$12,0)),"-")</f>
        <v>Sneakers</v>
      </c>
      <c r="T813">
        <v>4</v>
      </c>
      <c r="U813">
        <v>4</v>
      </c>
      <c r="V813" s="36">
        <f>IFERROR(INDEX(Katalog!$D$3:$D$12,MATCH(Data[[#This Row],[ItemID C]],Katalog!$C$3:$C$12,0))*Data[[#This Row],[Qty C]],"0")</f>
        <v>2000000</v>
      </c>
      <c r="W813" s="36">
        <f>IFERROR(INDEX(Katalog!$F$3:$F$12,MATCH(Data[[#This Row],[ItemID C]],Katalog!$C$3:$C$12,0))*Data[[#This Row],[Qty C]],"0")</f>
        <v>800000</v>
      </c>
      <c r="X813" s="21">
        <f>Data[[#This Row],[Qty A]]+Data[[#This Row],[Qty B]]+Data[[#This Row],[Qty C]]</f>
        <v>6</v>
      </c>
      <c r="Y813" s="22">
        <f>Data[[#This Row],[Harga Barang A]]+Data[[#This Row],[Harga Barang B]]+Data[[#This Row],[Harga Barang C]]</f>
        <v>2300000</v>
      </c>
      <c r="Z813" s="35">
        <f>IFERROR(Data[[#This Row],[Total Harga]]-(Data[[#This Row],[Total Harga]]*Data[[#This Row],[Diskon]]),Data[[#This Row],[Total Harga]])</f>
        <v>1955000</v>
      </c>
      <c r="AA813" s="35">
        <f>(Data[[#This Row],[Profit A]]+Data[[#This Row],[Profit B]]+Data[[#This Row],[Profit C]])</f>
        <v>910000</v>
      </c>
      <c r="AB813" s="35">
        <f>IFERROR((Data[[#This Row],[Profit non Diskon]]-(Data[[#This Row],[Profit non Diskon]]*Data[[#This Row],[Diskon]])),Data[[#This Row],[Profit non Diskon]])</f>
        <v>773500</v>
      </c>
      <c r="AC813" s="23" t="s">
        <v>28</v>
      </c>
      <c r="AD813" s="37">
        <f>IFERROR(INDEX('Kode Diskon'!$D$3:$D$9,MATCH(Data[[#This Row],[Kode diskon]],'Kode Diskon'!$C$3:$C$9,0)),"-")</f>
        <v>0.15</v>
      </c>
      <c r="AE813" s="23" t="s">
        <v>29</v>
      </c>
      <c r="AF813" s="23" t="s">
        <v>14</v>
      </c>
      <c r="AG813" s="23" t="s">
        <v>79</v>
      </c>
      <c r="AH813" s="24">
        <v>45018</v>
      </c>
      <c r="AI813" s="23" t="str">
        <f>TEXT(Data[[#This Row],[Tanggal terjual]],"dddd")</f>
        <v>Sunday</v>
      </c>
      <c r="AJ813" s="21" t="str">
        <f>TEXT(Data[[#This Row],[Tanggal terjual]],"wwww")</f>
        <v>wwww</v>
      </c>
    </row>
    <row r="814" spans="1:36" x14ac:dyDescent="0.2">
      <c r="A814" s="20">
        <v>813</v>
      </c>
      <c r="B814" s="21" t="str">
        <f>_xlfn.CONCAT("ORD-",INDEX(Helper!$B$2:$B$5,MATCH(Data[[#This Row],[Marketplace]],Helper!$A$2:$A$5,0)),TEXT(Data[[#This Row],[No]],"0000"),"-",TEXT(Data[[#This Row],[Tanggal terjual]],"dd/mm/yy"))</f>
        <v>ORD-SP0813-05/04/23</v>
      </c>
      <c r="C814" t="s">
        <v>64</v>
      </c>
      <c r="D814" t="str">
        <f>IFERROR(INDEX(Katalog!$A$3:$A$12,MATCH(Data[[#This Row],[ItemID A]],Katalog!$C$3:$C$12,0)),"-")</f>
        <v>Pakaian Unisex</v>
      </c>
      <c r="E814" t="str">
        <f>IFERROR(INDEX(Katalog!$B$3:$B$12,MATCH(Data[[#This Row],[ItemID A]],Katalog!$C$3:$C$12,0)),"-")</f>
        <v>Jaket Hoodie</v>
      </c>
      <c r="F814">
        <v>3</v>
      </c>
      <c r="G814">
        <v>4</v>
      </c>
      <c r="H814" s="36">
        <f>IFERROR(INDEX(Katalog!$D$3:$D$12,MATCH(Data[[#This Row],[ItemID A]],Katalog!$C$3:$C$12,0))*Data[[#This Row],[Qty A]],"0")</f>
        <v>1050000</v>
      </c>
      <c r="I814" s="36">
        <f>IFERROR(INDEX(Katalog!$F$3:$F$12,MATCH(Data[[#This Row],[ItemID A]],Katalog!$C$3:$C$12,0))*Data[[#This Row],[Qty A]],0)</f>
        <v>390000</v>
      </c>
      <c r="K814" t="str">
        <f>IFERROR(INDEX(Katalog!$A$3:$A$12,MATCH(Data[[#This Row],[ItemID B]],Katalog!$C$3:$C$12,0)),"-")</f>
        <v>-</v>
      </c>
      <c r="L814" t="str">
        <f>IFERROR(INDEX(Katalog!$B$3:$B$12,MATCH(Data[[#This Row],[ItemID B]],Katalog!$C$3:$C$12,0)),"-")</f>
        <v>-</v>
      </c>
      <c r="O814" s="36" t="str">
        <f>IFERROR(INDEX(Katalog!$D$3:$D$12,MATCH(Data[[#This Row],[ItemID B]],Katalog!$C$3:$C$12,0))*Data[[#This Row],[Qty B]],"0")</f>
        <v>0</v>
      </c>
      <c r="P814" s="36" t="str">
        <f>IFERROR(INDEX(Katalog!$F$3:$F$12,MATCH(Data[[#This Row],[ItemID B]],Katalog!$C$3:$C$12,0))*Data[[#This Row],[Qty B]],"0")</f>
        <v>0</v>
      </c>
      <c r="R814" t="str">
        <f>IFERROR(INDEX(Katalog!$A$3:$A$12,MATCH(Data[[#This Row],[ItemID C]],Katalog!$C$3:$C$12,0)),"-")</f>
        <v>-</v>
      </c>
      <c r="S814" t="str">
        <f>IFERROR(INDEX(Katalog!$B$3:$B$12,MATCH(Data[[#This Row],[ItemID C]],Katalog!$C$3:$C$12,0)),"-")</f>
        <v>-</v>
      </c>
      <c r="V814" s="36" t="str">
        <f>IFERROR(INDEX(Katalog!$D$3:$D$12,MATCH(Data[[#This Row],[ItemID C]],Katalog!$C$3:$C$12,0))*Data[[#This Row],[Qty C]],"0")</f>
        <v>0</v>
      </c>
      <c r="W814" s="36" t="str">
        <f>IFERROR(INDEX(Katalog!$F$3:$F$12,MATCH(Data[[#This Row],[ItemID C]],Katalog!$C$3:$C$12,0))*Data[[#This Row],[Qty C]],"0")</f>
        <v>0</v>
      </c>
      <c r="X814" s="21">
        <f>Data[[#This Row],[Qty A]]+Data[[#This Row],[Qty B]]+Data[[#This Row],[Qty C]]</f>
        <v>3</v>
      </c>
      <c r="Y814" s="22">
        <f>Data[[#This Row],[Harga Barang A]]+Data[[#This Row],[Harga Barang B]]+Data[[#This Row],[Harga Barang C]]</f>
        <v>1050000</v>
      </c>
      <c r="Z814" s="35">
        <f>IFERROR(Data[[#This Row],[Total Harga]]-(Data[[#This Row],[Total Harga]]*Data[[#This Row],[Diskon]]),Data[[#This Row],[Total Harga]])</f>
        <v>892500</v>
      </c>
      <c r="AA814" s="35">
        <f>(Data[[#This Row],[Profit A]]+Data[[#This Row],[Profit B]]+Data[[#This Row],[Profit C]])</f>
        <v>390000</v>
      </c>
      <c r="AB814" s="35">
        <f>IFERROR((Data[[#This Row],[Profit non Diskon]]-(Data[[#This Row],[Profit non Diskon]]*Data[[#This Row],[Diskon]])),Data[[#This Row],[Profit non Diskon]])</f>
        <v>331500</v>
      </c>
      <c r="AC814" s="23" t="s">
        <v>13</v>
      </c>
      <c r="AD814" s="37">
        <f>IFERROR(INDEX('Kode Diskon'!$D$3:$D$9,MATCH(Data[[#This Row],[Kode diskon]],'Kode Diskon'!$C$3:$C$9,0)),"-")</f>
        <v>0.15</v>
      </c>
      <c r="AE814" s="23" t="s">
        <v>29</v>
      </c>
      <c r="AF814" s="23" t="s">
        <v>7</v>
      </c>
      <c r="AG814" s="23" t="s">
        <v>79</v>
      </c>
      <c r="AH814" s="24">
        <v>45021</v>
      </c>
      <c r="AI814" s="23" t="str">
        <f>TEXT(Data[[#This Row],[Tanggal terjual]],"dddd")</f>
        <v>Wednesday</v>
      </c>
      <c r="AJ814" s="21" t="str">
        <f>TEXT(Data[[#This Row],[Tanggal terjual]],"wwww")</f>
        <v>wwww</v>
      </c>
    </row>
    <row r="815" spans="1:36" x14ac:dyDescent="0.2">
      <c r="A815" s="20">
        <v>814</v>
      </c>
      <c r="B815" s="21" t="str">
        <f>_xlfn.CONCAT("ORD-",INDEX(Helper!$B$2:$B$5,MATCH(Data[[#This Row],[Marketplace]],Helper!$A$2:$A$5,0)),TEXT(Data[[#This Row],[No]],"0000"),"-",TEXT(Data[[#This Row],[Tanggal terjual]],"dd/mm/yy"))</f>
        <v>ORD-BL0814-26/04/23</v>
      </c>
      <c r="C815" t="s">
        <v>64</v>
      </c>
      <c r="D815" t="str">
        <f>IFERROR(INDEX(Katalog!$A$3:$A$12,MATCH(Data[[#This Row],[ItemID A]],Katalog!$C$3:$C$12,0)),"-")</f>
        <v>Pakaian Unisex</v>
      </c>
      <c r="E815" t="str">
        <f>IFERROR(INDEX(Katalog!$B$3:$B$12,MATCH(Data[[#This Row],[ItemID A]],Katalog!$C$3:$C$12,0)),"-")</f>
        <v>Jaket Hoodie</v>
      </c>
      <c r="F815">
        <v>1</v>
      </c>
      <c r="G815">
        <v>2</v>
      </c>
      <c r="H815" s="36">
        <f>IFERROR(INDEX(Katalog!$D$3:$D$12,MATCH(Data[[#This Row],[ItemID A]],Katalog!$C$3:$C$12,0))*Data[[#This Row],[Qty A]],"0")</f>
        <v>350000</v>
      </c>
      <c r="I815" s="36">
        <f>IFERROR(INDEX(Katalog!$F$3:$F$12,MATCH(Data[[#This Row],[ItemID A]],Katalog!$C$3:$C$12,0))*Data[[#This Row],[Qty A]],0)</f>
        <v>130000</v>
      </c>
      <c r="J815" t="s">
        <v>66</v>
      </c>
      <c r="K815" t="str">
        <f>IFERROR(INDEX(Katalog!$A$3:$A$12,MATCH(Data[[#This Row],[ItemID B]],Katalog!$C$3:$C$12,0)),"-")</f>
        <v>Sepatu Pria</v>
      </c>
      <c r="L815" t="str">
        <f>IFERROR(INDEX(Katalog!$B$3:$B$12,MATCH(Data[[#This Row],[ItemID B]],Katalog!$C$3:$C$12,0)),"-")</f>
        <v>Sandal Slip On</v>
      </c>
      <c r="M815">
        <v>5</v>
      </c>
      <c r="N815">
        <v>4</v>
      </c>
      <c r="O815" s="36">
        <f>IFERROR(INDEX(Katalog!$D$3:$D$12,MATCH(Data[[#This Row],[ItemID B]],Katalog!$C$3:$C$12,0))*Data[[#This Row],[Qty B]],"0")</f>
        <v>750000</v>
      </c>
      <c r="P815" s="36">
        <f>IFERROR(INDEX(Katalog!$F$3:$F$12,MATCH(Data[[#This Row],[ItemID B]],Katalog!$C$3:$C$12,0))*Data[[#This Row],[Qty B]],"0")</f>
        <v>300000</v>
      </c>
      <c r="R815" t="str">
        <f>IFERROR(INDEX(Katalog!$A$3:$A$12,MATCH(Data[[#This Row],[ItemID C]],Katalog!$C$3:$C$12,0)),"-")</f>
        <v>-</v>
      </c>
      <c r="S815" t="str">
        <f>IFERROR(INDEX(Katalog!$B$3:$B$12,MATCH(Data[[#This Row],[ItemID C]],Katalog!$C$3:$C$12,0)),"-")</f>
        <v>-</v>
      </c>
      <c r="V815" s="36" t="str">
        <f>IFERROR(INDEX(Katalog!$D$3:$D$12,MATCH(Data[[#This Row],[ItemID C]],Katalog!$C$3:$C$12,0))*Data[[#This Row],[Qty C]],"0")</f>
        <v>0</v>
      </c>
      <c r="W815" s="36" t="str">
        <f>IFERROR(INDEX(Katalog!$F$3:$F$12,MATCH(Data[[#This Row],[ItemID C]],Katalog!$C$3:$C$12,0))*Data[[#This Row],[Qty C]],"0")</f>
        <v>0</v>
      </c>
      <c r="X815" s="21">
        <f>Data[[#This Row],[Qty A]]+Data[[#This Row],[Qty B]]+Data[[#This Row],[Qty C]]</f>
        <v>6</v>
      </c>
      <c r="Y815" s="22">
        <f>Data[[#This Row],[Harga Barang A]]+Data[[#This Row],[Harga Barang B]]+Data[[#This Row],[Harga Barang C]]</f>
        <v>1100000</v>
      </c>
      <c r="Z815" s="35">
        <f>IFERROR(Data[[#This Row],[Total Harga]]-(Data[[#This Row],[Total Harga]]*Data[[#This Row],[Diskon]]),Data[[#This Row],[Total Harga]])</f>
        <v>935000</v>
      </c>
      <c r="AA815" s="35">
        <f>(Data[[#This Row],[Profit A]]+Data[[#This Row],[Profit B]]+Data[[#This Row],[Profit C]])</f>
        <v>430000</v>
      </c>
      <c r="AB815" s="35">
        <f>IFERROR((Data[[#This Row],[Profit non Diskon]]-(Data[[#This Row],[Profit non Diskon]]*Data[[#This Row],[Diskon]])),Data[[#This Row],[Profit non Diskon]])</f>
        <v>365500</v>
      </c>
      <c r="AC815" s="23" t="s">
        <v>32</v>
      </c>
      <c r="AD815" s="37">
        <f>IFERROR(INDEX('Kode Diskon'!$D$3:$D$9,MATCH(Data[[#This Row],[Kode diskon]],'Kode Diskon'!$C$3:$C$9,0)),"-")</f>
        <v>0.15</v>
      </c>
      <c r="AE815" s="23" t="s">
        <v>9</v>
      </c>
      <c r="AF815" s="23" t="s">
        <v>12</v>
      </c>
      <c r="AG815" s="23" t="s">
        <v>76</v>
      </c>
      <c r="AH815" s="24">
        <v>45042</v>
      </c>
      <c r="AI815" s="23" t="str">
        <f>TEXT(Data[[#This Row],[Tanggal terjual]],"dddd")</f>
        <v>Wednesday</v>
      </c>
      <c r="AJ815" s="21" t="str">
        <f>TEXT(Data[[#This Row],[Tanggal terjual]],"wwww")</f>
        <v>wwww</v>
      </c>
    </row>
    <row r="816" spans="1:36" x14ac:dyDescent="0.2">
      <c r="A816" s="20">
        <v>815</v>
      </c>
      <c r="B816" s="21" t="str">
        <f>_xlfn.CONCAT("ORD-",INDEX(Helper!$B$2:$B$5,MATCH(Data[[#This Row],[Marketplace]],Helper!$A$2:$A$5,0)),TEXT(Data[[#This Row],[No]],"0000"),"-",TEXT(Data[[#This Row],[Tanggal terjual]],"dd/mm/yy"))</f>
        <v>ORD-SP0815-28/04/23</v>
      </c>
      <c r="C816" t="s">
        <v>66</v>
      </c>
      <c r="D816" t="str">
        <f>IFERROR(INDEX(Katalog!$A$3:$A$12,MATCH(Data[[#This Row],[ItemID A]],Katalog!$C$3:$C$12,0)),"-")</f>
        <v>Sepatu Pria</v>
      </c>
      <c r="E816" t="str">
        <f>IFERROR(INDEX(Katalog!$B$3:$B$12,MATCH(Data[[#This Row],[ItemID A]],Katalog!$C$3:$C$12,0)),"-")</f>
        <v>Sandal Slip On</v>
      </c>
      <c r="F816">
        <v>1</v>
      </c>
      <c r="G816">
        <v>2</v>
      </c>
      <c r="H816" s="36">
        <f>IFERROR(INDEX(Katalog!$D$3:$D$12,MATCH(Data[[#This Row],[ItemID A]],Katalog!$C$3:$C$12,0))*Data[[#This Row],[Qty A]],"0")</f>
        <v>150000</v>
      </c>
      <c r="I816" s="36">
        <f>IFERROR(INDEX(Katalog!$F$3:$F$12,MATCH(Data[[#This Row],[ItemID A]],Katalog!$C$3:$C$12,0))*Data[[#This Row],[Qty A]],0)</f>
        <v>60000</v>
      </c>
      <c r="K816" t="str">
        <f>IFERROR(INDEX(Katalog!$A$3:$A$12,MATCH(Data[[#This Row],[ItemID B]],Katalog!$C$3:$C$12,0)),"-")</f>
        <v>-</v>
      </c>
      <c r="L816" t="str">
        <f>IFERROR(INDEX(Katalog!$B$3:$B$12,MATCH(Data[[#This Row],[ItemID B]],Katalog!$C$3:$C$12,0)),"-")</f>
        <v>-</v>
      </c>
      <c r="O816" s="36" t="str">
        <f>IFERROR(INDEX(Katalog!$D$3:$D$12,MATCH(Data[[#This Row],[ItemID B]],Katalog!$C$3:$C$12,0))*Data[[#This Row],[Qty B]],"0")</f>
        <v>0</v>
      </c>
      <c r="P816" s="36" t="str">
        <f>IFERROR(INDEX(Katalog!$F$3:$F$12,MATCH(Data[[#This Row],[ItemID B]],Katalog!$C$3:$C$12,0))*Data[[#This Row],[Qty B]],"0")</f>
        <v>0</v>
      </c>
      <c r="R816" t="str">
        <f>IFERROR(INDEX(Katalog!$A$3:$A$12,MATCH(Data[[#This Row],[ItemID C]],Katalog!$C$3:$C$12,0)),"-")</f>
        <v>-</v>
      </c>
      <c r="S816" t="str">
        <f>IFERROR(INDEX(Katalog!$B$3:$B$12,MATCH(Data[[#This Row],[ItemID C]],Katalog!$C$3:$C$12,0)),"-")</f>
        <v>-</v>
      </c>
      <c r="V816" s="36" t="str">
        <f>IFERROR(INDEX(Katalog!$D$3:$D$12,MATCH(Data[[#This Row],[ItemID C]],Katalog!$C$3:$C$12,0))*Data[[#This Row],[Qty C]],"0")</f>
        <v>0</v>
      </c>
      <c r="W816" s="36" t="str">
        <f>IFERROR(INDEX(Katalog!$F$3:$F$12,MATCH(Data[[#This Row],[ItemID C]],Katalog!$C$3:$C$12,0))*Data[[#This Row],[Qty C]],"0")</f>
        <v>0</v>
      </c>
      <c r="X816" s="21">
        <f>Data[[#This Row],[Qty A]]+Data[[#This Row],[Qty B]]+Data[[#This Row],[Qty C]]</f>
        <v>1</v>
      </c>
      <c r="Y816" s="22">
        <f>Data[[#This Row],[Harga Barang A]]+Data[[#This Row],[Harga Barang B]]+Data[[#This Row],[Harga Barang C]]</f>
        <v>150000</v>
      </c>
      <c r="Z816" s="35">
        <f>IFERROR(Data[[#This Row],[Total Harga]]-(Data[[#This Row],[Total Harga]]*Data[[#This Row],[Diskon]]),Data[[#This Row],[Total Harga]])</f>
        <v>120000</v>
      </c>
      <c r="AA816" s="35">
        <f>(Data[[#This Row],[Profit A]]+Data[[#This Row],[Profit B]]+Data[[#This Row],[Profit C]])</f>
        <v>60000</v>
      </c>
      <c r="AB816" s="35">
        <f>IFERROR((Data[[#This Row],[Profit non Diskon]]-(Data[[#This Row],[Profit non Diskon]]*Data[[#This Row],[Diskon]])),Data[[#This Row],[Profit non Diskon]])</f>
        <v>48000</v>
      </c>
      <c r="AC816" s="23" t="s">
        <v>8</v>
      </c>
      <c r="AD816" s="37">
        <f>IFERROR(INDEX('Kode Diskon'!$D$3:$D$9,MATCH(Data[[#This Row],[Kode diskon]],'Kode Diskon'!$C$3:$C$9,0)),"-")</f>
        <v>0.2</v>
      </c>
      <c r="AE816" s="23" t="s">
        <v>9</v>
      </c>
      <c r="AF816" s="23" t="s">
        <v>7</v>
      </c>
      <c r="AG816" s="23" t="s">
        <v>80</v>
      </c>
      <c r="AH816" s="24">
        <v>45044</v>
      </c>
      <c r="AI816" s="23" t="str">
        <f>TEXT(Data[[#This Row],[Tanggal terjual]],"dddd")</f>
        <v>Friday</v>
      </c>
      <c r="AJ816" s="21" t="str">
        <f>TEXT(Data[[#This Row],[Tanggal terjual]],"wwww")</f>
        <v>wwww</v>
      </c>
    </row>
    <row r="817" spans="1:36" x14ac:dyDescent="0.2">
      <c r="A817" s="20">
        <v>816</v>
      </c>
      <c r="B817" s="21" t="str">
        <f>_xlfn.CONCAT("ORD-",INDEX(Helper!$B$2:$B$5,MATCH(Data[[#This Row],[Marketplace]],Helper!$A$2:$A$5,0)),TEXT(Data[[#This Row],[No]],"0000"),"-",TEXT(Data[[#This Row],[Tanggal terjual]],"dd/mm/yy"))</f>
        <v>ORD-TK0816-30/04/23</v>
      </c>
      <c r="C817" t="s">
        <v>66</v>
      </c>
      <c r="D817" t="str">
        <f>IFERROR(INDEX(Katalog!$A$3:$A$12,MATCH(Data[[#This Row],[ItemID A]],Katalog!$C$3:$C$12,0)),"-")</f>
        <v>Sepatu Pria</v>
      </c>
      <c r="E817" t="str">
        <f>IFERROR(INDEX(Katalog!$B$3:$B$12,MATCH(Data[[#This Row],[ItemID A]],Katalog!$C$3:$C$12,0)),"-")</f>
        <v>Sandal Slip On</v>
      </c>
      <c r="F817">
        <v>2</v>
      </c>
      <c r="G817">
        <v>5</v>
      </c>
      <c r="H817" s="36">
        <f>IFERROR(INDEX(Katalog!$D$3:$D$12,MATCH(Data[[#This Row],[ItemID A]],Katalog!$C$3:$C$12,0))*Data[[#This Row],[Qty A]],"0")</f>
        <v>300000</v>
      </c>
      <c r="I817" s="36">
        <f>IFERROR(INDEX(Katalog!$F$3:$F$12,MATCH(Data[[#This Row],[ItemID A]],Katalog!$C$3:$C$12,0))*Data[[#This Row],[Qty A]],0)</f>
        <v>120000</v>
      </c>
      <c r="K817" t="str">
        <f>IFERROR(INDEX(Katalog!$A$3:$A$12,MATCH(Data[[#This Row],[ItemID B]],Katalog!$C$3:$C$12,0)),"-")</f>
        <v>-</v>
      </c>
      <c r="L817" t="str">
        <f>IFERROR(INDEX(Katalog!$B$3:$B$12,MATCH(Data[[#This Row],[ItemID B]],Katalog!$C$3:$C$12,0)),"-")</f>
        <v>-</v>
      </c>
      <c r="O817" s="36" t="str">
        <f>IFERROR(INDEX(Katalog!$D$3:$D$12,MATCH(Data[[#This Row],[ItemID B]],Katalog!$C$3:$C$12,0))*Data[[#This Row],[Qty B]],"0")</f>
        <v>0</v>
      </c>
      <c r="P817" s="36" t="str">
        <f>IFERROR(INDEX(Katalog!$F$3:$F$12,MATCH(Data[[#This Row],[ItemID B]],Katalog!$C$3:$C$12,0))*Data[[#This Row],[Qty B]],"0")</f>
        <v>0</v>
      </c>
      <c r="R817" t="str">
        <f>IFERROR(INDEX(Katalog!$A$3:$A$12,MATCH(Data[[#This Row],[ItemID C]],Katalog!$C$3:$C$12,0)),"-")</f>
        <v>-</v>
      </c>
      <c r="S817" t="str">
        <f>IFERROR(INDEX(Katalog!$B$3:$B$12,MATCH(Data[[#This Row],[ItemID C]],Katalog!$C$3:$C$12,0)),"-")</f>
        <v>-</v>
      </c>
      <c r="V817" s="36" t="str">
        <f>IFERROR(INDEX(Katalog!$D$3:$D$12,MATCH(Data[[#This Row],[ItemID C]],Katalog!$C$3:$C$12,0))*Data[[#This Row],[Qty C]],"0")</f>
        <v>0</v>
      </c>
      <c r="W817" s="36" t="str">
        <f>IFERROR(INDEX(Katalog!$F$3:$F$12,MATCH(Data[[#This Row],[ItemID C]],Katalog!$C$3:$C$12,0))*Data[[#This Row],[Qty C]],"0")</f>
        <v>0</v>
      </c>
      <c r="X817" s="21">
        <f>Data[[#This Row],[Qty A]]+Data[[#This Row],[Qty B]]+Data[[#This Row],[Qty C]]</f>
        <v>2</v>
      </c>
      <c r="Y817" s="22">
        <f>Data[[#This Row],[Harga Barang A]]+Data[[#This Row],[Harga Barang B]]+Data[[#This Row],[Harga Barang C]]</f>
        <v>300000</v>
      </c>
      <c r="Z817" s="35">
        <f>IFERROR(Data[[#This Row],[Total Harga]]-(Data[[#This Row],[Total Harga]]*Data[[#This Row],[Diskon]]),Data[[#This Row],[Total Harga]])</f>
        <v>270000</v>
      </c>
      <c r="AA817" s="35">
        <f>(Data[[#This Row],[Profit A]]+Data[[#This Row],[Profit B]]+Data[[#This Row],[Profit C]])</f>
        <v>120000</v>
      </c>
      <c r="AB817" s="35">
        <f>IFERROR((Data[[#This Row],[Profit non Diskon]]-(Data[[#This Row],[Profit non Diskon]]*Data[[#This Row],[Diskon]])),Data[[#This Row],[Profit non Diskon]])</f>
        <v>108000</v>
      </c>
      <c r="AC817" s="23" t="s">
        <v>31</v>
      </c>
      <c r="AD817" s="37">
        <f>IFERROR(INDEX('Kode Diskon'!$D$3:$D$9,MATCH(Data[[#This Row],[Kode diskon]],'Kode Diskon'!$C$3:$C$9,0)),"-")</f>
        <v>0.1</v>
      </c>
      <c r="AE817" s="23" t="s">
        <v>9</v>
      </c>
      <c r="AF817" s="23" t="s">
        <v>10</v>
      </c>
      <c r="AG817" s="23" t="s">
        <v>80</v>
      </c>
      <c r="AH817" s="24">
        <v>45046</v>
      </c>
      <c r="AI817" s="23" t="str">
        <f>TEXT(Data[[#This Row],[Tanggal terjual]],"dddd")</f>
        <v>Sunday</v>
      </c>
      <c r="AJ817" s="21" t="str">
        <f>TEXT(Data[[#This Row],[Tanggal terjual]],"wwww")</f>
        <v>wwww</v>
      </c>
    </row>
    <row r="818" spans="1:36" x14ac:dyDescent="0.2">
      <c r="A818" s="20">
        <v>817</v>
      </c>
      <c r="B818" s="21" t="str">
        <f>_xlfn.CONCAT("ORD-",INDEX(Helper!$B$2:$B$5,MATCH(Data[[#This Row],[Marketplace]],Helper!$A$2:$A$5,0)),TEXT(Data[[#This Row],[No]],"0000"),"-",TEXT(Data[[#This Row],[Tanggal terjual]],"dd/mm/yy"))</f>
        <v>ORD-BL0817-23/04/23</v>
      </c>
      <c r="C818" t="s">
        <v>67</v>
      </c>
      <c r="D818" t="str">
        <f>IFERROR(INDEX(Katalog!$A$3:$A$12,MATCH(Data[[#This Row],[ItemID A]],Katalog!$C$3:$C$12,0)),"-")</f>
        <v>Sepatu Wanita</v>
      </c>
      <c r="E818" t="str">
        <f>IFERROR(INDEX(Katalog!$B$3:$B$12,MATCH(Data[[#This Row],[ItemID A]],Katalog!$C$3:$C$12,0)),"-")</f>
        <v>Flat Shoes</v>
      </c>
      <c r="F818">
        <v>3</v>
      </c>
      <c r="G818">
        <v>3</v>
      </c>
      <c r="H818" s="36">
        <f>IFERROR(INDEX(Katalog!$D$3:$D$12,MATCH(Data[[#This Row],[ItemID A]],Katalog!$C$3:$C$12,0))*Data[[#This Row],[Qty A]],"0")</f>
        <v>750000</v>
      </c>
      <c r="I818" s="36">
        <f>IFERROR(INDEX(Katalog!$F$3:$F$12,MATCH(Data[[#This Row],[ItemID A]],Katalog!$C$3:$C$12,0))*Data[[#This Row],[Qty A]],0)</f>
        <v>300000</v>
      </c>
      <c r="J818" t="s">
        <v>65</v>
      </c>
      <c r="K818" t="str">
        <f>IFERROR(INDEX(Katalog!$A$3:$A$12,MATCH(Data[[#This Row],[ItemID B]],Katalog!$C$3:$C$12,0)),"-")</f>
        <v>Sepatu Pria</v>
      </c>
      <c r="L818" t="str">
        <f>IFERROR(INDEX(Katalog!$B$3:$B$12,MATCH(Data[[#This Row],[ItemID B]],Katalog!$C$3:$C$12,0)),"-")</f>
        <v>Sneakers</v>
      </c>
      <c r="M818">
        <v>1</v>
      </c>
      <c r="N818">
        <v>4</v>
      </c>
      <c r="O818" s="36">
        <f>IFERROR(INDEX(Katalog!$D$3:$D$12,MATCH(Data[[#This Row],[ItemID B]],Katalog!$C$3:$C$12,0))*Data[[#This Row],[Qty B]],"0")</f>
        <v>500000</v>
      </c>
      <c r="P818" s="36">
        <f>IFERROR(INDEX(Katalog!$F$3:$F$12,MATCH(Data[[#This Row],[ItemID B]],Katalog!$C$3:$C$12,0))*Data[[#This Row],[Qty B]],"0")</f>
        <v>200000</v>
      </c>
      <c r="Q818" t="s">
        <v>66</v>
      </c>
      <c r="R818" t="str">
        <f>IFERROR(INDEX(Katalog!$A$3:$A$12,MATCH(Data[[#This Row],[ItemID C]],Katalog!$C$3:$C$12,0)),"-")</f>
        <v>Sepatu Pria</v>
      </c>
      <c r="S818" t="str">
        <f>IFERROR(INDEX(Katalog!$B$3:$B$12,MATCH(Data[[#This Row],[ItemID C]],Katalog!$C$3:$C$12,0)),"-")</f>
        <v>Sandal Slip On</v>
      </c>
      <c r="T818">
        <v>1</v>
      </c>
      <c r="U818">
        <v>4</v>
      </c>
      <c r="V818" s="36">
        <f>IFERROR(INDEX(Katalog!$D$3:$D$12,MATCH(Data[[#This Row],[ItemID C]],Katalog!$C$3:$C$12,0))*Data[[#This Row],[Qty C]],"0")</f>
        <v>150000</v>
      </c>
      <c r="W818" s="36">
        <f>IFERROR(INDEX(Katalog!$F$3:$F$12,MATCH(Data[[#This Row],[ItemID C]],Katalog!$C$3:$C$12,0))*Data[[#This Row],[Qty C]],"0")</f>
        <v>60000</v>
      </c>
      <c r="X818" s="21">
        <f>Data[[#This Row],[Qty A]]+Data[[#This Row],[Qty B]]+Data[[#This Row],[Qty C]]</f>
        <v>5</v>
      </c>
      <c r="Y818" s="22">
        <f>Data[[#This Row],[Harga Barang A]]+Data[[#This Row],[Harga Barang B]]+Data[[#This Row],[Harga Barang C]]</f>
        <v>1400000</v>
      </c>
      <c r="Z818" s="35">
        <f>IFERROR(Data[[#This Row],[Total Harga]]-(Data[[#This Row],[Total Harga]]*Data[[#This Row],[Diskon]]),Data[[#This Row],[Total Harga]])</f>
        <v>1190000</v>
      </c>
      <c r="AA818" s="35">
        <f>(Data[[#This Row],[Profit A]]+Data[[#This Row],[Profit B]]+Data[[#This Row],[Profit C]])</f>
        <v>560000</v>
      </c>
      <c r="AB818" s="35">
        <f>IFERROR((Data[[#This Row],[Profit non Diskon]]-(Data[[#This Row],[Profit non Diskon]]*Data[[#This Row],[Diskon]])),Data[[#This Row],[Profit non Diskon]])</f>
        <v>476000</v>
      </c>
      <c r="AC818" s="23" t="s">
        <v>32</v>
      </c>
      <c r="AD818" s="37">
        <f>IFERROR(INDEX('Kode Diskon'!$D$3:$D$9,MATCH(Data[[#This Row],[Kode diskon]],'Kode Diskon'!$C$3:$C$9,0)),"-")</f>
        <v>0.15</v>
      </c>
      <c r="AE818" s="23" t="s">
        <v>9</v>
      </c>
      <c r="AF818" s="23" t="s">
        <v>12</v>
      </c>
      <c r="AG818" s="23" t="s">
        <v>75</v>
      </c>
      <c r="AH818" s="24">
        <v>45039</v>
      </c>
      <c r="AI818" s="23" t="str">
        <f>TEXT(Data[[#This Row],[Tanggal terjual]],"dddd")</f>
        <v>Sunday</v>
      </c>
      <c r="AJ818" s="21" t="str">
        <f>TEXT(Data[[#This Row],[Tanggal terjual]],"wwww")</f>
        <v>wwww</v>
      </c>
    </row>
    <row r="819" spans="1:36" x14ac:dyDescent="0.2">
      <c r="A819" s="20">
        <v>818</v>
      </c>
      <c r="B819" s="21" t="str">
        <f>_xlfn.CONCAT("ORD-",INDEX(Helper!$B$2:$B$5,MATCH(Data[[#This Row],[Marketplace]],Helper!$A$2:$A$5,0)),TEXT(Data[[#This Row],[No]],"0000"),"-",TEXT(Data[[#This Row],[Tanggal terjual]],"dd/mm/yy"))</f>
        <v>ORD-BB0818-06/04/23</v>
      </c>
      <c r="C819" t="s">
        <v>62</v>
      </c>
      <c r="D819" t="str">
        <f>IFERROR(INDEX(Katalog!$A$3:$A$12,MATCH(Data[[#This Row],[ItemID A]],Katalog!$C$3:$C$12,0)),"-")</f>
        <v>Pakaian Pria</v>
      </c>
      <c r="E819" t="str">
        <f>IFERROR(INDEX(Katalog!$B$3:$B$12,MATCH(Data[[#This Row],[ItemID A]],Katalog!$C$3:$C$12,0)),"-")</f>
        <v>Celana Pendek</v>
      </c>
      <c r="F819">
        <v>2</v>
      </c>
      <c r="G819">
        <v>5</v>
      </c>
      <c r="H819" s="36">
        <f>IFERROR(INDEX(Katalog!$D$3:$D$12,MATCH(Data[[#This Row],[ItemID A]],Katalog!$C$3:$C$12,0))*Data[[#This Row],[Qty A]],"0")</f>
        <v>360000</v>
      </c>
      <c r="I819" s="36">
        <f>IFERROR(INDEX(Katalog!$F$3:$F$12,MATCH(Data[[#This Row],[ItemID A]],Katalog!$C$3:$C$12,0))*Data[[#This Row],[Qty A]],0)</f>
        <v>140000</v>
      </c>
      <c r="J819" t="s">
        <v>63</v>
      </c>
      <c r="K819" t="str">
        <f>IFERROR(INDEX(Katalog!$A$3:$A$12,MATCH(Data[[#This Row],[ItemID B]],Katalog!$C$3:$C$12,0)),"-")</f>
        <v>Pakaian Pria</v>
      </c>
      <c r="L819" t="str">
        <f>IFERROR(INDEX(Katalog!$B$3:$B$12,MATCH(Data[[#This Row],[ItemID B]],Katalog!$C$3:$C$12,0)),"-")</f>
        <v>Jaket Jeans</v>
      </c>
      <c r="M819">
        <v>1</v>
      </c>
      <c r="N819">
        <v>4</v>
      </c>
      <c r="O819" s="36">
        <f>IFERROR(INDEX(Katalog!$D$3:$D$12,MATCH(Data[[#This Row],[ItemID B]],Katalog!$C$3:$C$12,0))*Data[[#This Row],[Qty B]],"0")</f>
        <v>400000</v>
      </c>
      <c r="P819" s="36">
        <f>IFERROR(INDEX(Katalog!$F$3:$F$12,MATCH(Data[[#This Row],[ItemID B]],Katalog!$C$3:$C$12,0))*Data[[#This Row],[Qty B]],"0")</f>
        <v>150000</v>
      </c>
      <c r="R819" t="str">
        <f>IFERROR(INDEX(Katalog!$A$3:$A$12,MATCH(Data[[#This Row],[ItemID C]],Katalog!$C$3:$C$12,0)),"-")</f>
        <v>-</v>
      </c>
      <c r="S819" t="str">
        <f>IFERROR(INDEX(Katalog!$B$3:$B$12,MATCH(Data[[#This Row],[ItemID C]],Katalog!$C$3:$C$12,0)),"-")</f>
        <v>-</v>
      </c>
      <c r="V819" s="36" t="str">
        <f>IFERROR(INDEX(Katalog!$D$3:$D$12,MATCH(Data[[#This Row],[ItemID C]],Katalog!$C$3:$C$12,0))*Data[[#This Row],[Qty C]],"0")</f>
        <v>0</v>
      </c>
      <c r="W819" s="36" t="str">
        <f>IFERROR(INDEX(Katalog!$F$3:$F$12,MATCH(Data[[#This Row],[ItemID C]],Katalog!$C$3:$C$12,0))*Data[[#This Row],[Qty C]],"0")</f>
        <v>0</v>
      </c>
      <c r="X819" s="21">
        <f>Data[[#This Row],[Qty A]]+Data[[#This Row],[Qty B]]+Data[[#This Row],[Qty C]]</f>
        <v>3</v>
      </c>
      <c r="Y819" s="22">
        <f>Data[[#This Row],[Harga Barang A]]+Data[[#This Row],[Harga Barang B]]+Data[[#This Row],[Harga Barang C]]</f>
        <v>760000</v>
      </c>
      <c r="Z819" s="35">
        <f>IFERROR(Data[[#This Row],[Total Harga]]-(Data[[#This Row],[Total Harga]]*Data[[#This Row],[Diskon]]),Data[[#This Row],[Total Harga]])</f>
        <v>646000</v>
      </c>
      <c r="AA819" s="35">
        <f>(Data[[#This Row],[Profit A]]+Data[[#This Row],[Profit B]]+Data[[#This Row],[Profit C]])</f>
        <v>290000</v>
      </c>
      <c r="AB819" s="35">
        <f>IFERROR((Data[[#This Row],[Profit non Diskon]]-(Data[[#This Row],[Profit non Diskon]]*Data[[#This Row],[Diskon]])),Data[[#This Row],[Profit non Diskon]])</f>
        <v>246500</v>
      </c>
      <c r="AC819" s="23" t="s">
        <v>28</v>
      </c>
      <c r="AD819" s="37">
        <f>IFERROR(INDEX('Kode Diskon'!$D$3:$D$9,MATCH(Data[[#This Row],[Kode diskon]],'Kode Diskon'!$C$3:$C$9,0)),"-")</f>
        <v>0.15</v>
      </c>
      <c r="AE819" s="23" t="s">
        <v>29</v>
      </c>
      <c r="AF819" s="23" t="s">
        <v>14</v>
      </c>
      <c r="AG819" s="23" t="s">
        <v>79</v>
      </c>
      <c r="AH819" s="24">
        <v>45022</v>
      </c>
      <c r="AI819" s="23" t="str">
        <f>TEXT(Data[[#This Row],[Tanggal terjual]],"dddd")</f>
        <v>Thursday</v>
      </c>
      <c r="AJ819" s="21" t="str">
        <f>TEXT(Data[[#This Row],[Tanggal terjual]],"wwww")</f>
        <v>wwww</v>
      </c>
    </row>
    <row r="820" spans="1:36" x14ac:dyDescent="0.2">
      <c r="A820" s="20">
        <v>819</v>
      </c>
      <c r="B820" s="21" t="str">
        <f>_xlfn.CONCAT("ORD-",INDEX(Helper!$B$2:$B$5,MATCH(Data[[#This Row],[Marketplace]],Helper!$A$2:$A$5,0)),TEXT(Data[[#This Row],[No]],"0000"),"-",TEXT(Data[[#This Row],[Tanggal terjual]],"dd/mm/yy"))</f>
        <v>ORD-TK0819-06/04/23</v>
      </c>
      <c r="C820" t="s">
        <v>61</v>
      </c>
      <c r="D820" t="str">
        <f>IFERROR(INDEX(Katalog!$A$3:$A$12,MATCH(Data[[#This Row],[ItemID A]],Katalog!$C$3:$C$12,0)),"-")</f>
        <v>Pakaian Pria</v>
      </c>
      <c r="E820" t="str">
        <f>IFERROR(INDEX(Katalog!$B$3:$B$12,MATCH(Data[[#This Row],[ItemID A]],Katalog!$C$3:$C$12,0)),"-")</f>
        <v>Kaos Polo</v>
      </c>
      <c r="F820">
        <v>1</v>
      </c>
      <c r="G820">
        <v>3</v>
      </c>
      <c r="H820" s="36">
        <f>IFERROR(INDEX(Katalog!$D$3:$D$12,MATCH(Data[[#This Row],[ItemID A]],Katalog!$C$3:$C$12,0))*Data[[#This Row],[Qty A]],"0")</f>
        <v>200000</v>
      </c>
      <c r="I820" s="36">
        <f>IFERROR(INDEX(Katalog!$F$3:$F$12,MATCH(Data[[#This Row],[ItemID A]],Katalog!$C$3:$C$12,0))*Data[[#This Row],[Qty A]],0)</f>
        <v>80000</v>
      </c>
      <c r="J820" t="s">
        <v>64</v>
      </c>
      <c r="K820" t="str">
        <f>IFERROR(INDEX(Katalog!$A$3:$A$12,MATCH(Data[[#This Row],[ItemID B]],Katalog!$C$3:$C$12,0)),"-")</f>
        <v>Pakaian Unisex</v>
      </c>
      <c r="L820" t="str">
        <f>IFERROR(INDEX(Katalog!$B$3:$B$12,MATCH(Data[[#This Row],[ItemID B]],Katalog!$C$3:$C$12,0)),"-")</f>
        <v>Jaket Hoodie</v>
      </c>
      <c r="M820">
        <v>6</v>
      </c>
      <c r="N820">
        <v>4</v>
      </c>
      <c r="O820" s="36">
        <f>IFERROR(INDEX(Katalog!$D$3:$D$12,MATCH(Data[[#This Row],[ItemID B]],Katalog!$C$3:$C$12,0))*Data[[#This Row],[Qty B]],"0")</f>
        <v>2100000</v>
      </c>
      <c r="P820" s="36">
        <f>IFERROR(INDEX(Katalog!$F$3:$F$12,MATCH(Data[[#This Row],[ItemID B]],Katalog!$C$3:$C$12,0))*Data[[#This Row],[Qty B]],"0")</f>
        <v>780000</v>
      </c>
      <c r="R820" t="str">
        <f>IFERROR(INDEX(Katalog!$A$3:$A$12,MATCH(Data[[#This Row],[ItemID C]],Katalog!$C$3:$C$12,0)),"-")</f>
        <v>-</v>
      </c>
      <c r="S820" t="str">
        <f>IFERROR(INDEX(Katalog!$B$3:$B$12,MATCH(Data[[#This Row],[ItemID C]],Katalog!$C$3:$C$12,0)),"-")</f>
        <v>-</v>
      </c>
      <c r="V820" s="36" t="str">
        <f>IFERROR(INDEX(Katalog!$D$3:$D$12,MATCH(Data[[#This Row],[ItemID C]],Katalog!$C$3:$C$12,0))*Data[[#This Row],[Qty C]],"0")</f>
        <v>0</v>
      </c>
      <c r="W820" s="36" t="str">
        <f>IFERROR(INDEX(Katalog!$F$3:$F$12,MATCH(Data[[#This Row],[ItemID C]],Katalog!$C$3:$C$12,0))*Data[[#This Row],[Qty C]],"0")</f>
        <v>0</v>
      </c>
      <c r="X820" s="21">
        <f>Data[[#This Row],[Qty A]]+Data[[#This Row],[Qty B]]+Data[[#This Row],[Qty C]]</f>
        <v>7</v>
      </c>
      <c r="Y820" s="22">
        <f>Data[[#This Row],[Harga Barang A]]+Data[[#This Row],[Harga Barang B]]+Data[[#This Row],[Harga Barang C]]</f>
        <v>2300000</v>
      </c>
      <c r="Z820" s="35">
        <f>IFERROR(Data[[#This Row],[Total Harga]]-(Data[[#This Row],[Total Harga]]*Data[[#This Row],[Diskon]]),Data[[#This Row],[Total Harga]])</f>
        <v>2070000</v>
      </c>
      <c r="AA820" s="35">
        <f>(Data[[#This Row],[Profit A]]+Data[[#This Row],[Profit B]]+Data[[#This Row],[Profit C]])</f>
        <v>860000</v>
      </c>
      <c r="AB820" s="35">
        <f>IFERROR((Data[[#This Row],[Profit non Diskon]]-(Data[[#This Row],[Profit non Diskon]]*Data[[#This Row],[Diskon]])),Data[[#This Row],[Profit non Diskon]])</f>
        <v>774000</v>
      </c>
      <c r="AC820" s="23" t="s">
        <v>30</v>
      </c>
      <c r="AD820" s="37">
        <f>IFERROR(INDEX('Kode Diskon'!$D$3:$D$9,MATCH(Data[[#This Row],[Kode diskon]],'Kode Diskon'!$C$3:$C$9,0)),"-")</f>
        <v>0.1</v>
      </c>
      <c r="AE820" s="23" t="s">
        <v>29</v>
      </c>
      <c r="AF820" s="23" t="s">
        <v>10</v>
      </c>
      <c r="AG820" s="23" t="s">
        <v>80</v>
      </c>
      <c r="AH820" s="24">
        <v>45022</v>
      </c>
      <c r="AI820" s="23" t="str">
        <f>TEXT(Data[[#This Row],[Tanggal terjual]],"dddd")</f>
        <v>Thursday</v>
      </c>
      <c r="AJ820" s="21" t="str">
        <f>TEXT(Data[[#This Row],[Tanggal terjual]],"wwww")</f>
        <v>wwww</v>
      </c>
    </row>
    <row r="821" spans="1:36" x14ac:dyDescent="0.2">
      <c r="A821" s="20">
        <v>820</v>
      </c>
      <c r="B821" s="21" t="str">
        <f>_xlfn.CONCAT("ORD-",INDEX(Helper!$B$2:$B$5,MATCH(Data[[#This Row],[Marketplace]],Helper!$A$2:$A$5,0)),TEXT(Data[[#This Row],[No]],"0000"),"-",TEXT(Data[[#This Row],[Tanggal terjual]],"dd/mm/yy"))</f>
        <v>ORD-BL0820-26/04/23</v>
      </c>
      <c r="C821" t="s">
        <v>61</v>
      </c>
      <c r="D821" t="str">
        <f>IFERROR(INDEX(Katalog!$A$3:$A$12,MATCH(Data[[#This Row],[ItemID A]],Katalog!$C$3:$C$12,0)),"-")</f>
        <v>Pakaian Pria</v>
      </c>
      <c r="E821" t="str">
        <f>IFERROR(INDEX(Katalog!$B$3:$B$12,MATCH(Data[[#This Row],[ItemID A]],Katalog!$C$3:$C$12,0)),"-")</f>
        <v>Kaos Polo</v>
      </c>
      <c r="F821">
        <v>3</v>
      </c>
      <c r="G821">
        <v>1</v>
      </c>
      <c r="H821" s="36">
        <f>IFERROR(INDEX(Katalog!$D$3:$D$12,MATCH(Data[[#This Row],[ItemID A]],Katalog!$C$3:$C$12,0))*Data[[#This Row],[Qty A]],"0")</f>
        <v>600000</v>
      </c>
      <c r="I821" s="36">
        <f>IFERROR(INDEX(Katalog!$F$3:$F$12,MATCH(Data[[#This Row],[ItemID A]],Katalog!$C$3:$C$12,0))*Data[[#This Row],[Qty A]],0)</f>
        <v>240000</v>
      </c>
      <c r="J821" t="s">
        <v>62</v>
      </c>
      <c r="K821" t="str">
        <f>IFERROR(INDEX(Katalog!$A$3:$A$12,MATCH(Data[[#This Row],[ItemID B]],Katalog!$C$3:$C$12,0)),"-")</f>
        <v>Pakaian Pria</v>
      </c>
      <c r="L821" t="str">
        <f>IFERROR(INDEX(Katalog!$B$3:$B$12,MATCH(Data[[#This Row],[ItemID B]],Katalog!$C$3:$C$12,0)),"-")</f>
        <v>Celana Pendek</v>
      </c>
      <c r="M821">
        <v>1</v>
      </c>
      <c r="N821">
        <v>2</v>
      </c>
      <c r="O821" s="36">
        <f>IFERROR(INDEX(Katalog!$D$3:$D$12,MATCH(Data[[#This Row],[ItemID B]],Katalog!$C$3:$C$12,0))*Data[[#This Row],[Qty B]],"0")</f>
        <v>180000</v>
      </c>
      <c r="P821" s="36">
        <f>IFERROR(INDEX(Katalog!$F$3:$F$12,MATCH(Data[[#This Row],[ItemID B]],Katalog!$C$3:$C$12,0))*Data[[#This Row],[Qty B]],"0")</f>
        <v>70000</v>
      </c>
      <c r="Q821" t="s">
        <v>59</v>
      </c>
      <c r="R821" t="str">
        <f>IFERROR(INDEX(Katalog!$A$3:$A$12,MATCH(Data[[#This Row],[ItemID C]],Katalog!$C$3:$C$12,0)),"-")</f>
        <v>Pakaian Wanita</v>
      </c>
      <c r="S821" t="str">
        <f>IFERROR(INDEX(Katalog!$B$3:$B$12,MATCH(Data[[#This Row],[ItemID C]],Katalog!$C$3:$C$12,0)),"-")</f>
        <v>Blouse</v>
      </c>
      <c r="T821">
        <v>1</v>
      </c>
      <c r="U821">
        <v>1</v>
      </c>
      <c r="V821" s="36">
        <f>IFERROR(INDEX(Katalog!$D$3:$D$12,MATCH(Data[[#This Row],[ItemID C]],Katalog!$C$3:$C$12,0))*Data[[#This Row],[Qty C]],"0")</f>
        <v>150000</v>
      </c>
      <c r="W821" s="36">
        <f>IFERROR(INDEX(Katalog!$F$3:$F$12,MATCH(Data[[#This Row],[ItemID C]],Katalog!$C$3:$C$12,0))*Data[[#This Row],[Qty C]],"0")</f>
        <v>50000</v>
      </c>
      <c r="X821" s="21">
        <f>Data[[#This Row],[Qty A]]+Data[[#This Row],[Qty B]]+Data[[#This Row],[Qty C]]</f>
        <v>5</v>
      </c>
      <c r="Y821" s="22">
        <f>Data[[#This Row],[Harga Barang A]]+Data[[#This Row],[Harga Barang B]]+Data[[#This Row],[Harga Barang C]]</f>
        <v>930000</v>
      </c>
      <c r="Z821" s="35">
        <f>IFERROR(Data[[#This Row],[Total Harga]]-(Data[[#This Row],[Total Harga]]*Data[[#This Row],[Diskon]]),Data[[#This Row],[Total Harga]])</f>
        <v>790500</v>
      </c>
      <c r="AA821" s="35">
        <f>(Data[[#This Row],[Profit A]]+Data[[#This Row],[Profit B]]+Data[[#This Row],[Profit C]])</f>
        <v>360000</v>
      </c>
      <c r="AB821" s="35">
        <f>IFERROR((Data[[#This Row],[Profit non Diskon]]-(Data[[#This Row],[Profit non Diskon]]*Data[[#This Row],[Diskon]])),Data[[#This Row],[Profit non Diskon]])</f>
        <v>306000</v>
      </c>
      <c r="AC821" s="23" t="s">
        <v>32</v>
      </c>
      <c r="AD821" s="37">
        <f>IFERROR(INDEX('Kode Diskon'!$D$3:$D$9,MATCH(Data[[#This Row],[Kode diskon]],'Kode Diskon'!$C$3:$C$9,0)),"-")</f>
        <v>0.15</v>
      </c>
      <c r="AE821" s="23" t="s">
        <v>9</v>
      </c>
      <c r="AF821" s="23" t="s">
        <v>12</v>
      </c>
      <c r="AG821" s="23" t="s">
        <v>80</v>
      </c>
      <c r="AH821" s="24">
        <v>45042</v>
      </c>
      <c r="AI821" s="23" t="str">
        <f>TEXT(Data[[#This Row],[Tanggal terjual]],"dddd")</f>
        <v>Wednesday</v>
      </c>
      <c r="AJ821" s="21" t="str">
        <f>TEXT(Data[[#This Row],[Tanggal terjual]],"wwww")</f>
        <v>wwww</v>
      </c>
    </row>
    <row r="822" spans="1:36" x14ac:dyDescent="0.2">
      <c r="A822" s="20">
        <v>821</v>
      </c>
      <c r="B822" s="21" t="str">
        <f>_xlfn.CONCAT("ORD-",INDEX(Helper!$B$2:$B$5,MATCH(Data[[#This Row],[Marketplace]],Helper!$A$2:$A$5,0)),TEXT(Data[[#This Row],[No]],"0000"),"-",TEXT(Data[[#This Row],[Tanggal terjual]],"dd/mm/yy"))</f>
        <v>ORD-TK0821-22/04/23</v>
      </c>
      <c r="C822" t="s">
        <v>62</v>
      </c>
      <c r="D822" t="str">
        <f>IFERROR(INDEX(Katalog!$A$3:$A$12,MATCH(Data[[#This Row],[ItemID A]],Katalog!$C$3:$C$12,0)),"-")</f>
        <v>Pakaian Pria</v>
      </c>
      <c r="E822" t="str">
        <f>IFERROR(INDEX(Katalog!$B$3:$B$12,MATCH(Data[[#This Row],[ItemID A]],Katalog!$C$3:$C$12,0)),"-")</f>
        <v>Celana Pendek</v>
      </c>
      <c r="F822">
        <v>1</v>
      </c>
      <c r="G822">
        <v>1</v>
      </c>
      <c r="H822" s="36">
        <f>IFERROR(INDEX(Katalog!$D$3:$D$12,MATCH(Data[[#This Row],[ItemID A]],Katalog!$C$3:$C$12,0))*Data[[#This Row],[Qty A]],"0")</f>
        <v>180000</v>
      </c>
      <c r="I822" s="36">
        <f>IFERROR(INDEX(Katalog!$F$3:$F$12,MATCH(Data[[#This Row],[ItemID A]],Katalog!$C$3:$C$12,0))*Data[[#This Row],[Qty A]],0)</f>
        <v>70000</v>
      </c>
      <c r="J822" t="s">
        <v>63</v>
      </c>
      <c r="K822" t="str">
        <f>IFERROR(INDEX(Katalog!$A$3:$A$12,MATCH(Data[[#This Row],[ItemID B]],Katalog!$C$3:$C$12,0)),"-")</f>
        <v>Pakaian Pria</v>
      </c>
      <c r="L822" t="str">
        <f>IFERROR(INDEX(Katalog!$B$3:$B$12,MATCH(Data[[#This Row],[ItemID B]],Katalog!$C$3:$C$12,0)),"-")</f>
        <v>Jaket Jeans</v>
      </c>
      <c r="M822">
        <v>1</v>
      </c>
      <c r="N822">
        <v>4</v>
      </c>
      <c r="O822" s="36">
        <f>IFERROR(INDEX(Katalog!$D$3:$D$12,MATCH(Data[[#This Row],[ItemID B]],Katalog!$C$3:$C$12,0))*Data[[#This Row],[Qty B]],"0")</f>
        <v>400000</v>
      </c>
      <c r="P822" s="36">
        <f>IFERROR(INDEX(Katalog!$F$3:$F$12,MATCH(Data[[#This Row],[ItemID B]],Katalog!$C$3:$C$12,0))*Data[[#This Row],[Qty B]],"0")</f>
        <v>150000</v>
      </c>
      <c r="R822" t="str">
        <f>IFERROR(INDEX(Katalog!$A$3:$A$12,MATCH(Data[[#This Row],[ItemID C]],Katalog!$C$3:$C$12,0)),"-")</f>
        <v>-</v>
      </c>
      <c r="S822" t="str">
        <f>IFERROR(INDEX(Katalog!$B$3:$B$12,MATCH(Data[[#This Row],[ItemID C]],Katalog!$C$3:$C$12,0)),"-")</f>
        <v>-</v>
      </c>
      <c r="V822" s="36" t="str">
        <f>IFERROR(INDEX(Katalog!$D$3:$D$12,MATCH(Data[[#This Row],[ItemID C]],Katalog!$C$3:$C$12,0))*Data[[#This Row],[Qty C]],"0")</f>
        <v>0</v>
      </c>
      <c r="W822" s="36" t="str">
        <f>IFERROR(INDEX(Katalog!$F$3:$F$12,MATCH(Data[[#This Row],[ItemID C]],Katalog!$C$3:$C$12,0))*Data[[#This Row],[Qty C]],"0")</f>
        <v>0</v>
      </c>
      <c r="X822" s="21">
        <f>Data[[#This Row],[Qty A]]+Data[[#This Row],[Qty B]]+Data[[#This Row],[Qty C]]</f>
        <v>2</v>
      </c>
      <c r="Y822" s="22">
        <f>Data[[#This Row],[Harga Barang A]]+Data[[#This Row],[Harga Barang B]]+Data[[#This Row],[Harga Barang C]]</f>
        <v>580000</v>
      </c>
      <c r="Z822" s="35">
        <f>IFERROR(Data[[#This Row],[Total Harga]]-(Data[[#This Row],[Total Harga]]*Data[[#This Row],[Diskon]]),Data[[#This Row],[Total Harga]])</f>
        <v>522000</v>
      </c>
      <c r="AA822" s="35">
        <f>(Data[[#This Row],[Profit A]]+Data[[#This Row],[Profit B]]+Data[[#This Row],[Profit C]])</f>
        <v>220000</v>
      </c>
      <c r="AB822" s="35">
        <f>IFERROR((Data[[#This Row],[Profit non Diskon]]-(Data[[#This Row],[Profit non Diskon]]*Data[[#This Row],[Diskon]])),Data[[#This Row],[Profit non Diskon]])</f>
        <v>198000</v>
      </c>
      <c r="AC822" s="23" t="s">
        <v>31</v>
      </c>
      <c r="AD822" s="37">
        <f>IFERROR(INDEX('Kode Diskon'!$D$3:$D$9,MATCH(Data[[#This Row],[Kode diskon]],'Kode Diskon'!$C$3:$C$9,0)),"-")</f>
        <v>0.1</v>
      </c>
      <c r="AE822" s="23" t="s">
        <v>9</v>
      </c>
      <c r="AF822" s="23" t="s">
        <v>10</v>
      </c>
      <c r="AG822" s="23" t="s">
        <v>80</v>
      </c>
      <c r="AH822" s="24">
        <v>45038</v>
      </c>
      <c r="AI822" s="23" t="str">
        <f>TEXT(Data[[#This Row],[Tanggal terjual]],"dddd")</f>
        <v>Saturday</v>
      </c>
      <c r="AJ822" s="21" t="str">
        <f>TEXT(Data[[#This Row],[Tanggal terjual]],"wwww")</f>
        <v>wwww</v>
      </c>
    </row>
    <row r="823" spans="1:36" x14ac:dyDescent="0.2">
      <c r="A823" s="20">
        <v>822</v>
      </c>
      <c r="B823" s="21" t="str">
        <f>_xlfn.CONCAT("ORD-",INDEX(Helper!$B$2:$B$5,MATCH(Data[[#This Row],[Marketplace]],Helper!$A$2:$A$5,0)),TEXT(Data[[#This Row],[No]],"0000"),"-",TEXT(Data[[#This Row],[Tanggal terjual]],"dd/mm/yy"))</f>
        <v>ORD-TK0822-03/04/23</v>
      </c>
      <c r="C823" t="s">
        <v>63</v>
      </c>
      <c r="D823" t="str">
        <f>IFERROR(INDEX(Katalog!$A$3:$A$12,MATCH(Data[[#This Row],[ItemID A]],Katalog!$C$3:$C$12,0)),"-")</f>
        <v>Pakaian Pria</v>
      </c>
      <c r="E823" t="str">
        <f>IFERROR(INDEX(Katalog!$B$3:$B$12,MATCH(Data[[#This Row],[ItemID A]],Katalog!$C$3:$C$12,0)),"-")</f>
        <v>Jaket Jeans</v>
      </c>
      <c r="F823">
        <v>3</v>
      </c>
      <c r="G823">
        <v>4</v>
      </c>
      <c r="H823" s="36">
        <f>IFERROR(INDEX(Katalog!$D$3:$D$12,MATCH(Data[[#This Row],[ItemID A]],Katalog!$C$3:$C$12,0))*Data[[#This Row],[Qty A]],"0")</f>
        <v>1200000</v>
      </c>
      <c r="I823" s="36">
        <f>IFERROR(INDEX(Katalog!$F$3:$F$12,MATCH(Data[[#This Row],[ItemID A]],Katalog!$C$3:$C$12,0))*Data[[#This Row],[Qty A]],0)</f>
        <v>450000</v>
      </c>
      <c r="J823" t="s">
        <v>61</v>
      </c>
      <c r="K823" t="str">
        <f>IFERROR(INDEX(Katalog!$A$3:$A$12,MATCH(Data[[#This Row],[ItemID B]],Katalog!$C$3:$C$12,0)),"-")</f>
        <v>Pakaian Pria</v>
      </c>
      <c r="L823" t="str">
        <f>IFERROR(INDEX(Katalog!$B$3:$B$12,MATCH(Data[[#This Row],[ItemID B]],Katalog!$C$3:$C$12,0)),"-")</f>
        <v>Kaos Polo</v>
      </c>
      <c r="M823">
        <v>1</v>
      </c>
      <c r="N823">
        <v>4</v>
      </c>
      <c r="O823" s="36">
        <f>IFERROR(INDEX(Katalog!$D$3:$D$12,MATCH(Data[[#This Row],[ItemID B]],Katalog!$C$3:$C$12,0))*Data[[#This Row],[Qty B]],"0")</f>
        <v>200000</v>
      </c>
      <c r="P823" s="36">
        <f>IFERROR(INDEX(Katalog!$F$3:$F$12,MATCH(Data[[#This Row],[ItemID B]],Katalog!$C$3:$C$12,0))*Data[[#This Row],[Qty B]],"0")</f>
        <v>80000</v>
      </c>
      <c r="Q823" t="s">
        <v>61</v>
      </c>
      <c r="R823" t="str">
        <f>IFERROR(INDEX(Katalog!$A$3:$A$12,MATCH(Data[[#This Row],[ItemID C]],Katalog!$C$3:$C$12,0)),"-")</f>
        <v>Pakaian Pria</v>
      </c>
      <c r="S823" t="str">
        <f>IFERROR(INDEX(Katalog!$B$3:$B$12,MATCH(Data[[#This Row],[ItemID C]],Katalog!$C$3:$C$12,0)),"-")</f>
        <v>Kaos Polo</v>
      </c>
      <c r="T823">
        <v>1</v>
      </c>
      <c r="U823">
        <v>2</v>
      </c>
      <c r="V823" s="36">
        <f>IFERROR(INDEX(Katalog!$D$3:$D$12,MATCH(Data[[#This Row],[ItemID C]],Katalog!$C$3:$C$12,0))*Data[[#This Row],[Qty C]],"0")</f>
        <v>200000</v>
      </c>
      <c r="W823" s="36">
        <f>IFERROR(INDEX(Katalog!$F$3:$F$12,MATCH(Data[[#This Row],[ItemID C]],Katalog!$C$3:$C$12,0))*Data[[#This Row],[Qty C]],"0")</f>
        <v>80000</v>
      </c>
      <c r="X823" s="21">
        <f>Data[[#This Row],[Qty A]]+Data[[#This Row],[Qty B]]+Data[[#This Row],[Qty C]]</f>
        <v>5</v>
      </c>
      <c r="Y823" s="22">
        <f>Data[[#This Row],[Harga Barang A]]+Data[[#This Row],[Harga Barang B]]+Data[[#This Row],[Harga Barang C]]</f>
        <v>1600000</v>
      </c>
      <c r="Z823" s="35">
        <f>IFERROR(Data[[#This Row],[Total Harga]]-(Data[[#This Row],[Total Harga]]*Data[[#This Row],[Diskon]]),Data[[#This Row],[Total Harga]])</f>
        <v>1440000</v>
      </c>
      <c r="AA823" s="35">
        <f>(Data[[#This Row],[Profit A]]+Data[[#This Row],[Profit B]]+Data[[#This Row],[Profit C]])</f>
        <v>610000</v>
      </c>
      <c r="AB823" s="35">
        <f>IFERROR((Data[[#This Row],[Profit non Diskon]]-(Data[[#This Row],[Profit non Diskon]]*Data[[#This Row],[Diskon]])),Data[[#This Row],[Profit non Diskon]])</f>
        <v>549000</v>
      </c>
      <c r="AC823" s="23" t="s">
        <v>30</v>
      </c>
      <c r="AD823" s="37">
        <f>IFERROR(INDEX('Kode Diskon'!$D$3:$D$9,MATCH(Data[[#This Row],[Kode diskon]],'Kode Diskon'!$C$3:$C$9,0)),"-")</f>
        <v>0.1</v>
      </c>
      <c r="AE823" s="23" t="s">
        <v>29</v>
      </c>
      <c r="AF823" s="23" t="s">
        <v>10</v>
      </c>
      <c r="AG823" s="23" t="s">
        <v>80</v>
      </c>
      <c r="AH823" s="24">
        <v>45019</v>
      </c>
      <c r="AI823" s="23" t="str">
        <f>TEXT(Data[[#This Row],[Tanggal terjual]],"dddd")</f>
        <v>Monday</v>
      </c>
      <c r="AJ823" s="21" t="str">
        <f>TEXT(Data[[#This Row],[Tanggal terjual]],"wwww")</f>
        <v>wwww</v>
      </c>
    </row>
    <row r="824" spans="1:36" x14ac:dyDescent="0.2">
      <c r="A824" s="20">
        <v>823</v>
      </c>
      <c r="B824" s="21" t="str">
        <f>_xlfn.CONCAT("ORD-",INDEX(Helper!$B$2:$B$5,MATCH(Data[[#This Row],[Marketplace]],Helper!$A$2:$A$5,0)),TEXT(Data[[#This Row],[No]],"0000"),"-",TEXT(Data[[#This Row],[Tanggal terjual]],"dd/mm/yy"))</f>
        <v>ORD-SP0823-06/04/23</v>
      </c>
      <c r="C824" t="s">
        <v>59</v>
      </c>
      <c r="D824" t="str">
        <f>IFERROR(INDEX(Katalog!$A$3:$A$12,MATCH(Data[[#This Row],[ItemID A]],Katalog!$C$3:$C$12,0)),"-")</f>
        <v>Pakaian Wanita</v>
      </c>
      <c r="E824" t="str">
        <f>IFERROR(INDEX(Katalog!$B$3:$B$12,MATCH(Data[[#This Row],[ItemID A]],Katalog!$C$3:$C$12,0)),"-")</f>
        <v>Blouse</v>
      </c>
      <c r="F824">
        <v>2</v>
      </c>
      <c r="G824">
        <v>2</v>
      </c>
      <c r="H824" s="36">
        <f>IFERROR(INDEX(Katalog!$D$3:$D$12,MATCH(Data[[#This Row],[ItemID A]],Katalog!$C$3:$C$12,0))*Data[[#This Row],[Qty A]],"0")</f>
        <v>300000</v>
      </c>
      <c r="I824" s="36">
        <f>IFERROR(INDEX(Katalog!$F$3:$F$12,MATCH(Data[[#This Row],[ItemID A]],Katalog!$C$3:$C$12,0))*Data[[#This Row],[Qty A]],0)</f>
        <v>100000</v>
      </c>
      <c r="J824" t="s">
        <v>67</v>
      </c>
      <c r="K824" t="str">
        <f>IFERROR(INDEX(Katalog!$A$3:$A$12,MATCH(Data[[#This Row],[ItemID B]],Katalog!$C$3:$C$12,0)),"-")</f>
        <v>Sepatu Wanita</v>
      </c>
      <c r="L824" t="str">
        <f>IFERROR(INDEX(Katalog!$B$3:$B$12,MATCH(Data[[#This Row],[ItemID B]],Katalog!$C$3:$C$12,0)),"-")</f>
        <v>Flat Shoes</v>
      </c>
      <c r="M824">
        <v>1</v>
      </c>
      <c r="N824">
        <v>1</v>
      </c>
      <c r="O824" s="36">
        <f>IFERROR(INDEX(Katalog!$D$3:$D$12,MATCH(Data[[#This Row],[ItemID B]],Katalog!$C$3:$C$12,0))*Data[[#This Row],[Qty B]],"0")</f>
        <v>250000</v>
      </c>
      <c r="P824" s="36">
        <f>IFERROR(INDEX(Katalog!$F$3:$F$12,MATCH(Data[[#This Row],[ItemID B]],Katalog!$C$3:$C$12,0))*Data[[#This Row],[Qty B]],"0")</f>
        <v>100000</v>
      </c>
      <c r="Q824" t="s">
        <v>61</v>
      </c>
      <c r="R824" t="str">
        <f>IFERROR(INDEX(Katalog!$A$3:$A$12,MATCH(Data[[#This Row],[ItemID C]],Katalog!$C$3:$C$12,0)),"-")</f>
        <v>Pakaian Pria</v>
      </c>
      <c r="S824" t="str">
        <f>IFERROR(INDEX(Katalog!$B$3:$B$12,MATCH(Data[[#This Row],[ItemID C]],Katalog!$C$3:$C$12,0)),"-")</f>
        <v>Kaos Polo</v>
      </c>
      <c r="T824">
        <v>4</v>
      </c>
      <c r="U824">
        <v>2</v>
      </c>
      <c r="V824" s="36">
        <f>IFERROR(INDEX(Katalog!$D$3:$D$12,MATCH(Data[[#This Row],[ItemID C]],Katalog!$C$3:$C$12,0))*Data[[#This Row],[Qty C]],"0")</f>
        <v>800000</v>
      </c>
      <c r="W824" s="36">
        <f>IFERROR(INDEX(Katalog!$F$3:$F$12,MATCH(Data[[#This Row],[ItemID C]],Katalog!$C$3:$C$12,0))*Data[[#This Row],[Qty C]],"0")</f>
        <v>320000</v>
      </c>
      <c r="X824" s="21">
        <f>Data[[#This Row],[Qty A]]+Data[[#This Row],[Qty B]]+Data[[#This Row],[Qty C]]</f>
        <v>7</v>
      </c>
      <c r="Y824" s="22">
        <f>Data[[#This Row],[Harga Barang A]]+Data[[#This Row],[Harga Barang B]]+Data[[#This Row],[Harga Barang C]]</f>
        <v>1350000</v>
      </c>
      <c r="Z824" s="35">
        <f>IFERROR(Data[[#This Row],[Total Harga]]-(Data[[#This Row],[Total Harga]]*Data[[#This Row],[Diskon]]),Data[[#This Row],[Total Harga]])</f>
        <v>1147500</v>
      </c>
      <c r="AA824" s="35">
        <f>(Data[[#This Row],[Profit A]]+Data[[#This Row],[Profit B]]+Data[[#This Row],[Profit C]])</f>
        <v>520000</v>
      </c>
      <c r="AB824" s="35">
        <f>IFERROR((Data[[#This Row],[Profit non Diskon]]-(Data[[#This Row],[Profit non Diskon]]*Data[[#This Row],[Diskon]])),Data[[#This Row],[Profit non Diskon]])</f>
        <v>442000</v>
      </c>
      <c r="AC824" s="23" t="s">
        <v>13</v>
      </c>
      <c r="AD824" s="37">
        <f>IFERROR(INDEX('Kode Diskon'!$D$3:$D$9,MATCH(Data[[#This Row],[Kode diskon]],'Kode Diskon'!$C$3:$C$9,0)),"-")</f>
        <v>0.15</v>
      </c>
      <c r="AE824" s="23" t="s">
        <v>29</v>
      </c>
      <c r="AF824" s="23" t="s">
        <v>7</v>
      </c>
      <c r="AG824" s="23" t="s">
        <v>80</v>
      </c>
      <c r="AH824" s="24">
        <v>45022</v>
      </c>
      <c r="AI824" s="23" t="str">
        <f>TEXT(Data[[#This Row],[Tanggal terjual]],"dddd")</f>
        <v>Thursday</v>
      </c>
      <c r="AJ824" s="21" t="str">
        <f>TEXT(Data[[#This Row],[Tanggal terjual]],"wwww")</f>
        <v>wwww</v>
      </c>
    </row>
    <row r="825" spans="1:36" x14ac:dyDescent="0.2">
      <c r="A825" s="20">
        <v>824</v>
      </c>
      <c r="B825" s="21" t="str">
        <f>_xlfn.CONCAT("ORD-",INDEX(Helper!$B$2:$B$5,MATCH(Data[[#This Row],[Marketplace]],Helper!$A$2:$A$5,0)),TEXT(Data[[#This Row],[No]],"0000"),"-",TEXT(Data[[#This Row],[Tanggal terjual]],"dd/mm/yy"))</f>
        <v>ORD-TK0824-27/04/23</v>
      </c>
      <c r="C825" t="s">
        <v>58</v>
      </c>
      <c r="D825" t="str">
        <f>IFERROR(INDEX(Katalog!$A$3:$A$12,MATCH(Data[[#This Row],[ItemID A]],Katalog!$C$3:$C$12,0)),"-")</f>
        <v>Pakaian Wanita</v>
      </c>
      <c r="E825" t="str">
        <f>IFERROR(INDEX(Katalog!$B$3:$B$12,MATCH(Data[[#This Row],[ItemID A]],Katalog!$C$3:$C$12,0)),"-")</f>
        <v>Dress</v>
      </c>
      <c r="F825">
        <v>1</v>
      </c>
      <c r="G825">
        <v>4</v>
      </c>
      <c r="H825" s="36">
        <f>IFERROR(INDEX(Katalog!$D$3:$D$12,MATCH(Data[[#This Row],[ItemID A]],Katalog!$C$3:$C$12,0))*Data[[#This Row],[Qty A]],"0")</f>
        <v>300000</v>
      </c>
      <c r="I825" s="36">
        <f>IFERROR(INDEX(Katalog!$F$3:$F$12,MATCH(Data[[#This Row],[ItemID A]],Katalog!$C$3:$C$12,0))*Data[[#This Row],[Qty A]],0)</f>
        <v>100000</v>
      </c>
      <c r="K825" t="str">
        <f>IFERROR(INDEX(Katalog!$A$3:$A$12,MATCH(Data[[#This Row],[ItemID B]],Katalog!$C$3:$C$12,0)),"-")</f>
        <v>-</v>
      </c>
      <c r="L825" t="str">
        <f>IFERROR(INDEX(Katalog!$B$3:$B$12,MATCH(Data[[#This Row],[ItemID B]],Katalog!$C$3:$C$12,0)),"-")</f>
        <v>-</v>
      </c>
      <c r="O825" s="36" t="str">
        <f>IFERROR(INDEX(Katalog!$D$3:$D$12,MATCH(Data[[#This Row],[ItemID B]],Katalog!$C$3:$C$12,0))*Data[[#This Row],[Qty B]],"0")</f>
        <v>0</v>
      </c>
      <c r="P825" s="36" t="str">
        <f>IFERROR(INDEX(Katalog!$F$3:$F$12,MATCH(Data[[#This Row],[ItemID B]],Katalog!$C$3:$C$12,0))*Data[[#This Row],[Qty B]],"0")</f>
        <v>0</v>
      </c>
      <c r="R825" t="str">
        <f>IFERROR(INDEX(Katalog!$A$3:$A$12,MATCH(Data[[#This Row],[ItemID C]],Katalog!$C$3:$C$12,0)),"-")</f>
        <v>-</v>
      </c>
      <c r="S825" t="str">
        <f>IFERROR(INDEX(Katalog!$B$3:$B$12,MATCH(Data[[#This Row],[ItemID C]],Katalog!$C$3:$C$12,0)),"-")</f>
        <v>-</v>
      </c>
      <c r="V825" s="36" t="str">
        <f>IFERROR(INDEX(Katalog!$D$3:$D$12,MATCH(Data[[#This Row],[ItemID C]],Katalog!$C$3:$C$12,0))*Data[[#This Row],[Qty C]],"0")</f>
        <v>0</v>
      </c>
      <c r="W825" s="36" t="str">
        <f>IFERROR(INDEX(Katalog!$F$3:$F$12,MATCH(Data[[#This Row],[ItemID C]],Katalog!$C$3:$C$12,0))*Data[[#This Row],[Qty C]],"0")</f>
        <v>0</v>
      </c>
      <c r="X825" s="21">
        <f>Data[[#This Row],[Qty A]]+Data[[#This Row],[Qty B]]+Data[[#This Row],[Qty C]]</f>
        <v>1</v>
      </c>
      <c r="Y825" s="22">
        <f>Data[[#This Row],[Harga Barang A]]+Data[[#This Row],[Harga Barang B]]+Data[[#This Row],[Harga Barang C]]</f>
        <v>300000</v>
      </c>
      <c r="Z825" s="35">
        <f>IFERROR(Data[[#This Row],[Total Harga]]-(Data[[#This Row],[Total Harga]]*Data[[#This Row],[Diskon]]),Data[[#This Row],[Total Harga]])</f>
        <v>270000</v>
      </c>
      <c r="AA825" s="35">
        <f>(Data[[#This Row],[Profit A]]+Data[[#This Row],[Profit B]]+Data[[#This Row],[Profit C]])</f>
        <v>100000</v>
      </c>
      <c r="AB825" s="35">
        <f>IFERROR((Data[[#This Row],[Profit non Diskon]]-(Data[[#This Row],[Profit non Diskon]]*Data[[#This Row],[Diskon]])),Data[[#This Row],[Profit non Diskon]])</f>
        <v>90000</v>
      </c>
      <c r="AC825" s="23" t="s">
        <v>31</v>
      </c>
      <c r="AD825" s="37">
        <f>IFERROR(INDEX('Kode Diskon'!$D$3:$D$9,MATCH(Data[[#This Row],[Kode diskon]],'Kode Diskon'!$C$3:$C$9,0)),"-")</f>
        <v>0.1</v>
      </c>
      <c r="AE825" s="23" t="s">
        <v>9</v>
      </c>
      <c r="AF825" s="23" t="s">
        <v>10</v>
      </c>
      <c r="AG825" s="23" t="s">
        <v>80</v>
      </c>
      <c r="AH825" s="24">
        <v>45043</v>
      </c>
      <c r="AI825" s="23" t="str">
        <f>TEXT(Data[[#This Row],[Tanggal terjual]],"dddd")</f>
        <v>Thursday</v>
      </c>
      <c r="AJ825" s="21" t="str">
        <f>TEXT(Data[[#This Row],[Tanggal terjual]],"wwww")</f>
        <v>wwww</v>
      </c>
    </row>
    <row r="826" spans="1:36" x14ac:dyDescent="0.2">
      <c r="A826" s="20">
        <v>825</v>
      </c>
      <c r="B826" s="21" t="str">
        <f>_xlfn.CONCAT("ORD-",INDEX(Helper!$B$2:$B$5,MATCH(Data[[#This Row],[Marketplace]],Helper!$A$2:$A$5,0)),TEXT(Data[[#This Row],[No]],"0000"),"-",TEXT(Data[[#This Row],[Tanggal terjual]],"dd/mm/yy"))</f>
        <v>ORD-BL0825-26/04/23</v>
      </c>
      <c r="C826" t="s">
        <v>67</v>
      </c>
      <c r="D826" t="str">
        <f>IFERROR(INDEX(Katalog!$A$3:$A$12,MATCH(Data[[#This Row],[ItemID A]],Katalog!$C$3:$C$12,0)),"-")</f>
        <v>Sepatu Wanita</v>
      </c>
      <c r="E826" t="str">
        <f>IFERROR(INDEX(Katalog!$B$3:$B$12,MATCH(Data[[#This Row],[ItemID A]],Katalog!$C$3:$C$12,0)),"-")</f>
        <v>Flat Shoes</v>
      </c>
      <c r="F826">
        <v>2</v>
      </c>
      <c r="G826">
        <v>2</v>
      </c>
      <c r="H826" s="36">
        <f>IFERROR(INDEX(Katalog!$D$3:$D$12,MATCH(Data[[#This Row],[ItemID A]],Katalog!$C$3:$C$12,0))*Data[[#This Row],[Qty A]],"0")</f>
        <v>500000</v>
      </c>
      <c r="I826" s="36">
        <f>IFERROR(INDEX(Katalog!$F$3:$F$12,MATCH(Data[[#This Row],[ItemID A]],Katalog!$C$3:$C$12,0))*Data[[#This Row],[Qty A]],0)</f>
        <v>200000</v>
      </c>
      <c r="J826" t="s">
        <v>59</v>
      </c>
      <c r="K826" t="str">
        <f>IFERROR(INDEX(Katalog!$A$3:$A$12,MATCH(Data[[#This Row],[ItemID B]],Katalog!$C$3:$C$12,0)),"-")</f>
        <v>Pakaian Wanita</v>
      </c>
      <c r="L826" t="str">
        <f>IFERROR(INDEX(Katalog!$B$3:$B$12,MATCH(Data[[#This Row],[ItemID B]],Katalog!$C$3:$C$12,0)),"-")</f>
        <v>Blouse</v>
      </c>
      <c r="M826">
        <v>4</v>
      </c>
      <c r="N826">
        <v>1</v>
      </c>
      <c r="O826" s="36">
        <f>IFERROR(INDEX(Katalog!$D$3:$D$12,MATCH(Data[[#This Row],[ItemID B]],Katalog!$C$3:$C$12,0))*Data[[#This Row],[Qty B]],"0")</f>
        <v>600000</v>
      </c>
      <c r="P826" s="36">
        <f>IFERROR(INDEX(Katalog!$F$3:$F$12,MATCH(Data[[#This Row],[ItemID B]],Katalog!$C$3:$C$12,0))*Data[[#This Row],[Qty B]],"0")</f>
        <v>200000</v>
      </c>
      <c r="R826" t="str">
        <f>IFERROR(INDEX(Katalog!$A$3:$A$12,MATCH(Data[[#This Row],[ItemID C]],Katalog!$C$3:$C$12,0)),"-")</f>
        <v>-</v>
      </c>
      <c r="S826" t="str">
        <f>IFERROR(INDEX(Katalog!$B$3:$B$12,MATCH(Data[[#This Row],[ItemID C]],Katalog!$C$3:$C$12,0)),"-")</f>
        <v>-</v>
      </c>
      <c r="V826" s="36" t="str">
        <f>IFERROR(INDEX(Katalog!$D$3:$D$12,MATCH(Data[[#This Row],[ItemID C]],Katalog!$C$3:$C$12,0))*Data[[#This Row],[Qty C]],"0")</f>
        <v>0</v>
      </c>
      <c r="W826" s="36" t="str">
        <f>IFERROR(INDEX(Katalog!$F$3:$F$12,MATCH(Data[[#This Row],[ItemID C]],Katalog!$C$3:$C$12,0))*Data[[#This Row],[Qty C]],"0")</f>
        <v>0</v>
      </c>
      <c r="X826" s="21">
        <f>Data[[#This Row],[Qty A]]+Data[[#This Row],[Qty B]]+Data[[#This Row],[Qty C]]</f>
        <v>6</v>
      </c>
      <c r="Y826" s="22">
        <f>Data[[#This Row],[Harga Barang A]]+Data[[#This Row],[Harga Barang B]]+Data[[#This Row],[Harga Barang C]]</f>
        <v>1100000</v>
      </c>
      <c r="Z826" s="35">
        <f>IFERROR(Data[[#This Row],[Total Harga]]-(Data[[#This Row],[Total Harga]]*Data[[#This Row],[Diskon]]),Data[[#This Row],[Total Harga]])</f>
        <v>935000</v>
      </c>
      <c r="AA826" s="35">
        <f>(Data[[#This Row],[Profit A]]+Data[[#This Row],[Profit B]]+Data[[#This Row],[Profit C]])</f>
        <v>400000</v>
      </c>
      <c r="AB826" s="35">
        <f>IFERROR((Data[[#This Row],[Profit non Diskon]]-(Data[[#This Row],[Profit non Diskon]]*Data[[#This Row],[Diskon]])),Data[[#This Row],[Profit non Diskon]])</f>
        <v>340000</v>
      </c>
      <c r="AC826" s="23" t="s">
        <v>32</v>
      </c>
      <c r="AD826" s="37">
        <f>IFERROR(INDEX('Kode Diskon'!$D$3:$D$9,MATCH(Data[[#This Row],[Kode diskon]],'Kode Diskon'!$C$3:$C$9,0)),"-")</f>
        <v>0.15</v>
      </c>
      <c r="AE826" s="23" t="s">
        <v>9</v>
      </c>
      <c r="AF826" s="23" t="s">
        <v>12</v>
      </c>
      <c r="AG826" s="23" t="s">
        <v>80</v>
      </c>
      <c r="AH826" s="24">
        <v>45042</v>
      </c>
      <c r="AI826" s="23" t="str">
        <f>TEXT(Data[[#This Row],[Tanggal terjual]],"dddd")</f>
        <v>Wednesday</v>
      </c>
      <c r="AJ826" s="21" t="str">
        <f>TEXT(Data[[#This Row],[Tanggal terjual]],"wwww")</f>
        <v>wwww</v>
      </c>
    </row>
    <row r="827" spans="1:36" x14ac:dyDescent="0.2">
      <c r="A827" s="20">
        <v>826</v>
      </c>
      <c r="B827" s="21" t="str">
        <f>_xlfn.CONCAT("ORD-",INDEX(Helper!$B$2:$B$5,MATCH(Data[[#This Row],[Marketplace]],Helper!$A$2:$A$5,0)),TEXT(Data[[#This Row],[No]],"0000"),"-",TEXT(Data[[#This Row],[Tanggal terjual]],"dd/mm/yy"))</f>
        <v>ORD-BL0826-27/04/23</v>
      </c>
      <c r="C827" t="s">
        <v>64</v>
      </c>
      <c r="D827" t="str">
        <f>IFERROR(INDEX(Katalog!$A$3:$A$12,MATCH(Data[[#This Row],[ItemID A]],Katalog!$C$3:$C$12,0)),"-")</f>
        <v>Pakaian Unisex</v>
      </c>
      <c r="E827" t="str">
        <f>IFERROR(INDEX(Katalog!$B$3:$B$12,MATCH(Data[[#This Row],[ItemID A]],Katalog!$C$3:$C$12,0)),"-")</f>
        <v>Jaket Hoodie</v>
      </c>
      <c r="F827">
        <v>4</v>
      </c>
      <c r="G827">
        <v>3</v>
      </c>
      <c r="H827" s="36">
        <f>IFERROR(INDEX(Katalog!$D$3:$D$12,MATCH(Data[[#This Row],[ItemID A]],Katalog!$C$3:$C$12,0))*Data[[#This Row],[Qty A]],"0")</f>
        <v>1400000</v>
      </c>
      <c r="I827" s="36">
        <f>IFERROR(INDEX(Katalog!$F$3:$F$12,MATCH(Data[[#This Row],[ItemID A]],Katalog!$C$3:$C$12,0))*Data[[#This Row],[Qty A]],0)</f>
        <v>520000</v>
      </c>
      <c r="J827" t="s">
        <v>59</v>
      </c>
      <c r="K827" t="str">
        <f>IFERROR(INDEX(Katalog!$A$3:$A$12,MATCH(Data[[#This Row],[ItemID B]],Katalog!$C$3:$C$12,0)),"-")</f>
        <v>Pakaian Wanita</v>
      </c>
      <c r="L827" t="str">
        <f>IFERROR(INDEX(Katalog!$B$3:$B$12,MATCH(Data[[#This Row],[ItemID B]],Katalog!$C$3:$C$12,0)),"-")</f>
        <v>Blouse</v>
      </c>
      <c r="M827">
        <v>1</v>
      </c>
      <c r="N827">
        <v>5</v>
      </c>
      <c r="O827" s="36">
        <f>IFERROR(INDEX(Katalog!$D$3:$D$12,MATCH(Data[[#This Row],[ItemID B]],Katalog!$C$3:$C$12,0))*Data[[#This Row],[Qty B]],"0")</f>
        <v>150000</v>
      </c>
      <c r="P827" s="36">
        <f>IFERROR(INDEX(Katalog!$F$3:$F$12,MATCH(Data[[#This Row],[ItemID B]],Katalog!$C$3:$C$12,0))*Data[[#This Row],[Qty B]],"0")</f>
        <v>50000</v>
      </c>
      <c r="R827" t="str">
        <f>IFERROR(INDEX(Katalog!$A$3:$A$12,MATCH(Data[[#This Row],[ItemID C]],Katalog!$C$3:$C$12,0)),"-")</f>
        <v>-</v>
      </c>
      <c r="S827" t="str">
        <f>IFERROR(INDEX(Katalog!$B$3:$B$12,MATCH(Data[[#This Row],[ItemID C]],Katalog!$C$3:$C$12,0)),"-")</f>
        <v>-</v>
      </c>
      <c r="V827" s="36" t="str">
        <f>IFERROR(INDEX(Katalog!$D$3:$D$12,MATCH(Data[[#This Row],[ItemID C]],Katalog!$C$3:$C$12,0))*Data[[#This Row],[Qty C]],"0")</f>
        <v>0</v>
      </c>
      <c r="W827" s="36" t="str">
        <f>IFERROR(INDEX(Katalog!$F$3:$F$12,MATCH(Data[[#This Row],[ItemID C]],Katalog!$C$3:$C$12,0))*Data[[#This Row],[Qty C]],"0")</f>
        <v>0</v>
      </c>
      <c r="X827" s="21">
        <f>Data[[#This Row],[Qty A]]+Data[[#This Row],[Qty B]]+Data[[#This Row],[Qty C]]</f>
        <v>5</v>
      </c>
      <c r="Y827" s="22">
        <f>Data[[#This Row],[Harga Barang A]]+Data[[#This Row],[Harga Barang B]]+Data[[#This Row],[Harga Barang C]]</f>
        <v>1550000</v>
      </c>
      <c r="Z827" s="35">
        <f>IFERROR(Data[[#This Row],[Total Harga]]-(Data[[#This Row],[Total Harga]]*Data[[#This Row],[Diskon]]),Data[[#This Row],[Total Harga]])</f>
        <v>1317500</v>
      </c>
      <c r="AA827" s="35">
        <f>(Data[[#This Row],[Profit A]]+Data[[#This Row],[Profit B]]+Data[[#This Row],[Profit C]])</f>
        <v>570000</v>
      </c>
      <c r="AB827" s="35">
        <f>IFERROR((Data[[#This Row],[Profit non Diskon]]-(Data[[#This Row],[Profit non Diskon]]*Data[[#This Row],[Diskon]])),Data[[#This Row],[Profit non Diskon]])</f>
        <v>484500</v>
      </c>
      <c r="AC827" s="23" t="s">
        <v>32</v>
      </c>
      <c r="AD827" s="37">
        <f>IFERROR(INDEX('Kode Diskon'!$D$3:$D$9,MATCH(Data[[#This Row],[Kode diskon]],'Kode Diskon'!$C$3:$C$9,0)),"-")</f>
        <v>0.15</v>
      </c>
      <c r="AE827" s="23" t="s">
        <v>9</v>
      </c>
      <c r="AF827" s="23" t="s">
        <v>12</v>
      </c>
      <c r="AG827" s="23" t="s">
        <v>80</v>
      </c>
      <c r="AH827" s="24">
        <v>45043</v>
      </c>
      <c r="AI827" s="23" t="str">
        <f>TEXT(Data[[#This Row],[Tanggal terjual]],"dddd")</f>
        <v>Thursday</v>
      </c>
      <c r="AJ827" s="21" t="str">
        <f>TEXT(Data[[#This Row],[Tanggal terjual]],"wwww")</f>
        <v>wwww</v>
      </c>
    </row>
    <row r="828" spans="1:36" x14ac:dyDescent="0.2">
      <c r="A828" s="20">
        <v>827</v>
      </c>
      <c r="B828" s="21" t="str">
        <f>_xlfn.CONCAT("ORD-",INDEX(Helper!$B$2:$B$5,MATCH(Data[[#This Row],[Marketplace]],Helper!$A$2:$A$5,0)),TEXT(Data[[#This Row],[No]],"0000"),"-",TEXT(Data[[#This Row],[Tanggal terjual]],"dd/mm/yy"))</f>
        <v>ORD-SP0827-05/04/23</v>
      </c>
      <c r="C828" t="s">
        <v>61</v>
      </c>
      <c r="D828" t="str">
        <f>IFERROR(INDEX(Katalog!$A$3:$A$12,MATCH(Data[[#This Row],[ItemID A]],Katalog!$C$3:$C$12,0)),"-")</f>
        <v>Pakaian Pria</v>
      </c>
      <c r="E828" t="str">
        <f>IFERROR(INDEX(Katalog!$B$3:$B$12,MATCH(Data[[#This Row],[ItemID A]],Katalog!$C$3:$C$12,0)),"-")</f>
        <v>Kaos Polo</v>
      </c>
      <c r="F828">
        <v>1</v>
      </c>
      <c r="G828">
        <v>5</v>
      </c>
      <c r="H828" s="36">
        <f>IFERROR(INDEX(Katalog!$D$3:$D$12,MATCH(Data[[#This Row],[ItemID A]],Katalog!$C$3:$C$12,0))*Data[[#This Row],[Qty A]],"0")</f>
        <v>200000</v>
      </c>
      <c r="I828" s="36">
        <f>IFERROR(INDEX(Katalog!$F$3:$F$12,MATCH(Data[[#This Row],[ItemID A]],Katalog!$C$3:$C$12,0))*Data[[#This Row],[Qty A]],0)</f>
        <v>80000</v>
      </c>
      <c r="K828" t="str">
        <f>IFERROR(INDEX(Katalog!$A$3:$A$12,MATCH(Data[[#This Row],[ItemID B]],Katalog!$C$3:$C$12,0)),"-")</f>
        <v>-</v>
      </c>
      <c r="L828" t="str">
        <f>IFERROR(INDEX(Katalog!$B$3:$B$12,MATCH(Data[[#This Row],[ItemID B]],Katalog!$C$3:$C$12,0)),"-")</f>
        <v>-</v>
      </c>
      <c r="O828" s="36" t="str">
        <f>IFERROR(INDEX(Katalog!$D$3:$D$12,MATCH(Data[[#This Row],[ItemID B]],Katalog!$C$3:$C$12,0))*Data[[#This Row],[Qty B]],"0")</f>
        <v>0</v>
      </c>
      <c r="P828" s="36" t="str">
        <f>IFERROR(INDEX(Katalog!$F$3:$F$12,MATCH(Data[[#This Row],[ItemID B]],Katalog!$C$3:$C$12,0))*Data[[#This Row],[Qty B]],"0")</f>
        <v>0</v>
      </c>
      <c r="R828" t="str">
        <f>IFERROR(INDEX(Katalog!$A$3:$A$12,MATCH(Data[[#This Row],[ItemID C]],Katalog!$C$3:$C$12,0)),"-")</f>
        <v>-</v>
      </c>
      <c r="S828" t="str">
        <f>IFERROR(INDEX(Katalog!$B$3:$B$12,MATCH(Data[[#This Row],[ItemID C]],Katalog!$C$3:$C$12,0)),"-")</f>
        <v>-</v>
      </c>
      <c r="V828" s="36" t="str">
        <f>IFERROR(INDEX(Katalog!$D$3:$D$12,MATCH(Data[[#This Row],[ItemID C]],Katalog!$C$3:$C$12,0))*Data[[#This Row],[Qty C]],"0")</f>
        <v>0</v>
      </c>
      <c r="W828" s="36" t="str">
        <f>IFERROR(INDEX(Katalog!$F$3:$F$12,MATCH(Data[[#This Row],[ItemID C]],Katalog!$C$3:$C$12,0))*Data[[#This Row],[Qty C]],"0")</f>
        <v>0</v>
      </c>
      <c r="X828" s="21">
        <f>Data[[#This Row],[Qty A]]+Data[[#This Row],[Qty B]]+Data[[#This Row],[Qty C]]</f>
        <v>1</v>
      </c>
      <c r="Y828" s="22">
        <f>Data[[#This Row],[Harga Barang A]]+Data[[#This Row],[Harga Barang B]]+Data[[#This Row],[Harga Barang C]]</f>
        <v>200000</v>
      </c>
      <c r="Z828" s="35">
        <f>IFERROR(Data[[#This Row],[Total Harga]]-(Data[[#This Row],[Total Harga]]*Data[[#This Row],[Diskon]]),Data[[#This Row],[Total Harga]])</f>
        <v>170000</v>
      </c>
      <c r="AA828" s="35">
        <f>(Data[[#This Row],[Profit A]]+Data[[#This Row],[Profit B]]+Data[[#This Row],[Profit C]])</f>
        <v>80000</v>
      </c>
      <c r="AB828" s="35">
        <f>IFERROR((Data[[#This Row],[Profit non Diskon]]-(Data[[#This Row],[Profit non Diskon]]*Data[[#This Row],[Diskon]])),Data[[#This Row],[Profit non Diskon]])</f>
        <v>68000</v>
      </c>
      <c r="AC828" s="23" t="s">
        <v>13</v>
      </c>
      <c r="AD828" s="37">
        <f>IFERROR(INDEX('Kode Diskon'!$D$3:$D$9,MATCH(Data[[#This Row],[Kode diskon]],'Kode Diskon'!$C$3:$C$9,0)),"-")</f>
        <v>0.15</v>
      </c>
      <c r="AE828" s="23" t="s">
        <v>29</v>
      </c>
      <c r="AF828" s="23" t="s">
        <v>7</v>
      </c>
      <c r="AG828" s="23" t="s">
        <v>76</v>
      </c>
      <c r="AH828" s="24">
        <v>45021</v>
      </c>
      <c r="AI828" s="23" t="str">
        <f>TEXT(Data[[#This Row],[Tanggal terjual]],"dddd")</f>
        <v>Wednesday</v>
      </c>
      <c r="AJ828" s="21" t="str">
        <f>TEXT(Data[[#This Row],[Tanggal terjual]],"wwww")</f>
        <v>wwww</v>
      </c>
    </row>
    <row r="829" spans="1:36" x14ac:dyDescent="0.2">
      <c r="A829" s="20">
        <v>828</v>
      </c>
      <c r="B829" s="21" t="str">
        <f>_xlfn.CONCAT("ORD-",INDEX(Helper!$B$2:$B$5,MATCH(Data[[#This Row],[Marketplace]],Helper!$A$2:$A$5,0)),TEXT(Data[[#This Row],[No]],"0000"),"-",TEXT(Data[[#This Row],[Tanggal terjual]],"dd/mm/yy"))</f>
        <v>ORD-BL0828-13/04/23</v>
      </c>
      <c r="C829" t="s">
        <v>61</v>
      </c>
      <c r="D829" t="str">
        <f>IFERROR(INDEX(Katalog!$A$3:$A$12,MATCH(Data[[#This Row],[ItemID A]],Katalog!$C$3:$C$12,0)),"-")</f>
        <v>Pakaian Pria</v>
      </c>
      <c r="E829" t="str">
        <f>IFERROR(INDEX(Katalog!$B$3:$B$12,MATCH(Data[[#This Row],[ItemID A]],Katalog!$C$3:$C$12,0)),"-")</f>
        <v>Kaos Polo</v>
      </c>
      <c r="F829">
        <v>2</v>
      </c>
      <c r="G829">
        <v>2</v>
      </c>
      <c r="H829" s="36">
        <f>IFERROR(INDEX(Katalog!$D$3:$D$12,MATCH(Data[[#This Row],[ItemID A]],Katalog!$C$3:$C$12,0))*Data[[#This Row],[Qty A]],"0")</f>
        <v>400000</v>
      </c>
      <c r="I829" s="36">
        <f>IFERROR(INDEX(Katalog!$F$3:$F$12,MATCH(Data[[#This Row],[ItemID A]],Katalog!$C$3:$C$12,0))*Data[[#This Row],[Qty A]],0)</f>
        <v>160000</v>
      </c>
      <c r="J829" t="s">
        <v>65</v>
      </c>
      <c r="K829" t="str">
        <f>IFERROR(INDEX(Katalog!$A$3:$A$12,MATCH(Data[[#This Row],[ItemID B]],Katalog!$C$3:$C$12,0)),"-")</f>
        <v>Sepatu Pria</v>
      </c>
      <c r="L829" t="str">
        <f>IFERROR(INDEX(Katalog!$B$3:$B$12,MATCH(Data[[#This Row],[ItemID B]],Katalog!$C$3:$C$12,0)),"-")</f>
        <v>Sneakers</v>
      </c>
      <c r="M829">
        <v>1</v>
      </c>
      <c r="N829">
        <v>5</v>
      </c>
      <c r="O829" s="36">
        <f>IFERROR(INDEX(Katalog!$D$3:$D$12,MATCH(Data[[#This Row],[ItemID B]],Katalog!$C$3:$C$12,0))*Data[[#This Row],[Qty B]],"0")</f>
        <v>500000</v>
      </c>
      <c r="P829" s="36">
        <f>IFERROR(INDEX(Katalog!$F$3:$F$12,MATCH(Data[[#This Row],[ItemID B]],Katalog!$C$3:$C$12,0))*Data[[#This Row],[Qty B]],"0")</f>
        <v>200000</v>
      </c>
      <c r="R829" t="str">
        <f>IFERROR(INDEX(Katalog!$A$3:$A$12,MATCH(Data[[#This Row],[ItemID C]],Katalog!$C$3:$C$12,0)),"-")</f>
        <v>-</v>
      </c>
      <c r="S829" t="str">
        <f>IFERROR(INDEX(Katalog!$B$3:$B$12,MATCH(Data[[#This Row],[ItemID C]],Katalog!$C$3:$C$12,0)),"-")</f>
        <v>-</v>
      </c>
      <c r="V829" s="36" t="str">
        <f>IFERROR(INDEX(Katalog!$D$3:$D$12,MATCH(Data[[#This Row],[ItemID C]],Katalog!$C$3:$C$12,0))*Data[[#This Row],[Qty C]],"0")</f>
        <v>0</v>
      </c>
      <c r="W829" s="36" t="str">
        <f>IFERROR(INDEX(Katalog!$F$3:$F$12,MATCH(Data[[#This Row],[ItemID C]],Katalog!$C$3:$C$12,0))*Data[[#This Row],[Qty C]],"0")</f>
        <v>0</v>
      </c>
      <c r="X829" s="21">
        <f>Data[[#This Row],[Qty A]]+Data[[#This Row],[Qty B]]+Data[[#This Row],[Qty C]]</f>
        <v>3</v>
      </c>
      <c r="Y829" s="22">
        <f>Data[[#This Row],[Harga Barang A]]+Data[[#This Row],[Harga Barang B]]+Data[[#This Row],[Harga Barang C]]</f>
        <v>900000</v>
      </c>
      <c r="Z829" s="35">
        <f>IFERROR(Data[[#This Row],[Total Harga]]-(Data[[#This Row],[Total Harga]]*Data[[#This Row],[Diskon]]),Data[[#This Row],[Total Harga]])</f>
        <v>900000</v>
      </c>
      <c r="AA829" s="35">
        <f>(Data[[#This Row],[Profit A]]+Data[[#This Row],[Profit B]]+Data[[#This Row],[Profit C]])</f>
        <v>360000</v>
      </c>
      <c r="AB829" s="35">
        <f>IFERROR((Data[[#This Row],[Profit non Diskon]]-(Data[[#This Row],[Profit non Diskon]]*Data[[#This Row],[Diskon]])),Data[[#This Row],[Profit non Diskon]])</f>
        <v>360000</v>
      </c>
      <c r="AC829" s="23" t="s">
        <v>11</v>
      </c>
      <c r="AD829" s="37" t="str">
        <f>IFERROR(INDEX('Kode Diskon'!$D$3:$D$9,MATCH(Data[[#This Row],[Kode diskon]],'Kode Diskon'!$C$3:$C$9,0)),"-")</f>
        <v>-</v>
      </c>
      <c r="AE829" s="23" t="s">
        <v>11</v>
      </c>
      <c r="AF829" s="23" t="s">
        <v>12</v>
      </c>
      <c r="AG829" s="23" t="s">
        <v>80</v>
      </c>
      <c r="AH829" s="24">
        <v>45029</v>
      </c>
      <c r="AI829" s="23" t="str">
        <f>TEXT(Data[[#This Row],[Tanggal terjual]],"dddd")</f>
        <v>Thursday</v>
      </c>
      <c r="AJ829" s="21" t="str">
        <f>TEXT(Data[[#This Row],[Tanggal terjual]],"wwww")</f>
        <v>wwww</v>
      </c>
    </row>
    <row r="830" spans="1:36" x14ac:dyDescent="0.2">
      <c r="A830" s="20">
        <v>829</v>
      </c>
      <c r="B830" s="21" t="str">
        <f>_xlfn.CONCAT("ORD-",INDEX(Helper!$B$2:$B$5,MATCH(Data[[#This Row],[Marketplace]],Helper!$A$2:$A$5,0)),TEXT(Data[[#This Row],[No]],"0000"),"-",TEXT(Data[[#This Row],[Tanggal terjual]],"dd/mm/yy"))</f>
        <v>ORD-TK0829-24/04/23</v>
      </c>
      <c r="C830" t="s">
        <v>65</v>
      </c>
      <c r="D830" t="str">
        <f>IFERROR(INDEX(Katalog!$A$3:$A$12,MATCH(Data[[#This Row],[ItemID A]],Katalog!$C$3:$C$12,0)),"-")</f>
        <v>Sepatu Pria</v>
      </c>
      <c r="E830" t="str">
        <f>IFERROR(INDEX(Katalog!$B$3:$B$12,MATCH(Data[[#This Row],[ItemID A]],Katalog!$C$3:$C$12,0)),"-")</f>
        <v>Sneakers</v>
      </c>
      <c r="F830">
        <v>1</v>
      </c>
      <c r="G830">
        <v>4</v>
      </c>
      <c r="H830" s="36">
        <f>IFERROR(INDEX(Katalog!$D$3:$D$12,MATCH(Data[[#This Row],[ItemID A]],Katalog!$C$3:$C$12,0))*Data[[#This Row],[Qty A]],"0")</f>
        <v>500000</v>
      </c>
      <c r="I830" s="36">
        <f>IFERROR(INDEX(Katalog!$F$3:$F$12,MATCH(Data[[#This Row],[ItemID A]],Katalog!$C$3:$C$12,0))*Data[[#This Row],[Qty A]],0)</f>
        <v>200000</v>
      </c>
      <c r="J830" t="s">
        <v>64</v>
      </c>
      <c r="K830" t="str">
        <f>IFERROR(INDEX(Katalog!$A$3:$A$12,MATCH(Data[[#This Row],[ItemID B]],Katalog!$C$3:$C$12,0)),"-")</f>
        <v>Pakaian Unisex</v>
      </c>
      <c r="L830" t="str">
        <f>IFERROR(INDEX(Katalog!$B$3:$B$12,MATCH(Data[[#This Row],[ItemID B]],Katalog!$C$3:$C$12,0)),"-")</f>
        <v>Jaket Hoodie</v>
      </c>
      <c r="M830">
        <v>1</v>
      </c>
      <c r="N830">
        <v>2</v>
      </c>
      <c r="O830" s="36">
        <f>IFERROR(INDEX(Katalog!$D$3:$D$12,MATCH(Data[[#This Row],[ItemID B]],Katalog!$C$3:$C$12,0))*Data[[#This Row],[Qty B]],"0")</f>
        <v>350000</v>
      </c>
      <c r="P830" s="36">
        <f>IFERROR(INDEX(Katalog!$F$3:$F$12,MATCH(Data[[#This Row],[ItemID B]],Katalog!$C$3:$C$12,0))*Data[[#This Row],[Qty B]],"0")</f>
        <v>130000</v>
      </c>
      <c r="Q830" t="s">
        <v>66</v>
      </c>
      <c r="R830" t="str">
        <f>IFERROR(INDEX(Katalog!$A$3:$A$12,MATCH(Data[[#This Row],[ItemID C]],Katalog!$C$3:$C$12,0)),"-")</f>
        <v>Sepatu Pria</v>
      </c>
      <c r="S830" t="str">
        <f>IFERROR(INDEX(Katalog!$B$3:$B$12,MATCH(Data[[#This Row],[ItemID C]],Katalog!$C$3:$C$12,0)),"-")</f>
        <v>Sandal Slip On</v>
      </c>
      <c r="T830">
        <v>1</v>
      </c>
      <c r="U830">
        <v>2</v>
      </c>
      <c r="V830" s="36">
        <f>IFERROR(INDEX(Katalog!$D$3:$D$12,MATCH(Data[[#This Row],[ItemID C]],Katalog!$C$3:$C$12,0))*Data[[#This Row],[Qty C]],"0")</f>
        <v>150000</v>
      </c>
      <c r="W830" s="36">
        <f>IFERROR(INDEX(Katalog!$F$3:$F$12,MATCH(Data[[#This Row],[ItemID C]],Katalog!$C$3:$C$12,0))*Data[[#This Row],[Qty C]],"0")</f>
        <v>60000</v>
      </c>
      <c r="X830" s="21">
        <f>Data[[#This Row],[Qty A]]+Data[[#This Row],[Qty B]]+Data[[#This Row],[Qty C]]</f>
        <v>3</v>
      </c>
      <c r="Y830" s="22">
        <f>Data[[#This Row],[Harga Barang A]]+Data[[#This Row],[Harga Barang B]]+Data[[#This Row],[Harga Barang C]]</f>
        <v>1000000</v>
      </c>
      <c r="Z830" s="35">
        <f>IFERROR(Data[[#This Row],[Total Harga]]-(Data[[#This Row],[Total Harga]]*Data[[#This Row],[Diskon]]),Data[[#This Row],[Total Harga]])</f>
        <v>900000</v>
      </c>
      <c r="AA830" s="35">
        <f>(Data[[#This Row],[Profit A]]+Data[[#This Row],[Profit B]]+Data[[#This Row],[Profit C]])</f>
        <v>390000</v>
      </c>
      <c r="AB830" s="35">
        <f>IFERROR((Data[[#This Row],[Profit non Diskon]]-(Data[[#This Row],[Profit non Diskon]]*Data[[#This Row],[Diskon]])),Data[[#This Row],[Profit non Diskon]])</f>
        <v>351000</v>
      </c>
      <c r="AC830" s="23" t="s">
        <v>31</v>
      </c>
      <c r="AD830" s="37">
        <f>IFERROR(INDEX('Kode Diskon'!$D$3:$D$9,MATCH(Data[[#This Row],[Kode diskon]],'Kode Diskon'!$C$3:$C$9,0)),"-")</f>
        <v>0.1</v>
      </c>
      <c r="AE830" s="23" t="s">
        <v>9</v>
      </c>
      <c r="AF830" s="23" t="s">
        <v>10</v>
      </c>
      <c r="AG830" s="23" t="s">
        <v>76</v>
      </c>
      <c r="AH830" s="24">
        <v>45040</v>
      </c>
      <c r="AI830" s="23" t="str">
        <f>TEXT(Data[[#This Row],[Tanggal terjual]],"dddd")</f>
        <v>Monday</v>
      </c>
      <c r="AJ830" s="21" t="str">
        <f>TEXT(Data[[#This Row],[Tanggal terjual]],"wwww")</f>
        <v>wwww</v>
      </c>
    </row>
    <row r="831" spans="1:36" x14ac:dyDescent="0.2">
      <c r="A831" s="20">
        <v>830</v>
      </c>
      <c r="B831" s="21" t="str">
        <f>_xlfn.CONCAT("ORD-",INDEX(Helper!$B$2:$B$5,MATCH(Data[[#This Row],[Marketplace]],Helper!$A$2:$A$5,0)),TEXT(Data[[#This Row],[No]],"0000"),"-",TEXT(Data[[#This Row],[Tanggal terjual]],"dd/mm/yy"))</f>
        <v>ORD-BB0830-15/04/23</v>
      </c>
      <c r="C831" t="s">
        <v>64</v>
      </c>
      <c r="D831" t="str">
        <f>IFERROR(INDEX(Katalog!$A$3:$A$12,MATCH(Data[[#This Row],[ItemID A]],Katalog!$C$3:$C$12,0)),"-")</f>
        <v>Pakaian Unisex</v>
      </c>
      <c r="E831" t="str">
        <f>IFERROR(INDEX(Katalog!$B$3:$B$12,MATCH(Data[[#This Row],[ItemID A]],Katalog!$C$3:$C$12,0)),"-")</f>
        <v>Jaket Hoodie</v>
      </c>
      <c r="F831">
        <v>3</v>
      </c>
      <c r="G831">
        <v>1</v>
      </c>
      <c r="H831" s="36">
        <f>IFERROR(INDEX(Katalog!$D$3:$D$12,MATCH(Data[[#This Row],[ItemID A]],Katalog!$C$3:$C$12,0))*Data[[#This Row],[Qty A]],"0")</f>
        <v>1050000</v>
      </c>
      <c r="I831" s="36">
        <f>IFERROR(INDEX(Katalog!$F$3:$F$12,MATCH(Data[[#This Row],[ItemID A]],Katalog!$C$3:$C$12,0))*Data[[#This Row],[Qty A]],0)</f>
        <v>390000</v>
      </c>
      <c r="J831" t="s">
        <v>66</v>
      </c>
      <c r="K831" t="str">
        <f>IFERROR(INDEX(Katalog!$A$3:$A$12,MATCH(Data[[#This Row],[ItemID B]],Katalog!$C$3:$C$12,0)),"-")</f>
        <v>Sepatu Pria</v>
      </c>
      <c r="L831" t="str">
        <f>IFERROR(INDEX(Katalog!$B$3:$B$12,MATCH(Data[[#This Row],[ItemID B]],Katalog!$C$3:$C$12,0)),"-")</f>
        <v>Sandal Slip On</v>
      </c>
      <c r="M831">
        <v>2</v>
      </c>
      <c r="N831">
        <v>4</v>
      </c>
      <c r="O831" s="36">
        <f>IFERROR(INDEX(Katalog!$D$3:$D$12,MATCH(Data[[#This Row],[ItemID B]],Katalog!$C$3:$C$12,0))*Data[[#This Row],[Qty B]],"0")</f>
        <v>300000</v>
      </c>
      <c r="P831" s="36">
        <f>IFERROR(INDEX(Katalog!$F$3:$F$12,MATCH(Data[[#This Row],[ItemID B]],Katalog!$C$3:$C$12,0))*Data[[#This Row],[Qty B]],"0")</f>
        <v>120000</v>
      </c>
      <c r="Q831" t="s">
        <v>60</v>
      </c>
      <c r="R831" t="str">
        <f>IFERROR(INDEX(Katalog!$A$3:$A$12,MATCH(Data[[#This Row],[ItemID C]],Katalog!$C$3:$C$12,0)),"-")</f>
        <v>Pakaian Wanita</v>
      </c>
      <c r="S831" t="str">
        <f>IFERROR(INDEX(Katalog!$B$3:$B$12,MATCH(Data[[#This Row],[ItemID C]],Katalog!$C$3:$C$12,0)),"-")</f>
        <v>Kaftan</v>
      </c>
      <c r="T831">
        <v>1</v>
      </c>
      <c r="U831">
        <v>5</v>
      </c>
      <c r="V831" s="36">
        <f>IFERROR(INDEX(Katalog!$D$3:$D$12,MATCH(Data[[#This Row],[ItemID C]],Katalog!$C$3:$C$12,0))*Data[[#This Row],[Qty C]],"0")</f>
        <v>250000</v>
      </c>
      <c r="W831" s="36">
        <f>IFERROR(INDEX(Katalog!$F$3:$F$12,MATCH(Data[[#This Row],[ItemID C]],Katalog!$C$3:$C$12,0))*Data[[#This Row],[Qty C]],"0")</f>
        <v>100000</v>
      </c>
      <c r="X831" s="21">
        <f>Data[[#This Row],[Qty A]]+Data[[#This Row],[Qty B]]+Data[[#This Row],[Qty C]]</f>
        <v>6</v>
      </c>
      <c r="Y831" s="22">
        <f>Data[[#This Row],[Harga Barang A]]+Data[[#This Row],[Harga Barang B]]+Data[[#This Row],[Harga Barang C]]</f>
        <v>1600000</v>
      </c>
      <c r="Z831" s="35">
        <f>IFERROR(Data[[#This Row],[Total Harga]]-(Data[[#This Row],[Total Harga]]*Data[[#This Row],[Diskon]]),Data[[#This Row],[Total Harga]])</f>
        <v>1600000</v>
      </c>
      <c r="AA831" s="35">
        <f>(Data[[#This Row],[Profit A]]+Data[[#This Row],[Profit B]]+Data[[#This Row],[Profit C]])</f>
        <v>610000</v>
      </c>
      <c r="AB831" s="35">
        <f>IFERROR((Data[[#This Row],[Profit non Diskon]]-(Data[[#This Row],[Profit non Diskon]]*Data[[#This Row],[Diskon]])),Data[[#This Row],[Profit non Diskon]])</f>
        <v>610000</v>
      </c>
      <c r="AC831" s="23" t="s">
        <v>11</v>
      </c>
      <c r="AD831" s="37" t="str">
        <f>IFERROR(INDEX('Kode Diskon'!$D$3:$D$9,MATCH(Data[[#This Row],[Kode diskon]],'Kode Diskon'!$C$3:$C$9,0)),"-")</f>
        <v>-</v>
      </c>
      <c r="AE831" s="23" t="s">
        <v>11</v>
      </c>
      <c r="AF831" s="23" t="s">
        <v>14</v>
      </c>
      <c r="AG831" s="23" t="s">
        <v>78</v>
      </c>
      <c r="AH831" s="24">
        <v>45031</v>
      </c>
      <c r="AI831" s="23" t="str">
        <f>TEXT(Data[[#This Row],[Tanggal terjual]],"dddd")</f>
        <v>Saturday</v>
      </c>
      <c r="AJ831" s="21" t="str">
        <f>TEXT(Data[[#This Row],[Tanggal terjual]],"wwww")</f>
        <v>wwww</v>
      </c>
    </row>
    <row r="832" spans="1:36" x14ac:dyDescent="0.2">
      <c r="A832" s="20">
        <v>831</v>
      </c>
      <c r="B832" s="21" t="str">
        <f>_xlfn.CONCAT("ORD-",INDEX(Helper!$B$2:$B$5,MATCH(Data[[#This Row],[Marketplace]],Helper!$A$2:$A$5,0)),TEXT(Data[[#This Row],[No]],"0000"),"-",TEXT(Data[[#This Row],[Tanggal terjual]],"dd/mm/yy"))</f>
        <v>ORD-SP0831-18/04/23</v>
      </c>
      <c r="C832" t="s">
        <v>65</v>
      </c>
      <c r="D832" t="str">
        <f>IFERROR(INDEX(Katalog!$A$3:$A$12,MATCH(Data[[#This Row],[ItemID A]],Katalog!$C$3:$C$12,0)),"-")</f>
        <v>Sepatu Pria</v>
      </c>
      <c r="E832" t="str">
        <f>IFERROR(INDEX(Katalog!$B$3:$B$12,MATCH(Data[[#This Row],[ItemID A]],Katalog!$C$3:$C$12,0)),"-")</f>
        <v>Sneakers</v>
      </c>
      <c r="F832">
        <v>2</v>
      </c>
      <c r="G832">
        <v>5</v>
      </c>
      <c r="H832" s="36">
        <f>IFERROR(INDEX(Katalog!$D$3:$D$12,MATCH(Data[[#This Row],[ItemID A]],Katalog!$C$3:$C$12,0))*Data[[#This Row],[Qty A]],"0")</f>
        <v>1000000</v>
      </c>
      <c r="I832" s="36">
        <f>IFERROR(INDEX(Katalog!$F$3:$F$12,MATCH(Data[[#This Row],[ItemID A]],Katalog!$C$3:$C$12,0))*Data[[#This Row],[Qty A]],0)</f>
        <v>400000</v>
      </c>
      <c r="J832" t="s">
        <v>64</v>
      </c>
      <c r="K832" t="str">
        <f>IFERROR(INDEX(Katalog!$A$3:$A$12,MATCH(Data[[#This Row],[ItemID B]],Katalog!$C$3:$C$12,0)),"-")</f>
        <v>Pakaian Unisex</v>
      </c>
      <c r="L832" t="str">
        <f>IFERROR(INDEX(Katalog!$B$3:$B$12,MATCH(Data[[#This Row],[ItemID B]],Katalog!$C$3:$C$12,0)),"-")</f>
        <v>Jaket Hoodie</v>
      </c>
      <c r="M832">
        <v>1</v>
      </c>
      <c r="N832">
        <v>2</v>
      </c>
      <c r="O832" s="36">
        <f>IFERROR(INDEX(Katalog!$D$3:$D$12,MATCH(Data[[#This Row],[ItemID B]],Katalog!$C$3:$C$12,0))*Data[[#This Row],[Qty B]],"0")</f>
        <v>350000</v>
      </c>
      <c r="P832" s="36">
        <f>IFERROR(INDEX(Katalog!$F$3:$F$12,MATCH(Data[[#This Row],[ItemID B]],Katalog!$C$3:$C$12,0))*Data[[#This Row],[Qty B]],"0")</f>
        <v>130000</v>
      </c>
      <c r="Q832" t="s">
        <v>60</v>
      </c>
      <c r="R832" t="str">
        <f>IFERROR(INDEX(Katalog!$A$3:$A$12,MATCH(Data[[#This Row],[ItemID C]],Katalog!$C$3:$C$12,0)),"-")</f>
        <v>Pakaian Wanita</v>
      </c>
      <c r="S832" t="str">
        <f>IFERROR(INDEX(Katalog!$B$3:$B$12,MATCH(Data[[#This Row],[ItemID C]],Katalog!$C$3:$C$12,0)),"-")</f>
        <v>Kaftan</v>
      </c>
      <c r="T832">
        <v>2</v>
      </c>
      <c r="U832">
        <v>4</v>
      </c>
      <c r="V832" s="36">
        <f>IFERROR(INDEX(Katalog!$D$3:$D$12,MATCH(Data[[#This Row],[ItemID C]],Katalog!$C$3:$C$12,0))*Data[[#This Row],[Qty C]],"0")</f>
        <v>500000</v>
      </c>
      <c r="W832" s="36">
        <f>IFERROR(INDEX(Katalog!$F$3:$F$12,MATCH(Data[[#This Row],[ItemID C]],Katalog!$C$3:$C$12,0))*Data[[#This Row],[Qty C]],"0")</f>
        <v>200000</v>
      </c>
      <c r="X832" s="21">
        <f>Data[[#This Row],[Qty A]]+Data[[#This Row],[Qty B]]+Data[[#This Row],[Qty C]]</f>
        <v>5</v>
      </c>
      <c r="Y832" s="22">
        <f>Data[[#This Row],[Harga Barang A]]+Data[[#This Row],[Harga Barang B]]+Data[[#This Row],[Harga Barang C]]</f>
        <v>1850000</v>
      </c>
      <c r="Z832" s="35">
        <f>IFERROR(Data[[#This Row],[Total Harga]]-(Data[[#This Row],[Total Harga]]*Data[[#This Row],[Diskon]]),Data[[#This Row],[Total Harga]])</f>
        <v>1480000</v>
      </c>
      <c r="AA832" s="35">
        <f>(Data[[#This Row],[Profit A]]+Data[[#This Row],[Profit B]]+Data[[#This Row],[Profit C]])</f>
        <v>730000</v>
      </c>
      <c r="AB832" s="35">
        <f>IFERROR((Data[[#This Row],[Profit non Diskon]]-(Data[[#This Row],[Profit non Diskon]]*Data[[#This Row],[Diskon]])),Data[[#This Row],[Profit non Diskon]])</f>
        <v>584000</v>
      </c>
      <c r="AC832" s="23" t="s">
        <v>8</v>
      </c>
      <c r="AD832" s="37">
        <f>IFERROR(INDEX('Kode Diskon'!$D$3:$D$9,MATCH(Data[[#This Row],[Kode diskon]],'Kode Diskon'!$C$3:$C$9,0)),"-")</f>
        <v>0.2</v>
      </c>
      <c r="AE832" s="23" t="s">
        <v>9</v>
      </c>
      <c r="AF832" s="23" t="s">
        <v>7</v>
      </c>
      <c r="AG832" s="23" t="s">
        <v>80</v>
      </c>
      <c r="AH832" s="24">
        <v>45034</v>
      </c>
      <c r="AI832" s="23" t="str">
        <f>TEXT(Data[[#This Row],[Tanggal terjual]],"dddd")</f>
        <v>Tuesday</v>
      </c>
      <c r="AJ832" s="21" t="str">
        <f>TEXT(Data[[#This Row],[Tanggal terjual]],"wwww")</f>
        <v>wwww</v>
      </c>
    </row>
    <row r="833" spans="1:36" x14ac:dyDescent="0.2">
      <c r="A833" s="20">
        <v>832</v>
      </c>
      <c r="B833" s="21" t="str">
        <f>_xlfn.CONCAT("ORD-",INDEX(Helper!$B$2:$B$5,MATCH(Data[[#This Row],[Marketplace]],Helper!$A$2:$A$5,0)),TEXT(Data[[#This Row],[No]],"0000"),"-",TEXT(Data[[#This Row],[Tanggal terjual]],"dd/mm/yy"))</f>
        <v>ORD-BL0832-26/04/23</v>
      </c>
      <c r="C833" t="s">
        <v>58</v>
      </c>
      <c r="D833" t="str">
        <f>IFERROR(INDEX(Katalog!$A$3:$A$12,MATCH(Data[[#This Row],[ItemID A]],Katalog!$C$3:$C$12,0)),"-")</f>
        <v>Pakaian Wanita</v>
      </c>
      <c r="E833" t="str">
        <f>IFERROR(INDEX(Katalog!$B$3:$B$12,MATCH(Data[[#This Row],[ItemID A]],Katalog!$C$3:$C$12,0)),"-")</f>
        <v>Dress</v>
      </c>
      <c r="F833">
        <v>1</v>
      </c>
      <c r="G833">
        <v>1</v>
      </c>
      <c r="H833" s="36">
        <f>IFERROR(INDEX(Katalog!$D$3:$D$12,MATCH(Data[[#This Row],[ItemID A]],Katalog!$C$3:$C$12,0))*Data[[#This Row],[Qty A]],"0")</f>
        <v>300000</v>
      </c>
      <c r="I833" s="36">
        <f>IFERROR(INDEX(Katalog!$F$3:$F$12,MATCH(Data[[#This Row],[ItemID A]],Katalog!$C$3:$C$12,0))*Data[[#This Row],[Qty A]],0)</f>
        <v>100000</v>
      </c>
      <c r="J833" t="s">
        <v>58</v>
      </c>
      <c r="K833" t="str">
        <f>IFERROR(INDEX(Katalog!$A$3:$A$12,MATCH(Data[[#This Row],[ItemID B]],Katalog!$C$3:$C$12,0)),"-")</f>
        <v>Pakaian Wanita</v>
      </c>
      <c r="L833" t="str">
        <f>IFERROR(INDEX(Katalog!$B$3:$B$12,MATCH(Data[[#This Row],[ItemID B]],Katalog!$C$3:$C$12,0)),"-")</f>
        <v>Dress</v>
      </c>
      <c r="M833">
        <v>1</v>
      </c>
      <c r="N833">
        <v>4</v>
      </c>
      <c r="O833" s="36">
        <f>IFERROR(INDEX(Katalog!$D$3:$D$12,MATCH(Data[[#This Row],[ItemID B]],Katalog!$C$3:$C$12,0))*Data[[#This Row],[Qty B]],"0")</f>
        <v>300000</v>
      </c>
      <c r="P833" s="36">
        <f>IFERROR(INDEX(Katalog!$F$3:$F$12,MATCH(Data[[#This Row],[ItemID B]],Katalog!$C$3:$C$12,0))*Data[[#This Row],[Qty B]],"0")</f>
        <v>100000</v>
      </c>
      <c r="Q833" t="s">
        <v>58</v>
      </c>
      <c r="R833" t="str">
        <f>IFERROR(INDEX(Katalog!$A$3:$A$12,MATCH(Data[[#This Row],[ItemID C]],Katalog!$C$3:$C$12,0)),"-")</f>
        <v>Pakaian Wanita</v>
      </c>
      <c r="S833" t="str">
        <f>IFERROR(INDEX(Katalog!$B$3:$B$12,MATCH(Data[[#This Row],[ItemID C]],Katalog!$C$3:$C$12,0)),"-")</f>
        <v>Dress</v>
      </c>
      <c r="T833">
        <v>1</v>
      </c>
      <c r="U833">
        <v>2</v>
      </c>
      <c r="V833" s="36">
        <f>IFERROR(INDEX(Katalog!$D$3:$D$12,MATCH(Data[[#This Row],[ItemID C]],Katalog!$C$3:$C$12,0))*Data[[#This Row],[Qty C]],"0")</f>
        <v>300000</v>
      </c>
      <c r="W833" s="36">
        <f>IFERROR(INDEX(Katalog!$F$3:$F$12,MATCH(Data[[#This Row],[ItemID C]],Katalog!$C$3:$C$12,0))*Data[[#This Row],[Qty C]],"0")</f>
        <v>100000</v>
      </c>
      <c r="X833" s="21">
        <f>Data[[#This Row],[Qty A]]+Data[[#This Row],[Qty B]]+Data[[#This Row],[Qty C]]</f>
        <v>3</v>
      </c>
      <c r="Y833" s="22">
        <f>Data[[#This Row],[Harga Barang A]]+Data[[#This Row],[Harga Barang B]]+Data[[#This Row],[Harga Barang C]]</f>
        <v>900000</v>
      </c>
      <c r="Z833" s="35">
        <f>IFERROR(Data[[#This Row],[Total Harga]]-(Data[[#This Row],[Total Harga]]*Data[[#This Row],[Diskon]]),Data[[#This Row],[Total Harga]])</f>
        <v>765000</v>
      </c>
      <c r="AA833" s="35">
        <f>(Data[[#This Row],[Profit A]]+Data[[#This Row],[Profit B]]+Data[[#This Row],[Profit C]])</f>
        <v>300000</v>
      </c>
      <c r="AB833" s="35">
        <f>IFERROR((Data[[#This Row],[Profit non Diskon]]-(Data[[#This Row],[Profit non Diskon]]*Data[[#This Row],[Diskon]])),Data[[#This Row],[Profit non Diskon]])</f>
        <v>255000</v>
      </c>
      <c r="AC833" s="23" t="s">
        <v>32</v>
      </c>
      <c r="AD833" s="37">
        <f>IFERROR(INDEX('Kode Diskon'!$D$3:$D$9,MATCH(Data[[#This Row],[Kode diskon]],'Kode Diskon'!$C$3:$C$9,0)),"-")</f>
        <v>0.15</v>
      </c>
      <c r="AE833" s="23" t="s">
        <v>9</v>
      </c>
      <c r="AF833" s="23" t="s">
        <v>12</v>
      </c>
      <c r="AG833" s="23" t="s">
        <v>80</v>
      </c>
      <c r="AH833" s="24">
        <v>45042</v>
      </c>
      <c r="AI833" s="23" t="str">
        <f>TEXT(Data[[#This Row],[Tanggal terjual]],"dddd")</f>
        <v>Wednesday</v>
      </c>
      <c r="AJ833" s="21" t="str">
        <f>TEXT(Data[[#This Row],[Tanggal terjual]],"wwww")</f>
        <v>wwww</v>
      </c>
    </row>
    <row r="834" spans="1:36" x14ac:dyDescent="0.2">
      <c r="A834" s="20">
        <v>833</v>
      </c>
      <c r="B834" s="21" t="str">
        <f>_xlfn.CONCAT("ORD-",INDEX(Helper!$B$2:$B$5,MATCH(Data[[#This Row],[Marketplace]],Helper!$A$2:$A$5,0)),TEXT(Data[[#This Row],[No]],"0000"),"-",TEXT(Data[[#This Row],[Tanggal terjual]],"dd/mm/yy"))</f>
        <v>ORD-SP0833-02/04/23</v>
      </c>
      <c r="C834" t="s">
        <v>60</v>
      </c>
      <c r="D834" t="str">
        <f>IFERROR(INDEX(Katalog!$A$3:$A$12,MATCH(Data[[#This Row],[ItemID A]],Katalog!$C$3:$C$12,0)),"-")</f>
        <v>Pakaian Wanita</v>
      </c>
      <c r="E834" t="str">
        <f>IFERROR(INDEX(Katalog!$B$3:$B$12,MATCH(Data[[#This Row],[ItemID A]],Katalog!$C$3:$C$12,0)),"-")</f>
        <v>Kaftan</v>
      </c>
      <c r="F834">
        <v>4</v>
      </c>
      <c r="G834">
        <v>3</v>
      </c>
      <c r="H834" s="36">
        <f>IFERROR(INDEX(Katalog!$D$3:$D$12,MATCH(Data[[#This Row],[ItemID A]],Katalog!$C$3:$C$12,0))*Data[[#This Row],[Qty A]],"0")</f>
        <v>1000000</v>
      </c>
      <c r="I834" s="36">
        <f>IFERROR(INDEX(Katalog!$F$3:$F$12,MATCH(Data[[#This Row],[ItemID A]],Katalog!$C$3:$C$12,0))*Data[[#This Row],[Qty A]],0)</f>
        <v>400000</v>
      </c>
      <c r="J834" t="s">
        <v>64</v>
      </c>
      <c r="K834" t="str">
        <f>IFERROR(INDEX(Katalog!$A$3:$A$12,MATCH(Data[[#This Row],[ItemID B]],Katalog!$C$3:$C$12,0)),"-")</f>
        <v>Pakaian Unisex</v>
      </c>
      <c r="L834" t="str">
        <f>IFERROR(INDEX(Katalog!$B$3:$B$12,MATCH(Data[[#This Row],[ItemID B]],Katalog!$C$3:$C$12,0)),"-")</f>
        <v>Jaket Hoodie</v>
      </c>
      <c r="M834">
        <v>1</v>
      </c>
      <c r="N834">
        <v>2</v>
      </c>
      <c r="O834" s="36">
        <f>IFERROR(INDEX(Katalog!$D$3:$D$12,MATCH(Data[[#This Row],[ItemID B]],Katalog!$C$3:$C$12,0))*Data[[#This Row],[Qty B]],"0")</f>
        <v>350000</v>
      </c>
      <c r="P834" s="36">
        <f>IFERROR(INDEX(Katalog!$F$3:$F$12,MATCH(Data[[#This Row],[ItemID B]],Katalog!$C$3:$C$12,0))*Data[[#This Row],[Qty B]],"0")</f>
        <v>130000</v>
      </c>
      <c r="Q834" t="s">
        <v>58</v>
      </c>
      <c r="R834" t="str">
        <f>IFERROR(INDEX(Katalog!$A$3:$A$12,MATCH(Data[[#This Row],[ItemID C]],Katalog!$C$3:$C$12,0)),"-")</f>
        <v>Pakaian Wanita</v>
      </c>
      <c r="S834" t="str">
        <f>IFERROR(INDEX(Katalog!$B$3:$B$12,MATCH(Data[[#This Row],[ItemID C]],Katalog!$C$3:$C$12,0)),"-")</f>
        <v>Dress</v>
      </c>
      <c r="T834">
        <v>2</v>
      </c>
      <c r="U834">
        <v>5</v>
      </c>
      <c r="V834" s="36">
        <f>IFERROR(INDEX(Katalog!$D$3:$D$12,MATCH(Data[[#This Row],[ItemID C]],Katalog!$C$3:$C$12,0))*Data[[#This Row],[Qty C]],"0")</f>
        <v>600000</v>
      </c>
      <c r="W834" s="36">
        <f>IFERROR(INDEX(Katalog!$F$3:$F$12,MATCH(Data[[#This Row],[ItemID C]],Katalog!$C$3:$C$12,0))*Data[[#This Row],[Qty C]],"0")</f>
        <v>200000</v>
      </c>
      <c r="X834" s="21">
        <f>Data[[#This Row],[Qty A]]+Data[[#This Row],[Qty B]]+Data[[#This Row],[Qty C]]</f>
        <v>7</v>
      </c>
      <c r="Y834" s="22">
        <f>Data[[#This Row],[Harga Barang A]]+Data[[#This Row],[Harga Barang B]]+Data[[#This Row],[Harga Barang C]]</f>
        <v>1950000</v>
      </c>
      <c r="Z834" s="35">
        <f>IFERROR(Data[[#This Row],[Total Harga]]-(Data[[#This Row],[Total Harga]]*Data[[#This Row],[Diskon]]),Data[[#This Row],[Total Harga]])</f>
        <v>1657500</v>
      </c>
      <c r="AA834" s="35">
        <f>(Data[[#This Row],[Profit A]]+Data[[#This Row],[Profit B]]+Data[[#This Row],[Profit C]])</f>
        <v>730000</v>
      </c>
      <c r="AB834" s="35">
        <f>IFERROR((Data[[#This Row],[Profit non Diskon]]-(Data[[#This Row],[Profit non Diskon]]*Data[[#This Row],[Diskon]])),Data[[#This Row],[Profit non Diskon]])</f>
        <v>620500</v>
      </c>
      <c r="AC834" s="23" t="s">
        <v>13</v>
      </c>
      <c r="AD834" s="37">
        <f>IFERROR(INDEX('Kode Diskon'!$D$3:$D$9,MATCH(Data[[#This Row],[Kode diskon]],'Kode Diskon'!$C$3:$C$9,0)),"-")</f>
        <v>0.15</v>
      </c>
      <c r="AE834" s="23" t="s">
        <v>29</v>
      </c>
      <c r="AF834" s="23" t="s">
        <v>7</v>
      </c>
      <c r="AG834" s="23" t="s">
        <v>75</v>
      </c>
      <c r="AH834" s="24">
        <v>45018</v>
      </c>
      <c r="AI834" s="23" t="str">
        <f>TEXT(Data[[#This Row],[Tanggal terjual]],"dddd")</f>
        <v>Sunday</v>
      </c>
      <c r="AJ834" s="21" t="str">
        <f>TEXT(Data[[#This Row],[Tanggal terjual]],"wwww")</f>
        <v>wwww</v>
      </c>
    </row>
    <row r="835" spans="1:36" x14ac:dyDescent="0.2">
      <c r="A835" s="20">
        <v>834</v>
      </c>
      <c r="B835" s="21" t="str">
        <f>_xlfn.CONCAT("ORD-",INDEX(Helper!$B$2:$B$5,MATCH(Data[[#This Row],[Marketplace]],Helper!$A$2:$A$5,0)),TEXT(Data[[#This Row],[No]],"0000"),"-",TEXT(Data[[#This Row],[Tanggal terjual]],"dd/mm/yy"))</f>
        <v>ORD-BL0834-22/04/23</v>
      </c>
      <c r="C835" t="s">
        <v>58</v>
      </c>
      <c r="D835" t="str">
        <f>IFERROR(INDEX(Katalog!$A$3:$A$12,MATCH(Data[[#This Row],[ItemID A]],Katalog!$C$3:$C$12,0)),"-")</f>
        <v>Pakaian Wanita</v>
      </c>
      <c r="E835" t="str">
        <f>IFERROR(INDEX(Katalog!$B$3:$B$12,MATCH(Data[[#This Row],[ItemID A]],Katalog!$C$3:$C$12,0)),"-")</f>
        <v>Dress</v>
      </c>
      <c r="F835">
        <v>1</v>
      </c>
      <c r="G835">
        <v>5</v>
      </c>
      <c r="H835" s="36">
        <f>IFERROR(INDEX(Katalog!$D$3:$D$12,MATCH(Data[[#This Row],[ItemID A]],Katalog!$C$3:$C$12,0))*Data[[#This Row],[Qty A]],"0")</f>
        <v>300000</v>
      </c>
      <c r="I835" s="36">
        <f>IFERROR(INDEX(Katalog!$F$3:$F$12,MATCH(Data[[#This Row],[ItemID A]],Katalog!$C$3:$C$12,0))*Data[[#This Row],[Qty A]],0)</f>
        <v>100000</v>
      </c>
      <c r="K835" t="str">
        <f>IFERROR(INDEX(Katalog!$A$3:$A$12,MATCH(Data[[#This Row],[ItemID B]],Katalog!$C$3:$C$12,0)),"-")</f>
        <v>-</v>
      </c>
      <c r="L835" t="str">
        <f>IFERROR(INDEX(Katalog!$B$3:$B$12,MATCH(Data[[#This Row],[ItemID B]],Katalog!$C$3:$C$12,0)),"-")</f>
        <v>-</v>
      </c>
      <c r="O835" s="36" t="str">
        <f>IFERROR(INDEX(Katalog!$D$3:$D$12,MATCH(Data[[#This Row],[ItemID B]],Katalog!$C$3:$C$12,0))*Data[[#This Row],[Qty B]],"0")</f>
        <v>0</v>
      </c>
      <c r="P835" s="36" t="str">
        <f>IFERROR(INDEX(Katalog!$F$3:$F$12,MATCH(Data[[#This Row],[ItemID B]],Katalog!$C$3:$C$12,0))*Data[[#This Row],[Qty B]],"0")</f>
        <v>0</v>
      </c>
      <c r="R835" t="str">
        <f>IFERROR(INDEX(Katalog!$A$3:$A$12,MATCH(Data[[#This Row],[ItemID C]],Katalog!$C$3:$C$12,0)),"-")</f>
        <v>-</v>
      </c>
      <c r="S835" t="str">
        <f>IFERROR(INDEX(Katalog!$B$3:$B$12,MATCH(Data[[#This Row],[ItemID C]],Katalog!$C$3:$C$12,0)),"-")</f>
        <v>-</v>
      </c>
      <c r="V835" s="36" t="str">
        <f>IFERROR(INDEX(Katalog!$D$3:$D$12,MATCH(Data[[#This Row],[ItemID C]],Katalog!$C$3:$C$12,0))*Data[[#This Row],[Qty C]],"0")</f>
        <v>0</v>
      </c>
      <c r="W835" s="36" t="str">
        <f>IFERROR(INDEX(Katalog!$F$3:$F$12,MATCH(Data[[#This Row],[ItemID C]],Katalog!$C$3:$C$12,0))*Data[[#This Row],[Qty C]],"0")</f>
        <v>0</v>
      </c>
      <c r="X835" s="21">
        <f>Data[[#This Row],[Qty A]]+Data[[#This Row],[Qty B]]+Data[[#This Row],[Qty C]]</f>
        <v>1</v>
      </c>
      <c r="Y835" s="22">
        <f>Data[[#This Row],[Harga Barang A]]+Data[[#This Row],[Harga Barang B]]+Data[[#This Row],[Harga Barang C]]</f>
        <v>300000</v>
      </c>
      <c r="Z835" s="35">
        <f>IFERROR(Data[[#This Row],[Total Harga]]-(Data[[#This Row],[Total Harga]]*Data[[#This Row],[Diskon]]),Data[[#This Row],[Total Harga]])</f>
        <v>255000</v>
      </c>
      <c r="AA835" s="35">
        <f>(Data[[#This Row],[Profit A]]+Data[[#This Row],[Profit B]]+Data[[#This Row],[Profit C]])</f>
        <v>100000</v>
      </c>
      <c r="AB835" s="35">
        <f>IFERROR((Data[[#This Row],[Profit non Diskon]]-(Data[[#This Row],[Profit non Diskon]]*Data[[#This Row],[Diskon]])),Data[[#This Row],[Profit non Diskon]])</f>
        <v>85000</v>
      </c>
      <c r="AC835" s="23" t="s">
        <v>32</v>
      </c>
      <c r="AD835" s="37">
        <f>IFERROR(INDEX('Kode Diskon'!$D$3:$D$9,MATCH(Data[[#This Row],[Kode diskon]],'Kode Diskon'!$C$3:$C$9,0)),"-")</f>
        <v>0.15</v>
      </c>
      <c r="AE835" s="23" t="s">
        <v>9</v>
      </c>
      <c r="AF835" s="23" t="s">
        <v>12</v>
      </c>
      <c r="AG835" s="23" t="s">
        <v>76</v>
      </c>
      <c r="AH835" s="24">
        <v>45038</v>
      </c>
      <c r="AI835" s="23" t="str">
        <f>TEXT(Data[[#This Row],[Tanggal terjual]],"dddd")</f>
        <v>Saturday</v>
      </c>
      <c r="AJ835" s="21" t="str">
        <f>TEXT(Data[[#This Row],[Tanggal terjual]],"wwww")</f>
        <v>wwww</v>
      </c>
    </row>
    <row r="836" spans="1:36" x14ac:dyDescent="0.2">
      <c r="A836" s="20">
        <v>835</v>
      </c>
      <c r="B836" s="21" t="str">
        <f>_xlfn.CONCAT("ORD-",INDEX(Helper!$B$2:$B$5,MATCH(Data[[#This Row],[Marketplace]],Helper!$A$2:$A$5,0)),TEXT(Data[[#This Row],[No]],"0000"),"-",TEXT(Data[[#This Row],[Tanggal terjual]],"dd/mm/yy"))</f>
        <v>ORD-SP0835-03/04/23</v>
      </c>
      <c r="C836" t="s">
        <v>66</v>
      </c>
      <c r="D836" t="str">
        <f>IFERROR(INDEX(Katalog!$A$3:$A$12,MATCH(Data[[#This Row],[ItemID A]],Katalog!$C$3:$C$12,0)),"-")</f>
        <v>Sepatu Pria</v>
      </c>
      <c r="E836" t="str">
        <f>IFERROR(INDEX(Katalog!$B$3:$B$12,MATCH(Data[[#This Row],[ItemID A]],Katalog!$C$3:$C$12,0)),"-")</f>
        <v>Sandal Slip On</v>
      </c>
      <c r="F836">
        <v>1</v>
      </c>
      <c r="G836">
        <v>5</v>
      </c>
      <c r="H836" s="36">
        <f>IFERROR(INDEX(Katalog!$D$3:$D$12,MATCH(Data[[#This Row],[ItemID A]],Katalog!$C$3:$C$12,0))*Data[[#This Row],[Qty A]],"0")</f>
        <v>150000</v>
      </c>
      <c r="I836" s="36">
        <f>IFERROR(INDEX(Katalog!$F$3:$F$12,MATCH(Data[[#This Row],[ItemID A]],Katalog!$C$3:$C$12,0))*Data[[#This Row],[Qty A]],0)</f>
        <v>60000</v>
      </c>
      <c r="K836" t="str">
        <f>IFERROR(INDEX(Katalog!$A$3:$A$12,MATCH(Data[[#This Row],[ItemID B]],Katalog!$C$3:$C$12,0)),"-")</f>
        <v>-</v>
      </c>
      <c r="L836" t="str">
        <f>IFERROR(INDEX(Katalog!$B$3:$B$12,MATCH(Data[[#This Row],[ItemID B]],Katalog!$C$3:$C$12,0)),"-")</f>
        <v>-</v>
      </c>
      <c r="O836" s="36" t="str">
        <f>IFERROR(INDEX(Katalog!$D$3:$D$12,MATCH(Data[[#This Row],[ItemID B]],Katalog!$C$3:$C$12,0))*Data[[#This Row],[Qty B]],"0")</f>
        <v>0</v>
      </c>
      <c r="P836" s="36" t="str">
        <f>IFERROR(INDEX(Katalog!$F$3:$F$12,MATCH(Data[[#This Row],[ItemID B]],Katalog!$C$3:$C$12,0))*Data[[#This Row],[Qty B]],"0")</f>
        <v>0</v>
      </c>
      <c r="R836" t="str">
        <f>IFERROR(INDEX(Katalog!$A$3:$A$12,MATCH(Data[[#This Row],[ItemID C]],Katalog!$C$3:$C$12,0)),"-")</f>
        <v>-</v>
      </c>
      <c r="S836" t="str">
        <f>IFERROR(INDEX(Katalog!$B$3:$B$12,MATCH(Data[[#This Row],[ItemID C]],Katalog!$C$3:$C$12,0)),"-")</f>
        <v>-</v>
      </c>
      <c r="V836" s="36" t="str">
        <f>IFERROR(INDEX(Katalog!$D$3:$D$12,MATCH(Data[[#This Row],[ItemID C]],Katalog!$C$3:$C$12,0))*Data[[#This Row],[Qty C]],"0")</f>
        <v>0</v>
      </c>
      <c r="W836" s="36" t="str">
        <f>IFERROR(INDEX(Katalog!$F$3:$F$12,MATCH(Data[[#This Row],[ItemID C]],Katalog!$C$3:$C$12,0))*Data[[#This Row],[Qty C]],"0")</f>
        <v>0</v>
      </c>
      <c r="X836" s="21">
        <f>Data[[#This Row],[Qty A]]+Data[[#This Row],[Qty B]]+Data[[#This Row],[Qty C]]</f>
        <v>1</v>
      </c>
      <c r="Y836" s="22">
        <f>Data[[#This Row],[Harga Barang A]]+Data[[#This Row],[Harga Barang B]]+Data[[#This Row],[Harga Barang C]]</f>
        <v>150000</v>
      </c>
      <c r="Z836" s="35">
        <f>IFERROR(Data[[#This Row],[Total Harga]]-(Data[[#This Row],[Total Harga]]*Data[[#This Row],[Diskon]]),Data[[#This Row],[Total Harga]])</f>
        <v>135000</v>
      </c>
      <c r="AA836" s="35">
        <f>(Data[[#This Row],[Profit A]]+Data[[#This Row],[Profit B]]+Data[[#This Row],[Profit C]])</f>
        <v>60000</v>
      </c>
      <c r="AB836" s="35">
        <f>IFERROR((Data[[#This Row],[Profit non Diskon]]-(Data[[#This Row],[Profit non Diskon]]*Data[[#This Row],[Diskon]])),Data[[#This Row],[Profit non Diskon]])</f>
        <v>54000</v>
      </c>
      <c r="AC836" s="23" t="s">
        <v>6</v>
      </c>
      <c r="AD836" s="37">
        <f>IFERROR(INDEX('Kode Diskon'!$D$3:$D$9,MATCH(Data[[#This Row],[Kode diskon]],'Kode Diskon'!$C$3:$C$9,0)),"-")</f>
        <v>0.1</v>
      </c>
      <c r="AE836" s="23" t="s">
        <v>29</v>
      </c>
      <c r="AF836" s="23" t="s">
        <v>7</v>
      </c>
      <c r="AG836" s="23" t="s">
        <v>79</v>
      </c>
      <c r="AH836" s="24">
        <v>45019</v>
      </c>
      <c r="AI836" s="23" t="str">
        <f>TEXT(Data[[#This Row],[Tanggal terjual]],"dddd")</f>
        <v>Monday</v>
      </c>
      <c r="AJ836" s="21" t="str">
        <f>TEXT(Data[[#This Row],[Tanggal terjual]],"wwww")</f>
        <v>wwww</v>
      </c>
    </row>
    <row r="837" spans="1:36" x14ac:dyDescent="0.2">
      <c r="A837" s="20">
        <v>836</v>
      </c>
      <c r="B837" s="21" t="str">
        <f>_xlfn.CONCAT("ORD-",INDEX(Helper!$B$2:$B$5,MATCH(Data[[#This Row],[Marketplace]],Helper!$A$2:$A$5,0)),TEXT(Data[[#This Row],[No]],"0000"),"-",TEXT(Data[[#This Row],[Tanggal terjual]],"dd/mm/yy"))</f>
        <v>ORD-SP0836-02/04/23</v>
      </c>
      <c r="C837" t="s">
        <v>67</v>
      </c>
      <c r="D837" t="str">
        <f>IFERROR(INDEX(Katalog!$A$3:$A$12,MATCH(Data[[#This Row],[ItemID A]],Katalog!$C$3:$C$12,0)),"-")</f>
        <v>Sepatu Wanita</v>
      </c>
      <c r="E837" t="str">
        <f>IFERROR(INDEX(Katalog!$B$3:$B$12,MATCH(Data[[#This Row],[ItemID A]],Katalog!$C$3:$C$12,0)),"-")</f>
        <v>Flat Shoes</v>
      </c>
      <c r="F837">
        <v>1</v>
      </c>
      <c r="G837">
        <v>5</v>
      </c>
      <c r="H837" s="36">
        <f>IFERROR(INDEX(Katalog!$D$3:$D$12,MATCH(Data[[#This Row],[ItemID A]],Katalog!$C$3:$C$12,0))*Data[[#This Row],[Qty A]],"0")</f>
        <v>250000</v>
      </c>
      <c r="I837" s="36">
        <f>IFERROR(INDEX(Katalog!$F$3:$F$12,MATCH(Data[[#This Row],[ItemID A]],Katalog!$C$3:$C$12,0))*Data[[#This Row],[Qty A]],0)</f>
        <v>100000</v>
      </c>
      <c r="K837" t="str">
        <f>IFERROR(INDEX(Katalog!$A$3:$A$12,MATCH(Data[[#This Row],[ItemID B]],Katalog!$C$3:$C$12,0)),"-")</f>
        <v>-</v>
      </c>
      <c r="L837" t="str">
        <f>IFERROR(INDEX(Katalog!$B$3:$B$12,MATCH(Data[[#This Row],[ItemID B]],Katalog!$C$3:$C$12,0)),"-")</f>
        <v>-</v>
      </c>
      <c r="O837" s="36" t="str">
        <f>IFERROR(INDEX(Katalog!$D$3:$D$12,MATCH(Data[[#This Row],[ItemID B]],Katalog!$C$3:$C$12,0))*Data[[#This Row],[Qty B]],"0")</f>
        <v>0</v>
      </c>
      <c r="P837" s="36" t="str">
        <f>IFERROR(INDEX(Katalog!$F$3:$F$12,MATCH(Data[[#This Row],[ItemID B]],Katalog!$C$3:$C$12,0))*Data[[#This Row],[Qty B]],"0")</f>
        <v>0</v>
      </c>
      <c r="R837" t="str">
        <f>IFERROR(INDEX(Katalog!$A$3:$A$12,MATCH(Data[[#This Row],[ItemID C]],Katalog!$C$3:$C$12,0)),"-")</f>
        <v>-</v>
      </c>
      <c r="S837" t="str">
        <f>IFERROR(INDEX(Katalog!$B$3:$B$12,MATCH(Data[[#This Row],[ItemID C]],Katalog!$C$3:$C$12,0)),"-")</f>
        <v>-</v>
      </c>
      <c r="V837" s="36" t="str">
        <f>IFERROR(INDEX(Katalog!$D$3:$D$12,MATCH(Data[[#This Row],[ItemID C]],Katalog!$C$3:$C$12,0))*Data[[#This Row],[Qty C]],"0")</f>
        <v>0</v>
      </c>
      <c r="W837" s="36" t="str">
        <f>IFERROR(INDEX(Katalog!$F$3:$F$12,MATCH(Data[[#This Row],[ItemID C]],Katalog!$C$3:$C$12,0))*Data[[#This Row],[Qty C]],"0")</f>
        <v>0</v>
      </c>
      <c r="X837" s="21">
        <f>Data[[#This Row],[Qty A]]+Data[[#This Row],[Qty B]]+Data[[#This Row],[Qty C]]</f>
        <v>1</v>
      </c>
      <c r="Y837" s="22">
        <f>Data[[#This Row],[Harga Barang A]]+Data[[#This Row],[Harga Barang B]]+Data[[#This Row],[Harga Barang C]]</f>
        <v>250000</v>
      </c>
      <c r="Z837" s="35">
        <f>IFERROR(Data[[#This Row],[Total Harga]]-(Data[[#This Row],[Total Harga]]*Data[[#This Row],[Diskon]]),Data[[#This Row],[Total Harga]])</f>
        <v>212500</v>
      </c>
      <c r="AA837" s="35">
        <f>(Data[[#This Row],[Profit A]]+Data[[#This Row],[Profit B]]+Data[[#This Row],[Profit C]])</f>
        <v>100000</v>
      </c>
      <c r="AB837" s="35">
        <f>IFERROR((Data[[#This Row],[Profit non Diskon]]-(Data[[#This Row],[Profit non Diskon]]*Data[[#This Row],[Diskon]])),Data[[#This Row],[Profit non Diskon]])</f>
        <v>85000</v>
      </c>
      <c r="AC837" s="23" t="s">
        <v>13</v>
      </c>
      <c r="AD837" s="37">
        <f>IFERROR(INDEX('Kode Diskon'!$D$3:$D$9,MATCH(Data[[#This Row],[Kode diskon]],'Kode Diskon'!$C$3:$C$9,0)),"-")</f>
        <v>0.15</v>
      </c>
      <c r="AE837" s="23" t="s">
        <v>29</v>
      </c>
      <c r="AF837" s="23" t="s">
        <v>7</v>
      </c>
      <c r="AG837" s="23" t="s">
        <v>80</v>
      </c>
      <c r="AH837" s="24">
        <v>45018</v>
      </c>
      <c r="AI837" s="23" t="str">
        <f>TEXT(Data[[#This Row],[Tanggal terjual]],"dddd")</f>
        <v>Sunday</v>
      </c>
      <c r="AJ837" s="21" t="str">
        <f>TEXT(Data[[#This Row],[Tanggal terjual]],"wwww")</f>
        <v>wwww</v>
      </c>
    </row>
    <row r="838" spans="1:36" x14ac:dyDescent="0.2">
      <c r="A838" s="20">
        <v>837</v>
      </c>
      <c r="B838" s="21" t="str">
        <f>_xlfn.CONCAT("ORD-",INDEX(Helper!$B$2:$B$5,MATCH(Data[[#This Row],[Marketplace]],Helper!$A$2:$A$5,0)),TEXT(Data[[#This Row],[No]],"0000"),"-",TEXT(Data[[#This Row],[Tanggal terjual]],"dd/mm/yy"))</f>
        <v>ORD-TK0837-04/04/23</v>
      </c>
      <c r="C838" t="s">
        <v>66</v>
      </c>
      <c r="D838" t="str">
        <f>IFERROR(INDEX(Katalog!$A$3:$A$12,MATCH(Data[[#This Row],[ItemID A]],Katalog!$C$3:$C$12,0)),"-")</f>
        <v>Sepatu Pria</v>
      </c>
      <c r="E838" t="str">
        <f>IFERROR(INDEX(Katalog!$B$3:$B$12,MATCH(Data[[#This Row],[ItemID A]],Katalog!$C$3:$C$12,0)),"-")</f>
        <v>Sandal Slip On</v>
      </c>
      <c r="F838">
        <v>7</v>
      </c>
      <c r="G838">
        <v>4</v>
      </c>
      <c r="H838" s="36">
        <f>IFERROR(INDEX(Katalog!$D$3:$D$12,MATCH(Data[[#This Row],[ItemID A]],Katalog!$C$3:$C$12,0))*Data[[#This Row],[Qty A]],"0")</f>
        <v>1050000</v>
      </c>
      <c r="I838" s="36">
        <f>IFERROR(INDEX(Katalog!$F$3:$F$12,MATCH(Data[[#This Row],[ItemID A]],Katalog!$C$3:$C$12,0))*Data[[#This Row],[Qty A]],0)</f>
        <v>420000</v>
      </c>
      <c r="K838" t="str">
        <f>IFERROR(INDEX(Katalog!$A$3:$A$12,MATCH(Data[[#This Row],[ItemID B]],Katalog!$C$3:$C$12,0)),"-")</f>
        <v>-</v>
      </c>
      <c r="L838" t="str">
        <f>IFERROR(INDEX(Katalog!$B$3:$B$12,MATCH(Data[[#This Row],[ItemID B]],Katalog!$C$3:$C$12,0)),"-")</f>
        <v>-</v>
      </c>
      <c r="O838" s="36" t="str">
        <f>IFERROR(INDEX(Katalog!$D$3:$D$12,MATCH(Data[[#This Row],[ItemID B]],Katalog!$C$3:$C$12,0))*Data[[#This Row],[Qty B]],"0")</f>
        <v>0</v>
      </c>
      <c r="P838" s="36" t="str">
        <f>IFERROR(INDEX(Katalog!$F$3:$F$12,MATCH(Data[[#This Row],[ItemID B]],Katalog!$C$3:$C$12,0))*Data[[#This Row],[Qty B]],"0")</f>
        <v>0</v>
      </c>
      <c r="R838" t="str">
        <f>IFERROR(INDEX(Katalog!$A$3:$A$12,MATCH(Data[[#This Row],[ItemID C]],Katalog!$C$3:$C$12,0)),"-")</f>
        <v>-</v>
      </c>
      <c r="S838" t="str">
        <f>IFERROR(INDEX(Katalog!$B$3:$B$12,MATCH(Data[[#This Row],[ItemID C]],Katalog!$C$3:$C$12,0)),"-")</f>
        <v>-</v>
      </c>
      <c r="V838" s="36" t="str">
        <f>IFERROR(INDEX(Katalog!$D$3:$D$12,MATCH(Data[[#This Row],[ItemID C]],Katalog!$C$3:$C$12,0))*Data[[#This Row],[Qty C]],"0")</f>
        <v>0</v>
      </c>
      <c r="W838" s="36" t="str">
        <f>IFERROR(INDEX(Katalog!$F$3:$F$12,MATCH(Data[[#This Row],[ItemID C]],Katalog!$C$3:$C$12,0))*Data[[#This Row],[Qty C]],"0")</f>
        <v>0</v>
      </c>
      <c r="X838" s="21">
        <f>Data[[#This Row],[Qty A]]+Data[[#This Row],[Qty B]]+Data[[#This Row],[Qty C]]</f>
        <v>7</v>
      </c>
      <c r="Y838" s="22">
        <f>Data[[#This Row],[Harga Barang A]]+Data[[#This Row],[Harga Barang B]]+Data[[#This Row],[Harga Barang C]]</f>
        <v>1050000</v>
      </c>
      <c r="Z838" s="35">
        <f>IFERROR(Data[[#This Row],[Total Harga]]-(Data[[#This Row],[Total Harga]]*Data[[#This Row],[Diskon]]),Data[[#This Row],[Total Harga]])</f>
        <v>945000</v>
      </c>
      <c r="AA838" s="35">
        <f>(Data[[#This Row],[Profit A]]+Data[[#This Row],[Profit B]]+Data[[#This Row],[Profit C]])</f>
        <v>420000</v>
      </c>
      <c r="AB838" s="35">
        <f>IFERROR((Data[[#This Row],[Profit non Diskon]]-(Data[[#This Row],[Profit non Diskon]]*Data[[#This Row],[Diskon]])),Data[[#This Row],[Profit non Diskon]])</f>
        <v>378000</v>
      </c>
      <c r="AC838" s="23" t="s">
        <v>30</v>
      </c>
      <c r="AD838" s="37">
        <f>IFERROR(INDEX('Kode Diskon'!$D$3:$D$9,MATCH(Data[[#This Row],[Kode diskon]],'Kode Diskon'!$C$3:$C$9,0)),"-")</f>
        <v>0.1</v>
      </c>
      <c r="AE838" s="23" t="s">
        <v>29</v>
      </c>
      <c r="AF838" s="23" t="s">
        <v>10</v>
      </c>
      <c r="AG838" s="23" t="s">
        <v>80</v>
      </c>
      <c r="AH838" s="24">
        <v>45020</v>
      </c>
      <c r="AI838" s="23" t="str">
        <f>TEXT(Data[[#This Row],[Tanggal terjual]],"dddd")</f>
        <v>Tuesday</v>
      </c>
      <c r="AJ838" s="21" t="str">
        <f>TEXT(Data[[#This Row],[Tanggal terjual]],"wwww")</f>
        <v>wwww</v>
      </c>
    </row>
    <row r="839" spans="1:36" x14ac:dyDescent="0.2">
      <c r="A839" s="20">
        <v>838</v>
      </c>
      <c r="B839" s="21" t="str">
        <f>_xlfn.CONCAT("ORD-",INDEX(Helper!$B$2:$B$5,MATCH(Data[[#This Row],[Marketplace]],Helper!$A$2:$A$5,0)),TEXT(Data[[#This Row],[No]],"0000"),"-",TEXT(Data[[#This Row],[Tanggal terjual]],"dd/mm/yy"))</f>
        <v>ORD-SP0838-06/04/23</v>
      </c>
      <c r="C839" t="s">
        <v>63</v>
      </c>
      <c r="D839" t="str">
        <f>IFERROR(INDEX(Katalog!$A$3:$A$12,MATCH(Data[[#This Row],[ItemID A]],Katalog!$C$3:$C$12,0)),"-")</f>
        <v>Pakaian Pria</v>
      </c>
      <c r="E839" t="str">
        <f>IFERROR(INDEX(Katalog!$B$3:$B$12,MATCH(Data[[#This Row],[ItemID A]],Katalog!$C$3:$C$12,0)),"-")</f>
        <v>Jaket Jeans</v>
      </c>
      <c r="F839">
        <v>2</v>
      </c>
      <c r="G839">
        <v>3</v>
      </c>
      <c r="H839" s="36">
        <f>IFERROR(INDEX(Katalog!$D$3:$D$12,MATCH(Data[[#This Row],[ItemID A]],Katalog!$C$3:$C$12,0))*Data[[#This Row],[Qty A]],"0")</f>
        <v>800000</v>
      </c>
      <c r="I839" s="36">
        <f>IFERROR(INDEX(Katalog!$F$3:$F$12,MATCH(Data[[#This Row],[ItemID A]],Katalog!$C$3:$C$12,0))*Data[[#This Row],[Qty A]],0)</f>
        <v>300000</v>
      </c>
      <c r="K839" t="str">
        <f>IFERROR(INDEX(Katalog!$A$3:$A$12,MATCH(Data[[#This Row],[ItemID B]],Katalog!$C$3:$C$12,0)),"-")</f>
        <v>-</v>
      </c>
      <c r="L839" t="str">
        <f>IFERROR(INDEX(Katalog!$B$3:$B$12,MATCH(Data[[#This Row],[ItemID B]],Katalog!$C$3:$C$12,0)),"-")</f>
        <v>-</v>
      </c>
      <c r="O839" s="36" t="str">
        <f>IFERROR(INDEX(Katalog!$D$3:$D$12,MATCH(Data[[#This Row],[ItemID B]],Katalog!$C$3:$C$12,0))*Data[[#This Row],[Qty B]],"0")</f>
        <v>0</v>
      </c>
      <c r="P839" s="36" t="str">
        <f>IFERROR(INDEX(Katalog!$F$3:$F$12,MATCH(Data[[#This Row],[ItemID B]],Katalog!$C$3:$C$12,0))*Data[[#This Row],[Qty B]],"0")</f>
        <v>0</v>
      </c>
      <c r="R839" t="str">
        <f>IFERROR(INDEX(Katalog!$A$3:$A$12,MATCH(Data[[#This Row],[ItemID C]],Katalog!$C$3:$C$12,0)),"-")</f>
        <v>-</v>
      </c>
      <c r="S839" t="str">
        <f>IFERROR(INDEX(Katalog!$B$3:$B$12,MATCH(Data[[#This Row],[ItemID C]],Katalog!$C$3:$C$12,0)),"-")</f>
        <v>-</v>
      </c>
      <c r="V839" s="36" t="str">
        <f>IFERROR(INDEX(Katalog!$D$3:$D$12,MATCH(Data[[#This Row],[ItemID C]],Katalog!$C$3:$C$12,0))*Data[[#This Row],[Qty C]],"0")</f>
        <v>0</v>
      </c>
      <c r="W839" s="36" t="str">
        <f>IFERROR(INDEX(Katalog!$F$3:$F$12,MATCH(Data[[#This Row],[ItemID C]],Katalog!$C$3:$C$12,0))*Data[[#This Row],[Qty C]],"0")</f>
        <v>0</v>
      </c>
      <c r="X839" s="21">
        <f>Data[[#This Row],[Qty A]]+Data[[#This Row],[Qty B]]+Data[[#This Row],[Qty C]]</f>
        <v>2</v>
      </c>
      <c r="Y839" s="22">
        <f>Data[[#This Row],[Harga Barang A]]+Data[[#This Row],[Harga Barang B]]+Data[[#This Row],[Harga Barang C]]</f>
        <v>800000</v>
      </c>
      <c r="Z839" s="35">
        <f>IFERROR(Data[[#This Row],[Total Harga]]-(Data[[#This Row],[Total Harga]]*Data[[#This Row],[Diskon]]),Data[[#This Row],[Total Harga]])</f>
        <v>720000</v>
      </c>
      <c r="AA839" s="35">
        <f>(Data[[#This Row],[Profit A]]+Data[[#This Row],[Profit B]]+Data[[#This Row],[Profit C]])</f>
        <v>300000</v>
      </c>
      <c r="AB839" s="35">
        <f>IFERROR((Data[[#This Row],[Profit non Diskon]]-(Data[[#This Row],[Profit non Diskon]]*Data[[#This Row],[Diskon]])),Data[[#This Row],[Profit non Diskon]])</f>
        <v>270000</v>
      </c>
      <c r="AC839" s="23" t="s">
        <v>6</v>
      </c>
      <c r="AD839" s="37">
        <f>IFERROR(INDEX('Kode Diskon'!$D$3:$D$9,MATCH(Data[[#This Row],[Kode diskon]],'Kode Diskon'!$C$3:$C$9,0)),"-")</f>
        <v>0.1</v>
      </c>
      <c r="AE839" s="23" t="s">
        <v>29</v>
      </c>
      <c r="AF839" s="23" t="s">
        <v>7</v>
      </c>
      <c r="AG839" s="23" t="s">
        <v>79</v>
      </c>
      <c r="AH839" s="24">
        <v>45022</v>
      </c>
      <c r="AI839" s="23" t="str">
        <f>TEXT(Data[[#This Row],[Tanggal terjual]],"dddd")</f>
        <v>Thursday</v>
      </c>
      <c r="AJ839" s="21" t="str">
        <f>TEXT(Data[[#This Row],[Tanggal terjual]],"wwww")</f>
        <v>wwww</v>
      </c>
    </row>
    <row r="840" spans="1:36" x14ac:dyDescent="0.2">
      <c r="A840" s="20">
        <v>839</v>
      </c>
      <c r="B840" s="21" t="str">
        <f>_xlfn.CONCAT("ORD-",INDEX(Helper!$B$2:$B$5,MATCH(Data[[#This Row],[Marketplace]],Helper!$A$2:$A$5,0)),TEXT(Data[[#This Row],[No]],"0000"),"-",TEXT(Data[[#This Row],[Tanggal terjual]],"dd/mm/yy"))</f>
        <v>ORD-TK0839-03/04/23</v>
      </c>
      <c r="C840" t="s">
        <v>64</v>
      </c>
      <c r="D840" t="str">
        <f>IFERROR(INDEX(Katalog!$A$3:$A$12,MATCH(Data[[#This Row],[ItemID A]],Katalog!$C$3:$C$12,0)),"-")</f>
        <v>Pakaian Unisex</v>
      </c>
      <c r="E840" t="str">
        <f>IFERROR(INDEX(Katalog!$B$3:$B$12,MATCH(Data[[#This Row],[ItemID A]],Katalog!$C$3:$C$12,0)),"-")</f>
        <v>Jaket Hoodie</v>
      </c>
      <c r="F840">
        <v>1</v>
      </c>
      <c r="G840">
        <v>5</v>
      </c>
      <c r="H840" s="36">
        <f>IFERROR(INDEX(Katalog!$D$3:$D$12,MATCH(Data[[#This Row],[ItemID A]],Katalog!$C$3:$C$12,0))*Data[[#This Row],[Qty A]],"0")</f>
        <v>350000</v>
      </c>
      <c r="I840" s="36">
        <f>IFERROR(INDEX(Katalog!$F$3:$F$12,MATCH(Data[[#This Row],[ItemID A]],Katalog!$C$3:$C$12,0))*Data[[#This Row],[Qty A]],0)</f>
        <v>130000</v>
      </c>
      <c r="J840" t="s">
        <v>59</v>
      </c>
      <c r="K840" t="str">
        <f>IFERROR(INDEX(Katalog!$A$3:$A$12,MATCH(Data[[#This Row],[ItemID B]],Katalog!$C$3:$C$12,0)),"-")</f>
        <v>Pakaian Wanita</v>
      </c>
      <c r="L840" t="str">
        <f>IFERROR(INDEX(Katalog!$B$3:$B$12,MATCH(Data[[#This Row],[ItemID B]],Katalog!$C$3:$C$12,0)),"-")</f>
        <v>Blouse</v>
      </c>
      <c r="M840">
        <v>1</v>
      </c>
      <c r="N840">
        <v>1</v>
      </c>
      <c r="O840" s="36">
        <f>IFERROR(INDEX(Katalog!$D$3:$D$12,MATCH(Data[[#This Row],[ItemID B]],Katalog!$C$3:$C$12,0))*Data[[#This Row],[Qty B]],"0")</f>
        <v>150000</v>
      </c>
      <c r="P840" s="36">
        <f>IFERROR(INDEX(Katalog!$F$3:$F$12,MATCH(Data[[#This Row],[ItemID B]],Katalog!$C$3:$C$12,0))*Data[[#This Row],[Qty B]],"0")</f>
        <v>50000</v>
      </c>
      <c r="R840" t="str">
        <f>IFERROR(INDEX(Katalog!$A$3:$A$12,MATCH(Data[[#This Row],[ItemID C]],Katalog!$C$3:$C$12,0)),"-")</f>
        <v>-</v>
      </c>
      <c r="S840" t="str">
        <f>IFERROR(INDEX(Katalog!$B$3:$B$12,MATCH(Data[[#This Row],[ItemID C]],Katalog!$C$3:$C$12,0)),"-")</f>
        <v>-</v>
      </c>
      <c r="V840" s="36" t="str">
        <f>IFERROR(INDEX(Katalog!$D$3:$D$12,MATCH(Data[[#This Row],[ItemID C]],Katalog!$C$3:$C$12,0))*Data[[#This Row],[Qty C]],"0")</f>
        <v>0</v>
      </c>
      <c r="W840" s="36" t="str">
        <f>IFERROR(INDEX(Katalog!$F$3:$F$12,MATCH(Data[[#This Row],[ItemID C]],Katalog!$C$3:$C$12,0))*Data[[#This Row],[Qty C]],"0")</f>
        <v>0</v>
      </c>
      <c r="X840" s="21">
        <f>Data[[#This Row],[Qty A]]+Data[[#This Row],[Qty B]]+Data[[#This Row],[Qty C]]</f>
        <v>2</v>
      </c>
      <c r="Y840" s="22">
        <f>Data[[#This Row],[Harga Barang A]]+Data[[#This Row],[Harga Barang B]]+Data[[#This Row],[Harga Barang C]]</f>
        <v>500000</v>
      </c>
      <c r="Z840" s="35">
        <f>IFERROR(Data[[#This Row],[Total Harga]]-(Data[[#This Row],[Total Harga]]*Data[[#This Row],[Diskon]]),Data[[#This Row],[Total Harga]])</f>
        <v>450000</v>
      </c>
      <c r="AA840" s="35">
        <f>(Data[[#This Row],[Profit A]]+Data[[#This Row],[Profit B]]+Data[[#This Row],[Profit C]])</f>
        <v>180000</v>
      </c>
      <c r="AB840" s="35">
        <f>IFERROR((Data[[#This Row],[Profit non Diskon]]-(Data[[#This Row],[Profit non Diskon]]*Data[[#This Row],[Diskon]])),Data[[#This Row],[Profit non Diskon]])</f>
        <v>162000</v>
      </c>
      <c r="AC840" s="23" t="s">
        <v>30</v>
      </c>
      <c r="AD840" s="37">
        <f>IFERROR(INDEX('Kode Diskon'!$D$3:$D$9,MATCH(Data[[#This Row],[Kode diskon]],'Kode Diskon'!$C$3:$C$9,0)),"-")</f>
        <v>0.1</v>
      </c>
      <c r="AE840" s="23" t="s">
        <v>29</v>
      </c>
      <c r="AF840" s="23" t="s">
        <v>10</v>
      </c>
      <c r="AG840" s="23" t="s">
        <v>77</v>
      </c>
      <c r="AH840" s="24">
        <v>45019</v>
      </c>
      <c r="AI840" s="23" t="str">
        <f>TEXT(Data[[#This Row],[Tanggal terjual]],"dddd")</f>
        <v>Monday</v>
      </c>
      <c r="AJ840" s="21" t="str">
        <f>TEXT(Data[[#This Row],[Tanggal terjual]],"wwww")</f>
        <v>wwww</v>
      </c>
    </row>
    <row r="841" spans="1:36" x14ac:dyDescent="0.2">
      <c r="A841" s="20">
        <v>840</v>
      </c>
      <c r="B841" s="21" t="str">
        <f>_xlfn.CONCAT("ORD-",INDEX(Helper!$B$2:$B$5,MATCH(Data[[#This Row],[Marketplace]],Helper!$A$2:$A$5,0)),TEXT(Data[[#This Row],[No]],"0000"),"-",TEXT(Data[[#This Row],[Tanggal terjual]],"dd/mm/yy"))</f>
        <v>ORD-SP0840-24/04/23</v>
      </c>
      <c r="C841" t="s">
        <v>64</v>
      </c>
      <c r="D841" t="str">
        <f>IFERROR(INDEX(Katalog!$A$3:$A$12,MATCH(Data[[#This Row],[ItemID A]],Katalog!$C$3:$C$12,0)),"-")</f>
        <v>Pakaian Unisex</v>
      </c>
      <c r="E841" t="str">
        <f>IFERROR(INDEX(Katalog!$B$3:$B$12,MATCH(Data[[#This Row],[ItemID A]],Katalog!$C$3:$C$12,0)),"-")</f>
        <v>Jaket Hoodie</v>
      </c>
      <c r="F841">
        <v>3</v>
      </c>
      <c r="G841">
        <v>2</v>
      </c>
      <c r="H841" s="36">
        <f>IFERROR(INDEX(Katalog!$D$3:$D$12,MATCH(Data[[#This Row],[ItemID A]],Katalog!$C$3:$C$12,0))*Data[[#This Row],[Qty A]],"0")</f>
        <v>1050000</v>
      </c>
      <c r="I841" s="36">
        <f>IFERROR(INDEX(Katalog!$F$3:$F$12,MATCH(Data[[#This Row],[ItemID A]],Katalog!$C$3:$C$12,0))*Data[[#This Row],[Qty A]],0)</f>
        <v>390000</v>
      </c>
      <c r="J841" t="s">
        <v>60</v>
      </c>
      <c r="K841" t="str">
        <f>IFERROR(INDEX(Katalog!$A$3:$A$12,MATCH(Data[[#This Row],[ItemID B]],Katalog!$C$3:$C$12,0)),"-")</f>
        <v>Pakaian Wanita</v>
      </c>
      <c r="L841" t="str">
        <f>IFERROR(INDEX(Katalog!$B$3:$B$12,MATCH(Data[[#This Row],[ItemID B]],Katalog!$C$3:$C$12,0)),"-")</f>
        <v>Kaftan</v>
      </c>
      <c r="M841">
        <v>1</v>
      </c>
      <c r="N841">
        <v>5</v>
      </c>
      <c r="O841" s="36">
        <f>IFERROR(INDEX(Katalog!$D$3:$D$12,MATCH(Data[[#This Row],[ItemID B]],Katalog!$C$3:$C$12,0))*Data[[#This Row],[Qty B]],"0")</f>
        <v>250000</v>
      </c>
      <c r="P841" s="36">
        <f>IFERROR(INDEX(Katalog!$F$3:$F$12,MATCH(Data[[#This Row],[ItemID B]],Katalog!$C$3:$C$12,0))*Data[[#This Row],[Qty B]],"0")</f>
        <v>100000</v>
      </c>
      <c r="Q841" t="s">
        <v>62</v>
      </c>
      <c r="R841" t="str">
        <f>IFERROR(INDEX(Katalog!$A$3:$A$12,MATCH(Data[[#This Row],[ItemID C]],Katalog!$C$3:$C$12,0)),"-")</f>
        <v>Pakaian Pria</v>
      </c>
      <c r="S841" t="str">
        <f>IFERROR(INDEX(Katalog!$B$3:$B$12,MATCH(Data[[#This Row],[ItemID C]],Katalog!$C$3:$C$12,0)),"-")</f>
        <v>Celana Pendek</v>
      </c>
      <c r="T841">
        <v>2</v>
      </c>
      <c r="U841">
        <v>3</v>
      </c>
      <c r="V841" s="36">
        <f>IFERROR(INDEX(Katalog!$D$3:$D$12,MATCH(Data[[#This Row],[ItemID C]],Katalog!$C$3:$C$12,0))*Data[[#This Row],[Qty C]],"0")</f>
        <v>360000</v>
      </c>
      <c r="W841" s="36">
        <f>IFERROR(INDEX(Katalog!$F$3:$F$12,MATCH(Data[[#This Row],[ItemID C]],Katalog!$C$3:$C$12,0))*Data[[#This Row],[Qty C]],"0")</f>
        <v>140000</v>
      </c>
      <c r="X841" s="21">
        <f>Data[[#This Row],[Qty A]]+Data[[#This Row],[Qty B]]+Data[[#This Row],[Qty C]]</f>
        <v>6</v>
      </c>
      <c r="Y841" s="22">
        <f>Data[[#This Row],[Harga Barang A]]+Data[[#This Row],[Harga Barang B]]+Data[[#This Row],[Harga Barang C]]</f>
        <v>1660000</v>
      </c>
      <c r="Z841" s="35">
        <f>IFERROR(Data[[#This Row],[Total Harga]]-(Data[[#This Row],[Total Harga]]*Data[[#This Row],[Diskon]]),Data[[#This Row],[Total Harga]])</f>
        <v>1328000</v>
      </c>
      <c r="AA841" s="35">
        <f>(Data[[#This Row],[Profit A]]+Data[[#This Row],[Profit B]]+Data[[#This Row],[Profit C]])</f>
        <v>630000</v>
      </c>
      <c r="AB841" s="35">
        <f>IFERROR((Data[[#This Row],[Profit non Diskon]]-(Data[[#This Row],[Profit non Diskon]]*Data[[#This Row],[Diskon]])),Data[[#This Row],[Profit non Diskon]])</f>
        <v>504000</v>
      </c>
      <c r="AC841" s="23" t="s">
        <v>8</v>
      </c>
      <c r="AD841" s="37">
        <f>IFERROR(INDEX('Kode Diskon'!$D$3:$D$9,MATCH(Data[[#This Row],[Kode diskon]],'Kode Diskon'!$C$3:$C$9,0)),"-")</f>
        <v>0.2</v>
      </c>
      <c r="AE841" s="23" t="s">
        <v>9</v>
      </c>
      <c r="AF841" s="23" t="s">
        <v>7</v>
      </c>
      <c r="AG841" s="23" t="s">
        <v>75</v>
      </c>
      <c r="AH841" s="24">
        <v>45040</v>
      </c>
      <c r="AI841" s="23" t="str">
        <f>TEXT(Data[[#This Row],[Tanggal terjual]],"dddd")</f>
        <v>Monday</v>
      </c>
      <c r="AJ841" s="21" t="str">
        <f>TEXT(Data[[#This Row],[Tanggal terjual]],"wwww")</f>
        <v>wwww</v>
      </c>
    </row>
    <row r="842" spans="1:36" x14ac:dyDescent="0.2">
      <c r="A842" s="20">
        <v>841</v>
      </c>
      <c r="B842" s="21" t="str">
        <f>_xlfn.CONCAT("ORD-",INDEX(Helper!$B$2:$B$5,MATCH(Data[[#This Row],[Marketplace]],Helper!$A$2:$A$5,0)),TEXT(Data[[#This Row],[No]],"0000"),"-",TEXT(Data[[#This Row],[Tanggal terjual]],"dd/mm/yy"))</f>
        <v>ORD-BL0841-15/04/23</v>
      </c>
      <c r="C842" t="s">
        <v>63</v>
      </c>
      <c r="D842" t="str">
        <f>IFERROR(INDEX(Katalog!$A$3:$A$12,MATCH(Data[[#This Row],[ItemID A]],Katalog!$C$3:$C$12,0)),"-")</f>
        <v>Pakaian Pria</v>
      </c>
      <c r="E842" t="str">
        <f>IFERROR(INDEX(Katalog!$B$3:$B$12,MATCH(Data[[#This Row],[ItemID A]],Katalog!$C$3:$C$12,0)),"-")</f>
        <v>Jaket Jeans</v>
      </c>
      <c r="F842">
        <v>1</v>
      </c>
      <c r="G842">
        <v>1</v>
      </c>
      <c r="H842" s="36">
        <f>IFERROR(INDEX(Katalog!$D$3:$D$12,MATCH(Data[[#This Row],[ItemID A]],Katalog!$C$3:$C$12,0))*Data[[#This Row],[Qty A]],"0")</f>
        <v>400000</v>
      </c>
      <c r="I842" s="36">
        <f>IFERROR(INDEX(Katalog!$F$3:$F$12,MATCH(Data[[#This Row],[ItemID A]],Katalog!$C$3:$C$12,0))*Data[[#This Row],[Qty A]],0)</f>
        <v>150000</v>
      </c>
      <c r="J842" t="s">
        <v>61</v>
      </c>
      <c r="K842" t="str">
        <f>IFERROR(INDEX(Katalog!$A$3:$A$12,MATCH(Data[[#This Row],[ItemID B]],Katalog!$C$3:$C$12,0)),"-")</f>
        <v>Pakaian Pria</v>
      </c>
      <c r="L842" t="str">
        <f>IFERROR(INDEX(Katalog!$B$3:$B$12,MATCH(Data[[#This Row],[ItemID B]],Katalog!$C$3:$C$12,0)),"-")</f>
        <v>Kaos Polo</v>
      </c>
      <c r="M842">
        <v>4</v>
      </c>
      <c r="N842">
        <v>1</v>
      </c>
      <c r="O842" s="36">
        <f>IFERROR(INDEX(Katalog!$D$3:$D$12,MATCH(Data[[#This Row],[ItemID B]],Katalog!$C$3:$C$12,0))*Data[[#This Row],[Qty B]],"0")</f>
        <v>800000</v>
      </c>
      <c r="P842" s="36">
        <f>IFERROR(INDEX(Katalog!$F$3:$F$12,MATCH(Data[[#This Row],[ItemID B]],Katalog!$C$3:$C$12,0))*Data[[#This Row],[Qty B]],"0")</f>
        <v>320000</v>
      </c>
      <c r="R842" t="str">
        <f>IFERROR(INDEX(Katalog!$A$3:$A$12,MATCH(Data[[#This Row],[ItemID C]],Katalog!$C$3:$C$12,0)),"-")</f>
        <v>-</v>
      </c>
      <c r="S842" t="str">
        <f>IFERROR(INDEX(Katalog!$B$3:$B$12,MATCH(Data[[#This Row],[ItemID C]],Katalog!$C$3:$C$12,0)),"-")</f>
        <v>-</v>
      </c>
      <c r="V842" s="36" t="str">
        <f>IFERROR(INDEX(Katalog!$D$3:$D$12,MATCH(Data[[#This Row],[ItemID C]],Katalog!$C$3:$C$12,0))*Data[[#This Row],[Qty C]],"0")</f>
        <v>0</v>
      </c>
      <c r="W842" s="36" t="str">
        <f>IFERROR(INDEX(Katalog!$F$3:$F$12,MATCH(Data[[#This Row],[ItemID C]],Katalog!$C$3:$C$12,0))*Data[[#This Row],[Qty C]],"0")</f>
        <v>0</v>
      </c>
      <c r="X842" s="21">
        <f>Data[[#This Row],[Qty A]]+Data[[#This Row],[Qty B]]+Data[[#This Row],[Qty C]]</f>
        <v>5</v>
      </c>
      <c r="Y842" s="22">
        <f>Data[[#This Row],[Harga Barang A]]+Data[[#This Row],[Harga Barang B]]+Data[[#This Row],[Harga Barang C]]</f>
        <v>1200000</v>
      </c>
      <c r="Z842" s="35">
        <f>IFERROR(Data[[#This Row],[Total Harga]]-(Data[[#This Row],[Total Harga]]*Data[[#This Row],[Diskon]]),Data[[#This Row],[Total Harga]])</f>
        <v>1200000</v>
      </c>
      <c r="AA842" s="35">
        <f>(Data[[#This Row],[Profit A]]+Data[[#This Row],[Profit B]]+Data[[#This Row],[Profit C]])</f>
        <v>470000</v>
      </c>
      <c r="AB842" s="35">
        <f>IFERROR((Data[[#This Row],[Profit non Diskon]]-(Data[[#This Row],[Profit non Diskon]]*Data[[#This Row],[Diskon]])),Data[[#This Row],[Profit non Diskon]])</f>
        <v>470000</v>
      </c>
      <c r="AC842" s="23" t="s">
        <v>11</v>
      </c>
      <c r="AD842" s="37" t="str">
        <f>IFERROR(INDEX('Kode Diskon'!$D$3:$D$9,MATCH(Data[[#This Row],[Kode diskon]],'Kode Diskon'!$C$3:$C$9,0)),"-")</f>
        <v>-</v>
      </c>
      <c r="AE842" s="23" t="s">
        <v>11</v>
      </c>
      <c r="AF842" s="23" t="s">
        <v>12</v>
      </c>
      <c r="AG842" s="23" t="s">
        <v>80</v>
      </c>
      <c r="AH842" s="24">
        <v>45031</v>
      </c>
      <c r="AI842" s="23" t="str">
        <f>TEXT(Data[[#This Row],[Tanggal terjual]],"dddd")</f>
        <v>Saturday</v>
      </c>
      <c r="AJ842" s="21" t="str">
        <f>TEXT(Data[[#This Row],[Tanggal terjual]],"wwww")</f>
        <v>wwww</v>
      </c>
    </row>
    <row r="843" spans="1:36" x14ac:dyDescent="0.2">
      <c r="A843" s="20">
        <v>842</v>
      </c>
      <c r="B843" s="21" t="str">
        <f>_xlfn.CONCAT("ORD-",INDEX(Helper!$B$2:$B$5,MATCH(Data[[#This Row],[Marketplace]],Helper!$A$2:$A$5,0)),TEXT(Data[[#This Row],[No]],"0000"),"-",TEXT(Data[[#This Row],[Tanggal terjual]],"dd/mm/yy"))</f>
        <v>ORD-SP0842-07/04/23</v>
      </c>
      <c r="C843" t="s">
        <v>65</v>
      </c>
      <c r="D843" t="str">
        <f>IFERROR(INDEX(Katalog!$A$3:$A$12,MATCH(Data[[#This Row],[ItemID A]],Katalog!$C$3:$C$12,0)),"-")</f>
        <v>Sepatu Pria</v>
      </c>
      <c r="E843" t="str">
        <f>IFERROR(INDEX(Katalog!$B$3:$B$12,MATCH(Data[[#This Row],[ItemID A]],Katalog!$C$3:$C$12,0)),"-")</f>
        <v>Sneakers</v>
      </c>
      <c r="F843">
        <v>1</v>
      </c>
      <c r="G843">
        <v>5</v>
      </c>
      <c r="H843" s="36">
        <f>IFERROR(INDEX(Katalog!$D$3:$D$12,MATCH(Data[[#This Row],[ItemID A]],Katalog!$C$3:$C$12,0))*Data[[#This Row],[Qty A]],"0")</f>
        <v>500000</v>
      </c>
      <c r="I843" s="36">
        <f>IFERROR(INDEX(Katalog!$F$3:$F$12,MATCH(Data[[#This Row],[ItemID A]],Katalog!$C$3:$C$12,0))*Data[[#This Row],[Qty A]],0)</f>
        <v>200000</v>
      </c>
      <c r="J843" t="s">
        <v>58</v>
      </c>
      <c r="K843" t="str">
        <f>IFERROR(INDEX(Katalog!$A$3:$A$12,MATCH(Data[[#This Row],[ItemID B]],Katalog!$C$3:$C$12,0)),"-")</f>
        <v>Pakaian Wanita</v>
      </c>
      <c r="L843" t="str">
        <f>IFERROR(INDEX(Katalog!$B$3:$B$12,MATCH(Data[[#This Row],[ItemID B]],Katalog!$C$3:$C$12,0)),"-")</f>
        <v>Dress</v>
      </c>
      <c r="M843">
        <v>6</v>
      </c>
      <c r="N843">
        <v>4</v>
      </c>
      <c r="O843" s="36">
        <f>IFERROR(INDEX(Katalog!$D$3:$D$12,MATCH(Data[[#This Row],[ItemID B]],Katalog!$C$3:$C$12,0))*Data[[#This Row],[Qty B]],"0")</f>
        <v>1800000</v>
      </c>
      <c r="P843" s="36">
        <f>IFERROR(INDEX(Katalog!$F$3:$F$12,MATCH(Data[[#This Row],[ItemID B]],Katalog!$C$3:$C$12,0))*Data[[#This Row],[Qty B]],"0")</f>
        <v>600000</v>
      </c>
      <c r="R843" t="str">
        <f>IFERROR(INDEX(Katalog!$A$3:$A$12,MATCH(Data[[#This Row],[ItemID C]],Katalog!$C$3:$C$12,0)),"-")</f>
        <v>-</v>
      </c>
      <c r="S843" t="str">
        <f>IFERROR(INDEX(Katalog!$B$3:$B$12,MATCH(Data[[#This Row],[ItemID C]],Katalog!$C$3:$C$12,0)),"-")</f>
        <v>-</v>
      </c>
      <c r="V843" s="36" t="str">
        <f>IFERROR(INDEX(Katalog!$D$3:$D$12,MATCH(Data[[#This Row],[ItemID C]],Katalog!$C$3:$C$12,0))*Data[[#This Row],[Qty C]],"0")</f>
        <v>0</v>
      </c>
      <c r="W843" s="36" t="str">
        <f>IFERROR(INDEX(Katalog!$F$3:$F$12,MATCH(Data[[#This Row],[ItemID C]],Katalog!$C$3:$C$12,0))*Data[[#This Row],[Qty C]],"0")</f>
        <v>0</v>
      </c>
      <c r="X843" s="21">
        <f>Data[[#This Row],[Qty A]]+Data[[#This Row],[Qty B]]+Data[[#This Row],[Qty C]]</f>
        <v>7</v>
      </c>
      <c r="Y843" s="22">
        <f>Data[[#This Row],[Harga Barang A]]+Data[[#This Row],[Harga Barang B]]+Data[[#This Row],[Harga Barang C]]</f>
        <v>2300000</v>
      </c>
      <c r="Z843" s="35">
        <f>IFERROR(Data[[#This Row],[Total Harga]]-(Data[[#This Row],[Total Harga]]*Data[[#This Row],[Diskon]]),Data[[#This Row],[Total Harga]])</f>
        <v>2300000</v>
      </c>
      <c r="AA843" s="35">
        <f>(Data[[#This Row],[Profit A]]+Data[[#This Row],[Profit B]]+Data[[#This Row],[Profit C]])</f>
        <v>800000</v>
      </c>
      <c r="AB843" s="35">
        <f>IFERROR((Data[[#This Row],[Profit non Diskon]]-(Data[[#This Row],[Profit non Diskon]]*Data[[#This Row],[Diskon]])),Data[[#This Row],[Profit non Diskon]])</f>
        <v>800000</v>
      </c>
      <c r="AC843" s="23" t="s">
        <v>11</v>
      </c>
      <c r="AD843" s="37" t="str">
        <f>IFERROR(INDEX('Kode Diskon'!$D$3:$D$9,MATCH(Data[[#This Row],[Kode diskon]],'Kode Diskon'!$C$3:$C$9,0)),"-")</f>
        <v>-</v>
      </c>
      <c r="AE843" s="23" t="s">
        <v>11</v>
      </c>
      <c r="AF843" s="23" t="s">
        <v>7</v>
      </c>
      <c r="AG843" s="23" t="s">
        <v>80</v>
      </c>
      <c r="AH843" s="24">
        <v>45023</v>
      </c>
      <c r="AI843" s="23" t="str">
        <f>TEXT(Data[[#This Row],[Tanggal terjual]],"dddd")</f>
        <v>Friday</v>
      </c>
      <c r="AJ843" s="21" t="str">
        <f>TEXT(Data[[#This Row],[Tanggal terjual]],"wwww")</f>
        <v>wwww</v>
      </c>
    </row>
    <row r="844" spans="1:36" x14ac:dyDescent="0.2">
      <c r="A844" s="20">
        <v>843</v>
      </c>
      <c r="B844" s="21" t="str">
        <f>_xlfn.CONCAT("ORD-",INDEX(Helper!$B$2:$B$5,MATCH(Data[[#This Row],[Marketplace]],Helper!$A$2:$A$5,0)),TEXT(Data[[#This Row],[No]],"0000"),"-",TEXT(Data[[#This Row],[Tanggal terjual]],"dd/mm/yy"))</f>
        <v>ORD-TK0843-05/04/23</v>
      </c>
      <c r="C844" t="s">
        <v>58</v>
      </c>
      <c r="D844" t="str">
        <f>IFERROR(INDEX(Katalog!$A$3:$A$12,MATCH(Data[[#This Row],[ItemID A]],Katalog!$C$3:$C$12,0)),"-")</f>
        <v>Pakaian Wanita</v>
      </c>
      <c r="E844" t="str">
        <f>IFERROR(INDEX(Katalog!$B$3:$B$12,MATCH(Data[[#This Row],[ItemID A]],Katalog!$C$3:$C$12,0)),"-")</f>
        <v>Dress</v>
      </c>
      <c r="F844">
        <v>1</v>
      </c>
      <c r="G844">
        <v>3</v>
      </c>
      <c r="H844" s="36">
        <f>IFERROR(INDEX(Katalog!$D$3:$D$12,MATCH(Data[[#This Row],[ItemID A]],Katalog!$C$3:$C$12,0))*Data[[#This Row],[Qty A]],"0")</f>
        <v>300000</v>
      </c>
      <c r="I844" s="36">
        <f>IFERROR(INDEX(Katalog!$F$3:$F$12,MATCH(Data[[#This Row],[ItemID A]],Katalog!$C$3:$C$12,0))*Data[[#This Row],[Qty A]],0)</f>
        <v>100000</v>
      </c>
      <c r="J844" t="s">
        <v>61</v>
      </c>
      <c r="K844" t="str">
        <f>IFERROR(INDEX(Katalog!$A$3:$A$12,MATCH(Data[[#This Row],[ItemID B]],Katalog!$C$3:$C$12,0)),"-")</f>
        <v>Pakaian Pria</v>
      </c>
      <c r="L844" t="str">
        <f>IFERROR(INDEX(Katalog!$B$3:$B$12,MATCH(Data[[#This Row],[ItemID B]],Katalog!$C$3:$C$12,0)),"-")</f>
        <v>Kaos Polo</v>
      </c>
      <c r="M844">
        <v>3</v>
      </c>
      <c r="N844">
        <v>1</v>
      </c>
      <c r="O844" s="36">
        <f>IFERROR(INDEX(Katalog!$D$3:$D$12,MATCH(Data[[#This Row],[ItemID B]],Katalog!$C$3:$C$12,0))*Data[[#This Row],[Qty B]],"0")</f>
        <v>600000</v>
      </c>
      <c r="P844" s="36">
        <f>IFERROR(INDEX(Katalog!$F$3:$F$12,MATCH(Data[[#This Row],[ItemID B]],Katalog!$C$3:$C$12,0))*Data[[#This Row],[Qty B]],"0")</f>
        <v>240000</v>
      </c>
      <c r="Q844" t="s">
        <v>65</v>
      </c>
      <c r="R844" t="str">
        <f>IFERROR(INDEX(Katalog!$A$3:$A$12,MATCH(Data[[#This Row],[ItemID C]],Katalog!$C$3:$C$12,0)),"-")</f>
        <v>Sepatu Pria</v>
      </c>
      <c r="S844" t="str">
        <f>IFERROR(INDEX(Katalog!$B$3:$B$12,MATCH(Data[[#This Row],[ItemID C]],Katalog!$C$3:$C$12,0)),"-")</f>
        <v>Sneakers</v>
      </c>
      <c r="T844">
        <v>1</v>
      </c>
      <c r="U844">
        <v>2</v>
      </c>
      <c r="V844" s="36">
        <f>IFERROR(INDEX(Katalog!$D$3:$D$12,MATCH(Data[[#This Row],[ItemID C]],Katalog!$C$3:$C$12,0))*Data[[#This Row],[Qty C]],"0")</f>
        <v>500000</v>
      </c>
      <c r="W844" s="36">
        <f>IFERROR(INDEX(Katalog!$F$3:$F$12,MATCH(Data[[#This Row],[ItemID C]],Katalog!$C$3:$C$12,0))*Data[[#This Row],[Qty C]],"0")</f>
        <v>200000</v>
      </c>
      <c r="X844" s="21">
        <f>Data[[#This Row],[Qty A]]+Data[[#This Row],[Qty B]]+Data[[#This Row],[Qty C]]</f>
        <v>5</v>
      </c>
      <c r="Y844" s="22">
        <f>Data[[#This Row],[Harga Barang A]]+Data[[#This Row],[Harga Barang B]]+Data[[#This Row],[Harga Barang C]]</f>
        <v>1400000</v>
      </c>
      <c r="Z844" s="35">
        <f>IFERROR(Data[[#This Row],[Total Harga]]-(Data[[#This Row],[Total Harga]]*Data[[#This Row],[Diskon]]),Data[[#This Row],[Total Harga]])</f>
        <v>1260000</v>
      </c>
      <c r="AA844" s="35">
        <f>(Data[[#This Row],[Profit A]]+Data[[#This Row],[Profit B]]+Data[[#This Row],[Profit C]])</f>
        <v>540000</v>
      </c>
      <c r="AB844" s="35">
        <f>IFERROR((Data[[#This Row],[Profit non Diskon]]-(Data[[#This Row],[Profit non Diskon]]*Data[[#This Row],[Diskon]])),Data[[#This Row],[Profit non Diskon]])</f>
        <v>486000</v>
      </c>
      <c r="AC844" s="23" t="s">
        <v>30</v>
      </c>
      <c r="AD844" s="37">
        <f>IFERROR(INDEX('Kode Diskon'!$D$3:$D$9,MATCH(Data[[#This Row],[Kode diskon]],'Kode Diskon'!$C$3:$C$9,0)),"-")</f>
        <v>0.1</v>
      </c>
      <c r="AE844" s="23" t="s">
        <v>29</v>
      </c>
      <c r="AF844" s="23" t="s">
        <v>10</v>
      </c>
      <c r="AG844" s="23" t="s">
        <v>79</v>
      </c>
      <c r="AH844" s="24">
        <v>45021</v>
      </c>
      <c r="AI844" s="23" t="str">
        <f>TEXT(Data[[#This Row],[Tanggal terjual]],"dddd")</f>
        <v>Wednesday</v>
      </c>
      <c r="AJ844" s="21" t="str">
        <f>TEXT(Data[[#This Row],[Tanggal terjual]],"wwww")</f>
        <v>wwww</v>
      </c>
    </row>
    <row r="845" spans="1:36" x14ac:dyDescent="0.2">
      <c r="A845" s="20">
        <v>844</v>
      </c>
      <c r="B845" s="21" t="str">
        <f>_xlfn.CONCAT("ORD-",INDEX(Helper!$B$2:$B$5,MATCH(Data[[#This Row],[Marketplace]],Helper!$A$2:$A$5,0)),TEXT(Data[[#This Row],[No]],"0000"),"-",TEXT(Data[[#This Row],[Tanggal terjual]],"dd/mm/yy"))</f>
        <v>ORD-TK0844-16/04/23</v>
      </c>
      <c r="C845" t="s">
        <v>66</v>
      </c>
      <c r="D845" t="str">
        <f>IFERROR(INDEX(Katalog!$A$3:$A$12,MATCH(Data[[#This Row],[ItemID A]],Katalog!$C$3:$C$12,0)),"-")</f>
        <v>Sepatu Pria</v>
      </c>
      <c r="E845" t="str">
        <f>IFERROR(INDEX(Katalog!$B$3:$B$12,MATCH(Data[[#This Row],[ItemID A]],Katalog!$C$3:$C$12,0)),"-")</f>
        <v>Sandal Slip On</v>
      </c>
      <c r="F845">
        <v>1</v>
      </c>
      <c r="G845">
        <v>5</v>
      </c>
      <c r="H845" s="36">
        <f>IFERROR(INDEX(Katalog!$D$3:$D$12,MATCH(Data[[#This Row],[ItemID A]],Katalog!$C$3:$C$12,0))*Data[[#This Row],[Qty A]],"0")</f>
        <v>150000</v>
      </c>
      <c r="I845" s="36">
        <f>IFERROR(INDEX(Katalog!$F$3:$F$12,MATCH(Data[[#This Row],[ItemID A]],Katalog!$C$3:$C$12,0))*Data[[#This Row],[Qty A]],0)</f>
        <v>60000</v>
      </c>
      <c r="K845" t="str">
        <f>IFERROR(INDEX(Katalog!$A$3:$A$12,MATCH(Data[[#This Row],[ItemID B]],Katalog!$C$3:$C$12,0)),"-")</f>
        <v>-</v>
      </c>
      <c r="L845" t="str">
        <f>IFERROR(INDEX(Katalog!$B$3:$B$12,MATCH(Data[[#This Row],[ItemID B]],Katalog!$C$3:$C$12,0)),"-")</f>
        <v>-</v>
      </c>
      <c r="O845" s="36" t="str">
        <f>IFERROR(INDEX(Katalog!$D$3:$D$12,MATCH(Data[[#This Row],[ItemID B]],Katalog!$C$3:$C$12,0))*Data[[#This Row],[Qty B]],"0")</f>
        <v>0</v>
      </c>
      <c r="P845" s="36" t="str">
        <f>IFERROR(INDEX(Katalog!$F$3:$F$12,MATCH(Data[[#This Row],[ItemID B]],Katalog!$C$3:$C$12,0))*Data[[#This Row],[Qty B]],"0")</f>
        <v>0</v>
      </c>
      <c r="R845" t="str">
        <f>IFERROR(INDEX(Katalog!$A$3:$A$12,MATCH(Data[[#This Row],[ItemID C]],Katalog!$C$3:$C$12,0)),"-")</f>
        <v>-</v>
      </c>
      <c r="S845" t="str">
        <f>IFERROR(INDEX(Katalog!$B$3:$B$12,MATCH(Data[[#This Row],[ItemID C]],Katalog!$C$3:$C$12,0)),"-")</f>
        <v>-</v>
      </c>
      <c r="V845" s="36" t="str">
        <f>IFERROR(INDEX(Katalog!$D$3:$D$12,MATCH(Data[[#This Row],[ItemID C]],Katalog!$C$3:$C$12,0))*Data[[#This Row],[Qty C]],"0")</f>
        <v>0</v>
      </c>
      <c r="W845" s="36" t="str">
        <f>IFERROR(INDEX(Katalog!$F$3:$F$12,MATCH(Data[[#This Row],[ItemID C]],Katalog!$C$3:$C$12,0))*Data[[#This Row],[Qty C]],"0")</f>
        <v>0</v>
      </c>
      <c r="X845" s="21">
        <f>Data[[#This Row],[Qty A]]+Data[[#This Row],[Qty B]]+Data[[#This Row],[Qty C]]</f>
        <v>1</v>
      </c>
      <c r="Y845" s="22">
        <f>Data[[#This Row],[Harga Barang A]]+Data[[#This Row],[Harga Barang B]]+Data[[#This Row],[Harga Barang C]]</f>
        <v>150000</v>
      </c>
      <c r="Z845" s="35">
        <f>IFERROR(Data[[#This Row],[Total Harga]]-(Data[[#This Row],[Total Harga]]*Data[[#This Row],[Diskon]]),Data[[#This Row],[Total Harga]])</f>
        <v>135000</v>
      </c>
      <c r="AA845" s="35">
        <f>(Data[[#This Row],[Profit A]]+Data[[#This Row],[Profit B]]+Data[[#This Row],[Profit C]])</f>
        <v>60000</v>
      </c>
      <c r="AB845" s="35">
        <f>IFERROR((Data[[#This Row],[Profit non Diskon]]-(Data[[#This Row],[Profit non Diskon]]*Data[[#This Row],[Diskon]])),Data[[#This Row],[Profit non Diskon]])</f>
        <v>54000</v>
      </c>
      <c r="AC845" s="23" t="s">
        <v>31</v>
      </c>
      <c r="AD845" s="37">
        <f>IFERROR(INDEX('Kode Diskon'!$D$3:$D$9,MATCH(Data[[#This Row],[Kode diskon]],'Kode Diskon'!$C$3:$C$9,0)),"-")</f>
        <v>0.1</v>
      </c>
      <c r="AE845" s="23" t="s">
        <v>9</v>
      </c>
      <c r="AF845" s="23" t="s">
        <v>10</v>
      </c>
      <c r="AG845" s="23" t="s">
        <v>80</v>
      </c>
      <c r="AH845" s="24">
        <v>45032</v>
      </c>
      <c r="AI845" s="23" t="str">
        <f>TEXT(Data[[#This Row],[Tanggal terjual]],"dddd")</f>
        <v>Sunday</v>
      </c>
      <c r="AJ845" s="21" t="str">
        <f>TEXT(Data[[#This Row],[Tanggal terjual]],"wwww")</f>
        <v>wwww</v>
      </c>
    </row>
    <row r="846" spans="1:36" x14ac:dyDescent="0.2">
      <c r="A846" s="20">
        <v>845</v>
      </c>
      <c r="B846" s="21" t="str">
        <f>_xlfn.CONCAT("ORD-",INDEX(Helper!$B$2:$B$5,MATCH(Data[[#This Row],[Marketplace]],Helper!$A$2:$A$5,0)),TEXT(Data[[#This Row],[No]],"0000"),"-",TEXT(Data[[#This Row],[Tanggal terjual]],"dd/mm/yy"))</f>
        <v>ORD-BB0845-04/04/23</v>
      </c>
      <c r="C846" t="s">
        <v>64</v>
      </c>
      <c r="D846" t="str">
        <f>IFERROR(INDEX(Katalog!$A$3:$A$12,MATCH(Data[[#This Row],[ItemID A]],Katalog!$C$3:$C$12,0)),"-")</f>
        <v>Pakaian Unisex</v>
      </c>
      <c r="E846" t="str">
        <f>IFERROR(INDEX(Katalog!$B$3:$B$12,MATCH(Data[[#This Row],[ItemID A]],Katalog!$C$3:$C$12,0)),"-")</f>
        <v>Jaket Hoodie</v>
      </c>
      <c r="F846">
        <v>2</v>
      </c>
      <c r="G846">
        <v>3</v>
      </c>
      <c r="H846" s="36">
        <f>IFERROR(INDEX(Katalog!$D$3:$D$12,MATCH(Data[[#This Row],[ItemID A]],Katalog!$C$3:$C$12,0))*Data[[#This Row],[Qty A]],"0")</f>
        <v>700000</v>
      </c>
      <c r="I846" s="36">
        <f>IFERROR(INDEX(Katalog!$F$3:$F$12,MATCH(Data[[#This Row],[ItemID A]],Katalog!$C$3:$C$12,0))*Data[[#This Row],[Qty A]],0)</f>
        <v>260000</v>
      </c>
      <c r="J846" t="s">
        <v>58</v>
      </c>
      <c r="K846" t="str">
        <f>IFERROR(INDEX(Katalog!$A$3:$A$12,MATCH(Data[[#This Row],[ItemID B]],Katalog!$C$3:$C$12,0)),"-")</f>
        <v>Pakaian Wanita</v>
      </c>
      <c r="L846" t="str">
        <f>IFERROR(INDEX(Katalog!$B$3:$B$12,MATCH(Data[[#This Row],[ItemID B]],Katalog!$C$3:$C$12,0)),"-")</f>
        <v>Dress</v>
      </c>
      <c r="M846">
        <v>2</v>
      </c>
      <c r="N846">
        <v>4</v>
      </c>
      <c r="O846" s="36">
        <f>IFERROR(INDEX(Katalog!$D$3:$D$12,MATCH(Data[[#This Row],[ItemID B]],Katalog!$C$3:$C$12,0))*Data[[#This Row],[Qty B]],"0")</f>
        <v>600000</v>
      </c>
      <c r="P846" s="36">
        <f>IFERROR(INDEX(Katalog!$F$3:$F$12,MATCH(Data[[#This Row],[ItemID B]],Katalog!$C$3:$C$12,0))*Data[[#This Row],[Qty B]],"0")</f>
        <v>200000</v>
      </c>
      <c r="Q846" t="s">
        <v>62</v>
      </c>
      <c r="R846" t="str">
        <f>IFERROR(INDEX(Katalog!$A$3:$A$12,MATCH(Data[[#This Row],[ItemID C]],Katalog!$C$3:$C$12,0)),"-")</f>
        <v>Pakaian Pria</v>
      </c>
      <c r="S846" t="str">
        <f>IFERROR(INDEX(Katalog!$B$3:$B$12,MATCH(Data[[#This Row],[ItemID C]],Katalog!$C$3:$C$12,0)),"-")</f>
        <v>Celana Pendek</v>
      </c>
      <c r="T846">
        <v>1</v>
      </c>
      <c r="U846">
        <v>5</v>
      </c>
      <c r="V846" s="36">
        <f>IFERROR(INDEX(Katalog!$D$3:$D$12,MATCH(Data[[#This Row],[ItemID C]],Katalog!$C$3:$C$12,0))*Data[[#This Row],[Qty C]],"0")</f>
        <v>180000</v>
      </c>
      <c r="W846" s="36">
        <f>IFERROR(INDEX(Katalog!$F$3:$F$12,MATCH(Data[[#This Row],[ItemID C]],Katalog!$C$3:$C$12,0))*Data[[#This Row],[Qty C]],"0")</f>
        <v>70000</v>
      </c>
      <c r="X846" s="21">
        <f>Data[[#This Row],[Qty A]]+Data[[#This Row],[Qty B]]+Data[[#This Row],[Qty C]]</f>
        <v>5</v>
      </c>
      <c r="Y846" s="22">
        <f>Data[[#This Row],[Harga Barang A]]+Data[[#This Row],[Harga Barang B]]+Data[[#This Row],[Harga Barang C]]</f>
        <v>1480000</v>
      </c>
      <c r="Z846" s="35">
        <f>IFERROR(Data[[#This Row],[Total Harga]]-(Data[[#This Row],[Total Harga]]*Data[[#This Row],[Diskon]]),Data[[#This Row],[Total Harga]])</f>
        <v>1258000</v>
      </c>
      <c r="AA846" s="35">
        <f>(Data[[#This Row],[Profit A]]+Data[[#This Row],[Profit B]]+Data[[#This Row],[Profit C]])</f>
        <v>530000</v>
      </c>
      <c r="AB846" s="35">
        <f>IFERROR((Data[[#This Row],[Profit non Diskon]]-(Data[[#This Row],[Profit non Diskon]]*Data[[#This Row],[Diskon]])),Data[[#This Row],[Profit non Diskon]])</f>
        <v>450500</v>
      </c>
      <c r="AC846" s="23" t="s">
        <v>28</v>
      </c>
      <c r="AD846" s="37">
        <f>IFERROR(INDEX('Kode Diskon'!$D$3:$D$9,MATCH(Data[[#This Row],[Kode diskon]],'Kode Diskon'!$C$3:$C$9,0)),"-")</f>
        <v>0.15</v>
      </c>
      <c r="AE846" s="23" t="s">
        <v>29</v>
      </c>
      <c r="AF846" s="23" t="s">
        <v>14</v>
      </c>
      <c r="AG846" s="23" t="s">
        <v>76</v>
      </c>
      <c r="AH846" s="24">
        <v>45020</v>
      </c>
      <c r="AI846" s="23" t="str">
        <f>TEXT(Data[[#This Row],[Tanggal terjual]],"dddd")</f>
        <v>Tuesday</v>
      </c>
      <c r="AJ846" s="21" t="str">
        <f>TEXT(Data[[#This Row],[Tanggal terjual]],"wwww")</f>
        <v>wwww</v>
      </c>
    </row>
    <row r="847" spans="1:36" x14ac:dyDescent="0.2">
      <c r="A847" s="20">
        <v>846</v>
      </c>
      <c r="B847" s="21" t="str">
        <f>_xlfn.CONCAT("ORD-",INDEX(Helper!$B$2:$B$5,MATCH(Data[[#This Row],[Marketplace]],Helper!$A$2:$A$5,0)),TEXT(Data[[#This Row],[No]],"0000"),"-",TEXT(Data[[#This Row],[Tanggal terjual]],"dd/mm/yy"))</f>
        <v>ORD-SP0846-20/04/23</v>
      </c>
      <c r="C847" t="s">
        <v>64</v>
      </c>
      <c r="D847" t="str">
        <f>IFERROR(INDEX(Katalog!$A$3:$A$12,MATCH(Data[[#This Row],[ItemID A]],Katalog!$C$3:$C$12,0)),"-")</f>
        <v>Pakaian Unisex</v>
      </c>
      <c r="E847" t="str">
        <f>IFERROR(INDEX(Katalog!$B$3:$B$12,MATCH(Data[[#This Row],[ItemID A]],Katalog!$C$3:$C$12,0)),"-")</f>
        <v>Jaket Hoodie</v>
      </c>
      <c r="F847">
        <v>1</v>
      </c>
      <c r="G847">
        <v>5</v>
      </c>
      <c r="H847" s="36">
        <f>IFERROR(INDEX(Katalog!$D$3:$D$12,MATCH(Data[[#This Row],[ItemID A]],Katalog!$C$3:$C$12,0))*Data[[#This Row],[Qty A]],"0")</f>
        <v>350000</v>
      </c>
      <c r="I847" s="36">
        <f>IFERROR(INDEX(Katalog!$F$3:$F$12,MATCH(Data[[#This Row],[ItemID A]],Katalog!$C$3:$C$12,0))*Data[[#This Row],[Qty A]],0)</f>
        <v>130000</v>
      </c>
      <c r="J847" t="s">
        <v>66</v>
      </c>
      <c r="K847" t="str">
        <f>IFERROR(INDEX(Katalog!$A$3:$A$12,MATCH(Data[[#This Row],[ItemID B]],Katalog!$C$3:$C$12,0)),"-")</f>
        <v>Sepatu Pria</v>
      </c>
      <c r="L847" t="str">
        <f>IFERROR(INDEX(Katalog!$B$3:$B$12,MATCH(Data[[#This Row],[ItemID B]],Katalog!$C$3:$C$12,0)),"-")</f>
        <v>Sandal Slip On</v>
      </c>
      <c r="M847">
        <v>2</v>
      </c>
      <c r="N847">
        <v>2</v>
      </c>
      <c r="O847" s="36">
        <f>IFERROR(INDEX(Katalog!$D$3:$D$12,MATCH(Data[[#This Row],[ItemID B]],Katalog!$C$3:$C$12,0))*Data[[#This Row],[Qty B]],"0")</f>
        <v>300000</v>
      </c>
      <c r="P847" s="36">
        <f>IFERROR(INDEX(Katalog!$F$3:$F$12,MATCH(Data[[#This Row],[ItemID B]],Katalog!$C$3:$C$12,0))*Data[[#This Row],[Qty B]],"0")</f>
        <v>120000</v>
      </c>
      <c r="Q847" t="s">
        <v>60</v>
      </c>
      <c r="R847" t="str">
        <f>IFERROR(INDEX(Katalog!$A$3:$A$12,MATCH(Data[[#This Row],[ItemID C]],Katalog!$C$3:$C$12,0)),"-")</f>
        <v>Pakaian Wanita</v>
      </c>
      <c r="S847" t="str">
        <f>IFERROR(INDEX(Katalog!$B$3:$B$12,MATCH(Data[[#This Row],[ItemID C]],Katalog!$C$3:$C$12,0)),"-")</f>
        <v>Kaftan</v>
      </c>
      <c r="T847">
        <v>1</v>
      </c>
      <c r="U847">
        <v>2</v>
      </c>
      <c r="V847" s="36">
        <f>IFERROR(INDEX(Katalog!$D$3:$D$12,MATCH(Data[[#This Row],[ItemID C]],Katalog!$C$3:$C$12,0))*Data[[#This Row],[Qty C]],"0")</f>
        <v>250000</v>
      </c>
      <c r="W847" s="36">
        <f>IFERROR(INDEX(Katalog!$F$3:$F$12,MATCH(Data[[#This Row],[ItemID C]],Katalog!$C$3:$C$12,0))*Data[[#This Row],[Qty C]],"0")</f>
        <v>100000</v>
      </c>
      <c r="X847" s="21">
        <f>Data[[#This Row],[Qty A]]+Data[[#This Row],[Qty B]]+Data[[#This Row],[Qty C]]</f>
        <v>4</v>
      </c>
      <c r="Y847" s="22">
        <f>Data[[#This Row],[Harga Barang A]]+Data[[#This Row],[Harga Barang B]]+Data[[#This Row],[Harga Barang C]]</f>
        <v>900000</v>
      </c>
      <c r="Z847" s="35">
        <f>IFERROR(Data[[#This Row],[Total Harga]]-(Data[[#This Row],[Total Harga]]*Data[[#This Row],[Diskon]]),Data[[#This Row],[Total Harga]])</f>
        <v>720000</v>
      </c>
      <c r="AA847" s="35">
        <f>(Data[[#This Row],[Profit A]]+Data[[#This Row],[Profit B]]+Data[[#This Row],[Profit C]])</f>
        <v>350000</v>
      </c>
      <c r="AB847" s="35">
        <f>IFERROR((Data[[#This Row],[Profit non Diskon]]-(Data[[#This Row],[Profit non Diskon]]*Data[[#This Row],[Diskon]])),Data[[#This Row],[Profit non Diskon]])</f>
        <v>280000</v>
      </c>
      <c r="AC847" s="23" t="s">
        <v>8</v>
      </c>
      <c r="AD847" s="37">
        <f>IFERROR(INDEX('Kode Diskon'!$D$3:$D$9,MATCH(Data[[#This Row],[Kode diskon]],'Kode Diskon'!$C$3:$C$9,0)),"-")</f>
        <v>0.2</v>
      </c>
      <c r="AE847" s="23" t="s">
        <v>9</v>
      </c>
      <c r="AF847" s="23" t="s">
        <v>7</v>
      </c>
      <c r="AG847" s="23" t="s">
        <v>80</v>
      </c>
      <c r="AH847" s="24">
        <v>45036</v>
      </c>
      <c r="AI847" s="23" t="str">
        <f>TEXT(Data[[#This Row],[Tanggal terjual]],"dddd")</f>
        <v>Thursday</v>
      </c>
      <c r="AJ847" s="21" t="str">
        <f>TEXT(Data[[#This Row],[Tanggal terjual]],"wwww")</f>
        <v>wwww</v>
      </c>
    </row>
    <row r="848" spans="1:36" x14ac:dyDescent="0.2">
      <c r="A848" s="20">
        <v>847</v>
      </c>
      <c r="B848" s="21" t="str">
        <f>_xlfn.CONCAT("ORD-",INDEX(Helper!$B$2:$B$5,MATCH(Data[[#This Row],[Marketplace]],Helper!$A$2:$A$5,0)),TEXT(Data[[#This Row],[No]],"0000"),"-",TEXT(Data[[#This Row],[Tanggal terjual]],"dd/mm/yy"))</f>
        <v>ORD-SP0847-20/04/23</v>
      </c>
      <c r="C848" t="s">
        <v>58</v>
      </c>
      <c r="D848" t="str">
        <f>IFERROR(INDEX(Katalog!$A$3:$A$12,MATCH(Data[[#This Row],[ItemID A]],Katalog!$C$3:$C$12,0)),"-")</f>
        <v>Pakaian Wanita</v>
      </c>
      <c r="E848" t="str">
        <f>IFERROR(INDEX(Katalog!$B$3:$B$12,MATCH(Data[[#This Row],[ItemID A]],Katalog!$C$3:$C$12,0)),"-")</f>
        <v>Dress</v>
      </c>
      <c r="F848">
        <v>2</v>
      </c>
      <c r="G848">
        <v>3</v>
      </c>
      <c r="H848" s="36">
        <f>IFERROR(INDEX(Katalog!$D$3:$D$12,MATCH(Data[[#This Row],[ItemID A]],Katalog!$C$3:$C$12,0))*Data[[#This Row],[Qty A]],"0")</f>
        <v>600000</v>
      </c>
      <c r="I848" s="36">
        <f>IFERROR(INDEX(Katalog!$F$3:$F$12,MATCH(Data[[#This Row],[ItemID A]],Katalog!$C$3:$C$12,0))*Data[[#This Row],[Qty A]],0)</f>
        <v>200000</v>
      </c>
      <c r="J848" t="s">
        <v>59</v>
      </c>
      <c r="K848" t="str">
        <f>IFERROR(INDEX(Katalog!$A$3:$A$12,MATCH(Data[[#This Row],[ItemID B]],Katalog!$C$3:$C$12,0)),"-")</f>
        <v>Pakaian Wanita</v>
      </c>
      <c r="L848" t="str">
        <f>IFERROR(INDEX(Katalog!$B$3:$B$12,MATCH(Data[[#This Row],[ItemID B]],Katalog!$C$3:$C$12,0)),"-")</f>
        <v>Blouse</v>
      </c>
      <c r="M848">
        <v>2</v>
      </c>
      <c r="N848">
        <v>3</v>
      </c>
      <c r="O848" s="36">
        <f>IFERROR(INDEX(Katalog!$D$3:$D$12,MATCH(Data[[#This Row],[ItemID B]],Katalog!$C$3:$C$12,0))*Data[[#This Row],[Qty B]],"0")</f>
        <v>300000</v>
      </c>
      <c r="P848" s="36">
        <f>IFERROR(INDEX(Katalog!$F$3:$F$12,MATCH(Data[[#This Row],[ItemID B]],Katalog!$C$3:$C$12,0))*Data[[#This Row],[Qty B]],"0")</f>
        <v>100000</v>
      </c>
      <c r="R848" t="str">
        <f>IFERROR(INDEX(Katalog!$A$3:$A$12,MATCH(Data[[#This Row],[ItemID C]],Katalog!$C$3:$C$12,0)),"-")</f>
        <v>-</v>
      </c>
      <c r="S848" t="str">
        <f>IFERROR(INDEX(Katalog!$B$3:$B$12,MATCH(Data[[#This Row],[ItemID C]],Katalog!$C$3:$C$12,0)),"-")</f>
        <v>-</v>
      </c>
      <c r="V848" s="36" t="str">
        <f>IFERROR(INDEX(Katalog!$D$3:$D$12,MATCH(Data[[#This Row],[ItemID C]],Katalog!$C$3:$C$12,0))*Data[[#This Row],[Qty C]],"0")</f>
        <v>0</v>
      </c>
      <c r="W848" s="36" t="str">
        <f>IFERROR(INDEX(Katalog!$F$3:$F$12,MATCH(Data[[#This Row],[ItemID C]],Katalog!$C$3:$C$12,0))*Data[[#This Row],[Qty C]],"0")</f>
        <v>0</v>
      </c>
      <c r="X848" s="21">
        <f>Data[[#This Row],[Qty A]]+Data[[#This Row],[Qty B]]+Data[[#This Row],[Qty C]]</f>
        <v>4</v>
      </c>
      <c r="Y848" s="22">
        <f>Data[[#This Row],[Harga Barang A]]+Data[[#This Row],[Harga Barang B]]+Data[[#This Row],[Harga Barang C]]</f>
        <v>900000</v>
      </c>
      <c r="Z848" s="35">
        <f>IFERROR(Data[[#This Row],[Total Harga]]-(Data[[#This Row],[Total Harga]]*Data[[#This Row],[Diskon]]),Data[[#This Row],[Total Harga]])</f>
        <v>720000</v>
      </c>
      <c r="AA848" s="35">
        <f>(Data[[#This Row],[Profit A]]+Data[[#This Row],[Profit B]]+Data[[#This Row],[Profit C]])</f>
        <v>300000</v>
      </c>
      <c r="AB848" s="35">
        <f>IFERROR((Data[[#This Row],[Profit non Diskon]]-(Data[[#This Row],[Profit non Diskon]]*Data[[#This Row],[Diskon]])),Data[[#This Row],[Profit non Diskon]])</f>
        <v>240000</v>
      </c>
      <c r="AC848" s="23" t="s">
        <v>8</v>
      </c>
      <c r="AD848" s="37">
        <f>IFERROR(INDEX('Kode Diskon'!$D$3:$D$9,MATCH(Data[[#This Row],[Kode diskon]],'Kode Diskon'!$C$3:$C$9,0)),"-")</f>
        <v>0.2</v>
      </c>
      <c r="AE848" s="23" t="s">
        <v>9</v>
      </c>
      <c r="AF848" s="23" t="s">
        <v>7</v>
      </c>
      <c r="AG848" s="23" t="s">
        <v>76</v>
      </c>
      <c r="AH848" s="24">
        <v>45036</v>
      </c>
      <c r="AI848" s="23" t="str">
        <f>TEXT(Data[[#This Row],[Tanggal terjual]],"dddd")</f>
        <v>Thursday</v>
      </c>
      <c r="AJ848" s="21" t="str">
        <f>TEXT(Data[[#This Row],[Tanggal terjual]],"wwww")</f>
        <v>wwww</v>
      </c>
    </row>
    <row r="849" spans="1:36" x14ac:dyDescent="0.2">
      <c r="A849" s="20">
        <v>848</v>
      </c>
      <c r="B849" s="21" t="str">
        <f>_xlfn.CONCAT("ORD-",INDEX(Helper!$B$2:$B$5,MATCH(Data[[#This Row],[Marketplace]],Helper!$A$2:$A$5,0)),TEXT(Data[[#This Row],[No]],"0000"),"-",TEXT(Data[[#This Row],[Tanggal terjual]],"dd/mm/yy"))</f>
        <v>ORD-TK0848-27/04/23</v>
      </c>
      <c r="C849" t="s">
        <v>64</v>
      </c>
      <c r="D849" t="str">
        <f>IFERROR(INDEX(Katalog!$A$3:$A$12,MATCH(Data[[#This Row],[ItemID A]],Katalog!$C$3:$C$12,0)),"-")</f>
        <v>Pakaian Unisex</v>
      </c>
      <c r="E849" t="str">
        <f>IFERROR(INDEX(Katalog!$B$3:$B$12,MATCH(Data[[#This Row],[ItemID A]],Katalog!$C$3:$C$12,0)),"-")</f>
        <v>Jaket Hoodie</v>
      </c>
      <c r="F849">
        <v>3</v>
      </c>
      <c r="G849">
        <v>4</v>
      </c>
      <c r="H849" s="36">
        <f>IFERROR(INDEX(Katalog!$D$3:$D$12,MATCH(Data[[#This Row],[ItemID A]],Katalog!$C$3:$C$12,0))*Data[[#This Row],[Qty A]],"0")</f>
        <v>1050000</v>
      </c>
      <c r="I849" s="36">
        <f>IFERROR(INDEX(Katalog!$F$3:$F$12,MATCH(Data[[#This Row],[ItemID A]],Katalog!$C$3:$C$12,0))*Data[[#This Row],[Qty A]],0)</f>
        <v>390000</v>
      </c>
      <c r="J849" t="s">
        <v>64</v>
      </c>
      <c r="K849" t="str">
        <f>IFERROR(INDEX(Katalog!$A$3:$A$12,MATCH(Data[[#This Row],[ItemID B]],Katalog!$C$3:$C$12,0)),"-")</f>
        <v>Pakaian Unisex</v>
      </c>
      <c r="L849" t="str">
        <f>IFERROR(INDEX(Katalog!$B$3:$B$12,MATCH(Data[[#This Row],[ItemID B]],Katalog!$C$3:$C$12,0)),"-")</f>
        <v>Jaket Hoodie</v>
      </c>
      <c r="M849">
        <v>2</v>
      </c>
      <c r="N849">
        <v>4</v>
      </c>
      <c r="O849" s="36">
        <f>IFERROR(INDEX(Katalog!$D$3:$D$12,MATCH(Data[[#This Row],[ItemID B]],Katalog!$C$3:$C$12,0))*Data[[#This Row],[Qty B]],"0")</f>
        <v>700000</v>
      </c>
      <c r="P849" s="36">
        <f>IFERROR(INDEX(Katalog!$F$3:$F$12,MATCH(Data[[#This Row],[ItemID B]],Katalog!$C$3:$C$12,0))*Data[[#This Row],[Qty B]],"0")</f>
        <v>260000</v>
      </c>
      <c r="R849" t="str">
        <f>IFERROR(INDEX(Katalog!$A$3:$A$12,MATCH(Data[[#This Row],[ItemID C]],Katalog!$C$3:$C$12,0)),"-")</f>
        <v>-</v>
      </c>
      <c r="S849" t="str">
        <f>IFERROR(INDEX(Katalog!$B$3:$B$12,MATCH(Data[[#This Row],[ItemID C]],Katalog!$C$3:$C$12,0)),"-")</f>
        <v>-</v>
      </c>
      <c r="V849" s="36" t="str">
        <f>IFERROR(INDEX(Katalog!$D$3:$D$12,MATCH(Data[[#This Row],[ItemID C]],Katalog!$C$3:$C$12,0))*Data[[#This Row],[Qty C]],"0")</f>
        <v>0</v>
      </c>
      <c r="W849" s="36" t="str">
        <f>IFERROR(INDEX(Katalog!$F$3:$F$12,MATCH(Data[[#This Row],[ItemID C]],Katalog!$C$3:$C$12,0))*Data[[#This Row],[Qty C]],"0")</f>
        <v>0</v>
      </c>
      <c r="X849" s="21">
        <f>Data[[#This Row],[Qty A]]+Data[[#This Row],[Qty B]]+Data[[#This Row],[Qty C]]</f>
        <v>5</v>
      </c>
      <c r="Y849" s="22">
        <f>Data[[#This Row],[Harga Barang A]]+Data[[#This Row],[Harga Barang B]]+Data[[#This Row],[Harga Barang C]]</f>
        <v>1750000</v>
      </c>
      <c r="Z849" s="35">
        <f>IFERROR(Data[[#This Row],[Total Harga]]-(Data[[#This Row],[Total Harga]]*Data[[#This Row],[Diskon]]),Data[[#This Row],[Total Harga]])</f>
        <v>1575000</v>
      </c>
      <c r="AA849" s="35">
        <f>(Data[[#This Row],[Profit A]]+Data[[#This Row],[Profit B]]+Data[[#This Row],[Profit C]])</f>
        <v>650000</v>
      </c>
      <c r="AB849" s="35">
        <f>IFERROR((Data[[#This Row],[Profit non Diskon]]-(Data[[#This Row],[Profit non Diskon]]*Data[[#This Row],[Diskon]])),Data[[#This Row],[Profit non Diskon]])</f>
        <v>585000</v>
      </c>
      <c r="AC849" s="23" t="s">
        <v>31</v>
      </c>
      <c r="AD849" s="37">
        <f>IFERROR(INDEX('Kode Diskon'!$D$3:$D$9,MATCH(Data[[#This Row],[Kode diskon]],'Kode Diskon'!$C$3:$C$9,0)),"-")</f>
        <v>0.1</v>
      </c>
      <c r="AE849" s="23" t="s">
        <v>9</v>
      </c>
      <c r="AF849" s="23" t="s">
        <v>10</v>
      </c>
      <c r="AG849" s="23" t="s">
        <v>75</v>
      </c>
      <c r="AH849" s="24">
        <v>45043</v>
      </c>
      <c r="AI849" s="23" t="str">
        <f>TEXT(Data[[#This Row],[Tanggal terjual]],"dddd")</f>
        <v>Thursday</v>
      </c>
      <c r="AJ849" s="21" t="str">
        <f>TEXT(Data[[#This Row],[Tanggal terjual]],"wwww")</f>
        <v>wwww</v>
      </c>
    </row>
    <row r="850" spans="1:36" x14ac:dyDescent="0.2">
      <c r="A850" s="20">
        <v>849</v>
      </c>
      <c r="B850" s="21" t="str">
        <f>_xlfn.CONCAT("ORD-",INDEX(Helper!$B$2:$B$5,MATCH(Data[[#This Row],[Marketplace]],Helper!$A$2:$A$5,0)),TEXT(Data[[#This Row],[No]],"0000"),"-",TEXT(Data[[#This Row],[Tanggal terjual]],"dd/mm/yy"))</f>
        <v>ORD-SP0849-10/04/23</v>
      </c>
      <c r="C850" t="s">
        <v>61</v>
      </c>
      <c r="D850" t="str">
        <f>IFERROR(INDEX(Katalog!$A$3:$A$12,MATCH(Data[[#This Row],[ItemID A]],Katalog!$C$3:$C$12,0)),"-")</f>
        <v>Pakaian Pria</v>
      </c>
      <c r="E850" t="str">
        <f>IFERROR(INDEX(Katalog!$B$3:$B$12,MATCH(Data[[#This Row],[ItemID A]],Katalog!$C$3:$C$12,0)),"-")</f>
        <v>Kaos Polo</v>
      </c>
      <c r="F850">
        <v>1</v>
      </c>
      <c r="G850">
        <v>1</v>
      </c>
      <c r="H850" s="36">
        <f>IFERROR(INDEX(Katalog!$D$3:$D$12,MATCH(Data[[#This Row],[ItemID A]],Katalog!$C$3:$C$12,0))*Data[[#This Row],[Qty A]],"0")</f>
        <v>200000</v>
      </c>
      <c r="I850" s="36">
        <f>IFERROR(INDEX(Katalog!$F$3:$F$12,MATCH(Data[[#This Row],[ItemID A]],Katalog!$C$3:$C$12,0))*Data[[#This Row],[Qty A]],0)</f>
        <v>80000</v>
      </c>
      <c r="K850" t="str">
        <f>IFERROR(INDEX(Katalog!$A$3:$A$12,MATCH(Data[[#This Row],[ItemID B]],Katalog!$C$3:$C$12,0)),"-")</f>
        <v>-</v>
      </c>
      <c r="L850" t="str">
        <f>IFERROR(INDEX(Katalog!$B$3:$B$12,MATCH(Data[[#This Row],[ItemID B]],Katalog!$C$3:$C$12,0)),"-")</f>
        <v>-</v>
      </c>
      <c r="O850" s="36" t="str">
        <f>IFERROR(INDEX(Katalog!$D$3:$D$12,MATCH(Data[[#This Row],[ItemID B]],Katalog!$C$3:$C$12,0))*Data[[#This Row],[Qty B]],"0")</f>
        <v>0</v>
      </c>
      <c r="P850" s="36" t="str">
        <f>IFERROR(INDEX(Katalog!$F$3:$F$12,MATCH(Data[[#This Row],[ItemID B]],Katalog!$C$3:$C$12,0))*Data[[#This Row],[Qty B]],"0")</f>
        <v>0</v>
      </c>
      <c r="R850" t="str">
        <f>IFERROR(INDEX(Katalog!$A$3:$A$12,MATCH(Data[[#This Row],[ItemID C]],Katalog!$C$3:$C$12,0)),"-")</f>
        <v>-</v>
      </c>
      <c r="S850" t="str">
        <f>IFERROR(INDEX(Katalog!$B$3:$B$12,MATCH(Data[[#This Row],[ItemID C]],Katalog!$C$3:$C$12,0)),"-")</f>
        <v>-</v>
      </c>
      <c r="V850" s="36" t="str">
        <f>IFERROR(INDEX(Katalog!$D$3:$D$12,MATCH(Data[[#This Row],[ItemID C]],Katalog!$C$3:$C$12,0))*Data[[#This Row],[Qty C]],"0")</f>
        <v>0</v>
      </c>
      <c r="W850" s="36" t="str">
        <f>IFERROR(INDEX(Katalog!$F$3:$F$12,MATCH(Data[[#This Row],[ItemID C]],Katalog!$C$3:$C$12,0))*Data[[#This Row],[Qty C]],"0")</f>
        <v>0</v>
      </c>
      <c r="X850" s="21">
        <f>Data[[#This Row],[Qty A]]+Data[[#This Row],[Qty B]]+Data[[#This Row],[Qty C]]</f>
        <v>1</v>
      </c>
      <c r="Y850" s="22">
        <f>Data[[#This Row],[Harga Barang A]]+Data[[#This Row],[Harga Barang B]]+Data[[#This Row],[Harga Barang C]]</f>
        <v>200000</v>
      </c>
      <c r="Z850" s="35">
        <f>IFERROR(Data[[#This Row],[Total Harga]]-(Data[[#This Row],[Total Harga]]*Data[[#This Row],[Diskon]]),Data[[#This Row],[Total Harga]])</f>
        <v>200000</v>
      </c>
      <c r="AA850" s="35">
        <f>(Data[[#This Row],[Profit A]]+Data[[#This Row],[Profit B]]+Data[[#This Row],[Profit C]])</f>
        <v>80000</v>
      </c>
      <c r="AB850" s="35">
        <f>IFERROR((Data[[#This Row],[Profit non Diskon]]-(Data[[#This Row],[Profit non Diskon]]*Data[[#This Row],[Diskon]])),Data[[#This Row],[Profit non Diskon]])</f>
        <v>80000</v>
      </c>
      <c r="AC850" s="23" t="s">
        <v>11</v>
      </c>
      <c r="AD850" s="37" t="str">
        <f>IFERROR(INDEX('Kode Diskon'!$D$3:$D$9,MATCH(Data[[#This Row],[Kode diskon]],'Kode Diskon'!$C$3:$C$9,0)),"-")</f>
        <v>-</v>
      </c>
      <c r="AE850" s="23" t="s">
        <v>11</v>
      </c>
      <c r="AF850" s="23" t="s">
        <v>7</v>
      </c>
      <c r="AG850" s="23" t="s">
        <v>77</v>
      </c>
      <c r="AH850" s="24">
        <v>45026</v>
      </c>
      <c r="AI850" s="23" t="str">
        <f>TEXT(Data[[#This Row],[Tanggal terjual]],"dddd")</f>
        <v>Monday</v>
      </c>
      <c r="AJ850" s="21" t="str">
        <f>TEXT(Data[[#This Row],[Tanggal terjual]],"wwww")</f>
        <v>wwww</v>
      </c>
    </row>
    <row r="851" spans="1:36" x14ac:dyDescent="0.2">
      <c r="A851" s="20">
        <v>850</v>
      </c>
      <c r="B851" s="21" t="str">
        <f>_xlfn.CONCAT("ORD-",INDEX(Helper!$B$2:$B$5,MATCH(Data[[#This Row],[Marketplace]],Helper!$A$2:$A$5,0)),TEXT(Data[[#This Row],[No]],"0000"),"-",TEXT(Data[[#This Row],[Tanggal terjual]],"dd/mm/yy"))</f>
        <v>ORD-TK0850-07/04/23</v>
      </c>
      <c r="C851" t="s">
        <v>63</v>
      </c>
      <c r="D851" t="str">
        <f>IFERROR(INDEX(Katalog!$A$3:$A$12,MATCH(Data[[#This Row],[ItemID A]],Katalog!$C$3:$C$12,0)),"-")</f>
        <v>Pakaian Pria</v>
      </c>
      <c r="E851" t="str">
        <f>IFERROR(INDEX(Katalog!$B$3:$B$12,MATCH(Data[[#This Row],[ItemID A]],Katalog!$C$3:$C$12,0)),"-")</f>
        <v>Jaket Jeans</v>
      </c>
      <c r="F851">
        <v>2</v>
      </c>
      <c r="G851">
        <v>1</v>
      </c>
      <c r="H851" s="36">
        <f>IFERROR(INDEX(Katalog!$D$3:$D$12,MATCH(Data[[#This Row],[ItemID A]],Katalog!$C$3:$C$12,0))*Data[[#This Row],[Qty A]],"0")</f>
        <v>800000</v>
      </c>
      <c r="I851" s="36">
        <f>IFERROR(INDEX(Katalog!$F$3:$F$12,MATCH(Data[[#This Row],[ItemID A]],Katalog!$C$3:$C$12,0))*Data[[#This Row],[Qty A]],0)</f>
        <v>300000</v>
      </c>
      <c r="J851" t="s">
        <v>65</v>
      </c>
      <c r="K851" t="str">
        <f>IFERROR(INDEX(Katalog!$A$3:$A$12,MATCH(Data[[#This Row],[ItemID B]],Katalog!$C$3:$C$12,0)),"-")</f>
        <v>Sepatu Pria</v>
      </c>
      <c r="L851" t="str">
        <f>IFERROR(INDEX(Katalog!$B$3:$B$12,MATCH(Data[[#This Row],[ItemID B]],Katalog!$C$3:$C$12,0)),"-")</f>
        <v>Sneakers</v>
      </c>
      <c r="M851">
        <v>1</v>
      </c>
      <c r="N851">
        <v>2</v>
      </c>
      <c r="O851" s="36">
        <f>IFERROR(INDEX(Katalog!$D$3:$D$12,MATCH(Data[[#This Row],[ItemID B]],Katalog!$C$3:$C$12,0))*Data[[#This Row],[Qty B]],"0")</f>
        <v>500000</v>
      </c>
      <c r="P851" s="36">
        <f>IFERROR(INDEX(Katalog!$F$3:$F$12,MATCH(Data[[#This Row],[ItemID B]],Katalog!$C$3:$C$12,0))*Data[[#This Row],[Qty B]],"0")</f>
        <v>200000</v>
      </c>
      <c r="Q851" t="s">
        <v>63</v>
      </c>
      <c r="R851" t="str">
        <f>IFERROR(INDEX(Katalog!$A$3:$A$12,MATCH(Data[[#This Row],[ItemID C]],Katalog!$C$3:$C$12,0)),"-")</f>
        <v>Pakaian Pria</v>
      </c>
      <c r="S851" t="str">
        <f>IFERROR(INDEX(Katalog!$B$3:$B$12,MATCH(Data[[#This Row],[ItemID C]],Katalog!$C$3:$C$12,0)),"-")</f>
        <v>Jaket Jeans</v>
      </c>
      <c r="T851">
        <v>3</v>
      </c>
      <c r="U851">
        <v>4</v>
      </c>
      <c r="V851" s="36">
        <f>IFERROR(INDEX(Katalog!$D$3:$D$12,MATCH(Data[[#This Row],[ItemID C]],Katalog!$C$3:$C$12,0))*Data[[#This Row],[Qty C]],"0")</f>
        <v>1200000</v>
      </c>
      <c r="W851" s="36">
        <f>IFERROR(INDEX(Katalog!$F$3:$F$12,MATCH(Data[[#This Row],[ItemID C]],Katalog!$C$3:$C$12,0))*Data[[#This Row],[Qty C]],"0")</f>
        <v>450000</v>
      </c>
      <c r="X851" s="21">
        <f>Data[[#This Row],[Qty A]]+Data[[#This Row],[Qty B]]+Data[[#This Row],[Qty C]]</f>
        <v>6</v>
      </c>
      <c r="Y851" s="22">
        <f>Data[[#This Row],[Harga Barang A]]+Data[[#This Row],[Harga Barang B]]+Data[[#This Row],[Harga Barang C]]</f>
        <v>2500000</v>
      </c>
      <c r="Z851" s="35">
        <f>IFERROR(Data[[#This Row],[Total Harga]]-(Data[[#This Row],[Total Harga]]*Data[[#This Row],[Diskon]]),Data[[#This Row],[Total Harga]])</f>
        <v>2500000</v>
      </c>
      <c r="AA851" s="35">
        <f>(Data[[#This Row],[Profit A]]+Data[[#This Row],[Profit B]]+Data[[#This Row],[Profit C]])</f>
        <v>950000</v>
      </c>
      <c r="AB851" s="35">
        <f>IFERROR((Data[[#This Row],[Profit non Diskon]]-(Data[[#This Row],[Profit non Diskon]]*Data[[#This Row],[Diskon]])),Data[[#This Row],[Profit non Diskon]])</f>
        <v>950000</v>
      </c>
      <c r="AC851" s="23" t="s">
        <v>11</v>
      </c>
      <c r="AD851" s="37" t="str">
        <f>IFERROR(INDEX('Kode Diskon'!$D$3:$D$9,MATCH(Data[[#This Row],[Kode diskon]],'Kode Diskon'!$C$3:$C$9,0)),"-")</f>
        <v>-</v>
      </c>
      <c r="AE851" s="23" t="s">
        <v>11</v>
      </c>
      <c r="AF851" s="23" t="s">
        <v>10</v>
      </c>
      <c r="AG851" s="23" t="s">
        <v>76</v>
      </c>
      <c r="AH851" s="24">
        <v>45023</v>
      </c>
      <c r="AI851" s="23" t="str">
        <f>TEXT(Data[[#This Row],[Tanggal terjual]],"dddd")</f>
        <v>Friday</v>
      </c>
      <c r="AJ851" s="21" t="str">
        <f>TEXT(Data[[#This Row],[Tanggal terjual]],"wwww")</f>
        <v>wwww</v>
      </c>
    </row>
    <row r="852" spans="1:36" x14ac:dyDescent="0.2">
      <c r="A852" s="20">
        <v>851</v>
      </c>
      <c r="B852" s="21" t="str">
        <f>_xlfn.CONCAT("ORD-",INDEX(Helper!$B$2:$B$5,MATCH(Data[[#This Row],[Marketplace]],Helper!$A$2:$A$5,0)),TEXT(Data[[#This Row],[No]],"0000"),"-",TEXT(Data[[#This Row],[Tanggal terjual]],"dd/mm/yy"))</f>
        <v>ORD-BB0851-03/04/23</v>
      </c>
      <c r="C852" t="s">
        <v>59</v>
      </c>
      <c r="D852" t="str">
        <f>IFERROR(INDEX(Katalog!$A$3:$A$12,MATCH(Data[[#This Row],[ItemID A]],Katalog!$C$3:$C$12,0)),"-")</f>
        <v>Pakaian Wanita</v>
      </c>
      <c r="E852" t="str">
        <f>IFERROR(INDEX(Katalog!$B$3:$B$12,MATCH(Data[[#This Row],[ItemID A]],Katalog!$C$3:$C$12,0)),"-")</f>
        <v>Blouse</v>
      </c>
      <c r="F852">
        <v>2</v>
      </c>
      <c r="G852">
        <v>2</v>
      </c>
      <c r="H852" s="36">
        <f>IFERROR(INDEX(Katalog!$D$3:$D$12,MATCH(Data[[#This Row],[ItemID A]],Katalog!$C$3:$C$12,0))*Data[[#This Row],[Qty A]],"0")</f>
        <v>300000</v>
      </c>
      <c r="I852" s="36">
        <f>IFERROR(INDEX(Katalog!$F$3:$F$12,MATCH(Data[[#This Row],[ItemID A]],Katalog!$C$3:$C$12,0))*Data[[#This Row],[Qty A]],0)</f>
        <v>100000</v>
      </c>
      <c r="K852" t="str">
        <f>IFERROR(INDEX(Katalog!$A$3:$A$12,MATCH(Data[[#This Row],[ItemID B]],Katalog!$C$3:$C$12,0)),"-")</f>
        <v>-</v>
      </c>
      <c r="L852" t="str">
        <f>IFERROR(INDEX(Katalog!$B$3:$B$12,MATCH(Data[[#This Row],[ItemID B]],Katalog!$C$3:$C$12,0)),"-")</f>
        <v>-</v>
      </c>
      <c r="O852" s="36" t="str">
        <f>IFERROR(INDEX(Katalog!$D$3:$D$12,MATCH(Data[[#This Row],[ItemID B]],Katalog!$C$3:$C$12,0))*Data[[#This Row],[Qty B]],"0")</f>
        <v>0</v>
      </c>
      <c r="P852" s="36" t="str">
        <f>IFERROR(INDEX(Katalog!$F$3:$F$12,MATCH(Data[[#This Row],[ItemID B]],Katalog!$C$3:$C$12,0))*Data[[#This Row],[Qty B]],"0")</f>
        <v>0</v>
      </c>
      <c r="R852" t="str">
        <f>IFERROR(INDEX(Katalog!$A$3:$A$12,MATCH(Data[[#This Row],[ItemID C]],Katalog!$C$3:$C$12,0)),"-")</f>
        <v>-</v>
      </c>
      <c r="S852" t="str">
        <f>IFERROR(INDEX(Katalog!$B$3:$B$12,MATCH(Data[[#This Row],[ItemID C]],Katalog!$C$3:$C$12,0)),"-")</f>
        <v>-</v>
      </c>
      <c r="V852" s="36" t="str">
        <f>IFERROR(INDEX(Katalog!$D$3:$D$12,MATCH(Data[[#This Row],[ItemID C]],Katalog!$C$3:$C$12,0))*Data[[#This Row],[Qty C]],"0")</f>
        <v>0</v>
      </c>
      <c r="W852" s="36" t="str">
        <f>IFERROR(INDEX(Katalog!$F$3:$F$12,MATCH(Data[[#This Row],[ItemID C]],Katalog!$C$3:$C$12,0))*Data[[#This Row],[Qty C]],"0")</f>
        <v>0</v>
      </c>
      <c r="X852" s="21">
        <f>Data[[#This Row],[Qty A]]+Data[[#This Row],[Qty B]]+Data[[#This Row],[Qty C]]</f>
        <v>2</v>
      </c>
      <c r="Y852" s="22">
        <f>Data[[#This Row],[Harga Barang A]]+Data[[#This Row],[Harga Barang B]]+Data[[#This Row],[Harga Barang C]]</f>
        <v>300000</v>
      </c>
      <c r="Z852" s="35">
        <f>IFERROR(Data[[#This Row],[Total Harga]]-(Data[[#This Row],[Total Harga]]*Data[[#This Row],[Diskon]]),Data[[#This Row],[Total Harga]])</f>
        <v>255000</v>
      </c>
      <c r="AA852" s="35">
        <f>(Data[[#This Row],[Profit A]]+Data[[#This Row],[Profit B]]+Data[[#This Row],[Profit C]])</f>
        <v>100000</v>
      </c>
      <c r="AB852" s="35">
        <f>IFERROR((Data[[#This Row],[Profit non Diskon]]-(Data[[#This Row],[Profit non Diskon]]*Data[[#This Row],[Diskon]])),Data[[#This Row],[Profit non Diskon]])</f>
        <v>85000</v>
      </c>
      <c r="AC852" s="23" t="s">
        <v>28</v>
      </c>
      <c r="AD852" s="37">
        <f>IFERROR(INDEX('Kode Diskon'!$D$3:$D$9,MATCH(Data[[#This Row],[Kode diskon]],'Kode Diskon'!$C$3:$C$9,0)),"-")</f>
        <v>0.15</v>
      </c>
      <c r="AE852" s="23" t="s">
        <v>29</v>
      </c>
      <c r="AF852" s="23" t="s">
        <v>14</v>
      </c>
      <c r="AG852" s="23" t="s">
        <v>76</v>
      </c>
      <c r="AH852" s="24">
        <v>45019</v>
      </c>
      <c r="AI852" s="23" t="str">
        <f>TEXT(Data[[#This Row],[Tanggal terjual]],"dddd")</f>
        <v>Monday</v>
      </c>
      <c r="AJ852" s="21" t="str">
        <f>TEXT(Data[[#This Row],[Tanggal terjual]],"wwww")</f>
        <v>wwww</v>
      </c>
    </row>
    <row r="853" spans="1:36" x14ac:dyDescent="0.2">
      <c r="A853" s="20">
        <v>852</v>
      </c>
      <c r="B853" s="21" t="str">
        <f>_xlfn.CONCAT("ORD-",INDEX(Helper!$B$2:$B$5,MATCH(Data[[#This Row],[Marketplace]],Helper!$A$2:$A$5,0)),TEXT(Data[[#This Row],[No]],"0000"),"-",TEXT(Data[[#This Row],[Tanggal terjual]],"dd/mm/yy"))</f>
        <v>ORD-BB0852-05/04/23</v>
      </c>
      <c r="C853" t="s">
        <v>64</v>
      </c>
      <c r="D853" t="str">
        <f>IFERROR(INDEX(Katalog!$A$3:$A$12,MATCH(Data[[#This Row],[ItemID A]],Katalog!$C$3:$C$12,0)),"-")</f>
        <v>Pakaian Unisex</v>
      </c>
      <c r="E853" t="str">
        <f>IFERROR(INDEX(Katalog!$B$3:$B$12,MATCH(Data[[#This Row],[ItemID A]],Katalog!$C$3:$C$12,0)),"-")</f>
        <v>Jaket Hoodie</v>
      </c>
      <c r="F853">
        <v>1</v>
      </c>
      <c r="G853">
        <v>2</v>
      </c>
      <c r="H853" s="36">
        <f>IFERROR(INDEX(Katalog!$D$3:$D$12,MATCH(Data[[#This Row],[ItemID A]],Katalog!$C$3:$C$12,0))*Data[[#This Row],[Qty A]],"0")</f>
        <v>350000</v>
      </c>
      <c r="I853" s="36">
        <f>IFERROR(INDEX(Katalog!$F$3:$F$12,MATCH(Data[[#This Row],[ItemID A]],Katalog!$C$3:$C$12,0))*Data[[#This Row],[Qty A]],0)</f>
        <v>130000</v>
      </c>
      <c r="J853" t="s">
        <v>63</v>
      </c>
      <c r="K853" t="str">
        <f>IFERROR(INDEX(Katalog!$A$3:$A$12,MATCH(Data[[#This Row],[ItemID B]],Katalog!$C$3:$C$12,0)),"-")</f>
        <v>Pakaian Pria</v>
      </c>
      <c r="L853" t="str">
        <f>IFERROR(INDEX(Katalog!$B$3:$B$12,MATCH(Data[[#This Row],[ItemID B]],Katalog!$C$3:$C$12,0)),"-")</f>
        <v>Jaket Jeans</v>
      </c>
      <c r="M853">
        <v>3</v>
      </c>
      <c r="N853">
        <v>3</v>
      </c>
      <c r="O853" s="36">
        <f>IFERROR(INDEX(Katalog!$D$3:$D$12,MATCH(Data[[#This Row],[ItemID B]],Katalog!$C$3:$C$12,0))*Data[[#This Row],[Qty B]],"0")</f>
        <v>1200000</v>
      </c>
      <c r="P853" s="36">
        <f>IFERROR(INDEX(Katalog!$F$3:$F$12,MATCH(Data[[#This Row],[ItemID B]],Katalog!$C$3:$C$12,0))*Data[[#This Row],[Qty B]],"0")</f>
        <v>450000</v>
      </c>
      <c r="Q853" t="s">
        <v>67</v>
      </c>
      <c r="R853" t="str">
        <f>IFERROR(INDEX(Katalog!$A$3:$A$12,MATCH(Data[[#This Row],[ItemID C]],Katalog!$C$3:$C$12,0)),"-")</f>
        <v>Sepatu Wanita</v>
      </c>
      <c r="S853" t="str">
        <f>IFERROR(INDEX(Katalog!$B$3:$B$12,MATCH(Data[[#This Row],[ItemID C]],Katalog!$C$3:$C$12,0)),"-")</f>
        <v>Flat Shoes</v>
      </c>
      <c r="T853">
        <v>3</v>
      </c>
      <c r="U853">
        <v>1</v>
      </c>
      <c r="V853" s="36">
        <f>IFERROR(INDEX(Katalog!$D$3:$D$12,MATCH(Data[[#This Row],[ItemID C]],Katalog!$C$3:$C$12,0))*Data[[#This Row],[Qty C]],"0")</f>
        <v>750000</v>
      </c>
      <c r="W853" s="36">
        <f>IFERROR(INDEX(Katalog!$F$3:$F$12,MATCH(Data[[#This Row],[ItemID C]],Katalog!$C$3:$C$12,0))*Data[[#This Row],[Qty C]],"0")</f>
        <v>300000</v>
      </c>
      <c r="X853" s="21">
        <f>Data[[#This Row],[Qty A]]+Data[[#This Row],[Qty B]]+Data[[#This Row],[Qty C]]</f>
        <v>7</v>
      </c>
      <c r="Y853" s="22">
        <f>Data[[#This Row],[Harga Barang A]]+Data[[#This Row],[Harga Barang B]]+Data[[#This Row],[Harga Barang C]]</f>
        <v>2300000</v>
      </c>
      <c r="Z853" s="35">
        <f>IFERROR(Data[[#This Row],[Total Harga]]-(Data[[#This Row],[Total Harga]]*Data[[#This Row],[Diskon]]),Data[[#This Row],[Total Harga]])</f>
        <v>1955000</v>
      </c>
      <c r="AA853" s="35">
        <f>(Data[[#This Row],[Profit A]]+Data[[#This Row],[Profit B]]+Data[[#This Row],[Profit C]])</f>
        <v>880000</v>
      </c>
      <c r="AB853" s="35">
        <f>IFERROR((Data[[#This Row],[Profit non Diskon]]-(Data[[#This Row],[Profit non Diskon]]*Data[[#This Row],[Diskon]])),Data[[#This Row],[Profit non Diskon]])</f>
        <v>748000</v>
      </c>
      <c r="AC853" s="23" t="s">
        <v>28</v>
      </c>
      <c r="AD853" s="37">
        <f>IFERROR(INDEX('Kode Diskon'!$D$3:$D$9,MATCH(Data[[#This Row],[Kode diskon]],'Kode Diskon'!$C$3:$C$9,0)),"-")</f>
        <v>0.15</v>
      </c>
      <c r="AE853" s="23" t="s">
        <v>29</v>
      </c>
      <c r="AF853" s="23" t="s">
        <v>14</v>
      </c>
      <c r="AG853" s="23" t="s">
        <v>80</v>
      </c>
      <c r="AH853" s="24">
        <v>45021</v>
      </c>
      <c r="AI853" s="23" t="str">
        <f>TEXT(Data[[#This Row],[Tanggal terjual]],"dddd")</f>
        <v>Wednesday</v>
      </c>
      <c r="AJ853" s="21" t="str">
        <f>TEXT(Data[[#This Row],[Tanggal terjual]],"wwww")</f>
        <v>wwww</v>
      </c>
    </row>
    <row r="854" spans="1:36" x14ac:dyDescent="0.2">
      <c r="A854" s="20">
        <v>853</v>
      </c>
      <c r="B854" s="21" t="str">
        <f>_xlfn.CONCAT("ORD-",INDEX(Helper!$B$2:$B$5,MATCH(Data[[#This Row],[Marketplace]],Helper!$A$2:$A$5,0)),TEXT(Data[[#This Row],[No]],"0000"),"-",TEXT(Data[[#This Row],[Tanggal terjual]],"dd/mm/yy"))</f>
        <v>ORD-TK0853-01/04/23</v>
      </c>
      <c r="C854" t="s">
        <v>64</v>
      </c>
      <c r="D854" t="str">
        <f>IFERROR(INDEX(Katalog!$A$3:$A$12,MATCH(Data[[#This Row],[ItemID A]],Katalog!$C$3:$C$12,0)),"-")</f>
        <v>Pakaian Unisex</v>
      </c>
      <c r="E854" t="str">
        <f>IFERROR(INDEX(Katalog!$B$3:$B$12,MATCH(Data[[#This Row],[ItemID A]],Katalog!$C$3:$C$12,0)),"-")</f>
        <v>Jaket Hoodie</v>
      </c>
      <c r="F854">
        <v>2</v>
      </c>
      <c r="G854">
        <v>4</v>
      </c>
      <c r="H854" s="36">
        <f>IFERROR(INDEX(Katalog!$D$3:$D$12,MATCH(Data[[#This Row],[ItemID A]],Katalog!$C$3:$C$12,0))*Data[[#This Row],[Qty A]],"0")</f>
        <v>700000</v>
      </c>
      <c r="I854" s="36">
        <f>IFERROR(INDEX(Katalog!$F$3:$F$12,MATCH(Data[[#This Row],[ItemID A]],Katalog!$C$3:$C$12,0))*Data[[#This Row],[Qty A]],0)</f>
        <v>260000</v>
      </c>
      <c r="K854" t="str">
        <f>IFERROR(INDEX(Katalog!$A$3:$A$12,MATCH(Data[[#This Row],[ItemID B]],Katalog!$C$3:$C$12,0)),"-")</f>
        <v>-</v>
      </c>
      <c r="L854" t="str">
        <f>IFERROR(INDEX(Katalog!$B$3:$B$12,MATCH(Data[[#This Row],[ItemID B]],Katalog!$C$3:$C$12,0)),"-")</f>
        <v>-</v>
      </c>
      <c r="O854" s="36" t="str">
        <f>IFERROR(INDEX(Katalog!$D$3:$D$12,MATCH(Data[[#This Row],[ItemID B]],Katalog!$C$3:$C$12,0))*Data[[#This Row],[Qty B]],"0")</f>
        <v>0</v>
      </c>
      <c r="P854" s="36" t="str">
        <f>IFERROR(INDEX(Katalog!$F$3:$F$12,MATCH(Data[[#This Row],[ItemID B]],Katalog!$C$3:$C$12,0))*Data[[#This Row],[Qty B]],"0")</f>
        <v>0</v>
      </c>
      <c r="R854" t="str">
        <f>IFERROR(INDEX(Katalog!$A$3:$A$12,MATCH(Data[[#This Row],[ItemID C]],Katalog!$C$3:$C$12,0)),"-")</f>
        <v>-</v>
      </c>
      <c r="S854" t="str">
        <f>IFERROR(INDEX(Katalog!$B$3:$B$12,MATCH(Data[[#This Row],[ItemID C]],Katalog!$C$3:$C$12,0)),"-")</f>
        <v>-</v>
      </c>
      <c r="V854" s="36" t="str">
        <f>IFERROR(INDEX(Katalog!$D$3:$D$12,MATCH(Data[[#This Row],[ItemID C]],Katalog!$C$3:$C$12,0))*Data[[#This Row],[Qty C]],"0")</f>
        <v>0</v>
      </c>
      <c r="W854" s="36" t="str">
        <f>IFERROR(INDEX(Katalog!$F$3:$F$12,MATCH(Data[[#This Row],[ItemID C]],Katalog!$C$3:$C$12,0))*Data[[#This Row],[Qty C]],"0")</f>
        <v>0</v>
      </c>
      <c r="X854" s="21">
        <f>Data[[#This Row],[Qty A]]+Data[[#This Row],[Qty B]]+Data[[#This Row],[Qty C]]</f>
        <v>2</v>
      </c>
      <c r="Y854" s="22">
        <f>Data[[#This Row],[Harga Barang A]]+Data[[#This Row],[Harga Barang B]]+Data[[#This Row],[Harga Barang C]]</f>
        <v>700000</v>
      </c>
      <c r="Z854" s="35">
        <f>IFERROR(Data[[#This Row],[Total Harga]]-(Data[[#This Row],[Total Harga]]*Data[[#This Row],[Diskon]]),Data[[#This Row],[Total Harga]])</f>
        <v>630000</v>
      </c>
      <c r="AA854" s="35">
        <f>(Data[[#This Row],[Profit A]]+Data[[#This Row],[Profit B]]+Data[[#This Row],[Profit C]])</f>
        <v>260000</v>
      </c>
      <c r="AB854" s="35">
        <f>IFERROR((Data[[#This Row],[Profit non Diskon]]-(Data[[#This Row],[Profit non Diskon]]*Data[[#This Row],[Diskon]])),Data[[#This Row],[Profit non Diskon]])</f>
        <v>234000</v>
      </c>
      <c r="AC854" s="23" t="s">
        <v>30</v>
      </c>
      <c r="AD854" s="37">
        <f>IFERROR(INDEX('Kode Diskon'!$D$3:$D$9,MATCH(Data[[#This Row],[Kode diskon]],'Kode Diskon'!$C$3:$C$9,0)),"-")</f>
        <v>0.1</v>
      </c>
      <c r="AE854" s="23" t="s">
        <v>29</v>
      </c>
      <c r="AF854" s="23" t="s">
        <v>10</v>
      </c>
      <c r="AG854" s="23" t="s">
        <v>80</v>
      </c>
      <c r="AH854" s="24">
        <v>45017</v>
      </c>
      <c r="AI854" s="23" t="str">
        <f>TEXT(Data[[#This Row],[Tanggal terjual]],"dddd")</f>
        <v>Saturday</v>
      </c>
      <c r="AJ854" s="21" t="str">
        <f>TEXT(Data[[#This Row],[Tanggal terjual]],"wwww")</f>
        <v>wwww</v>
      </c>
    </row>
    <row r="855" spans="1:36" x14ac:dyDescent="0.2">
      <c r="A855" s="20">
        <v>854</v>
      </c>
      <c r="B855" s="21" t="str">
        <f>_xlfn.CONCAT("ORD-",INDEX(Helper!$B$2:$B$5,MATCH(Data[[#This Row],[Marketplace]],Helper!$A$2:$A$5,0)),TEXT(Data[[#This Row],[No]],"0000"),"-",TEXT(Data[[#This Row],[Tanggal terjual]],"dd/mm/yy"))</f>
        <v>ORD-TK0854-04/04/23</v>
      </c>
      <c r="C855" t="s">
        <v>60</v>
      </c>
      <c r="D855" t="str">
        <f>IFERROR(INDEX(Katalog!$A$3:$A$12,MATCH(Data[[#This Row],[ItemID A]],Katalog!$C$3:$C$12,0)),"-")</f>
        <v>Pakaian Wanita</v>
      </c>
      <c r="E855" t="str">
        <f>IFERROR(INDEX(Katalog!$B$3:$B$12,MATCH(Data[[#This Row],[ItemID A]],Katalog!$C$3:$C$12,0)),"-")</f>
        <v>Kaftan</v>
      </c>
      <c r="F855">
        <v>1</v>
      </c>
      <c r="G855">
        <v>4</v>
      </c>
      <c r="H855" s="36">
        <f>IFERROR(INDEX(Katalog!$D$3:$D$12,MATCH(Data[[#This Row],[ItemID A]],Katalog!$C$3:$C$12,0))*Data[[#This Row],[Qty A]],"0")</f>
        <v>250000</v>
      </c>
      <c r="I855" s="36">
        <f>IFERROR(INDEX(Katalog!$F$3:$F$12,MATCH(Data[[#This Row],[ItemID A]],Katalog!$C$3:$C$12,0))*Data[[#This Row],[Qty A]],0)</f>
        <v>100000</v>
      </c>
      <c r="K855" t="str">
        <f>IFERROR(INDEX(Katalog!$A$3:$A$12,MATCH(Data[[#This Row],[ItemID B]],Katalog!$C$3:$C$12,0)),"-")</f>
        <v>-</v>
      </c>
      <c r="L855" t="str">
        <f>IFERROR(INDEX(Katalog!$B$3:$B$12,MATCH(Data[[#This Row],[ItemID B]],Katalog!$C$3:$C$12,0)),"-")</f>
        <v>-</v>
      </c>
      <c r="O855" s="36" t="str">
        <f>IFERROR(INDEX(Katalog!$D$3:$D$12,MATCH(Data[[#This Row],[ItemID B]],Katalog!$C$3:$C$12,0))*Data[[#This Row],[Qty B]],"0")</f>
        <v>0</v>
      </c>
      <c r="P855" s="36" t="str">
        <f>IFERROR(INDEX(Katalog!$F$3:$F$12,MATCH(Data[[#This Row],[ItemID B]],Katalog!$C$3:$C$12,0))*Data[[#This Row],[Qty B]],"0")</f>
        <v>0</v>
      </c>
      <c r="R855" t="str">
        <f>IFERROR(INDEX(Katalog!$A$3:$A$12,MATCH(Data[[#This Row],[ItemID C]],Katalog!$C$3:$C$12,0)),"-")</f>
        <v>-</v>
      </c>
      <c r="S855" t="str">
        <f>IFERROR(INDEX(Katalog!$B$3:$B$12,MATCH(Data[[#This Row],[ItemID C]],Katalog!$C$3:$C$12,0)),"-")</f>
        <v>-</v>
      </c>
      <c r="V855" s="36" t="str">
        <f>IFERROR(INDEX(Katalog!$D$3:$D$12,MATCH(Data[[#This Row],[ItemID C]],Katalog!$C$3:$C$12,0))*Data[[#This Row],[Qty C]],"0")</f>
        <v>0</v>
      </c>
      <c r="W855" s="36" t="str">
        <f>IFERROR(INDEX(Katalog!$F$3:$F$12,MATCH(Data[[#This Row],[ItemID C]],Katalog!$C$3:$C$12,0))*Data[[#This Row],[Qty C]],"0")</f>
        <v>0</v>
      </c>
      <c r="X855" s="21">
        <f>Data[[#This Row],[Qty A]]+Data[[#This Row],[Qty B]]+Data[[#This Row],[Qty C]]</f>
        <v>1</v>
      </c>
      <c r="Y855" s="22">
        <f>Data[[#This Row],[Harga Barang A]]+Data[[#This Row],[Harga Barang B]]+Data[[#This Row],[Harga Barang C]]</f>
        <v>250000</v>
      </c>
      <c r="Z855" s="35">
        <f>IFERROR(Data[[#This Row],[Total Harga]]-(Data[[#This Row],[Total Harga]]*Data[[#This Row],[Diskon]]),Data[[#This Row],[Total Harga]])</f>
        <v>225000</v>
      </c>
      <c r="AA855" s="35">
        <f>(Data[[#This Row],[Profit A]]+Data[[#This Row],[Profit B]]+Data[[#This Row],[Profit C]])</f>
        <v>100000</v>
      </c>
      <c r="AB855" s="35">
        <f>IFERROR((Data[[#This Row],[Profit non Diskon]]-(Data[[#This Row],[Profit non Diskon]]*Data[[#This Row],[Diskon]])),Data[[#This Row],[Profit non Diskon]])</f>
        <v>90000</v>
      </c>
      <c r="AC855" s="23" t="s">
        <v>30</v>
      </c>
      <c r="AD855" s="37">
        <f>IFERROR(INDEX('Kode Diskon'!$D$3:$D$9,MATCH(Data[[#This Row],[Kode diskon]],'Kode Diskon'!$C$3:$C$9,0)),"-")</f>
        <v>0.1</v>
      </c>
      <c r="AE855" s="23" t="s">
        <v>29</v>
      </c>
      <c r="AF855" s="23" t="s">
        <v>10</v>
      </c>
      <c r="AG855" s="23" t="s">
        <v>80</v>
      </c>
      <c r="AH855" s="24">
        <v>45020</v>
      </c>
      <c r="AI855" s="23" t="str">
        <f>TEXT(Data[[#This Row],[Tanggal terjual]],"dddd")</f>
        <v>Tuesday</v>
      </c>
      <c r="AJ855" s="21" t="str">
        <f>TEXT(Data[[#This Row],[Tanggal terjual]],"wwww")</f>
        <v>wwww</v>
      </c>
    </row>
    <row r="856" spans="1:36" x14ac:dyDescent="0.2">
      <c r="A856" s="20">
        <v>855</v>
      </c>
      <c r="B856" s="21" t="str">
        <f>_xlfn.CONCAT("ORD-",INDEX(Helper!$B$2:$B$5,MATCH(Data[[#This Row],[Marketplace]],Helper!$A$2:$A$5,0)),TEXT(Data[[#This Row],[No]],"0000"),"-",TEXT(Data[[#This Row],[Tanggal terjual]],"dd/mm/yy"))</f>
        <v>ORD-BB0855-04/04/23</v>
      </c>
      <c r="C856" t="s">
        <v>61</v>
      </c>
      <c r="D856" t="str">
        <f>IFERROR(INDEX(Katalog!$A$3:$A$12,MATCH(Data[[#This Row],[ItemID A]],Katalog!$C$3:$C$12,0)),"-")</f>
        <v>Pakaian Pria</v>
      </c>
      <c r="E856" t="str">
        <f>IFERROR(INDEX(Katalog!$B$3:$B$12,MATCH(Data[[#This Row],[ItemID A]],Katalog!$C$3:$C$12,0)),"-")</f>
        <v>Kaos Polo</v>
      </c>
      <c r="F856">
        <v>2</v>
      </c>
      <c r="G856">
        <v>3</v>
      </c>
      <c r="H856" s="36">
        <f>IFERROR(INDEX(Katalog!$D$3:$D$12,MATCH(Data[[#This Row],[ItemID A]],Katalog!$C$3:$C$12,0))*Data[[#This Row],[Qty A]],"0")</f>
        <v>400000</v>
      </c>
      <c r="I856" s="36">
        <f>IFERROR(INDEX(Katalog!$F$3:$F$12,MATCH(Data[[#This Row],[ItemID A]],Katalog!$C$3:$C$12,0))*Data[[#This Row],[Qty A]],0)</f>
        <v>160000</v>
      </c>
      <c r="J856" t="s">
        <v>67</v>
      </c>
      <c r="K856" t="str">
        <f>IFERROR(INDEX(Katalog!$A$3:$A$12,MATCH(Data[[#This Row],[ItemID B]],Katalog!$C$3:$C$12,0)),"-")</f>
        <v>Sepatu Wanita</v>
      </c>
      <c r="L856" t="str">
        <f>IFERROR(INDEX(Katalog!$B$3:$B$12,MATCH(Data[[#This Row],[ItemID B]],Katalog!$C$3:$C$12,0)),"-")</f>
        <v>Flat Shoes</v>
      </c>
      <c r="M856">
        <v>2</v>
      </c>
      <c r="N856">
        <v>5</v>
      </c>
      <c r="O856" s="36">
        <f>IFERROR(INDEX(Katalog!$D$3:$D$12,MATCH(Data[[#This Row],[ItemID B]],Katalog!$C$3:$C$12,0))*Data[[#This Row],[Qty B]],"0")</f>
        <v>500000</v>
      </c>
      <c r="P856" s="36">
        <f>IFERROR(INDEX(Katalog!$F$3:$F$12,MATCH(Data[[#This Row],[ItemID B]],Katalog!$C$3:$C$12,0))*Data[[#This Row],[Qty B]],"0")</f>
        <v>200000</v>
      </c>
      <c r="R856" t="str">
        <f>IFERROR(INDEX(Katalog!$A$3:$A$12,MATCH(Data[[#This Row],[ItemID C]],Katalog!$C$3:$C$12,0)),"-")</f>
        <v>-</v>
      </c>
      <c r="S856" t="str">
        <f>IFERROR(INDEX(Katalog!$B$3:$B$12,MATCH(Data[[#This Row],[ItemID C]],Katalog!$C$3:$C$12,0)),"-")</f>
        <v>-</v>
      </c>
      <c r="V856" s="36" t="str">
        <f>IFERROR(INDEX(Katalog!$D$3:$D$12,MATCH(Data[[#This Row],[ItemID C]],Katalog!$C$3:$C$12,0))*Data[[#This Row],[Qty C]],"0")</f>
        <v>0</v>
      </c>
      <c r="W856" s="36" t="str">
        <f>IFERROR(INDEX(Katalog!$F$3:$F$12,MATCH(Data[[#This Row],[ItemID C]],Katalog!$C$3:$C$12,0))*Data[[#This Row],[Qty C]],"0")</f>
        <v>0</v>
      </c>
      <c r="X856" s="21">
        <f>Data[[#This Row],[Qty A]]+Data[[#This Row],[Qty B]]+Data[[#This Row],[Qty C]]</f>
        <v>4</v>
      </c>
      <c r="Y856" s="22">
        <f>Data[[#This Row],[Harga Barang A]]+Data[[#This Row],[Harga Barang B]]+Data[[#This Row],[Harga Barang C]]</f>
        <v>900000</v>
      </c>
      <c r="Z856" s="35">
        <f>IFERROR(Data[[#This Row],[Total Harga]]-(Data[[#This Row],[Total Harga]]*Data[[#This Row],[Diskon]]),Data[[#This Row],[Total Harga]])</f>
        <v>765000</v>
      </c>
      <c r="AA856" s="35">
        <f>(Data[[#This Row],[Profit A]]+Data[[#This Row],[Profit B]]+Data[[#This Row],[Profit C]])</f>
        <v>360000</v>
      </c>
      <c r="AB856" s="35">
        <f>IFERROR((Data[[#This Row],[Profit non Diskon]]-(Data[[#This Row],[Profit non Diskon]]*Data[[#This Row],[Diskon]])),Data[[#This Row],[Profit non Diskon]])</f>
        <v>306000</v>
      </c>
      <c r="AC856" s="23" t="s">
        <v>28</v>
      </c>
      <c r="AD856" s="37">
        <f>IFERROR(INDEX('Kode Diskon'!$D$3:$D$9,MATCH(Data[[#This Row],[Kode diskon]],'Kode Diskon'!$C$3:$C$9,0)),"-")</f>
        <v>0.15</v>
      </c>
      <c r="AE856" s="23" t="s">
        <v>29</v>
      </c>
      <c r="AF856" s="23" t="s">
        <v>14</v>
      </c>
      <c r="AG856" s="23" t="s">
        <v>80</v>
      </c>
      <c r="AH856" s="24">
        <v>45020</v>
      </c>
      <c r="AI856" s="23" t="str">
        <f>TEXT(Data[[#This Row],[Tanggal terjual]],"dddd")</f>
        <v>Tuesday</v>
      </c>
      <c r="AJ856" s="21" t="str">
        <f>TEXT(Data[[#This Row],[Tanggal terjual]],"wwww")</f>
        <v>wwww</v>
      </c>
    </row>
    <row r="857" spans="1:36" x14ac:dyDescent="0.2">
      <c r="A857" s="20">
        <v>856</v>
      </c>
      <c r="B857" s="21" t="str">
        <f>_xlfn.CONCAT("ORD-",INDEX(Helper!$B$2:$B$5,MATCH(Data[[#This Row],[Marketplace]],Helper!$A$2:$A$5,0)),TEXT(Data[[#This Row],[No]],"0000"),"-",TEXT(Data[[#This Row],[Tanggal terjual]],"dd/mm/yy"))</f>
        <v>ORD-SP0856-03/04/23</v>
      </c>
      <c r="C857" t="s">
        <v>63</v>
      </c>
      <c r="D857" t="str">
        <f>IFERROR(INDEX(Katalog!$A$3:$A$12,MATCH(Data[[#This Row],[ItemID A]],Katalog!$C$3:$C$12,0)),"-")</f>
        <v>Pakaian Pria</v>
      </c>
      <c r="E857" t="str">
        <f>IFERROR(INDEX(Katalog!$B$3:$B$12,MATCH(Data[[#This Row],[ItemID A]],Katalog!$C$3:$C$12,0)),"-")</f>
        <v>Jaket Jeans</v>
      </c>
      <c r="F857">
        <v>2</v>
      </c>
      <c r="G857">
        <v>5</v>
      </c>
      <c r="H857" s="36">
        <f>IFERROR(INDEX(Katalog!$D$3:$D$12,MATCH(Data[[#This Row],[ItemID A]],Katalog!$C$3:$C$12,0))*Data[[#This Row],[Qty A]],"0")</f>
        <v>800000</v>
      </c>
      <c r="I857" s="36">
        <f>IFERROR(INDEX(Katalog!$F$3:$F$12,MATCH(Data[[#This Row],[ItemID A]],Katalog!$C$3:$C$12,0))*Data[[#This Row],[Qty A]],0)</f>
        <v>300000</v>
      </c>
      <c r="J857" t="s">
        <v>64</v>
      </c>
      <c r="K857" t="str">
        <f>IFERROR(INDEX(Katalog!$A$3:$A$12,MATCH(Data[[#This Row],[ItemID B]],Katalog!$C$3:$C$12,0)),"-")</f>
        <v>Pakaian Unisex</v>
      </c>
      <c r="L857" t="str">
        <f>IFERROR(INDEX(Katalog!$B$3:$B$12,MATCH(Data[[#This Row],[ItemID B]],Katalog!$C$3:$C$12,0)),"-")</f>
        <v>Jaket Hoodie</v>
      </c>
      <c r="M857">
        <v>1</v>
      </c>
      <c r="N857">
        <v>2</v>
      </c>
      <c r="O857" s="36">
        <f>IFERROR(INDEX(Katalog!$D$3:$D$12,MATCH(Data[[#This Row],[ItemID B]],Katalog!$C$3:$C$12,0))*Data[[#This Row],[Qty B]],"0")</f>
        <v>350000</v>
      </c>
      <c r="P857" s="36">
        <f>IFERROR(INDEX(Katalog!$F$3:$F$12,MATCH(Data[[#This Row],[ItemID B]],Katalog!$C$3:$C$12,0))*Data[[#This Row],[Qty B]],"0")</f>
        <v>130000</v>
      </c>
      <c r="R857" t="str">
        <f>IFERROR(INDEX(Katalog!$A$3:$A$12,MATCH(Data[[#This Row],[ItemID C]],Katalog!$C$3:$C$12,0)),"-")</f>
        <v>-</v>
      </c>
      <c r="S857" t="str">
        <f>IFERROR(INDEX(Katalog!$B$3:$B$12,MATCH(Data[[#This Row],[ItemID C]],Katalog!$C$3:$C$12,0)),"-")</f>
        <v>-</v>
      </c>
      <c r="V857" s="36" t="str">
        <f>IFERROR(INDEX(Katalog!$D$3:$D$12,MATCH(Data[[#This Row],[ItemID C]],Katalog!$C$3:$C$12,0))*Data[[#This Row],[Qty C]],"0")</f>
        <v>0</v>
      </c>
      <c r="W857" s="36" t="str">
        <f>IFERROR(INDEX(Katalog!$F$3:$F$12,MATCH(Data[[#This Row],[ItemID C]],Katalog!$C$3:$C$12,0))*Data[[#This Row],[Qty C]],"0")</f>
        <v>0</v>
      </c>
      <c r="X857" s="21">
        <f>Data[[#This Row],[Qty A]]+Data[[#This Row],[Qty B]]+Data[[#This Row],[Qty C]]</f>
        <v>3</v>
      </c>
      <c r="Y857" s="22">
        <f>Data[[#This Row],[Harga Barang A]]+Data[[#This Row],[Harga Barang B]]+Data[[#This Row],[Harga Barang C]]</f>
        <v>1150000</v>
      </c>
      <c r="Z857" s="35">
        <f>IFERROR(Data[[#This Row],[Total Harga]]-(Data[[#This Row],[Total Harga]]*Data[[#This Row],[Diskon]]),Data[[#This Row],[Total Harga]])</f>
        <v>1035000</v>
      </c>
      <c r="AA857" s="35">
        <f>(Data[[#This Row],[Profit A]]+Data[[#This Row],[Profit B]]+Data[[#This Row],[Profit C]])</f>
        <v>430000</v>
      </c>
      <c r="AB857" s="35">
        <f>IFERROR((Data[[#This Row],[Profit non Diskon]]-(Data[[#This Row],[Profit non Diskon]]*Data[[#This Row],[Diskon]])),Data[[#This Row],[Profit non Diskon]])</f>
        <v>387000</v>
      </c>
      <c r="AC857" s="23" t="s">
        <v>6</v>
      </c>
      <c r="AD857" s="37">
        <f>IFERROR(INDEX('Kode Diskon'!$D$3:$D$9,MATCH(Data[[#This Row],[Kode diskon]],'Kode Diskon'!$C$3:$C$9,0)),"-")</f>
        <v>0.1</v>
      </c>
      <c r="AE857" s="23" t="s">
        <v>29</v>
      </c>
      <c r="AF857" s="23" t="s">
        <v>7</v>
      </c>
      <c r="AG857" s="23" t="s">
        <v>79</v>
      </c>
      <c r="AH857" s="24">
        <v>45019</v>
      </c>
      <c r="AI857" s="23" t="str">
        <f>TEXT(Data[[#This Row],[Tanggal terjual]],"dddd")</f>
        <v>Monday</v>
      </c>
      <c r="AJ857" s="21" t="str">
        <f>TEXT(Data[[#This Row],[Tanggal terjual]],"wwww")</f>
        <v>wwww</v>
      </c>
    </row>
    <row r="858" spans="1:36" x14ac:dyDescent="0.2">
      <c r="A858" s="20">
        <v>857</v>
      </c>
      <c r="B858" s="21" t="str">
        <f>_xlfn.CONCAT("ORD-",INDEX(Helper!$B$2:$B$5,MATCH(Data[[#This Row],[Marketplace]],Helper!$A$2:$A$5,0)),TEXT(Data[[#This Row],[No]],"0000"),"-",TEXT(Data[[#This Row],[Tanggal terjual]],"dd/mm/yy"))</f>
        <v>ORD-TK0857-29/04/23</v>
      </c>
      <c r="C858" t="s">
        <v>62</v>
      </c>
      <c r="D858" t="str">
        <f>IFERROR(INDEX(Katalog!$A$3:$A$12,MATCH(Data[[#This Row],[ItemID A]],Katalog!$C$3:$C$12,0)),"-")</f>
        <v>Pakaian Pria</v>
      </c>
      <c r="E858" t="str">
        <f>IFERROR(INDEX(Katalog!$B$3:$B$12,MATCH(Data[[#This Row],[ItemID A]],Katalog!$C$3:$C$12,0)),"-")</f>
        <v>Celana Pendek</v>
      </c>
      <c r="F858">
        <v>5</v>
      </c>
      <c r="G858">
        <v>1</v>
      </c>
      <c r="H858" s="36">
        <f>IFERROR(INDEX(Katalog!$D$3:$D$12,MATCH(Data[[#This Row],[ItemID A]],Katalog!$C$3:$C$12,0))*Data[[#This Row],[Qty A]],"0")</f>
        <v>900000</v>
      </c>
      <c r="I858" s="36">
        <f>IFERROR(INDEX(Katalog!$F$3:$F$12,MATCH(Data[[#This Row],[ItemID A]],Katalog!$C$3:$C$12,0))*Data[[#This Row],[Qty A]],0)</f>
        <v>350000</v>
      </c>
      <c r="J858" t="s">
        <v>61</v>
      </c>
      <c r="K858" t="str">
        <f>IFERROR(INDEX(Katalog!$A$3:$A$12,MATCH(Data[[#This Row],[ItemID B]],Katalog!$C$3:$C$12,0)),"-")</f>
        <v>Pakaian Pria</v>
      </c>
      <c r="L858" t="str">
        <f>IFERROR(INDEX(Katalog!$B$3:$B$12,MATCH(Data[[#This Row],[ItemID B]],Katalog!$C$3:$C$12,0)),"-")</f>
        <v>Kaos Polo</v>
      </c>
      <c r="M858">
        <v>1</v>
      </c>
      <c r="N858">
        <v>5</v>
      </c>
      <c r="O858" s="36">
        <f>IFERROR(INDEX(Katalog!$D$3:$D$12,MATCH(Data[[#This Row],[ItemID B]],Katalog!$C$3:$C$12,0))*Data[[#This Row],[Qty B]],"0")</f>
        <v>200000</v>
      </c>
      <c r="P858" s="36">
        <f>IFERROR(INDEX(Katalog!$F$3:$F$12,MATCH(Data[[#This Row],[ItemID B]],Katalog!$C$3:$C$12,0))*Data[[#This Row],[Qty B]],"0")</f>
        <v>80000</v>
      </c>
      <c r="Q858" t="s">
        <v>63</v>
      </c>
      <c r="R858" t="str">
        <f>IFERROR(INDEX(Katalog!$A$3:$A$12,MATCH(Data[[#This Row],[ItemID C]],Katalog!$C$3:$C$12,0)),"-")</f>
        <v>Pakaian Pria</v>
      </c>
      <c r="S858" t="str">
        <f>IFERROR(INDEX(Katalog!$B$3:$B$12,MATCH(Data[[#This Row],[ItemID C]],Katalog!$C$3:$C$12,0)),"-")</f>
        <v>Jaket Jeans</v>
      </c>
      <c r="T858">
        <v>1</v>
      </c>
      <c r="U858">
        <v>3</v>
      </c>
      <c r="V858" s="36">
        <f>IFERROR(INDEX(Katalog!$D$3:$D$12,MATCH(Data[[#This Row],[ItemID C]],Katalog!$C$3:$C$12,0))*Data[[#This Row],[Qty C]],"0")</f>
        <v>400000</v>
      </c>
      <c r="W858" s="36">
        <f>IFERROR(INDEX(Katalog!$F$3:$F$12,MATCH(Data[[#This Row],[ItemID C]],Katalog!$C$3:$C$12,0))*Data[[#This Row],[Qty C]],"0")</f>
        <v>150000</v>
      </c>
      <c r="X858" s="21">
        <f>Data[[#This Row],[Qty A]]+Data[[#This Row],[Qty B]]+Data[[#This Row],[Qty C]]</f>
        <v>7</v>
      </c>
      <c r="Y858" s="22">
        <f>Data[[#This Row],[Harga Barang A]]+Data[[#This Row],[Harga Barang B]]+Data[[#This Row],[Harga Barang C]]</f>
        <v>1500000</v>
      </c>
      <c r="Z858" s="35">
        <f>IFERROR(Data[[#This Row],[Total Harga]]-(Data[[#This Row],[Total Harga]]*Data[[#This Row],[Diskon]]),Data[[#This Row],[Total Harga]])</f>
        <v>1350000</v>
      </c>
      <c r="AA858" s="35">
        <f>(Data[[#This Row],[Profit A]]+Data[[#This Row],[Profit B]]+Data[[#This Row],[Profit C]])</f>
        <v>580000</v>
      </c>
      <c r="AB858" s="35">
        <f>IFERROR((Data[[#This Row],[Profit non Diskon]]-(Data[[#This Row],[Profit non Diskon]]*Data[[#This Row],[Diskon]])),Data[[#This Row],[Profit non Diskon]])</f>
        <v>522000</v>
      </c>
      <c r="AC858" s="23" t="s">
        <v>31</v>
      </c>
      <c r="AD858" s="37">
        <f>IFERROR(INDEX('Kode Diskon'!$D$3:$D$9,MATCH(Data[[#This Row],[Kode diskon]],'Kode Diskon'!$C$3:$C$9,0)),"-")</f>
        <v>0.1</v>
      </c>
      <c r="AE858" s="23" t="s">
        <v>9</v>
      </c>
      <c r="AF858" s="23" t="s">
        <v>10</v>
      </c>
      <c r="AG858" s="23" t="s">
        <v>80</v>
      </c>
      <c r="AH858" s="24">
        <v>45045</v>
      </c>
      <c r="AI858" s="23" t="str">
        <f>TEXT(Data[[#This Row],[Tanggal terjual]],"dddd")</f>
        <v>Saturday</v>
      </c>
      <c r="AJ858" s="21" t="str">
        <f>TEXT(Data[[#This Row],[Tanggal terjual]],"wwww")</f>
        <v>wwww</v>
      </c>
    </row>
    <row r="859" spans="1:36" x14ac:dyDescent="0.2">
      <c r="A859" s="20">
        <v>858</v>
      </c>
      <c r="B859" s="21" t="str">
        <f>_xlfn.CONCAT("ORD-",INDEX(Helper!$B$2:$B$5,MATCH(Data[[#This Row],[Marketplace]],Helper!$A$2:$A$5,0)),TEXT(Data[[#This Row],[No]],"0000"),"-",TEXT(Data[[#This Row],[Tanggal terjual]],"dd/mm/yy"))</f>
        <v>ORD-SP0858-04/04/23</v>
      </c>
      <c r="C859" t="s">
        <v>65</v>
      </c>
      <c r="D859" t="str">
        <f>IFERROR(INDEX(Katalog!$A$3:$A$12,MATCH(Data[[#This Row],[ItemID A]],Katalog!$C$3:$C$12,0)),"-")</f>
        <v>Sepatu Pria</v>
      </c>
      <c r="E859" t="str">
        <f>IFERROR(INDEX(Katalog!$B$3:$B$12,MATCH(Data[[#This Row],[ItemID A]],Katalog!$C$3:$C$12,0)),"-")</f>
        <v>Sneakers</v>
      </c>
      <c r="F859">
        <v>1</v>
      </c>
      <c r="G859">
        <v>3</v>
      </c>
      <c r="H859" s="36">
        <f>IFERROR(INDEX(Katalog!$D$3:$D$12,MATCH(Data[[#This Row],[ItemID A]],Katalog!$C$3:$C$12,0))*Data[[#This Row],[Qty A]],"0")</f>
        <v>500000</v>
      </c>
      <c r="I859" s="36">
        <f>IFERROR(INDEX(Katalog!$F$3:$F$12,MATCH(Data[[#This Row],[ItemID A]],Katalog!$C$3:$C$12,0))*Data[[#This Row],[Qty A]],0)</f>
        <v>200000</v>
      </c>
      <c r="J859" t="s">
        <v>63</v>
      </c>
      <c r="K859" t="str">
        <f>IFERROR(INDEX(Katalog!$A$3:$A$12,MATCH(Data[[#This Row],[ItemID B]],Katalog!$C$3:$C$12,0)),"-")</f>
        <v>Pakaian Pria</v>
      </c>
      <c r="L859" t="str">
        <f>IFERROR(INDEX(Katalog!$B$3:$B$12,MATCH(Data[[#This Row],[ItemID B]],Katalog!$C$3:$C$12,0)),"-")</f>
        <v>Jaket Jeans</v>
      </c>
      <c r="M859">
        <v>1</v>
      </c>
      <c r="N859">
        <v>1</v>
      </c>
      <c r="O859" s="36">
        <f>IFERROR(INDEX(Katalog!$D$3:$D$12,MATCH(Data[[#This Row],[ItemID B]],Katalog!$C$3:$C$12,0))*Data[[#This Row],[Qty B]],"0")</f>
        <v>400000</v>
      </c>
      <c r="P859" s="36">
        <f>IFERROR(INDEX(Katalog!$F$3:$F$12,MATCH(Data[[#This Row],[ItemID B]],Katalog!$C$3:$C$12,0))*Data[[#This Row],[Qty B]],"0")</f>
        <v>150000</v>
      </c>
      <c r="Q859" t="s">
        <v>67</v>
      </c>
      <c r="R859" t="str">
        <f>IFERROR(INDEX(Katalog!$A$3:$A$12,MATCH(Data[[#This Row],[ItemID C]],Katalog!$C$3:$C$12,0)),"-")</f>
        <v>Sepatu Wanita</v>
      </c>
      <c r="S859" t="str">
        <f>IFERROR(INDEX(Katalog!$B$3:$B$12,MATCH(Data[[#This Row],[ItemID C]],Katalog!$C$3:$C$12,0)),"-")</f>
        <v>Flat Shoes</v>
      </c>
      <c r="T859">
        <v>3</v>
      </c>
      <c r="U859">
        <v>1</v>
      </c>
      <c r="V859" s="36">
        <f>IFERROR(INDEX(Katalog!$D$3:$D$12,MATCH(Data[[#This Row],[ItemID C]],Katalog!$C$3:$C$12,0))*Data[[#This Row],[Qty C]],"0")</f>
        <v>750000</v>
      </c>
      <c r="W859" s="36">
        <f>IFERROR(INDEX(Katalog!$F$3:$F$12,MATCH(Data[[#This Row],[ItemID C]],Katalog!$C$3:$C$12,0))*Data[[#This Row],[Qty C]],"0")</f>
        <v>300000</v>
      </c>
      <c r="X859" s="21">
        <f>Data[[#This Row],[Qty A]]+Data[[#This Row],[Qty B]]+Data[[#This Row],[Qty C]]</f>
        <v>5</v>
      </c>
      <c r="Y859" s="22">
        <f>Data[[#This Row],[Harga Barang A]]+Data[[#This Row],[Harga Barang B]]+Data[[#This Row],[Harga Barang C]]</f>
        <v>1650000</v>
      </c>
      <c r="Z859" s="35">
        <f>IFERROR(Data[[#This Row],[Total Harga]]-(Data[[#This Row],[Total Harga]]*Data[[#This Row],[Diskon]]),Data[[#This Row],[Total Harga]])</f>
        <v>1402500</v>
      </c>
      <c r="AA859" s="35">
        <f>(Data[[#This Row],[Profit A]]+Data[[#This Row],[Profit B]]+Data[[#This Row],[Profit C]])</f>
        <v>650000</v>
      </c>
      <c r="AB859" s="35">
        <f>IFERROR((Data[[#This Row],[Profit non Diskon]]-(Data[[#This Row],[Profit non Diskon]]*Data[[#This Row],[Diskon]])),Data[[#This Row],[Profit non Diskon]])</f>
        <v>552500</v>
      </c>
      <c r="AC859" s="23" t="s">
        <v>13</v>
      </c>
      <c r="AD859" s="37">
        <f>IFERROR(INDEX('Kode Diskon'!$D$3:$D$9,MATCH(Data[[#This Row],[Kode diskon]],'Kode Diskon'!$C$3:$C$9,0)),"-")</f>
        <v>0.15</v>
      </c>
      <c r="AE859" s="23" t="s">
        <v>29</v>
      </c>
      <c r="AF859" s="23" t="s">
        <v>7</v>
      </c>
      <c r="AG859" s="23" t="s">
        <v>76</v>
      </c>
      <c r="AH859" s="24">
        <v>45020</v>
      </c>
      <c r="AI859" s="23" t="str">
        <f>TEXT(Data[[#This Row],[Tanggal terjual]],"dddd")</f>
        <v>Tuesday</v>
      </c>
      <c r="AJ859" s="21" t="str">
        <f>TEXT(Data[[#This Row],[Tanggal terjual]],"wwww")</f>
        <v>wwww</v>
      </c>
    </row>
    <row r="860" spans="1:36" x14ac:dyDescent="0.2">
      <c r="A860" s="20">
        <v>859</v>
      </c>
      <c r="B860" s="21" t="str">
        <f>_xlfn.CONCAT("ORD-",INDEX(Helper!$B$2:$B$5,MATCH(Data[[#This Row],[Marketplace]],Helper!$A$2:$A$5,0)),TEXT(Data[[#This Row],[No]],"0000"),"-",TEXT(Data[[#This Row],[Tanggal terjual]],"dd/mm/yy"))</f>
        <v>ORD-TK0859-08/04/23</v>
      </c>
      <c r="C860" t="s">
        <v>59</v>
      </c>
      <c r="D860" t="str">
        <f>IFERROR(INDEX(Katalog!$A$3:$A$12,MATCH(Data[[#This Row],[ItemID A]],Katalog!$C$3:$C$12,0)),"-")</f>
        <v>Pakaian Wanita</v>
      </c>
      <c r="E860" t="str">
        <f>IFERROR(INDEX(Katalog!$B$3:$B$12,MATCH(Data[[#This Row],[ItemID A]],Katalog!$C$3:$C$12,0)),"-")</f>
        <v>Blouse</v>
      </c>
      <c r="F860">
        <v>1</v>
      </c>
      <c r="G860">
        <v>3</v>
      </c>
      <c r="H860" s="36">
        <f>IFERROR(INDEX(Katalog!$D$3:$D$12,MATCH(Data[[#This Row],[ItemID A]],Katalog!$C$3:$C$12,0))*Data[[#This Row],[Qty A]],"0")</f>
        <v>150000</v>
      </c>
      <c r="I860" s="36">
        <f>IFERROR(INDEX(Katalog!$F$3:$F$12,MATCH(Data[[#This Row],[ItemID A]],Katalog!$C$3:$C$12,0))*Data[[#This Row],[Qty A]],0)</f>
        <v>50000</v>
      </c>
      <c r="K860" t="str">
        <f>IFERROR(INDEX(Katalog!$A$3:$A$12,MATCH(Data[[#This Row],[ItemID B]],Katalog!$C$3:$C$12,0)),"-")</f>
        <v>-</v>
      </c>
      <c r="L860" t="str">
        <f>IFERROR(INDEX(Katalog!$B$3:$B$12,MATCH(Data[[#This Row],[ItemID B]],Katalog!$C$3:$C$12,0)),"-")</f>
        <v>-</v>
      </c>
      <c r="O860" s="36" t="str">
        <f>IFERROR(INDEX(Katalog!$D$3:$D$12,MATCH(Data[[#This Row],[ItemID B]],Katalog!$C$3:$C$12,0))*Data[[#This Row],[Qty B]],"0")</f>
        <v>0</v>
      </c>
      <c r="P860" s="36" t="str">
        <f>IFERROR(INDEX(Katalog!$F$3:$F$12,MATCH(Data[[#This Row],[ItemID B]],Katalog!$C$3:$C$12,0))*Data[[#This Row],[Qty B]],"0")</f>
        <v>0</v>
      </c>
      <c r="R860" t="str">
        <f>IFERROR(INDEX(Katalog!$A$3:$A$12,MATCH(Data[[#This Row],[ItemID C]],Katalog!$C$3:$C$12,0)),"-")</f>
        <v>-</v>
      </c>
      <c r="S860" t="str">
        <f>IFERROR(INDEX(Katalog!$B$3:$B$12,MATCH(Data[[#This Row],[ItemID C]],Katalog!$C$3:$C$12,0)),"-")</f>
        <v>-</v>
      </c>
      <c r="V860" s="36" t="str">
        <f>IFERROR(INDEX(Katalog!$D$3:$D$12,MATCH(Data[[#This Row],[ItemID C]],Katalog!$C$3:$C$12,0))*Data[[#This Row],[Qty C]],"0")</f>
        <v>0</v>
      </c>
      <c r="W860" s="36" t="str">
        <f>IFERROR(INDEX(Katalog!$F$3:$F$12,MATCH(Data[[#This Row],[ItemID C]],Katalog!$C$3:$C$12,0))*Data[[#This Row],[Qty C]],"0")</f>
        <v>0</v>
      </c>
      <c r="X860" s="21">
        <f>Data[[#This Row],[Qty A]]+Data[[#This Row],[Qty B]]+Data[[#This Row],[Qty C]]</f>
        <v>1</v>
      </c>
      <c r="Y860" s="22">
        <f>Data[[#This Row],[Harga Barang A]]+Data[[#This Row],[Harga Barang B]]+Data[[#This Row],[Harga Barang C]]</f>
        <v>150000</v>
      </c>
      <c r="Z860" s="35">
        <f>IFERROR(Data[[#This Row],[Total Harga]]-(Data[[#This Row],[Total Harga]]*Data[[#This Row],[Diskon]]),Data[[#This Row],[Total Harga]])</f>
        <v>150000</v>
      </c>
      <c r="AA860" s="35">
        <f>(Data[[#This Row],[Profit A]]+Data[[#This Row],[Profit B]]+Data[[#This Row],[Profit C]])</f>
        <v>50000</v>
      </c>
      <c r="AB860" s="35">
        <f>IFERROR((Data[[#This Row],[Profit non Diskon]]-(Data[[#This Row],[Profit non Diskon]]*Data[[#This Row],[Diskon]])),Data[[#This Row],[Profit non Diskon]])</f>
        <v>50000</v>
      </c>
      <c r="AC860" s="23" t="s">
        <v>11</v>
      </c>
      <c r="AD860" s="37" t="str">
        <f>IFERROR(INDEX('Kode Diskon'!$D$3:$D$9,MATCH(Data[[#This Row],[Kode diskon]],'Kode Diskon'!$C$3:$C$9,0)),"-")</f>
        <v>-</v>
      </c>
      <c r="AE860" s="23" t="s">
        <v>11</v>
      </c>
      <c r="AF860" s="23" t="s">
        <v>10</v>
      </c>
      <c r="AG860" s="23" t="s">
        <v>77</v>
      </c>
      <c r="AH860" s="24">
        <v>45024</v>
      </c>
      <c r="AI860" s="23" t="str">
        <f>TEXT(Data[[#This Row],[Tanggal terjual]],"dddd")</f>
        <v>Saturday</v>
      </c>
      <c r="AJ860" s="21" t="str">
        <f>TEXT(Data[[#This Row],[Tanggal terjual]],"wwww")</f>
        <v>wwww</v>
      </c>
    </row>
    <row r="861" spans="1:36" x14ac:dyDescent="0.2">
      <c r="A861" s="20">
        <v>860</v>
      </c>
      <c r="B861" s="21" t="str">
        <f>_xlfn.CONCAT("ORD-",INDEX(Helper!$B$2:$B$5,MATCH(Data[[#This Row],[Marketplace]],Helper!$A$2:$A$5,0)),TEXT(Data[[#This Row],[No]],"0000"),"-",TEXT(Data[[#This Row],[Tanggal terjual]],"dd/mm/yy"))</f>
        <v>ORD-SP0860-03/04/23</v>
      </c>
      <c r="C861" t="s">
        <v>64</v>
      </c>
      <c r="D861" t="str">
        <f>IFERROR(INDEX(Katalog!$A$3:$A$12,MATCH(Data[[#This Row],[ItemID A]],Katalog!$C$3:$C$12,0)),"-")</f>
        <v>Pakaian Unisex</v>
      </c>
      <c r="E861" t="str">
        <f>IFERROR(INDEX(Katalog!$B$3:$B$12,MATCH(Data[[#This Row],[ItemID A]],Katalog!$C$3:$C$12,0)),"-")</f>
        <v>Jaket Hoodie</v>
      </c>
      <c r="F861">
        <v>6</v>
      </c>
      <c r="G861">
        <v>1</v>
      </c>
      <c r="H861" s="36">
        <f>IFERROR(INDEX(Katalog!$D$3:$D$12,MATCH(Data[[#This Row],[ItemID A]],Katalog!$C$3:$C$12,0))*Data[[#This Row],[Qty A]],"0")</f>
        <v>2100000</v>
      </c>
      <c r="I861" s="36">
        <f>IFERROR(INDEX(Katalog!$F$3:$F$12,MATCH(Data[[#This Row],[ItemID A]],Katalog!$C$3:$C$12,0))*Data[[#This Row],[Qty A]],0)</f>
        <v>780000</v>
      </c>
      <c r="K861" t="str">
        <f>IFERROR(INDEX(Katalog!$A$3:$A$12,MATCH(Data[[#This Row],[ItemID B]],Katalog!$C$3:$C$12,0)),"-")</f>
        <v>-</v>
      </c>
      <c r="L861" t="str">
        <f>IFERROR(INDEX(Katalog!$B$3:$B$12,MATCH(Data[[#This Row],[ItemID B]],Katalog!$C$3:$C$12,0)),"-")</f>
        <v>-</v>
      </c>
      <c r="O861" s="36" t="str">
        <f>IFERROR(INDEX(Katalog!$D$3:$D$12,MATCH(Data[[#This Row],[ItemID B]],Katalog!$C$3:$C$12,0))*Data[[#This Row],[Qty B]],"0")</f>
        <v>0</v>
      </c>
      <c r="P861" s="36" t="str">
        <f>IFERROR(INDEX(Katalog!$F$3:$F$12,MATCH(Data[[#This Row],[ItemID B]],Katalog!$C$3:$C$12,0))*Data[[#This Row],[Qty B]],"0")</f>
        <v>0</v>
      </c>
      <c r="R861" t="str">
        <f>IFERROR(INDEX(Katalog!$A$3:$A$12,MATCH(Data[[#This Row],[ItemID C]],Katalog!$C$3:$C$12,0)),"-")</f>
        <v>-</v>
      </c>
      <c r="S861" t="str">
        <f>IFERROR(INDEX(Katalog!$B$3:$B$12,MATCH(Data[[#This Row],[ItemID C]],Katalog!$C$3:$C$12,0)),"-")</f>
        <v>-</v>
      </c>
      <c r="V861" s="36" t="str">
        <f>IFERROR(INDEX(Katalog!$D$3:$D$12,MATCH(Data[[#This Row],[ItemID C]],Katalog!$C$3:$C$12,0))*Data[[#This Row],[Qty C]],"0")</f>
        <v>0</v>
      </c>
      <c r="W861" s="36" t="str">
        <f>IFERROR(INDEX(Katalog!$F$3:$F$12,MATCH(Data[[#This Row],[ItemID C]],Katalog!$C$3:$C$12,0))*Data[[#This Row],[Qty C]],"0")</f>
        <v>0</v>
      </c>
      <c r="X861" s="21">
        <f>Data[[#This Row],[Qty A]]+Data[[#This Row],[Qty B]]+Data[[#This Row],[Qty C]]</f>
        <v>6</v>
      </c>
      <c r="Y861" s="22">
        <f>Data[[#This Row],[Harga Barang A]]+Data[[#This Row],[Harga Barang B]]+Data[[#This Row],[Harga Barang C]]</f>
        <v>2100000</v>
      </c>
      <c r="Z861" s="35">
        <f>IFERROR(Data[[#This Row],[Total Harga]]-(Data[[#This Row],[Total Harga]]*Data[[#This Row],[Diskon]]),Data[[#This Row],[Total Harga]])</f>
        <v>1890000</v>
      </c>
      <c r="AA861" s="35">
        <f>(Data[[#This Row],[Profit A]]+Data[[#This Row],[Profit B]]+Data[[#This Row],[Profit C]])</f>
        <v>780000</v>
      </c>
      <c r="AB861" s="35">
        <f>IFERROR((Data[[#This Row],[Profit non Diskon]]-(Data[[#This Row],[Profit non Diskon]]*Data[[#This Row],[Diskon]])),Data[[#This Row],[Profit non Diskon]])</f>
        <v>702000</v>
      </c>
      <c r="AC861" s="23" t="s">
        <v>6</v>
      </c>
      <c r="AD861" s="37">
        <f>IFERROR(INDEX('Kode Diskon'!$D$3:$D$9,MATCH(Data[[#This Row],[Kode diskon]],'Kode Diskon'!$C$3:$C$9,0)),"-")</f>
        <v>0.1</v>
      </c>
      <c r="AE861" s="23" t="s">
        <v>29</v>
      </c>
      <c r="AF861" s="23" t="s">
        <v>7</v>
      </c>
      <c r="AG861" s="23" t="s">
        <v>77</v>
      </c>
      <c r="AH861" s="24">
        <v>45019</v>
      </c>
      <c r="AI861" s="23" t="str">
        <f>TEXT(Data[[#This Row],[Tanggal terjual]],"dddd")</f>
        <v>Monday</v>
      </c>
      <c r="AJ861" s="21" t="str">
        <f>TEXT(Data[[#This Row],[Tanggal terjual]],"wwww")</f>
        <v>wwww</v>
      </c>
    </row>
    <row r="862" spans="1:36" x14ac:dyDescent="0.2">
      <c r="A862" s="20">
        <v>861</v>
      </c>
      <c r="B862" s="21" t="str">
        <f>_xlfn.CONCAT("ORD-",INDEX(Helper!$B$2:$B$5,MATCH(Data[[#This Row],[Marketplace]],Helper!$A$2:$A$5,0)),TEXT(Data[[#This Row],[No]],"0000"),"-",TEXT(Data[[#This Row],[Tanggal terjual]],"dd/mm/yy"))</f>
        <v>ORD-TK0861-03/04/23</v>
      </c>
      <c r="C862" t="s">
        <v>63</v>
      </c>
      <c r="D862" t="str">
        <f>IFERROR(INDEX(Katalog!$A$3:$A$12,MATCH(Data[[#This Row],[ItemID A]],Katalog!$C$3:$C$12,0)),"-")</f>
        <v>Pakaian Pria</v>
      </c>
      <c r="E862" t="str">
        <f>IFERROR(INDEX(Katalog!$B$3:$B$12,MATCH(Data[[#This Row],[ItemID A]],Katalog!$C$3:$C$12,0)),"-")</f>
        <v>Jaket Jeans</v>
      </c>
      <c r="F862">
        <v>2</v>
      </c>
      <c r="G862">
        <v>2</v>
      </c>
      <c r="H862" s="36">
        <f>IFERROR(INDEX(Katalog!$D$3:$D$12,MATCH(Data[[#This Row],[ItemID A]],Katalog!$C$3:$C$12,0))*Data[[#This Row],[Qty A]],"0")</f>
        <v>800000</v>
      </c>
      <c r="I862" s="36">
        <f>IFERROR(INDEX(Katalog!$F$3:$F$12,MATCH(Data[[#This Row],[ItemID A]],Katalog!$C$3:$C$12,0))*Data[[#This Row],[Qty A]],0)</f>
        <v>300000</v>
      </c>
      <c r="K862" t="str">
        <f>IFERROR(INDEX(Katalog!$A$3:$A$12,MATCH(Data[[#This Row],[ItemID B]],Katalog!$C$3:$C$12,0)),"-")</f>
        <v>-</v>
      </c>
      <c r="L862" t="str">
        <f>IFERROR(INDEX(Katalog!$B$3:$B$12,MATCH(Data[[#This Row],[ItemID B]],Katalog!$C$3:$C$12,0)),"-")</f>
        <v>-</v>
      </c>
      <c r="O862" s="36" t="str">
        <f>IFERROR(INDEX(Katalog!$D$3:$D$12,MATCH(Data[[#This Row],[ItemID B]],Katalog!$C$3:$C$12,0))*Data[[#This Row],[Qty B]],"0")</f>
        <v>0</v>
      </c>
      <c r="P862" s="36" t="str">
        <f>IFERROR(INDEX(Katalog!$F$3:$F$12,MATCH(Data[[#This Row],[ItemID B]],Katalog!$C$3:$C$12,0))*Data[[#This Row],[Qty B]],"0")</f>
        <v>0</v>
      </c>
      <c r="R862" t="str">
        <f>IFERROR(INDEX(Katalog!$A$3:$A$12,MATCH(Data[[#This Row],[ItemID C]],Katalog!$C$3:$C$12,0)),"-")</f>
        <v>-</v>
      </c>
      <c r="S862" t="str">
        <f>IFERROR(INDEX(Katalog!$B$3:$B$12,MATCH(Data[[#This Row],[ItemID C]],Katalog!$C$3:$C$12,0)),"-")</f>
        <v>-</v>
      </c>
      <c r="V862" s="36" t="str">
        <f>IFERROR(INDEX(Katalog!$D$3:$D$12,MATCH(Data[[#This Row],[ItemID C]],Katalog!$C$3:$C$12,0))*Data[[#This Row],[Qty C]],"0")</f>
        <v>0</v>
      </c>
      <c r="W862" s="36" t="str">
        <f>IFERROR(INDEX(Katalog!$F$3:$F$12,MATCH(Data[[#This Row],[ItemID C]],Katalog!$C$3:$C$12,0))*Data[[#This Row],[Qty C]],"0")</f>
        <v>0</v>
      </c>
      <c r="X862" s="21">
        <f>Data[[#This Row],[Qty A]]+Data[[#This Row],[Qty B]]+Data[[#This Row],[Qty C]]</f>
        <v>2</v>
      </c>
      <c r="Y862" s="22">
        <f>Data[[#This Row],[Harga Barang A]]+Data[[#This Row],[Harga Barang B]]+Data[[#This Row],[Harga Barang C]]</f>
        <v>800000</v>
      </c>
      <c r="Z862" s="35">
        <f>IFERROR(Data[[#This Row],[Total Harga]]-(Data[[#This Row],[Total Harga]]*Data[[#This Row],[Diskon]]),Data[[#This Row],[Total Harga]])</f>
        <v>720000</v>
      </c>
      <c r="AA862" s="35">
        <f>(Data[[#This Row],[Profit A]]+Data[[#This Row],[Profit B]]+Data[[#This Row],[Profit C]])</f>
        <v>300000</v>
      </c>
      <c r="AB862" s="35">
        <f>IFERROR((Data[[#This Row],[Profit non Diskon]]-(Data[[#This Row],[Profit non Diskon]]*Data[[#This Row],[Diskon]])),Data[[#This Row],[Profit non Diskon]])</f>
        <v>270000</v>
      </c>
      <c r="AC862" s="23" t="s">
        <v>30</v>
      </c>
      <c r="AD862" s="37">
        <f>IFERROR(INDEX('Kode Diskon'!$D$3:$D$9,MATCH(Data[[#This Row],[Kode diskon]],'Kode Diskon'!$C$3:$C$9,0)),"-")</f>
        <v>0.1</v>
      </c>
      <c r="AE862" s="23" t="s">
        <v>29</v>
      </c>
      <c r="AF862" s="23" t="s">
        <v>10</v>
      </c>
      <c r="AG862" s="23" t="s">
        <v>78</v>
      </c>
      <c r="AH862" s="24">
        <v>45019</v>
      </c>
      <c r="AI862" s="23" t="str">
        <f>TEXT(Data[[#This Row],[Tanggal terjual]],"dddd")</f>
        <v>Monday</v>
      </c>
      <c r="AJ862" s="21" t="str">
        <f>TEXT(Data[[#This Row],[Tanggal terjual]],"wwww")</f>
        <v>wwww</v>
      </c>
    </row>
    <row r="863" spans="1:36" x14ac:dyDescent="0.2">
      <c r="A863" s="20">
        <v>862</v>
      </c>
      <c r="B863" s="21" t="str">
        <f>_xlfn.CONCAT("ORD-",INDEX(Helper!$B$2:$B$5,MATCH(Data[[#This Row],[Marketplace]],Helper!$A$2:$A$5,0)),TEXT(Data[[#This Row],[No]],"0000"),"-",TEXT(Data[[#This Row],[Tanggal terjual]],"dd/mm/yy"))</f>
        <v>ORD-BB0862-08/04/23</v>
      </c>
      <c r="C863" t="s">
        <v>66</v>
      </c>
      <c r="D863" t="str">
        <f>IFERROR(INDEX(Katalog!$A$3:$A$12,MATCH(Data[[#This Row],[ItemID A]],Katalog!$C$3:$C$12,0)),"-")</f>
        <v>Sepatu Pria</v>
      </c>
      <c r="E863" t="str">
        <f>IFERROR(INDEX(Katalog!$B$3:$B$12,MATCH(Data[[#This Row],[ItemID A]],Katalog!$C$3:$C$12,0)),"-")</f>
        <v>Sandal Slip On</v>
      </c>
      <c r="F863">
        <v>1</v>
      </c>
      <c r="G863">
        <v>5</v>
      </c>
      <c r="H863" s="36">
        <f>IFERROR(INDEX(Katalog!$D$3:$D$12,MATCH(Data[[#This Row],[ItemID A]],Katalog!$C$3:$C$12,0))*Data[[#This Row],[Qty A]],"0")</f>
        <v>150000</v>
      </c>
      <c r="I863" s="36">
        <f>IFERROR(INDEX(Katalog!$F$3:$F$12,MATCH(Data[[#This Row],[ItemID A]],Katalog!$C$3:$C$12,0))*Data[[#This Row],[Qty A]],0)</f>
        <v>60000</v>
      </c>
      <c r="K863" t="str">
        <f>IFERROR(INDEX(Katalog!$A$3:$A$12,MATCH(Data[[#This Row],[ItemID B]],Katalog!$C$3:$C$12,0)),"-")</f>
        <v>-</v>
      </c>
      <c r="L863" t="str">
        <f>IFERROR(INDEX(Katalog!$B$3:$B$12,MATCH(Data[[#This Row],[ItemID B]],Katalog!$C$3:$C$12,0)),"-")</f>
        <v>-</v>
      </c>
      <c r="O863" s="36" t="str">
        <f>IFERROR(INDEX(Katalog!$D$3:$D$12,MATCH(Data[[#This Row],[ItemID B]],Katalog!$C$3:$C$12,0))*Data[[#This Row],[Qty B]],"0")</f>
        <v>0</v>
      </c>
      <c r="P863" s="36" t="str">
        <f>IFERROR(INDEX(Katalog!$F$3:$F$12,MATCH(Data[[#This Row],[ItemID B]],Katalog!$C$3:$C$12,0))*Data[[#This Row],[Qty B]],"0")</f>
        <v>0</v>
      </c>
      <c r="R863" t="str">
        <f>IFERROR(INDEX(Katalog!$A$3:$A$12,MATCH(Data[[#This Row],[ItemID C]],Katalog!$C$3:$C$12,0)),"-")</f>
        <v>-</v>
      </c>
      <c r="S863" t="str">
        <f>IFERROR(INDEX(Katalog!$B$3:$B$12,MATCH(Data[[#This Row],[ItemID C]],Katalog!$C$3:$C$12,0)),"-")</f>
        <v>-</v>
      </c>
      <c r="V863" s="36" t="str">
        <f>IFERROR(INDEX(Katalog!$D$3:$D$12,MATCH(Data[[#This Row],[ItemID C]],Katalog!$C$3:$C$12,0))*Data[[#This Row],[Qty C]],"0")</f>
        <v>0</v>
      </c>
      <c r="W863" s="36" t="str">
        <f>IFERROR(INDEX(Katalog!$F$3:$F$12,MATCH(Data[[#This Row],[ItemID C]],Katalog!$C$3:$C$12,0))*Data[[#This Row],[Qty C]],"0")</f>
        <v>0</v>
      </c>
      <c r="X863" s="21">
        <f>Data[[#This Row],[Qty A]]+Data[[#This Row],[Qty B]]+Data[[#This Row],[Qty C]]</f>
        <v>1</v>
      </c>
      <c r="Y863" s="22">
        <f>Data[[#This Row],[Harga Barang A]]+Data[[#This Row],[Harga Barang B]]+Data[[#This Row],[Harga Barang C]]</f>
        <v>150000</v>
      </c>
      <c r="Z863" s="35">
        <f>IFERROR(Data[[#This Row],[Total Harga]]-(Data[[#This Row],[Total Harga]]*Data[[#This Row],[Diskon]]),Data[[#This Row],[Total Harga]])</f>
        <v>150000</v>
      </c>
      <c r="AA863" s="35">
        <f>(Data[[#This Row],[Profit A]]+Data[[#This Row],[Profit B]]+Data[[#This Row],[Profit C]])</f>
        <v>60000</v>
      </c>
      <c r="AB863" s="35">
        <f>IFERROR((Data[[#This Row],[Profit non Diskon]]-(Data[[#This Row],[Profit non Diskon]]*Data[[#This Row],[Diskon]])),Data[[#This Row],[Profit non Diskon]])</f>
        <v>60000</v>
      </c>
      <c r="AC863" s="23" t="s">
        <v>11</v>
      </c>
      <c r="AD863" s="37" t="str">
        <f>IFERROR(INDEX('Kode Diskon'!$D$3:$D$9,MATCH(Data[[#This Row],[Kode diskon]],'Kode Diskon'!$C$3:$C$9,0)),"-")</f>
        <v>-</v>
      </c>
      <c r="AE863" s="23" t="s">
        <v>11</v>
      </c>
      <c r="AF863" s="23" t="s">
        <v>14</v>
      </c>
      <c r="AG863" s="23" t="s">
        <v>79</v>
      </c>
      <c r="AH863" s="24">
        <v>45024</v>
      </c>
      <c r="AI863" s="23" t="str">
        <f>TEXT(Data[[#This Row],[Tanggal terjual]],"dddd")</f>
        <v>Saturday</v>
      </c>
      <c r="AJ863" s="21" t="str">
        <f>TEXT(Data[[#This Row],[Tanggal terjual]],"wwww")</f>
        <v>wwww</v>
      </c>
    </row>
    <row r="864" spans="1:36" x14ac:dyDescent="0.2">
      <c r="A864" s="20">
        <v>863</v>
      </c>
      <c r="B864" s="21" t="str">
        <f>_xlfn.CONCAT("ORD-",INDEX(Helper!$B$2:$B$5,MATCH(Data[[#This Row],[Marketplace]],Helper!$A$2:$A$5,0)),TEXT(Data[[#This Row],[No]],"0000"),"-",TEXT(Data[[#This Row],[Tanggal terjual]],"dd/mm/yy"))</f>
        <v>ORD-TK0863-10/04/23</v>
      </c>
      <c r="C864" t="s">
        <v>61</v>
      </c>
      <c r="D864" t="str">
        <f>IFERROR(INDEX(Katalog!$A$3:$A$12,MATCH(Data[[#This Row],[ItemID A]],Katalog!$C$3:$C$12,0)),"-")</f>
        <v>Pakaian Pria</v>
      </c>
      <c r="E864" t="str">
        <f>IFERROR(INDEX(Katalog!$B$3:$B$12,MATCH(Data[[#This Row],[ItemID A]],Katalog!$C$3:$C$12,0)),"-")</f>
        <v>Kaos Polo</v>
      </c>
      <c r="F864">
        <v>2</v>
      </c>
      <c r="G864">
        <v>2</v>
      </c>
      <c r="H864" s="36">
        <f>IFERROR(INDEX(Katalog!$D$3:$D$12,MATCH(Data[[#This Row],[ItemID A]],Katalog!$C$3:$C$12,0))*Data[[#This Row],[Qty A]],"0")</f>
        <v>400000</v>
      </c>
      <c r="I864" s="36">
        <f>IFERROR(INDEX(Katalog!$F$3:$F$12,MATCH(Data[[#This Row],[ItemID A]],Katalog!$C$3:$C$12,0))*Data[[#This Row],[Qty A]],0)</f>
        <v>160000</v>
      </c>
      <c r="K864" t="str">
        <f>IFERROR(INDEX(Katalog!$A$3:$A$12,MATCH(Data[[#This Row],[ItemID B]],Katalog!$C$3:$C$12,0)),"-")</f>
        <v>-</v>
      </c>
      <c r="L864" t="str">
        <f>IFERROR(INDEX(Katalog!$B$3:$B$12,MATCH(Data[[#This Row],[ItemID B]],Katalog!$C$3:$C$12,0)),"-")</f>
        <v>-</v>
      </c>
      <c r="O864" s="36" t="str">
        <f>IFERROR(INDEX(Katalog!$D$3:$D$12,MATCH(Data[[#This Row],[ItemID B]],Katalog!$C$3:$C$12,0))*Data[[#This Row],[Qty B]],"0")</f>
        <v>0</v>
      </c>
      <c r="P864" s="36" t="str">
        <f>IFERROR(INDEX(Katalog!$F$3:$F$12,MATCH(Data[[#This Row],[ItemID B]],Katalog!$C$3:$C$12,0))*Data[[#This Row],[Qty B]],"0")</f>
        <v>0</v>
      </c>
      <c r="R864" t="str">
        <f>IFERROR(INDEX(Katalog!$A$3:$A$12,MATCH(Data[[#This Row],[ItemID C]],Katalog!$C$3:$C$12,0)),"-")</f>
        <v>-</v>
      </c>
      <c r="S864" t="str">
        <f>IFERROR(INDEX(Katalog!$B$3:$B$12,MATCH(Data[[#This Row],[ItemID C]],Katalog!$C$3:$C$12,0)),"-")</f>
        <v>-</v>
      </c>
      <c r="V864" s="36" t="str">
        <f>IFERROR(INDEX(Katalog!$D$3:$D$12,MATCH(Data[[#This Row],[ItemID C]],Katalog!$C$3:$C$12,0))*Data[[#This Row],[Qty C]],"0")</f>
        <v>0</v>
      </c>
      <c r="W864" s="36" t="str">
        <f>IFERROR(INDEX(Katalog!$F$3:$F$12,MATCH(Data[[#This Row],[ItemID C]],Katalog!$C$3:$C$12,0))*Data[[#This Row],[Qty C]],"0")</f>
        <v>0</v>
      </c>
      <c r="X864" s="21">
        <f>Data[[#This Row],[Qty A]]+Data[[#This Row],[Qty B]]+Data[[#This Row],[Qty C]]</f>
        <v>2</v>
      </c>
      <c r="Y864" s="22">
        <f>Data[[#This Row],[Harga Barang A]]+Data[[#This Row],[Harga Barang B]]+Data[[#This Row],[Harga Barang C]]</f>
        <v>400000</v>
      </c>
      <c r="Z864" s="35">
        <f>IFERROR(Data[[#This Row],[Total Harga]]-(Data[[#This Row],[Total Harga]]*Data[[#This Row],[Diskon]]),Data[[#This Row],[Total Harga]])</f>
        <v>400000</v>
      </c>
      <c r="AA864" s="35">
        <f>(Data[[#This Row],[Profit A]]+Data[[#This Row],[Profit B]]+Data[[#This Row],[Profit C]])</f>
        <v>160000</v>
      </c>
      <c r="AB864" s="35">
        <f>IFERROR((Data[[#This Row],[Profit non Diskon]]-(Data[[#This Row],[Profit non Diskon]]*Data[[#This Row],[Diskon]])),Data[[#This Row],[Profit non Diskon]])</f>
        <v>160000</v>
      </c>
      <c r="AC864" s="23" t="s">
        <v>11</v>
      </c>
      <c r="AD864" s="37" t="str">
        <f>IFERROR(INDEX('Kode Diskon'!$D$3:$D$9,MATCH(Data[[#This Row],[Kode diskon]],'Kode Diskon'!$C$3:$C$9,0)),"-")</f>
        <v>-</v>
      </c>
      <c r="AE864" s="23" t="s">
        <v>11</v>
      </c>
      <c r="AF864" s="23" t="s">
        <v>10</v>
      </c>
      <c r="AG864" s="23" t="s">
        <v>77</v>
      </c>
      <c r="AH864" s="24">
        <v>45026</v>
      </c>
      <c r="AI864" s="23" t="str">
        <f>TEXT(Data[[#This Row],[Tanggal terjual]],"dddd")</f>
        <v>Monday</v>
      </c>
      <c r="AJ864" s="21" t="str">
        <f>TEXT(Data[[#This Row],[Tanggal terjual]],"wwww")</f>
        <v>wwww</v>
      </c>
    </row>
    <row r="865" spans="1:36" x14ac:dyDescent="0.2">
      <c r="A865" s="20">
        <v>864</v>
      </c>
      <c r="B865" s="21" t="str">
        <f>_xlfn.CONCAT("ORD-",INDEX(Helper!$B$2:$B$5,MATCH(Data[[#This Row],[Marketplace]],Helper!$A$2:$A$5,0)),TEXT(Data[[#This Row],[No]],"0000"),"-",TEXT(Data[[#This Row],[Tanggal terjual]],"dd/mm/yy"))</f>
        <v>ORD-SP0864-20/04/23</v>
      </c>
      <c r="C865" t="s">
        <v>62</v>
      </c>
      <c r="D865" t="str">
        <f>IFERROR(INDEX(Katalog!$A$3:$A$12,MATCH(Data[[#This Row],[ItemID A]],Katalog!$C$3:$C$12,0)),"-")</f>
        <v>Pakaian Pria</v>
      </c>
      <c r="E865" t="str">
        <f>IFERROR(INDEX(Katalog!$B$3:$B$12,MATCH(Data[[#This Row],[ItemID A]],Katalog!$C$3:$C$12,0)),"-")</f>
        <v>Celana Pendek</v>
      </c>
      <c r="F865">
        <v>2</v>
      </c>
      <c r="G865">
        <v>4</v>
      </c>
      <c r="H865" s="36">
        <f>IFERROR(INDEX(Katalog!$D$3:$D$12,MATCH(Data[[#This Row],[ItemID A]],Katalog!$C$3:$C$12,0))*Data[[#This Row],[Qty A]],"0")</f>
        <v>360000</v>
      </c>
      <c r="I865" s="36">
        <f>IFERROR(INDEX(Katalog!$F$3:$F$12,MATCH(Data[[#This Row],[ItemID A]],Katalog!$C$3:$C$12,0))*Data[[#This Row],[Qty A]],0)</f>
        <v>140000</v>
      </c>
      <c r="K865" t="str">
        <f>IFERROR(INDEX(Katalog!$A$3:$A$12,MATCH(Data[[#This Row],[ItemID B]],Katalog!$C$3:$C$12,0)),"-")</f>
        <v>-</v>
      </c>
      <c r="L865" t="str">
        <f>IFERROR(INDEX(Katalog!$B$3:$B$12,MATCH(Data[[#This Row],[ItemID B]],Katalog!$C$3:$C$12,0)),"-")</f>
        <v>-</v>
      </c>
      <c r="O865" s="36" t="str">
        <f>IFERROR(INDEX(Katalog!$D$3:$D$12,MATCH(Data[[#This Row],[ItemID B]],Katalog!$C$3:$C$12,0))*Data[[#This Row],[Qty B]],"0")</f>
        <v>0</v>
      </c>
      <c r="P865" s="36" t="str">
        <f>IFERROR(INDEX(Katalog!$F$3:$F$12,MATCH(Data[[#This Row],[ItemID B]],Katalog!$C$3:$C$12,0))*Data[[#This Row],[Qty B]],"0")</f>
        <v>0</v>
      </c>
      <c r="R865" t="str">
        <f>IFERROR(INDEX(Katalog!$A$3:$A$12,MATCH(Data[[#This Row],[ItemID C]],Katalog!$C$3:$C$12,0)),"-")</f>
        <v>-</v>
      </c>
      <c r="S865" t="str">
        <f>IFERROR(INDEX(Katalog!$B$3:$B$12,MATCH(Data[[#This Row],[ItemID C]],Katalog!$C$3:$C$12,0)),"-")</f>
        <v>-</v>
      </c>
      <c r="V865" s="36" t="str">
        <f>IFERROR(INDEX(Katalog!$D$3:$D$12,MATCH(Data[[#This Row],[ItemID C]],Katalog!$C$3:$C$12,0))*Data[[#This Row],[Qty C]],"0")</f>
        <v>0</v>
      </c>
      <c r="W865" s="36" t="str">
        <f>IFERROR(INDEX(Katalog!$F$3:$F$12,MATCH(Data[[#This Row],[ItemID C]],Katalog!$C$3:$C$12,0))*Data[[#This Row],[Qty C]],"0")</f>
        <v>0</v>
      </c>
      <c r="X865" s="21">
        <f>Data[[#This Row],[Qty A]]+Data[[#This Row],[Qty B]]+Data[[#This Row],[Qty C]]</f>
        <v>2</v>
      </c>
      <c r="Y865" s="22">
        <f>Data[[#This Row],[Harga Barang A]]+Data[[#This Row],[Harga Barang B]]+Data[[#This Row],[Harga Barang C]]</f>
        <v>360000</v>
      </c>
      <c r="Z865" s="35">
        <f>IFERROR(Data[[#This Row],[Total Harga]]-(Data[[#This Row],[Total Harga]]*Data[[#This Row],[Diskon]]),Data[[#This Row],[Total Harga]])</f>
        <v>288000</v>
      </c>
      <c r="AA865" s="35">
        <f>(Data[[#This Row],[Profit A]]+Data[[#This Row],[Profit B]]+Data[[#This Row],[Profit C]])</f>
        <v>140000</v>
      </c>
      <c r="AB865" s="35">
        <f>IFERROR((Data[[#This Row],[Profit non Diskon]]-(Data[[#This Row],[Profit non Diskon]]*Data[[#This Row],[Diskon]])),Data[[#This Row],[Profit non Diskon]])</f>
        <v>112000</v>
      </c>
      <c r="AC865" s="23" t="s">
        <v>8</v>
      </c>
      <c r="AD865" s="37">
        <f>IFERROR(INDEX('Kode Diskon'!$D$3:$D$9,MATCH(Data[[#This Row],[Kode diskon]],'Kode Diskon'!$C$3:$C$9,0)),"-")</f>
        <v>0.2</v>
      </c>
      <c r="AE865" s="23" t="s">
        <v>9</v>
      </c>
      <c r="AF865" s="23" t="s">
        <v>7</v>
      </c>
      <c r="AG865" s="23" t="s">
        <v>80</v>
      </c>
      <c r="AH865" s="24">
        <v>45036</v>
      </c>
      <c r="AI865" s="23" t="str">
        <f>TEXT(Data[[#This Row],[Tanggal terjual]],"dddd")</f>
        <v>Thursday</v>
      </c>
      <c r="AJ865" s="21" t="str">
        <f>TEXT(Data[[#This Row],[Tanggal terjual]],"wwww")</f>
        <v>wwww</v>
      </c>
    </row>
    <row r="866" spans="1:36" x14ac:dyDescent="0.2">
      <c r="A866" s="20">
        <v>865</v>
      </c>
      <c r="B866" s="21" t="str">
        <f>_xlfn.CONCAT("ORD-",INDEX(Helper!$B$2:$B$5,MATCH(Data[[#This Row],[Marketplace]],Helper!$A$2:$A$5,0)),TEXT(Data[[#This Row],[No]],"0000"),"-",TEXT(Data[[#This Row],[Tanggal terjual]],"dd/mm/yy"))</f>
        <v>ORD-TK0865-18/04/23</v>
      </c>
      <c r="C866" t="s">
        <v>59</v>
      </c>
      <c r="D866" t="str">
        <f>IFERROR(INDEX(Katalog!$A$3:$A$12,MATCH(Data[[#This Row],[ItemID A]],Katalog!$C$3:$C$12,0)),"-")</f>
        <v>Pakaian Wanita</v>
      </c>
      <c r="E866" t="str">
        <f>IFERROR(INDEX(Katalog!$B$3:$B$12,MATCH(Data[[#This Row],[ItemID A]],Katalog!$C$3:$C$12,0)),"-")</f>
        <v>Blouse</v>
      </c>
      <c r="F866">
        <v>2</v>
      </c>
      <c r="G866">
        <v>5</v>
      </c>
      <c r="H866" s="36">
        <f>IFERROR(INDEX(Katalog!$D$3:$D$12,MATCH(Data[[#This Row],[ItemID A]],Katalog!$C$3:$C$12,0))*Data[[#This Row],[Qty A]],"0")</f>
        <v>300000</v>
      </c>
      <c r="I866" s="36">
        <f>IFERROR(INDEX(Katalog!$F$3:$F$12,MATCH(Data[[#This Row],[ItemID A]],Katalog!$C$3:$C$12,0))*Data[[#This Row],[Qty A]],0)</f>
        <v>100000</v>
      </c>
      <c r="K866" t="str">
        <f>IFERROR(INDEX(Katalog!$A$3:$A$12,MATCH(Data[[#This Row],[ItemID B]],Katalog!$C$3:$C$12,0)),"-")</f>
        <v>-</v>
      </c>
      <c r="L866" t="str">
        <f>IFERROR(INDEX(Katalog!$B$3:$B$12,MATCH(Data[[#This Row],[ItemID B]],Katalog!$C$3:$C$12,0)),"-")</f>
        <v>-</v>
      </c>
      <c r="O866" s="36" t="str">
        <f>IFERROR(INDEX(Katalog!$D$3:$D$12,MATCH(Data[[#This Row],[ItemID B]],Katalog!$C$3:$C$12,0))*Data[[#This Row],[Qty B]],"0")</f>
        <v>0</v>
      </c>
      <c r="P866" s="36" t="str">
        <f>IFERROR(INDEX(Katalog!$F$3:$F$12,MATCH(Data[[#This Row],[ItemID B]],Katalog!$C$3:$C$12,0))*Data[[#This Row],[Qty B]],"0")</f>
        <v>0</v>
      </c>
      <c r="R866" t="str">
        <f>IFERROR(INDEX(Katalog!$A$3:$A$12,MATCH(Data[[#This Row],[ItemID C]],Katalog!$C$3:$C$12,0)),"-")</f>
        <v>-</v>
      </c>
      <c r="S866" t="str">
        <f>IFERROR(INDEX(Katalog!$B$3:$B$12,MATCH(Data[[#This Row],[ItemID C]],Katalog!$C$3:$C$12,0)),"-")</f>
        <v>-</v>
      </c>
      <c r="V866" s="36" t="str">
        <f>IFERROR(INDEX(Katalog!$D$3:$D$12,MATCH(Data[[#This Row],[ItemID C]],Katalog!$C$3:$C$12,0))*Data[[#This Row],[Qty C]],"0")</f>
        <v>0</v>
      </c>
      <c r="W866" s="36" t="str">
        <f>IFERROR(INDEX(Katalog!$F$3:$F$12,MATCH(Data[[#This Row],[ItemID C]],Katalog!$C$3:$C$12,0))*Data[[#This Row],[Qty C]],"0")</f>
        <v>0</v>
      </c>
      <c r="X866" s="21">
        <f>Data[[#This Row],[Qty A]]+Data[[#This Row],[Qty B]]+Data[[#This Row],[Qty C]]</f>
        <v>2</v>
      </c>
      <c r="Y866" s="22">
        <f>Data[[#This Row],[Harga Barang A]]+Data[[#This Row],[Harga Barang B]]+Data[[#This Row],[Harga Barang C]]</f>
        <v>300000</v>
      </c>
      <c r="Z866" s="35">
        <f>IFERROR(Data[[#This Row],[Total Harga]]-(Data[[#This Row],[Total Harga]]*Data[[#This Row],[Diskon]]),Data[[#This Row],[Total Harga]])</f>
        <v>270000</v>
      </c>
      <c r="AA866" s="35">
        <f>(Data[[#This Row],[Profit A]]+Data[[#This Row],[Profit B]]+Data[[#This Row],[Profit C]])</f>
        <v>100000</v>
      </c>
      <c r="AB866" s="35">
        <f>IFERROR((Data[[#This Row],[Profit non Diskon]]-(Data[[#This Row],[Profit non Diskon]]*Data[[#This Row],[Diskon]])),Data[[#This Row],[Profit non Diskon]])</f>
        <v>90000</v>
      </c>
      <c r="AC866" s="23" t="s">
        <v>31</v>
      </c>
      <c r="AD866" s="37">
        <f>IFERROR(INDEX('Kode Diskon'!$D$3:$D$9,MATCH(Data[[#This Row],[Kode diskon]],'Kode Diskon'!$C$3:$C$9,0)),"-")</f>
        <v>0.1</v>
      </c>
      <c r="AE866" s="23" t="s">
        <v>9</v>
      </c>
      <c r="AF866" s="23" t="s">
        <v>10</v>
      </c>
      <c r="AG866" s="23" t="s">
        <v>75</v>
      </c>
      <c r="AH866" s="24">
        <v>45034</v>
      </c>
      <c r="AI866" s="23" t="str">
        <f>TEXT(Data[[#This Row],[Tanggal terjual]],"dddd")</f>
        <v>Tuesday</v>
      </c>
      <c r="AJ866" s="21" t="str">
        <f>TEXT(Data[[#This Row],[Tanggal terjual]],"wwww")</f>
        <v>wwww</v>
      </c>
    </row>
    <row r="867" spans="1:36" x14ac:dyDescent="0.2">
      <c r="A867" s="20">
        <v>866</v>
      </c>
      <c r="B867" s="21" t="str">
        <f>_xlfn.CONCAT("ORD-",INDEX(Helper!$B$2:$B$5,MATCH(Data[[#This Row],[Marketplace]],Helper!$A$2:$A$5,0)),TEXT(Data[[#This Row],[No]],"0000"),"-",TEXT(Data[[#This Row],[Tanggal terjual]],"dd/mm/yy"))</f>
        <v>ORD-SP0866-13/04/23</v>
      </c>
      <c r="C867" t="s">
        <v>62</v>
      </c>
      <c r="D867" t="str">
        <f>IFERROR(INDEX(Katalog!$A$3:$A$12,MATCH(Data[[#This Row],[ItemID A]],Katalog!$C$3:$C$12,0)),"-")</f>
        <v>Pakaian Pria</v>
      </c>
      <c r="E867" t="str">
        <f>IFERROR(INDEX(Katalog!$B$3:$B$12,MATCH(Data[[#This Row],[ItemID A]],Katalog!$C$3:$C$12,0)),"-")</f>
        <v>Celana Pendek</v>
      </c>
      <c r="F867">
        <v>4</v>
      </c>
      <c r="G867">
        <v>5</v>
      </c>
      <c r="H867" s="36">
        <f>IFERROR(INDEX(Katalog!$D$3:$D$12,MATCH(Data[[#This Row],[ItemID A]],Katalog!$C$3:$C$12,0))*Data[[#This Row],[Qty A]],"0")</f>
        <v>720000</v>
      </c>
      <c r="I867" s="36">
        <f>IFERROR(INDEX(Katalog!$F$3:$F$12,MATCH(Data[[#This Row],[ItemID A]],Katalog!$C$3:$C$12,0))*Data[[#This Row],[Qty A]],0)</f>
        <v>280000</v>
      </c>
      <c r="J867" t="s">
        <v>60</v>
      </c>
      <c r="K867" t="str">
        <f>IFERROR(INDEX(Katalog!$A$3:$A$12,MATCH(Data[[#This Row],[ItemID B]],Katalog!$C$3:$C$12,0)),"-")</f>
        <v>Pakaian Wanita</v>
      </c>
      <c r="L867" t="str">
        <f>IFERROR(INDEX(Katalog!$B$3:$B$12,MATCH(Data[[#This Row],[ItemID B]],Katalog!$C$3:$C$12,0)),"-")</f>
        <v>Kaftan</v>
      </c>
      <c r="M867">
        <v>1</v>
      </c>
      <c r="N867">
        <v>4</v>
      </c>
      <c r="O867" s="36">
        <f>IFERROR(INDEX(Katalog!$D$3:$D$12,MATCH(Data[[#This Row],[ItemID B]],Katalog!$C$3:$C$12,0))*Data[[#This Row],[Qty B]],"0")</f>
        <v>250000</v>
      </c>
      <c r="P867" s="36">
        <f>IFERROR(INDEX(Katalog!$F$3:$F$12,MATCH(Data[[#This Row],[ItemID B]],Katalog!$C$3:$C$12,0))*Data[[#This Row],[Qty B]],"0")</f>
        <v>100000</v>
      </c>
      <c r="Q867" t="s">
        <v>60</v>
      </c>
      <c r="R867" t="str">
        <f>IFERROR(INDEX(Katalog!$A$3:$A$12,MATCH(Data[[#This Row],[ItemID C]],Katalog!$C$3:$C$12,0)),"-")</f>
        <v>Pakaian Wanita</v>
      </c>
      <c r="S867" t="str">
        <f>IFERROR(INDEX(Katalog!$B$3:$B$12,MATCH(Data[[#This Row],[ItemID C]],Katalog!$C$3:$C$12,0)),"-")</f>
        <v>Kaftan</v>
      </c>
      <c r="T867">
        <v>1</v>
      </c>
      <c r="U867">
        <v>1</v>
      </c>
      <c r="V867" s="36">
        <f>IFERROR(INDEX(Katalog!$D$3:$D$12,MATCH(Data[[#This Row],[ItemID C]],Katalog!$C$3:$C$12,0))*Data[[#This Row],[Qty C]],"0")</f>
        <v>250000</v>
      </c>
      <c r="W867" s="36">
        <f>IFERROR(INDEX(Katalog!$F$3:$F$12,MATCH(Data[[#This Row],[ItemID C]],Katalog!$C$3:$C$12,0))*Data[[#This Row],[Qty C]],"0")</f>
        <v>100000</v>
      </c>
      <c r="X867" s="21">
        <f>Data[[#This Row],[Qty A]]+Data[[#This Row],[Qty B]]+Data[[#This Row],[Qty C]]</f>
        <v>6</v>
      </c>
      <c r="Y867" s="22">
        <f>Data[[#This Row],[Harga Barang A]]+Data[[#This Row],[Harga Barang B]]+Data[[#This Row],[Harga Barang C]]</f>
        <v>1220000</v>
      </c>
      <c r="Z867" s="35">
        <f>IFERROR(Data[[#This Row],[Total Harga]]-(Data[[#This Row],[Total Harga]]*Data[[#This Row],[Diskon]]),Data[[#This Row],[Total Harga]])</f>
        <v>1220000</v>
      </c>
      <c r="AA867" s="35">
        <f>(Data[[#This Row],[Profit A]]+Data[[#This Row],[Profit B]]+Data[[#This Row],[Profit C]])</f>
        <v>480000</v>
      </c>
      <c r="AB867" s="35">
        <f>IFERROR((Data[[#This Row],[Profit non Diskon]]-(Data[[#This Row],[Profit non Diskon]]*Data[[#This Row],[Diskon]])),Data[[#This Row],[Profit non Diskon]])</f>
        <v>480000</v>
      </c>
      <c r="AC867" s="23" t="s">
        <v>11</v>
      </c>
      <c r="AD867" s="37" t="str">
        <f>IFERROR(INDEX('Kode Diskon'!$D$3:$D$9,MATCH(Data[[#This Row],[Kode diskon]],'Kode Diskon'!$C$3:$C$9,0)),"-")</f>
        <v>-</v>
      </c>
      <c r="AE867" s="23" t="s">
        <v>11</v>
      </c>
      <c r="AF867" s="23" t="s">
        <v>7</v>
      </c>
      <c r="AG867" s="23" t="s">
        <v>79</v>
      </c>
      <c r="AH867" s="24">
        <v>45029</v>
      </c>
      <c r="AI867" s="23" t="str">
        <f>TEXT(Data[[#This Row],[Tanggal terjual]],"dddd")</f>
        <v>Thursday</v>
      </c>
      <c r="AJ867" s="21" t="str">
        <f>TEXT(Data[[#This Row],[Tanggal terjual]],"wwww")</f>
        <v>wwww</v>
      </c>
    </row>
    <row r="868" spans="1:36" x14ac:dyDescent="0.2">
      <c r="A868" s="20">
        <v>867</v>
      </c>
      <c r="B868" s="21" t="str">
        <f>_xlfn.CONCAT("ORD-",INDEX(Helper!$B$2:$B$5,MATCH(Data[[#This Row],[Marketplace]],Helper!$A$2:$A$5,0)),TEXT(Data[[#This Row],[No]],"0000"),"-",TEXT(Data[[#This Row],[Tanggal terjual]],"dd/mm/yy"))</f>
        <v>ORD-TK0867-03/04/23</v>
      </c>
      <c r="C868" t="s">
        <v>62</v>
      </c>
      <c r="D868" t="str">
        <f>IFERROR(INDEX(Katalog!$A$3:$A$12,MATCH(Data[[#This Row],[ItemID A]],Katalog!$C$3:$C$12,0)),"-")</f>
        <v>Pakaian Pria</v>
      </c>
      <c r="E868" t="str">
        <f>IFERROR(INDEX(Katalog!$B$3:$B$12,MATCH(Data[[#This Row],[ItemID A]],Katalog!$C$3:$C$12,0)),"-")</f>
        <v>Celana Pendek</v>
      </c>
      <c r="F868">
        <v>1</v>
      </c>
      <c r="G868">
        <v>5</v>
      </c>
      <c r="H868" s="36">
        <f>IFERROR(INDEX(Katalog!$D$3:$D$12,MATCH(Data[[#This Row],[ItemID A]],Katalog!$C$3:$C$12,0))*Data[[#This Row],[Qty A]],"0")</f>
        <v>180000</v>
      </c>
      <c r="I868" s="36">
        <f>IFERROR(INDEX(Katalog!$F$3:$F$12,MATCH(Data[[#This Row],[ItemID A]],Katalog!$C$3:$C$12,0))*Data[[#This Row],[Qty A]],0)</f>
        <v>70000</v>
      </c>
      <c r="K868" t="str">
        <f>IFERROR(INDEX(Katalog!$A$3:$A$12,MATCH(Data[[#This Row],[ItemID B]],Katalog!$C$3:$C$12,0)),"-")</f>
        <v>-</v>
      </c>
      <c r="L868" t="str">
        <f>IFERROR(INDEX(Katalog!$B$3:$B$12,MATCH(Data[[#This Row],[ItemID B]],Katalog!$C$3:$C$12,0)),"-")</f>
        <v>-</v>
      </c>
      <c r="O868" s="36" t="str">
        <f>IFERROR(INDEX(Katalog!$D$3:$D$12,MATCH(Data[[#This Row],[ItemID B]],Katalog!$C$3:$C$12,0))*Data[[#This Row],[Qty B]],"0")</f>
        <v>0</v>
      </c>
      <c r="P868" s="36" t="str">
        <f>IFERROR(INDEX(Katalog!$F$3:$F$12,MATCH(Data[[#This Row],[ItemID B]],Katalog!$C$3:$C$12,0))*Data[[#This Row],[Qty B]],"0")</f>
        <v>0</v>
      </c>
      <c r="R868" t="str">
        <f>IFERROR(INDEX(Katalog!$A$3:$A$12,MATCH(Data[[#This Row],[ItemID C]],Katalog!$C$3:$C$12,0)),"-")</f>
        <v>-</v>
      </c>
      <c r="S868" t="str">
        <f>IFERROR(INDEX(Katalog!$B$3:$B$12,MATCH(Data[[#This Row],[ItemID C]],Katalog!$C$3:$C$12,0)),"-")</f>
        <v>-</v>
      </c>
      <c r="V868" s="36" t="str">
        <f>IFERROR(INDEX(Katalog!$D$3:$D$12,MATCH(Data[[#This Row],[ItemID C]],Katalog!$C$3:$C$12,0))*Data[[#This Row],[Qty C]],"0")</f>
        <v>0</v>
      </c>
      <c r="W868" s="36" t="str">
        <f>IFERROR(INDEX(Katalog!$F$3:$F$12,MATCH(Data[[#This Row],[ItemID C]],Katalog!$C$3:$C$12,0))*Data[[#This Row],[Qty C]],"0")</f>
        <v>0</v>
      </c>
      <c r="X868" s="21">
        <f>Data[[#This Row],[Qty A]]+Data[[#This Row],[Qty B]]+Data[[#This Row],[Qty C]]</f>
        <v>1</v>
      </c>
      <c r="Y868" s="22">
        <f>Data[[#This Row],[Harga Barang A]]+Data[[#This Row],[Harga Barang B]]+Data[[#This Row],[Harga Barang C]]</f>
        <v>180000</v>
      </c>
      <c r="Z868" s="35">
        <f>IFERROR(Data[[#This Row],[Total Harga]]-(Data[[#This Row],[Total Harga]]*Data[[#This Row],[Diskon]]),Data[[#This Row],[Total Harga]])</f>
        <v>162000</v>
      </c>
      <c r="AA868" s="35">
        <f>(Data[[#This Row],[Profit A]]+Data[[#This Row],[Profit B]]+Data[[#This Row],[Profit C]])</f>
        <v>70000</v>
      </c>
      <c r="AB868" s="35">
        <f>IFERROR((Data[[#This Row],[Profit non Diskon]]-(Data[[#This Row],[Profit non Diskon]]*Data[[#This Row],[Diskon]])),Data[[#This Row],[Profit non Diskon]])</f>
        <v>63000</v>
      </c>
      <c r="AC868" s="23" t="s">
        <v>30</v>
      </c>
      <c r="AD868" s="37">
        <f>IFERROR(INDEX('Kode Diskon'!$D$3:$D$9,MATCH(Data[[#This Row],[Kode diskon]],'Kode Diskon'!$C$3:$C$9,0)),"-")</f>
        <v>0.1</v>
      </c>
      <c r="AE868" s="23" t="s">
        <v>29</v>
      </c>
      <c r="AF868" s="23" t="s">
        <v>10</v>
      </c>
      <c r="AG868" s="23" t="s">
        <v>78</v>
      </c>
      <c r="AH868" s="24">
        <v>45019</v>
      </c>
      <c r="AI868" s="23" t="str">
        <f>TEXT(Data[[#This Row],[Tanggal terjual]],"dddd")</f>
        <v>Monday</v>
      </c>
      <c r="AJ868" s="21" t="str">
        <f>TEXT(Data[[#This Row],[Tanggal terjual]],"wwww")</f>
        <v>wwww</v>
      </c>
    </row>
    <row r="869" spans="1:36" x14ac:dyDescent="0.2">
      <c r="A869" s="20">
        <v>868</v>
      </c>
      <c r="B869" s="21" t="str">
        <f>_xlfn.CONCAT("ORD-",INDEX(Helper!$B$2:$B$5,MATCH(Data[[#This Row],[Marketplace]],Helper!$A$2:$A$5,0)),TEXT(Data[[#This Row],[No]],"0000"),"-",TEXT(Data[[#This Row],[Tanggal terjual]],"dd/mm/yy"))</f>
        <v>ORD-BL0868-08/04/23</v>
      </c>
      <c r="C869" t="s">
        <v>66</v>
      </c>
      <c r="D869" t="str">
        <f>IFERROR(INDEX(Katalog!$A$3:$A$12,MATCH(Data[[#This Row],[ItemID A]],Katalog!$C$3:$C$12,0)),"-")</f>
        <v>Sepatu Pria</v>
      </c>
      <c r="E869" t="str">
        <f>IFERROR(INDEX(Katalog!$B$3:$B$12,MATCH(Data[[#This Row],[ItemID A]],Katalog!$C$3:$C$12,0)),"-")</f>
        <v>Sandal Slip On</v>
      </c>
      <c r="F869">
        <v>6</v>
      </c>
      <c r="G869">
        <v>3</v>
      </c>
      <c r="H869" s="36">
        <f>IFERROR(INDEX(Katalog!$D$3:$D$12,MATCH(Data[[#This Row],[ItemID A]],Katalog!$C$3:$C$12,0))*Data[[#This Row],[Qty A]],"0")</f>
        <v>900000</v>
      </c>
      <c r="I869" s="36">
        <f>IFERROR(INDEX(Katalog!$F$3:$F$12,MATCH(Data[[#This Row],[ItemID A]],Katalog!$C$3:$C$12,0))*Data[[#This Row],[Qty A]],0)</f>
        <v>360000</v>
      </c>
      <c r="J869" t="s">
        <v>59</v>
      </c>
      <c r="K869" t="str">
        <f>IFERROR(INDEX(Katalog!$A$3:$A$12,MATCH(Data[[#This Row],[ItemID B]],Katalog!$C$3:$C$12,0)),"-")</f>
        <v>Pakaian Wanita</v>
      </c>
      <c r="L869" t="str">
        <f>IFERROR(INDEX(Katalog!$B$3:$B$12,MATCH(Data[[#This Row],[ItemID B]],Katalog!$C$3:$C$12,0)),"-")</f>
        <v>Blouse</v>
      </c>
      <c r="M869">
        <v>1</v>
      </c>
      <c r="N869">
        <v>4</v>
      </c>
      <c r="O869" s="36">
        <f>IFERROR(INDEX(Katalog!$D$3:$D$12,MATCH(Data[[#This Row],[ItemID B]],Katalog!$C$3:$C$12,0))*Data[[#This Row],[Qty B]],"0")</f>
        <v>150000</v>
      </c>
      <c r="P869" s="36">
        <f>IFERROR(INDEX(Katalog!$F$3:$F$12,MATCH(Data[[#This Row],[ItemID B]],Katalog!$C$3:$C$12,0))*Data[[#This Row],[Qty B]],"0")</f>
        <v>50000</v>
      </c>
      <c r="R869" t="str">
        <f>IFERROR(INDEX(Katalog!$A$3:$A$12,MATCH(Data[[#This Row],[ItemID C]],Katalog!$C$3:$C$12,0)),"-")</f>
        <v>-</v>
      </c>
      <c r="S869" t="str">
        <f>IFERROR(INDEX(Katalog!$B$3:$B$12,MATCH(Data[[#This Row],[ItemID C]],Katalog!$C$3:$C$12,0)),"-")</f>
        <v>-</v>
      </c>
      <c r="V869" s="36" t="str">
        <f>IFERROR(INDEX(Katalog!$D$3:$D$12,MATCH(Data[[#This Row],[ItemID C]],Katalog!$C$3:$C$12,0))*Data[[#This Row],[Qty C]],"0")</f>
        <v>0</v>
      </c>
      <c r="W869" s="36" t="str">
        <f>IFERROR(INDEX(Katalog!$F$3:$F$12,MATCH(Data[[#This Row],[ItemID C]],Katalog!$C$3:$C$12,0))*Data[[#This Row],[Qty C]],"0")</f>
        <v>0</v>
      </c>
      <c r="X869" s="21">
        <f>Data[[#This Row],[Qty A]]+Data[[#This Row],[Qty B]]+Data[[#This Row],[Qty C]]</f>
        <v>7</v>
      </c>
      <c r="Y869" s="22">
        <f>Data[[#This Row],[Harga Barang A]]+Data[[#This Row],[Harga Barang B]]+Data[[#This Row],[Harga Barang C]]</f>
        <v>1050000</v>
      </c>
      <c r="Z869" s="35">
        <f>IFERROR(Data[[#This Row],[Total Harga]]-(Data[[#This Row],[Total Harga]]*Data[[#This Row],[Diskon]]),Data[[#This Row],[Total Harga]])</f>
        <v>1050000</v>
      </c>
      <c r="AA869" s="35">
        <f>(Data[[#This Row],[Profit A]]+Data[[#This Row],[Profit B]]+Data[[#This Row],[Profit C]])</f>
        <v>410000</v>
      </c>
      <c r="AB869" s="35">
        <f>IFERROR((Data[[#This Row],[Profit non Diskon]]-(Data[[#This Row],[Profit non Diskon]]*Data[[#This Row],[Diskon]])),Data[[#This Row],[Profit non Diskon]])</f>
        <v>410000</v>
      </c>
      <c r="AC869" s="23" t="s">
        <v>11</v>
      </c>
      <c r="AD869" s="37" t="str">
        <f>IFERROR(INDEX('Kode Diskon'!$D$3:$D$9,MATCH(Data[[#This Row],[Kode diskon]],'Kode Diskon'!$C$3:$C$9,0)),"-")</f>
        <v>-</v>
      </c>
      <c r="AE869" s="23" t="s">
        <v>11</v>
      </c>
      <c r="AF869" s="23" t="s">
        <v>12</v>
      </c>
      <c r="AG869" s="23" t="s">
        <v>75</v>
      </c>
      <c r="AH869" s="24">
        <v>45024</v>
      </c>
      <c r="AI869" s="23" t="str">
        <f>TEXT(Data[[#This Row],[Tanggal terjual]],"dddd")</f>
        <v>Saturday</v>
      </c>
      <c r="AJ869" s="21" t="str">
        <f>TEXT(Data[[#This Row],[Tanggal terjual]],"wwww")</f>
        <v>wwww</v>
      </c>
    </row>
    <row r="870" spans="1:36" x14ac:dyDescent="0.2">
      <c r="A870" s="20">
        <v>869</v>
      </c>
      <c r="B870" s="21" t="str">
        <f>_xlfn.CONCAT("ORD-",INDEX(Helper!$B$2:$B$5,MATCH(Data[[#This Row],[Marketplace]],Helper!$A$2:$A$5,0)),TEXT(Data[[#This Row],[No]],"0000"),"-",TEXT(Data[[#This Row],[Tanggal terjual]],"dd/mm/yy"))</f>
        <v>ORD-BL0869-19/04/23</v>
      </c>
      <c r="C870" t="s">
        <v>67</v>
      </c>
      <c r="D870" t="str">
        <f>IFERROR(INDEX(Katalog!$A$3:$A$12,MATCH(Data[[#This Row],[ItemID A]],Katalog!$C$3:$C$12,0)),"-")</f>
        <v>Sepatu Wanita</v>
      </c>
      <c r="E870" t="str">
        <f>IFERROR(INDEX(Katalog!$B$3:$B$12,MATCH(Data[[#This Row],[ItemID A]],Katalog!$C$3:$C$12,0)),"-")</f>
        <v>Flat Shoes</v>
      </c>
      <c r="F870">
        <v>4</v>
      </c>
      <c r="G870">
        <v>1</v>
      </c>
      <c r="H870" s="36">
        <f>IFERROR(INDEX(Katalog!$D$3:$D$12,MATCH(Data[[#This Row],[ItemID A]],Katalog!$C$3:$C$12,0))*Data[[#This Row],[Qty A]],"0")</f>
        <v>1000000</v>
      </c>
      <c r="I870" s="36">
        <f>IFERROR(INDEX(Katalog!$F$3:$F$12,MATCH(Data[[#This Row],[ItemID A]],Katalog!$C$3:$C$12,0))*Data[[#This Row],[Qty A]],0)</f>
        <v>400000</v>
      </c>
      <c r="K870" t="str">
        <f>IFERROR(INDEX(Katalog!$A$3:$A$12,MATCH(Data[[#This Row],[ItemID B]],Katalog!$C$3:$C$12,0)),"-")</f>
        <v>-</v>
      </c>
      <c r="L870" t="str">
        <f>IFERROR(INDEX(Katalog!$B$3:$B$12,MATCH(Data[[#This Row],[ItemID B]],Katalog!$C$3:$C$12,0)),"-")</f>
        <v>-</v>
      </c>
      <c r="O870" s="36" t="str">
        <f>IFERROR(INDEX(Katalog!$D$3:$D$12,MATCH(Data[[#This Row],[ItemID B]],Katalog!$C$3:$C$12,0))*Data[[#This Row],[Qty B]],"0")</f>
        <v>0</v>
      </c>
      <c r="P870" s="36" t="str">
        <f>IFERROR(INDEX(Katalog!$F$3:$F$12,MATCH(Data[[#This Row],[ItemID B]],Katalog!$C$3:$C$12,0))*Data[[#This Row],[Qty B]],"0")</f>
        <v>0</v>
      </c>
      <c r="R870" t="str">
        <f>IFERROR(INDEX(Katalog!$A$3:$A$12,MATCH(Data[[#This Row],[ItemID C]],Katalog!$C$3:$C$12,0)),"-")</f>
        <v>-</v>
      </c>
      <c r="S870" t="str">
        <f>IFERROR(INDEX(Katalog!$B$3:$B$12,MATCH(Data[[#This Row],[ItemID C]],Katalog!$C$3:$C$12,0)),"-")</f>
        <v>-</v>
      </c>
      <c r="V870" s="36" t="str">
        <f>IFERROR(INDEX(Katalog!$D$3:$D$12,MATCH(Data[[#This Row],[ItemID C]],Katalog!$C$3:$C$12,0))*Data[[#This Row],[Qty C]],"0")</f>
        <v>0</v>
      </c>
      <c r="W870" s="36" t="str">
        <f>IFERROR(INDEX(Katalog!$F$3:$F$12,MATCH(Data[[#This Row],[ItemID C]],Katalog!$C$3:$C$12,0))*Data[[#This Row],[Qty C]],"0")</f>
        <v>0</v>
      </c>
      <c r="X870" s="21">
        <f>Data[[#This Row],[Qty A]]+Data[[#This Row],[Qty B]]+Data[[#This Row],[Qty C]]</f>
        <v>4</v>
      </c>
      <c r="Y870" s="22">
        <f>Data[[#This Row],[Harga Barang A]]+Data[[#This Row],[Harga Barang B]]+Data[[#This Row],[Harga Barang C]]</f>
        <v>1000000</v>
      </c>
      <c r="Z870" s="35">
        <f>IFERROR(Data[[#This Row],[Total Harga]]-(Data[[#This Row],[Total Harga]]*Data[[#This Row],[Diskon]]),Data[[#This Row],[Total Harga]])</f>
        <v>850000</v>
      </c>
      <c r="AA870" s="35">
        <f>(Data[[#This Row],[Profit A]]+Data[[#This Row],[Profit B]]+Data[[#This Row],[Profit C]])</f>
        <v>400000</v>
      </c>
      <c r="AB870" s="35">
        <f>IFERROR((Data[[#This Row],[Profit non Diskon]]-(Data[[#This Row],[Profit non Diskon]]*Data[[#This Row],[Diskon]])),Data[[#This Row],[Profit non Diskon]])</f>
        <v>340000</v>
      </c>
      <c r="AC870" s="23" t="s">
        <v>32</v>
      </c>
      <c r="AD870" s="37">
        <f>IFERROR(INDEX('Kode Diskon'!$D$3:$D$9,MATCH(Data[[#This Row],[Kode diskon]],'Kode Diskon'!$C$3:$C$9,0)),"-")</f>
        <v>0.15</v>
      </c>
      <c r="AE870" s="23" t="s">
        <v>9</v>
      </c>
      <c r="AF870" s="23" t="s">
        <v>12</v>
      </c>
      <c r="AG870" s="23" t="s">
        <v>78</v>
      </c>
      <c r="AH870" s="24">
        <v>45035</v>
      </c>
      <c r="AI870" s="23" t="str">
        <f>TEXT(Data[[#This Row],[Tanggal terjual]],"dddd")</f>
        <v>Wednesday</v>
      </c>
      <c r="AJ870" s="21" t="str">
        <f>TEXT(Data[[#This Row],[Tanggal terjual]],"wwww")</f>
        <v>wwww</v>
      </c>
    </row>
    <row r="871" spans="1:36" x14ac:dyDescent="0.2">
      <c r="A871" s="20">
        <v>870</v>
      </c>
      <c r="B871" s="21" t="str">
        <f>_xlfn.CONCAT("ORD-",INDEX(Helper!$B$2:$B$5,MATCH(Data[[#This Row],[Marketplace]],Helper!$A$2:$A$5,0)),TEXT(Data[[#This Row],[No]],"0000"),"-",TEXT(Data[[#This Row],[Tanggal terjual]],"dd/mm/yy"))</f>
        <v>ORD-TK0870-08/04/23</v>
      </c>
      <c r="C871" t="s">
        <v>58</v>
      </c>
      <c r="D871" t="str">
        <f>IFERROR(INDEX(Katalog!$A$3:$A$12,MATCH(Data[[#This Row],[ItemID A]],Katalog!$C$3:$C$12,0)),"-")</f>
        <v>Pakaian Wanita</v>
      </c>
      <c r="E871" t="str">
        <f>IFERROR(INDEX(Katalog!$B$3:$B$12,MATCH(Data[[#This Row],[ItemID A]],Katalog!$C$3:$C$12,0)),"-")</f>
        <v>Dress</v>
      </c>
      <c r="F871">
        <v>1</v>
      </c>
      <c r="G871">
        <v>2</v>
      </c>
      <c r="H871" s="36">
        <f>IFERROR(INDEX(Katalog!$D$3:$D$12,MATCH(Data[[#This Row],[ItemID A]],Katalog!$C$3:$C$12,0))*Data[[#This Row],[Qty A]],"0")</f>
        <v>300000</v>
      </c>
      <c r="I871" s="36">
        <f>IFERROR(INDEX(Katalog!$F$3:$F$12,MATCH(Data[[#This Row],[ItemID A]],Katalog!$C$3:$C$12,0))*Data[[#This Row],[Qty A]],0)</f>
        <v>100000</v>
      </c>
      <c r="J871" t="s">
        <v>64</v>
      </c>
      <c r="K871" t="str">
        <f>IFERROR(INDEX(Katalog!$A$3:$A$12,MATCH(Data[[#This Row],[ItemID B]],Katalog!$C$3:$C$12,0)),"-")</f>
        <v>Pakaian Unisex</v>
      </c>
      <c r="L871" t="str">
        <f>IFERROR(INDEX(Katalog!$B$3:$B$12,MATCH(Data[[#This Row],[ItemID B]],Katalog!$C$3:$C$12,0)),"-")</f>
        <v>Jaket Hoodie</v>
      </c>
      <c r="M871">
        <v>1</v>
      </c>
      <c r="N871">
        <v>5</v>
      </c>
      <c r="O871" s="36">
        <f>IFERROR(INDEX(Katalog!$D$3:$D$12,MATCH(Data[[#This Row],[ItemID B]],Katalog!$C$3:$C$12,0))*Data[[#This Row],[Qty B]],"0")</f>
        <v>350000</v>
      </c>
      <c r="P871" s="36">
        <f>IFERROR(INDEX(Katalog!$F$3:$F$12,MATCH(Data[[#This Row],[ItemID B]],Katalog!$C$3:$C$12,0))*Data[[#This Row],[Qty B]],"0")</f>
        <v>130000</v>
      </c>
      <c r="R871" t="str">
        <f>IFERROR(INDEX(Katalog!$A$3:$A$12,MATCH(Data[[#This Row],[ItemID C]],Katalog!$C$3:$C$12,0)),"-")</f>
        <v>-</v>
      </c>
      <c r="S871" t="str">
        <f>IFERROR(INDEX(Katalog!$B$3:$B$12,MATCH(Data[[#This Row],[ItemID C]],Katalog!$C$3:$C$12,0)),"-")</f>
        <v>-</v>
      </c>
      <c r="V871" s="36" t="str">
        <f>IFERROR(INDEX(Katalog!$D$3:$D$12,MATCH(Data[[#This Row],[ItemID C]],Katalog!$C$3:$C$12,0))*Data[[#This Row],[Qty C]],"0")</f>
        <v>0</v>
      </c>
      <c r="W871" s="36" t="str">
        <f>IFERROR(INDEX(Katalog!$F$3:$F$12,MATCH(Data[[#This Row],[ItemID C]],Katalog!$C$3:$C$12,0))*Data[[#This Row],[Qty C]],"0")</f>
        <v>0</v>
      </c>
      <c r="X871" s="21">
        <f>Data[[#This Row],[Qty A]]+Data[[#This Row],[Qty B]]+Data[[#This Row],[Qty C]]</f>
        <v>2</v>
      </c>
      <c r="Y871" s="22">
        <f>Data[[#This Row],[Harga Barang A]]+Data[[#This Row],[Harga Barang B]]+Data[[#This Row],[Harga Barang C]]</f>
        <v>650000</v>
      </c>
      <c r="Z871" s="35">
        <f>IFERROR(Data[[#This Row],[Total Harga]]-(Data[[#This Row],[Total Harga]]*Data[[#This Row],[Diskon]]),Data[[#This Row],[Total Harga]])</f>
        <v>650000</v>
      </c>
      <c r="AA871" s="35">
        <f>(Data[[#This Row],[Profit A]]+Data[[#This Row],[Profit B]]+Data[[#This Row],[Profit C]])</f>
        <v>230000</v>
      </c>
      <c r="AB871" s="35">
        <f>IFERROR((Data[[#This Row],[Profit non Diskon]]-(Data[[#This Row],[Profit non Diskon]]*Data[[#This Row],[Diskon]])),Data[[#This Row],[Profit non Diskon]])</f>
        <v>230000</v>
      </c>
      <c r="AC871" s="23" t="s">
        <v>11</v>
      </c>
      <c r="AD871" s="37" t="str">
        <f>IFERROR(INDEX('Kode Diskon'!$D$3:$D$9,MATCH(Data[[#This Row],[Kode diskon]],'Kode Diskon'!$C$3:$C$9,0)),"-")</f>
        <v>-</v>
      </c>
      <c r="AE871" s="23" t="s">
        <v>11</v>
      </c>
      <c r="AF871" s="23" t="s">
        <v>10</v>
      </c>
      <c r="AG871" s="23" t="s">
        <v>80</v>
      </c>
      <c r="AH871" s="24">
        <v>45024</v>
      </c>
      <c r="AI871" s="23" t="str">
        <f>TEXT(Data[[#This Row],[Tanggal terjual]],"dddd")</f>
        <v>Saturday</v>
      </c>
      <c r="AJ871" s="21" t="str">
        <f>TEXT(Data[[#This Row],[Tanggal terjual]],"wwww")</f>
        <v>wwww</v>
      </c>
    </row>
    <row r="872" spans="1:36" x14ac:dyDescent="0.2">
      <c r="A872" s="20">
        <v>871</v>
      </c>
      <c r="B872" s="21" t="str">
        <f>_xlfn.CONCAT("ORD-",INDEX(Helper!$B$2:$B$5,MATCH(Data[[#This Row],[Marketplace]],Helper!$A$2:$A$5,0)),TEXT(Data[[#This Row],[No]],"0000"),"-",TEXT(Data[[#This Row],[Tanggal terjual]],"dd/mm/yy"))</f>
        <v>ORD-BL0871-23/04/23</v>
      </c>
      <c r="C872" t="s">
        <v>63</v>
      </c>
      <c r="D872" t="str">
        <f>IFERROR(INDEX(Katalog!$A$3:$A$12,MATCH(Data[[#This Row],[ItemID A]],Katalog!$C$3:$C$12,0)),"-")</f>
        <v>Pakaian Pria</v>
      </c>
      <c r="E872" t="str">
        <f>IFERROR(INDEX(Katalog!$B$3:$B$12,MATCH(Data[[#This Row],[ItemID A]],Katalog!$C$3:$C$12,0)),"-")</f>
        <v>Jaket Jeans</v>
      </c>
      <c r="F872">
        <v>3</v>
      </c>
      <c r="G872">
        <v>1</v>
      </c>
      <c r="H872" s="36">
        <f>IFERROR(INDEX(Katalog!$D$3:$D$12,MATCH(Data[[#This Row],[ItemID A]],Katalog!$C$3:$C$12,0))*Data[[#This Row],[Qty A]],"0")</f>
        <v>1200000</v>
      </c>
      <c r="I872" s="36">
        <f>IFERROR(INDEX(Katalog!$F$3:$F$12,MATCH(Data[[#This Row],[ItemID A]],Katalog!$C$3:$C$12,0))*Data[[#This Row],[Qty A]],0)</f>
        <v>450000</v>
      </c>
      <c r="K872" t="str">
        <f>IFERROR(INDEX(Katalog!$A$3:$A$12,MATCH(Data[[#This Row],[ItemID B]],Katalog!$C$3:$C$12,0)),"-")</f>
        <v>-</v>
      </c>
      <c r="L872" t="str">
        <f>IFERROR(INDEX(Katalog!$B$3:$B$12,MATCH(Data[[#This Row],[ItemID B]],Katalog!$C$3:$C$12,0)),"-")</f>
        <v>-</v>
      </c>
      <c r="O872" s="36" t="str">
        <f>IFERROR(INDEX(Katalog!$D$3:$D$12,MATCH(Data[[#This Row],[ItemID B]],Katalog!$C$3:$C$12,0))*Data[[#This Row],[Qty B]],"0")</f>
        <v>0</v>
      </c>
      <c r="P872" s="36" t="str">
        <f>IFERROR(INDEX(Katalog!$F$3:$F$12,MATCH(Data[[#This Row],[ItemID B]],Katalog!$C$3:$C$12,0))*Data[[#This Row],[Qty B]],"0")</f>
        <v>0</v>
      </c>
      <c r="R872" t="str">
        <f>IFERROR(INDEX(Katalog!$A$3:$A$12,MATCH(Data[[#This Row],[ItemID C]],Katalog!$C$3:$C$12,0)),"-")</f>
        <v>-</v>
      </c>
      <c r="S872" t="str">
        <f>IFERROR(INDEX(Katalog!$B$3:$B$12,MATCH(Data[[#This Row],[ItemID C]],Katalog!$C$3:$C$12,0)),"-")</f>
        <v>-</v>
      </c>
      <c r="V872" s="36" t="str">
        <f>IFERROR(INDEX(Katalog!$D$3:$D$12,MATCH(Data[[#This Row],[ItemID C]],Katalog!$C$3:$C$12,0))*Data[[#This Row],[Qty C]],"0")</f>
        <v>0</v>
      </c>
      <c r="W872" s="36" t="str">
        <f>IFERROR(INDEX(Katalog!$F$3:$F$12,MATCH(Data[[#This Row],[ItemID C]],Katalog!$C$3:$C$12,0))*Data[[#This Row],[Qty C]],"0")</f>
        <v>0</v>
      </c>
      <c r="X872" s="21">
        <f>Data[[#This Row],[Qty A]]+Data[[#This Row],[Qty B]]+Data[[#This Row],[Qty C]]</f>
        <v>3</v>
      </c>
      <c r="Y872" s="22">
        <f>Data[[#This Row],[Harga Barang A]]+Data[[#This Row],[Harga Barang B]]+Data[[#This Row],[Harga Barang C]]</f>
        <v>1200000</v>
      </c>
      <c r="Z872" s="35">
        <f>IFERROR(Data[[#This Row],[Total Harga]]-(Data[[#This Row],[Total Harga]]*Data[[#This Row],[Diskon]]),Data[[#This Row],[Total Harga]])</f>
        <v>1020000</v>
      </c>
      <c r="AA872" s="35">
        <f>(Data[[#This Row],[Profit A]]+Data[[#This Row],[Profit B]]+Data[[#This Row],[Profit C]])</f>
        <v>450000</v>
      </c>
      <c r="AB872" s="35">
        <f>IFERROR((Data[[#This Row],[Profit non Diskon]]-(Data[[#This Row],[Profit non Diskon]]*Data[[#This Row],[Diskon]])),Data[[#This Row],[Profit non Diskon]])</f>
        <v>382500</v>
      </c>
      <c r="AC872" s="23" t="s">
        <v>32</v>
      </c>
      <c r="AD872" s="37">
        <f>IFERROR(INDEX('Kode Diskon'!$D$3:$D$9,MATCH(Data[[#This Row],[Kode diskon]],'Kode Diskon'!$C$3:$C$9,0)),"-")</f>
        <v>0.15</v>
      </c>
      <c r="AE872" s="23" t="s">
        <v>9</v>
      </c>
      <c r="AF872" s="23" t="s">
        <v>12</v>
      </c>
      <c r="AG872" s="23" t="s">
        <v>78</v>
      </c>
      <c r="AH872" s="24">
        <v>45039</v>
      </c>
      <c r="AI872" s="23" t="str">
        <f>TEXT(Data[[#This Row],[Tanggal terjual]],"dddd")</f>
        <v>Sunday</v>
      </c>
      <c r="AJ872" s="21" t="str">
        <f>TEXT(Data[[#This Row],[Tanggal terjual]],"wwww")</f>
        <v>wwww</v>
      </c>
    </row>
    <row r="873" spans="1:36" x14ac:dyDescent="0.2">
      <c r="A873" s="20">
        <v>872</v>
      </c>
      <c r="B873" s="21" t="str">
        <f>_xlfn.CONCAT("ORD-",INDEX(Helper!$B$2:$B$5,MATCH(Data[[#This Row],[Marketplace]],Helper!$A$2:$A$5,0)),TEXT(Data[[#This Row],[No]],"0000"),"-",TEXT(Data[[#This Row],[Tanggal terjual]],"dd/mm/yy"))</f>
        <v>ORD-TK0872-18/04/23</v>
      </c>
      <c r="C873" t="s">
        <v>59</v>
      </c>
      <c r="D873" t="str">
        <f>IFERROR(INDEX(Katalog!$A$3:$A$12,MATCH(Data[[#This Row],[ItemID A]],Katalog!$C$3:$C$12,0)),"-")</f>
        <v>Pakaian Wanita</v>
      </c>
      <c r="E873" t="str">
        <f>IFERROR(INDEX(Katalog!$B$3:$B$12,MATCH(Data[[#This Row],[ItemID A]],Katalog!$C$3:$C$12,0)),"-")</f>
        <v>Blouse</v>
      </c>
      <c r="F873">
        <v>7</v>
      </c>
      <c r="G873">
        <v>5</v>
      </c>
      <c r="H873" s="36">
        <f>IFERROR(INDEX(Katalog!$D$3:$D$12,MATCH(Data[[#This Row],[ItemID A]],Katalog!$C$3:$C$12,0))*Data[[#This Row],[Qty A]],"0")</f>
        <v>1050000</v>
      </c>
      <c r="I873" s="36">
        <f>IFERROR(INDEX(Katalog!$F$3:$F$12,MATCH(Data[[#This Row],[ItemID A]],Katalog!$C$3:$C$12,0))*Data[[#This Row],[Qty A]],0)</f>
        <v>350000</v>
      </c>
      <c r="K873" t="str">
        <f>IFERROR(INDEX(Katalog!$A$3:$A$12,MATCH(Data[[#This Row],[ItemID B]],Katalog!$C$3:$C$12,0)),"-")</f>
        <v>-</v>
      </c>
      <c r="L873" t="str">
        <f>IFERROR(INDEX(Katalog!$B$3:$B$12,MATCH(Data[[#This Row],[ItemID B]],Katalog!$C$3:$C$12,0)),"-")</f>
        <v>-</v>
      </c>
      <c r="O873" s="36" t="str">
        <f>IFERROR(INDEX(Katalog!$D$3:$D$12,MATCH(Data[[#This Row],[ItemID B]],Katalog!$C$3:$C$12,0))*Data[[#This Row],[Qty B]],"0")</f>
        <v>0</v>
      </c>
      <c r="P873" s="36" t="str">
        <f>IFERROR(INDEX(Katalog!$F$3:$F$12,MATCH(Data[[#This Row],[ItemID B]],Katalog!$C$3:$C$12,0))*Data[[#This Row],[Qty B]],"0")</f>
        <v>0</v>
      </c>
      <c r="R873" t="str">
        <f>IFERROR(INDEX(Katalog!$A$3:$A$12,MATCH(Data[[#This Row],[ItemID C]],Katalog!$C$3:$C$12,0)),"-")</f>
        <v>-</v>
      </c>
      <c r="S873" t="str">
        <f>IFERROR(INDEX(Katalog!$B$3:$B$12,MATCH(Data[[#This Row],[ItemID C]],Katalog!$C$3:$C$12,0)),"-")</f>
        <v>-</v>
      </c>
      <c r="V873" s="36" t="str">
        <f>IFERROR(INDEX(Katalog!$D$3:$D$12,MATCH(Data[[#This Row],[ItemID C]],Katalog!$C$3:$C$12,0))*Data[[#This Row],[Qty C]],"0")</f>
        <v>0</v>
      </c>
      <c r="W873" s="36" t="str">
        <f>IFERROR(INDEX(Katalog!$F$3:$F$12,MATCH(Data[[#This Row],[ItemID C]],Katalog!$C$3:$C$12,0))*Data[[#This Row],[Qty C]],"0")</f>
        <v>0</v>
      </c>
      <c r="X873" s="21">
        <f>Data[[#This Row],[Qty A]]+Data[[#This Row],[Qty B]]+Data[[#This Row],[Qty C]]</f>
        <v>7</v>
      </c>
      <c r="Y873" s="22">
        <f>Data[[#This Row],[Harga Barang A]]+Data[[#This Row],[Harga Barang B]]+Data[[#This Row],[Harga Barang C]]</f>
        <v>1050000</v>
      </c>
      <c r="Z873" s="35">
        <f>IFERROR(Data[[#This Row],[Total Harga]]-(Data[[#This Row],[Total Harga]]*Data[[#This Row],[Diskon]]),Data[[#This Row],[Total Harga]])</f>
        <v>945000</v>
      </c>
      <c r="AA873" s="35">
        <f>(Data[[#This Row],[Profit A]]+Data[[#This Row],[Profit B]]+Data[[#This Row],[Profit C]])</f>
        <v>350000</v>
      </c>
      <c r="AB873" s="35">
        <f>IFERROR((Data[[#This Row],[Profit non Diskon]]-(Data[[#This Row],[Profit non Diskon]]*Data[[#This Row],[Diskon]])),Data[[#This Row],[Profit non Diskon]])</f>
        <v>315000</v>
      </c>
      <c r="AC873" s="23" t="s">
        <v>31</v>
      </c>
      <c r="AD873" s="37">
        <f>IFERROR(INDEX('Kode Diskon'!$D$3:$D$9,MATCH(Data[[#This Row],[Kode diskon]],'Kode Diskon'!$C$3:$C$9,0)),"-")</f>
        <v>0.1</v>
      </c>
      <c r="AE873" s="23" t="s">
        <v>9</v>
      </c>
      <c r="AF873" s="23" t="s">
        <v>10</v>
      </c>
      <c r="AG873" s="23" t="s">
        <v>80</v>
      </c>
      <c r="AH873" s="24">
        <v>45034</v>
      </c>
      <c r="AI873" s="23" t="str">
        <f>TEXT(Data[[#This Row],[Tanggal terjual]],"dddd")</f>
        <v>Tuesday</v>
      </c>
      <c r="AJ873" s="21" t="str">
        <f>TEXT(Data[[#This Row],[Tanggal terjual]],"wwww")</f>
        <v>wwww</v>
      </c>
    </row>
    <row r="874" spans="1:36" x14ac:dyDescent="0.2">
      <c r="A874" s="20">
        <v>873</v>
      </c>
      <c r="B874" s="21" t="str">
        <f>_xlfn.CONCAT("ORD-",INDEX(Helper!$B$2:$B$5,MATCH(Data[[#This Row],[Marketplace]],Helper!$A$2:$A$5,0)),TEXT(Data[[#This Row],[No]],"0000"),"-",TEXT(Data[[#This Row],[Tanggal terjual]],"dd/mm/yy"))</f>
        <v>ORD-TK0873-01/04/23</v>
      </c>
      <c r="C874" t="s">
        <v>61</v>
      </c>
      <c r="D874" t="str">
        <f>IFERROR(INDEX(Katalog!$A$3:$A$12,MATCH(Data[[#This Row],[ItemID A]],Katalog!$C$3:$C$12,0)),"-")</f>
        <v>Pakaian Pria</v>
      </c>
      <c r="E874" t="str">
        <f>IFERROR(INDEX(Katalog!$B$3:$B$12,MATCH(Data[[#This Row],[ItemID A]],Katalog!$C$3:$C$12,0)),"-")</f>
        <v>Kaos Polo</v>
      </c>
      <c r="F874">
        <v>1</v>
      </c>
      <c r="G874">
        <v>3</v>
      </c>
      <c r="H874" s="36">
        <f>IFERROR(INDEX(Katalog!$D$3:$D$12,MATCH(Data[[#This Row],[ItemID A]],Katalog!$C$3:$C$12,0))*Data[[#This Row],[Qty A]],"0")</f>
        <v>200000</v>
      </c>
      <c r="I874" s="36">
        <f>IFERROR(INDEX(Katalog!$F$3:$F$12,MATCH(Data[[#This Row],[ItemID A]],Katalog!$C$3:$C$12,0))*Data[[#This Row],[Qty A]],0)</f>
        <v>80000</v>
      </c>
      <c r="J874" t="s">
        <v>64</v>
      </c>
      <c r="K874" t="str">
        <f>IFERROR(INDEX(Katalog!$A$3:$A$12,MATCH(Data[[#This Row],[ItemID B]],Katalog!$C$3:$C$12,0)),"-")</f>
        <v>Pakaian Unisex</v>
      </c>
      <c r="L874" t="str">
        <f>IFERROR(INDEX(Katalog!$B$3:$B$12,MATCH(Data[[#This Row],[ItemID B]],Katalog!$C$3:$C$12,0)),"-")</f>
        <v>Jaket Hoodie</v>
      </c>
      <c r="M874">
        <v>2</v>
      </c>
      <c r="N874">
        <v>5</v>
      </c>
      <c r="O874" s="36">
        <f>IFERROR(INDEX(Katalog!$D$3:$D$12,MATCH(Data[[#This Row],[ItemID B]],Katalog!$C$3:$C$12,0))*Data[[#This Row],[Qty B]],"0")</f>
        <v>700000</v>
      </c>
      <c r="P874" s="36">
        <f>IFERROR(INDEX(Katalog!$F$3:$F$12,MATCH(Data[[#This Row],[ItemID B]],Katalog!$C$3:$C$12,0))*Data[[#This Row],[Qty B]],"0")</f>
        <v>260000</v>
      </c>
      <c r="Q874" t="s">
        <v>62</v>
      </c>
      <c r="R874" t="str">
        <f>IFERROR(INDEX(Katalog!$A$3:$A$12,MATCH(Data[[#This Row],[ItemID C]],Katalog!$C$3:$C$12,0)),"-")</f>
        <v>Pakaian Pria</v>
      </c>
      <c r="S874" t="str">
        <f>IFERROR(INDEX(Katalog!$B$3:$B$12,MATCH(Data[[#This Row],[ItemID C]],Katalog!$C$3:$C$12,0)),"-")</f>
        <v>Celana Pendek</v>
      </c>
      <c r="T874">
        <v>1</v>
      </c>
      <c r="U874">
        <v>4</v>
      </c>
      <c r="V874" s="36">
        <f>IFERROR(INDEX(Katalog!$D$3:$D$12,MATCH(Data[[#This Row],[ItemID C]],Katalog!$C$3:$C$12,0))*Data[[#This Row],[Qty C]],"0")</f>
        <v>180000</v>
      </c>
      <c r="W874" s="36">
        <f>IFERROR(INDEX(Katalog!$F$3:$F$12,MATCH(Data[[#This Row],[ItemID C]],Katalog!$C$3:$C$12,0))*Data[[#This Row],[Qty C]],"0")</f>
        <v>70000</v>
      </c>
      <c r="X874" s="21">
        <f>Data[[#This Row],[Qty A]]+Data[[#This Row],[Qty B]]+Data[[#This Row],[Qty C]]</f>
        <v>4</v>
      </c>
      <c r="Y874" s="22">
        <f>Data[[#This Row],[Harga Barang A]]+Data[[#This Row],[Harga Barang B]]+Data[[#This Row],[Harga Barang C]]</f>
        <v>1080000</v>
      </c>
      <c r="Z874" s="35">
        <f>IFERROR(Data[[#This Row],[Total Harga]]-(Data[[#This Row],[Total Harga]]*Data[[#This Row],[Diskon]]),Data[[#This Row],[Total Harga]])</f>
        <v>972000</v>
      </c>
      <c r="AA874" s="35">
        <f>(Data[[#This Row],[Profit A]]+Data[[#This Row],[Profit B]]+Data[[#This Row],[Profit C]])</f>
        <v>410000</v>
      </c>
      <c r="AB874" s="35">
        <f>IFERROR((Data[[#This Row],[Profit non Diskon]]-(Data[[#This Row],[Profit non Diskon]]*Data[[#This Row],[Diskon]])),Data[[#This Row],[Profit non Diskon]])</f>
        <v>369000</v>
      </c>
      <c r="AC874" s="23" t="s">
        <v>30</v>
      </c>
      <c r="AD874" s="37">
        <f>IFERROR(INDEX('Kode Diskon'!$D$3:$D$9,MATCH(Data[[#This Row],[Kode diskon]],'Kode Diskon'!$C$3:$C$9,0)),"-")</f>
        <v>0.1</v>
      </c>
      <c r="AE874" s="23" t="s">
        <v>29</v>
      </c>
      <c r="AF874" s="23" t="s">
        <v>10</v>
      </c>
      <c r="AG874" s="23" t="s">
        <v>79</v>
      </c>
      <c r="AH874" s="24">
        <v>45017</v>
      </c>
      <c r="AI874" s="23" t="str">
        <f>TEXT(Data[[#This Row],[Tanggal terjual]],"dddd")</f>
        <v>Saturday</v>
      </c>
      <c r="AJ874" s="21" t="str">
        <f>TEXT(Data[[#This Row],[Tanggal terjual]],"wwww")</f>
        <v>wwww</v>
      </c>
    </row>
    <row r="875" spans="1:36" x14ac:dyDescent="0.2">
      <c r="A875" s="20">
        <v>874</v>
      </c>
      <c r="B875" s="21" t="str">
        <f>_xlfn.CONCAT("ORD-",INDEX(Helper!$B$2:$B$5,MATCH(Data[[#This Row],[Marketplace]],Helper!$A$2:$A$5,0)),TEXT(Data[[#This Row],[No]],"0000"),"-",TEXT(Data[[#This Row],[Tanggal terjual]],"dd/mm/yy"))</f>
        <v>ORD-TK0874-23/04/23</v>
      </c>
      <c r="C875" t="s">
        <v>65</v>
      </c>
      <c r="D875" t="str">
        <f>IFERROR(INDEX(Katalog!$A$3:$A$12,MATCH(Data[[#This Row],[ItemID A]],Katalog!$C$3:$C$12,0)),"-")</f>
        <v>Sepatu Pria</v>
      </c>
      <c r="E875" t="str">
        <f>IFERROR(INDEX(Katalog!$B$3:$B$12,MATCH(Data[[#This Row],[ItemID A]],Katalog!$C$3:$C$12,0)),"-")</f>
        <v>Sneakers</v>
      </c>
      <c r="F875">
        <v>2</v>
      </c>
      <c r="G875">
        <v>4</v>
      </c>
      <c r="H875" s="36">
        <f>IFERROR(INDEX(Katalog!$D$3:$D$12,MATCH(Data[[#This Row],[ItemID A]],Katalog!$C$3:$C$12,0))*Data[[#This Row],[Qty A]],"0")</f>
        <v>1000000</v>
      </c>
      <c r="I875" s="36">
        <f>IFERROR(INDEX(Katalog!$F$3:$F$12,MATCH(Data[[#This Row],[ItemID A]],Katalog!$C$3:$C$12,0))*Data[[#This Row],[Qty A]],0)</f>
        <v>400000</v>
      </c>
      <c r="J875" t="s">
        <v>63</v>
      </c>
      <c r="K875" t="str">
        <f>IFERROR(INDEX(Katalog!$A$3:$A$12,MATCH(Data[[#This Row],[ItemID B]],Katalog!$C$3:$C$12,0)),"-")</f>
        <v>Pakaian Pria</v>
      </c>
      <c r="L875" t="str">
        <f>IFERROR(INDEX(Katalog!$B$3:$B$12,MATCH(Data[[#This Row],[ItemID B]],Katalog!$C$3:$C$12,0)),"-")</f>
        <v>Jaket Jeans</v>
      </c>
      <c r="M875">
        <v>1</v>
      </c>
      <c r="N875">
        <v>3</v>
      </c>
      <c r="O875" s="36">
        <f>IFERROR(INDEX(Katalog!$D$3:$D$12,MATCH(Data[[#This Row],[ItemID B]],Katalog!$C$3:$C$12,0))*Data[[#This Row],[Qty B]],"0")</f>
        <v>400000</v>
      </c>
      <c r="P875" s="36">
        <f>IFERROR(INDEX(Katalog!$F$3:$F$12,MATCH(Data[[#This Row],[ItemID B]],Katalog!$C$3:$C$12,0))*Data[[#This Row],[Qty B]],"0")</f>
        <v>150000</v>
      </c>
      <c r="Q875" t="s">
        <v>67</v>
      </c>
      <c r="R875" t="str">
        <f>IFERROR(INDEX(Katalog!$A$3:$A$12,MATCH(Data[[#This Row],[ItemID C]],Katalog!$C$3:$C$12,0)),"-")</f>
        <v>Sepatu Wanita</v>
      </c>
      <c r="S875" t="str">
        <f>IFERROR(INDEX(Katalog!$B$3:$B$12,MATCH(Data[[#This Row],[ItemID C]],Katalog!$C$3:$C$12,0)),"-")</f>
        <v>Flat Shoes</v>
      </c>
      <c r="T875">
        <v>4</v>
      </c>
      <c r="U875">
        <v>2</v>
      </c>
      <c r="V875" s="36">
        <f>IFERROR(INDEX(Katalog!$D$3:$D$12,MATCH(Data[[#This Row],[ItemID C]],Katalog!$C$3:$C$12,0))*Data[[#This Row],[Qty C]],"0")</f>
        <v>1000000</v>
      </c>
      <c r="W875" s="36">
        <f>IFERROR(INDEX(Katalog!$F$3:$F$12,MATCH(Data[[#This Row],[ItemID C]],Katalog!$C$3:$C$12,0))*Data[[#This Row],[Qty C]],"0")</f>
        <v>400000</v>
      </c>
      <c r="X875" s="21">
        <f>Data[[#This Row],[Qty A]]+Data[[#This Row],[Qty B]]+Data[[#This Row],[Qty C]]</f>
        <v>7</v>
      </c>
      <c r="Y875" s="22">
        <f>Data[[#This Row],[Harga Barang A]]+Data[[#This Row],[Harga Barang B]]+Data[[#This Row],[Harga Barang C]]</f>
        <v>2400000</v>
      </c>
      <c r="Z875" s="35">
        <f>IFERROR(Data[[#This Row],[Total Harga]]-(Data[[#This Row],[Total Harga]]*Data[[#This Row],[Diskon]]),Data[[#This Row],[Total Harga]])</f>
        <v>2160000</v>
      </c>
      <c r="AA875" s="35">
        <f>(Data[[#This Row],[Profit A]]+Data[[#This Row],[Profit B]]+Data[[#This Row],[Profit C]])</f>
        <v>950000</v>
      </c>
      <c r="AB875" s="35">
        <f>IFERROR((Data[[#This Row],[Profit non Diskon]]-(Data[[#This Row],[Profit non Diskon]]*Data[[#This Row],[Diskon]])),Data[[#This Row],[Profit non Diskon]])</f>
        <v>855000</v>
      </c>
      <c r="AC875" s="23" t="s">
        <v>31</v>
      </c>
      <c r="AD875" s="37">
        <f>IFERROR(INDEX('Kode Diskon'!$D$3:$D$9,MATCH(Data[[#This Row],[Kode diskon]],'Kode Diskon'!$C$3:$C$9,0)),"-")</f>
        <v>0.1</v>
      </c>
      <c r="AE875" s="23" t="s">
        <v>9</v>
      </c>
      <c r="AF875" s="23" t="s">
        <v>10</v>
      </c>
      <c r="AG875" s="23" t="s">
        <v>80</v>
      </c>
      <c r="AH875" s="24">
        <v>45039</v>
      </c>
      <c r="AI875" s="23" t="str">
        <f>TEXT(Data[[#This Row],[Tanggal terjual]],"dddd")</f>
        <v>Sunday</v>
      </c>
      <c r="AJ875" s="21" t="str">
        <f>TEXT(Data[[#This Row],[Tanggal terjual]],"wwww")</f>
        <v>wwww</v>
      </c>
    </row>
    <row r="876" spans="1:36" x14ac:dyDescent="0.2">
      <c r="A876" s="20">
        <v>875</v>
      </c>
      <c r="B876" s="21" t="str">
        <f>_xlfn.CONCAT("ORD-",INDEX(Helper!$B$2:$B$5,MATCH(Data[[#This Row],[Marketplace]],Helper!$A$2:$A$5,0)),TEXT(Data[[#This Row],[No]],"0000"),"-",TEXT(Data[[#This Row],[Tanggal terjual]],"dd/mm/yy"))</f>
        <v>ORD-BL0875-21/04/23</v>
      </c>
      <c r="C876" t="s">
        <v>60</v>
      </c>
      <c r="D876" t="str">
        <f>IFERROR(INDEX(Katalog!$A$3:$A$12,MATCH(Data[[#This Row],[ItemID A]],Katalog!$C$3:$C$12,0)),"-")</f>
        <v>Pakaian Wanita</v>
      </c>
      <c r="E876" t="str">
        <f>IFERROR(INDEX(Katalog!$B$3:$B$12,MATCH(Data[[#This Row],[ItemID A]],Katalog!$C$3:$C$12,0)),"-")</f>
        <v>Kaftan</v>
      </c>
      <c r="F876">
        <v>4</v>
      </c>
      <c r="G876">
        <v>1</v>
      </c>
      <c r="H876" s="36">
        <f>IFERROR(INDEX(Katalog!$D$3:$D$12,MATCH(Data[[#This Row],[ItemID A]],Katalog!$C$3:$C$12,0))*Data[[#This Row],[Qty A]],"0")</f>
        <v>1000000</v>
      </c>
      <c r="I876" s="36">
        <f>IFERROR(INDEX(Katalog!$F$3:$F$12,MATCH(Data[[#This Row],[ItemID A]],Katalog!$C$3:$C$12,0))*Data[[#This Row],[Qty A]],0)</f>
        <v>400000</v>
      </c>
      <c r="J876" t="s">
        <v>63</v>
      </c>
      <c r="K876" t="str">
        <f>IFERROR(INDEX(Katalog!$A$3:$A$12,MATCH(Data[[#This Row],[ItemID B]],Katalog!$C$3:$C$12,0)),"-")</f>
        <v>Pakaian Pria</v>
      </c>
      <c r="L876" t="str">
        <f>IFERROR(INDEX(Katalog!$B$3:$B$12,MATCH(Data[[#This Row],[ItemID B]],Katalog!$C$3:$C$12,0)),"-")</f>
        <v>Jaket Jeans</v>
      </c>
      <c r="M876">
        <v>2</v>
      </c>
      <c r="N876">
        <v>4</v>
      </c>
      <c r="O876" s="36">
        <f>IFERROR(INDEX(Katalog!$D$3:$D$12,MATCH(Data[[#This Row],[ItemID B]],Katalog!$C$3:$C$12,0))*Data[[#This Row],[Qty B]],"0")</f>
        <v>800000</v>
      </c>
      <c r="P876" s="36">
        <f>IFERROR(INDEX(Katalog!$F$3:$F$12,MATCH(Data[[#This Row],[ItemID B]],Katalog!$C$3:$C$12,0))*Data[[#This Row],[Qty B]],"0")</f>
        <v>300000</v>
      </c>
      <c r="R876" t="str">
        <f>IFERROR(INDEX(Katalog!$A$3:$A$12,MATCH(Data[[#This Row],[ItemID C]],Katalog!$C$3:$C$12,0)),"-")</f>
        <v>-</v>
      </c>
      <c r="S876" t="str">
        <f>IFERROR(INDEX(Katalog!$B$3:$B$12,MATCH(Data[[#This Row],[ItemID C]],Katalog!$C$3:$C$12,0)),"-")</f>
        <v>-</v>
      </c>
      <c r="V876" s="36" t="str">
        <f>IFERROR(INDEX(Katalog!$D$3:$D$12,MATCH(Data[[#This Row],[ItemID C]],Katalog!$C$3:$C$12,0))*Data[[#This Row],[Qty C]],"0")</f>
        <v>0</v>
      </c>
      <c r="W876" s="36" t="str">
        <f>IFERROR(INDEX(Katalog!$F$3:$F$12,MATCH(Data[[#This Row],[ItemID C]],Katalog!$C$3:$C$12,0))*Data[[#This Row],[Qty C]],"0")</f>
        <v>0</v>
      </c>
      <c r="X876" s="21">
        <f>Data[[#This Row],[Qty A]]+Data[[#This Row],[Qty B]]+Data[[#This Row],[Qty C]]</f>
        <v>6</v>
      </c>
      <c r="Y876" s="22">
        <f>Data[[#This Row],[Harga Barang A]]+Data[[#This Row],[Harga Barang B]]+Data[[#This Row],[Harga Barang C]]</f>
        <v>1800000</v>
      </c>
      <c r="Z876" s="35">
        <f>IFERROR(Data[[#This Row],[Total Harga]]-(Data[[#This Row],[Total Harga]]*Data[[#This Row],[Diskon]]),Data[[#This Row],[Total Harga]])</f>
        <v>1530000</v>
      </c>
      <c r="AA876" s="35">
        <f>(Data[[#This Row],[Profit A]]+Data[[#This Row],[Profit B]]+Data[[#This Row],[Profit C]])</f>
        <v>700000</v>
      </c>
      <c r="AB876" s="35">
        <f>IFERROR((Data[[#This Row],[Profit non Diskon]]-(Data[[#This Row],[Profit non Diskon]]*Data[[#This Row],[Diskon]])),Data[[#This Row],[Profit non Diskon]])</f>
        <v>595000</v>
      </c>
      <c r="AC876" s="23" t="s">
        <v>32</v>
      </c>
      <c r="AD876" s="37">
        <f>IFERROR(INDEX('Kode Diskon'!$D$3:$D$9,MATCH(Data[[#This Row],[Kode diskon]],'Kode Diskon'!$C$3:$C$9,0)),"-")</f>
        <v>0.15</v>
      </c>
      <c r="AE876" s="23" t="s">
        <v>9</v>
      </c>
      <c r="AF876" s="23" t="s">
        <v>12</v>
      </c>
      <c r="AG876" s="23" t="s">
        <v>80</v>
      </c>
      <c r="AH876" s="24">
        <v>45037</v>
      </c>
      <c r="AI876" s="23" t="str">
        <f>TEXT(Data[[#This Row],[Tanggal terjual]],"dddd")</f>
        <v>Friday</v>
      </c>
      <c r="AJ876" s="21" t="str">
        <f>TEXT(Data[[#This Row],[Tanggal terjual]],"wwww")</f>
        <v>wwww</v>
      </c>
    </row>
    <row r="877" spans="1:36" x14ac:dyDescent="0.2">
      <c r="A877" s="20">
        <v>876</v>
      </c>
      <c r="B877" s="21" t="str">
        <f>_xlfn.CONCAT("ORD-",INDEX(Helper!$B$2:$B$5,MATCH(Data[[#This Row],[Marketplace]],Helper!$A$2:$A$5,0)),TEXT(Data[[#This Row],[No]],"0000"),"-",TEXT(Data[[#This Row],[Tanggal terjual]],"dd/mm/yy"))</f>
        <v>ORD-SP0876-01/04/23</v>
      </c>
      <c r="C877" t="s">
        <v>58</v>
      </c>
      <c r="D877" t="str">
        <f>IFERROR(INDEX(Katalog!$A$3:$A$12,MATCH(Data[[#This Row],[ItemID A]],Katalog!$C$3:$C$12,0)),"-")</f>
        <v>Pakaian Wanita</v>
      </c>
      <c r="E877" t="str">
        <f>IFERROR(INDEX(Katalog!$B$3:$B$12,MATCH(Data[[#This Row],[ItemID A]],Katalog!$C$3:$C$12,0)),"-")</f>
        <v>Dress</v>
      </c>
      <c r="F877">
        <v>1</v>
      </c>
      <c r="G877">
        <v>2</v>
      </c>
      <c r="H877" s="36">
        <f>IFERROR(INDEX(Katalog!$D$3:$D$12,MATCH(Data[[#This Row],[ItemID A]],Katalog!$C$3:$C$12,0))*Data[[#This Row],[Qty A]],"0")</f>
        <v>300000</v>
      </c>
      <c r="I877" s="36">
        <f>IFERROR(INDEX(Katalog!$F$3:$F$12,MATCH(Data[[#This Row],[ItemID A]],Katalog!$C$3:$C$12,0))*Data[[#This Row],[Qty A]],0)</f>
        <v>100000</v>
      </c>
      <c r="K877" t="str">
        <f>IFERROR(INDEX(Katalog!$A$3:$A$12,MATCH(Data[[#This Row],[ItemID B]],Katalog!$C$3:$C$12,0)),"-")</f>
        <v>-</v>
      </c>
      <c r="L877" t="str">
        <f>IFERROR(INDEX(Katalog!$B$3:$B$12,MATCH(Data[[#This Row],[ItemID B]],Katalog!$C$3:$C$12,0)),"-")</f>
        <v>-</v>
      </c>
      <c r="O877" s="36" t="str">
        <f>IFERROR(INDEX(Katalog!$D$3:$D$12,MATCH(Data[[#This Row],[ItemID B]],Katalog!$C$3:$C$12,0))*Data[[#This Row],[Qty B]],"0")</f>
        <v>0</v>
      </c>
      <c r="P877" s="36" t="str">
        <f>IFERROR(INDEX(Katalog!$F$3:$F$12,MATCH(Data[[#This Row],[ItemID B]],Katalog!$C$3:$C$12,0))*Data[[#This Row],[Qty B]],"0")</f>
        <v>0</v>
      </c>
      <c r="R877" t="str">
        <f>IFERROR(INDEX(Katalog!$A$3:$A$12,MATCH(Data[[#This Row],[ItemID C]],Katalog!$C$3:$C$12,0)),"-")</f>
        <v>-</v>
      </c>
      <c r="S877" t="str">
        <f>IFERROR(INDEX(Katalog!$B$3:$B$12,MATCH(Data[[#This Row],[ItemID C]],Katalog!$C$3:$C$12,0)),"-")</f>
        <v>-</v>
      </c>
      <c r="V877" s="36" t="str">
        <f>IFERROR(INDEX(Katalog!$D$3:$D$12,MATCH(Data[[#This Row],[ItemID C]],Katalog!$C$3:$C$12,0))*Data[[#This Row],[Qty C]],"0")</f>
        <v>0</v>
      </c>
      <c r="W877" s="36" t="str">
        <f>IFERROR(INDEX(Katalog!$F$3:$F$12,MATCH(Data[[#This Row],[ItemID C]],Katalog!$C$3:$C$12,0))*Data[[#This Row],[Qty C]],"0")</f>
        <v>0</v>
      </c>
      <c r="X877" s="21">
        <f>Data[[#This Row],[Qty A]]+Data[[#This Row],[Qty B]]+Data[[#This Row],[Qty C]]</f>
        <v>1</v>
      </c>
      <c r="Y877" s="22">
        <f>Data[[#This Row],[Harga Barang A]]+Data[[#This Row],[Harga Barang B]]+Data[[#This Row],[Harga Barang C]]</f>
        <v>300000</v>
      </c>
      <c r="Z877" s="35">
        <f>IFERROR(Data[[#This Row],[Total Harga]]-(Data[[#This Row],[Total Harga]]*Data[[#This Row],[Diskon]]),Data[[#This Row],[Total Harga]])</f>
        <v>255000</v>
      </c>
      <c r="AA877" s="35">
        <f>(Data[[#This Row],[Profit A]]+Data[[#This Row],[Profit B]]+Data[[#This Row],[Profit C]])</f>
        <v>100000</v>
      </c>
      <c r="AB877" s="35">
        <f>IFERROR((Data[[#This Row],[Profit non Diskon]]-(Data[[#This Row],[Profit non Diskon]]*Data[[#This Row],[Diskon]])),Data[[#This Row],[Profit non Diskon]])</f>
        <v>85000</v>
      </c>
      <c r="AC877" s="23" t="s">
        <v>13</v>
      </c>
      <c r="AD877" s="37">
        <f>IFERROR(INDEX('Kode Diskon'!$D$3:$D$9,MATCH(Data[[#This Row],[Kode diskon]],'Kode Diskon'!$C$3:$C$9,0)),"-")</f>
        <v>0.15</v>
      </c>
      <c r="AE877" s="23" t="s">
        <v>29</v>
      </c>
      <c r="AF877" s="23" t="s">
        <v>7</v>
      </c>
      <c r="AG877" s="23" t="s">
        <v>79</v>
      </c>
      <c r="AH877" s="24">
        <v>45017</v>
      </c>
      <c r="AI877" s="23" t="str">
        <f>TEXT(Data[[#This Row],[Tanggal terjual]],"dddd")</f>
        <v>Saturday</v>
      </c>
      <c r="AJ877" s="21" t="str">
        <f>TEXT(Data[[#This Row],[Tanggal terjual]],"wwww")</f>
        <v>wwww</v>
      </c>
    </row>
    <row r="878" spans="1:36" x14ac:dyDescent="0.2">
      <c r="A878" s="20">
        <v>877</v>
      </c>
      <c r="B878" s="21" t="str">
        <f>_xlfn.CONCAT("ORD-",INDEX(Helper!$B$2:$B$5,MATCH(Data[[#This Row],[Marketplace]],Helper!$A$2:$A$5,0)),TEXT(Data[[#This Row],[No]],"0000"),"-",TEXT(Data[[#This Row],[Tanggal terjual]],"dd/mm/yy"))</f>
        <v>ORD-SP0877-12/04/23</v>
      </c>
      <c r="C878" t="s">
        <v>62</v>
      </c>
      <c r="D878" t="str">
        <f>IFERROR(INDEX(Katalog!$A$3:$A$12,MATCH(Data[[#This Row],[ItemID A]],Katalog!$C$3:$C$12,0)),"-")</f>
        <v>Pakaian Pria</v>
      </c>
      <c r="E878" t="str">
        <f>IFERROR(INDEX(Katalog!$B$3:$B$12,MATCH(Data[[#This Row],[ItemID A]],Katalog!$C$3:$C$12,0)),"-")</f>
        <v>Celana Pendek</v>
      </c>
      <c r="F878">
        <v>1</v>
      </c>
      <c r="G878">
        <v>1</v>
      </c>
      <c r="H878" s="36">
        <f>IFERROR(INDEX(Katalog!$D$3:$D$12,MATCH(Data[[#This Row],[ItemID A]],Katalog!$C$3:$C$12,0))*Data[[#This Row],[Qty A]],"0")</f>
        <v>180000</v>
      </c>
      <c r="I878" s="36">
        <f>IFERROR(INDEX(Katalog!$F$3:$F$12,MATCH(Data[[#This Row],[ItemID A]],Katalog!$C$3:$C$12,0))*Data[[#This Row],[Qty A]],0)</f>
        <v>70000</v>
      </c>
      <c r="K878" t="str">
        <f>IFERROR(INDEX(Katalog!$A$3:$A$12,MATCH(Data[[#This Row],[ItemID B]],Katalog!$C$3:$C$12,0)),"-")</f>
        <v>-</v>
      </c>
      <c r="L878" t="str">
        <f>IFERROR(INDEX(Katalog!$B$3:$B$12,MATCH(Data[[#This Row],[ItemID B]],Katalog!$C$3:$C$12,0)),"-")</f>
        <v>-</v>
      </c>
      <c r="O878" s="36" t="str">
        <f>IFERROR(INDEX(Katalog!$D$3:$D$12,MATCH(Data[[#This Row],[ItemID B]],Katalog!$C$3:$C$12,0))*Data[[#This Row],[Qty B]],"0")</f>
        <v>0</v>
      </c>
      <c r="P878" s="36" t="str">
        <f>IFERROR(INDEX(Katalog!$F$3:$F$12,MATCH(Data[[#This Row],[ItemID B]],Katalog!$C$3:$C$12,0))*Data[[#This Row],[Qty B]],"0")</f>
        <v>0</v>
      </c>
      <c r="R878" t="str">
        <f>IFERROR(INDEX(Katalog!$A$3:$A$12,MATCH(Data[[#This Row],[ItemID C]],Katalog!$C$3:$C$12,0)),"-")</f>
        <v>-</v>
      </c>
      <c r="S878" t="str">
        <f>IFERROR(INDEX(Katalog!$B$3:$B$12,MATCH(Data[[#This Row],[ItemID C]],Katalog!$C$3:$C$12,0)),"-")</f>
        <v>-</v>
      </c>
      <c r="V878" s="36" t="str">
        <f>IFERROR(INDEX(Katalog!$D$3:$D$12,MATCH(Data[[#This Row],[ItemID C]],Katalog!$C$3:$C$12,0))*Data[[#This Row],[Qty C]],"0")</f>
        <v>0</v>
      </c>
      <c r="W878" s="36" t="str">
        <f>IFERROR(INDEX(Katalog!$F$3:$F$12,MATCH(Data[[#This Row],[ItemID C]],Katalog!$C$3:$C$12,0))*Data[[#This Row],[Qty C]],"0")</f>
        <v>0</v>
      </c>
      <c r="X878" s="21">
        <f>Data[[#This Row],[Qty A]]+Data[[#This Row],[Qty B]]+Data[[#This Row],[Qty C]]</f>
        <v>1</v>
      </c>
      <c r="Y878" s="22">
        <f>Data[[#This Row],[Harga Barang A]]+Data[[#This Row],[Harga Barang B]]+Data[[#This Row],[Harga Barang C]]</f>
        <v>180000</v>
      </c>
      <c r="Z878" s="35">
        <f>IFERROR(Data[[#This Row],[Total Harga]]-(Data[[#This Row],[Total Harga]]*Data[[#This Row],[Diskon]]),Data[[#This Row],[Total Harga]])</f>
        <v>180000</v>
      </c>
      <c r="AA878" s="35">
        <f>(Data[[#This Row],[Profit A]]+Data[[#This Row],[Profit B]]+Data[[#This Row],[Profit C]])</f>
        <v>70000</v>
      </c>
      <c r="AB878" s="35">
        <f>IFERROR((Data[[#This Row],[Profit non Diskon]]-(Data[[#This Row],[Profit non Diskon]]*Data[[#This Row],[Diskon]])),Data[[#This Row],[Profit non Diskon]])</f>
        <v>70000</v>
      </c>
      <c r="AC878" s="23" t="s">
        <v>11</v>
      </c>
      <c r="AD878" s="37" t="str">
        <f>IFERROR(INDEX('Kode Diskon'!$D$3:$D$9,MATCH(Data[[#This Row],[Kode diskon]],'Kode Diskon'!$C$3:$C$9,0)),"-")</f>
        <v>-</v>
      </c>
      <c r="AE878" s="23" t="s">
        <v>11</v>
      </c>
      <c r="AF878" s="23" t="s">
        <v>7</v>
      </c>
      <c r="AG878" s="23" t="s">
        <v>80</v>
      </c>
      <c r="AH878" s="24">
        <v>45028</v>
      </c>
      <c r="AI878" s="23" t="str">
        <f>TEXT(Data[[#This Row],[Tanggal terjual]],"dddd")</f>
        <v>Wednesday</v>
      </c>
      <c r="AJ878" s="21" t="str">
        <f>TEXT(Data[[#This Row],[Tanggal terjual]],"wwww")</f>
        <v>wwww</v>
      </c>
    </row>
    <row r="879" spans="1:36" x14ac:dyDescent="0.2">
      <c r="A879" s="20">
        <v>878</v>
      </c>
      <c r="B879" s="21" t="str">
        <f>_xlfn.CONCAT("ORD-",INDEX(Helper!$B$2:$B$5,MATCH(Data[[#This Row],[Marketplace]],Helper!$A$2:$A$5,0)),TEXT(Data[[#This Row],[No]],"0000"),"-",TEXT(Data[[#This Row],[Tanggal terjual]],"dd/mm/yy"))</f>
        <v>ORD-BL0878-28/04/23</v>
      </c>
      <c r="C879" t="s">
        <v>64</v>
      </c>
      <c r="D879" t="str">
        <f>IFERROR(INDEX(Katalog!$A$3:$A$12,MATCH(Data[[#This Row],[ItemID A]],Katalog!$C$3:$C$12,0)),"-")</f>
        <v>Pakaian Unisex</v>
      </c>
      <c r="E879" t="str">
        <f>IFERROR(INDEX(Katalog!$B$3:$B$12,MATCH(Data[[#This Row],[ItemID A]],Katalog!$C$3:$C$12,0)),"-")</f>
        <v>Jaket Hoodie</v>
      </c>
      <c r="F879">
        <v>1</v>
      </c>
      <c r="G879">
        <v>5</v>
      </c>
      <c r="H879" s="36">
        <f>IFERROR(INDEX(Katalog!$D$3:$D$12,MATCH(Data[[#This Row],[ItemID A]],Katalog!$C$3:$C$12,0))*Data[[#This Row],[Qty A]],"0")</f>
        <v>350000</v>
      </c>
      <c r="I879" s="36">
        <f>IFERROR(INDEX(Katalog!$F$3:$F$12,MATCH(Data[[#This Row],[ItemID A]],Katalog!$C$3:$C$12,0))*Data[[#This Row],[Qty A]],0)</f>
        <v>130000</v>
      </c>
      <c r="J879" t="s">
        <v>65</v>
      </c>
      <c r="K879" t="str">
        <f>IFERROR(INDEX(Katalog!$A$3:$A$12,MATCH(Data[[#This Row],[ItemID B]],Katalog!$C$3:$C$12,0)),"-")</f>
        <v>Sepatu Pria</v>
      </c>
      <c r="L879" t="str">
        <f>IFERROR(INDEX(Katalog!$B$3:$B$12,MATCH(Data[[#This Row],[ItemID B]],Katalog!$C$3:$C$12,0)),"-")</f>
        <v>Sneakers</v>
      </c>
      <c r="M879">
        <v>1</v>
      </c>
      <c r="N879">
        <v>3</v>
      </c>
      <c r="O879" s="36">
        <f>IFERROR(INDEX(Katalog!$D$3:$D$12,MATCH(Data[[#This Row],[ItemID B]],Katalog!$C$3:$C$12,0))*Data[[#This Row],[Qty B]],"0")</f>
        <v>500000</v>
      </c>
      <c r="P879" s="36">
        <f>IFERROR(INDEX(Katalog!$F$3:$F$12,MATCH(Data[[#This Row],[ItemID B]],Katalog!$C$3:$C$12,0))*Data[[#This Row],[Qty B]],"0")</f>
        <v>200000</v>
      </c>
      <c r="Q879" t="s">
        <v>61</v>
      </c>
      <c r="R879" t="str">
        <f>IFERROR(INDEX(Katalog!$A$3:$A$12,MATCH(Data[[#This Row],[ItemID C]],Katalog!$C$3:$C$12,0)),"-")</f>
        <v>Pakaian Pria</v>
      </c>
      <c r="S879" t="str">
        <f>IFERROR(INDEX(Katalog!$B$3:$B$12,MATCH(Data[[#This Row],[ItemID C]],Katalog!$C$3:$C$12,0)),"-")</f>
        <v>Kaos Polo</v>
      </c>
      <c r="T879">
        <v>1</v>
      </c>
      <c r="U879">
        <v>1</v>
      </c>
      <c r="V879" s="36">
        <f>IFERROR(INDEX(Katalog!$D$3:$D$12,MATCH(Data[[#This Row],[ItemID C]],Katalog!$C$3:$C$12,0))*Data[[#This Row],[Qty C]],"0")</f>
        <v>200000</v>
      </c>
      <c r="W879" s="36">
        <f>IFERROR(INDEX(Katalog!$F$3:$F$12,MATCH(Data[[#This Row],[ItemID C]],Katalog!$C$3:$C$12,0))*Data[[#This Row],[Qty C]],"0")</f>
        <v>80000</v>
      </c>
      <c r="X879" s="21">
        <f>Data[[#This Row],[Qty A]]+Data[[#This Row],[Qty B]]+Data[[#This Row],[Qty C]]</f>
        <v>3</v>
      </c>
      <c r="Y879" s="22">
        <f>Data[[#This Row],[Harga Barang A]]+Data[[#This Row],[Harga Barang B]]+Data[[#This Row],[Harga Barang C]]</f>
        <v>1050000</v>
      </c>
      <c r="Z879" s="35">
        <f>IFERROR(Data[[#This Row],[Total Harga]]-(Data[[#This Row],[Total Harga]]*Data[[#This Row],[Diskon]]),Data[[#This Row],[Total Harga]])</f>
        <v>892500</v>
      </c>
      <c r="AA879" s="35">
        <f>(Data[[#This Row],[Profit A]]+Data[[#This Row],[Profit B]]+Data[[#This Row],[Profit C]])</f>
        <v>410000</v>
      </c>
      <c r="AB879" s="35">
        <f>IFERROR((Data[[#This Row],[Profit non Diskon]]-(Data[[#This Row],[Profit non Diskon]]*Data[[#This Row],[Diskon]])),Data[[#This Row],[Profit non Diskon]])</f>
        <v>348500</v>
      </c>
      <c r="AC879" s="23" t="s">
        <v>32</v>
      </c>
      <c r="AD879" s="37">
        <f>IFERROR(INDEX('Kode Diskon'!$D$3:$D$9,MATCH(Data[[#This Row],[Kode diskon]],'Kode Diskon'!$C$3:$C$9,0)),"-")</f>
        <v>0.15</v>
      </c>
      <c r="AE879" s="23" t="s">
        <v>9</v>
      </c>
      <c r="AF879" s="23" t="s">
        <v>12</v>
      </c>
      <c r="AG879" s="23" t="s">
        <v>77</v>
      </c>
      <c r="AH879" s="24">
        <v>45044</v>
      </c>
      <c r="AI879" s="23" t="str">
        <f>TEXT(Data[[#This Row],[Tanggal terjual]],"dddd")</f>
        <v>Friday</v>
      </c>
      <c r="AJ879" s="21" t="str">
        <f>TEXT(Data[[#This Row],[Tanggal terjual]],"wwww")</f>
        <v>wwww</v>
      </c>
    </row>
    <row r="880" spans="1:36" x14ac:dyDescent="0.2">
      <c r="A880" s="20">
        <v>879</v>
      </c>
      <c r="B880" s="21" t="str">
        <f>_xlfn.CONCAT("ORD-",INDEX(Helper!$B$2:$B$5,MATCH(Data[[#This Row],[Marketplace]],Helper!$A$2:$A$5,0)),TEXT(Data[[#This Row],[No]],"0000"),"-",TEXT(Data[[#This Row],[Tanggal terjual]],"dd/mm/yy"))</f>
        <v>ORD-BL0879-16/04/23</v>
      </c>
      <c r="C880" t="s">
        <v>65</v>
      </c>
      <c r="D880" t="str">
        <f>IFERROR(INDEX(Katalog!$A$3:$A$12,MATCH(Data[[#This Row],[ItemID A]],Katalog!$C$3:$C$12,0)),"-")</f>
        <v>Sepatu Pria</v>
      </c>
      <c r="E880" t="str">
        <f>IFERROR(INDEX(Katalog!$B$3:$B$12,MATCH(Data[[#This Row],[ItemID A]],Katalog!$C$3:$C$12,0)),"-")</f>
        <v>Sneakers</v>
      </c>
      <c r="F880">
        <v>7</v>
      </c>
      <c r="G880">
        <v>2</v>
      </c>
      <c r="H880" s="36">
        <f>IFERROR(INDEX(Katalog!$D$3:$D$12,MATCH(Data[[#This Row],[ItemID A]],Katalog!$C$3:$C$12,0))*Data[[#This Row],[Qty A]],"0")</f>
        <v>3500000</v>
      </c>
      <c r="I880" s="36">
        <f>IFERROR(INDEX(Katalog!$F$3:$F$12,MATCH(Data[[#This Row],[ItemID A]],Katalog!$C$3:$C$12,0))*Data[[#This Row],[Qty A]],0)</f>
        <v>1400000</v>
      </c>
      <c r="K880" t="str">
        <f>IFERROR(INDEX(Katalog!$A$3:$A$12,MATCH(Data[[#This Row],[ItemID B]],Katalog!$C$3:$C$12,0)),"-")</f>
        <v>-</v>
      </c>
      <c r="L880" t="str">
        <f>IFERROR(INDEX(Katalog!$B$3:$B$12,MATCH(Data[[#This Row],[ItemID B]],Katalog!$C$3:$C$12,0)),"-")</f>
        <v>-</v>
      </c>
      <c r="O880" s="36" t="str">
        <f>IFERROR(INDEX(Katalog!$D$3:$D$12,MATCH(Data[[#This Row],[ItemID B]],Katalog!$C$3:$C$12,0))*Data[[#This Row],[Qty B]],"0")</f>
        <v>0</v>
      </c>
      <c r="P880" s="36" t="str">
        <f>IFERROR(INDEX(Katalog!$F$3:$F$12,MATCH(Data[[#This Row],[ItemID B]],Katalog!$C$3:$C$12,0))*Data[[#This Row],[Qty B]],"0")</f>
        <v>0</v>
      </c>
      <c r="R880" t="str">
        <f>IFERROR(INDEX(Katalog!$A$3:$A$12,MATCH(Data[[#This Row],[ItemID C]],Katalog!$C$3:$C$12,0)),"-")</f>
        <v>-</v>
      </c>
      <c r="S880" t="str">
        <f>IFERROR(INDEX(Katalog!$B$3:$B$12,MATCH(Data[[#This Row],[ItemID C]],Katalog!$C$3:$C$12,0)),"-")</f>
        <v>-</v>
      </c>
      <c r="V880" s="36" t="str">
        <f>IFERROR(INDEX(Katalog!$D$3:$D$12,MATCH(Data[[#This Row],[ItemID C]],Katalog!$C$3:$C$12,0))*Data[[#This Row],[Qty C]],"0")</f>
        <v>0</v>
      </c>
      <c r="W880" s="36" t="str">
        <f>IFERROR(INDEX(Katalog!$F$3:$F$12,MATCH(Data[[#This Row],[ItemID C]],Katalog!$C$3:$C$12,0))*Data[[#This Row],[Qty C]],"0")</f>
        <v>0</v>
      </c>
      <c r="X880" s="21">
        <f>Data[[#This Row],[Qty A]]+Data[[#This Row],[Qty B]]+Data[[#This Row],[Qty C]]</f>
        <v>7</v>
      </c>
      <c r="Y880" s="22">
        <f>Data[[#This Row],[Harga Barang A]]+Data[[#This Row],[Harga Barang B]]+Data[[#This Row],[Harga Barang C]]</f>
        <v>3500000</v>
      </c>
      <c r="Z880" s="35">
        <f>IFERROR(Data[[#This Row],[Total Harga]]-(Data[[#This Row],[Total Harga]]*Data[[#This Row],[Diskon]]),Data[[#This Row],[Total Harga]])</f>
        <v>2975000</v>
      </c>
      <c r="AA880" s="35">
        <f>(Data[[#This Row],[Profit A]]+Data[[#This Row],[Profit B]]+Data[[#This Row],[Profit C]])</f>
        <v>1400000</v>
      </c>
      <c r="AB880" s="35">
        <f>IFERROR((Data[[#This Row],[Profit non Diskon]]-(Data[[#This Row],[Profit non Diskon]]*Data[[#This Row],[Diskon]])),Data[[#This Row],[Profit non Diskon]])</f>
        <v>1190000</v>
      </c>
      <c r="AC880" s="23" t="s">
        <v>32</v>
      </c>
      <c r="AD880" s="37">
        <f>IFERROR(INDEX('Kode Diskon'!$D$3:$D$9,MATCH(Data[[#This Row],[Kode diskon]],'Kode Diskon'!$C$3:$C$9,0)),"-")</f>
        <v>0.15</v>
      </c>
      <c r="AE880" s="23" t="s">
        <v>9</v>
      </c>
      <c r="AF880" s="23" t="s">
        <v>12</v>
      </c>
      <c r="AG880" s="23" t="s">
        <v>80</v>
      </c>
      <c r="AH880" s="24">
        <v>45032</v>
      </c>
      <c r="AI880" s="23" t="str">
        <f>TEXT(Data[[#This Row],[Tanggal terjual]],"dddd")</f>
        <v>Sunday</v>
      </c>
      <c r="AJ880" s="21" t="str">
        <f>TEXT(Data[[#This Row],[Tanggal terjual]],"wwww")</f>
        <v>wwww</v>
      </c>
    </row>
    <row r="881" spans="1:36" x14ac:dyDescent="0.2">
      <c r="A881" s="20">
        <v>880</v>
      </c>
      <c r="B881" s="21" t="str">
        <f>_xlfn.CONCAT("ORD-",INDEX(Helper!$B$2:$B$5,MATCH(Data[[#This Row],[Marketplace]],Helper!$A$2:$A$5,0)),TEXT(Data[[#This Row],[No]],"0000"),"-",TEXT(Data[[#This Row],[Tanggal terjual]],"dd/mm/yy"))</f>
        <v>ORD-SP0880-01/04/23</v>
      </c>
      <c r="C881" t="s">
        <v>67</v>
      </c>
      <c r="D881" t="str">
        <f>IFERROR(INDEX(Katalog!$A$3:$A$12,MATCH(Data[[#This Row],[ItemID A]],Katalog!$C$3:$C$12,0)),"-")</f>
        <v>Sepatu Wanita</v>
      </c>
      <c r="E881" t="str">
        <f>IFERROR(INDEX(Katalog!$B$3:$B$12,MATCH(Data[[#This Row],[ItemID A]],Katalog!$C$3:$C$12,0)),"-")</f>
        <v>Flat Shoes</v>
      </c>
      <c r="F881">
        <v>1</v>
      </c>
      <c r="G881">
        <v>1</v>
      </c>
      <c r="H881" s="36">
        <f>IFERROR(INDEX(Katalog!$D$3:$D$12,MATCH(Data[[#This Row],[ItemID A]],Katalog!$C$3:$C$12,0))*Data[[#This Row],[Qty A]],"0")</f>
        <v>250000</v>
      </c>
      <c r="I881" s="36">
        <f>IFERROR(INDEX(Katalog!$F$3:$F$12,MATCH(Data[[#This Row],[ItemID A]],Katalog!$C$3:$C$12,0))*Data[[#This Row],[Qty A]],0)</f>
        <v>100000</v>
      </c>
      <c r="J881" t="s">
        <v>60</v>
      </c>
      <c r="K881" t="str">
        <f>IFERROR(INDEX(Katalog!$A$3:$A$12,MATCH(Data[[#This Row],[ItemID B]],Katalog!$C$3:$C$12,0)),"-")</f>
        <v>Pakaian Wanita</v>
      </c>
      <c r="L881" t="str">
        <f>IFERROR(INDEX(Katalog!$B$3:$B$12,MATCH(Data[[#This Row],[ItemID B]],Katalog!$C$3:$C$12,0)),"-")</f>
        <v>Kaftan</v>
      </c>
      <c r="M881">
        <v>2</v>
      </c>
      <c r="N881">
        <v>4</v>
      </c>
      <c r="O881" s="36">
        <f>IFERROR(INDEX(Katalog!$D$3:$D$12,MATCH(Data[[#This Row],[ItemID B]],Katalog!$C$3:$C$12,0))*Data[[#This Row],[Qty B]],"0")</f>
        <v>500000</v>
      </c>
      <c r="P881" s="36">
        <f>IFERROR(INDEX(Katalog!$F$3:$F$12,MATCH(Data[[#This Row],[ItemID B]],Katalog!$C$3:$C$12,0))*Data[[#This Row],[Qty B]],"0")</f>
        <v>200000</v>
      </c>
      <c r="R881" t="str">
        <f>IFERROR(INDEX(Katalog!$A$3:$A$12,MATCH(Data[[#This Row],[ItemID C]],Katalog!$C$3:$C$12,0)),"-")</f>
        <v>-</v>
      </c>
      <c r="S881" t="str">
        <f>IFERROR(INDEX(Katalog!$B$3:$B$12,MATCH(Data[[#This Row],[ItemID C]],Katalog!$C$3:$C$12,0)),"-")</f>
        <v>-</v>
      </c>
      <c r="V881" s="36" t="str">
        <f>IFERROR(INDEX(Katalog!$D$3:$D$12,MATCH(Data[[#This Row],[ItemID C]],Katalog!$C$3:$C$12,0))*Data[[#This Row],[Qty C]],"0")</f>
        <v>0</v>
      </c>
      <c r="W881" s="36" t="str">
        <f>IFERROR(INDEX(Katalog!$F$3:$F$12,MATCH(Data[[#This Row],[ItemID C]],Katalog!$C$3:$C$12,0))*Data[[#This Row],[Qty C]],"0")</f>
        <v>0</v>
      </c>
      <c r="X881" s="21">
        <f>Data[[#This Row],[Qty A]]+Data[[#This Row],[Qty B]]+Data[[#This Row],[Qty C]]</f>
        <v>3</v>
      </c>
      <c r="Y881" s="22">
        <f>Data[[#This Row],[Harga Barang A]]+Data[[#This Row],[Harga Barang B]]+Data[[#This Row],[Harga Barang C]]</f>
        <v>750000</v>
      </c>
      <c r="Z881" s="35">
        <f>IFERROR(Data[[#This Row],[Total Harga]]-(Data[[#This Row],[Total Harga]]*Data[[#This Row],[Diskon]]),Data[[#This Row],[Total Harga]])</f>
        <v>675000</v>
      </c>
      <c r="AA881" s="35">
        <f>(Data[[#This Row],[Profit A]]+Data[[#This Row],[Profit B]]+Data[[#This Row],[Profit C]])</f>
        <v>300000</v>
      </c>
      <c r="AB881" s="35">
        <f>IFERROR((Data[[#This Row],[Profit non Diskon]]-(Data[[#This Row],[Profit non Diskon]]*Data[[#This Row],[Diskon]])),Data[[#This Row],[Profit non Diskon]])</f>
        <v>270000</v>
      </c>
      <c r="AC881" s="23" t="s">
        <v>6</v>
      </c>
      <c r="AD881" s="37">
        <f>IFERROR(INDEX('Kode Diskon'!$D$3:$D$9,MATCH(Data[[#This Row],[Kode diskon]],'Kode Diskon'!$C$3:$C$9,0)),"-")</f>
        <v>0.1</v>
      </c>
      <c r="AE881" s="23" t="s">
        <v>29</v>
      </c>
      <c r="AF881" s="23" t="s">
        <v>7</v>
      </c>
      <c r="AG881" s="23" t="s">
        <v>80</v>
      </c>
      <c r="AH881" s="24">
        <v>45017</v>
      </c>
      <c r="AI881" s="23" t="str">
        <f>TEXT(Data[[#This Row],[Tanggal terjual]],"dddd")</f>
        <v>Saturday</v>
      </c>
      <c r="AJ881" s="21" t="str">
        <f>TEXT(Data[[#This Row],[Tanggal terjual]],"wwww")</f>
        <v>wwww</v>
      </c>
    </row>
    <row r="882" spans="1:36" x14ac:dyDescent="0.2">
      <c r="A882" s="20">
        <v>881</v>
      </c>
      <c r="B882" s="21" t="str">
        <f>_xlfn.CONCAT("ORD-",INDEX(Helper!$B$2:$B$5,MATCH(Data[[#This Row],[Marketplace]],Helper!$A$2:$A$5,0)),TEXT(Data[[#This Row],[No]],"0000"),"-",TEXT(Data[[#This Row],[Tanggal terjual]],"dd/mm/yy"))</f>
        <v>ORD-TK0881-23/04/23</v>
      </c>
      <c r="C882" t="s">
        <v>60</v>
      </c>
      <c r="D882" t="str">
        <f>IFERROR(INDEX(Katalog!$A$3:$A$12,MATCH(Data[[#This Row],[ItemID A]],Katalog!$C$3:$C$12,0)),"-")</f>
        <v>Pakaian Wanita</v>
      </c>
      <c r="E882" t="str">
        <f>IFERROR(INDEX(Katalog!$B$3:$B$12,MATCH(Data[[#This Row],[ItemID A]],Katalog!$C$3:$C$12,0)),"-")</f>
        <v>Kaftan</v>
      </c>
      <c r="F882">
        <v>3</v>
      </c>
      <c r="G882">
        <v>4</v>
      </c>
      <c r="H882" s="36">
        <f>IFERROR(INDEX(Katalog!$D$3:$D$12,MATCH(Data[[#This Row],[ItemID A]],Katalog!$C$3:$C$12,0))*Data[[#This Row],[Qty A]],"0")</f>
        <v>750000</v>
      </c>
      <c r="I882" s="36">
        <f>IFERROR(INDEX(Katalog!$F$3:$F$12,MATCH(Data[[#This Row],[ItemID A]],Katalog!$C$3:$C$12,0))*Data[[#This Row],[Qty A]],0)</f>
        <v>300000</v>
      </c>
      <c r="J882" t="s">
        <v>61</v>
      </c>
      <c r="K882" t="str">
        <f>IFERROR(INDEX(Katalog!$A$3:$A$12,MATCH(Data[[#This Row],[ItemID B]],Katalog!$C$3:$C$12,0)),"-")</f>
        <v>Pakaian Pria</v>
      </c>
      <c r="L882" t="str">
        <f>IFERROR(INDEX(Katalog!$B$3:$B$12,MATCH(Data[[#This Row],[ItemID B]],Katalog!$C$3:$C$12,0)),"-")</f>
        <v>Kaos Polo</v>
      </c>
      <c r="M882">
        <v>1</v>
      </c>
      <c r="N882">
        <v>1</v>
      </c>
      <c r="O882" s="36">
        <f>IFERROR(INDEX(Katalog!$D$3:$D$12,MATCH(Data[[#This Row],[ItemID B]],Katalog!$C$3:$C$12,0))*Data[[#This Row],[Qty B]],"0")</f>
        <v>200000</v>
      </c>
      <c r="P882" s="36">
        <f>IFERROR(INDEX(Katalog!$F$3:$F$12,MATCH(Data[[#This Row],[ItemID B]],Katalog!$C$3:$C$12,0))*Data[[#This Row],[Qty B]],"0")</f>
        <v>80000</v>
      </c>
      <c r="Q882" t="s">
        <v>63</v>
      </c>
      <c r="R882" t="str">
        <f>IFERROR(INDEX(Katalog!$A$3:$A$12,MATCH(Data[[#This Row],[ItemID C]],Katalog!$C$3:$C$12,0)),"-")</f>
        <v>Pakaian Pria</v>
      </c>
      <c r="S882" t="str">
        <f>IFERROR(INDEX(Katalog!$B$3:$B$12,MATCH(Data[[#This Row],[ItemID C]],Katalog!$C$3:$C$12,0)),"-")</f>
        <v>Jaket Jeans</v>
      </c>
      <c r="T882">
        <v>3</v>
      </c>
      <c r="U882">
        <v>5</v>
      </c>
      <c r="V882" s="36">
        <f>IFERROR(INDEX(Katalog!$D$3:$D$12,MATCH(Data[[#This Row],[ItemID C]],Katalog!$C$3:$C$12,0))*Data[[#This Row],[Qty C]],"0")</f>
        <v>1200000</v>
      </c>
      <c r="W882" s="36">
        <f>IFERROR(INDEX(Katalog!$F$3:$F$12,MATCH(Data[[#This Row],[ItemID C]],Katalog!$C$3:$C$12,0))*Data[[#This Row],[Qty C]],"0")</f>
        <v>450000</v>
      </c>
      <c r="X882" s="21">
        <f>Data[[#This Row],[Qty A]]+Data[[#This Row],[Qty B]]+Data[[#This Row],[Qty C]]</f>
        <v>7</v>
      </c>
      <c r="Y882" s="22">
        <f>Data[[#This Row],[Harga Barang A]]+Data[[#This Row],[Harga Barang B]]+Data[[#This Row],[Harga Barang C]]</f>
        <v>2150000</v>
      </c>
      <c r="Z882" s="35">
        <f>IFERROR(Data[[#This Row],[Total Harga]]-(Data[[#This Row],[Total Harga]]*Data[[#This Row],[Diskon]]),Data[[#This Row],[Total Harga]])</f>
        <v>1935000</v>
      </c>
      <c r="AA882" s="35">
        <f>(Data[[#This Row],[Profit A]]+Data[[#This Row],[Profit B]]+Data[[#This Row],[Profit C]])</f>
        <v>830000</v>
      </c>
      <c r="AB882" s="35">
        <f>IFERROR((Data[[#This Row],[Profit non Diskon]]-(Data[[#This Row],[Profit non Diskon]]*Data[[#This Row],[Diskon]])),Data[[#This Row],[Profit non Diskon]])</f>
        <v>747000</v>
      </c>
      <c r="AC882" s="23" t="s">
        <v>31</v>
      </c>
      <c r="AD882" s="37">
        <f>IFERROR(INDEX('Kode Diskon'!$D$3:$D$9,MATCH(Data[[#This Row],[Kode diskon]],'Kode Diskon'!$C$3:$C$9,0)),"-")</f>
        <v>0.1</v>
      </c>
      <c r="AE882" s="23" t="s">
        <v>9</v>
      </c>
      <c r="AF882" s="23" t="s">
        <v>10</v>
      </c>
      <c r="AG882" s="23" t="s">
        <v>75</v>
      </c>
      <c r="AH882" s="24">
        <v>45039</v>
      </c>
      <c r="AI882" s="23" t="str">
        <f>TEXT(Data[[#This Row],[Tanggal terjual]],"dddd")</f>
        <v>Sunday</v>
      </c>
      <c r="AJ882" s="21" t="str">
        <f>TEXT(Data[[#This Row],[Tanggal terjual]],"wwww")</f>
        <v>wwww</v>
      </c>
    </row>
    <row r="883" spans="1:36" x14ac:dyDescent="0.2">
      <c r="A883" s="20">
        <v>882</v>
      </c>
      <c r="B883" s="21" t="str">
        <f>_xlfn.CONCAT("ORD-",INDEX(Helper!$B$2:$B$5,MATCH(Data[[#This Row],[Marketplace]],Helper!$A$2:$A$5,0)),TEXT(Data[[#This Row],[No]],"0000"),"-",TEXT(Data[[#This Row],[Tanggal terjual]],"dd/mm/yy"))</f>
        <v>ORD-TK0882-03/04/23</v>
      </c>
      <c r="C883" t="s">
        <v>64</v>
      </c>
      <c r="D883" t="str">
        <f>IFERROR(INDEX(Katalog!$A$3:$A$12,MATCH(Data[[#This Row],[ItemID A]],Katalog!$C$3:$C$12,0)),"-")</f>
        <v>Pakaian Unisex</v>
      </c>
      <c r="E883" t="str">
        <f>IFERROR(INDEX(Katalog!$B$3:$B$12,MATCH(Data[[#This Row],[ItemID A]],Katalog!$C$3:$C$12,0)),"-")</f>
        <v>Jaket Hoodie</v>
      </c>
      <c r="F883">
        <v>2</v>
      </c>
      <c r="G883">
        <v>2</v>
      </c>
      <c r="H883" s="36">
        <f>IFERROR(INDEX(Katalog!$D$3:$D$12,MATCH(Data[[#This Row],[ItemID A]],Katalog!$C$3:$C$12,0))*Data[[#This Row],[Qty A]],"0")</f>
        <v>700000</v>
      </c>
      <c r="I883" s="36">
        <f>IFERROR(INDEX(Katalog!$F$3:$F$12,MATCH(Data[[#This Row],[ItemID A]],Katalog!$C$3:$C$12,0))*Data[[#This Row],[Qty A]],0)</f>
        <v>260000</v>
      </c>
      <c r="K883" t="str">
        <f>IFERROR(INDEX(Katalog!$A$3:$A$12,MATCH(Data[[#This Row],[ItemID B]],Katalog!$C$3:$C$12,0)),"-")</f>
        <v>-</v>
      </c>
      <c r="L883" t="str">
        <f>IFERROR(INDEX(Katalog!$B$3:$B$12,MATCH(Data[[#This Row],[ItemID B]],Katalog!$C$3:$C$12,0)),"-")</f>
        <v>-</v>
      </c>
      <c r="O883" s="36" t="str">
        <f>IFERROR(INDEX(Katalog!$D$3:$D$12,MATCH(Data[[#This Row],[ItemID B]],Katalog!$C$3:$C$12,0))*Data[[#This Row],[Qty B]],"0")</f>
        <v>0</v>
      </c>
      <c r="P883" s="36" t="str">
        <f>IFERROR(INDEX(Katalog!$F$3:$F$12,MATCH(Data[[#This Row],[ItemID B]],Katalog!$C$3:$C$12,0))*Data[[#This Row],[Qty B]],"0")</f>
        <v>0</v>
      </c>
      <c r="R883" t="str">
        <f>IFERROR(INDEX(Katalog!$A$3:$A$12,MATCH(Data[[#This Row],[ItemID C]],Katalog!$C$3:$C$12,0)),"-")</f>
        <v>-</v>
      </c>
      <c r="S883" t="str">
        <f>IFERROR(INDEX(Katalog!$B$3:$B$12,MATCH(Data[[#This Row],[ItemID C]],Katalog!$C$3:$C$12,0)),"-")</f>
        <v>-</v>
      </c>
      <c r="V883" s="36" t="str">
        <f>IFERROR(INDEX(Katalog!$D$3:$D$12,MATCH(Data[[#This Row],[ItemID C]],Katalog!$C$3:$C$12,0))*Data[[#This Row],[Qty C]],"0")</f>
        <v>0</v>
      </c>
      <c r="W883" s="36" t="str">
        <f>IFERROR(INDEX(Katalog!$F$3:$F$12,MATCH(Data[[#This Row],[ItemID C]],Katalog!$C$3:$C$12,0))*Data[[#This Row],[Qty C]],"0")</f>
        <v>0</v>
      </c>
      <c r="X883" s="21">
        <f>Data[[#This Row],[Qty A]]+Data[[#This Row],[Qty B]]+Data[[#This Row],[Qty C]]</f>
        <v>2</v>
      </c>
      <c r="Y883" s="22">
        <f>Data[[#This Row],[Harga Barang A]]+Data[[#This Row],[Harga Barang B]]+Data[[#This Row],[Harga Barang C]]</f>
        <v>700000</v>
      </c>
      <c r="Z883" s="35">
        <f>IFERROR(Data[[#This Row],[Total Harga]]-(Data[[#This Row],[Total Harga]]*Data[[#This Row],[Diskon]]),Data[[#This Row],[Total Harga]])</f>
        <v>630000</v>
      </c>
      <c r="AA883" s="35">
        <f>(Data[[#This Row],[Profit A]]+Data[[#This Row],[Profit B]]+Data[[#This Row],[Profit C]])</f>
        <v>260000</v>
      </c>
      <c r="AB883" s="35">
        <f>IFERROR((Data[[#This Row],[Profit non Diskon]]-(Data[[#This Row],[Profit non Diskon]]*Data[[#This Row],[Diskon]])),Data[[#This Row],[Profit non Diskon]])</f>
        <v>234000</v>
      </c>
      <c r="AC883" s="23" t="s">
        <v>30</v>
      </c>
      <c r="AD883" s="37">
        <f>IFERROR(INDEX('Kode Diskon'!$D$3:$D$9,MATCH(Data[[#This Row],[Kode diskon]],'Kode Diskon'!$C$3:$C$9,0)),"-")</f>
        <v>0.1</v>
      </c>
      <c r="AE883" s="23" t="s">
        <v>29</v>
      </c>
      <c r="AF883" s="23" t="s">
        <v>10</v>
      </c>
      <c r="AG883" s="23" t="s">
        <v>80</v>
      </c>
      <c r="AH883" s="24">
        <v>45019</v>
      </c>
      <c r="AI883" s="23" t="str">
        <f>TEXT(Data[[#This Row],[Tanggal terjual]],"dddd")</f>
        <v>Monday</v>
      </c>
      <c r="AJ883" s="21" t="str">
        <f>TEXT(Data[[#This Row],[Tanggal terjual]],"wwww")</f>
        <v>wwww</v>
      </c>
    </row>
    <row r="884" spans="1:36" x14ac:dyDescent="0.2">
      <c r="A884" s="20">
        <v>883</v>
      </c>
      <c r="B884" s="21" t="str">
        <f>_xlfn.CONCAT("ORD-",INDEX(Helper!$B$2:$B$5,MATCH(Data[[#This Row],[Marketplace]],Helper!$A$2:$A$5,0)),TEXT(Data[[#This Row],[No]],"0000"),"-",TEXT(Data[[#This Row],[Tanggal terjual]],"dd/mm/yy"))</f>
        <v>ORD-SP0883-04/04/23</v>
      </c>
      <c r="C884" t="s">
        <v>60</v>
      </c>
      <c r="D884" t="str">
        <f>IFERROR(INDEX(Katalog!$A$3:$A$12,MATCH(Data[[#This Row],[ItemID A]],Katalog!$C$3:$C$12,0)),"-")</f>
        <v>Pakaian Wanita</v>
      </c>
      <c r="E884" t="str">
        <f>IFERROR(INDEX(Katalog!$B$3:$B$12,MATCH(Data[[#This Row],[ItemID A]],Katalog!$C$3:$C$12,0)),"-")</f>
        <v>Kaftan</v>
      </c>
      <c r="F884">
        <v>2</v>
      </c>
      <c r="G884">
        <v>2</v>
      </c>
      <c r="H884" s="36">
        <f>IFERROR(INDEX(Katalog!$D$3:$D$12,MATCH(Data[[#This Row],[ItemID A]],Katalog!$C$3:$C$12,0))*Data[[#This Row],[Qty A]],"0")</f>
        <v>500000</v>
      </c>
      <c r="I884" s="36">
        <f>IFERROR(INDEX(Katalog!$F$3:$F$12,MATCH(Data[[#This Row],[ItemID A]],Katalog!$C$3:$C$12,0))*Data[[#This Row],[Qty A]],0)</f>
        <v>200000</v>
      </c>
      <c r="J884" t="s">
        <v>59</v>
      </c>
      <c r="K884" t="str">
        <f>IFERROR(INDEX(Katalog!$A$3:$A$12,MATCH(Data[[#This Row],[ItemID B]],Katalog!$C$3:$C$12,0)),"-")</f>
        <v>Pakaian Wanita</v>
      </c>
      <c r="L884" t="str">
        <f>IFERROR(INDEX(Katalog!$B$3:$B$12,MATCH(Data[[#This Row],[ItemID B]],Katalog!$C$3:$C$12,0)),"-")</f>
        <v>Blouse</v>
      </c>
      <c r="M884">
        <v>1</v>
      </c>
      <c r="N884">
        <v>5</v>
      </c>
      <c r="O884" s="36">
        <f>IFERROR(INDEX(Katalog!$D$3:$D$12,MATCH(Data[[#This Row],[ItemID B]],Katalog!$C$3:$C$12,0))*Data[[#This Row],[Qty B]],"0")</f>
        <v>150000</v>
      </c>
      <c r="P884" s="36">
        <f>IFERROR(INDEX(Katalog!$F$3:$F$12,MATCH(Data[[#This Row],[ItemID B]],Katalog!$C$3:$C$12,0))*Data[[#This Row],[Qty B]],"0")</f>
        <v>50000</v>
      </c>
      <c r="Q884" t="s">
        <v>67</v>
      </c>
      <c r="R884" t="str">
        <f>IFERROR(INDEX(Katalog!$A$3:$A$12,MATCH(Data[[#This Row],[ItemID C]],Katalog!$C$3:$C$12,0)),"-")</f>
        <v>Sepatu Wanita</v>
      </c>
      <c r="S884" t="str">
        <f>IFERROR(INDEX(Katalog!$B$3:$B$12,MATCH(Data[[#This Row],[ItemID C]],Katalog!$C$3:$C$12,0)),"-")</f>
        <v>Flat Shoes</v>
      </c>
      <c r="T884">
        <v>1</v>
      </c>
      <c r="U884">
        <v>4</v>
      </c>
      <c r="V884" s="36">
        <f>IFERROR(INDEX(Katalog!$D$3:$D$12,MATCH(Data[[#This Row],[ItemID C]],Katalog!$C$3:$C$12,0))*Data[[#This Row],[Qty C]],"0")</f>
        <v>250000</v>
      </c>
      <c r="W884" s="36">
        <f>IFERROR(INDEX(Katalog!$F$3:$F$12,MATCH(Data[[#This Row],[ItemID C]],Katalog!$C$3:$C$12,0))*Data[[#This Row],[Qty C]],"0")</f>
        <v>100000</v>
      </c>
      <c r="X884" s="21">
        <f>Data[[#This Row],[Qty A]]+Data[[#This Row],[Qty B]]+Data[[#This Row],[Qty C]]</f>
        <v>4</v>
      </c>
      <c r="Y884" s="22">
        <f>Data[[#This Row],[Harga Barang A]]+Data[[#This Row],[Harga Barang B]]+Data[[#This Row],[Harga Barang C]]</f>
        <v>900000</v>
      </c>
      <c r="Z884" s="35">
        <f>IFERROR(Data[[#This Row],[Total Harga]]-(Data[[#This Row],[Total Harga]]*Data[[#This Row],[Diskon]]),Data[[#This Row],[Total Harga]])</f>
        <v>765000</v>
      </c>
      <c r="AA884" s="35">
        <f>(Data[[#This Row],[Profit A]]+Data[[#This Row],[Profit B]]+Data[[#This Row],[Profit C]])</f>
        <v>350000</v>
      </c>
      <c r="AB884" s="35">
        <f>IFERROR((Data[[#This Row],[Profit non Diskon]]-(Data[[#This Row],[Profit non Diskon]]*Data[[#This Row],[Diskon]])),Data[[#This Row],[Profit non Diskon]])</f>
        <v>297500</v>
      </c>
      <c r="AC884" s="23" t="s">
        <v>13</v>
      </c>
      <c r="AD884" s="37">
        <f>IFERROR(INDEX('Kode Diskon'!$D$3:$D$9,MATCH(Data[[#This Row],[Kode diskon]],'Kode Diskon'!$C$3:$C$9,0)),"-")</f>
        <v>0.15</v>
      </c>
      <c r="AE884" s="23" t="s">
        <v>29</v>
      </c>
      <c r="AF884" s="23" t="s">
        <v>7</v>
      </c>
      <c r="AG884" s="23" t="s">
        <v>76</v>
      </c>
      <c r="AH884" s="24">
        <v>45020</v>
      </c>
      <c r="AI884" s="23" t="str">
        <f>TEXT(Data[[#This Row],[Tanggal terjual]],"dddd")</f>
        <v>Tuesday</v>
      </c>
      <c r="AJ884" s="21" t="str">
        <f>TEXT(Data[[#This Row],[Tanggal terjual]],"wwww")</f>
        <v>wwww</v>
      </c>
    </row>
    <row r="885" spans="1:36" x14ac:dyDescent="0.2">
      <c r="A885" s="20">
        <v>884</v>
      </c>
      <c r="B885" s="21" t="str">
        <f>_xlfn.CONCAT("ORD-",INDEX(Helper!$B$2:$B$5,MATCH(Data[[#This Row],[Marketplace]],Helper!$A$2:$A$5,0)),TEXT(Data[[#This Row],[No]],"0000"),"-",TEXT(Data[[#This Row],[Tanggal terjual]],"dd/mm/yy"))</f>
        <v>ORD-SP0884-02/04/23</v>
      </c>
      <c r="C885" t="s">
        <v>63</v>
      </c>
      <c r="D885" t="str">
        <f>IFERROR(INDEX(Katalog!$A$3:$A$12,MATCH(Data[[#This Row],[ItemID A]],Katalog!$C$3:$C$12,0)),"-")</f>
        <v>Pakaian Pria</v>
      </c>
      <c r="E885" t="str">
        <f>IFERROR(INDEX(Katalog!$B$3:$B$12,MATCH(Data[[#This Row],[ItemID A]],Katalog!$C$3:$C$12,0)),"-")</f>
        <v>Jaket Jeans</v>
      </c>
      <c r="F885">
        <v>1</v>
      </c>
      <c r="G885">
        <v>3</v>
      </c>
      <c r="H885" s="36">
        <f>IFERROR(INDEX(Katalog!$D$3:$D$12,MATCH(Data[[#This Row],[ItemID A]],Katalog!$C$3:$C$12,0))*Data[[#This Row],[Qty A]],"0")</f>
        <v>400000</v>
      </c>
      <c r="I885" s="36">
        <f>IFERROR(INDEX(Katalog!$F$3:$F$12,MATCH(Data[[#This Row],[ItemID A]],Katalog!$C$3:$C$12,0))*Data[[#This Row],[Qty A]],0)</f>
        <v>150000</v>
      </c>
      <c r="J885" t="s">
        <v>66</v>
      </c>
      <c r="K885" t="str">
        <f>IFERROR(INDEX(Katalog!$A$3:$A$12,MATCH(Data[[#This Row],[ItemID B]],Katalog!$C$3:$C$12,0)),"-")</f>
        <v>Sepatu Pria</v>
      </c>
      <c r="L885" t="str">
        <f>IFERROR(INDEX(Katalog!$B$3:$B$12,MATCH(Data[[#This Row],[ItemID B]],Katalog!$C$3:$C$12,0)),"-")</f>
        <v>Sandal Slip On</v>
      </c>
      <c r="M885">
        <v>1</v>
      </c>
      <c r="N885">
        <v>4</v>
      </c>
      <c r="O885" s="36">
        <f>IFERROR(INDEX(Katalog!$D$3:$D$12,MATCH(Data[[#This Row],[ItemID B]],Katalog!$C$3:$C$12,0))*Data[[#This Row],[Qty B]],"0")</f>
        <v>150000</v>
      </c>
      <c r="P885" s="36">
        <f>IFERROR(INDEX(Katalog!$F$3:$F$12,MATCH(Data[[#This Row],[ItemID B]],Katalog!$C$3:$C$12,0))*Data[[#This Row],[Qty B]],"0")</f>
        <v>60000</v>
      </c>
      <c r="Q885" t="s">
        <v>62</v>
      </c>
      <c r="R885" t="str">
        <f>IFERROR(INDEX(Katalog!$A$3:$A$12,MATCH(Data[[#This Row],[ItemID C]],Katalog!$C$3:$C$12,0)),"-")</f>
        <v>Pakaian Pria</v>
      </c>
      <c r="S885" t="str">
        <f>IFERROR(INDEX(Katalog!$B$3:$B$12,MATCH(Data[[#This Row],[ItemID C]],Katalog!$C$3:$C$12,0)),"-")</f>
        <v>Celana Pendek</v>
      </c>
      <c r="T885">
        <v>3</v>
      </c>
      <c r="U885">
        <v>5</v>
      </c>
      <c r="V885" s="36">
        <f>IFERROR(INDEX(Katalog!$D$3:$D$12,MATCH(Data[[#This Row],[ItemID C]],Katalog!$C$3:$C$12,0))*Data[[#This Row],[Qty C]],"0")</f>
        <v>540000</v>
      </c>
      <c r="W885" s="36">
        <f>IFERROR(INDEX(Katalog!$F$3:$F$12,MATCH(Data[[#This Row],[ItemID C]],Katalog!$C$3:$C$12,0))*Data[[#This Row],[Qty C]],"0")</f>
        <v>210000</v>
      </c>
      <c r="X885" s="21">
        <f>Data[[#This Row],[Qty A]]+Data[[#This Row],[Qty B]]+Data[[#This Row],[Qty C]]</f>
        <v>5</v>
      </c>
      <c r="Y885" s="22">
        <f>Data[[#This Row],[Harga Barang A]]+Data[[#This Row],[Harga Barang B]]+Data[[#This Row],[Harga Barang C]]</f>
        <v>1090000</v>
      </c>
      <c r="Z885" s="35">
        <f>IFERROR(Data[[#This Row],[Total Harga]]-(Data[[#This Row],[Total Harga]]*Data[[#This Row],[Diskon]]),Data[[#This Row],[Total Harga]])</f>
        <v>926500</v>
      </c>
      <c r="AA885" s="35">
        <f>(Data[[#This Row],[Profit A]]+Data[[#This Row],[Profit B]]+Data[[#This Row],[Profit C]])</f>
        <v>420000</v>
      </c>
      <c r="AB885" s="35">
        <f>IFERROR((Data[[#This Row],[Profit non Diskon]]-(Data[[#This Row],[Profit non Diskon]]*Data[[#This Row],[Diskon]])),Data[[#This Row],[Profit non Diskon]])</f>
        <v>357000</v>
      </c>
      <c r="AC885" s="23" t="s">
        <v>13</v>
      </c>
      <c r="AD885" s="37">
        <f>IFERROR(INDEX('Kode Diskon'!$D$3:$D$9,MATCH(Data[[#This Row],[Kode diskon]],'Kode Diskon'!$C$3:$C$9,0)),"-")</f>
        <v>0.15</v>
      </c>
      <c r="AE885" s="23" t="s">
        <v>29</v>
      </c>
      <c r="AF885" s="23" t="s">
        <v>7</v>
      </c>
      <c r="AG885" s="23" t="s">
        <v>78</v>
      </c>
      <c r="AH885" s="24">
        <v>45018</v>
      </c>
      <c r="AI885" s="23" t="str">
        <f>TEXT(Data[[#This Row],[Tanggal terjual]],"dddd")</f>
        <v>Sunday</v>
      </c>
      <c r="AJ885" s="21" t="str">
        <f>TEXT(Data[[#This Row],[Tanggal terjual]],"wwww")</f>
        <v>wwww</v>
      </c>
    </row>
    <row r="886" spans="1:36" x14ac:dyDescent="0.2">
      <c r="A886" s="20">
        <v>885</v>
      </c>
      <c r="B886" s="21" t="str">
        <f>_xlfn.CONCAT("ORD-",INDEX(Helper!$B$2:$B$5,MATCH(Data[[#This Row],[Marketplace]],Helper!$A$2:$A$5,0)),TEXT(Data[[#This Row],[No]],"0000"),"-",TEXT(Data[[#This Row],[Tanggal terjual]],"dd/mm/yy"))</f>
        <v>ORD-BB0885-04/04/23</v>
      </c>
      <c r="C886" t="s">
        <v>65</v>
      </c>
      <c r="D886" t="str">
        <f>IFERROR(INDEX(Katalog!$A$3:$A$12,MATCH(Data[[#This Row],[ItemID A]],Katalog!$C$3:$C$12,0)),"-")</f>
        <v>Sepatu Pria</v>
      </c>
      <c r="E886" t="str">
        <f>IFERROR(INDEX(Katalog!$B$3:$B$12,MATCH(Data[[#This Row],[ItemID A]],Katalog!$C$3:$C$12,0)),"-")</f>
        <v>Sneakers</v>
      </c>
      <c r="F886">
        <v>4</v>
      </c>
      <c r="G886">
        <v>5</v>
      </c>
      <c r="H886" s="36">
        <f>IFERROR(INDEX(Katalog!$D$3:$D$12,MATCH(Data[[#This Row],[ItemID A]],Katalog!$C$3:$C$12,0))*Data[[#This Row],[Qty A]],"0")</f>
        <v>2000000</v>
      </c>
      <c r="I886" s="36">
        <f>IFERROR(INDEX(Katalog!$F$3:$F$12,MATCH(Data[[#This Row],[ItemID A]],Katalog!$C$3:$C$12,0))*Data[[#This Row],[Qty A]],0)</f>
        <v>800000</v>
      </c>
      <c r="J886" t="s">
        <v>61</v>
      </c>
      <c r="K886" t="str">
        <f>IFERROR(INDEX(Katalog!$A$3:$A$12,MATCH(Data[[#This Row],[ItemID B]],Katalog!$C$3:$C$12,0)),"-")</f>
        <v>Pakaian Pria</v>
      </c>
      <c r="L886" t="str">
        <f>IFERROR(INDEX(Katalog!$B$3:$B$12,MATCH(Data[[#This Row],[ItemID B]],Katalog!$C$3:$C$12,0)),"-")</f>
        <v>Kaos Polo</v>
      </c>
      <c r="M886">
        <v>1</v>
      </c>
      <c r="N886">
        <v>5</v>
      </c>
      <c r="O886" s="36">
        <f>IFERROR(INDEX(Katalog!$D$3:$D$12,MATCH(Data[[#This Row],[ItemID B]],Katalog!$C$3:$C$12,0))*Data[[#This Row],[Qty B]],"0")</f>
        <v>200000</v>
      </c>
      <c r="P886" s="36">
        <f>IFERROR(INDEX(Katalog!$F$3:$F$12,MATCH(Data[[#This Row],[ItemID B]],Katalog!$C$3:$C$12,0))*Data[[#This Row],[Qty B]],"0")</f>
        <v>80000</v>
      </c>
      <c r="R886" t="str">
        <f>IFERROR(INDEX(Katalog!$A$3:$A$12,MATCH(Data[[#This Row],[ItemID C]],Katalog!$C$3:$C$12,0)),"-")</f>
        <v>-</v>
      </c>
      <c r="S886" t="str">
        <f>IFERROR(INDEX(Katalog!$B$3:$B$12,MATCH(Data[[#This Row],[ItemID C]],Katalog!$C$3:$C$12,0)),"-")</f>
        <v>-</v>
      </c>
      <c r="V886" s="36" t="str">
        <f>IFERROR(INDEX(Katalog!$D$3:$D$12,MATCH(Data[[#This Row],[ItemID C]],Katalog!$C$3:$C$12,0))*Data[[#This Row],[Qty C]],"0")</f>
        <v>0</v>
      </c>
      <c r="W886" s="36" t="str">
        <f>IFERROR(INDEX(Katalog!$F$3:$F$12,MATCH(Data[[#This Row],[ItemID C]],Katalog!$C$3:$C$12,0))*Data[[#This Row],[Qty C]],"0")</f>
        <v>0</v>
      </c>
      <c r="X886" s="21">
        <f>Data[[#This Row],[Qty A]]+Data[[#This Row],[Qty B]]+Data[[#This Row],[Qty C]]</f>
        <v>5</v>
      </c>
      <c r="Y886" s="22">
        <f>Data[[#This Row],[Harga Barang A]]+Data[[#This Row],[Harga Barang B]]+Data[[#This Row],[Harga Barang C]]</f>
        <v>2200000</v>
      </c>
      <c r="Z886" s="35">
        <f>IFERROR(Data[[#This Row],[Total Harga]]-(Data[[#This Row],[Total Harga]]*Data[[#This Row],[Diskon]]),Data[[#This Row],[Total Harga]])</f>
        <v>1870000</v>
      </c>
      <c r="AA886" s="35">
        <f>(Data[[#This Row],[Profit A]]+Data[[#This Row],[Profit B]]+Data[[#This Row],[Profit C]])</f>
        <v>880000</v>
      </c>
      <c r="AB886" s="35">
        <f>IFERROR((Data[[#This Row],[Profit non Diskon]]-(Data[[#This Row],[Profit non Diskon]]*Data[[#This Row],[Diskon]])),Data[[#This Row],[Profit non Diskon]])</f>
        <v>748000</v>
      </c>
      <c r="AC886" s="23" t="s">
        <v>28</v>
      </c>
      <c r="AD886" s="37">
        <f>IFERROR(INDEX('Kode Diskon'!$D$3:$D$9,MATCH(Data[[#This Row],[Kode diskon]],'Kode Diskon'!$C$3:$C$9,0)),"-")</f>
        <v>0.15</v>
      </c>
      <c r="AE886" s="23" t="s">
        <v>29</v>
      </c>
      <c r="AF886" s="23" t="s">
        <v>14</v>
      </c>
      <c r="AG886" s="23" t="s">
        <v>77</v>
      </c>
      <c r="AH886" s="24">
        <v>45020</v>
      </c>
      <c r="AI886" s="23" t="str">
        <f>TEXT(Data[[#This Row],[Tanggal terjual]],"dddd")</f>
        <v>Tuesday</v>
      </c>
      <c r="AJ886" s="21" t="str">
        <f>TEXT(Data[[#This Row],[Tanggal terjual]],"wwww")</f>
        <v>wwww</v>
      </c>
    </row>
    <row r="887" spans="1:36" x14ac:dyDescent="0.2">
      <c r="A887" s="20">
        <v>886</v>
      </c>
      <c r="B887" s="21" t="str">
        <f>_xlfn.CONCAT("ORD-",INDEX(Helper!$B$2:$B$5,MATCH(Data[[#This Row],[Marketplace]],Helper!$A$2:$A$5,0)),TEXT(Data[[#This Row],[No]],"0000"),"-",TEXT(Data[[#This Row],[Tanggal terjual]],"dd/mm/yy"))</f>
        <v>ORD-SP0886-20/04/23</v>
      </c>
      <c r="C887" t="s">
        <v>64</v>
      </c>
      <c r="D887" t="str">
        <f>IFERROR(INDEX(Katalog!$A$3:$A$12,MATCH(Data[[#This Row],[ItemID A]],Katalog!$C$3:$C$12,0)),"-")</f>
        <v>Pakaian Unisex</v>
      </c>
      <c r="E887" t="str">
        <f>IFERROR(INDEX(Katalog!$B$3:$B$12,MATCH(Data[[#This Row],[ItemID A]],Katalog!$C$3:$C$12,0)),"-")</f>
        <v>Jaket Hoodie</v>
      </c>
      <c r="F887">
        <v>2</v>
      </c>
      <c r="G887">
        <v>5</v>
      </c>
      <c r="H887" s="36">
        <f>IFERROR(INDEX(Katalog!$D$3:$D$12,MATCH(Data[[#This Row],[ItemID A]],Katalog!$C$3:$C$12,0))*Data[[#This Row],[Qty A]],"0")</f>
        <v>700000</v>
      </c>
      <c r="I887" s="36">
        <f>IFERROR(INDEX(Katalog!$F$3:$F$12,MATCH(Data[[#This Row],[ItemID A]],Katalog!$C$3:$C$12,0))*Data[[#This Row],[Qty A]],0)</f>
        <v>260000</v>
      </c>
      <c r="J887" t="s">
        <v>61</v>
      </c>
      <c r="K887" t="str">
        <f>IFERROR(INDEX(Katalog!$A$3:$A$12,MATCH(Data[[#This Row],[ItemID B]],Katalog!$C$3:$C$12,0)),"-")</f>
        <v>Pakaian Pria</v>
      </c>
      <c r="L887" t="str">
        <f>IFERROR(INDEX(Katalog!$B$3:$B$12,MATCH(Data[[#This Row],[ItemID B]],Katalog!$C$3:$C$12,0)),"-")</f>
        <v>Kaos Polo</v>
      </c>
      <c r="M887">
        <v>2</v>
      </c>
      <c r="N887">
        <v>5</v>
      </c>
      <c r="O887" s="36">
        <f>IFERROR(INDEX(Katalog!$D$3:$D$12,MATCH(Data[[#This Row],[ItemID B]],Katalog!$C$3:$C$12,0))*Data[[#This Row],[Qty B]],"0")</f>
        <v>400000</v>
      </c>
      <c r="P887" s="36">
        <f>IFERROR(INDEX(Katalog!$F$3:$F$12,MATCH(Data[[#This Row],[ItemID B]],Katalog!$C$3:$C$12,0))*Data[[#This Row],[Qty B]],"0")</f>
        <v>160000</v>
      </c>
      <c r="Q887" t="s">
        <v>67</v>
      </c>
      <c r="R887" t="str">
        <f>IFERROR(INDEX(Katalog!$A$3:$A$12,MATCH(Data[[#This Row],[ItemID C]],Katalog!$C$3:$C$12,0)),"-")</f>
        <v>Sepatu Wanita</v>
      </c>
      <c r="S887" t="str">
        <f>IFERROR(INDEX(Katalog!$B$3:$B$12,MATCH(Data[[#This Row],[ItemID C]],Katalog!$C$3:$C$12,0)),"-")</f>
        <v>Flat Shoes</v>
      </c>
      <c r="T887">
        <v>2</v>
      </c>
      <c r="U887">
        <v>1</v>
      </c>
      <c r="V887" s="36">
        <f>IFERROR(INDEX(Katalog!$D$3:$D$12,MATCH(Data[[#This Row],[ItemID C]],Katalog!$C$3:$C$12,0))*Data[[#This Row],[Qty C]],"0")</f>
        <v>500000</v>
      </c>
      <c r="W887" s="36">
        <f>IFERROR(INDEX(Katalog!$F$3:$F$12,MATCH(Data[[#This Row],[ItemID C]],Katalog!$C$3:$C$12,0))*Data[[#This Row],[Qty C]],"0")</f>
        <v>200000</v>
      </c>
      <c r="X887" s="21">
        <f>Data[[#This Row],[Qty A]]+Data[[#This Row],[Qty B]]+Data[[#This Row],[Qty C]]</f>
        <v>6</v>
      </c>
      <c r="Y887" s="22">
        <f>Data[[#This Row],[Harga Barang A]]+Data[[#This Row],[Harga Barang B]]+Data[[#This Row],[Harga Barang C]]</f>
        <v>1600000</v>
      </c>
      <c r="Z887" s="35">
        <f>IFERROR(Data[[#This Row],[Total Harga]]-(Data[[#This Row],[Total Harga]]*Data[[#This Row],[Diskon]]),Data[[#This Row],[Total Harga]])</f>
        <v>1280000</v>
      </c>
      <c r="AA887" s="35">
        <f>(Data[[#This Row],[Profit A]]+Data[[#This Row],[Profit B]]+Data[[#This Row],[Profit C]])</f>
        <v>620000</v>
      </c>
      <c r="AB887" s="35">
        <f>IFERROR((Data[[#This Row],[Profit non Diskon]]-(Data[[#This Row],[Profit non Diskon]]*Data[[#This Row],[Diskon]])),Data[[#This Row],[Profit non Diskon]])</f>
        <v>496000</v>
      </c>
      <c r="AC887" s="23" t="s">
        <v>8</v>
      </c>
      <c r="AD887" s="37">
        <f>IFERROR(INDEX('Kode Diskon'!$D$3:$D$9,MATCH(Data[[#This Row],[Kode diskon]],'Kode Diskon'!$C$3:$C$9,0)),"-")</f>
        <v>0.2</v>
      </c>
      <c r="AE887" s="23" t="s">
        <v>9</v>
      </c>
      <c r="AF887" s="23" t="s">
        <v>7</v>
      </c>
      <c r="AG887" s="23" t="s">
        <v>75</v>
      </c>
      <c r="AH887" s="24">
        <v>45036</v>
      </c>
      <c r="AI887" s="23" t="str">
        <f>TEXT(Data[[#This Row],[Tanggal terjual]],"dddd")</f>
        <v>Thursday</v>
      </c>
      <c r="AJ887" s="21" t="str">
        <f>TEXT(Data[[#This Row],[Tanggal terjual]],"wwww")</f>
        <v>wwww</v>
      </c>
    </row>
    <row r="888" spans="1:36" x14ac:dyDescent="0.2">
      <c r="A888" s="20">
        <v>887</v>
      </c>
      <c r="B888" s="21" t="str">
        <f>_xlfn.CONCAT("ORD-",INDEX(Helper!$B$2:$B$5,MATCH(Data[[#This Row],[Marketplace]],Helper!$A$2:$A$5,0)),TEXT(Data[[#This Row],[No]],"0000"),"-",TEXT(Data[[#This Row],[Tanggal terjual]],"dd/mm/yy"))</f>
        <v>ORD-TK0887-28/04/23</v>
      </c>
      <c r="C888" t="s">
        <v>59</v>
      </c>
      <c r="D888" t="str">
        <f>IFERROR(INDEX(Katalog!$A$3:$A$12,MATCH(Data[[#This Row],[ItemID A]],Katalog!$C$3:$C$12,0)),"-")</f>
        <v>Pakaian Wanita</v>
      </c>
      <c r="E888" t="str">
        <f>IFERROR(INDEX(Katalog!$B$3:$B$12,MATCH(Data[[#This Row],[ItemID A]],Katalog!$C$3:$C$12,0)),"-")</f>
        <v>Blouse</v>
      </c>
      <c r="F888">
        <v>1</v>
      </c>
      <c r="G888">
        <v>1</v>
      </c>
      <c r="H888" s="36">
        <f>IFERROR(INDEX(Katalog!$D$3:$D$12,MATCH(Data[[#This Row],[ItemID A]],Katalog!$C$3:$C$12,0))*Data[[#This Row],[Qty A]],"0")</f>
        <v>150000</v>
      </c>
      <c r="I888" s="36">
        <f>IFERROR(INDEX(Katalog!$F$3:$F$12,MATCH(Data[[#This Row],[ItemID A]],Katalog!$C$3:$C$12,0))*Data[[#This Row],[Qty A]],0)</f>
        <v>50000</v>
      </c>
      <c r="K888" t="str">
        <f>IFERROR(INDEX(Katalog!$A$3:$A$12,MATCH(Data[[#This Row],[ItemID B]],Katalog!$C$3:$C$12,0)),"-")</f>
        <v>-</v>
      </c>
      <c r="L888" t="str">
        <f>IFERROR(INDEX(Katalog!$B$3:$B$12,MATCH(Data[[#This Row],[ItemID B]],Katalog!$C$3:$C$12,0)),"-")</f>
        <v>-</v>
      </c>
      <c r="O888" s="36" t="str">
        <f>IFERROR(INDEX(Katalog!$D$3:$D$12,MATCH(Data[[#This Row],[ItemID B]],Katalog!$C$3:$C$12,0))*Data[[#This Row],[Qty B]],"0")</f>
        <v>0</v>
      </c>
      <c r="P888" s="36" t="str">
        <f>IFERROR(INDEX(Katalog!$F$3:$F$12,MATCH(Data[[#This Row],[ItemID B]],Katalog!$C$3:$C$12,0))*Data[[#This Row],[Qty B]],"0")</f>
        <v>0</v>
      </c>
      <c r="R888" t="str">
        <f>IFERROR(INDEX(Katalog!$A$3:$A$12,MATCH(Data[[#This Row],[ItemID C]],Katalog!$C$3:$C$12,0)),"-")</f>
        <v>-</v>
      </c>
      <c r="S888" t="str">
        <f>IFERROR(INDEX(Katalog!$B$3:$B$12,MATCH(Data[[#This Row],[ItemID C]],Katalog!$C$3:$C$12,0)),"-")</f>
        <v>-</v>
      </c>
      <c r="V888" s="36" t="str">
        <f>IFERROR(INDEX(Katalog!$D$3:$D$12,MATCH(Data[[#This Row],[ItemID C]],Katalog!$C$3:$C$12,0))*Data[[#This Row],[Qty C]],"0")</f>
        <v>0</v>
      </c>
      <c r="W888" s="36" t="str">
        <f>IFERROR(INDEX(Katalog!$F$3:$F$12,MATCH(Data[[#This Row],[ItemID C]],Katalog!$C$3:$C$12,0))*Data[[#This Row],[Qty C]],"0")</f>
        <v>0</v>
      </c>
      <c r="X888" s="21">
        <f>Data[[#This Row],[Qty A]]+Data[[#This Row],[Qty B]]+Data[[#This Row],[Qty C]]</f>
        <v>1</v>
      </c>
      <c r="Y888" s="22">
        <f>Data[[#This Row],[Harga Barang A]]+Data[[#This Row],[Harga Barang B]]+Data[[#This Row],[Harga Barang C]]</f>
        <v>150000</v>
      </c>
      <c r="Z888" s="35">
        <f>IFERROR(Data[[#This Row],[Total Harga]]-(Data[[#This Row],[Total Harga]]*Data[[#This Row],[Diskon]]),Data[[#This Row],[Total Harga]])</f>
        <v>135000</v>
      </c>
      <c r="AA888" s="35">
        <f>(Data[[#This Row],[Profit A]]+Data[[#This Row],[Profit B]]+Data[[#This Row],[Profit C]])</f>
        <v>50000</v>
      </c>
      <c r="AB888" s="35">
        <f>IFERROR((Data[[#This Row],[Profit non Diskon]]-(Data[[#This Row],[Profit non Diskon]]*Data[[#This Row],[Diskon]])),Data[[#This Row],[Profit non Diskon]])</f>
        <v>45000</v>
      </c>
      <c r="AC888" s="23" t="s">
        <v>31</v>
      </c>
      <c r="AD888" s="37">
        <f>IFERROR(INDEX('Kode Diskon'!$D$3:$D$9,MATCH(Data[[#This Row],[Kode diskon]],'Kode Diskon'!$C$3:$C$9,0)),"-")</f>
        <v>0.1</v>
      </c>
      <c r="AE888" s="23" t="s">
        <v>9</v>
      </c>
      <c r="AF888" s="23" t="s">
        <v>10</v>
      </c>
      <c r="AG888" s="23" t="s">
        <v>76</v>
      </c>
      <c r="AH888" s="24">
        <v>45044</v>
      </c>
      <c r="AI888" s="23" t="str">
        <f>TEXT(Data[[#This Row],[Tanggal terjual]],"dddd")</f>
        <v>Friday</v>
      </c>
      <c r="AJ888" s="21" t="str">
        <f>TEXT(Data[[#This Row],[Tanggal terjual]],"wwww")</f>
        <v>wwww</v>
      </c>
    </row>
    <row r="889" spans="1:36" x14ac:dyDescent="0.2">
      <c r="A889" s="20">
        <v>888</v>
      </c>
      <c r="B889" s="21" t="str">
        <f>_xlfn.CONCAT("ORD-",INDEX(Helper!$B$2:$B$5,MATCH(Data[[#This Row],[Marketplace]],Helper!$A$2:$A$5,0)),TEXT(Data[[#This Row],[No]],"0000"),"-",TEXT(Data[[#This Row],[Tanggal terjual]],"dd/mm/yy"))</f>
        <v>ORD-BB0888-06/04/23</v>
      </c>
      <c r="C889" t="s">
        <v>63</v>
      </c>
      <c r="D889" t="str">
        <f>IFERROR(INDEX(Katalog!$A$3:$A$12,MATCH(Data[[#This Row],[ItemID A]],Katalog!$C$3:$C$12,0)),"-")</f>
        <v>Pakaian Pria</v>
      </c>
      <c r="E889" t="str">
        <f>IFERROR(INDEX(Katalog!$B$3:$B$12,MATCH(Data[[#This Row],[ItemID A]],Katalog!$C$3:$C$12,0)),"-")</f>
        <v>Jaket Jeans</v>
      </c>
      <c r="F889">
        <v>1</v>
      </c>
      <c r="G889">
        <v>1</v>
      </c>
      <c r="H889" s="36">
        <f>IFERROR(INDEX(Katalog!$D$3:$D$12,MATCH(Data[[#This Row],[ItemID A]],Katalog!$C$3:$C$12,0))*Data[[#This Row],[Qty A]],"0")</f>
        <v>400000</v>
      </c>
      <c r="I889" s="36">
        <f>IFERROR(INDEX(Katalog!$F$3:$F$12,MATCH(Data[[#This Row],[ItemID A]],Katalog!$C$3:$C$12,0))*Data[[#This Row],[Qty A]],0)</f>
        <v>150000</v>
      </c>
      <c r="J889" t="s">
        <v>62</v>
      </c>
      <c r="K889" t="str">
        <f>IFERROR(INDEX(Katalog!$A$3:$A$12,MATCH(Data[[#This Row],[ItemID B]],Katalog!$C$3:$C$12,0)),"-")</f>
        <v>Pakaian Pria</v>
      </c>
      <c r="L889" t="str">
        <f>IFERROR(INDEX(Katalog!$B$3:$B$12,MATCH(Data[[#This Row],[ItemID B]],Katalog!$C$3:$C$12,0)),"-")</f>
        <v>Celana Pendek</v>
      </c>
      <c r="M889">
        <v>1</v>
      </c>
      <c r="N889">
        <v>3</v>
      </c>
      <c r="O889" s="36">
        <f>IFERROR(INDEX(Katalog!$D$3:$D$12,MATCH(Data[[#This Row],[ItemID B]],Katalog!$C$3:$C$12,0))*Data[[#This Row],[Qty B]],"0")</f>
        <v>180000</v>
      </c>
      <c r="P889" s="36">
        <f>IFERROR(INDEX(Katalog!$F$3:$F$12,MATCH(Data[[#This Row],[ItemID B]],Katalog!$C$3:$C$12,0))*Data[[#This Row],[Qty B]],"0")</f>
        <v>70000</v>
      </c>
      <c r="Q889" t="s">
        <v>65</v>
      </c>
      <c r="R889" t="str">
        <f>IFERROR(INDEX(Katalog!$A$3:$A$12,MATCH(Data[[#This Row],[ItemID C]],Katalog!$C$3:$C$12,0)),"-")</f>
        <v>Sepatu Pria</v>
      </c>
      <c r="S889" t="str">
        <f>IFERROR(INDEX(Katalog!$B$3:$B$12,MATCH(Data[[#This Row],[ItemID C]],Katalog!$C$3:$C$12,0)),"-")</f>
        <v>Sneakers</v>
      </c>
      <c r="T889">
        <v>2</v>
      </c>
      <c r="U889">
        <v>4</v>
      </c>
      <c r="V889" s="36">
        <f>IFERROR(INDEX(Katalog!$D$3:$D$12,MATCH(Data[[#This Row],[ItemID C]],Katalog!$C$3:$C$12,0))*Data[[#This Row],[Qty C]],"0")</f>
        <v>1000000</v>
      </c>
      <c r="W889" s="36">
        <f>IFERROR(INDEX(Katalog!$F$3:$F$12,MATCH(Data[[#This Row],[ItemID C]],Katalog!$C$3:$C$12,0))*Data[[#This Row],[Qty C]],"0")</f>
        <v>400000</v>
      </c>
      <c r="X889" s="21">
        <f>Data[[#This Row],[Qty A]]+Data[[#This Row],[Qty B]]+Data[[#This Row],[Qty C]]</f>
        <v>4</v>
      </c>
      <c r="Y889" s="22">
        <f>Data[[#This Row],[Harga Barang A]]+Data[[#This Row],[Harga Barang B]]+Data[[#This Row],[Harga Barang C]]</f>
        <v>1580000</v>
      </c>
      <c r="Z889" s="35">
        <f>IFERROR(Data[[#This Row],[Total Harga]]-(Data[[#This Row],[Total Harga]]*Data[[#This Row],[Diskon]]),Data[[#This Row],[Total Harga]])</f>
        <v>1343000</v>
      </c>
      <c r="AA889" s="35">
        <f>(Data[[#This Row],[Profit A]]+Data[[#This Row],[Profit B]]+Data[[#This Row],[Profit C]])</f>
        <v>620000</v>
      </c>
      <c r="AB889" s="35">
        <f>IFERROR((Data[[#This Row],[Profit non Diskon]]-(Data[[#This Row],[Profit non Diskon]]*Data[[#This Row],[Diskon]])),Data[[#This Row],[Profit non Diskon]])</f>
        <v>527000</v>
      </c>
      <c r="AC889" s="23" t="s">
        <v>28</v>
      </c>
      <c r="AD889" s="37">
        <f>IFERROR(INDEX('Kode Diskon'!$D$3:$D$9,MATCH(Data[[#This Row],[Kode diskon]],'Kode Diskon'!$C$3:$C$9,0)),"-")</f>
        <v>0.15</v>
      </c>
      <c r="AE889" s="23" t="s">
        <v>29</v>
      </c>
      <c r="AF889" s="23" t="s">
        <v>14</v>
      </c>
      <c r="AG889" s="23" t="s">
        <v>75</v>
      </c>
      <c r="AH889" s="24">
        <v>45022</v>
      </c>
      <c r="AI889" s="23" t="str">
        <f>TEXT(Data[[#This Row],[Tanggal terjual]],"dddd")</f>
        <v>Thursday</v>
      </c>
      <c r="AJ889" s="21" t="str">
        <f>TEXT(Data[[#This Row],[Tanggal terjual]],"wwww")</f>
        <v>wwww</v>
      </c>
    </row>
    <row r="890" spans="1:36" x14ac:dyDescent="0.2">
      <c r="A890" s="20">
        <v>889</v>
      </c>
      <c r="B890" s="21" t="str">
        <f>_xlfn.CONCAT("ORD-",INDEX(Helper!$B$2:$B$5,MATCH(Data[[#This Row],[Marketplace]],Helper!$A$2:$A$5,0)),TEXT(Data[[#This Row],[No]],"0000"),"-",TEXT(Data[[#This Row],[Tanggal terjual]],"dd/mm/yy"))</f>
        <v>ORD-SP0889-30/04/23</v>
      </c>
      <c r="C890" t="s">
        <v>65</v>
      </c>
      <c r="D890" t="str">
        <f>IFERROR(INDEX(Katalog!$A$3:$A$12,MATCH(Data[[#This Row],[ItemID A]],Katalog!$C$3:$C$12,0)),"-")</f>
        <v>Sepatu Pria</v>
      </c>
      <c r="E890" t="str">
        <f>IFERROR(INDEX(Katalog!$B$3:$B$12,MATCH(Data[[#This Row],[ItemID A]],Katalog!$C$3:$C$12,0)),"-")</f>
        <v>Sneakers</v>
      </c>
      <c r="F890">
        <v>2</v>
      </c>
      <c r="G890">
        <v>4</v>
      </c>
      <c r="H890" s="36">
        <f>IFERROR(INDEX(Katalog!$D$3:$D$12,MATCH(Data[[#This Row],[ItemID A]],Katalog!$C$3:$C$12,0))*Data[[#This Row],[Qty A]],"0")</f>
        <v>1000000</v>
      </c>
      <c r="I890" s="36">
        <f>IFERROR(INDEX(Katalog!$F$3:$F$12,MATCH(Data[[#This Row],[ItemID A]],Katalog!$C$3:$C$12,0))*Data[[#This Row],[Qty A]],0)</f>
        <v>400000</v>
      </c>
      <c r="J890" t="s">
        <v>62</v>
      </c>
      <c r="K890" t="str">
        <f>IFERROR(INDEX(Katalog!$A$3:$A$12,MATCH(Data[[#This Row],[ItemID B]],Katalog!$C$3:$C$12,0)),"-")</f>
        <v>Pakaian Pria</v>
      </c>
      <c r="L890" t="str">
        <f>IFERROR(INDEX(Katalog!$B$3:$B$12,MATCH(Data[[#This Row],[ItemID B]],Katalog!$C$3:$C$12,0)),"-")</f>
        <v>Celana Pendek</v>
      </c>
      <c r="M890">
        <v>1</v>
      </c>
      <c r="N890">
        <v>4</v>
      </c>
      <c r="O890" s="36">
        <f>IFERROR(INDEX(Katalog!$D$3:$D$12,MATCH(Data[[#This Row],[ItemID B]],Katalog!$C$3:$C$12,0))*Data[[#This Row],[Qty B]],"0")</f>
        <v>180000</v>
      </c>
      <c r="P890" s="36">
        <f>IFERROR(INDEX(Katalog!$F$3:$F$12,MATCH(Data[[#This Row],[ItemID B]],Katalog!$C$3:$C$12,0))*Data[[#This Row],[Qty B]],"0")</f>
        <v>70000</v>
      </c>
      <c r="R890" t="str">
        <f>IFERROR(INDEX(Katalog!$A$3:$A$12,MATCH(Data[[#This Row],[ItemID C]],Katalog!$C$3:$C$12,0)),"-")</f>
        <v>-</v>
      </c>
      <c r="S890" t="str">
        <f>IFERROR(INDEX(Katalog!$B$3:$B$12,MATCH(Data[[#This Row],[ItemID C]],Katalog!$C$3:$C$12,0)),"-")</f>
        <v>-</v>
      </c>
      <c r="V890" s="36" t="str">
        <f>IFERROR(INDEX(Katalog!$D$3:$D$12,MATCH(Data[[#This Row],[ItemID C]],Katalog!$C$3:$C$12,0))*Data[[#This Row],[Qty C]],"0")</f>
        <v>0</v>
      </c>
      <c r="W890" s="36" t="str">
        <f>IFERROR(INDEX(Katalog!$F$3:$F$12,MATCH(Data[[#This Row],[ItemID C]],Katalog!$C$3:$C$12,0))*Data[[#This Row],[Qty C]],"0")</f>
        <v>0</v>
      </c>
      <c r="X890" s="21">
        <f>Data[[#This Row],[Qty A]]+Data[[#This Row],[Qty B]]+Data[[#This Row],[Qty C]]</f>
        <v>3</v>
      </c>
      <c r="Y890" s="22">
        <f>Data[[#This Row],[Harga Barang A]]+Data[[#This Row],[Harga Barang B]]+Data[[#This Row],[Harga Barang C]]</f>
        <v>1180000</v>
      </c>
      <c r="Z890" s="35">
        <f>IFERROR(Data[[#This Row],[Total Harga]]-(Data[[#This Row],[Total Harga]]*Data[[#This Row],[Diskon]]),Data[[#This Row],[Total Harga]])</f>
        <v>944000</v>
      </c>
      <c r="AA890" s="35">
        <f>(Data[[#This Row],[Profit A]]+Data[[#This Row],[Profit B]]+Data[[#This Row],[Profit C]])</f>
        <v>470000</v>
      </c>
      <c r="AB890" s="35">
        <f>IFERROR((Data[[#This Row],[Profit non Diskon]]-(Data[[#This Row],[Profit non Diskon]]*Data[[#This Row],[Diskon]])),Data[[#This Row],[Profit non Diskon]])</f>
        <v>376000</v>
      </c>
      <c r="AC890" s="23" t="s">
        <v>8</v>
      </c>
      <c r="AD890" s="37">
        <f>IFERROR(INDEX('Kode Diskon'!$D$3:$D$9,MATCH(Data[[#This Row],[Kode diskon]],'Kode Diskon'!$C$3:$C$9,0)),"-")</f>
        <v>0.2</v>
      </c>
      <c r="AE890" s="23" t="s">
        <v>9</v>
      </c>
      <c r="AF890" s="23" t="s">
        <v>7</v>
      </c>
      <c r="AG890" s="23" t="s">
        <v>80</v>
      </c>
      <c r="AH890" s="24">
        <v>45046</v>
      </c>
      <c r="AI890" s="23" t="str">
        <f>TEXT(Data[[#This Row],[Tanggal terjual]],"dddd")</f>
        <v>Sunday</v>
      </c>
      <c r="AJ890" s="21" t="str">
        <f>TEXT(Data[[#This Row],[Tanggal terjual]],"wwww")</f>
        <v>wwww</v>
      </c>
    </row>
    <row r="891" spans="1:36" x14ac:dyDescent="0.2">
      <c r="A891" s="20">
        <v>890</v>
      </c>
      <c r="B891" s="21" t="str">
        <f>_xlfn.CONCAT("ORD-",INDEX(Helper!$B$2:$B$5,MATCH(Data[[#This Row],[Marketplace]],Helper!$A$2:$A$5,0)),TEXT(Data[[#This Row],[No]],"0000"),"-",TEXT(Data[[#This Row],[Tanggal terjual]],"dd/mm/yy"))</f>
        <v>ORD-BL0890-17/04/23</v>
      </c>
      <c r="C891" t="s">
        <v>63</v>
      </c>
      <c r="D891" t="str">
        <f>IFERROR(INDEX(Katalog!$A$3:$A$12,MATCH(Data[[#This Row],[ItemID A]],Katalog!$C$3:$C$12,0)),"-")</f>
        <v>Pakaian Pria</v>
      </c>
      <c r="E891" t="str">
        <f>IFERROR(INDEX(Katalog!$B$3:$B$12,MATCH(Data[[#This Row],[ItemID A]],Katalog!$C$3:$C$12,0)),"-")</f>
        <v>Jaket Jeans</v>
      </c>
      <c r="F891">
        <v>4</v>
      </c>
      <c r="G891">
        <v>2</v>
      </c>
      <c r="H891" s="36">
        <f>IFERROR(INDEX(Katalog!$D$3:$D$12,MATCH(Data[[#This Row],[ItemID A]],Katalog!$C$3:$C$12,0))*Data[[#This Row],[Qty A]],"0")</f>
        <v>1600000</v>
      </c>
      <c r="I891" s="36">
        <f>IFERROR(INDEX(Katalog!$F$3:$F$12,MATCH(Data[[#This Row],[ItemID A]],Katalog!$C$3:$C$12,0))*Data[[#This Row],[Qty A]],0)</f>
        <v>600000</v>
      </c>
      <c r="J891" t="s">
        <v>60</v>
      </c>
      <c r="K891" t="str">
        <f>IFERROR(INDEX(Katalog!$A$3:$A$12,MATCH(Data[[#This Row],[ItemID B]],Katalog!$C$3:$C$12,0)),"-")</f>
        <v>Pakaian Wanita</v>
      </c>
      <c r="L891" t="str">
        <f>IFERROR(INDEX(Katalog!$B$3:$B$12,MATCH(Data[[#This Row],[ItemID B]],Katalog!$C$3:$C$12,0)),"-")</f>
        <v>Kaftan</v>
      </c>
      <c r="M891">
        <v>1</v>
      </c>
      <c r="N891">
        <v>5</v>
      </c>
      <c r="O891" s="36">
        <f>IFERROR(INDEX(Katalog!$D$3:$D$12,MATCH(Data[[#This Row],[ItemID B]],Katalog!$C$3:$C$12,0))*Data[[#This Row],[Qty B]],"0")</f>
        <v>250000</v>
      </c>
      <c r="P891" s="36">
        <f>IFERROR(INDEX(Katalog!$F$3:$F$12,MATCH(Data[[#This Row],[ItemID B]],Katalog!$C$3:$C$12,0))*Data[[#This Row],[Qty B]],"0")</f>
        <v>100000</v>
      </c>
      <c r="Q891" t="s">
        <v>66</v>
      </c>
      <c r="R891" t="str">
        <f>IFERROR(INDEX(Katalog!$A$3:$A$12,MATCH(Data[[#This Row],[ItemID C]],Katalog!$C$3:$C$12,0)),"-")</f>
        <v>Sepatu Pria</v>
      </c>
      <c r="S891" t="str">
        <f>IFERROR(INDEX(Katalog!$B$3:$B$12,MATCH(Data[[#This Row],[ItemID C]],Katalog!$C$3:$C$12,0)),"-")</f>
        <v>Sandal Slip On</v>
      </c>
      <c r="T891">
        <v>1</v>
      </c>
      <c r="U891">
        <v>5</v>
      </c>
      <c r="V891" s="36">
        <f>IFERROR(INDEX(Katalog!$D$3:$D$12,MATCH(Data[[#This Row],[ItemID C]],Katalog!$C$3:$C$12,0))*Data[[#This Row],[Qty C]],"0")</f>
        <v>150000</v>
      </c>
      <c r="W891" s="36">
        <f>IFERROR(INDEX(Katalog!$F$3:$F$12,MATCH(Data[[#This Row],[ItemID C]],Katalog!$C$3:$C$12,0))*Data[[#This Row],[Qty C]],"0")</f>
        <v>60000</v>
      </c>
      <c r="X891" s="21">
        <f>Data[[#This Row],[Qty A]]+Data[[#This Row],[Qty B]]+Data[[#This Row],[Qty C]]</f>
        <v>6</v>
      </c>
      <c r="Y891" s="22">
        <f>Data[[#This Row],[Harga Barang A]]+Data[[#This Row],[Harga Barang B]]+Data[[#This Row],[Harga Barang C]]</f>
        <v>2000000</v>
      </c>
      <c r="Z891" s="35">
        <f>IFERROR(Data[[#This Row],[Total Harga]]-(Data[[#This Row],[Total Harga]]*Data[[#This Row],[Diskon]]),Data[[#This Row],[Total Harga]])</f>
        <v>1700000</v>
      </c>
      <c r="AA891" s="35">
        <f>(Data[[#This Row],[Profit A]]+Data[[#This Row],[Profit B]]+Data[[#This Row],[Profit C]])</f>
        <v>760000</v>
      </c>
      <c r="AB891" s="35">
        <f>IFERROR((Data[[#This Row],[Profit non Diskon]]-(Data[[#This Row],[Profit non Diskon]]*Data[[#This Row],[Diskon]])),Data[[#This Row],[Profit non Diskon]])</f>
        <v>646000</v>
      </c>
      <c r="AC891" s="23" t="s">
        <v>32</v>
      </c>
      <c r="AD891" s="37">
        <f>IFERROR(INDEX('Kode Diskon'!$D$3:$D$9,MATCH(Data[[#This Row],[Kode diskon]],'Kode Diskon'!$C$3:$C$9,0)),"-")</f>
        <v>0.15</v>
      </c>
      <c r="AE891" s="23" t="s">
        <v>9</v>
      </c>
      <c r="AF891" s="23" t="s">
        <v>12</v>
      </c>
      <c r="AG891" s="23" t="s">
        <v>78</v>
      </c>
      <c r="AH891" s="24">
        <v>45033</v>
      </c>
      <c r="AI891" s="23" t="str">
        <f>TEXT(Data[[#This Row],[Tanggal terjual]],"dddd")</f>
        <v>Monday</v>
      </c>
      <c r="AJ891" s="21" t="str">
        <f>TEXT(Data[[#This Row],[Tanggal terjual]],"wwww")</f>
        <v>wwww</v>
      </c>
    </row>
    <row r="892" spans="1:36" x14ac:dyDescent="0.2">
      <c r="A892" s="20">
        <v>891</v>
      </c>
      <c r="B892" s="21" t="str">
        <f>_xlfn.CONCAT("ORD-",INDEX(Helper!$B$2:$B$5,MATCH(Data[[#This Row],[Marketplace]],Helper!$A$2:$A$5,0)),TEXT(Data[[#This Row],[No]],"0000"),"-",TEXT(Data[[#This Row],[Tanggal terjual]],"dd/mm/yy"))</f>
        <v>ORD-TK0891-03/04/23</v>
      </c>
      <c r="C892" t="s">
        <v>65</v>
      </c>
      <c r="D892" t="str">
        <f>IFERROR(INDEX(Katalog!$A$3:$A$12,MATCH(Data[[#This Row],[ItemID A]],Katalog!$C$3:$C$12,0)),"-")</f>
        <v>Sepatu Pria</v>
      </c>
      <c r="E892" t="str">
        <f>IFERROR(INDEX(Katalog!$B$3:$B$12,MATCH(Data[[#This Row],[ItemID A]],Katalog!$C$3:$C$12,0)),"-")</f>
        <v>Sneakers</v>
      </c>
      <c r="F892">
        <v>3</v>
      </c>
      <c r="G892">
        <v>4</v>
      </c>
      <c r="H892" s="36">
        <f>IFERROR(INDEX(Katalog!$D$3:$D$12,MATCH(Data[[#This Row],[ItemID A]],Katalog!$C$3:$C$12,0))*Data[[#This Row],[Qty A]],"0")</f>
        <v>1500000</v>
      </c>
      <c r="I892" s="36">
        <f>IFERROR(INDEX(Katalog!$F$3:$F$12,MATCH(Data[[#This Row],[ItemID A]],Katalog!$C$3:$C$12,0))*Data[[#This Row],[Qty A]],0)</f>
        <v>600000</v>
      </c>
      <c r="J892" t="s">
        <v>66</v>
      </c>
      <c r="K892" t="str">
        <f>IFERROR(INDEX(Katalog!$A$3:$A$12,MATCH(Data[[#This Row],[ItemID B]],Katalog!$C$3:$C$12,0)),"-")</f>
        <v>Sepatu Pria</v>
      </c>
      <c r="L892" t="str">
        <f>IFERROR(INDEX(Katalog!$B$3:$B$12,MATCH(Data[[#This Row],[ItemID B]],Katalog!$C$3:$C$12,0)),"-")</f>
        <v>Sandal Slip On</v>
      </c>
      <c r="M892">
        <v>2</v>
      </c>
      <c r="N892">
        <v>3</v>
      </c>
      <c r="O892" s="36">
        <f>IFERROR(INDEX(Katalog!$D$3:$D$12,MATCH(Data[[#This Row],[ItemID B]],Katalog!$C$3:$C$12,0))*Data[[#This Row],[Qty B]],"0")</f>
        <v>300000</v>
      </c>
      <c r="P892" s="36">
        <f>IFERROR(INDEX(Katalog!$F$3:$F$12,MATCH(Data[[#This Row],[ItemID B]],Katalog!$C$3:$C$12,0))*Data[[#This Row],[Qty B]],"0")</f>
        <v>120000</v>
      </c>
      <c r="R892" t="str">
        <f>IFERROR(INDEX(Katalog!$A$3:$A$12,MATCH(Data[[#This Row],[ItemID C]],Katalog!$C$3:$C$12,0)),"-")</f>
        <v>-</v>
      </c>
      <c r="S892" t="str">
        <f>IFERROR(INDEX(Katalog!$B$3:$B$12,MATCH(Data[[#This Row],[ItemID C]],Katalog!$C$3:$C$12,0)),"-")</f>
        <v>-</v>
      </c>
      <c r="V892" s="36" t="str">
        <f>IFERROR(INDEX(Katalog!$D$3:$D$12,MATCH(Data[[#This Row],[ItemID C]],Katalog!$C$3:$C$12,0))*Data[[#This Row],[Qty C]],"0")</f>
        <v>0</v>
      </c>
      <c r="W892" s="36" t="str">
        <f>IFERROR(INDEX(Katalog!$F$3:$F$12,MATCH(Data[[#This Row],[ItemID C]],Katalog!$C$3:$C$12,0))*Data[[#This Row],[Qty C]],"0")</f>
        <v>0</v>
      </c>
      <c r="X892" s="21">
        <f>Data[[#This Row],[Qty A]]+Data[[#This Row],[Qty B]]+Data[[#This Row],[Qty C]]</f>
        <v>5</v>
      </c>
      <c r="Y892" s="22">
        <f>Data[[#This Row],[Harga Barang A]]+Data[[#This Row],[Harga Barang B]]+Data[[#This Row],[Harga Barang C]]</f>
        <v>1800000</v>
      </c>
      <c r="Z892" s="35">
        <f>IFERROR(Data[[#This Row],[Total Harga]]-(Data[[#This Row],[Total Harga]]*Data[[#This Row],[Diskon]]),Data[[#This Row],[Total Harga]])</f>
        <v>1620000</v>
      </c>
      <c r="AA892" s="35">
        <f>(Data[[#This Row],[Profit A]]+Data[[#This Row],[Profit B]]+Data[[#This Row],[Profit C]])</f>
        <v>720000</v>
      </c>
      <c r="AB892" s="35">
        <f>IFERROR((Data[[#This Row],[Profit non Diskon]]-(Data[[#This Row],[Profit non Diskon]]*Data[[#This Row],[Diskon]])),Data[[#This Row],[Profit non Diskon]])</f>
        <v>648000</v>
      </c>
      <c r="AC892" s="23" t="s">
        <v>30</v>
      </c>
      <c r="AD892" s="37">
        <f>IFERROR(INDEX('Kode Diskon'!$D$3:$D$9,MATCH(Data[[#This Row],[Kode diskon]],'Kode Diskon'!$C$3:$C$9,0)),"-")</f>
        <v>0.1</v>
      </c>
      <c r="AE892" s="23" t="s">
        <v>29</v>
      </c>
      <c r="AF892" s="23" t="s">
        <v>10</v>
      </c>
      <c r="AG892" s="23" t="s">
        <v>76</v>
      </c>
      <c r="AH892" s="24">
        <v>45019</v>
      </c>
      <c r="AI892" s="23" t="str">
        <f>TEXT(Data[[#This Row],[Tanggal terjual]],"dddd")</f>
        <v>Monday</v>
      </c>
      <c r="AJ892" s="21" t="str">
        <f>TEXT(Data[[#This Row],[Tanggal terjual]],"wwww")</f>
        <v>wwww</v>
      </c>
    </row>
    <row r="893" spans="1:36" x14ac:dyDescent="0.2">
      <c r="A893" s="20">
        <v>892</v>
      </c>
      <c r="B893" s="21" t="str">
        <f>_xlfn.CONCAT("ORD-",INDEX(Helper!$B$2:$B$5,MATCH(Data[[#This Row],[Marketplace]],Helper!$A$2:$A$5,0)),TEXT(Data[[#This Row],[No]],"0000"),"-",TEXT(Data[[#This Row],[Tanggal terjual]],"dd/mm/yy"))</f>
        <v>ORD-BL0892-19/04/23</v>
      </c>
      <c r="C893" t="s">
        <v>61</v>
      </c>
      <c r="D893" t="str">
        <f>IFERROR(INDEX(Katalog!$A$3:$A$12,MATCH(Data[[#This Row],[ItemID A]],Katalog!$C$3:$C$12,0)),"-")</f>
        <v>Pakaian Pria</v>
      </c>
      <c r="E893" t="str">
        <f>IFERROR(INDEX(Katalog!$B$3:$B$12,MATCH(Data[[#This Row],[ItemID A]],Katalog!$C$3:$C$12,0)),"-")</f>
        <v>Kaos Polo</v>
      </c>
      <c r="F893">
        <v>1</v>
      </c>
      <c r="G893">
        <v>4</v>
      </c>
      <c r="H893" s="36">
        <f>IFERROR(INDEX(Katalog!$D$3:$D$12,MATCH(Data[[#This Row],[ItemID A]],Katalog!$C$3:$C$12,0))*Data[[#This Row],[Qty A]],"0")</f>
        <v>200000</v>
      </c>
      <c r="I893" s="36">
        <f>IFERROR(INDEX(Katalog!$F$3:$F$12,MATCH(Data[[#This Row],[ItemID A]],Katalog!$C$3:$C$12,0))*Data[[#This Row],[Qty A]],0)</f>
        <v>80000</v>
      </c>
      <c r="J893" t="s">
        <v>62</v>
      </c>
      <c r="K893" t="str">
        <f>IFERROR(INDEX(Katalog!$A$3:$A$12,MATCH(Data[[#This Row],[ItemID B]],Katalog!$C$3:$C$12,0)),"-")</f>
        <v>Pakaian Pria</v>
      </c>
      <c r="L893" t="str">
        <f>IFERROR(INDEX(Katalog!$B$3:$B$12,MATCH(Data[[#This Row],[ItemID B]],Katalog!$C$3:$C$12,0)),"-")</f>
        <v>Celana Pendek</v>
      </c>
      <c r="M893">
        <v>1</v>
      </c>
      <c r="N893">
        <v>2</v>
      </c>
      <c r="O893" s="36">
        <f>IFERROR(INDEX(Katalog!$D$3:$D$12,MATCH(Data[[#This Row],[ItemID B]],Katalog!$C$3:$C$12,0))*Data[[#This Row],[Qty B]],"0")</f>
        <v>180000</v>
      </c>
      <c r="P893" s="36">
        <f>IFERROR(INDEX(Katalog!$F$3:$F$12,MATCH(Data[[#This Row],[ItemID B]],Katalog!$C$3:$C$12,0))*Data[[#This Row],[Qty B]],"0")</f>
        <v>70000</v>
      </c>
      <c r="R893" t="str">
        <f>IFERROR(INDEX(Katalog!$A$3:$A$12,MATCH(Data[[#This Row],[ItemID C]],Katalog!$C$3:$C$12,0)),"-")</f>
        <v>-</v>
      </c>
      <c r="S893" t="str">
        <f>IFERROR(INDEX(Katalog!$B$3:$B$12,MATCH(Data[[#This Row],[ItemID C]],Katalog!$C$3:$C$12,0)),"-")</f>
        <v>-</v>
      </c>
      <c r="V893" s="36" t="str">
        <f>IFERROR(INDEX(Katalog!$D$3:$D$12,MATCH(Data[[#This Row],[ItemID C]],Katalog!$C$3:$C$12,0))*Data[[#This Row],[Qty C]],"0")</f>
        <v>0</v>
      </c>
      <c r="W893" s="36" t="str">
        <f>IFERROR(INDEX(Katalog!$F$3:$F$12,MATCH(Data[[#This Row],[ItemID C]],Katalog!$C$3:$C$12,0))*Data[[#This Row],[Qty C]],"0")</f>
        <v>0</v>
      </c>
      <c r="X893" s="21">
        <f>Data[[#This Row],[Qty A]]+Data[[#This Row],[Qty B]]+Data[[#This Row],[Qty C]]</f>
        <v>2</v>
      </c>
      <c r="Y893" s="22">
        <f>Data[[#This Row],[Harga Barang A]]+Data[[#This Row],[Harga Barang B]]+Data[[#This Row],[Harga Barang C]]</f>
        <v>380000</v>
      </c>
      <c r="Z893" s="35">
        <f>IFERROR(Data[[#This Row],[Total Harga]]-(Data[[#This Row],[Total Harga]]*Data[[#This Row],[Diskon]]),Data[[#This Row],[Total Harga]])</f>
        <v>323000</v>
      </c>
      <c r="AA893" s="35">
        <f>(Data[[#This Row],[Profit A]]+Data[[#This Row],[Profit B]]+Data[[#This Row],[Profit C]])</f>
        <v>150000</v>
      </c>
      <c r="AB893" s="35">
        <f>IFERROR((Data[[#This Row],[Profit non Diskon]]-(Data[[#This Row],[Profit non Diskon]]*Data[[#This Row],[Diskon]])),Data[[#This Row],[Profit non Diskon]])</f>
        <v>127500</v>
      </c>
      <c r="AC893" s="23" t="s">
        <v>32</v>
      </c>
      <c r="AD893" s="37">
        <f>IFERROR(INDEX('Kode Diskon'!$D$3:$D$9,MATCH(Data[[#This Row],[Kode diskon]],'Kode Diskon'!$C$3:$C$9,0)),"-")</f>
        <v>0.15</v>
      </c>
      <c r="AE893" s="23" t="s">
        <v>9</v>
      </c>
      <c r="AF893" s="23" t="s">
        <v>12</v>
      </c>
      <c r="AG893" s="23" t="s">
        <v>80</v>
      </c>
      <c r="AH893" s="24">
        <v>45035</v>
      </c>
      <c r="AI893" s="23" t="str">
        <f>TEXT(Data[[#This Row],[Tanggal terjual]],"dddd")</f>
        <v>Wednesday</v>
      </c>
      <c r="AJ893" s="21" t="str">
        <f>TEXT(Data[[#This Row],[Tanggal terjual]],"wwww")</f>
        <v>wwww</v>
      </c>
    </row>
    <row r="894" spans="1:36" x14ac:dyDescent="0.2">
      <c r="A894" s="20">
        <v>893</v>
      </c>
      <c r="B894" s="21" t="str">
        <f>_xlfn.CONCAT("ORD-",INDEX(Helper!$B$2:$B$5,MATCH(Data[[#This Row],[Marketplace]],Helper!$A$2:$A$5,0)),TEXT(Data[[#This Row],[No]],"0000"),"-",TEXT(Data[[#This Row],[Tanggal terjual]],"dd/mm/yy"))</f>
        <v>ORD-TK0893-04/04/23</v>
      </c>
      <c r="C894" t="s">
        <v>64</v>
      </c>
      <c r="D894" t="str">
        <f>IFERROR(INDEX(Katalog!$A$3:$A$12,MATCH(Data[[#This Row],[ItemID A]],Katalog!$C$3:$C$12,0)),"-")</f>
        <v>Pakaian Unisex</v>
      </c>
      <c r="E894" t="str">
        <f>IFERROR(INDEX(Katalog!$B$3:$B$12,MATCH(Data[[#This Row],[ItemID A]],Katalog!$C$3:$C$12,0)),"-")</f>
        <v>Jaket Hoodie</v>
      </c>
      <c r="F894">
        <v>1</v>
      </c>
      <c r="G894">
        <v>1</v>
      </c>
      <c r="H894" s="36">
        <f>IFERROR(INDEX(Katalog!$D$3:$D$12,MATCH(Data[[#This Row],[ItemID A]],Katalog!$C$3:$C$12,0))*Data[[#This Row],[Qty A]],"0")</f>
        <v>350000</v>
      </c>
      <c r="I894" s="36">
        <f>IFERROR(INDEX(Katalog!$F$3:$F$12,MATCH(Data[[#This Row],[ItemID A]],Katalog!$C$3:$C$12,0))*Data[[#This Row],[Qty A]],0)</f>
        <v>130000</v>
      </c>
      <c r="J894" t="s">
        <v>65</v>
      </c>
      <c r="K894" t="str">
        <f>IFERROR(INDEX(Katalog!$A$3:$A$12,MATCH(Data[[#This Row],[ItemID B]],Katalog!$C$3:$C$12,0)),"-")</f>
        <v>Sepatu Pria</v>
      </c>
      <c r="L894" t="str">
        <f>IFERROR(INDEX(Katalog!$B$3:$B$12,MATCH(Data[[#This Row],[ItemID B]],Katalog!$C$3:$C$12,0)),"-")</f>
        <v>Sneakers</v>
      </c>
      <c r="M894">
        <v>1</v>
      </c>
      <c r="N894">
        <v>2</v>
      </c>
      <c r="O894" s="36">
        <f>IFERROR(INDEX(Katalog!$D$3:$D$12,MATCH(Data[[#This Row],[ItemID B]],Katalog!$C$3:$C$12,0))*Data[[#This Row],[Qty B]],"0")</f>
        <v>500000</v>
      </c>
      <c r="P894" s="36">
        <f>IFERROR(INDEX(Katalog!$F$3:$F$12,MATCH(Data[[#This Row],[ItemID B]],Katalog!$C$3:$C$12,0))*Data[[#This Row],[Qty B]],"0")</f>
        <v>200000</v>
      </c>
      <c r="Q894" t="s">
        <v>66</v>
      </c>
      <c r="R894" t="str">
        <f>IFERROR(INDEX(Katalog!$A$3:$A$12,MATCH(Data[[#This Row],[ItemID C]],Katalog!$C$3:$C$12,0)),"-")</f>
        <v>Sepatu Pria</v>
      </c>
      <c r="S894" t="str">
        <f>IFERROR(INDEX(Katalog!$B$3:$B$12,MATCH(Data[[#This Row],[ItemID C]],Katalog!$C$3:$C$12,0)),"-")</f>
        <v>Sandal Slip On</v>
      </c>
      <c r="T894">
        <v>3</v>
      </c>
      <c r="U894">
        <v>2</v>
      </c>
      <c r="V894" s="36">
        <f>IFERROR(INDEX(Katalog!$D$3:$D$12,MATCH(Data[[#This Row],[ItemID C]],Katalog!$C$3:$C$12,0))*Data[[#This Row],[Qty C]],"0")</f>
        <v>450000</v>
      </c>
      <c r="W894" s="36">
        <f>IFERROR(INDEX(Katalog!$F$3:$F$12,MATCH(Data[[#This Row],[ItemID C]],Katalog!$C$3:$C$12,0))*Data[[#This Row],[Qty C]],"0")</f>
        <v>180000</v>
      </c>
      <c r="X894" s="21">
        <f>Data[[#This Row],[Qty A]]+Data[[#This Row],[Qty B]]+Data[[#This Row],[Qty C]]</f>
        <v>5</v>
      </c>
      <c r="Y894" s="22">
        <f>Data[[#This Row],[Harga Barang A]]+Data[[#This Row],[Harga Barang B]]+Data[[#This Row],[Harga Barang C]]</f>
        <v>1300000</v>
      </c>
      <c r="Z894" s="35">
        <f>IFERROR(Data[[#This Row],[Total Harga]]-(Data[[#This Row],[Total Harga]]*Data[[#This Row],[Diskon]]),Data[[#This Row],[Total Harga]])</f>
        <v>1170000</v>
      </c>
      <c r="AA894" s="35">
        <f>(Data[[#This Row],[Profit A]]+Data[[#This Row],[Profit B]]+Data[[#This Row],[Profit C]])</f>
        <v>510000</v>
      </c>
      <c r="AB894" s="35">
        <f>IFERROR((Data[[#This Row],[Profit non Diskon]]-(Data[[#This Row],[Profit non Diskon]]*Data[[#This Row],[Diskon]])),Data[[#This Row],[Profit non Diskon]])</f>
        <v>459000</v>
      </c>
      <c r="AC894" s="23" t="s">
        <v>30</v>
      </c>
      <c r="AD894" s="37">
        <f>IFERROR(INDEX('Kode Diskon'!$D$3:$D$9,MATCH(Data[[#This Row],[Kode diskon]],'Kode Diskon'!$C$3:$C$9,0)),"-")</f>
        <v>0.1</v>
      </c>
      <c r="AE894" s="23" t="s">
        <v>29</v>
      </c>
      <c r="AF894" s="23" t="s">
        <v>10</v>
      </c>
      <c r="AG894" s="23" t="s">
        <v>75</v>
      </c>
      <c r="AH894" s="24">
        <v>45020</v>
      </c>
      <c r="AI894" s="23" t="str">
        <f>TEXT(Data[[#This Row],[Tanggal terjual]],"dddd")</f>
        <v>Tuesday</v>
      </c>
      <c r="AJ894" s="21" t="str">
        <f>TEXT(Data[[#This Row],[Tanggal terjual]],"wwww")</f>
        <v>wwww</v>
      </c>
    </row>
    <row r="895" spans="1:36" x14ac:dyDescent="0.2">
      <c r="A895" s="20">
        <v>894</v>
      </c>
      <c r="B895" s="21" t="str">
        <f>_xlfn.CONCAT("ORD-",INDEX(Helper!$B$2:$B$5,MATCH(Data[[#This Row],[Marketplace]],Helper!$A$2:$A$5,0)),TEXT(Data[[#This Row],[No]],"0000"),"-",TEXT(Data[[#This Row],[Tanggal terjual]],"dd/mm/yy"))</f>
        <v>ORD-BL0894-27/04/23</v>
      </c>
      <c r="C895" t="s">
        <v>65</v>
      </c>
      <c r="D895" t="str">
        <f>IFERROR(INDEX(Katalog!$A$3:$A$12,MATCH(Data[[#This Row],[ItemID A]],Katalog!$C$3:$C$12,0)),"-")</f>
        <v>Sepatu Pria</v>
      </c>
      <c r="E895" t="str">
        <f>IFERROR(INDEX(Katalog!$B$3:$B$12,MATCH(Data[[#This Row],[ItemID A]],Katalog!$C$3:$C$12,0)),"-")</f>
        <v>Sneakers</v>
      </c>
      <c r="F895">
        <v>4</v>
      </c>
      <c r="G895">
        <v>2</v>
      </c>
      <c r="H895" s="36">
        <f>IFERROR(INDEX(Katalog!$D$3:$D$12,MATCH(Data[[#This Row],[ItemID A]],Katalog!$C$3:$C$12,0))*Data[[#This Row],[Qty A]],"0")</f>
        <v>2000000</v>
      </c>
      <c r="I895" s="36">
        <f>IFERROR(INDEX(Katalog!$F$3:$F$12,MATCH(Data[[#This Row],[ItemID A]],Katalog!$C$3:$C$12,0))*Data[[#This Row],[Qty A]],0)</f>
        <v>800000</v>
      </c>
      <c r="J895" t="s">
        <v>58</v>
      </c>
      <c r="K895" t="str">
        <f>IFERROR(INDEX(Katalog!$A$3:$A$12,MATCH(Data[[#This Row],[ItemID B]],Katalog!$C$3:$C$12,0)),"-")</f>
        <v>Pakaian Wanita</v>
      </c>
      <c r="L895" t="str">
        <f>IFERROR(INDEX(Katalog!$B$3:$B$12,MATCH(Data[[#This Row],[ItemID B]],Katalog!$C$3:$C$12,0)),"-")</f>
        <v>Dress</v>
      </c>
      <c r="M895">
        <v>3</v>
      </c>
      <c r="N895">
        <v>4</v>
      </c>
      <c r="O895" s="36">
        <f>IFERROR(INDEX(Katalog!$D$3:$D$12,MATCH(Data[[#This Row],[ItemID B]],Katalog!$C$3:$C$12,0))*Data[[#This Row],[Qty B]],"0")</f>
        <v>900000</v>
      </c>
      <c r="P895" s="36">
        <f>IFERROR(INDEX(Katalog!$F$3:$F$12,MATCH(Data[[#This Row],[ItemID B]],Katalog!$C$3:$C$12,0))*Data[[#This Row],[Qty B]],"0")</f>
        <v>300000</v>
      </c>
      <c r="R895" t="str">
        <f>IFERROR(INDEX(Katalog!$A$3:$A$12,MATCH(Data[[#This Row],[ItemID C]],Katalog!$C$3:$C$12,0)),"-")</f>
        <v>-</v>
      </c>
      <c r="S895" t="str">
        <f>IFERROR(INDEX(Katalog!$B$3:$B$12,MATCH(Data[[#This Row],[ItemID C]],Katalog!$C$3:$C$12,0)),"-")</f>
        <v>-</v>
      </c>
      <c r="V895" s="36" t="str">
        <f>IFERROR(INDEX(Katalog!$D$3:$D$12,MATCH(Data[[#This Row],[ItemID C]],Katalog!$C$3:$C$12,0))*Data[[#This Row],[Qty C]],"0")</f>
        <v>0</v>
      </c>
      <c r="W895" s="36" t="str">
        <f>IFERROR(INDEX(Katalog!$F$3:$F$12,MATCH(Data[[#This Row],[ItemID C]],Katalog!$C$3:$C$12,0))*Data[[#This Row],[Qty C]],"0")</f>
        <v>0</v>
      </c>
      <c r="X895" s="21">
        <f>Data[[#This Row],[Qty A]]+Data[[#This Row],[Qty B]]+Data[[#This Row],[Qty C]]</f>
        <v>7</v>
      </c>
      <c r="Y895" s="22">
        <f>Data[[#This Row],[Harga Barang A]]+Data[[#This Row],[Harga Barang B]]+Data[[#This Row],[Harga Barang C]]</f>
        <v>2900000</v>
      </c>
      <c r="Z895" s="35">
        <f>IFERROR(Data[[#This Row],[Total Harga]]-(Data[[#This Row],[Total Harga]]*Data[[#This Row],[Diskon]]),Data[[#This Row],[Total Harga]])</f>
        <v>2465000</v>
      </c>
      <c r="AA895" s="35">
        <f>(Data[[#This Row],[Profit A]]+Data[[#This Row],[Profit B]]+Data[[#This Row],[Profit C]])</f>
        <v>1100000</v>
      </c>
      <c r="AB895" s="35">
        <f>IFERROR((Data[[#This Row],[Profit non Diskon]]-(Data[[#This Row],[Profit non Diskon]]*Data[[#This Row],[Diskon]])),Data[[#This Row],[Profit non Diskon]])</f>
        <v>935000</v>
      </c>
      <c r="AC895" s="23" t="s">
        <v>32</v>
      </c>
      <c r="AD895" s="37">
        <f>IFERROR(INDEX('Kode Diskon'!$D$3:$D$9,MATCH(Data[[#This Row],[Kode diskon]],'Kode Diskon'!$C$3:$C$9,0)),"-")</f>
        <v>0.15</v>
      </c>
      <c r="AE895" s="23" t="s">
        <v>9</v>
      </c>
      <c r="AF895" s="23" t="s">
        <v>12</v>
      </c>
      <c r="AG895" s="23" t="s">
        <v>77</v>
      </c>
      <c r="AH895" s="24">
        <v>45043</v>
      </c>
      <c r="AI895" s="23" t="str">
        <f>TEXT(Data[[#This Row],[Tanggal terjual]],"dddd")</f>
        <v>Thursday</v>
      </c>
      <c r="AJ895" s="21" t="str">
        <f>TEXT(Data[[#This Row],[Tanggal terjual]],"wwww")</f>
        <v>wwww</v>
      </c>
    </row>
    <row r="896" spans="1:36" x14ac:dyDescent="0.2">
      <c r="A896" s="20">
        <v>895</v>
      </c>
      <c r="B896" s="21" t="str">
        <f>_xlfn.CONCAT("ORD-",INDEX(Helper!$B$2:$B$5,MATCH(Data[[#This Row],[Marketplace]],Helper!$A$2:$A$5,0)),TEXT(Data[[#This Row],[No]],"0000"),"-",TEXT(Data[[#This Row],[Tanggal terjual]],"dd/mm/yy"))</f>
        <v>ORD-SP0895-20/04/23</v>
      </c>
      <c r="C896" t="s">
        <v>58</v>
      </c>
      <c r="D896" t="str">
        <f>IFERROR(INDEX(Katalog!$A$3:$A$12,MATCH(Data[[#This Row],[ItemID A]],Katalog!$C$3:$C$12,0)),"-")</f>
        <v>Pakaian Wanita</v>
      </c>
      <c r="E896" t="str">
        <f>IFERROR(INDEX(Katalog!$B$3:$B$12,MATCH(Data[[#This Row],[ItemID A]],Katalog!$C$3:$C$12,0)),"-")</f>
        <v>Dress</v>
      </c>
      <c r="F896">
        <v>4</v>
      </c>
      <c r="G896">
        <v>4</v>
      </c>
      <c r="H896" s="36">
        <f>IFERROR(INDEX(Katalog!$D$3:$D$12,MATCH(Data[[#This Row],[ItemID A]],Katalog!$C$3:$C$12,0))*Data[[#This Row],[Qty A]],"0")</f>
        <v>1200000</v>
      </c>
      <c r="I896" s="36">
        <f>IFERROR(INDEX(Katalog!$F$3:$F$12,MATCH(Data[[#This Row],[ItemID A]],Katalog!$C$3:$C$12,0))*Data[[#This Row],[Qty A]],0)</f>
        <v>400000</v>
      </c>
      <c r="J896" t="s">
        <v>61</v>
      </c>
      <c r="K896" t="str">
        <f>IFERROR(INDEX(Katalog!$A$3:$A$12,MATCH(Data[[#This Row],[ItemID B]],Katalog!$C$3:$C$12,0)),"-")</f>
        <v>Pakaian Pria</v>
      </c>
      <c r="L896" t="str">
        <f>IFERROR(INDEX(Katalog!$B$3:$B$12,MATCH(Data[[#This Row],[ItemID B]],Katalog!$C$3:$C$12,0)),"-")</f>
        <v>Kaos Polo</v>
      </c>
      <c r="M896">
        <v>1</v>
      </c>
      <c r="N896">
        <v>5</v>
      </c>
      <c r="O896" s="36">
        <f>IFERROR(INDEX(Katalog!$D$3:$D$12,MATCH(Data[[#This Row],[ItemID B]],Katalog!$C$3:$C$12,0))*Data[[#This Row],[Qty B]],"0")</f>
        <v>200000</v>
      </c>
      <c r="P896" s="36">
        <f>IFERROR(INDEX(Katalog!$F$3:$F$12,MATCH(Data[[#This Row],[ItemID B]],Katalog!$C$3:$C$12,0))*Data[[#This Row],[Qty B]],"0")</f>
        <v>80000</v>
      </c>
      <c r="R896" t="str">
        <f>IFERROR(INDEX(Katalog!$A$3:$A$12,MATCH(Data[[#This Row],[ItemID C]],Katalog!$C$3:$C$12,0)),"-")</f>
        <v>-</v>
      </c>
      <c r="S896" t="str">
        <f>IFERROR(INDEX(Katalog!$B$3:$B$12,MATCH(Data[[#This Row],[ItemID C]],Katalog!$C$3:$C$12,0)),"-")</f>
        <v>-</v>
      </c>
      <c r="V896" s="36" t="str">
        <f>IFERROR(INDEX(Katalog!$D$3:$D$12,MATCH(Data[[#This Row],[ItemID C]],Katalog!$C$3:$C$12,0))*Data[[#This Row],[Qty C]],"0")</f>
        <v>0</v>
      </c>
      <c r="W896" s="36" t="str">
        <f>IFERROR(INDEX(Katalog!$F$3:$F$12,MATCH(Data[[#This Row],[ItemID C]],Katalog!$C$3:$C$12,0))*Data[[#This Row],[Qty C]],"0")</f>
        <v>0</v>
      </c>
      <c r="X896" s="21">
        <f>Data[[#This Row],[Qty A]]+Data[[#This Row],[Qty B]]+Data[[#This Row],[Qty C]]</f>
        <v>5</v>
      </c>
      <c r="Y896" s="22">
        <f>Data[[#This Row],[Harga Barang A]]+Data[[#This Row],[Harga Barang B]]+Data[[#This Row],[Harga Barang C]]</f>
        <v>1400000</v>
      </c>
      <c r="Z896" s="35">
        <f>IFERROR(Data[[#This Row],[Total Harga]]-(Data[[#This Row],[Total Harga]]*Data[[#This Row],[Diskon]]),Data[[#This Row],[Total Harga]])</f>
        <v>1120000</v>
      </c>
      <c r="AA896" s="35">
        <f>(Data[[#This Row],[Profit A]]+Data[[#This Row],[Profit B]]+Data[[#This Row],[Profit C]])</f>
        <v>480000</v>
      </c>
      <c r="AB896" s="35">
        <f>IFERROR((Data[[#This Row],[Profit non Diskon]]-(Data[[#This Row],[Profit non Diskon]]*Data[[#This Row],[Diskon]])),Data[[#This Row],[Profit non Diskon]])</f>
        <v>384000</v>
      </c>
      <c r="AC896" s="23" t="s">
        <v>8</v>
      </c>
      <c r="AD896" s="37">
        <f>IFERROR(INDEX('Kode Diskon'!$D$3:$D$9,MATCH(Data[[#This Row],[Kode diskon]],'Kode Diskon'!$C$3:$C$9,0)),"-")</f>
        <v>0.2</v>
      </c>
      <c r="AE896" s="23" t="s">
        <v>9</v>
      </c>
      <c r="AF896" s="23" t="s">
        <v>7</v>
      </c>
      <c r="AG896" s="23" t="s">
        <v>75</v>
      </c>
      <c r="AH896" s="24">
        <v>45036</v>
      </c>
      <c r="AI896" s="23" t="str">
        <f>TEXT(Data[[#This Row],[Tanggal terjual]],"dddd")</f>
        <v>Thursday</v>
      </c>
      <c r="AJ896" s="21" t="str">
        <f>TEXT(Data[[#This Row],[Tanggal terjual]],"wwww")</f>
        <v>wwww</v>
      </c>
    </row>
    <row r="897" spans="1:36" x14ac:dyDescent="0.2">
      <c r="A897" s="20">
        <v>896</v>
      </c>
      <c r="B897" s="21" t="str">
        <f>_xlfn.CONCAT("ORD-",INDEX(Helper!$B$2:$B$5,MATCH(Data[[#This Row],[Marketplace]],Helper!$A$2:$A$5,0)),TEXT(Data[[#This Row],[No]],"0000"),"-",TEXT(Data[[#This Row],[Tanggal terjual]],"dd/mm/yy"))</f>
        <v>ORD-SP0896-04/04/23</v>
      </c>
      <c r="C897" t="s">
        <v>60</v>
      </c>
      <c r="D897" t="str">
        <f>IFERROR(INDEX(Katalog!$A$3:$A$12,MATCH(Data[[#This Row],[ItemID A]],Katalog!$C$3:$C$12,0)),"-")</f>
        <v>Pakaian Wanita</v>
      </c>
      <c r="E897" t="str">
        <f>IFERROR(INDEX(Katalog!$B$3:$B$12,MATCH(Data[[#This Row],[ItemID A]],Katalog!$C$3:$C$12,0)),"-")</f>
        <v>Kaftan</v>
      </c>
      <c r="F897">
        <v>1</v>
      </c>
      <c r="G897">
        <v>3</v>
      </c>
      <c r="H897" s="36">
        <f>IFERROR(INDEX(Katalog!$D$3:$D$12,MATCH(Data[[#This Row],[ItemID A]],Katalog!$C$3:$C$12,0))*Data[[#This Row],[Qty A]],"0")</f>
        <v>250000</v>
      </c>
      <c r="I897" s="36">
        <f>IFERROR(INDEX(Katalog!$F$3:$F$12,MATCH(Data[[#This Row],[ItemID A]],Katalog!$C$3:$C$12,0))*Data[[#This Row],[Qty A]],0)</f>
        <v>100000</v>
      </c>
      <c r="J897" t="s">
        <v>64</v>
      </c>
      <c r="K897" t="str">
        <f>IFERROR(INDEX(Katalog!$A$3:$A$12,MATCH(Data[[#This Row],[ItemID B]],Katalog!$C$3:$C$12,0)),"-")</f>
        <v>Pakaian Unisex</v>
      </c>
      <c r="L897" t="str">
        <f>IFERROR(INDEX(Katalog!$B$3:$B$12,MATCH(Data[[#This Row],[ItemID B]],Katalog!$C$3:$C$12,0)),"-")</f>
        <v>Jaket Hoodie</v>
      </c>
      <c r="M897">
        <v>2</v>
      </c>
      <c r="N897">
        <v>5</v>
      </c>
      <c r="O897" s="36">
        <f>IFERROR(INDEX(Katalog!$D$3:$D$12,MATCH(Data[[#This Row],[ItemID B]],Katalog!$C$3:$C$12,0))*Data[[#This Row],[Qty B]],"0")</f>
        <v>700000</v>
      </c>
      <c r="P897" s="36">
        <f>IFERROR(INDEX(Katalog!$F$3:$F$12,MATCH(Data[[#This Row],[ItemID B]],Katalog!$C$3:$C$12,0))*Data[[#This Row],[Qty B]],"0")</f>
        <v>260000</v>
      </c>
      <c r="Q897" t="s">
        <v>63</v>
      </c>
      <c r="R897" t="str">
        <f>IFERROR(INDEX(Katalog!$A$3:$A$12,MATCH(Data[[#This Row],[ItemID C]],Katalog!$C$3:$C$12,0)),"-")</f>
        <v>Pakaian Pria</v>
      </c>
      <c r="S897" t="str">
        <f>IFERROR(INDEX(Katalog!$B$3:$B$12,MATCH(Data[[#This Row],[ItemID C]],Katalog!$C$3:$C$12,0)),"-")</f>
        <v>Jaket Jeans</v>
      </c>
      <c r="T897">
        <v>2</v>
      </c>
      <c r="U897">
        <v>2</v>
      </c>
      <c r="V897" s="36">
        <f>IFERROR(INDEX(Katalog!$D$3:$D$12,MATCH(Data[[#This Row],[ItemID C]],Katalog!$C$3:$C$12,0))*Data[[#This Row],[Qty C]],"0")</f>
        <v>800000</v>
      </c>
      <c r="W897" s="36">
        <f>IFERROR(INDEX(Katalog!$F$3:$F$12,MATCH(Data[[#This Row],[ItemID C]],Katalog!$C$3:$C$12,0))*Data[[#This Row],[Qty C]],"0")</f>
        <v>300000</v>
      </c>
      <c r="X897" s="21">
        <f>Data[[#This Row],[Qty A]]+Data[[#This Row],[Qty B]]+Data[[#This Row],[Qty C]]</f>
        <v>5</v>
      </c>
      <c r="Y897" s="22">
        <f>Data[[#This Row],[Harga Barang A]]+Data[[#This Row],[Harga Barang B]]+Data[[#This Row],[Harga Barang C]]</f>
        <v>1750000</v>
      </c>
      <c r="Z897" s="35">
        <f>IFERROR(Data[[#This Row],[Total Harga]]-(Data[[#This Row],[Total Harga]]*Data[[#This Row],[Diskon]]),Data[[#This Row],[Total Harga]])</f>
        <v>1575000</v>
      </c>
      <c r="AA897" s="35">
        <f>(Data[[#This Row],[Profit A]]+Data[[#This Row],[Profit B]]+Data[[#This Row],[Profit C]])</f>
        <v>660000</v>
      </c>
      <c r="AB897" s="35">
        <f>IFERROR((Data[[#This Row],[Profit non Diskon]]-(Data[[#This Row],[Profit non Diskon]]*Data[[#This Row],[Diskon]])),Data[[#This Row],[Profit non Diskon]])</f>
        <v>594000</v>
      </c>
      <c r="AC897" s="23" t="s">
        <v>6</v>
      </c>
      <c r="AD897" s="37">
        <f>IFERROR(INDEX('Kode Diskon'!$D$3:$D$9,MATCH(Data[[#This Row],[Kode diskon]],'Kode Diskon'!$C$3:$C$9,0)),"-")</f>
        <v>0.1</v>
      </c>
      <c r="AE897" s="23" t="s">
        <v>29</v>
      </c>
      <c r="AF897" s="23" t="s">
        <v>7</v>
      </c>
      <c r="AG897" s="23" t="s">
        <v>79</v>
      </c>
      <c r="AH897" s="24">
        <v>45020</v>
      </c>
      <c r="AI897" s="23" t="str">
        <f>TEXT(Data[[#This Row],[Tanggal terjual]],"dddd")</f>
        <v>Tuesday</v>
      </c>
      <c r="AJ897" s="21" t="str">
        <f>TEXT(Data[[#This Row],[Tanggal terjual]],"wwww")</f>
        <v>wwww</v>
      </c>
    </row>
    <row r="898" spans="1:36" x14ac:dyDescent="0.2">
      <c r="A898" s="20">
        <v>897</v>
      </c>
      <c r="B898" s="21" t="str">
        <f>_xlfn.CONCAT("ORD-",INDEX(Helper!$B$2:$B$5,MATCH(Data[[#This Row],[Marketplace]],Helper!$A$2:$A$5,0)),TEXT(Data[[#This Row],[No]],"0000"),"-",TEXT(Data[[#This Row],[Tanggal terjual]],"dd/mm/yy"))</f>
        <v>ORD-BL0897-25/04/23</v>
      </c>
      <c r="C898" t="s">
        <v>65</v>
      </c>
      <c r="D898" t="str">
        <f>IFERROR(INDEX(Katalog!$A$3:$A$12,MATCH(Data[[#This Row],[ItemID A]],Katalog!$C$3:$C$12,0)),"-")</f>
        <v>Sepatu Pria</v>
      </c>
      <c r="E898" t="str">
        <f>IFERROR(INDEX(Katalog!$B$3:$B$12,MATCH(Data[[#This Row],[ItemID A]],Katalog!$C$3:$C$12,0)),"-")</f>
        <v>Sneakers</v>
      </c>
      <c r="F898">
        <v>3</v>
      </c>
      <c r="G898">
        <v>4</v>
      </c>
      <c r="H898" s="36">
        <f>IFERROR(INDEX(Katalog!$D$3:$D$12,MATCH(Data[[#This Row],[ItemID A]],Katalog!$C$3:$C$12,0))*Data[[#This Row],[Qty A]],"0")</f>
        <v>1500000</v>
      </c>
      <c r="I898" s="36">
        <f>IFERROR(INDEX(Katalog!$F$3:$F$12,MATCH(Data[[#This Row],[ItemID A]],Katalog!$C$3:$C$12,0))*Data[[#This Row],[Qty A]],0)</f>
        <v>600000</v>
      </c>
      <c r="J898" t="s">
        <v>64</v>
      </c>
      <c r="K898" t="str">
        <f>IFERROR(INDEX(Katalog!$A$3:$A$12,MATCH(Data[[#This Row],[ItemID B]],Katalog!$C$3:$C$12,0)),"-")</f>
        <v>Pakaian Unisex</v>
      </c>
      <c r="L898" t="str">
        <f>IFERROR(INDEX(Katalog!$B$3:$B$12,MATCH(Data[[#This Row],[ItemID B]],Katalog!$C$3:$C$12,0)),"-")</f>
        <v>Jaket Hoodie</v>
      </c>
      <c r="M898">
        <v>3</v>
      </c>
      <c r="N898">
        <v>3</v>
      </c>
      <c r="O898" s="36">
        <f>IFERROR(INDEX(Katalog!$D$3:$D$12,MATCH(Data[[#This Row],[ItemID B]],Katalog!$C$3:$C$12,0))*Data[[#This Row],[Qty B]],"0")</f>
        <v>1050000</v>
      </c>
      <c r="P898" s="36">
        <f>IFERROR(INDEX(Katalog!$F$3:$F$12,MATCH(Data[[#This Row],[ItemID B]],Katalog!$C$3:$C$12,0))*Data[[#This Row],[Qty B]],"0")</f>
        <v>390000</v>
      </c>
      <c r="R898" t="str">
        <f>IFERROR(INDEX(Katalog!$A$3:$A$12,MATCH(Data[[#This Row],[ItemID C]],Katalog!$C$3:$C$12,0)),"-")</f>
        <v>-</v>
      </c>
      <c r="S898" t="str">
        <f>IFERROR(INDEX(Katalog!$B$3:$B$12,MATCH(Data[[#This Row],[ItemID C]],Katalog!$C$3:$C$12,0)),"-")</f>
        <v>-</v>
      </c>
      <c r="V898" s="36" t="str">
        <f>IFERROR(INDEX(Katalog!$D$3:$D$12,MATCH(Data[[#This Row],[ItemID C]],Katalog!$C$3:$C$12,0))*Data[[#This Row],[Qty C]],"0")</f>
        <v>0</v>
      </c>
      <c r="W898" s="36" t="str">
        <f>IFERROR(INDEX(Katalog!$F$3:$F$12,MATCH(Data[[#This Row],[ItemID C]],Katalog!$C$3:$C$12,0))*Data[[#This Row],[Qty C]],"0")</f>
        <v>0</v>
      </c>
      <c r="X898" s="21">
        <f>Data[[#This Row],[Qty A]]+Data[[#This Row],[Qty B]]+Data[[#This Row],[Qty C]]</f>
        <v>6</v>
      </c>
      <c r="Y898" s="22">
        <f>Data[[#This Row],[Harga Barang A]]+Data[[#This Row],[Harga Barang B]]+Data[[#This Row],[Harga Barang C]]</f>
        <v>2550000</v>
      </c>
      <c r="Z898" s="35">
        <f>IFERROR(Data[[#This Row],[Total Harga]]-(Data[[#This Row],[Total Harga]]*Data[[#This Row],[Diskon]]),Data[[#This Row],[Total Harga]])</f>
        <v>2167500</v>
      </c>
      <c r="AA898" s="35">
        <f>(Data[[#This Row],[Profit A]]+Data[[#This Row],[Profit B]]+Data[[#This Row],[Profit C]])</f>
        <v>990000</v>
      </c>
      <c r="AB898" s="35">
        <f>IFERROR((Data[[#This Row],[Profit non Diskon]]-(Data[[#This Row],[Profit non Diskon]]*Data[[#This Row],[Diskon]])),Data[[#This Row],[Profit non Diskon]])</f>
        <v>841500</v>
      </c>
      <c r="AC898" s="23" t="s">
        <v>32</v>
      </c>
      <c r="AD898" s="37">
        <f>IFERROR(INDEX('Kode Diskon'!$D$3:$D$9,MATCH(Data[[#This Row],[Kode diskon]],'Kode Diskon'!$C$3:$C$9,0)),"-")</f>
        <v>0.15</v>
      </c>
      <c r="AE898" s="23" t="s">
        <v>9</v>
      </c>
      <c r="AF898" s="23" t="s">
        <v>12</v>
      </c>
      <c r="AG898" s="23" t="s">
        <v>80</v>
      </c>
      <c r="AH898" s="24">
        <v>45041</v>
      </c>
      <c r="AI898" s="23" t="str">
        <f>TEXT(Data[[#This Row],[Tanggal terjual]],"dddd")</f>
        <v>Tuesday</v>
      </c>
      <c r="AJ898" s="21" t="str">
        <f>TEXT(Data[[#This Row],[Tanggal terjual]],"wwww")</f>
        <v>wwww</v>
      </c>
    </row>
    <row r="899" spans="1:36" x14ac:dyDescent="0.2">
      <c r="A899" s="20">
        <v>898</v>
      </c>
      <c r="B899" s="21" t="str">
        <f>_xlfn.CONCAT("ORD-",INDEX(Helper!$B$2:$B$5,MATCH(Data[[#This Row],[Marketplace]],Helper!$A$2:$A$5,0)),TEXT(Data[[#This Row],[No]],"0000"),"-",TEXT(Data[[#This Row],[Tanggal terjual]],"dd/mm/yy"))</f>
        <v>ORD-SP0898-01/04/23</v>
      </c>
      <c r="C899" t="s">
        <v>65</v>
      </c>
      <c r="D899" t="str">
        <f>IFERROR(INDEX(Katalog!$A$3:$A$12,MATCH(Data[[#This Row],[ItemID A]],Katalog!$C$3:$C$12,0)),"-")</f>
        <v>Sepatu Pria</v>
      </c>
      <c r="E899" t="str">
        <f>IFERROR(INDEX(Katalog!$B$3:$B$12,MATCH(Data[[#This Row],[ItemID A]],Katalog!$C$3:$C$12,0)),"-")</f>
        <v>Sneakers</v>
      </c>
      <c r="F899">
        <v>3</v>
      </c>
      <c r="G899">
        <v>1</v>
      </c>
      <c r="H899" s="36">
        <f>IFERROR(INDEX(Katalog!$D$3:$D$12,MATCH(Data[[#This Row],[ItemID A]],Katalog!$C$3:$C$12,0))*Data[[#This Row],[Qty A]],"0")</f>
        <v>1500000</v>
      </c>
      <c r="I899" s="36">
        <f>IFERROR(INDEX(Katalog!$F$3:$F$12,MATCH(Data[[#This Row],[ItemID A]],Katalog!$C$3:$C$12,0))*Data[[#This Row],[Qty A]],0)</f>
        <v>600000</v>
      </c>
      <c r="J899" t="s">
        <v>67</v>
      </c>
      <c r="K899" t="str">
        <f>IFERROR(INDEX(Katalog!$A$3:$A$12,MATCH(Data[[#This Row],[ItemID B]],Katalog!$C$3:$C$12,0)),"-")</f>
        <v>Sepatu Wanita</v>
      </c>
      <c r="L899" t="str">
        <f>IFERROR(INDEX(Katalog!$B$3:$B$12,MATCH(Data[[#This Row],[ItemID B]],Katalog!$C$3:$C$12,0)),"-")</f>
        <v>Flat Shoes</v>
      </c>
      <c r="M899">
        <v>1</v>
      </c>
      <c r="N899">
        <v>4</v>
      </c>
      <c r="O899" s="36">
        <f>IFERROR(INDEX(Katalog!$D$3:$D$12,MATCH(Data[[#This Row],[ItemID B]],Katalog!$C$3:$C$12,0))*Data[[#This Row],[Qty B]],"0")</f>
        <v>250000</v>
      </c>
      <c r="P899" s="36">
        <f>IFERROR(INDEX(Katalog!$F$3:$F$12,MATCH(Data[[#This Row],[ItemID B]],Katalog!$C$3:$C$12,0))*Data[[#This Row],[Qty B]],"0")</f>
        <v>100000</v>
      </c>
      <c r="R899" t="str">
        <f>IFERROR(INDEX(Katalog!$A$3:$A$12,MATCH(Data[[#This Row],[ItemID C]],Katalog!$C$3:$C$12,0)),"-")</f>
        <v>-</v>
      </c>
      <c r="S899" t="str">
        <f>IFERROR(INDEX(Katalog!$B$3:$B$12,MATCH(Data[[#This Row],[ItemID C]],Katalog!$C$3:$C$12,0)),"-")</f>
        <v>-</v>
      </c>
      <c r="V899" s="36" t="str">
        <f>IFERROR(INDEX(Katalog!$D$3:$D$12,MATCH(Data[[#This Row],[ItemID C]],Katalog!$C$3:$C$12,0))*Data[[#This Row],[Qty C]],"0")</f>
        <v>0</v>
      </c>
      <c r="W899" s="36" t="str">
        <f>IFERROR(INDEX(Katalog!$F$3:$F$12,MATCH(Data[[#This Row],[ItemID C]],Katalog!$C$3:$C$12,0))*Data[[#This Row],[Qty C]],"0")</f>
        <v>0</v>
      </c>
      <c r="X899" s="21">
        <f>Data[[#This Row],[Qty A]]+Data[[#This Row],[Qty B]]+Data[[#This Row],[Qty C]]</f>
        <v>4</v>
      </c>
      <c r="Y899" s="22">
        <f>Data[[#This Row],[Harga Barang A]]+Data[[#This Row],[Harga Barang B]]+Data[[#This Row],[Harga Barang C]]</f>
        <v>1750000</v>
      </c>
      <c r="Z899" s="35">
        <f>IFERROR(Data[[#This Row],[Total Harga]]-(Data[[#This Row],[Total Harga]]*Data[[#This Row],[Diskon]]),Data[[#This Row],[Total Harga]])</f>
        <v>1575000</v>
      </c>
      <c r="AA899" s="35">
        <f>(Data[[#This Row],[Profit A]]+Data[[#This Row],[Profit B]]+Data[[#This Row],[Profit C]])</f>
        <v>700000</v>
      </c>
      <c r="AB899" s="35">
        <f>IFERROR((Data[[#This Row],[Profit non Diskon]]-(Data[[#This Row],[Profit non Diskon]]*Data[[#This Row],[Diskon]])),Data[[#This Row],[Profit non Diskon]])</f>
        <v>630000</v>
      </c>
      <c r="AC899" s="23" t="s">
        <v>6</v>
      </c>
      <c r="AD899" s="37">
        <f>IFERROR(INDEX('Kode Diskon'!$D$3:$D$9,MATCH(Data[[#This Row],[Kode diskon]],'Kode Diskon'!$C$3:$C$9,0)),"-")</f>
        <v>0.1</v>
      </c>
      <c r="AE899" s="23" t="s">
        <v>29</v>
      </c>
      <c r="AF899" s="23" t="s">
        <v>7</v>
      </c>
      <c r="AG899" s="23" t="s">
        <v>77</v>
      </c>
      <c r="AH899" s="24">
        <v>45017</v>
      </c>
      <c r="AI899" s="23" t="str">
        <f>TEXT(Data[[#This Row],[Tanggal terjual]],"dddd")</f>
        <v>Saturday</v>
      </c>
      <c r="AJ899" s="21" t="str">
        <f>TEXT(Data[[#This Row],[Tanggal terjual]],"wwww")</f>
        <v>wwww</v>
      </c>
    </row>
    <row r="900" spans="1:36" x14ac:dyDescent="0.2">
      <c r="A900" s="20">
        <v>899</v>
      </c>
      <c r="B900" s="21" t="str">
        <f>_xlfn.CONCAT("ORD-",INDEX(Helper!$B$2:$B$5,MATCH(Data[[#This Row],[Marketplace]],Helper!$A$2:$A$5,0)),TEXT(Data[[#This Row],[No]],"0000"),"-",TEXT(Data[[#This Row],[Tanggal terjual]],"dd/mm/yy"))</f>
        <v>ORD-BL0899-23/04/23</v>
      </c>
      <c r="C900" t="s">
        <v>64</v>
      </c>
      <c r="D900" t="str">
        <f>IFERROR(INDEX(Katalog!$A$3:$A$12,MATCH(Data[[#This Row],[ItemID A]],Katalog!$C$3:$C$12,0)),"-")</f>
        <v>Pakaian Unisex</v>
      </c>
      <c r="E900" t="str">
        <f>IFERROR(INDEX(Katalog!$B$3:$B$12,MATCH(Data[[#This Row],[ItemID A]],Katalog!$C$3:$C$12,0)),"-")</f>
        <v>Jaket Hoodie</v>
      </c>
      <c r="F900">
        <v>1</v>
      </c>
      <c r="G900">
        <v>1</v>
      </c>
      <c r="H900" s="36">
        <f>IFERROR(INDEX(Katalog!$D$3:$D$12,MATCH(Data[[#This Row],[ItemID A]],Katalog!$C$3:$C$12,0))*Data[[#This Row],[Qty A]],"0")</f>
        <v>350000</v>
      </c>
      <c r="I900" s="36">
        <f>IFERROR(INDEX(Katalog!$F$3:$F$12,MATCH(Data[[#This Row],[ItemID A]],Katalog!$C$3:$C$12,0))*Data[[#This Row],[Qty A]],0)</f>
        <v>130000</v>
      </c>
      <c r="K900" t="str">
        <f>IFERROR(INDEX(Katalog!$A$3:$A$12,MATCH(Data[[#This Row],[ItemID B]],Katalog!$C$3:$C$12,0)),"-")</f>
        <v>-</v>
      </c>
      <c r="L900" t="str">
        <f>IFERROR(INDEX(Katalog!$B$3:$B$12,MATCH(Data[[#This Row],[ItemID B]],Katalog!$C$3:$C$12,0)),"-")</f>
        <v>-</v>
      </c>
      <c r="O900" s="36" t="str">
        <f>IFERROR(INDEX(Katalog!$D$3:$D$12,MATCH(Data[[#This Row],[ItemID B]],Katalog!$C$3:$C$12,0))*Data[[#This Row],[Qty B]],"0")</f>
        <v>0</v>
      </c>
      <c r="P900" s="36" t="str">
        <f>IFERROR(INDEX(Katalog!$F$3:$F$12,MATCH(Data[[#This Row],[ItemID B]],Katalog!$C$3:$C$12,0))*Data[[#This Row],[Qty B]],"0")</f>
        <v>0</v>
      </c>
      <c r="R900" t="str">
        <f>IFERROR(INDEX(Katalog!$A$3:$A$12,MATCH(Data[[#This Row],[ItemID C]],Katalog!$C$3:$C$12,0)),"-")</f>
        <v>-</v>
      </c>
      <c r="S900" t="str">
        <f>IFERROR(INDEX(Katalog!$B$3:$B$12,MATCH(Data[[#This Row],[ItemID C]],Katalog!$C$3:$C$12,0)),"-")</f>
        <v>-</v>
      </c>
      <c r="V900" s="36" t="str">
        <f>IFERROR(INDEX(Katalog!$D$3:$D$12,MATCH(Data[[#This Row],[ItemID C]],Katalog!$C$3:$C$12,0))*Data[[#This Row],[Qty C]],"0")</f>
        <v>0</v>
      </c>
      <c r="W900" s="36" t="str">
        <f>IFERROR(INDEX(Katalog!$F$3:$F$12,MATCH(Data[[#This Row],[ItemID C]],Katalog!$C$3:$C$12,0))*Data[[#This Row],[Qty C]],"0")</f>
        <v>0</v>
      </c>
      <c r="X900" s="21">
        <f>Data[[#This Row],[Qty A]]+Data[[#This Row],[Qty B]]+Data[[#This Row],[Qty C]]</f>
        <v>1</v>
      </c>
      <c r="Y900" s="22">
        <f>Data[[#This Row],[Harga Barang A]]+Data[[#This Row],[Harga Barang B]]+Data[[#This Row],[Harga Barang C]]</f>
        <v>350000</v>
      </c>
      <c r="Z900" s="35">
        <f>IFERROR(Data[[#This Row],[Total Harga]]-(Data[[#This Row],[Total Harga]]*Data[[#This Row],[Diskon]]),Data[[#This Row],[Total Harga]])</f>
        <v>297500</v>
      </c>
      <c r="AA900" s="35">
        <f>(Data[[#This Row],[Profit A]]+Data[[#This Row],[Profit B]]+Data[[#This Row],[Profit C]])</f>
        <v>130000</v>
      </c>
      <c r="AB900" s="35">
        <f>IFERROR((Data[[#This Row],[Profit non Diskon]]-(Data[[#This Row],[Profit non Diskon]]*Data[[#This Row],[Diskon]])),Data[[#This Row],[Profit non Diskon]])</f>
        <v>110500</v>
      </c>
      <c r="AC900" s="23" t="s">
        <v>32</v>
      </c>
      <c r="AD900" s="37">
        <f>IFERROR(INDEX('Kode Diskon'!$D$3:$D$9,MATCH(Data[[#This Row],[Kode diskon]],'Kode Diskon'!$C$3:$C$9,0)),"-")</f>
        <v>0.15</v>
      </c>
      <c r="AE900" s="23" t="s">
        <v>9</v>
      </c>
      <c r="AF900" s="23" t="s">
        <v>12</v>
      </c>
      <c r="AG900" s="23" t="s">
        <v>78</v>
      </c>
      <c r="AH900" s="24">
        <v>45039</v>
      </c>
      <c r="AI900" s="23" t="str">
        <f>TEXT(Data[[#This Row],[Tanggal terjual]],"dddd")</f>
        <v>Sunday</v>
      </c>
      <c r="AJ900" s="21" t="str">
        <f>TEXT(Data[[#This Row],[Tanggal terjual]],"wwww")</f>
        <v>wwww</v>
      </c>
    </row>
    <row r="901" spans="1:36" x14ac:dyDescent="0.2">
      <c r="A901" s="20">
        <v>900</v>
      </c>
      <c r="B901" s="21" t="str">
        <f>_xlfn.CONCAT("ORD-",INDEX(Helper!$B$2:$B$5,MATCH(Data[[#This Row],[Marketplace]],Helper!$A$2:$A$5,0)),TEXT(Data[[#This Row],[No]],"0000"),"-",TEXT(Data[[#This Row],[Tanggal terjual]],"dd/mm/yy"))</f>
        <v>ORD-TK0900-07/04/23</v>
      </c>
      <c r="C901" t="s">
        <v>60</v>
      </c>
      <c r="D901" t="str">
        <f>IFERROR(INDEX(Katalog!$A$3:$A$12,MATCH(Data[[#This Row],[ItemID A]],Katalog!$C$3:$C$12,0)),"-")</f>
        <v>Pakaian Wanita</v>
      </c>
      <c r="E901" t="str">
        <f>IFERROR(INDEX(Katalog!$B$3:$B$12,MATCH(Data[[#This Row],[ItemID A]],Katalog!$C$3:$C$12,0)),"-")</f>
        <v>Kaftan</v>
      </c>
      <c r="F901">
        <v>2</v>
      </c>
      <c r="G901">
        <v>2</v>
      </c>
      <c r="H901" s="36">
        <f>IFERROR(INDEX(Katalog!$D$3:$D$12,MATCH(Data[[#This Row],[ItemID A]],Katalog!$C$3:$C$12,0))*Data[[#This Row],[Qty A]],"0")</f>
        <v>500000</v>
      </c>
      <c r="I901" s="36">
        <f>IFERROR(INDEX(Katalog!$F$3:$F$12,MATCH(Data[[#This Row],[ItemID A]],Katalog!$C$3:$C$12,0))*Data[[#This Row],[Qty A]],0)</f>
        <v>200000</v>
      </c>
      <c r="J901" t="s">
        <v>65</v>
      </c>
      <c r="K901" t="str">
        <f>IFERROR(INDEX(Katalog!$A$3:$A$12,MATCH(Data[[#This Row],[ItemID B]],Katalog!$C$3:$C$12,0)),"-")</f>
        <v>Sepatu Pria</v>
      </c>
      <c r="L901" t="str">
        <f>IFERROR(INDEX(Katalog!$B$3:$B$12,MATCH(Data[[#This Row],[ItemID B]],Katalog!$C$3:$C$12,0)),"-")</f>
        <v>Sneakers</v>
      </c>
      <c r="M901">
        <v>2</v>
      </c>
      <c r="N901">
        <v>5</v>
      </c>
      <c r="O901" s="36">
        <f>IFERROR(INDEX(Katalog!$D$3:$D$12,MATCH(Data[[#This Row],[ItemID B]],Katalog!$C$3:$C$12,0))*Data[[#This Row],[Qty B]],"0")</f>
        <v>1000000</v>
      </c>
      <c r="P901" s="36">
        <f>IFERROR(INDEX(Katalog!$F$3:$F$12,MATCH(Data[[#This Row],[ItemID B]],Katalog!$C$3:$C$12,0))*Data[[#This Row],[Qty B]],"0")</f>
        <v>400000</v>
      </c>
      <c r="R901" t="str">
        <f>IFERROR(INDEX(Katalog!$A$3:$A$12,MATCH(Data[[#This Row],[ItemID C]],Katalog!$C$3:$C$12,0)),"-")</f>
        <v>-</v>
      </c>
      <c r="S901" t="str">
        <f>IFERROR(INDEX(Katalog!$B$3:$B$12,MATCH(Data[[#This Row],[ItemID C]],Katalog!$C$3:$C$12,0)),"-")</f>
        <v>-</v>
      </c>
      <c r="V901" s="36" t="str">
        <f>IFERROR(INDEX(Katalog!$D$3:$D$12,MATCH(Data[[#This Row],[ItemID C]],Katalog!$C$3:$C$12,0))*Data[[#This Row],[Qty C]],"0")</f>
        <v>0</v>
      </c>
      <c r="W901" s="36" t="str">
        <f>IFERROR(INDEX(Katalog!$F$3:$F$12,MATCH(Data[[#This Row],[ItemID C]],Katalog!$C$3:$C$12,0))*Data[[#This Row],[Qty C]],"0")</f>
        <v>0</v>
      </c>
      <c r="X901" s="21">
        <f>Data[[#This Row],[Qty A]]+Data[[#This Row],[Qty B]]+Data[[#This Row],[Qty C]]</f>
        <v>4</v>
      </c>
      <c r="Y901" s="22">
        <f>Data[[#This Row],[Harga Barang A]]+Data[[#This Row],[Harga Barang B]]+Data[[#This Row],[Harga Barang C]]</f>
        <v>1500000</v>
      </c>
      <c r="Z901" s="35">
        <f>IFERROR(Data[[#This Row],[Total Harga]]-(Data[[#This Row],[Total Harga]]*Data[[#This Row],[Diskon]]),Data[[#This Row],[Total Harga]])</f>
        <v>1500000</v>
      </c>
      <c r="AA901" s="35">
        <f>(Data[[#This Row],[Profit A]]+Data[[#This Row],[Profit B]]+Data[[#This Row],[Profit C]])</f>
        <v>600000</v>
      </c>
      <c r="AB901" s="35">
        <f>IFERROR((Data[[#This Row],[Profit non Diskon]]-(Data[[#This Row],[Profit non Diskon]]*Data[[#This Row],[Diskon]])),Data[[#This Row],[Profit non Diskon]])</f>
        <v>600000</v>
      </c>
      <c r="AC901" s="23" t="s">
        <v>11</v>
      </c>
      <c r="AD901" s="37" t="str">
        <f>IFERROR(INDEX('Kode Diskon'!$D$3:$D$9,MATCH(Data[[#This Row],[Kode diskon]],'Kode Diskon'!$C$3:$C$9,0)),"-")</f>
        <v>-</v>
      </c>
      <c r="AE901" s="23" t="s">
        <v>11</v>
      </c>
      <c r="AF901" s="23" t="s">
        <v>10</v>
      </c>
      <c r="AG901" s="23" t="s">
        <v>79</v>
      </c>
      <c r="AH901" s="24">
        <v>45023</v>
      </c>
      <c r="AI901" s="23" t="str">
        <f>TEXT(Data[[#This Row],[Tanggal terjual]],"dddd")</f>
        <v>Friday</v>
      </c>
      <c r="AJ901" s="21" t="str">
        <f>TEXT(Data[[#This Row],[Tanggal terjual]],"wwww")</f>
        <v>wwww</v>
      </c>
    </row>
    <row r="902" spans="1:36" x14ac:dyDescent="0.2">
      <c r="A902" s="20">
        <v>901</v>
      </c>
      <c r="B902" s="21" t="str">
        <f>_xlfn.CONCAT("ORD-",INDEX(Helper!$B$2:$B$5,MATCH(Data[[#This Row],[Marketplace]],Helper!$A$2:$A$5,0)),TEXT(Data[[#This Row],[No]],"0000"),"-",TEXT(Data[[#This Row],[Tanggal terjual]],"dd/mm/yy"))</f>
        <v>ORD-SP0901-13/04/23</v>
      </c>
      <c r="C902" t="s">
        <v>59</v>
      </c>
      <c r="D902" t="str">
        <f>IFERROR(INDEX(Katalog!$A$3:$A$12,MATCH(Data[[#This Row],[ItemID A]],Katalog!$C$3:$C$12,0)),"-")</f>
        <v>Pakaian Wanita</v>
      </c>
      <c r="E902" t="str">
        <f>IFERROR(INDEX(Katalog!$B$3:$B$12,MATCH(Data[[#This Row],[ItemID A]],Katalog!$C$3:$C$12,0)),"-")</f>
        <v>Blouse</v>
      </c>
      <c r="F902">
        <v>1</v>
      </c>
      <c r="G902">
        <v>5</v>
      </c>
      <c r="H902" s="36">
        <f>IFERROR(INDEX(Katalog!$D$3:$D$12,MATCH(Data[[#This Row],[ItemID A]],Katalog!$C$3:$C$12,0))*Data[[#This Row],[Qty A]],"0")</f>
        <v>150000</v>
      </c>
      <c r="I902" s="36">
        <f>IFERROR(INDEX(Katalog!$F$3:$F$12,MATCH(Data[[#This Row],[ItemID A]],Katalog!$C$3:$C$12,0))*Data[[#This Row],[Qty A]],0)</f>
        <v>50000</v>
      </c>
      <c r="K902" t="str">
        <f>IFERROR(INDEX(Katalog!$A$3:$A$12,MATCH(Data[[#This Row],[ItemID B]],Katalog!$C$3:$C$12,0)),"-")</f>
        <v>-</v>
      </c>
      <c r="L902" t="str">
        <f>IFERROR(INDEX(Katalog!$B$3:$B$12,MATCH(Data[[#This Row],[ItemID B]],Katalog!$C$3:$C$12,0)),"-")</f>
        <v>-</v>
      </c>
      <c r="O902" s="36" t="str">
        <f>IFERROR(INDEX(Katalog!$D$3:$D$12,MATCH(Data[[#This Row],[ItemID B]],Katalog!$C$3:$C$12,0))*Data[[#This Row],[Qty B]],"0")</f>
        <v>0</v>
      </c>
      <c r="P902" s="36" t="str">
        <f>IFERROR(INDEX(Katalog!$F$3:$F$12,MATCH(Data[[#This Row],[ItemID B]],Katalog!$C$3:$C$12,0))*Data[[#This Row],[Qty B]],"0")</f>
        <v>0</v>
      </c>
      <c r="R902" t="str">
        <f>IFERROR(INDEX(Katalog!$A$3:$A$12,MATCH(Data[[#This Row],[ItemID C]],Katalog!$C$3:$C$12,0)),"-")</f>
        <v>-</v>
      </c>
      <c r="S902" t="str">
        <f>IFERROR(INDEX(Katalog!$B$3:$B$12,MATCH(Data[[#This Row],[ItemID C]],Katalog!$C$3:$C$12,0)),"-")</f>
        <v>-</v>
      </c>
      <c r="V902" s="36" t="str">
        <f>IFERROR(INDEX(Katalog!$D$3:$D$12,MATCH(Data[[#This Row],[ItemID C]],Katalog!$C$3:$C$12,0))*Data[[#This Row],[Qty C]],"0")</f>
        <v>0</v>
      </c>
      <c r="W902" s="36" t="str">
        <f>IFERROR(INDEX(Katalog!$F$3:$F$12,MATCH(Data[[#This Row],[ItemID C]],Katalog!$C$3:$C$12,0))*Data[[#This Row],[Qty C]],"0")</f>
        <v>0</v>
      </c>
      <c r="X902" s="21">
        <f>Data[[#This Row],[Qty A]]+Data[[#This Row],[Qty B]]+Data[[#This Row],[Qty C]]</f>
        <v>1</v>
      </c>
      <c r="Y902" s="22">
        <f>Data[[#This Row],[Harga Barang A]]+Data[[#This Row],[Harga Barang B]]+Data[[#This Row],[Harga Barang C]]</f>
        <v>150000</v>
      </c>
      <c r="Z902" s="35">
        <f>IFERROR(Data[[#This Row],[Total Harga]]-(Data[[#This Row],[Total Harga]]*Data[[#This Row],[Diskon]]),Data[[#This Row],[Total Harga]])</f>
        <v>150000</v>
      </c>
      <c r="AA902" s="35">
        <f>(Data[[#This Row],[Profit A]]+Data[[#This Row],[Profit B]]+Data[[#This Row],[Profit C]])</f>
        <v>50000</v>
      </c>
      <c r="AB902" s="35">
        <f>IFERROR((Data[[#This Row],[Profit non Diskon]]-(Data[[#This Row],[Profit non Diskon]]*Data[[#This Row],[Diskon]])),Data[[#This Row],[Profit non Diskon]])</f>
        <v>50000</v>
      </c>
      <c r="AC902" s="23" t="s">
        <v>11</v>
      </c>
      <c r="AD902" s="37" t="str">
        <f>IFERROR(INDEX('Kode Diskon'!$D$3:$D$9,MATCH(Data[[#This Row],[Kode diskon]],'Kode Diskon'!$C$3:$C$9,0)),"-")</f>
        <v>-</v>
      </c>
      <c r="AE902" s="23" t="s">
        <v>11</v>
      </c>
      <c r="AF902" s="23" t="s">
        <v>7</v>
      </c>
      <c r="AG902" s="23" t="s">
        <v>75</v>
      </c>
      <c r="AH902" s="24">
        <v>45029</v>
      </c>
      <c r="AI902" s="23" t="str">
        <f>TEXT(Data[[#This Row],[Tanggal terjual]],"dddd")</f>
        <v>Thursday</v>
      </c>
      <c r="AJ902" s="21" t="str">
        <f>TEXT(Data[[#This Row],[Tanggal terjual]],"wwww")</f>
        <v>wwww</v>
      </c>
    </row>
    <row r="903" spans="1:36" x14ac:dyDescent="0.2">
      <c r="A903" s="20">
        <v>902</v>
      </c>
      <c r="B903" s="21" t="str">
        <f>_xlfn.CONCAT("ORD-",INDEX(Helper!$B$2:$B$5,MATCH(Data[[#This Row],[Marketplace]],Helper!$A$2:$A$5,0)),TEXT(Data[[#This Row],[No]],"0000"),"-",TEXT(Data[[#This Row],[Tanggal terjual]],"dd/mm/yy"))</f>
        <v>ORD-SP0902-05/04/23</v>
      </c>
      <c r="C903" t="s">
        <v>66</v>
      </c>
      <c r="D903" t="str">
        <f>IFERROR(INDEX(Katalog!$A$3:$A$12,MATCH(Data[[#This Row],[ItemID A]],Katalog!$C$3:$C$12,0)),"-")</f>
        <v>Sepatu Pria</v>
      </c>
      <c r="E903" t="str">
        <f>IFERROR(INDEX(Katalog!$B$3:$B$12,MATCH(Data[[#This Row],[ItemID A]],Katalog!$C$3:$C$12,0)),"-")</f>
        <v>Sandal Slip On</v>
      </c>
      <c r="F903">
        <v>3</v>
      </c>
      <c r="G903">
        <v>2</v>
      </c>
      <c r="H903" s="36">
        <f>IFERROR(INDEX(Katalog!$D$3:$D$12,MATCH(Data[[#This Row],[ItemID A]],Katalog!$C$3:$C$12,0))*Data[[#This Row],[Qty A]],"0")</f>
        <v>450000</v>
      </c>
      <c r="I903" s="36">
        <f>IFERROR(INDEX(Katalog!$F$3:$F$12,MATCH(Data[[#This Row],[ItemID A]],Katalog!$C$3:$C$12,0))*Data[[#This Row],[Qty A]],0)</f>
        <v>180000</v>
      </c>
      <c r="J903" t="s">
        <v>67</v>
      </c>
      <c r="K903" t="str">
        <f>IFERROR(INDEX(Katalog!$A$3:$A$12,MATCH(Data[[#This Row],[ItemID B]],Katalog!$C$3:$C$12,0)),"-")</f>
        <v>Sepatu Wanita</v>
      </c>
      <c r="L903" t="str">
        <f>IFERROR(INDEX(Katalog!$B$3:$B$12,MATCH(Data[[#This Row],[ItemID B]],Katalog!$C$3:$C$12,0)),"-")</f>
        <v>Flat Shoes</v>
      </c>
      <c r="M903">
        <v>2</v>
      </c>
      <c r="N903">
        <v>1</v>
      </c>
      <c r="O903" s="36">
        <f>IFERROR(INDEX(Katalog!$D$3:$D$12,MATCH(Data[[#This Row],[ItemID B]],Katalog!$C$3:$C$12,0))*Data[[#This Row],[Qty B]],"0")</f>
        <v>500000</v>
      </c>
      <c r="P903" s="36">
        <f>IFERROR(INDEX(Katalog!$F$3:$F$12,MATCH(Data[[#This Row],[ItemID B]],Katalog!$C$3:$C$12,0))*Data[[#This Row],[Qty B]],"0")</f>
        <v>200000</v>
      </c>
      <c r="R903" t="str">
        <f>IFERROR(INDEX(Katalog!$A$3:$A$12,MATCH(Data[[#This Row],[ItemID C]],Katalog!$C$3:$C$12,0)),"-")</f>
        <v>-</v>
      </c>
      <c r="S903" t="str">
        <f>IFERROR(INDEX(Katalog!$B$3:$B$12,MATCH(Data[[#This Row],[ItemID C]],Katalog!$C$3:$C$12,0)),"-")</f>
        <v>-</v>
      </c>
      <c r="V903" s="36" t="str">
        <f>IFERROR(INDEX(Katalog!$D$3:$D$12,MATCH(Data[[#This Row],[ItemID C]],Katalog!$C$3:$C$12,0))*Data[[#This Row],[Qty C]],"0")</f>
        <v>0</v>
      </c>
      <c r="W903" s="36" t="str">
        <f>IFERROR(INDEX(Katalog!$F$3:$F$12,MATCH(Data[[#This Row],[ItemID C]],Katalog!$C$3:$C$12,0))*Data[[#This Row],[Qty C]],"0")</f>
        <v>0</v>
      </c>
      <c r="X903" s="21">
        <f>Data[[#This Row],[Qty A]]+Data[[#This Row],[Qty B]]+Data[[#This Row],[Qty C]]</f>
        <v>5</v>
      </c>
      <c r="Y903" s="22">
        <f>Data[[#This Row],[Harga Barang A]]+Data[[#This Row],[Harga Barang B]]+Data[[#This Row],[Harga Barang C]]</f>
        <v>950000</v>
      </c>
      <c r="Z903" s="35">
        <f>IFERROR(Data[[#This Row],[Total Harga]]-(Data[[#This Row],[Total Harga]]*Data[[#This Row],[Diskon]]),Data[[#This Row],[Total Harga]])</f>
        <v>855000</v>
      </c>
      <c r="AA903" s="35">
        <f>(Data[[#This Row],[Profit A]]+Data[[#This Row],[Profit B]]+Data[[#This Row],[Profit C]])</f>
        <v>380000</v>
      </c>
      <c r="AB903" s="35">
        <f>IFERROR((Data[[#This Row],[Profit non Diskon]]-(Data[[#This Row],[Profit non Diskon]]*Data[[#This Row],[Diskon]])),Data[[#This Row],[Profit non Diskon]])</f>
        <v>342000</v>
      </c>
      <c r="AC903" s="23" t="s">
        <v>6</v>
      </c>
      <c r="AD903" s="37">
        <f>IFERROR(INDEX('Kode Diskon'!$D$3:$D$9,MATCH(Data[[#This Row],[Kode diskon]],'Kode Diskon'!$C$3:$C$9,0)),"-")</f>
        <v>0.1</v>
      </c>
      <c r="AE903" s="23" t="s">
        <v>29</v>
      </c>
      <c r="AF903" s="23" t="s">
        <v>7</v>
      </c>
      <c r="AG903" s="23" t="s">
        <v>76</v>
      </c>
      <c r="AH903" s="24">
        <v>45021</v>
      </c>
      <c r="AI903" s="23" t="str">
        <f>TEXT(Data[[#This Row],[Tanggal terjual]],"dddd")</f>
        <v>Wednesday</v>
      </c>
      <c r="AJ903" s="21" t="str">
        <f>TEXT(Data[[#This Row],[Tanggal terjual]],"wwww")</f>
        <v>wwww</v>
      </c>
    </row>
    <row r="904" spans="1:36" x14ac:dyDescent="0.2">
      <c r="A904" s="20">
        <v>903</v>
      </c>
      <c r="B904" s="21" t="str">
        <f>_xlfn.CONCAT("ORD-",INDEX(Helper!$B$2:$B$5,MATCH(Data[[#This Row],[Marketplace]],Helper!$A$2:$A$5,0)),TEXT(Data[[#This Row],[No]],"0000"),"-",TEXT(Data[[#This Row],[Tanggal terjual]],"dd/mm/yy"))</f>
        <v>ORD-TK0903-26/04/23</v>
      </c>
      <c r="C904" t="s">
        <v>64</v>
      </c>
      <c r="D904" t="str">
        <f>IFERROR(INDEX(Katalog!$A$3:$A$12,MATCH(Data[[#This Row],[ItemID A]],Katalog!$C$3:$C$12,0)),"-")</f>
        <v>Pakaian Unisex</v>
      </c>
      <c r="E904" t="str">
        <f>IFERROR(INDEX(Katalog!$B$3:$B$12,MATCH(Data[[#This Row],[ItemID A]],Katalog!$C$3:$C$12,0)),"-")</f>
        <v>Jaket Hoodie</v>
      </c>
      <c r="F904">
        <v>2</v>
      </c>
      <c r="G904">
        <v>5</v>
      </c>
      <c r="H904" s="36">
        <f>IFERROR(INDEX(Katalog!$D$3:$D$12,MATCH(Data[[#This Row],[ItemID A]],Katalog!$C$3:$C$12,0))*Data[[#This Row],[Qty A]],"0")</f>
        <v>700000</v>
      </c>
      <c r="I904" s="36">
        <f>IFERROR(INDEX(Katalog!$F$3:$F$12,MATCH(Data[[#This Row],[ItemID A]],Katalog!$C$3:$C$12,0))*Data[[#This Row],[Qty A]],0)</f>
        <v>260000</v>
      </c>
      <c r="K904" t="str">
        <f>IFERROR(INDEX(Katalog!$A$3:$A$12,MATCH(Data[[#This Row],[ItemID B]],Katalog!$C$3:$C$12,0)),"-")</f>
        <v>-</v>
      </c>
      <c r="L904" t="str">
        <f>IFERROR(INDEX(Katalog!$B$3:$B$12,MATCH(Data[[#This Row],[ItemID B]],Katalog!$C$3:$C$12,0)),"-")</f>
        <v>-</v>
      </c>
      <c r="O904" s="36" t="str">
        <f>IFERROR(INDEX(Katalog!$D$3:$D$12,MATCH(Data[[#This Row],[ItemID B]],Katalog!$C$3:$C$12,0))*Data[[#This Row],[Qty B]],"0")</f>
        <v>0</v>
      </c>
      <c r="P904" s="36" t="str">
        <f>IFERROR(INDEX(Katalog!$F$3:$F$12,MATCH(Data[[#This Row],[ItemID B]],Katalog!$C$3:$C$12,0))*Data[[#This Row],[Qty B]],"0")</f>
        <v>0</v>
      </c>
      <c r="R904" t="str">
        <f>IFERROR(INDEX(Katalog!$A$3:$A$12,MATCH(Data[[#This Row],[ItemID C]],Katalog!$C$3:$C$12,0)),"-")</f>
        <v>-</v>
      </c>
      <c r="S904" t="str">
        <f>IFERROR(INDEX(Katalog!$B$3:$B$12,MATCH(Data[[#This Row],[ItemID C]],Katalog!$C$3:$C$12,0)),"-")</f>
        <v>-</v>
      </c>
      <c r="V904" s="36" t="str">
        <f>IFERROR(INDEX(Katalog!$D$3:$D$12,MATCH(Data[[#This Row],[ItemID C]],Katalog!$C$3:$C$12,0))*Data[[#This Row],[Qty C]],"0")</f>
        <v>0</v>
      </c>
      <c r="W904" s="36" t="str">
        <f>IFERROR(INDEX(Katalog!$F$3:$F$12,MATCH(Data[[#This Row],[ItemID C]],Katalog!$C$3:$C$12,0))*Data[[#This Row],[Qty C]],"0")</f>
        <v>0</v>
      </c>
      <c r="X904" s="21">
        <f>Data[[#This Row],[Qty A]]+Data[[#This Row],[Qty B]]+Data[[#This Row],[Qty C]]</f>
        <v>2</v>
      </c>
      <c r="Y904" s="22">
        <f>Data[[#This Row],[Harga Barang A]]+Data[[#This Row],[Harga Barang B]]+Data[[#This Row],[Harga Barang C]]</f>
        <v>700000</v>
      </c>
      <c r="Z904" s="35">
        <f>IFERROR(Data[[#This Row],[Total Harga]]-(Data[[#This Row],[Total Harga]]*Data[[#This Row],[Diskon]]),Data[[#This Row],[Total Harga]])</f>
        <v>630000</v>
      </c>
      <c r="AA904" s="35">
        <f>(Data[[#This Row],[Profit A]]+Data[[#This Row],[Profit B]]+Data[[#This Row],[Profit C]])</f>
        <v>260000</v>
      </c>
      <c r="AB904" s="35">
        <f>IFERROR((Data[[#This Row],[Profit non Diskon]]-(Data[[#This Row],[Profit non Diskon]]*Data[[#This Row],[Diskon]])),Data[[#This Row],[Profit non Diskon]])</f>
        <v>234000</v>
      </c>
      <c r="AC904" s="23" t="s">
        <v>31</v>
      </c>
      <c r="AD904" s="37">
        <f>IFERROR(INDEX('Kode Diskon'!$D$3:$D$9,MATCH(Data[[#This Row],[Kode diskon]],'Kode Diskon'!$C$3:$C$9,0)),"-")</f>
        <v>0.1</v>
      </c>
      <c r="AE904" s="23" t="s">
        <v>9</v>
      </c>
      <c r="AF904" s="23" t="s">
        <v>10</v>
      </c>
      <c r="AG904" s="23" t="s">
        <v>77</v>
      </c>
      <c r="AH904" s="24">
        <v>45042</v>
      </c>
      <c r="AI904" s="23" t="str">
        <f>TEXT(Data[[#This Row],[Tanggal terjual]],"dddd")</f>
        <v>Wednesday</v>
      </c>
      <c r="AJ904" s="21" t="str">
        <f>TEXT(Data[[#This Row],[Tanggal terjual]],"wwww")</f>
        <v>wwww</v>
      </c>
    </row>
    <row r="905" spans="1:36" x14ac:dyDescent="0.2">
      <c r="A905" s="20">
        <v>904</v>
      </c>
      <c r="B905" s="21" t="str">
        <f>_xlfn.CONCAT("ORD-",INDEX(Helper!$B$2:$B$5,MATCH(Data[[#This Row],[Marketplace]],Helper!$A$2:$A$5,0)),TEXT(Data[[#This Row],[No]],"0000"),"-",TEXT(Data[[#This Row],[Tanggal terjual]],"dd/mm/yy"))</f>
        <v>ORD-TK0904-29/04/23</v>
      </c>
      <c r="C905" t="s">
        <v>65</v>
      </c>
      <c r="D905" t="str">
        <f>IFERROR(INDEX(Katalog!$A$3:$A$12,MATCH(Data[[#This Row],[ItemID A]],Katalog!$C$3:$C$12,0)),"-")</f>
        <v>Sepatu Pria</v>
      </c>
      <c r="E905" t="str">
        <f>IFERROR(INDEX(Katalog!$B$3:$B$12,MATCH(Data[[#This Row],[ItemID A]],Katalog!$C$3:$C$12,0)),"-")</f>
        <v>Sneakers</v>
      </c>
      <c r="F905">
        <v>4</v>
      </c>
      <c r="G905">
        <v>4</v>
      </c>
      <c r="H905" s="36">
        <f>IFERROR(INDEX(Katalog!$D$3:$D$12,MATCH(Data[[#This Row],[ItemID A]],Katalog!$C$3:$C$12,0))*Data[[#This Row],[Qty A]],"0")</f>
        <v>2000000</v>
      </c>
      <c r="I905" s="36">
        <f>IFERROR(INDEX(Katalog!$F$3:$F$12,MATCH(Data[[#This Row],[ItemID A]],Katalog!$C$3:$C$12,0))*Data[[#This Row],[Qty A]],0)</f>
        <v>800000</v>
      </c>
      <c r="J905" t="s">
        <v>66</v>
      </c>
      <c r="K905" t="str">
        <f>IFERROR(INDEX(Katalog!$A$3:$A$12,MATCH(Data[[#This Row],[ItemID B]],Katalog!$C$3:$C$12,0)),"-")</f>
        <v>Sepatu Pria</v>
      </c>
      <c r="L905" t="str">
        <f>IFERROR(INDEX(Katalog!$B$3:$B$12,MATCH(Data[[#This Row],[ItemID B]],Katalog!$C$3:$C$12,0)),"-")</f>
        <v>Sandal Slip On</v>
      </c>
      <c r="M905">
        <v>1</v>
      </c>
      <c r="N905">
        <v>5</v>
      </c>
      <c r="O905" s="36">
        <f>IFERROR(INDEX(Katalog!$D$3:$D$12,MATCH(Data[[#This Row],[ItemID B]],Katalog!$C$3:$C$12,0))*Data[[#This Row],[Qty B]],"0")</f>
        <v>150000</v>
      </c>
      <c r="P905" s="36">
        <f>IFERROR(INDEX(Katalog!$F$3:$F$12,MATCH(Data[[#This Row],[ItemID B]],Katalog!$C$3:$C$12,0))*Data[[#This Row],[Qty B]],"0")</f>
        <v>60000</v>
      </c>
      <c r="Q905" t="s">
        <v>63</v>
      </c>
      <c r="R905" t="str">
        <f>IFERROR(INDEX(Katalog!$A$3:$A$12,MATCH(Data[[#This Row],[ItemID C]],Katalog!$C$3:$C$12,0)),"-")</f>
        <v>Pakaian Pria</v>
      </c>
      <c r="S905" t="str">
        <f>IFERROR(INDEX(Katalog!$B$3:$B$12,MATCH(Data[[#This Row],[ItemID C]],Katalog!$C$3:$C$12,0)),"-")</f>
        <v>Jaket Jeans</v>
      </c>
      <c r="T905">
        <v>1</v>
      </c>
      <c r="U905">
        <v>4</v>
      </c>
      <c r="V905" s="36">
        <f>IFERROR(INDEX(Katalog!$D$3:$D$12,MATCH(Data[[#This Row],[ItemID C]],Katalog!$C$3:$C$12,0))*Data[[#This Row],[Qty C]],"0")</f>
        <v>400000</v>
      </c>
      <c r="W905" s="36">
        <f>IFERROR(INDEX(Katalog!$F$3:$F$12,MATCH(Data[[#This Row],[ItemID C]],Katalog!$C$3:$C$12,0))*Data[[#This Row],[Qty C]],"0")</f>
        <v>150000</v>
      </c>
      <c r="X905" s="21">
        <f>Data[[#This Row],[Qty A]]+Data[[#This Row],[Qty B]]+Data[[#This Row],[Qty C]]</f>
        <v>6</v>
      </c>
      <c r="Y905" s="22">
        <f>Data[[#This Row],[Harga Barang A]]+Data[[#This Row],[Harga Barang B]]+Data[[#This Row],[Harga Barang C]]</f>
        <v>2550000</v>
      </c>
      <c r="Z905" s="35">
        <f>IFERROR(Data[[#This Row],[Total Harga]]-(Data[[#This Row],[Total Harga]]*Data[[#This Row],[Diskon]]),Data[[#This Row],[Total Harga]])</f>
        <v>2295000</v>
      </c>
      <c r="AA905" s="35">
        <f>(Data[[#This Row],[Profit A]]+Data[[#This Row],[Profit B]]+Data[[#This Row],[Profit C]])</f>
        <v>1010000</v>
      </c>
      <c r="AB905" s="35">
        <f>IFERROR((Data[[#This Row],[Profit non Diskon]]-(Data[[#This Row],[Profit non Diskon]]*Data[[#This Row],[Diskon]])),Data[[#This Row],[Profit non Diskon]])</f>
        <v>909000</v>
      </c>
      <c r="AC905" s="23" t="s">
        <v>31</v>
      </c>
      <c r="AD905" s="37">
        <f>IFERROR(INDEX('Kode Diskon'!$D$3:$D$9,MATCH(Data[[#This Row],[Kode diskon]],'Kode Diskon'!$C$3:$C$9,0)),"-")</f>
        <v>0.1</v>
      </c>
      <c r="AE905" s="23" t="s">
        <v>9</v>
      </c>
      <c r="AF905" s="23" t="s">
        <v>10</v>
      </c>
      <c r="AG905" s="23" t="s">
        <v>80</v>
      </c>
      <c r="AH905" s="24">
        <v>45045</v>
      </c>
      <c r="AI905" s="23" t="str">
        <f>TEXT(Data[[#This Row],[Tanggal terjual]],"dddd")</f>
        <v>Saturday</v>
      </c>
      <c r="AJ905" s="21" t="str">
        <f>TEXT(Data[[#This Row],[Tanggal terjual]],"wwww")</f>
        <v>wwww</v>
      </c>
    </row>
    <row r="906" spans="1:36" x14ac:dyDescent="0.2">
      <c r="A906" s="20">
        <v>905</v>
      </c>
      <c r="B906" s="21" t="str">
        <f>_xlfn.CONCAT("ORD-",INDEX(Helper!$B$2:$B$5,MATCH(Data[[#This Row],[Marketplace]],Helper!$A$2:$A$5,0)),TEXT(Data[[#This Row],[No]],"0000"),"-",TEXT(Data[[#This Row],[Tanggal terjual]],"dd/mm/yy"))</f>
        <v>ORD-SP0905-06/04/23</v>
      </c>
      <c r="C906" t="s">
        <v>65</v>
      </c>
      <c r="D906" t="str">
        <f>IFERROR(INDEX(Katalog!$A$3:$A$12,MATCH(Data[[#This Row],[ItemID A]],Katalog!$C$3:$C$12,0)),"-")</f>
        <v>Sepatu Pria</v>
      </c>
      <c r="E906" t="str">
        <f>IFERROR(INDEX(Katalog!$B$3:$B$12,MATCH(Data[[#This Row],[ItemID A]],Katalog!$C$3:$C$12,0)),"-")</f>
        <v>Sneakers</v>
      </c>
      <c r="F906">
        <v>3</v>
      </c>
      <c r="G906">
        <v>4</v>
      </c>
      <c r="H906" s="36">
        <f>IFERROR(INDEX(Katalog!$D$3:$D$12,MATCH(Data[[#This Row],[ItemID A]],Katalog!$C$3:$C$12,0))*Data[[#This Row],[Qty A]],"0")</f>
        <v>1500000</v>
      </c>
      <c r="I906" s="36">
        <f>IFERROR(INDEX(Katalog!$F$3:$F$12,MATCH(Data[[#This Row],[ItemID A]],Katalog!$C$3:$C$12,0))*Data[[#This Row],[Qty A]],0)</f>
        <v>600000</v>
      </c>
      <c r="J906" t="s">
        <v>63</v>
      </c>
      <c r="K906" t="str">
        <f>IFERROR(INDEX(Katalog!$A$3:$A$12,MATCH(Data[[#This Row],[ItemID B]],Katalog!$C$3:$C$12,0)),"-")</f>
        <v>Pakaian Pria</v>
      </c>
      <c r="L906" t="str">
        <f>IFERROR(INDEX(Katalog!$B$3:$B$12,MATCH(Data[[#This Row],[ItemID B]],Katalog!$C$3:$C$12,0)),"-")</f>
        <v>Jaket Jeans</v>
      </c>
      <c r="M906">
        <v>1</v>
      </c>
      <c r="N906">
        <v>2</v>
      </c>
      <c r="O906" s="36">
        <f>IFERROR(INDEX(Katalog!$D$3:$D$12,MATCH(Data[[#This Row],[ItemID B]],Katalog!$C$3:$C$12,0))*Data[[#This Row],[Qty B]],"0")</f>
        <v>400000</v>
      </c>
      <c r="P906" s="36">
        <f>IFERROR(INDEX(Katalog!$F$3:$F$12,MATCH(Data[[#This Row],[ItemID B]],Katalog!$C$3:$C$12,0))*Data[[#This Row],[Qty B]],"0")</f>
        <v>150000</v>
      </c>
      <c r="Q906" t="s">
        <v>63</v>
      </c>
      <c r="R906" t="str">
        <f>IFERROR(INDEX(Katalog!$A$3:$A$12,MATCH(Data[[#This Row],[ItemID C]],Katalog!$C$3:$C$12,0)),"-")</f>
        <v>Pakaian Pria</v>
      </c>
      <c r="S906" t="str">
        <f>IFERROR(INDEX(Katalog!$B$3:$B$12,MATCH(Data[[#This Row],[ItemID C]],Katalog!$C$3:$C$12,0)),"-")</f>
        <v>Jaket Jeans</v>
      </c>
      <c r="T906">
        <v>2</v>
      </c>
      <c r="U906">
        <v>2</v>
      </c>
      <c r="V906" s="36">
        <f>IFERROR(INDEX(Katalog!$D$3:$D$12,MATCH(Data[[#This Row],[ItemID C]],Katalog!$C$3:$C$12,0))*Data[[#This Row],[Qty C]],"0")</f>
        <v>800000</v>
      </c>
      <c r="W906" s="36">
        <f>IFERROR(INDEX(Katalog!$F$3:$F$12,MATCH(Data[[#This Row],[ItemID C]],Katalog!$C$3:$C$12,0))*Data[[#This Row],[Qty C]],"0")</f>
        <v>300000</v>
      </c>
      <c r="X906" s="21">
        <f>Data[[#This Row],[Qty A]]+Data[[#This Row],[Qty B]]+Data[[#This Row],[Qty C]]</f>
        <v>6</v>
      </c>
      <c r="Y906" s="22">
        <f>Data[[#This Row],[Harga Barang A]]+Data[[#This Row],[Harga Barang B]]+Data[[#This Row],[Harga Barang C]]</f>
        <v>2700000</v>
      </c>
      <c r="Z906" s="35">
        <f>IFERROR(Data[[#This Row],[Total Harga]]-(Data[[#This Row],[Total Harga]]*Data[[#This Row],[Diskon]]),Data[[#This Row],[Total Harga]])</f>
        <v>2430000</v>
      </c>
      <c r="AA906" s="35">
        <f>(Data[[#This Row],[Profit A]]+Data[[#This Row],[Profit B]]+Data[[#This Row],[Profit C]])</f>
        <v>1050000</v>
      </c>
      <c r="AB906" s="35">
        <f>IFERROR((Data[[#This Row],[Profit non Diskon]]-(Data[[#This Row],[Profit non Diskon]]*Data[[#This Row],[Diskon]])),Data[[#This Row],[Profit non Diskon]])</f>
        <v>945000</v>
      </c>
      <c r="AC906" s="23" t="s">
        <v>6</v>
      </c>
      <c r="AD906" s="37">
        <f>IFERROR(INDEX('Kode Diskon'!$D$3:$D$9,MATCH(Data[[#This Row],[Kode diskon]],'Kode Diskon'!$C$3:$C$9,0)),"-")</f>
        <v>0.1</v>
      </c>
      <c r="AE906" s="23" t="s">
        <v>29</v>
      </c>
      <c r="AF906" s="23" t="s">
        <v>7</v>
      </c>
      <c r="AG906" s="23" t="s">
        <v>75</v>
      </c>
      <c r="AH906" s="24">
        <v>45022</v>
      </c>
      <c r="AI906" s="23" t="str">
        <f>TEXT(Data[[#This Row],[Tanggal terjual]],"dddd")</f>
        <v>Thursday</v>
      </c>
      <c r="AJ906" s="21" t="str">
        <f>TEXT(Data[[#This Row],[Tanggal terjual]],"wwww")</f>
        <v>wwww</v>
      </c>
    </row>
    <row r="907" spans="1:36" x14ac:dyDescent="0.2">
      <c r="A907" s="20">
        <v>906</v>
      </c>
      <c r="B907" s="21" t="str">
        <f>_xlfn.CONCAT("ORD-",INDEX(Helper!$B$2:$B$5,MATCH(Data[[#This Row],[Marketplace]],Helper!$A$2:$A$5,0)),TEXT(Data[[#This Row],[No]],"0000"),"-",TEXT(Data[[#This Row],[Tanggal terjual]],"dd/mm/yy"))</f>
        <v>ORD-SP0906-05/04/23</v>
      </c>
      <c r="C907" t="s">
        <v>63</v>
      </c>
      <c r="D907" t="str">
        <f>IFERROR(INDEX(Katalog!$A$3:$A$12,MATCH(Data[[#This Row],[ItemID A]],Katalog!$C$3:$C$12,0)),"-")</f>
        <v>Pakaian Pria</v>
      </c>
      <c r="E907" t="str">
        <f>IFERROR(INDEX(Katalog!$B$3:$B$12,MATCH(Data[[#This Row],[ItemID A]],Katalog!$C$3:$C$12,0)),"-")</f>
        <v>Jaket Jeans</v>
      </c>
      <c r="F907">
        <v>1</v>
      </c>
      <c r="G907">
        <v>4</v>
      </c>
      <c r="H907" s="36">
        <f>IFERROR(INDEX(Katalog!$D$3:$D$12,MATCH(Data[[#This Row],[ItemID A]],Katalog!$C$3:$C$12,0))*Data[[#This Row],[Qty A]],"0")</f>
        <v>400000</v>
      </c>
      <c r="I907" s="36">
        <f>IFERROR(INDEX(Katalog!$F$3:$F$12,MATCH(Data[[#This Row],[ItemID A]],Katalog!$C$3:$C$12,0))*Data[[#This Row],[Qty A]],0)</f>
        <v>150000</v>
      </c>
      <c r="J907" t="s">
        <v>66</v>
      </c>
      <c r="K907" t="str">
        <f>IFERROR(INDEX(Katalog!$A$3:$A$12,MATCH(Data[[#This Row],[ItemID B]],Katalog!$C$3:$C$12,0)),"-")</f>
        <v>Sepatu Pria</v>
      </c>
      <c r="L907" t="str">
        <f>IFERROR(INDEX(Katalog!$B$3:$B$12,MATCH(Data[[#This Row],[ItemID B]],Katalog!$C$3:$C$12,0)),"-")</f>
        <v>Sandal Slip On</v>
      </c>
      <c r="M907">
        <v>4</v>
      </c>
      <c r="N907">
        <v>5</v>
      </c>
      <c r="O907" s="36">
        <f>IFERROR(INDEX(Katalog!$D$3:$D$12,MATCH(Data[[#This Row],[ItemID B]],Katalog!$C$3:$C$12,0))*Data[[#This Row],[Qty B]],"0")</f>
        <v>600000</v>
      </c>
      <c r="P907" s="36">
        <f>IFERROR(INDEX(Katalog!$F$3:$F$12,MATCH(Data[[#This Row],[ItemID B]],Katalog!$C$3:$C$12,0))*Data[[#This Row],[Qty B]],"0")</f>
        <v>240000</v>
      </c>
      <c r="Q907" t="s">
        <v>63</v>
      </c>
      <c r="R907" t="str">
        <f>IFERROR(INDEX(Katalog!$A$3:$A$12,MATCH(Data[[#This Row],[ItemID C]],Katalog!$C$3:$C$12,0)),"-")</f>
        <v>Pakaian Pria</v>
      </c>
      <c r="S907" t="str">
        <f>IFERROR(INDEX(Katalog!$B$3:$B$12,MATCH(Data[[#This Row],[ItemID C]],Katalog!$C$3:$C$12,0)),"-")</f>
        <v>Jaket Jeans</v>
      </c>
      <c r="T907">
        <v>1</v>
      </c>
      <c r="U907">
        <v>4</v>
      </c>
      <c r="V907" s="36">
        <f>IFERROR(INDEX(Katalog!$D$3:$D$12,MATCH(Data[[#This Row],[ItemID C]],Katalog!$C$3:$C$12,0))*Data[[#This Row],[Qty C]],"0")</f>
        <v>400000</v>
      </c>
      <c r="W907" s="36">
        <f>IFERROR(INDEX(Katalog!$F$3:$F$12,MATCH(Data[[#This Row],[ItemID C]],Katalog!$C$3:$C$12,0))*Data[[#This Row],[Qty C]],"0")</f>
        <v>150000</v>
      </c>
      <c r="X907" s="21">
        <f>Data[[#This Row],[Qty A]]+Data[[#This Row],[Qty B]]+Data[[#This Row],[Qty C]]</f>
        <v>6</v>
      </c>
      <c r="Y907" s="22">
        <f>Data[[#This Row],[Harga Barang A]]+Data[[#This Row],[Harga Barang B]]+Data[[#This Row],[Harga Barang C]]</f>
        <v>1400000</v>
      </c>
      <c r="Z907" s="35">
        <f>IFERROR(Data[[#This Row],[Total Harga]]-(Data[[#This Row],[Total Harga]]*Data[[#This Row],[Diskon]]),Data[[#This Row],[Total Harga]])</f>
        <v>1190000</v>
      </c>
      <c r="AA907" s="35">
        <f>(Data[[#This Row],[Profit A]]+Data[[#This Row],[Profit B]]+Data[[#This Row],[Profit C]])</f>
        <v>540000</v>
      </c>
      <c r="AB907" s="35">
        <f>IFERROR((Data[[#This Row],[Profit non Diskon]]-(Data[[#This Row],[Profit non Diskon]]*Data[[#This Row],[Diskon]])),Data[[#This Row],[Profit non Diskon]])</f>
        <v>459000</v>
      </c>
      <c r="AC907" s="23" t="s">
        <v>13</v>
      </c>
      <c r="AD907" s="37">
        <f>IFERROR(INDEX('Kode Diskon'!$D$3:$D$9,MATCH(Data[[#This Row],[Kode diskon]],'Kode Diskon'!$C$3:$C$9,0)),"-")</f>
        <v>0.15</v>
      </c>
      <c r="AE907" s="23" t="s">
        <v>29</v>
      </c>
      <c r="AF907" s="23" t="s">
        <v>7</v>
      </c>
      <c r="AG907" s="23" t="s">
        <v>80</v>
      </c>
      <c r="AH907" s="24">
        <v>45021</v>
      </c>
      <c r="AI907" s="23" t="str">
        <f>TEXT(Data[[#This Row],[Tanggal terjual]],"dddd")</f>
        <v>Wednesday</v>
      </c>
      <c r="AJ907" s="21" t="str">
        <f>TEXT(Data[[#This Row],[Tanggal terjual]],"wwww")</f>
        <v>wwww</v>
      </c>
    </row>
    <row r="908" spans="1:36" x14ac:dyDescent="0.2">
      <c r="A908" s="20">
        <v>907</v>
      </c>
      <c r="B908" s="21" t="str">
        <f>_xlfn.CONCAT("ORD-",INDEX(Helper!$B$2:$B$5,MATCH(Data[[#This Row],[Marketplace]],Helper!$A$2:$A$5,0)),TEXT(Data[[#This Row],[No]],"0000"),"-",TEXT(Data[[#This Row],[Tanggal terjual]],"dd/mm/yy"))</f>
        <v>ORD-BL0907-19/04/23</v>
      </c>
      <c r="C908" t="s">
        <v>65</v>
      </c>
      <c r="D908" t="str">
        <f>IFERROR(INDEX(Katalog!$A$3:$A$12,MATCH(Data[[#This Row],[ItemID A]],Katalog!$C$3:$C$12,0)),"-")</f>
        <v>Sepatu Pria</v>
      </c>
      <c r="E908" t="str">
        <f>IFERROR(INDEX(Katalog!$B$3:$B$12,MATCH(Data[[#This Row],[ItemID A]],Katalog!$C$3:$C$12,0)),"-")</f>
        <v>Sneakers</v>
      </c>
      <c r="F908">
        <v>1</v>
      </c>
      <c r="G908">
        <v>2</v>
      </c>
      <c r="H908" s="36">
        <f>IFERROR(INDEX(Katalog!$D$3:$D$12,MATCH(Data[[#This Row],[ItemID A]],Katalog!$C$3:$C$12,0))*Data[[#This Row],[Qty A]],"0")</f>
        <v>500000</v>
      </c>
      <c r="I908" s="36">
        <f>IFERROR(INDEX(Katalog!$F$3:$F$12,MATCH(Data[[#This Row],[ItemID A]],Katalog!$C$3:$C$12,0))*Data[[#This Row],[Qty A]],0)</f>
        <v>200000</v>
      </c>
      <c r="K908" t="str">
        <f>IFERROR(INDEX(Katalog!$A$3:$A$12,MATCH(Data[[#This Row],[ItemID B]],Katalog!$C$3:$C$12,0)),"-")</f>
        <v>-</v>
      </c>
      <c r="L908" t="str">
        <f>IFERROR(INDEX(Katalog!$B$3:$B$12,MATCH(Data[[#This Row],[ItemID B]],Katalog!$C$3:$C$12,0)),"-")</f>
        <v>-</v>
      </c>
      <c r="O908" s="36" t="str">
        <f>IFERROR(INDEX(Katalog!$D$3:$D$12,MATCH(Data[[#This Row],[ItemID B]],Katalog!$C$3:$C$12,0))*Data[[#This Row],[Qty B]],"0")</f>
        <v>0</v>
      </c>
      <c r="P908" s="36" t="str">
        <f>IFERROR(INDEX(Katalog!$F$3:$F$12,MATCH(Data[[#This Row],[ItemID B]],Katalog!$C$3:$C$12,0))*Data[[#This Row],[Qty B]],"0")</f>
        <v>0</v>
      </c>
      <c r="R908" t="str">
        <f>IFERROR(INDEX(Katalog!$A$3:$A$12,MATCH(Data[[#This Row],[ItemID C]],Katalog!$C$3:$C$12,0)),"-")</f>
        <v>-</v>
      </c>
      <c r="S908" t="str">
        <f>IFERROR(INDEX(Katalog!$B$3:$B$12,MATCH(Data[[#This Row],[ItemID C]],Katalog!$C$3:$C$12,0)),"-")</f>
        <v>-</v>
      </c>
      <c r="V908" s="36" t="str">
        <f>IFERROR(INDEX(Katalog!$D$3:$D$12,MATCH(Data[[#This Row],[ItemID C]],Katalog!$C$3:$C$12,0))*Data[[#This Row],[Qty C]],"0")</f>
        <v>0</v>
      </c>
      <c r="W908" s="36" t="str">
        <f>IFERROR(INDEX(Katalog!$F$3:$F$12,MATCH(Data[[#This Row],[ItemID C]],Katalog!$C$3:$C$12,0))*Data[[#This Row],[Qty C]],"0")</f>
        <v>0</v>
      </c>
      <c r="X908" s="21">
        <f>Data[[#This Row],[Qty A]]+Data[[#This Row],[Qty B]]+Data[[#This Row],[Qty C]]</f>
        <v>1</v>
      </c>
      <c r="Y908" s="22">
        <f>Data[[#This Row],[Harga Barang A]]+Data[[#This Row],[Harga Barang B]]+Data[[#This Row],[Harga Barang C]]</f>
        <v>500000</v>
      </c>
      <c r="Z908" s="35">
        <f>IFERROR(Data[[#This Row],[Total Harga]]-(Data[[#This Row],[Total Harga]]*Data[[#This Row],[Diskon]]),Data[[#This Row],[Total Harga]])</f>
        <v>425000</v>
      </c>
      <c r="AA908" s="35">
        <f>(Data[[#This Row],[Profit A]]+Data[[#This Row],[Profit B]]+Data[[#This Row],[Profit C]])</f>
        <v>200000</v>
      </c>
      <c r="AB908" s="35">
        <f>IFERROR((Data[[#This Row],[Profit non Diskon]]-(Data[[#This Row],[Profit non Diskon]]*Data[[#This Row],[Diskon]])),Data[[#This Row],[Profit non Diskon]])</f>
        <v>170000</v>
      </c>
      <c r="AC908" s="23" t="s">
        <v>32</v>
      </c>
      <c r="AD908" s="37">
        <f>IFERROR(INDEX('Kode Diskon'!$D$3:$D$9,MATCH(Data[[#This Row],[Kode diskon]],'Kode Diskon'!$C$3:$C$9,0)),"-")</f>
        <v>0.15</v>
      </c>
      <c r="AE908" s="23" t="s">
        <v>9</v>
      </c>
      <c r="AF908" s="23" t="s">
        <v>12</v>
      </c>
      <c r="AG908" s="23" t="s">
        <v>75</v>
      </c>
      <c r="AH908" s="24">
        <v>45035</v>
      </c>
      <c r="AI908" s="23" t="str">
        <f>TEXT(Data[[#This Row],[Tanggal terjual]],"dddd")</f>
        <v>Wednesday</v>
      </c>
      <c r="AJ908" s="21" t="str">
        <f>TEXT(Data[[#This Row],[Tanggal terjual]],"wwww")</f>
        <v>wwww</v>
      </c>
    </row>
    <row r="909" spans="1:36" x14ac:dyDescent="0.2">
      <c r="A909" s="20">
        <v>908</v>
      </c>
      <c r="B909" s="21" t="str">
        <f>_xlfn.CONCAT("ORD-",INDEX(Helper!$B$2:$B$5,MATCH(Data[[#This Row],[Marketplace]],Helper!$A$2:$A$5,0)),TEXT(Data[[#This Row],[No]],"0000"),"-",TEXT(Data[[#This Row],[Tanggal terjual]],"dd/mm/yy"))</f>
        <v>ORD-SP0908-11/04/23</v>
      </c>
      <c r="C909" t="s">
        <v>58</v>
      </c>
      <c r="D909" t="str">
        <f>IFERROR(INDEX(Katalog!$A$3:$A$12,MATCH(Data[[#This Row],[ItemID A]],Katalog!$C$3:$C$12,0)),"-")</f>
        <v>Pakaian Wanita</v>
      </c>
      <c r="E909" t="str">
        <f>IFERROR(INDEX(Katalog!$B$3:$B$12,MATCH(Data[[#This Row],[ItemID A]],Katalog!$C$3:$C$12,0)),"-")</f>
        <v>Dress</v>
      </c>
      <c r="F909">
        <v>2</v>
      </c>
      <c r="G909">
        <v>1</v>
      </c>
      <c r="H909" s="36">
        <f>IFERROR(INDEX(Katalog!$D$3:$D$12,MATCH(Data[[#This Row],[ItemID A]],Katalog!$C$3:$C$12,0))*Data[[#This Row],[Qty A]],"0")</f>
        <v>600000</v>
      </c>
      <c r="I909" s="36">
        <f>IFERROR(INDEX(Katalog!$F$3:$F$12,MATCH(Data[[#This Row],[ItemID A]],Katalog!$C$3:$C$12,0))*Data[[#This Row],[Qty A]],0)</f>
        <v>200000</v>
      </c>
      <c r="J909" t="s">
        <v>61</v>
      </c>
      <c r="K909" t="str">
        <f>IFERROR(INDEX(Katalog!$A$3:$A$12,MATCH(Data[[#This Row],[ItemID B]],Katalog!$C$3:$C$12,0)),"-")</f>
        <v>Pakaian Pria</v>
      </c>
      <c r="L909" t="str">
        <f>IFERROR(INDEX(Katalog!$B$3:$B$12,MATCH(Data[[#This Row],[ItemID B]],Katalog!$C$3:$C$12,0)),"-")</f>
        <v>Kaos Polo</v>
      </c>
      <c r="M909">
        <v>1</v>
      </c>
      <c r="N909">
        <v>1</v>
      </c>
      <c r="O909" s="36">
        <f>IFERROR(INDEX(Katalog!$D$3:$D$12,MATCH(Data[[#This Row],[ItemID B]],Katalog!$C$3:$C$12,0))*Data[[#This Row],[Qty B]],"0")</f>
        <v>200000</v>
      </c>
      <c r="P909" s="36">
        <f>IFERROR(INDEX(Katalog!$F$3:$F$12,MATCH(Data[[#This Row],[ItemID B]],Katalog!$C$3:$C$12,0))*Data[[#This Row],[Qty B]],"0")</f>
        <v>80000</v>
      </c>
      <c r="Q909" t="s">
        <v>65</v>
      </c>
      <c r="R909" t="str">
        <f>IFERROR(INDEX(Katalog!$A$3:$A$12,MATCH(Data[[#This Row],[ItemID C]],Katalog!$C$3:$C$12,0)),"-")</f>
        <v>Sepatu Pria</v>
      </c>
      <c r="S909" t="str">
        <f>IFERROR(INDEX(Katalog!$B$3:$B$12,MATCH(Data[[#This Row],[ItemID C]],Katalog!$C$3:$C$12,0)),"-")</f>
        <v>Sneakers</v>
      </c>
      <c r="T909">
        <v>2</v>
      </c>
      <c r="U909">
        <v>1</v>
      </c>
      <c r="V909" s="36">
        <f>IFERROR(INDEX(Katalog!$D$3:$D$12,MATCH(Data[[#This Row],[ItemID C]],Katalog!$C$3:$C$12,0))*Data[[#This Row],[Qty C]],"0")</f>
        <v>1000000</v>
      </c>
      <c r="W909" s="36">
        <f>IFERROR(INDEX(Katalog!$F$3:$F$12,MATCH(Data[[#This Row],[ItemID C]],Katalog!$C$3:$C$12,0))*Data[[#This Row],[Qty C]],"0")</f>
        <v>400000</v>
      </c>
      <c r="X909" s="21">
        <f>Data[[#This Row],[Qty A]]+Data[[#This Row],[Qty B]]+Data[[#This Row],[Qty C]]</f>
        <v>5</v>
      </c>
      <c r="Y909" s="22">
        <f>Data[[#This Row],[Harga Barang A]]+Data[[#This Row],[Harga Barang B]]+Data[[#This Row],[Harga Barang C]]</f>
        <v>1800000</v>
      </c>
      <c r="Z909" s="35">
        <f>IFERROR(Data[[#This Row],[Total Harga]]-(Data[[#This Row],[Total Harga]]*Data[[#This Row],[Diskon]]),Data[[#This Row],[Total Harga]])</f>
        <v>1800000</v>
      </c>
      <c r="AA909" s="35">
        <f>(Data[[#This Row],[Profit A]]+Data[[#This Row],[Profit B]]+Data[[#This Row],[Profit C]])</f>
        <v>680000</v>
      </c>
      <c r="AB909" s="35">
        <f>IFERROR((Data[[#This Row],[Profit non Diskon]]-(Data[[#This Row],[Profit non Diskon]]*Data[[#This Row],[Diskon]])),Data[[#This Row],[Profit non Diskon]])</f>
        <v>680000</v>
      </c>
      <c r="AC909" s="23" t="s">
        <v>11</v>
      </c>
      <c r="AD909" s="37" t="str">
        <f>IFERROR(INDEX('Kode Diskon'!$D$3:$D$9,MATCH(Data[[#This Row],[Kode diskon]],'Kode Diskon'!$C$3:$C$9,0)),"-")</f>
        <v>-</v>
      </c>
      <c r="AE909" s="23" t="s">
        <v>11</v>
      </c>
      <c r="AF909" s="23" t="s">
        <v>7</v>
      </c>
      <c r="AG909" s="23" t="s">
        <v>80</v>
      </c>
      <c r="AH909" s="24">
        <v>45027</v>
      </c>
      <c r="AI909" s="23" t="str">
        <f>TEXT(Data[[#This Row],[Tanggal terjual]],"dddd")</f>
        <v>Tuesday</v>
      </c>
      <c r="AJ909" s="21" t="str">
        <f>TEXT(Data[[#This Row],[Tanggal terjual]],"wwww")</f>
        <v>wwww</v>
      </c>
    </row>
    <row r="910" spans="1:36" x14ac:dyDescent="0.2">
      <c r="A910" s="20">
        <v>909</v>
      </c>
      <c r="B910" s="21" t="str">
        <f>_xlfn.CONCAT("ORD-",INDEX(Helper!$B$2:$B$5,MATCH(Data[[#This Row],[Marketplace]],Helper!$A$2:$A$5,0)),TEXT(Data[[#This Row],[No]],"0000"),"-",TEXT(Data[[#This Row],[Tanggal terjual]],"dd/mm/yy"))</f>
        <v>ORD-TK0909-01/04/23</v>
      </c>
      <c r="C910" t="s">
        <v>66</v>
      </c>
      <c r="D910" t="str">
        <f>IFERROR(INDEX(Katalog!$A$3:$A$12,MATCH(Data[[#This Row],[ItemID A]],Katalog!$C$3:$C$12,0)),"-")</f>
        <v>Sepatu Pria</v>
      </c>
      <c r="E910" t="str">
        <f>IFERROR(INDEX(Katalog!$B$3:$B$12,MATCH(Data[[#This Row],[ItemID A]],Katalog!$C$3:$C$12,0)),"-")</f>
        <v>Sandal Slip On</v>
      </c>
      <c r="F910">
        <v>1</v>
      </c>
      <c r="G910">
        <v>1</v>
      </c>
      <c r="H910" s="36">
        <f>IFERROR(INDEX(Katalog!$D$3:$D$12,MATCH(Data[[#This Row],[ItemID A]],Katalog!$C$3:$C$12,0))*Data[[#This Row],[Qty A]],"0")</f>
        <v>150000</v>
      </c>
      <c r="I910" s="36">
        <f>IFERROR(INDEX(Katalog!$F$3:$F$12,MATCH(Data[[#This Row],[ItemID A]],Katalog!$C$3:$C$12,0))*Data[[#This Row],[Qty A]],0)</f>
        <v>60000</v>
      </c>
      <c r="K910" t="str">
        <f>IFERROR(INDEX(Katalog!$A$3:$A$12,MATCH(Data[[#This Row],[ItemID B]],Katalog!$C$3:$C$12,0)),"-")</f>
        <v>-</v>
      </c>
      <c r="L910" t="str">
        <f>IFERROR(INDEX(Katalog!$B$3:$B$12,MATCH(Data[[#This Row],[ItemID B]],Katalog!$C$3:$C$12,0)),"-")</f>
        <v>-</v>
      </c>
      <c r="O910" s="36" t="str">
        <f>IFERROR(INDEX(Katalog!$D$3:$D$12,MATCH(Data[[#This Row],[ItemID B]],Katalog!$C$3:$C$12,0))*Data[[#This Row],[Qty B]],"0")</f>
        <v>0</v>
      </c>
      <c r="P910" s="36" t="str">
        <f>IFERROR(INDEX(Katalog!$F$3:$F$12,MATCH(Data[[#This Row],[ItemID B]],Katalog!$C$3:$C$12,0))*Data[[#This Row],[Qty B]],"0")</f>
        <v>0</v>
      </c>
      <c r="R910" t="str">
        <f>IFERROR(INDEX(Katalog!$A$3:$A$12,MATCH(Data[[#This Row],[ItemID C]],Katalog!$C$3:$C$12,0)),"-")</f>
        <v>-</v>
      </c>
      <c r="S910" t="str">
        <f>IFERROR(INDEX(Katalog!$B$3:$B$12,MATCH(Data[[#This Row],[ItemID C]],Katalog!$C$3:$C$12,0)),"-")</f>
        <v>-</v>
      </c>
      <c r="V910" s="36" t="str">
        <f>IFERROR(INDEX(Katalog!$D$3:$D$12,MATCH(Data[[#This Row],[ItemID C]],Katalog!$C$3:$C$12,0))*Data[[#This Row],[Qty C]],"0")</f>
        <v>0</v>
      </c>
      <c r="W910" s="36" t="str">
        <f>IFERROR(INDEX(Katalog!$F$3:$F$12,MATCH(Data[[#This Row],[ItemID C]],Katalog!$C$3:$C$12,0))*Data[[#This Row],[Qty C]],"0")</f>
        <v>0</v>
      </c>
      <c r="X910" s="21">
        <f>Data[[#This Row],[Qty A]]+Data[[#This Row],[Qty B]]+Data[[#This Row],[Qty C]]</f>
        <v>1</v>
      </c>
      <c r="Y910" s="22">
        <f>Data[[#This Row],[Harga Barang A]]+Data[[#This Row],[Harga Barang B]]+Data[[#This Row],[Harga Barang C]]</f>
        <v>150000</v>
      </c>
      <c r="Z910" s="35">
        <f>IFERROR(Data[[#This Row],[Total Harga]]-(Data[[#This Row],[Total Harga]]*Data[[#This Row],[Diskon]]),Data[[#This Row],[Total Harga]])</f>
        <v>135000</v>
      </c>
      <c r="AA910" s="35">
        <f>(Data[[#This Row],[Profit A]]+Data[[#This Row],[Profit B]]+Data[[#This Row],[Profit C]])</f>
        <v>60000</v>
      </c>
      <c r="AB910" s="35">
        <f>IFERROR((Data[[#This Row],[Profit non Diskon]]-(Data[[#This Row],[Profit non Diskon]]*Data[[#This Row],[Diskon]])),Data[[#This Row],[Profit non Diskon]])</f>
        <v>54000</v>
      </c>
      <c r="AC910" s="23" t="s">
        <v>30</v>
      </c>
      <c r="AD910" s="37">
        <f>IFERROR(INDEX('Kode Diskon'!$D$3:$D$9,MATCH(Data[[#This Row],[Kode diskon]],'Kode Diskon'!$C$3:$C$9,0)),"-")</f>
        <v>0.1</v>
      </c>
      <c r="AE910" s="23" t="s">
        <v>29</v>
      </c>
      <c r="AF910" s="23" t="s">
        <v>10</v>
      </c>
      <c r="AG910" s="23" t="s">
        <v>80</v>
      </c>
      <c r="AH910" s="24">
        <v>45017</v>
      </c>
      <c r="AI910" s="23" t="str">
        <f>TEXT(Data[[#This Row],[Tanggal terjual]],"dddd")</f>
        <v>Saturday</v>
      </c>
      <c r="AJ910" s="21" t="str">
        <f>TEXT(Data[[#This Row],[Tanggal terjual]],"wwww")</f>
        <v>wwww</v>
      </c>
    </row>
    <row r="911" spans="1:36" x14ac:dyDescent="0.2">
      <c r="A911" s="20">
        <v>910</v>
      </c>
      <c r="B911" s="21" t="str">
        <f>_xlfn.CONCAT("ORD-",INDEX(Helper!$B$2:$B$5,MATCH(Data[[#This Row],[Marketplace]],Helper!$A$2:$A$5,0)),TEXT(Data[[#This Row],[No]],"0000"),"-",TEXT(Data[[#This Row],[Tanggal terjual]],"dd/mm/yy"))</f>
        <v>ORD-SP0910-27/04/23</v>
      </c>
      <c r="C911" t="s">
        <v>65</v>
      </c>
      <c r="D911" t="str">
        <f>IFERROR(INDEX(Katalog!$A$3:$A$12,MATCH(Data[[#This Row],[ItemID A]],Katalog!$C$3:$C$12,0)),"-")</f>
        <v>Sepatu Pria</v>
      </c>
      <c r="E911" t="str">
        <f>IFERROR(INDEX(Katalog!$B$3:$B$12,MATCH(Data[[#This Row],[ItemID A]],Katalog!$C$3:$C$12,0)),"-")</f>
        <v>Sneakers</v>
      </c>
      <c r="F911">
        <v>6</v>
      </c>
      <c r="G911">
        <v>2</v>
      </c>
      <c r="H911" s="36">
        <f>IFERROR(INDEX(Katalog!$D$3:$D$12,MATCH(Data[[#This Row],[ItemID A]],Katalog!$C$3:$C$12,0))*Data[[#This Row],[Qty A]],"0")</f>
        <v>3000000</v>
      </c>
      <c r="I911" s="36">
        <f>IFERROR(INDEX(Katalog!$F$3:$F$12,MATCH(Data[[#This Row],[ItemID A]],Katalog!$C$3:$C$12,0))*Data[[#This Row],[Qty A]],0)</f>
        <v>1200000</v>
      </c>
      <c r="J911" t="s">
        <v>66</v>
      </c>
      <c r="K911" t="str">
        <f>IFERROR(INDEX(Katalog!$A$3:$A$12,MATCH(Data[[#This Row],[ItemID B]],Katalog!$C$3:$C$12,0)),"-")</f>
        <v>Sepatu Pria</v>
      </c>
      <c r="L911" t="str">
        <f>IFERROR(INDEX(Katalog!$B$3:$B$12,MATCH(Data[[#This Row],[ItemID B]],Katalog!$C$3:$C$12,0)),"-")</f>
        <v>Sandal Slip On</v>
      </c>
      <c r="M911">
        <v>1</v>
      </c>
      <c r="N911">
        <v>2</v>
      </c>
      <c r="O911" s="36">
        <f>IFERROR(INDEX(Katalog!$D$3:$D$12,MATCH(Data[[#This Row],[ItemID B]],Katalog!$C$3:$C$12,0))*Data[[#This Row],[Qty B]],"0")</f>
        <v>150000</v>
      </c>
      <c r="P911" s="36">
        <f>IFERROR(INDEX(Katalog!$F$3:$F$12,MATCH(Data[[#This Row],[ItemID B]],Katalog!$C$3:$C$12,0))*Data[[#This Row],[Qty B]],"0")</f>
        <v>60000</v>
      </c>
      <c r="R911" t="str">
        <f>IFERROR(INDEX(Katalog!$A$3:$A$12,MATCH(Data[[#This Row],[ItemID C]],Katalog!$C$3:$C$12,0)),"-")</f>
        <v>-</v>
      </c>
      <c r="S911" t="str">
        <f>IFERROR(INDEX(Katalog!$B$3:$B$12,MATCH(Data[[#This Row],[ItemID C]],Katalog!$C$3:$C$12,0)),"-")</f>
        <v>-</v>
      </c>
      <c r="V911" s="36" t="str">
        <f>IFERROR(INDEX(Katalog!$D$3:$D$12,MATCH(Data[[#This Row],[ItemID C]],Katalog!$C$3:$C$12,0))*Data[[#This Row],[Qty C]],"0")</f>
        <v>0</v>
      </c>
      <c r="W911" s="36" t="str">
        <f>IFERROR(INDEX(Katalog!$F$3:$F$12,MATCH(Data[[#This Row],[ItemID C]],Katalog!$C$3:$C$12,0))*Data[[#This Row],[Qty C]],"0")</f>
        <v>0</v>
      </c>
      <c r="X911" s="21">
        <f>Data[[#This Row],[Qty A]]+Data[[#This Row],[Qty B]]+Data[[#This Row],[Qty C]]</f>
        <v>7</v>
      </c>
      <c r="Y911" s="22">
        <f>Data[[#This Row],[Harga Barang A]]+Data[[#This Row],[Harga Barang B]]+Data[[#This Row],[Harga Barang C]]</f>
        <v>3150000</v>
      </c>
      <c r="Z911" s="35">
        <f>IFERROR(Data[[#This Row],[Total Harga]]-(Data[[#This Row],[Total Harga]]*Data[[#This Row],[Diskon]]),Data[[#This Row],[Total Harga]])</f>
        <v>2520000</v>
      </c>
      <c r="AA911" s="35">
        <f>(Data[[#This Row],[Profit A]]+Data[[#This Row],[Profit B]]+Data[[#This Row],[Profit C]])</f>
        <v>1260000</v>
      </c>
      <c r="AB911" s="35">
        <f>IFERROR((Data[[#This Row],[Profit non Diskon]]-(Data[[#This Row],[Profit non Diskon]]*Data[[#This Row],[Diskon]])),Data[[#This Row],[Profit non Diskon]])</f>
        <v>1008000</v>
      </c>
      <c r="AC911" s="23" t="s">
        <v>8</v>
      </c>
      <c r="AD911" s="37">
        <f>IFERROR(INDEX('Kode Diskon'!$D$3:$D$9,MATCH(Data[[#This Row],[Kode diskon]],'Kode Diskon'!$C$3:$C$9,0)),"-")</f>
        <v>0.2</v>
      </c>
      <c r="AE911" s="23" t="s">
        <v>9</v>
      </c>
      <c r="AF911" s="23" t="s">
        <v>7</v>
      </c>
      <c r="AG911" s="23" t="s">
        <v>75</v>
      </c>
      <c r="AH911" s="24">
        <v>45043</v>
      </c>
      <c r="AI911" s="23" t="str">
        <f>TEXT(Data[[#This Row],[Tanggal terjual]],"dddd")</f>
        <v>Thursday</v>
      </c>
      <c r="AJ911" s="21" t="str">
        <f>TEXT(Data[[#This Row],[Tanggal terjual]],"wwww")</f>
        <v>wwww</v>
      </c>
    </row>
    <row r="912" spans="1:36" x14ac:dyDescent="0.2">
      <c r="A912" s="20">
        <v>911</v>
      </c>
      <c r="B912" s="21" t="str">
        <f>_xlfn.CONCAT("ORD-",INDEX(Helper!$B$2:$B$5,MATCH(Data[[#This Row],[Marketplace]],Helper!$A$2:$A$5,0)),TEXT(Data[[#This Row],[No]],"0000"),"-",TEXT(Data[[#This Row],[Tanggal terjual]],"dd/mm/yy"))</f>
        <v>ORD-BB0911-03/04/23</v>
      </c>
      <c r="C912" t="s">
        <v>58</v>
      </c>
      <c r="D912" t="str">
        <f>IFERROR(INDEX(Katalog!$A$3:$A$12,MATCH(Data[[#This Row],[ItemID A]],Katalog!$C$3:$C$12,0)),"-")</f>
        <v>Pakaian Wanita</v>
      </c>
      <c r="E912" t="str">
        <f>IFERROR(INDEX(Katalog!$B$3:$B$12,MATCH(Data[[#This Row],[ItemID A]],Katalog!$C$3:$C$12,0)),"-")</f>
        <v>Dress</v>
      </c>
      <c r="F912">
        <v>6</v>
      </c>
      <c r="G912">
        <v>2</v>
      </c>
      <c r="H912" s="36">
        <f>IFERROR(INDEX(Katalog!$D$3:$D$12,MATCH(Data[[#This Row],[ItemID A]],Katalog!$C$3:$C$12,0))*Data[[#This Row],[Qty A]],"0")</f>
        <v>1800000</v>
      </c>
      <c r="I912" s="36">
        <f>IFERROR(INDEX(Katalog!$F$3:$F$12,MATCH(Data[[#This Row],[ItemID A]],Katalog!$C$3:$C$12,0))*Data[[#This Row],[Qty A]],0)</f>
        <v>600000</v>
      </c>
      <c r="K912" t="str">
        <f>IFERROR(INDEX(Katalog!$A$3:$A$12,MATCH(Data[[#This Row],[ItemID B]],Katalog!$C$3:$C$12,0)),"-")</f>
        <v>-</v>
      </c>
      <c r="L912" t="str">
        <f>IFERROR(INDEX(Katalog!$B$3:$B$12,MATCH(Data[[#This Row],[ItemID B]],Katalog!$C$3:$C$12,0)),"-")</f>
        <v>-</v>
      </c>
      <c r="O912" s="36" t="str">
        <f>IFERROR(INDEX(Katalog!$D$3:$D$12,MATCH(Data[[#This Row],[ItemID B]],Katalog!$C$3:$C$12,0))*Data[[#This Row],[Qty B]],"0")</f>
        <v>0</v>
      </c>
      <c r="P912" s="36" t="str">
        <f>IFERROR(INDEX(Katalog!$F$3:$F$12,MATCH(Data[[#This Row],[ItemID B]],Katalog!$C$3:$C$12,0))*Data[[#This Row],[Qty B]],"0")</f>
        <v>0</v>
      </c>
      <c r="R912" t="str">
        <f>IFERROR(INDEX(Katalog!$A$3:$A$12,MATCH(Data[[#This Row],[ItemID C]],Katalog!$C$3:$C$12,0)),"-")</f>
        <v>-</v>
      </c>
      <c r="S912" t="str">
        <f>IFERROR(INDEX(Katalog!$B$3:$B$12,MATCH(Data[[#This Row],[ItemID C]],Katalog!$C$3:$C$12,0)),"-")</f>
        <v>-</v>
      </c>
      <c r="V912" s="36" t="str">
        <f>IFERROR(INDEX(Katalog!$D$3:$D$12,MATCH(Data[[#This Row],[ItemID C]],Katalog!$C$3:$C$12,0))*Data[[#This Row],[Qty C]],"0")</f>
        <v>0</v>
      </c>
      <c r="W912" s="36" t="str">
        <f>IFERROR(INDEX(Katalog!$F$3:$F$12,MATCH(Data[[#This Row],[ItemID C]],Katalog!$C$3:$C$12,0))*Data[[#This Row],[Qty C]],"0")</f>
        <v>0</v>
      </c>
      <c r="X912" s="21">
        <f>Data[[#This Row],[Qty A]]+Data[[#This Row],[Qty B]]+Data[[#This Row],[Qty C]]</f>
        <v>6</v>
      </c>
      <c r="Y912" s="22">
        <f>Data[[#This Row],[Harga Barang A]]+Data[[#This Row],[Harga Barang B]]+Data[[#This Row],[Harga Barang C]]</f>
        <v>1800000</v>
      </c>
      <c r="Z912" s="35">
        <f>IFERROR(Data[[#This Row],[Total Harga]]-(Data[[#This Row],[Total Harga]]*Data[[#This Row],[Diskon]]),Data[[#This Row],[Total Harga]])</f>
        <v>1530000</v>
      </c>
      <c r="AA912" s="35">
        <f>(Data[[#This Row],[Profit A]]+Data[[#This Row],[Profit B]]+Data[[#This Row],[Profit C]])</f>
        <v>600000</v>
      </c>
      <c r="AB912" s="35">
        <f>IFERROR((Data[[#This Row],[Profit non Diskon]]-(Data[[#This Row],[Profit non Diskon]]*Data[[#This Row],[Diskon]])),Data[[#This Row],[Profit non Diskon]])</f>
        <v>510000</v>
      </c>
      <c r="AC912" s="23" t="s">
        <v>28</v>
      </c>
      <c r="AD912" s="37">
        <f>IFERROR(INDEX('Kode Diskon'!$D$3:$D$9,MATCH(Data[[#This Row],[Kode diskon]],'Kode Diskon'!$C$3:$C$9,0)),"-")</f>
        <v>0.15</v>
      </c>
      <c r="AE912" s="23" t="s">
        <v>29</v>
      </c>
      <c r="AF912" s="23" t="s">
        <v>14</v>
      </c>
      <c r="AG912" s="23" t="s">
        <v>79</v>
      </c>
      <c r="AH912" s="24">
        <v>45019</v>
      </c>
      <c r="AI912" s="23" t="str">
        <f>TEXT(Data[[#This Row],[Tanggal terjual]],"dddd")</f>
        <v>Monday</v>
      </c>
      <c r="AJ912" s="21" t="str">
        <f>TEXT(Data[[#This Row],[Tanggal terjual]],"wwww")</f>
        <v>wwww</v>
      </c>
    </row>
    <row r="913" spans="1:36" x14ac:dyDescent="0.2">
      <c r="A913" s="20">
        <v>912</v>
      </c>
      <c r="B913" s="21" t="str">
        <f>_xlfn.CONCAT("ORD-",INDEX(Helper!$B$2:$B$5,MATCH(Data[[#This Row],[Marketplace]],Helper!$A$2:$A$5,0)),TEXT(Data[[#This Row],[No]],"0000"),"-",TEXT(Data[[#This Row],[Tanggal terjual]],"dd/mm/yy"))</f>
        <v>ORD-TK0912-28/04/23</v>
      </c>
      <c r="C913" t="s">
        <v>59</v>
      </c>
      <c r="D913" t="str">
        <f>IFERROR(INDEX(Katalog!$A$3:$A$12,MATCH(Data[[#This Row],[ItemID A]],Katalog!$C$3:$C$12,0)),"-")</f>
        <v>Pakaian Wanita</v>
      </c>
      <c r="E913" t="str">
        <f>IFERROR(INDEX(Katalog!$B$3:$B$12,MATCH(Data[[#This Row],[ItemID A]],Katalog!$C$3:$C$12,0)),"-")</f>
        <v>Blouse</v>
      </c>
      <c r="F913">
        <v>6</v>
      </c>
      <c r="G913">
        <v>2</v>
      </c>
      <c r="H913" s="36">
        <f>IFERROR(INDEX(Katalog!$D$3:$D$12,MATCH(Data[[#This Row],[ItemID A]],Katalog!$C$3:$C$12,0))*Data[[#This Row],[Qty A]],"0")</f>
        <v>900000</v>
      </c>
      <c r="I913" s="36">
        <f>IFERROR(INDEX(Katalog!$F$3:$F$12,MATCH(Data[[#This Row],[ItemID A]],Katalog!$C$3:$C$12,0))*Data[[#This Row],[Qty A]],0)</f>
        <v>300000</v>
      </c>
      <c r="J913" t="s">
        <v>67</v>
      </c>
      <c r="K913" t="str">
        <f>IFERROR(INDEX(Katalog!$A$3:$A$12,MATCH(Data[[#This Row],[ItemID B]],Katalog!$C$3:$C$12,0)),"-")</f>
        <v>Sepatu Wanita</v>
      </c>
      <c r="L913" t="str">
        <f>IFERROR(INDEX(Katalog!$B$3:$B$12,MATCH(Data[[#This Row],[ItemID B]],Katalog!$C$3:$C$12,0)),"-")</f>
        <v>Flat Shoes</v>
      </c>
      <c r="M913">
        <v>1</v>
      </c>
      <c r="N913">
        <v>5</v>
      </c>
      <c r="O913" s="36">
        <f>IFERROR(INDEX(Katalog!$D$3:$D$12,MATCH(Data[[#This Row],[ItemID B]],Katalog!$C$3:$C$12,0))*Data[[#This Row],[Qty B]],"0")</f>
        <v>250000</v>
      </c>
      <c r="P913" s="36">
        <f>IFERROR(INDEX(Katalog!$F$3:$F$12,MATCH(Data[[#This Row],[ItemID B]],Katalog!$C$3:$C$12,0))*Data[[#This Row],[Qty B]],"0")</f>
        <v>100000</v>
      </c>
      <c r="R913" t="str">
        <f>IFERROR(INDEX(Katalog!$A$3:$A$12,MATCH(Data[[#This Row],[ItemID C]],Katalog!$C$3:$C$12,0)),"-")</f>
        <v>-</v>
      </c>
      <c r="S913" t="str">
        <f>IFERROR(INDEX(Katalog!$B$3:$B$12,MATCH(Data[[#This Row],[ItemID C]],Katalog!$C$3:$C$12,0)),"-")</f>
        <v>-</v>
      </c>
      <c r="V913" s="36" t="str">
        <f>IFERROR(INDEX(Katalog!$D$3:$D$12,MATCH(Data[[#This Row],[ItemID C]],Katalog!$C$3:$C$12,0))*Data[[#This Row],[Qty C]],"0")</f>
        <v>0</v>
      </c>
      <c r="W913" s="36" t="str">
        <f>IFERROR(INDEX(Katalog!$F$3:$F$12,MATCH(Data[[#This Row],[ItemID C]],Katalog!$C$3:$C$12,0))*Data[[#This Row],[Qty C]],"0")</f>
        <v>0</v>
      </c>
      <c r="X913" s="21">
        <f>Data[[#This Row],[Qty A]]+Data[[#This Row],[Qty B]]+Data[[#This Row],[Qty C]]</f>
        <v>7</v>
      </c>
      <c r="Y913" s="22">
        <f>Data[[#This Row],[Harga Barang A]]+Data[[#This Row],[Harga Barang B]]+Data[[#This Row],[Harga Barang C]]</f>
        <v>1150000</v>
      </c>
      <c r="Z913" s="35">
        <f>IFERROR(Data[[#This Row],[Total Harga]]-(Data[[#This Row],[Total Harga]]*Data[[#This Row],[Diskon]]),Data[[#This Row],[Total Harga]])</f>
        <v>1035000</v>
      </c>
      <c r="AA913" s="35">
        <f>(Data[[#This Row],[Profit A]]+Data[[#This Row],[Profit B]]+Data[[#This Row],[Profit C]])</f>
        <v>400000</v>
      </c>
      <c r="AB913" s="35">
        <f>IFERROR((Data[[#This Row],[Profit non Diskon]]-(Data[[#This Row],[Profit non Diskon]]*Data[[#This Row],[Diskon]])),Data[[#This Row],[Profit non Diskon]])</f>
        <v>360000</v>
      </c>
      <c r="AC913" s="23" t="s">
        <v>31</v>
      </c>
      <c r="AD913" s="37">
        <f>IFERROR(INDEX('Kode Diskon'!$D$3:$D$9,MATCH(Data[[#This Row],[Kode diskon]],'Kode Diskon'!$C$3:$C$9,0)),"-")</f>
        <v>0.1</v>
      </c>
      <c r="AE913" s="23" t="s">
        <v>9</v>
      </c>
      <c r="AF913" s="23" t="s">
        <v>10</v>
      </c>
      <c r="AG913" s="23" t="s">
        <v>79</v>
      </c>
      <c r="AH913" s="24">
        <v>45044</v>
      </c>
      <c r="AI913" s="23" t="str">
        <f>TEXT(Data[[#This Row],[Tanggal terjual]],"dddd")</f>
        <v>Friday</v>
      </c>
      <c r="AJ913" s="21" t="str">
        <f>TEXT(Data[[#This Row],[Tanggal terjual]],"wwww")</f>
        <v>wwww</v>
      </c>
    </row>
    <row r="914" spans="1:36" x14ac:dyDescent="0.2">
      <c r="A914" s="20">
        <v>913</v>
      </c>
      <c r="B914" s="21" t="str">
        <f>_xlfn.CONCAT("ORD-",INDEX(Helper!$B$2:$B$5,MATCH(Data[[#This Row],[Marketplace]],Helper!$A$2:$A$5,0)),TEXT(Data[[#This Row],[No]],"0000"),"-",TEXT(Data[[#This Row],[Tanggal terjual]],"dd/mm/yy"))</f>
        <v>ORD-BL0913-19/04/23</v>
      </c>
      <c r="C914" t="s">
        <v>59</v>
      </c>
      <c r="D914" t="str">
        <f>IFERROR(INDEX(Katalog!$A$3:$A$12,MATCH(Data[[#This Row],[ItemID A]],Katalog!$C$3:$C$12,0)),"-")</f>
        <v>Pakaian Wanita</v>
      </c>
      <c r="E914" t="str">
        <f>IFERROR(INDEX(Katalog!$B$3:$B$12,MATCH(Data[[#This Row],[ItemID A]],Katalog!$C$3:$C$12,0)),"-")</f>
        <v>Blouse</v>
      </c>
      <c r="F914">
        <v>2</v>
      </c>
      <c r="G914">
        <v>3</v>
      </c>
      <c r="H914" s="36">
        <f>IFERROR(INDEX(Katalog!$D$3:$D$12,MATCH(Data[[#This Row],[ItemID A]],Katalog!$C$3:$C$12,0))*Data[[#This Row],[Qty A]],"0")</f>
        <v>300000</v>
      </c>
      <c r="I914" s="36">
        <f>IFERROR(INDEX(Katalog!$F$3:$F$12,MATCH(Data[[#This Row],[ItemID A]],Katalog!$C$3:$C$12,0))*Data[[#This Row],[Qty A]],0)</f>
        <v>100000</v>
      </c>
      <c r="J914" t="s">
        <v>58</v>
      </c>
      <c r="K914" t="str">
        <f>IFERROR(INDEX(Katalog!$A$3:$A$12,MATCH(Data[[#This Row],[ItemID B]],Katalog!$C$3:$C$12,0)),"-")</f>
        <v>Pakaian Wanita</v>
      </c>
      <c r="L914" t="str">
        <f>IFERROR(INDEX(Katalog!$B$3:$B$12,MATCH(Data[[#This Row],[ItemID B]],Katalog!$C$3:$C$12,0)),"-")</f>
        <v>Dress</v>
      </c>
      <c r="M914">
        <v>1</v>
      </c>
      <c r="N914">
        <v>5</v>
      </c>
      <c r="O914" s="36">
        <f>IFERROR(INDEX(Katalog!$D$3:$D$12,MATCH(Data[[#This Row],[ItemID B]],Katalog!$C$3:$C$12,0))*Data[[#This Row],[Qty B]],"0")</f>
        <v>300000</v>
      </c>
      <c r="P914" s="36">
        <f>IFERROR(INDEX(Katalog!$F$3:$F$12,MATCH(Data[[#This Row],[ItemID B]],Katalog!$C$3:$C$12,0))*Data[[#This Row],[Qty B]],"0")</f>
        <v>100000</v>
      </c>
      <c r="R914" t="str">
        <f>IFERROR(INDEX(Katalog!$A$3:$A$12,MATCH(Data[[#This Row],[ItemID C]],Katalog!$C$3:$C$12,0)),"-")</f>
        <v>-</v>
      </c>
      <c r="S914" t="str">
        <f>IFERROR(INDEX(Katalog!$B$3:$B$12,MATCH(Data[[#This Row],[ItemID C]],Katalog!$C$3:$C$12,0)),"-")</f>
        <v>-</v>
      </c>
      <c r="V914" s="36" t="str">
        <f>IFERROR(INDEX(Katalog!$D$3:$D$12,MATCH(Data[[#This Row],[ItemID C]],Katalog!$C$3:$C$12,0))*Data[[#This Row],[Qty C]],"0")</f>
        <v>0</v>
      </c>
      <c r="W914" s="36" t="str">
        <f>IFERROR(INDEX(Katalog!$F$3:$F$12,MATCH(Data[[#This Row],[ItemID C]],Katalog!$C$3:$C$12,0))*Data[[#This Row],[Qty C]],"0")</f>
        <v>0</v>
      </c>
      <c r="X914" s="21">
        <f>Data[[#This Row],[Qty A]]+Data[[#This Row],[Qty B]]+Data[[#This Row],[Qty C]]</f>
        <v>3</v>
      </c>
      <c r="Y914" s="22">
        <f>Data[[#This Row],[Harga Barang A]]+Data[[#This Row],[Harga Barang B]]+Data[[#This Row],[Harga Barang C]]</f>
        <v>600000</v>
      </c>
      <c r="Z914" s="35">
        <f>IFERROR(Data[[#This Row],[Total Harga]]-(Data[[#This Row],[Total Harga]]*Data[[#This Row],[Diskon]]),Data[[#This Row],[Total Harga]])</f>
        <v>510000</v>
      </c>
      <c r="AA914" s="35">
        <f>(Data[[#This Row],[Profit A]]+Data[[#This Row],[Profit B]]+Data[[#This Row],[Profit C]])</f>
        <v>200000</v>
      </c>
      <c r="AB914" s="35">
        <f>IFERROR((Data[[#This Row],[Profit non Diskon]]-(Data[[#This Row],[Profit non Diskon]]*Data[[#This Row],[Diskon]])),Data[[#This Row],[Profit non Diskon]])</f>
        <v>170000</v>
      </c>
      <c r="AC914" s="23" t="s">
        <v>32</v>
      </c>
      <c r="AD914" s="37">
        <f>IFERROR(INDEX('Kode Diskon'!$D$3:$D$9,MATCH(Data[[#This Row],[Kode diskon]],'Kode Diskon'!$C$3:$C$9,0)),"-")</f>
        <v>0.15</v>
      </c>
      <c r="AE914" s="23" t="s">
        <v>9</v>
      </c>
      <c r="AF914" s="23" t="s">
        <v>12</v>
      </c>
      <c r="AG914" s="23" t="s">
        <v>79</v>
      </c>
      <c r="AH914" s="24">
        <v>45035</v>
      </c>
      <c r="AI914" s="23" t="str">
        <f>TEXT(Data[[#This Row],[Tanggal terjual]],"dddd")</f>
        <v>Wednesday</v>
      </c>
      <c r="AJ914" s="21" t="str">
        <f>TEXT(Data[[#This Row],[Tanggal terjual]],"wwww")</f>
        <v>wwww</v>
      </c>
    </row>
    <row r="915" spans="1:36" x14ac:dyDescent="0.2">
      <c r="A915" s="20">
        <v>914</v>
      </c>
      <c r="B915" s="21" t="str">
        <f>_xlfn.CONCAT("ORD-",INDEX(Helper!$B$2:$B$5,MATCH(Data[[#This Row],[Marketplace]],Helper!$A$2:$A$5,0)),TEXT(Data[[#This Row],[No]],"0000"),"-",TEXT(Data[[#This Row],[Tanggal terjual]],"dd/mm/yy"))</f>
        <v>ORD-BB0914-03/04/23</v>
      </c>
      <c r="C915" t="s">
        <v>58</v>
      </c>
      <c r="D915" t="str">
        <f>IFERROR(INDEX(Katalog!$A$3:$A$12,MATCH(Data[[#This Row],[ItemID A]],Katalog!$C$3:$C$12,0)),"-")</f>
        <v>Pakaian Wanita</v>
      </c>
      <c r="E915" t="str">
        <f>IFERROR(INDEX(Katalog!$B$3:$B$12,MATCH(Data[[#This Row],[ItemID A]],Katalog!$C$3:$C$12,0)),"-")</f>
        <v>Dress</v>
      </c>
      <c r="F915">
        <v>4</v>
      </c>
      <c r="G915">
        <v>1</v>
      </c>
      <c r="H915" s="36">
        <f>IFERROR(INDEX(Katalog!$D$3:$D$12,MATCH(Data[[#This Row],[ItemID A]],Katalog!$C$3:$C$12,0))*Data[[#This Row],[Qty A]],"0")</f>
        <v>1200000</v>
      </c>
      <c r="I915" s="36">
        <f>IFERROR(INDEX(Katalog!$F$3:$F$12,MATCH(Data[[#This Row],[ItemID A]],Katalog!$C$3:$C$12,0))*Data[[#This Row],[Qty A]],0)</f>
        <v>400000</v>
      </c>
      <c r="K915" t="str">
        <f>IFERROR(INDEX(Katalog!$A$3:$A$12,MATCH(Data[[#This Row],[ItemID B]],Katalog!$C$3:$C$12,0)),"-")</f>
        <v>-</v>
      </c>
      <c r="L915" t="str">
        <f>IFERROR(INDEX(Katalog!$B$3:$B$12,MATCH(Data[[#This Row],[ItemID B]],Katalog!$C$3:$C$12,0)),"-")</f>
        <v>-</v>
      </c>
      <c r="O915" s="36" t="str">
        <f>IFERROR(INDEX(Katalog!$D$3:$D$12,MATCH(Data[[#This Row],[ItemID B]],Katalog!$C$3:$C$12,0))*Data[[#This Row],[Qty B]],"0")</f>
        <v>0</v>
      </c>
      <c r="P915" s="36" t="str">
        <f>IFERROR(INDEX(Katalog!$F$3:$F$12,MATCH(Data[[#This Row],[ItemID B]],Katalog!$C$3:$C$12,0))*Data[[#This Row],[Qty B]],"0")</f>
        <v>0</v>
      </c>
      <c r="R915" t="str">
        <f>IFERROR(INDEX(Katalog!$A$3:$A$12,MATCH(Data[[#This Row],[ItemID C]],Katalog!$C$3:$C$12,0)),"-")</f>
        <v>-</v>
      </c>
      <c r="S915" t="str">
        <f>IFERROR(INDEX(Katalog!$B$3:$B$12,MATCH(Data[[#This Row],[ItemID C]],Katalog!$C$3:$C$12,0)),"-")</f>
        <v>-</v>
      </c>
      <c r="V915" s="36" t="str">
        <f>IFERROR(INDEX(Katalog!$D$3:$D$12,MATCH(Data[[#This Row],[ItemID C]],Katalog!$C$3:$C$12,0))*Data[[#This Row],[Qty C]],"0")</f>
        <v>0</v>
      </c>
      <c r="W915" s="36" t="str">
        <f>IFERROR(INDEX(Katalog!$F$3:$F$12,MATCH(Data[[#This Row],[ItemID C]],Katalog!$C$3:$C$12,0))*Data[[#This Row],[Qty C]],"0")</f>
        <v>0</v>
      </c>
      <c r="X915" s="21">
        <f>Data[[#This Row],[Qty A]]+Data[[#This Row],[Qty B]]+Data[[#This Row],[Qty C]]</f>
        <v>4</v>
      </c>
      <c r="Y915" s="22">
        <f>Data[[#This Row],[Harga Barang A]]+Data[[#This Row],[Harga Barang B]]+Data[[#This Row],[Harga Barang C]]</f>
        <v>1200000</v>
      </c>
      <c r="Z915" s="35">
        <f>IFERROR(Data[[#This Row],[Total Harga]]-(Data[[#This Row],[Total Harga]]*Data[[#This Row],[Diskon]]),Data[[#This Row],[Total Harga]])</f>
        <v>1020000</v>
      </c>
      <c r="AA915" s="35">
        <f>(Data[[#This Row],[Profit A]]+Data[[#This Row],[Profit B]]+Data[[#This Row],[Profit C]])</f>
        <v>400000</v>
      </c>
      <c r="AB915" s="35">
        <f>IFERROR((Data[[#This Row],[Profit non Diskon]]-(Data[[#This Row],[Profit non Diskon]]*Data[[#This Row],[Diskon]])),Data[[#This Row],[Profit non Diskon]])</f>
        <v>340000</v>
      </c>
      <c r="AC915" s="23" t="s">
        <v>28</v>
      </c>
      <c r="AD915" s="37">
        <f>IFERROR(INDEX('Kode Diskon'!$D$3:$D$9,MATCH(Data[[#This Row],[Kode diskon]],'Kode Diskon'!$C$3:$C$9,0)),"-")</f>
        <v>0.15</v>
      </c>
      <c r="AE915" s="23" t="s">
        <v>29</v>
      </c>
      <c r="AF915" s="23" t="s">
        <v>14</v>
      </c>
      <c r="AG915" s="23" t="s">
        <v>80</v>
      </c>
      <c r="AH915" s="24">
        <v>45019</v>
      </c>
      <c r="AI915" s="23" t="str">
        <f>TEXT(Data[[#This Row],[Tanggal terjual]],"dddd")</f>
        <v>Monday</v>
      </c>
      <c r="AJ915" s="21" t="str">
        <f>TEXT(Data[[#This Row],[Tanggal terjual]],"wwww")</f>
        <v>wwww</v>
      </c>
    </row>
    <row r="916" spans="1:36" x14ac:dyDescent="0.2">
      <c r="A916" s="20">
        <v>915</v>
      </c>
      <c r="B916" s="21" t="str">
        <f>_xlfn.CONCAT("ORD-",INDEX(Helper!$B$2:$B$5,MATCH(Data[[#This Row],[Marketplace]],Helper!$A$2:$A$5,0)),TEXT(Data[[#This Row],[No]],"0000"),"-",TEXT(Data[[#This Row],[Tanggal terjual]],"dd/mm/yy"))</f>
        <v>ORD-SP0915-03/04/23</v>
      </c>
      <c r="C916" t="s">
        <v>59</v>
      </c>
      <c r="D916" t="str">
        <f>IFERROR(INDEX(Katalog!$A$3:$A$12,MATCH(Data[[#This Row],[ItemID A]],Katalog!$C$3:$C$12,0)),"-")</f>
        <v>Pakaian Wanita</v>
      </c>
      <c r="E916" t="str">
        <f>IFERROR(INDEX(Katalog!$B$3:$B$12,MATCH(Data[[#This Row],[ItemID A]],Katalog!$C$3:$C$12,0)),"-")</f>
        <v>Blouse</v>
      </c>
      <c r="F916">
        <v>1</v>
      </c>
      <c r="G916">
        <v>3</v>
      </c>
      <c r="H916" s="36">
        <f>IFERROR(INDEX(Katalog!$D$3:$D$12,MATCH(Data[[#This Row],[ItemID A]],Katalog!$C$3:$C$12,0))*Data[[#This Row],[Qty A]],"0")</f>
        <v>150000</v>
      </c>
      <c r="I916" s="36">
        <f>IFERROR(INDEX(Katalog!$F$3:$F$12,MATCH(Data[[#This Row],[ItemID A]],Katalog!$C$3:$C$12,0))*Data[[#This Row],[Qty A]],0)</f>
        <v>50000</v>
      </c>
      <c r="J916" t="s">
        <v>63</v>
      </c>
      <c r="K916" t="str">
        <f>IFERROR(INDEX(Katalog!$A$3:$A$12,MATCH(Data[[#This Row],[ItemID B]],Katalog!$C$3:$C$12,0)),"-")</f>
        <v>Pakaian Pria</v>
      </c>
      <c r="L916" t="str">
        <f>IFERROR(INDEX(Katalog!$B$3:$B$12,MATCH(Data[[#This Row],[ItemID B]],Katalog!$C$3:$C$12,0)),"-")</f>
        <v>Jaket Jeans</v>
      </c>
      <c r="M916">
        <v>1</v>
      </c>
      <c r="N916">
        <v>3</v>
      </c>
      <c r="O916" s="36">
        <f>IFERROR(INDEX(Katalog!$D$3:$D$12,MATCH(Data[[#This Row],[ItemID B]],Katalog!$C$3:$C$12,0))*Data[[#This Row],[Qty B]],"0")</f>
        <v>400000</v>
      </c>
      <c r="P916" s="36">
        <f>IFERROR(INDEX(Katalog!$F$3:$F$12,MATCH(Data[[#This Row],[ItemID B]],Katalog!$C$3:$C$12,0))*Data[[#This Row],[Qty B]],"0")</f>
        <v>150000</v>
      </c>
      <c r="R916" t="str">
        <f>IFERROR(INDEX(Katalog!$A$3:$A$12,MATCH(Data[[#This Row],[ItemID C]],Katalog!$C$3:$C$12,0)),"-")</f>
        <v>-</v>
      </c>
      <c r="S916" t="str">
        <f>IFERROR(INDEX(Katalog!$B$3:$B$12,MATCH(Data[[#This Row],[ItemID C]],Katalog!$C$3:$C$12,0)),"-")</f>
        <v>-</v>
      </c>
      <c r="V916" s="36" t="str">
        <f>IFERROR(INDEX(Katalog!$D$3:$D$12,MATCH(Data[[#This Row],[ItemID C]],Katalog!$C$3:$C$12,0))*Data[[#This Row],[Qty C]],"0")</f>
        <v>0</v>
      </c>
      <c r="W916" s="36" t="str">
        <f>IFERROR(INDEX(Katalog!$F$3:$F$12,MATCH(Data[[#This Row],[ItemID C]],Katalog!$C$3:$C$12,0))*Data[[#This Row],[Qty C]],"0")</f>
        <v>0</v>
      </c>
      <c r="X916" s="21">
        <f>Data[[#This Row],[Qty A]]+Data[[#This Row],[Qty B]]+Data[[#This Row],[Qty C]]</f>
        <v>2</v>
      </c>
      <c r="Y916" s="22">
        <f>Data[[#This Row],[Harga Barang A]]+Data[[#This Row],[Harga Barang B]]+Data[[#This Row],[Harga Barang C]]</f>
        <v>550000</v>
      </c>
      <c r="Z916" s="35">
        <f>IFERROR(Data[[#This Row],[Total Harga]]-(Data[[#This Row],[Total Harga]]*Data[[#This Row],[Diskon]]),Data[[#This Row],[Total Harga]])</f>
        <v>495000</v>
      </c>
      <c r="AA916" s="35">
        <f>(Data[[#This Row],[Profit A]]+Data[[#This Row],[Profit B]]+Data[[#This Row],[Profit C]])</f>
        <v>200000</v>
      </c>
      <c r="AB916" s="35">
        <f>IFERROR((Data[[#This Row],[Profit non Diskon]]-(Data[[#This Row],[Profit non Diskon]]*Data[[#This Row],[Diskon]])),Data[[#This Row],[Profit non Diskon]])</f>
        <v>180000</v>
      </c>
      <c r="AC916" s="23" t="s">
        <v>6</v>
      </c>
      <c r="AD916" s="37">
        <f>IFERROR(INDEX('Kode Diskon'!$D$3:$D$9,MATCH(Data[[#This Row],[Kode diskon]],'Kode Diskon'!$C$3:$C$9,0)),"-")</f>
        <v>0.1</v>
      </c>
      <c r="AE916" s="23" t="s">
        <v>29</v>
      </c>
      <c r="AF916" s="23" t="s">
        <v>7</v>
      </c>
      <c r="AG916" s="23" t="s">
        <v>76</v>
      </c>
      <c r="AH916" s="24">
        <v>45019</v>
      </c>
      <c r="AI916" s="23" t="str">
        <f>TEXT(Data[[#This Row],[Tanggal terjual]],"dddd")</f>
        <v>Monday</v>
      </c>
      <c r="AJ916" s="21" t="str">
        <f>TEXT(Data[[#This Row],[Tanggal terjual]],"wwww")</f>
        <v>wwww</v>
      </c>
    </row>
    <row r="917" spans="1:36" x14ac:dyDescent="0.2">
      <c r="A917" s="20">
        <v>916</v>
      </c>
      <c r="B917" s="21" t="str">
        <f>_xlfn.CONCAT("ORD-",INDEX(Helper!$B$2:$B$5,MATCH(Data[[#This Row],[Marketplace]],Helper!$A$2:$A$5,0)),TEXT(Data[[#This Row],[No]],"0000"),"-",TEXT(Data[[#This Row],[Tanggal terjual]],"dd/mm/yy"))</f>
        <v>ORD-TK0916-15/04/23</v>
      </c>
      <c r="C917" t="s">
        <v>58</v>
      </c>
      <c r="D917" t="str">
        <f>IFERROR(INDEX(Katalog!$A$3:$A$12,MATCH(Data[[#This Row],[ItemID A]],Katalog!$C$3:$C$12,0)),"-")</f>
        <v>Pakaian Wanita</v>
      </c>
      <c r="E917" t="str">
        <f>IFERROR(INDEX(Katalog!$B$3:$B$12,MATCH(Data[[#This Row],[ItemID A]],Katalog!$C$3:$C$12,0)),"-")</f>
        <v>Dress</v>
      </c>
      <c r="F917">
        <v>5</v>
      </c>
      <c r="G917">
        <v>2</v>
      </c>
      <c r="H917" s="36">
        <f>IFERROR(INDEX(Katalog!$D$3:$D$12,MATCH(Data[[#This Row],[ItemID A]],Katalog!$C$3:$C$12,0))*Data[[#This Row],[Qty A]],"0")</f>
        <v>1500000</v>
      </c>
      <c r="I917" s="36">
        <f>IFERROR(INDEX(Katalog!$F$3:$F$12,MATCH(Data[[#This Row],[ItemID A]],Katalog!$C$3:$C$12,0))*Data[[#This Row],[Qty A]],0)</f>
        <v>500000</v>
      </c>
      <c r="J917" t="s">
        <v>64</v>
      </c>
      <c r="K917" t="str">
        <f>IFERROR(INDEX(Katalog!$A$3:$A$12,MATCH(Data[[#This Row],[ItemID B]],Katalog!$C$3:$C$12,0)),"-")</f>
        <v>Pakaian Unisex</v>
      </c>
      <c r="L917" t="str">
        <f>IFERROR(INDEX(Katalog!$B$3:$B$12,MATCH(Data[[#This Row],[ItemID B]],Katalog!$C$3:$C$12,0)),"-")</f>
        <v>Jaket Hoodie</v>
      </c>
      <c r="M917">
        <v>2</v>
      </c>
      <c r="N917">
        <v>5</v>
      </c>
      <c r="O917" s="36">
        <f>IFERROR(INDEX(Katalog!$D$3:$D$12,MATCH(Data[[#This Row],[ItemID B]],Katalog!$C$3:$C$12,0))*Data[[#This Row],[Qty B]],"0")</f>
        <v>700000</v>
      </c>
      <c r="P917" s="36">
        <f>IFERROR(INDEX(Katalog!$F$3:$F$12,MATCH(Data[[#This Row],[ItemID B]],Katalog!$C$3:$C$12,0))*Data[[#This Row],[Qty B]],"0")</f>
        <v>260000</v>
      </c>
      <c r="R917" t="str">
        <f>IFERROR(INDEX(Katalog!$A$3:$A$12,MATCH(Data[[#This Row],[ItemID C]],Katalog!$C$3:$C$12,0)),"-")</f>
        <v>-</v>
      </c>
      <c r="S917" t="str">
        <f>IFERROR(INDEX(Katalog!$B$3:$B$12,MATCH(Data[[#This Row],[ItemID C]],Katalog!$C$3:$C$12,0)),"-")</f>
        <v>-</v>
      </c>
      <c r="V917" s="36" t="str">
        <f>IFERROR(INDEX(Katalog!$D$3:$D$12,MATCH(Data[[#This Row],[ItemID C]],Katalog!$C$3:$C$12,0))*Data[[#This Row],[Qty C]],"0")</f>
        <v>0</v>
      </c>
      <c r="W917" s="36" t="str">
        <f>IFERROR(INDEX(Katalog!$F$3:$F$12,MATCH(Data[[#This Row],[ItemID C]],Katalog!$C$3:$C$12,0))*Data[[#This Row],[Qty C]],"0")</f>
        <v>0</v>
      </c>
      <c r="X917" s="21">
        <f>Data[[#This Row],[Qty A]]+Data[[#This Row],[Qty B]]+Data[[#This Row],[Qty C]]</f>
        <v>7</v>
      </c>
      <c r="Y917" s="22">
        <f>Data[[#This Row],[Harga Barang A]]+Data[[#This Row],[Harga Barang B]]+Data[[#This Row],[Harga Barang C]]</f>
        <v>2200000</v>
      </c>
      <c r="Z917" s="35">
        <f>IFERROR(Data[[#This Row],[Total Harga]]-(Data[[#This Row],[Total Harga]]*Data[[#This Row],[Diskon]]),Data[[#This Row],[Total Harga]])</f>
        <v>2200000</v>
      </c>
      <c r="AA917" s="35">
        <f>(Data[[#This Row],[Profit A]]+Data[[#This Row],[Profit B]]+Data[[#This Row],[Profit C]])</f>
        <v>760000</v>
      </c>
      <c r="AB917" s="35">
        <f>IFERROR((Data[[#This Row],[Profit non Diskon]]-(Data[[#This Row],[Profit non Diskon]]*Data[[#This Row],[Diskon]])),Data[[#This Row],[Profit non Diskon]])</f>
        <v>760000</v>
      </c>
      <c r="AC917" s="23" t="s">
        <v>11</v>
      </c>
      <c r="AD917" s="37" t="str">
        <f>IFERROR(INDEX('Kode Diskon'!$D$3:$D$9,MATCH(Data[[#This Row],[Kode diskon]],'Kode Diskon'!$C$3:$C$9,0)),"-")</f>
        <v>-</v>
      </c>
      <c r="AE917" s="23" t="s">
        <v>11</v>
      </c>
      <c r="AF917" s="23" t="s">
        <v>10</v>
      </c>
      <c r="AG917" s="23" t="s">
        <v>80</v>
      </c>
      <c r="AH917" s="24">
        <v>45031</v>
      </c>
      <c r="AI917" s="23" t="str">
        <f>TEXT(Data[[#This Row],[Tanggal terjual]],"dddd")</f>
        <v>Saturday</v>
      </c>
      <c r="AJ917" s="21" t="str">
        <f>TEXT(Data[[#This Row],[Tanggal terjual]],"wwww")</f>
        <v>wwww</v>
      </c>
    </row>
    <row r="918" spans="1:36" x14ac:dyDescent="0.2">
      <c r="A918" s="20">
        <v>917</v>
      </c>
      <c r="B918" s="21" t="str">
        <f>_xlfn.CONCAT("ORD-",INDEX(Helper!$B$2:$B$5,MATCH(Data[[#This Row],[Marketplace]],Helper!$A$2:$A$5,0)),TEXT(Data[[#This Row],[No]],"0000"),"-",TEXT(Data[[#This Row],[Tanggal terjual]],"dd/mm/yy"))</f>
        <v>ORD-BB0917-03/04/23</v>
      </c>
      <c r="C918" t="s">
        <v>65</v>
      </c>
      <c r="D918" t="str">
        <f>IFERROR(INDEX(Katalog!$A$3:$A$12,MATCH(Data[[#This Row],[ItemID A]],Katalog!$C$3:$C$12,0)),"-")</f>
        <v>Sepatu Pria</v>
      </c>
      <c r="E918" t="str">
        <f>IFERROR(INDEX(Katalog!$B$3:$B$12,MATCH(Data[[#This Row],[ItemID A]],Katalog!$C$3:$C$12,0)),"-")</f>
        <v>Sneakers</v>
      </c>
      <c r="F918">
        <v>5</v>
      </c>
      <c r="G918">
        <v>3</v>
      </c>
      <c r="H918" s="36">
        <f>IFERROR(INDEX(Katalog!$D$3:$D$12,MATCH(Data[[#This Row],[ItemID A]],Katalog!$C$3:$C$12,0))*Data[[#This Row],[Qty A]],"0")</f>
        <v>2500000</v>
      </c>
      <c r="I918" s="36">
        <f>IFERROR(INDEX(Katalog!$F$3:$F$12,MATCH(Data[[#This Row],[ItemID A]],Katalog!$C$3:$C$12,0))*Data[[#This Row],[Qty A]],0)</f>
        <v>1000000</v>
      </c>
      <c r="J918" t="s">
        <v>63</v>
      </c>
      <c r="K918" t="str">
        <f>IFERROR(INDEX(Katalog!$A$3:$A$12,MATCH(Data[[#This Row],[ItemID B]],Katalog!$C$3:$C$12,0)),"-")</f>
        <v>Pakaian Pria</v>
      </c>
      <c r="L918" t="str">
        <f>IFERROR(INDEX(Katalog!$B$3:$B$12,MATCH(Data[[#This Row],[ItemID B]],Katalog!$C$3:$C$12,0)),"-")</f>
        <v>Jaket Jeans</v>
      </c>
      <c r="M918">
        <v>1</v>
      </c>
      <c r="N918">
        <v>1</v>
      </c>
      <c r="O918" s="36">
        <f>IFERROR(INDEX(Katalog!$D$3:$D$12,MATCH(Data[[#This Row],[ItemID B]],Katalog!$C$3:$C$12,0))*Data[[#This Row],[Qty B]],"0")</f>
        <v>400000</v>
      </c>
      <c r="P918" s="36">
        <f>IFERROR(INDEX(Katalog!$F$3:$F$12,MATCH(Data[[#This Row],[ItemID B]],Katalog!$C$3:$C$12,0))*Data[[#This Row],[Qty B]],"0")</f>
        <v>150000</v>
      </c>
      <c r="Q918" t="s">
        <v>67</v>
      </c>
      <c r="R918" t="str">
        <f>IFERROR(INDEX(Katalog!$A$3:$A$12,MATCH(Data[[#This Row],[ItemID C]],Katalog!$C$3:$C$12,0)),"-")</f>
        <v>Sepatu Wanita</v>
      </c>
      <c r="S918" t="str">
        <f>IFERROR(INDEX(Katalog!$B$3:$B$12,MATCH(Data[[#This Row],[ItemID C]],Katalog!$C$3:$C$12,0)),"-")</f>
        <v>Flat Shoes</v>
      </c>
      <c r="T918">
        <v>1</v>
      </c>
      <c r="U918">
        <v>3</v>
      </c>
      <c r="V918" s="36">
        <f>IFERROR(INDEX(Katalog!$D$3:$D$12,MATCH(Data[[#This Row],[ItemID C]],Katalog!$C$3:$C$12,0))*Data[[#This Row],[Qty C]],"0")</f>
        <v>250000</v>
      </c>
      <c r="W918" s="36">
        <f>IFERROR(INDEX(Katalog!$F$3:$F$12,MATCH(Data[[#This Row],[ItemID C]],Katalog!$C$3:$C$12,0))*Data[[#This Row],[Qty C]],"0")</f>
        <v>100000</v>
      </c>
      <c r="X918" s="21">
        <f>Data[[#This Row],[Qty A]]+Data[[#This Row],[Qty B]]+Data[[#This Row],[Qty C]]</f>
        <v>7</v>
      </c>
      <c r="Y918" s="22">
        <f>Data[[#This Row],[Harga Barang A]]+Data[[#This Row],[Harga Barang B]]+Data[[#This Row],[Harga Barang C]]</f>
        <v>3150000</v>
      </c>
      <c r="Z918" s="35">
        <f>IFERROR(Data[[#This Row],[Total Harga]]-(Data[[#This Row],[Total Harga]]*Data[[#This Row],[Diskon]]),Data[[#This Row],[Total Harga]])</f>
        <v>2677500</v>
      </c>
      <c r="AA918" s="35">
        <f>(Data[[#This Row],[Profit A]]+Data[[#This Row],[Profit B]]+Data[[#This Row],[Profit C]])</f>
        <v>1250000</v>
      </c>
      <c r="AB918" s="35">
        <f>IFERROR((Data[[#This Row],[Profit non Diskon]]-(Data[[#This Row],[Profit non Diskon]]*Data[[#This Row],[Diskon]])),Data[[#This Row],[Profit non Diskon]])</f>
        <v>1062500</v>
      </c>
      <c r="AC918" s="23" t="s">
        <v>28</v>
      </c>
      <c r="AD918" s="37">
        <f>IFERROR(INDEX('Kode Diskon'!$D$3:$D$9,MATCH(Data[[#This Row],[Kode diskon]],'Kode Diskon'!$C$3:$C$9,0)),"-")</f>
        <v>0.15</v>
      </c>
      <c r="AE918" s="23" t="s">
        <v>29</v>
      </c>
      <c r="AF918" s="23" t="s">
        <v>14</v>
      </c>
      <c r="AG918" s="23" t="s">
        <v>80</v>
      </c>
      <c r="AH918" s="24">
        <v>45019</v>
      </c>
      <c r="AI918" s="23" t="str">
        <f>TEXT(Data[[#This Row],[Tanggal terjual]],"dddd")</f>
        <v>Monday</v>
      </c>
      <c r="AJ918" s="21" t="str">
        <f>TEXT(Data[[#This Row],[Tanggal terjual]],"wwww")</f>
        <v>wwww</v>
      </c>
    </row>
    <row r="919" spans="1:36" x14ac:dyDescent="0.2">
      <c r="A919" s="20">
        <v>918</v>
      </c>
      <c r="B919" s="21" t="str">
        <f>_xlfn.CONCAT("ORD-",INDEX(Helper!$B$2:$B$5,MATCH(Data[[#This Row],[Marketplace]],Helper!$A$2:$A$5,0)),TEXT(Data[[#This Row],[No]],"0000"),"-",TEXT(Data[[#This Row],[Tanggal terjual]],"dd/mm/yy"))</f>
        <v>ORD-SP0918-02/04/23</v>
      </c>
      <c r="C919" t="s">
        <v>62</v>
      </c>
      <c r="D919" t="str">
        <f>IFERROR(INDEX(Katalog!$A$3:$A$12,MATCH(Data[[#This Row],[ItemID A]],Katalog!$C$3:$C$12,0)),"-")</f>
        <v>Pakaian Pria</v>
      </c>
      <c r="E919" t="str">
        <f>IFERROR(INDEX(Katalog!$B$3:$B$12,MATCH(Data[[#This Row],[ItemID A]],Katalog!$C$3:$C$12,0)),"-")</f>
        <v>Celana Pendek</v>
      </c>
      <c r="F919">
        <v>1</v>
      </c>
      <c r="G919">
        <v>4</v>
      </c>
      <c r="H919" s="36">
        <f>IFERROR(INDEX(Katalog!$D$3:$D$12,MATCH(Data[[#This Row],[ItemID A]],Katalog!$C$3:$C$12,0))*Data[[#This Row],[Qty A]],"0")</f>
        <v>180000</v>
      </c>
      <c r="I919" s="36">
        <f>IFERROR(INDEX(Katalog!$F$3:$F$12,MATCH(Data[[#This Row],[ItemID A]],Katalog!$C$3:$C$12,0))*Data[[#This Row],[Qty A]],0)</f>
        <v>70000</v>
      </c>
      <c r="J919" t="s">
        <v>59</v>
      </c>
      <c r="K919" t="str">
        <f>IFERROR(INDEX(Katalog!$A$3:$A$12,MATCH(Data[[#This Row],[ItemID B]],Katalog!$C$3:$C$12,0)),"-")</f>
        <v>Pakaian Wanita</v>
      </c>
      <c r="L919" t="str">
        <f>IFERROR(INDEX(Katalog!$B$3:$B$12,MATCH(Data[[#This Row],[ItemID B]],Katalog!$C$3:$C$12,0)),"-")</f>
        <v>Blouse</v>
      </c>
      <c r="M919">
        <v>3</v>
      </c>
      <c r="N919">
        <v>2</v>
      </c>
      <c r="O919" s="36">
        <f>IFERROR(INDEX(Katalog!$D$3:$D$12,MATCH(Data[[#This Row],[ItemID B]],Katalog!$C$3:$C$12,0))*Data[[#This Row],[Qty B]],"0")</f>
        <v>450000</v>
      </c>
      <c r="P919" s="36">
        <f>IFERROR(INDEX(Katalog!$F$3:$F$12,MATCH(Data[[#This Row],[ItemID B]],Katalog!$C$3:$C$12,0))*Data[[#This Row],[Qty B]],"0")</f>
        <v>150000</v>
      </c>
      <c r="Q919" t="s">
        <v>67</v>
      </c>
      <c r="R919" t="str">
        <f>IFERROR(INDEX(Katalog!$A$3:$A$12,MATCH(Data[[#This Row],[ItemID C]],Katalog!$C$3:$C$12,0)),"-")</f>
        <v>Sepatu Wanita</v>
      </c>
      <c r="S919" t="str">
        <f>IFERROR(INDEX(Katalog!$B$3:$B$12,MATCH(Data[[#This Row],[ItemID C]],Katalog!$C$3:$C$12,0)),"-")</f>
        <v>Flat Shoes</v>
      </c>
      <c r="T919">
        <v>2</v>
      </c>
      <c r="U919">
        <v>5</v>
      </c>
      <c r="V919" s="36">
        <f>IFERROR(INDEX(Katalog!$D$3:$D$12,MATCH(Data[[#This Row],[ItemID C]],Katalog!$C$3:$C$12,0))*Data[[#This Row],[Qty C]],"0")</f>
        <v>500000</v>
      </c>
      <c r="W919" s="36">
        <f>IFERROR(INDEX(Katalog!$F$3:$F$12,MATCH(Data[[#This Row],[ItemID C]],Katalog!$C$3:$C$12,0))*Data[[#This Row],[Qty C]],"0")</f>
        <v>200000</v>
      </c>
      <c r="X919" s="21">
        <f>Data[[#This Row],[Qty A]]+Data[[#This Row],[Qty B]]+Data[[#This Row],[Qty C]]</f>
        <v>6</v>
      </c>
      <c r="Y919" s="22">
        <f>Data[[#This Row],[Harga Barang A]]+Data[[#This Row],[Harga Barang B]]+Data[[#This Row],[Harga Barang C]]</f>
        <v>1130000</v>
      </c>
      <c r="Z919" s="35">
        <f>IFERROR(Data[[#This Row],[Total Harga]]-(Data[[#This Row],[Total Harga]]*Data[[#This Row],[Diskon]]),Data[[#This Row],[Total Harga]])</f>
        <v>960500</v>
      </c>
      <c r="AA919" s="35">
        <f>(Data[[#This Row],[Profit A]]+Data[[#This Row],[Profit B]]+Data[[#This Row],[Profit C]])</f>
        <v>420000</v>
      </c>
      <c r="AB919" s="35">
        <f>IFERROR((Data[[#This Row],[Profit non Diskon]]-(Data[[#This Row],[Profit non Diskon]]*Data[[#This Row],[Diskon]])),Data[[#This Row],[Profit non Diskon]])</f>
        <v>357000</v>
      </c>
      <c r="AC919" s="23" t="s">
        <v>13</v>
      </c>
      <c r="AD919" s="37">
        <f>IFERROR(INDEX('Kode Diskon'!$D$3:$D$9,MATCH(Data[[#This Row],[Kode diskon]],'Kode Diskon'!$C$3:$C$9,0)),"-")</f>
        <v>0.15</v>
      </c>
      <c r="AE919" s="23" t="s">
        <v>29</v>
      </c>
      <c r="AF919" s="23" t="s">
        <v>7</v>
      </c>
      <c r="AG919" s="23" t="s">
        <v>77</v>
      </c>
      <c r="AH919" s="24">
        <v>45018</v>
      </c>
      <c r="AI919" s="23" t="str">
        <f>TEXT(Data[[#This Row],[Tanggal terjual]],"dddd")</f>
        <v>Sunday</v>
      </c>
      <c r="AJ919" s="21" t="str">
        <f>TEXT(Data[[#This Row],[Tanggal terjual]],"wwww")</f>
        <v>wwww</v>
      </c>
    </row>
    <row r="920" spans="1:36" x14ac:dyDescent="0.2">
      <c r="A920" s="20">
        <v>919</v>
      </c>
      <c r="B920" s="21" t="str">
        <f>_xlfn.CONCAT("ORD-",INDEX(Helper!$B$2:$B$5,MATCH(Data[[#This Row],[Marketplace]],Helper!$A$2:$A$5,0)),TEXT(Data[[#This Row],[No]],"0000"),"-",TEXT(Data[[#This Row],[Tanggal terjual]],"dd/mm/yy"))</f>
        <v>ORD-SP0919-13/04/23</v>
      </c>
      <c r="C920" t="s">
        <v>63</v>
      </c>
      <c r="D920" t="str">
        <f>IFERROR(INDEX(Katalog!$A$3:$A$12,MATCH(Data[[#This Row],[ItemID A]],Katalog!$C$3:$C$12,0)),"-")</f>
        <v>Pakaian Pria</v>
      </c>
      <c r="E920" t="str">
        <f>IFERROR(INDEX(Katalog!$B$3:$B$12,MATCH(Data[[#This Row],[ItemID A]],Katalog!$C$3:$C$12,0)),"-")</f>
        <v>Jaket Jeans</v>
      </c>
      <c r="F920">
        <v>5</v>
      </c>
      <c r="G920">
        <v>5</v>
      </c>
      <c r="H920" s="36">
        <f>IFERROR(INDEX(Katalog!$D$3:$D$12,MATCH(Data[[#This Row],[ItemID A]],Katalog!$C$3:$C$12,0))*Data[[#This Row],[Qty A]],"0")</f>
        <v>2000000</v>
      </c>
      <c r="I920" s="36">
        <f>IFERROR(INDEX(Katalog!$F$3:$F$12,MATCH(Data[[#This Row],[ItemID A]],Katalog!$C$3:$C$12,0))*Data[[#This Row],[Qty A]],0)</f>
        <v>750000</v>
      </c>
      <c r="K920" t="str">
        <f>IFERROR(INDEX(Katalog!$A$3:$A$12,MATCH(Data[[#This Row],[ItemID B]],Katalog!$C$3:$C$12,0)),"-")</f>
        <v>-</v>
      </c>
      <c r="L920" t="str">
        <f>IFERROR(INDEX(Katalog!$B$3:$B$12,MATCH(Data[[#This Row],[ItemID B]],Katalog!$C$3:$C$12,0)),"-")</f>
        <v>-</v>
      </c>
      <c r="O920" s="36" t="str">
        <f>IFERROR(INDEX(Katalog!$D$3:$D$12,MATCH(Data[[#This Row],[ItemID B]],Katalog!$C$3:$C$12,0))*Data[[#This Row],[Qty B]],"0")</f>
        <v>0</v>
      </c>
      <c r="P920" s="36" t="str">
        <f>IFERROR(INDEX(Katalog!$F$3:$F$12,MATCH(Data[[#This Row],[ItemID B]],Katalog!$C$3:$C$12,0))*Data[[#This Row],[Qty B]],"0")</f>
        <v>0</v>
      </c>
      <c r="R920" t="str">
        <f>IFERROR(INDEX(Katalog!$A$3:$A$12,MATCH(Data[[#This Row],[ItemID C]],Katalog!$C$3:$C$12,0)),"-")</f>
        <v>-</v>
      </c>
      <c r="S920" t="str">
        <f>IFERROR(INDEX(Katalog!$B$3:$B$12,MATCH(Data[[#This Row],[ItemID C]],Katalog!$C$3:$C$12,0)),"-")</f>
        <v>-</v>
      </c>
      <c r="V920" s="36" t="str">
        <f>IFERROR(INDEX(Katalog!$D$3:$D$12,MATCH(Data[[#This Row],[ItemID C]],Katalog!$C$3:$C$12,0))*Data[[#This Row],[Qty C]],"0")</f>
        <v>0</v>
      </c>
      <c r="W920" s="36" t="str">
        <f>IFERROR(INDEX(Katalog!$F$3:$F$12,MATCH(Data[[#This Row],[ItemID C]],Katalog!$C$3:$C$12,0))*Data[[#This Row],[Qty C]],"0")</f>
        <v>0</v>
      </c>
      <c r="X920" s="21">
        <f>Data[[#This Row],[Qty A]]+Data[[#This Row],[Qty B]]+Data[[#This Row],[Qty C]]</f>
        <v>5</v>
      </c>
      <c r="Y920" s="22">
        <f>Data[[#This Row],[Harga Barang A]]+Data[[#This Row],[Harga Barang B]]+Data[[#This Row],[Harga Barang C]]</f>
        <v>2000000</v>
      </c>
      <c r="Z920" s="35">
        <f>IFERROR(Data[[#This Row],[Total Harga]]-(Data[[#This Row],[Total Harga]]*Data[[#This Row],[Diskon]]),Data[[#This Row],[Total Harga]])</f>
        <v>2000000</v>
      </c>
      <c r="AA920" s="35">
        <f>(Data[[#This Row],[Profit A]]+Data[[#This Row],[Profit B]]+Data[[#This Row],[Profit C]])</f>
        <v>750000</v>
      </c>
      <c r="AB920" s="35">
        <f>IFERROR((Data[[#This Row],[Profit non Diskon]]-(Data[[#This Row],[Profit non Diskon]]*Data[[#This Row],[Diskon]])),Data[[#This Row],[Profit non Diskon]])</f>
        <v>750000</v>
      </c>
      <c r="AC920" s="23" t="s">
        <v>11</v>
      </c>
      <c r="AD920" s="37" t="str">
        <f>IFERROR(INDEX('Kode Diskon'!$D$3:$D$9,MATCH(Data[[#This Row],[Kode diskon]],'Kode Diskon'!$C$3:$C$9,0)),"-")</f>
        <v>-</v>
      </c>
      <c r="AE920" s="23" t="s">
        <v>11</v>
      </c>
      <c r="AF920" s="23" t="s">
        <v>7</v>
      </c>
      <c r="AG920" s="23" t="s">
        <v>75</v>
      </c>
      <c r="AH920" s="24">
        <v>45029</v>
      </c>
      <c r="AI920" s="23" t="str">
        <f>TEXT(Data[[#This Row],[Tanggal terjual]],"dddd")</f>
        <v>Thursday</v>
      </c>
      <c r="AJ920" s="21" t="str">
        <f>TEXT(Data[[#This Row],[Tanggal terjual]],"wwww")</f>
        <v>wwww</v>
      </c>
    </row>
    <row r="921" spans="1:36" x14ac:dyDescent="0.2">
      <c r="A921" s="20">
        <v>920</v>
      </c>
      <c r="B921" s="21" t="str">
        <f>_xlfn.CONCAT("ORD-",INDEX(Helper!$B$2:$B$5,MATCH(Data[[#This Row],[Marketplace]],Helper!$A$2:$A$5,0)),TEXT(Data[[#This Row],[No]],"0000"),"-",TEXT(Data[[#This Row],[Tanggal terjual]],"dd/mm/yy"))</f>
        <v>ORD-SP0920-01/04/23</v>
      </c>
      <c r="C921" t="s">
        <v>61</v>
      </c>
      <c r="D921" t="str">
        <f>IFERROR(INDEX(Katalog!$A$3:$A$12,MATCH(Data[[#This Row],[ItemID A]],Katalog!$C$3:$C$12,0)),"-")</f>
        <v>Pakaian Pria</v>
      </c>
      <c r="E921" t="str">
        <f>IFERROR(INDEX(Katalog!$B$3:$B$12,MATCH(Data[[#This Row],[ItemID A]],Katalog!$C$3:$C$12,0)),"-")</f>
        <v>Kaos Polo</v>
      </c>
      <c r="F921">
        <v>1</v>
      </c>
      <c r="G921">
        <v>5</v>
      </c>
      <c r="H921" s="36">
        <f>IFERROR(INDEX(Katalog!$D$3:$D$12,MATCH(Data[[#This Row],[ItemID A]],Katalog!$C$3:$C$12,0))*Data[[#This Row],[Qty A]],"0")</f>
        <v>200000</v>
      </c>
      <c r="I921" s="36">
        <f>IFERROR(INDEX(Katalog!$F$3:$F$12,MATCH(Data[[#This Row],[ItemID A]],Katalog!$C$3:$C$12,0))*Data[[#This Row],[Qty A]],0)</f>
        <v>80000</v>
      </c>
      <c r="K921" t="str">
        <f>IFERROR(INDEX(Katalog!$A$3:$A$12,MATCH(Data[[#This Row],[ItemID B]],Katalog!$C$3:$C$12,0)),"-")</f>
        <v>-</v>
      </c>
      <c r="L921" t="str">
        <f>IFERROR(INDEX(Katalog!$B$3:$B$12,MATCH(Data[[#This Row],[ItemID B]],Katalog!$C$3:$C$12,0)),"-")</f>
        <v>-</v>
      </c>
      <c r="O921" s="36" t="str">
        <f>IFERROR(INDEX(Katalog!$D$3:$D$12,MATCH(Data[[#This Row],[ItemID B]],Katalog!$C$3:$C$12,0))*Data[[#This Row],[Qty B]],"0")</f>
        <v>0</v>
      </c>
      <c r="P921" s="36" t="str">
        <f>IFERROR(INDEX(Katalog!$F$3:$F$12,MATCH(Data[[#This Row],[ItemID B]],Katalog!$C$3:$C$12,0))*Data[[#This Row],[Qty B]],"0")</f>
        <v>0</v>
      </c>
      <c r="R921" t="str">
        <f>IFERROR(INDEX(Katalog!$A$3:$A$12,MATCH(Data[[#This Row],[ItemID C]],Katalog!$C$3:$C$12,0)),"-")</f>
        <v>-</v>
      </c>
      <c r="S921" t="str">
        <f>IFERROR(INDEX(Katalog!$B$3:$B$12,MATCH(Data[[#This Row],[ItemID C]],Katalog!$C$3:$C$12,0)),"-")</f>
        <v>-</v>
      </c>
      <c r="V921" s="36" t="str">
        <f>IFERROR(INDEX(Katalog!$D$3:$D$12,MATCH(Data[[#This Row],[ItemID C]],Katalog!$C$3:$C$12,0))*Data[[#This Row],[Qty C]],"0")</f>
        <v>0</v>
      </c>
      <c r="W921" s="36" t="str">
        <f>IFERROR(INDEX(Katalog!$F$3:$F$12,MATCH(Data[[#This Row],[ItemID C]],Katalog!$C$3:$C$12,0))*Data[[#This Row],[Qty C]],"0")</f>
        <v>0</v>
      </c>
      <c r="X921" s="21">
        <f>Data[[#This Row],[Qty A]]+Data[[#This Row],[Qty B]]+Data[[#This Row],[Qty C]]</f>
        <v>1</v>
      </c>
      <c r="Y921" s="22">
        <f>Data[[#This Row],[Harga Barang A]]+Data[[#This Row],[Harga Barang B]]+Data[[#This Row],[Harga Barang C]]</f>
        <v>200000</v>
      </c>
      <c r="Z921" s="35">
        <f>IFERROR(Data[[#This Row],[Total Harga]]-(Data[[#This Row],[Total Harga]]*Data[[#This Row],[Diskon]]),Data[[#This Row],[Total Harga]])</f>
        <v>170000</v>
      </c>
      <c r="AA921" s="35">
        <f>(Data[[#This Row],[Profit A]]+Data[[#This Row],[Profit B]]+Data[[#This Row],[Profit C]])</f>
        <v>80000</v>
      </c>
      <c r="AB921" s="35">
        <f>IFERROR((Data[[#This Row],[Profit non Diskon]]-(Data[[#This Row],[Profit non Diskon]]*Data[[#This Row],[Diskon]])),Data[[#This Row],[Profit non Diskon]])</f>
        <v>68000</v>
      </c>
      <c r="AC921" s="23" t="s">
        <v>13</v>
      </c>
      <c r="AD921" s="37">
        <f>IFERROR(INDEX('Kode Diskon'!$D$3:$D$9,MATCH(Data[[#This Row],[Kode diskon]],'Kode Diskon'!$C$3:$C$9,0)),"-")</f>
        <v>0.15</v>
      </c>
      <c r="AE921" s="23" t="s">
        <v>29</v>
      </c>
      <c r="AF921" s="23" t="s">
        <v>7</v>
      </c>
      <c r="AG921" s="23" t="s">
        <v>79</v>
      </c>
      <c r="AH921" s="24">
        <v>45017</v>
      </c>
      <c r="AI921" s="23" t="str">
        <f>TEXT(Data[[#This Row],[Tanggal terjual]],"dddd")</f>
        <v>Saturday</v>
      </c>
      <c r="AJ921" s="21" t="str">
        <f>TEXT(Data[[#This Row],[Tanggal terjual]],"wwww")</f>
        <v>wwww</v>
      </c>
    </row>
    <row r="922" spans="1:36" x14ac:dyDescent="0.2">
      <c r="A922" s="20">
        <v>921</v>
      </c>
      <c r="B922" s="21" t="str">
        <f>_xlfn.CONCAT("ORD-",INDEX(Helper!$B$2:$B$5,MATCH(Data[[#This Row],[Marketplace]],Helper!$A$2:$A$5,0)),TEXT(Data[[#This Row],[No]],"0000"),"-",TEXT(Data[[#This Row],[Tanggal terjual]],"dd/mm/yy"))</f>
        <v>ORD-SP0921-05/04/23</v>
      </c>
      <c r="C922" t="s">
        <v>62</v>
      </c>
      <c r="D922" t="str">
        <f>IFERROR(INDEX(Katalog!$A$3:$A$12,MATCH(Data[[#This Row],[ItemID A]],Katalog!$C$3:$C$12,0)),"-")</f>
        <v>Pakaian Pria</v>
      </c>
      <c r="E922" t="str">
        <f>IFERROR(INDEX(Katalog!$B$3:$B$12,MATCH(Data[[#This Row],[ItemID A]],Katalog!$C$3:$C$12,0)),"-")</f>
        <v>Celana Pendek</v>
      </c>
      <c r="F922">
        <v>1</v>
      </c>
      <c r="G922">
        <v>1</v>
      </c>
      <c r="H922" s="36">
        <f>IFERROR(INDEX(Katalog!$D$3:$D$12,MATCH(Data[[#This Row],[ItemID A]],Katalog!$C$3:$C$12,0))*Data[[#This Row],[Qty A]],"0")</f>
        <v>180000</v>
      </c>
      <c r="I922" s="36">
        <f>IFERROR(INDEX(Katalog!$F$3:$F$12,MATCH(Data[[#This Row],[ItemID A]],Katalog!$C$3:$C$12,0))*Data[[#This Row],[Qty A]],0)</f>
        <v>70000</v>
      </c>
      <c r="J922" t="s">
        <v>66</v>
      </c>
      <c r="K922" t="str">
        <f>IFERROR(INDEX(Katalog!$A$3:$A$12,MATCH(Data[[#This Row],[ItemID B]],Katalog!$C$3:$C$12,0)),"-")</f>
        <v>Sepatu Pria</v>
      </c>
      <c r="L922" t="str">
        <f>IFERROR(INDEX(Katalog!$B$3:$B$12,MATCH(Data[[#This Row],[ItemID B]],Katalog!$C$3:$C$12,0)),"-")</f>
        <v>Sandal Slip On</v>
      </c>
      <c r="M922">
        <v>1</v>
      </c>
      <c r="N922">
        <v>3</v>
      </c>
      <c r="O922" s="36">
        <f>IFERROR(INDEX(Katalog!$D$3:$D$12,MATCH(Data[[#This Row],[ItemID B]],Katalog!$C$3:$C$12,0))*Data[[#This Row],[Qty B]],"0")</f>
        <v>150000</v>
      </c>
      <c r="P922" s="36">
        <f>IFERROR(INDEX(Katalog!$F$3:$F$12,MATCH(Data[[#This Row],[ItemID B]],Katalog!$C$3:$C$12,0))*Data[[#This Row],[Qty B]],"0")</f>
        <v>60000</v>
      </c>
      <c r="R922" t="str">
        <f>IFERROR(INDEX(Katalog!$A$3:$A$12,MATCH(Data[[#This Row],[ItemID C]],Katalog!$C$3:$C$12,0)),"-")</f>
        <v>-</v>
      </c>
      <c r="S922" t="str">
        <f>IFERROR(INDEX(Katalog!$B$3:$B$12,MATCH(Data[[#This Row],[ItemID C]],Katalog!$C$3:$C$12,0)),"-")</f>
        <v>-</v>
      </c>
      <c r="V922" s="36" t="str">
        <f>IFERROR(INDEX(Katalog!$D$3:$D$12,MATCH(Data[[#This Row],[ItemID C]],Katalog!$C$3:$C$12,0))*Data[[#This Row],[Qty C]],"0")</f>
        <v>0</v>
      </c>
      <c r="W922" s="36" t="str">
        <f>IFERROR(INDEX(Katalog!$F$3:$F$12,MATCH(Data[[#This Row],[ItemID C]],Katalog!$C$3:$C$12,0))*Data[[#This Row],[Qty C]],"0")</f>
        <v>0</v>
      </c>
      <c r="X922" s="21">
        <f>Data[[#This Row],[Qty A]]+Data[[#This Row],[Qty B]]+Data[[#This Row],[Qty C]]</f>
        <v>2</v>
      </c>
      <c r="Y922" s="22">
        <f>Data[[#This Row],[Harga Barang A]]+Data[[#This Row],[Harga Barang B]]+Data[[#This Row],[Harga Barang C]]</f>
        <v>330000</v>
      </c>
      <c r="Z922" s="35">
        <f>IFERROR(Data[[#This Row],[Total Harga]]-(Data[[#This Row],[Total Harga]]*Data[[#This Row],[Diskon]]),Data[[#This Row],[Total Harga]])</f>
        <v>297000</v>
      </c>
      <c r="AA922" s="35">
        <f>(Data[[#This Row],[Profit A]]+Data[[#This Row],[Profit B]]+Data[[#This Row],[Profit C]])</f>
        <v>130000</v>
      </c>
      <c r="AB922" s="35">
        <f>IFERROR((Data[[#This Row],[Profit non Diskon]]-(Data[[#This Row],[Profit non Diskon]]*Data[[#This Row],[Diskon]])),Data[[#This Row],[Profit non Diskon]])</f>
        <v>117000</v>
      </c>
      <c r="AC922" s="23" t="s">
        <v>6</v>
      </c>
      <c r="AD922" s="37">
        <f>IFERROR(INDEX('Kode Diskon'!$D$3:$D$9,MATCH(Data[[#This Row],[Kode diskon]],'Kode Diskon'!$C$3:$C$9,0)),"-")</f>
        <v>0.1</v>
      </c>
      <c r="AE922" s="23" t="s">
        <v>29</v>
      </c>
      <c r="AF922" s="23" t="s">
        <v>7</v>
      </c>
      <c r="AG922" s="23" t="s">
        <v>75</v>
      </c>
      <c r="AH922" s="24">
        <v>45021</v>
      </c>
      <c r="AI922" s="23" t="str">
        <f>TEXT(Data[[#This Row],[Tanggal terjual]],"dddd")</f>
        <v>Wednesday</v>
      </c>
      <c r="AJ922" s="21" t="str">
        <f>TEXT(Data[[#This Row],[Tanggal terjual]],"wwww")</f>
        <v>wwww</v>
      </c>
    </row>
    <row r="923" spans="1:36" x14ac:dyDescent="0.2">
      <c r="A923" s="20">
        <v>922</v>
      </c>
      <c r="B923" s="21" t="str">
        <f>_xlfn.CONCAT("ORD-",INDEX(Helper!$B$2:$B$5,MATCH(Data[[#This Row],[Marketplace]],Helper!$A$2:$A$5,0)),TEXT(Data[[#This Row],[No]],"0000"),"-",TEXT(Data[[#This Row],[Tanggal terjual]],"dd/mm/yy"))</f>
        <v>ORD-SP0922-02/04/23</v>
      </c>
      <c r="C923" t="s">
        <v>60</v>
      </c>
      <c r="D923" t="str">
        <f>IFERROR(INDEX(Katalog!$A$3:$A$12,MATCH(Data[[#This Row],[ItemID A]],Katalog!$C$3:$C$12,0)),"-")</f>
        <v>Pakaian Wanita</v>
      </c>
      <c r="E923" t="str">
        <f>IFERROR(INDEX(Katalog!$B$3:$B$12,MATCH(Data[[#This Row],[ItemID A]],Katalog!$C$3:$C$12,0)),"-")</f>
        <v>Kaftan</v>
      </c>
      <c r="F923">
        <v>1</v>
      </c>
      <c r="G923">
        <v>1</v>
      </c>
      <c r="H923" s="36">
        <f>IFERROR(INDEX(Katalog!$D$3:$D$12,MATCH(Data[[#This Row],[ItemID A]],Katalog!$C$3:$C$12,0))*Data[[#This Row],[Qty A]],"0")</f>
        <v>250000</v>
      </c>
      <c r="I923" s="36">
        <f>IFERROR(INDEX(Katalog!$F$3:$F$12,MATCH(Data[[#This Row],[ItemID A]],Katalog!$C$3:$C$12,0))*Data[[#This Row],[Qty A]],0)</f>
        <v>100000</v>
      </c>
      <c r="J923" t="s">
        <v>63</v>
      </c>
      <c r="K923" t="str">
        <f>IFERROR(INDEX(Katalog!$A$3:$A$12,MATCH(Data[[#This Row],[ItemID B]],Katalog!$C$3:$C$12,0)),"-")</f>
        <v>Pakaian Pria</v>
      </c>
      <c r="L923" t="str">
        <f>IFERROR(INDEX(Katalog!$B$3:$B$12,MATCH(Data[[#This Row],[ItemID B]],Katalog!$C$3:$C$12,0)),"-")</f>
        <v>Jaket Jeans</v>
      </c>
      <c r="M923">
        <v>4</v>
      </c>
      <c r="N923">
        <v>3</v>
      </c>
      <c r="O923" s="36">
        <f>IFERROR(INDEX(Katalog!$D$3:$D$12,MATCH(Data[[#This Row],[ItemID B]],Katalog!$C$3:$C$12,0))*Data[[#This Row],[Qty B]],"0")</f>
        <v>1600000</v>
      </c>
      <c r="P923" s="36">
        <f>IFERROR(INDEX(Katalog!$F$3:$F$12,MATCH(Data[[#This Row],[ItemID B]],Katalog!$C$3:$C$12,0))*Data[[#This Row],[Qty B]],"0")</f>
        <v>600000</v>
      </c>
      <c r="Q923" t="s">
        <v>64</v>
      </c>
      <c r="R923" t="str">
        <f>IFERROR(INDEX(Katalog!$A$3:$A$12,MATCH(Data[[#This Row],[ItemID C]],Katalog!$C$3:$C$12,0)),"-")</f>
        <v>Pakaian Unisex</v>
      </c>
      <c r="S923" t="str">
        <f>IFERROR(INDEX(Katalog!$B$3:$B$12,MATCH(Data[[#This Row],[ItemID C]],Katalog!$C$3:$C$12,0)),"-")</f>
        <v>Jaket Hoodie</v>
      </c>
      <c r="T923">
        <v>1</v>
      </c>
      <c r="U923">
        <v>5</v>
      </c>
      <c r="V923" s="36">
        <f>IFERROR(INDEX(Katalog!$D$3:$D$12,MATCH(Data[[#This Row],[ItemID C]],Katalog!$C$3:$C$12,0))*Data[[#This Row],[Qty C]],"0")</f>
        <v>350000</v>
      </c>
      <c r="W923" s="36">
        <f>IFERROR(INDEX(Katalog!$F$3:$F$12,MATCH(Data[[#This Row],[ItemID C]],Katalog!$C$3:$C$12,0))*Data[[#This Row],[Qty C]],"0")</f>
        <v>130000</v>
      </c>
      <c r="X923" s="21">
        <f>Data[[#This Row],[Qty A]]+Data[[#This Row],[Qty B]]+Data[[#This Row],[Qty C]]</f>
        <v>6</v>
      </c>
      <c r="Y923" s="22">
        <f>Data[[#This Row],[Harga Barang A]]+Data[[#This Row],[Harga Barang B]]+Data[[#This Row],[Harga Barang C]]</f>
        <v>2200000</v>
      </c>
      <c r="Z923" s="35">
        <f>IFERROR(Data[[#This Row],[Total Harga]]-(Data[[#This Row],[Total Harga]]*Data[[#This Row],[Diskon]]),Data[[#This Row],[Total Harga]])</f>
        <v>1980000</v>
      </c>
      <c r="AA923" s="35">
        <f>(Data[[#This Row],[Profit A]]+Data[[#This Row],[Profit B]]+Data[[#This Row],[Profit C]])</f>
        <v>830000</v>
      </c>
      <c r="AB923" s="35">
        <f>IFERROR((Data[[#This Row],[Profit non Diskon]]-(Data[[#This Row],[Profit non Diskon]]*Data[[#This Row],[Diskon]])),Data[[#This Row],[Profit non Diskon]])</f>
        <v>747000</v>
      </c>
      <c r="AC923" s="23" t="s">
        <v>6</v>
      </c>
      <c r="AD923" s="37">
        <f>IFERROR(INDEX('Kode Diskon'!$D$3:$D$9,MATCH(Data[[#This Row],[Kode diskon]],'Kode Diskon'!$C$3:$C$9,0)),"-")</f>
        <v>0.1</v>
      </c>
      <c r="AE923" s="23" t="s">
        <v>29</v>
      </c>
      <c r="AF923" s="23" t="s">
        <v>7</v>
      </c>
      <c r="AG923" s="23" t="s">
        <v>79</v>
      </c>
      <c r="AH923" s="24">
        <v>45018</v>
      </c>
      <c r="AI923" s="23" t="str">
        <f>TEXT(Data[[#This Row],[Tanggal terjual]],"dddd")</f>
        <v>Sunday</v>
      </c>
      <c r="AJ923" s="21" t="str">
        <f>TEXT(Data[[#This Row],[Tanggal terjual]],"wwww")</f>
        <v>wwww</v>
      </c>
    </row>
    <row r="924" spans="1:36" x14ac:dyDescent="0.2">
      <c r="A924" s="20">
        <v>923</v>
      </c>
      <c r="B924" s="21" t="str">
        <f>_xlfn.CONCAT("ORD-",INDEX(Helper!$B$2:$B$5,MATCH(Data[[#This Row],[Marketplace]],Helper!$A$2:$A$5,0)),TEXT(Data[[#This Row],[No]],"0000"),"-",TEXT(Data[[#This Row],[Tanggal terjual]],"dd/mm/yy"))</f>
        <v>ORD-TK0923-02/04/23</v>
      </c>
      <c r="C924" t="s">
        <v>59</v>
      </c>
      <c r="D924" t="str">
        <f>IFERROR(INDEX(Katalog!$A$3:$A$12,MATCH(Data[[#This Row],[ItemID A]],Katalog!$C$3:$C$12,0)),"-")</f>
        <v>Pakaian Wanita</v>
      </c>
      <c r="E924" t="str">
        <f>IFERROR(INDEX(Katalog!$B$3:$B$12,MATCH(Data[[#This Row],[ItemID A]],Katalog!$C$3:$C$12,0)),"-")</f>
        <v>Blouse</v>
      </c>
      <c r="F924">
        <v>2</v>
      </c>
      <c r="G924">
        <v>2</v>
      </c>
      <c r="H924" s="36">
        <f>IFERROR(INDEX(Katalog!$D$3:$D$12,MATCH(Data[[#This Row],[ItemID A]],Katalog!$C$3:$C$12,0))*Data[[#This Row],[Qty A]],"0")</f>
        <v>300000</v>
      </c>
      <c r="I924" s="36">
        <f>IFERROR(INDEX(Katalog!$F$3:$F$12,MATCH(Data[[#This Row],[ItemID A]],Katalog!$C$3:$C$12,0))*Data[[#This Row],[Qty A]],0)</f>
        <v>100000</v>
      </c>
      <c r="J924" t="s">
        <v>66</v>
      </c>
      <c r="K924" t="str">
        <f>IFERROR(INDEX(Katalog!$A$3:$A$12,MATCH(Data[[#This Row],[ItemID B]],Katalog!$C$3:$C$12,0)),"-")</f>
        <v>Sepatu Pria</v>
      </c>
      <c r="L924" t="str">
        <f>IFERROR(INDEX(Katalog!$B$3:$B$12,MATCH(Data[[#This Row],[ItemID B]],Katalog!$C$3:$C$12,0)),"-")</f>
        <v>Sandal Slip On</v>
      </c>
      <c r="M924">
        <v>2</v>
      </c>
      <c r="N924">
        <v>3</v>
      </c>
      <c r="O924" s="36">
        <f>IFERROR(INDEX(Katalog!$D$3:$D$12,MATCH(Data[[#This Row],[ItemID B]],Katalog!$C$3:$C$12,0))*Data[[#This Row],[Qty B]],"0")</f>
        <v>300000</v>
      </c>
      <c r="P924" s="36">
        <f>IFERROR(INDEX(Katalog!$F$3:$F$12,MATCH(Data[[#This Row],[ItemID B]],Katalog!$C$3:$C$12,0))*Data[[#This Row],[Qty B]],"0")</f>
        <v>120000</v>
      </c>
      <c r="Q924" t="s">
        <v>61</v>
      </c>
      <c r="R924" t="str">
        <f>IFERROR(INDEX(Katalog!$A$3:$A$12,MATCH(Data[[#This Row],[ItemID C]],Katalog!$C$3:$C$12,0)),"-")</f>
        <v>Pakaian Pria</v>
      </c>
      <c r="S924" t="str">
        <f>IFERROR(INDEX(Katalog!$B$3:$B$12,MATCH(Data[[#This Row],[ItemID C]],Katalog!$C$3:$C$12,0)),"-")</f>
        <v>Kaos Polo</v>
      </c>
      <c r="T924">
        <v>1</v>
      </c>
      <c r="U924">
        <v>3</v>
      </c>
      <c r="V924" s="36">
        <f>IFERROR(INDEX(Katalog!$D$3:$D$12,MATCH(Data[[#This Row],[ItemID C]],Katalog!$C$3:$C$12,0))*Data[[#This Row],[Qty C]],"0")</f>
        <v>200000</v>
      </c>
      <c r="W924" s="36">
        <f>IFERROR(INDEX(Katalog!$F$3:$F$12,MATCH(Data[[#This Row],[ItemID C]],Katalog!$C$3:$C$12,0))*Data[[#This Row],[Qty C]],"0")</f>
        <v>80000</v>
      </c>
      <c r="X924" s="21">
        <f>Data[[#This Row],[Qty A]]+Data[[#This Row],[Qty B]]+Data[[#This Row],[Qty C]]</f>
        <v>5</v>
      </c>
      <c r="Y924" s="22">
        <f>Data[[#This Row],[Harga Barang A]]+Data[[#This Row],[Harga Barang B]]+Data[[#This Row],[Harga Barang C]]</f>
        <v>800000</v>
      </c>
      <c r="Z924" s="35">
        <f>IFERROR(Data[[#This Row],[Total Harga]]-(Data[[#This Row],[Total Harga]]*Data[[#This Row],[Diskon]]),Data[[#This Row],[Total Harga]])</f>
        <v>720000</v>
      </c>
      <c r="AA924" s="35">
        <f>(Data[[#This Row],[Profit A]]+Data[[#This Row],[Profit B]]+Data[[#This Row],[Profit C]])</f>
        <v>300000</v>
      </c>
      <c r="AB924" s="35">
        <f>IFERROR((Data[[#This Row],[Profit non Diskon]]-(Data[[#This Row],[Profit non Diskon]]*Data[[#This Row],[Diskon]])),Data[[#This Row],[Profit non Diskon]])</f>
        <v>270000</v>
      </c>
      <c r="AC924" s="23" t="s">
        <v>30</v>
      </c>
      <c r="AD924" s="37">
        <f>IFERROR(INDEX('Kode Diskon'!$D$3:$D$9,MATCH(Data[[#This Row],[Kode diskon]],'Kode Diskon'!$C$3:$C$9,0)),"-")</f>
        <v>0.1</v>
      </c>
      <c r="AE924" s="23" t="s">
        <v>29</v>
      </c>
      <c r="AF924" s="23" t="s">
        <v>10</v>
      </c>
      <c r="AG924" s="23" t="s">
        <v>78</v>
      </c>
      <c r="AH924" s="24">
        <v>45018</v>
      </c>
      <c r="AI924" s="23" t="str">
        <f>TEXT(Data[[#This Row],[Tanggal terjual]],"dddd")</f>
        <v>Sunday</v>
      </c>
      <c r="AJ924" s="21" t="str">
        <f>TEXT(Data[[#This Row],[Tanggal terjual]],"wwww")</f>
        <v>wwww</v>
      </c>
    </row>
    <row r="925" spans="1:36" x14ac:dyDescent="0.2">
      <c r="A925" s="20">
        <v>924</v>
      </c>
      <c r="B925" s="21" t="str">
        <f>_xlfn.CONCAT("ORD-",INDEX(Helper!$B$2:$B$5,MATCH(Data[[#This Row],[Marketplace]],Helper!$A$2:$A$5,0)),TEXT(Data[[#This Row],[No]],"0000"),"-",TEXT(Data[[#This Row],[Tanggal terjual]],"dd/mm/yy"))</f>
        <v>ORD-SP0924-02/04/23</v>
      </c>
      <c r="C925" t="s">
        <v>64</v>
      </c>
      <c r="D925" t="str">
        <f>IFERROR(INDEX(Katalog!$A$3:$A$12,MATCH(Data[[#This Row],[ItemID A]],Katalog!$C$3:$C$12,0)),"-")</f>
        <v>Pakaian Unisex</v>
      </c>
      <c r="E925" t="str">
        <f>IFERROR(INDEX(Katalog!$B$3:$B$12,MATCH(Data[[#This Row],[ItemID A]],Katalog!$C$3:$C$12,0)),"-")</f>
        <v>Jaket Hoodie</v>
      </c>
      <c r="F925">
        <v>1</v>
      </c>
      <c r="G925">
        <v>4</v>
      </c>
      <c r="H925" s="36">
        <f>IFERROR(INDEX(Katalog!$D$3:$D$12,MATCH(Data[[#This Row],[ItemID A]],Katalog!$C$3:$C$12,0))*Data[[#This Row],[Qty A]],"0")</f>
        <v>350000</v>
      </c>
      <c r="I925" s="36">
        <f>IFERROR(INDEX(Katalog!$F$3:$F$12,MATCH(Data[[#This Row],[ItemID A]],Katalog!$C$3:$C$12,0))*Data[[#This Row],[Qty A]],0)</f>
        <v>130000</v>
      </c>
      <c r="J925" t="s">
        <v>65</v>
      </c>
      <c r="K925" t="str">
        <f>IFERROR(INDEX(Katalog!$A$3:$A$12,MATCH(Data[[#This Row],[ItemID B]],Katalog!$C$3:$C$12,0)),"-")</f>
        <v>Sepatu Pria</v>
      </c>
      <c r="L925" t="str">
        <f>IFERROR(INDEX(Katalog!$B$3:$B$12,MATCH(Data[[#This Row],[ItemID B]],Katalog!$C$3:$C$12,0)),"-")</f>
        <v>Sneakers</v>
      </c>
      <c r="M925">
        <v>2</v>
      </c>
      <c r="N925">
        <v>1</v>
      </c>
      <c r="O925" s="36">
        <f>IFERROR(INDEX(Katalog!$D$3:$D$12,MATCH(Data[[#This Row],[ItemID B]],Katalog!$C$3:$C$12,0))*Data[[#This Row],[Qty B]],"0")</f>
        <v>1000000</v>
      </c>
      <c r="P925" s="36">
        <f>IFERROR(INDEX(Katalog!$F$3:$F$12,MATCH(Data[[#This Row],[ItemID B]],Katalog!$C$3:$C$12,0))*Data[[#This Row],[Qty B]],"0")</f>
        <v>400000</v>
      </c>
      <c r="R925" t="str">
        <f>IFERROR(INDEX(Katalog!$A$3:$A$12,MATCH(Data[[#This Row],[ItemID C]],Katalog!$C$3:$C$12,0)),"-")</f>
        <v>-</v>
      </c>
      <c r="S925" t="str">
        <f>IFERROR(INDEX(Katalog!$B$3:$B$12,MATCH(Data[[#This Row],[ItemID C]],Katalog!$C$3:$C$12,0)),"-")</f>
        <v>-</v>
      </c>
      <c r="V925" s="36" t="str">
        <f>IFERROR(INDEX(Katalog!$D$3:$D$12,MATCH(Data[[#This Row],[ItemID C]],Katalog!$C$3:$C$12,0))*Data[[#This Row],[Qty C]],"0")</f>
        <v>0</v>
      </c>
      <c r="W925" s="36" t="str">
        <f>IFERROR(INDEX(Katalog!$F$3:$F$12,MATCH(Data[[#This Row],[ItemID C]],Katalog!$C$3:$C$12,0))*Data[[#This Row],[Qty C]],"0")</f>
        <v>0</v>
      </c>
      <c r="X925" s="21">
        <f>Data[[#This Row],[Qty A]]+Data[[#This Row],[Qty B]]+Data[[#This Row],[Qty C]]</f>
        <v>3</v>
      </c>
      <c r="Y925" s="22">
        <f>Data[[#This Row],[Harga Barang A]]+Data[[#This Row],[Harga Barang B]]+Data[[#This Row],[Harga Barang C]]</f>
        <v>1350000</v>
      </c>
      <c r="Z925" s="35">
        <f>IFERROR(Data[[#This Row],[Total Harga]]-(Data[[#This Row],[Total Harga]]*Data[[#This Row],[Diskon]]),Data[[#This Row],[Total Harga]])</f>
        <v>1147500</v>
      </c>
      <c r="AA925" s="35">
        <f>(Data[[#This Row],[Profit A]]+Data[[#This Row],[Profit B]]+Data[[#This Row],[Profit C]])</f>
        <v>530000</v>
      </c>
      <c r="AB925" s="35">
        <f>IFERROR((Data[[#This Row],[Profit non Diskon]]-(Data[[#This Row],[Profit non Diskon]]*Data[[#This Row],[Diskon]])),Data[[#This Row],[Profit non Diskon]])</f>
        <v>450500</v>
      </c>
      <c r="AC925" s="23" t="s">
        <v>13</v>
      </c>
      <c r="AD925" s="37">
        <f>IFERROR(INDEX('Kode Diskon'!$D$3:$D$9,MATCH(Data[[#This Row],[Kode diskon]],'Kode Diskon'!$C$3:$C$9,0)),"-")</f>
        <v>0.15</v>
      </c>
      <c r="AE925" s="23" t="s">
        <v>29</v>
      </c>
      <c r="AF925" s="23" t="s">
        <v>7</v>
      </c>
      <c r="AG925" s="23" t="s">
        <v>76</v>
      </c>
      <c r="AH925" s="24">
        <v>45018</v>
      </c>
      <c r="AI925" s="23" t="str">
        <f>TEXT(Data[[#This Row],[Tanggal terjual]],"dddd")</f>
        <v>Sunday</v>
      </c>
      <c r="AJ925" s="21" t="str">
        <f>TEXT(Data[[#This Row],[Tanggal terjual]],"wwww")</f>
        <v>wwww</v>
      </c>
    </row>
    <row r="926" spans="1:36" x14ac:dyDescent="0.2">
      <c r="A926" s="20">
        <v>925</v>
      </c>
      <c r="B926" s="21" t="str">
        <f>_xlfn.CONCAT("ORD-",INDEX(Helper!$B$2:$B$5,MATCH(Data[[#This Row],[Marketplace]],Helper!$A$2:$A$5,0)),TEXT(Data[[#This Row],[No]],"0000"),"-",TEXT(Data[[#This Row],[Tanggal terjual]],"dd/mm/yy"))</f>
        <v>ORD-SP0925-02/04/23</v>
      </c>
      <c r="C926" t="s">
        <v>58</v>
      </c>
      <c r="D926" t="str">
        <f>IFERROR(INDEX(Katalog!$A$3:$A$12,MATCH(Data[[#This Row],[ItemID A]],Katalog!$C$3:$C$12,0)),"-")</f>
        <v>Pakaian Wanita</v>
      </c>
      <c r="E926" t="str">
        <f>IFERROR(INDEX(Katalog!$B$3:$B$12,MATCH(Data[[#This Row],[ItemID A]],Katalog!$C$3:$C$12,0)),"-")</f>
        <v>Dress</v>
      </c>
      <c r="F926">
        <v>4</v>
      </c>
      <c r="G926">
        <v>4</v>
      </c>
      <c r="H926" s="36">
        <f>IFERROR(INDEX(Katalog!$D$3:$D$12,MATCH(Data[[#This Row],[ItemID A]],Katalog!$C$3:$C$12,0))*Data[[#This Row],[Qty A]],"0")</f>
        <v>1200000</v>
      </c>
      <c r="I926" s="36">
        <f>IFERROR(INDEX(Katalog!$F$3:$F$12,MATCH(Data[[#This Row],[ItemID A]],Katalog!$C$3:$C$12,0))*Data[[#This Row],[Qty A]],0)</f>
        <v>400000</v>
      </c>
      <c r="J926" t="s">
        <v>59</v>
      </c>
      <c r="K926" t="str">
        <f>IFERROR(INDEX(Katalog!$A$3:$A$12,MATCH(Data[[#This Row],[ItemID B]],Katalog!$C$3:$C$12,0)),"-")</f>
        <v>Pakaian Wanita</v>
      </c>
      <c r="L926" t="str">
        <f>IFERROR(INDEX(Katalog!$B$3:$B$12,MATCH(Data[[#This Row],[ItemID B]],Katalog!$C$3:$C$12,0)),"-")</f>
        <v>Blouse</v>
      </c>
      <c r="M926">
        <v>3</v>
      </c>
      <c r="N926">
        <v>4</v>
      </c>
      <c r="O926" s="36">
        <f>IFERROR(INDEX(Katalog!$D$3:$D$12,MATCH(Data[[#This Row],[ItemID B]],Katalog!$C$3:$C$12,0))*Data[[#This Row],[Qty B]],"0")</f>
        <v>450000</v>
      </c>
      <c r="P926" s="36">
        <f>IFERROR(INDEX(Katalog!$F$3:$F$12,MATCH(Data[[#This Row],[ItemID B]],Katalog!$C$3:$C$12,0))*Data[[#This Row],[Qty B]],"0")</f>
        <v>150000</v>
      </c>
      <c r="R926" t="str">
        <f>IFERROR(INDEX(Katalog!$A$3:$A$12,MATCH(Data[[#This Row],[ItemID C]],Katalog!$C$3:$C$12,0)),"-")</f>
        <v>-</v>
      </c>
      <c r="S926" t="str">
        <f>IFERROR(INDEX(Katalog!$B$3:$B$12,MATCH(Data[[#This Row],[ItemID C]],Katalog!$C$3:$C$12,0)),"-")</f>
        <v>-</v>
      </c>
      <c r="V926" s="36" t="str">
        <f>IFERROR(INDEX(Katalog!$D$3:$D$12,MATCH(Data[[#This Row],[ItemID C]],Katalog!$C$3:$C$12,0))*Data[[#This Row],[Qty C]],"0")</f>
        <v>0</v>
      </c>
      <c r="W926" s="36" t="str">
        <f>IFERROR(INDEX(Katalog!$F$3:$F$12,MATCH(Data[[#This Row],[ItemID C]],Katalog!$C$3:$C$12,0))*Data[[#This Row],[Qty C]],"0")</f>
        <v>0</v>
      </c>
      <c r="X926" s="21">
        <f>Data[[#This Row],[Qty A]]+Data[[#This Row],[Qty B]]+Data[[#This Row],[Qty C]]</f>
        <v>7</v>
      </c>
      <c r="Y926" s="22">
        <f>Data[[#This Row],[Harga Barang A]]+Data[[#This Row],[Harga Barang B]]+Data[[#This Row],[Harga Barang C]]</f>
        <v>1650000</v>
      </c>
      <c r="Z926" s="35">
        <f>IFERROR(Data[[#This Row],[Total Harga]]-(Data[[#This Row],[Total Harga]]*Data[[#This Row],[Diskon]]),Data[[#This Row],[Total Harga]])</f>
        <v>1485000</v>
      </c>
      <c r="AA926" s="35">
        <f>(Data[[#This Row],[Profit A]]+Data[[#This Row],[Profit B]]+Data[[#This Row],[Profit C]])</f>
        <v>550000</v>
      </c>
      <c r="AB926" s="35">
        <f>IFERROR((Data[[#This Row],[Profit non Diskon]]-(Data[[#This Row],[Profit non Diskon]]*Data[[#This Row],[Diskon]])),Data[[#This Row],[Profit non Diskon]])</f>
        <v>495000</v>
      </c>
      <c r="AC926" s="23" t="s">
        <v>6</v>
      </c>
      <c r="AD926" s="37">
        <f>IFERROR(INDEX('Kode Diskon'!$D$3:$D$9,MATCH(Data[[#This Row],[Kode diskon]],'Kode Diskon'!$C$3:$C$9,0)),"-")</f>
        <v>0.1</v>
      </c>
      <c r="AE926" s="23" t="s">
        <v>29</v>
      </c>
      <c r="AF926" s="23" t="s">
        <v>7</v>
      </c>
      <c r="AG926" s="23" t="s">
        <v>76</v>
      </c>
      <c r="AH926" s="24">
        <v>45018</v>
      </c>
      <c r="AI926" s="23" t="str">
        <f>TEXT(Data[[#This Row],[Tanggal terjual]],"dddd")</f>
        <v>Sunday</v>
      </c>
      <c r="AJ926" s="21" t="str">
        <f>TEXT(Data[[#This Row],[Tanggal terjual]],"wwww")</f>
        <v>wwww</v>
      </c>
    </row>
    <row r="927" spans="1:36" x14ac:dyDescent="0.2">
      <c r="A927" s="20">
        <v>926</v>
      </c>
      <c r="B927" s="21" t="str">
        <f>_xlfn.CONCAT("ORD-",INDEX(Helper!$B$2:$B$5,MATCH(Data[[#This Row],[Marketplace]],Helper!$A$2:$A$5,0)),TEXT(Data[[#This Row],[No]],"0000"),"-",TEXT(Data[[#This Row],[Tanggal terjual]],"dd/mm/yy"))</f>
        <v>ORD-TK0926-03/04/23</v>
      </c>
      <c r="C927" t="s">
        <v>63</v>
      </c>
      <c r="D927" t="str">
        <f>IFERROR(INDEX(Katalog!$A$3:$A$12,MATCH(Data[[#This Row],[ItemID A]],Katalog!$C$3:$C$12,0)),"-")</f>
        <v>Pakaian Pria</v>
      </c>
      <c r="E927" t="str">
        <f>IFERROR(INDEX(Katalog!$B$3:$B$12,MATCH(Data[[#This Row],[ItemID A]],Katalog!$C$3:$C$12,0)),"-")</f>
        <v>Jaket Jeans</v>
      </c>
      <c r="F927">
        <v>2</v>
      </c>
      <c r="G927">
        <v>2</v>
      </c>
      <c r="H927" s="36">
        <f>IFERROR(INDEX(Katalog!$D$3:$D$12,MATCH(Data[[#This Row],[ItemID A]],Katalog!$C$3:$C$12,0))*Data[[#This Row],[Qty A]],"0")</f>
        <v>800000</v>
      </c>
      <c r="I927" s="36">
        <f>IFERROR(INDEX(Katalog!$F$3:$F$12,MATCH(Data[[#This Row],[ItemID A]],Katalog!$C$3:$C$12,0))*Data[[#This Row],[Qty A]],0)</f>
        <v>300000</v>
      </c>
      <c r="J927" t="s">
        <v>67</v>
      </c>
      <c r="K927" t="str">
        <f>IFERROR(INDEX(Katalog!$A$3:$A$12,MATCH(Data[[#This Row],[ItemID B]],Katalog!$C$3:$C$12,0)),"-")</f>
        <v>Sepatu Wanita</v>
      </c>
      <c r="L927" t="str">
        <f>IFERROR(INDEX(Katalog!$B$3:$B$12,MATCH(Data[[#This Row],[ItemID B]],Katalog!$C$3:$C$12,0)),"-")</f>
        <v>Flat Shoes</v>
      </c>
      <c r="M927">
        <v>3</v>
      </c>
      <c r="N927">
        <v>3</v>
      </c>
      <c r="O927" s="36">
        <f>IFERROR(INDEX(Katalog!$D$3:$D$12,MATCH(Data[[#This Row],[ItemID B]],Katalog!$C$3:$C$12,0))*Data[[#This Row],[Qty B]],"0")</f>
        <v>750000</v>
      </c>
      <c r="P927" s="36">
        <f>IFERROR(INDEX(Katalog!$F$3:$F$12,MATCH(Data[[#This Row],[ItemID B]],Katalog!$C$3:$C$12,0))*Data[[#This Row],[Qty B]],"0")</f>
        <v>300000</v>
      </c>
      <c r="Q927" t="s">
        <v>64</v>
      </c>
      <c r="R927" t="str">
        <f>IFERROR(INDEX(Katalog!$A$3:$A$12,MATCH(Data[[#This Row],[ItemID C]],Katalog!$C$3:$C$12,0)),"-")</f>
        <v>Pakaian Unisex</v>
      </c>
      <c r="S927" t="str">
        <f>IFERROR(INDEX(Katalog!$B$3:$B$12,MATCH(Data[[#This Row],[ItemID C]],Katalog!$C$3:$C$12,0)),"-")</f>
        <v>Jaket Hoodie</v>
      </c>
      <c r="T927">
        <v>2</v>
      </c>
      <c r="U927">
        <v>5</v>
      </c>
      <c r="V927" s="36">
        <f>IFERROR(INDEX(Katalog!$D$3:$D$12,MATCH(Data[[#This Row],[ItemID C]],Katalog!$C$3:$C$12,0))*Data[[#This Row],[Qty C]],"0")</f>
        <v>700000</v>
      </c>
      <c r="W927" s="36">
        <f>IFERROR(INDEX(Katalog!$F$3:$F$12,MATCH(Data[[#This Row],[ItemID C]],Katalog!$C$3:$C$12,0))*Data[[#This Row],[Qty C]],"0")</f>
        <v>260000</v>
      </c>
      <c r="X927" s="21">
        <f>Data[[#This Row],[Qty A]]+Data[[#This Row],[Qty B]]+Data[[#This Row],[Qty C]]</f>
        <v>7</v>
      </c>
      <c r="Y927" s="22">
        <f>Data[[#This Row],[Harga Barang A]]+Data[[#This Row],[Harga Barang B]]+Data[[#This Row],[Harga Barang C]]</f>
        <v>2250000</v>
      </c>
      <c r="Z927" s="35">
        <f>IFERROR(Data[[#This Row],[Total Harga]]-(Data[[#This Row],[Total Harga]]*Data[[#This Row],[Diskon]]),Data[[#This Row],[Total Harga]])</f>
        <v>2025000</v>
      </c>
      <c r="AA927" s="35">
        <f>(Data[[#This Row],[Profit A]]+Data[[#This Row],[Profit B]]+Data[[#This Row],[Profit C]])</f>
        <v>860000</v>
      </c>
      <c r="AB927" s="35">
        <f>IFERROR((Data[[#This Row],[Profit non Diskon]]-(Data[[#This Row],[Profit non Diskon]]*Data[[#This Row],[Diskon]])),Data[[#This Row],[Profit non Diskon]])</f>
        <v>774000</v>
      </c>
      <c r="AC927" s="23" t="s">
        <v>30</v>
      </c>
      <c r="AD927" s="37">
        <f>IFERROR(INDEX('Kode Diskon'!$D$3:$D$9,MATCH(Data[[#This Row],[Kode diskon]],'Kode Diskon'!$C$3:$C$9,0)),"-")</f>
        <v>0.1</v>
      </c>
      <c r="AE927" s="23" t="s">
        <v>29</v>
      </c>
      <c r="AF927" s="23" t="s">
        <v>10</v>
      </c>
      <c r="AG927" s="23" t="s">
        <v>79</v>
      </c>
      <c r="AH927" s="24">
        <v>45019</v>
      </c>
      <c r="AI927" s="23" t="str">
        <f>TEXT(Data[[#This Row],[Tanggal terjual]],"dddd")</f>
        <v>Monday</v>
      </c>
      <c r="AJ927" s="21" t="str">
        <f>TEXT(Data[[#This Row],[Tanggal terjual]],"wwww")</f>
        <v>wwww</v>
      </c>
    </row>
    <row r="928" spans="1:36" x14ac:dyDescent="0.2">
      <c r="A928" s="20">
        <v>927</v>
      </c>
      <c r="B928" s="21" t="str">
        <f>_xlfn.CONCAT("ORD-",INDEX(Helper!$B$2:$B$5,MATCH(Data[[#This Row],[Marketplace]],Helper!$A$2:$A$5,0)),TEXT(Data[[#This Row],[No]],"0000"),"-",TEXT(Data[[#This Row],[Tanggal terjual]],"dd/mm/yy"))</f>
        <v>ORD-BB0927-06/04/23</v>
      </c>
      <c r="C928" t="s">
        <v>67</v>
      </c>
      <c r="D928" t="str">
        <f>IFERROR(INDEX(Katalog!$A$3:$A$12,MATCH(Data[[#This Row],[ItemID A]],Katalog!$C$3:$C$12,0)),"-")</f>
        <v>Sepatu Wanita</v>
      </c>
      <c r="E928" t="str">
        <f>IFERROR(INDEX(Katalog!$B$3:$B$12,MATCH(Data[[#This Row],[ItemID A]],Katalog!$C$3:$C$12,0)),"-")</f>
        <v>Flat Shoes</v>
      </c>
      <c r="F928">
        <v>6</v>
      </c>
      <c r="G928">
        <v>1</v>
      </c>
      <c r="H928" s="36">
        <f>IFERROR(INDEX(Katalog!$D$3:$D$12,MATCH(Data[[#This Row],[ItemID A]],Katalog!$C$3:$C$12,0))*Data[[#This Row],[Qty A]],"0")</f>
        <v>1500000</v>
      </c>
      <c r="I928" s="36">
        <f>IFERROR(INDEX(Katalog!$F$3:$F$12,MATCH(Data[[#This Row],[ItemID A]],Katalog!$C$3:$C$12,0))*Data[[#This Row],[Qty A]],0)</f>
        <v>600000</v>
      </c>
      <c r="J928" t="s">
        <v>59</v>
      </c>
      <c r="K928" t="str">
        <f>IFERROR(INDEX(Katalog!$A$3:$A$12,MATCH(Data[[#This Row],[ItemID B]],Katalog!$C$3:$C$12,0)),"-")</f>
        <v>Pakaian Wanita</v>
      </c>
      <c r="L928" t="str">
        <f>IFERROR(INDEX(Katalog!$B$3:$B$12,MATCH(Data[[#This Row],[ItemID B]],Katalog!$C$3:$C$12,0)),"-")</f>
        <v>Blouse</v>
      </c>
      <c r="M928">
        <v>1</v>
      </c>
      <c r="N928">
        <v>2</v>
      </c>
      <c r="O928" s="36">
        <f>IFERROR(INDEX(Katalog!$D$3:$D$12,MATCH(Data[[#This Row],[ItemID B]],Katalog!$C$3:$C$12,0))*Data[[#This Row],[Qty B]],"0")</f>
        <v>150000</v>
      </c>
      <c r="P928" s="36">
        <f>IFERROR(INDEX(Katalog!$F$3:$F$12,MATCH(Data[[#This Row],[ItemID B]],Katalog!$C$3:$C$12,0))*Data[[#This Row],[Qty B]],"0")</f>
        <v>50000</v>
      </c>
      <c r="R928" t="str">
        <f>IFERROR(INDEX(Katalog!$A$3:$A$12,MATCH(Data[[#This Row],[ItemID C]],Katalog!$C$3:$C$12,0)),"-")</f>
        <v>-</v>
      </c>
      <c r="S928" t="str">
        <f>IFERROR(INDEX(Katalog!$B$3:$B$12,MATCH(Data[[#This Row],[ItemID C]],Katalog!$C$3:$C$12,0)),"-")</f>
        <v>-</v>
      </c>
      <c r="V928" s="36" t="str">
        <f>IFERROR(INDEX(Katalog!$D$3:$D$12,MATCH(Data[[#This Row],[ItemID C]],Katalog!$C$3:$C$12,0))*Data[[#This Row],[Qty C]],"0")</f>
        <v>0</v>
      </c>
      <c r="W928" s="36" t="str">
        <f>IFERROR(INDEX(Katalog!$F$3:$F$12,MATCH(Data[[#This Row],[ItemID C]],Katalog!$C$3:$C$12,0))*Data[[#This Row],[Qty C]],"0")</f>
        <v>0</v>
      </c>
      <c r="X928" s="21">
        <f>Data[[#This Row],[Qty A]]+Data[[#This Row],[Qty B]]+Data[[#This Row],[Qty C]]</f>
        <v>7</v>
      </c>
      <c r="Y928" s="22">
        <f>Data[[#This Row],[Harga Barang A]]+Data[[#This Row],[Harga Barang B]]+Data[[#This Row],[Harga Barang C]]</f>
        <v>1650000</v>
      </c>
      <c r="Z928" s="35">
        <f>IFERROR(Data[[#This Row],[Total Harga]]-(Data[[#This Row],[Total Harga]]*Data[[#This Row],[Diskon]]),Data[[#This Row],[Total Harga]])</f>
        <v>1402500</v>
      </c>
      <c r="AA928" s="35">
        <f>(Data[[#This Row],[Profit A]]+Data[[#This Row],[Profit B]]+Data[[#This Row],[Profit C]])</f>
        <v>650000</v>
      </c>
      <c r="AB928" s="35">
        <f>IFERROR((Data[[#This Row],[Profit non Diskon]]-(Data[[#This Row],[Profit non Diskon]]*Data[[#This Row],[Diskon]])),Data[[#This Row],[Profit non Diskon]])</f>
        <v>552500</v>
      </c>
      <c r="AC928" s="23" t="s">
        <v>28</v>
      </c>
      <c r="AD928" s="37">
        <f>IFERROR(INDEX('Kode Diskon'!$D$3:$D$9,MATCH(Data[[#This Row],[Kode diskon]],'Kode Diskon'!$C$3:$C$9,0)),"-")</f>
        <v>0.15</v>
      </c>
      <c r="AE928" s="23" t="s">
        <v>29</v>
      </c>
      <c r="AF928" s="23" t="s">
        <v>14</v>
      </c>
      <c r="AG928" s="23" t="s">
        <v>77</v>
      </c>
      <c r="AH928" s="24">
        <v>45022</v>
      </c>
      <c r="AI928" s="23" t="str">
        <f>TEXT(Data[[#This Row],[Tanggal terjual]],"dddd")</f>
        <v>Thursday</v>
      </c>
      <c r="AJ928" s="21" t="str">
        <f>TEXT(Data[[#This Row],[Tanggal terjual]],"wwww")</f>
        <v>wwww</v>
      </c>
    </row>
    <row r="929" spans="1:36" x14ac:dyDescent="0.2">
      <c r="A929" s="20">
        <v>928</v>
      </c>
      <c r="B929" s="21" t="str">
        <f>_xlfn.CONCAT("ORD-",INDEX(Helper!$B$2:$B$5,MATCH(Data[[#This Row],[Marketplace]],Helper!$A$2:$A$5,0)),TEXT(Data[[#This Row],[No]],"0000"),"-",TEXT(Data[[#This Row],[Tanggal terjual]],"dd/mm/yy"))</f>
        <v>ORD-TK0928-26/04/23</v>
      </c>
      <c r="C929" t="s">
        <v>66</v>
      </c>
      <c r="D929" t="str">
        <f>IFERROR(INDEX(Katalog!$A$3:$A$12,MATCH(Data[[#This Row],[ItemID A]],Katalog!$C$3:$C$12,0)),"-")</f>
        <v>Sepatu Pria</v>
      </c>
      <c r="E929" t="str">
        <f>IFERROR(INDEX(Katalog!$B$3:$B$12,MATCH(Data[[#This Row],[ItemID A]],Katalog!$C$3:$C$12,0)),"-")</f>
        <v>Sandal Slip On</v>
      </c>
      <c r="F929">
        <v>2</v>
      </c>
      <c r="G929">
        <v>2</v>
      </c>
      <c r="H929" s="36">
        <f>IFERROR(INDEX(Katalog!$D$3:$D$12,MATCH(Data[[#This Row],[ItemID A]],Katalog!$C$3:$C$12,0))*Data[[#This Row],[Qty A]],"0")</f>
        <v>300000</v>
      </c>
      <c r="I929" s="36">
        <f>IFERROR(INDEX(Katalog!$F$3:$F$12,MATCH(Data[[#This Row],[ItemID A]],Katalog!$C$3:$C$12,0))*Data[[#This Row],[Qty A]],0)</f>
        <v>120000</v>
      </c>
      <c r="K929" t="str">
        <f>IFERROR(INDEX(Katalog!$A$3:$A$12,MATCH(Data[[#This Row],[ItemID B]],Katalog!$C$3:$C$12,0)),"-")</f>
        <v>-</v>
      </c>
      <c r="L929" t="str">
        <f>IFERROR(INDEX(Katalog!$B$3:$B$12,MATCH(Data[[#This Row],[ItemID B]],Katalog!$C$3:$C$12,0)),"-")</f>
        <v>-</v>
      </c>
      <c r="O929" s="36" t="str">
        <f>IFERROR(INDEX(Katalog!$D$3:$D$12,MATCH(Data[[#This Row],[ItemID B]],Katalog!$C$3:$C$12,0))*Data[[#This Row],[Qty B]],"0")</f>
        <v>0</v>
      </c>
      <c r="P929" s="36" t="str">
        <f>IFERROR(INDEX(Katalog!$F$3:$F$12,MATCH(Data[[#This Row],[ItemID B]],Katalog!$C$3:$C$12,0))*Data[[#This Row],[Qty B]],"0")</f>
        <v>0</v>
      </c>
      <c r="R929" t="str">
        <f>IFERROR(INDEX(Katalog!$A$3:$A$12,MATCH(Data[[#This Row],[ItemID C]],Katalog!$C$3:$C$12,0)),"-")</f>
        <v>-</v>
      </c>
      <c r="S929" t="str">
        <f>IFERROR(INDEX(Katalog!$B$3:$B$12,MATCH(Data[[#This Row],[ItemID C]],Katalog!$C$3:$C$12,0)),"-")</f>
        <v>-</v>
      </c>
      <c r="V929" s="36" t="str">
        <f>IFERROR(INDEX(Katalog!$D$3:$D$12,MATCH(Data[[#This Row],[ItemID C]],Katalog!$C$3:$C$12,0))*Data[[#This Row],[Qty C]],"0")</f>
        <v>0</v>
      </c>
      <c r="W929" s="36" t="str">
        <f>IFERROR(INDEX(Katalog!$F$3:$F$12,MATCH(Data[[#This Row],[ItemID C]],Katalog!$C$3:$C$12,0))*Data[[#This Row],[Qty C]],"0")</f>
        <v>0</v>
      </c>
      <c r="X929" s="21">
        <f>Data[[#This Row],[Qty A]]+Data[[#This Row],[Qty B]]+Data[[#This Row],[Qty C]]</f>
        <v>2</v>
      </c>
      <c r="Y929" s="22">
        <f>Data[[#This Row],[Harga Barang A]]+Data[[#This Row],[Harga Barang B]]+Data[[#This Row],[Harga Barang C]]</f>
        <v>300000</v>
      </c>
      <c r="Z929" s="35">
        <f>IFERROR(Data[[#This Row],[Total Harga]]-(Data[[#This Row],[Total Harga]]*Data[[#This Row],[Diskon]]),Data[[#This Row],[Total Harga]])</f>
        <v>270000</v>
      </c>
      <c r="AA929" s="35">
        <f>(Data[[#This Row],[Profit A]]+Data[[#This Row],[Profit B]]+Data[[#This Row],[Profit C]])</f>
        <v>120000</v>
      </c>
      <c r="AB929" s="35">
        <f>IFERROR((Data[[#This Row],[Profit non Diskon]]-(Data[[#This Row],[Profit non Diskon]]*Data[[#This Row],[Diskon]])),Data[[#This Row],[Profit non Diskon]])</f>
        <v>108000</v>
      </c>
      <c r="AC929" s="23" t="s">
        <v>31</v>
      </c>
      <c r="AD929" s="37">
        <f>IFERROR(INDEX('Kode Diskon'!$D$3:$D$9,MATCH(Data[[#This Row],[Kode diskon]],'Kode Diskon'!$C$3:$C$9,0)),"-")</f>
        <v>0.1</v>
      </c>
      <c r="AE929" s="23" t="s">
        <v>9</v>
      </c>
      <c r="AF929" s="23" t="s">
        <v>10</v>
      </c>
      <c r="AG929" s="23" t="s">
        <v>76</v>
      </c>
      <c r="AH929" s="24">
        <v>45042</v>
      </c>
      <c r="AI929" s="23" t="str">
        <f>TEXT(Data[[#This Row],[Tanggal terjual]],"dddd")</f>
        <v>Wednesday</v>
      </c>
      <c r="AJ929" s="21" t="str">
        <f>TEXT(Data[[#This Row],[Tanggal terjual]],"wwww")</f>
        <v>wwww</v>
      </c>
    </row>
    <row r="930" spans="1:36" x14ac:dyDescent="0.2">
      <c r="A930" s="20">
        <v>929</v>
      </c>
      <c r="B930" s="21" t="str">
        <f>_xlfn.CONCAT("ORD-",INDEX(Helper!$B$2:$B$5,MATCH(Data[[#This Row],[Marketplace]],Helper!$A$2:$A$5,0)),TEXT(Data[[#This Row],[No]],"0000"),"-",TEXT(Data[[#This Row],[Tanggal terjual]],"dd/mm/yy"))</f>
        <v>ORD-TK0929-03/04/23</v>
      </c>
      <c r="C930" t="s">
        <v>63</v>
      </c>
      <c r="D930" t="str">
        <f>IFERROR(INDEX(Katalog!$A$3:$A$12,MATCH(Data[[#This Row],[ItemID A]],Katalog!$C$3:$C$12,0)),"-")</f>
        <v>Pakaian Pria</v>
      </c>
      <c r="E930" t="str">
        <f>IFERROR(INDEX(Katalog!$B$3:$B$12,MATCH(Data[[#This Row],[ItemID A]],Katalog!$C$3:$C$12,0)),"-")</f>
        <v>Jaket Jeans</v>
      </c>
      <c r="F930">
        <v>1</v>
      </c>
      <c r="G930">
        <v>5</v>
      </c>
      <c r="H930" s="36">
        <f>IFERROR(INDEX(Katalog!$D$3:$D$12,MATCH(Data[[#This Row],[ItemID A]],Katalog!$C$3:$C$12,0))*Data[[#This Row],[Qty A]],"0")</f>
        <v>400000</v>
      </c>
      <c r="I930" s="36">
        <f>IFERROR(INDEX(Katalog!$F$3:$F$12,MATCH(Data[[#This Row],[ItemID A]],Katalog!$C$3:$C$12,0))*Data[[#This Row],[Qty A]],0)</f>
        <v>150000</v>
      </c>
      <c r="J930" t="s">
        <v>58</v>
      </c>
      <c r="K930" t="str">
        <f>IFERROR(INDEX(Katalog!$A$3:$A$12,MATCH(Data[[#This Row],[ItemID B]],Katalog!$C$3:$C$12,0)),"-")</f>
        <v>Pakaian Wanita</v>
      </c>
      <c r="L930" t="str">
        <f>IFERROR(INDEX(Katalog!$B$3:$B$12,MATCH(Data[[#This Row],[ItemID B]],Katalog!$C$3:$C$12,0)),"-")</f>
        <v>Dress</v>
      </c>
      <c r="M930">
        <v>1</v>
      </c>
      <c r="N930">
        <v>1</v>
      </c>
      <c r="O930" s="36">
        <f>IFERROR(INDEX(Katalog!$D$3:$D$12,MATCH(Data[[#This Row],[ItemID B]],Katalog!$C$3:$C$12,0))*Data[[#This Row],[Qty B]],"0")</f>
        <v>300000</v>
      </c>
      <c r="P930" s="36">
        <f>IFERROR(INDEX(Katalog!$F$3:$F$12,MATCH(Data[[#This Row],[ItemID B]],Katalog!$C$3:$C$12,0))*Data[[#This Row],[Qty B]],"0")</f>
        <v>100000</v>
      </c>
      <c r="R930" t="str">
        <f>IFERROR(INDEX(Katalog!$A$3:$A$12,MATCH(Data[[#This Row],[ItemID C]],Katalog!$C$3:$C$12,0)),"-")</f>
        <v>-</v>
      </c>
      <c r="S930" t="str">
        <f>IFERROR(INDEX(Katalog!$B$3:$B$12,MATCH(Data[[#This Row],[ItemID C]],Katalog!$C$3:$C$12,0)),"-")</f>
        <v>-</v>
      </c>
      <c r="V930" s="36" t="str">
        <f>IFERROR(INDEX(Katalog!$D$3:$D$12,MATCH(Data[[#This Row],[ItemID C]],Katalog!$C$3:$C$12,0))*Data[[#This Row],[Qty C]],"0")</f>
        <v>0</v>
      </c>
      <c r="W930" s="36" t="str">
        <f>IFERROR(INDEX(Katalog!$F$3:$F$12,MATCH(Data[[#This Row],[ItemID C]],Katalog!$C$3:$C$12,0))*Data[[#This Row],[Qty C]],"0")</f>
        <v>0</v>
      </c>
      <c r="X930" s="21">
        <f>Data[[#This Row],[Qty A]]+Data[[#This Row],[Qty B]]+Data[[#This Row],[Qty C]]</f>
        <v>2</v>
      </c>
      <c r="Y930" s="22">
        <f>Data[[#This Row],[Harga Barang A]]+Data[[#This Row],[Harga Barang B]]+Data[[#This Row],[Harga Barang C]]</f>
        <v>700000</v>
      </c>
      <c r="Z930" s="35">
        <f>IFERROR(Data[[#This Row],[Total Harga]]-(Data[[#This Row],[Total Harga]]*Data[[#This Row],[Diskon]]),Data[[#This Row],[Total Harga]])</f>
        <v>630000</v>
      </c>
      <c r="AA930" s="35">
        <f>(Data[[#This Row],[Profit A]]+Data[[#This Row],[Profit B]]+Data[[#This Row],[Profit C]])</f>
        <v>250000</v>
      </c>
      <c r="AB930" s="35">
        <f>IFERROR((Data[[#This Row],[Profit non Diskon]]-(Data[[#This Row],[Profit non Diskon]]*Data[[#This Row],[Diskon]])),Data[[#This Row],[Profit non Diskon]])</f>
        <v>225000</v>
      </c>
      <c r="AC930" s="23" t="s">
        <v>30</v>
      </c>
      <c r="AD930" s="37">
        <f>IFERROR(INDEX('Kode Diskon'!$D$3:$D$9,MATCH(Data[[#This Row],[Kode diskon]],'Kode Diskon'!$C$3:$C$9,0)),"-")</f>
        <v>0.1</v>
      </c>
      <c r="AE930" s="23" t="s">
        <v>29</v>
      </c>
      <c r="AF930" s="23" t="s">
        <v>10</v>
      </c>
      <c r="AG930" s="23" t="s">
        <v>80</v>
      </c>
      <c r="AH930" s="24">
        <v>45019</v>
      </c>
      <c r="AI930" s="23" t="str">
        <f>TEXT(Data[[#This Row],[Tanggal terjual]],"dddd")</f>
        <v>Monday</v>
      </c>
      <c r="AJ930" s="21" t="str">
        <f>TEXT(Data[[#This Row],[Tanggal terjual]],"wwww")</f>
        <v>wwww</v>
      </c>
    </row>
    <row r="931" spans="1:36" x14ac:dyDescent="0.2">
      <c r="A931" s="20">
        <v>930</v>
      </c>
      <c r="B931" s="21" t="str">
        <f>_xlfn.CONCAT("ORD-",INDEX(Helper!$B$2:$B$5,MATCH(Data[[#This Row],[Marketplace]],Helper!$A$2:$A$5,0)),TEXT(Data[[#This Row],[No]],"0000"),"-",TEXT(Data[[#This Row],[Tanggal terjual]],"dd/mm/yy"))</f>
        <v>ORD-TK0930-03/04/23</v>
      </c>
      <c r="C931" t="s">
        <v>67</v>
      </c>
      <c r="D931" t="str">
        <f>IFERROR(INDEX(Katalog!$A$3:$A$12,MATCH(Data[[#This Row],[ItemID A]],Katalog!$C$3:$C$12,0)),"-")</f>
        <v>Sepatu Wanita</v>
      </c>
      <c r="E931" t="str">
        <f>IFERROR(INDEX(Katalog!$B$3:$B$12,MATCH(Data[[#This Row],[ItemID A]],Katalog!$C$3:$C$12,0)),"-")</f>
        <v>Flat Shoes</v>
      </c>
      <c r="F931">
        <v>5</v>
      </c>
      <c r="G931">
        <v>1</v>
      </c>
      <c r="H931" s="36">
        <f>IFERROR(INDEX(Katalog!$D$3:$D$12,MATCH(Data[[#This Row],[ItemID A]],Katalog!$C$3:$C$12,0))*Data[[#This Row],[Qty A]],"0")</f>
        <v>1250000</v>
      </c>
      <c r="I931" s="36">
        <f>IFERROR(INDEX(Katalog!$F$3:$F$12,MATCH(Data[[#This Row],[ItemID A]],Katalog!$C$3:$C$12,0))*Data[[#This Row],[Qty A]],0)</f>
        <v>500000</v>
      </c>
      <c r="K931" t="str">
        <f>IFERROR(INDEX(Katalog!$A$3:$A$12,MATCH(Data[[#This Row],[ItemID B]],Katalog!$C$3:$C$12,0)),"-")</f>
        <v>-</v>
      </c>
      <c r="L931" t="str">
        <f>IFERROR(INDEX(Katalog!$B$3:$B$12,MATCH(Data[[#This Row],[ItemID B]],Katalog!$C$3:$C$12,0)),"-")</f>
        <v>-</v>
      </c>
      <c r="O931" s="36" t="str">
        <f>IFERROR(INDEX(Katalog!$D$3:$D$12,MATCH(Data[[#This Row],[ItemID B]],Katalog!$C$3:$C$12,0))*Data[[#This Row],[Qty B]],"0")</f>
        <v>0</v>
      </c>
      <c r="P931" s="36" t="str">
        <f>IFERROR(INDEX(Katalog!$F$3:$F$12,MATCH(Data[[#This Row],[ItemID B]],Katalog!$C$3:$C$12,0))*Data[[#This Row],[Qty B]],"0")</f>
        <v>0</v>
      </c>
      <c r="R931" t="str">
        <f>IFERROR(INDEX(Katalog!$A$3:$A$12,MATCH(Data[[#This Row],[ItemID C]],Katalog!$C$3:$C$12,0)),"-")</f>
        <v>-</v>
      </c>
      <c r="S931" t="str">
        <f>IFERROR(INDEX(Katalog!$B$3:$B$12,MATCH(Data[[#This Row],[ItemID C]],Katalog!$C$3:$C$12,0)),"-")</f>
        <v>-</v>
      </c>
      <c r="V931" s="36" t="str">
        <f>IFERROR(INDEX(Katalog!$D$3:$D$12,MATCH(Data[[#This Row],[ItemID C]],Katalog!$C$3:$C$12,0))*Data[[#This Row],[Qty C]],"0")</f>
        <v>0</v>
      </c>
      <c r="W931" s="36" t="str">
        <f>IFERROR(INDEX(Katalog!$F$3:$F$12,MATCH(Data[[#This Row],[ItemID C]],Katalog!$C$3:$C$12,0))*Data[[#This Row],[Qty C]],"0")</f>
        <v>0</v>
      </c>
      <c r="X931" s="21">
        <f>Data[[#This Row],[Qty A]]+Data[[#This Row],[Qty B]]+Data[[#This Row],[Qty C]]</f>
        <v>5</v>
      </c>
      <c r="Y931" s="22">
        <f>Data[[#This Row],[Harga Barang A]]+Data[[#This Row],[Harga Barang B]]+Data[[#This Row],[Harga Barang C]]</f>
        <v>1250000</v>
      </c>
      <c r="Z931" s="35">
        <f>IFERROR(Data[[#This Row],[Total Harga]]-(Data[[#This Row],[Total Harga]]*Data[[#This Row],[Diskon]]),Data[[#This Row],[Total Harga]])</f>
        <v>1125000</v>
      </c>
      <c r="AA931" s="35">
        <f>(Data[[#This Row],[Profit A]]+Data[[#This Row],[Profit B]]+Data[[#This Row],[Profit C]])</f>
        <v>500000</v>
      </c>
      <c r="AB931" s="35">
        <f>IFERROR((Data[[#This Row],[Profit non Diskon]]-(Data[[#This Row],[Profit non Diskon]]*Data[[#This Row],[Diskon]])),Data[[#This Row],[Profit non Diskon]])</f>
        <v>450000</v>
      </c>
      <c r="AC931" s="23" t="s">
        <v>30</v>
      </c>
      <c r="AD931" s="37">
        <f>IFERROR(INDEX('Kode Diskon'!$D$3:$D$9,MATCH(Data[[#This Row],[Kode diskon]],'Kode Diskon'!$C$3:$C$9,0)),"-")</f>
        <v>0.1</v>
      </c>
      <c r="AE931" s="23" t="s">
        <v>29</v>
      </c>
      <c r="AF931" s="23" t="s">
        <v>10</v>
      </c>
      <c r="AG931" s="23" t="s">
        <v>76</v>
      </c>
      <c r="AH931" s="24">
        <v>45019</v>
      </c>
      <c r="AI931" s="23" t="str">
        <f>TEXT(Data[[#This Row],[Tanggal terjual]],"dddd")</f>
        <v>Monday</v>
      </c>
      <c r="AJ931" s="21" t="str">
        <f>TEXT(Data[[#This Row],[Tanggal terjual]],"wwww")</f>
        <v>wwww</v>
      </c>
    </row>
    <row r="932" spans="1:36" x14ac:dyDescent="0.2">
      <c r="A932" s="20">
        <v>931</v>
      </c>
      <c r="B932" s="21" t="str">
        <f>_xlfn.CONCAT("ORD-",INDEX(Helper!$B$2:$B$5,MATCH(Data[[#This Row],[Marketplace]],Helper!$A$2:$A$5,0)),TEXT(Data[[#This Row],[No]],"0000"),"-",TEXT(Data[[#This Row],[Tanggal terjual]],"dd/mm/yy"))</f>
        <v>ORD-BB0931-06/04/23</v>
      </c>
      <c r="C932" t="s">
        <v>66</v>
      </c>
      <c r="D932" t="str">
        <f>IFERROR(INDEX(Katalog!$A$3:$A$12,MATCH(Data[[#This Row],[ItemID A]],Katalog!$C$3:$C$12,0)),"-")</f>
        <v>Sepatu Pria</v>
      </c>
      <c r="E932" t="str">
        <f>IFERROR(INDEX(Katalog!$B$3:$B$12,MATCH(Data[[#This Row],[ItemID A]],Katalog!$C$3:$C$12,0)),"-")</f>
        <v>Sandal Slip On</v>
      </c>
      <c r="F932">
        <v>2</v>
      </c>
      <c r="G932">
        <v>2</v>
      </c>
      <c r="H932" s="36">
        <f>IFERROR(INDEX(Katalog!$D$3:$D$12,MATCH(Data[[#This Row],[ItemID A]],Katalog!$C$3:$C$12,0))*Data[[#This Row],[Qty A]],"0")</f>
        <v>300000</v>
      </c>
      <c r="I932" s="36">
        <f>IFERROR(INDEX(Katalog!$F$3:$F$12,MATCH(Data[[#This Row],[ItemID A]],Katalog!$C$3:$C$12,0))*Data[[#This Row],[Qty A]],0)</f>
        <v>120000</v>
      </c>
      <c r="J932" t="s">
        <v>65</v>
      </c>
      <c r="K932" t="str">
        <f>IFERROR(INDEX(Katalog!$A$3:$A$12,MATCH(Data[[#This Row],[ItemID B]],Katalog!$C$3:$C$12,0)),"-")</f>
        <v>Sepatu Pria</v>
      </c>
      <c r="L932" t="str">
        <f>IFERROR(INDEX(Katalog!$B$3:$B$12,MATCH(Data[[#This Row],[ItemID B]],Katalog!$C$3:$C$12,0)),"-")</f>
        <v>Sneakers</v>
      </c>
      <c r="M932">
        <v>1</v>
      </c>
      <c r="N932">
        <v>5</v>
      </c>
      <c r="O932" s="36">
        <f>IFERROR(INDEX(Katalog!$D$3:$D$12,MATCH(Data[[#This Row],[ItemID B]],Katalog!$C$3:$C$12,0))*Data[[#This Row],[Qty B]],"0")</f>
        <v>500000</v>
      </c>
      <c r="P932" s="36">
        <f>IFERROR(INDEX(Katalog!$F$3:$F$12,MATCH(Data[[#This Row],[ItemID B]],Katalog!$C$3:$C$12,0))*Data[[#This Row],[Qty B]],"0")</f>
        <v>200000</v>
      </c>
      <c r="Q932" t="s">
        <v>67</v>
      </c>
      <c r="R932" t="str">
        <f>IFERROR(INDEX(Katalog!$A$3:$A$12,MATCH(Data[[#This Row],[ItemID C]],Katalog!$C$3:$C$12,0)),"-")</f>
        <v>Sepatu Wanita</v>
      </c>
      <c r="S932" t="str">
        <f>IFERROR(INDEX(Katalog!$B$3:$B$12,MATCH(Data[[#This Row],[ItemID C]],Katalog!$C$3:$C$12,0)),"-")</f>
        <v>Flat Shoes</v>
      </c>
      <c r="T932">
        <v>2</v>
      </c>
      <c r="U932">
        <v>5</v>
      </c>
      <c r="V932" s="36">
        <f>IFERROR(INDEX(Katalog!$D$3:$D$12,MATCH(Data[[#This Row],[ItemID C]],Katalog!$C$3:$C$12,0))*Data[[#This Row],[Qty C]],"0")</f>
        <v>500000</v>
      </c>
      <c r="W932" s="36">
        <f>IFERROR(INDEX(Katalog!$F$3:$F$12,MATCH(Data[[#This Row],[ItemID C]],Katalog!$C$3:$C$12,0))*Data[[#This Row],[Qty C]],"0")</f>
        <v>200000</v>
      </c>
      <c r="X932" s="21">
        <f>Data[[#This Row],[Qty A]]+Data[[#This Row],[Qty B]]+Data[[#This Row],[Qty C]]</f>
        <v>5</v>
      </c>
      <c r="Y932" s="22">
        <f>Data[[#This Row],[Harga Barang A]]+Data[[#This Row],[Harga Barang B]]+Data[[#This Row],[Harga Barang C]]</f>
        <v>1300000</v>
      </c>
      <c r="Z932" s="35">
        <f>IFERROR(Data[[#This Row],[Total Harga]]-(Data[[#This Row],[Total Harga]]*Data[[#This Row],[Diskon]]),Data[[#This Row],[Total Harga]])</f>
        <v>1105000</v>
      </c>
      <c r="AA932" s="35">
        <f>(Data[[#This Row],[Profit A]]+Data[[#This Row],[Profit B]]+Data[[#This Row],[Profit C]])</f>
        <v>520000</v>
      </c>
      <c r="AB932" s="35">
        <f>IFERROR((Data[[#This Row],[Profit non Diskon]]-(Data[[#This Row],[Profit non Diskon]]*Data[[#This Row],[Diskon]])),Data[[#This Row],[Profit non Diskon]])</f>
        <v>442000</v>
      </c>
      <c r="AC932" s="23" t="s">
        <v>28</v>
      </c>
      <c r="AD932" s="37">
        <f>IFERROR(INDEX('Kode Diskon'!$D$3:$D$9,MATCH(Data[[#This Row],[Kode diskon]],'Kode Diskon'!$C$3:$C$9,0)),"-")</f>
        <v>0.15</v>
      </c>
      <c r="AE932" s="23" t="s">
        <v>29</v>
      </c>
      <c r="AF932" s="23" t="s">
        <v>14</v>
      </c>
      <c r="AG932" s="23" t="s">
        <v>78</v>
      </c>
      <c r="AH932" s="24">
        <v>45022</v>
      </c>
      <c r="AI932" s="23" t="str">
        <f>TEXT(Data[[#This Row],[Tanggal terjual]],"dddd")</f>
        <v>Thursday</v>
      </c>
      <c r="AJ932" s="21" t="str">
        <f>TEXT(Data[[#This Row],[Tanggal terjual]],"wwww")</f>
        <v>wwww</v>
      </c>
    </row>
    <row r="933" spans="1:36" x14ac:dyDescent="0.2">
      <c r="A933" s="20">
        <v>932</v>
      </c>
      <c r="B933" s="21" t="str">
        <f>_xlfn.CONCAT("ORD-",INDEX(Helper!$B$2:$B$5,MATCH(Data[[#This Row],[Marketplace]],Helper!$A$2:$A$5,0)),TEXT(Data[[#This Row],[No]],"0000"),"-",TEXT(Data[[#This Row],[Tanggal terjual]],"dd/mm/yy"))</f>
        <v>ORD-SP0932-16/04/23</v>
      </c>
      <c r="C933" t="s">
        <v>62</v>
      </c>
      <c r="D933" t="str">
        <f>IFERROR(INDEX(Katalog!$A$3:$A$12,MATCH(Data[[#This Row],[ItemID A]],Katalog!$C$3:$C$12,0)),"-")</f>
        <v>Pakaian Pria</v>
      </c>
      <c r="E933" t="str">
        <f>IFERROR(INDEX(Katalog!$B$3:$B$12,MATCH(Data[[#This Row],[ItemID A]],Katalog!$C$3:$C$12,0)),"-")</f>
        <v>Celana Pendek</v>
      </c>
      <c r="F933">
        <v>3</v>
      </c>
      <c r="G933">
        <v>2</v>
      </c>
      <c r="H933" s="36">
        <f>IFERROR(INDEX(Katalog!$D$3:$D$12,MATCH(Data[[#This Row],[ItemID A]],Katalog!$C$3:$C$12,0))*Data[[#This Row],[Qty A]],"0")</f>
        <v>540000</v>
      </c>
      <c r="I933" s="36">
        <f>IFERROR(INDEX(Katalog!$F$3:$F$12,MATCH(Data[[#This Row],[ItemID A]],Katalog!$C$3:$C$12,0))*Data[[#This Row],[Qty A]],0)</f>
        <v>210000</v>
      </c>
      <c r="K933" t="str">
        <f>IFERROR(INDEX(Katalog!$A$3:$A$12,MATCH(Data[[#This Row],[ItemID B]],Katalog!$C$3:$C$12,0)),"-")</f>
        <v>-</v>
      </c>
      <c r="L933" t="str">
        <f>IFERROR(INDEX(Katalog!$B$3:$B$12,MATCH(Data[[#This Row],[ItemID B]],Katalog!$C$3:$C$12,0)),"-")</f>
        <v>-</v>
      </c>
      <c r="O933" s="36" t="str">
        <f>IFERROR(INDEX(Katalog!$D$3:$D$12,MATCH(Data[[#This Row],[ItemID B]],Katalog!$C$3:$C$12,0))*Data[[#This Row],[Qty B]],"0")</f>
        <v>0</v>
      </c>
      <c r="P933" s="36" t="str">
        <f>IFERROR(INDEX(Katalog!$F$3:$F$12,MATCH(Data[[#This Row],[ItemID B]],Katalog!$C$3:$C$12,0))*Data[[#This Row],[Qty B]],"0")</f>
        <v>0</v>
      </c>
      <c r="R933" t="str">
        <f>IFERROR(INDEX(Katalog!$A$3:$A$12,MATCH(Data[[#This Row],[ItemID C]],Katalog!$C$3:$C$12,0)),"-")</f>
        <v>-</v>
      </c>
      <c r="S933" t="str">
        <f>IFERROR(INDEX(Katalog!$B$3:$B$12,MATCH(Data[[#This Row],[ItemID C]],Katalog!$C$3:$C$12,0)),"-")</f>
        <v>-</v>
      </c>
      <c r="V933" s="36" t="str">
        <f>IFERROR(INDEX(Katalog!$D$3:$D$12,MATCH(Data[[#This Row],[ItemID C]],Katalog!$C$3:$C$12,0))*Data[[#This Row],[Qty C]],"0")</f>
        <v>0</v>
      </c>
      <c r="W933" s="36" t="str">
        <f>IFERROR(INDEX(Katalog!$F$3:$F$12,MATCH(Data[[#This Row],[ItemID C]],Katalog!$C$3:$C$12,0))*Data[[#This Row],[Qty C]],"0")</f>
        <v>0</v>
      </c>
      <c r="X933" s="21">
        <f>Data[[#This Row],[Qty A]]+Data[[#This Row],[Qty B]]+Data[[#This Row],[Qty C]]</f>
        <v>3</v>
      </c>
      <c r="Y933" s="22">
        <f>Data[[#This Row],[Harga Barang A]]+Data[[#This Row],[Harga Barang B]]+Data[[#This Row],[Harga Barang C]]</f>
        <v>540000</v>
      </c>
      <c r="Z933" s="35">
        <f>IFERROR(Data[[#This Row],[Total Harga]]-(Data[[#This Row],[Total Harga]]*Data[[#This Row],[Diskon]]),Data[[#This Row],[Total Harga]])</f>
        <v>432000</v>
      </c>
      <c r="AA933" s="35">
        <f>(Data[[#This Row],[Profit A]]+Data[[#This Row],[Profit B]]+Data[[#This Row],[Profit C]])</f>
        <v>210000</v>
      </c>
      <c r="AB933" s="35">
        <f>IFERROR((Data[[#This Row],[Profit non Diskon]]-(Data[[#This Row],[Profit non Diskon]]*Data[[#This Row],[Diskon]])),Data[[#This Row],[Profit non Diskon]])</f>
        <v>168000</v>
      </c>
      <c r="AC933" s="23" t="s">
        <v>8</v>
      </c>
      <c r="AD933" s="37">
        <f>IFERROR(INDEX('Kode Diskon'!$D$3:$D$9,MATCH(Data[[#This Row],[Kode diskon]],'Kode Diskon'!$C$3:$C$9,0)),"-")</f>
        <v>0.2</v>
      </c>
      <c r="AE933" s="23" t="s">
        <v>9</v>
      </c>
      <c r="AF933" s="23" t="s">
        <v>7</v>
      </c>
      <c r="AG933" s="23" t="s">
        <v>80</v>
      </c>
      <c r="AH933" s="24">
        <v>45032</v>
      </c>
      <c r="AI933" s="23" t="str">
        <f>TEXT(Data[[#This Row],[Tanggal terjual]],"dddd")</f>
        <v>Sunday</v>
      </c>
      <c r="AJ933" s="21" t="str">
        <f>TEXT(Data[[#This Row],[Tanggal terjual]],"wwww")</f>
        <v>wwww</v>
      </c>
    </row>
    <row r="934" spans="1:36" x14ac:dyDescent="0.2">
      <c r="A934" s="20">
        <v>933</v>
      </c>
      <c r="B934" s="21" t="str">
        <f>_xlfn.CONCAT("ORD-",INDEX(Helper!$B$2:$B$5,MATCH(Data[[#This Row],[Marketplace]],Helper!$A$2:$A$5,0)),TEXT(Data[[#This Row],[No]],"0000"),"-",TEXT(Data[[#This Row],[Tanggal terjual]],"dd/mm/yy"))</f>
        <v>ORD-SP0933-26/04/23</v>
      </c>
      <c r="C934" t="s">
        <v>59</v>
      </c>
      <c r="D934" t="str">
        <f>IFERROR(INDEX(Katalog!$A$3:$A$12,MATCH(Data[[#This Row],[ItemID A]],Katalog!$C$3:$C$12,0)),"-")</f>
        <v>Pakaian Wanita</v>
      </c>
      <c r="E934" t="str">
        <f>IFERROR(INDEX(Katalog!$B$3:$B$12,MATCH(Data[[#This Row],[ItemID A]],Katalog!$C$3:$C$12,0)),"-")</f>
        <v>Blouse</v>
      </c>
      <c r="F934">
        <v>5</v>
      </c>
      <c r="G934">
        <v>1</v>
      </c>
      <c r="H934" s="36">
        <f>IFERROR(INDEX(Katalog!$D$3:$D$12,MATCH(Data[[#This Row],[ItemID A]],Katalog!$C$3:$C$12,0))*Data[[#This Row],[Qty A]],"0")</f>
        <v>750000</v>
      </c>
      <c r="I934" s="36">
        <f>IFERROR(INDEX(Katalog!$F$3:$F$12,MATCH(Data[[#This Row],[ItemID A]],Katalog!$C$3:$C$12,0))*Data[[#This Row],[Qty A]],0)</f>
        <v>250000</v>
      </c>
      <c r="J934" t="s">
        <v>61</v>
      </c>
      <c r="K934" t="str">
        <f>IFERROR(INDEX(Katalog!$A$3:$A$12,MATCH(Data[[#This Row],[ItemID B]],Katalog!$C$3:$C$12,0)),"-")</f>
        <v>Pakaian Pria</v>
      </c>
      <c r="L934" t="str">
        <f>IFERROR(INDEX(Katalog!$B$3:$B$12,MATCH(Data[[#This Row],[ItemID B]],Katalog!$C$3:$C$12,0)),"-")</f>
        <v>Kaos Polo</v>
      </c>
      <c r="M934">
        <v>1</v>
      </c>
      <c r="N934">
        <v>1</v>
      </c>
      <c r="O934" s="36">
        <f>IFERROR(INDEX(Katalog!$D$3:$D$12,MATCH(Data[[#This Row],[ItemID B]],Katalog!$C$3:$C$12,0))*Data[[#This Row],[Qty B]],"0")</f>
        <v>200000</v>
      </c>
      <c r="P934" s="36">
        <f>IFERROR(INDEX(Katalog!$F$3:$F$12,MATCH(Data[[#This Row],[ItemID B]],Katalog!$C$3:$C$12,0))*Data[[#This Row],[Qty B]],"0")</f>
        <v>80000</v>
      </c>
      <c r="R934" t="str">
        <f>IFERROR(INDEX(Katalog!$A$3:$A$12,MATCH(Data[[#This Row],[ItemID C]],Katalog!$C$3:$C$12,0)),"-")</f>
        <v>-</v>
      </c>
      <c r="S934" t="str">
        <f>IFERROR(INDEX(Katalog!$B$3:$B$12,MATCH(Data[[#This Row],[ItemID C]],Katalog!$C$3:$C$12,0)),"-")</f>
        <v>-</v>
      </c>
      <c r="V934" s="36" t="str">
        <f>IFERROR(INDEX(Katalog!$D$3:$D$12,MATCH(Data[[#This Row],[ItemID C]],Katalog!$C$3:$C$12,0))*Data[[#This Row],[Qty C]],"0")</f>
        <v>0</v>
      </c>
      <c r="W934" s="36" t="str">
        <f>IFERROR(INDEX(Katalog!$F$3:$F$12,MATCH(Data[[#This Row],[ItemID C]],Katalog!$C$3:$C$12,0))*Data[[#This Row],[Qty C]],"0")</f>
        <v>0</v>
      </c>
      <c r="X934" s="21">
        <f>Data[[#This Row],[Qty A]]+Data[[#This Row],[Qty B]]+Data[[#This Row],[Qty C]]</f>
        <v>6</v>
      </c>
      <c r="Y934" s="22">
        <f>Data[[#This Row],[Harga Barang A]]+Data[[#This Row],[Harga Barang B]]+Data[[#This Row],[Harga Barang C]]</f>
        <v>950000</v>
      </c>
      <c r="Z934" s="35">
        <f>IFERROR(Data[[#This Row],[Total Harga]]-(Data[[#This Row],[Total Harga]]*Data[[#This Row],[Diskon]]),Data[[#This Row],[Total Harga]])</f>
        <v>760000</v>
      </c>
      <c r="AA934" s="35">
        <f>(Data[[#This Row],[Profit A]]+Data[[#This Row],[Profit B]]+Data[[#This Row],[Profit C]])</f>
        <v>330000</v>
      </c>
      <c r="AB934" s="35">
        <f>IFERROR((Data[[#This Row],[Profit non Diskon]]-(Data[[#This Row],[Profit non Diskon]]*Data[[#This Row],[Diskon]])),Data[[#This Row],[Profit non Diskon]])</f>
        <v>264000</v>
      </c>
      <c r="AC934" s="23" t="s">
        <v>8</v>
      </c>
      <c r="AD934" s="37">
        <f>IFERROR(INDEX('Kode Diskon'!$D$3:$D$9,MATCH(Data[[#This Row],[Kode diskon]],'Kode Diskon'!$C$3:$C$9,0)),"-")</f>
        <v>0.2</v>
      </c>
      <c r="AE934" s="23" t="s">
        <v>9</v>
      </c>
      <c r="AF934" s="23" t="s">
        <v>7</v>
      </c>
      <c r="AG934" s="23" t="s">
        <v>78</v>
      </c>
      <c r="AH934" s="24">
        <v>45042</v>
      </c>
      <c r="AI934" s="23" t="str">
        <f>TEXT(Data[[#This Row],[Tanggal terjual]],"dddd")</f>
        <v>Wednesday</v>
      </c>
      <c r="AJ934" s="21" t="str">
        <f>TEXT(Data[[#This Row],[Tanggal terjual]],"wwww")</f>
        <v>wwww</v>
      </c>
    </row>
    <row r="935" spans="1:36" x14ac:dyDescent="0.2">
      <c r="A935" s="20">
        <v>934</v>
      </c>
      <c r="B935" s="21" t="str">
        <f>_xlfn.CONCAT("ORD-",INDEX(Helper!$B$2:$B$5,MATCH(Data[[#This Row],[Marketplace]],Helper!$A$2:$A$5,0)),TEXT(Data[[#This Row],[No]],"0000"),"-",TEXT(Data[[#This Row],[Tanggal terjual]],"dd/mm/yy"))</f>
        <v>ORD-SP0934-02/04/23</v>
      </c>
      <c r="C935" t="s">
        <v>67</v>
      </c>
      <c r="D935" t="str">
        <f>IFERROR(INDEX(Katalog!$A$3:$A$12,MATCH(Data[[#This Row],[ItemID A]],Katalog!$C$3:$C$12,0)),"-")</f>
        <v>Sepatu Wanita</v>
      </c>
      <c r="E935" t="str">
        <f>IFERROR(INDEX(Katalog!$B$3:$B$12,MATCH(Data[[#This Row],[ItemID A]],Katalog!$C$3:$C$12,0)),"-")</f>
        <v>Flat Shoes</v>
      </c>
      <c r="F935">
        <v>4</v>
      </c>
      <c r="G935">
        <v>5</v>
      </c>
      <c r="H935" s="36">
        <f>IFERROR(INDEX(Katalog!$D$3:$D$12,MATCH(Data[[#This Row],[ItemID A]],Katalog!$C$3:$C$12,0))*Data[[#This Row],[Qty A]],"0")</f>
        <v>1000000</v>
      </c>
      <c r="I935" s="36">
        <f>IFERROR(INDEX(Katalog!$F$3:$F$12,MATCH(Data[[#This Row],[ItemID A]],Katalog!$C$3:$C$12,0))*Data[[#This Row],[Qty A]],0)</f>
        <v>400000</v>
      </c>
      <c r="J935" t="s">
        <v>63</v>
      </c>
      <c r="K935" t="str">
        <f>IFERROR(INDEX(Katalog!$A$3:$A$12,MATCH(Data[[#This Row],[ItemID B]],Katalog!$C$3:$C$12,0)),"-")</f>
        <v>Pakaian Pria</v>
      </c>
      <c r="L935" t="str">
        <f>IFERROR(INDEX(Katalog!$B$3:$B$12,MATCH(Data[[#This Row],[ItemID B]],Katalog!$C$3:$C$12,0)),"-")</f>
        <v>Jaket Jeans</v>
      </c>
      <c r="M935">
        <v>2</v>
      </c>
      <c r="N935">
        <v>2</v>
      </c>
      <c r="O935" s="36">
        <f>IFERROR(INDEX(Katalog!$D$3:$D$12,MATCH(Data[[#This Row],[ItemID B]],Katalog!$C$3:$C$12,0))*Data[[#This Row],[Qty B]],"0")</f>
        <v>800000</v>
      </c>
      <c r="P935" s="36">
        <f>IFERROR(INDEX(Katalog!$F$3:$F$12,MATCH(Data[[#This Row],[ItemID B]],Katalog!$C$3:$C$12,0))*Data[[#This Row],[Qty B]],"0")</f>
        <v>300000</v>
      </c>
      <c r="R935" t="str">
        <f>IFERROR(INDEX(Katalog!$A$3:$A$12,MATCH(Data[[#This Row],[ItemID C]],Katalog!$C$3:$C$12,0)),"-")</f>
        <v>-</v>
      </c>
      <c r="S935" t="str">
        <f>IFERROR(INDEX(Katalog!$B$3:$B$12,MATCH(Data[[#This Row],[ItemID C]],Katalog!$C$3:$C$12,0)),"-")</f>
        <v>-</v>
      </c>
      <c r="V935" s="36" t="str">
        <f>IFERROR(INDEX(Katalog!$D$3:$D$12,MATCH(Data[[#This Row],[ItemID C]],Katalog!$C$3:$C$12,0))*Data[[#This Row],[Qty C]],"0")</f>
        <v>0</v>
      </c>
      <c r="W935" s="36" t="str">
        <f>IFERROR(INDEX(Katalog!$F$3:$F$12,MATCH(Data[[#This Row],[ItemID C]],Katalog!$C$3:$C$12,0))*Data[[#This Row],[Qty C]],"0")</f>
        <v>0</v>
      </c>
      <c r="X935" s="21">
        <f>Data[[#This Row],[Qty A]]+Data[[#This Row],[Qty B]]+Data[[#This Row],[Qty C]]</f>
        <v>6</v>
      </c>
      <c r="Y935" s="22">
        <f>Data[[#This Row],[Harga Barang A]]+Data[[#This Row],[Harga Barang B]]+Data[[#This Row],[Harga Barang C]]</f>
        <v>1800000</v>
      </c>
      <c r="Z935" s="35">
        <f>IFERROR(Data[[#This Row],[Total Harga]]-(Data[[#This Row],[Total Harga]]*Data[[#This Row],[Diskon]]),Data[[#This Row],[Total Harga]])</f>
        <v>1530000</v>
      </c>
      <c r="AA935" s="35">
        <f>(Data[[#This Row],[Profit A]]+Data[[#This Row],[Profit B]]+Data[[#This Row],[Profit C]])</f>
        <v>700000</v>
      </c>
      <c r="AB935" s="35">
        <f>IFERROR((Data[[#This Row],[Profit non Diskon]]-(Data[[#This Row],[Profit non Diskon]]*Data[[#This Row],[Diskon]])),Data[[#This Row],[Profit non Diskon]])</f>
        <v>595000</v>
      </c>
      <c r="AC935" s="23" t="s">
        <v>13</v>
      </c>
      <c r="AD935" s="37">
        <f>IFERROR(INDEX('Kode Diskon'!$D$3:$D$9,MATCH(Data[[#This Row],[Kode diskon]],'Kode Diskon'!$C$3:$C$9,0)),"-")</f>
        <v>0.15</v>
      </c>
      <c r="AE935" s="23" t="s">
        <v>29</v>
      </c>
      <c r="AF935" s="23" t="s">
        <v>7</v>
      </c>
      <c r="AG935" s="23" t="s">
        <v>76</v>
      </c>
      <c r="AH935" s="24">
        <v>45018</v>
      </c>
      <c r="AI935" s="23" t="str">
        <f>TEXT(Data[[#This Row],[Tanggal terjual]],"dddd")</f>
        <v>Sunday</v>
      </c>
      <c r="AJ935" s="21" t="str">
        <f>TEXT(Data[[#This Row],[Tanggal terjual]],"wwww")</f>
        <v>wwww</v>
      </c>
    </row>
    <row r="936" spans="1:36" x14ac:dyDescent="0.2">
      <c r="A936" s="20">
        <v>935</v>
      </c>
      <c r="B936" s="21" t="str">
        <f>_xlfn.CONCAT("ORD-",INDEX(Helper!$B$2:$B$5,MATCH(Data[[#This Row],[Marketplace]],Helper!$A$2:$A$5,0)),TEXT(Data[[#This Row],[No]],"0000"),"-",TEXT(Data[[#This Row],[Tanggal terjual]],"dd/mm/yy"))</f>
        <v>ORD-BL0935-24/04/23</v>
      </c>
      <c r="C936" t="s">
        <v>64</v>
      </c>
      <c r="D936" t="str">
        <f>IFERROR(INDEX(Katalog!$A$3:$A$12,MATCH(Data[[#This Row],[ItemID A]],Katalog!$C$3:$C$12,0)),"-")</f>
        <v>Pakaian Unisex</v>
      </c>
      <c r="E936" t="str">
        <f>IFERROR(INDEX(Katalog!$B$3:$B$12,MATCH(Data[[#This Row],[ItemID A]],Katalog!$C$3:$C$12,0)),"-")</f>
        <v>Jaket Hoodie</v>
      </c>
      <c r="F936">
        <v>5</v>
      </c>
      <c r="G936">
        <v>2</v>
      </c>
      <c r="H936" s="36">
        <f>IFERROR(INDEX(Katalog!$D$3:$D$12,MATCH(Data[[#This Row],[ItemID A]],Katalog!$C$3:$C$12,0))*Data[[#This Row],[Qty A]],"0")</f>
        <v>1750000</v>
      </c>
      <c r="I936" s="36">
        <f>IFERROR(INDEX(Katalog!$F$3:$F$12,MATCH(Data[[#This Row],[ItemID A]],Katalog!$C$3:$C$12,0))*Data[[#This Row],[Qty A]],0)</f>
        <v>650000</v>
      </c>
      <c r="J936" t="s">
        <v>60</v>
      </c>
      <c r="K936" t="str">
        <f>IFERROR(INDEX(Katalog!$A$3:$A$12,MATCH(Data[[#This Row],[ItemID B]],Katalog!$C$3:$C$12,0)),"-")</f>
        <v>Pakaian Wanita</v>
      </c>
      <c r="L936" t="str">
        <f>IFERROR(INDEX(Katalog!$B$3:$B$12,MATCH(Data[[#This Row],[ItemID B]],Katalog!$C$3:$C$12,0)),"-")</f>
        <v>Kaftan</v>
      </c>
      <c r="M936">
        <v>2</v>
      </c>
      <c r="N936">
        <v>5</v>
      </c>
      <c r="O936" s="36">
        <f>IFERROR(INDEX(Katalog!$D$3:$D$12,MATCH(Data[[#This Row],[ItemID B]],Katalog!$C$3:$C$12,0))*Data[[#This Row],[Qty B]],"0")</f>
        <v>500000</v>
      </c>
      <c r="P936" s="36">
        <f>IFERROR(INDEX(Katalog!$F$3:$F$12,MATCH(Data[[#This Row],[ItemID B]],Katalog!$C$3:$C$12,0))*Data[[#This Row],[Qty B]],"0")</f>
        <v>200000</v>
      </c>
      <c r="R936" t="str">
        <f>IFERROR(INDEX(Katalog!$A$3:$A$12,MATCH(Data[[#This Row],[ItemID C]],Katalog!$C$3:$C$12,0)),"-")</f>
        <v>-</v>
      </c>
      <c r="S936" t="str">
        <f>IFERROR(INDEX(Katalog!$B$3:$B$12,MATCH(Data[[#This Row],[ItemID C]],Katalog!$C$3:$C$12,0)),"-")</f>
        <v>-</v>
      </c>
      <c r="V936" s="36" t="str">
        <f>IFERROR(INDEX(Katalog!$D$3:$D$12,MATCH(Data[[#This Row],[ItemID C]],Katalog!$C$3:$C$12,0))*Data[[#This Row],[Qty C]],"0")</f>
        <v>0</v>
      </c>
      <c r="W936" s="36" t="str">
        <f>IFERROR(INDEX(Katalog!$F$3:$F$12,MATCH(Data[[#This Row],[ItemID C]],Katalog!$C$3:$C$12,0))*Data[[#This Row],[Qty C]],"0")</f>
        <v>0</v>
      </c>
      <c r="X936" s="21">
        <f>Data[[#This Row],[Qty A]]+Data[[#This Row],[Qty B]]+Data[[#This Row],[Qty C]]</f>
        <v>7</v>
      </c>
      <c r="Y936" s="22">
        <f>Data[[#This Row],[Harga Barang A]]+Data[[#This Row],[Harga Barang B]]+Data[[#This Row],[Harga Barang C]]</f>
        <v>2250000</v>
      </c>
      <c r="Z936" s="35">
        <f>IFERROR(Data[[#This Row],[Total Harga]]-(Data[[#This Row],[Total Harga]]*Data[[#This Row],[Diskon]]),Data[[#This Row],[Total Harga]])</f>
        <v>1912500</v>
      </c>
      <c r="AA936" s="35">
        <f>(Data[[#This Row],[Profit A]]+Data[[#This Row],[Profit B]]+Data[[#This Row],[Profit C]])</f>
        <v>850000</v>
      </c>
      <c r="AB936" s="35">
        <f>IFERROR((Data[[#This Row],[Profit non Diskon]]-(Data[[#This Row],[Profit non Diskon]]*Data[[#This Row],[Diskon]])),Data[[#This Row],[Profit non Diskon]])</f>
        <v>722500</v>
      </c>
      <c r="AC936" s="23" t="s">
        <v>32</v>
      </c>
      <c r="AD936" s="37">
        <f>IFERROR(INDEX('Kode Diskon'!$D$3:$D$9,MATCH(Data[[#This Row],[Kode diskon]],'Kode Diskon'!$C$3:$C$9,0)),"-")</f>
        <v>0.15</v>
      </c>
      <c r="AE936" s="23" t="s">
        <v>9</v>
      </c>
      <c r="AF936" s="23" t="s">
        <v>12</v>
      </c>
      <c r="AG936" s="23" t="s">
        <v>75</v>
      </c>
      <c r="AH936" s="24">
        <v>45040</v>
      </c>
      <c r="AI936" s="23" t="str">
        <f>TEXT(Data[[#This Row],[Tanggal terjual]],"dddd")</f>
        <v>Monday</v>
      </c>
      <c r="AJ936" s="21" t="str">
        <f>TEXT(Data[[#This Row],[Tanggal terjual]],"wwww")</f>
        <v>wwww</v>
      </c>
    </row>
    <row r="937" spans="1:36" x14ac:dyDescent="0.2">
      <c r="A937" s="20">
        <v>936</v>
      </c>
      <c r="B937" s="21" t="str">
        <f>_xlfn.CONCAT("ORD-",INDEX(Helper!$B$2:$B$5,MATCH(Data[[#This Row],[Marketplace]],Helper!$A$2:$A$5,0)),TEXT(Data[[#This Row],[No]],"0000"),"-",TEXT(Data[[#This Row],[Tanggal terjual]],"dd/mm/yy"))</f>
        <v>ORD-BL0936-18/04/23</v>
      </c>
      <c r="C937" t="s">
        <v>67</v>
      </c>
      <c r="D937" t="str">
        <f>IFERROR(INDEX(Katalog!$A$3:$A$12,MATCH(Data[[#This Row],[ItemID A]],Katalog!$C$3:$C$12,0)),"-")</f>
        <v>Sepatu Wanita</v>
      </c>
      <c r="E937" t="str">
        <f>IFERROR(INDEX(Katalog!$B$3:$B$12,MATCH(Data[[#This Row],[ItemID A]],Katalog!$C$3:$C$12,0)),"-")</f>
        <v>Flat Shoes</v>
      </c>
      <c r="F937">
        <v>4</v>
      </c>
      <c r="G937">
        <v>4</v>
      </c>
      <c r="H937" s="36">
        <f>IFERROR(INDEX(Katalog!$D$3:$D$12,MATCH(Data[[#This Row],[ItemID A]],Katalog!$C$3:$C$12,0))*Data[[#This Row],[Qty A]],"0")</f>
        <v>1000000</v>
      </c>
      <c r="I937" s="36">
        <f>IFERROR(INDEX(Katalog!$F$3:$F$12,MATCH(Data[[#This Row],[ItemID A]],Katalog!$C$3:$C$12,0))*Data[[#This Row],[Qty A]],0)</f>
        <v>400000</v>
      </c>
      <c r="J937" t="s">
        <v>63</v>
      </c>
      <c r="K937" t="str">
        <f>IFERROR(INDEX(Katalog!$A$3:$A$12,MATCH(Data[[#This Row],[ItemID B]],Katalog!$C$3:$C$12,0)),"-")</f>
        <v>Pakaian Pria</v>
      </c>
      <c r="L937" t="str">
        <f>IFERROR(INDEX(Katalog!$B$3:$B$12,MATCH(Data[[#This Row],[ItemID B]],Katalog!$C$3:$C$12,0)),"-")</f>
        <v>Jaket Jeans</v>
      </c>
      <c r="M937">
        <v>1</v>
      </c>
      <c r="N937">
        <v>2</v>
      </c>
      <c r="O937" s="36">
        <f>IFERROR(INDEX(Katalog!$D$3:$D$12,MATCH(Data[[#This Row],[ItemID B]],Katalog!$C$3:$C$12,0))*Data[[#This Row],[Qty B]],"0")</f>
        <v>400000</v>
      </c>
      <c r="P937" s="36">
        <f>IFERROR(INDEX(Katalog!$F$3:$F$12,MATCH(Data[[#This Row],[ItemID B]],Katalog!$C$3:$C$12,0))*Data[[#This Row],[Qty B]],"0")</f>
        <v>150000</v>
      </c>
      <c r="R937" t="str">
        <f>IFERROR(INDEX(Katalog!$A$3:$A$12,MATCH(Data[[#This Row],[ItemID C]],Katalog!$C$3:$C$12,0)),"-")</f>
        <v>-</v>
      </c>
      <c r="S937" t="str">
        <f>IFERROR(INDEX(Katalog!$B$3:$B$12,MATCH(Data[[#This Row],[ItemID C]],Katalog!$C$3:$C$12,0)),"-")</f>
        <v>-</v>
      </c>
      <c r="V937" s="36" t="str">
        <f>IFERROR(INDEX(Katalog!$D$3:$D$12,MATCH(Data[[#This Row],[ItemID C]],Katalog!$C$3:$C$12,0))*Data[[#This Row],[Qty C]],"0")</f>
        <v>0</v>
      </c>
      <c r="W937" s="36" t="str">
        <f>IFERROR(INDEX(Katalog!$F$3:$F$12,MATCH(Data[[#This Row],[ItemID C]],Katalog!$C$3:$C$12,0))*Data[[#This Row],[Qty C]],"0")</f>
        <v>0</v>
      </c>
      <c r="X937" s="21">
        <f>Data[[#This Row],[Qty A]]+Data[[#This Row],[Qty B]]+Data[[#This Row],[Qty C]]</f>
        <v>5</v>
      </c>
      <c r="Y937" s="22">
        <f>Data[[#This Row],[Harga Barang A]]+Data[[#This Row],[Harga Barang B]]+Data[[#This Row],[Harga Barang C]]</f>
        <v>1400000</v>
      </c>
      <c r="Z937" s="35">
        <f>IFERROR(Data[[#This Row],[Total Harga]]-(Data[[#This Row],[Total Harga]]*Data[[#This Row],[Diskon]]),Data[[#This Row],[Total Harga]])</f>
        <v>1190000</v>
      </c>
      <c r="AA937" s="35">
        <f>(Data[[#This Row],[Profit A]]+Data[[#This Row],[Profit B]]+Data[[#This Row],[Profit C]])</f>
        <v>550000</v>
      </c>
      <c r="AB937" s="35">
        <f>IFERROR((Data[[#This Row],[Profit non Diskon]]-(Data[[#This Row],[Profit non Diskon]]*Data[[#This Row],[Diskon]])),Data[[#This Row],[Profit non Diskon]])</f>
        <v>467500</v>
      </c>
      <c r="AC937" s="23" t="s">
        <v>32</v>
      </c>
      <c r="AD937" s="37">
        <f>IFERROR(INDEX('Kode Diskon'!$D$3:$D$9,MATCH(Data[[#This Row],[Kode diskon]],'Kode Diskon'!$C$3:$C$9,0)),"-")</f>
        <v>0.15</v>
      </c>
      <c r="AE937" s="23" t="s">
        <v>9</v>
      </c>
      <c r="AF937" s="23" t="s">
        <v>12</v>
      </c>
      <c r="AG937" s="23" t="s">
        <v>75</v>
      </c>
      <c r="AH937" s="24">
        <v>45034</v>
      </c>
      <c r="AI937" s="23" t="str">
        <f>TEXT(Data[[#This Row],[Tanggal terjual]],"dddd")</f>
        <v>Tuesday</v>
      </c>
      <c r="AJ937" s="21" t="str">
        <f>TEXT(Data[[#This Row],[Tanggal terjual]],"wwww")</f>
        <v>wwww</v>
      </c>
    </row>
    <row r="938" spans="1:36" x14ac:dyDescent="0.2">
      <c r="A938" s="20">
        <v>937</v>
      </c>
      <c r="B938" s="21" t="str">
        <f>_xlfn.CONCAT("ORD-",INDEX(Helper!$B$2:$B$5,MATCH(Data[[#This Row],[Marketplace]],Helper!$A$2:$A$5,0)),TEXT(Data[[#This Row],[No]],"0000"),"-",TEXT(Data[[#This Row],[Tanggal terjual]],"dd/mm/yy"))</f>
        <v>ORD-SP0937-02/04/23</v>
      </c>
      <c r="C938" t="s">
        <v>62</v>
      </c>
      <c r="D938" t="str">
        <f>IFERROR(INDEX(Katalog!$A$3:$A$12,MATCH(Data[[#This Row],[ItemID A]],Katalog!$C$3:$C$12,0)),"-")</f>
        <v>Pakaian Pria</v>
      </c>
      <c r="E938" t="str">
        <f>IFERROR(INDEX(Katalog!$B$3:$B$12,MATCH(Data[[#This Row],[ItemID A]],Katalog!$C$3:$C$12,0)),"-")</f>
        <v>Celana Pendek</v>
      </c>
      <c r="F938">
        <v>2</v>
      </c>
      <c r="G938">
        <v>4</v>
      </c>
      <c r="H938" s="36">
        <f>IFERROR(INDEX(Katalog!$D$3:$D$12,MATCH(Data[[#This Row],[ItemID A]],Katalog!$C$3:$C$12,0))*Data[[#This Row],[Qty A]],"0")</f>
        <v>360000</v>
      </c>
      <c r="I938" s="36">
        <f>IFERROR(INDEX(Katalog!$F$3:$F$12,MATCH(Data[[#This Row],[ItemID A]],Katalog!$C$3:$C$12,0))*Data[[#This Row],[Qty A]],0)</f>
        <v>140000</v>
      </c>
      <c r="J938" t="s">
        <v>66</v>
      </c>
      <c r="K938" t="str">
        <f>IFERROR(INDEX(Katalog!$A$3:$A$12,MATCH(Data[[#This Row],[ItemID B]],Katalog!$C$3:$C$12,0)),"-")</f>
        <v>Sepatu Pria</v>
      </c>
      <c r="L938" t="str">
        <f>IFERROR(INDEX(Katalog!$B$3:$B$12,MATCH(Data[[#This Row],[ItemID B]],Katalog!$C$3:$C$12,0)),"-")</f>
        <v>Sandal Slip On</v>
      </c>
      <c r="M938">
        <v>2</v>
      </c>
      <c r="N938">
        <v>2</v>
      </c>
      <c r="O938" s="36">
        <f>IFERROR(INDEX(Katalog!$D$3:$D$12,MATCH(Data[[#This Row],[ItemID B]],Katalog!$C$3:$C$12,0))*Data[[#This Row],[Qty B]],"0")</f>
        <v>300000</v>
      </c>
      <c r="P938" s="36">
        <f>IFERROR(INDEX(Katalog!$F$3:$F$12,MATCH(Data[[#This Row],[ItemID B]],Katalog!$C$3:$C$12,0))*Data[[#This Row],[Qty B]],"0")</f>
        <v>120000</v>
      </c>
      <c r="Q938" t="s">
        <v>65</v>
      </c>
      <c r="R938" t="str">
        <f>IFERROR(INDEX(Katalog!$A$3:$A$12,MATCH(Data[[#This Row],[ItemID C]],Katalog!$C$3:$C$12,0)),"-")</f>
        <v>Sepatu Pria</v>
      </c>
      <c r="S938" t="str">
        <f>IFERROR(INDEX(Katalog!$B$3:$B$12,MATCH(Data[[#This Row],[ItemID C]],Katalog!$C$3:$C$12,0)),"-")</f>
        <v>Sneakers</v>
      </c>
      <c r="T938">
        <v>1</v>
      </c>
      <c r="U938">
        <v>4</v>
      </c>
      <c r="V938" s="36">
        <f>IFERROR(INDEX(Katalog!$D$3:$D$12,MATCH(Data[[#This Row],[ItemID C]],Katalog!$C$3:$C$12,0))*Data[[#This Row],[Qty C]],"0")</f>
        <v>500000</v>
      </c>
      <c r="W938" s="36">
        <f>IFERROR(INDEX(Katalog!$F$3:$F$12,MATCH(Data[[#This Row],[ItemID C]],Katalog!$C$3:$C$12,0))*Data[[#This Row],[Qty C]],"0")</f>
        <v>200000</v>
      </c>
      <c r="X938" s="21">
        <f>Data[[#This Row],[Qty A]]+Data[[#This Row],[Qty B]]+Data[[#This Row],[Qty C]]</f>
        <v>5</v>
      </c>
      <c r="Y938" s="22">
        <f>Data[[#This Row],[Harga Barang A]]+Data[[#This Row],[Harga Barang B]]+Data[[#This Row],[Harga Barang C]]</f>
        <v>1160000</v>
      </c>
      <c r="Z938" s="35">
        <f>IFERROR(Data[[#This Row],[Total Harga]]-(Data[[#This Row],[Total Harga]]*Data[[#This Row],[Diskon]]),Data[[#This Row],[Total Harga]])</f>
        <v>1044000</v>
      </c>
      <c r="AA938" s="35">
        <f>(Data[[#This Row],[Profit A]]+Data[[#This Row],[Profit B]]+Data[[#This Row],[Profit C]])</f>
        <v>460000</v>
      </c>
      <c r="AB938" s="35">
        <f>IFERROR((Data[[#This Row],[Profit non Diskon]]-(Data[[#This Row],[Profit non Diskon]]*Data[[#This Row],[Diskon]])),Data[[#This Row],[Profit non Diskon]])</f>
        <v>414000</v>
      </c>
      <c r="AC938" s="23" t="s">
        <v>6</v>
      </c>
      <c r="AD938" s="37">
        <f>IFERROR(INDEX('Kode Diskon'!$D$3:$D$9,MATCH(Data[[#This Row],[Kode diskon]],'Kode Diskon'!$C$3:$C$9,0)),"-")</f>
        <v>0.1</v>
      </c>
      <c r="AE938" s="23" t="s">
        <v>29</v>
      </c>
      <c r="AF938" s="23" t="s">
        <v>7</v>
      </c>
      <c r="AG938" s="23" t="s">
        <v>79</v>
      </c>
      <c r="AH938" s="24">
        <v>45018</v>
      </c>
      <c r="AI938" s="23" t="str">
        <f>TEXT(Data[[#This Row],[Tanggal terjual]],"dddd")</f>
        <v>Sunday</v>
      </c>
      <c r="AJ938" s="21" t="str">
        <f>TEXT(Data[[#This Row],[Tanggal terjual]],"wwww")</f>
        <v>wwww</v>
      </c>
    </row>
    <row r="939" spans="1:36" x14ac:dyDescent="0.2">
      <c r="A939" s="20">
        <v>938</v>
      </c>
      <c r="B939" s="21" t="str">
        <f>_xlfn.CONCAT("ORD-",INDEX(Helper!$B$2:$B$5,MATCH(Data[[#This Row],[Marketplace]],Helper!$A$2:$A$5,0)),TEXT(Data[[#This Row],[No]],"0000"),"-",TEXT(Data[[#This Row],[Tanggal terjual]],"dd/mm/yy"))</f>
        <v>ORD-TK0938-02/04/23</v>
      </c>
      <c r="C939" t="s">
        <v>65</v>
      </c>
      <c r="D939" t="str">
        <f>IFERROR(INDEX(Katalog!$A$3:$A$12,MATCH(Data[[#This Row],[ItemID A]],Katalog!$C$3:$C$12,0)),"-")</f>
        <v>Sepatu Pria</v>
      </c>
      <c r="E939" t="str">
        <f>IFERROR(INDEX(Katalog!$B$3:$B$12,MATCH(Data[[#This Row],[ItemID A]],Katalog!$C$3:$C$12,0)),"-")</f>
        <v>Sneakers</v>
      </c>
      <c r="F939">
        <v>1</v>
      </c>
      <c r="G939">
        <v>2</v>
      </c>
      <c r="H939" s="36">
        <f>IFERROR(INDEX(Katalog!$D$3:$D$12,MATCH(Data[[#This Row],[ItemID A]],Katalog!$C$3:$C$12,0))*Data[[#This Row],[Qty A]],"0")</f>
        <v>500000</v>
      </c>
      <c r="I939" s="36">
        <f>IFERROR(INDEX(Katalog!$F$3:$F$12,MATCH(Data[[#This Row],[ItemID A]],Katalog!$C$3:$C$12,0))*Data[[#This Row],[Qty A]],0)</f>
        <v>200000</v>
      </c>
      <c r="J939" t="s">
        <v>59</v>
      </c>
      <c r="K939" t="str">
        <f>IFERROR(INDEX(Katalog!$A$3:$A$12,MATCH(Data[[#This Row],[ItemID B]],Katalog!$C$3:$C$12,0)),"-")</f>
        <v>Pakaian Wanita</v>
      </c>
      <c r="L939" t="str">
        <f>IFERROR(INDEX(Katalog!$B$3:$B$12,MATCH(Data[[#This Row],[ItemID B]],Katalog!$C$3:$C$12,0)),"-")</f>
        <v>Blouse</v>
      </c>
      <c r="M939">
        <v>1</v>
      </c>
      <c r="N939">
        <v>5</v>
      </c>
      <c r="O939" s="36">
        <f>IFERROR(INDEX(Katalog!$D$3:$D$12,MATCH(Data[[#This Row],[ItemID B]],Katalog!$C$3:$C$12,0))*Data[[#This Row],[Qty B]],"0")</f>
        <v>150000</v>
      </c>
      <c r="P939" s="36">
        <f>IFERROR(INDEX(Katalog!$F$3:$F$12,MATCH(Data[[#This Row],[ItemID B]],Katalog!$C$3:$C$12,0))*Data[[#This Row],[Qty B]],"0")</f>
        <v>50000</v>
      </c>
      <c r="Q939" t="s">
        <v>67</v>
      </c>
      <c r="R939" t="str">
        <f>IFERROR(INDEX(Katalog!$A$3:$A$12,MATCH(Data[[#This Row],[ItemID C]],Katalog!$C$3:$C$12,0)),"-")</f>
        <v>Sepatu Wanita</v>
      </c>
      <c r="S939" t="str">
        <f>IFERROR(INDEX(Katalog!$B$3:$B$12,MATCH(Data[[#This Row],[ItemID C]],Katalog!$C$3:$C$12,0)),"-")</f>
        <v>Flat Shoes</v>
      </c>
      <c r="T939">
        <v>1</v>
      </c>
      <c r="U939">
        <v>2</v>
      </c>
      <c r="V939" s="36">
        <f>IFERROR(INDEX(Katalog!$D$3:$D$12,MATCH(Data[[#This Row],[ItemID C]],Katalog!$C$3:$C$12,0))*Data[[#This Row],[Qty C]],"0")</f>
        <v>250000</v>
      </c>
      <c r="W939" s="36">
        <f>IFERROR(INDEX(Katalog!$F$3:$F$12,MATCH(Data[[#This Row],[ItemID C]],Katalog!$C$3:$C$12,0))*Data[[#This Row],[Qty C]],"0")</f>
        <v>100000</v>
      </c>
      <c r="X939" s="21">
        <f>Data[[#This Row],[Qty A]]+Data[[#This Row],[Qty B]]+Data[[#This Row],[Qty C]]</f>
        <v>3</v>
      </c>
      <c r="Y939" s="22">
        <f>Data[[#This Row],[Harga Barang A]]+Data[[#This Row],[Harga Barang B]]+Data[[#This Row],[Harga Barang C]]</f>
        <v>900000</v>
      </c>
      <c r="Z939" s="35">
        <f>IFERROR(Data[[#This Row],[Total Harga]]-(Data[[#This Row],[Total Harga]]*Data[[#This Row],[Diskon]]),Data[[#This Row],[Total Harga]])</f>
        <v>810000</v>
      </c>
      <c r="AA939" s="35">
        <f>(Data[[#This Row],[Profit A]]+Data[[#This Row],[Profit B]]+Data[[#This Row],[Profit C]])</f>
        <v>350000</v>
      </c>
      <c r="AB939" s="35">
        <f>IFERROR((Data[[#This Row],[Profit non Diskon]]-(Data[[#This Row],[Profit non Diskon]]*Data[[#This Row],[Diskon]])),Data[[#This Row],[Profit non Diskon]])</f>
        <v>315000</v>
      </c>
      <c r="AC939" s="23" t="s">
        <v>30</v>
      </c>
      <c r="AD939" s="37">
        <f>IFERROR(INDEX('Kode Diskon'!$D$3:$D$9,MATCH(Data[[#This Row],[Kode diskon]],'Kode Diskon'!$C$3:$C$9,0)),"-")</f>
        <v>0.1</v>
      </c>
      <c r="AE939" s="23" t="s">
        <v>29</v>
      </c>
      <c r="AF939" s="23" t="s">
        <v>10</v>
      </c>
      <c r="AG939" s="23" t="s">
        <v>79</v>
      </c>
      <c r="AH939" s="24">
        <v>45018</v>
      </c>
      <c r="AI939" s="23" t="str">
        <f>TEXT(Data[[#This Row],[Tanggal terjual]],"dddd")</f>
        <v>Sunday</v>
      </c>
      <c r="AJ939" s="21" t="str">
        <f>TEXT(Data[[#This Row],[Tanggal terjual]],"wwww")</f>
        <v>wwww</v>
      </c>
    </row>
    <row r="940" spans="1:36" x14ac:dyDescent="0.2">
      <c r="A940" s="20">
        <v>939</v>
      </c>
      <c r="B940" s="21" t="str">
        <f>_xlfn.CONCAT("ORD-",INDEX(Helper!$B$2:$B$5,MATCH(Data[[#This Row],[Marketplace]],Helper!$A$2:$A$5,0)),TEXT(Data[[#This Row],[No]],"0000"),"-",TEXT(Data[[#This Row],[Tanggal terjual]],"dd/mm/yy"))</f>
        <v>ORD-BL0939-08/04/23</v>
      </c>
      <c r="C940" t="s">
        <v>61</v>
      </c>
      <c r="D940" t="str">
        <f>IFERROR(INDEX(Katalog!$A$3:$A$12,MATCH(Data[[#This Row],[ItemID A]],Katalog!$C$3:$C$12,0)),"-")</f>
        <v>Pakaian Pria</v>
      </c>
      <c r="E940" t="str">
        <f>IFERROR(INDEX(Katalog!$B$3:$B$12,MATCH(Data[[#This Row],[ItemID A]],Katalog!$C$3:$C$12,0)),"-")</f>
        <v>Kaos Polo</v>
      </c>
      <c r="F940">
        <v>2</v>
      </c>
      <c r="G940">
        <v>4</v>
      </c>
      <c r="H940" s="36">
        <f>IFERROR(INDEX(Katalog!$D$3:$D$12,MATCH(Data[[#This Row],[ItemID A]],Katalog!$C$3:$C$12,0))*Data[[#This Row],[Qty A]],"0")</f>
        <v>400000</v>
      </c>
      <c r="I940" s="36">
        <f>IFERROR(INDEX(Katalog!$F$3:$F$12,MATCH(Data[[#This Row],[ItemID A]],Katalog!$C$3:$C$12,0))*Data[[#This Row],[Qty A]],0)</f>
        <v>160000</v>
      </c>
      <c r="J940" t="s">
        <v>65</v>
      </c>
      <c r="K940" t="str">
        <f>IFERROR(INDEX(Katalog!$A$3:$A$12,MATCH(Data[[#This Row],[ItemID B]],Katalog!$C$3:$C$12,0)),"-")</f>
        <v>Sepatu Pria</v>
      </c>
      <c r="L940" t="str">
        <f>IFERROR(INDEX(Katalog!$B$3:$B$12,MATCH(Data[[#This Row],[ItemID B]],Katalog!$C$3:$C$12,0)),"-")</f>
        <v>Sneakers</v>
      </c>
      <c r="M940">
        <v>1</v>
      </c>
      <c r="N940">
        <v>2</v>
      </c>
      <c r="O940" s="36">
        <f>IFERROR(INDEX(Katalog!$D$3:$D$12,MATCH(Data[[#This Row],[ItemID B]],Katalog!$C$3:$C$12,0))*Data[[#This Row],[Qty B]],"0")</f>
        <v>500000</v>
      </c>
      <c r="P940" s="36">
        <f>IFERROR(INDEX(Katalog!$F$3:$F$12,MATCH(Data[[#This Row],[ItemID B]],Katalog!$C$3:$C$12,0))*Data[[#This Row],[Qty B]],"0")</f>
        <v>200000</v>
      </c>
      <c r="R940" t="str">
        <f>IFERROR(INDEX(Katalog!$A$3:$A$12,MATCH(Data[[#This Row],[ItemID C]],Katalog!$C$3:$C$12,0)),"-")</f>
        <v>-</v>
      </c>
      <c r="S940" t="str">
        <f>IFERROR(INDEX(Katalog!$B$3:$B$12,MATCH(Data[[#This Row],[ItemID C]],Katalog!$C$3:$C$12,0)),"-")</f>
        <v>-</v>
      </c>
      <c r="V940" s="36" t="str">
        <f>IFERROR(INDEX(Katalog!$D$3:$D$12,MATCH(Data[[#This Row],[ItemID C]],Katalog!$C$3:$C$12,0))*Data[[#This Row],[Qty C]],"0")</f>
        <v>0</v>
      </c>
      <c r="W940" s="36" t="str">
        <f>IFERROR(INDEX(Katalog!$F$3:$F$12,MATCH(Data[[#This Row],[ItemID C]],Katalog!$C$3:$C$12,0))*Data[[#This Row],[Qty C]],"0")</f>
        <v>0</v>
      </c>
      <c r="X940" s="21">
        <f>Data[[#This Row],[Qty A]]+Data[[#This Row],[Qty B]]+Data[[#This Row],[Qty C]]</f>
        <v>3</v>
      </c>
      <c r="Y940" s="22">
        <f>Data[[#This Row],[Harga Barang A]]+Data[[#This Row],[Harga Barang B]]+Data[[#This Row],[Harga Barang C]]</f>
        <v>900000</v>
      </c>
      <c r="Z940" s="35">
        <f>IFERROR(Data[[#This Row],[Total Harga]]-(Data[[#This Row],[Total Harga]]*Data[[#This Row],[Diskon]]),Data[[#This Row],[Total Harga]])</f>
        <v>900000</v>
      </c>
      <c r="AA940" s="35">
        <f>(Data[[#This Row],[Profit A]]+Data[[#This Row],[Profit B]]+Data[[#This Row],[Profit C]])</f>
        <v>360000</v>
      </c>
      <c r="AB940" s="35">
        <f>IFERROR((Data[[#This Row],[Profit non Diskon]]-(Data[[#This Row],[Profit non Diskon]]*Data[[#This Row],[Diskon]])),Data[[#This Row],[Profit non Diskon]])</f>
        <v>360000</v>
      </c>
      <c r="AC940" s="23" t="s">
        <v>11</v>
      </c>
      <c r="AD940" s="37" t="str">
        <f>IFERROR(INDEX('Kode Diskon'!$D$3:$D$9,MATCH(Data[[#This Row],[Kode diskon]],'Kode Diskon'!$C$3:$C$9,0)),"-")</f>
        <v>-</v>
      </c>
      <c r="AE940" s="23" t="s">
        <v>11</v>
      </c>
      <c r="AF940" s="23" t="s">
        <v>12</v>
      </c>
      <c r="AG940" s="23" t="s">
        <v>75</v>
      </c>
      <c r="AH940" s="24">
        <v>45024</v>
      </c>
      <c r="AI940" s="23" t="str">
        <f>TEXT(Data[[#This Row],[Tanggal terjual]],"dddd")</f>
        <v>Saturday</v>
      </c>
      <c r="AJ940" s="21" t="str">
        <f>TEXT(Data[[#This Row],[Tanggal terjual]],"wwww")</f>
        <v>wwww</v>
      </c>
    </row>
    <row r="941" spans="1:36" x14ac:dyDescent="0.2">
      <c r="A941" s="20">
        <v>940</v>
      </c>
      <c r="B941" s="21" t="str">
        <f>_xlfn.CONCAT("ORD-",INDEX(Helper!$B$2:$B$5,MATCH(Data[[#This Row],[Marketplace]],Helper!$A$2:$A$5,0)),TEXT(Data[[#This Row],[No]],"0000"),"-",TEXT(Data[[#This Row],[Tanggal terjual]],"dd/mm/yy"))</f>
        <v>ORD-TK0940-06/04/23</v>
      </c>
      <c r="C941" t="s">
        <v>65</v>
      </c>
      <c r="D941" t="str">
        <f>IFERROR(INDEX(Katalog!$A$3:$A$12,MATCH(Data[[#This Row],[ItemID A]],Katalog!$C$3:$C$12,0)),"-")</f>
        <v>Sepatu Pria</v>
      </c>
      <c r="E941" t="str">
        <f>IFERROR(INDEX(Katalog!$B$3:$B$12,MATCH(Data[[#This Row],[ItemID A]],Katalog!$C$3:$C$12,0)),"-")</f>
        <v>Sneakers</v>
      </c>
      <c r="F941">
        <v>2</v>
      </c>
      <c r="G941">
        <v>5</v>
      </c>
      <c r="H941" s="36">
        <f>IFERROR(INDEX(Katalog!$D$3:$D$12,MATCH(Data[[#This Row],[ItemID A]],Katalog!$C$3:$C$12,0))*Data[[#This Row],[Qty A]],"0")</f>
        <v>1000000</v>
      </c>
      <c r="I941" s="36">
        <f>IFERROR(INDEX(Katalog!$F$3:$F$12,MATCH(Data[[#This Row],[ItemID A]],Katalog!$C$3:$C$12,0))*Data[[#This Row],[Qty A]],0)</f>
        <v>400000</v>
      </c>
      <c r="K941" t="str">
        <f>IFERROR(INDEX(Katalog!$A$3:$A$12,MATCH(Data[[#This Row],[ItemID B]],Katalog!$C$3:$C$12,0)),"-")</f>
        <v>-</v>
      </c>
      <c r="L941" t="str">
        <f>IFERROR(INDEX(Katalog!$B$3:$B$12,MATCH(Data[[#This Row],[ItemID B]],Katalog!$C$3:$C$12,0)),"-")</f>
        <v>-</v>
      </c>
      <c r="O941" s="36" t="str">
        <f>IFERROR(INDEX(Katalog!$D$3:$D$12,MATCH(Data[[#This Row],[ItemID B]],Katalog!$C$3:$C$12,0))*Data[[#This Row],[Qty B]],"0")</f>
        <v>0</v>
      </c>
      <c r="P941" s="36" t="str">
        <f>IFERROR(INDEX(Katalog!$F$3:$F$12,MATCH(Data[[#This Row],[ItemID B]],Katalog!$C$3:$C$12,0))*Data[[#This Row],[Qty B]],"0")</f>
        <v>0</v>
      </c>
      <c r="R941" t="str">
        <f>IFERROR(INDEX(Katalog!$A$3:$A$12,MATCH(Data[[#This Row],[ItemID C]],Katalog!$C$3:$C$12,0)),"-")</f>
        <v>-</v>
      </c>
      <c r="S941" t="str">
        <f>IFERROR(INDEX(Katalog!$B$3:$B$12,MATCH(Data[[#This Row],[ItemID C]],Katalog!$C$3:$C$12,0)),"-")</f>
        <v>-</v>
      </c>
      <c r="V941" s="36" t="str">
        <f>IFERROR(INDEX(Katalog!$D$3:$D$12,MATCH(Data[[#This Row],[ItemID C]],Katalog!$C$3:$C$12,0))*Data[[#This Row],[Qty C]],"0")</f>
        <v>0</v>
      </c>
      <c r="W941" s="36" t="str">
        <f>IFERROR(INDEX(Katalog!$F$3:$F$12,MATCH(Data[[#This Row],[ItemID C]],Katalog!$C$3:$C$12,0))*Data[[#This Row],[Qty C]],"0")</f>
        <v>0</v>
      </c>
      <c r="X941" s="21">
        <f>Data[[#This Row],[Qty A]]+Data[[#This Row],[Qty B]]+Data[[#This Row],[Qty C]]</f>
        <v>2</v>
      </c>
      <c r="Y941" s="22">
        <f>Data[[#This Row],[Harga Barang A]]+Data[[#This Row],[Harga Barang B]]+Data[[#This Row],[Harga Barang C]]</f>
        <v>1000000</v>
      </c>
      <c r="Z941" s="35">
        <f>IFERROR(Data[[#This Row],[Total Harga]]-(Data[[#This Row],[Total Harga]]*Data[[#This Row],[Diskon]]),Data[[#This Row],[Total Harga]])</f>
        <v>900000</v>
      </c>
      <c r="AA941" s="35">
        <f>(Data[[#This Row],[Profit A]]+Data[[#This Row],[Profit B]]+Data[[#This Row],[Profit C]])</f>
        <v>400000</v>
      </c>
      <c r="AB941" s="35">
        <f>IFERROR((Data[[#This Row],[Profit non Diskon]]-(Data[[#This Row],[Profit non Diskon]]*Data[[#This Row],[Diskon]])),Data[[#This Row],[Profit non Diskon]])</f>
        <v>360000</v>
      </c>
      <c r="AC941" s="23" t="s">
        <v>30</v>
      </c>
      <c r="AD941" s="37">
        <f>IFERROR(INDEX('Kode Diskon'!$D$3:$D$9,MATCH(Data[[#This Row],[Kode diskon]],'Kode Diskon'!$C$3:$C$9,0)),"-")</f>
        <v>0.1</v>
      </c>
      <c r="AE941" s="23" t="s">
        <v>29</v>
      </c>
      <c r="AF941" s="23" t="s">
        <v>10</v>
      </c>
      <c r="AG941" s="23" t="s">
        <v>79</v>
      </c>
      <c r="AH941" s="24">
        <v>45022</v>
      </c>
      <c r="AI941" s="23" t="str">
        <f>TEXT(Data[[#This Row],[Tanggal terjual]],"dddd")</f>
        <v>Thursday</v>
      </c>
      <c r="AJ941" s="21" t="str">
        <f>TEXT(Data[[#This Row],[Tanggal terjual]],"wwww")</f>
        <v>wwww</v>
      </c>
    </row>
    <row r="942" spans="1:36" x14ac:dyDescent="0.2">
      <c r="A942" s="20">
        <v>941</v>
      </c>
      <c r="B942" s="21" t="str">
        <f>_xlfn.CONCAT("ORD-",INDEX(Helper!$B$2:$B$5,MATCH(Data[[#This Row],[Marketplace]],Helper!$A$2:$A$5,0)),TEXT(Data[[#This Row],[No]],"0000"),"-",TEXT(Data[[#This Row],[Tanggal terjual]],"dd/mm/yy"))</f>
        <v>ORD-TK0941-15/04/23</v>
      </c>
      <c r="C942" t="s">
        <v>62</v>
      </c>
      <c r="D942" t="str">
        <f>IFERROR(INDEX(Katalog!$A$3:$A$12,MATCH(Data[[#This Row],[ItemID A]],Katalog!$C$3:$C$12,0)),"-")</f>
        <v>Pakaian Pria</v>
      </c>
      <c r="E942" t="str">
        <f>IFERROR(INDEX(Katalog!$B$3:$B$12,MATCH(Data[[#This Row],[ItemID A]],Katalog!$C$3:$C$12,0)),"-")</f>
        <v>Celana Pendek</v>
      </c>
      <c r="F942">
        <v>6</v>
      </c>
      <c r="G942">
        <v>3</v>
      </c>
      <c r="H942" s="36">
        <f>IFERROR(INDEX(Katalog!$D$3:$D$12,MATCH(Data[[#This Row],[ItemID A]],Katalog!$C$3:$C$12,0))*Data[[#This Row],[Qty A]],"0")</f>
        <v>1080000</v>
      </c>
      <c r="I942" s="36">
        <f>IFERROR(INDEX(Katalog!$F$3:$F$12,MATCH(Data[[#This Row],[ItemID A]],Katalog!$C$3:$C$12,0))*Data[[#This Row],[Qty A]],0)</f>
        <v>420000</v>
      </c>
      <c r="J942" t="s">
        <v>60</v>
      </c>
      <c r="K942" t="str">
        <f>IFERROR(INDEX(Katalog!$A$3:$A$12,MATCH(Data[[#This Row],[ItemID B]],Katalog!$C$3:$C$12,0)),"-")</f>
        <v>Pakaian Wanita</v>
      </c>
      <c r="L942" t="str">
        <f>IFERROR(INDEX(Katalog!$B$3:$B$12,MATCH(Data[[#This Row],[ItemID B]],Katalog!$C$3:$C$12,0)),"-")</f>
        <v>Kaftan</v>
      </c>
      <c r="M942">
        <v>1</v>
      </c>
      <c r="N942">
        <v>3</v>
      </c>
      <c r="O942" s="36">
        <f>IFERROR(INDEX(Katalog!$D$3:$D$12,MATCH(Data[[#This Row],[ItemID B]],Katalog!$C$3:$C$12,0))*Data[[#This Row],[Qty B]],"0")</f>
        <v>250000</v>
      </c>
      <c r="P942" s="36">
        <f>IFERROR(INDEX(Katalog!$F$3:$F$12,MATCH(Data[[#This Row],[ItemID B]],Katalog!$C$3:$C$12,0))*Data[[#This Row],[Qty B]],"0")</f>
        <v>100000</v>
      </c>
      <c r="R942" t="str">
        <f>IFERROR(INDEX(Katalog!$A$3:$A$12,MATCH(Data[[#This Row],[ItemID C]],Katalog!$C$3:$C$12,0)),"-")</f>
        <v>-</v>
      </c>
      <c r="S942" t="str">
        <f>IFERROR(INDEX(Katalog!$B$3:$B$12,MATCH(Data[[#This Row],[ItemID C]],Katalog!$C$3:$C$12,0)),"-")</f>
        <v>-</v>
      </c>
      <c r="V942" s="36" t="str">
        <f>IFERROR(INDEX(Katalog!$D$3:$D$12,MATCH(Data[[#This Row],[ItemID C]],Katalog!$C$3:$C$12,0))*Data[[#This Row],[Qty C]],"0")</f>
        <v>0</v>
      </c>
      <c r="W942" s="36" t="str">
        <f>IFERROR(INDEX(Katalog!$F$3:$F$12,MATCH(Data[[#This Row],[ItemID C]],Katalog!$C$3:$C$12,0))*Data[[#This Row],[Qty C]],"0")</f>
        <v>0</v>
      </c>
      <c r="X942" s="21">
        <f>Data[[#This Row],[Qty A]]+Data[[#This Row],[Qty B]]+Data[[#This Row],[Qty C]]</f>
        <v>7</v>
      </c>
      <c r="Y942" s="22">
        <f>Data[[#This Row],[Harga Barang A]]+Data[[#This Row],[Harga Barang B]]+Data[[#This Row],[Harga Barang C]]</f>
        <v>1330000</v>
      </c>
      <c r="Z942" s="35">
        <f>IFERROR(Data[[#This Row],[Total Harga]]-(Data[[#This Row],[Total Harga]]*Data[[#This Row],[Diskon]]),Data[[#This Row],[Total Harga]])</f>
        <v>1330000</v>
      </c>
      <c r="AA942" s="35">
        <f>(Data[[#This Row],[Profit A]]+Data[[#This Row],[Profit B]]+Data[[#This Row],[Profit C]])</f>
        <v>520000</v>
      </c>
      <c r="AB942" s="35">
        <f>IFERROR((Data[[#This Row],[Profit non Diskon]]-(Data[[#This Row],[Profit non Diskon]]*Data[[#This Row],[Diskon]])),Data[[#This Row],[Profit non Diskon]])</f>
        <v>520000</v>
      </c>
      <c r="AC942" s="23" t="s">
        <v>11</v>
      </c>
      <c r="AD942" s="37" t="str">
        <f>IFERROR(INDEX('Kode Diskon'!$D$3:$D$9,MATCH(Data[[#This Row],[Kode diskon]],'Kode Diskon'!$C$3:$C$9,0)),"-")</f>
        <v>-</v>
      </c>
      <c r="AE942" s="23" t="s">
        <v>11</v>
      </c>
      <c r="AF942" s="23" t="s">
        <v>10</v>
      </c>
      <c r="AG942" s="23" t="s">
        <v>76</v>
      </c>
      <c r="AH942" s="24">
        <v>45031</v>
      </c>
      <c r="AI942" s="23" t="str">
        <f>TEXT(Data[[#This Row],[Tanggal terjual]],"dddd")</f>
        <v>Saturday</v>
      </c>
      <c r="AJ942" s="21" t="str">
        <f>TEXT(Data[[#This Row],[Tanggal terjual]],"wwww")</f>
        <v>wwww</v>
      </c>
    </row>
    <row r="943" spans="1:36" x14ac:dyDescent="0.2">
      <c r="A943" s="20">
        <v>942</v>
      </c>
      <c r="B943" s="21" t="str">
        <f>_xlfn.CONCAT("ORD-",INDEX(Helper!$B$2:$B$5,MATCH(Data[[#This Row],[Marketplace]],Helper!$A$2:$A$5,0)),TEXT(Data[[#This Row],[No]],"0000"),"-",TEXT(Data[[#This Row],[Tanggal terjual]],"dd/mm/yy"))</f>
        <v>ORD-BB0942-04/04/23</v>
      </c>
      <c r="C943" t="s">
        <v>61</v>
      </c>
      <c r="D943" t="str">
        <f>IFERROR(INDEX(Katalog!$A$3:$A$12,MATCH(Data[[#This Row],[ItemID A]],Katalog!$C$3:$C$12,0)),"-")</f>
        <v>Pakaian Pria</v>
      </c>
      <c r="E943" t="str">
        <f>IFERROR(INDEX(Katalog!$B$3:$B$12,MATCH(Data[[#This Row],[ItemID A]],Katalog!$C$3:$C$12,0)),"-")</f>
        <v>Kaos Polo</v>
      </c>
      <c r="F943">
        <v>5</v>
      </c>
      <c r="G943">
        <v>5</v>
      </c>
      <c r="H943" s="36">
        <f>IFERROR(INDEX(Katalog!$D$3:$D$12,MATCH(Data[[#This Row],[ItemID A]],Katalog!$C$3:$C$12,0))*Data[[#This Row],[Qty A]],"0")</f>
        <v>1000000</v>
      </c>
      <c r="I943" s="36">
        <f>IFERROR(INDEX(Katalog!$F$3:$F$12,MATCH(Data[[#This Row],[ItemID A]],Katalog!$C$3:$C$12,0))*Data[[#This Row],[Qty A]],0)</f>
        <v>400000</v>
      </c>
      <c r="J943" t="s">
        <v>60</v>
      </c>
      <c r="K943" t="str">
        <f>IFERROR(INDEX(Katalog!$A$3:$A$12,MATCH(Data[[#This Row],[ItemID B]],Katalog!$C$3:$C$12,0)),"-")</f>
        <v>Pakaian Wanita</v>
      </c>
      <c r="L943" t="str">
        <f>IFERROR(INDEX(Katalog!$B$3:$B$12,MATCH(Data[[#This Row],[ItemID B]],Katalog!$C$3:$C$12,0)),"-")</f>
        <v>Kaftan</v>
      </c>
      <c r="M943">
        <v>1</v>
      </c>
      <c r="N943">
        <v>2</v>
      </c>
      <c r="O943" s="36">
        <f>IFERROR(INDEX(Katalog!$D$3:$D$12,MATCH(Data[[#This Row],[ItemID B]],Katalog!$C$3:$C$12,0))*Data[[#This Row],[Qty B]],"0")</f>
        <v>250000</v>
      </c>
      <c r="P943" s="36">
        <f>IFERROR(INDEX(Katalog!$F$3:$F$12,MATCH(Data[[#This Row],[ItemID B]],Katalog!$C$3:$C$12,0))*Data[[#This Row],[Qty B]],"0")</f>
        <v>100000</v>
      </c>
      <c r="R943" t="str">
        <f>IFERROR(INDEX(Katalog!$A$3:$A$12,MATCH(Data[[#This Row],[ItemID C]],Katalog!$C$3:$C$12,0)),"-")</f>
        <v>-</v>
      </c>
      <c r="S943" t="str">
        <f>IFERROR(INDEX(Katalog!$B$3:$B$12,MATCH(Data[[#This Row],[ItemID C]],Katalog!$C$3:$C$12,0)),"-")</f>
        <v>-</v>
      </c>
      <c r="V943" s="36" t="str">
        <f>IFERROR(INDEX(Katalog!$D$3:$D$12,MATCH(Data[[#This Row],[ItemID C]],Katalog!$C$3:$C$12,0))*Data[[#This Row],[Qty C]],"0")</f>
        <v>0</v>
      </c>
      <c r="W943" s="36" t="str">
        <f>IFERROR(INDEX(Katalog!$F$3:$F$12,MATCH(Data[[#This Row],[ItemID C]],Katalog!$C$3:$C$12,0))*Data[[#This Row],[Qty C]],"0")</f>
        <v>0</v>
      </c>
      <c r="X943" s="21">
        <f>Data[[#This Row],[Qty A]]+Data[[#This Row],[Qty B]]+Data[[#This Row],[Qty C]]</f>
        <v>6</v>
      </c>
      <c r="Y943" s="22">
        <f>Data[[#This Row],[Harga Barang A]]+Data[[#This Row],[Harga Barang B]]+Data[[#This Row],[Harga Barang C]]</f>
        <v>1250000</v>
      </c>
      <c r="Z943" s="35">
        <f>IFERROR(Data[[#This Row],[Total Harga]]-(Data[[#This Row],[Total Harga]]*Data[[#This Row],[Diskon]]),Data[[#This Row],[Total Harga]])</f>
        <v>1062500</v>
      </c>
      <c r="AA943" s="35">
        <f>(Data[[#This Row],[Profit A]]+Data[[#This Row],[Profit B]]+Data[[#This Row],[Profit C]])</f>
        <v>500000</v>
      </c>
      <c r="AB943" s="35">
        <f>IFERROR((Data[[#This Row],[Profit non Diskon]]-(Data[[#This Row],[Profit non Diskon]]*Data[[#This Row],[Diskon]])),Data[[#This Row],[Profit non Diskon]])</f>
        <v>425000</v>
      </c>
      <c r="AC943" s="23" t="s">
        <v>28</v>
      </c>
      <c r="AD943" s="37">
        <f>IFERROR(INDEX('Kode Diskon'!$D$3:$D$9,MATCH(Data[[#This Row],[Kode diskon]],'Kode Diskon'!$C$3:$C$9,0)),"-")</f>
        <v>0.15</v>
      </c>
      <c r="AE943" s="23" t="s">
        <v>29</v>
      </c>
      <c r="AF943" s="23" t="s">
        <v>14</v>
      </c>
      <c r="AG943" s="23" t="s">
        <v>80</v>
      </c>
      <c r="AH943" s="24">
        <v>45020</v>
      </c>
      <c r="AI943" s="23" t="str">
        <f>TEXT(Data[[#This Row],[Tanggal terjual]],"dddd")</f>
        <v>Tuesday</v>
      </c>
      <c r="AJ943" s="21" t="str">
        <f>TEXT(Data[[#This Row],[Tanggal terjual]],"wwww")</f>
        <v>wwww</v>
      </c>
    </row>
    <row r="944" spans="1:36" x14ac:dyDescent="0.2">
      <c r="A944" s="20">
        <v>943</v>
      </c>
      <c r="B944" s="21" t="str">
        <f>_xlfn.CONCAT("ORD-",INDEX(Helper!$B$2:$B$5,MATCH(Data[[#This Row],[Marketplace]],Helper!$A$2:$A$5,0)),TEXT(Data[[#This Row],[No]],"0000"),"-",TEXT(Data[[#This Row],[Tanggal terjual]],"dd/mm/yy"))</f>
        <v>ORD-TK0943-03/04/23</v>
      </c>
      <c r="C944" t="s">
        <v>59</v>
      </c>
      <c r="D944" t="str">
        <f>IFERROR(INDEX(Katalog!$A$3:$A$12,MATCH(Data[[#This Row],[ItemID A]],Katalog!$C$3:$C$12,0)),"-")</f>
        <v>Pakaian Wanita</v>
      </c>
      <c r="E944" t="str">
        <f>IFERROR(INDEX(Katalog!$B$3:$B$12,MATCH(Data[[#This Row],[ItemID A]],Katalog!$C$3:$C$12,0)),"-")</f>
        <v>Blouse</v>
      </c>
      <c r="F944">
        <v>1</v>
      </c>
      <c r="G944">
        <v>3</v>
      </c>
      <c r="H944" s="36">
        <f>IFERROR(INDEX(Katalog!$D$3:$D$12,MATCH(Data[[#This Row],[ItemID A]],Katalog!$C$3:$C$12,0))*Data[[#This Row],[Qty A]],"0")</f>
        <v>150000</v>
      </c>
      <c r="I944" s="36">
        <f>IFERROR(INDEX(Katalog!$F$3:$F$12,MATCH(Data[[#This Row],[ItemID A]],Katalog!$C$3:$C$12,0))*Data[[#This Row],[Qty A]],0)</f>
        <v>50000</v>
      </c>
      <c r="J944" t="s">
        <v>67</v>
      </c>
      <c r="K944" t="str">
        <f>IFERROR(INDEX(Katalog!$A$3:$A$12,MATCH(Data[[#This Row],[ItemID B]],Katalog!$C$3:$C$12,0)),"-")</f>
        <v>Sepatu Wanita</v>
      </c>
      <c r="L944" t="str">
        <f>IFERROR(INDEX(Katalog!$B$3:$B$12,MATCH(Data[[#This Row],[ItemID B]],Katalog!$C$3:$C$12,0)),"-")</f>
        <v>Flat Shoes</v>
      </c>
      <c r="M944">
        <v>1</v>
      </c>
      <c r="N944">
        <v>5</v>
      </c>
      <c r="O944" s="36">
        <f>IFERROR(INDEX(Katalog!$D$3:$D$12,MATCH(Data[[#This Row],[ItemID B]],Katalog!$C$3:$C$12,0))*Data[[#This Row],[Qty B]],"0")</f>
        <v>250000</v>
      </c>
      <c r="P944" s="36">
        <f>IFERROR(INDEX(Katalog!$F$3:$F$12,MATCH(Data[[#This Row],[ItemID B]],Katalog!$C$3:$C$12,0))*Data[[#This Row],[Qty B]],"0")</f>
        <v>100000</v>
      </c>
      <c r="Q944" t="s">
        <v>62</v>
      </c>
      <c r="R944" t="str">
        <f>IFERROR(INDEX(Katalog!$A$3:$A$12,MATCH(Data[[#This Row],[ItemID C]],Katalog!$C$3:$C$12,0)),"-")</f>
        <v>Pakaian Pria</v>
      </c>
      <c r="S944" t="str">
        <f>IFERROR(INDEX(Katalog!$B$3:$B$12,MATCH(Data[[#This Row],[ItemID C]],Katalog!$C$3:$C$12,0)),"-")</f>
        <v>Celana Pendek</v>
      </c>
      <c r="T944">
        <v>1</v>
      </c>
      <c r="U944">
        <v>5</v>
      </c>
      <c r="V944" s="36">
        <f>IFERROR(INDEX(Katalog!$D$3:$D$12,MATCH(Data[[#This Row],[ItemID C]],Katalog!$C$3:$C$12,0))*Data[[#This Row],[Qty C]],"0")</f>
        <v>180000</v>
      </c>
      <c r="W944" s="36">
        <f>IFERROR(INDEX(Katalog!$F$3:$F$12,MATCH(Data[[#This Row],[ItemID C]],Katalog!$C$3:$C$12,0))*Data[[#This Row],[Qty C]],"0")</f>
        <v>70000</v>
      </c>
      <c r="X944" s="21">
        <f>Data[[#This Row],[Qty A]]+Data[[#This Row],[Qty B]]+Data[[#This Row],[Qty C]]</f>
        <v>3</v>
      </c>
      <c r="Y944" s="22">
        <f>Data[[#This Row],[Harga Barang A]]+Data[[#This Row],[Harga Barang B]]+Data[[#This Row],[Harga Barang C]]</f>
        <v>580000</v>
      </c>
      <c r="Z944" s="35">
        <f>IFERROR(Data[[#This Row],[Total Harga]]-(Data[[#This Row],[Total Harga]]*Data[[#This Row],[Diskon]]),Data[[#This Row],[Total Harga]])</f>
        <v>522000</v>
      </c>
      <c r="AA944" s="35">
        <f>(Data[[#This Row],[Profit A]]+Data[[#This Row],[Profit B]]+Data[[#This Row],[Profit C]])</f>
        <v>220000</v>
      </c>
      <c r="AB944" s="35">
        <f>IFERROR((Data[[#This Row],[Profit non Diskon]]-(Data[[#This Row],[Profit non Diskon]]*Data[[#This Row],[Diskon]])),Data[[#This Row],[Profit non Diskon]])</f>
        <v>198000</v>
      </c>
      <c r="AC944" s="23" t="s">
        <v>30</v>
      </c>
      <c r="AD944" s="37">
        <f>IFERROR(INDEX('Kode Diskon'!$D$3:$D$9,MATCH(Data[[#This Row],[Kode diskon]],'Kode Diskon'!$C$3:$C$9,0)),"-")</f>
        <v>0.1</v>
      </c>
      <c r="AE944" s="23" t="s">
        <v>29</v>
      </c>
      <c r="AF944" s="23" t="s">
        <v>10</v>
      </c>
      <c r="AG944" s="23" t="s">
        <v>80</v>
      </c>
      <c r="AH944" s="24">
        <v>45019</v>
      </c>
      <c r="AI944" s="23" t="str">
        <f>TEXT(Data[[#This Row],[Tanggal terjual]],"dddd")</f>
        <v>Monday</v>
      </c>
      <c r="AJ944" s="21" t="str">
        <f>TEXT(Data[[#This Row],[Tanggal terjual]],"wwww")</f>
        <v>wwww</v>
      </c>
    </row>
    <row r="945" spans="1:36" x14ac:dyDescent="0.2">
      <c r="A945" s="20">
        <v>944</v>
      </c>
      <c r="B945" s="21" t="str">
        <f>_xlfn.CONCAT("ORD-",INDEX(Helper!$B$2:$B$5,MATCH(Data[[#This Row],[Marketplace]],Helper!$A$2:$A$5,0)),TEXT(Data[[#This Row],[No]],"0000"),"-",TEXT(Data[[#This Row],[Tanggal terjual]],"dd/mm/yy"))</f>
        <v>ORD-SP0944-05/04/23</v>
      </c>
      <c r="C945" t="s">
        <v>66</v>
      </c>
      <c r="D945" t="str">
        <f>IFERROR(INDEX(Katalog!$A$3:$A$12,MATCH(Data[[#This Row],[ItemID A]],Katalog!$C$3:$C$12,0)),"-")</f>
        <v>Sepatu Pria</v>
      </c>
      <c r="E945" t="str">
        <f>IFERROR(INDEX(Katalog!$B$3:$B$12,MATCH(Data[[#This Row],[ItemID A]],Katalog!$C$3:$C$12,0)),"-")</f>
        <v>Sandal Slip On</v>
      </c>
      <c r="F945">
        <v>5</v>
      </c>
      <c r="G945">
        <v>4</v>
      </c>
      <c r="H945" s="36">
        <f>IFERROR(INDEX(Katalog!$D$3:$D$12,MATCH(Data[[#This Row],[ItemID A]],Katalog!$C$3:$C$12,0))*Data[[#This Row],[Qty A]],"0")</f>
        <v>750000</v>
      </c>
      <c r="I945" s="36">
        <f>IFERROR(INDEX(Katalog!$F$3:$F$12,MATCH(Data[[#This Row],[ItemID A]],Katalog!$C$3:$C$12,0))*Data[[#This Row],[Qty A]],0)</f>
        <v>300000</v>
      </c>
      <c r="K945" t="str">
        <f>IFERROR(INDEX(Katalog!$A$3:$A$12,MATCH(Data[[#This Row],[ItemID B]],Katalog!$C$3:$C$12,0)),"-")</f>
        <v>-</v>
      </c>
      <c r="L945" t="str">
        <f>IFERROR(INDEX(Katalog!$B$3:$B$12,MATCH(Data[[#This Row],[ItemID B]],Katalog!$C$3:$C$12,0)),"-")</f>
        <v>-</v>
      </c>
      <c r="O945" s="36" t="str">
        <f>IFERROR(INDEX(Katalog!$D$3:$D$12,MATCH(Data[[#This Row],[ItemID B]],Katalog!$C$3:$C$12,0))*Data[[#This Row],[Qty B]],"0")</f>
        <v>0</v>
      </c>
      <c r="P945" s="36" t="str">
        <f>IFERROR(INDEX(Katalog!$F$3:$F$12,MATCH(Data[[#This Row],[ItemID B]],Katalog!$C$3:$C$12,0))*Data[[#This Row],[Qty B]],"0")</f>
        <v>0</v>
      </c>
      <c r="R945" t="str">
        <f>IFERROR(INDEX(Katalog!$A$3:$A$12,MATCH(Data[[#This Row],[ItemID C]],Katalog!$C$3:$C$12,0)),"-")</f>
        <v>-</v>
      </c>
      <c r="S945" t="str">
        <f>IFERROR(INDEX(Katalog!$B$3:$B$12,MATCH(Data[[#This Row],[ItemID C]],Katalog!$C$3:$C$12,0)),"-")</f>
        <v>-</v>
      </c>
      <c r="V945" s="36" t="str">
        <f>IFERROR(INDEX(Katalog!$D$3:$D$12,MATCH(Data[[#This Row],[ItemID C]],Katalog!$C$3:$C$12,0))*Data[[#This Row],[Qty C]],"0")</f>
        <v>0</v>
      </c>
      <c r="W945" s="36" t="str">
        <f>IFERROR(INDEX(Katalog!$F$3:$F$12,MATCH(Data[[#This Row],[ItemID C]],Katalog!$C$3:$C$12,0))*Data[[#This Row],[Qty C]],"0")</f>
        <v>0</v>
      </c>
      <c r="X945" s="21">
        <f>Data[[#This Row],[Qty A]]+Data[[#This Row],[Qty B]]+Data[[#This Row],[Qty C]]</f>
        <v>5</v>
      </c>
      <c r="Y945" s="22">
        <f>Data[[#This Row],[Harga Barang A]]+Data[[#This Row],[Harga Barang B]]+Data[[#This Row],[Harga Barang C]]</f>
        <v>750000</v>
      </c>
      <c r="Z945" s="35">
        <f>IFERROR(Data[[#This Row],[Total Harga]]-(Data[[#This Row],[Total Harga]]*Data[[#This Row],[Diskon]]),Data[[#This Row],[Total Harga]])</f>
        <v>637500</v>
      </c>
      <c r="AA945" s="35">
        <f>(Data[[#This Row],[Profit A]]+Data[[#This Row],[Profit B]]+Data[[#This Row],[Profit C]])</f>
        <v>300000</v>
      </c>
      <c r="AB945" s="35">
        <f>IFERROR((Data[[#This Row],[Profit non Diskon]]-(Data[[#This Row],[Profit non Diskon]]*Data[[#This Row],[Diskon]])),Data[[#This Row],[Profit non Diskon]])</f>
        <v>255000</v>
      </c>
      <c r="AC945" s="23" t="s">
        <v>13</v>
      </c>
      <c r="AD945" s="37">
        <f>IFERROR(INDEX('Kode Diskon'!$D$3:$D$9,MATCH(Data[[#This Row],[Kode diskon]],'Kode Diskon'!$C$3:$C$9,0)),"-")</f>
        <v>0.15</v>
      </c>
      <c r="AE945" s="23" t="s">
        <v>29</v>
      </c>
      <c r="AF945" s="23" t="s">
        <v>7</v>
      </c>
      <c r="AG945" s="23" t="s">
        <v>80</v>
      </c>
      <c r="AH945" s="24">
        <v>45021</v>
      </c>
      <c r="AI945" s="23" t="str">
        <f>TEXT(Data[[#This Row],[Tanggal terjual]],"dddd")</f>
        <v>Wednesday</v>
      </c>
      <c r="AJ945" s="21" t="str">
        <f>TEXT(Data[[#This Row],[Tanggal terjual]],"wwww")</f>
        <v>wwww</v>
      </c>
    </row>
    <row r="946" spans="1:36" x14ac:dyDescent="0.2">
      <c r="A946" s="20">
        <v>945</v>
      </c>
      <c r="B946" s="21" t="str">
        <f>_xlfn.CONCAT("ORD-",INDEX(Helper!$B$2:$B$5,MATCH(Data[[#This Row],[Marketplace]],Helper!$A$2:$A$5,0)),TEXT(Data[[#This Row],[No]],"0000"),"-",TEXT(Data[[#This Row],[Tanggal terjual]],"dd/mm/yy"))</f>
        <v>ORD-TK0945-05/04/23</v>
      </c>
      <c r="C946" t="s">
        <v>58</v>
      </c>
      <c r="D946" t="str">
        <f>IFERROR(INDEX(Katalog!$A$3:$A$12,MATCH(Data[[#This Row],[ItemID A]],Katalog!$C$3:$C$12,0)),"-")</f>
        <v>Pakaian Wanita</v>
      </c>
      <c r="E946" t="str">
        <f>IFERROR(INDEX(Katalog!$B$3:$B$12,MATCH(Data[[#This Row],[ItemID A]],Katalog!$C$3:$C$12,0)),"-")</f>
        <v>Dress</v>
      </c>
      <c r="F946">
        <v>6</v>
      </c>
      <c r="G946">
        <v>5</v>
      </c>
      <c r="H946" s="36">
        <f>IFERROR(INDEX(Katalog!$D$3:$D$12,MATCH(Data[[#This Row],[ItemID A]],Katalog!$C$3:$C$12,0))*Data[[#This Row],[Qty A]],"0")</f>
        <v>1800000</v>
      </c>
      <c r="I946" s="36">
        <f>IFERROR(INDEX(Katalog!$F$3:$F$12,MATCH(Data[[#This Row],[ItemID A]],Katalog!$C$3:$C$12,0))*Data[[#This Row],[Qty A]],0)</f>
        <v>600000</v>
      </c>
      <c r="J946" t="s">
        <v>62</v>
      </c>
      <c r="K946" t="str">
        <f>IFERROR(INDEX(Katalog!$A$3:$A$12,MATCH(Data[[#This Row],[ItemID B]],Katalog!$C$3:$C$12,0)),"-")</f>
        <v>Pakaian Pria</v>
      </c>
      <c r="L946" t="str">
        <f>IFERROR(INDEX(Katalog!$B$3:$B$12,MATCH(Data[[#This Row],[ItemID B]],Katalog!$C$3:$C$12,0)),"-")</f>
        <v>Celana Pendek</v>
      </c>
      <c r="M946">
        <v>1</v>
      </c>
      <c r="N946">
        <v>3</v>
      </c>
      <c r="O946" s="36">
        <f>IFERROR(INDEX(Katalog!$D$3:$D$12,MATCH(Data[[#This Row],[ItemID B]],Katalog!$C$3:$C$12,0))*Data[[#This Row],[Qty B]],"0")</f>
        <v>180000</v>
      </c>
      <c r="P946" s="36">
        <f>IFERROR(INDEX(Katalog!$F$3:$F$12,MATCH(Data[[#This Row],[ItemID B]],Katalog!$C$3:$C$12,0))*Data[[#This Row],[Qty B]],"0")</f>
        <v>70000</v>
      </c>
      <c r="R946" t="str">
        <f>IFERROR(INDEX(Katalog!$A$3:$A$12,MATCH(Data[[#This Row],[ItemID C]],Katalog!$C$3:$C$12,0)),"-")</f>
        <v>-</v>
      </c>
      <c r="S946" t="str">
        <f>IFERROR(INDEX(Katalog!$B$3:$B$12,MATCH(Data[[#This Row],[ItemID C]],Katalog!$C$3:$C$12,0)),"-")</f>
        <v>-</v>
      </c>
      <c r="V946" s="36" t="str">
        <f>IFERROR(INDEX(Katalog!$D$3:$D$12,MATCH(Data[[#This Row],[ItemID C]],Katalog!$C$3:$C$12,0))*Data[[#This Row],[Qty C]],"0")</f>
        <v>0</v>
      </c>
      <c r="W946" s="36" t="str">
        <f>IFERROR(INDEX(Katalog!$F$3:$F$12,MATCH(Data[[#This Row],[ItemID C]],Katalog!$C$3:$C$12,0))*Data[[#This Row],[Qty C]],"0")</f>
        <v>0</v>
      </c>
      <c r="X946" s="21">
        <f>Data[[#This Row],[Qty A]]+Data[[#This Row],[Qty B]]+Data[[#This Row],[Qty C]]</f>
        <v>7</v>
      </c>
      <c r="Y946" s="22">
        <f>Data[[#This Row],[Harga Barang A]]+Data[[#This Row],[Harga Barang B]]+Data[[#This Row],[Harga Barang C]]</f>
        <v>1980000</v>
      </c>
      <c r="Z946" s="35">
        <f>IFERROR(Data[[#This Row],[Total Harga]]-(Data[[#This Row],[Total Harga]]*Data[[#This Row],[Diskon]]),Data[[#This Row],[Total Harga]])</f>
        <v>1782000</v>
      </c>
      <c r="AA946" s="35">
        <f>(Data[[#This Row],[Profit A]]+Data[[#This Row],[Profit B]]+Data[[#This Row],[Profit C]])</f>
        <v>670000</v>
      </c>
      <c r="AB946" s="35">
        <f>IFERROR((Data[[#This Row],[Profit non Diskon]]-(Data[[#This Row],[Profit non Diskon]]*Data[[#This Row],[Diskon]])),Data[[#This Row],[Profit non Diskon]])</f>
        <v>603000</v>
      </c>
      <c r="AC946" s="23" t="s">
        <v>30</v>
      </c>
      <c r="AD946" s="37">
        <f>IFERROR(INDEX('Kode Diskon'!$D$3:$D$9,MATCH(Data[[#This Row],[Kode diskon]],'Kode Diskon'!$C$3:$C$9,0)),"-")</f>
        <v>0.1</v>
      </c>
      <c r="AE946" s="23" t="s">
        <v>29</v>
      </c>
      <c r="AF946" s="23" t="s">
        <v>10</v>
      </c>
      <c r="AG946" s="23" t="s">
        <v>77</v>
      </c>
      <c r="AH946" s="24">
        <v>45021</v>
      </c>
      <c r="AI946" s="23" t="str">
        <f>TEXT(Data[[#This Row],[Tanggal terjual]],"dddd")</f>
        <v>Wednesday</v>
      </c>
      <c r="AJ946" s="21" t="str">
        <f>TEXT(Data[[#This Row],[Tanggal terjual]],"wwww")</f>
        <v>wwww</v>
      </c>
    </row>
    <row r="947" spans="1:36" x14ac:dyDescent="0.2">
      <c r="A947" s="20">
        <v>946</v>
      </c>
      <c r="B947" s="21" t="str">
        <f>_xlfn.CONCAT("ORD-",INDEX(Helper!$B$2:$B$5,MATCH(Data[[#This Row],[Marketplace]],Helper!$A$2:$A$5,0)),TEXT(Data[[#This Row],[No]],"0000"),"-",TEXT(Data[[#This Row],[Tanggal terjual]],"dd/mm/yy"))</f>
        <v>ORD-SP0946-13/04/23</v>
      </c>
      <c r="C947" t="s">
        <v>60</v>
      </c>
      <c r="D947" t="str">
        <f>IFERROR(INDEX(Katalog!$A$3:$A$12,MATCH(Data[[#This Row],[ItemID A]],Katalog!$C$3:$C$12,0)),"-")</f>
        <v>Pakaian Wanita</v>
      </c>
      <c r="E947" t="str">
        <f>IFERROR(INDEX(Katalog!$B$3:$B$12,MATCH(Data[[#This Row],[ItemID A]],Katalog!$C$3:$C$12,0)),"-")</f>
        <v>Kaftan</v>
      </c>
      <c r="F947">
        <v>2</v>
      </c>
      <c r="G947">
        <v>4</v>
      </c>
      <c r="H947" s="36">
        <f>IFERROR(INDEX(Katalog!$D$3:$D$12,MATCH(Data[[#This Row],[ItemID A]],Katalog!$C$3:$C$12,0))*Data[[#This Row],[Qty A]],"0")</f>
        <v>500000</v>
      </c>
      <c r="I947" s="36">
        <f>IFERROR(INDEX(Katalog!$F$3:$F$12,MATCH(Data[[#This Row],[ItemID A]],Katalog!$C$3:$C$12,0))*Data[[#This Row],[Qty A]],0)</f>
        <v>200000</v>
      </c>
      <c r="K947" t="str">
        <f>IFERROR(INDEX(Katalog!$A$3:$A$12,MATCH(Data[[#This Row],[ItemID B]],Katalog!$C$3:$C$12,0)),"-")</f>
        <v>-</v>
      </c>
      <c r="L947" t="str">
        <f>IFERROR(INDEX(Katalog!$B$3:$B$12,MATCH(Data[[#This Row],[ItemID B]],Katalog!$C$3:$C$12,0)),"-")</f>
        <v>-</v>
      </c>
      <c r="O947" s="36" t="str">
        <f>IFERROR(INDEX(Katalog!$D$3:$D$12,MATCH(Data[[#This Row],[ItemID B]],Katalog!$C$3:$C$12,0))*Data[[#This Row],[Qty B]],"0")</f>
        <v>0</v>
      </c>
      <c r="P947" s="36" t="str">
        <f>IFERROR(INDEX(Katalog!$F$3:$F$12,MATCH(Data[[#This Row],[ItemID B]],Katalog!$C$3:$C$12,0))*Data[[#This Row],[Qty B]],"0")</f>
        <v>0</v>
      </c>
      <c r="R947" t="str">
        <f>IFERROR(INDEX(Katalog!$A$3:$A$12,MATCH(Data[[#This Row],[ItemID C]],Katalog!$C$3:$C$12,0)),"-")</f>
        <v>-</v>
      </c>
      <c r="S947" t="str">
        <f>IFERROR(INDEX(Katalog!$B$3:$B$12,MATCH(Data[[#This Row],[ItemID C]],Katalog!$C$3:$C$12,0)),"-")</f>
        <v>-</v>
      </c>
      <c r="V947" s="36" t="str">
        <f>IFERROR(INDEX(Katalog!$D$3:$D$12,MATCH(Data[[#This Row],[ItemID C]],Katalog!$C$3:$C$12,0))*Data[[#This Row],[Qty C]],"0")</f>
        <v>0</v>
      </c>
      <c r="W947" s="36" t="str">
        <f>IFERROR(INDEX(Katalog!$F$3:$F$12,MATCH(Data[[#This Row],[ItemID C]],Katalog!$C$3:$C$12,0))*Data[[#This Row],[Qty C]],"0")</f>
        <v>0</v>
      </c>
      <c r="X947" s="21">
        <f>Data[[#This Row],[Qty A]]+Data[[#This Row],[Qty B]]+Data[[#This Row],[Qty C]]</f>
        <v>2</v>
      </c>
      <c r="Y947" s="22">
        <f>Data[[#This Row],[Harga Barang A]]+Data[[#This Row],[Harga Barang B]]+Data[[#This Row],[Harga Barang C]]</f>
        <v>500000</v>
      </c>
      <c r="Z947" s="35">
        <f>IFERROR(Data[[#This Row],[Total Harga]]-(Data[[#This Row],[Total Harga]]*Data[[#This Row],[Diskon]]),Data[[#This Row],[Total Harga]])</f>
        <v>500000</v>
      </c>
      <c r="AA947" s="35">
        <f>(Data[[#This Row],[Profit A]]+Data[[#This Row],[Profit B]]+Data[[#This Row],[Profit C]])</f>
        <v>200000</v>
      </c>
      <c r="AB947" s="35">
        <f>IFERROR((Data[[#This Row],[Profit non Diskon]]-(Data[[#This Row],[Profit non Diskon]]*Data[[#This Row],[Diskon]])),Data[[#This Row],[Profit non Diskon]])</f>
        <v>200000</v>
      </c>
      <c r="AC947" s="23" t="s">
        <v>11</v>
      </c>
      <c r="AD947" s="37" t="str">
        <f>IFERROR(INDEX('Kode Diskon'!$D$3:$D$9,MATCH(Data[[#This Row],[Kode diskon]],'Kode Diskon'!$C$3:$C$9,0)),"-")</f>
        <v>-</v>
      </c>
      <c r="AE947" s="23" t="s">
        <v>11</v>
      </c>
      <c r="AF947" s="23" t="s">
        <v>7</v>
      </c>
      <c r="AG947" s="23" t="s">
        <v>80</v>
      </c>
      <c r="AH947" s="24">
        <v>45029</v>
      </c>
      <c r="AI947" s="23" t="str">
        <f>TEXT(Data[[#This Row],[Tanggal terjual]],"dddd")</f>
        <v>Thursday</v>
      </c>
      <c r="AJ947" s="21" t="str">
        <f>TEXT(Data[[#This Row],[Tanggal terjual]],"wwww")</f>
        <v>wwww</v>
      </c>
    </row>
    <row r="948" spans="1:36" x14ac:dyDescent="0.2">
      <c r="A948" s="20">
        <v>947</v>
      </c>
      <c r="B948" s="21" t="str">
        <f>_xlfn.CONCAT("ORD-",INDEX(Helper!$B$2:$B$5,MATCH(Data[[#This Row],[Marketplace]],Helper!$A$2:$A$5,0)),TEXT(Data[[#This Row],[No]],"0000"),"-",TEXT(Data[[#This Row],[Tanggal terjual]],"dd/mm/yy"))</f>
        <v>ORD-TK0947-18/04/23</v>
      </c>
      <c r="C948" t="s">
        <v>63</v>
      </c>
      <c r="D948" t="str">
        <f>IFERROR(INDEX(Katalog!$A$3:$A$12,MATCH(Data[[#This Row],[ItemID A]],Katalog!$C$3:$C$12,0)),"-")</f>
        <v>Pakaian Pria</v>
      </c>
      <c r="E948" t="str">
        <f>IFERROR(INDEX(Katalog!$B$3:$B$12,MATCH(Data[[#This Row],[ItemID A]],Katalog!$C$3:$C$12,0)),"-")</f>
        <v>Jaket Jeans</v>
      </c>
      <c r="F948">
        <v>3</v>
      </c>
      <c r="G948">
        <v>5</v>
      </c>
      <c r="H948" s="36">
        <f>IFERROR(INDEX(Katalog!$D$3:$D$12,MATCH(Data[[#This Row],[ItemID A]],Katalog!$C$3:$C$12,0))*Data[[#This Row],[Qty A]],"0")</f>
        <v>1200000</v>
      </c>
      <c r="I948" s="36">
        <f>IFERROR(INDEX(Katalog!$F$3:$F$12,MATCH(Data[[#This Row],[ItemID A]],Katalog!$C$3:$C$12,0))*Data[[#This Row],[Qty A]],0)</f>
        <v>450000</v>
      </c>
      <c r="J948" t="s">
        <v>62</v>
      </c>
      <c r="K948" t="str">
        <f>IFERROR(INDEX(Katalog!$A$3:$A$12,MATCH(Data[[#This Row],[ItemID B]],Katalog!$C$3:$C$12,0)),"-")</f>
        <v>Pakaian Pria</v>
      </c>
      <c r="L948" t="str">
        <f>IFERROR(INDEX(Katalog!$B$3:$B$12,MATCH(Data[[#This Row],[ItemID B]],Katalog!$C$3:$C$12,0)),"-")</f>
        <v>Celana Pendek</v>
      </c>
      <c r="M948">
        <v>3</v>
      </c>
      <c r="N948">
        <v>3</v>
      </c>
      <c r="O948" s="36">
        <f>IFERROR(INDEX(Katalog!$D$3:$D$12,MATCH(Data[[#This Row],[ItemID B]],Katalog!$C$3:$C$12,0))*Data[[#This Row],[Qty B]],"0")</f>
        <v>540000</v>
      </c>
      <c r="P948" s="36">
        <f>IFERROR(INDEX(Katalog!$F$3:$F$12,MATCH(Data[[#This Row],[ItemID B]],Katalog!$C$3:$C$12,0))*Data[[#This Row],[Qty B]],"0")</f>
        <v>210000</v>
      </c>
      <c r="R948" t="str">
        <f>IFERROR(INDEX(Katalog!$A$3:$A$12,MATCH(Data[[#This Row],[ItemID C]],Katalog!$C$3:$C$12,0)),"-")</f>
        <v>-</v>
      </c>
      <c r="S948" t="str">
        <f>IFERROR(INDEX(Katalog!$B$3:$B$12,MATCH(Data[[#This Row],[ItemID C]],Katalog!$C$3:$C$12,0)),"-")</f>
        <v>-</v>
      </c>
      <c r="V948" s="36" t="str">
        <f>IFERROR(INDEX(Katalog!$D$3:$D$12,MATCH(Data[[#This Row],[ItemID C]],Katalog!$C$3:$C$12,0))*Data[[#This Row],[Qty C]],"0")</f>
        <v>0</v>
      </c>
      <c r="W948" s="36" t="str">
        <f>IFERROR(INDEX(Katalog!$F$3:$F$12,MATCH(Data[[#This Row],[ItemID C]],Katalog!$C$3:$C$12,0))*Data[[#This Row],[Qty C]],"0")</f>
        <v>0</v>
      </c>
      <c r="X948" s="21">
        <f>Data[[#This Row],[Qty A]]+Data[[#This Row],[Qty B]]+Data[[#This Row],[Qty C]]</f>
        <v>6</v>
      </c>
      <c r="Y948" s="22">
        <f>Data[[#This Row],[Harga Barang A]]+Data[[#This Row],[Harga Barang B]]+Data[[#This Row],[Harga Barang C]]</f>
        <v>1740000</v>
      </c>
      <c r="Z948" s="35">
        <f>IFERROR(Data[[#This Row],[Total Harga]]-(Data[[#This Row],[Total Harga]]*Data[[#This Row],[Diskon]]),Data[[#This Row],[Total Harga]])</f>
        <v>1566000</v>
      </c>
      <c r="AA948" s="35">
        <f>(Data[[#This Row],[Profit A]]+Data[[#This Row],[Profit B]]+Data[[#This Row],[Profit C]])</f>
        <v>660000</v>
      </c>
      <c r="AB948" s="35">
        <f>IFERROR((Data[[#This Row],[Profit non Diskon]]-(Data[[#This Row],[Profit non Diskon]]*Data[[#This Row],[Diskon]])),Data[[#This Row],[Profit non Diskon]])</f>
        <v>594000</v>
      </c>
      <c r="AC948" s="23" t="s">
        <v>31</v>
      </c>
      <c r="AD948" s="37">
        <f>IFERROR(INDEX('Kode Diskon'!$D$3:$D$9,MATCH(Data[[#This Row],[Kode diskon]],'Kode Diskon'!$C$3:$C$9,0)),"-")</f>
        <v>0.1</v>
      </c>
      <c r="AE948" s="23" t="s">
        <v>9</v>
      </c>
      <c r="AF948" s="23" t="s">
        <v>10</v>
      </c>
      <c r="AG948" s="23" t="s">
        <v>75</v>
      </c>
      <c r="AH948" s="24">
        <v>45034</v>
      </c>
      <c r="AI948" s="23" t="str">
        <f>TEXT(Data[[#This Row],[Tanggal terjual]],"dddd")</f>
        <v>Tuesday</v>
      </c>
      <c r="AJ948" s="21" t="str">
        <f>TEXT(Data[[#This Row],[Tanggal terjual]],"wwww")</f>
        <v>wwww</v>
      </c>
    </row>
    <row r="949" spans="1:36" x14ac:dyDescent="0.2">
      <c r="A949" s="20">
        <v>948</v>
      </c>
      <c r="B949" s="21" t="str">
        <f>_xlfn.CONCAT("ORD-",INDEX(Helper!$B$2:$B$5,MATCH(Data[[#This Row],[Marketplace]],Helper!$A$2:$A$5,0)),TEXT(Data[[#This Row],[No]],"0000"),"-",TEXT(Data[[#This Row],[Tanggal terjual]],"dd/mm/yy"))</f>
        <v>ORD-TK0948-10/04/23</v>
      </c>
      <c r="C949" t="s">
        <v>64</v>
      </c>
      <c r="D949" t="str">
        <f>IFERROR(INDEX(Katalog!$A$3:$A$12,MATCH(Data[[#This Row],[ItemID A]],Katalog!$C$3:$C$12,0)),"-")</f>
        <v>Pakaian Unisex</v>
      </c>
      <c r="E949" t="str">
        <f>IFERROR(INDEX(Katalog!$B$3:$B$12,MATCH(Data[[#This Row],[ItemID A]],Katalog!$C$3:$C$12,0)),"-")</f>
        <v>Jaket Hoodie</v>
      </c>
      <c r="F949">
        <v>2</v>
      </c>
      <c r="G949">
        <v>5</v>
      </c>
      <c r="H949" s="36">
        <f>IFERROR(INDEX(Katalog!$D$3:$D$12,MATCH(Data[[#This Row],[ItemID A]],Katalog!$C$3:$C$12,0))*Data[[#This Row],[Qty A]],"0")</f>
        <v>700000</v>
      </c>
      <c r="I949" s="36">
        <f>IFERROR(INDEX(Katalog!$F$3:$F$12,MATCH(Data[[#This Row],[ItemID A]],Katalog!$C$3:$C$12,0))*Data[[#This Row],[Qty A]],0)</f>
        <v>260000</v>
      </c>
      <c r="J949" t="s">
        <v>67</v>
      </c>
      <c r="K949" t="str">
        <f>IFERROR(INDEX(Katalog!$A$3:$A$12,MATCH(Data[[#This Row],[ItemID B]],Katalog!$C$3:$C$12,0)),"-")</f>
        <v>Sepatu Wanita</v>
      </c>
      <c r="L949" t="str">
        <f>IFERROR(INDEX(Katalog!$B$3:$B$12,MATCH(Data[[#This Row],[ItemID B]],Katalog!$C$3:$C$12,0)),"-")</f>
        <v>Flat Shoes</v>
      </c>
      <c r="M949">
        <v>1</v>
      </c>
      <c r="N949">
        <v>3</v>
      </c>
      <c r="O949" s="36">
        <f>IFERROR(INDEX(Katalog!$D$3:$D$12,MATCH(Data[[#This Row],[ItemID B]],Katalog!$C$3:$C$12,0))*Data[[#This Row],[Qty B]],"0")</f>
        <v>250000</v>
      </c>
      <c r="P949" s="36">
        <f>IFERROR(INDEX(Katalog!$F$3:$F$12,MATCH(Data[[#This Row],[ItemID B]],Katalog!$C$3:$C$12,0))*Data[[#This Row],[Qty B]],"0")</f>
        <v>100000</v>
      </c>
      <c r="Q949" t="s">
        <v>63</v>
      </c>
      <c r="R949" t="str">
        <f>IFERROR(INDEX(Katalog!$A$3:$A$12,MATCH(Data[[#This Row],[ItemID C]],Katalog!$C$3:$C$12,0)),"-")</f>
        <v>Pakaian Pria</v>
      </c>
      <c r="S949" t="str">
        <f>IFERROR(INDEX(Katalog!$B$3:$B$12,MATCH(Data[[#This Row],[ItemID C]],Katalog!$C$3:$C$12,0)),"-")</f>
        <v>Jaket Jeans</v>
      </c>
      <c r="T949">
        <v>3</v>
      </c>
      <c r="U949">
        <v>2</v>
      </c>
      <c r="V949" s="36">
        <f>IFERROR(INDEX(Katalog!$D$3:$D$12,MATCH(Data[[#This Row],[ItemID C]],Katalog!$C$3:$C$12,0))*Data[[#This Row],[Qty C]],"0")</f>
        <v>1200000</v>
      </c>
      <c r="W949" s="36">
        <f>IFERROR(INDEX(Katalog!$F$3:$F$12,MATCH(Data[[#This Row],[ItemID C]],Katalog!$C$3:$C$12,0))*Data[[#This Row],[Qty C]],"0")</f>
        <v>450000</v>
      </c>
      <c r="X949" s="21">
        <f>Data[[#This Row],[Qty A]]+Data[[#This Row],[Qty B]]+Data[[#This Row],[Qty C]]</f>
        <v>6</v>
      </c>
      <c r="Y949" s="22">
        <f>Data[[#This Row],[Harga Barang A]]+Data[[#This Row],[Harga Barang B]]+Data[[#This Row],[Harga Barang C]]</f>
        <v>2150000</v>
      </c>
      <c r="Z949" s="35">
        <f>IFERROR(Data[[#This Row],[Total Harga]]-(Data[[#This Row],[Total Harga]]*Data[[#This Row],[Diskon]]),Data[[#This Row],[Total Harga]])</f>
        <v>2150000</v>
      </c>
      <c r="AA949" s="35">
        <f>(Data[[#This Row],[Profit A]]+Data[[#This Row],[Profit B]]+Data[[#This Row],[Profit C]])</f>
        <v>810000</v>
      </c>
      <c r="AB949" s="35">
        <f>IFERROR((Data[[#This Row],[Profit non Diskon]]-(Data[[#This Row],[Profit non Diskon]]*Data[[#This Row],[Diskon]])),Data[[#This Row],[Profit non Diskon]])</f>
        <v>810000</v>
      </c>
      <c r="AC949" s="23" t="s">
        <v>11</v>
      </c>
      <c r="AD949" s="37" t="str">
        <f>IFERROR(INDEX('Kode Diskon'!$D$3:$D$9,MATCH(Data[[#This Row],[Kode diskon]],'Kode Diskon'!$C$3:$C$9,0)),"-")</f>
        <v>-</v>
      </c>
      <c r="AE949" s="23" t="s">
        <v>11</v>
      </c>
      <c r="AF949" s="23" t="s">
        <v>10</v>
      </c>
      <c r="AG949" s="23" t="s">
        <v>75</v>
      </c>
      <c r="AH949" s="24">
        <v>45026</v>
      </c>
      <c r="AI949" s="23" t="str">
        <f>TEXT(Data[[#This Row],[Tanggal terjual]],"dddd")</f>
        <v>Monday</v>
      </c>
      <c r="AJ949" s="21" t="str">
        <f>TEXT(Data[[#This Row],[Tanggal terjual]],"wwww")</f>
        <v>wwww</v>
      </c>
    </row>
    <row r="950" spans="1:36" x14ac:dyDescent="0.2">
      <c r="A950" s="20">
        <v>949</v>
      </c>
      <c r="B950" s="21" t="str">
        <f>_xlfn.CONCAT("ORD-",INDEX(Helper!$B$2:$B$5,MATCH(Data[[#This Row],[Marketplace]],Helper!$A$2:$A$5,0)),TEXT(Data[[#This Row],[No]],"0000"),"-",TEXT(Data[[#This Row],[Tanggal terjual]],"dd/mm/yy"))</f>
        <v>ORD-BL0949-19/04/23</v>
      </c>
      <c r="C950" t="s">
        <v>59</v>
      </c>
      <c r="D950" t="str">
        <f>IFERROR(INDEX(Katalog!$A$3:$A$12,MATCH(Data[[#This Row],[ItemID A]],Katalog!$C$3:$C$12,0)),"-")</f>
        <v>Pakaian Wanita</v>
      </c>
      <c r="E950" t="str">
        <f>IFERROR(INDEX(Katalog!$B$3:$B$12,MATCH(Data[[#This Row],[ItemID A]],Katalog!$C$3:$C$12,0)),"-")</f>
        <v>Blouse</v>
      </c>
      <c r="F950">
        <v>3</v>
      </c>
      <c r="G950">
        <v>3</v>
      </c>
      <c r="H950" s="36">
        <f>IFERROR(INDEX(Katalog!$D$3:$D$12,MATCH(Data[[#This Row],[ItemID A]],Katalog!$C$3:$C$12,0))*Data[[#This Row],[Qty A]],"0")</f>
        <v>450000</v>
      </c>
      <c r="I950" s="36">
        <f>IFERROR(INDEX(Katalog!$F$3:$F$12,MATCH(Data[[#This Row],[ItemID A]],Katalog!$C$3:$C$12,0))*Data[[#This Row],[Qty A]],0)</f>
        <v>150000</v>
      </c>
      <c r="J950" t="s">
        <v>58</v>
      </c>
      <c r="K950" t="str">
        <f>IFERROR(INDEX(Katalog!$A$3:$A$12,MATCH(Data[[#This Row],[ItemID B]],Katalog!$C$3:$C$12,0)),"-")</f>
        <v>Pakaian Wanita</v>
      </c>
      <c r="L950" t="str">
        <f>IFERROR(INDEX(Katalog!$B$3:$B$12,MATCH(Data[[#This Row],[ItemID B]],Katalog!$C$3:$C$12,0)),"-")</f>
        <v>Dress</v>
      </c>
      <c r="M950">
        <v>2</v>
      </c>
      <c r="N950">
        <v>3</v>
      </c>
      <c r="O950" s="36">
        <f>IFERROR(INDEX(Katalog!$D$3:$D$12,MATCH(Data[[#This Row],[ItemID B]],Katalog!$C$3:$C$12,0))*Data[[#This Row],[Qty B]],"0")</f>
        <v>600000</v>
      </c>
      <c r="P950" s="36">
        <f>IFERROR(INDEX(Katalog!$F$3:$F$12,MATCH(Data[[#This Row],[ItemID B]],Katalog!$C$3:$C$12,0))*Data[[#This Row],[Qty B]],"0")</f>
        <v>200000</v>
      </c>
      <c r="Q950" t="s">
        <v>61</v>
      </c>
      <c r="R950" t="str">
        <f>IFERROR(INDEX(Katalog!$A$3:$A$12,MATCH(Data[[#This Row],[ItemID C]],Katalog!$C$3:$C$12,0)),"-")</f>
        <v>Pakaian Pria</v>
      </c>
      <c r="S950" t="str">
        <f>IFERROR(INDEX(Katalog!$B$3:$B$12,MATCH(Data[[#This Row],[ItemID C]],Katalog!$C$3:$C$12,0)),"-")</f>
        <v>Kaos Polo</v>
      </c>
      <c r="T950">
        <v>1</v>
      </c>
      <c r="U950">
        <v>3</v>
      </c>
      <c r="V950" s="36">
        <f>IFERROR(INDEX(Katalog!$D$3:$D$12,MATCH(Data[[#This Row],[ItemID C]],Katalog!$C$3:$C$12,0))*Data[[#This Row],[Qty C]],"0")</f>
        <v>200000</v>
      </c>
      <c r="W950" s="36">
        <f>IFERROR(INDEX(Katalog!$F$3:$F$12,MATCH(Data[[#This Row],[ItemID C]],Katalog!$C$3:$C$12,0))*Data[[#This Row],[Qty C]],"0")</f>
        <v>80000</v>
      </c>
      <c r="X950" s="21">
        <f>Data[[#This Row],[Qty A]]+Data[[#This Row],[Qty B]]+Data[[#This Row],[Qty C]]</f>
        <v>6</v>
      </c>
      <c r="Y950" s="22">
        <f>Data[[#This Row],[Harga Barang A]]+Data[[#This Row],[Harga Barang B]]+Data[[#This Row],[Harga Barang C]]</f>
        <v>1250000</v>
      </c>
      <c r="Z950" s="35">
        <f>IFERROR(Data[[#This Row],[Total Harga]]-(Data[[#This Row],[Total Harga]]*Data[[#This Row],[Diskon]]),Data[[#This Row],[Total Harga]])</f>
        <v>1062500</v>
      </c>
      <c r="AA950" s="35">
        <f>(Data[[#This Row],[Profit A]]+Data[[#This Row],[Profit B]]+Data[[#This Row],[Profit C]])</f>
        <v>430000</v>
      </c>
      <c r="AB950" s="35">
        <f>IFERROR((Data[[#This Row],[Profit non Diskon]]-(Data[[#This Row],[Profit non Diskon]]*Data[[#This Row],[Diskon]])),Data[[#This Row],[Profit non Diskon]])</f>
        <v>365500</v>
      </c>
      <c r="AC950" s="23" t="s">
        <v>32</v>
      </c>
      <c r="AD950" s="37">
        <f>IFERROR(INDEX('Kode Diskon'!$D$3:$D$9,MATCH(Data[[#This Row],[Kode diskon]],'Kode Diskon'!$C$3:$C$9,0)),"-")</f>
        <v>0.15</v>
      </c>
      <c r="AE950" s="23" t="s">
        <v>9</v>
      </c>
      <c r="AF950" s="23" t="s">
        <v>12</v>
      </c>
      <c r="AG950" s="23" t="s">
        <v>80</v>
      </c>
      <c r="AH950" s="24">
        <v>45035</v>
      </c>
      <c r="AI950" s="23" t="str">
        <f>TEXT(Data[[#This Row],[Tanggal terjual]],"dddd")</f>
        <v>Wednesday</v>
      </c>
      <c r="AJ950" s="21" t="str">
        <f>TEXT(Data[[#This Row],[Tanggal terjual]],"wwww")</f>
        <v>wwww</v>
      </c>
    </row>
    <row r="951" spans="1:36" x14ac:dyDescent="0.2">
      <c r="A951" s="20">
        <v>950</v>
      </c>
      <c r="B951" s="21" t="str">
        <f>_xlfn.CONCAT("ORD-",INDEX(Helper!$B$2:$B$5,MATCH(Data[[#This Row],[Marketplace]],Helper!$A$2:$A$5,0)),TEXT(Data[[#This Row],[No]],"0000"),"-",TEXT(Data[[#This Row],[Tanggal terjual]],"dd/mm/yy"))</f>
        <v>ORD-TK0950-21/04/23</v>
      </c>
      <c r="C951" t="s">
        <v>58</v>
      </c>
      <c r="D951" t="str">
        <f>IFERROR(INDEX(Katalog!$A$3:$A$12,MATCH(Data[[#This Row],[ItemID A]],Katalog!$C$3:$C$12,0)),"-")</f>
        <v>Pakaian Wanita</v>
      </c>
      <c r="E951" t="str">
        <f>IFERROR(INDEX(Katalog!$B$3:$B$12,MATCH(Data[[#This Row],[ItemID A]],Katalog!$C$3:$C$12,0)),"-")</f>
        <v>Dress</v>
      </c>
      <c r="F951">
        <v>2</v>
      </c>
      <c r="G951">
        <v>3</v>
      </c>
      <c r="H951" s="36">
        <f>IFERROR(INDEX(Katalog!$D$3:$D$12,MATCH(Data[[#This Row],[ItemID A]],Katalog!$C$3:$C$12,0))*Data[[#This Row],[Qty A]],"0")</f>
        <v>600000</v>
      </c>
      <c r="I951" s="36">
        <f>IFERROR(INDEX(Katalog!$F$3:$F$12,MATCH(Data[[#This Row],[ItemID A]],Katalog!$C$3:$C$12,0))*Data[[#This Row],[Qty A]],0)</f>
        <v>200000</v>
      </c>
      <c r="K951" t="str">
        <f>IFERROR(INDEX(Katalog!$A$3:$A$12,MATCH(Data[[#This Row],[ItemID B]],Katalog!$C$3:$C$12,0)),"-")</f>
        <v>-</v>
      </c>
      <c r="L951" t="str">
        <f>IFERROR(INDEX(Katalog!$B$3:$B$12,MATCH(Data[[#This Row],[ItemID B]],Katalog!$C$3:$C$12,0)),"-")</f>
        <v>-</v>
      </c>
      <c r="O951" s="36" t="str">
        <f>IFERROR(INDEX(Katalog!$D$3:$D$12,MATCH(Data[[#This Row],[ItemID B]],Katalog!$C$3:$C$12,0))*Data[[#This Row],[Qty B]],"0")</f>
        <v>0</v>
      </c>
      <c r="P951" s="36" t="str">
        <f>IFERROR(INDEX(Katalog!$F$3:$F$12,MATCH(Data[[#This Row],[ItemID B]],Katalog!$C$3:$C$12,0))*Data[[#This Row],[Qty B]],"0")</f>
        <v>0</v>
      </c>
      <c r="R951" t="str">
        <f>IFERROR(INDEX(Katalog!$A$3:$A$12,MATCH(Data[[#This Row],[ItemID C]],Katalog!$C$3:$C$12,0)),"-")</f>
        <v>-</v>
      </c>
      <c r="S951" t="str">
        <f>IFERROR(INDEX(Katalog!$B$3:$B$12,MATCH(Data[[#This Row],[ItemID C]],Katalog!$C$3:$C$12,0)),"-")</f>
        <v>-</v>
      </c>
      <c r="V951" s="36" t="str">
        <f>IFERROR(INDEX(Katalog!$D$3:$D$12,MATCH(Data[[#This Row],[ItemID C]],Katalog!$C$3:$C$12,0))*Data[[#This Row],[Qty C]],"0")</f>
        <v>0</v>
      </c>
      <c r="W951" s="36" t="str">
        <f>IFERROR(INDEX(Katalog!$F$3:$F$12,MATCH(Data[[#This Row],[ItemID C]],Katalog!$C$3:$C$12,0))*Data[[#This Row],[Qty C]],"0")</f>
        <v>0</v>
      </c>
      <c r="X951" s="21">
        <f>Data[[#This Row],[Qty A]]+Data[[#This Row],[Qty B]]+Data[[#This Row],[Qty C]]</f>
        <v>2</v>
      </c>
      <c r="Y951" s="22">
        <f>Data[[#This Row],[Harga Barang A]]+Data[[#This Row],[Harga Barang B]]+Data[[#This Row],[Harga Barang C]]</f>
        <v>600000</v>
      </c>
      <c r="Z951" s="35">
        <f>IFERROR(Data[[#This Row],[Total Harga]]-(Data[[#This Row],[Total Harga]]*Data[[#This Row],[Diskon]]),Data[[#This Row],[Total Harga]])</f>
        <v>540000</v>
      </c>
      <c r="AA951" s="35">
        <f>(Data[[#This Row],[Profit A]]+Data[[#This Row],[Profit B]]+Data[[#This Row],[Profit C]])</f>
        <v>200000</v>
      </c>
      <c r="AB951" s="35">
        <f>IFERROR((Data[[#This Row],[Profit non Diskon]]-(Data[[#This Row],[Profit non Diskon]]*Data[[#This Row],[Diskon]])),Data[[#This Row],[Profit non Diskon]])</f>
        <v>180000</v>
      </c>
      <c r="AC951" s="23" t="s">
        <v>31</v>
      </c>
      <c r="AD951" s="37">
        <f>IFERROR(INDEX('Kode Diskon'!$D$3:$D$9,MATCH(Data[[#This Row],[Kode diskon]],'Kode Diskon'!$C$3:$C$9,0)),"-")</f>
        <v>0.1</v>
      </c>
      <c r="AE951" s="23" t="s">
        <v>9</v>
      </c>
      <c r="AF951" s="23" t="s">
        <v>10</v>
      </c>
      <c r="AG951" s="23" t="s">
        <v>76</v>
      </c>
      <c r="AH951" s="24">
        <v>45037</v>
      </c>
      <c r="AI951" s="23" t="str">
        <f>TEXT(Data[[#This Row],[Tanggal terjual]],"dddd")</f>
        <v>Friday</v>
      </c>
      <c r="AJ951" s="21" t="str">
        <f>TEXT(Data[[#This Row],[Tanggal terjual]],"wwww")</f>
        <v>wwww</v>
      </c>
    </row>
    <row r="952" spans="1:36" x14ac:dyDescent="0.2">
      <c r="A952" s="20">
        <v>951</v>
      </c>
      <c r="B952" s="21" t="str">
        <f>_xlfn.CONCAT("ORD-",INDEX(Helper!$B$2:$B$5,MATCH(Data[[#This Row],[Marketplace]],Helper!$A$2:$A$5,0)),TEXT(Data[[#This Row],[No]],"0000"),"-",TEXT(Data[[#This Row],[Tanggal terjual]],"dd/mm/yy"))</f>
        <v>ORD-TK0951-28/04/23</v>
      </c>
      <c r="C952" t="s">
        <v>63</v>
      </c>
      <c r="D952" t="str">
        <f>IFERROR(INDEX(Katalog!$A$3:$A$12,MATCH(Data[[#This Row],[ItemID A]],Katalog!$C$3:$C$12,0)),"-")</f>
        <v>Pakaian Pria</v>
      </c>
      <c r="E952" t="str">
        <f>IFERROR(INDEX(Katalog!$B$3:$B$12,MATCH(Data[[#This Row],[ItemID A]],Katalog!$C$3:$C$12,0)),"-")</f>
        <v>Jaket Jeans</v>
      </c>
      <c r="F952">
        <v>2</v>
      </c>
      <c r="G952">
        <v>2</v>
      </c>
      <c r="H952" s="36">
        <f>IFERROR(INDEX(Katalog!$D$3:$D$12,MATCH(Data[[#This Row],[ItemID A]],Katalog!$C$3:$C$12,0))*Data[[#This Row],[Qty A]],"0")</f>
        <v>800000</v>
      </c>
      <c r="I952" s="36">
        <f>IFERROR(INDEX(Katalog!$F$3:$F$12,MATCH(Data[[#This Row],[ItemID A]],Katalog!$C$3:$C$12,0))*Data[[#This Row],[Qty A]],0)</f>
        <v>300000</v>
      </c>
      <c r="J952" t="s">
        <v>60</v>
      </c>
      <c r="K952" t="str">
        <f>IFERROR(INDEX(Katalog!$A$3:$A$12,MATCH(Data[[#This Row],[ItemID B]],Katalog!$C$3:$C$12,0)),"-")</f>
        <v>Pakaian Wanita</v>
      </c>
      <c r="L952" t="str">
        <f>IFERROR(INDEX(Katalog!$B$3:$B$12,MATCH(Data[[#This Row],[ItemID B]],Katalog!$C$3:$C$12,0)),"-")</f>
        <v>Kaftan</v>
      </c>
      <c r="M952">
        <v>1</v>
      </c>
      <c r="N952">
        <v>4</v>
      </c>
      <c r="O952" s="36">
        <f>IFERROR(INDEX(Katalog!$D$3:$D$12,MATCH(Data[[#This Row],[ItemID B]],Katalog!$C$3:$C$12,0))*Data[[#This Row],[Qty B]],"0")</f>
        <v>250000</v>
      </c>
      <c r="P952" s="36">
        <f>IFERROR(INDEX(Katalog!$F$3:$F$12,MATCH(Data[[#This Row],[ItemID B]],Katalog!$C$3:$C$12,0))*Data[[#This Row],[Qty B]],"0")</f>
        <v>100000</v>
      </c>
      <c r="Q952" t="s">
        <v>67</v>
      </c>
      <c r="R952" t="str">
        <f>IFERROR(INDEX(Katalog!$A$3:$A$12,MATCH(Data[[#This Row],[ItemID C]],Katalog!$C$3:$C$12,0)),"-")</f>
        <v>Sepatu Wanita</v>
      </c>
      <c r="S952" t="str">
        <f>IFERROR(INDEX(Katalog!$B$3:$B$12,MATCH(Data[[#This Row],[ItemID C]],Katalog!$C$3:$C$12,0)),"-")</f>
        <v>Flat Shoes</v>
      </c>
      <c r="T952">
        <v>3</v>
      </c>
      <c r="U952">
        <v>5</v>
      </c>
      <c r="V952" s="36">
        <f>IFERROR(INDEX(Katalog!$D$3:$D$12,MATCH(Data[[#This Row],[ItemID C]],Katalog!$C$3:$C$12,0))*Data[[#This Row],[Qty C]],"0")</f>
        <v>750000</v>
      </c>
      <c r="W952" s="36">
        <f>IFERROR(INDEX(Katalog!$F$3:$F$12,MATCH(Data[[#This Row],[ItemID C]],Katalog!$C$3:$C$12,0))*Data[[#This Row],[Qty C]],"0")</f>
        <v>300000</v>
      </c>
      <c r="X952" s="21">
        <f>Data[[#This Row],[Qty A]]+Data[[#This Row],[Qty B]]+Data[[#This Row],[Qty C]]</f>
        <v>6</v>
      </c>
      <c r="Y952" s="22">
        <f>Data[[#This Row],[Harga Barang A]]+Data[[#This Row],[Harga Barang B]]+Data[[#This Row],[Harga Barang C]]</f>
        <v>1800000</v>
      </c>
      <c r="Z952" s="35">
        <f>IFERROR(Data[[#This Row],[Total Harga]]-(Data[[#This Row],[Total Harga]]*Data[[#This Row],[Diskon]]),Data[[#This Row],[Total Harga]])</f>
        <v>1620000</v>
      </c>
      <c r="AA952" s="35">
        <f>(Data[[#This Row],[Profit A]]+Data[[#This Row],[Profit B]]+Data[[#This Row],[Profit C]])</f>
        <v>700000</v>
      </c>
      <c r="AB952" s="35">
        <f>IFERROR((Data[[#This Row],[Profit non Diskon]]-(Data[[#This Row],[Profit non Diskon]]*Data[[#This Row],[Diskon]])),Data[[#This Row],[Profit non Diskon]])</f>
        <v>630000</v>
      </c>
      <c r="AC952" s="23" t="s">
        <v>31</v>
      </c>
      <c r="AD952" s="37">
        <f>IFERROR(INDEX('Kode Diskon'!$D$3:$D$9,MATCH(Data[[#This Row],[Kode diskon]],'Kode Diskon'!$C$3:$C$9,0)),"-")</f>
        <v>0.1</v>
      </c>
      <c r="AE952" s="23" t="s">
        <v>9</v>
      </c>
      <c r="AF952" s="23" t="s">
        <v>10</v>
      </c>
      <c r="AG952" s="23" t="s">
        <v>79</v>
      </c>
      <c r="AH952" s="24">
        <v>45044</v>
      </c>
      <c r="AI952" s="23" t="str">
        <f>TEXT(Data[[#This Row],[Tanggal terjual]],"dddd")</f>
        <v>Friday</v>
      </c>
      <c r="AJ952" s="21" t="str">
        <f>TEXT(Data[[#This Row],[Tanggal terjual]],"wwww")</f>
        <v>wwww</v>
      </c>
    </row>
    <row r="953" spans="1:36" x14ac:dyDescent="0.2">
      <c r="A953" s="20">
        <v>952</v>
      </c>
      <c r="B953" s="21" t="str">
        <f>_xlfn.CONCAT("ORD-",INDEX(Helper!$B$2:$B$5,MATCH(Data[[#This Row],[Marketplace]],Helper!$A$2:$A$5,0)),TEXT(Data[[#This Row],[No]],"0000"),"-",TEXT(Data[[#This Row],[Tanggal terjual]],"dd/mm/yy"))</f>
        <v>ORD-SP0952-01/04/23</v>
      </c>
      <c r="C953" t="s">
        <v>67</v>
      </c>
      <c r="D953" t="str">
        <f>IFERROR(INDEX(Katalog!$A$3:$A$12,MATCH(Data[[#This Row],[ItemID A]],Katalog!$C$3:$C$12,0)),"-")</f>
        <v>Sepatu Wanita</v>
      </c>
      <c r="E953" t="str">
        <f>IFERROR(INDEX(Katalog!$B$3:$B$12,MATCH(Data[[#This Row],[ItemID A]],Katalog!$C$3:$C$12,0)),"-")</f>
        <v>Flat Shoes</v>
      </c>
      <c r="F953">
        <v>6</v>
      </c>
      <c r="G953">
        <v>4</v>
      </c>
      <c r="H953" s="36">
        <f>IFERROR(INDEX(Katalog!$D$3:$D$12,MATCH(Data[[#This Row],[ItemID A]],Katalog!$C$3:$C$12,0))*Data[[#This Row],[Qty A]],"0")</f>
        <v>1500000</v>
      </c>
      <c r="I953" s="36">
        <f>IFERROR(INDEX(Katalog!$F$3:$F$12,MATCH(Data[[#This Row],[ItemID A]],Katalog!$C$3:$C$12,0))*Data[[#This Row],[Qty A]],0)</f>
        <v>600000</v>
      </c>
      <c r="K953" t="str">
        <f>IFERROR(INDEX(Katalog!$A$3:$A$12,MATCH(Data[[#This Row],[ItemID B]],Katalog!$C$3:$C$12,0)),"-")</f>
        <v>-</v>
      </c>
      <c r="L953" t="str">
        <f>IFERROR(INDEX(Katalog!$B$3:$B$12,MATCH(Data[[#This Row],[ItemID B]],Katalog!$C$3:$C$12,0)),"-")</f>
        <v>-</v>
      </c>
      <c r="O953" s="36" t="str">
        <f>IFERROR(INDEX(Katalog!$D$3:$D$12,MATCH(Data[[#This Row],[ItemID B]],Katalog!$C$3:$C$12,0))*Data[[#This Row],[Qty B]],"0")</f>
        <v>0</v>
      </c>
      <c r="P953" s="36" t="str">
        <f>IFERROR(INDEX(Katalog!$F$3:$F$12,MATCH(Data[[#This Row],[ItemID B]],Katalog!$C$3:$C$12,0))*Data[[#This Row],[Qty B]],"0")</f>
        <v>0</v>
      </c>
      <c r="R953" t="str">
        <f>IFERROR(INDEX(Katalog!$A$3:$A$12,MATCH(Data[[#This Row],[ItemID C]],Katalog!$C$3:$C$12,0)),"-")</f>
        <v>-</v>
      </c>
      <c r="S953" t="str">
        <f>IFERROR(INDEX(Katalog!$B$3:$B$12,MATCH(Data[[#This Row],[ItemID C]],Katalog!$C$3:$C$12,0)),"-")</f>
        <v>-</v>
      </c>
      <c r="V953" s="36" t="str">
        <f>IFERROR(INDEX(Katalog!$D$3:$D$12,MATCH(Data[[#This Row],[ItemID C]],Katalog!$C$3:$C$12,0))*Data[[#This Row],[Qty C]],"0")</f>
        <v>0</v>
      </c>
      <c r="W953" s="36" t="str">
        <f>IFERROR(INDEX(Katalog!$F$3:$F$12,MATCH(Data[[#This Row],[ItemID C]],Katalog!$C$3:$C$12,0))*Data[[#This Row],[Qty C]],"0")</f>
        <v>0</v>
      </c>
      <c r="X953" s="21">
        <f>Data[[#This Row],[Qty A]]+Data[[#This Row],[Qty B]]+Data[[#This Row],[Qty C]]</f>
        <v>6</v>
      </c>
      <c r="Y953" s="22">
        <f>Data[[#This Row],[Harga Barang A]]+Data[[#This Row],[Harga Barang B]]+Data[[#This Row],[Harga Barang C]]</f>
        <v>1500000</v>
      </c>
      <c r="Z953" s="35">
        <f>IFERROR(Data[[#This Row],[Total Harga]]-(Data[[#This Row],[Total Harga]]*Data[[#This Row],[Diskon]]),Data[[#This Row],[Total Harga]])</f>
        <v>1350000</v>
      </c>
      <c r="AA953" s="35">
        <f>(Data[[#This Row],[Profit A]]+Data[[#This Row],[Profit B]]+Data[[#This Row],[Profit C]])</f>
        <v>600000</v>
      </c>
      <c r="AB953" s="35">
        <f>IFERROR((Data[[#This Row],[Profit non Diskon]]-(Data[[#This Row],[Profit non Diskon]]*Data[[#This Row],[Diskon]])),Data[[#This Row],[Profit non Diskon]])</f>
        <v>540000</v>
      </c>
      <c r="AC953" s="23" t="s">
        <v>6</v>
      </c>
      <c r="AD953" s="37">
        <f>IFERROR(INDEX('Kode Diskon'!$D$3:$D$9,MATCH(Data[[#This Row],[Kode diskon]],'Kode Diskon'!$C$3:$C$9,0)),"-")</f>
        <v>0.1</v>
      </c>
      <c r="AE953" s="23" t="s">
        <v>29</v>
      </c>
      <c r="AF953" s="23" t="s">
        <v>7</v>
      </c>
      <c r="AG953" s="23" t="s">
        <v>79</v>
      </c>
      <c r="AH953" s="24">
        <v>45017</v>
      </c>
      <c r="AI953" s="23" t="str">
        <f>TEXT(Data[[#This Row],[Tanggal terjual]],"dddd")</f>
        <v>Saturday</v>
      </c>
      <c r="AJ953" s="21" t="str">
        <f>TEXT(Data[[#This Row],[Tanggal terjual]],"wwww")</f>
        <v>wwww</v>
      </c>
    </row>
    <row r="954" spans="1:36" x14ac:dyDescent="0.2">
      <c r="A954" s="20">
        <v>953</v>
      </c>
      <c r="B954" s="21" t="str">
        <f>_xlfn.CONCAT("ORD-",INDEX(Helper!$B$2:$B$5,MATCH(Data[[#This Row],[Marketplace]],Helper!$A$2:$A$5,0)),TEXT(Data[[#This Row],[No]],"0000"),"-",TEXT(Data[[#This Row],[Tanggal terjual]],"dd/mm/yy"))</f>
        <v>ORD-SP0953-03/04/23</v>
      </c>
      <c r="C954" t="s">
        <v>65</v>
      </c>
      <c r="D954" t="str">
        <f>IFERROR(INDEX(Katalog!$A$3:$A$12,MATCH(Data[[#This Row],[ItemID A]],Katalog!$C$3:$C$12,0)),"-")</f>
        <v>Sepatu Pria</v>
      </c>
      <c r="E954" t="str">
        <f>IFERROR(INDEX(Katalog!$B$3:$B$12,MATCH(Data[[#This Row],[ItemID A]],Katalog!$C$3:$C$12,0)),"-")</f>
        <v>Sneakers</v>
      </c>
      <c r="F954">
        <v>5</v>
      </c>
      <c r="G954">
        <v>5</v>
      </c>
      <c r="H954" s="36">
        <f>IFERROR(INDEX(Katalog!$D$3:$D$12,MATCH(Data[[#This Row],[ItemID A]],Katalog!$C$3:$C$12,0))*Data[[#This Row],[Qty A]],"0")</f>
        <v>2500000</v>
      </c>
      <c r="I954" s="36">
        <f>IFERROR(INDEX(Katalog!$F$3:$F$12,MATCH(Data[[#This Row],[ItemID A]],Katalog!$C$3:$C$12,0))*Data[[#This Row],[Qty A]],0)</f>
        <v>1000000</v>
      </c>
      <c r="J954" t="s">
        <v>63</v>
      </c>
      <c r="K954" t="str">
        <f>IFERROR(INDEX(Katalog!$A$3:$A$12,MATCH(Data[[#This Row],[ItemID B]],Katalog!$C$3:$C$12,0)),"-")</f>
        <v>Pakaian Pria</v>
      </c>
      <c r="L954" t="str">
        <f>IFERROR(INDEX(Katalog!$B$3:$B$12,MATCH(Data[[#This Row],[ItemID B]],Katalog!$C$3:$C$12,0)),"-")</f>
        <v>Jaket Jeans</v>
      </c>
      <c r="M954">
        <v>1</v>
      </c>
      <c r="N954">
        <v>5</v>
      </c>
      <c r="O954" s="36">
        <f>IFERROR(INDEX(Katalog!$D$3:$D$12,MATCH(Data[[#This Row],[ItemID B]],Katalog!$C$3:$C$12,0))*Data[[#This Row],[Qty B]],"0")</f>
        <v>400000</v>
      </c>
      <c r="P954" s="36">
        <f>IFERROR(INDEX(Katalog!$F$3:$F$12,MATCH(Data[[#This Row],[ItemID B]],Katalog!$C$3:$C$12,0))*Data[[#This Row],[Qty B]],"0")</f>
        <v>150000</v>
      </c>
      <c r="R954" t="str">
        <f>IFERROR(INDEX(Katalog!$A$3:$A$12,MATCH(Data[[#This Row],[ItemID C]],Katalog!$C$3:$C$12,0)),"-")</f>
        <v>-</v>
      </c>
      <c r="S954" t="str">
        <f>IFERROR(INDEX(Katalog!$B$3:$B$12,MATCH(Data[[#This Row],[ItemID C]],Katalog!$C$3:$C$12,0)),"-")</f>
        <v>-</v>
      </c>
      <c r="V954" s="36" t="str">
        <f>IFERROR(INDEX(Katalog!$D$3:$D$12,MATCH(Data[[#This Row],[ItemID C]],Katalog!$C$3:$C$12,0))*Data[[#This Row],[Qty C]],"0")</f>
        <v>0</v>
      </c>
      <c r="W954" s="36" t="str">
        <f>IFERROR(INDEX(Katalog!$F$3:$F$12,MATCH(Data[[#This Row],[ItemID C]],Katalog!$C$3:$C$12,0))*Data[[#This Row],[Qty C]],"0")</f>
        <v>0</v>
      </c>
      <c r="X954" s="21">
        <f>Data[[#This Row],[Qty A]]+Data[[#This Row],[Qty B]]+Data[[#This Row],[Qty C]]</f>
        <v>6</v>
      </c>
      <c r="Y954" s="22">
        <f>Data[[#This Row],[Harga Barang A]]+Data[[#This Row],[Harga Barang B]]+Data[[#This Row],[Harga Barang C]]</f>
        <v>2900000</v>
      </c>
      <c r="Z954" s="35">
        <f>IFERROR(Data[[#This Row],[Total Harga]]-(Data[[#This Row],[Total Harga]]*Data[[#This Row],[Diskon]]),Data[[#This Row],[Total Harga]])</f>
        <v>2465000</v>
      </c>
      <c r="AA954" s="35">
        <f>(Data[[#This Row],[Profit A]]+Data[[#This Row],[Profit B]]+Data[[#This Row],[Profit C]])</f>
        <v>1150000</v>
      </c>
      <c r="AB954" s="35">
        <f>IFERROR((Data[[#This Row],[Profit non Diskon]]-(Data[[#This Row],[Profit non Diskon]]*Data[[#This Row],[Diskon]])),Data[[#This Row],[Profit non Diskon]])</f>
        <v>977500</v>
      </c>
      <c r="AC954" s="23" t="s">
        <v>13</v>
      </c>
      <c r="AD954" s="37">
        <f>IFERROR(INDEX('Kode Diskon'!$D$3:$D$9,MATCH(Data[[#This Row],[Kode diskon]],'Kode Diskon'!$C$3:$C$9,0)),"-")</f>
        <v>0.15</v>
      </c>
      <c r="AE954" s="23" t="s">
        <v>29</v>
      </c>
      <c r="AF954" s="23" t="s">
        <v>7</v>
      </c>
      <c r="AG954" s="23" t="s">
        <v>80</v>
      </c>
      <c r="AH954" s="24">
        <v>45019</v>
      </c>
      <c r="AI954" s="23" t="str">
        <f>TEXT(Data[[#This Row],[Tanggal terjual]],"dddd")</f>
        <v>Monday</v>
      </c>
      <c r="AJ954" s="21" t="str">
        <f>TEXT(Data[[#This Row],[Tanggal terjual]],"wwww")</f>
        <v>wwww</v>
      </c>
    </row>
    <row r="955" spans="1:36" x14ac:dyDescent="0.2">
      <c r="A955" s="20">
        <v>954</v>
      </c>
      <c r="B955" s="21" t="str">
        <f>_xlfn.CONCAT("ORD-",INDEX(Helper!$B$2:$B$5,MATCH(Data[[#This Row],[Marketplace]],Helper!$A$2:$A$5,0)),TEXT(Data[[#This Row],[No]],"0000"),"-",TEXT(Data[[#This Row],[Tanggal terjual]],"dd/mm/yy"))</f>
        <v>ORD-TK0954-20/04/23</v>
      </c>
      <c r="C955" t="s">
        <v>63</v>
      </c>
      <c r="D955" t="str">
        <f>IFERROR(INDEX(Katalog!$A$3:$A$12,MATCH(Data[[#This Row],[ItemID A]],Katalog!$C$3:$C$12,0)),"-")</f>
        <v>Pakaian Pria</v>
      </c>
      <c r="E955" t="str">
        <f>IFERROR(INDEX(Katalog!$B$3:$B$12,MATCH(Data[[#This Row],[ItemID A]],Katalog!$C$3:$C$12,0)),"-")</f>
        <v>Jaket Jeans</v>
      </c>
      <c r="F955">
        <v>2</v>
      </c>
      <c r="G955">
        <v>3</v>
      </c>
      <c r="H955" s="36">
        <f>IFERROR(INDEX(Katalog!$D$3:$D$12,MATCH(Data[[#This Row],[ItemID A]],Katalog!$C$3:$C$12,0))*Data[[#This Row],[Qty A]],"0")</f>
        <v>800000</v>
      </c>
      <c r="I955" s="36">
        <f>IFERROR(INDEX(Katalog!$F$3:$F$12,MATCH(Data[[#This Row],[ItemID A]],Katalog!$C$3:$C$12,0))*Data[[#This Row],[Qty A]],0)</f>
        <v>300000</v>
      </c>
      <c r="J955" t="s">
        <v>64</v>
      </c>
      <c r="K955" t="str">
        <f>IFERROR(INDEX(Katalog!$A$3:$A$12,MATCH(Data[[#This Row],[ItemID B]],Katalog!$C$3:$C$12,0)),"-")</f>
        <v>Pakaian Unisex</v>
      </c>
      <c r="L955" t="str">
        <f>IFERROR(INDEX(Katalog!$B$3:$B$12,MATCH(Data[[#This Row],[ItemID B]],Katalog!$C$3:$C$12,0)),"-")</f>
        <v>Jaket Hoodie</v>
      </c>
      <c r="M955">
        <v>1</v>
      </c>
      <c r="N955">
        <v>1</v>
      </c>
      <c r="O955" s="36">
        <f>IFERROR(INDEX(Katalog!$D$3:$D$12,MATCH(Data[[#This Row],[ItemID B]],Katalog!$C$3:$C$12,0))*Data[[#This Row],[Qty B]],"0")</f>
        <v>350000</v>
      </c>
      <c r="P955" s="36">
        <f>IFERROR(INDEX(Katalog!$F$3:$F$12,MATCH(Data[[#This Row],[ItemID B]],Katalog!$C$3:$C$12,0))*Data[[#This Row],[Qty B]],"0")</f>
        <v>130000</v>
      </c>
      <c r="R955" t="str">
        <f>IFERROR(INDEX(Katalog!$A$3:$A$12,MATCH(Data[[#This Row],[ItemID C]],Katalog!$C$3:$C$12,0)),"-")</f>
        <v>-</v>
      </c>
      <c r="S955" t="str">
        <f>IFERROR(INDEX(Katalog!$B$3:$B$12,MATCH(Data[[#This Row],[ItemID C]],Katalog!$C$3:$C$12,0)),"-")</f>
        <v>-</v>
      </c>
      <c r="V955" s="36" t="str">
        <f>IFERROR(INDEX(Katalog!$D$3:$D$12,MATCH(Data[[#This Row],[ItemID C]],Katalog!$C$3:$C$12,0))*Data[[#This Row],[Qty C]],"0")</f>
        <v>0</v>
      </c>
      <c r="W955" s="36" t="str">
        <f>IFERROR(INDEX(Katalog!$F$3:$F$12,MATCH(Data[[#This Row],[ItemID C]],Katalog!$C$3:$C$12,0))*Data[[#This Row],[Qty C]],"0")</f>
        <v>0</v>
      </c>
      <c r="X955" s="21">
        <f>Data[[#This Row],[Qty A]]+Data[[#This Row],[Qty B]]+Data[[#This Row],[Qty C]]</f>
        <v>3</v>
      </c>
      <c r="Y955" s="22">
        <f>Data[[#This Row],[Harga Barang A]]+Data[[#This Row],[Harga Barang B]]+Data[[#This Row],[Harga Barang C]]</f>
        <v>1150000</v>
      </c>
      <c r="Z955" s="35">
        <f>IFERROR(Data[[#This Row],[Total Harga]]-(Data[[#This Row],[Total Harga]]*Data[[#This Row],[Diskon]]),Data[[#This Row],[Total Harga]])</f>
        <v>1035000</v>
      </c>
      <c r="AA955" s="35">
        <f>(Data[[#This Row],[Profit A]]+Data[[#This Row],[Profit B]]+Data[[#This Row],[Profit C]])</f>
        <v>430000</v>
      </c>
      <c r="AB955" s="35">
        <f>IFERROR((Data[[#This Row],[Profit non Diskon]]-(Data[[#This Row],[Profit non Diskon]]*Data[[#This Row],[Diskon]])),Data[[#This Row],[Profit non Diskon]])</f>
        <v>387000</v>
      </c>
      <c r="AC955" s="23" t="s">
        <v>31</v>
      </c>
      <c r="AD955" s="37">
        <f>IFERROR(INDEX('Kode Diskon'!$D$3:$D$9,MATCH(Data[[#This Row],[Kode diskon]],'Kode Diskon'!$C$3:$C$9,0)),"-")</f>
        <v>0.1</v>
      </c>
      <c r="AE955" s="23" t="s">
        <v>9</v>
      </c>
      <c r="AF955" s="23" t="s">
        <v>10</v>
      </c>
      <c r="AG955" s="23" t="s">
        <v>75</v>
      </c>
      <c r="AH955" s="24">
        <v>45036</v>
      </c>
      <c r="AI955" s="23" t="str">
        <f>TEXT(Data[[#This Row],[Tanggal terjual]],"dddd")</f>
        <v>Thursday</v>
      </c>
      <c r="AJ955" s="21" t="str">
        <f>TEXT(Data[[#This Row],[Tanggal terjual]],"wwww")</f>
        <v>wwww</v>
      </c>
    </row>
    <row r="956" spans="1:36" x14ac:dyDescent="0.2">
      <c r="A956" s="20">
        <v>955</v>
      </c>
      <c r="B956" s="21" t="str">
        <f>_xlfn.CONCAT("ORD-",INDEX(Helper!$B$2:$B$5,MATCH(Data[[#This Row],[Marketplace]],Helper!$A$2:$A$5,0)),TEXT(Data[[#This Row],[No]],"0000"),"-",TEXT(Data[[#This Row],[Tanggal terjual]],"dd/mm/yy"))</f>
        <v>ORD-TK0955-04/04/23</v>
      </c>
      <c r="C956" t="s">
        <v>66</v>
      </c>
      <c r="D956" t="str">
        <f>IFERROR(INDEX(Katalog!$A$3:$A$12,MATCH(Data[[#This Row],[ItemID A]],Katalog!$C$3:$C$12,0)),"-")</f>
        <v>Sepatu Pria</v>
      </c>
      <c r="E956" t="str">
        <f>IFERROR(INDEX(Katalog!$B$3:$B$12,MATCH(Data[[#This Row],[ItemID A]],Katalog!$C$3:$C$12,0)),"-")</f>
        <v>Sandal Slip On</v>
      </c>
      <c r="F956">
        <v>1</v>
      </c>
      <c r="G956">
        <v>3</v>
      </c>
      <c r="H956" s="36">
        <f>IFERROR(INDEX(Katalog!$D$3:$D$12,MATCH(Data[[#This Row],[ItemID A]],Katalog!$C$3:$C$12,0))*Data[[#This Row],[Qty A]],"0")</f>
        <v>150000</v>
      </c>
      <c r="I956" s="36">
        <f>IFERROR(INDEX(Katalog!$F$3:$F$12,MATCH(Data[[#This Row],[ItemID A]],Katalog!$C$3:$C$12,0))*Data[[#This Row],[Qty A]],0)</f>
        <v>60000</v>
      </c>
      <c r="J956" t="s">
        <v>62</v>
      </c>
      <c r="K956" t="str">
        <f>IFERROR(INDEX(Katalog!$A$3:$A$12,MATCH(Data[[#This Row],[ItemID B]],Katalog!$C$3:$C$12,0)),"-")</f>
        <v>Pakaian Pria</v>
      </c>
      <c r="L956" t="str">
        <f>IFERROR(INDEX(Katalog!$B$3:$B$12,MATCH(Data[[#This Row],[ItemID B]],Katalog!$C$3:$C$12,0)),"-")</f>
        <v>Celana Pendek</v>
      </c>
      <c r="M956">
        <v>3</v>
      </c>
      <c r="N956">
        <v>2</v>
      </c>
      <c r="O956" s="36">
        <f>IFERROR(INDEX(Katalog!$D$3:$D$12,MATCH(Data[[#This Row],[ItemID B]],Katalog!$C$3:$C$12,0))*Data[[#This Row],[Qty B]],"0")</f>
        <v>540000</v>
      </c>
      <c r="P956" s="36">
        <f>IFERROR(INDEX(Katalog!$F$3:$F$12,MATCH(Data[[#This Row],[ItemID B]],Katalog!$C$3:$C$12,0))*Data[[#This Row],[Qty B]],"0")</f>
        <v>210000</v>
      </c>
      <c r="Q956" t="s">
        <v>67</v>
      </c>
      <c r="R956" t="str">
        <f>IFERROR(INDEX(Katalog!$A$3:$A$12,MATCH(Data[[#This Row],[ItemID C]],Katalog!$C$3:$C$12,0)),"-")</f>
        <v>Sepatu Wanita</v>
      </c>
      <c r="S956" t="str">
        <f>IFERROR(INDEX(Katalog!$B$3:$B$12,MATCH(Data[[#This Row],[ItemID C]],Katalog!$C$3:$C$12,0)),"-")</f>
        <v>Flat Shoes</v>
      </c>
      <c r="T956">
        <v>1</v>
      </c>
      <c r="U956">
        <v>1</v>
      </c>
      <c r="V956" s="36">
        <f>IFERROR(INDEX(Katalog!$D$3:$D$12,MATCH(Data[[#This Row],[ItemID C]],Katalog!$C$3:$C$12,0))*Data[[#This Row],[Qty C]],"0")</f>
        <v>250000</v>
      </c>
      <c r="W956" s="36">
        <f>IFERROR(INDEX(Katalog!$F$3:$F$12,MATCH(Data[[#This Row],[ItemID C]],Katalog!$C$3:$C$12,0))*Data[[#This Row],[Qty C]],"0")</f>
        <v>100000</v>
      </c>
      <c r="X956" s="21">
        <f>Data[[#This Row],[Qty A]]+Data[[#This Row],[Qty B]]+Data[[#This Row],[Qty C]]</f>
        <v>5</v>
      </c>
      <c r="Y956" s="22">
        <f>Data[[#This Row],[Harga Barang A]]+Data[[#This Row],[Harga Barang B]]+Data[[#This Row],[Harga Barang C]]</f>
        <v>940000</v>
      </c>
      <c r="Z956" s="35">
        <f>IFERROR(Data[[#This Row],[Total Harga]]-(Data[[#This Row],[Total Harga]]*Data[[#This Row],[Diskon]]),Data[[#This Row],[Total Harga]])</f>
        <v>846000</v>
      </c>
      <c r="AA956" s="35">
        <f>(Data[[#This Row],[Profit A]]+Data[[#This Row],[Profit B]]+Data[[#This Row],[Profit C]])</f>
        <v>370000</v>
      </c>
      <c r="AB956" s="35">
        <f>IFERROR((Data[[#This Row],[Profit non Diskon]]-(Data[[#This Row],[Profit non Diskon]]*Data[[#This Row],[Diskon]])),Data[[#This Row],[Profit non Diskon]])</f>
        <v>333000</v>
      </c>
      <c r="AC956" s="23" t="s">
        <v>30</v>
      </c>
      <c r="AD956" s="37">
        <f>IFERROR(INDEX('Kode Diskon'!$D$3:$D$9,MATCH(Data[[#This Row],[Kode diskon]],'Kode Diskon'!$C$3:$C$9,0)),"-")</f>
        <v>0.1</v>
      </c>
      <c r="AE956" s="23" t="s">
        <v>29</v>
      </c>
      <c r="AF956" s="23" t="s">
        <v>10</v>
      </c>
      <c r="AG956" s="23" t="s">
        <v>76</v>
      </c>
      <c r="AH956" s="24">
        <v>45020</v>
      </c>
      <c r="AI956" s="23" t="str">
        <f>TEXT(Data[[#This Row],[Tanggal terjual]],"dddd")</f>
        <v>Tuesday</v>
      </c>
      <c r="AJ956" s="21" t="str">
        <f>TEXT(Data[[#This Row],[Tanggal terjual]],"wwww")</f>
        <v>wwww</v>
      </c>
    </row>
    <row r="957" spans="1:36" x14ac:dyDescent="0.2">
      <c r="A957" s="20">
        <v>956</v>
      </c>
      <c r="B957" s="21" t="str">
        <f>_xlfn.CONCAT("ORD-",INDEX(Helper!$B$2:$B$5,MATCH(Data[[#This Row],[Marketplace]],Helper!$A$2:$A$5,0)),TEXT(Data[[#This Row],[No]],"0000"),"-",TEXT(Data[[#This Row],[Tanggal terjual]],"dd/mm/yy"))</f>
        <v>ORD-TK0956-19/04/23</v>
      </c>
      <c r="C957" t="s">
        <v>66</v>
      </c>
      <c r="D957" t="str">
        <f>IFERROR(INDEX(Katalog!$A$3:$A$12,MATCH(Data[[#This Row],[ItemID A]],Katalog!$C$3:$C$12,0)),"-")</f>
        <v>Sepatu Pria</v>
      </c>
      <c r="E957" t="str">
        <f>IFERROR(INDEX(Katalog!$B$3:$B$12,MATCH(Data[[#This Row],[ItemID A]],Katalog!$C$3:$C$12,0)),"-")</f>
        <v>Sandal Slip On</v>
      </c>
      <c r="F957">
        <v>2</v>
      </c>
      <c r="G957">
        <v>5</v>
      </c>
      <c r="H957" s="36">
        <f>IFERROR(INDEX(Katalog!$D$3:$D$12,MATCH(Data[[#This Row],[ItemID A]],Katalog!$C$3:$C$12,0))*Data[[#This Row],[Qty A]],"0")</f>
        <v>300000</v>
      </c>
      <c r="I957" s="36">
        <f>IFERROR(INDEX(Katalog!$F$3:$F$12,MATCH(Data[[#This Row],[ItemID A]],Katalog!$C$3:$C$12,0))*Data[[#This Row],[Qty A]],0)</f>
        <v>120000</v>
      </c>
      <c r="J957" t="s">
        <v>62</v>
      </c>
      <c r="K957" t="str">
        <f>IFERROR(INDEX(Katalog!$A$3:$A$12,MATCH(Data[[#This Row],[ItemID B]],Katalog!$C$3:$C$12,0)),"-")</f>
        <v>Pakaian Pria</v>
      </c>
      <c r="L957" t="str">
        <f>IFERROR(INDEX(Katalog!$B$3:$B$12,MATCH(Data[[#This Row],[ItemID B]],Katalog!$C$3:$C$12,0)),"-")</f>
        <v>Celana Pendek</v>
      </c>
      <c r="M957">
        <v>1</v>
      </c>
      <c r="N957">
        <v>4</v>
      </c>
      <c r="O957" s="36">
        <f>IFERROR(INDEX(Katalog!$D$3:$D$12,MATCH(Data[[#This Row],[ItemID B]],Katalog!$C$3:$C$12,0))*Data[[#This Row],[Qty B]],"0")</f>
        <v>180000</v>
      </c>
      <c r="P957" s="36">
        <f>IFERROR(INDEX(Katalog!$F$3:$F$12,MATCH(Data[[#This Row],[ItemID B]],Katalog!$C$3:$C$12,0))*Data[[#This Row],[Qty B]],"0")</f>
        <v>70000</v>
      </c>
      <c r="Q957" t="s">
        <v>63</v>
      </c>
      <c r="R957" t="str">
        <f>IFERROR(INDEX(Katalog!$A$3:$A$12,MATCH(Data[[#This Row],[ItemID C]],Katalog!$C$3:$C$12,0)),"-")</f>
        <v>Pakaian Pria</v>
      </c>
      <c r="S957" t="str">
        <f>IFERROR(INDEX(Katalog!$B$3:$B$12,MATCH(Data[[#This Row],[ItemID C]],Katalog!$C$3:$C$12,0)),"-")</f>
        <v>Jaket Jeans</v>
      </c>
      <c r="T957">
        <v>2</v>
      </c>
      <c r="U957">
        <v>4</v>
      </c>
      <c r="V957" s="36">
        <f>IFERROR(INDEX(Katalog!$D$3:$D$12,MATCH(Data[[#This Row],[ItemID C]],Katalog!$C$3:$C$12,0))*Data[[#This Row],[Qty C]],"0")</f>
        <v>800000</v>
      </c>
      <c r="W957" s="36">
        <f>IFERROR(INDEX(Katalog!$F$3:$F$12,MATCH(Data[[#This Row],[ItemID C]],Katalog!$C$3:$C$12,0))*Data[[#This Row],[Qty C]],"0")</f>
        <v>300000</v>
      </c>
      <c r="X957" s="21">
        <f>Data[[#This Row],[Qty A]]+Data[[#This Row],[Qty B]]+Data[[#This Row],[Qty C]]</f>
        <v>5</v>
      </c>
      <c r="Y957" s="22">
        <f>Data[[#This Row],[Harga Barang A]]+Data[[#This Row],[Harga Barang B]]+Data[[#This Row],[Harga Barang C]]</f>
        <v>1280000</v>
      </c>
      <c r="Z957" s="35">
        <f>IFERROR(Data[[#This Row],[Total Harga]]-(Data[[#This Row],[Total Harga]]*Data[[#This Row],[Diskon]]),Data[[#This Row],[Total Harga]])</f>
        <v>1152000</v>
      </c>
      <c r="AA957" s="35">
        <f>(Data[[#This Row],[Profit A]]+Data[[#This Row],[Profit B]]+Data[[#This Row],[Profit C]])</f>
        <v>490000</v>
      </c>
      <c r="AB957" s="35">
        <f>IFERROR((Data[[#This Row],[Profit non Diskon]]-(Data[[#This Row],[Profit non Diskon]]*Data[[#This Row],[Diskon]])),Data[[#This Row],[Profit non Diskon]])</f>
        <v>441000</v>
      </c>
      <c r="AC957" s="23" t="s">
        <v>31</v>
      </c>
      <c r="AD957" s="37">
        <f>IFERROR(INDEX('Kode Diskon'!$D$3:$D$9,MATCH(Data[[#This Row],[Kode diskon]],'Kode Diskon'!$C$3:$C$9,0)),"-")</f>
        <v>0.1</v>
      </c>
      <c r="AE957" s="23" t="s">
        <v>9</v>
      </c>
      <c r="AF957" s="23" t="s">
        <v>10</v>
      </c>
      <c r="AG957" s="23" t="s">
        <v>79</v>
      </c>
      <c r="AH957" s="24">
        <v>45035</v>
      </c>
      <c r="AI957" s="23" t="str">
        <f>TEXT(Data[[#This Row],[Tanggal terjual]],"dddd")</f>
        <v>Wednesday</v>
      </c>
      <c r="AJ957" s="21" t="str">
        <f>TEXT(Data[[#This Row],[Tanggal terjual]],"wwww")</f>
        <v>wwww</v>
      </c>
    </row>
    <row r="958" spans="1:36" x14ac:dyDescent="0.2">
      <c r="A958" s="20">
        <v>957</v>
      </c>
      <c r="B958" s="21" t="str">
        <f>_xlfn.CONCAT("ORD-",INDEX(Helper!$B$2:$B$5,MATCH(Data[[#This Row],[Marketplace]],Helper!$A$2:$A$5,0)),TEXT(Data[[#This Row],[No]],"0000"),"-",TEXT(Data[[#This Row],[Tanggal terjual]],"dd/mm/yy"))</f>
        <v>ORD-BL0957-16/04/23</v>
      </c>
      <c r="C958" t="s">
        <v>67</v>
      </c>
      <c r="D958" t="str">
        <f>IFERROR(INDEX(Katalog!$A$3:$A$12,MATCH(Data[[#This Row],[ItemID A]],Katalog!$C$3:$C$12,0)),"-")</f>
        <v>Sepatu Wanita</v>
      </c>
      <c r="E958" t="str">
        <f>IFERROR(INDEX(Katalog!$B$3:$B$12,MATCH(Data[[#This Row],[ItemID A]],Katalog!$C$3:$C$12,0)),"-")</f>
        <v>Flat Shoes</v>
      </c>
      <c r="F958">
        <v>5</v>
      </c>
      <c r="G958">
        <v>4</v>
      </c>
      <c r="H958" s="36">
        <f>IFERROR(INDEX(Katalog!$D$3:$D$12,MATCH(Data[[#This Row],[ItemID A]],Katalog!$C$3:$C$12,0))*Data[[#This Row],[Qty A]],"0")</f>
        <v>1250000</v>
      </c>
      <c r="I958" s="36">
        <f>IFERROR(INDEX(Katalog!$F$3:$F$12,MATCH(Data[[#This Row],[ItemID A]],Katalog!$C$3:$C$12,0))*Data[[#This Row],[Qty A]],0)</f>
        <v>500000</v>
      </c>
      <c r="J958" t="s">
        <v>67</v>
      </c>
      <c r="K958" t="str">
        <f>IFERROR(INDEX(Katalog!$A$3:$A$12,MATCH(Data[[#This Row],[ItemID B]],Katalog!$C$3:$C$12,0)),"-")</f>
        <v>Sepatu Wanita</v>
      </c>
      <c r="L958" t="str">
        <f>IFERROR(INDEX(Katalog!$B$3:$B$12,MATCH(Data[[#This Row],[ItemID B]],Katalog!$C$3:$C$12,0)),"-")</f>
        <v>Flat Shoes</v>
      </c>
      <c r="M958">
        <v>1</v>
      </c>
      <c r="N958">
        <v>2</v>
      </c>
      <c r="O958" s="36">
        <f>IFERROR(INDEX(Katalog!$D$3:$D$12,MATCH(Data[[#This Row],[ItemID B]],Katalog!$C$3:$C$12,0))*Data[[#This Row],[Qty B]],"0")</f>
        <v>250000</v>
      </c>
      <c r="P958" s="36">
        <f>IFERROR(INDEX(Katalog!$F$3:$F$12,MATCH(Data[[#This Row],[ItemID B]],Katalog!$C$3:$C$12,0))*Data[[#This Row],[Qty B]],"0")</f>
        <v>100000</v>
      </c>
      <c r="R958" t="str">
        <f>IFERROR(INDEX(Katalog!$A$3:$A$12,MATCH(Data[[#This Row],[ItemID C]],Katalog!$C$3:$C$12,0)),"-")</f>
        <v>-</v>
      </c>
      <c r="S958" t="str">
        <f>IFERROR(INDEX(Katalog!$B$3:$B$12,MATCH(Data[[#This Row],[ItemID C]],Katalog!$C$3:$C$12,0)),"-")</f>
        <v>-</v>
      </c>
      <c r="V958" s="36" t="str">
        <f>IFERROR(INDEX(Katalog!$D$3:$D$12,MATCH(Data[[#This Row],[ItemID C]],Katalog!$C$3:$C$12,0))*Data[[#This Row],[Qty C]],"0")</f>
        <v>0</v>
      </c>
      <c r="W958" s="36" t="str">
        <f>IFERROR(INDEX(Katalog!$F$3:$F$12,MATCH(Data[[#This Row],[ItemID C]],Katalog!$C$3:$C$12,0))*Data[[#This Row],[Qty C]],"0")</f>
        <v>0</v>
      </c>
      <c r="X958" s="21">
        <f>Data[[#This Row],[Qty A]]+Data[[#This Row],[Qty B]]+Data[[#This Row],[Qty C]]</f>
        <v>6</v>
      </c>
      <c r="Y958" s="22">
        <f>Data[[#This Row],[Harga Barang A]]+Data[[#This Row],[Harga Barang B]]+Data[[#This Row],[Harga Barang C]]</f>
        <v>1500000</v>
      </c>
      <c r="Z958" s="35">
        <f>IFERROR(Data[[#This Row],[Total Harga]]-(Data[[#This Row],[Total Harga]]*Data[[#This Row],[Diskon]]),Data[[#This Row],[Total Harga]])</f>
        <v>1275000</v>
      </c>
      <c r="AA958" s="35">
        <f>(Data[[#This Row],[Profit A]]+Data[[#This Row],[Profit B]]+Data[[#This Row],[Profit C]])</f>
        <v>600000</v>
      </c>
      <c r="AB958" s="35">
        <f>IFERROR((Data[[#This Row],[Profit non Diskon]]-(Data[[#This Row],[Profit non Diskon]]*Data[[#This Row],[Diskon]])),Data[[#This Row],[Profit non Diskon]])</f>
        <v>510000</v>
      </c>
      <c r="AC958" s="23" t="s">
        <v>32</v>
      </c>
      <c r="AD958" s="37">
        <f>IFERROR(INDEX('Kode Diskon'!$D$3:$D$9,MATCH(Data[[#This Row],[Kode diskon]],'Kode Diskon'!$C$3:$C$9,0)),"-")</f>
        <v>0.15</v>
      </c>
      <c r="AE958" s="23" t="s">
        <v>9</v>
      </c>
      <c r="AF958" s="23" t="s">
        <v>12</v>
      </c>
      <c r="AG958" s="23" t="s">
        <v>80</v>
      </c>
      <c r="AH958" s="24">
        <v>45032</v>
      </c>
      <c r="AI958" s="23" t="str">
        <f>TEXT(Data[[#This Row],[Tanggal terjual]],"dddd")</f>
        <v>Sunday</v>
      </c>
      <c r="AJ958" s="21" t="str">
        <f>TEXT(Data[[#This Row],[Tanggal terjual]],"wwww")</f>
        <v>wwww</v>
      </c>
    </row>
    <row r="959" spans="1:36" x14ac:dyDescent="0.2">
      <c r="A959" s="20">
        <v>958</v>
      </c>
      <c r="B959" s="21" t="str">
        <f>_xlfn.CONCAT("ORD-",INDEX(Helper!$B$2:$B$5,MATCH(Data[[#This Row],[Marketplace]],Helper!$A$2:$A$5,0)),TEXT(Data[[#This Row],[No]],"0000"),"-",TEXT(Data[[#This Row],[Tanggal terjual]],"dd/mm/yy"))</f>
        <v>ORD-TK0958-26/04/23</v>
      </c>
      <c r="C959" t="s">
        <v>65</v>
      </c>
      <c r="D959" t="str">
        <f>IFERROR(INDEX(Katalog!$A$3:$A$12,MATCH(Data[[#This Row],[ItemID A]],Katalog!$C$3:$C$12,0)),"-")</f>
        <v>Sepatu Pria</v>
      </c>
      <c r="E959" t="str">
        <f>IFERROR(INDEX(Katalog!$B$3:$B$12,MATCH(Data[[#This Row],[ItemID A]],Katalog!$C$3:$C$12,0)),"-")</f>
        <v>Sneakers</v>
      </c>
      <c r="F959">
        <v>6</v>
      </c>
      <c r="G959">
        <v>2</v>
      </c>
      <c r="H959" s="36">
        <f>IFERROR(INDEX(Katalog!$D$3:$D$12,MATCH(Data[[#This Row],[ItemID A]],Katalog!$C$3:$C$12,0))*Data[[#This Row],[Qty A]],"0")</f>
        <v>3000000</v>
      </c>
      <c r="I959" s="36">
        <f>IFERROR(INDEX(Katalog!$F$3:$F$12,MATCH(Data[[#This Row],[ItemID A]],Katalog!$C$3:$C$12,0))*Data[[#This Row],[Qty A]],0)</f>
        <v>1200000</v>
      </c>
      <c r="J959" t="s">
        <v>63</v>
      </c>
      <c r="K959" t="str">
        <f>IFERROR(INDEX(Katalog!$A$3:$A$12,MATCH(Data[[#This Row],[ItemID B]],Katalog!$C$3:$C$12,0)),"-")</f>
        <v>Pakaian Pria</v>
      </c>
      <c r="L959" t="str">
        <f>IFERROR(INDEX(Katalog!$B$3:$B$12,MATCH(Data[[#This Row],[ItemID B]],Katalog!$C$3:$C$12,0)),"-")</f>
        <v>Jaket Jeans</v>
      </c>
      <c r="M959">
        <v>1</v>
      </c>
      <c r="N959">
        <v>1</v>
      </c>
      <c r="O959" s="36">
        <f>IFERROR(INDEX(Katalog!$D$3:$D$12,MATCH(Data[[#This Row],[ItemID B]],Katalog!$C$3:$C$12,0))*Data[[#This Row],[Qty B]],"0")</f>
        <v>400000</v>
      </c>
      <c r="P959" s="36">
        <f>IFERROR(INDEX(Katalog!$F$3:$F$12,MATCH(Data[[#This Row],[ItemID B]],Katalog!$C$3:$C$12,0))*Data[[#This Row],[Qty B]],"0")</f>
        <v>150000</v>
      </c>
      <c r="R959" t="str">
        <f>IFERROR(INDEX(Katalog!$A$3:$A$12,MATCH(Data[[#This Row],[ItemID C]],Katalog!$C$3:$C$12,0)),"-")</f>
        <v>-</v>
      </c>
      <c r="S959" t="str">
        <f>IFERROR(INDEX(Katalog!$B$3:$B$12,MATCH(Data[[#This Row],[ItemID C]],Katalog!$C$3:$C$12,0)),"-")</f>
        <v>-</v>
      </c>
      <c r="V959" s="36" t="str">
        <f>IFERROR(INDEX(Katalog!$D$3:$D$12,MATCH(Data[[#This Row],[ItemID C]],Katalog!$C$3:$C$12,0))*Data[[#This Row],[Qty C]],"0")</f>
        <v>0</v>
      </c>
      <c r="W959" s="36" t="str">
        <f>IFERROR(INDEX(Katalog!$F$3:$F$12,MATCH(Data[[#This Row],[ItemID C]],Katalog!$C$3:$C$12,0))*Data[[#This Row],[Qty C]],"0")</f>
        <v>0</v>
      </c>
      <c r="X959" s="21">
        <f>Data[[#This Row],[Qty A]]+Data[[#This Row],[Qty B]]+Data[[#This Row],[Qty C]]</f>
        <v>7</v>
      </c>
      <c r="Y959" s="22">
        <f>Data[[#This Row],[Harga Barang A]]+Data[[#This Row],[Harga Barang B]]+Data[[#This Row],[Harga Barang C]]</f>
        <v>3400000</v>
      </c>
      <c r="Z959" s="35">
        <f>IFERROR(Data[[#This Row],[Total Harga]]-(Data[[#This Row],[Total Harga]]*Data[[#This Row],[Diskon]]),Data[[#This Row],[Total Harga]])</f>
        <v>3060000</v>
      </c>
      <c r="AA959" s="35">
        <f>(Data[[#This Row],[Profit A]]+Data[[#This Row],[Profit B]]+Data[[#This Row],[Profit C]])</f>
        <v>1350000</v>
      </c>
      <c r="AB959" s="35">
        <f>IFERROR((Data[[#This Row],[Profit non Diskon]]-(Data[[#This Row],[Profit non Diskon]]*Data[[#This Row],[Diskon]])),Data[[#This Row],[Profit non Diskon]])</f>
        <v>1215000</v>
      </c>
      <c r="AC959" s="23" t="s">
        <v>31</v>
      </c>
      <c r="AD959" s="37">
        <f>IFERROR(INDEX('Kode Diskon'!$D$3:$D$9,MATCH(Data[[#This Row],[Kode diskon]],'Kode Diskon'!$C$3:$C$9,0)),"-")</f>
        <v>0.1</v>
      </c>
      <c r="AE959" s="23" t="s">
        <v>9</v>
      </c>
      <c r="AF959" s="23" t="s">
        <v>10</v>
      </c>
      <c r="AG959" s="23" t="s">
        <v>75</v>
      </c>
      <c r="AH959" s="24">
        <v>45042</v>
      </c>
      <c r="AI959" s="23" t="str">
        <f>TEXT(Data[[#This Row],[Tanggal terjual]],"dddd")</f>
        <v>Wednesday</v>
      </c>
      <c r="AJ959" s="21" t="str">
        <f>TEXT(Data[[#This Row],[Tanggal terjual]],"wwww")</f>
        <v>wwww</v>
      </c>
    </row>
    <row r="960" spans="1:36" x14ac:dyDescent="0.2">
      <c r="A960" s="20">
        <v>959</v>
      </c>
      <c r="B960" s="21" t="str">
        <f>_xlfn.CONCAT("ORD-",INDEX(Helper!$B$2:$B$5,MATCH(Data[[#This Row],[Marketplace]],Helper!$A$2:$A$5,0)),TEXT(Data[[#This Row],[No]],"0000"),"-",TEXT(Data[[#This Row],[Tanggal terjual]],"dd/mm/yy"))</f>
        <v>ORD-TK0959-27/04/23</v>
      </c>
      <c r="C960" t="s">
        <v>64</v>
      </c>
      <c r="D960" t="str">
        <f>IFERROR(INDEX(Katalog!$A$3:$A$12,MATCH(Data[[#This Row],[ItemID A]],Katalog!$C$3:$C$12,0)),"-")</f>
        <v>Pakaian Unisex</v>
      </c>
      <c r="E960" t="str">
        <f>IFERROR(INDEX(Katalog!$B$3:$B$12,MATCH(Data[[#This Row],[ItemID A]],Katalog!$C$3:$C$12,0)),"-")</f>
        <v>Jaket Hoodie</v>
      </c>
      <c r="F960">
        <v>4</v>
      </c>
      <c r="G960">
        <v>3</v>
      </c>
      <c r="H960" s="36">
        <f>IFERROR(INDEX(Katalog!$D$3:$D$12,MATCH(Data[[#This Row],[ItemID A]],Katalog!$C$3:$C$12,0))*Data[[#This Row],[Qty A]],"0")</f>
        <v>1400000</v>
      </c>
      <c r="I960" s="36">
        <f>IFERROR(INDEX(Katalog!$F$3:$F$12,MATCH(Data[[#This Row],[ItemID A]],Katalog!$C$3:$C$12,0))*Data[[#This Row],[Qty A]],0)</f>
        <v>520000</v>
      </c>
      <c r="J960" t="s">
        <v>61</v>
      </c>
      <c r="K960" t="str">
        <f>IFERROR(INDEX(Katalog!$A$3:$A$12,MATCH(Data[[#This Row],[ItemID B]],Katalog!$C$3:$C$12,0)),"-")</f>
        <v>Pakaian Pria</v>
      </c>
      <c r="L960" t="str">
        <f>IFERROR(INDEX(Katalog!$B$3:$B$12,MATCH(Data[[#This Row],[ItemID B]],Katalog!$C$3:$C$12,0)),"-")</f>
        <v>Kaos Polo</v>
      </c>
      <c r="M960">
        <v>2</v>
      </c>
      <c r="N960">
        <v>4</v>
      </c>
      <c r="O960" s="36">
        <f>IFERROR(INDEX(Katalog!$D$3:$D$12,MATCH(Data[[#This Row],[ItemID B]],Katalog!$C$3:$C$12,0))*Data[[#This Row],[Qty B]],"0")</f>
        <v>400000</v>
      </c>
      <c r="P960" s="36">
        <f>IFERROR(INDEX(Katalog!$F$3:$F$12,MATCH(Data[[#This Row],[ItemID B]],Katalog!$C$3:$C$12,0))*Data[[#This Row],[Qty B]],"0")</f>
        <v>160000</v>
      </c>
      <c r="Q960" t="s">
        <v>59</v>
      </c>
      <c r="R960" t="str">
        <f>IFERROR(INDEX(Katalog!$A$3:$A$12,MATCH(Data[[#This Row],[ItemID C]],Katalog!$C$3:$C$12,0)),"-")</f>
        <v>Pakaian Wanita</v>
      </c>
      <c r="S960" t="str">
        <f>IFERROR(INDEX(Katalog!$B$3:$B$12,MATCH(Data[[#This Row],[ItemID C]],Katalog!$C$3:$C$12,0)),"-")</f>
        <v>Blouse</v>
      </c>
      <c r="T960">
        <v>1</v>
      </c>
      <c r="U960">
        <v>2</v>
      </c>
      <c r="V960" s="36">
        <f>IFERROR(INDEX(Katalog!$D$3:$D$12,MATCH(Data[[#This Row],[ItemID C]],Katalog!$C$3:$C$12,0))*Data[[#This Row],[Qty C]],"0")</f>
        <v>150000</v>
      </c>
      <c r="W960" s="36">
        <f>IFERROR(INDEX(Katalog!$F$3:$F$12,MATCH(Data[[#This Row],[ItemID C]],Katalog!$C$3:$C$12,0))*Data[[#This Row],[Qty C]],"0")</f>
        <v>50000</v>
      </c>
      <c r="X960" s="21">
        <f>Data[[#This Row],[Qty A]]+Data[[#This Row],[Qty B]]+Data[[#This Row],[Qty C]]</f>
        <v>7</v>
      </c>
      <c r="Y960" s="22">
        <f>Data[[#This Row],[Harga Barang A]]+Data[[#This Row],[Harga Barang B]]+Data[[#This Row],[Harga Barang C]]</f>
        <v>1950000</v>
      </c>
      <c r="Z960" s="35">
        <f>IFERROR(Data[[#This Row],[Total Harga]]-(Data[[#This Row],[Total Harga]]*Data[[#This Row],[Diskon]]),Data[[#This Row],[Total Harga]])</f>
        <v>1755000</v>
      </c>
      <c r="AA960" s="35">
        <f>(Data[[#This Row],[Profit A]]+Data[[#This Row],[Profit B]]+Data[[#This Row],[Profit C]])</f>
        <v>730000</v>
      </c>
      <c r="AB960" s="35">
        <f>IFERROR((Data[[#This Row],[Profit non Diskon]]-(Data[[#This Row],[Profit non Diskon]]*Data[[#This Row],[Diskon]])),Data[[#This Row],[Profit non Diskon]])</f>
        <v>657000</v>
      </c>
      <c r="AC960" s="23" t="s">
        <v>31</v>
      </c>
      <c r="AD960" s="37">
        <f>IFERROR(INDEX('Kode Diskon'!$D$3:$D$9,MATCH(Data[[#This Row],[Kode diskon]],'Kode Diskon'!$C$3:$C$9,0)),"-")</f>
        <v>0.1</v>
      </c>
      <c r="AE960" s="23" t="s">
        <v>9</v>
      </c>
      <c r="AF960" s="23" t="s">
        <v>10</v>
      </c>
      <c r="AG960" s="23" t="s">
        <v>79</v>
      </c>
      <c r="AH960" s="24">
        <v>45043</v>
      </c>
      <c r="AI960" s="23" t="str">
        <f>TEXT(Data[[#This Row],[Tanggal terjual]],"dddd")</f>
        <v>Thursday</v>
      </c>
      <c r="AJ960" s="21" t="str">
        <f>TEXT(Data[[#This Row],[Tanggal terjual]],"wwww")</f>
        <v>wwww</v>
      </c>
    </row>
    <row r="961" spans="1:36" x14ac:dyDescent="0.2">
      <c r="A961" s="20">
        <v>960</v>
      </c>
      <c r="B961" s="21" t="str">
        <f>_xlfn.CONCAT("ORD-",INDEX(Helper!$B$2:$B$5,MATCH(Data[[#This Row],[Marketplace]],Helper!$A$2:$A$5,0)),TEXT(Data[[#This Row],[No]],"0000"),"-",TEXT(Data[[#This Row],[Tanggal terjual]],"dd/mm/yy"))</f>
        <v>ORD-SP0960-08/04/23</v>
      </c>
      <c r="C961" t="s">
        <v>62</v>
      </c>
      <c r="D961" t="str">
        <f>IFERROR(INDEX(Katalog!$A$3:$A$12,MATCH(Data[[#This Row],[ItemID A]],Katalog!$C$3:$C$12,0)),"-")</f>
        <v>Pakaian Pria</v>
      </c>
      <c r="E961" t="str">
        <f>IFERROR(INDEX(Katalog!$B$3:$B$12,MATCH(Data[[#This Row],[ItemID A]],Katalog!$C$3:$C$12,0)),"-")</f>
        <v>Celana Pendek</v>
      </c>
      <c r="F961">
        <v>4</v>
      </c>
      <c r="G961">
        <v>5</v>
      </c>
      <c r="H961" s="36">
        <f>IFERROR(INDEX(Katalog!$D$3:$D$12,MATCH(Data[[#This Row],[ItemID A]],Katalog!$C$3:$C$12,0))*Data[[#This Row],[Qty A]],"0")</f>
        <v>720000</v>
      </c>
      <c r="I961" s="36">
        <f>IFERROR(INDEX(Katalog!$F$3:$F$12,MATCH(Data[[#This Row],[ItemID A]],Katalog!$C$3:$C$12,0))*Data[[#This Row],[Qty A]],0)</f>
        <v>280000</v>
      </c>
      <c r="J961" t="s">
        <v>58</v>
      </c>
      <c r="K961" t="str">
        <f>IFERROR(INDEX(Katalog!$A$3:$A$12,MATCH(Data[[#This Row],[ItemID B]],Katalog!$C$3:$C$12,0)),"-")</f>
        <v>Pakaian Wanita</v>
      </c>
      <c r="L961" t="str">
        <f>IFERROR(INDEX(Katalog!$B$3:$B$12,MATCH(Data[[#This Row],[ItemID B]],Katalog!$C$3:$C$12,0)),"-")</f>
        <v>Dress</v>
      </c>
      <c r="M961">
        <v>1</v>
      </c>
      <c r="N961">
        <v>2</v>
      </c>
      <c r="O961" s="36">
        <f>IFERROR(INDEX(Katalog!$D$3:$D$12,MATCH(Data[[#This Row],[ItemID B]],Katalog!$C$3:$C$12,0))*Data[[#This Row],[Qty B]],"0")</f>
        <v>300000</v>
      </c>
      <c r="P961" s="36">
        <f>IFERROR(INDEX(Katalog!$F$3:$F$12,MATCH(Data[[#This Row],[ItemID B]],Katalog!$C$3:$C$12,0))*Data[[#This Row],[Qty B]],"0")</f>
        <v>100000</v>
      </c>
      <c r="Q961" t="s">
        <v>62</v>
      </c>
      <c r="R961" t="str">
        <f>IFERROR(INDEX(Katalog!$A$3:$A$12,MATCH(Data[[#This Row],[ItemID C]],Katalog!$C$3:$C$12,0)),"-")</f>
        <v>Pakaian Pria</v>
      </c>
      <c r="S961" t="str">
        <f>IFERROR(INDEX(Katalog!$B$3:$B$12,MATCH(Data[[#This Row],[ItemID C]],Katalog!$C$3:$C$12,0)),"-")</f>
        <v>Celana Pendek</v>
      </c>
      <c r="T961">
        <v>1</v>
      </c>
      <c r="U961">
        <v>3</v>
      </c>
      <c r="V961" s="36">
        <f>IFERROR(INDEX(Katalog!$D$3:$D$12,MATCH(Data[[#This Row],[ItemID C]],Katalog!$C$3:$C$12,0))*Data[[#This Row],[Qty C]],"0")</f>
        <v>180000</v>
      </c>
      <c r="W961" s="36">
        <f>IFERROR(INDEX(Katalog!$F$3:$F$12,MATCH(Data[[#This Row],[ItemID C]],Katalog!$C$3:$C$12,0))*Data[[#This Row],[Qty C]],"0")</f>
        <v>70000</v>
      </c>
      <c r="X961" s="21">
        <f>Data[[#This Row],[Qty A]]+Data[[#This Row],[Qty B]]+Data[[#This Row],[Qty C]]</f>
        <v>6</v>
      </c>
      <c r="Y961" s="22">
        <f>Data[[#This Row],[Harga Barang A]]+Data[[#This Row],[Harga Barang B]]+Data[[#This Row],[Harga Barang C]]</f>
        <v>1200000</v>
      </c>
      <c r="Z961" s="35">
        <f>IFERROR(Data[[#This Row],[Total Harga]]-(Data[[#This Row],[Total Harga]]*Data[[#This Row],[Diskon]]),Data[[#This Row],[Total Harga]])</f>
        <v>1200000</v>
      </c>
      <c r="AA961" s="35">
        <f>(Data[[#This Row],[Profit A]]+Data[[#This Row],[Profit B]]+Data[[#This Row],[Profit C]])</f>
        <v>450000</v>
      </c>
      <c r="AB961" s="35">
        <f>IFERROR((Data[[#This Row],[Profit non Diskon]]-(Data[[#This Row],[Profit non Diskon]]*Data[[#This Row],[Diskon]])),Data[[#This Row],[Profit non Diskon]])</f>
        <v>450000</v>
      </c>
      <c r="AC961" s="23" t="s">
        <v>11</v>
      </c>
      <c r="AD961" s="37" t="str">
        <f>IFERROR(INDEX('Kode Diskon'!$D$3:$D$9,MATCH(Data[[#This Row],[Kode diskon]],'Kode Diskon'!$C$3:$C$9,0)),"-")</f>
        <v>-</v>
      </c>
      <c r="AE961" s="23" t="s">
        <v>11</v>
      </c>
      <c r="AF961" s="23" t="s">
        <v>7</v>
      </c>
      <c r="AG961" s="23" t="s">
        <v>78</v>
      </c>
      <c r="AH961" s="24">
        <v>45024</v>
      </c>
      <c r="AI961" s="23" t="str">
        <f>TEXT(Data[[#This Row],[Tanggal terjual]],"dddd")</f>
        <v>Saturday</v>
      </c>
      <c r="AJ961" s="21" t="str">
        <f>TEXT(Data[[#This Row],[Tanggal terjual]],"wwww")</f>
        <v>wwww</v>
      </c>
    </row>
    <row r="962" spans="1:36" x14ac:dyDescent="0.2">
      <c r="A962" s="20">
        <v>961</v>
      </c>
      <c r="B962" s="21" t="str">
        <f>_xlfn.CONCAT("ORD-",INDEX(Helper!$B$2:$B$5,MATCH(Data[[#This Row],[Marketplace]],Helper!$A$2:$A$5,0)),TEXT(Data[[#This Row],[No]],"0000"),"-",TEXT(Data[[#This Row],[Tanggal terjual]],"dd/mm/yy"))</f>
        <v>ORD-TK0961-29/04/23</v>
      </c>
      <c r="C962" t="s">
        <v>66</v>
      </c>
      <c r="D962" t="str">
        <f>IFERROR(INDEX(Katalog!$A$3:$A$12,MATCH(Data[[#This Row],[ItemID A]],Katalog!$C$3:$C$12,0)),"-")</f>
        <v>Sepatu Pria</v>
      </c>
      <c r="E962" t="str">
        <f>IFERROR(INDEX(Katalog!$B$3:$B$12,MATCH(Data[[#This Row],[ItemID A]],Katalog!$C$3:$C$12,0)),"-")</f>
        <v>Sandal Slip On</v>
      </c>
      <c r="F962">
        <v>2</v>
      </c>
      <c r="G962">
        <v>3</v>
      </c>
      <c r="H962" s="36">
        <f>IFERROR(INDEX(Katalog!$D$3:$D$12,MATCH(Data[[#This Row],[ItemID A]],Katalog!$C$3:$C$12,0))*Data[[#This Row],[Qty A]],"0")</f>
        <v>300000</v>
      </c>
      <c r="I962" s="36">
        <f>IFERROR(INDEX(Katalog!$F$3:$F$12,MATCH(Data[[#This Row],[ItemID A]],Katalog!$C$3:$C$12,0))*Data[[#This Row],[Qty A]],0)</f>
        <v>120000</v>
      </c>
      <c r="K962" t="str">
        <f>IFERROR(INDEX(Katalog!$A$3:$A$12,MATCH(Data[[#This Row],[ItemID B]],Katalog!$C$3:$C$12,0)),"-")</f>
        <v>-</v>
      </c>
      <c r="L962" t="str">
        <f>IFERROR(INDEX(Katalog!$B$3:$B$12,MATCH(Data[[#This Row],[ItemID B]],Katalog!$C$3:$C$12,0)),"-")</f>
        <v>-</v>
      </c>
      <c r="O962" s="36" t="str">
        <f>IFERROR(INDEX(Katalog!$D$3:$D$12,MATCH(Data[[#This Row],[ItemID B]],Katalog!$C$3:$C$12,0))*Data[[#This Row],[Qty B]],"0")</f>
        <v>0</v>
      </c>
      <c r="P962" s="36" t="str">
        <f>IFERROR(INDEX(Katalog!$F$3:$F$12,MATCH(Data[[#This Row],[ItemID B]],Katalog!$C$3:$C$12,0))*Data[[#This Row],[Qty B]],"0")</f>
        <v>0</v>
      </c>
      <c r="R962" t="str">
        <f>IFERROR(INDEX(Katalog!$A$3:$A$12,MATCH(Data[[#This Row],[ItemID C]],Katalog!$C$3:$C$12,0)),"-")</f>
        <v>-</v>
      </c>
      <c r="S962" t="str">
        <f>IFERROR(INDEX(Katalog!$B$3:$B$12,MATCH(Data[[#This Row],[ItemID C]],Katalog!$C$3:$C$12,0)),"-")</f>
        <v>-</v>
      </c>
      <c r="V962" s="36" t="str">
        <f>IFERROR(INDEX(Katalog!$D$3:$D$12,MATCH(Data[[#This Row],[ItemID C]],Katalog!$C$3:$C$12,0))*Data[[#This Row],[Qty C]],"0")</f>
        <v>0</v>
      </c>
      <c r="W962" s="36" t="str">
        <f>IFERROR(INDEX(Katalog!$F$3:$F$12,MATCH(Data[[#This Row],[ItemID C]],Katalog!$C$3:$C$12,0))*Data[[#This Row],[Qty C]],"0")</f>
        <v>0</v>
      </c>
      <c r="X962" s="21">
        <f>Data[[#This Row],[Qty A]]+Data[[#This Row],[Qty B]]+Data[[#This Row],[Qty C]]</f>
        <v>2</v>
      </c>
      <c r="Y962" s="22">
        <f>Data[[#This Row],[Harga Barang A]]+Data[[#This Row],[Harga Barang B]]+Data[[#This Row],[Harga Barang C]]</f>
        <v>300000</v>
      </c>
      <c r="Z962" s="35">
        <f>IFERROR(Data[[#This Row],[Total Harga]]-(Data[[#This Row],[Total Harga]]*Data[[#This Row],[Diskon]]),Data[[#This Row],[Total Harga]])</f>
        <v>270000</v>
      </c>
      <c r="AA962" s="35">
        <f>(Data[[#This Row],[Profit A]]+Data[[#This Row],[Profit B]]+Data[[#This Row],[Profit C]])</f>
        <v>120000</v>
      </c>
      <c r="AB962" s="35">
        <f>IFERROR((Data[[#This Row],[Profit non Diskon]]-(Data[[#This Row],[Profit non Diskon]]*Data[[#This Row],[Diskon]])),Data[[#This Row],[Profit non Diskon]])</f>
        <v>108000</v>
      </c>
      <c r="AC962" s="23" t="s">
        <v>31</v>
      </c>
      <c r="AD962" s="37">
        <f>IFERROR(INDEX('Kode Diskon'!$D$3:$D$9,MATCH(Data[[#This Row],[Kode diskon]],'Kode Diskon'!$C$3:$C$9,0)),"-")</f>
        <v>0.1</v>
      </c>
      <c r="AE962" s="23" t="s">
        <v>9</v>
      </c>
      <c r="AF962" s="23" t="s">
        <v>10</v>
      </c>
      <c r="AG962" s="23" t="s">
        <v>76</v>
      </c>
      <c r="AH962" s="24">
        <v>45045</v>
      </c>
      <c r="AI962" s="23" t="str">
        <f>TEXT(Data[[#This Row],[Tanggal terjual]],"dddd")</f>
        <v>Saturday</v>
      </c>
      <c r="AJ962" s="21" t="str">
        <f>TEXT(Data[[#This Row],[Tanggal terjual]],"wwww")</f>
        <v>wwww</v>
      </c>
    </row>
    <row r="963" spans="1:36" x14ac:dyDescent="0.2">
      <c r="A963" s="20">
        <v>962</v>
      </c>
      <c r="B963" s="21" t="str">
        <f>_xlfn.CONCAT("ORD-",INDEX(Helper!$B$2:$B$5,MATCH(Data[[#This Row],[Marketplace]],Helper!$A$2:$A$5,0)),TEXT(Data[[#This Row],[No]],"0000"),"-",TEXT(Data[[#This Row],[Tanggal terjual]],"dd/mm/yy"))</f>
        <v>ORD-TK0962-06/04/23</v>
      </c>
      <c r="C963" t="s">
        <v>62</v>
      </c>
      <c r="D963" t="str">
        <f>IFERROR(INDEX(Katalog!$A$3:$A$12,MATCH(Data[[#This Row],[ItemID A]],Katalog!$C$3:$C$12,0)),"-")</f>
        <v>Pakaian Pria</v>
      </c>
      <c r="E963" t="str">
        <f>IFERROR(INDEX(Katalog!$B$3:$B$12,MATCH(Data[[#This Row],[ItemID A]],Katalog!$C$3:$C$12,0)),"-")</f>
        <v>Celana Pendek</v>
      </c>
      <c r="F963">
        <v>1</v>
      </c>
      <c r="G963">
        <v>4</v>
      </c>
      <c r="H963" s="36">
        <f>IFERROR(INDEX(Katalog!$D$3:$D$12,MATCH(Data[[#This Row],[ItemID A]],Katalog!$C$3:$C$12,0))*Data[[#This Row],[Qty A]],"0")</f>
        <v>180000</v>
      </c>
      <c r="I963" s="36">
        <f>IFERROR(INDEX(Katalog!$F$3:$F$12,MATCH(Data[[#This Row],[ItemID A]],Katalog!$C$3:$C$12,0))*Data[[#This Row],[Qty A]],0)</f>
        <v>70000</v>
      </c>
      <c r="J963" t="s">
        <v>65</v>
      </c>
      <c r="K963" t="str">
        <f>IFERROR(INDEX(Katalog!$A$3:$A$12,MATCH(Data[[#This Row],[ItemID B]],Katalog!$C$3:$C$12,0)),"-")</f>
        <v>Sepatu Pria</v>
      </c>
      <c r="L963" t="str">
        <f>IFERROR(INDEX(Katalog!$B$3:$B$12,MATCH(Data[[#This Row],[ItemID B]],Katalog!$C$3:$C$12,0)),"-")</f>
        <v>Sneakers</v>
      </c>
      <c r="M963">
        <v>3</v>
      </c>
      <c r="N963">
        <v>1</v>
      </c>
      <c r="O963" s="36">
        <f>IFERROR(INDEX(Katalog!$D$3:$D$12,MATCH(Data[[#This Row],[ItemID B]],Katalog!$C$3:$C$12,0))*Data[[#This Row],[Qty B]],"0")</f>
        <v>1500000</v>
      </c>
      <c r="P963" s="36">
        <f>IFERROR(INDEX(Katalog!$F$3:$F$12,MATCH(Data[[#This Row],[ItemID B]],Katalog!$C$3:$C$12,0))*Data[[#This Row],[Qty B]],"0")</f>
        <v>600000</v>
      </c>
      <c r="Q963" t="s">
        <v>66</v>
      </c>
      <c r="R963" t="str">
        <f>IFERROR(INDEX(Katalog!$A$3:$A$12,MATCH(Data[[#This Row],[ItemID C]],Katalog!$C$3:$C$12,0)),"-")</f>
        <v>Sepatu Pria</v>
      </c>
      <c r="S963" t="str">
        <f>IFERROR(INDEX(Katalog!$B$3:$B$12,MATCH(Data[[#This Row],[ItemID C]],Katalog!$C$3:$C$12,0)),"-")</f>
        <v>Sandal Slip On</v>
      </c>
      <c r="T963">
        <v>2</v>
      </c>
      <c r="U963">
        <v>4</v>
      </c>
      <c r="V963" s="36">
        <f>IFERROR(INDEX(Katalog!$D$3:$D$12,MATCH(Data[[#This Row],[ItemID C]],Katalog!$C$3:$C$12,0))*Data[[#This Row],[Qty C]],"0")</f>
        <v>300000</v>
      </c>
      <c r="W963" s="36">
        <f>IFERROR(INDEX(Katalog!$F$3:$F$12,MATCH(Data[[#This Row],[ItemID C]],Katalog!$C$3:$C$12,0))*Data[[#This Row],[Qty C]],"0")</f>
        <v>120000</v>
      </c>
      <c r="X963" s="21">
        <f>Data[[#This Row],[Qty A]]+Data[[#This Row],[Qty B]]+Data[[#This Row],[Qty C]]</f>
        <v>6</v>
      </c>
      <c r="Y963" s="22">
        <f>Data[[#This Row],[Harga Barang A]]+Data[[#This Row],[Harga Barang B]]+Data[[#This Row],[Harga Barang C]]</f>
        <v>1980000</v>
      </c>
      <c r="Z963" s="35">
        <f>IFERROR(Data[[#This Row],[Total Harga]]-(Data[[#This Row],[Total Harga]]*Data[[#This Row],[Diskon]]),Data[[#This Row],[Total Harga]])</f>
        <v>1782000</v>
      </c>
      <c r="AA963" s="35">
        <f>(Data[[#This Row],[Profit A]]+Data[[#This Row],[Profit B]]+Data[[#This Row],[Profit C]])</f>
        <v>790000</v>
      </c>
      <c r="AB963" s="35">
        <f>IFERROR((Data[[#This Row],[Profit non Diskon]]-(Data[[#This Row],[Profit non Diskon]]*Data[[#This Row],[Diskon]])),Data[[#This Row],[Profit non Diskon]])</f>
        <v>711000</v>
      </c>
      <c r="AC963" s="23" t="s">
        <v>30</v>
      </c>
      <c r="AD963" s="37">
        <f>IFERROR(INDEX('Kode Diskon'!$D$3:$D$9,MATCH(Data[[#This Row],[Kode diskon]],'Kode Diskon'!$C$3:$C$9,0)),"-")</f>
        <v>0.1</v>
      </c>
      <c r="AE963" s="23" t="s">
        <v>29</v>
      </c>
      <c r="AF963" s="23" t="s">
        <v>10</v>
      </c>
      <c r="AG963" s="23" t="s">
        <v>80</v>
      </c>
      <c r="AH963" s="24">
        <v>45022</v>
      </c>
      <c r="AI963" s="23" t="str">
        <f>TEXT(Data[[#This Row],[Tanggal terjual]],"dddd")</f>
        <v>Thursday</v>
      </c>
      <c r="AJ963" s="21" t="str">
        <f>TEXT(Data[[#This Row],[Tanggal terjual]],"wwww")</f>
        <v>wwww</v>
      </c>
    </row>
    <row r="964" spans="1:36" x14ac:dyDescent="0.2">
      <c r="A964" s="20">
        <v>963</v>
      </c>
      <c r="B964" s="21" t="str">
        <f>_xlfn.CONCAT("ORD-",INDEX(Helper!$B$2:$B$5,MATCH(Data[[#This Row],[Marketplace]],Helper!$A$2:$A$5,0)),TEXT(Data[[#This Row],[No]],"0000"),"-",TEXT(Data[[#This Row],[Tanggal terjual]],"dd/mm/yy"))</f>
        <v>ORD-SP0963-05/04/23</v>
      </c>
      <c r="C964" t="s">
        <v>63</v>
      </c>
      <c r="D964" t="str">
        <f>IFERROR(INDEX(Katalog!$A$3:$A$12,MATCH(Data[[#This Row],[ItemID A]],Katalog!$C$3:$C$12,0)),"-")</f>
        <v>Pakaian Pria</v>
      </c>
      <c r="E964" t="str">
        <f>IFERROR(INDEX(Katalog!$B$3:$B$12,MATCH(Data[[#This Row],[ItemID A]],Katalog!$C$3:$C$12,0)),"-")</f>
        <v>Jaket Jeans</v>
      </c>
      <c r="F964">
        <v>4</v>
      </c>
      <c r="G964">
        <v>3</v>
      </c>
      <c r="H964" s="36">
        <f>IFERROR(INDEX(Katalog!$D$3:$D$12,MATCH(Data[[#This Row],[ItemID A]],Katalog!$C$3:$C$12,0))*Data[[#This Row],[Qty A]],"0")</f>
        <v>1600000</v>
      </c>
      <c r="I964" s="36">
        <f>IFERROR(INDEX(Katalog!$F$3:$F$12,MATCH(Data[[#This Row],[ItemID A]],Katalog!$C$3:$C$12,0))*Data[[#This Row],[Qty A]],0)</f>
        <v>600000</v>
      </c>
      <c r="K964" t="str">
        <f>IFERROR(INDEX(Katalog!$A$3:$A$12,MATCH(Data[[#This Row],[ItemID B]],Katalog!$C$3:$C$12,0)),"-")</f>
        <v>-</v>
      </c>
      <c r="L964" t="str">
        <f>IFERROR(INDEX(Katalog!$B$3:$B$12,MATCH(Data[[#This Row],[ItemID B]],Katalog!$C$3:$C$12,0)),"-")</f>
        <v>-</v>
      </c>
      <c r="O964" s="36" t="str">
        <f>IFERROR(INDEX(Katalog!$D$3:$D$12,MATCH(Data[[#This Row],[ItemID B]],Katalog!$C$3:$C$12,0))*Data[[#This Row],[Qty B]],"0")</f>
        <v>0</v>
      </c>
      <c r="P964" s="36" t="str">
        <f>IFERROR(INDEX(Katalog!$F$3:$F$12,MATCH(Data[[#This Row],[ItemID B]],Katalog!$C$3:$C$12,0))*Data[[#This Row],[Qty B]],"0")</f>
        <v>0</v>
      </c>
      <c r="R964" t="str">
        <f>IFERROR(INDEX(Katalog!$A$3:$A$12,MATCH(Data[[#This Row],[ItemID C]],Katalog!$C$3:$C$12,0)),"-")</f>
        <v>-</v>
      </c>
      <c r="S964" t="str">
        <f>IFERROR(INDEX(Katalog!$B$3:$B$12,MATCH(Data[[#This Row],[ItemID C]],Katalog!$C$3:$C$12,0)),"-")</f>
        <v>-</v>
      </c>
      <c r="V964" s="36" t="str">
        <f>IFERROR(INDEX(Katalog!$D$3:$D$12,MATCH(Data[[#This Row],[ItemID C]],Katalog!$C$3:$C$12,0))*Data[[#This Row],[Qty C]],"0")</f>
        <v>0</v>
      </c>
      <c r="W964" s="36" t="str">
        <f>IFERROR(INDEX(Katalog!$F$3:$F$12,MATCH(Data[[#This Row],[ItemID C]],Katalog!$C$3:$C$12,0))*Data[[#This Row],[Qty C]],"0")</f>
        <v>0</v>
      </c>
      <c r="X964" s="21">
        <f>Data[[#This Row],[Qty A]]+Data[[#This Row],[Qty B]]+Data[[#This Row],[Qty C]]</f>
        <v>4</v>
      </c>
      <c r="Y964" s="22">
        <f>Data[[#This Row],[Harga Barang A]]+Data[[#This Row],[Harga Barang B]]+Data[[#This Row],[Harga Barang C]]</f>
        <v>1600000</v>
      </c>
      <c r="Z964" s="35">
        <f>IFERROR(Data[[#This Row],[Total Harga]]-(Data[[#This Row],[Total Harga]]*Data[[#This Row],[Diskon]]),Data[[#This Row],[Total Harga]])</f>
        <v>1440000</v>
      </c>
      <c r="AA964" s="35">
        <f>(Data[[#This Row],[Profit A]]+Data[[#This Row],[Profit B]]+Data[[#This Row],[Profit C]])</f>
        <v>600000</v>
      </c>
      <c r="AB964" s="35">
        <f>IFERROR((Data[[#This Row],[Profit non Diskon]]-(Data[[#This Row],[Profit non Diskon]]*Data[[#This Row],[Diskon]])),Data[[#This Row],[Profit non Diskon]])</f>
        <v>540000</v>
      </c>
      <c r="AC964" s="23" t="s">
        <v>6</v>
      </c>
      <c r="AD964" s="37">
        <f>IFERROR(INDEX('Kode Diskon'!$D$3:$D$9,MATCH(Data[[#This Row],[Kode diskon]],'Kode Diskon'!$C$3:$C$9,0)),"-")</f>
        <v>0.1</v>
      </c>
      <c r="AE964" s="23" t="s">
        <v>29</v>
      </c>
      <c r="AF964" s="23" t="s">
        <v>7</v>
      </c>
      <c r="AG964" s="23" t="s">
        <v>80</v>
      </c>
      <c r="AH964" s="24">
        <v>45021</v>
      </c>
      <c r="AI964" s="23" t="str">
        <f>TEXT(Data[[#This Row],[Tanggal terjual]],"dddd")</f>
        <v>Wednesday</v>
      </c>
      <c r="AJ964" s="21" t="str">
        <f>TEXT(Data[[#This Row],[Tanggal terjual]],"wwww")</f>
        <v>wwww</v>
      </c>
    </row>
    <row r="965" spans="1:36" x14ac:dyDescent="0.2">
      <c r="A965" s="20">
        <v>964</v>
      </c>
      <c r="B965" s="21" t="str">
        <f>_xlfn.CONCAT("ORD-",INDEX(Helper!$B$2:$B$5,MATCH(Data[[#This Row],[Marketplace]],Helper!$A$2:$A$5,0)),TEXT(Data[[#This Row],[No]],"0000"),"-",TEXT(Data[[#This Row],[Tanggal terjual]],"dd/mm/yy"))</f>
        <v>ORD-BB0964-06/04/23</v>
      </c>
      <c r="C965" t="s">
        <v>63</v>
      </c>
      <c r="D965" t="str">
        <f>IFERROR(INDEX(Katalog!$A$3:$A$12,MATCH(Data[[#This Row],[ItemID A]],Katalog!$C$3:$C$12,0)),"-")</f>
        <v>Pakaian Pria</v>
      </c>
      <c r="E965" t="str">
        <f>IFERROR(INDEX(Katalog!$B$3:$B$12,MATCH(Data[[#This Row],[ItemID A]],Katalog!$C$3:$C$12,0)),"-")</f>
        <v>Jaket Jeans</v>
      </c>
      <c r="F965">
        <v>3</v>
      </c>
      <c r="G965">
        <v>3</v>
      </c>
      <c r="H965" s="36">
        <f>IFERROR(INDEX(Katalog!$D$3:$D$12,MATCH(Data[[#This Row],[ItemID A]],Katalog!$C$3:$C$12,0))*Data[[#This Row],[Qty A]],"0")</f>
        <v>1200000</v>
      </c>
      <c r="I965" s="36">
        <f>IFERROR(INDEX(Katalog!$F$3:$F$12,MATCH(Data[[#This Row],[ItemID A]],Katalog!$C$3:$C$12,0))*Data[[#This Row],[Qty A]],0)</f>
        <v>450000</v>
      </c>
      <c r="J965" t="s">
        <v>59</v>
      </c>
      <c r="K965" t="str">
        <f>IFERROR(INDEX(Katalog!$A$3:$A$12,MATCH(Data[[#This Row],[ItemID B]],Katalog!$C$3:$C$12,0)),"-")</f>
        <v>Pakaian Wanita</v>
      </c>
      <c r="L965" t="str">
        <f>IFERROR(INDEX(Katalog!$B$3:$B$12,MATCH(Data[[#This Row],[ItemID B]],Katalog!$C$3:$C$12,0)),"-")</f>
        <v>Blouse</v>
      </c>
      <c r="M965">
        <v>3</v>
      </c>
      <c r="N965">
        <v>2</v>
      </c>
      <c r="O965" s="36">
        <f>IFERROR(INDEX(Katalog!$D$3:$D$12,MATCH(Data[[#This Row],[ItemID B]],Katalog!$C$3:$C$12,0))*Data[[#This Row],[Qty B]],"0")</f>
        <v>450000</v>
      </c>
      <c r="P965" s="36">
        <f>IFERROR(INDEX(Katalog!$F$3:$F$12,MATCH(Data[[#This Row],[ItemID B]],Katalog!$C$3:$C$12,0))*Data[[#This Row],[Qty B]],"0")</f>
        <v>150000</v>
      </c>
      <c r="R965" t="str">
        <f>IFERROR(INDEX(Katalog!$A$3:$A$12,MATCH(Data[[#This Row],[ItemID C]],Katalog!$C$3:$C$12,0)),"-")</f>
        <v>-</v>
      </c>
      <c r="S965" t="str">
        <f>IFERROR(INDEX(Katalog!$B$3:$B$12,MATCH(Data[[#This Row],[ItemID C]],Katalog!$C$3:$C$12,0)),"-")</f>
        <v>-</v>
      </c>
      <c r="V965" s="36" t="str">
        <f>IFERROR(INDEX(Katalog!$D$3:$D$12,MATCH(Data[[#This Row],[ItemID C]],Katalog!$C$3:$C$12,0))*Data[[#This Row],[Qty C]],"0")</f>
        <v>0</v>
      </c>
      <c r="W965" s="36" t="str">
        <f>IFERROR(INDEX(Katalog!$F$3:$F$12,MATCH(Data[[#This Row],[ItemID C]],Katalog!$C$3:$C$12,0))*Data[[#This Row],[Qty C]],"0")</f>
        <v>0</v>
      </c>
      <c r="X965" s="21">
        <f>Data[[#This Row],[Qty A]]+Data[[#This Row],[Qty B]]+Data[[#This Row],[Qty C]]</f>
        <v>6</v>
      </c>
      <c r="Y965" s="22">
        <f>Data[[#This Row],[Harga Barang A]]+Data[[#This Row],[Harga Barang B]]+Data[[#This Row],[Harga Barang C]]</f>
        <v>1650000</v>
      </c>
      <c r="Z965" s="35">
        <f>IFERROR(Data[[#This Row],[Total Harga]]-(Data[[#This Row],[Total Harga]]*Data[[#This Row],[Diskon]]),Data[[#This Row],[Total Harga]])</f>
        <v>1402500</v>
      </c>
      <c r="AA965" s="35">
        <f>(Data[[#This Row],[Profit A]]+Data[[#This Row],[Profit B]]+Data[[#This Row],[Profit C]])</f>
        <v>600000</v>
      </c>
      <c r="AB965" s="35">
        <f>IFERROR((Data[[#This Row],[Profit non Diskon]]-(Data[[#This Row],[Profit non Diskon]]*Data[[#This Row],[Diskon]])),Data[[#This Row],[Profit non Diskon]])</f>
        <v>510000</v>
      </c>
      <c r="AC965" s="23" t="s">
        <v>28</v>
      </c>
      <c r="AD965" s="37">
        <f>IFERROR(INDEX('Kode Diskon'!$D$3:$D$9,MATCH(Data[[#This Row],[Kode diskon]],'Kode Diskon'!$C$3:$C$9,0)),"-")</f>
        <v>0.15</v>
      </c>
      <c r="AE965" s="23" t="s">
        <v>29</v>
      </c>
      <c r="AF965" s="23" t="s">
        <v>14</v>
      </c>
      <c r="AG965" s="23" t="s">
        <v>75</v>
      </c>
      <c r="AH965" s="24">
        <v>45022</v>
      </c>
      <c r="AI965" s="23" t="str">
        <f>TEXT(Data[[#This Row],[Tanggal terjual]],"dddd")</f>
        <v>Thursday</v>
      </c>
      <c r="AJ965" s="21" t="str">
        <f>TEXT(Data[[#This Row],[Tanggal terjual]],"wwww")</f>
        <v>wwww</v>
      </c>
    </row>
    <row r="966" spans="1:36" x14ac:dyDescent="0.2">
      <c r="A966" s="20">
        <v>965</v>
      </c>
      <c r="B966" s="21" t="str">
        <f>_xlfn.CONCAT("ORD-",INDEX(Helper!$B$2:$B$5,MATCH(Data[[#This Row],[Marketplace]],Helper!$A$2:$A$5,0)),TEXT(Data[[#This Row],[No]],"0000"),"-",TEXT(Data[[#This Row],[Tanggal terjual]],"dd/mm/yy"))</f>
        <v>ORD-BL0965-29/04/23</v>
      </c>
      <c r="C966" t="s">
        <v>65</v>
      </c>
      <c r="D966" t="str">
        <f>IFERROR(INDEX(Katalog!$A$3:$A$12,MATCH(Data[[#This Row],[ItemID A]],Katalog!$C$3:$C$12,0)),"-")</f>
        <v>Sepatu Pria</v>
      </c>
      <c r="E966" t="str">
        <f>IFERROR(INDEX(Katalog!$B$3:$B$12,MATCH(Data[[#This Row],[ItemID A]],Katalog!$C$3:$C$12,0)),"-")</f>
        <v>Sneakers</v>
      </c>
      <c r="F966">
        <v>4</v>
      </c>
      <c r="G966">
        <v>5</v>
      </c>
      <c r="H966" s="36">
        <f>IFERROR(INDEX(Katalog!$D$3:$D$12,MATCH(Data[[#This Row],[ItemID A]],Katalog!$C$3:$C$12,0))*Data[[#This Row],[Qty A]],"0")</f>
        <v>2000000</v>
      </c>
      <c r="I966" s="36">
        <f>IFERROR(INDEX(Katalog!$F$3:$F$12,MATCH(Data[[#This Row],[ItemID A]],Katalog!$C$3:$C$12,0))*Data[[#This Row],[Qty A]],0)</f>
        <v>800000</v>
      </c>
      <c r="K966" t="str">
        <f>IFERROR(INDEX(Katalog!$A$3:$A$12,MATCH(Data[[#This Row],[ItemID B]],Katalog!$C$3:$C$12,0)),"-")</f>
        <v>-</v>
      </c>
      <c r="L966" t="str">
        <f>IFERROR(INDEX(Katalog!$B$3:$B$12,MATCH(Data[[#This Row],[ItemID B]],Katalog!$C$3:$C$12,0)),"-")</f>
        <v>-</v>
      </c>
      <c r="O966" s="36" t="str">
        <f>IFERROR(INDEX(Katalog!$D$3:$D$12,MATCH(Data[[#This Row],[ItemID B]],Katalog!$C$3:$C$12,0))*Data[[#This Row],[Qty B]],"0")</f>
        <v>0</v>
      </c>
      <c r="P966" s="36" t="str">
        <f>IFERROR(INDEX(Katalog!$F$3:$F$12,MATCH(Data[[#This Row],[ItemID B]],Katalog!$C$3:$C$12,0))*Data[[#This Row],[Qty B]],"0")</f>
        <v>0</v>
      </c>
      <c r="R966" t="str">
        <f>IFERROR(INDEX(Katalog!$A$3:$A$12,MATCH(Data[[#This Row],[ItemID C]],Katalog!$C$3:$C$12,0)),"-")</f>
        <v>-</v>
      </c>
      <c r="S966" t="str">
        <f>IFERROR(INDEX(Katalog!$B$3:$B$12,MATCH(Data[[#This Row],[ItemID C]],Katalog!$C$3:$C$12,0)),"-")</f>
        <v>-</v>
      </c>
      <c r="V966" s="36" t="str">
        <f>IFERROR(INDEX(Katalog!$D$3:$D$12,MATCH(Data[[#This Row],[ItemID C]],Katalog!$C$3:$C$12,0))*Data[[#This Row],[Qty C]],"0")</f>
        <v>0</v>
      </c>
      <c r="W966" s="36" t="str">
        <f>IFERROR(INDEX(Katalog!$F$3:$F$12,MATCH(Data[[#This Row],[ItemID C]],Katalog!$C$3:$C$12,0))*Data[[#This Row],[Qty C]],"0")</f>
        <v>0</v>
      </c>
      <c r="X966" s="21">
        <f>Data[[#This Row],[Qty A]]+Data[[#This Row],[Qty B]]+Data[[#This Row],[Qty C]]</f>
        <v>4</v>
      </c>
      <c r="Y966" s="22">
        <f>Data[[#This Row],[Harga Barang A]]+Data[[#This Row],[Harga Barang B]]+Data[[#This Row],[Harga Barang C]]</f>
        <v>2000000</v>
      </c>
      <c r="Z966" s="35">
        <f>IFERROR(Data[[#This Row],[Total Harga]]-(Data[[#This Row],[Total Harga]]*Data[[#This Row],[Diskon]]),Data[[#This Row],[Total Harga]])</f>
        <v>1700000</v>
      </c>
      <c r="AA966" s="35">
        <f>(Data[[#This Row],[Profit A]]+Data[[#This Row],[Profit B]]+Data[[#This Row],[Profit C]])</f>
        <v>800000</v>
      </c>
      <c r="AB966" s="35">
        <f>IFERROR((Data[[#This Row],[Profit non Diskon]]-(Data[[#This Row],[Profit non Diskon]]*Data[[#This Row],[Diskon]])),Data[[#This Row],[Profit non Diskon]])</f>
        <v>680000</v>
      </c>
      <c r="AC966" s="23" t="s">
        <v>32</v>
      </c>
      <c r="AD966" s="37">
        <f>IFERROR(INDEX('Kode Diskon'!$D$3:$D$9,MATCH(Data[[#This Row],[Kode diskon]],'Kode Diskon'!$C$3:$C$9,0)),"-")</f>
        <v>0.15</v>
      </c>
      <c r="AE966" s="23" t="s">
        <v>9</v>
      </c>
      <c r="AF966" s="23" t="s">
        <v>12</v>
      </c>
      <c r="AG966" s="23" t="s">
        <v>75</v>
      </c>
      <c r="AH966" s="24">
        <v>45045</v>
      </c>
      <c r="AI966" s="23" t="str">
        <f>TEXT(Data[[#This Row],[Tanggal terjual]],"dddd")</f>
        <v>Saturday</v>
      </c>
      <c r="AJ966" s="21" t="str">
        <f>TEXT(Data[[#This Row],[Tanggal terjual]],"wwww")</f>
        <v>wwww</v>
      </c>
    </row>
    <row r="967" spans="1:36" x14ac:dyDescent="0.2">
      <c r="A967" s="20">
        <v>966</v>
      </c>
      <c r="B967" s="21" t="str">
        <f>_xlfn.CONCAT("ORD-",INDEX(Helper!$B$2:$B$5,MATCH(Data[[#This Row],[Marketplace]],Helper!$A$2:$A$5,0)),TEXT(Data[[#This Row],[No]],"0000"),"-",TEXT(Data[[#This Row],[Tanggal terjual]],"dd/mm/yy"))</f>
        <v>ORD-SP0966-09/04/23</v>
      </c>
      <c r="C967" t="s">
        <v>61</v>
      </c>
      <c r="D967" t="str">
        <f>IFERROR(INDEX(Katalog!$A$3:$A$12,MATCH(Data[[#This Row],[ItemID A]],Katalog!$C$3:$C$12,0)),"-")</f>
        <v>Pakaian Pria</v>
      </c>
      <c r="E967" t="str">
        <f>IFERROR(INDEX(Katalog!$B$3:$B$12,MATCH(Data[[#This Row],[ItemID A]],Katalog!$C$3:$C$12,0)),"-")</f>
        <v>Kaos Polo</v>
      </c>
      <c r="F967">
        <v>2</v>
      </c>
      <c r="G967">
        <v>1</v>
      </c>
      <c r="H967" s="36">
        <f>IFERROR(INDEX(Katalog!$D$3:$D$12,MATCH(Data[[#This Row],[ItemID A]],Katalog!$C$3:$C$12,0))*Data[[#This Row],[Qty A]],"0")</f>
        <v>400000</v>
      </c>
      <c r="I967" s="36">
        <f>IFERROR(INDEX(Katalog!$F$3:$F$12,MATCH(Data[[#This Row],[ItemID A]],Katalog!$C$3:$C$12,0))*Data[[#This Row],[Qty A]],0)</f>
        <v>160000</v>
      </c>
      <c r="J967" t="s">
        <v>60</v>
      </c>
      <c r="K967" t="str">
        <f>IFERROR(INDEX(Katalog!$A$3:$A$12,MATCH(Data[[#This Row],[ItemID B]],Katalog!$C$3:$C$12,0)),"-")</f>
        <v>Pakaian Wanita</v>
      </c>
      <c r="L967" t="str">
        <f>IFERROR(INDEX(Katalog!$B$3:$B$12,MATCH(Data[[#This Row],[ItemID B]],Katalog!$C$3:$C$12,0)),"-")</f>
        <v>Kaftan</v>
      </c>
      <c r="M967">
        <v>1</v>
      </c>
      <c r="N967">
        <v>4</v>
      </c>
      <c r="O967" s="36">
        <f>IFERROR(INDEX(Katalog!$D$3:$D$12,MATCH(Data[[#This Row],[ItemID B]],Katalog!$C$3:$C$12,0))*Data[[#This Row],[Qty B]],"0")</f>
        <v>250000</v>
      </c>
      <c r="P967" s="36">
        <f>IFERROR(INDEX(Katalog!$F$3:$F$12,MATCH(Data[[#This Row],[ItemID B]],Katalog!$C$3:$C$12,0))*Data[[#This Row],[Qty B]],"0")</f>
        <v>100000</v>
      </c>
      <c r="Q967" t="s">
        <v>67</v>
      </c>
      <c r="R967" t="str">
        <f>IFERROR(INDEX(Katalog!$A$3:$A$12,MATCH(Data[[#This Row],[ItemID C]],Katalog!$C$3:$C$12,0)),"-")</f>
        <v>Sepatu Wanita</v>
      </c>
      <c r="S967" t="str">
        <f>IFERROR(INDEX(Katalog!$B$3:$B$12,MATCH(Data[[#This Row],[ItemID C]],Katalog!$C$3:$C$12,0)),"-")</f>
        <v>Flat Shoes</v>
      </c>
      <c r="T967">
        <v>1</v>
      </c>
      <c r="U967">
        <v>3</v>
      </c>
      <c r="V967" s="36">
        <f>IFERROR(INDEX(Katalog!$D$3:$D$12,MATCH(Data[[#This Row],[ItemID C]],Katalog!$C$3:$C$12,0))*Data[[#This Row],[Qty C]],"0")</f>
        <v>250000</v>
      </c>
      <c r="W967" s="36">
        <f>IFERROR(INDEX(Katalog!$F$3:$F$12,MATCH(Data[[#This Row],[ItemID C]],Katalog!$C$3:$C$12,0))*Data[[#This Row],[Qty C]],"0")</f>
        <v>100000</v>
      </c>
      <c r="X967" s="21">
        <f>Data[[#This Row],[Qty A]]+Data[[#This Row],[Qty B]]+Data[[#This Row],[Qty C]]</f>
        <v>4</v>
      </c>
      <c r="Y967" s="22">
        <f>Data[[#This Row],[Harga Barang A]]+Data[[#This Row],[Harga Barang B]]+Data[[#This Row],[Harga Barang C]]</f>
        <v>900000</v>
      </c>
      <c r="Z967" s="35">
        <f>IFERROR(Data[[#This Row],[Total Harga]]-(Data[[#This Row],[Total Harga]]*Data[[#This Row],[Diskon]]),Data[[#This Row],[Total Harga]])</f>
        <v>900000</v>
      </c>
      <c r="AA967" s="35">
        <f>(Data[[#This Row],[Profit A]]+Data[[#This Row],[Profit B]]+Data[[#This Row],[Profit C]])</f>
        <v>360000</v>
      </c>
      <c r="AB967" s="35">
        <f>IFERROR((Data[[#This Row],[Profit non Diskon]]-(Data[[#This Row],[Profit non Diskon]]*Data[[#This Row],[Diskon]])),Data[[#This Row],[Profit non Diskon]])</f>
        <v>360000</v>
      </c>
      <c r="AC967" s="23" t="s">
        <v>11</v>
      </c>
      <c r="AD967" s="37" t="str">
        <f>IFERROR(INDEX('Kode Diskon'!$D$3:$D$9,MATCH(Data[[#This Row],[Kode diskon]],'Kode Diskon'!$C$3:$C$9,0)),"-")</f>
        <v>-</v>
      </c>
      <c r="AE967" s="23" t="s">
        <v>11</v>
      </c>
      <c r="AF967" s="23" t="s">
        <v>7</v>
      </c>
      <c r="AG967" s="23" t="s">
        <v>76</v>
      </c>
      <c r="AH967" s="24">
        <v>45025</v>
      </c>
      <c r="AI967" s="23" t="str">
        <f>TEXT(Data[[#This Row],[Tanggal terjual]],"dddd")</f>
        <v>Sunday</v>
      </c>
      <c r="AJ967" s="21" t="str">
        <f>TEXT(Data[[#This Row],[Tanggal terjual]],"wwww")</f>
        <v>wwww</v>
      </c>
    </row>
    <row r="968" spans="1:36" x14ac:dyDescent="0.2">
      <c r="A968" s="20">
        <v>967</v>
      </c>
      <c r="B968" s="21" t="str">
        <f>_xlfn.CONCAT("ORD-",INDEX(Helper!$B$2:$B$5,MATCH(Data[[#This Row],[Marketplace]],Helper!$A$2:$A$5,0)),TEXT(Data[[#This Row],[No]],"0000"),"-",TEXT(Data[[#This Row],[Tanggal terjual]],"dd/mm/yy"))</f>
        <v>ORD-TK0967-30/04/23</v>
      </c>
      <c r="C968" t="s">
        <v>64</v>
      </c>
      <c r="D968" t="str">
        <f>IFERROR(INDEX(Katalog!$A$3:$A$12,MATCH(Data[[#This Row],[ItemID A]],Katalog!$C$3:$C$12,0)),"-")</f>
        <v>Pakaian Unisex</v>
      </c>
      <c r="E968" t="str">
        <f>IFERROR(INDEX(Katalog!$B$3:$B$12,MATCH(Data[[#This Row],[ItemID A]],Katalog!$C$3:$C$12,0)),"-")</f>
        <v>Jaket Hoodie</v>
      </c>
      <c r="F968">
        <v>2</v>
      </c>
      <c r="G968">
        <v>4</v>
      </c>
      <c r="H968" s="36">
        <f>IFERROR(INDEX(Katalog!$D$3:$D$12,MATCH(Data[[#This Row],[ItemID A]],Katalog!$C$3:$C$12,0))*Data[[#This Row],[Qty A]],"0")</f>
        <v>700000</v>
      </c>
      <c r="I968" s="36">
        <f>IFERROR(INDEX(Katalog!$F$3:$F$12,MATCH(Data[[#This Row],[ItemID A]],Katalog!$C$3:$C$12,0))*Data[[#This Row],[Qty A]],0)</f>
        <v>260000</v>
      </c>
      <c r="J968" t="s">
        <v>67</v>
      </c>
      <c r="K968" t="str">
        <f>IFERROR(INDEX(Katalog!$A$3:$A$12,MATCH(Data[[#This Row],[ItemID B]],Katalog!$C$3:$C$12,0)),"-")</f>
        <v>Sepatu Wanita</v>
      </c>
      <c r="L968" t="str">
        <f>IFERROR(INDEX(Katalog!$B$3:$B$12,MATCH(Data[[#This Row],[ItemID B]],Katalog!$C$3:$C$12,0)),"-")</f>
        <v>Flat Shoes</v>
      </c>
      <c r="M968">
        <v>2</v>
      </c>
      <c r="N968">
        <v>1</v>
      </c>
      <c r="O968" s="36">
        <f>IFERROR(INDEX(Katalog!$D$3:$D$12,MATCH(Data[[#This Row],[ItemID B]],Katalog!$C$3:$C$12,0))*Data[[#This Row],[Qty B]],"0")</f>
        <v>500000</v>
      </c>
      <c r="P968" s="36">
        <f>IFERROR(INDEX(Katalog!$F$3:$F$12,MATCH(Data[[#This Row],[ItemID B]],Katalog!$C$3:$C$12,0))*Data[[#This Row],[Qty B]],"0")</f>
        <v>200000</v>
      </c>
      <c r="Q968" t="s">
        <v>58</v>
      </c>
      <c r="R968" t="str">
        <f>IFERROR(INDEX(Katalog!$A$3:$A$12,MATCH(Data[[#This Row],[ItemID C]],Katalog!$C$3:$C$12,0)),"-")</f>
        <v>Pakaian Wanita</v>
      </c>
      <c r="S968" t="str">
        <f>IFERROR(INDEX(Katalog!$B$3:$B$12,MATCH(Data[[#This Row],[ItemID C]],Katalog!$C$3:$C$12,0)),"-")</f>
        <v>Dress</v>
      </c>
      <c r="T968">
        <v>1</v>
      </c>
      <c r="U968">
        <v>4</v>
      </c>
      <c r="V968" s="36">
        <f>IFERROR(INDEX(Katalog!$D$3:$D$12,MATCH(Data[[#This Row],[ItemID C]],Katalog!$C$3:$C$12,0))*Data[[#This Row],[Qty C]],"0")</f>
        <v>300000</v>
      </c>
      <c r="W968" s="36">
        <f>IFERROR(INDEX(Katalog!$F$3:$F$12,MATCH(Data[[#This Row],[ItemID C]],Katalog!$C$3:$C$12,0))*Data[[#This Row],[Qty C]],"0")</f>
        <v>100000</v>
      </c>
      <c r="X968" s="21">
        <f>Data[[#This Row],[Qty A]]+Data[[#This Row],[Qty B]]+Data[[#This Row],[Qty C]]</f>
        <v>5</v>
      </c>
      <c r="Y968" s="22">
        <f>Data[[#This Row],[Harga Barang A]]+Data[[#This Row],[Harga Barang B]]+Data[[#This Row],[Harga Barang C]]</f>
        <v>1500000</v>
      </c>
      <c r="Z968" s="35">
        <f>IFERROR(Data[[#This Row],[Total Harga]]-(Data[[#This Row],[Total Harga]]*Data[[#This Row],[Diskon]]),Data[[#This Row],[Total Harga]])</f>
        <v>1350000</v>
      </c>
      <c r="AA968" s="35">
        <f>(Data[[#This Row],[Profit A]]+Data[[#This Row],[Profit B]]+Data[[#This Row],[Profit C]])</f>
        <v>560000</v>
      </c>
      <c r="AB968" s="35">
        <f>IFERROR((Data[[#This Row],[Profit non Diskon]]-(Data[[#This Row],[Profit non Diskon]]*Data[[#This Row],[Diskon]])),Data[[#This Row],[Profit non Diskon]])</f>
        <v>504000</v>
      </c>
      <c r="AC968" s="23" t="s">
        <v>31</v>
      </c>
      <c r="AD968" s="37">
        <f>IFERROR(INDEX('Kode Diskon'!$D$3:$D$9,MATCH(Data[[#This Row],[Kode diskon]],'Kode Diskon'!$C$3:$C$9,0)),"-")</f>
        <v>0.1</v>
      </c>
      <c r="AE968" s="23" t="s">
        <v>9</v>
      </c>
      <c r="AF968" s="23" t="s">
        <v>10</v>
      </c>
      <c r="AG968" s="23" t="s">
        <v>80</v>
      </c>
      <c r="AH968" s="24">
        <v>45046</v>
      </c>
      <c r="AI968" s="23" t="str">
        <f>TEXT(Data[[#This Row],[Tanggal terjual]],"dddd")</f>
        <v>Sunday</v>
      </c>
      <c r="AJ968" s="21" t="str">
        <f>TEXT(Data[[#This Row],[Tanggal terjual]],"wwww")</f>
        <v>wwww</v>
      </c>
    </row>
    <row r="969" spans="1:36" x14ac:dyDescent="0.2">
      <c r="A969" s="20">
        <v>968</v>
      </c>
      <c r="B969" s="21" t="str">
        <f>_xlfn.CONCAT("ORD-",INDEX(Helper!$B$2:$B$5,MATCH(Data[[#This Row],[Marketplace]],Helper!$A$2:$A$5,0)),TEXT(Data[[#This Row],[No]],"0000"),"-",TEXT(Data[[#This Row],[Tanggal terjual]],"dd/mm/yy"))</f>
        <v>ORD-BB0968-09/04/23</v>
      </c>
      <c r="C969" t="s">
        <v>67</v>
      </c>
      <c r="D969" t="str">
        <f>IFERROR(INDEX(Katalog!$A$3:$A$12,MATCH(Data[[#This Row],[ItemID A]],Katalog!$C$3:$C$12,0)),"-")</f>
        <v>Sepatu Wanita</v>
      </c>
      <c r="E969" t="str">
        <f>IFERROR(INDEX(Katalog!$B$3:$B$12,MATCH(Data[[#This Row],[ItemID A]],Katalog!$C$3:$C$12,0)),"-")</f>
        <v>Flat Shoes</v>
      </c>
      <c r="F969">
        <v>2</v>
      </c>
      <c r="G969">
        <v>4</v>
      </c>
      <c r="H969" s="36">
        <f>IFERROR(INDEX(Katalog!$D$3:$D$12,MATCH(Data[[#This Row],[ItemID A]],Katalog!$C$3:$C$12,0))*Data[[#This Row],[Qty A]],"0")</f>
        <v>500000</v>
      </c>
      <c r="I969" s="36">
        <f>IFERROR(INDEX(Katalog!$F$3:$F$12,MATCH(Data[[#This Row],[ItemID A]],Katalog!$C$3:$C$12,0))*Data[[#This Row],[Qty A]],0)</f>
        <v>200000</v>
      </c>
      <c r="J969" t="s">
        <v>65</v>
      </c>
      <c r="K969" t="str">
        <f>IFERROR(INDEX(Katalog!$A$3:$A$12,MATCH(Data[[#This Row],[ItemID B]],Katalog!$C$3:$C$12,0)),"-")</f>
        <v>Sepatu Pria</v>
      </c>
      <c r="L969" t="str">
        <f>IFERROR(INDEX(Katalog!$B$3:$B$12,MATCH(Data[[#This Row],[ItemID B]],Katalog!$C$3:$C$12,0)),"-")</f>
        <v>Sneakers</v>
      </c>
      <c r="M969">
        <v>3</v>
      </c>
      <c r="N969">
        <v>4</v>
      </c>
      <c r="O969" s="36">
        <f>IFERROR(INDEX(Katalog!$D$3:$D$12,MATCH(Data[[#This Row],[ItemID B]],Katalog!$C$3:$C$12,0))*Data[[#This Row],[Qty B]],"0")</f>
        <v>1500000</v>
      </c>
      <c r="P969" s="36">
        <f>IFERROR(INDEX(Katalog!$F$3:$F$12,MATCH(Data[[#This Row],[ItemID B]],Katalog!$C$3:$C$12,0))*Data[[#This Row],[Qty B]],"0")</f>
        <v>600000</v>
      </c>
      <c r="Q969" t="s">
        <v>62</v>
      </c>
      <c r="R969" t="str">
        <f>IFERROR(INDEX(Katalog!$A$3:$A$12,MATCH(Data[[#This Row],[ItemID C]],Katalog!$C$3:$C$12,0)),"-")</f>
        <v>Pakaian Pria</v>
      </c>
      <c r="S969" t="str">
        <f>IFERROR(INDEX(Katalog!$B$3:$B$12,MATCH(Data[[#This Row],[ItemID C]],Katalog!$C$3:$C$12,0)),"-")</f>
        <v>Celana Pendek</v>
      </c>
      <c r="T969">
        <v>1</v>
      </c>
      <c r="U969">
        <v>5</v>
      </c>
      <c r="V969" s="36">
        <f>IFERROR(INDEX(Katalog!$D$3:$D$12,MATCH(Data[[#This Row],[ItemID C]],Katalog!$C$3:$C$12,0))*Data[[#This Row],[Qty C]],"0")</f>
        <v>180000</v>
      </c>
      <c r="W969" s="36">
        <f>IFERROR(INDEX(Katalog!$F$3:$F$12,MATCH(Data[[#This Row],[ItemID C]],Katalog!$C$3:$C$12,0))*Data[[#This Row],[Qty C]],"0")</f>
        <v>70000</v>
      </c>
      <c r="X969" s="21">
        <f>Data[[#This Row],[Qty A]]+Data[[#This Row],[Qty B]]+Data[[#This Row],[Qty C]]</f>
        <v>6</v>
      </c>
      <c r="Y969" s="22">
        <f>Data[[#This Row],[Harga Barang A]]+Data[[#This Row],[Harga Barang B]]+Data[[#This Row],[Harga Barang C]]</f>
        <v>2180000</v>
      </c>
      <c r="Z969" s="35">
        <f>IFERROR(Data[[#This Row],[Total Harga]]-(Data[[#This Row],[Total Harga]]*Data[[#This Row],[Diskon]]),Data[[#This Row],[Total Harga]])</f>
        <v>2180000</v>
      </c>
      <c r="AA969" s="35">
        <f>(Data[[#This Row],[Profit A]]+Data[[#This Row],[Profit B]]+Data[[#This Row],[Profit C]])</f>
        <v>870000</v>
      </c>
      <c r="AB969" s="35">
        <f>IFERROR((Data[[#This Row],[Profit non Diskon]]-(Data[[#This Row],[Profit non Diskon]]*Data[[#This Row],[Diskon]])),Data[[#This Row],[Profit non Diskon]])</f>
        <v>870000</v>
      </c>
      <c r="AC969" s="23" t="s">
        <v>11</v>
      </c>
      <c r="AD969" s="37" t="str">
        <f>IFERROR(INDEX('Kode Diskon'!$D$3:$D$9,MATCH(Data[[#This Row],[Kode diskon]],'Kode Diskon'!$C$3:$C$9,0)),"-")</f>
        <v>-</v>
      </c>
      <c r="AE969" s="23" t="s">
        <v>11</v>
      </c>
      <c r="AF969" s="23" t="s">
        <v>14</v>
      </c>
      <c r="AG969" s="23" t="s">
        <v>75</v>
      </c>
      <c r="AH969" s="24">
        <v>45025</v>
      </c>
      <c r="AI969" s="23" t="str">
        <f>TEXT(Data[[#This Row],[Tanggal terjual]],"dddd")</f>
        <v>Sunday</v>
      </c>
      <c r="AJ969" s="21" t="str">
        <f>TEXT(Data[[#This Row],[Tanggal terjual]],"wwww")</f>
        <v>wwww</v>
      </c>
    </row>
    <row r="970" spans="1:36" x14ac:dyDescent="0.2">
      <c r="A970" s="20">
        <v>969</v>
      </c>
      <c r="B970" s="21" t="str">
        <f>_xlfn.CONCAT("ORD-",INDEX(Helper!$B$2:$B$5,MATCH(Data[[#This Row],[Marketplace]],Helper!$A$2:$A$5,0)),TEXT(Data[[#This Row],[No]],"0000"),"-",TEXT(Data[[#This Row],[Tanggal terjual]],"dd/mm/yy"))</f>
        <v>ORD-TK0969-28/04/23</v>
      </c>
      <c r="C970" t="s">
        <v>63</v>
      </c>
      <c r="D970" t="str">
        <f>IFERROR(INDEX(Katalog!$A$3:$A$12,MATCH(Data[[#This Row],[ItemID A]],Katalog!$C$3:$C$12,0)),"-")</f>
        <v>Pakaian Pria</v>
      </c>
      <c r="E970" t="str">
        <f>IFERROR(INDEX(Katalog!$B$3:$B$12,MATCH(Data[[#This Row],[ItemID A]],Katalog!$C$3:$C$12,0)),"-")</f>
        <v>Jaket Jeans</v>
      </c>
      <c r="F970">
        <v>3</v>
      </c>
      <c r="G970">
        <v>5</v>
      </c>
      <c r="H970" s="36">
        <f>IFERROR(INDEX(Katalog!$D$3:$D$12,MATCH(Data[[#This Row],[ItemID A]],Katalog!$C$3:$C$12,0))*Data[[#This Row],[Qty A]],"0")</f>
        <v>1200000</v>
      </c>
      <c r="I970" s="36">
        <f>IFERROR(INDEX(Katalog!$F$3:$F$12,MATCH(Data[[#This Row],[ItemID A]],Katalog!$C$3:$C$12,0))*Data[[#This Row],[Qty A]],0)</f>
        <v>450000</v>
      </c>
      <c r="J970" t="s">
        <v>58</v>
      </c>
      <c r="K970" t="str">
        <f>IFERROR(INDEX(Katalog!$A$3:$A$12,MATCH(Data[[#This Row],[ItemID B]],Katalog!$C$3:$C$12,0)),"-")</f>
        <v>Pakaian Wanita</v>
      </c>
      <c r="L970" t="str">
        <f>IFERROR(INDEX(Katalog!$B$3:$B$12,MATCH(Data[[#This Row],[ItemID B]],Katalog!$C$3:$C$12,0)),"-")</f>
        <v>Dress</v>
      </c>
      <c r="M970">
        <v>1</v>
      </c>
      <c r="N970">
        <v>4</v>
      </c>
      <c r="O970" s="36">
        <f>IFERROR(INDEX(Katalog!$D$3:$D$12,MATCH(Data[[#This Row],[ItemID B]],Katalog!$C$3:$C$12,0))*Data[[#This Row],[Qty B]],"0")</f>
        <v>300000</v>
      </c>
      <c r="P970" s="36">
        <f>IFERROR(INDEX(Katalog!$F$3:$F$12,MATCH(Data[[#This Row],[ItemID B]],Katalog!$C$3:$C$12,0))*Data[[#This Row],[Qty B]],"0")</f>
        <v>100000</v>
      </c>
      <c r="Q970" t="s">
        <v>59</v>
      </c>
      <c r="R970" t="str">
        <f>IFERROR(INDEX(Katalog!$A$3:$A$12,MATCH(Data[[#This Row],[ItemID C]],Katalog!$C$3:$C$12,0)),"-")</f>
        <v>Pakaian Wanita</v>
      </c>
      <c r="S970" t="str">
        <f>IFERROR(INDEX(Katalog!$B$3:$B$12,MATCH(Data[[#This Row],[ItemID C]],Katalog!$C$3:$C$12,0)),"-")</f>
        <v>Blouse</v>
      </c>
      <c r="T970">
        <v>2</v>
      </c>
      <c r="U970">
        <v>5</v>
      </c>
      <c r="V970" s="36">
        <f>IFERROR(INDEX(Katalog!$D$3:$D$12,MATCH(Data[[#This Row],[ItemID C]],Katalog!$C$3:$C$12,0))*Data[[#This Row],[Qty C]],"0")</f>
        <v>300000</v>
      </c>
      <c r="W970" s="36">
        <f>IFERROR(INDEX(Katalog!$F$3:$F$12,MATCH(Data[[#This Row],[ItemID C]],Katalog!$C$3:$C$12,0))*Data[[#This Row],[Qty C]],"0")</f>
        <v>100000</v>
      </c>
      <c r="X970" s="21">
        <f>Data[[#This Row],[Qty A]]+Data[[#This Row],[Qty B]]+Data[[#This Row],[Qty C]]</f>
        <v>6</v>
      </c>
      <c r="Y970" s="22">
        <f>Data[[#This Row],[Harga Barang A]]+Data[[#This Row],[Harga Barang B]]+Data[[#This Row],[Harga Barang C]]</f>
        <v>1800000</v>
      </c>
      <c r="Z970" s="35">
        <f>IFERROR(Data[[#This Row],[Total Harga]]-(Data[[#This Row],[Total Harga]]*Data[[#This Row],[Diskon]]),Data[[#This Row],[Total Harga]])</f>
        <v>1620000</v>
      </c>
      <c r="AA970" s="35">
        <f>(Data[[#This Row],[Profit A]]+Data[[#This Row],[Profit B]]+Data[[#This Row],[Profit C]])</f>
        <v>650000</v>
      </c>
      <c r="AB970" s="35">
        <f>IFERROR((Data[[#This Row],[Profit non Diskon]]-(Data[[#This Row],[Profit non Diskon]]*Data[[#This Row],[Diskon]])),Data[[#This Row],[Profit non Diskon]])</f>
        <v>585000</v>
      </c>
      <c r="AC970" s="23" t="s">
        <v>31</v>
      </c>
      <c r="AD970" s="37">
        <f>IFERROR(INDEX('Kode Diskon'!$D$3:$D$9,MATCH(Data[[#This Row],[Kode diskon]],'Kode Diskon'!$C$3:$C$9,0)),"-")</f>
        <v>0.1</v>
      </c>
      <c r="AE970" s="23" t="s">
        <v>9</v>
      </c>
      <c r="AF970" s="23" t="s">
        <v>10</v>
      </c>
      <c r="AG970" s="23" t="s">
        <v>75</v>
      </c>
      <c r="AH970" s="24">
        <v>45044</v>
      </c>
      <c r="AI970" s="23" t="str">
        <f>TEXT(Data[[#This Row],[Tanggal terjual]],"dddd")</f>
        <v>Friday</v>
      </c>
      <c r="AJ970" s="21" t="str">
        <f>TEXT(Data[[#This Row],[Tanggal terjual]],"wwww")</f>
        <v>wwww</v>
      </c>
    </row>
    <row r="971" spans="1:36" x14ac:dyDescent="0.2">
      <c r="A971" s="20">
        <v>970</v>
      </c>
      <c r="B971" s="21" t="str">
        <f>_xlfn.CONCAT("ORD-",INDEX(Helper!$B$2:$B$5,MATCH(Data[[#This Row],[Marketplace]],Helper!$A$2:$A$5,0)),TEXT(Data[[#This Row],[No]],"0000"),"-",TEXT(Data[[#This Row],[Tanggal terjual]],"dd/mm/yy"))</f>
        <v>ORD-SP0970-04/04/23</v>
      </c>
      <c r="C971" t="s">
        <v>66</v>
      </c>
      <c r="D971" t="str">
        <f>IFERROR(INDEX(Katalog!$A$3:$A$12,MATCH(Data[[#This Row],[ItemID A]],Katalog!$C$3:$C$12,0)),"-")</f>
        <v>Sepatu Pria</v>
      </c>
      <c r="E971" t="str">
        <f>IFERROR(INDEX(Katalog!$B$3:$B$12,MATCH(Data[[#This Row],[ItemID A]],Katalog!$C$3:$C$12,0)),"-")</f>
        <v>Sandal Slip On</v>
      </c>
      <c r="F971">
        <v>1</v>
      </c>
      <c r="G971">
        <v>4</v>
      </c>
      <c r="H971" s="36">
        <f>IFERROR(INDEX(Katalog!$D$3:$D$12,MATCH(Data[[#This Row],[ItemID A]],Katalog!$C$3:$C$12,0))*Data[[#This Row],[Qty A]],"0")</f>
        <v>150000</v>
      </c>
      <c r="I971" s="36">
        <f>IFERROR(INDEX(Katalog!$F$3:$F$12,MATCH(Data[[#This Row],[ItemID A]],Katalog!$C$3:$C$12,0))*Data[[#This Row],[Qty A]],0)</f>
        <v>60000</v>
      </c>
      <c r="J971" t="s">
        <v>60</v>
      </c>
      <c r="K971" t="str">
        <f>IFERROR(INDEX(Katalog!$A$3:$A$12,MATCH(Data[[#This Row],[ItemID B]],Katalog!$C$3:$C$12,0)),"-")</f>
        <v>Pakaian Wanita</v>
      </c>
      <c r="L971" t="str">
        <f>IFERROR(INDEX(Katalog!$B$3:$B$12,MATCH(Data[[#This Row],[ItemID B]],Katalog!$C$3:$C$12,0)),"-")</f>
        <v>Kaftan</v>
      </c>
      <c r="M971">
        <v>3</v>
      </c>
      <c r="N971">
        <v>5</v>
      </c>
      <c r="O971" s="36">
        <f>IFERROR(INDEX(Katalog!$D$3:$D$12,MATCH(Data[[#This Row],[ItemID B]],Katalog!$C$3:$C$12,0))*Data[[#This Row],[Qty B]],"0")</f>
        <v>750000</v>
      </c>
      <c r="P971" s="36">
        <f>IFERROR(INDEX(Katalog!$F$3:$F$12,MATCH(Data[[#This Row],[ItemID B]],Katalog!$C$3:$C$12,0))*Data[[#This Row],[Qty B]],"0")</f>
        <v>300000</v>
      </c>
      <c r="R971" t="str">
        <f>IFERROR(INDEX(Katalog!$A$3:$A$12,MATCH(Data[[#This Row],[ItemID C]],Katalog!$C$3:$C$12,0)),"-")</f>
        <v>-</v>
      </c>
      <c r="S971" t="str">
        <f>IFERROR(INDEX(Katalog!$B$3:$B$12,MATCH(Data[[#This Row],[ItemID C]],Katalog!$C$3:$C$12,0)),"-")</f>
        <v>-</v>
      </c>
      <c r="V971" s="36" t="str">
        <f>IFERROR(INDEX(Katalog!$D$3:$D$12,MATCH(Data[[#This Row],[ItemID C]],Katalog!$C$3:$C$12,0))*Data[[#This Row],[Qty C]],"0")</f>
        <v>0</v>
      </c>
      <c r="W971" s="36" t="str">
        <f>IFERROR(INDEX(Katalog!$F$3:$F$12,MATCH(Data[[#This Row],[ItemID C]],Katalog!$C$3:$C$12,0))*Data[[#This Row],[Qty C]],"0")</f>
        <v>0</v>
      </c>
      <c r="X971" s="21">
        <f>Data[[#This Row],[Qty A]]+Data[[#This Row],[Qty B]]+Data[[#This Row],[Qty C]]</f>
        <v>4</v>
      </c>
      <c r="Y971" s="22">
        <f>Data[[#This Row],[Harga Barang A]]+Data[[#This Row],[Harga Barang B]]+Data[[#This Row],[Harga Barang C]]</f>
        <v>900000</v>
      </c>
      <c r="Z971" s="35">
        <f>IFERROR(Data[[#This Row],[Total Harga]]-(Data[[#This Row],[Total Harga]]*Data[[#This Row],[Diskon]]),Data[[#This Row],[Total Harga]])</f>
        <v>810000</v>
      </c>
      <c r="AA971" s="35">
        <f>(Data[[#This Row],[Profit A]]+Data[[#This Row],[Profit B]]+Data[[#This Row],[Profit C]])</f>
        <v>360000</v>
      </c>
      <c r="AB971" s="35">
        <f>IFERROR((Data[[#This Row],[Profit non Diskon]]-(Data[[#This Row],[Profit non Diskon]]*Data[[#This Row],[Diskon]])),Data[[#This Row],[Profit non Diskon]])</f>
        <v>324000</v>
      </c>
      <c r="AC971" s="23" t="s">
        <v>6</v>
      </c>
      <c r="AD971" s="37">
        <f>IFERROR(INDEX('Kode Diskon'!$D$3:$D$9,MATCH(Data[[#This Row],[Kode diskon]],'Kode Diskon'!$C$3:$C$9,0)),"-")</f>
        <v>0.1</v>
      </c>
      <c r="AE971" s="23" t="s">
        <v>29</v>
      </c>
      <c r="AF971" s="23" t="s">
        <v>7</v>
      </c>
      <c r="AG971" s="23" t="s">
        <v>79</v>
      </c>
      <c r="AH971" s="24">
        <v>45020</v>
      </c>
      <c r="AI971" s="23" t="str">
        <f>TEXT(Data[[#This Row],[Tanggal terjual]],"dddd")</f>
        <v>Tuesday</v>
      </c>
      <c r="AJ971" s="21" t="str">
        <f>TEXT(Data[[#This Row],[Tanggal terjual]],"wwww")</f>
        <v>wwww</v>
      </c>
    </row>
    <row r="972" spans="1:36" x14ac:dyDescent="0.2">
      <c r="A972" s="20">
        <v>971</v>
      </c>
      <c r="B972" s="21" t="str">
        <f>_xlfn.CONCAT("ORD-",INDEX(Helper!$B$2:$B$5,MATCH(Data[[#This Row],[Marketplace]],Helper!$A$2:$A$5,0)),TEXT(Data[[#This Row],[No]],"0000"),"-",TEXT(Data[[#This Row],[Tanggal terjual]],"dd/mm/yy"))</f>
        <v>ORD-BB0971-01/04/23</v>
      </c>
      <c r="C972" t="s">
        <v>63</v>
      </c>
      <c r="D972" t="str">
        <f>IFERROR(INDEX(Katalog!$A$3:$A$12,MATCH(Data[[#This Row],[ItemID A]],Katalog!$C$3:$C$12,0)),"-")</f>
        <v>Pakaian Pria</v>
      </c>
      <c r="E972" t="str">
        <f>IFERROR(INDEX(Katalog!$B$3:$B$12,MATCH(Data[[#This Row],[ItemID A]],Katalog!$C$3:$C$12,0)),"-")</f>
        <v>Jaket Jeans</v>
      </c>
      <c r="F972">
        <v>5</v>
      </c>
      <c r="G972">
        <v>3</v>
      </c>
      <c r="H972" s="36">
        <f>IFERROR(INDEX(Katalog!$D$3:$D$12,MATCH(Data[[#This Row],[ItemID A]],Katalog!$C$3:$C$12,0))*Data[[#This Row],[Qty A]],"0")</f>
        <v>2000000</v>
      </c>
      <c r="I972" s="36">
        <f>IFERROR(INDEX(Katalog!$F$3:$F$12,MATCH(Data[[#This Row],[ItemID A]],Katalog!$C$3:$C$12,0))*Data[[#This Row],[Qty A]],0)</f>
        <v>750000</v>
      </c>
      <c r="K972" t="str">
        <f>IFERROR(INDEX(Katalog!$A$3:$A$12,MATCH(Data[[#This Row],[ItemID B]],Katalog!$C$3:$C$12,0)),"-")</f>
        <v>-</v>
      </c>
      <c r="L972" t="str">
        <f>IFERROR(INDEX(Katalog!$B$3:$B$12,MATCH(Data[[#This Row],[ItemID B]],Katalog!$C$3:$C$12,0)),"-")</f>
        <v>-</v>
      </c>
      <c r="O972" s="36" t="str">
        <f>IFERROR(INDEX(Katalog!$D$3:$D$12,MATCH(Data[[#This Row],[ItemID B]],Katalog!$C$3:$C$12,0))*Data[[#This Row],[Qty B]],"0")</f>
        <v>0</v>
      </c>
      <c r="P972" s="36" t="str">
        <f>IFERROR(INDEX(Katalog!$F$3:$F$12,MATCH(Data[[#This Row],[ItemID B]],Katalog!$C$3:$C$12,0))*Data[[#This Row],[Qty B]],"0")</f>
        <v>0</v>
      </c>
      <c r="R972" t="str">
        <f>IFERROR(INDEX(Katalog!$A$3:$A$12,MATCH(Data[[#This Row],[ItemID C]],Katalog!$C$3:$C$12,0)),"-")</f>
        <v>-</v>
      </c>
      <c r="S972" t="str">
        <f>IFERROR(INDEX(Katalog!$B$3:$B$12,MATCH(Data[[#This Row],[ItemID C]],Katalog!$C$3:$C$12,0)),"-")</f>
        <v>-</v>
      </c>
      <c r="V972" s="36" t="str">
        <f>IFERROR(INDEX(Katalog!$D$3:$D$12,MATCH(Data[[#This Row],[ItemID C]],Katalog!$C$3:$C$12,0))*Data[[#This Row],[Qty C]],"0")</f>
        <v>0</v>
      </c>
      <c r="W972" s="36" t="str">
        <f>IFERROR(INDEX(Katalog!$F$3:$F$12,MATCH(Data[[#This Row],[ItemID C]],Katalog!$C$3:$C$12,0))*Data[[#This Row],[Qty C]],"0")</f>
        <v>0</v>
      </c>
      <c r="X972" s="21">
        <f>Data[[#This Row],[Qty A]]+Data[[#This Row],[Qty B]]+Data[[#This Row],[Qty C]]</f>
        <v>5</v>
      </c>
      <c r="Y972" s="22">
        <f>Data[[#This Row],[Harga Barang A]]+Data[[#This Row],[Harga Barang B]]+Data[[#This Row],[Harga Barang C]]</f>
        <v>2000000</v>
      </c>
      <c r="Z972" s="35">
        <f>IFERROR(Data[[#This Row],[Total Harga]]-(Data[[#This Row],[Total Harga]]*Data[[#This Row],[Diskon]]),Data[[#This Row],[Total Harga]])</f>
        <v>1700000</v>
      </c>
      <c r="AA972" s="35">
        <f>(Data[[#This Row],[Profit A]]+Data[[#This Row],[Profit B]]+Data[[#This Row],[Profit C]])</f>
        <v>750000</v>
      </c>
      <c r="AB972" s="35">
        <f>IFERROR((Data[[#This Row],[Profit non Diskon]]-(Data[[#This Row],[Profit non Diskon]]*Data[[#This Row],[Diskon]])),Data[[#This Row],[Profit non Diskon]])</f>
        <v>637500</v>
      </c>
      <c r="AC972" s="23" t="s">
        <v>28</v>
      </c>
      <c r="AD972" s="37">
        <f>IFERROR(INDEX('Kode Diskon'!$D$3:$D$9,MATCH(Data[[#This Row],[Kode diskon]],'Kode Diskon'!$C$3:$C$9,0)),"-")</f>
        <v>0.15</v>
      </c>
      <c r="AE972" s="23" t="s">
        <v>29</v>
      </c>
      <c r="AF972" s="23" t="s">
        <v>14</v>
      </c>
      <c r="AG972" s="23" t="s">
        <v>75</v>
      </c>
      <c r="AH972" s="24">
        <v>45017</v>
      </c>
      <c r="AI972" s="23" t="str">
        <f>TEXT(Data[[#This Row],[Tanggal terjual]],"dddd")</f>
        <v>Saturday</v>
      </c>
      <c r="AJ972" s="21" t="str">
        <f>TEXT(Data[[#This Row],[Tanggal terjual]],"wwww")</f>
        <v>wwww</v>
      </c>
    </row>
    <row r="973" spans="1:36" x14ac:dyDescent="0.2">
      <c r="A973" s="20">
        <v>972</v>
      </c>
      <c r="B973" s="21" t="str">
        <f>_xlfn.CONCAT("ORD-",INDEX(Helper!$B$2:$B$5,MATCH(Data[[#This Row],[Marketplace]],Helper!$A$2:$A$5,0)),TEXT(Data[[#This Row],[No]],"0000"),"-",TEXT(Data[[#This Row],[Tanggal terjual]],"dd/mm/yy"))</f>
        <v>ORD-BL0972-22/04/23</v>
      </c>
      <c r="C973" t="s">
        <v>64</v>
      </c>
      <c r="D973" t="str">
        <f>IFERROR(INDEX(Katalog!$A$3:$A$12,MATCH(Data[[#This Row],[ItemID A]],Katalog!$C$3:$C$12,0)),"-")</f>
        <v>Pakaian Unisex</v>
      </c>
      <c r="E973" t="str">
        <f>IFERROR(INDEX(Katalog!$B$3:$B$12,MATCH(Data[[#This Row],[ItemID A]],Katalog!$C$3:$C$12,0)),"-")</f>
        <v>Jaket Hoodie</v>
      </c>
      <c r="F973">
        <v>4</v>
      </c>
      <c r="G973">
        <v>3</v>
      </c>
      <c r="H973" s="36">
        <f>IFERROR(INDEX(Katalog!$D$3:$D$12,MATCH(Data[[#This Row],[ItemID A]],Katalog!$C$3:$C$12,0))*Data[[#This Row],[Qty A]],"0")</f>
        <v>1400000</v>
      </c>
      <c r="I973" s="36">
        <f>IFERROR(INDEX(Katalog!$F$3:$F$12,MATCH(Data[[#This Row],[ItemID A]],Katalog!$C$3:$C$12,0))*Data[[#This Row],[Qty A]],0)</f>
        <v>520000</v>
      </c>
      <c r="J973" t="s">
        <v>59</v>
      </c>
      <c r="K973" t="str">
        <f>IFERROR(INDEX(Katalog!$A$3:$A$12,MATCH(Data[[#This Row],[ItemID B]],Katalog!$C$3:$C$12,0)),"-")</f>
        <v>Pakaian Wanita</v>
      </c>
      <c r="L973" t="str">
        <f>IFERROR(INDEX(Katalog!$B$3:$B$12,MATCH(Data[[#This Row],[ItemID B]],Katalog!$C$3:$C$12,0)),"-")</f>
        <v>Blouse</v>
      </c>
      <c r="M973">
        <v>1</v>
      </c>
      <c r="N973">
        <v>5</v>
      </c>
      <c r="O973" s="36">
        <f>IFERROR(INDEX(Katalog!$D$3:$D$12,MATCH(Data[[#This Row],[ItemID B]],Katalog!$C$3:$C$12,0))*Data[[#This Row],[Qty B]],"0")</f>
        <v>150000</v>
      </c>
      <c r="P973" s="36">
        <f>IFERROR(INDEX(Katalog!$F$3:$F$12,MATCH(Data[[#This Row],[ItemID B]],Katalog!$C$3:$C$12,0))*Data[[#This Row],[Qty B]],"0")</f>
        <v>50000</v>
      </c>
      <c r="Q973" t="s">
        <v>67</v>
      </c>
      <c r="R973" t="str">
        <f>IFERROR(INDEX(Katalog!$A$3:$A$12,MATCH(Data[[#This Row],[ItemID C]],Katalog!$C$3:$C$12,0)),"-")</f>
        <v>Sepatu Wanita</v>
      </c>
      <c r="S973" t="str">
        <f>IFERROR(INDEX(Katalog!$B$3:$B$12,MATCH(Data[[#This Row],[ItemID C]],Katalog!$C$3:$C$12,0)),"-")</f>
        <v>Flat Shoes</v>
      </c>
      <c r="T973">
        <v>1</v>
      </c>
      <c r="U973">
        <v>4</v>
      </c>
      <c r="V973" s="36">
        <f>IFERROR(INDEX(Katalog!$D$3:$D$12,MATCH(Data[[#This Row],[ItemID C]],Katalog!$C$3:$C$12,0))*Data[[#This Row],[Qty C]],"0")</f>
        <v>250000</v>
      </c>
      <c r="W973" s="36">
        <f>IFERROR(INDEX(Katalog!$F$3:$F$12,MATCH(Data[[#This Row],[ItemID C]],Katalog!$C$3:$C$12,0))*Data[[#This Row],[Qty C]],"0")</f>
        <v>100000</v>
      </c>
      <c r="X973" s="21">
        <f>Data[[#This Row],[Qty A]]+Data[[#This Row],[Qty B]]+Data[[#This Row],[Qty C]]</f>
        <v>6</v>
      </c>
      <c r="Y973" s="22">
        <f>Data[[#This Row],[Harga Barang A]]+Data[[#This Row],[Harga Barang B]]+Data[[#This Row],[Harga Barang C]]</f>
        <v>1800000</v>
      </c>
      <c r="Z973" s="35">
        <f>IFERROR(Data[[#This Row],[Total Harga]]-(Data[[#This Row],[Total Harga]]*Data[[#This Row],[Diskon]]),Data[[#This Row],[Total Harga]])</f>
        <v>1530000</v>
      </c>
      <c r="AA973" s="35">
        <f>(Data[[#This Row],[Profit A]]+Data[[#This Row],[Profit B]]+Data[[#This Row],[Profit C]])</f>
        <v>670000</v>
      </c>
      <c r="AB973" s="35">
        <f>IFERROR((Data[[#This Row],[Profit non Diskon]]-(Data[[#This Row],[Profit non Diskon]]*Data[[#This Row],[Diskon]])),Data[[#This Row],[Profit non Diskon]])</f>
        <v>569500</v>
      </c>
      <c r="AC973" s="23" t="s">
        <v>32</v>
      </c>
      <c r="AD973" s="37">
        <f>IFERROR(INDEX('Kode Diskon'!$D$3:$D$9,MATCH(Data[[#This Row],[Kode diskon]],'Kode Diskon'!$C$3:$C$9,0)),"-")</f>
        <v>0.15</v>
      </c>
      <c r="AE973" s="23" t="s">
        <v>9</v>
      </c>
      <c r="AF973" s="23" t="s">
        <v>12</v>
      </c>
      <c r="AG973" s="23" t="s">
        <v>75</v>
      </c>
      <c r="AH973" s="24">
        <v>45038</v>
      </c>
      <c r="AI973" s="23" t="str">
        <f>TEXT(Data[[#This Row],[Tanggal terjual]],"dddd")</f>
        <v>Saturday</v>
      </c>
      <c r="AJ973" s="21" t="str">
        <f>TEXT(Data[[#This Row],[Tanggal terjual]],"wwww")</f>
        <v>wwww</v>
      </c>
    </row>
    <row r="974" spans="1:36" x14ac:dyDescent="0.2">
      <c r="A974" s="20">
        <v>973</v>
      </c>
      <c r="B974" s="21" t="str">
        <f>_xlfn.CONCAT("ORD-",INDEX(Helper!$B$2:$B$5,MATCH(Data[[#This Row],[Marketplace]],Helper!$A$2:$A$5,0)),TEXT(Data[[#This Row],[No]],"0000"),"-",TEXT(Data[[#This Row],[Tanggal terjual]],"dd/mm/yy"))</f>
        <v>ORD-BL0973-20/04/23</v>
      </c>
      <c r="C974" t="s">
        <v>64</v>
      </c>
      <c r="D974" t="str">
        <f>IFERROR(INDEX(Katalog!$A$3:$A$12,MATCH(Data[[#This Row],[ItemID A]],Katalog!$C$3:$C$12,0)),"-")</f>
        <v>Pakaian Unisex</v>
      </c>
      <c r="E974" t="str">
        <f>IFERROR(INDEX(Katalog!$B$3:$B$12,MATCH(Data[[#This Row],[ItemID A]],Katalog!$C$3:$C$12,0)),"-")</f>
        <v>Jaket Hoodie</v>
      </c>
      <c r="F974">
        <v>2</v>
      </c>
      <c r="G974">
        <v>3</v>
      </c>
      <c r="H974" s="36">
        <f>IFERROR(INDEX(Katalog!$D$3:$D$12,MATCH(Data[[#This Row],[ItemID A]],Katalog!$C$3:$C$12,0))*Data[[#This Row],[Qty A]],"0")</f>
        <v>700000</v>
      </c>
      <c r="I974" s="36">
        <f>IFERROR(INDEX(Katalog!$F$3:$F$12,MATCH(Data[[#This Row],[ItemID A]],Katalog!$C$3:$C$12,0))*Data[[#This Row],[Qty A]],0)</f>
        <v>260000</v>
      </c>
      <c r="K974" t="str">
        <f>IFERROR(INDEX(Katalog!$A$3:$A$12,MATCH(Data[[#This Row],[ItemID B]],Katalog!$C$3:$C$12,0)),"-")</f>
        <v>-</v>
      </c>
      <c r="L974" t="str">
        <f>IFERROR(INDEX(Katalog!$B$3:$B$12,MATCH(Data[[#This Row],[ItemID B]],Katalog!$C$3:$C$12,0)),"-")</f>
        <v>-</v>
      </c>
      <c r="O974" s="36" t="str">
        <f>IFERROR(INDEX(Katalog!$D$3:$D$12,MATCH(Data[[#This Row],[ItemID B]],Katalog!$C$3:$C$12,0))*Data[[#This Row],[Qty B]],"0")</f>
        <v>0</v>
      </c>
      <c r="P974" s="36" t="str">
        <f>IFERROR(INDEX(Katalog!$F$3:$F$12,MATCH(Data[[#This Row],[ItemID B]],Katalog!$C$3:$C$12,0))*Data[[#This Row],[Qty B]],"0")</f>
        <v>0</v>
      </c>
      <c r="R974" t="str">
        <f>IFERROR(INDEX(Katalog!$A$3:$A$12,MATCH(Data[[#This Row],[ItemID C]],Katalog!$C$3:$C$12,0)),"-")</f>
        <v>-</v>
      </c>
      <c r="S974" t="str">
        <f>IFERROR(INDEX(Katalog!$B$3:$B$12,MATCH(Data[[#This Row],[ItemID C]],Katalog!$C$3:$C$12,0)),"-")</f>
        <v>-</v>
      </c>
      <c r="V974" s="36" t="str">
        <f>IFERROR(INDEX(Katalog!$D$3:$D$12,MATCH(Data[[#This Row],[ItemID C]],Katalog!$C$3:$C$12,0))*Data[[#This Row],[Qty C]],"0")</f>
        <v>0</v>
      </c>
      <c r="W974" s="36" t="str">
        <f>IFERROR(INDEX(Katalog!$F$3:$F$12,MATCH(Data[[#This Row],[ItemID C]],Katalog!$C$3:$C$12,0))*Data[[#This Row],[Qty C]],"0")</f>
        <v>0</v>
      </c>
      <c r="X974" s="21">
        <f>Data[[#This Row],[Qty A]]+Data[[#This Row],[Qty B]]+Data[[#This Row],[Qty C]]</f>
        <v>2</v>
      </c>
      <c r="Y974" s="22">
        <f>Data[[#This Row],[Harga Barang A]]+Data[[#This Row],[Harga Barang B]]+Data[[#This Row],[Harga Barang C]]</f>
        <v>700000</v>
      </c>
      <c r="Z974" s="35">
        <f>IFERROR(Data[[#This Row],[Total Harga]]-(Data[[#This Row],[Total Harga]]*Data[[#This Row],[Diskon]]),Data[[#This Row],[Total Harga]])</f>
        <v>595000</v>
      </c>
      <c r="AA974" s="35">
        <f>(Data[[#This Row],[Profit A]]+Data[[#This Row],[Profit B]]+Data[[#This Row],[Profit C]])</f>
        <v>260000</v>
      </c>
      <c r="AB974" s="35">
        <f>IFERROR((Data[[#This Row],[Profit non Diskon]]-(Data[[#This Row],[Profit non Diskon]]*Data[[#This Row],[Diskon]])),Data[[#This Row],[Profit non Diskon]])</f>
        <v>221000</v>
      </c>
      <c r="AC974" s="23" t="s">
        <v>32</v>
      </c>
      <c r="AD974" s="37">
        <f>IFERROR(INDEX('Kode Diskon'!$D$3:$D$9,MATCH(Data[[#This Row],[Kode diskon]],'Kode Diskon'!$C$3:$C$9,0)),"-")</f>
        <v>0.15</v>
      </c>
      <c r="AE974" s="23" t="s">
        <v>9</v>
      </c>
      <c r="AF974" s="23" t="s">
        <v>12</v>
      </c>
      <c r="AG974" s="23" t="s">
        <v>79</v>
      </c>
      <c r="AH974" s="24">
        <v>45036</v>
      </c>
      <c r="AI974" s="23" t="str">
        <f>TEXT(Data[[#This Row],[Tanggal terjual]],"dddd")</f>
        <v>Thursday</v>
      </c>
      <c r="AJ974" s="21" t="str">
        <f>TEXT(Data[[#This Row],[Tanggal terjual]],"wwww")</f>
        <v>wwww</v>
      </c>
    </row>
    <row r="975" spans="1:36" x14ac:dyDescent="0.2">
      <c r="A975" s="20">
        <v>974</v>
      </c>
      <c r="B975" s="21" t="str">
        <f>_xlfn.CONCAT("ORD-",INDEX(Helper!$B$2:$B$5,MATCH(Data[[#This Row],[Marketplace]],Helper!$A$2:$A$5,0)),TEXT(Data[[#This Row],[No]],"0000"),"-",TEXT(Data[[#This Row],[Tanggal terjual]],"dd/mm/yy"))</f>
        <v>ORD-SP0974-03/04/23</v>
      </c>
      <c r="C975" t="s">
        <v>66</v>
      </c>
      <c r="D975" t="str">
        <f>IFERROR(INDEX(Katalog!$A$3:$A$12,MATCH(Data[[#This Row],[ItemID A]],Katalog!$C$3:$C$12,0)),"-")</f>
        <v>Sepatu Pria</v>
      </c>
      <c r="E975" t="str">
        <f>IFERROR(INDEX(Katalog!$B$3:$B$12,MATCH(Data[[#This Row],[ItemID A]],Katalog!$C$3:$C$12,0)),"-")</f>
        <v>Sandal Slip On</v>
      </c>
      <c r="F975">
        <v>5</v>
      </c>
      <c r="G975">
        <v>2</v>
      </c>
      <c r="H975" s="36">
        <f>IFERROR(INDEX(Katalog!$D$3:$D$12,MATCH(Data[[#This Row],[ItemID A]],Katalog!$C$3:$C$12,0))*Data[[#This Row],[Qty A]],"0")</f>
        <v>750000</v>
      </c>
      <c r="I975" s="36">
        <f>IFERROR(INDEX(Katalog!$F$3:$F$12,MATCH(Data[[#This Row],[ItemID A]],Katalog!$C$3:$C$12,0))*Data[[#This Row],[Qty A]],0)</f>
        <v>300000</v>
      </c>
      <c r="J975" t="s">
        <v>64</v>
      </c>
      <c r="K975" t="str">
        <f>IFERROR(INDEX(Katalog!$A$3:$A$12,MATCH(Data[[#This Row],[ItemID B]],Katalog!$C$3:$C$12,0)),"-")</f>
        <v>Pakaian Unisex</v>
      </c>
      <c r="L975" t="str">
        <f>IFERROR(INDEX(Katalog!$B$3:$B$12,MATCH(Data[[#This Row],[ItemID B]],Katalog!$C$3:$C$12,0)),"-")</f>
        <v>Jaket Hoodie</v>
      </c>
      <c r="M975">
        <v>1</v>
      </c>
      <c r="N975">
        <v>1</v>
      </c>
      <c r="O975" s="36">
        <f>IFERROR(INDEX(Katalog!$D$3:$D$12,MATCH(Data[[#This Row],[ItemID B]],Katalog!$C$3:$C$12,0))*Data[[#This Row],[Qty B]],"0")</f>
        <v>350000</v>
      </c>
      <c r="P975" s="36">
        <f>IFERROR(INDEX(Katalog!$F$3:$F$12,MATCH(Data[[#This Row],[ItemID B]],Katalog!$C$3:$C$12,0))*Data[[#This Row],[Qty B]],"0")</f>
        <v>130000</v>
      </c>
      <c r="Q975" t="s">
        <v>67</v>
      </c>
      <c r="R975" t="str">
        <f>IFERROR(INDEX(Katalog!$A$3:$A$12,MATCH(Data[[#This Row],[ItemID C]],Katalog!$C$3:$C$12,0)),"-")</f>
        <v>Sepatu Wanita</v>
      </c>
      <c r="S975" t="str">
        <f>IFERROR(INDEX(Katalog!$B$3:$B$12,MATCH(Data[[#This Row],[ItemID C]],Katalog!$C$3:$C$12,0)),"-")</f>
        <v>Flat Shoes</v>
      </c>
      <c r="T975">
        <v>1</v>
      </c>
      <c r="U975">
        <v>3</v>
      </c>
      <c r="V975" s="36">
        <f>IFERROR(INDEX(Katalog!$D$3:$D$12,MATCH(Data[[#This Row],[ItemID C]],Katalog!$C$3:$C$12,0))*Data[[#This Row],[Qty C]],"0")</f>
        <v>250000</v>
      </c>
      <c r="W975" s="36">
        <f>IFERROR(INDEX(Katalog!$F$3:$F$12,MATCH(Data[[#This Row],[ItemID C]],Katalog!$C$3:$C$12,0))*Data[[#This Row],[Qty C]],"0")</f>
        <v>100000</v>
      </c>
      <c r="X975" s="21">
        <f>Data[[#This Row],[Qty A]]+Data[[#This Row],[Qty B]]+Data[[#This Row],[Qty C]]</f>
        <v>7</v>
      </c>
      <c r="Y975" s="22">
        <f>Data[[#This Row],[Harga Barang A]]+Data[[#This Row],[Harga Barang B]]+Data[[#This Row],[Harga Barang C]]</f>
        <v>1350000</v>
      </c>
      <c r="Z975" s="35">
        <f>IFERROR(Data[[#This Row],[Total Harga]]-(Data[[#This Row],[Total Harga]]*Data[[#This Row],[Diskon]]),Data[[#This Row],[Total Harga]])</f>
        <v>1215000</v>
      </c>
      <c r="AA975" s="35">
        <f>(Data[[#This Row],[Profit A]]+Data[[#This Row],[Profit B]]+Data[[#This Row],[Profit C]])</f>
        <v>530000</v>
      </c>
      <c r="AB975" s="35">
        <f>IFERROR((Data[[#This Row],[Profit non Diskon]]-(Data[[#This Row],[Profit non Diskon]]*Data[[#This Row],[Diskon]])),Data[[#This Row],[Profit non Diskon]])</f>
        <v>477000</v>
      </c>
      <c r="AC975" s="23" t="s">
        <v>6</v>
      </c>
      <c r="AD975" s="37">
        <f>IFERROR(INDEX('Kode Diskon'!$D$3:$D$9,MATCH(Data[[#This Row],[Kode diskon]],'Kode Diskon'!$C$3:$C$9,0)),"-")</f>
        <v>0.1</v>
      </c>
      <c r="AE975" s="23" t="s">
        <v>29</v>
      </c>
      <c r="AF975" s="23" t="s">
        <v>7</v>
      </c>
      <c r="AG975" s="23" t="s">
        <v>76</v>
      </c>
      <c r="AH975" s="24">
        <v>45019</v>
      </c>
      <c r="AI975" s="23" t="str">
        <f>TEXT(Data[[#This Row],[Tanggal terjual]],"dddd")</f>
        <v>Monday</v>
      </c>
      <c r="AJ975" s="21" t="str">
        <f>TEXT(Data[[#This Row],[Tanggal terjual]],"wwww")</f>
        <v>wwww</v>
      </c>
    </row>
    <row r="976" spans="1:36" x14ac:dyDescent="0.2">
      <c r="A976" s="20">
        <v>975</v>
      </c>
      <c r="B976" s="21" t="str">
        <f>_xlfn.CONCAT("ORD-",INDEX(Helper!$B$2:$B$5,MATCH(Data[[#This Row],[Marketplace]],Helper!$A$2:$A$5,0)),TEXT(Data[[#This Row],[No]],"0000"),"-",TEXT(Data[[#This Row],[Tanggal terjual]],"dd/mm/yy"))</f>
        <v>ORD-TK0975-28/04/23</v>
      </c>
      <c r="C976" t="s">
        <v>65</v>
      </c>
      <c r="D976" t="str">
        <f>IFERROR(INDEX(Katalog!$A$3:$A$12,MATCH(Data[[#This Row],[ItemID A]],Katalog!$C$3:$C$12,0)),"-")</f>
        <v>Sepatu Pria</v>
      </c>
      <c r="E976" t="str">
        <f>IFERROR(INDEX(Katalog!$B$3:$B$12,MATCH(Data[[#This Row],[ItemID A]],Katalog!$C$3:$C$12,0)),"-")</f>
        <v>Sneakers</v>
      </c>
      <c r="F976">
        <v>3</v>
      </c>
      <c r="G976">
        <v>1</v>
      </c>
      <c r="H976" s="36">
        <f>IFERROR(INDEX(Katalog!$D$3:$D$12,MATCH(Data[[#This Row],[ItemID A]],Katalog!$C$3:$C$12,0))*Data[[#This Row],[Qty A]],"0")</f>
        <v>1500000</v>
      </c>
      <c r="I976" s="36">
        <f>IFERROR(INDEX(Katalog!$F$3:$F$12,MATCH(Data[[#This Row],[ItemID A]],Katalog!$C$3:$C$12,0))*Data[[#This Row],[Qty A]],0)</f>
        <v>600000</v>
      </c>
      <c r="K976" t="str">
        <f>IFERROR(INDEX(Katalog!$A$3:$A$12,MATCH(Data[[#This Row],[ItemID B]],Katalog!$C$3:$C$12,0)),"-")</f>
        <v>-</v>
      </c>
      <c r="L976" t="str">
        <f>IFERROR(INDEX(Katalog!$B$3:$B$12,MATCH(Data[[#This Row],[ItemID B]],Katalog!$C$3:$C$12,0)),"-")</f>
        <v>-</v>
      </c>
      <c r="O976" s="36" t="str">
        <f>IFERROR(INDEX(Katalog!$D$3:$D$12,MATCH(Data[[#This Row],[ItemID B]],Katalog!$C$3:$C$12,0))*Data[[#This Row],[Qty B]],"0")</f>
        <v>0</v>
      </c>
      <c r="P976" s="36" t="str">
        <f>IFERROR(INDEX(Katalog!$F$3:$F$12,MATCH(Data[[#This Row],[ItemID B]],Katalog!$C$3:$C$12,0))*Data[[#This Row],[Qty B]],"0")</f>
        <v>0</v>
      </c>
      <c r="R976" t="str">
        <f>IFERROR(INDEX(Katalog!$A$3:$A$12,MATCH(Data[[#This Row],[ItemID C]],Katalog!$C$3:$C$12,0)),"-")</f>
        <v>-</v>
      </c>
      <c r="S976" t="str">
        <f>IFERROR(INDEX(Katalog!$B$3:$B$12,MATCH(Data[[#This Row],[ItemID C]],Katalog!$C$3:$C$12,0)),"-")</f>
        <v>-</v>
      </c>
      <c r="V976" s="36" t="str">
        <f>IFERROR(INDEX(Katalog!$D$3:$D$12,MATCH(Data[[#This Row],[ItemID C]],Katalog!$C$3:$C$12,0))*Data[[#This Row],[Qty C]],"0")</f>
        <v>0</v>
      </c>
      <c r="W976" s="36" t="str">
        <f>IFERROR(INDEX(Katalog!$F$3:$F$12,MATCH(Data[[#This Row],[ItemID C]],Katalog!$C$3:$C$12,0))*Data[[#This Row],[Qty C]],"0")</f>
        <v>0</v>
      </c>
      <c r="X976" s="21">
        <f>Data[[#This Row],[Qty A]]+Data[[#This Row],[Qty B]]+Data[[#This Row],[Qty C]]</f>
        <v>3</v>
      </c>
      <c r="Y976" s="22">
        <f>Data[[#This Row],[Harga Barang A]]+Data[[#This Row],[Harga Barang B]]+Data[[#This Row],[Harga Barang C]]</f>
        <v>1500000</v>
      </c>
      <c r="Z976" s="35">
        <f>IFERROR(Data[[#This Row],[Total Harga]]-(Data[[#This Row],[Total Harga]]*Data[[#This Row],[Diskon]]),Data[[#This Row],[Total Harga]])</f>
        <v>1350000</v>
      </c>
      <c r="AA976" s="35">
        <f>(Data[[#This Row],[Profit A]]+Data[[#This Row],[Profit B]]+Data[[#This Row],[Profit C]])</f>
        <v>600000</v>
      </c>
      <c r="AB976" s="35">
        <f>IFERROR((Data[[#This Row],[Profit non Diskon]]-(Data[[#This Row],[Profit non Diskon]]*Data[[#This Row],[Diskon]])),Data[[#This Row],[Profit non Diskon]])</f>
        <v>540000</v>
      </c>
      <c r="AC976" s="23" t="s">
        <v>31</v>
      </c>
      <c r="AD976" s="37">
        <f>IFERROR(INDEX('Kode Diskon'!$D$3:$D$9,MATCH(Data[[#This Row],[Kode diskon]],'Kode Diskon'!$C$3:$C$9,0)),"-")</f>
        <v>0.1</v>
      </c>
      <c r="AE976" s="23" t="s">
        <v>9</v>
      </c>
      <c r="AF976" s="23" t="s">
        <v>10</v>
      </c>
      <c r="AG976" s="23" t="s">
        <v>80</v>
      </c>
      <c r="AH976" s="24">
        <v>45044</v>
      </c>
      <c r="AI976" s="23" t="str">
        <f>TEXT(Data[[#This Row],[Tanggal terjual]],"dddd")</f>
        <v>Friday</v>
      </c>
      <c r="AJ976" s="21" t="str">
        <f>TEXT(Data[[#This Row],[Tanggal terjual]],"wwww")</f>
        <v>wwww</v>
      </c>
    </row>
    <row r="977" spans="1:36" x14ac:dyDescent="0.2">
      <c r="A977" s="20">
        <v>976</v>
      </c>
      <c r="B977" s="21" t="str">
        <f>_xlfn.CONCAT("ORD-",INDEX(Helper!$B$2:$B$5,MATCH(Data[[#This Row],[Marketplace]],Helper!$A$2:$A$5,0)),TEXT(Data[[#This Row],[No]],"0000"),"-",TEXT(Data[[#This Row],[Tanggal terjual]],"dd/mm/yy"))</f>
        <v>ORD-SP0976-22/04/23</v>
      </c>
      <c r="C977" t="s">
        <v>67</v>
      </c>
      <c r="D977" t="str">
        <f>IFERROR(INDEX(Katalog!$A$3:$A$12,MATCH(Data[[#This Row],[ItemID A]],Katalog!$C$3:$C$12,0)),"-")</f>
        <v>Sepatu Wanita</v>
      </c>
      <c r="E977" t="str">
        <f>IFERROR(INDEX(Katalog!$B$3:$B$12,MATCH(Data[[#This Row],[ItemID A]],Katalog!$C$3:$C$12,0)),"-")</f>
        <v>Flat Shoes</v>
      </c>
      <c r="F977">
        <v>2</v>
      </c>
      <c r="G977">
        <v>3</v>
      </c>
      <c r="H977" s="36">
        <f>IFERROR(INDEX(Katalog!$D$3:$D$12,MATCH(Data[[#This Row],[ItemID A]],Katalog!$C$3:$C$12,0))*Data[[#This Row],[Qty A]],"0")</f>
        <v>500000</v>
      </c>
      <c r="I977" s="36">
        <f>IFERROR(INDEX(Katalog!$F$3:$F$12,MATCH(Data[[#This Row],[ItemID A]],Katalog!$C$3:$C$12,0))*Data[[#This Row],[Qty A]],0)</f>
        <v>200000</v>
      </c>
      <c r="J977" t="s">
        <v>65</v>
      </c>
      <c r="K977" t="str">
        <f>IFERROR(INDEX(Katalog!$A$3:$A$12,MATCH(Data[[#This Row],[ItemID B]],Katalog!$C$3:$C$12,0)),"-")</f>
        <v>Sepatu Pria</v>
      </c>
      <c r="L977" t="str">
        <f>IFERROR(INDEX(Katalog!$B$3:$B$12,MATCH(Data[[#This Row],[ItemID B]],Katalog!$C$3:$C$12,0)),"-")</f>
        <v>Sneakers</v>
      </c>
      <c r="M977">
        <v>1</v>
      </c>
      <c r="N977">
        <v>1</v>
      </c>
      <c r="O977" s="36">
        <f>IFERROR(INDEX(Katalog!$D$3:$D$12,MATCH(Data[[#This Row],[ItemID B]],Katalog!$C$3:$C$12,0))*Data[[#This Row],[Qty B]],"0")</f>
        <v>500000</v>
      </c>
      <c r="P977" s="36">
        <f>IFERROR(INDEX(Katalog!$F$3:$F$12,MATCH(Data[[#This Row],[ItemID B]],Katalog!$C$3:$C$12,0))*Data[[#This Row],[Qty B]],"0")</f>
        <v>200000</v>
      </c>
      <c r="Q977" t="s">
        <v>64</v>
      </c>
      <c r="R977" t="str">
        <f>IFERROR(INDEX(Katalog!$A$3:$A$12,MATCH(Data[[#This Row],[ItemID C]],Katalog!$C$3:$C$12,0)),"-")</f>
        <v>Pakaian Unisex</v>
      </c>
      <c r="S977" t="str">
        <f>IFERROR(INDEX(Katalog!$B$3:$B$12,MATCH(Data[[#This Row],[ItemID C]],Katalog!$C$3:$C$12,0)),"-")</f>
        <v>Jaket Hoodie</v>
      </c>
      <c r="T977">
        <v>2</v>
      </c>
      <c r="U977">
        <v>5</v>
      </c>
      <c r="V977" s="36">
        <f>IFERROR(INDEX(Katalog!$D$3:$D$12,MATCH(Data[[#This Row],[ItemID C]],Katalog!$C$3:$C$12,0))*Data[[#This Row],[Qty C]],"0")</f>
        <v>700000</v>
      </c>
      <c r="W977" s="36">
        <f>IFERROR(INDEX(Katalog!$F$3:$F$12,MATCH(Data[[#This Row],[ItemID C]],Katalog!$C$3:$C$12,0))*Data[[#This Row],[Qty C]],"0")</f>
        <v>260000</v>
      </c>
      <c r="X977" s="21">
        <f>Data[[#This Row],[Qty A]]+Data[[#This Row],[Qty B]]+Data[[#This Row],[Qty C]]</f>
        <v>5</v>
      </c>
      <c r="Y977" s="22">
        <f>Data[[#This Row],[Harga Barang A]]+Data[[#This Row],[Harga Barang B]]+Data[[#This Row],[Harga Barang C]]</f>
        <v>1700000</v>
      </c>
      <c r="Z977" s="35">
        <f>IFERROR(Data[[#This Row],[Total Harga]]-(Data[[#This Row],[Total Harga]]*Data[[#This Row],[Diskon]]),Data[[#This Row],[Total Harga]])</f>
        <v>1360000</v>
      </c>
      <c r="AA977" s="35">
        <f>(Data[[#This Row],[Profit A]]+Data[[#This Row],[Profit B]]+Data[[#This Row],[Profit C]])</f>
        <v>660000</v>
      </c>
      <c r="AB977" s="35">
        <f>IFERROR((Data[[#This Row],[Profit non Diskon]]-(Data[[#This Row],[Profit non Diskon]]*Data[[#This Row],[Diskon]])),Data[[#This Row],[Profit non Diskon]])</f>
        <v>528000</v>
      </c>
      <c r="AC977" s="23" t="s">
        <v>8</v>
      </c>
      <c r="AD977" s="37">
        <f>IFERROR(INDEX('Kode Diskon'!$D$3:$D$9,MATCH(Data[[#This Row],[Kode diskon]],'Kode Diskon'!$C$3:$C$9,0)),"-")</f>
        <v>0.2</v>
      </c>
      <c r="AE977" s="23" t="s">
        <v>9</v>
      </c>
      <c r="AF977" s="23" t="s">
        <v>7</v>
      </c>
      <c r="AG977" s="23" t="s">
        <v>80</v>
      </c>
      <c r="AH977" s="24">
        <v>45038</v>
      </c>
      <c r="AI977" s="23" t="str">
        <f>TEXT(Data[[#This Row],[Tanggal terjual]],"dddd")</f>
        <v>Saturday</v>
      </c>
      <c r="AJ977" s="21" t="str">
        <f>TEXT(Data[[#This Row],[Tanggal terjual]],"wwww")</f>
        <v>wwww</v>
      </c>
    </row>
    <row r="978" spans="1:36" x14ac:dyDescent="0.2">
      <c r="A978" s="20">
        <v>977</v>
      </c>
      <c r="B978" s="21" t="str">
        <f>_xlfn.CONCAT("ORD-",INDEX(Helper!$B$2:$B$5,MATCH(Data[[#This Row],[Marketplace]],Helper!$A$2:$A$5,0)),TEXT(Data[[#This Row],[No]],"0000"),"-",TEXT(Data[[#This Row],[Tanggal terjual]],"dd/mm/yy"))</f>
        <v>ORD-TK0977-16/04/23</v>
      </c>
      <c r="C978" t="s">
        <v>63</v>
      </c>
      <c r="D978" t="str">
        <f>IFERROR(INDEX(Katalog!$A$3:$A$12,MATCH(Data[[#This Row],[ItemID A]],Katalog!$C$3:$C$12,0)),"-")</f>
        <v>Pakaian Pria</v>
      </c>
      <c r="E978" t="str">
        <f>IFERROR(INDEX(Katalog!$B$3:$B$12,MATCH(Data[[#This Row],[ItemID A]],Katalog!$C$3:$C$12,0)),"-")</f>
        <v>Jaket Jeans</v>
      </c>
      <c r="F978">
        <v>6</v>
      </c>
      <c r="G978">
        <v>1</v>
      </c>
      <c r="H978" s="36">
        <f>IFERROR(INDEX(Katalog!$D$3:$D$12,MATCH(Data[[#This Row],[ItemID A]],Katalog!$C$3:$C$12,0))*Data[[#This Row],[Qty A]],"0")</f>
        <v>2400000</v>
      </c>
      <c r="I978" s="36">
        <f>IFERROR(INDEX(Katalog!$F$3:$F$12,MATCH(Data[[#This Row],[ItemID A]],Katalog!$C$3:$C$12,0))*Data[[#This Row],[Qty A]],0)</f>
        <v>900000</v>
      </c>
      <c r="J978" t="s">
        <v>61</v>
      </c>
      <c r="K978" t="str">
        <f>IFERROR(INDEX(Katalog!$A$3:$A$12,MATCH(Data[[#This Row],[ItemID B]],Katalog!$C$3:$C$12,0)),"-")</f>
        <v>Pakaian Pria</v>
      </c>
      <c r="L978" t="str">
        <f>IFERROR(INDEX(Katalog!$B$3:$B$12,MATCH(Data[[#This Row],[ItemID B]],Katalog!$C$3:$C$12,0)),"-")</f>
        <v>Kaos Polo</v>
      </c>
      <c r="M978">
        <v>1</v>
      </c>
      <c r="N978">
        <v>4</v>
      </c>
      <c r="O978" s="36">
        <f>IFERROR(INDEX(Katalog!$D$3:$D$12,MATCH(Data[[#This Row],[ItemID B]],Katalog!$C$3:$C$12,0))*Data[[#This Row],[Qty B]],"0")</f>
        <v>200000</v>
      </c>
      <c r="P978" s="36">
        <f>IFERROR(INDEX(Katalog!$F$3:$F$12,MATCH(Data[[#This Row],[ItemID B]],Katalog!$C$3:$C$12,0))*Data[[#This Row],[Qty B]],"0")</f>
        <v>80000</v>
      </c>
      <c r="R978" t="str">
        <f>IFERROR(INDEX(Katalog!$A$3:$A$12,MATCH(Data[[#This Row],[ItemID C]],Katalog!$C$3:$C$12,0)),"-")</f>
        <v>-</v>
      </c>
      <c r="S978" t="str">
        <f>IFERROR(INDEX(Katalog!$B$3:$B$12,MATCH(Data[[#This Row],[ItemID C]],Katalog!$C$3:$C$12,0)),"-")</f>
        <v>-</v>
      </c>
      <c r="V978" s="36" t="str">
        <f>IFERROR(INDEX(Katalog!$D$3:$D$12,MATCH(Data[[#This Row],[ItemID C]],Katalog!$C$3:$C$12,0))*Data[[#This Row],[Qty C]],"0")</f>
        <v>0</v>
      </c>
      <c r="W978" s="36" t="str">
        <f>IFERROR(INDEX(Katalog!$F$3:$F$12,MATCH(Data[[#This Row],[ItemID C]],Katalog!$C$3:$C$12,0))*Data[[#This Row],[Qty C]],"0")</f>
        <v>0</v>
      </c>
      <c r="X978" s="21">
        <f>Data[[#This Row],[Qty A]]+Data[[#This Row],[Qty B]]+Data[[#This Row],[Qty C]]</f>
        <v>7</v>
      </c>
      <c r="Y978" s="22">
        <f>Data[[#This Row],[Harga Barang A]]+Data[[#This Row],[Harga Barang B]]+Data[[#This Row],[Harga Barang C]]</f>
        <v>2600000</v>
      </c>
      <c r="Z978" s="35">
        <f>IFERROR(Data[[#This Row],[Total Harga]]-(Data[[#This Row],[Total Harga]]*Data[[#This Row],[Diskon]]),Data[[#This Row],[Total Harga]])</f>
        <v>2340000</v>
      </c>
      <c r="AA978" s="35">
        <f>(Data[[#This Row],[Profit A]]+Data[[#This Row],[Profit B]]+Data[[#This Row],[Profit C]])</f>
        <v>980000</v>
      </c>
      <c r="AB978" s="35">
        <f>IFERROR((Data[[#This Row],[Profit non Diskon]]-(Data[[#This Row],[Profit non Diskon]]*Data[[#This Row],[Diskon]])),Data[[#This Row],[Profit non Diskon]])</f>
        <v>882000</v>
      </c>
      <c r="AC978" s="23" t="s">
        <v>31</v>
      </c>
      <c r="AD978" s="37">
        <f>IFERROR(INDEX('Kode Diskon'!$D$3:$D$9,MATCH(Data[[#This Row],[Kode diskon]],'Kode Diskon'!$C$3:$C$9,0)),"-")</f>
        <v>0.1</v>
      </c>
      <c r="AE978" s="23" t="s">
        <v>9</v>
      </c>
      <c r="AF978" s="23" t="s">
        <v>10</v>
      </c>
      <c r="AG978" s="23" t="s">
        <v>76</v>
      </c>
      <c r="AH978" s="24">
        <v>45032</v>
      </c>
      <c r="AI978" s="23" t="str">
        <f>TEXT(Data[[#This Row],[Tanggal terjual]],"dddd")</f>
        <v>Sunday</v>
      </c>
      <c r="AJ978" s="21" t="str">
        <f>TEXT(Data[[#This Row],[Tanggal terjual]],"wwww")</f>
        <v>wwww</v>
      </c>
    </row>
    <row r="979" spans="1:36" x14ac:dyDescent="0.2">
      <c r="A979" s="20">
        <v>978</v>
      </c>
      <c r="B979" s="21" t="str">
        <f>_xlfn.CONCAT("ORD-",INDEX(Helper!$B$2:$B$5,MATCH(Data[[#This Row],[Marketplace]],Helper!$A$2:$A$5,0)),TEXT(Data[[#This Row],[No]],"0000"),"-",TEXT(Data[[#This Row],[Tanggal terjual]],"dd/mm/yy"))</f>
        <v>ORD-SP0978-20/04/23</v>
      </c>
      <c r="C979" t="s">
        <v>66</v>
      </c>
      <c r="D979" t="str">
        <f>IFERROR(INDEX(Katalog!$A$3:$A$12,MATCH(Data[[#This Row],[ItemID A]],Katalog!$C$3:$C$12,0)),"-")</f>
        <v>Sepatu Pria</v>
      </c>
      <c r="E979" t="str">
        <f>IFERROR(INDEX(Katalog!$B$3:$B$12,MATCH(Data[[#This Row],[ItemID A]],Katalog!$C$3:$C$12,0)),"-")</f>
        <v>Sandal Slip On</v>
      </c>
      <c r="F979">
        <v>4</v>
      </c>
      <c r="G979">
        <v>1</v>
      </c>
      <c r="H979" s="36">
        <f>IFERROR(INDEX(Katalog!$D$3:$D$12,MATCH(Data[[#This Row],[ItemID A]],Katalog!$C$3:$C$12,0))*Data[[#This Row],[Qty A]],"0")</f>
        <v>600000</v>
      </c>
      <c r="I979" s="36">
        <f>IFERROR(INDEX(Katalog!$F$3:$F$12,MATCH(Data[[#This Row],[ItemID A]],Katalog!$C$3:$C$12,0))*Data[[#This Row],[Qty A]],0)</f>
        <v>240000</v>
      </c>
      <c r="J979" t="s">
        <v>58</v>
      </c>
      <c r="K979" t="str">
        <f>IFERROR(INDEX(Katalog!$A$3:$A$12,MATCH(Data[[#This Row],[ItemID B]],Katalog!$C$3:$C$12,0)),"-")</f>
        <v>Pakaian Wanita</v>
      </c>
      <c r="L979" t="str">
        <f>IFERROR(INDEX(Katalog!$B$3:$B$12,MATCH(Data[[#This Row],[ItemID B]],Katalog!$C$3:$C$12,0)),"-")</f>
        <v>Dress</v>
      </c>
      <c r="M979">
        <v>1</v>
      </c>
      <c r="N979">
        <v>5</v>
      </c>
      <c r="O979" s="36">
        <f>IFERROR(INDEX(Katalog!$D$3:$D$12,MATCH(Data[[#This Row],[ItemID B]],Katalog!$C$3:$C$12,0))*Data[[#This Row],[Qty B]],"0")</f>
        <v>300000</v>
      </c>
      <c r="P979" s="36">
        <f>IFERROR(INDEX(Katalog!$F$3:$F$12,MATCH(Data[[#This Row],[ItemID B]],Katalog!$C$3:$C$12,0))*Data[[#This Row],[Qty B]],"0")</f>
        <v>100000</v>
      </c>
      <c r="R979" t="str">
        <f>IFERROR(INDEX(Katalog!$A$3:$A$12,MATCH(Data[[#This Row],[ItemID C]],Katalog!$C$3:$C$12,0)),"-")</f>
        <v>-</v>
      </c>
      <c r="S979" t="str">
        <f>IFERROR(INDEX(Katalog!$B$3:$B$12,MATCH(Data[[#This Row],[ItemID C]],Katalog!$C$3:$C$12,0)),"-")</f>
        <v>-</v>
      </c>
      <c r="V979" s="36" t="str">
        <f>IFERROR(INDEX(Katalog!$D$3:$D$12,MATCH(Data[[#This Row],[ItemID C]],Katalog!$C$3:$C$12,0))*Data[[#This Row],[Qty C]],"0")</f>
        <v>0</v>
      </c>
      <c r="W979" s="36" t="str">
        <f>IFERROR(INDEX(Katalog!$F$3:$F$12,MATCH(Data[[#This Row],[ItemID C]],Katalog!$C$3:$C$12,0))*Data[[#This Row],[Qty C]],"0")</f>
        <v>0</v>
      </c>
      <c r="X979" s="21">
        <f>Data[[#This Row],[Qty A]]+Data[[#This Row],[Qty B]]+Data[[#This Row],[Qty C]]</f>
        <v>5</v>
      </c>
      <c r="Y979" s="22">
        <f>Data[[#This Row],[Harga Barang A]]+Data[[#This Row],[Harga Barang B]]+Data[[#This Row],[Harga Barang C]]</f>
        <v>900000</v>
      </c>
      <c r="Z979" s="35">
        <f>IFERROR(Data[[#This Row],[Total Harga]]-(Data[[#This Row],[Total Harga]]*Data[[#This Row],[Diskon]]),Data[[#This Row],[Total Harga]])</f>
        <v>720000</v>
      </c>
      <c r="AA979" s="35">
        <f>(Data[[#This Row],[Profit A]]+Data[[#This Row],[Profit B]]+Data[[#This Row],[Profit C]])</f>
        <v>340000</v>
      </c>
      <c r="AB979" s="35">
        <f>IFERROR((Data[[#This Row],[Profit non Diskon]]-(Data[[#This Row],[Profit non Diskon]]*Data[[#This Row],[Diskon]])),Data[[#This Row],[Profit non Diskon]])</f>
        <v>272000</v>
      </c>
      <c r="AC979" s="23" t="s">
        <v>8</v>
      </c>
      <c r="AD979" s="37">
        <f>IFERROR(INDEX('Kode Diskon'!$D$3:$D$9,MATCH(Data[[#This Row],[Kode diskon]],'Kode Diskon'!$C$3:$C$9,0)),"-")</f>
        <v>0.2</v>
      </c>
      <c r="AE979" s="23" t="s">
        <v>9</v>
      </c>
      <c r="AF979" s="23" t="s">
        <v>7</v>
      </c>
      <c r="AG979" s="23" t="s">
        <v>75</v>
      </c>
      <c r="AH979" s="24">
        <v>45036</v>
      </c>
      <c r="AI979" s="23" t="str">
        <f>TEXT(Data[[#This Row],[Tanggal terjual]],"dddd")</f>
        <v>Thursday</v>
      </c>
      <c r="AJ979" s="21" t="str">
        <f>TEXT(Data[[#This Row],[Tanggal terjual]],"wwww")</f>
        <v>wwww</v>
      </c>
    </row>
    <row r="980" spans="1:36" x14ac:dyDescent="0.2">
      <c r="A980" s="20">
        <v>979</v>
      </c>
      <c r="B980" s="21" t="str">
        <f>_xlfn.CONCAT("ORD-",INDEX(Helper!$B$2:$B$5,MATCH(Data[[#This Row],[Marketplace]],Helper!$A$2:$A$5,0)),TEXT(Data[[#This Row],[No]],"0000"),"-",TEXT(Data[[#This Row],[Tanggal terjual]],"dd/mm/yy"))</f>
        <v>ORD-SP0979-01/04/23</v>
      </c>
      <c r="C980" t="s">
        <v>59</v>
      </c>
      <c r="D980" t="str">
        <f>IFERROR(INDEX(Katalog!$A$3:$A$12,MATCH(Data[[#This Row],[ItemID A]],Katalog!$C$3:$C$12,0)),"-")</f>
        <v>Pakaian Wanita</v>
      </c>
      <c r="E980" t="str">
        <f>IFERROR(INDEX(Katalog!$B$3:$B$12,MATCH(Data[[#This Row],[ItemID A]],Katalog!$C$3:$C$12,0)),"-")</f>
        <v>Blouse</v>
      </c>
      <c r="F980">
        <v>3</v>
      </c>
      <c r="G980">
        <v>2</v>
      </c>
      <c r="H980" s="36">
        <f>IFERROR(INDEX(Katalog!$D$3:$D$12,MATCH(Data[[#This Row],[ItemID A]],Katalog!$C$3:$C$12,0))*Data[[#This Row],[Qty A]],"0")</f>
        <v>450000</v>
      </c>
      <c r="I980" s="36">
        <f>IFERROR(INDEX(Katalog!$F$3:$F$12,MATCH(Data[[#This Row],[ItemID A]],Katalog!$C$3:$C$12,0))*Data[[#This Row],[Qty A]],0)</f>
        <v>150000</v>
      </c>
      <c r="K980" t="str">
        <f>IFERROR(INDEX(Katalog!$A$3:$A$12,MATCH(Data[[#This Row],[ItemID B]],Katalog!$C$3:$C$12,0)),"-")</f>
        <v>-</v>
      </c>
      <c r="L980" t="str">
        <f>IFERROR(INDEX(Katalog!$B$3:$B$12,MATCH(Data[[#This Row],[ItemID B]],Katalog!$C$3:$C$12,0)),"-")</f>
        <v>-</v>
      </c>
      <c r="O980" s="36" t="str">
        <f>IFERROR(INDEX(Katalog!$D$3:$D$12,MATCH(Data[[#This Row],[ItemID B]],Katalog!$C$3:$C$12,0))*Data[[#This Row],[Qty B]],"0")</f>
        <v>0</v>
      </c>
      <c r="P980" s="36" t="str">
        <f>IFERROR(INDEX(Katalog!$F$3:$F$12,MATCH(Data[[#This Row],[ItemID B]],Katalog!$C$3:$C$12,0))*Data[[#This Row],[Qty B]],"0")</f>
        <v>0</v>
      </c>
      <c r="R980" t="str">
        <f>IFERROR(INDEX(Katalog!$A$3:$A$12,MATCH(Data[[#This Row],[ItemID C]],Katalog!$C$3:$C$12,0)),"-")</f>
        <v>-</v>
      </c>
      <c r="S980" t="str">
        <f>IFERROR(INDEX(Katalog!$B$3:$B$12,MATCH(Data[[#This Row],[ItemID C]],Katalog!$C$3:$C$12,0)),"-")</f>
        <v>-</v>
      </c>
      <c r="V980" s="36" t="str">
        <f>IFERROR(INDEX(Katalog!$D$3:$D$12,MATCH(Data[[#This Row],[ItemID C]],Katalog!$C$3:$C$12,0))*Data[[#This Row],[Qty C]],"0")</f>
        <v>0</v>
      </c>
      <c r="W980" s="36" t="str">
        <f>IFERROR(INDEX(Katalog!$F$3:$F$12,MATCH(Data[[#This Row],[ItemID C]],Katalog!$C$3:$C$12,0))*Data[[#This Row],[Qty C]],"0")</f>
        <v>0</v>
      </c>
      <c r="X980" s="21">
        <f>Data[[#This Row],[Qty A]]+Data[[#This Row],[Qty B]]+Data[[#This Row],[Qty C]]</f>
        <v>3</v>
      </c>
      <c r="Y980" s="22">
        <f>Data[[#This Row],[Harga Barang A]]+Data[[#This Row],[Harga Barang B]]+Data[[#This Row],[Harga Barang C]]</f>
        <v>450000</v>
      </c>
      <c r="Z980" s="35">
        <f>IFERROR(Data[[#This Row],[Total Harga]]-(Data[[#This Row],[Total Harga]]*Data[[#This Row],[Diskon]]),Data[[#This Row],[Total Harga]])</f>
        <v>405000</v>
      </c>
      <c r="AA980" s="35">
        <f>(Data[[#This Row],[Profit A]]+Data[[#This Row],[Profit B]]+Data[[#This Row],[Profit C]])</f>
        <v>150000</v>
      </c>
      <c r="AB980" s="35">
        <f>IFERROR((Data[[#This Row],[Profit non Diskon]]-(Data[[#This Row],[Profit non Diskon]]*Data[[#This Row],[Diskon]])),Data[[#This Row],[Profit non Diskon]])</f>
        <v>135000</v>
      </c>
      <c r="AC980" s="23" t="s">
        <v>6</v>
      </c>
      <c r="AD980" s="37">
        <f>IFERROR(INDEX('Kode Diskon'!$D$3:$D$9,MATCH(Data[[#This Row],[Kode diskon]],'Kode Diskon'!$C$3:$C$9,0)),"-")</f>
        <v>0.1</v>
      </c>
      <c r="AE980" s="23" t="s">
        <v>29</v>
      </c>
      <c r="AF980" s="23" t="s">
        <v>7</v>
      </c>
      <c r="AG980" s="23" t="s">
        <v>79</v>
      </c>
      <c r="AH980" s="24">
        <v>45017</v>
      </c>
      <c r="AI980" s="23" t="str">
        <f>TEXT(Data[[#This Row],[Tanggal terjual]],"dddd")</f>
        <v>Saturday</v>
      </c>
      <c r="AJ980" s="21" t="str">
        <f>TEXT(Data[[#This Row],[Tanggal terjual]],"wwww")</f>
        <v>wwww</v>
      </c>
    </row>
    <row r="981" spans="1:36" x14ac:dyDescent="0.2">
      <c r="A981" s="20">
        <v>980</v>
      </c>
      <c r="B981" s="21" t="str">
        <f>_xlfn.CONCAT("ORD-",INDEX(Helper!$B$2:$B$5,MATCH(Data[[#This Row],[Marketplace]],Helper!$A$2:$A$5,0)),TEXT(Data[[#This Row],[No]],"0000"),"-",TEXT(Data[[#This Row],[Tanggal terjual]],"dd/mm/yy"))</f>
        <v>ORD-SP0980-07/04/23</v>
      </c>
      <c r="C981" t="s">
        <v>67</v>
      </c>
      <c r="D981" t="str">
        <f>IFERROR(INDEX(Katalog!$A$3:$A$12,MATCH(Data[[#This Row],[ItemID A]],Katalog!$C$3:$C$12,0)),"-")</f>
        <v>Sepatu Wanita</v>
      </c>
      <c r="E981" t="str">
        <f>IFERROR(INDEX(Katalog!$B$3:$B$12,MATCH(Data[[#This Row],[ItemID A]],Katalog!$C$3:$C$12,0)),"-")</f>
        <v>Flat Shoes</v>
      </c>
      <c r="F981">
        <v>2</v>
      </c>
      <c r="G981">
        <v>4</v>
      </c>
      <c r="H981" s="36">
        <f>IFERROR(INDEX(Katalog!$D$3:$D$12,MATCH(Data[[#This Row],[ItemID A]],Katalog!$C$3:$C$12,0))*Data[[#This Row],[Qty A]],"0")</f>
        <v>500000</v>
      </c>
      <c r="I981" s="36">
        <f>IFERROR(INDEX(Katalog!$F$3:$F$12,MATCH(Data[[#This Row],[ItemID A]],Katalog!$C$3:$C$12,0))*Data[[#This Row],[Qty A]],0)</f>
        <v>200000</v>
      </c>
      <c r="J981" t="s">
        <v>66</v>
      </c>
      <c r="K981" t="str">
        <f>IFERROR(INDEX(Katalog!$A$3:$A$12,MATCH(Data[[#This Row],[ItemID B]],Katalog!$C$3:$C$12,0)),"-")</f>
        <v>Sepatu Pria</v>
      </c>
      <c r="L981" t="str">
        <f>IFERROR(INDEX(Katalog!$B$3:$B$12,MATCH(Data[[#This Row],[ItemID B]],Katalog!$C$3:$C$12,0)),"-")</f>
        <v>Sandal Slip On</v>
      </c>
      <c r="M981">
        <v>4</v>
      </c>
      <c r="N981">
        <v>5</v>
      </c>
      <c r="O981" s="36">
        <f>IFERROR(INDEX(Katalog!$D$3:$D$12,MATCH(Data[[#This Row],[ItemID B]],Katalog!$C$3:$C$12,0))*Data[[#This Row],[Qty B]],"0")</f>
        <v>600000</v>
      </c>
      <c r="P981" s="36">
        <f>IFERROR(INDEX(Katalog!$F$3:$F$12,MATCH(Data[[#This Row],[ItemID B]],Katalog!$C$3:$C$12,0))*Data[[#This Row],[Qty B]],"0")</f>
        <v>240000</v>
      </c>
      <c r="R981" t="str">
        <f>IFERROR(INDEX(Katalog!$A$3:$A$12,MATCH(Data[[#This Row],[ItemID C]],Katalog!$C$3:$C$12,0)),"-")</f>
        <v>-</v>
      </c>
      <c r="S981" t="str">
        <f>IFERROR(INDEX(Katalog!$B$3:$B$12,MATCH(Data[[#This Row],[ItemID C]],Katalog!$C$3:$C$12,0)),"-")</f>
        <v>-</v>
      </c>
      <c r="V981" s="36" t="str">
        <f>IFERROR(INDEX(Katalog!$D$3:$D$12,MATCH(Data[[#This Row],[ItemID C]],Katalog!$C$3:$C$12,0))*Data[[#This Row],[Qty C]],"0")</f>
        <v>0</v>
      </c>
      <c r="W981" s="36" t="str">
        <f>IFERROR(INDEX(Katalog!$F$3:$F$12,MATCH(Data[[#This Row],[ItemID C]],Katalog!$C$3:$C$12,0))*Data[[#This Row],[Qty C]],"0")</f>
        <v>0</v>
      </c>
      <c r="X981" s="21">
        <f>Data[[#This Row],[Qty A]]+Data[[#This Row],[Qty B]]+Data[[#This Row],[Qty C]]</f>
        <v>6</v>
      </c>
      <c r="Y981" s="22">
        <f>Data[[#This Row],[Harga Barang A]]+Data[[#This Row],[Harga Barang B]]+Data[[#This Row],[Harga Barang C]]</f>
        <v>1100000</v>
      </c>
      <c r="Z981" s="35">
        <f>IFERROR(Data[[#This Row],[Total Harga]]-(Data[[#This Row],[Total Harga]]*Data[[#This Row],[Diskon]]),Data[[#This Row],[Total Harga]])</f>
        <v>1100000</v>
      </c>
      <c r="AA981" s="35">
        <f>(Data[[#This Row],[Profit A]]+Data[[#This Row],[Profit B]]+Data[[#This Row],[Profit C]])</f>
        <v>440000</v>
      </c>
      <c r="AB981" s="35">
        <f>IFERROR((Data[[#This Row],[Profit non Diskon]]-(Data[[#This Row],[Profit non Diskon]]*Data[[#This Row],[Diskon]])),Data[[#This Row],[Profit non Diskon]])</f>
        <v>440000</v>
      </c>
      <c r="AC981" s="23" t="s">
        <v>11</v>
      </c>
      <c r="AD981" s="37" t="str">
        <f>IFERROR(INDEX('Kode Diskon'!$D$3:$D$9,MATCH(Data[[#This Row],[Kode diskon]],'Kode Diskon'!$C$3:$C$9,0)),"-")</f>
        <v>-</v>
      </c>
      <c r="AE981" s="23" t="s">
        <v>11</v>
      </c>
      <c r="AF981" s="23" t="s">
        <v>7</v>
      </c>
      <c r="AG981" s="23" t="s">
        <v>79</v>
      </c>
      <c r="AH981" s="24">
        <v>45023</v>
      </c>
      <c r="AI981" s="23" t="str">
        <f>TEXT(Data[[#This Row],[Tanggal terjual]],"dddd")</f>
        <v>Friday</v>
      </c>
      <c r="AJ981" s="21" t="str">
        <f>TEXT(Data[[#This Row],[Tanggal terjual]],"wwww")</f>
        <v>wwww</v>
      </c>
    </row>
    <row r="982" spans="1:36" x14ac:dyDescent="0.2">
      <c r="A982" s="20">
        <v>981</v>
      </c>
      <c r="B982" s="21" t="str">
        <f>_xlfn.CONCAT("ORD-",INDEX(Helper!$B$2:$B$5,MATCH(Data[[#This Row],[Marketplace]],Helper!$A$2:$A$5,0)),TEXT(Data[[#This Row],[No]],"0000"),"-",TEXT(Data[[#This Row],[Tanggal terjual]],"dd/mm/yy"))</f>
        <v>ORD-SP0981-01/04/23</v>
      </c>
      <c r="C982" t="s">
        <v>58</v>
      </c>
      <c r="D982" t="str">
        <f>IFERROR(INDEX(Katalog!$A$3:$A$12,MATCH(Data[[#This Row],[ItemID A]],Katalog!$C$3:$C$12,0)),"-")</f>
        <v>Pakaian Wanita</v>
      </c>
      <c r="E982" t="str">
        <f>IFERROR(INDEX(Katalog!$B$3:$B$12,MATCH(Data[[#This Row],[ItemID A]],Katalog!$C$3:$C$12,0)),"-")</f>
        <v>Dress</v>
      </c>
      <c r="F982">
        <v>1</v>
      </c>
      <c r="G982">
        <v>4</v>
      </c>
      <c r="H982" s="36">
        <f>IFERROR(INDEX(Katalog!$D$3:$D$12,MATCH(Data[[#This Row],[ItemID A]],Katalog!$C$3:$C$12,0))*Data[[#This Row],[Qty A]],"0")</f>
        <v>300000</v>
      </c>
      <c r="I982" s="36">
        <f>IFERROR(INDEX(Katalog!$F$3:$F$12,MATCH(Data[[#This Row],[ItemID A]],Katalog!$C$3:$C$12,0))*Data[[#This Row],[Qty A]],0)</f>
        <v>100000</v>
      </c>
      <c r="K982" t="str">
        <f>IFERROR(INDEX(Katalog!$A$3:$A$12,MATCH(Data[[#This Row],[ItemID B]],Katalog!$C$3:$C$12,0)),"-")</f>
        <v>-</v>
      </c>
      <c r="L982" t="str">
        <f>IFERROR(INDEX(Katalog!$B$3:$B$12,MATCH(Data[[#This Row],[ItemID B]],Katalog!$C$3:$C$12,0)),"-")</f>
        <v>-</v>
      </c>
      <c r="O982" s="36" t="str">
        <f>IFERROR(INDEX(Katalog!$D$3:$D$12,MATCH(Data[[#This Row],[ItemID B]],Katalog!$C$3:$C$12,0))*Data[[#This Row],[Qty B]],"0")</f>
        <v>0</v>
      </c>
      <c r="P982" s="36" t="str">
        <f>IFERROR(INDEX(Katalog!$F$3:$F$12,MATCH(Data[[#This Row],[ItemID B]],Katalog!$C$3:$C$12,0))*Data[[#This Row],[Qty B]],"0")</f>
        <v>0</v>
      </c>
      <c r="R982" t="str">
        <f>IFERROR(INDEX(Katalog!$A$3:$A$12,MATCH(Data[[#This Row],[ItemID C]],Katalog!$C$3:$C$12,0)),"-")</f>
        <v>-</v>
      </c>
      <c r="S982" t="str">
        <f>IFERROR(INDEX(Katalog!$B$3:$B$12,MATCH(Data[[#This Row],[ItemID C]],Katalog!$C$3:$C$12,0)),"-")</f>
        <v>-</v>
      </c>
      <c r="V982" s="36" t="str">
        <f>IFERROR(INDEX(Katalog!$D$3:$D$12,MATCH(Data[[#This Row],[ItemID C]],Katalog!$C$3:$C$12,0))*Data[[#This Row],[Qty C]],"0")</f>
        <v>0</v>
      </c>
      <c r="W982" s="36" t="str">
        <f>IFERROR(INDEX(Katalog!$F$3:$F$12,MATCH(Data[[#This Row],[ItemID C]],Katalog!$C$3:$C$12,0))*Data[[#This Row],[Qty C]],"0")</f>
        <v>0</v>
      </c>
      <c r="X982" s="21">
        <f>Data[[#This Row],[Qty A]]+Data[[#This Row],[Qty B]]+Data[[#This Row],[Qty C]]</f>
        <v>1</v>
      </c>
      <c r="Y982" s="22">
        <f>Data[[#This Row],[Harga Barang A]]+Data[[#This Row],[Harga Barang B]]+Data[[#This Row],[Harga Barang C]]</f>
        <v>300000</v>
      </c>
      <c r="Z982" s="35">
        <f>IFERROR(Data[[#This Row],[Total Harga]]-(Data[[#This Row],[Total Harga]]*Data[[#This Row],[Diskon]]),Data[[#This Row],[Total Harga]])</f>
        <v>270000</v>
      </c>
      <c r="AA982" s="35">
        <f>(Data[[#This Row],[Profit A]]+Data[[#This Row],[Profit B]]+Data[[#This Row],[Profit C]])</f>
        <v>100000</v>
      </c>
      <c r="AB982" s="35">
        <f>IFERROR((Data[[#This Row],[Profit non Diskon]]-(Data[[#This Row],[Profit non Diskon]]*Data[[#This Row],[Diskon]])),Data[[#This Row],[Profit non Diskon]])</f>
        <v>90000</v>
      </c>
      <c r="AC982" s="23" t="s">
        <v>6</v>
      </c>
      <c r="AD982" s="37">
        <f>IFERROR(INDEX('Kode Diskon'!$D$3:$D$9,MATCH(Data[[#This Row],[Kode diskon]],'Kode Diskon'!$C$3:$C$9,0)),"-")</f>
        <v>0.1</v>
      </c>
      <c r="AE982" s="23" t="s">
        <v>29</v>
      </c>
      <c r="AF982" s="23" t="s">
        <v>7</v>
      </c>
      <c r="AG982" s="23" t="s">
        <v>79</v>
      </c>
      <c r="AH982" s="24">
        <v>45017</v>
      </c>
      <c r="AI982" s="23" t="str">
        <f>TEXT(Data[[#This Row],[Tanggal terjual]],"dddd")</f>
        <v>Saturday</v>
      </c>
      <c r="AJ982" s="21" t="str">
        <f>TEXT(Data[[#This Row],[Tanggal terjual]],"wwww")</f>
        <v>wwww</v>
      </c>
    </row>
    <row r="983" spans="1:36" x14ac:dyDescent="0.2">
      <c r="A983" s="20">
        <v>982</v>
      </c>
      <c r="B983" s="21" t="str">
        <f>_xlfn.CONCAT("ORD-",INDEX(Helper!$B$2:$B$5,MATCH(Data[[#This Row],[Marketplace]],Helper!$A$2:$A$5,0)),TEXT(Data[[#This Row],[No]],"0000"),"-",TEXT(Data[[#This Row],[Tanggal terjual]],"dd/mm/yy"))</f>
        <v>ORD-BB0982-03/04/23</v>
      </c>
      <c r="C983" t="s">
        <v>63</v>
      </c>
      <c r="D983" t="str">
        <f>IFERROR(INDEX(Katalog!$A$3:$A$12,MATCH(Data[[#This Row],[ItemID A]],Katalog!$C$3:$C$12,0)),"-")</f>
        <v>Pakaian Pria</v>
      </c>
      <c r="E983" t="str">
        <f>IFERROR(INDEX(Katalog!$B$3:$B$12,MATCH(Data[[#This Row],[ItemID A]],Katalog!$C$3:$C$12,0)),"-")</f>
        <v>Jaket Jeans</v>
      </c>
      <c r="F983">
        <v>3</v>
      </c>
      <c r="G983">
        <v>5</v>
      </c>
      <c r="H983" s="36">
        <f>IFERROR(INDEX(Katalog!$D$3:$D$12,MATCH(Data[[#This Row],[ItemID A]],Katalog!$C$3:$C$12,0))*Data[[#This Row],[Qty A]],"0")</f>
        <v>1200000</v>
      </c>
      <c r="I983" s="36">
        <f>IFERROR(INDEX(Katalog!$F$3:$F$12,MATCH(Data[[#This Row],[ItemID A]],Katalog!$C$3:$C$12,0))*Data[[#This Row],[Qty A]],0)</f>
        <v>450000</v>
      </c>
      <c r="K983" t="str">
        <f>IFERROR(INDEX(Katalog!$A$3:$A$12,MATCH(Data[[#This Row],[ItemID B]],Katalog!$C$3:$C$12,0)),"-")</f>
        <v>-</v>
      </c>
      <c r="L983" t="str">
        <f>IFERROR(INDEX(Katalog!$B$3:$B$12,MATCH(Data[[#This Row],[ItemID B]],Katalog!$C$3:$C$12,0)),"-")</f>
        <v>-</v>
      </c>
      <c r="O983" s="36" t="str">
        <f>IFERROR(INDEX(Katalog!$D$3:$D$12,MATCH(Data[[#This Row],[ItemID B]],Katalog!$C$3:$C$12,0))*Data[[#This Row],[Qty B]],"0")</f>
        <v>0</v>
      </c>
      <c r="P983" s="36" t="str">
        <f>IFERROR(INDEX(Katalog!$F$3:$F$12,MATCH(Data[[#This Row],[ItemID B]],Katalog!$C$3:$C$12,0))*Data[[#This Row],[Qty B]],"0")</f>
        <v>0</v>
      </c>
      <c r="R983" t="str">
        <f>IFERROR(INDEX(Katalog!$A$3:$A$12,MATCH(Data[[#This Row],[ItemID C]],Katalog!$C$3:$C$12,0)),"-")</f>
        <v>-</v>
      </c>
      <c r="S983" t="str">
        <f>IFERROR(INDEX(Katalog!$B$3:$B$12,MATCH(Data[[#This Row],[ItemID C]],Katalog!$C$3:$C$12,0)),"-")</f>
        <v>-</v>
      </c>
      <c r="V983" s="36" t="str">
        <f>IFERROR(INDEX(Katalog!$D$3:$D$12,MATCH(Data[[#This Row],[ItemID C]],Katalog!$C$3:$C$12,0))*Data[[#This Row],[Qty C]],"0")</f>
        <v>0</v>
      </c>
      <c r="W983" s="36" t="str">
        <f>IFERROR(INDEX(Katalog!$F$3:$F$12,MATCH(Data[[#This Row],[ItemID C]],Katalog!$C$3:$C$12,0))*Data[[#This Row],[Qty C]],"0")</f>
        <v>0</v>
      </c>
      <c r="X983" s="21">
        <f>Data[[#This Row],[Qty A]]+Data[[#This Row],[Qty B]]+Data[[#This Row],[Qty C]]</f>
        <v>3</v>
      </c>
      <c r="Y983" s="22">
        <f>Data[[#This Row],[Harga Barang A]]+Data[[#This Row],[Harga Barang B]]+Data[[#This Row],[Harga Barang C]]</f>
        <v>1200000</v>
      </c>
      <c r="Z983" s="35">
        <f>IFERROR(Data[[#This Row],[Total Harga]]-(Data[[#This Row],[Total Harga]]*Data[[#This Row],[Diskon]]),Data[[#This Row],[Total Harga]])</f>
        <v>1020000</v>
      </c>
      <c r="AA983" s="35">
        <f>(Data[[#This Row],[Profit A]]+Data[[#This Row],[Profit B]]+Data[[#This Row],[Profit C]])</f>
        <v>450000</v>
      </c>
      <c r="AB983" s="35">
        <f>IFERROR((Data[[#This Row],[Profit non Diskon]]-(Data[[#This Row],[Profit non Diskon]]*Data[[#This Row],[Diskon]])),Data[[#This Row],[Profit non Diskon]])</f>
        <v>382500</v>
      </c>
      <c r="AC983" s="23" t="s">
        <v>28</v>
      </c>
      <c r="AD983" s="37">
        <f>IFERROR(INDEX('Kode Diskon'!$D$3:$D$9,MATCH(Data[[#This Row],[Kode diskon]],'Kode Diskon'!$C$3:$C$9,0)),"-")</f>
        <v>0.15</v>
      </c>
      <c r="AE983" s="23" t="s">
        <v>29</v>
      </c>
      <c r="AF983" s="23" t="s">
        <v>14</v>
      </c>
      <c r="AG983" s="23" t="s">
        <v>76</v>
      </c>
      <c r="AH983" s="24">
        <v>45019</v>
      </c>
      <c r="AI983" s="23" t="str">
        <f>TEXT(Data[[#This Row],[Tanggal terjual]],"dddd")</f>
        <v>Monday</v>
      </c>
      <c r="AJ983" s="21" t="str">
        <f>TEXT(Data[[#This Row],[Tanggal terjual]],"wwww")</f>
        <v>wwww</v>
      </c>
    </row>
    <row r="984" spans="1:36" x14ac:dyDescent="0.2">
      <c r="A984" s="20">
        <v>983</v>
      </c>
      <c r="B984" s="21" t="str">
        <f>_xlfn.CONCAT("ORD-",INDEX(Helper!$B$2:$B$5,MATCH(Data[[#This Row],[Marketplace]],Helper!$A$2:$A$5,0)),TEXT(Data[[#This Row],[No]],"0000"),"-",TEXT(Data[[#This Row],[Tanggal terjual]],"dd/mm/yy"))</f>
        <v>ORD-SP0983-06/04/23</v>
      </c>
      <c r="C984" t="s">
        <v>62</v>
      </c>
      <c r="D984" t="str">
        <f>IFERROR(INDEX(Katalog!$A$3:$A$12,MATCH(Data[[#This Row],[ItemID A]],Katalog!$C$3:$C$12,0)),"-")</f>
        <v>Pakaian Pria</v>
      </c>
      <c r="E984" t="str">
        <f>IFERROR(INDEX(Katalog!$B$3:$B$12,MATCH(Data[[#This Row],[ItemID A]],Katalog!$C$3:$C$12,0)),"-")</f>
        <v>Celana Pendek</v>
      </c>
      <c r="F984">
        <v>5</v>
      </c>
      <c r="G984">
        <v>1</v>
      </c>
      <c r="H984" s="36">
        <f>IFERROR(INDEX(Katalog!$D$3:$D$12,MATCH(Data[[#This Row],[ItemID A]],Katalog!$C$3:$C$12,0))*Data[[#This Row],[Qty A]],"0")</f>
        <v>900000</v>
      </c>
      <c r="I984" s="36">
        <f>IFERROR(INDEX(Katalog!$F$3:$F$12,MATCH(Data[[#This Row],[ItemID A]],Katalog!$C$3:$C$12,0))*Data[[#This Row],[Qty A]],0)</f>
        <v>350000</v>
      </c>
      <c r="J984" t="s">
        <v>59</v>
      </c>
      <c r="K984" t="str">
        <f>IFERROR(INDEX(Katalog!$A$3:$A$12,MATCH(Data[[#This Row],[ItemID B]],Katalog!$C$3:$C$12,0)),"-")</f>
        <v>Pakaian Wanita</v>
      </c>
      <c r="L984" t="str">
        <f>IFERROR(INDEX(Katalog!$B$3:$B$12,MATCH(Data[[#This Row],[ItemID B]],Katalog!$C$3:$C$12,0)),"-")</f>
        <v>Blouse</v>
      </c>
      <c r="M984">
        <v>1</v>
      </c>
      <c r="N984">
        <v>5</v>
      </c>
      <c r="O984" s="36">
        <f>IFERROR(INDEX(Katalog!$D$3:$D$12,MATCH(Data[[#This Row],[ItemID B]],Katalog!$C$3:$C$12,0))*Data[[#This Row],[Qty B]],"0")</f>
        <v>150000</v>
      </c>
      <c r="P984" s="36">
        <f>IFERROR(INDEX(Katalog!$F$3:$F$12,MATCH(Data[[#This Row],[ItemID B]],Katalog!$C$3:$C$12,0))*Data[[#This Row],[Qty B]],"0")</f>
        <v>50000</v>
      </c>
      <c r="R984" t="str">
        <f>IFERROR(INDEX(Katalog!$A$3:$A$12,MATCH(Data[[#This Row],[ItemID C]],Katalog!$C$3:$C$12,0)),"-")</f>
        <v>-</v>
      </c>
      <c r="S984" t="str">
        <f>IFERROR(INDEX(Katalog!$B$3:$B$12,MATCH(Data[[#This Row],[ItemID C]],Katalog!$C$3:$C$12,0)),"-")</f>
        <v>-</v>
      </c>
      <c r="V984" s="36" t="str">
        <f>IFERROR(INDEX(Katalog!$D$3:$D$12,MATCH(Data[[#This Row],[ItemID C]],Katalog!$C$3:$C$12,0))*Data[[#This Row],[Qty C]],"0")</f>
        <v>0</v>
      </c>
      <c r="W984" s="36" t="str">
        <f>IFERROR(INDEX(Katalog!$F$3:$F$12,MATCH(Data[[#This Row],[ItemID C]],Katalog!$C$3:$C$12,0))*Data[[#This Row],[Qty C]],"0")</f>
        <v>0</v>
      </c>
      <c r="X984" s="21">
        <f>Data[[#This Row],[Qty A]]+Data[[#This Row],[Qty B]]+Data[[#This Row],[Qty C]]</f>
        <v>6</v>
      </c>
      <c r="Y984" s="22">
        <f>Data[[#This Row],[Harga Barang A]]+Data[[#This Row],[Harga Barang B]]+Data[[#This Row],[Harga Barang C]]</f>
        <v>1050000</v>
      </c>
      <c r="Z984" s="35">
        <f>IFERROR(Data[[#This Row],[Total Harga]]-(Data[[#This Row],[Total Harga]]*Data[[#This Row],[Diskon]]),Data[[#This Row],[Total Harga]])</f>
        <v>892500</v>
      </c>
      <c r="AA984" s="35">
        <f>(Data[[#This Row],[Profit A]]+Data[[#This Row],[Profit B]]+Data[[#This Row],[Profit C]])</f>
        <v>400000</v>
      </c>
      <c r="AB984" s="35">
        <f>IFERROR((Data[[#This Row],[Profit non Diskon]]-(Data[[#This Row],[Profit non Diskon]]*Data[[#This Row],[Diskon]])),Data[[#This Row],[Profit non Diskon]])</f>
        <v>340000</v>
      </c>
      <c r="AC984" s="23" t="s">
        <v>13</v>
      </c>
      <c r="AD984" s="37">
        <f>IFERROR(INDEX('Kode Diskon'!$D$3:$D$9,MATCH(Data[[#This Row],[Kode diskon]],'Kode Diskon'!$C$3:$C$9,0)),"-")</f>
        <v>0.15</v>
      </c>
      <c r="AE984" s="23" t="s">
        <v>29</v>
      </c>
      <c r="AF984" s="23" t="s">
        <v>7</v>
      </c>
      <c r="AG984" s="23" t="s">
        <v>76</v>
      </c>
      <c r="AH984" s="24">
        <v>45022</v>
      </c>
      <c r="AI984" s="23" t="str">
        <f>TEXT(Data[[#This Row],[Tanggal terjual]],"dddd")</f>
        <v>Thursday</v>
      </c>
      <c r="AJ984" s="21" t="str">
        <f>TEXT(Data[[#This Row],[Tanggal terjual]],"wwww")</f>
        <v>wwww</v>
      </c>
    </row>
    <row r="985" spans="1:36" x14ac:dyDescent="0.2">
      <c r="A985" s="20">
        <v>984</v>
      </c>
      <c r="B985" s="21" t="str">
        <f>_xlfn.CONCAT("ORD-",INDEX(Helper!$B$2:$B$5,MATCH(Data[[#This Row],[Marketplace]],Helper!$A$2:$A$5,0)),TEXT(Data[[#This Row],[No]],"0000"),"-",TEXT(Data[[#This Row],[Tanggal terjual]],"dd/mm/yy"))</f>
        <v>ORD-SP0984-05/04/23</v>
      </c>
      <c r="C985" t="s">
        <v>62</v>
      </c>
      <c r="D985" t="str">
        <f>IFERROR(INDEX(Katalog!$A$3:$A$12,MATCH(Data[[#This Row],[ItemID A]],Katalog!$C$3:$C$12,0)),"-")</f>
        <v>Pakaian Pria</v>
      </c>
      <c r="E985" t="str">
        <f>IFERROR(INDEX(Katalog!$B$3:$B$12,MATCH(Data[[#This Row],[ItemID A]],Katalog!$C$3:$C$12,0)),"-")</f>
        <v>Celana Pendek</v>
      </c>
      <c r="F985">
        <v>1</v>
      </c>
      <c r="G985">
        <v>1</v>
      </c>
      <c r="H985" s="36">
        <f>IFERROR(INDEX(Katalog!$D$3:$D$12,MATCH(Data[[#This Row],[ItemID A]],Katalog!$C$3:$C$12,0))*Data[[#This Row],[Qty A]],"0")</f>
        <v>180000</v>
      </c>
      <c r="I985" s="36">
        <f>IFERROR(INDEX(Katalog!$F$3:$F$12,MATCH(Data[[#This Row],[ItemID A]],Katalog!$C$3:$C$12,0))*Data[[#This Row],[Qty A]],0)</f>
        <v>70000</v>
      </c>
      <c r="J985" t="s">
        <v>64</v>
      </c>
      <c r="K985" t="str">
        <f>IFERROR(INDEX(Katalog!$A$3:$A$12,MATCH(Data[[#This Row],[ItemID B]],Katalog!$C$3:$C$12,0)),"-")</f>
        <v>Pakaian Unisex</v>
      </c>
      <c r="L985" t="str">
        <f>IFERROR(INDEX(Katalog!$B$3:$B$12,MATCH(Data[[#This Row],[ItemID B]],Katalog!$C$3:$C$12,0)),"-")</f>
        <v>Jaket Hoodie</v>
      </c>
      <c r="M985">
        <v>2</v>
      </c>
      <c r="N985">
        <v>2</v>
      </c>
      <c r="O985" s="36">
        <f>IFERROR(INDEX(Katalog!$D$3:$D$12,MATCH(Data[[#This Row],[ItemID B]],Katalog!$C$3:$C$12,0))*Data[[#This Row],[Qty B]],"0")</f>
        <v>700000</v>
      </c>
      <c r="P985" s="36">
        <f>IFERROR(INDEX(Katalog!$F$3:$F$12,MATCH(Data[[#This Row],[ItemID B]],Katalog!$C$3:$C$12,0))*Data[[#This Row],[Qty B]],"0")</f>
        <v>260000</v>
      </c>
      <c r="Q985" t="s">
        <v>59</v>
      </c>
      <c r="R985" t="str">
        <f>IFERROR(INDEX(Katalog!$A$3:$A$12,MATCH(Data[[#This Row],[ItemID C]],Katalog!$C$3:$C$12,0)),"-")</f>
        <v>Pakaian Wanita</v>
      </c>
      <c r="S985" t="str">
        <f>IFERROR(INDEX(Katalog!$B$3:$B$12,MATCH(Data[[#This Row],[ItemID C]],Katalog!$C$3:$C$12,0)),"-")</f>
        <v>Blouse</v>
      </c>
      <c r="T985">
        <v>2</v>
      </c>
      <c r="U985">
        <v>4</v>
      </c>
      <c r="V985" s="36">
        <f>IFERROR(INDEX(Katalog!$D$3:$D$12,MATCH(Data[[#This Row],[ItemID C]],Katalog!$C$3:$C$12,0))*Data[[#This Row],[Qty C]],"0")</f>
        <v>300000</v>
      </c>
      <c r="W985" s="36">
        <f>IFERROR(INDEX(Katalog!$F$3:$F$12,MATCH(Data[[#This Row],[ItemID C]],Katalog!$C$3:$C$12,0))*Data[[#This Row],[Qty C]],"0")</f>
        <v>100000</v>
      </c>
      <c r="X985" s="21">
        <f>Data[[#This Row],[Qty A]]+Data[[#This Row],[Qty B]]+Data[[#This Row],[Qty C]]</f>
        <v>5</v>
      </c>
      <c r="Y985" s="22">
        <f>Data[[#This Row],[Harga Barang A]]+Data[[#This Row],[Harga Barang B]]+Data[[#This Row],[Harga Barang C]]</f>
        <v>1180000</v>
      </c>
      <c r="Z985" s="35">
        <f>IFERROR(Data[[#This Row],[Total Harga]]-(Data[[#This Row],[Total Harga]]*Data[[#This Row],[Diskon]]),Data[[#This Row],[Total Harga]])</f>
        <v>1003000</v>
      </c>
      <c r="AA985" s="35">
        <f>(Data[[#This Row],[Profit A]]+Data[[#This Row],[Profit B]]+Data[[#This Row],[Profit C]])</f>
        <v>430000</v>
      </c>
      <c r="AB985" s="35">
        <f>IFERROR((Data[[#This Row],[Profit non Diskon]]-(Data[[#This Row],[Profit non Diskon]]*Data[[#This Row],[Diskon]])),Data[[#This Row],[Profit non Diskon]])</f>
        <v>365500</v>
      </c>
      <c r="AC985" s="23" t="s">
        <v>13</v>
      </c>
      <c r="AD985" s="37">
        <f>IFERROR(INDEX('Kode Diskon'!$D$3:$D$9,MATCH(Data[[#This Row],[Kode diskon]],'Kode Diskon'!$C$3:$C$9,0)),"-")</f>
        <v>0.15</v>
      </c>
      <c r="AE985" s="23" t="s">
        <v>29</v>
      </c>
      <c r="AF985" s="23" t="s">
        <v>7</v>
      </c>
      <c r="AG985" s="23" t="s">
        <v>75</v>
      </c>
      <c r="AH985" s="24">
        <v>45021</v>
      </c>
      <c r="AI985" s="23" t="str">
        <f>TEXT(Data[[#This Row],[Tanggal terjual]],"dddd")</f>
        <v>Wednesday</v>
      </c>
      <c r="AJ985" s="21" t="str">
        <f>TEXT(Data[[#This Row],[Tanggal terjual]],"wwww")</f>
        <v>wwww</v>
      </c>
    </row>
    <row r="986" spans="1:36" x14ac:dyDescent="0.2">
      <c r="A986" s="20">
        <v>985</v>
      </c>
      <c r="B986" s="21" t="str">
        <f>_xlfn.CONCAT("ORD-",INDEX(Helper!$B$2:$B$5,MATCH(Data[[#This Row],[Marketplace]],Helper!$A$2:$A$5,0)),TEXT(Data[[#This Row],[No]],"0000"),"-",TEXT(Data[[#This Row],[Tanggal terjual]],"dd/mm/yy"))</f>
        <v>ORD-SP0985-01/04/23</v>
      </c>
      <c r="C986" t="s">
        <v>66</v>
      </c>
      <c r="D986" t="str">
        <f>IFERROR(INDEX(Katalog!$A$3:$A$12,MATCH(Data[[#This Row],[ItemID A]],Katalog!$C$3:$C$12,0)),"-")</f>
        <v>Sepatu Pria</v>
      </c>
      <c r="E986" t="str">
        <f>IFERROR(INDEX(Katalog!$B$3:$B$12,MATCH(Data[[#This Row],[ItemID A]],Katalog!$C$3:$C$12,0)),"-")</f>
        <v>Sandal Slip On</v>
      </c>
      <c r="F986">
        <v>1</v>
      </c>
      <c r="G986">
        <v>2</v>
      </c>
      <c r="H986" s="36">
        <f>IFERROR(INDEX(Katalog!$D$3:$D$12,MATCH(Data[[#This Row],[ItemID A]],Katalog!$C$3:$C$12,0))*Data[[#This Row],[Qty A]],"0")</f>
        <v>150000</v>
      </c>
      <c r="I986" s="36">
        <f>IFERROR(INDEX(Katalog!$F$3:$F$12,MATCH(Data[[#This Row],[ItemID A]],Katalog!$C$3:$C$12,0))*Data[[#This Row],[Qty A]],0)</f>
        <v>60000</v>
      </c>
      <c r="K986" t="str">
        <f>IFERROR(INDEX(Katalog!$A$3:$A$12,MATCH(Data[[#This Row],[ItemID B]],Katalog!$C$3:$C$12,0)),"-")</f>
        <v>-</v>
      </c>
      <c r="L986" t="str">
        <f>IFERROR(INDEX(Katalog!$B$3:$B$12,MATCH(Data[[#This Row],[ItemID B]],Katalog!$C$3:$C$12,0)),"-")</f>
        <v>-</v>
      </c>
      <c r="O986" s="36" t="str">
        <f>IFERROR(INDEX(Katalog!$D$3:$D$12,MATCH(Data[[#This Row],[ItemID B]],Katalog!$C$3:$C$12,0))*Data[[#This Row],[Qty B]],"0")</f>
        <v>0</v>
      </c>
      <c r="P986" s="36" t="str">
        <f>IFERROR(INDEX(Katalog!$F$3:$F$12,MATCH(Data[[#This Row],[ItemID B]],Katalog!$C$3:$C$12,0))*Data[[#This Row],[Qty B]],"0")</f>
        <v>0</v>
      </c>
      <c r="R986" t="str">
        <f>IFERROR(INDEX(Katalog!$A$3:$A$12,MATCH(Data[[#This Row],[ItemID C]],Katalog!$C$3:$C$12,0)),"-")</f>
        <v>-</v>
      </c>
      <c r="S986" t="str">
        <f>IFERROR(INDEX(Katalog!$B$3:$B$12,MATCH(Data[[#This Row],[ItemID C]],Katalog!$C$3:$C$12,0)),"-")</f>
        <v>-</v>
      </c>
      <c r="V986" s="36" t="str">
        <f>IFERROR(INDEX(Katalog!$D$3:$D$12,MATCH(Data[[#This Row],[ItemID C]],Katalog!$C$3:$C$12,0))*Data[[#This Row],[Qty C]],"0")</f>
        <v>0</v>
      </c>
      <c r="W986" s="36" t="str">
        <f>IFERROR(INDEX(Katalog!$F$3:$F$12,MATCH(Data[[#This Row],[ItemID C]],Katalog!$C$3:$C$12,0))*Data[[#This Row],[Qty C]],"0")</f>
        <v>0</v>
      </c>
      <c r="X986" s="21">
        <f>Data[[#This Row],[Qty A]]+Data[[#This Row],[Qty B]]+Data[[#This Row],[Qty C]]</f>
        <v>1</v>
      </c>
      <c r="Y986" s="22">
        <f>Data[[#This Row],[Harga Barang A]]+Data[[#This Row],[Harga Barang B]]+Data[[#This Row],[Harga Barang C]]</f>
        <v>150000</v>
      </c>
      <c r="Z986" s="35">
        <f>IFERROR(Data[[#This Row],[Total Harga]]-(Data[[#This Row],[Total Harga]]*Data[[#This Row],[Diskon]]),Data[[#This Row],[Total Harga]])</f>
        <v>135000</v>
      </c>
      <c r="AA986" s="35">
        <f>(Data[[#This Row],[Profit A]]+Data[[#This Row],[Profit B]]+Data[[#This Row],[Profit C]])</f>
        <v>60000</v>
      </c>
      <c r="AB986" s="35">
        <f>IFERROR((Data[[#This Row],[Profit non Diskon]]-(Data[[#This Row],[Profit non Diskon]]*Data[[#This Row],[Diskon]])),Data[[#This Row],[Profit non Diskon]])</f>
        <v>54000</v>
      </c>
      <c r="AC986" s="23" t="s">
        <v>6</v>
      </c>
      <c r="AD986" s="37">
        <f>IFERROR(INDEX('Kode Diskon'!$D$3:$D$9,MATCH(Data[[#This Row],[Kode diskon]],'Kode Diskon'!$C$3:$C$9,0)),"-")</f>
        <v>0.1</v>
      </c>
      <c r="AE986" s="23" t="s">
        <v>29</v>
      </c>
      <c r="AF986" s="23" t="s">
        <v>7</v>
      </c>
      <c r="AG986" s="23" t="s">
        <v>79</v>
      </c>
      <c r="AH986" s="24">
        <v>45017</v>
      </c>
      <c r="AI986" s="23" t="str">
        <f>TEXT(Data[[#This Row],[Tanggal terjual]],"dddd")</f>
        <v>Saturday</v>
      </c>
      <c r="AJ986" s="21" t="str">
        <f>TEXT(Data[[#This Row],[Tanggal terjual]],"wwww")</f>
        <v>wwww</v>
      </c>
    </row>
    <row r="987" spans="1:36" x14ac:dyDescent="0.2">
      <c r="A987" s="20">
        <v>986</v>
      </c>
      <c r="B987" s="21" t="str">
        <f>_xlfn.CONCAT("ORD-",INDEX(Helper!$B$2:$B$5,MATCH(Data[[#This Row],[Marketplace]],Helper!$A$2:$A$5,0)),TEXT(Data[[#This Row],[No]],"0000"),"-",TEXT(Data[[#This Row],[Tanggal terjual]],"dd/mm/yy"))</f>
        <v>ORD-BL0986-18/04/23</v>
      </c>
      <c r="C987" t="s">
        <v>63</v>
      </c>
      <c r="D987" t="str">
        <f>IFERROR(INDEX(Katalog!$A$3:$A$12,MATCH(Data[[#This Row],[ItemID A]],Katalog!$C$3:$C$12,0)),"-")</f>
        <v>Pakaian Pria</v>
      </c>
      <c r="E987" t="str">
        <f>IFERROR(INDEX(Katalog!$B$3:$B$12,MATCH(Data[[#This Row],[ItemID A]],Katalog!$C$3:$C$12,0)),"-")</f>
        <v>Jaket Jeans</v>
      </c>
      <c r="F987">
        <v>2</v>
      </c>
      <c r="G987">
        <v>2</v>
      </c>
      <c r="H987" s="36">
        <f>IFERROR(INDEX(Katalog!$D$3:$D$12,MATCH(Data[[#This Row],[ItemID A]],Katalog!$C$3:$C$12,0))*Data[[#This Row],[Qty A]],"0")</f>
        <v>800000</v>
      </c>
      <c r="I987" s="36">
        <f>IFERROR(INDEX(Katalog!$F$3:$F$12,MATCH(Data[[#This Row],[ItemID A]],Katalog!$C$3:$C$12,0))*Data[[#This Row],[Qty A]],0)</f>
        <v>300000</v>
      </c>
      <c r="J987" t="s">
        <v>62</v>
      </c>
      <c r="K987" t="str">
        <f>IFERROR(INDEX(Katalog!$A$3:$A$12,MATCH(Data[[#This Row],[ItemID B]],Katalog!$C$3:$C$12,0)),"-")</f>
        <v>Pakaian Pria</v>
      </c>
      <c r="L987" t="str">
        <f>IFERROR(INDEX(Katalog!$B$3:$B$12,MATCH(Data[[#This Row],[ItemID B]],Katalog!$C$3:$C$12,0)),"-")</f>
        <v>Celana Pendek</v>
      </c>
      <c r="M987">
        <v>1</v>
      </c>
      <c r="N987">
        <v>5</v>
      </c>
      <c r="O987" s="36">
        <f>IFERROR(INDEX(Katalog!$D$3:$D$12,MATCH(Data[[#This Row],[ItemID B]],Katalog!$C$3:$C$12,0))*Data[[#This Row],[Qty B]],"0")</f>
        <v>180000</v>
      </c>
      <c r="P987" s="36">
        <f>IFERROR(INDEX(Katalog!$F$3:$F$12,MATCH(Data[[#This Row],[ItemID B]],Katalog!$C$3:$C$12,0))*Data[[#This Row],[Qty B]],"0")</f>
        <v>70000</v>
      </c>
      <c r="R987" t="str">
        <f>IFERROR(INDEX(Katalog!$A$3:$A$12,MATCH(Data[[#This Row],[ItemID C]],Katalog!$C$3:$C$12,0)),"-")</f>
        <v>-</v>
      </c>
      <c r="S987" t="str">
        <f>IFERROR(INDEX(Katalog!$B$3:$B$12,MATCH(Data[[#This Row],[ItemID C]],Katalog!$C$3:$C$12,0)),"-")</f>
        <v>-</v>
      </c>
      <c r="V987" s="36" t="str">
        <f>IFERROR(INDEX(Katalog!$D$3:$D$12,MATCH(Data[[#This Row],[ItemID C]],Katalog!$C$3:$C$12,0))*Data[[#This Row],[Qty C]],"0")</f>
        <v>0</v>
      </c>
      <c r="W987" s="36" t="str">
        <f>IFERROR(INDEX(Katalog!$F$3:$F$12,MATCH(Data[[#This Row],[ItemID C]],Katalog!$C$3:$C$12,0))*Data[[#This Row],[Qty C]],"0")</f>
        <v>0</v>
      </c>
      <c r="X987" s="21">
        <f>Data[[#This Row],[Qty A]]+Data[[#This Row],[Qty B]]+Data[[#This Row],[Qty C]]</f>
        <v>3</v>
      </c>
      <c r="Y987" s="22">
        <f>Data[[#This Row],[Harga Barang A]]+Data[[#This Row],[Harga Barang B]]+Data[[#This Row],[Harga Barang C]]</f>
        <v>980000</v>
      </c>
      <c r="Z987" s="35">
        <f>IFERROR(Data[[#This Row],[Total Harga]]-(Data[[#This Row],[Total Harga]]*Data[[#This Row],[Diskon]]),Data[[#This Row],[Total Harga]])</f>
        <v>833000</v>
      </c>
      <c r="AA987" s="35">
        <f>(Data[[#This Row],[Profit A]]+Data[[#This Row],[Profit B]]+Data[[#This Row],[Profit C]])</f>
        <v>370000</v>
      </c>
      <c r="AB987" s="35">
        <f>IFERROR((Data[[#This Row],[Profit non Diskon]]-(Data[[#This Row],[Profit non Diskon]]*Data[[#This Row],[Diskon]])),Data[[#This Row],[Profit non Diskon]])</f>
        <v>314500</v>
      </c>
      <c r="AC987" s="23" t="s">
        <v>32</v>
      </c>
      <c r="AD987" s="37">
        <f>IFERROR(INDEX('Kode Diskon'!$D$3:$D$9,MATCH(Data[[#This Row],[Kode diskon]],'Kode Diskon'!$C$3:$C$9,0)),"-")</f>
        <v>0.15</v>
      </c>
      <c r="AE987" s="23" t="s">
        <v>9</v>
      </c>
      <c r="AF987" s="23" t="s">
        <v>12</v>
      </c>
      <c r="AG987" s="23" t="s">
        <v>80</v>
      </c>
      <c r="AH987" s="24">
        <v>45034</v>
      </c>
      <c r="AI987" s="23" t="str">
        <f>TEXT(Data[[#This Row],[Tanggal terjual]],"dddd")</f>
        <v>Tuesday</v>
      </c>
      <c r="AJ987" s="21" t="str">
        <f>TEXT(Data[[#This Row],[Tanggal terjual]],"wwww")</f>
        <v>wwww</v>
      </c>
    </row>
    <row r="988" spans="1:36" x14ac:dyDescent="0.2">
      <c r="A988" s="20">
        <v>987</v>
      </c>
      <c r="B988" s="21" t="str">
        <f>_xlfn.CONCAT("ORD-",INDEX(Helper!$B$2:$B$5,MATCH(Data[[#This Row],[Marketplace]],Helper!$A$2:$A$5,0)),TEXT(Data[[#This Row],[No]],"0000"),"-",TEXT(Data[[#This Row],[Tanggal terjual]],"dd/mm/yy"))</f>
        <v>ORD-SP0987-04/04/23</v>
      </c>
      <c r="C988" t="s">
        <v>66</v>
      </c>
      <c r="D988" t="str">
        <f>IFERROR(INDEX(Katalog!$A$3:$A$12,MATCH(Data[[#This Row],[ItemID A]],Katalog!$C$3:$C$12,0)),"-")</f>
        <v>Sepatu Pria</v>
      </c>
      <c r="E988" t="str">
        <f>IFERROR(INDEX(Katalog!$B$3:$B$12,MATCH(Data[[#This Row],[ItemID A]],Katalog!$C$3:$C$12,0)),"-")</f>
        <v>Sandal Slip On</v>
      </c>
      <c r="F988">
        <v>5</v>
      </c>
      <c r="G988">
        <v>3</v>
      </c>
      <c r="H988" s="36">
        <f>IFERROR(INDEX(Katalog!$D$3:$D$12,MATCH(Data[[#This Row],[ItemID A]],Katalog!$C$3:$C$12,0))*Data[[#This Row],[Qty A]],"0")</f>
        <v>750000</v>
      </c>
      <c r="I988" s="36">
        <f>IFERROR(INDEX(Katalog!$F$3:$F$12,MATCH(Data[[#This Row],[ItemID A]],Katalog!$C$3:$C$12,0))*Data[[#This Row],[Qty A]],0)</f>
        <v>300000</v>
      </c>
      <c r="J988" t="s">
        <v>67</v>
      </c>
      <c r="K988" t="str">
        <f>IFERROR(INDEX(Katalog!$A$3:$A$12,MATCH(Data[[#This Row],[ItemID B]],Katalog!$C$3:$C$12,0)),"-")</f>
        <v>Sepatu Wanita</v>
      </c>
      <c r="L988" t="str">
        <f>IFERROR(INDEX(Katalog!$B$3:$B$12,MATCH(Data[[#This Row],[ItemID B]],Katalog!$C$3:$C$12,0)),"-")</f>
        <v>Flat Shoes</v>
      </c>
      <c r="M988">
        <v>1</v>
      </c>
      <c r="N988">
        <v>1</v>
      </c>
      <c r="O988" s="36">
        <f>IFERROR(INDEX(Katalog!$D$3:$D$12,MATCH(Data[[#This Row],[ItemID B]],Katalog!$C$3:$C$12,0))*Data[[#This Row],[Qty B]],"0")</f>
        <v>250000</v>
      </c>
      <c r="P988" s="36">
        <f>IFERROR(INDEX(Katalog!$F$3:$F$12,MATCH(Data[[#This Row],[ItemID B]],Katalog!$C$3:$C$12,0))*Data[[#This Row],[Qty B]],"0")</f>
        <v>100000</v>
      </c>
      <c r="R988" t="str">
        <f>IFERROR(INDEX(Katalog!$A$3:$A$12,MATCH(Data[[#This Row],[ItemID C]],Katalog!$C$3:$C$12,0)),"-")</f>
        <v>-</v>
      </c>
      <c r="S988" t="str">
        <f>IFERROR(INDEX(Katalog!$B$3:$B$12,MATCH(Data[[#This Row],[ItemID C]],Katalog!$C$3:$C$12,0)),"-")</f>
        <v>-</v>
      </c>
      <c r="V988" s="36" t="str">
        <f>IFERROR(INDEX(Katalog!$D$3:$D$12,MATCH(Data[[#This Row],[ItemID C]],Katalog!$C$3:$C$12,0))*Data[[#This Row],[Qty C]],"0")</f>
        <v>0</v>
      </c>
      <c r="W988" s="36" t="str">
        <f>IFERROR(INDEX(Katalog!$F$3:$F$12,MATCH(Data[[#This Row],[ItemID C]],Katalog!$C$3:$C$12,0))*Data[[#This Row],[Qty C]],"0")</f>
        <v>0</v>
      </c>
      <c r="X988" s="21">
        <f>Data[[#This Row],[Qty A]]+Data[[#This Row],[Qty B]]+Data[[#This Row],[Qty C]]</f>
        <v>6</v>
      </c>
      <c r="Y988" s="22">
        <f>Data[[#This Row],[Harga Barang A]]+Data[[#This Row],[Harga Barang B]]+Data[[#This Row],[Harga Barang C]]</f>
        <v>1000000</v>
      </c>
      <c r="Z988" s="35">
        <f>IFERROR(Data[[#This Row],[Total Harga]]-(Data[[#This Row],[Total Harga]]*Data[[#This Row],[Diskon]]),Data[[#This Row],[Total Harga]])</f>
        <v>900000</v>
      </c>
      <c r="AA988" s="35">
        <f>(Data[[#This Row],[Profit A]]+Data[[#This Row],[Profit B]]+Data[[#This Row],[Profit C]])</f>
        <v>400000</v>
      </c>
      <c r="AB988" s="35">
        <f>IFERROR((Data[[#This Row],[Profit non Diskon]]-(Data[[#This Row],[Profit non Diskon]]*Data[[#This Row],[Diskon]])),Data[[#This Row],[Profit non Diskon]])</f>
        <v>360000</v>
      </c>
      <c r="AC988" s="23" t="s">
        <v>6</v>
      </c>
      <c r="AD988" s="37">
        <f>IFERROR(INDEX('Kode Diskon'!$D$3:$D$9,MATCH(Data[[#This Row],[Kode diskon]],'Kode Diskon'!$C$3:$C$9,0)),"-")</f>
        <v>0.1</v>
      </c>
      <c r="AE988" s="23" t="s">
        <v>29</v>
      </c>
      <c r="AF988" s="23" t="s">
        <v>7</v>
      </c>
      <c r="AG988" s="23" t="s">
        <v>75</v>
      </c>
      <c r="AH988" s="24">
        <v>45020</v>
      </c>
      <c r="AI988" s="23" t="str">
        <f>TEXT(Data[[#This Row],[Tanggal terjual]],"dddd")</f>
        <v>Tuesday</v>
      </c>
      <c r="AJ988" s="21" t="str">
        <f>TEXT(Data[[#This Row],[Tanggal terjual]],"wwww")</f>
        <v>wwww</v>
      </c>
    </row>
    <row r="989" spans="1:36" x14ac:dyDescent="0.2">
      <c r="A989" s="20">
        <v>988</v>
      </c>
      <c r="B989" s="21" t="str">
        <f>_xlfn.CONCAT("ORD-",INDEX(Helper!$B$2:$B$5,MATCH(Data[[#This Row],[Marketplace]],Helper!$A$2:$A$5,0)),TEXT(Data[[#This Row],[No]],"0000"),"-",TEXT(Data[[#This Row],[Tanggal terjual]],"dd/mm/yy"))</f>
        <v>ORD-BL0988-20/04/23</v>
      </c>
      <c r="C989" t="s">
        <v>62</v>
      </c>
      <c r="D989" t="str">
        <f>IFERROR(INDEX(Katalog!$A$3:$A$12,MATCH(Data[[#This Row],[ItemID A]],Katalog!$C$3:$C$12,0)),"-")</f>
        <v>Pakaian Pria</v>
      </c>
      <c r="E989" t="str">
        <f>IFERROR(INDEX(Katalog!$B$3:$B$12,MATCH(Data[[#This Row],[ItemID A]],Katalog!$C$3:$C$12,0)),"-")</f>
        <v>Celana Pendek</v>
      </c>
      <c r="F989">
        <v>1</v>
      </c>
      <c r="G989">
        <v>4</v>
      </c>
      <c r="H989" s="36">
        <f>IFERROR(INDEX(Katalog!$D$3:$D$12,MATCH(Data[[#This Row],[ItemID A]],Katalog!$C$3:$C$12,0))*Data[[#This Row],[Qty A]],"0")</f>
        <v>180000</v>
      </c>
      <c r="I989" s="36">
        <f>IFERROR(INDEX(Katalog!$F$3:$F$12,MATCH(Data[[#This Row],[ItemID A]],Katalog!$C$3:$C$12,0))*Data[[#This Row],[Qty A]],0)</f>
        <v>70000</v>
      </c>
      <c r="J989" t="s">
        <v>63</v>
      </c>
      <c r="K989" t="str">
        <f>IFERROR(INDEX(Katalog!$A$3:$A$12,MATCH(Data[[#This Row],[ItemID B]],Katalog!$C$3:$C$12,0)),"-")</f>
        <v>Pakaian Pria</v>
      </c>
      <c r="L989" t="str">
        <f>IFERROR(INDEX(Katalog!$B$3:$B$12,MATCH(Data[[#This Row],[ItemID B]],Katalog!$C$3:$C$12,0)),"-")</f>
        <v>Jaket Jeans</v>
      </c>
      <c r="M989">
        <v>2</v>
      </c>
      <c r="N989">
        <v>2</v>
      </c>
      <c r="O989" s="36">
        <f>IFERROR(INDEX(Katalog!$D$3:$D$12,MATCH(Data[[#This Row],[ItemID B]],Katalog!$C$3:$C$12,0))*Data[[#This Row],[Qty B]],"0")</f>
        <v>800000</v>
      </c>
      <c r="P989" s="36">
        <f>IFERROR(INDEX(Katalog!$F$3:$F$12,MATCH(Data[[#This Row],[ItemID B]],Katalog!$C$3:$C$12,0))*Data[[#This Row],[Qty B]],"0")</f>
        <v>300000</v>
      </c>
      <c r="Q989" t="s">
        <v>66</v>
      </c>
      <c r="R989" t="str">
        <f>IFERROR(INDEX(Katalog!$A$3:$A$12,MATCH(Data[[#This Row],[ItemID C]],Katalog!$C$3:$C$12,0)),"-")</f>
        <v>Sepatu Pria</v>
      </c>
      <c r="S989" t="str">
        <f>IFERROR(INDEX(Katalog!$B$3:$B$12,MATCH(Data[[#This Row],[ItemID C]],Katalog!$C$3:$C$12,0)),"-")</f>
        <v>Sandal Slip On</v>
      </c>
      <c r="T989">
        <v>2</v>
      </c>
      <c r="U989">
        <v>1</v>
      </c>
      <c r="V989" s="36">
        <f>IFERROR(INDEX(Katalog!$D$3:$D$12,MATCH(Data[[#This Row],[ItemID C]],Katalog!$C$3:$C$12,0))*Data[[#This Row],[Qty C]],"0")</f>
        <v>300000</v>
      </c>
      <c r="W989" s="36">
        <f>IFERROR(INDEX(Katalog!$F$3:$F$12,MATCH(Data[[#This Row],[ItemID C]],Katalog!$C$3:$C$12,0))*Data[[#This Row],[Qty C]],"0")</f>
        <v>120000</v>
      </c>
      <c r="X989" s="21">
        <f>Data[[#This Row],[Qty A]]+Data[[#This Row],[Qty B]]+Data[[#This Row],[Qty C]]</f>
        <v>5</v>
      </c>
      <c r="Y989" s="22">
        <f>Data[[#This Row],[Harga Barang A]]+Data[[#This Row],[Harga Barang B]]+Data[[#This Row],[Harga Barang C]]</f>
        <v>1280000</v>
      </c>
      <c r="Z989" s="35">
        <f>IFERROR(Data[[#This Row],[Total Harga]]-(Data[[#This Row],[Total Harga]]*Data[[#This Row],[Diskon]]),Data[[#This Row],[Total Harga]])</f>
        <v>1088000</v>
      </c>
      <c r="AA989" s="35">
        <f>(Data[[#This Row],[Profit A]]+Data[[#This Row],[Profit B]]+Data[[#This Row],[Profit C]])</f>
        <v>490000</v>
      </c>
      <c r="AB989" s="35">
        <f>IFERROR((Data[[#This Row],[Profit non Diskon]]-(Data[[#This Row],[Profit non Diskon]]*Data[[#This Row],[Diskon]])),Data[[#This Row],[Profit non Diskon]])</f>
        <v>416500</v>
      </c>
      <c r="AC989" s="23" t="s">
        <v>32</v>
      </c>
      <c r="AD989" s="37">
        <f>IFERROR(INDEX('Kode Diskon'!$D$3:$D$9,MATCH(Data[[#This Row],[Kode diskon]],'Kode Diskon'!$C$3:$C$9,0)),"-")</f>
        <v>0.15</v>
      </c>
      <c r="AE989" s="23" t="s">
        <v>9</v>
      </c>
      <c r="AF989" s="23" t="s">
        <v>12</v>
      </c>
      <c r="AG989" s="23" t="s">
        <v>77</v>
      </c>
      <c r="AH989" s="24">
        <v>45036</v>
      </c>
      <c r="AI989" s="23" t="str">
        <f>TEXT(Data[[#This Row],[Tanggal terjual]],"dddd")</f>
        <v>Thursday</v>
      </c>
      <c r="AJ989" s="21" t="str">
        <f>TEXT(Data[[#This Row],[Tanggal terjual]],"wwww")</f>
        <v>wwww</v>
      </c>
    </row>
    <row r="990" spans="1:36" x14ac:dyDescent="0.2">
      <c r="A990" s="20">
        <v>989</v>
      </c>
      <c r="B990" s="21" t="str">
        <f>_xlfn.CONCAT("ORD-",INDEX(Helper!$B$2:$B$5,MATCH(Data[[#This Row],[Marketplace]],Helper!$A$2:$A$5,0)),TEXT(Data[[#This Row],[No]],"0000"),"-",TEXT(Data[[#This Row],[Tanggal terjual]],"dd/mm/yy"))</f>
        <v>ORD-SP0989-12/04/23</v>
      </c>
      <c r="C990" t="s">
        <v>63</v>
      </c>
      <c r="D990" t="str">
        <f>IFERROR(INDEX(Katalog!$A$3:$A$12,MATCH(Data[[#This Row],[ItemID A]],Katalog!$C$3:$C$12,0)),"-")</f>
        <v>Pakaian Pria</v>
      </c>
      <c r="E990" t="str">
        <f>IFERROR(INDEX(Katalog!$B$3:$B$12,MATCH(Data[[#This Row],[ItemID A]],Katalog!$C$3:$C$12,0)),"-")</f>
        <v>Jaket Jeans</v>
      </c>
      <c r="F990">
        <v>1</v>
      </c>
      <c r="G990">
        <v>1</v>
      </c>
      <c r="H990" s="36">
        <f>IFERROR(INDEX(Katalog!$D$3:$D$12,MATCH(Data[[#This Row],[ItemID A]],Katalog!$C$3:$C$12,0))*Data[[#This Row],[Qty A]],"0")</f>
        <v>400000</v>
      </c>
      <c r="I990" s="36">
        <f>IFERROR(INDEX(Katalog!$F$3:$F$12,MATCH(Data[[#This Row],[ItemID A]],Katalog!$C$3:$C$12,0))*Data[[#This Row],[Qty A]],0)</f>
        <v>150000</v>
      </c>
      <c r="J990" t="s">
        <v>67</v>
      </c>
      <c r="K990" t="str">
        <f>IFERROR(INDEX(Katalog!$A$3:$A$12,MATCH(Data[[#This Row],[ItemID B]],Katalog!$C$3:$C$12,0)),"-")</f>
        <v>Sepatu Wanita</v>
      </c>
      <c r="L990" t="str">
        <f>IFERROR(INDEX(Katalog!$B$3:$B$12,MATCH(Data[[#This Row],[ItemID B]],Katalog!$C$3:$C$12,0)),"-")</f>
        <v>Flat Shoes</v>
      </c>
      <c r="M990">
        <v>2</v>
      </c>
      <c r="N990">
        <v>5</v>
      </c>
      <c r="O990" s="36">
        <f>IFERROR(INDEX(Katalog!$D$3:$D$12,MATCH(Data[[#This Row],[ItemID B]],Katalog!$C$3:$C$12,0))*Data[[#This Row],[Qty B]],"0")</f>
        <v>500000</v>
      </c>
      <c r="P990" s="36">
        <f>IFERROR(INDEX(Katalog!$F$3:$F$12,MATCH(Data[[#This Row],[ItemID B]],Katalog!$C$3:$C$12,0))*Data[[#This Row],[Qty B]],"0")</f>
        <v>200000</v>
      </c>
      <c r="Q990" t="s">
        <v>64</v>
      </c>
      <c r="R990" t="str">
        <f>IFERROR(INDEX(Katalog!$A$3:$A$12,MATCH(Data[[#This Row],[ItemID C]],Katalog!$C$3:$C$12,0)),"-")</f>
        <v>Pakaian Unisex</v>
      </c>
      <c r="S990" t="str">
        <f>IFERROR(INDEX(Katalog!$B$3:$B$12,MATCH(Data[[#This Row],[ItemID C]],Katalog!$C$3:$C$12,0)),"-")</f>
        <v>Jaket Hoodie</v>
      </c>
      <c r="T990">
        <v>1</v>
      </c>
      <c r="U990">
        <v>1</v>
      </c>
      <c r="V990" s="36">
        <f>IFERROR(INDEX(Katalog!$D$3:$D$12,MATCH(Data[[#This Row],[ItemID C]],Katalog!$C$3:$C$12,0))*Data[[#This Row],[Qty C]],"0")</f>
        <v>350000</v>
      </c>
      <c r="W990" s="36">
        <f>IFERROR(INDEX(Katalog!$F$3:$F$12,MATCH(Data[[#This Row],[ItemID C]],Katalog!$C$3:$C$12,0))*Data[[#This Row],[Qty C]],"0")</f>
        <v>130000</v>
      </c>
      <c r="X990" s="21">
        <f>Data[[#This Row],[Qty A]]+Data[[#This Row],[Qty B]]+Data[[#This Row],[Qty C]]</f>
        <v>4</v>
      </c>
      <c r="Y990" s="22">
        <f>Data[[#This Row],[Harga Barang A]]+Data[[#This Row],[Harga Barang B]]+Data[[#This Row],[Harga Barang C]]</f>
        <v>1250000</v>
      </c>
      <c r="Z990" s="35">
        <f>IFERROR(Data[[#This Row],[Total Harga]]-(Data[[#This Row],[Total Harga]]*Data[[#This Row],[Diskon]]),Data[[#This Row],[Total Harga]])</f>
        <v>1250000</v>
      </c>
      <c r="AA990" s="35">
        <f>(Data[[#This Row],[Profit A]]+Data[[#This Row],[Profit B]]+Data[[#This Row],[Profit C]])</f>
        <v>480000</v>
      </c>
      <c r="AB990" s="35">
        <f>IFERROR((Data[[#This Row],[Profit non Diskon]]-(Data[[#This Row],[Profit non Diskon]]*Data[[#This Row],[Diskon]])),Data[[#This Row],[Profit non Diskon]])</f>
        <v>480000</v>
      </c>
      <c r="AC990" s="23" t="s">
        <v>11</v>
      </c>
      <c r="AD990" s="37" t="str">
        <f>IFERROR(INDEX('Kode Diskon'!$D$3:$D$9,MATCH(Data[[#This Row],[Kode diskon]],'Kode Diskon'!$C$3:$C$9,0)),"-")</f>
        <v>-</v>
      </c>
      <c r="AE990" s="23" t="s">
        <v>11</v>
      </c>
      <c r="AF990" s="23" t="s">
        <v>7</v>
      </c>
      <c r="AG990" s="23" t="s">
        <v>77</v>
      </c>
      <c r="AH990" s="24">
        <v>45028</v>
      </c>
      <c r="AI990" s="23" t="str">
        <f>TEXT(Data[[#This Row],[Tanggal terjual]],"dddd")</f>
        <v>Wednesday</v>
      </c>
      <c r="AJ990" s="21" t="str">
        <f>TEXT(Data[[#This Row],[Tanggal terjual]],"wwww")</f>
        <v>wwww</v>
      </c>
    </row>
    <row r="991" spans="1:36" x14ac:dyDescent="0.2">
      <c r="A991" s="20">
        <v>990</v>
      </c>
      <c r="B991" s="21" t="str">
        <f>_xlfn.CONCAT("ORD-",INDEX(Helper!$B$2:$B$5,MATCH(Data[[#This Row],[Marketplace]],Helper!$A$2:$A$5,0)),TEXT(Data[[#This Row],[No]],"0000"),"-",TEXT(Data[[#This Row],[Tanggal terjual]],"dd/mm/yy"))</f>
        <v>ORD-TK0990-06/04/23</v>
      </c>
      <c r="C991" t="s">
        <v>59</v>
      </c>
      <c r="D991" t="str">
        <f>IFERROR(INDEX(Katalog!$A$3:$A$12,MATCH(Data[[#This Row],[ItemID A]],Katalog!$C$3:$C$12,0)),"-")</f>
        <v>Pakaian Wanita</v>
      </c>
      <c r="E991" t="str">
        <f>IFERROR(INDEX(Katalog!$B$3:$B$12,MATCH(Data[[#This Row],[ItemID A]],Katalog!$C$3:$C$12,0)),"-")</f>
        <v>Blouse</v>
      </c>
      <c r="F991">
        <v>1</v>
      </c>
      <c r="G991">
        <v>2</v>
      </c>
      <c r="H991" s="36">
        <f>IFERROR(INDEX(Katalog!$D$3:$D$12,MATCH(Data[[#This Row],[ItemID A]],Katalog!$C$3:$C$12,0))*Data[[#This Row],[Qty A]],"0")</f>
        <v>150000</v>
      </c>
      <c r="I991" s="36">
        <f>IFERROR(INDEX(Katalog!$F$3:$F$12,MATCH(Data[[#This Row],[ItemID A]],Katalog!$C$3:$C$12,0))*Data[[#This Row],[Qty A]],0)</f>
        <v>50000</v>
      </c>
      <c r="J991" t="s">
        <v>64</v>
      </c>
      <c r="K991" t="str">
        <f>IFERROR(INDEX(Katalog!$A$3:$A$12,MATCH(Data[[#This Row],[ItemID B]],Katalog!$C$3:$C$12,0)),"-")</f>
        <v>Pakaian Unisex</v>
      </c>
      <c r="L991" t="str">
        <f>IFERROR(INDEX(Katalog!$B$3:$B$12,MATCH(Data[[#This Row],[ItemID B]],Katalog!$C$3:$C$12,0)),"-")</f>
        <v>Jaket Hoodie</v>
      </c>
      <c r="M991">
        <v>5</v>
      </c>
      <c r="N991">
        <v>1</v>
      </c>
      <c r="O991" s="36">
        <f>IFERROR(INDEX(Katalog!$D$3:$D$12,MATCH(Data[[#This Row],[ItemID B]],Katalog!$C$3:$C$12,0))*Data[[#This Row],[Qty B]],"0")</f>
        <v>1750000</v>
      </c>
      <c r="P991" s="36">
        <f>IFERROR(INDEX(Katalog!$F$3:$F$12,MATCH(Data[[#This Row],[ItemID B]],Katalog!$C$3:$C$12,0))*Data[[#This Row],[Qty B]],"0")</f>
        <v>650000</v>
      </c>
      <c r="Q991" t="s">
        <v>61</v>
      </c>
      <c r="R991" t="str">
        <f>IFERROR(INDEX(Katalog!$A$3:$A$12,MATCH(Data[[#This Row],[ItemID C]],Katalog!$C$3:$C$12,0)),"-")</f>
        <v>Pakaian Pria</v>
      </c>
      <c r="S991" t="str">
        <f>IFERROR(INDEX(Katalog!$B$3:$B$12,MATCH(Data[[#This Row],[ItemID C]],Katalog!$C$3:$C$12,0)),"-")</f>
        <v>Kaos Polo</v>
      </c>
      <c r="T991">
        <v>1</v>
      </c>
      <c r="U991">
        <v>2</v>
      </c>
      <c r="V991" s="36">
        <f>IFERROR(INDEX(Katalog!$D$3:$D$12,MATCH(Data[[#This Row],[ItemID C]],Katalog!$C$3:$C$12,0))*Data[[#This Row],[Qty C]],"0")</f>
        <v>200000</v>
      </c>
      <c r="W991" s="36">
        <f>IFERROR(INDEX(Katalog!$F$3:$F$12,MATCH(Data[[#This Row],[ItemID C]],Katalog!$C$3:$C$12,0))*Data[[#This Row],[Qty C]],"0")</f>
        <v>80000</v>
      </c>
      <c r="X991" s="21">
        <f>Data[[#This Row],[Qty A]]+Data[[#This Row],[Qty B]]+Data[[#This Row],[Qty C]]</f>
        <v>7</v>
      </c>
      <c r="Y991" s="22">
        <f>Data[[#This Row],[Harga Barang A]]+Data[[#This Row],[Harga Barang B]]+Data[[#This Row],[Harga Barang C]]</f>
        <v>2100000</v>
      </c>
      <c r="Z991" s="35">
        <f>IFERROR(Data[[#This Row],[Total Harga]]-(Data[[#This Row],[Total Harga]]*Data[[#This Row],[Diskon]]),Data[[#This Row],[Total Harga]])</f>
        <v>1890000</v>
      </c>
      <c r="AA991" s="35">
        <f>(Data[[#This Row],[Profit A]]+Data[[#This Row],[Profit B]]+Data[[#This Row],[Profit C]])</f>
        <v>780000</v>
      </c>
      <c r="AB991" s="35">
        <f>IFERROR((Data[[#This Row],[Profit non Diskon]]-(Data[[#This Row],[Profit non Diskon]]*Data[[#This Row],[Diskon]])),Data[[#This Row],[Profit non Diskon]])</f>
        <v>702000</v>
      </c>
      <c r="AC991" s="23" t="s">
        <v>30</v>
      </c>
      <c r="AD991" s="37">
        <f>IFERROR(INDEX('Kode Diskon'!$D$3:$D$9,MATCH(Data[[#This Row],[Kode diskon]],'Kode Diskon'!$C$3:$C$9,0)),"-")</f>
        <v>0.1</v>
      </c>
      <c r="AE991" s="23" t="s">
        <v>29</v>
      </c>
      <c r="AF991" s="23" t="s">
        <v>10</v>
      </c>
      <c r="AG991" s="23" t="s">
        <v>76</v>
      </c>
      <c r="AH991" s="24">
        <v>45022</v>
      </c>
      <c r="AI991" s="23" t="str">
        <f>TEXT(Data[[#This Row],[Tanggal terjual]],"dddd")</f>
        <v>Thursday</v>
      </c>
      <c r="AJ991" s="21" t="str">
        <f>TEXT(Data[[#This Row],[Tanggal terjual]],"wwww")</f>
        <v>wwww</v>
      </c>
    </row>
    <row r="992" spans="1:36" x14ac:dyDescent="0.2">
      <c r="A992" s="20">
        <v>991</v>
      </c>
      <c r="B992" s="21" t="str">
        <f>_xlfn.CONCAT("ORD-",INDEX(Helper!$B$2:$B$5,MATCH(Data[[#This Row],[Marketplace]],Helper!$A$2:$A$5,0)),TEXT(Data[[#This Row],[No]],"0000"),"-",TEXT(Data[[#This Row],[Tanggal terjual]],"dd/mm/yy"))</f>
        <v>ORD-SP0991-01/04/23</v>
      </c>
      <c r="C992" t="s">
        <v>64</v>
      </c>
      <c r="D992" t="str">
        <f>IFERROR(INDEX(Katalog!$A$3:$A$12,MATCH(Data[[#This Row],[ItemID A]],Katalog!$C$3:$C$12,0)),"-")</f>
        <v>Pakaian Unisex</v>
      </c>
      <c r="E992" t="str">
        <f>IFERROR(INDEX(Katalog!$B$3:$B$12,MATCH(Data[[#This Row],[ItemID A]],Katalog!$C$3:$C$12,0)),"-")</f>
        <v>Jaket Hoodie</v>
      </c>
      <c r="F992">
        <v>2</v>
      </c>
      <c r="G992">
        <v>4</v>
      </c>
      <c r="H992" s="36">
        <f>IFERROR(INDEX(Katalog!$D$3:$D$12,MATCH(Data[[#This Row],[ItemID A]],Katalog!$C$3:$C$12,0))*Data[[#This Row],[Qty A]],"0")</f>
        <v>700000</v>
      </c>
      <c r="I992" s="36">
        <f>IFERROR(INDEX(Katalog!$F$3:$F$12,MATCH(Data[[#This Row],[ItemID A]],Katalog!$C$3:$C$12,0))*Data[[#This Row],[Qty A]],0)</f>
        <v>260000</v>
      </c>
      <c r="J992" t="s">
        <v>61</v>
      </c>
      <c r="K992" t="str">
        <f>IFERROR(INDEX(Katalog!$A$3:$A$12,MATCH(Data[[#This Row],[ItemID B]],Katalog!$C$3:$C$12,0)),"-")</f>
        <v>Pakaian Pria</v>
      </c>
      <c r="L992" t="str">
        <f>IFERROR(INDEX(Katalog!$B$3:$B$12,MATCH(Data[[#This Row],[ItemID B]],Katalog!$C$3:$C$12,0)),"-")</f>
        <v>Kaos Polo</v>
      </c>
      <c r="M992">
        <v>4</v>
      </c>
      <c r="N992">
        <v>3</v>
      </c>
      <c r="O992" s="36">
        <f>IFERROR(INDEX(Katalog!$D$3:$D$12,MATCH(Data[[#This Row],[ItemID B]],Katalog!$C$3:$C$12,0))*Data[[#This Row],[Qty B]],"0")</f>
        <v>800000</v>
      </c>
      <c r="P992" s="36">
        <f>IFERROR(INDEX(Katalog!$F$3:$F$12,MATCH(Data[[#This Row],[ItemID B]],Katalog!$C$3:$C$12,0))*Data[[#This Row],[Qty B]],"0")</f>
        <v>320000</v>
      </c>
      <c r="R992" t="str">
        <f>IFERROR(INDEX(Katalog!$A$3:$A$12,MATCH(Data[[#This Row],[ItemID C]],Katalog!$C$3:$C$12,0)),"-")</f>
        <v>-</v>
      </c>
      <c r="S992" t="str">
        <f>IFERROR(INDEX(Katalog!$B$3:$B$12,MATCH(Data[[#This Row],[ItemID C]],Katalog!$C$3:$C$12,0)),"-")</f>
        <v>-</v>
      </c>
      <c r="V992" s="36" t="str">
        <f>IFERROR(INDEX(Katalog!$D$3:$D$12,MATCH(Data[[#This Row],[ItemID C]],Katalog!$C$3:$C$12,0))*Data[[#This Row],[Qty C]],"0")</f>
        <v>0</v>
      </c>
      <c r="W992" s="36" t="str">
        <f>IFERROR(INDEX(Katalog!$F$3:$F$12,MATCH(Data[[#This Row],[ItemID C]],Katalog!$C$3:$C$12,0))*Data[[#This Row],[Qty C]],"0")</f>
        <v>0</v>
      </c>
      <c r="X992" s="21">
        <f>Data[[#This Row],[Qty A]]+Data[[#This Row],[Qty B]]+Data[[#This Row],[Qty C]]</f>
        <v>6</v>
      </c>
      <c r="Y992" s="22">
        <f>Data[[#This Row],[Harga Barang A]]+Data[[#This Row],[Harga Barang B]]+Data[[#This Row],[Harga Barang C]]</f>
        <v>1500000</v>
      </c>
      <c r="Z992" s="35">
        <f>IFERROR(Data[[#This Row],[Total Harga]]-(Data[[#This Row],[Total Harga]]*Data[[#This Row],[Diskon]]),Data[[#This Row],[Total Harga]])</f>
        <v>1350000</v>
      </c>
      <c r="AA992" s="35">
        <f>(Data[[#This Row],[Profit A]]+Data[[#This Row],[Profit B]]+Data[[#This Row],[Profit C]])</f>
        <v>580000</v>
      </c>
      <c r="AB992" s="35">
        <f>IFERROR((Data[[#This Row],[Profit non Diskon]]-(Data[[#This Row],[Profit non Diskon]]*Data[[#This Row],[Diskon]])),Data[[#This Row],[Profit non Diskon]])</f>
        <v>522000</v>
      </c>
      <c r="AC992" s="23" t="s">
        <v>6</v>
      </c>
      <c r="AD992" s="37">
        <f>IFERROR(INDEX('Kode Diskon'!$D$3:$D$9,MATCH(Data[[#This Row],[Kode diskon]],'Kode Diskon'!$C$3:$C$9,0)),"-")</f>
        <v>0.1</v>
      </c>
      <c r="AE992" s="23" t="s">
        <v>29</v>
      </c>
      <c r="AF992" s="23" t="s">
        <v>7</v>
      </c>
      <c r="AG992" s="23" t="s">
        <v>79</v>
      </c>
      <c r="AH992" s="24">
        <v>45017</v>
      </c>
      <c r="AI992" s="23" t="str">
        <f>TEXT(Data[[#This Row],[Tanggal terjual]],"dddd")</f>
        <v>Saturday</v>
      </c>
      <c r="AJ992" s="21" t="str">
        <f>TEXT(Data[[#This Row],[Tanggal terjual]],"wwww")</f>
        <v>wwww</v>
      </c>
    </row>
    <row r="993" spans="1:36" x14ac:dyDescent="0.2">
      <c r="A993" s="20">
        <v>992</v>
      </c>
      <c r="B993" s="21" t="str">
        <f>_xlfn.CONCAT("ORD-",INDEX(Helper!$B$2:$B$5,MATCH(Data[[#This Row],[Marketplace]],Helper!$A$2:$A$5,0)),TEXT(Data[[#This Row],[No]],"0000"),"-",TEXT(Data[[#This Row],[Tanggal terjual]],"dd/mm/yy"))</f>
        <v>ORD-TK0992-04/04/23</v>
      </c>
      <c r="C993" t="s">
        <v>59</v>
      </c>
      <c r="D993" t="str">
        <f>IFERROR(INDEX(Katalog!$A$3:$A$12,MATCH(Data[[#This Row],[ItemID A]],Katalog!$C$3:$C$12,0)),"-")</f>
        <v>Pakaian Wanita</v>
      </c>
      <c r="E993" t="str">
        <f>IFERROR(INDEX(Katalog!$B$3:$B$12,MATCH(Data[[#This Row],[ItemID A]],Katalog!$C$3:$C$12,0)),"-")</f>
        <v>Blouse</v>
      </c>
      <c r="F993">
        <v>1</v>
      </c>
      <c r="G993">
        <v>5</v>
      </c>
      <c r="H993" s="36">
        <f>IFERROR(INDEX(Katalog!$D$3:$D$12,MATCH(Data[[#This Row],[ItemID A]],Katalog!$C$3:$C$12,0))*Data[[#This Row],[Qty A]],"0")</f>
        <v>150000</v>
      </c>
      <c r="I993" s="36">
        <f>IFERROR(INDEX(Katalog!$F$3:$F$12,MATCH(Data[[#This Row],[ItemID A]],Katalog!$C$3:$C$12,0))*Data[[#This Row],[Qty A]],0)</f>
        <v>50000</v>
      </c>
      <c r="K993" t="str">
        <f>IFERROR(INDEX(Katalog!$A$3:$A$12,MATCH(Data[[#This Row],[ItemID B]],Katalog!$C$3:$C$12,0)),"-")</f>
        <v>-</v>
      </c>
      <c r="L993" t="str">
        <f>IFERROR(INDEX(Katalog!$B$3:$B$12,MATCH(Data[[#This Row],[ItemID B]],Katalog!$C$3:$C$12,0)),"-")</f>
        <v>-</v>
      </c>
      <c r="O993" s="36" t="str">
        <f>IFERROR(INDEX(Katalog!$D$3:$D$12,MATCH(Data[[#This Row],[ItemID B]],Katalog!$C$3:$C$12,0))*Data[[#This Row],[Qty B]],"0")</f>
        <v>0</v>
      </c>
      <c r="P993" s="36" t="str">
        <f>IFERROR(INDEX(Katalog!$F$3:$F$12,MATCH(Data[[#This Row],[ItemID B]],Katalog!$C$3:$C$12,0))*Data[[#This Row],[Qty B]],"0")</f>
        <v>0</v>
      </c>
      <c r="R993" t="str">
        <f>IFERROR(INDEX(Katalog!$A$3:$A$12,MATCH(Data[[#This Row],[ItemID C]],Katalog!$C$3:$C$12,0)),"-")</f>
        <v>-</v>
      </c>
      <c r="S993" t="str">
        <f>IFERROR(INDEX(Katalog!$B$3:$B$12,MATCH(Data[[#This Row],[ItemID C]],Katalog!$C$3:$C$12,0)),"-")</f>
        <v>-</v>
      </c>
      <c r="V993" s="36" t="str">
        <f>IFERROR(INDEX(Katalog!$D$3:$D$12,MATCH(Data[[#This Row],[ItemID C]],Katalog!$C$3:$C$12,0))*Data[[#This Row],[Qty C]],"0")</f>
        <v>0</v>
      </c>
      <c r="W993" s="36" t="str">
        <f>IFERROR(INDEX(Katalog!$F$3:$F$12,MATCH(Data[[#This Row],[ItemID C]],Katalog!$C$3:$C$12,0))*Data[[#This Row],[Qty C]],"0")</f>
        <v>0</v>
      </c>
      <c r="X993" s="21">
        <f>Data[[#This Row],[Qty A]]+Data[[#This Row],[Qty B]]+Data[[#This Row],[Qty C]]</f>
        <v>1</v>
      </c>
      <c r="Y993" s="22">
        <f>Data[[#This Row],[Harga Barang A]]+Data[[#This Row],[Harga Barang B]]+Data[[#This Row],[Harga Barang C]]</f>
        <v>150000</v>
      </c>
      <c r="Z993" s="35">
        <f>IFERROR(Data[[#This Row],[Total Harga]]-(Data[[#This Row],[Total Harga]]*Data[[#This Row],[Diskon]]),Data[[#This Row],[Total Harga]])</f>
        <v>135000</v>
      </c>
      <c r="AA993" s="35">
        <f>(Data[[#This Row],[Profit A]]+Data[[#This Row],[Profit B]]+Data[[#This Row],[Profit C]])</f>
        <v>50000</v>
      </c>
      <c r="AB993" s="35">
        <f>IFERROR((Data[[#This Row],[Profit non Diskon]]-(Data[[#This Row],[Profit non Diskon]]*Data[[#This Row],[Diskon]])),Data[[#This Row],[Profit non Diskon]])</f>
        <v>45000</v>
      </c>
      <c r="AC993" s="23" t="s">
        <v>30</v>
      </c>
      <c r="AD993" s="37">
        <f>IFERROR(INDEX('Kode Diskon'!$D$3:$D$9,MATCH(Data[[#This Row],[Kode diskon]],'Kode Diskon'!$C$3:$C$9,0)),"-")</f>
        <v>0.1</v>
      </c>
      <c r="AE993" s="23" t="s">
        <v>29</v>
      </c>
      <c r="AF993" s="23" t="s">
        <v>10</v>
      </c>
      <c r="AG993" s="23" t="s">
        <v>80</v>
      </c>
      <c r="AH993" s="24">
        <v>45020</v>
      </c>
      <c r="AI993" s="23" t="str">
        <f>TEXT(Data[[#This Row],[Tanggal terjual]],"dddd")</f>
        <v>Tuesday</v>
      </c>
      <c r="AJ993" s="21" t="str">
        <f>TEXT(Data[[#This Row],[Tanggal terjual]],"wwww")</f>
        <v>wwww</v>
      </c>
    </row>
    <row r="994" spans="1:36" x14ac:dyDescent="0.2">
      <c r="A994" s="20">
        <v>993</v>
      </c>
      <c r="B994" s="21" t="str">
        <f>_xlfn.CONCAT("ORD-",INDEX(Helper!$B$2:$B$5,MATCH(Data[[#This Row],[Marketplace]],Helper!$A$2:$A$5,0)),TEXT(Data[[#This Row],[No]],"0000"),"-",TEXT(Data[[#This Row],[Tanggal terjual]],"dd/mm/yy"))</f>
        <v>ORD-SP0993-10/04/23</v>
      </c>
      <c r="C994" t="s">
        <v>67</v>
      </c>
      <c r="D994" t="str">
        <f>IFERROR(INDEX(Katalog!$A$3:$A$12,MATCH(Data[[#This Row],[ItemID A]],Katalog!$C$3:$C$12,0)),"-")</f>
        <v>Sepatu Wanita</v>
      </c>
      <c r="E994" t="str">
        <f>IFERROR(INDEX(Katalog!$B$3:$B$12,MATCH(Data[[#This Row],[ItemID A]],Katalog!$C$3:$C$12,0)),"-")</f>
        <v>Flat Shoes</v>
      </c>
      <c r="F994">
        <v>2</v>
      </c>
      <c r="G994">
        <v>4</v>
      </c>
      <c r="H994" s="36">
        <f>IFERROR(INDEX(Katalog!$D$3:$D$12,MATCH(Data[[#This Row],[ItemID A]],Katalog!$C$3:$C$12,0))*Data[[#This Row],[Qty A]],"0")</f>
        <v>500000</v>
      </c>
      <c r="I994" s="36">
        <f>IFERROR(INDEX(Katalog!$F$3:$F$12,MATCH(Data[[#This Row],[ItemID A]],Katalog!$C$3:$C$12,0))*Data[[#This Row],[Qty A]],0)</f>
        <v>200000</v>
      </c>
      <c r="J994" t="s">
        <v>59</v>
      </c>
      <c r="K994" t="str">
        <f>IFERROR(INDEX(Katalog!$A$3:$A$12,MATCH(Data[[#This Row],[ItemID B]],Katalog!$C$3:$C$12,0)),"-")</f>
        <v>Pakaian Wanita</v>
      </c>
      <c r="L994" t="str">
        <f>IFERROR(INDEX(Katalog!$B$3:$B$12,MATCH(Data[[#This Row],[ItemID B]],Katalog!$C$3:$C$12,0)),"-")</f>
        <v>Blouse</v>
      </c>
      <c r="M994">
        <v>1</v>
      </c>
      <c r="N994">
        <v>4</v>
      </c>
      <c r="O994" s="36">
        <f>IFERROR(INDEX(Katalog!$D$3:$D$12,MATCH(Data[[#This Row],[ItemID B]],Katalog!$C$3:$C$12,0))*Data[[#This Row],[Qty B]],"0")</f>
        <v>150000</v>
      </c>
      <c r="P994" s="36">
        <f>IFERROR(INDEX(Katalog!$F$3:$F$12,MATCH(Data[[#This Row],[ItemID B]],Katalog!$C$3:$C$12,0))*Data[[#This Row],[Qty B]],"0")</f>
        <v>50000</v>
      </c>
      <c r="R994" t="str">
        <f>IFERROR(INDEX(Katalog!$A$3:$A$12,MATCH(Data[[#This Row],[ItemID C]],Katalog!$C$3:$C$12,0)),"-")</f>
        <v>-</v>
      </c>
      <c r="S994" t="str">
        <f>IFERROR(INDEX(Katalog!$B$3:$B$12,MATCH(Data[[#This Row],[ItemID C]],Katalog!$C$3:$C$12,0)),"-")</f>
        <v>-</v>
      </c>
      <c r="V994" s="36" t="str">
        <f>IFERROR(INDEX(Katalog!$D$3:$D$12,MATCH(Data[[#This Row],[ItemID C]],Katalog!$C$3:$C$12,0))*Data[[#This Row],[Qty C]],"0")</f>
        <v>0</v>
      </c>
      <c r="W994" s="36" t="str">
        <f>IFERROR(INDEX(Katalog!$F$3:$F$12,MATCH(Data[[#This Row],[ItemID C]],Katalog!$C$3:$C$12,0))*Data[[#This Row],[Qty C]],"0")</f>
        <v>0</v>
      </c>
      <c r="X994" s="21">
        <f>Data[[#This Row],[Qty A]]+Data[[#This Row],[Qty B]]+Data[[#This Row],[Qty C]]</f>
        <v>3</v>
      </c>
      <c r="Y994" s="22">
        <f>Data[[#This Row],[Harga Barang A]]+Data[[#This Row],[Harga Barang B]]+Data[[#This Row],[Harga Barang C]]</f>
        <v>650000</v>
      </c>
      <c r="Z994" s="35">
        <f>IFERROR(Data[[#This Row],[Total Harga]]-(Data[[#This Row],[Total Harga]]*Data[[#This Row],[Diskon]]),Data[[#This Row],[Total Harga]])</f>
        <v>650000</v>
      </c>
      <c r="AA994" s="35">
        <f>(Data[[#This Row],[Profit A]]+Data[[#This Row],[Profit B]]+Data[[#This Row],[Profit C]])</f>
        <v>250000</v>
      </c>
      <c r="AB994" s="35">
        <f>IFERROR((Data[[#This Row],[Profit non Diskon]]-(Data[[#This Row],[Profit non Diskon]]*Data[[#This Row],[Diskon]])),Data[[#This Row],[Profit non Diskon]])</f>
        <v>250000</v>
      </c>
      <c r="AC994" s="23" t="s">
        <v>11</v>
      </c>
      <c r="AD994" s="37" t="str">
        <f>IFERROR(INDEX('Kode Diskon'!$D$3:$D$9,MATCH(Data[[#This Row],[Kode diskon]],'Kode Diskon'!$C$3:$C$9,0)),"-")</f>
        <v>-</v>
      </c>
      <c r="AE994" s="23" t="s">
        <v>11</v>
      </c>
      <c r="AF994" s="23" t="s">
        <v>7</v>
      </c>
      <c r="AG994" s="23" t="s">
        <v>76</v>
      </c>
      <c r="AH994" s="24">
        <v>45026</v>
      </c>
      <c r="AI994" s="23" t="str">
        <f>TEXT(Data[[#This Row],[Tanggal terjual]],"dddd")</f>
        <v>Monday</v>
      </c>
      <c r="AJ994" s="21" t="str">
        <f>TEXT(Data[[#This Row],[Tanggal terjual]],"wwww")</f>
        <v>wwww</v>
      </c>
    </row>
    <row r="995" spans="1:36" x14ac:dyDescent="0.2">
      <c r="A995" s="20">
        <v>994</v>
      </c>
      <c r="B995" s="21" t="str">
        <f>_xlfn.CONCAT("ORD-",INDEX(Helper!$B$2:$B$5,MATCH(Data[[#This Row],[Marketplace]],Helper!$A$2:$A$5,0)),TEXT(Data[[#This Row],[No]],"0000"),"-",TEXT(Data[[#This Row],[Tanggal terjual]],"dd/mm/yy"))</f>
        <v>ORD-BB0994-06/04/23</v>
      </c>
      <c r="C995" t="s">
        <v>60</v>
      </c>
      <c r="D995" t="str">
        <f>IFERROR(INDEX(Katalog!$A$3:$A$12,MATCH(Data[[#This Row],[ItemID A]],Katalog!$C$3:$C$12,0)),"-")</f>
        <v>Pakaian Wanita</v>
      </c>
      <c r="E995" t="str">
        <f>IFERROR(INDEX(Katalog!$B$3:$B$12,MATCH(Data[[#This Row],[ItemID A]],Katalog!$C$3:$C$12,0)),"-")</f>
        <v>Kaftan</v>
      </c>
      <c r="F995">
        <v>1</v>
      </c>
      <c r="G995">
        <v>4</v>
      </c>
      <c r="H995" s="36">
        <f>IFERROR(INDEX(Katalog!$D$3:$D$12,MATCH(Data[[#This Row],[ItemID A]],Katalog!$C$3:$C$12,0))*Data[[#This Row],[Qty A]],"0")</f>
        <v>250000</v>
      </c>
      <c r="I995" s="36">
        <f>IFERROR(INDEX(Katalog!$F$3:$F$12,MATCH(Data[[#This Row],[ItemID A]],Katalog!$C$3:$C$12,0))*Data[[#This Row],[Qty A]],0)</f>
        <v>100000</v>
      </c>
      <c r="J995" t="s">
        <v>59</v>
      </c>
      <c r="K995" t="str">
        <f>IFERROR(INDEX(Katalog!$A$3:$A$12,MATCH(Data[[#This Row],[ItemID B]],Katalog!$C$3:$C$12,0)),"-")</f>
        <v>Pakaian Wanita</v>
      </c>
      <c r="L995" t="str">
        <f>IFERROR(INDEX(Katalog!$B$3:$B$12,MATCH(Data[[#This Row],[ItemID B]],Katalog!$C$3:$C$12,0)),"-")</f>
        <v>Blouse</v>
      </c>
      <c r="M995">
        <v>1</v>
      </c>
      <c r="N995">
        <v>5</v>
      </c>
      <c r="O995" s="36">
        <f>IFERROR(INDEX(Katalog!$D$3:$D$12,MATCH(Data[[#This Row],[ItemID B]],Katalog!$C$3:$C$12,0))*Data[[#This Row],[Qty B]],"0")</f>
        <v>150000</v>
      </c>
      <c r="P995" s="36">
        <f>IFERROR(INDEX(Katalog!$F$3:$F$12,MATCH(Data[[#This Row],[ItemID B]],Katalog!$C$3:$C$12,0))*Data[[#This Row],[Qty B]],"0")</f>
        <v>50000</v>
      </c>
      <c r="R995" t="str">
        <f>IFERROR(INDEX(Katalog!$A$3:$A$12,MATCH(Data[[#This Row],[ItemID C]],Katalog!$C$3:$C$12,0)),"-")</f>
        <v>-</v>
      </c>
      <c r="S995" t="str">
        <f>IFERROR(INDEX(Katalog!$B$3:$B$12,MATCH(Data[[#This Row],[ItemID C]],Katalog!$C$3:$C$12,0)),"-")</f>
        <v>-</v>
      </c>
      <c r="V995" s="36" t="str">
        <f>IFERROR(INDEX(Katalog!$D$3:$D$12,MATCH(Data[[#This Row],[ItemID C]],Katalog!$C$3:$C$12,0))*Data[[#This Row],[Qty C]],"0")</f>
        <v>0</v>
      </c>
      <c r="W995" s="36" t="str">
        <f>IFERROR(INDEX(Katalog!$F$3:$F$12,MATCH(Data[[#This Row],[ItemID C]],Katalog!$C$3:$C$12,0))*Data[[#This Row],[Qty C]],"0")</f>
        <v>0</v>
      </c>
      <c r="X995" s="21">
        <f>Data[[#This Row],[Qty A]]+Data[[#This Row],[Qty B]]+Data[[#This Row],[Qty C]]</f>
        <v>2</v>
      </c>
      <c r="Y995" s="22">
        <f>Data[[#This Row],[Harga Barang A]]+Data[[#This Row],[Harga Barang B]]+Data[[#This Row],[Harga Barang C]]</f>
        <v>400000</v>
      </c>
      <c r="Z995" s="35">
        <f>IFERROR(Data[[#This Row],[Total Harga]]-(Data[[#This Row],[Total Harga]]*Data[[#This Row],[Diskon]]),Data[[#This Row],[Total Harga]])</f>
        <v>340000</v>
      </c>
      <c r="AA995" s="35">
        <f>(Data[[#This Row],[Profit A]]+Data[[#This Row],[Profit B]]+Data[[#This Row],[Profit C]])</f>
        <v>150000</v>
      </c>
      <c r="AB995" s="35">
        <f>IFERROR((Data[[#This Row],[Profit non Diskon]]-(Data[[#This Row],[Profit non Diskon]]*Data[[#This Row],[Diskon]])),Data[[#This Row],[Profit non Diskon]])</f>
        <v>127500</v>
      </c>
      <c r="AC995" s="23" t="s">
        <v>28</v>
      </c>
      <c r="AD995" s="37">
        <f>IFERROR(INDEX('Kode Diskon'!$D$3:$D$9,MATCH(Data[[#This Row],[Kode diskon]],'Kode Diskon'!$C$3:$C$9,0)),"-")</f>
        <v>0.15</v>
      </c>
      <c r="AE995" s="23" t="s">
        <v>29</v>
      </c>
      <c r="AF995" s="23" t="s">
        <v>14</v>
      </c>
      <c r="AG995" s="23" t="s">
        <v>75</v>
      </c>
      <c r="AH995" s="24">
        <v>45022</v>
      </c>
      <c r="AI995" s="23" t="str">
        <f>TEXT(Data[[#This Row],[Tanggal terjual]],"dddd")</f>
        <v>Thursday</v>
      </c>
      <c r="AJ995" s="21" t="str">
        <f>TEXT(Data[[#This Row],[Tanggal terjual]],"wwww")</f>
        <v>wwww</v>
      </c>
    </row>
    <row r="996" spans="1:36" x14ac:dyDescent="0.2">
      <c r="A996" s="20">
        <v>995</v>
      </c>
      <c r="B996" s="21" t="str">
        <f>_xlfn.CONCAT("ORD-",INDEX(Helper!$B$2:$B$5,MATCH(Data[[#This Row],[Marketplace]],Helper!$A$2:$A$5,0)),TEXT(Data[[#This Row],[No]],"0000"),"-",TEXT(Data[[#This Row],[Tanggal terjual]],"dd/mm/yy"))</f>
        <v>ORD-SP0995-02/04/23</v>
      </c>
      <c r="C996" t="s">
        <v>67</v>
      </c>
      <c r="D996" t="str">
        <f>IFERROR(INDEX(Katalog!$A$3:$A$12,MATCH(Data[[#This Row],[ItemID A]],Katalog!$C$3:$C$12,0)),"-")</f>
        <v>Sepatu Wanita</v>
      </c>
      <c r="E996" t="str">
        <f>IFERROR(INDEX(Katalog!$B$3:$B$12,MATCH(Data[[#This Row],[ItemID A]],Katalog!$C$3:$C$12,0)),"-")</f>
        <v>Flat Shoes</v>
      </c>
      <c r="F996">
        <v>5</v>
      </c>
      <c r="G996">
        <v>5</v>
      </c>
      <c r="H996" s="36">
        <f>IFERROR(INDEX(Katalog!$D$3:$D$12,MATCH(Data[[#This Row],[ItemID A]],Katalog!$C$3:$C$12,0))*Data[[#This Row],[Qty A]],"0")</f>
        <v>1250000</v>
      </c>
      <c r="I996" s="36">
        <f>IFERROR(INDEX(Katalog!$F$3:$F$12,MATCH(Data[[#This Row],[ItemID A]],Katalog!$C$3:$C$12,0))*Data[[#This Row],[Qty A]],0)</f>
        <v>500000</v>
      </c>
      <c r="J996" t="s">
        <v>62</v>
      </c>
      <c r="K996" t="str">
        <f>IFERROR(INDEX(Katalog!$A$3:$A$12,MATCH(Data[[#This Row],[ItemID B]],Katalog!$C$3:$C$12,0)),"-")</f>
        <v>Pakaian Pria</v>
      </c>
      <c r="L996" t="str">
        <f>IFERROR(INDEX(Katalog!$B$3:$B$12,MATCH(Data[[#This Row],[ItemID B]],Katalog!$C$3:$C$12,0)),"-")</f>
        <v>Celana Pendek</v>
      </c>
      <c r="M996">
        <v>1</v>
      </c>
      <c r="N996">
        <v>3</v>
      </c>
      <c r="O996" s="36">
        <f>IFERROR(INDEX(Katalog!$D$3:$D$12,MATCH(Data[[#This Row],[ItemID B]],Katalog!$C$3:$C$12,0))*Data[[#This Row],[Qty B]],"0")</f>
        <v>180000</v>
      </c>
      <c r="P996" s="36">
        <f>IFERROR(INDEX(Katalog!$F$3:$F$12,MATCH(Data[[#This Row],[ItemID B]],Katalog!$C$3:$C$12,0))*Data[[#This Row],[Qty B]],"0")</f>
        <v>70000</v>
      </c>
      <c r="R996" t="str">
        <f>IFERROR(INDEX(Katalog!$A$3:$A$12,MATCH(Data[[#This Row],[ItemID C]],Katalog!$C$3:$C$12,0)),"-")</f>
        <v>-</v>
      </c>
      <c r="S996" t="str">
        <f>IFERROR(INDEX(Katalog!$B$3:$B$12,MATCH(Data[[#This Row],[ItemID C]],Katalog!$C$3:$C$12,0)),"-")</f>
        <v>-</v>
      </c>
      <c r="V996" s="36" t="str">
        <f>IFERROR(INDEX(Katalog!$D$3:$D$12,MATCH(Data[[#This Row],[ItemID C]],Katalog!$C$3:$C$12,0))*Data[[#This Row],[Qty C]],"0")</f>
        <v>0</v>
      </c>
      <c r="W996" s="36" t="str">
        <f>IFERROR(INDEX(Katalog!$F$3:$F$12,MATCH(Data[[#This Row],[ItemID C]],Katalog!$C$3:$C$12,0))*Data[[#This Row],[Qty C]],"0")</f>
        <v>0</v>
      </c>
      <c r="X996" s="21">
        <f>Data[[#This Row],[Qty A]]+Data[[#This Row],[Qty B]]+Data[[#This Row],[Qty C]]</f>
        <v>6</v>
      </c>
      <c r="Y996" s="22">
        <f>Data[[#This Row],[Harga Barang A]]+Data[[#This Row],[Harga Barang B]]+Data[[#This Row],[Harga Barang C]]</f>
        <v>1430000</v>
      </c>
      <c r="Z996" s="35">
        <f>IFERROR(Data[[#This Row],[Total Harga]]-(Data[[#This Row],[Total Harga]]*Data[[#This Row],[Diskon]]),Data[[#This Row],[Total Harga]])</f>
        <v>1287000</v>
      </c>
      <c r="AA996" s="35">
        <f>(Data[[#This Row],[Profit A]]+Data[[#This Row],[Profit B]]+Data[[#This Row],[Profit C]])</f>
        <v>570000</v>
      </c>
      <c r="AB996" s="35">
        <f>IFERROR((Data[[#This Row],[Profit non Diskon]]-(Data[[#This Row],[Profit non Diskon]]*Data[[#This Row],[Diskon]])),Data[[#This Row],[Profit non Diskon]])</f>
        <v>513000</v>
      </c>
      <c r="AC996" s="23" t="s">
        <v>6</v>
      </c>
      <c r="AD996" s="37">
        <f>IFERROR(INDEX('Kode Diskon'!$D$3:$D$9,MATCH(Data[[#This Row],[Kode diskon]],'Kode Diskon'!$C$3:$C$9,0)),"-")</f>
        <v>0.1</v>
      </c>
      <c r="AE996" s="23" t="s">
        <v>29</v>
      </c>
      <c r="AF996" s="23" t="s">
        <v>7</v>
      </c>
      <c r="AG996" s="23" t="s">
        <v>80</v>
      </c>
      <c r="AH996" s="24">
        <v>45018</v>
      </c>
      <c r="AI996" s="23" t="str">
        <f>TEXT(Data[[#This Row],[Tanggal terjual]],"dddd")</f>
        <v>Sunday</v>
      </c>
      <c r="AJ996" s="21" t="str">
        <f>TEXT(Data[[#This Row],[Tanggal terjual]],"wwww")</f>
        <v>wwww</v>
      </c>
    </row>
    <row r="997" spans="1:36" x14ac:dyDescent="0.2">
      <c r="A997" s="20">
        <v>996</v>
      </c>
      <c r="B997" s="21" t="str">
        <f>_xlfn.CONCAT("ORD-",INDEX(Helper!$B$2:$B$5,MATCH(Data[[#This Row],[Marketplace]],Helper!$A$2:$A$5,0)),TEXT(Data[[#This Row],[No]],"0000"),"-",TEXT(Data[[#This Row],[Tanggal terjual]],"dd/mm/yy"))</f>
        <v>ORD-SP0996-19/04/23</v>
      </c>
      <c r="C997" t="s">
        <v>64</v>
      </c>
      <c r="D997" t="str">
        <f>IFERROR(INDEX(Katalog!$A$3:$A$12,MATCH(Data[[#This Row],[ItemID A]],Katalog!$C$3:$C$12,0)),"-")</f>
        <v>Pakaian Unisex</v>
      </c>
      <c r="E997" t="str">
        <f>IFERROR(INDEX(Katalog!$B$3:$B$12,MATCH(Data[[#This Row],[ItemID A]],Katalog!$C$3:$C$12,0)),"-")</f>
        <v>Jaket Hoodie</v>
      </c>
      <c r="F997">
        <v>1</v>
      </c>
      <c r="G997">
        <v>5</v>
      </c>
      <c r="H997" s="36">
        <f>IFERROR(INDEX(Katalog!$D$3:$D$12,MATCH(Data[[#This Row],[ItemID A]],Katalog!$C$3:$C$12,0))*Data[[#This Row],[Qty A]],"0")</f>
        <v>350000</v>
      </c>
      <c r="I997" s="36">
        <f>IFERROR(INDEX(Katalog!$F$3:$F$12,MATCH(Data[[#This Row],[ItemID A]],Katalog!$C$3:$C$12,0))*Data[[#This Row],[Qty A]],0)</f>
        <v>130000</v>
      </c>
      <c r="K997" t="str">
        <f>IFERROR(INDEX(Katalog!$A$3:$A$12,MATCH(Data[[#This Row],[ItemID B]],Katalog!$C$3:$C$12,0)),"-")</f>
        <v>-</v>
      </c>
      <c r="L997" t="str">
        <f>IFERROR(INDEX(Katalog!$B$3:$B$12,MATCH(Data[[#This Row],[ItemID B]],Katalog!$C$3:$C$12,0)),"-")</f>
        <v>-</v>
      </c>
      <c r="O997" s="36" t="str">
        <f>IFERROR(INDEX(Katalog!$D$3:$D$12,MATCH(Data[[#This Row],[ItemID B]],Katalog!$C$3:$C$12,0))*Data[[#This Row],[Qty B]],"0")</f>
        <v>0</v>
      </c>
      <c r="P997" s="36" t="str">
        <f>IFERROR(INDEX(Katalog!$F$3:$F$12,MATCH(Data[[#This Row],[ItemID B]],Katalog!$C$3:$C$12,0))*Data[[#This Row],[Qty B]],"0")</f>
        <v>0</v>
      </c>
      <c r="R997" t="str">
        <f>IFERROR(INDEX(Katalog!$A$3:$A$12,MATCH(Data[[#This Row],[ItemID C]],Katalog!$C$3:$C$12,0)),"-")</f>
        <v>-</v>
      </c>
      <c r="S997" t="str">
        <f>IFERROR(INDEX(Katalog!$B$3:$B$12,MATCH(Data[[#This Row],[ItemID C]],Katalog!$C$3:$C$12,0)),"-")</f>
        <v>-</v>
      </c>
      <c r="V997" s="36" t="str">
        <f>IFERROR(INDEX(Katalog!$D$3:$D$12,MATCH(Data[[#This Row],[ItemID C]],Katalog!$C$3:$C$12,0))*Data[[#This Row],[Qty C]],"0")</f>
        <v>0</v>
      </c>
      <c r="W997" s="36" t="str">
        <f>IFERROR(INDEX(Katalog!$F$3:$F$12,MATCH(Data[[#This Row],[ItemID C]],Katalog!$C$3:$C$12,0))*Data[[#This Row],[Qty C]],"0")</f>
        <v>0</v>
      </c>
      <c r="X997" s="21">
        <f>Data[[#This Row],[Qty A]]+Data[[#This Row],[Qty B]]+Data[[#This Row],[Qty C]]</f>
        <v>1</v>
      </c>
      <c r="Y997" s="22">
        <f>Data[[#This Row],[Harga Barang A]]+Data[[#This Row],[Harga Barang B]]+Data[[#This Row],[Harga Barang C]]</f>
        <v>350000</v>
      </c>
      <c r="Z997" s="35">
        <f>IFERROR(Data[[#This Row],[Total Harga]]-(Data[[#This Row],[Total Harga]]*Data[[#This Row],[Diskon]]),Data[[#This Row],[Total Harga]])</f>
        <v>280000</v>
      </c>
      <c r="AA997" s="35">
        <f>(Data[[#This Row],[Profit A]]+Data[[#This Row],[Profit B]]+Data[[#This Row],[Profit C]])</f>
        <v>130000</v>
      </c>
      <c r="AB997" s="35">
        <f>IFERROR((Data[[#This Row],[Profit non Diskon]]-(Data[[#This Row],[Profit non Diskon]]*Data[[#This Row],[Diskon]])),Data[[#This Row],[Profit non Diskon]])</f>
        <v>104000</v>
      </c>
      <c r="AC997" s="23" t="s">
        <v>8</v>
      </c>
      <c r="AD997" s="37">
        <f>IFERROR(INDEX('Kode Diskon'!$D$3:$D$9,MATCH(Data[[#This Row],[Kode diskon]],'Kode Diskon'!$C$3:$C$9,0)),"-")</f>
        <v>0.2</v>
      </c>
      <c r="AE997" s="23" t="s">
        <v>9</v>
      </c>
      <c r="AF997" s="23" t="s">
        <v>7</v>
      </c>
      <c r="AG997" s="23" t="s">
        <v>78</v>
      </c>
      <c r="AH997" s="24">
        <v>45035</v>
      </c>
      <c r="AI997" s="23" t="str">
        <f>TEXT(Data[[#This Row],[Tanggal terjual]],"dddd")</f>
        <v>Wednesday</v>
      </c>
      <c r="AJ997" s="21" t="str">
        <f>TEXT(Data[[#This Row],[Tanggal terjual]],"wwww")</f>
        <v>wwww</v>
      </c>
    </row>
    <row r="998" spans="1:36" x14ac:dyDescent="0.2">
      <c r="A998" s="20">
        <v>997</v>
      </c>
      <c r="B998" s="21" t="str">
        <f>_xlfn.CONCAT("ORD-",INDEX(Helper!$B$2:$B$5,MATCH(Data[[#This Row],[Marketplace]],Helper!$A$2:$A$5,0)),TEXT(Data[[#This Row],[No]],"0000"),"-",TEXT(Data[[#This Row],[Tanggal terjual]],"dd/mm/yy"))</f>
        <v>ORD-TK0997-26/04/23</v>
      </c>
      <c r="C998" t="s">
        <v>62</v>
      </c>
      <c r="D998" t="str">
        <f>IFERROR(INDEX(Katalog!$A$3:$A$12,MATCH(Data[[#This Row],[ItemID A]],Katalog!$C$3:$C$12,0)),"-")</f>
        <v>Pakaian Pria</v>
      </c>
      <c r="E998" t="str">
        <f>IFERROR(INDEX(Katalog!$B$3:$B$12,MATCH(Data[[#This Row],[ItemID A]],Katalog!$C$3:$C$12,0)),"-")</f>
        <v>Celana Pendek</v>
      </c>
      <c r="F998">
        <v>5</v>
      </c>
      <c r="G998">
        <v>4</v>
      </c>
      <c r="H998" s="36">
        <f>IFERROR(INDEX(Katalog!$D$3:$D$12,MATCH(Data[[#This Row],[ItemID A]],Katalog!$C$3:$C$12,0))*Data[[#This Row],[Qty A]],"0")</f>
        <v>900000</v>
      </c>
      <c r="I998" s="36">
        <f>IFERROR(INDEX(Katalog!$F$3:$F$12,MATCH(Data[[#This Row],[ItemID A]],Katalog!$C$3:$C$12,0))*Data[[#This Row],[Qty A]],0)</f>
        <v>350000</v>
      </c>
      <c r="K998" t="str">
        <f>IFERROR(INDEX(Katalog!$A$3:$A$12,MATCH(Data[[#This Row],[ItemID B]],Katalog!$C$3:$C$12,0)),"-")</f>
        <v>-</v>
      </c>
      <c r="L998" t="str">
        <f>IFERROR(INDEX(Katalog!$B$3:$B$12,MATCH(Data[[#This Row],[ItemID B]],Katalog!$C$3:$C$12,0)),"-")</f>
        <v>-</v>
      </c>
      <c r="O998" s="36" t="str">
        <f>IFERROR(INDEX(Katalog!$D$3:$D$12,MATCH(Data[[#This Row],[ItemID B]],Katalog!$C$3:$C$12,0))*Data[[#This Row],[Qty B]],"0")</f>
        <v>0</v>
      </c>
      <c r="P998" s="36" t="str">
        <f>IFERROR(INDEX(Katalog!$F$3:$F$12,MATCH(Data[[#This Row],[ItemID B]],Katalog!$C$3:$C$12,0))*Data[[#This Row],[Qty B]],"0")</f>
        <v>0</v>
      </c>
      <c r="R998" t="str">
        <f>IFERROR(INDEX(Katalog!$A$3:$A$12,MATCH(Data[[#This Row],[ItemID C]],Katalog!$C$3:$C$12,0)),"-")</f>
        <v>-</v>
      </c>
      <c r="S998" t="str">
        <f>IFERROR(INDEX(Katalog!$B$3:$B$12,MATCH(Data[[#This Row],[ItemID C]],Katalog!$C$3:$C$12,0)),"-")</f>
        <v>-</v>
      </c>
      <c r="V998" s="36" t="str">
        <f>IFERROR(INDEX(Katalog!$D$3:$D$12,MATCH(Data[[#This Row],[ItemID C]],Katalog!$C$3:$C$12,0))*Data[[#This Row],[Qty C]],"0")</f>
        <v>0</v>
      </c>
      <c r="W998" s="36" t="str">
        <f>IFERROR(INDEX(Katalog!$F$3:$F$12,MATCH(Data[[#This Row],[ItemID C]],Katalog!$C$3:$C$12,0))*Data[[#This Row],[Qty C]],"0")</f>
        <v>0</v>
      </c>
      <c r="X998" s="21">
        <f>Data[[#This Row],[Qty A]]+Data[[#This Row],[Qty B]]+Data[[#This Row],[Qty C]]</f>
        <v>5</v>
      </c>
      <c r="Y998" s="22">
        <f>Data[[#This Row],[Harga Barang A]]+Data[[#This Row],[Harga Barang B]]+Data[[#This Row],[Harga Barang C]]</f>
        <v>900000</v>
      </c>
      <c r="Z998" s="35">
        <f>IFERROR(Data[[#This Row],[Total Harga]]-(Data[[#This Row],[Total Harga]]*Data[[#This Row],[Diskon]]),Data[[#This Row],[Total Harga]])</f>
        <v>810000</v>
      </c>
      <c r="AA998" s="35">
        <f>(Data[[#This Row],[Profit A]]+Data[[#This Row],[Profit B]]+Data[[#This Row],[Profit C]])</f>
        <v>350000</v>
      </c>
      <c r="AB998" s="35">
        <f>IFERROR((Data[[#This Row],[Profit non Diskon]]-(Data[[#This Row],[Profit non Diskon]]*Data[[#This Row],[Diskon]])),Data[[#This Row],[Profit non Diskon]])</f>
        <v>315000</v>
      </c>
      <c r="AC998" s="23" t="s">
        <v>31</v>
      </c>
      <c r="AD998" s="37">
        <f>IFERROR(INDEX('Kode Diskon'!$D$3:$D$9,MATCH(Data[[#This Row],[Kode diskon]],'Kode Diskon'!$C$3:$C$9,0)),"-")</f>
        <v>0.1</v>
      </c>
      <c r="AE998" s="23" t="s">
        <v>9</v>
      </c>
      <c r="AF998" s="23" t="s">
        <v>10</v>
      </c>
      <c r="AG998" s="23" t="s">
        <v>76</v>
      </c>
      <c r="AH998" s="24">
        <v>45042</v>
      </c>
      <c r="AI998" s="23" t="str">
        <f>TEXT(Data[[#This Row],[Tanggal terjual]],"dddd")</f>
        <v>Wednesday</v>
      </c>
      <c r="AJ998" s="21" t="str">
        <f>TEXT(Data[[#This Row],[Tanggal terjual]],"wwww")</f>
        <v>wwww</v>
      </c>
    </row>
    <row r="999" spans="1:36" x14ac:dyDescent="0.2">
      <c r="A999" s="20">
        <v>998</v>
      </c>
      <c r="B999" s="21" t="str">
        <f>_xlfn.CONCAT("ORD-",INDEX(Helper!$B$2:$B$5,MATCH(Data[[#This Row],[Marketplace]],Helper!$A$2:$A$5,0)),TEXT(Data[[#This Row],[No]],"0000"),"-",TEXT(Data[[#This Row],[Tanggal terjual]],"dd/mm/yy"))</f>
        <v>ORD-SP0998-01/04/23</v>
      </c>
      <c r="C999" t="s">
        <v>58</v>
      </c>
      <c r="D999" t="str">
        <f>IFERROR(INDEX(Katalog!$A$3:$A$12,MATCH(Data[[#This Row],[ItemID A]],Katalog!$C$3:$C$12,0)),"-")</f>
        <v>Pakaian Wanita</v>
      </c>
      <c r="E999" t="str">
        <f>IFERROR(INDEX(Katalog!$B$3:$B$12,MATCH(Data[[#This Row],[ItemID A]],Katalog!$C$3:$C$12,0)),"-")</f>
        <v>Dress</v>
      </c>
      <c r="F999">
        <v>1</v>
      </c>
      <c r="G999">
        <v>4</v>
      </c>
      <c r="H999" s="36">
        <f>IFERROR(INDEX(Katalog!$D$3:$D$12,MATCH(Data[[#This Row],[ItemID A]],Katalog!$C$3:$C$12,0))*Data[[#This Row],[Qty A]],"0")</f>
        <v>300000</v>
      </c>
      <c r="I999" s="36">
        <f>IFERROR(INDEX(Katalog!$F$3:$F$12,MATCH(Data[[#This Row],[ItemID A]],Katalog!$C$3:$C$12,0))*Data[[#This Row],[Qty A]],0)</f>
        <v>100000</v>
      </c>
      <c r="K999" t="str">
        <f>IFERROR(INDEX(Katalog!$A$3:$A$12,MATCH(Data[[#This Row],[ItemID B]],Katalog!$C$3:$C$12,0)),"-")</f>
        <v>-</v>
      </c>
      <c r="L999" t="str">
        <f>IFERROR(INDEX(Katalog!$B$3:$B$12,MATCH(Data[[#This Row],[ItemID B]],Katalog!$C$3:$C$12,0)),"-")</f>
        <v>-</v>
      </c>
      <c r="O999" s="36" t="str">
        <f>IFERROR(INDEX(Katalog!$D$3:$D$12,MATCH(Data[[#This Row],[ItemID B]],Katalog!$C$3:$C$12,0))*Data[[#This Row],[Qty B]],"0")</f>
        <v>0</v>
      </c>
      <c r="P999" s="36" t="str">
        <f>IFERROR(INDEX(Katalog!$F$3:$F$12,MATCH(Data[[#This Row],[ItemID B]],Katalog!$C$3:$C$12,0))*Data[[#This Row],[Qty B]],"0")</f>
        <v>0</v>
      </c>
      <c r="R999" t="str">
        <f>IFERROR(INDEX(Katalog!$A$3:$A$12,MATCH(Data[[#This Row],[ItemID C]],Katalog!$C$3:$C$12,0)),"-")</f>
        <v>-</v>
      </c>
      <c r="S999" t="str">
        <f>IFERROR(INDEX(Katalog!$B$3:$B$12,MATCH(Data[[#This Row],[ItemID C]],Katalog!$C$3:$C$12,0)),"-")</f>
        <v>-</v>
      </c>
      <c r="V999" s="36" t="str">
        <f>IFERROR(INDEX(Katalog!$D$3:$D$12,MATCH(Data[[#This Row],[ItemID C]],Katalog!$C$3:$C$12,0))*Data[[#This Row],[Qty C]],"0")</f>
        <v>0</v>
      </c>
      <c r="W999" s="36" t="str">
        <f>IFERROR(INDEX(Katalog!$F$3:$F$12,MATCH(Data[[#This Row],[ItemID C]],Katalog!$C$3:$C$12,0))*Data[[#This Row],[Qty C]],"0")</f>
        <v>0</v>
      </c>
      <c r="X999" s="21">
        <f>Data[[#This Row],[Qty A]]+Data[[#This Row],[Qty B]]+Data[[#This Row],[Qty C]]</f>
        <v>1</v>
      </c>
      <c r="Y999" s="22">
        <f>Data[[#This Row],[Harga Barang A]]+Data[[#This Row],[Harga Barang B]]+Data[[#This Row],[Harga Barang C]]</f>
        <v>300000</v>
      </c>
      <c r="Z999" s="35">
        <f>IFERROR(Data[[#This Row],[Total Harga]]-(Data[[#This Row],[Total Harga]]*Data[[#This Row],[Diskon]]),Data[[#This Row],[Total Harga]])</f>
        <v>270000</v>
      </c>
      <c r="AA999" s="35">
        <f>(Data[[#This Row],[Profit A]]+Data[[#This Row],[Profit B]]+Data[[#This Row],[Profit C]])</f>
        <v>100000</v>
      </c>
      <c r="AB999" s="35">
        <f>IFERROR((Data[[#This Row],[Profit non Diskon]]-(Data[[#This Row],[Profit non Diskon]]*Data[[#This Row],[Diskon]])),Data[[#This Row],[Profit non Diskon]])</f>
        <v>90000</v>
      </c>
      <c r="AC999" s="23" t="s">
        <v>6</v>
      </c>
      <c r="AD999" s="37">
        <f>IFERROR(INDEX('Kode Diskon'!$D$3:$D$9,MATCH(Data[[#This Row],[Kode diskon]],'Kode Diskon'!$C$3:$C$9,0)),"-")</f>
        <v>0.1</v>
      </c>
      <c r="AE999" s="23" t="s">
        <v>29</v>
      </c>
      <c r="AF999" s="23" t="s">
        <v>7</v>
      </c>
      <c r="AG999" s="23" t="s">
        <v>76</v>
      </c>
      <c r="AH999" s="24">
        <v>45017</v>
      </c>
      <c r="AI999" s="23" t="str">
        <f>TEXT(Data[[#This Row],[Tanggal terjual]],"dddd")</f>
        <v>Saturday</v>
      </c>
      <c r="AJ999" s="21" t="str">
        <f>TEXT(Data[[#This Row],[Tanggal terjual]],"wwww")</f>
        <v>wwww</v>
      </c>
    </row>
    <row r="1000" spans="1:36" x14ac:dyDescent="0.2">
      <c r="A1000" s="20">
        <v>999</v>
      </c>
      <c r="B1000" s="21" t="str">
        <f>_xlfn.CONCAT("ORD-",INDEX(Helper!$B$2:$B$5,MATCH(Data[[#This Row],[Marketplace]],Helper!$A$2:$A$5,0)),TEXT(Data[[#This Row],[No]],"0000"),"-",TEXT(Data[[#This Row],[Tanggal terjual]],"dd/mm/yy"))</f>
        <v>ORD-BL0999-18/04/23</v>
      </c>
      <c r="C1000" t="s">
        <v>59</v>
      </c>
      <c r="D1000" t="str">
        <f>IFERROR(INDEX(Katalog!$A$3:$A$12,MATCH(Data[[#This Row],[ItemID A]],Katalog!$C$3:$C$12,0)),"-")</f>
        <v>Pakaian Wanita</v>
      </c>
      <c r="E1000" t="str">
        <f>IFERROR(INDEX(Katalog!$B$3:$B$12,MATCH(Data[[#This Row],[ItemID A]],Katalog!$C$3:$C$12,0)),"-")</f>
        <v>Blouse</v>
      </c>
      <c r="F1000">
        <v>2</v>
      </c>
      <c r="G1000">
        <v>3</v>
      </c>
      <c r="H1000" s="36">
        <f>IFERROR(INDEX(Katalog!$D$3:$D$12,MATCH(Data[[#This Row],[ItemID A]],Katalog!$C$3:$C$12,0))*Data[[#This Row],[Qty A]],"0")</f>
        <v>300000</v>
      </c>
      <c r="I1000" s="36">
        <f>IFERROR(INDEX(Katalog!$F$3:$F$12,MATCH(Data[[#This Row],[ItemID A]],Katalog!$C$3:$C$12,0))*Data[[#This Row],[Qty A]],0)</f>
        <v>100000</v>
      </c>
      <c r="J1000" t="s">
        <v>64</v>
      </c>
      <c r="K1000" t="str">
        <f>IFERROR(INDEX(Katalog!$A$3:$A$12,MATCH(Data[[#This Row],[ItemID B]],Katalog!$C$3:$C$12,0)),"-")</f>
        <v>Pakaian Unisex</v>
      </c>
      <c r="L1000" t="str">
        <f>IFERROR(INDEX(Katalog!$B$3:$B$12,MATCH(Data[[#This Row],[ItemID B]],Katalog!$C$3:$C$12,0)),"-")</f>
        <v>Jaket Hoodie</v>
      </c>
      <c r="M1000">
        <v>1</v>
      </c>
      <c r="N1000">
        <v>3</v>
      </c>
      <c r="O1000" s="36">
        <f>IFERROR(INDEX(Katalog!$D$3:$D$12,MATCH(Data[[#This Row],[ItemID B]],Katalog!$C$3:$C$12,0))*Data[[#This Row],[Qty B]],"0")</f>
        <v>350000</v>
      </c>
      <c r="P1000" s="36">
        <f>IFERROR(INDEX(Katalog!$F$3:$F$12,MATCH(Data[[#This Row],[ItemID B]],Katalog!$C$3:$C$12,0))*Data[[#This Row],[Qty B]],"0")</f>
        <v>130000</v>
      </c>
      <c r="R1000" t="str">
        <f>IFERROR(INDEX(Katalog!$A$3:$A$12,MATCH(Data[[#This Row],[ItemID C]],Katalog!$C$3:$C$12,0)),"-")</f>
        <v>-</v>
      </c>
      <c r="S1000" t="str">
        <f>IFERROR(INDEX(Katalog!$B$3:$B$12,MATCH(Data[[#This Row],[ItemID C]],Katalog!$C$3:$C$12,0)),"-")</f>
        <v>-</v>
      </c>
      <c r="V1000" s="36" t="str">
        <f>IFERROR(INDEX(Katalog!$D$3:$D$12,MATCH(Data[[#This Row],[ItemID C]],Katalog!$C$3:$C$12,0))*Data[[#This Row],[Qty C]],"0")</f>
        <v>0</v>
      </c>
      <c r="W1000" s="36" t="str">
        <f>IFERROR(INDEX(Katalog!$F$3:$F$12,MATCH(Data[[#This Row],[ItemID C]],Katalog!$C$3:$C$12,0))*Data[[#This Row],[Qty C]],"0")</f>
        <v>0</v>
      </c>
      <c r="X1000" s="21">
        <f>Data[[#This Row],[Qty A]]+Data[[#This Row],[Qty B]]+Data[[#This Row],[Qty C]]</f>
        <v>3</v>
      </c>
      <c r="Y1000" s="22">
        <f>Data[[#This Row],[Harga Barang A]]+Data[[#This Row],[Harga Barang B]]+Data[[#This Row],[Harga Barang C]]</f>
        <v>650000</v>
      </c>
      <c r="Z1000" s="35">
        <f>IFERROR(Data[[#This Row],[Total Harga]]-(Data[[#This Row],[Total Harga]]*Data[[#This Row],[Diskon]]),Data[[#This Row],[Total Harga]])</f>
        <v>552500</v>
      </c>
      <c r="AA1000" s="35">
        <f>(Data[[#This Row],[Profit A]]+Data[[#This Row],[Profit B]]+Data[[#This Row],[Profit C]])</f>
        <v>230000</v>
      </c>
      <c r="AB1000" s="35">
        <f>IFERROR((Data[[#This Row],[Profit non Diskon]]-(Data[[#This Row],[Profit non Diskon]]*Data[[#This Row],[Diskon]])),Data[[#This Row],[Profit non Diskon]])</f>
        <v>195500</v>
      </c>
      <c r="AC1000" s="23" t="s">
        <v>32</v>
      </c>
      <c r="AD1000" s="37">
        <f>IFERROR(INDEX('Kode Diskon'!$D$3:$D$9,MATCH(Data[[#This Row],[Kode diskon]],'Kode Diskon'!$C$3:$C$9,0)),"-")</f>
        <v>0.15</v>
      </c>
      <c r="AE1000" s="23" t="s">
        <v>9</v>
      </c>
      <c r="AF1000" s="23" t="s">
        <v>12</v>
      </c>
      <c r="AG1000" s="23" t="s">
        <v>79</v>
      </c>
      <c r="AH1000" s="24">
        <v>45034</v>
      </c>
      <c r="AI1000" s="23" t="str">
        <f>TEXT(Data[[#This Row],[Tanggal terjual]],"dddd")</f>
        <v>Tuesday</v>
      </c>
      <c r="AJ1000" s="21" t="str">
        <f>TEXT(Data[[#This Row],[Tanggal terjual]],"wwww")</f>
        <v>wwww</v>
      </c>
    </row>
    <row r="1001" spans="1:36" x14ac:dyDescent="0.2">
      <c r="A1001" s="20">
        <v>1000</v>
      </c>
      <c r="B1001" s="21" t="str">
        <f>_xlfn.CONCAT("ORD-",INDEX(Helper!$B$2:$B$5,MATCH(Data[[#This Row],[Marketplace]],Helper!$A$2:$A$5,0)),TEXT(Data[[#This Row],[No]],"0000"),"-",TEXT(Data[[#This Row],[Tanggal terjual]],"dd/mm/yy"))</f>
        <v>ORD-SP1000-03/04/23</v>
      </c>
      <c r="C1001" t="s">
        <v>65</v>
      </c>
      <c r="D1001" t="str">
        <f>IFERROR(INDEX(Katalog!$A$3:$A$12,MATCH(Data[[#This Row],[ItemID A]],Katalog!$C$3:$C$12,0)),"-")</f>
        <v>Sepatu Pria</v>
      </c>
      <c r="E1001" t="str">
        <f>IFERROR(INDEX(Katalog!$B$3:$B$12,MATCH(Data[[#This Row],[ItemID A]],Katalog!$C$3:$C$12,0)),"-")</f>
        <v>Sneakers</v>
      </c>
      <c r="F1001">
        <v>3</v>
      </c>
      <c r="G1001">
        <v>3</v>
      </c>
      <c r="H1001" s="36">
        <f>IFERROR(INDEX(Katalog!$D$3:$D$12,MATCH(Data[[#This Row],[ItemID A]],Katalog!$C$3:$C$12,0))*Data[[#This Row],[Qty A]],"0")</f>
        <v>1500000</v>
      </c>
      <c r="I1001" s="36">
        <f>IFERROR(INDEX(Katalog!$F$3:$F$12,MATCH(Data[[#This Row],[ItemID A]],Katalog!$C$3:$C$12,0))*Data[[#This Row],[Qty A]],0)</f>
        <v>600000</v>
      </c>
      <c r="J1001" t="s">
        <v>58</v>
      </c>
      <c r="K1001" t="str">
        <f>IFERROR(INDEX(Katalog!$A$3:$A$12,MATCH(Data[[#This Row],[ItemID B]],Katalog!$C$3:$C$12,0)),"-")</f>
        <v>Pakaian Wanita</v>
      </c>
      <c r="L1001" t="str">
        <f>IFERROR(INDEX(Katalog!$B$3:$B$12,MATCH(Data[[#This Row],[ItemID B]],Katalog!$C$3:$C$12,0)),"-")</f>
        <v>Dress</v>
      </c>
      <c r="M1001">
        <v>2</v>
      </c>
      <c r="N1001">
        <v>5</v>
      </c>
      <c r="O1001" s="36">
        <f>IFERROR(INDEX(Katalog!$D$3:$D$12,MATCH(Data[[#This Row],[ItemID B]],Katalog!$C$3:$C$12,0))*Data[[#This Row],[Qty B]],"0")</f>
        <v>600000</v>
      </c>
      <c r="P1001" s="36">
        <f>IFERROR(INDEX(Katalog!$F$3:$F$12,MATCH(Data[[#This Row],[ItemID B]],Katalog!$C$3:$C$12,0))*Data[[#This Row],[Qty B]],"0")</f>
        <v>200000</v>
      </c>
      <c r="Q1001" t="s">
        <v>61</v>
      </c>
      <c r="R1001" t="str">
        <f>IFERROR(INDEX(Katalog!$A$3:$A$12,MATCH(Data[[#This Row],[ItemID C]],Katalog!$C$3:$C$12,0)),"-")</f>
        <v>Pakaian Pria</v>
      </c>
      <c r="S1001" t="str">
        <f>IFERROR(INDEX(Katalog!$B$3:$B$12,MATCH(Data[[#This Row],[ItemID C]],Katalog!$C$3:$C$12,0)),"-")</f>
        <v>Kaos Polo</v>
      </c>
      <c r="T1001">
        <v>1</v>
      </c>
      <c r="U1001">
        <v>2</v>
      </c>
      <c r="V1001" s="36">
        <f>IFERROR(INDEX(Katalog!$D$3:$D$12,MATCH(Data[[#This Row],[ItemID C]],Katalog!$C$3:$C$12,0))*Data[[#This Row],[Qty C]],"0")</f>
        <v>200000</v>
      </c>
      <c r="W1001" s="36">
        <f>IFERROR(INDEX(Katalog!$F$3:$F$12,MATCH(Data[[#This Row],[ItemID C]],Katalog!$C$3:$C$12,0))*Data[[#This Row],[Qty C]],"0")</f>
        <v>80000</v>
      </c>
      <c r="X1001" s="21">
        <f>Data[[#This Row],[Qty A]]+Data[[#This Row],[Qty B]]+Data[[#This Row],[Qty C]]</f>
        <v>6</v>
      </c>
      <c r="Y1001" s="22">
        <f>Data[[#This Row],[Harga Barang A]]+Data[[#This Row],[Harga Barang B]]+Data[[#This Row],[Harga Barang C]]</f>
        <v>2300000</v>
      </c>
      <c r="Z1001" s="35">
        <f>IFERROR(Data[[#This Row],[Total Harga]]-(Data[[#This Row],[Total Harga]]*Data[[#This Row],[Diskon]]),Data[[#This Row],[Total Harga]])</f>
        <v>1955000</v>
      </c>
      <c r="AA1001" s="35">
        <f>(Data[[#This Row],[Profit A]]+Data[[#This Row],[Profit B]]+Data[[#This Row],[Profit C]])</f>
        <v>880000</v>
      </c>
      <c r="AB1001" s="35">
        <f>IFERROR((Data[[#This Row],[Profit non Diskon]]-(Data[[#This Row],[Profit non Diskon]]*Data[[#This Row],[Diskon]])),Data[[#This Row],[Profit non Diskon]])</f>
        <v>748000</v>
      </c>
      <c r="AC1001" s="23" t="s">
        <v>13</v>
      </c>
      <c r="AD1001" s="37">
        <f>IFERROR(INDEX('Kode Diskon'!$D$3:$D$9,MATCH(Data[[#This Row],[Kode diskon]],'Kode Diskon'!$C$3:$C$9,0)),"-")</f>
        <v>0.15</v>
      </c>
      <c r="AE1001" s="23" t="s">
        <v>29</v>
      </c>
      <c r="AF1001" s="23" t="s">
        <v>7</v>
      </c>
      <c r="AG1001" s="23" t="s">
        <v>77</v>
      </c>
      <c r="AH1001" s="24">
        <v>45019</v>
      </c>
      <c r="AI1001" s="23" t="str">
        <f>TEXT(Data[[#This Row],[Tanggal terjual]],"dddd")</f>
        <v>Monday</v>
      </c>
      <c r="AJ1001" s="21" t="str">
        <f>TEXT(Data[[#This Row],[Tanggal terjual]],"wwww")</f>
        <v>wwww</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9680-FF9F-464A-92F4-30E0548351F6}">
  <dimension ref="A1:AR1001"/>
  <sheetViews>
    <sheetView topLeftCell="B1" workbookViewId="0">
      <selection activeCell="B4" sqref="B4"/>
    </sheetView>
  </sheetViews>
  <sheetFormatPr defaultColWidth="12.7109375" defaultRowHeight="12.75" x14ac:dyDescent="0.2"/>
  <cols>
    <col min="1" max="1" width="8" hidden="1" customWidth="1"/>
    <col min="2" max="2" width="20.140625" bestFit="1" customWidth="1"/>
    <col min="3" max="3" width="13.28515625" hidden="1" customWidth="1"/>
    <col min="4" max="4" width="15.140625" bestFit="1" customWidth="1"/>
    <col min="5" max="5" width="13.7109375" bestFit="1" customWidth="1"/>
    <col min="6" max="6" width="10.42578125" bestFit="1" customWidth="1"/>
    <col min="7" max="7" width="13.28515625" bestFit="1" customWidth="1"/>
    <col min="8" max="8" width="18" style="14" hidden="1" customWidth="1"/>
    <col min="9" max="9" width="18" style="14" customWidth="1"/>
    <col min="10" max="10" width="20.7109375" style="14" bestFit="1" customWidth="1"/>
    <col min="11" max="11" width="13.42578125" style="14" bestFit="1" customWidth="1"/>
    <col min="12" max="12" width="21.7109375" style="14" bestFit="1" customWidth="1"/>
    <col min="13" max="13" width="13.28515625" bestFit="1" customWidth="1"/>
    <col min="14" max="14" width="15.140625" bestFit="1" customWidth="1"/>
    <col min="15" max="15" width="13.7109375" bestFit="1" customWidth="1"/>
    <col min="16" max="16" width="10.42578125" bestFit="1" customWidth="1"/>
    <col min="17" max="17" width="13.28515625" bestFit="1" customWidth="1"/>
    <col min="18" max="18" width="18" style="14" hidden="1" customWidth="1"/>
    <col min="19" max="19" width="18" style="14" customWidth="1"/>
    <col min="20" max="20" width="20.7109375" style="14" bestFit="1" customWidth="1"/>
    <col min="21" max="21" width="13.42578125" style="14" bestFit="1" customWidth="1"/>
    <col min="22" max="22" width="21.85546875" style="14" bestFit="1" customWidth="1"/>
    <col min="23" max="23" width="13.28515625" bestFit="1" customWidth="1"/>
    <col min="24" max="24" width="15.140625" bestFit="1" customWidth="1"/>
    <col min="25" max="25" width="13.7109375" bestFit="1" customWidth="1"/>
    <col min="26" max="26" width="10.42578125" bestFit="1" customWidth="1"/>
    <col min="27" max="27" width="13.28515625" bestFit="1" customWidth="1"/>
    <col min="28" max="28" width="18" style="14" hidden="1" customWidth="1"/>
    <col min="29" max="29" width="18" style="14" customWidth="1"/>
    <col min="30" max="30" width="20.7109375" style="14" bestFit="1" customWidth="1"/>
    <col min="31" max="31" width="13.42578125" style="14" bestFit="1" customWidth="1"/>
    <col min="32" max="32" width="21.85546875" style="14" bestFit="1" customWidth="1"/>
    <col min="33" max="33" width="13.7109375" bestFit="1" customWidth="1"/>
    <col min="34" max="34" width="19.42578125" bestFit="1" customWidth="1"/>
    <col min="35" max="35" width="21.140625" bestFit="1" customWidth="1"/>
    <col min="36" max="36" width="23.5703125" bestFit="1" customWidth="1"/>
    <col min="37" max="37" width="16.7109375" bestFit="1" customWidth="1"/>
    <col min="38" max="38" width="11.5703125" style="13" bestFit="1" customWidth="1"/>
    <col min="39" max="40" width="16.7109375" bestFit="1" customWidth="1"/>
    <col min="41" max="41" width="19.5703125" bestFit="1" customWidth="1"/>
    <col min="42" max="42" width="19.5703125" style="12" bestFit="1" customWidth="1"/>
    <col min="43" max="43" width="15.7109375" bestFit="1" customWidth="1"/>
  </cols>
  <sheetData>
    <row r="1" spans="1:44" x14ac:dyDescent="0.2">
      <c r="A1" s="15" t="s">
        <v>22</v>
      </c>
      <c r="B1" s="15" t="s">
        <v>23</v>
      </c>
      <c r="C1" s="15" t="s">
        <v>114</v>
      </c>
      <c r="D1" s="15" t="s">
        <v>117</v>
      </c>
      <c r="E1" s="15" t="s">
        <v>68</v>
      </c>
      <c r="F1" s="15" t="s">
        <v>24</v>
      </c>
      <c r="G1" s="15" t="s">
        <v>89</v>
      </c>
      <c r="H1" s="16" t="s">
        <v>185</v>
      </c>
      <c r="I1" s="16" t="s">
        <v>177</v>
      </c>
      <c r="J1" s="16" t="s">
        <v>193</v>
      </c>
      <c r="K1" s="16" t="s">
        <v>121</v>
      </c>
      <c r="L1" s="16" t="s">
        <v>194</v>
      </c>
      <c r="M1" s="15" t="s">
        <v>115</v>
      </c>
      <c r="N1" s="15" t="s">
        <v>118</v>
      </c>
      <c r="O1" s="15" t="s">
        <v>69</v>
      </c>
      <c r="P1" s="15" t="s">
        <v>25</v>
      </c>
      <c r="Q1" s="15" t="s">
        <v>90</v>
      </c>
      <c r="R1" s="16" t="s">
        <v>186</v>
      </c>
      <c r="S1" s="16" t="s">
        <v>178</v>
      </c>
      <c r="T1" s="16" t="s">
        <v>190</v>
      </c>
      <c r="U1" s="16" t="s">
        <v>122</v>
      </c>
      <c r="V1" s="16" t="s">
        <v>188</v>
      </c>
      <c r="W1" s="15" t="s">
        <v>116</v>
      </c>
      <c r="X1" s="15" t="s">
        <v>119</v>
      </c>
      <c r="Y1" s="15" t="s">
        <v>70</v>
      </c>
      <c r="Z1" s="15" t="s">
        <v>26</v>
      </c>
      <c r="AA1" s="15" t="s">
        <v>91</v>
      </c>
      <c r="AB1" s="16" t="s">
        <v>187</v>
      </c>
      <c r="AC1" s="16" t="s">
        <v>180</v>
      </c>
      <c r="AD1" s="16" t="s">
        <v>191</v>
      </c>
      <c r="AE1" s="16" t="s">
        <v>123</v>
      </c>
      <c r="AF1" s="16" t="s">
        <v>189</v>
      </c>
      <c r="AG1" s="15" t="s">
        <v>27</v>
      </c>
      <c r="AH1" s="17" t="s">
        <v>74</v>
      </c>
      <c r="AI1" s="17" t="s">
        <v>182</v>
      </c>
      <c r="AJ1" s="17" t="s">
        <v>192</v>
      </c>
      <c r="AK1" s="17" t="s">
        <v>0</v>
      </c>
      <c r="AL1" s="18" t="s">
        <v>1</v>
      </c>
      <c r="AM1" s="17" t="s">
        <v>2</v>
      </c>
      <c r="AN1" s="17" t="s">
        <v>3</v>
      </c>
      <c r="AO1" s="17" t="s">
        <v>5</v>
      </c>
      <c r="AP1" s="19" t="s">
        <v>4</v>
      </c>
      <c r="AQ1" s="17" t="s">
        <v>125</v>
      </c>
    </row>
    <row r="2" spans="1:44" x14ac:dyDescent="0.2">
      <c r="A2" s="20">
        <v>1</v>
      </c>
      <c r="B2" s="21" t="str">
        <f>_xlfn.CONCAT("ORD-",INDEX(Helper!$B$2:$B$5,MATCH(cadangan3[[#This Row],[Marketplace]],Helper!$A$2:$A$5,0)),TEXT(cadangan3[[#This Row],[No]],"0000"),"-",TEXT(cadangan3[[#This Row],[Tanggal terjual]],"dd/mm/yy"))</f>
        <v>ORD-BB0001-01/04/23</v>
      </c>
      <c r="C2" t="s">
        <v>58</v>
      </c>
      <c r="D2" t="str">
        <f>IFERROR(INDEX(Katalog!$A$3:$A$12,MATCH(cadangan3[[#This Row],[ItemID A]],Katalog!$C$3:$C$12,0)),"-")</f>
        <v>Pakaian Wanita</v>
      </c>
      <c r="E2" t="str">
        <f>IFERROR(INDEX(Katalog!$B$3:$B$12,MATCH(cadangan3[[#This Row],[ItemID A]],Katalog!$C$3:$C$12,0)),"-")</f>
        <v>Dress</v>
      </c>
      <c r="F2">
        <v>1</v>
      </c>
      <c r="G2">
        <v>4</v>
      </c>
      <c r="H2" s="36">
        <f>IFERROR(INDEX(Katalog!$D$3:$D$12,MATCH(cadangan3[[#This Row],[ItemID A]],Katalog!$C$3:$C$12,0))*cadangan3[[#This Row],[Qty A]],0)</f>
        <v>300000</v>
      </c>
      <c r="I2" s="36">
        <f>IFERROR(INDEX(Katalog!$D$3:$D$12,MATCH(cadangan3[[#This Row],[Item A]],Katalog!$B$3:$B$12,0))*cadangan3[[#This Row],[Qty A]],0)</f>
        <v>300000</v>
      </c>
      <c r="J2" s="36">
        <f>IFERROR(cadangan3[[#This Row],[Harga Asli A]]-(cadangan3[[#This Row],[Harga Asli A]]*cadangan3[[#This Row],[Diskon]]),cadangan3[[#This Row],[Harga Asli A]])</f>
        <v>255000</v>
      </c>
      <c r="K2" s="36">
        <f>INDEX(Katalog!$F$3:$F$12,MATCH(cadangan3[[#This Row],[ItemID A]],Katalog!$C$3:$C$12,0))*cadangan3[[#This Row],[Qty A]]</f>
        <v>100000</v>
      </c>
      <c r="L2" s="36">
        <f>IFERROR(cadangan3[[#This Row],[Profit A]]-(cadangan3[[#This Row],[Profit A]]*cadangan3[[#This Row],[Diskon]]),K2)</f>
        <v>85000</v>
      </c>
      <c r="M2" s="9" t="s">
        <v>65</v>
      </c>
      <c r="N2" t="str">
        <f>IFERROR(INDEX(Katalog!$A$3:$A$12,MATCH(cadangan3[[#This Row],[ItemID B]],Katalog!$C$3:$C$12,0)),"-")</f>
        <v>Sepatu Pria</v>
      </c>
      <c r="O2" t="str">
        <f>IFERROR(INDEX(Katalog!$B$3:$B$12,MATCH(cadangan3[[#This Row],[ItemID B]],Katalog!$C$3:$C$12,0)),"-")</f>
        <v>Sneakers</v>
      </c>
      <c r="P2">
        <v>3</v>
      </c>
      <c r="Q2">
        <v>4</v>
      </c>
      <c r="R2" s="36">
        <f>IFERROR(INDEX(Katalog!$D$3:$D$12,MATCH(cadangan3[[#This Row],[ItemID B]],Katalog!$C$3:$C$12,0))*cadangan3[[#This Row],[Qty B]],0)</f>
        <v>1500000</v>
      </c>
      <c r="S2" s="36">
        <f>IFERROR(INDEX(Katalog!$D$3:$D$12,MATCH(cadangan3[[#This Row],[Item B]],Katalog!$B$3:$B$12,0))*cadangan3[[#This Row],[Qty B]],0)</f>
        <v>1500000</v>
      </c>
      <c r="T2" s="36">
        <f>IFERROR(cadangan3[[#This Row],[Harga Asli B]]-(cadangan3[[#This Row],[Harga Asli B]]*cadangan3[[#This Row],[Diskon]]),cadangan3[[#This Row],[Harga Asli B]])</f>
        <v>1275000</v>
      </c>
      <c r="U2" s="36">
        <f>IFERROR(INDEX(Katalog!$F$3:$F$12,MATCH(cadangan3[[#This Row],[ItemID B]],Katalog!$C$3:$C$12,0))*cadangan3[[#This Row],[Qty B]],0)</f>
        <v>600000</v>
      </c>
      <c r="V2" s="36">
        <f>IFERROR(cadangan3[[#This Row],[Profit B]]-(cadangan3[[#This Row],[Profit B]]*cadangan3[[#This Row],[Diskon]]),U2)</f>
        <v>510000</v>
      </c>
      <c r="W2" t="s">
        <v>67</v>
      </c>
      <c r="X2" t="str">
        <f>IFERROR(INDEX(Katalog!$A$3:$A$12,MATCH(cadangan3[[#This Row],[ItemID C]],Katalog!$C$3:$C$12,0)),"-")</f>
        <v>Sepatu Wanita</v>
      </c>
      <c r="Y2" t="str">
        <f>IFERROR(INDEX(Katalog!$B$3:$B$12,MATCH(cadangan3[[#This Row],[ItemID C]],Katalog!$C$3:$C$12,0)),"-")</f>
        <v>Flat Shoes</v>
      </c>
      <c r="Z2">
        <v>2</v>
      </c>
      <c r="AA2">
        <v>3</v>
      </c>
      <c r="AB2" s="36">
        <f>IFERROR(INDEX(Katalog!$D$3:$D$12,MATCH(cadangan3[[#This Row],[ItemID C]],Katalog!$C$3:$C$12,0))*cadangan3[[#This Row],[Qty C]],0)</f>
        <v>500000</v>
      </c>
      <c r="AC2" s="36">
        <f>IFERROR(INDEX(Katalog!$D$3:$D$12,MATCH(cadangan3[[#This Row],[Item C]],Katalog!$B$3:$B$12,0))*cadangan3[[#This Row],[Qty C]],0)</f>
        <v>500000</v>
      </c>
      <c r="AD2" s="36">
        <f>IFERROR(cadangan3[[#This Row],[Harga Asli C]]-(cadangan3[[#This Row],[Harga Asli C]]*cadangan3[[#This Row],[Diskon]]),cadangan3[[#This Row],[Harga Asli C]])</f>
        <v>425000</v>
      </c>
      <c r="AE2" s="36">
        <f>IFERROR(INDEX(Katalog!$F$3:$F$12,MATCH(cadangan3[[#This Row],[ItemID C]],Katalog!$C$3:$C$12,0))*cadangan3[[#This Row],[Qty C]],0)</f>
        <v>200000</v>
      </c>
      <c r="AF2" s="36">
        <f>IFERROR(cadangan3[[#This Row],[Profit C]]-(cadangan3[[#This Row],[Profit C]]*cadangan3[[#This Row],[Diskon]]),cadangan3[[#This Row],[Profit C]])</f>
        <v>170000</v>
      </c>
      <c r="AG2" s="21">
        <f>cadangan3[[#This Row],[Qty A]]+cadangan3[[#This Row],[Qty B]]+cadangan3[[#This Row],[Qty C]]</f>
        <v>6</v>
      </c>
      <c r="AH2" s="35">
        <f>cadangan3[[#This Row],[Harga A + Diskon]]+cadangan3[[#This Row],[Harga + Diskon B]]+cadangan3[[#This Row],[Harga + Diskon C]]</f>
        <v>1955000</v>
      </c>
      <c r="AI2" s="35">
        <f>(cadangan3[[#This Row],[Profit A]]+cadangan3[[#This Row],[Profit B]]+cadangan3[[#This Row],[Profit C]])</f>
        <v>900000</v>
      </c>
      <c r="AJ2" s="35">
        <f>cadangan3[[#This Row],[Provit A + Diskon]]+cadangan3[[#This Row],[Provit B + Diskon]]+cadangan3[[#This Row],[Provit C + Diskon]]</f>
        <v>765000</v>
      </c>
      <c r="AK2" s="23" t="s">
        <v>28</v>
      </c>
      <c r="AL2" s="37">
        <f>IFERROR(INDEX('Kode Diskon'!$D$3:$D$9,MATCH(cadangan3[[#This Row],[Kode diskon]],'Kode Diskon'!$C$3:$C$9,0)),"-")</f>
        <v>0.15</v>
      </c>
      <c r="AM2" s="23" t="s">
        <v>29</v>
      </c>
      <c r="AN2" s="23" t="s">
        <v>14</v>
      </c>
      <c r="AO2" s="23" t="s">
        <v>75</v>
      </c>
      <c r="AP2" s="24">
        <v>45017</v>
      </c>
      <c r="AQ2" s="23" t="str">
        <f>TEXT(cadangan3[[#This Row],[Tanggal terjual]],"dddd")</f>
        <v>Saturday</v>
      </c>
      <c r="AR2" s="9"/>
    </row>
    <row r="3" spans="1:44" x14ac:dyDescent="0.2">
      <c r="A3" s="20">
        <v>2</v>
      </c>
      <c r="B3" s="21" t="str">
        <f>_xlfn.CONCAT("ORD-",INDEX(Helper!$B$2:$B$5,MATCH(cadangan3[[#This Row],[Marketplace]],Helper!$A$2:$A$5,0)),TEXT(cadangan3[[#This Row],[No]],"0000"),"-",TEXT(cadangan3[[#This Row],[Tanggal terjual]],"dd/mm/yy"))</f>
        <v>ORD-TK0002-02/04/23</v>
      </c>
      <c r="C3" t="s">
        <v>59</v>
      </c>
      <c r="D3" t="str">
        <f>IFERROR(INDEX(Katalog!$A$3:$A$12,MATCH(cadangan3[[#This Row],[ItemID A]],Katalog!$C$3:$C$12,0)),"-")</f>
        <v>Pakaian Wanita</v>
      </c>
      <c r="E3" t="str">
        <f>IFERROR(INDEX(Katalog!$B$3:$B$12,MATCH(cadangan3[[#This Row],[ItemID A]],Katalog!$C$3:$C$12,0)),"-")</f>
        <v>Blouse</v>
      </c>
      <c r="F3">
        <v>1</v>
      </c>
      <c r="G3">
        <v>2</v>
      </c>
      <c r="H3" s="36">
        <f>IFERROR(INDEX(Katalog!$D$3:$D$12,MATCH(cadangan3[[#This Row],[ItemID A]],Katalog!$C$3:$C$12,0))*cadangan3[[#This Row],[Qty A]],0)</f>
        <v>150000</v>
      </c>
      <c r="I3" s="36">
        <f>IFERROR(INDEX(Katalog!$D$3:$D$12,MATCH(cadangan3[[#This Row],[Item A]],Katalog!$B$3:$B$12,0))*cadangan3[[#This Row],[Qty A]],0)</f>
        <v>150000</v>
      </c>
      <c r="J3" s="36">
        <f>IFERROR(cadangan3[[#This Row],[Harga Asli A]]-(cadangan3[[#This Row],[Harga Asli A]]*cadangan3[[#This Row],[Diskon]]),cadangan3[[#This Row],[Harga Asli A]])</f>
        <v>135000</v>
      </c>
      <c r="K3" s="36">
        <f>INDEX(Katalog!$F$3:$F$12,MATCH(cadangan3[[#This Row],[ItemID A]],Katalog!$C$3:$C$12,0))*cadangan3[[#This Row],[Qty A]]</f>
        <v>50000</v>
      </c>
      <c r="L3" s="36">
        <f>IFERROR(cadangan3[[#This Row],[Profit A]]-(cadangan3[[#This Row],[Profit A]]*cadangan3[[#This Row],[Diskon]]),K3)</f>
        <v>45000</v>
      </c>
      <c r="M3" t="s">
        <v>63</v>
      </c>
      <c r="N3" t="str">
        <f>IFERROR(INDEX(Katalog!$A$3:$A$12,MATCH(cadangan3[[#This Row],[ItemID B]],Katalog!$C$3:$C$12,0)),"-")</f>
        <v>Pakaian Pria</v>
      </c>
      <c r="O3" t="str">
        <f>IFERROR(INDEX(Katalog!$B$3:$B$12,MATCH(cadangan3[[#This Row],[ItemID B]],Katalog!$C$3:$C$12,0)),"-")</f>
        <v>Jaket Jeans</v>
      </c>
      <c r="P3">
        <v>1</v>
      </c>
      <c r="Q3">
        <v>1</v>
      </c>
      <c r="R3" s="36">
        <f>IFERROR(INDEX(Katalog!$D$3:$D$12,MATCH(cadangan3[[#This Row],[ItemID B]],Katalog!$C$3:$C$12,0))*cadangan3[[#This Row],[Qty B]],0)</f>
        <v>400000</v>
      </c>
      <c r="S3" s="36">
        <f>IFERROR(INDEX(Katalog!$D$3:$D$12,MATCH(cadangan3[[#This Row],[Item B]],Katalog!$B$3:$B$12,0))*cadangan3[[#This Row],[Qty B]],0)</f>
        <v>400000</v>
      </c>
      <c r="T3" s="36">
        <f>IFERROR(cadangan3[[#This Row],[Harga Asli B]]-(cadangan3[[#This Row],[Harga Asli B]]*cadangan3[[#This Row],[Diskon]]),cadangan3[[#This Row],[Harga Asli B]])</f>
        <v>360000</v>
      </c>
      <c r="U3" s="36">
        <f>IFERROR(INDEX(Katalog!$F$3:$F$12,MATCH(cadangan3[[#This Row],[ItemID B]],Katalog!$C$3:$C$12,0))*cadangan3[[#This Row],[Qty B]],0)</f>
        <v>150000</v>
      </c>
      <c r="V3" s="36">
        <f>IFERROR(cadangan3[[#This Row],[Profit B]]-(cadangan3[[#This Row],[Profit B]]*cadangan3[[#This Row],[Diskon]]),U3)</f>
        <v>135000</v>
      </c>
      <c r="W3" t="s">
        <v>66</v>
      </c>
      <c r="X3" t="str">
        <f>IFERROR(INDEX(Katalog!$A$3:$A$12,MATCH(cadangan3[[#This Row],[ItemID C]],Katalog!$C$3:$C$12,0)),"-")</f>
        <v>Sepatu Pria</v>
      </c>
      <c r="Y3" t="str">
        <f>IFERROR(INDEX(Katalog!$B$3:$B$12,MATCH(cadangan3[[#This Row],[ItemID C]],Katalog!$C$3:$C$12,0)),"-")</f>
        <v>Sandal Slip On</v>
      </c>
      <c r="Z3">
        <v>2</v>
      </c>
      <c r="AA3">
        <v>4</v>
      </c>
      <c r="AB3" s="36">
        <f>IFERROR(INDEX(Katalog!$D$3:$D$12,MATCH(cadangan3[[#This Row],[ItemID C]],Katalog!$C$3:$C$12,0))*cadangan3[[#This Row],[Qty C]],0)</f>
        <v>300000</v>
      </c>
      <c r="AC3" s="36">
        <f>IFERROR(INDEX(Katalog!$D$3:$D$12,MATCH(cadangan3[[#This Row],[Item C]],Katalog!$B$3:$B$12,0))*cadangan3[[#This Row],[Qty C]],0)</f>
        <v>300000</v>
      </c>
      <c r="AD3" s="36">
        <f>IFERROR(cadangan3[[#This Row],[Harga Asli C]]-(cadangan3[[#This Row],[Harga Asli C]]*cadangan3[[#This Row],[Diskon]]),cadangan3[[#This Row],[Harga Asli C]])</f>
        <v>270000</v>
      </c>
      <c r="AE3" s="36">
        <f>IFERROR(INDEX(Katalog!$F$3:$F$12,MATCH(cadangan3[[#This Row],[ItemID C]],Katalog!$C$3:$C$12,0))*cadangan3[[#This Row],[Qty C]],0)</f>
        <v>120000</v>
      </c>
      <c r="AF3" s="36">
        <f>IFERROR(cadangan3[[#This Row],[Profit C]]-(cadangan3[[#This Row],[Profit C]]*cadangan3[[#This Row],[Diskon]]),cadangan3[[#This Row],[Profit C]])</f>
        <v>108000</v>
      </c>
      <c r="AG3" s="21">
        <f>cadangan3[[#This Row],[Qty A]]+cadangan3[[#This Row],[Qty B]]+cadangan3[[#This Row],[Qty C]]</f>
        <v>4</v>
      </c>
      <c r="AH3" s="35">
        <f>cadangan3[[#This Row],[Harga A + Diskon]]+cadangan3[[#This Row],[Harga + Diskon B]]+cadangan3[[#This Row],[Harga + Diskon C]]</f>
        <v>765000</v>
      </c>
      <c r="AI3" s="35">
        <f>(cadangan3[[#This Row],[Profit A]]+cadangan3[[#This Row],[Profit B]]+cadangan3[[#This Row],[Profit C]])</f>
        <v>320000</v>
      </c>
      <c r="AJ3" s="35">
        <f>cadangan3[[#This Row],[Provit A + Diskon]]+cadangan3[[#This Row],[Provit B + Diskon]]+cadangan3[[#This Row],[Provit C + Diskon]]</f>
        <v>288000</v>
      </c>
      <c r="AK3" s="23" t="s">
        <v>30</v>
      </c>
      <c r="AL3" s="37">
        <f>IFERROR(INDEX('Kode Diskon'!$D$3:$D$9,MATCH(cadangan3[[#This Row],[Kode diskon]],'Kode Diskon'!$C$3:$C$9,0)),"-")</f>
        <v>0.1</v>
      </c>
      <c r="AM3" s="23" t="s">
        <v>29</v>
      </c>
      <c r="AN3" s="23" t="s">
        <v>10</v>
      </c>
      <c r="AO3" s="23" t="s">
        <v>75</v>
      </c>
      <c r="AP3" s="24">
        <v>45018</v>
      </c>
      <c r="AQ3" s="23" t="str">
        <f>TEXT(cadangan3[[#This Row],[Tanggal terjual]],"dddd")</f>
        <v>Sunday</v>
      </c>
    </row>
    <row r="4" spans="1:44" x14ac:dyDescent="0.2">
      <c r="A4" s="20">
        <v>3</v>
      </c>
      <c r="B4" s="21" t="str">
        <f>_xlfn.CONCAT("ORD-",INDEX(Helper!$B$2:$B$5,MATCH(cadangan3[[#This Row],[Marketplace]],Helper!$A$2:$A$5,0)),TEXT(cadangan3[[#This Row],[No]],"0000"),"-",TEXT(cadangan3[[#This Row],[Tanggal terjual]],"dd/mm/yy"))</f>
        <v>ORD-TK0003-03/04/23</v>
      </c>
      <c r="C4" t="s">
        <v>60</v>
      </c>
      <c r="D4" t="str">
        <f>IFERROR(INDEX(Katalog!$A$3:$A$12,MATCH(cadangan3[[#This Row],[ItemID A]],Katalog!$C$3:$C$12,0)),"-")</f>
        <v>Pakaian Wanita</v>
      </c>
      <c r="E4" t="str">
        <f>IFERROR(INDEX(Katalog!$B$3:$B$12,MATCH(cadangan3[[#This Row],[ItemID A]],Katalog!$C$3:$C$12,0)),"-")</f>
        <v>Kaftan</v>
      </c>
      <c r="F4">
        <v>2</v>
      </c>
      <c r="G4">
        <v>3</v>
      </c>
      <c r="H4" s="36">
        <f>IFERROR(INDEX(Katalog!$D$3:$D$12,MATCH(cadangan3[[#This Row],[ItemID A]],Katalog!$C$3:$C$12,0))*cadangan3[[#This Row],[Qty A]],0)</f>
        <v>500000</v>
      </c>
      <c r="I4" s="36">
        <f>IFERROR(INDEX(Katalog!$D$3:$D$12,MATCH(cadangan3[[#This Row],[Item A]],Katalog!$B$3:$B$12,0))*cadangan3[[#This Row],[Qty A]],0)</f>
        <v>500000</v>
      </c>
      <c r="J4" s="36">
        <f>IFERROR(cadangan3[[#This Row],[Harga Asli A]]-(cadangan3[[#This Row],[Harga Asli A]]*cadangan3[[#This Row],[Diskon]]),cadangan3[[#This Row],[Harga Asli A]])</f>
        <v>450000</v>
      </c>
      <c r="K4" s="36">
        <f>INDEX(Katalog!$F$3:$F$12,MATCH(cadangan3[[#This Row],[ItemID A]],Katalog!$C$3:$C$12,0))*cadangan3[[#This Row],[Qty A]]</f>
        <v>200000</v>
      </c>
      <c r="L4" s="36">
        <f>IFERROR(cadangan3[[#This Row],[Profit A]]-(cadangan3[[#This Row],[Profit A]]*cadangan3[[#This Row],[Diskon]]),K4)</f>
        <v>180000</v>
      </c>
      <c r="M4" t="s">
        <v>67</v>
      </c>
      <c r="N4" t="str">
        <f>IFERROR(INDEX(Katalog!$A$3:$A$12,MATCH(cadangan3[[#This Row],[ItemID B]],Katalog!$C$3:$C$12,0)),"-")</f>
        <v>Sepatu Wanita</v>
      </c>
      <c r="O4" t="str">
        <f>IFERROR(INDEX(Katalog!$B$3:$B$12,MATCH(cadangan3[[#This Row],[ItemID B]],Katalog!$C$3:$C$12,0)),"-")</f>
        <v>Flat Shoes</v>
      </c>
      <c r="P4">
        <v>1</v>
      </c>
      <c r="Q4">
        <v>5</v>
      </c>
      <c r="R4" s="36">
        <f>IFERROR(INDEX(Katalog!$D$3:$D$12,MATCH(cadangan3[[#This Row],[ItemID B]],Katalog!$C$3:$C$12,0))*cadangan3[[#This Row],[Qty B]],0)</f>
        <v>250000</v>
      </c>
      <c r="S4" s="36">
        <f>IFERROR(INDEX(Katalog!$D$3:$D$12,MATCH(cadangan3[[#This Row],[Item B]],Katalog!$B$3:$B$12,0))*cadangan3[[#This Row],[Qty B]],0)</f>
        <v>250000</v>
      </c>
      <c r="T4" s="36">
        <f>IFERROR(cadangan3[[#This Row],[Harga Asli B]]-(cadangan3[[#This Row],[Harga Asli B]]*cadangan3[[#This Row],[Diskon]]),cadangan3[[#This Row],[Harga Asli B]])</f>
        <v>225000</v>
      </c>
      <c r="U4" s="36">
        <f>IFERROR(INDEX(Katalog!$F$3:$F$12,MATCH(cadangan3[[#This Row],[ItemID B]],Katalog!$C$3:$C$12,0))*cadangan3[[#This Row],[Qty B]],0)</f>
        <v>100000</v>
      </c>
      <c r="V4" s="36">
        <f>IFERROR(cadangan3[[#This Row],[Profit B]]-(cadangan3[[#This Row],[Profit B]]*cadangan3[[#This Row],[Diskon]]),U4)</f>
        <v>90000</v>
      </c>
      <c r="X4" t="str">
        <f>IFERROR(INDEX(Katalog!$A$3:$A$12,MATCH(cadangan3[[#This Row],[ItemID C]],Katalog!$C$3:$C$12,0)),"-")</f>
        <v>-</v>
      </c>
      <c r="Y4" t="str">
        <f>IFERROR(INDEX(Katalog!$B$3:$B$12,MATCH(cadangan3[[#This Row],[ItemID C]],Katalog!$C$3:$C$12,0)),"-")</f>
        <v>-</v>
      </c>
      <c r="AB4" s="36">
        <f>IFERROR(INDEX(Katalog!$D$3:$D$12,MATCH(cadangan3[[#This Row],[ItemID C]],Katalog!$C$3:$C$12,0))*cadangan3[[#This Row],[Qty C]],0)</f>
        <v>0</v>
      </c>
      <c r="AC4" s="36">
        <f>IFERROR(INDEX(Katalog!$D$3:$D$12,MATCH(cadangan3[[#This Row],[Item C]],Katalog!$B$3:$B$12,0))*cadangan3[[#This Row],[Qty C]],0)</f>
        <v>0</v>
      </c>
      <c r="AD4" s="36">
        <f>IFERROR(cadangan3[[#This Row],[Harga Asli C]]-(cadangan3[[#This Row],[Harga Asli C]]*cadangan3[[#This Row],[Diskon]]),cadangan3[[#This Row],[Harga Asli C]])</f>
        <v>0</v>
      </c>
      <c r="AE4" s="36">
        <f>IFERROR(INDEX(Katalog!$F$3:$F$12,MATCH(cadangan3[[#This Row],[ItemID C]],Katalog!$C$3:$C$12,0))*cadangan3[[#This Row],[Qty C]],0)</f>
        <v>0</v>
      </c>
      <c r="AF4" s="36">
        <f>IFERROR(cadangan3[[#This Row],[Profit C]]-(cadangan3[[#This Row],[Profit C]]*cadangan3[[#This Row],[Diskon]]),cadangan3[[#This Row],[Profit C]])</f>
        <v>0</v>
      </c>
      <c r="AG4" s="21">
        <f>cadangan3[[#This Row],[Qty A]]+cadangan3[[#This Row],[Qty B]]+cadangan3[[#This Row],[Qty C]]</f>
        <v>3</v>
      </c>
      <c r="AH4" s="35">
        <f>cadangan3[[#This Row],[Harga A + Diskon]]+cadangan3[[#This Row],[Harga + Diskon B]]+cadangan3[[#This Row],[Harga + Diskon C]]</f>
        <v>675000</v>
      </c>
      <c r="AI4" s="35">
        <f>(cadangan3[[#This Row],[Profit A]]+cadangan3[[#This Row],[Profit B]]+cadangan3[[#This Row],[Profit C]])</f>
        <v>300000</v>
      </c>
      <c r="AJ4" s="35">
        <f>cadangan3[[#This Row],[Provit A + Diskon]]+cadangan3[[#This Row],[Provit B + Diskon]]+cadangan3[[#This Row],[Provit C + Diskon]]</f>
        <v>270000</v>
      </c>
      <c r="AK4" s="23" t="s">
        <v>30</v>
      </c>
      <c r="AL4" s="37">
        <f>IFERROR(INDEX('Kode Diskon'!$D$3:$D$9,MATCH(cadangan3[[#This Row],[Kode diskon]],'Kode Diskon'!$C$3:$C$9,0)),"-")</f>
        <v>0.1</v>
      </c>
      <c r="AM4" s="23" t="s">
        <v>29</v>
      </c>
      <c r="AN4" s="23" t="s">
        <v>10</v>
      </c>
      <c r="AO4" s="23" t="s">
        <v>76</v>
      </c>
      <c r="AP4" s="24">
        <v>45019</v>
      </c>
      <c r="AQ4" s="23" t="str">
        <f>TEXT(cadangan3[[#This Row],[Tanggal terjual]],"dddd")</f>
        <v>Monday</v>
      </c>
    </row>
    <row r="5" spans="1:44" x14ac:dyDescent="0.2">
      <c r="A5" s="20">
        <v>4</v>
      </c>
      <c r="B5" s="21" t="str">
        <f>_xlfn.CONCAT("ORD-",INDEX(Helper!$B$2:$B$5,MATCH(cadangan3[[#This Row],[Marketplace]],Helper!$A$2:$A$5,0)),TEXT(cadangan3[[#This Row],[No]],"0000"),"-",TEXT(cadangan3[[#This Row],[Tanggal terjual]],"dd/mm/yy"))</f>
        <v>ORD-SP0004-17/04/23</v>
      </c>
      <c r="C5" t="s">
        <v>61</v>
      </c>
      <c r="D5" t="str">
        <f>IFERROR(INDEX(Katalog!$A$3:$A$12,MATCH(cadangan3[[#This Row],[ItemID A]],Katalog!$C$3:$C$12,0)),"-")</f>
        <v>Pakaian Pria</v>
      </c>
      <c r="E5" t="str">
        <f>IFERROR(INDEX(Katalog!$B$3:$B$12,MATCH(cadangan3[[#This Row],[ItemID A]],Katalog!$C$3:$C$12,0)),"-")</f>
        <v>Kaos Polo</v>
      </c>
      <c r="F5">
        <v>1</v>
      </c>
      <c r="G5">
        <v>1</v>
      </c>
      <c r="H5" s="36">
        <f>IFERROR(INDEX(Katalog!$D$3:$D$12,MATCH(cadangan3[[#This Row],[ItemID A]],Katalog!$C$3:$C$12,0))*cadangan3[[#This Row],[Qty A]],0)</f>
        <v>200000</v>
      </c>
      <c r="I5" s="36">
        <f>IFERROR(INDEX(Katalog!$D$3:$D$12,MATCH(cadangan3[[#This Row],[Item A]],Katalog!$B$3:$B$12,0))*cadangan3[[#This Row],[Qty A]],0)</f>
        <v>200000</v>
      </c>
      <c r="J5" s="36">
        <f>IFERROR(cadangan3[[#This Row],[Harga Asli A]]-(cadangan3[[#This Row],[Harga Asli A]]*cadangan3[[#This Row],[Diskon]]),cadangan3[[#This Row],[Harga Asli A]])</f>
        <v>160000</v>
      </c>
      <c r="K5" s="36">
        <f>INDEX(Katalog!$F$3:$F$12,MATCH(cadangan3[[#This Row],[ItemID A]],Katalog!$C$3:$C$12,0))*cadangan3[[#This Row],[Qty A]]</f>
        <v>80000</v>
      </c>
      <c r="L5" s="36">
        <f>IFERROR(cadangan3[[#This Row],[Profit A]]-(cadangan3[[#This Row],[Profit A]]*cadangan3[[#This Row],[Diskon]]),K5)</f>
        <v>64000</v>
      </c>
      <c r="M5" t="s">
        <v>62</v>
      </c>
      <c r="N5" t="str">
        <f>IFERROR(INDEX(Katalog!$A$3:$A$12,MATCH(cadangan3[[#This Row],[ItemID B]],Katalog!$C$3:$C$12,0)),"-")</f>
        <v>Pakaian Pria</v>
      </c>
      <c r="O5" t="str">
        <f>IFERROR(INDEX(Katalog!$B$3:$B$12,MATCH(cadangan3[[#This Row],[ItemID B]],Katalog!$C$3:$C$12,0)),"-")</f>
        <v>Celana Pendek</v>
      </c>
      <c r="P5">
        <v>1</v>
      </c>
      <c r="Q5">
        <v>3</v>
      </c>
      <c r="R5" s="36">
        <f>IFERROR(INDEX(Katalog!$D$3:$D$12,MATCH(cadangan3[[#This Row],[ItemID B]],Katalog!$C$3:$C$12,0))*cadangan3[[#This Row],[Qty B]],0)</f>
        <v>180000</v>
      </c>
      <c r="S5" s="36">
        <f>IFERROR(INDEX(Katalog!$D$3:$D$12,MATCH(cadangan3[[#This Row],[Item B]],Katalog!$B$3:$B$12,0))*cadangan3[[#This Row],[Qty B]],0)</f>
        <v>180000</v>
      </c>
      <c r="T5" s="36">
        <f>IFERROR(cadangan3[[#This Row],[Harga Asli B]]-(cadangan3[[#This Row],[Harga Asli B]]*cadangan3[[#This Row],[Diskon]]),cadangan3[[#This Row],[Harga Asli B]])</f>
        <v>144000</v>
      </c>
      <c r="U5" s="36">
        <f>IFERROR(INDEX(Katalog!$F$3:$F$12,MATCH(cadangan3[[#This Row],[ItemID B]],Katalog!$C$3:$C$12,0))*cadangan3[[#This Row],[Qty B]],0)</f>
        <v>70000</v>
      </c>
      <c r="V5" s="36">
        <f>IFERROR(cadangan3[[#This Row],[Profit B]]-(cadangan3[[#This Row],[Profit B]]*cadangan3[[#This Row],[Diskon]]),U5)</f>
        <v>56000</v>
      </c>
      <c r="W5" t="s">
        <v>64</v>
      </c>
      <c r="X5" t="str">
        <f>IFERROR(INDEX(Katalog!$A$3:$A$12,MATCH(cadangan3[[#This Row],[ItemID C]],Katalog!$C$3:$C$12,0)),"-")</f>
        <v>Pakaian Unisex</v>
      </c>
      <c r="Y5" t="str">
        <f>IFERROR(INDEX(Katalog!$B$3:$B$12,MATCH(cadangan3[[#This Row],[ItemID C]],Katalog!$C$3:$C$12,0)),"-")</f>
        <v>Jaket Hoodie</v>
      </c>
      <c r="Z5">
        <v>3</v>
      </c>
      <c r="AA5">
        <v>2</v>
      </c>
      <c r="AB5" s="36">
        <f>IFERROR(INDEX(Katalog!$D$3:$D$12,MATCH(cadangan3[[#This Row],[ItemID C]],Katalog!$C$3:$C$12,0))*cadangan3[[#This Row],[Qty C]],0)</f>
        <v>1050000</v>
      </c>
      <c r="AC5" s="36">
        <f>IFERROR(INDEX(Katalog!$D$3:$D$12,MATCH(cadangan3[[#This Row],[Item C]],Katalog!$B$3:$B$12,0))*cadangan3[[#This Row],[Qty C]],0)</f>
        <v>1050000</v>
      </c>
      <c r="AD5" s="36">
        <f>IFERROR(cadangan3[[#This Row],[Harga Asli C]]-(cadangan3[[#This Row],[Harga Asli C]]*cadangan3[[#This Row],[Diskon]]),cadangan3[[#This Row],[Harga Asli C]])</f>
        <v>840000</v>
      </c>
      <c r="AE5" s="36">
        <f>IFERROR(INDEX(Katalog!$F$3:$F$12,MATCH(cadangan3[[#This Row],[ItemID C]],Katalog!$C$3:$C$12,0))*cadangan3[[#This Row],[Qty C]],0)</f>
        <v>390000</v>
      </c>
      <c r="AF5" s="36">
        <f>IFERROR(cadangan3[[#This Row],[Profit C]]-(cadangan3[[#This Row],[Profit C]]*cadangan3[[#This Row],[Diskon]]),cadangan3[[#This Row],[Profit C]])</f>
        <v>312000</v>
      </c>
      <c r="AG5" s="21">
        <f>cadangan3[[#This Row],[Qty A]]+cadangan3[[#This Row],[Qty B]]+cadangan3[[#This Row],[Qty C]]</f>
        <v>5</v>
      </c>
      <c r="AH5" s="35">
        <f>cadangan3[[#This Row],[Harga A + Diskon]]+cadangan3[[#This Row],[Harga + Diskon B]]+cadangan3[[#This Row],[Harga + Diskon C]]</f>
        <v>1144000</v>
      </c>
      <c r="AI5" s="35">
        <f>(cadangan3[[#This Row],[Profit A]]+cadangan3[[#This Row],[Profit B]]+cadangan3[[#This Row],[Profit C]])</f>
        <v>540000</v>
      </c>
      <c r="AJ5" s="35">
        <f>cadangan3[[#This Row],[Provit A + Diskon]]+cadangan3[[#This Row],[Provit B + Diskon]]+cadangan3[[#This Row],[Provit C + Diskon]]</f>
        <v>432000</v>
      </c>
      <c r="AK5" s="23" t="s">
        <v>8</v>
      </c>
      <c r="AL5" s="37">
        <f>IFERROR(INDEX('Kode Diskon'!$D$3:$D$9,MATCH(cadangan3[[#This Row],[Kode diskon]],'Kode Diskon'!$C$3:$C$9,0)),"-")</f>
        <v>0.2</v>
      </c>
      <c r="AM5" s="23" t="s">
        <v>9</v>
      </c>
      <c r="AN5" s="23" t="s">
        <v>7</v>
      </c>
      <c r="AO5" s="23" t="s">
        <v>77</v>
      </c>
      <c r="AP5" s="24">
        <v>45033</v>
      </c>
      <c r="AQ5" s="23" t="str">
        <f>TEXT(cadangan3[[#This Row],[Tanggal terjual]],"dddd")</f>
        <v>Monday</v>
      </c>
    </row>
    <row r="6" spans="1:44" x14ac:dyDescent="0.2">
      <c r="A6" s="20">
        <v>5</v>
      </c>
      <c r="B6" s="21" t="str">
        <f>_xlfn.CONCAT("ORD-",INDEX(Helper!$B$2:$B$5,MATCH(cadangan3[[#This Row],[Marketplace]],Helper!$A$2:$A$5,0)),TEXT(cadangan3[[#This Row],[No]],"0000"),"-",TEXT(cadangan3[[#This Row],[Tanggal terjual]],"dd/mm/yy"))</f>
        <v>ORD-TK0005-24/04/23</v>
      </c>
      <c r="C6" t="s">
        <v>62</v>
      </c>
      <c r="D6" t="str">
        <f>IFERROR(INDEX(Katalog!$A$3:$A$12,MATCH(cadangan3[[#This Row],[ItemID A]],Katalog!$C$3:$C$12,0)),"-")</f>
        <v>Pakaian Pria</v>
      </c>
      <c r="E6" t="str">
        <f>IFERROR(INDEX(Katalog!$B$3:$B$12,MATCH(cadangan3[[#This Row],[ItemID A]],Katalog!$C$3:$C$12,0)),"-")</f>
        <v>Celana Pendek</v>
      </c>
      <c r="F6">
        <v>2</v>
      </c>
      <c r="G6">
        <v>3</v>
      </c>
      <c r="H6" s="36">
        <f>IFERROR(INDEX(Katalog!$D$3:$D$12,MATCH(cadangan3[[#This Row],[ItemID A]],Katalog!$C$3:$C$12,0))*cadangan3[[#This Row],[Qty A]],0)</f>
        <v>360000</v>
      </c>
      <c r="I6" s="36">
        <f>IFERROR(INDEX(Katalog!$D$3:$D$12,MATCH(cadangan3[[#This Row],[Item A]],Katalog!$B$3:$B$12,0))*cadangan3[[#This Row],[Qty A]],0)</f>
        <v>360000</v>
      </c>
      <c r="J6" s="36">
        <f>IFERROR(cadangan3[[#This Row],[Harga Asli A]]-(cadangan3[[#This Row],[Harga Asli A]]*cadangan3[[#This Row],[Diskon]]),cadangan3[[#This Row],[Harga Asli A]])</f>
        <v>324000</v>
      </c>
      <c r="K6" s="36">
        <f>INDEX(Katalog!$F$3:$F$12,MATCH(cadangan3[[#This Row],[ItemID A]],Katalog!$C$3:$C$12,0))*cadangan3[[#This Row],[Qty A]]</f>
        <v>140000</v>
      </c>
      <c r="L6" s="36">
        <f>IFERROR(cadangan3[[#This Row],[Profit A]]-(cadangan3[[#This Row],[Profit A]]*cadangan3[[#This Row],[Diskon]]),K6)</f>
        <v>126000</v>
      </c>
      <c r="M6" t="s">
        <v>62</v>
      </c>
      <c r="N6" t="str">
        <f>IFERROR(INDEX(Katalog!$A$3:$A$12,MATCH(cadangan3[[#This Row],[ItemID B]],Katalog!$C$3:$C$12,0)),"-")</f>
        <v>Pakaian Pria</v>
      </c>
      <c r="O6" t="str">
        <f>IFERROR(INDEX(Katalog!$B$3:$B$12,MATCH(cadangan3[[#This Row],[ItemID B]],Katalog!$C$3:$C$12,0)),"-")</f>
        <v>Celana Pendek</v>
      </c>
      <c r="P6">
        <v>1</v>
      </c>
      <c r="Q6">
        <v>2</v>
      </c>
      <c r="R6" s="36">
        <f>IFERROR(INDEX(Katalog!$D$3:$D$12,MATCH(cadangan3[[#This Row],[ItemID B]],Katalog!$C$3:$C$12,0))*cadangan3[[#This Row],[Qty B]],0)</f>
        <v>180000</v>
      </c>
      <c r="S6" s="36">
        <f>IFERROR(INDEX(Katalog!$D$3:$D$12,MATCH(cadangan3[[#This Row],[Item B]],Katalog!$B$3:$B$12,0))*cadangan3[[#This Row],[Qty B]],0)</f>
        <v>180000</v>
      </c>
      <c r="T6" s="36">
        <f>IFERROR(cadangan3[[#This Row],[Harga Asli B]]-(cadangan3[[#This Row],[Harga Asli B]]*cadangan3[[#This Row],[Diskon]]),cadangan3[[#This Row],[Harga Asli B]])</f>
        <v>162000</v>
      </c>
      <c r="U6" s="36">
        <f>IFERROR(INDEX(Katalog!$F$3:$F$12,MATCH(cadangan3[[#This Row],[ItemID B]],Katalog!$C$3:$C$12,0))*cadangan3[[#This Row],[Qty B]],0)</f>
        <v>70000</v>
      </c>
      <c r="V6" s="36">
        <f>IFERROR(cadangan3[[#This Row],[Profit B]]-(cadangan3[[#This Row],[Profit B]]*cadangan3[[#This Row],[Diskon]]),U6)</f>
        <v>63000</v>
      </c>
      <c r="X6" t="str">
        <f>IFERROR(INDEX(Katalog!$A$3:$A$12,MATCH(cadangan3[[#This Row],[ItemID C]],Katalog!$C$3:$C$12,0)),"-")</f>
        <v>-</v>
      </c>
      <c r="Y6" t="str">
        <f>IFERROR(INDEX(Katalog!$B$3:$B$12,MATCH(cadangan3[[#This Row],[ItemID C]],Katalog!$C$3:$C$12,0)),"-")</f>
        <v>-</v>
      </c>
      <c r="AB6" s="36">
        <f>IFERROR(INDEX(Katalog!$D$3:$D$12,MATCH(cadangan3[[#This Row],[ItemID C]],Katalog!$C$3:$C$12,0))*cadangan3[[#This Row],[Qty C]],0)</f>
        <v>0</v>
      </c>
      <c r="AC6" s="36">
        <f>IFERROR(INDEX(Katalog!$D$3:$D$12,MATCH(cadangan3[[#This Row],[Item C]],Katalog!$B$3:$B$12,0))*cadangan3[[#This Row],[Qty C]],0)</f>
        <v>0</v>
      </c>
      <c r="AD6" s="36">
        <f>IFERROR(cadangan3[[#This Row],[Harga Asli C]]-(cadangan3[[#This Row],[Harga Asli C]]*cadangan3[[#This Row],[Diskon]]),cadangan3[[#This Row],[Harga Asli C]])</f>
        <v>0</v>
      </c>
      <c r="AE6" s="36">
        <f>IFERROR(INDEX(Katalog!$F$3:$F$12,MATCH(cadangan3[[#This Row],[ItemID C]],Katalog!$C$3:$C$12,0))*cadangan3[[#This Row],[Qty C]],0)</f>
        <v>0</v>
      </c>
      <c r="AF6" s="36">
        <f>IFERROR(cadangan3[[#This Row],[Profit C]]-(cadangan3[[#This Row],[Profit C]]*cadangan3[[#This Row],[Diskon]]),cadangan3[[#This Row],[Profit C]])</f>
        <v>0</v>
      </c>
      <c r="AG6" s="21">
        <f>cadangan3[[#This Row],[Qty A]]+cadangan3[[#This Row],[Qty B]]+cadangan3[[#This Row],[Qty C]]</f>
        <v>3</v>
      </c>
      <c r="AH6" s="35">
        <f>cadangan3[[#This Row],[Harga A + Diskon]]+cadangan3[[#This Row],[Harga + Diskon B]]+cadangan3[[#This Row],[Harga + Diskon C]]</f>
        <v>486000</v>
      </c>
      <c r="AI6" s="35">
        <f>(cadangan3[[#This Row],[Profit A]]+cadangan3[[#This Row],[Profit B]]+cadangan3[[#This Row],[Profit C]])</f>
        <v>210000</v>
      </c>
      <c r="AJ6" s="35">
        <f>cadangan3[[#This Row],[Provit A + Diskon]]+cadangan3[[#This Row],[Provit B + Diskon]]+cadangan3[[#This Row],[Provit C + Diskon]]</f>
        <v>189000</v>
      </c>
      <c r="AK6" s="23" t="s">
        <v>31</v>
      </c>
      <c r="AL6" s="37">
        <f>IFERROR(INDEX('Kode Diskon'!$D$3:$D$9,MATCH(cadangan3[[#This Row],[Kode diskon]],'Kode Diskon'!$C$3:$C$9,0)),"-")</f>
        <v>0.1</v>
      </c>
      <c r="AM6" s="23" t="s">
        <v>9</v>
      </c>
      <c r="AN6" s="23" t="s">
        <v>10</v>
      </c>
      <c r="AO6" s="23" t="s">
        <v>78</v>
      </c>
      <c r="AP6" s="24">
        <v>45040</v>
      </c>
      <c r="AQ6" s="23" t="str">
        <f>TEXT(cadangan3[[#This Row],[Tanggal terjual]],"dddd")</f>
        <v>Monday</v>
      </c>
    </row>
    <row r="7" spans="1:44" x14ac:dyDescent="0.2">
      <c r="A7" s="20">
        <v>6</v>
      </c>
      <c r="B7" s="21" t="str">
        <f>_xlfn.CONCAT("ORD-",INDEX(Helper!$B$2:$B$5,MATCH(cadangan3[[#This Row],[Marketplace]],Helper!$A$2:$A$5,0)),TEXT(cadangan3[[#This Row],[No]],"0000"),"-",TEXT(cadangan3[[#This Row],[Tanggal terjual]],"dd/mm/yy"))</f>
        <v>ORD-TK0006-20/04/23</v>
      </c>
      <c r="C7" t="s">
        <v>63</v>
      </c>
      <c r="D7" t="str">
        <f>IFERROR(INDEX(Katalog!$A$3:$A$12,MATCH(cadangan3[[#This Row],[ItemID A]],Katalog!$C$3:$C$12,0)),"-")</f>
        <v>Pakaian Pria</v>
      </c>
      <c r="E7" t="str">
        <f>IFERROR(INDEX(Katalog!$B$3:$B$12,MATCH(cadangan3[[#This Row],[ItemID A]],Katalog!$C$3:$C$12,0)),"-")</f>
        <v>Jaket Jeans</v>
      </c>
      <c r="F7" s="9">
        <v>2</v>
      </c>
      <c r="G7">
        <v>4</v>
      </c>
      <c r="H7" s="36">
        <f>IFERROR(INDEX(Katalog!$D$3:$D$12,MATCH(cadangan3[[#This Row],[ItemID A]],Katalog!$C$3:$C$12,0))*cadangan3[[#This Row],[Qty A]],0)</f>
        <v>800000</v>
      </c>
      <c r="I7" s="36">
        <f>IFERROR(INDEX(Katalog!$D$3:$D$12,MATCH(cadangan3[[#This Row],[Item A]],Katalog!$B$3:$B$12,0))*cadangan3[[#This Row],[Qty A]],0)</f>
        <v>800000</v>
      </c>
      <c r="J7" s="36">
        <f>IFERROR(cadangan3[[#This Row],[Harga Asli A]]-(cadangan3[[#This Row],[Harga Asli A]]*cadangan3[[#This Row],[Diskon]]),cadangan3[[#This Row],[Harga Asli A]])</f>
        <v>720000</v>
      </c>
      <c r="K7" s="36">
        <f>INDEX(Katalog!$F$3:$F$12,MATCH(cadangan3[[#This Row],[ItemID A]],Katalog!$C$3:$C$12,0))*cadangan3[[#This Row],[Qty A]]</f>
        <v>300000</v>
      </c>
      <c r="L7" s="36">
        <f>IFERROR(cadangan3[[#This Row],[Profit A]]-(cadangan3[[#This Row],[Profit A]]*cadangan3[[#This Row],[Diskon]]),K7)</f>
        <v>270000</v>
      </c>
      <c r="M7" t="s">
        <v>62</v>
      </c>
      <c r="N7" t="str">
        <f>IFERROR(INDEX(Katalog!$A$3:$A$12,MATCH(cadangan3[[#This Row],[ItemID B]],Katalog!$C$3:$C$12,0)),"-")</f>
        <v>Pakaian Pria</v>
      </c>
      <c r="O7" t="str">
        <f>IFERROR(INDEX(Katalog!$B$3:$B$12,MATCH(cadangan3[[#This Row],[ItemID B]],Katalog!$C$3:$C$12,0)),"-")</f>
        <v>Celana Pendek</v>
      </c>
      <c r="P7">
        <v>2</v>
      </c>
      <c r="Q7">
        <v>3</v>
      </c>
      <c r="R7" s="36">
        <f>IFERROR(INDEX(Katalog!$D$3:$D$12,MATCH(cadangan3[[#This Row],[ItemID B]],Katalog!$C$3:$C$12,0))*cadangan3[[#This Row],[Qty B]],0)</f>
        <v>360000</v>
      </c>
      <c r="S7" s="36">
        <f>IFERROR(INDEX(Katalog!$D$3:$D$12,MATCH(cadangan3[[#This Row],[Item B]],Katalog!$B$3:$B$12,0))*cadangan3[[#This Row],[Qty B]],0)</f>
        <v>360000</v>
      </c>
      <c r="T7" s="36">
        <f>IFERROR(cadangan3[[#This Row],[Harga Asli B]]-(cadangan3[[#This Row],[Harga Asli B]]*cadangan3[[#This Row],[Diskon]]),cadangan3[[#This Row],[Harga Asli B]])</f>
        <v>324000</v>
      </c>
      <c r="U7" s="36">
        <f>IFERROR(INDEX(Katalog!$F$3:$F$12,MATCH(cadangan3[[#This Row],[ItemID B]],Katalog!$C$3:$C$12,0))*cadangan3[[#This Row],[Qty B]],0)</f>
        <v>140000</v>
      </c>
      <c r="V7" s="36">
        <f>IFERROR(cadangan3[[#This Row],[Profit B]]-(cadangan3[[#This Row],[Profit B]]*cadangan3[[#This Row],[Diskon]]),U7)</f>
        <v>126000</v>
      </c>
      <c r="W7" t="s">
        <v>64</v>
      </c>
      <c r="X7" t="str">
        <f>IFERROR(INDEX(Katalog!$A$3:$A$12,MATCH(cadangan3[[#This Row],[ItemID C]],Katalog!$C$3:$C$12,0)),"-")</f>
        <v>Pakaian Unisex</v>
      </c>
      <c r="Y7" t="str">
        <f>IFERROR(INDEX(Katalog!$B$3:$B$12,MATCH(cadangan3[[#This Row],[ItemID C]],Katalog!$C$3:$C$12,0)),"-")</f>
        <v>Jaket Hoodie</v>
      </c>
      <c r="Z7">
        <v>1</v>
      </c>
      <c r="AA7">
        <v>5</v>
      </c>
      <c r="AB7" s="36">
        <f>IFERROR(INDEX(Katalog!$D$3:$D$12,MATCH(cadangan3[[#This Row],[ItemID C]],Katalog!$C$3:$C$12,0))*cadangan3[[#This Row],[Qty C]],0)</f>
        <v>350000</v>
      </c>
      <c r="AC7" s="36">
        <f>IFERROR(INDEX(Katalog!$D$3:$D$12,MATCH(cadangan3[[#This Row],[Item C]],Katalog!$B$3:$B$12,0))*cadangan3[[#This Row],[Qty C]],0)</f>
        <v>350000</v>
      </c>
      <c r="AD7" s="36">
        <f>IFERROR(cadangan3[[#This Row],[Harga Asli C]]-(cadangan3[[#This Row],[Harga Asli C]]*cadangan3[[#This Row],[Diskon]]),cadangan3[[#This Row],[Harga Asli C]])</f>
        <v>315000</v>
      </c>
      <c r="AE7" s="36">
        <f>IFERROR(INDEX(Katalog!$F$3:$F$12,MATCH(cadangan3[[#This Row],[ItemID C]],Katalog!$C$3:$C$12,0))*cadangan3[[#This Row],[Qty C]],0)</f>
        <v>130000</v>
      </c>
      <c r="AF7" s="36">
        <f>IFERROR(cadangan3[[#This Row],[Profit C]]-(cadangan3[[#This Row],[Profit C]]*cadangan3[[#This Row],[Diskon]]),cadangan3[[#This Row],[Profit C]])</f>
        <v>117000</v>
      </c>
      <c r="AG7" s="21">
        <f>cadangan3[[#This Row],[Qty A]]+cadangan3[[#This Row],[Qty B]]+cadangan3[[#This Row],[Qty C]]</f>
        <v>5</v>
      </c>
      <c r="AH7" s="35">
        <f>cadangan3[[#This Row],[Harga A + Diskon]]+cadangan3[[#This Row],[Harga + Diskon B]]+cadangan3[[#This Row],[Harga + Diskon C]]</f>
        <v>1359000</v>
      </c>
      <c r="AI7" s="35">
        <f>(cadangan3[[#This Row],[Profit A]]+cadangan3[[#This Row],[Profit B]]+cadangan3[[#This Row],[Profit C]])</f>
        <v>570000</v>
      </c>
      <c r="AJ7" s="35">
        <f>cadangan3[[#This Row],[Provit A + Diskon]]+cadangan3[[#This Row],[Provit B + Diskon]]+cadangan3[[#This Row],[Provit C + Diskon]]</f>
        <v>513000</v>
      </c>
      <c r="AK7" s="23" t="s">
        <v>31</v>
      </c>
      <c r="AL7" s="37">
        <f>IFERROR(INDEX('Kode Diskon'!$D$3:$D$9,MATCH(cadangan3[[#This Row],[Kode diskon]],'Kode Diskon'!$C$3:$C$9,0)),"-")</f>
        <v>0.1</v>
      </c>
      <c r="AM7" s="23" t="s">
        <v>9</v>
      </c>
      <c r="AN7" s="23" t="s">
        <v>10</v>
      </c>
      <c r="AO7" s="23" t="s">
        <v>80</v>
      </c>
      <c r="AP7" s="24">
        <v>45036</v>
      </c>
      <c r="AQ7" s="23" t="str">
        <f>TEXT(cadangan3[[#This Row],[Tanggal terjual]],"dddd")</f>
        <v>Thursday</v>
      </c>
    </row>
    <row r="8" spans="1:44" x14ac:dyDescent="0.2">
      <c r="A8" s="20">
        <v>7</v>
      </c>
      <c r="B8" s="21" t="str">
        <f>_xlfn.CONCAT("ORD-",INDEX(Helper!$B$2:$B$5,MATCH(cadangan3[[#This Row],[Marketplace]],Helper!$A$2:$A$5,0)),TEXT(cadangan3[[#This Row],[No]],"0000"),"-",TEXT(cadangan3[[#This Row],[Tanggal terjual]],"dd/mm/yy"))</f>
        <v>ORD-BB0007-01/04/23</v>
      </c>
      <c r="C8" t="s">
        <v>64</v>
      </c>
      <c r="D8" t="str">
        <f>IFERROR(INDEX(Katalog!$A$3:$A$12,MATCH(cadangan3[[#This Row],[ItemID A]],Katalog!$C$3:$C$12,0)),"-")</f>
        <v>Pakaian Unisex</v>
      </c>
      <c r="E8" t="str">
        <f>IFERROR(INDEX(Katalog!$B$3:$B$12,MATCH(cadangan3[[#This Row],[ItemID A]],Katalog!$C$3:$C$12,0)),"-")</f>
        <v>Jaket Hoodie</v>
      </c>
      <c r="F8">
        <v>4</v>
      </c>
      <c r="G8">
        <v>4</v>
      </c>
      <c r="H8" s="36">
        <f>IFERROR(INDEX(Katalog!$D$3:$D$12,MATCH(cadangan3[[#This Row],[ItemID A]],Katalog!$C$3:$C$12,0))*cadangan3[[#This Row],[Qty A]],0)</f>
        <v>1400000</v>
      </c>
      <c r="I8" s="36">
        <f>IFERROR(INDEX(Katalog!$D$3:$D$12,MATCH(cadangan3[[#This Row],[Item A]],Katalog!$B$3:$B$12,0))*cadangan3[[#This Row],[Qty A]],0)</f>
        <v>1400000</v>
      </c>
      <c r="J8" s="36">
        <f>IFERROR(cadangan3[[#This Row],[Harga Asli A]]-(cadangan3[[#This Row],[Harga Asli A]]*cadangan3[[#This Row],[Diskon]]),cadangan3[[#This Row],[Harga Asli A]])</f>
        <v>1190000</v>
      </c>
      <c r="K8" s="36">
        <f>INDEX(Katalog!$F$3:$F$12,MATCH(cadangan3[[#This Row],[ItemID A]],Katalog!$C$3:$C$12,0))*cadangan3[[#This Row],[Qty A]]</f>
        <v>520000</v>
      </c>
      <c r="L8" s="36">
        <f>IFERROR(cadangan3[[#This Row],[Profit A]]-(cadangan3[[#This Row],[Profit A]]*cadangan3[[#This Row],[Diskon]]),K8)</f>
        <v>442000</v>
      </c>
      <c r="N8" t="str">
        <f>IFERROR(INDEX(Katalog!$A$3:$A$12,MATCH(cadangan3[[#This Row],[ItemID B]],Katalog!$C$3:$C$12,0)),"-")</f>
        <v>-</v>
      </c>
      <c r="O8" t="str">
        <f>IFERROR(INDEX(Katalog!$B$3:$B$12,MATCH(cadangan3[[#This Row],[ItemID B]],Katalog!$C$3:$C$12,0)),"-")</f>
        <v>-</v>
      </c>
      <c r="R8" s="36">
        <f>IFERROR(INDEX(Katalog!$D$3:$D$12,MATCH(cadangan3[[#This Row],[ItemID B]],Katalog!$C$3:$C$12,0))*cadangan3[[#This Row],[Qty B]],0)</f>
        <v>0</v>
      </c>
      <c r="S8" s="36">
        <f>IFERROR(INDEX(Katalog!$D$3:$D$12,MATCH(cadangan3[[#This Row],[Item B]],Katalog!$B$3:$B$12,0))*cadangan3[[#This Row],[Qty B]],0)</f>
        <v>0</v>
      </c>
      <c r="T8" s="36">
        <f>IFERROR(cadangan3[[#This Row],[Harga Asli B]]-(cadangan3[[#This Row],[Harga Asli B]]*cadangan3[[#This Row],[Diskon]]),cadangan3[[#This Row],[Harga Asli B]])</f>
        <v>0</v>
      </c>
      <c r="U8" s="36">
        <f>IFERROR(INDEX(Katalog!$F$3:$F$12,MATCH(cadangan3[[#This Row],[ItemID B]],Katalog!$C$3:$C$12,0))*cadangan3[[#This Row],[Qty B]],0)</f>
        <v>0</v>
      </c>
      <c r="V8" s="36">
        <f>IFERROR(cadangan3[[#This Row],[Profit B]]-(cadangan3[[#This Row],[Profit B]]*cadangan3[[#This Row],[Diskon]]),U8)</f>
        <v>0</v>
      </c>
      <c r="X8" t="str">
        <f>IFERROR(INDEX(Katalog!$A$3:$A$12,MATCH(cadangan3[[#This Row],[ItemID C]],Katalog!$C$3:$C$12,0)),"-")</f>
        <v>-</v>
      </c>
      <c r="Y8" t="str">
        <f>IFERROR(INDEX(Katalog!$B$3:$B$12,MATCH(cadangan3[[#This Row],[ItemID C]],Katalog!$C$3:$C$12,0)),"-")</f>
        <v>-</v>
      </c>
      <c r="AB8" s="36">
        <f>IFERROR(INDEX(Katalog!$D$3:$D$12,MATCH(cadangan3[[#This Row],[ItemID C]],Katalog!$C$3:$C$12,0))*cadangan3[[#This Row],[Qty C]],0)</f>
        <v>0</v>
      </c>
      <c r="AC8" s="36">
        <f>IFERROR(INDEX(Katalog!$D$3:$D$12,MATCH(cadangan3[[#This Row],[Item C]],Katalog!$B$3:$B$12,0))*cadangan3[[#This Row],[Qty C]],0)</f>
        <v>0</v>
      </c>
      <c r="AD8" s="36">
        <f>IFERROR(cadangan3[[#This Row],[Harga Asli C]]-(cadangan3[[#This Row],[Harga Asli C]]*cadangan3[[#This Row],[Diskon]]),cadangan3[[#This Row],[Harga Asli C]])</f>
        <v>0</v>
      </c>
      <c r="AE8" s="36">
        <f>IFERROR(INDEX(Katalog!$F$3:$F$12,MATCH(cadangan3[[#This Row],[ItemID C]],Katalog!$C$3:$C$12,0))*cadangan3[[#This Row],[Qty C]],0)</f>
        <v>0</v>
      </c>
      <c r="AF8" s="36">
        <f>IFERROR(cadangan3[[#This Row],[Profit C]]-(cadangan3[[#This Row],[Profit C]]*cadangan3[[#This Row],[Diskon]]),cadangan3[[#This Row],[Profit C]])</f>
        <v>0</v>
      </c>
      <c r="AG8" s="21">
        <f>cadangan3[[#This Row],[Qty A]]+cadangan3[[#This Row],[Qty B]]+cadangan3[[#This Row],[Qty C]]</f>
        <v>4</v>
      </c>
      <c r="AH8" s="35">
        <f>cadangan3[[#This Row],[Harga A + Diskon]]+cadangan3[[#This Row],[Harga + Diskon B]]+cadangan3[[#This Row],[Harga + Diskon C]]</f>
        <v>1190000</v>
      </c>
      <c r="AI8" s="35">
        <f>(cadangan3[[#This Row],[Profit A]]+cadangan3[[#This Row],[Profit B]]+cadangan3[[#This Row],[Profit C]])</f>
        <v>520000</v>
      </c>
      <c r="AJ8" s="35">
        <f>cadangan3[[#This Row],[Provit A + Diskon]]+cadangan3[[#This Row],[Provit B + Diskon]]+cadangan3[[#This Row],[Provit C + Diskon]]</f>
        <v>442000</v>
      </c>
      <c r="AK8" s="23" t="s">
        <v>28</v>
      </c>
      <c r="AL8" s="37">
        <f>IFERROR(INDEX('Kode Diskon'!$D$3:$D$9,MATCH(cadangan3[[#This Row],[Kode diskon]],'Kode Diskon'!$C$3:$C$9,0)),"-")</f>
        <v>0.15</v>
      </c>
      <c r="AM8" s="23" t="s">
        <v>29</v>
      </c>
      <c r="AN8" s="23" t="s">
        <v>14</v>
      </c>
      <c r="AO8" s="23" t="s">
        <v>79</v>
      </c>
      <c r="AP8" s="24">
        <v>45017</v>
      </c>
      <c r="AQ8" s="23" t="str">
        <f>TEXT(cadangan3[[#This Row],[Tanggal terjual]],"dddd")</f>
        <v>Saturday</v>
      </c>
    </row>
    <row r="9" spans="1:44" x14ac:dyDescent="0.2">
      <c r="A9" s="20">
        <v>8</v>
      </c>
      <c r="B9" s="21" t="str">
        <f>_xlfn.CONCAT("ORD-",INDEX(Helper!$B$2:$B$5,MATCH(cadangan3[[#This Row],[Marketplace]],Helper!$A$2:$A$5,0)),TEXT(cadangan3[[#This Row],[No]],"0000"),"-",TEXT(cadangan3[[#This Row],[Tanggal terjual]],"dd/mm/yy"))</f>
        <v>ORD-BL0008-25/04/23</v>
      </c>
      <c r="C9" t="s">
        <v>65</v>
      </c>
      <c r="D9" t="str">
        <f>IFERROR(INDEX(Katalog!$A$3:$A$12,MATCH(cadangan3[[#This Row],[ItemID A]],Katalog!$C$3:$C$12,0)),"-")</f>
        <v>Sepatu Pria</v>
      </c>
      <c r="E9" t="str">
        <f>IFERROR(INDEX(Katalog!$B$3:$B$12,MATCH(cadangan3[[#This Row],[ItemID A]],Katalog!$C$3:$C$12,0)),"-")</f>
        <v>Sneakers</v>
      </c>
      <c r="F9">
        <v>4</v>
      </c>
      <c r="G9">
        <v>1</v>
      </c>
      <c r="H9" s="36">
        <f>IFERROR(INDEX(Katalog!$D$3:$D$12,MATCH(cadangan3[[#This Row],[ItemID A]],Katalog!$C$3:$C$12,0))*cadangan3[[#This Row],[Qty A]],0)</f>
        <v>2000000</v>
      </c>
      <c r="I9" s="36">
        <f>IFERROR(INDEX(Katalog!$D$3:$D$12,MATCH(cadangan3[[#This Row],[Item A]],Katalog!$B$3:$B$12,0))*cadangan3[[#This Row],[Qty A]],0)</f>
        <v>2000000</v>
      </c>
      <c r="J9" s="36">
        <f>IFERROR(cadangan3[[#This Row],[Harga Asli A]]-(cadangan3[[#This Row],[Harga Asli A]]*cadangan3[[#This Row],[Diskon]]),cadangan3[[#This Row],[Harga Asli A]])</f>
        <v>1700000</v>
      </c>
      <c r="K9" s="36">
        <f>INDEX(Katalog!$F$3:$F$12,MATCH(cadangan3[[#This Row],[ItemID A]],Katalog!$C$3:$C$12,0))*cadangan3[[#This Row],[Qty A]]</f>
        <v>800000</v>
      </c>
      <c r="L9" s="36">
        <f>IFERROR(cadangan3[[#This Row],[Profit A]]-(cadangan3[[#This Row],[Profit A]]*cadangan3[[#This Row],[Diskon]]),K9)</f>
        <v>680000</v>
      </c>
      <c r="M9" t="s">
        <v>62</v>
      </c>
      <c r="N9" t="str">
        <f>IFERROR(INDEX(Katalog!$A$3:$A$12,MATCH(cadangan3[[#This Row],[ItemID B]],Katalog!$C$3:$C$12,0)),"-")</f>
        <v>Pakaian Pria</v>
      </c>
      <c r="O9" t="str">
        <f>IFERROR(INDEX(Katalog!$B$3:$B$12,MATCH(cadangan3[[#This Row],[ItemID B]],Katalog!$C$3:$C$12,0)),"-")</f>
        <v>Celana Pendek</v>
      </c>
      <c r="P9">
        <v>1</v>
      </c>
      <c r="Q9">
        <v>3</v>
      </c>
      <c r="R9" s="36">
        <f>IFERROR(INDEX(Katalog!$D$3:$D$12,MATCH(cadangan3[[#This Row],[ItemID B]],Katalog!$C$3:$C$12,0))*cadangan3[[#This Row],[Qty B]],0)</f>
        <v>180000</v>
      </c>
      <c r="S9" s="36">
        <f>IFERROR(INDEX(Katalog!$D$3:$D$12,MATCH(cadangan3[[#This Row],[Item B]],Katalog!$B$3:$B$12,0))*cadangan3[[#This Row],[Qty B]],0)</f>
        <v>180000</v>
      </c>
      <c r="T9" s="36">
        <f>IFERROR(cadangan3[[#This Row],[Harga Asli B]]-(cadangan3[[#This Row],[Harga Asli B]]*cadangan3[[#This Row],[Diskon]]),cadangan3[[#This Row],[Harga Asli B]])</f>
        <v>153000</v>
      </c>
      <c r="U9" s="36">
        <f>IFERROR(INDEX(Katalog!$F$3:$F$12,MATCH(cadangan3[[#This Row],[ItemID B]],Katalog!$C$3:$C$12,0))*cadangan3[[#This Row],[Qty B]],0)</f>
        <v>70000</v>
      </c>
      <c r="V9" s="36">
        <f>IFERROR(cadangan3[[#This Row],[Profit B]]-(cadangan3[[#This Row],[Profit B]]*cadangan3[[#This Row],[Diskon]]),U9)</f>
        <v>59500</v>
      </c>
      <c r="X9" t="str">
        <f>IFERROR(INDEX(Katalog!$A$3:$A$12,MATCH(cadangan3[[#This Row],[ItemID C]],Katalog!$C$3:$C$12,0)),"-")</f>
        <v>-</v>
      </c>
      <c r="Y9" t="str">
        <f>IFERROR(INDEX(Katalog!$B$3:$B$12,MATCH(cadangan3[[#This Row],[ItemID C]],Katalog!$C$3:$C$12,0)),"-")</f>
        <v>-</v>
      </c>
      <c r="AB9" s="36">
        <f>IFERROR(INDEX(Katalog!$D$3:$D$12,MATCH(cadangan3[[#This Row],[ItemID C]],Katalog!$C$3:$C$12,0))*cadangan3[[#This Row],[Qty C]],0)</f>
        <v>0</v>
      </c>
      <c r="AC9" s="36">
        <f>IFERROR(INDEX(Katalog!$D$3:$D$12,MATCH(cadangan3[[#This Row],[Item C]],Katalog!$B$3:$B$12,0))*cadangan3[[#This Row],[Qty C]],0)</f>
        <v>0</v>
      </c>
      <c r="AD9" s="36">
        <f>IFERROR(cadangan3[[#This Row],[Harga Asli C]]-(cadangan3[[#This Row],[Harga Asli C]]*cadangan3[[#This Row],[Diskon]]),cadangan3[[#This Row],[Harga Asli C]])</f>
        <v>0</v>
      </c>
      <c r="AE9" s="36">
        <f>IFERROR(INDEX(Katalog!$F$3:$F$12,MATCH(cadangan3[[#This Row],[ItemID C]],Katalog!$C$3:$C$12,0))*cadangan3[[#This Row],[Qty C]],0)</f>
        <v>0</v>
      </c>
      <c r="AF9" s="36">
        <f>IFERROR(cadangan3[[#This Row],[Profit C]]-(cadangan3[[#This Row],[Profit C]]*cadangan3[[#This Row],[Diskon]]),cadangan3[[#This Row],[Profit C]])</f>
        <v>0</v>
      </c>
      <c r="AG9" s="21">
        <f>cadangan3[[#This Row],[Qty A]]+cadangan3[[#This Row],[Qty B]]+cadangan3[[#This Row],[Qty C]]</f>
        <v>5</v>
      </c>
      <c r="AH9" s="35">
        <f>cadangan3[[#This Row],[Harga A + Diskon]]+cadangan3[[#This Row],[Harga + Diskon B]]+cadangan3[[#This Row],[Harga + Diskon C]]</f>
        <v>1853000</v>
      </c>
      <c r="AI9" s="35">
        <f>(cadangan3[[#This Row],[Profit A]]+cadangan3[[#This Row],[Profit B]]+cadangan3[[#This Row],[Profit C]])</f>
        <v>870000</v>
      </c>
      <c r="AJ9" s="35">
        <f>cadangan3[[#This Row],[Provit A + Diskon]]+cadangan3[[#This Row],[Provit B + Diskon]]+cadangan3[[#This Row],[Provit C + Diskon]]</f>
        <v>739500</v>
      </c>
      <c r="AK9" s="23" t="s">
        <v>32</v>
      </c>
      <c r="AL9" s="37">
        <f>IFERROR(INDEX('Kode Diskon'!$D$3:$D$9,MATCH(cadangan3[[#This Row],[Kode diskon]],'Kode Diskon'!$C$3:$C$9,0)),"-")</f>
        <v>0.15</v>
      </c>
      <c r="AM9" s="23" t="s">
        <v>9</v>
      </c>
      <c r="AN9" s="23" t="s">
        <v>12</v>
      </c>
      <c r="AO9" s="23" t="s">
        <v>75</v>
      </c>
      <c r="AP9" s="24">
        <v>45041</v>
      </c>
      <c r="AQ9" s="23" t="str">
        <f>TEXT(cadangan3[[#This Row],[Tanggal terjual]],"dddd")</f>
        <v>Tuesday</v>
      </c>
    </row>
    <row r="10" spans="1:44" x14ac:dyDescent="0.2">
      <c r="A10" s="20">
        <v>9</v>
      </c>
      <c r="B10" s="21" t="str">
        <f>_xlfn.CONCAT("ORD-",INDEX(Helper!$B$2:$B$5,MATCH(cadangan3[[#This Row],[Marketplace]],Helper!$A$2:$A$5,0)),TEXT(cadangan3[[#This Row],[No]],"0000"),"-",TEXT(cadangan3[[#This Row],[Tanggal terjual]],"dd/mm/yy"))</f>
        <v>ORD-TK0009-20/04/23</v>
      </c>
      <c r="C10" t="s">
        <v>59</v>
      </c>
      <c r="D10" t="str">
        <f>IFERROR(INDEX(Katalog!$A$3:$A$12,MATCH(cadangan3[[#This Row],[ItemID A]],Katalog!$C$3:$C$12,0)),"-")</f>
        <v>Pakaian Wanita</v>
      </c>
      <c r="E10" t="str">
        <f>IFERROR(INDEX(Katalog!$B$3:$B$12,MATCH(cadangan3[[#This Row],[ItemID A]],Katalog!$C$3:$C$12,0)),"-")</f>
        <v>Blouse</v>
      </c>
      <c r="F10">
        <v>1</v>
      </c>
      <c r="G10">
        <v>3</v>
      </c>
      <c r="H10" s="36">
        <f>IFERROR(INDEX(Katalog!$D$3:$D$12,MATCH(cadangan3[[#This Row],[ItemID A]],Katalog!$C$3:$C$12,0))*cadangan3[[#This Row],[Qty A]],0)</f>
        <v>150000</v>
      </c>
      <c r="I10" s="36">
        <f>IFERROR(INDEX(Katalog!$D$3:$D$12,MATCH(cadangan3[[#This Row],[Item A]],Katalog!$B$3:$B$12,0))*cadangan3[[#This Row],[Qty A]],0)</f>
        <v>150000</v>
      </c>
      <c r="J10" s="36">
        <f>IFERROR(cadangan3[[#This Row],[Harga Asli A]]-(cadangan3[[#This Row],[Harga Asli A]]*cadangan3[[#This Row],[Diskon]]),cadangan3[[#This Row],[Harga Asli A]])</f>
        <v>135000</v>
      </c>
      <c r="K10" s="36">
        <f>INDEX(Katalog!$F$3:$F$12,MATCH(cadangan3[[#This Row],[ItemID A]],Katalog!$C$3:$C$12,0))*cadangan3[[#This Row],[Qty A]]</f>
        <v>50000</v>
      </c>
      <c r="L10" s="36">
        <f>IFERROR(cadangan3[[#This Row],[Profit A]]-(cadangan3[[#This Row],[Profit A]]*cadangan3[[#This Row],[Diskon]]),K10)</f>
        <v>45000</v>
      </c>
      <c r="M10" t="s">
        <v>58</v>
      </c>
      <c r="N10" t="str">
        <f>IFERROR(INDEX(Katalog!$A$3:$A$12,MATCH(cadangan3[[#This Row],[ItemID B]],Katalog!$C$3:$C$12,0)),"-")</f>
        <v>Pakaian Wanita</v>
      </c>
      <c r="O10" t="str">
        <f>IFERROR(INDEX(Katalog!$B$3:$B$12,MATCH(cadangan3[[#This Row],[ItemID B]],Katalog!$C$3:$C$12,0)),"-")</f>
        <v>Dress</v>
      </c>
      <c r="P10">
        <v>1</v>
      </c>
      <c r="Q10">
        <v>2</v>
      </c>
      <c r="R10" s="36">
        <f>IFERROR(INDEX(Katalog!$D$3:$D$12,MATCH(cadangan3[[#This Row],[ItemID B]],Katalog!$C$3:$C$12,0))*cadangan3[[#This Row],[Qty B]],0)</f>
        <v>300000</v>
      </c>
      <c r="S10" s="36">
        <f>IFERROR(INDEX(Katalog!$D$3:$D$12,MATCH(cadangan3[[#This Row],[Item B]],Katalog!$B$3:$B$12,0))*cadangan3[[#This Row],[Qty B]],0)</f>
        <v>300000</v>
      </c>
      <c r="T10" s="36">
        <f>IFERROR(cadangan3[[#This Row],[Harga Asli B]]-(cadangan3[[#This Row],[Harga Asli B]]*cadangan3[[#This Row],[Diskon]]),cadangan3[[#This Row],[Harga Asli B]])</f>
        <v>270000</v>
      </c>
      <c r="U10" s="36">
        <f>IFERROR(INDEX(Katalog!$F$3:$F$12,MATCH(cadangan3[[#This Row],[ItemID B]],Katalog!$C$3:$C$12,0))*cadangan3[[#This Row],[Qty B]],0)</f>
        <v>100000</v>
      </c>
      <c r="V10" s="36">
        <f>IFERROR(cadangan3[[#This Row],[Profit B]]-(cadangan3[[#This Row],[Profit B]]*cadangan3[[#This Row],[Diskon]]),U10)</f>
        <v>90000</v>
      </c>
      <c r="X10" t="str">
        <f>IFERROR(INDEX(Katalog!$A$3:$A$12,MATCH(cadangan3[[#This Row],[ItemID C]],Katalog!$C$3:$C$12,0)),"-")</f>
        <v>-</v>
      </c>
      <c r="Y10" t="str">
        <f>IFERROR(INDEX(Katalog!$B$3:$B$12,MATCH(cadangan3[[#This Row],[ItemID C]],Katalog!$C$3:$C$12,0)),"-")</f>
        <v>-</v>
      </c>
      <c r="AB10" s="36">
        <f>IFERROR(INDEX(Katalog!$D$3:$D$12,MATCH(cadangan3[[#This Row],[ItemID C]],Katalog!$C$3:$C$12,0))*cadangan3[[#This Row],[Qty C]],0)</f>
        <v>0</v>
      </c>
      <c r="AC10" s="36">
        <f>IFERROR(INDEX(Katalog!$D$3:$D$12,MATCH(cadangan3[[#This Row],[Item C]],Katalog!$B$3:$B$12,0))*cadangan3[[#This Row],[Qty C]],0)</f>
        <v>0</v>
      </c>
      <c r="AD10" s="36">
        <f>IFERROR(cadangan3[[#This Row],[Harga Asli C]]-(cadangan3[[#This Row],[Harga Asli C]]*cadangan3[[#This Row],[Diskon]]),cadangan3[[#This Row],[Harga Asli C]])</f>
        <v>0</v>
      </c>
      <c r="AE10" s="36">
        <f>IFERROR(INDEX(Katalog!$F$3:$F$12,MATCH(cadangan3[[#This Row],[ItemID C]],Katalog!$C$3:$C$12,0))*cadangan3[[#This Row],[Qty C]],0)</f>
        <v>0</v>
      </c>
      <c r="AF10" s="36">
        <f>IFERROR(cadangan3[[#This Row],[Profit C]]-(cadangan3[[#This Row],[Profit C]]*cadangan3[[#This Row],[Diskon]]),cadangan3[[#This Row],[Profit C]])</f>
        <v>0</v>
      </c>
      <c r="AG10" s="21">
        <f>cadangan3[[#This Row],[Qty A]]+cadangan3[[#This Row],[Qty B]]+cadangan3[[#This Row],[Qty C]]</f>
        <v>2</v>
      </c>
      <c r="AH10" s="35">
        <f>cadangan3[[#This Row],[Harga A + Diskon]]+cadangan3[[#This Row],[Harga + Diskon B]]+cadangan3[[#This Row],[Harga + Diskon C]]</f>
        <v>405000</v>
      </c>
      <c r="AI10" s="35">
        <f>(cadangan3[[#This Row],[Profit A]]+cadangan3[[#This Row],[Profit B]]+cadangan3[[#This Row],[Profit C]])</f>
        <v>150000</v>
      </c>
      <c r="AJ10" s="35">
        <f>cadangan3[[#This Row],[Provit A + Diskon]]+cadangan3[[#This Row],[Provit B + Diskon]]+cadangan3[[#This Row],[Provit C + Diskon]]</f>
        <v>135000</v>
      </c>
      <c r="AK10" s="23" t="s">
        <v>31</v>
      </c>
      <c r="AL10" s="37">
        <f>IFERROR(INDEX('Kode Diskon'!$D$3:$D$9,MATCH(cadangan3[[#This Row],[Kode diskon]],'Kode Diskon'!$C$3:$C$9,0)),"-")</f>
        <v>0.1</v>
      </c>
      <c r="AM10" s="23" t="s">
        <v>9</v>
      </c>
      <c r="AN10" s="23" t="s">
        <v>10</v>
      </c>
      <c r="AO10" s="23" t="s">
        <v>79</v>
      </c>
      <c r="AP10" s="24">
        <v>45036</v>
      </c>
      <c r="AQ10" s="23" t="str">
        <f>TEXT(cadangan3[[#This Row],[Tanggal terjual]],"dddd")</f>
        <v>Thursday</v>
      </c>
    </row>
    <row r="11" spans="1:44" x14ac:dyDescent="0.2">
      <c r="A11" s="20">
        <v>10</v>
      </c>
      <c r="B11" s="21" t="str">
        <f>_xlfn.CONCAT("ORD-",INDEX(Helper!$B$2:$B$5,MATCH(cadangan3[[#This Row],[Marketplace]],Helper!$A$2:$A$5,0)),TEXT(cadangan3[[#This Row],[No]],"0000"),"-",TEXT(cadangan3[[#This Row],[Tanggal terjual]],"dd/mm/yy"))</f>
        <v>ORD-SP0010-04/04/23</v>
      </c>
      <c r="C11" t="s">
        <v>62</v>
      </c>
      <c r="D11" t="str">
        <f>IFERROR(INDEX(Katalog!$A$3:$A$12,MATCH(cadangan3[[#This Row],[ItemID A]],Katalog!$C$3:$C$12,0)),"-")</f>
        <v>Pakaian Pria</v>
      </c>
      <c r="E11" t="str">
        <f>IFERROR(INDEX(Katalog!$B$3:$B$12,MATCH(cadangan3[[#This Row],[ItemID A]],Katalog!$C$3:$C$12,0)),"-")</f>
        <v>Celana Pendek</v>
      </c>
      <c r="F11">
        <v>3</v>
      </c>
      <c r="G11">
        <v>4</v>
      </c>
      <c r="H11" s="36">
        <f>IFERROR(INDEX(Katalog!$D$3:$D$12,MATCH(cadangan3[[#This Row],[ItemID A]],Katalog!$C$3:$C$12,0))*cadangan3[[#This Row],[Qty A]],0)</f>
        <v>540000</v>
      </c>
      <c r="I11" s="36">
        <f>IFERROR(INDEX(Katalog!$D$3:$D$12,MATCH(cadangan3[[#This Row],[Item A]],Katalog!$B$3:$B$12,0))*cadangan3[[#This Row],[Qty A]],0)</f>
        <v>540000</v>
      </c>
      <c r="J11" s="36">
        <f>IFERROR(cadangan3[[#This Row],[Harga Asli A]]-(cadangan3[[#This Row],[Harga Asli A]]*cadangan3[[#This Row],[Diskon]]),cadangan3[[#This Row],[Harga Asli A]])</f>
        <v>459000</v>
      </c>
      <c r="K11" s="36">
        <f>INDEX(Katalog!$F$3:$F$12,MATCH(cadangan3[[#This Row],[ItemID A]],Katalog!$C$3:$C$12,0))*cadangan3[[#This Row],[Qty A]]</f>
        <v>210000</v>
      </c>
      <c r="L11" s="36">
        <f>IFERROR(cadangan3[[#This Row],[Profit A]]-(cadangan3[[#This Row],[Profit A]]*cadangan3[[#This Row],[Diskon]]),K11)</f>
        <v>178500</v>
      </c>
      <c r="M11" t="s">
        <v>61</v>
      </c>
      <c r="N11" t="str">
        <f>IFERROR(INDEX(Katalog!$A$3:$A$12,MATCH(cadangan3[[#This Row],[ItemID B]],Katalog!$C$3:$C$12,0)),"-")</f>
        <v>Pakaian Pria</v>
      </c>
      <c r="O11" t="str">
        <f>IFERROR(INDEX(Katalog!$B$3:$B$12,MATCH(cadangan3[[#This Row],[ItemID B]],Katalog!$C$3:$C$12,0)),"-")</f>
        <v>Kaos Polo</v>
      </c>
      <c r="P11">
        <v>2</v>
      </c>
      <c r="Q11">
        <v>5</v>
      </c>
      <c r="R11" s="36">
        <f>IFERROR(INDEX(Katalog!$D$3:$D$12,MATCH(cadangan3[[#This Row],[ItemID B]],Katalog!$C$3:$C$12,0))*cadangan3[[#This Row],[Qty B]],0)</f>
        <v>400000</v>
      </c>
      <c r="S11" s="36">
        <f>IFERROR(INDEX(Katalog!$D$3:$D$12,MATCH(cadangan3[[#This Row],[Item B]],Katalog!$B$3:$B$12,0))*cadangan3[[#This Row],[Qty B]],0)</f>
        <v>400000</v>
      </c>
      <c r="T11" s="36">
        <f>IFERROR(cadangan3[[#This Row],[Harga Asli B]]-(cadangan3[[#This Row],[Harga Asli B]]*cadangan3[[#This Row],[Diskon]]),cadangan3[[#This Row],[Harga Asli B]])</f>
        <v>340000</v>
      </c>
      <c r="U11" s="36">
        <f>IFERROR(INDEX(Katalog!$F$3:$F$12,MATCH(cadangan3[[#This Row],[ItemID B]],Katalog!$C$3:$C$12,0))*cadangan3[[#This Row],[Qty B]],0)</f>
        <v>160000</v>
      </c>
      <c r="V11" s="36">
        <f>IFERROR(cadangan3[[#This Row],[Profit B]]-(cadangan3[[#This Row],[Profit B]]*cadangan3[[#This Row],[Diskon]]),U11)</f>
        <v>136000</v>
      </c>
      <c r="X11" t="str">
        <f>IFERROR(INDEX(Katalog!$A$3:$A$12,MATCH(cadangan3[[#This Row],[ItemID C]],Katalog!$C$3:$C$12,0)),"-")</f>
        <v>-</v>
      </c>
      <c r="Y11" t="str">
        <f>IFERROR(INDEX(Katalog!$B$3:$B$12,MATCH(cadangan3[[#This Row],[ItemID C]],Katalog!$C$3:$C$12,0)),"-")</f>
        <v>-</v>
      </c>
      <c r="AB11" s="36">
        <f>IFERROR(INDEX(Katalog!$D$3:$D$12,MATCH(cadangan3[[#This Row],[ItemID C]],Katalog!$C$3:$C$12,0))*cadangan3[[#This Row],[Qty C]],0)</f>
        <v>0</v>
      </c>
      <c r="AC11" s="36">
        <f>IFERROR(INDEX(Katalog!$D$3:$D$12,MATCH(cadangan3[[#This Row],[Item C]],Katalog!$B$3:$B$12,0))*cadangan3[[#This Row],[Qty C]],0)</f>
        <v>0</v>
      </c>
      <c r="AD11" s="36">
        <f>IFERROR(cadangan3[[#This Row],[Harga Asli C]]-(cadangan3[[#This Row],[Harga Asli C]]*cadangan3[[#This Row],[Diskon]]),cadangan3[[#This Row],[Harga Asli C]])</f>
        <v>0</v>
      </c>
      <c r="AE11" s="36">
        <f>IFERROR(INDEX(Katalog!$F$3:$F$12,MATCH(cadangan3[[#This Row],[ItemID C]],Katalog!$C$3:$C$12,0))*cadangan3[[#This Row],[Qty C]],0)</f>
        <v>0</v>
      </c>
      <c r="AF11" s="36">
        <f>IFERROR(cadangan3[[#This Row],[Profit C]]-(cadangan3[[#This Row],[Profit C]]*cadangan3[[#This Row],[Diskon]]),cadangan3[[#This Row],[Profit C]])</f>
        <v>0</v>
      </c>
      <c r="AG11" s="21">
        <f>cadangan3[[#This Row],[Qty A]]+cadangan3[[#This Row],[Qty B]]+cadangan3[[#This Row],[Qty C]]</f>
        <v>5</v>
      </c>
      <c r="AH11" s="35">
        <f>cadangan3[[#This Row],[Harga A + Diskon]]+cadangan3[[#This Row],[Harga + Diskon B]]+cadangan3[[#This Row],[Harga + Diskon C]]</f>
        <v>799000</v>
      </c>
      <c r="AI11" s="35">
        <f>(cadangan3[[#This Row],[Profit A]]+cadangan3[[#This Row],[Profit B]]+cadangan3[[#This Row],[Profit C]])</f>
        <v>370000</v>
      </c>
      <c r="AJ11" s="35">
        <f>cadangan3[[#This Row],[Provit A + Diskon]]+cadangan3[[#This Row],[Provit B + Diskon]]+cadangan3[[#This Row],[Provit C + Diskon]]</f>
        <v>314500</v>
      </c>
      <c r="AK11" s="23" t="s">
        <v>13</v>
      </c>
      <c r="AL11" s="37">
        <f>IFERROR(INDEX('Kode Diskon'!$D$3:$D$9,MATCH(cadangan3[[#This Row],[Kode diskon]],'Kode Diskon'!$C$3:$C$9,0)),"-")</f>
        <v>0.15</v>
      </c>
      <c r="AM11" s="23" t="s">
        <v>29</v>
      </c>
      <c r="AN11" s="23" t="s">
        <v>7</v>
      </c>
      <c r="AO11" s="23" t="s">
        <v>76</v>
      </c>
      <c r="AP11" s="24">
        <v>45020</v>
      </c>
      <c r="AQ11" s="23" t="str">
        <f>TEXT(cadangan3[[#This Row],[Tanggal terjual]],"dddd")</f>
        <v>Tuesday</v>
      </c>
    </row>
    <row r="12" spans="1:44" x14ac:dyDescent="0.2">
      <c r="A12" s="20">
        <v>11</v>
      </c>
      <c r="B12" s="21" t="str">
        <f>_xlfn.CONCAT("ORD-",INDEX(Helper!$B$2:$B$5,MATCH(cadangan3[[#This Row],[Marketplace]],Helper!$A$2:$A$5,0)),TEXT(cadangan3[[#This Row],[No]],"0000"),"-",TEXT(cadangan3[[#This Row],[Tanggal terjual]],"dd/mm/yy"))</f>
        <v>ORD-SP0011-06/04/23</v>
      </c>
      <c r="C12" t="s">
        <v>64</v>
      </c>
      <c r="D12" t="str">
        <f>IFERROR(INDEX(Katalog!$A$3:$A$12,MATCH(cadangan3[[#This Row],[ItemID A]],Katalog!$C$3:$C$12,0)),"-")</f>
        <v>Pakaian Unisex</v>
      </c>
      <c r="E12" t="str">
        <f>IFERROR(INDEX(Katalog!$B$3:$B$12,MATCH(cadangan3[[#This Row],[ItemID A]],Katalog!$C$3:$C$12,0)),"-")</f>
        <v>Jaket Hoodie</v>
      </c>
      <c r="F12">
        <v>3</v>
      </c>
      <c r="G12">
        <v>5</v>
      </c>
      <c r="H12" s="36">
        <f>IFERROR(INDEX(Katalog!$D$3:$D$12,MATCH(cadangan3[[#This Row],[ItemID A]],Katalog!$C$3:$C$12,0))*cadangan3[[#This Row],[Qty A]],0)</f>
        <v>1050000</v>
      </c>
      <c r="I12" s="36">
        <f>IFERROR(INDEX(Katalog!$D$3:$D$12,MATCH(cadangan3[[#This Row],[Item A]],Katalog!$B$3:$B$12,0))*cadangan3[[#This Row],[Qty A]],0)</f>
        <v>1050000</v>
      </c>
      <c r="J12" s="36">
        <f>IFERROR(cadangan3[[#This Row],[Harga Asli A]]-(cadangan3[[#This Row],[Harga Asli A]]*cadangan3[[#This Row],[Diskon]]),cadangan3[[#This Row],[Harga Asli A]])</f>
        <v>892500</v>
      </c>
      <c r="K12" s="36">
        <f>INDEX(Katalog!$F$3:$F$12,MATCH(cadangan3[[#This Row],[ItemID A]],Katalog!$C$3:$C$12,0))*cadangan3[[#This Row],[Qty A]]</f>
        <v>390000</v>
      </c>
      <c r="L12" s="36">
        <f>IFERROR(cadangan3[[#This Row],[Profit A]]-(cadangan3[[#This Row],[Profit A]]*cadangan3[[#This Row],[Diskon]]),K12)</f>
        <v>331500</v>
      </c>
      <c r="M12" t="s">
        <v>58</v>
      </c>
      <c r="N12" t="str">
        <f>IFERROR(INDEX(Katalog!$A$3:$A$12,MATCH(cadangan3[[#This Row],[ItemID B]],Katalog!$C$3:$C$12,0)),"-")</f>
        <v>Pakaian Wanita</v>
      </c>
      <c r="O12" t="str">
        <f>IFERROR(INDEX(Katalog!$B$3:$B$12,MATCH(cadangan3[[#This Row],[ItemID B]],Katalog!$C$3:$C$12,0)),"-")</f>
        <v>Dress</v>
      </c>
      <c r="P12">
        <v>1</v>
      </c>
      <c r="Q12">
        <v>5</v>
      </c>
      <c r="R12" s="36">
        <f>IFERROR(INDEX(Katalog!$D$3:$D$12,MATCH(cadangan3[[#This Row],[ItemID B]],Katalog!$C$3:$C$12,0))*cadangan3[[#This Row],[Qty B]],0)</f>
        <v>300000</v>
      </c>
      <c r="S12" s="36">
        <f>IFERROR(INDEX(Katalog!$D$3:$D$12,MATCH(cadangan3[[#This Row],[Item B]],Katalog!$B$3:$B$12,0))*cadangan3[[#This Row],[Qty B]],0)</f>
        <v>300000</v>
      </c>
      <c r="T12" s="36">
        <f>IFERROR(cadangan3[[#This Row],[Harga Asli B]]-(cadangan3[[#This Row],[Harga Asli B]]*cadangan3[[#This Row],[Diskon]]),cadangan3[[#This Row],[Harga Asli B]])</f>
        <v>255000</v>
      </c>
      <c r="U12" s="36">
        <f>IFERROR(INDEX(Katalog!$F$3:$F$12,MATCH(cadangan3[[#This Row],[ItemID B]],Katalog!$C$3:$C$12,0))*cadangan3[[#This Row],[Qty B]],0)</f>
        <v>100000</v>
      </c>
      <c r="V12" s="36">
        <f>IFERROR(cadangan3[[#This Row],[Profit B]]-(cadangan3[[#This Row],[Profit B]]*cadangan3[[#This Row],[Diskon]]),U12)</f>
        <v>85000</v>
      </c>
      <c r="W12" t="s">
        <v>61</v>
      </c>
      <c r="X12" t="str">
        <f>IFERROR(INDEX(Katalog!$A$3:$A$12,MATCH(cadangan3[[#This Row],[ItemID C]],Katalog!$C$3:$C$12,0)),"-")</f>
        <v>Pakaian Pria</v>
      </c>
      <c r="Y12" t="str">
        <f>IFERROR(INDEX(Katalog!$B$3:$B$12,MATCH(cadangan3[[#This Row],[ItemID C]],Katalog!$C$3:$C$12,0)),"-")</f>
        <v>Kaos Polo</v>
      </c>
      <c r="Z12">
        <v>1</v>
      </c>
      <c r="AA12">
        <v>4</v>
      </c>
      <c r="AB12" s="36">
        <f>IFERROR(INDEX(Katalog!$D$3:$D$12,MATCH(cadangan3[[#This Row],[ItemID C]],Katalog!$C$3:$C$12,0))*cadangan3[[#This Row],[Qty C]],0)</f>
        <v>200000</v>
      </c>
      <c r="AC12" s="36">
        <f>IFERROR(INDEX(Katalog!$D$3:$D$12,MATCH(cadangan3[[#This Row],[Item C]],Katalog!$B$3:$B$12,0))*cadangan3[[#This Row],[Qty C]],0)</f>
        <v>200000</v>
      </c>
      <c r="AD12" s="36">
        <f>IFERROR(cadangan3[[#This Row],[Harga Asli C]]-(cadangan3[[#This Row],[Harga Asli C]]*cadangan3[[#This Row],[Diskon]]),cadangan3[[#This Row],[Harga Asli C]])</f>
        <v>170000</v>
      </c>
      <c r="AE12" s="36">
        <f>IFERROR(INDEX(Katalog!$F$3:$F$12,MATCH(cadangan3[[#This Row],[ItemID C]],Katalog!$C$3:$C$12,0))*cadangan3[[#This Row],[Qty C]],0)</f>
        <v>80000</v>
      </c>
      <c r="AF12" s="36">
        <f>IFERROR(cadangan3[[#This Row],[Profit C]]-(cadangan3[[#This Row],[Profit C]]*cadangan3[[#This Row],[Diskon]]),cadangan3[[#This Row],[Profit C]])</f>
        <v>68000</v>
      </c>
      <c r="AG12" s="21">
        <f>cadangan3[[#This Row],[Qty A]]+cadangan3[[#This Row],[Qty B]]+cadangan3[[#This Row],[Qty C]]</f>
        <v>5</v>
      </c>
      <c r="AH12" s="35">
        <f>cadangan3[[#This Row],[Harga A + Diskon]]+cadangan3[[#This Row],[Harga + Diskon B]]+cadangan3[[#This Row],[Harga + Diskon C]]</f>
        <v>1317500</v>
      </c>
      <c r="AI12" s="35">
        <f>(cadangan3[[#This Row],[Profit A]]+cadangan3[[#This Row],[Profit B]]+cadangan3[[#This Row],[Profit C]])</f>
        <v>570000</v>
      </c>
      <c r="AJ12" s="35">
        <f>cadangan3[[#This Row],[Provit A + Diskon]]+cadangan3[[#This Row],[Provit B + Diskon]]+cadangan3[[#This Row],[Provit C + Diskon]]</f>
        <v>484500</v>
      </c>
      <c r="AK12" s="23" t="s">
        <v>13</v>
      </c>
      <c r="AL12" s="37">
        <f>IFERROR(INDEX('Kode Diskon'!$D$3:$D$9,MATCH(cadangan3[[#This Row],[Kode diskon]],'Kode Diskon'!$C$3:$C$9,0)),"-")</f>
        <v>0.15</v>
      </c>
      <c r="AM12" s="23" t="s">
        <v>29</v>
      </c>
      <c r="AN12" s="23" t="s">
        <v>7</v>
      </c>
      <c r="AO12" s="23" t="s">
        <v>80</v>
      </c>
      <c r="AP12" s="24">
        <v>45022</v>
      </c>
      <c r="AQ12" s="23" t="str">
        <f>TEXT(cadangan3[[#This Row],[Tanggal terjual]],"dddd")</f>
        <v>Thursday</v>
      </c>
    </row>
    <row r="13" spans="1:44" x14ac:dyDescent="0.2">
      <c r="A13" s="20">
        <v>12</v>
      </c>
      <c r="B13" s="21" t="str">
        <f>_xlfn.CONCAT("ORD-",INDEX(Helper!$B$2:$B$5,MATCH(cadangan3[[#This Row],[Marketplace]],Helper!$A$2:$A$5,0)),TEXT(cadangan3[[#This Row],[No]],"0000"),"-",TEXT(cadangan3[[#This Row],[Tanggal terjual]],"dd/mm/yy"))</f>
        <v>ORD-SP0012-04/04/23</v>
      </c>
      <c r="C13" t="s">
        <v>58</v>
      </c>
      <c r="D13" t="str">
        <f>IFERROR(INDEX(Katalog!$A$3:$A$12,MATCH(cadangan3[[#This Row],[ItemID A]],Katalog!$C$3:$C$12,0)),"-")</f>
        <v>Pakaian Wanita</v>
      </c>
      <c r="E13" t="str">
        <f>IFERROR(INDEX(Katalog!$B$3:$B$12,MATCH(cadangan3[[#This Row],[ItemID A]],Katalog!$C$3:$C$12,0)),"-")</f>
        <v>Dress</v>
      </c>
      <c r="F13">
        <v>1</v>
      </c>
      <c r="G13">
        <v>3</v>
      </c>
      <c r="H13" s="36">
        <f>IFERROR(INDEX(Katalog!$D$3:$D$12,MATCH(cadangan3[[#This Row],[ItemID A]],Katalog!$C$3:$C$12,0))*cadangan3[[#This Row],[Qty A]],0)</f>
        <v>300000</v>
      </c>
      <c r="I13" s="36">
        <f>IFERROR(INDEX(Katalog!$D$3:$D$12,MATCH(cadangan3[[#This Row],[Item A]],Katalog!$B$3:$B$12,0))*cadangan3[[#This Row],[Qty A]],0)</f>
        <v>300000</v>
      </c>
      <c r="J13" s="36">
        <f>IFERROR(cadangan3[[#This Row],[Harga Asli A]]-(cadangan3[[#This Row],[Harga Asli A]]*cadangan3[[#This Row],[Diskon]]),cadangan3[[#This Row],[Harga Asli A]])</f>
        <v>255000</v>
      </c>
      <c r="K13" s="36">
        <f>INDEX(Katalog!$F$3:$F$12,MATCH(cadangan3[[#This Row],[ItemID A]],Katalog!$C$3:$C$12,0))*cadangan3[[#This Row],[Qty A]]</f>
        <v>100000</v>
      </c>
      <c r="L13" s="36">
        <f>IFERROR(cadangan3[[#This Row],[Profit A]]-(cadangan3[[#This Row],[Profit A]]*cadangan3[[#This Row],[Diskon]]),K13)</f>
        <v>85000</v>
      </c>
      <c r="N13" t="str">
        <f>IFERROR(INDEX(Katalog!$A$3:$A$12,MATCH(cadangan3[[#This Row],[ItemID B]],Katalog!$C$3:$C$12,0)),"-")</f>
        <v>-</v>
      </c>
      <c r="O13" t="str">
        <f>IFERROR(INDEX(Katalog!$B$3:$B$12,MATCH(cadangan3[[#This Row],[ItemID B]],Katalog!$C$3:$C$12,0)),"-")</f>
        <v>-</v>
      </c>
      <c r="R13" s="36">
        <f>IFERROR(INDEX(Katalog!$D$3:$D$12,MATCH(cadangan3[[#This Row],[ItemID B]],Katalog!$C$3:$C$12,0))*cadangan3[[#This Row],[Qty B]],0)</f>
        <v>0</v>
      </c>
      <c r="S13" s="36">
        <f>IFERROR(INDEX(Katalog!$D$3:$D$12,MATCH(cadangan3[[#This Row],[Item B]],Katalog!$B$3:$B$12,0))*cadangan3[[#This Row],[Qty B]],0)</f>
        <v>0</v>
      </c>
      <c r="T13" s="36">
        <f>IFERROR(cadangan3[[#This Row],[Harga Asli B]]-(cadangan3[[#This Row],[Harga Asli B]]*cadangan3[[#This Row],[Diskon]]),cadangan3[[#This Row],[Harga Asli B]])</f>
        <v>0</v>
      </c>
      <c r="U13" s="36">
        <f>IFERROR(INDEX(Katalog!$F$3:$F$12,MATCH(cadangan3[[#This Row],[ItemID B]],Katalog!$C$3:$C$12,0))*cadangan3[[#This Row],[Qty B]],0)</f>
        <v>0</v>
      </c>
      <c r="V13" s="36">
        <f>IFERROR(cadangan3[[#This Row],[Profit B]]-(cadangan3[[#This Row],[Profit B]]*cadangan3[[#This Row],[Diskon]]),U13)</f>
        <v>0</v>
      </c>
      <c r="X13" t="str">
        <f>IFERROR(INDEX(Katalog!$A$3:$A$12,MATCH(cadangan3[[#This Row],[ItemID C]],Katalog!$C$3:$C$12,0)),"-")</f>
        <v>-</v>
      </c>
      <c r="Y13" t="str">
        <f>IFERROR(INDEX(Katalog!$B$3:$B$12,MATCH(cadangan3[[#This Row],[ItemID C]],Katalog!$C$3:$C$12,0)),"-")</f>
        <v>-</v>
      </c>
      <c r="AB13" s="36">
        <f>IFERROR(INDEX(Katalog!$D$3:$D$12,MATCH(cadangan3[[#This Row],[ItemID C]],Katalog!$C$3:$C$12,0))*cadangan3[[#This Row],[Qty C]],0)</f>
        <v>0</v>
      </c>
      <c r="AC13" s="36">
        <f>IFERROR(INDEX(Katalog!$D$3:$D$12,MATCH(cadangan3[[#This Row],[Item C]],Katalog!$B$3:$B$12,0))*cadangan3[[#This Row],[Qty C]],0)</f>
        <v>0</v>
      </c>
      <c r="AD13" s="36">
        <f>IFERROR(cadangan3[[#This Row],[Harga Asli C]]-(cadangan3[[#This Row],[Harga Asli C]]*cadangan3[[#This Row],[Diskon]]),cadangan3[[#This Row],[Harga Asli C]])</f>
        <v>0</v>
      </c>
      <c r="AE13" s="36">
        <f>IFERROR(INDEX(Katalog!$F$3:$F$12,MATCH(cadangan3[[#This Row],[ItemID C]],Katalog!$C$3:$C$12,0))*cadangan3[[#This Row],[Qty C]],0)</f>
        <v>0</v>
      </c>
      <c r="AF13" s="36">
        <f>IFERROR(cadangan3[[#This Row],[Profit C]]-(cadangan3[[#This Row],[Profit C]]*cadangan3[[#This Row],[Diskon]]),cadangan3[[#This Row],[Profit C]])</f>
        <v>0</v>
      </c>
      <c r="AG13" s="21">
        <f>cadangan3[[#This Row],[Qty A]]+cadangan3[[#This Row],[Qty B]]+cadangan3[[#This Row],[Qty C]]</f>
        <v>1</v>
      </c>
      <c r="AH13" s="35">
        <f>cadangan3[[#This Row],[Harga A + Diskon]]+cadangan3[[#This Row],[Harga + Diskon B]]+cadangan3[[#This Row],[Harga + Diskon C]]</f>
        <v>255000</v>
      </c>
      <c r="AI13" s="35">
        <f>(cadangan3[[#This Row],[Profit A]]+cadangan3[[#This Row],[Profit B]]+cadangan3[[#This Row],[Profit C]])</f>
        <v>100000</v>
      </c>
      <c r="AJ13" s="35">
        <f>cadangan3[[#This Row],[Provit A + Diskon]]+cadangan3[[#This Row],[Provit B + Diskon]]+cadangan3[[#This Row],[Provit C + Diskon]]</f>
        <v>85000</v>
      </c>
      <c r="AK13" s="23" t="s">
        <v>13</v>
      </c>
      <c r="AL13" s="37">
        <f>IFERROR(INDEX('Kode Diskon'!$D$3:$D$9,MATCH(cadangan3[[#This Row],[Kode diskon]],'Kode Diskon'!$C$3:$C$9,0)),"-")</f>
        <v>0.15</v>
      </c>
      <c r="AM13" s="23" t="s">
        <v>29</v>
      </c>
      <c r="AN13" s="23" t="s">
        <v>7</v>
      </c>
      <c r="AO13" s="23" t="s">
        <v>75</v>
      </c>
      <c r="AP13" s="24">
        <v>45020</v>
      </c>
      <c r="AQ13" s="23" t="str">
        <f>TEXT(cadangan3[[#This Row],[Tanggal terjual]],"dddd")</f>
        <v>Tuesday</v>
      </c>
    </row>
    <row r="14" spans="1:44" x14ac:dyDescent="0.2">
      <c r="A14" s="20">
        <v>13</v>
      </c>
      <c r="B14" s="21" t="str">
        <f>_xlfn.CONCAT("ORD-",INDEX(Helper!$B$2:$B$5,MATCH(cadangan3[[#This Row],[Marketplace]],Helper!$A$2:$A$5,0)),TEXT(cadangan3[[#This Row],[No]],"0000"),"-",TEXT(cadangan3[[#This Row],[Tanggal terjual]],"dd/mm/yy"))</f>
        <v>ORD-TK0013-06/04/23</v>
      </c>
      <c r="C14" t="s">
        <v>61</v>
      </c>
      <c r="D14" t="str">
        <f>IFERROR(INDEX(Katalog!$A$3:$A$12,MATCH(cadangan3[[#This Row],[ItemID A]],Katalog!$C$3:$C$12,0)),"-")</f>
        <v>Pakaian Pria</v>
      </c>
      <c r="E14" t="str">
        <f>IFERROR(INDEX(Katalog!$B$3:$B$12,MATCH(cadangan3[[#This Row],[ItemID A]],Katalog!$C$3:$C$12,0)),"-")</f>
        <v>Kaos Polo</v>
      </c>
      <c r="F14">
        <v>3</v>
      </c>
      <c r="G14">
        <v>1</v>
      </c>
      <c r="H14" s="36">
        <f>IFERROR(INDEX(Katalog!$D$3:$D$12,MATCH(cadangan3[[#This Row],[ItemID A]],Katalog!$C$3:$C$12,0))*cadangan3[[#This Row],[Qty A]],0)</f>
        <v>600000</v>
      </c>
      <c r="I14" s="36">
        <f>IFERROR(INDEX(Katalog!$D$3:$D$12,MATCH(cadangan3[[#This Row],[Item A]],Katalog!$B$3:$B$12,0))*cadangan3[[#This Row],[Qty A]],0)</f>
        <v>600000</v>
      </c>
      <c r="J14" s="36">
        <f>IFERROR(cadangan3[[#This Row],[Harga Asli A]]-(cadangan3[[#This Row],[Harga Asli A]]*cadangan3[[#This Row],[Diskon]]),cadangan3[[#This Row],[Harga Asli A]])</f>
        <v>540000</v>
      </c>
      <c r="K14" s="36">
        <f>INDEX(Katalog!$F$3:$F$12,MATCH(cadangan3[[#This Row],[ItemID A]],Katalog!$C$3:$C$12,0))*cadangan3[[#This Row],[Qty A]]</f>
        <v>240000</v>
      </c>
      <c r="L14" s="36">
        <f>IFERROR(cadangan3[[#This Row],[Profit A]]-(cadangan3[[#This Row],[Profit A]]*cadangan3[[#This Row],[Diskon]]),K14)</f>
        <v>216000</v>
      </c>
      <c r="M14" t="s">
        <v>61</v>
      </c>
      <c r="N14" t="str">
        <f>IFERROR(INDEX(Katalog!$A$3:$A$12,MATCH(cadangan3[[#This Row],[ItemID B]],Katalog!$C$3:$C$12,0)),"-")</f>
        <v>Pakaian Pria</v>
      </c>
      <c r="O14" t="str">
        <f>IFERROR(INDEX(Katalog!$B$3:$B$12,MATCH(cadangan3[[#This Row],[ItemID B]],Katalog!$C$3:$C$12,0)),"-")</f>
        <v>Kaos Polo</v>
      </c>
      <c r="P14">
        <v>1</v>
      </c>
      <c r="Q14">
        <v>1</v>
      </c>
      <c r="R14" s="36">
        <f>IFERROR(INDEX(Katalog!$D$3:$D$12,MATCH(cadangan3[[#This Row],[ItemID B]],Katalog!$C$3:$C$12,0))*cadangan3[[#This Row],[Qty B]],0)</f>
        <v>200000</v>
      </c>
      <c r="S14" s="36">
        <f>IFERROR(INDEX(Katalog!$D$3:$D$12,MATCH(cadangan3[[#This Row],[Item B]],Katalog!$B$3:$B$12,0))*cadangan3[[#This Row],[Qty B]],0)</f>
        <v>200000</v>
      </c>
      <c r="T14" s="36">
        <f>IFERROR(cadangan3[[#This Row],[Harga Asli B]]-(cadangan3[[#This Row],[Harga Asli B]]*cadangan3[[#This Row],[Diskon]]),cadangan3[[#This Row],[Harga Asli B]])</f>
        <v>180000</v>
      </c>
      <c r="U14" s="36">
        <f>IFERROR(INDEX(Katalog!$F$3:$F$12,MATCH(cadangan3[[#This Row],[ItemID B]],Katalog!$C$3:$C$12,0))*cadangan3[[#This Row],[Qty B]],0)</f>
        <v>80000</v>
      </c>
      <c r="V14" s="36">
        <f>IFERROR(cadangan3[[#This Row],[Profit B]]-(cadangan3[[#This Row],[Profit B]]*cadangan3[[#This Row],[Diskon]]),U14)</f>
        <v>72000</v>
      </c>
      <c r="W14" t="s">
        <v>61</v>
      </c>
      <c r="X14" t="str">
        <f>IFERROR(INDEX(Katalog!$A$3:$A$12,MATCH(cadangan3[[#This Row],[ItemID C]],Katalog!$C$3:$C$12,0)),"-")</f>
        <v>Pakaian Pria</v>
      </c>
      <c r="Y14" t="str">
        <f>IFERROR(INDEX(Katalog!$B$3:$B$12,MATCH(cadangan3[[#This Row],[ItemID C]],Katalog!$C$3:$C$12,0)),"-")</f>
        <v>Kaos Polo</v>
      </c>
      <c r="Z14">
        <v>1</v>
      </c>
      <c r="AA14">
        <v>4</v>
      </c>
      <c r="AB14" s="36">
        <f>IFERROR(INDEX(Katalog!$D$3:$D$12,MATCH(cadangan3[[#This Row],[ItemID C]],Katalog!$C$3:$C$12,0))*cadangan3[[#This Row],[Qty C]],0)</f>
        <v>200000</v>
      </c>
      <c r="AC14" s="36">
        <f>IFERROR(INDEX(Katalog!$D$3:$D$12,MATCH(cadangan3[[#This Row],[Item C]],Katalog!$B$3:$B$12,0))*cadangan3[[#This Row],[Qty C]],0)</f>
        <v>200000</v>
      </c>
      <c r="AD14" s="36">
        <f>IFERROR(cadangan3[[#This Row],[Harga Asli C]]-(cadangan3[[#This Row],[Harga Asli C]]*cadangan3[[#This Row],[Diskon]]),cadangan3[[#This Row],[Harga Asli C]])</f>
        <v>180000</v>
      </c>
      <c r="AE14" s="36">
        <f>IFERROR(INDEX(Katalog!$F$3:$F$12,MATCH(cadangan3[[#This Row],[ItemID C]],Katalog!$C$3:$C$12,0))*cadangan3[[#This Row],[Qty C]],0)</f>
        <v>80000</v>
      </c>
      <c r="AF14" s="36">
        <f>IFERROR(cadangan3[[#This Row],[Profit C]]-(cadangan3[[#This Row],[Profit C]]*cadangan3[[#This Row],[Diskon]]),cadangan3[[#This Row],[Profit C]])</f>
        <v>72000</v>
      </c>
      <c r="AG14" s="21">
        <f>cadangan3[[#This Row],[Qty A]]+cadangan3[[#This Row],[Qty B]]+cadangan3[[#This Row],[Qty C]]</f>
        <v>5</v>
      </c>
      <c r="AH14" s="35">
        <f>cadangan3[[#This Row],[Harga A + Diskon]]+cadangan3[[#This Row],[Harga + Diskon B]]+cadangan3[[#This Row],[Harga + Diskon C]]</f>
        <v>900000</v>
      </c>
      <c r="AI14" s="35">
        <f>(cadangan3[[#This Row],[Profit A]]+cadangan3[[#This Row],[Profit B]]+cadangan3[[#This Row],[Profit C]])</f>
        <v>400000</v>
      </c>
      <c r="AJ14" s="35">
        <f>cadangan3[[#This Row],[Provit A + Diskon]]+cadangan3[[#This Row],[Provit B + Diskon]]+cadangan3[[#This Row],[Provit C + Diskon]]</f>
        <v>360000</v>
      </c>
      <c r="AK14" s="23" t="s">
        <v>30</v>
      </c>
      <c r="AL14" s="37">
        <f>IFERROR(INDEX('Kode Diskon'!$D$3:$D$9,MATCH(cadangan3[[#This Row],[Kode diskon]],'Kode Diskon'!$C$3:$C$9,0)),"-")</f>
        <v>0.1</v>
      </c>
      <c r="AM14" s="23" t="s">
        <v>29</v>
      </c>
      <c r="AN14" s="23" t="s">
        <v>10</v>
      </c>
      <c r="AO14" s="23" t="s">
        <v>77</v>
      </c>
      <c r="AP14" s="24">
        <v>45022</v>
      </c>
      <c r="AQ14" s="23" t="str">
        <f>TEXT(cadangan3[[#This Row],[Tanggal terjual]],"dddd")</f>
        <v>Thursday</v>
      </c>
    </row>
    <row r="15" spans="1:44" x14ac:dyDescent="0.2">
      <c r="A15" s="20">
        <v>14</v>
      </c>
      <c r="B15" s="21" t="str">
        <f>_xlfn.CONCAT("ORD-",INDEX(Helper!$B$2:$B$5,MATCH(cadangan3[[#This Row],[Marketplace]],Helper!$A$2:$A$5,0)),TEXT(cadangan3[[#This Row],[No]],"0000"),"-",TEXT(cadangan3[[#This Row],[Tanggal terjual]],"dd/mm/yy"))</f>
        <v>ORD-SP0014-05/04/23</v>
      </c>
      <c r="C15" t="s">
        <v>61</v>
      </c>
      <c r="D15" t="str">
        <f>IFERROR(INDEX(Katalog!$A$3:$A$12,MATCH(cadangan3[[#This Row],[ItemID A]],Katalog!$C$3:$C$12,0)),"-")</f>
        <v>Pakaian Pria</v>
      </c>
      <c r="E15" t="str">
        <f>IFERROR(INDEX(Katalog!$B$3:$B$12,MATCH(cadangan3[[#This Row],[ItemID A]],Katalog!$C$3:$C$12,0)),"-")</f>
        <v>Kaos Polo</v>
      </c>
      <c r="F15">
        <v>1</v>
      </c>
      <c r="G15">
        <v>2</v>
      </c>
      <c r="H15" s="36">
        <f>IFERROR(INDEX(Katalog!$D$3:$D$12,MATCH(cadangan3[[#This Row],[ItemID A]],Katalog!$C$3:$C$12,0))*cadangan3[[#This Row],[Qty A]],0)</f>
        <v>200000</v>
      </c>
      <c r="I15" s="36">
        <f>IFERROR(INDEX(Katalog!$D$3:$D$12,MATCH(cadangan3[[#This Row],[Item A]],Katalog!$B$3:$B$12,0))*cadangan3[[#This Row],[Qty A]],0)</f>
        <v>200000</v>
      </c>
      <c r="J15" s="36">
        <f>IFERROR(cadangan3[[#This Row],[Harga Asli A]]-(cadangan3[[#This Row],[Harga Asli A]]*cadangan3[[#This Row],[Diskon]]),cadangan3[[#This Row],[Harga Asli A]])</f>
        <v>170000</v>
      </c>
      <c r="K15" s="36">
        <f>INDEX(Katalog!$F$3:$F$12,MATCH(cadangan3[[#This Row],[ItemID A]],Katalog!$C$3:$C$12,0))*cadangan3[[#This Row],[Qty A]]</f>
        <v>80000</v>
      </c>
      <c r="L15" s="36">
        <f>IFERROR(cadangan3[[#This Row],[Profit A]]-(cadangan3[[#This Row],[Profit A]]*cadangan3[[#This Row],[Diskon]]),K15)</f>
        <v>68000</v>
      </c>
      <c r="M15" t="s">
        <v>62</v>
      </c>
      <c r="N15" t="str">
        <f>IFERROR(INDEX(Katalog!$A$3:$A$12,MATCH(cadangan3[[#This Row],[ItemID B]],Katalog!$C$3:$C$12,0)),"-")</f>
        <v>Pakaian Pria</v>
      </c>
      <c r="O15" t="str">
        <f>IFERROR(INDEX(Katalog!$B$3:$B$12,MATCH(cadangan3[[#This Row],[ItemID B]],Katalog!$C$3:$C$12,0)),"-")</f>
        <v>Celana Pendek</v>
      </c>
      <c r="P15">
        <v>1</v>
      </c>
      <c r="Q15">
        <v>2</v>
      </c>
      <c r="R15" s="36">
        <f>IFERROR(INDEX(Katalog!$D$3:$D$12,MATCH(cadangan3[[#This Row],[ItemID B]],Katalog!$C$3:$C$12,0))*cadangan3[[#This Row],[Qty B]],0)</f>
        <v>180000</v>
      </c>
      <c r="S15" s="36">
        <f>IFERROR(INDEX(Katalog!$D$3:$D$12,MATCH(cadangan3[[#This Row],[Item B]],Katalog!$B$3:$B$12,0))*cadangan3[[#This Row],[Qty B]],0)</f>
        <v>180000</v>
      </c>
      <c r="T15" s="36">
        <f>IFERROR(cadangan3[[#This Row],[Harga Asli B]]-(cadangan3[[#This Row],[Harga Asli B]]*cadangan3[[#This Row],[Diskon]]),cadangan3[[#This Row],[Harga Asli B]])</f>
        <v>153000</v>
      </c>
      <c r="U15" s="36">
        <f>IFERROR(INDEX(Katalog!$F$3:$F$12,MATCH(cadangan3[[#This Row],[ItemID B]],Katalog!$C$3:$C$12,0))*cadangan3[[#This Row],[Qty B]],0)</f>
        <v>70000</v>
      </c>
      <c r="V15" s="36">
        <f>IFERROR(cadangan3[[#This Row],[Profit B]]-(cadangan3[[#This Row],[Profit B]]*cadangan3[[#This Row],[Diskon]]),U15)</f>
        <v>59500</v>
      </c>
      <c r="W15" t="s">
        <v>61</v>
      </c>
      <c r="X15" t="str">
        <f>IFERROR(INDEX(Katalog!$A$3:$A$12,MATCH(cadangan3[[#This Row],[ItemID C]],Katalog!$C$3:$C$12,0)),"-")</f>
        <v>Pakaian Pria</v>
      </c>
      <c r="Y15" t="str">
        <f>IFERROR(INDEX(Katalog!$B$3:$B$12,MATCH(cadangan3[[#This Row],[ItemID C]],Katalog!$C$3:$C$12,0)),"-")</f>
        <v>Kaos Polo</v>
      </c>
      <c r="Z15">
        <v>1</v>
      </c>
      <c r="AA15">
        <v>5</v>
      </c>
      <c r="AB15" s="36">
        <f>IFERROR(INDEX(Katalog!$D$3:$D$12,MATCH(cadangan3[[#This Row],[ItemID C]],Katalog!$C$3:$C$12,0))*cadangan3[[#This Row],[Qty C]],0)</f>
        <v>200000</v>
      </c>
      <c r="AC15" s="36">
        <f>IFERROR(INDEX(Katalog!$D$3:$D$12,MATCH(cadangan3[[#This Row],[Item C]],Katalog!$B$3:$B$12,0))*cadangan3[[#This Row],[Qty C]],0)</f>
        <v>200000</v>
      </c>
      <c r="AD15" s="36">
        <f>IFERROR(cadangan3[[#This Row],[Harga Asli C]]-(cadangan3[[#This Row],[Harga Asli C]]*cadangan3[[#This Row],[Diskon]]),cadangan3[[#This Row],[Harga Asli C]])</f>
        <v>170000</v>
      </c>
      <c r="AE15" s="36">
        <f>IFERROR(INDEX(Katalog!$F$3:$F$12,MATCH(cadangan3[[#This Row],[ItemID C]],Katalog!$C$3:$C$12,0))*cadangan3[[#This Row],[Qty C]],0)</f>
        <v>80000</v>
      </c>
      <c r="AF15" s="36">
        <f>IFERROR(cadangan3[[#This Row],[Profit C]]-(cadangan3[[#This Row],[Profit C]]*cadangan3[[#This Row],[Diskon]]),cadangan3[[#This Row],[Profit C]])</f>
        <v>68000</v>
      </c>
      <c r="AG15" s="21">
        <f>cadangan3[[#This Row],[Qty A]]+cadangan3[[#This Row],[Qty B]]+cadangan3[[#This Row],[Qty C]]</f>
        <v>3</v>
      </c>
      <c r="AH15" s="35">
        <f>cadangan3[[#This Row],[Harga A + Diskon]]+cadangan3[[#This Row],[Harga + Diskon B]]+cadangan3[[#This Row],[Harga + Diskon C]]</f>
        <v>493000</v>
      </c>
      <c r="AI15" s="35">
        <f>(cadangan3[[#This Row],[Profit A]]+cadangan3[[#This Row],[Profit B]]+cadangan3[[#This Row],[Profit C]])</f>
        <v>230000</v>
      </c>
      <c r="AJ15" s="35">
        <f>cadangan3[[#This Row],[Provit A + Diskon]]+cadangan3[[#This Row],[Provit B + Diskon]]+cadangan3[[#This Row],[Provit C + Diskon]]</f>
        <v>195500</v>
      </c>
      <c r="AK15" s="23" t="s">
        <v>13</v>
      </c>
      <c r="AL15" s="37">
        <f>IFERROR(INDEX('Kode Diskon'!$D$3:$D$9,MATCH(cadangan3[[#This Row],[Kode diskon]],'Kode Diskon'!$C$3:$C$9,0)),"-")</f>
        <v>0.15</v>
      </c>
      <c r="AM15" s="23" t="s">
        <v>29</v>
      </c>
      <c r="AN15" s="23" t="s">
        <v>7</v>
      </c>
      <c r="AO15" s="23" t="s">
        <v>75</v>
      </c>
      <c r="AP15" s="24">
        <v>45021</v>
      </c>
      <c r="AQ15" s="23" t="str">
        <f>TEXT(cadangan3[[#This Row],[Tanggal terjual]],"dddd")</f>
        <v>Wednesday</v>
      </c>
    </row>
    <row r="16" spans="1:44" x14ac:dyDescent="0.2">
      <c r="A16" s="20">
        <v>15</v>
      </c>
      <c r="B16" s="21" t="str">
        <f>_xlfn.CONCAT("ORD-",INDEX(Helper!$B$2:$B$5,MATCH(cadangan3[[#This Row],[Marketplace]],Helper!$A$2:$A$5,0)),TEXT(cadangan3[[#This Row],[No]],"0000"),"-",TEXT(cadangan3[[#This Row],[Tanggal terjual]],"dd/mm/yy"))</f>
        <v>ORD-BB0015-05/04/23</v>
      </c>
      <c r="C16" t="s">
        <v>62</v>
      </c>
      <c r="D16" t="str">
        <f>IFERROR(INDEX(Katalog!$A$3:$A$12,MATCH(cadangan3[[#This Row],[ItemID A]],Katalog!$C$3:$C$12,0)),"-")</f>
        <v>Pakaian Pria</v>
      </c>
      <c r="E16" t="str">
        <f>IFERROR(INDEX(Katalog!$B$3:$B$12,MATCH(cadangan3[[#This Row],[ItemID A]],Katalog!$C$3:$C$12,0)),"-")</f>
        <v>Celana Pendek</v>
      </c>
      <c r="F16">
        <v>1</v>
      </c>
      <c r="G16">
        <v>2</v>
      </c>
      <c r="H16" s="36">
        <f>IFERROR(INDEX(Katalog!$D$3:$D$12,MATCH(cadangan3[[#This Row],[ItemID A]],Katalog!$C$3:$C$12,0))*cadangan3[[#This Row],[Qty A]],0)</f>
        <v>180000</v>
      </c>
      <c r="I16" s="36">
        <f>IFERROR(INDEX(Katalog!$D$3:$D$12,MATCH(cadangan3[[#This Row],[Item A]],Katalog!$B$3:$B$12,0))*cadangan3[[#This Row],[Qty A]],0)</f>
        <v>180000</v>
      </c>
      <c r="J16" s="36">
        <f>IFERROR(cadangan3[[#This Row],[Harga Asli A]]-(cadangan3[[#This Row],[Harga Asli A]]*cadangan3[[#This Row],[Diskon]]),cadangan3[[#This Row],[Harga Asli A]])</f>
        <v>153000</v>
      </c>
      <c r="K16" s="36">
        <f>INDEX(Katalog!$F$3:$F$12,MATCH(cadangan3[[#This Row],[ItemID A]],Katalog!$C$3:$C$12,0))*cadangan3[[#This Row],[Qty A]]</f>
        <v>70000</v>
      </c>
      <c r="L16" s="36">
        <f>IFERROR(cadangan3[[#This Row],[Profit A]]-(cadangan3[[#This Row],[Profit A]]*cadangan3[[#This Row],[Diskon]]),K16)</f>
        <v>59500</v>
      </c>
      <c r="M16" t="s">
        <v>59</v>
      </c>
      <c r="N16" t="str">
        <f>IFERROR(INDEX(Katalog!$A$3:$A$12,MATCH(cadangan3[[#This Row],[ItemID B]],Katalog!$C$3:$C$12,0)),"-")</f>
        <v>Pakaian Wanita</v>
      </c>
      <c r="O16" t="str">
        <f>IFERROR(INDEX(Katalog!$B$3:$B$12,MATCH(cadangan3[[#This Row],[ItemID B]],Katalog!$C$3:$C$12,0)),"-")</f>
        <v>Blouse</v>
      </c>
      <c r="P16">
        <v>1</v>
      </c>
      <c r="Q16">
        <v>4</v>
      </c>
      <c r="R16" s="36">
        <f>IFERROR(INDEX(Katalog!$D$3:$D$12,MATCH(cadangan3[[#This Row],[ItemID B]],Katalog!$C$3:$C$12,0))*cadangan3[[#This Row],[Qty B]],0)</f>
        <v>150000</v>
      </c>
      <c r="S16" s="36">
        <f>IFERROR(INDEX(Katalog!$D$3:$D$12,MATCH(cadangan3[[#This Row],[Item B]],Katalog!$B$3:$B$12,0))*cadangan3[[#This Row],[Qty B]],0)</f>
        <v>150000</v>
      </c>
      <c r="T16" s="36">
        <f>IFERROR(cadangan3[[#This Row],[Harga Asli B]]-(cadangan3[[#This Row],[Harga Asli B]]*cadangan3[[#This Row],[Diskon]]),cadangan3[[#This Row],[Harga Asli B]])</f>
        <v>127500</v>
      </c>
      <c r="U16" s="36">
        <f>IFERROR(INDEX(Katalog!$F$3:$F$12,MATCH(cadangan3[[#This Row],[ItemID B]],Katalog!$C$3:$C$12,0))*cadangan3[[#This Row],[Qty B]],0)</f>
        <v>50000</v>
      </c>
      <c r="V16" s="36">
        <f>IFERROR(cadangan3[[#This Row],[Profit B]]-(cadangan3[[#This Row],[Profit B]]*cadangan3[[#This Row],[Diskon]]),U16)</f>
        <v>42500</v>
      </c>
      <c r="W16" t="s">
        <v>66</v>
      </c>
      <c r="X16" t="str">
        <f>IFERROR(INDEX(Katalog!$A$3:$A$12,MATCH(cadangan3[[#This Row],[ItemID C]],Katalog!$C$3:$C$12,0)),"-")</f>
        <v>Sepatu Pria</v>
      </c>
      <c r="Y16" t="str">
        <f>IFERROR(INDEX(Katalog!$B$3:$B$12,MATCH(cadangan3[[#This Row],[ItemID C]],Katalog!$C$3:$C$12,0)),"-")</f>
        <v>Sandal Slip On</v>
      </c>
      <c r="Z16">
        <v>3</v>
      </c>
      <c r="AA16">
        <v>5</v>
      </c>
      <c r="AB16" s="36">
        <f>IFERROR(INDEX(Katalog!$D$3:$D$12,MATCH(cadangan3[[#This Row],[ItemID C]],Katalog!$C$3:$C$12,0))*cadangan3[[#This Row],[Qty C]],0)</f>
        <v>450000</v>
      </c>
      <c r="AC16" s="36">
        <f>IFERROR(INDEX(Katalog!$D$3:$D$12,MATCH(cadangan3[[#This Row],[Item C]],Katalog!$B$3:$B$12,0))*cadangan3[[#This Row],[Qty C]],0)</f>
        <v>450000</v>
      </c>
      <c r="AD16" s="36">
        <f>IFERROR(cadangan3[[#This Row],[Harga Asli C]]-(cadangan3[[#This Row],[Harga Asli C]]*cadangan3[[#This Row],[Diskon]]),cadangan3[[#This Row],[Harga Asli C]])</f>
        <v>382500</v>
      </c>
      <c r="AE16" s="36">
        <f>IFERROR(INDEX(Katalog!$F$3:$F$12,MATCH(cadangan3[[#This Row],[ItemID C]],Katalog!$C$3:$C$12,0))*cadangan3[[#This Row],[Qty C]],0)</f>
        <v>180000</v>
      </c>
      <c r="AF16" s="36">
        <f>IFERROR(cadangan3[[#This Row],[Profit C]]-(cadangan3[[#This Row],[Profit C]]*cadangan3[[#This Row],[Diskon]]),cadangan3[[#This Row],[Profit C]])</f>
        <v>153000</v>
      </c>
      <c r="AG16" s="21">
        <f>cadangan3[[#This Row],[Qty A]]+cadangan3[[#This Row],[Qty B]]+cadangan3[[#This Row],[Qty C]]</f>
        <v>5</v>
      </c>
      <c r="AH16" s="35">
        <f>cadangan3[[#This Row],[Harga A + Diskon]]+cadangan3[[#This Row],[Harga + Diskon B]]+cadangan3[[#This Row],[Harga + Diskon C]]</f>
        <v>663000</v>
      </c>
      <c r="AI16" s="35">
        <f>(cadangan3[[#This Row],[Profit A]]+cadangan3[[#This Row],[Profit B]]+cadangan3[[#This Row],[Profit C]])</f>
        <v>300000</v>
      </c>
      <c r="AJ16" s="35">
        <f>cadangan3[[#This Row],[Provit A + Diskon]]+cadangan3[[#This Row],[Provit B + Diskon]]+cadangan3[[#This Row],[Provit C + Diskon]]</f>
        <v>255000</v>
      </c>
      <c r="AK16" s="23" t="s">
        <v>28</v>
      </c>
      <c r="AL16" s="37">
        <f>IFERROR(INDEX('Kode Diskon'!$D$3:$D$9,MATCH(cadangan3[[#This Row],[Kode diskon]],'Kode Diskon'!$C$3:$C$9,0)),"-")</f>
        <v>0.15</v>
      </c>
      <c r="AM16" s="23" t="s">
        <v>29</v>
      </c>
      <c r="AN16" s="23" t="s">
        <v>14</v>
      </c>
      <c r="AO16" s="23" t="s">
        <v>75</v>
      </c>
      <c r="AP16" s="24">
        <v>45021</v>
      </c>
      <c r="AQ16" s="23" t="str">
        <f>TEXT(cadangan3[[#This Row],[Tanggal terjual]],"dddd")</f>
        <v>Wednesday</v>
      </c>
    </row>
    <row r="17" spans="1:43" x14ac:dyDescent="0.2">
      <c r="A17" s="20">
        <v>16</v>
      </c>
      <c r="B17" s="21" t="str">
        <f>_xlfn.CONCAT("ORD-",INDEX(Helper!$B$2:$B$5,MATCH(cadangan3[[#This Row],[Marketplace]],Helper!$A$2:$A$5,0)),TEXT(cadangan3[[#This Row],[No]],"0000"),"-",TEXT(cadangan3[[#This Row],[Tanggal terjual]],"dd/mm/yy"))</f>
        <v>ORD-SP0016-01/04/23</v>
      </c>
      <c r="C17" t="s">
        <v>61</v>
      </c>
      <c r="D17" t="str">
        <f>IFERROR(INDEX(Katalog!$A$3:$A$12,MATCH(cadangan3[[#This Row],[ItemID A]],Katalog!$C$3:$C$12,0)),"-")</f>
        <v>Pakaian Pria</v>
      </c>
      <c r="E17" t="str">
        <f>IFERROR(INDEX(Katalog!$B$3:$B$12,MATCH(cadangan3[[#This Row],[ItemID A]],Katalog!$C$3:$C$12,0)),"-")</f>
        <v>Kaos Polo</v>
      </c>
      <c r="F17">
        <v>1</v>
      </c>
      <c r="G17">
        <v>1</v>
      </c>
      <c r="H17" s="36">
        <f>IFERROR(INDEX(Katalog!$D$3:$D$12,MATCH(cadangan3[[#This Row],[ItemID A]],Katalog!$C$3:$C$12,0))*cadangan3[[#This Row],[Qty A]],0)</f>
        <v>200000</v>
      </c>
      <c r="I17" s="36">
        <f>IFERROR(INDEX(Katalog!$D$3:$D$12,MATCH(cadangan3[[#This Row],[Item A]],Katalog!$B$3:$B$12,0))*cadangan3[[#This Row],[Qty A]],0)</f>
        <v>200000</v>
      </c>
      <c r="J17" s="36">
        <f>IFERROR(cadangan3[[#This Row],[Harga Asli A]]-(cadangan3[[#This Row],[Harga Asli A]]*cadangan3[[#This Row],[Diskon]]),cadangan3[[#This Row],[Harga Asli A]])</f>
        <v>170000</v>
      </c>
      <c r="K17" s="36">
        <f>INDEX(Katalog!$F$3:$F$12,MATCH(cadangan3[[#This Row],[ItemID A]],Katalog!$C$3:$C$12,0))*cadangan3[[#This Row],[Qty A]]</f>
        <v>80000</v>
      </c>
      <c r="L17" s="36">
        <f>IFERROR(cadangan3[[#This Row],[Profit A]]-(cadangan3[[#This Row],[Profit A]]*cadangan3[[#This Row],[Diskon]]),K17)</f>
        <v>68000</v>
      </c>
      <c r="N17" t="str">
        <f>IFERROR(INDEX(Katalog!$A$3:$A$12,MATCH(cadangan3[[#This Row],[ItemID B]],Katalog!$C$3:$C$12,0)),"-")</f>
        <v>-</v>
      </c>
      <c r="O17" t="str">
        <f>IFERROR(INDEX(Katalog!$B$3:$B$12,MATCH(cadangan3[[#This Row],[ItemID B]],Katalog!$C$3:$C$12,0)),"-")</f>
        <v>-</v>
      </c>
      <c r="R17" s="36">
        <f>IFERROR(INDEX(Katalog!$D$3:$D$12,MATCH(cadangan3[[#This Row],[ItemID B]],Katalog!$C$3:$C$12,0))*cadangan3[[#This Row],[Qty B]],0)</f>
        <v>0</v>
      </c>
      <c r="S17" s="36">
        <f>IFERROR(INDEX(Katalog!$D$3:$D$12,MATCH(cadangan3[[#This Row],[Item B]],Katalog!$B$3:$B$12,0))*cadangan3[[#This Row],[Qty B]],0)</f>
        <v>0</v>
      </c>
      <c r="T17" s="36">
        <f>IFERROR(cadangan3[[#This Row],[Harga Asli B]]-(cadangan3[[#This Row],[Harga Asli B]]*cadangan3[[#This Row],[Diskon]]),cadangan3[[#This Row],[Harga Asli B]])</f>
        <v>0</v>
      </c>
      <c r="U17" s="36">
        <f>IFERROR(INDEX(Katalog!$F$3:$F$12,MATCH(cadangan3[[#This Row],[ItemID B]],Katalog!$C$3:$C$12,0))*cadangan3[[#This Row],[Qty B]],0)</f>
        <v>0</v>
      </c>
      <c r="V17" s="36">
        <f>IFERROR(cadangan3[[#This Row],[Profit B]]-(cadangan3[[#This Row],[Profit B]]*cadangan3[[#This Row],[Diskon]]),U17)</f>
        <v>0</v>
      </c>
      <c r="X17" t="str">
        <f>IFERROR(INDEX(Katalog!$A$3:$A$12,MATCH(cadangan3[[#This Row],[ItemID C]],Katalog!$C$3:$C$12,0)),"-")</f>
        <v>-</v>
      </c>
      <c r="Y17" t="str">
        <f>IFERROR(INDEX(Katalog!$B$3:$B$12,MATCH(cadangan3[[#This Row],[ItemID C]],Katalog!$C$3:$C$12,0)),"-")</f>
        <v>-</v>
      </c>
      <c r="AB17" s="36">
        <f>IFERROR(INDEX(Katalog!$D$3:$D$12,MATCH(cadangan3[[#This Row],[ItemID C]],Katalog!$C$3:$C$12,0))*cadangan3[[#This Row],[Qty C]],0)</f>
        <v>0</v>
      </c>
      <c r="AC17" s="36">
        <f>IFERROR(INDEX(Katalog!$D$3:$D$12,MATCH(cadangan3[[#This Row],[Item C]],Katalog!$B$3:$B$12,0))*cadangan3[[#This Row],[Qty C]],0)</f>
        <v>0</v>
      </c>
      <c r="AD17" s="36">
        <f>IFERROR(cadangan3[[#This Row],[Harga Asli C]]-(cadangan3[[#This Row],[Harga Asli C]]*cadangan3[[#This Row],[Diskon]]),cadangan3[[#This Row],[Harga Asli C]])</f>
        <v>0</v>
      </c>
      <c r="AE17" s="36">
        <f>IFERROR(INDEX(Katalog!$F$3:$F$12,MATCH(cadangan3[[#This Row],[ItemID C]],Katalog!$C$3:$C$12,0))*cadangan3[[#This Row],[Qty C]],0)</f>
        <v>0</v>
      </c>
      <c r="AF17" s="36">
        <f>IFERROR(cadangan3[[#This Row],[Profit C]]-(cadangan3[[#This Row],[Profit C]]*cadangan3[[#This Row],[Diskon]]),cadangan3[[#This Row],[Profit C]])</f>
        <v>0</v>
      </c>
      <c r="AG17" s="21">
        <f>cadangan3[[#This Row],[Qty A]]+cadangan3[[#This Row],[Qty B]]+cadangan3[[#This Row],[Qty C]]</f>
        <v>1</v>
      </c>
      <c r="AH17" s="35">
        <f>cadangan3[[#This Row],[Harga A + Diskon]]+cadangan3[[#This Row],[Harga + Diskon B]]+cadangan3[[#This Row],[Harga + Diskon C]]</f>
        <v>170000</v>
      </c>
      <c r="AI17" s="35">
        <f>(cadangan3[[#This Row],[Profit A]]+cadangan3[[#This Row],[Profit B]]+cadangan3[[#This Row],[Profit C]])</f>
        <v>80000</v>
      </c>
      <c r="AJ17" s="35">
        <f>cadangan3[[#This Row],[Provit A + Diskon]]+cadangan3[[#This Row],[Provit B + Diskon]]+cadangan3[[#This Row],[Provit C + Diskon]]</f>
        <v>68000</v>
      </c>
      <c r="AK17" s="23" t="s">
        <v>13</v>
      </c>
      <c r="AL17" s="37">
        <f>IFERROR(INDEX('Kode Diskon'!$D$3:$D$9,MATCH(cadangan3[[#This Row],[Kode diskon]],'Kode Diskon'!$C$3:$C$9,0)),"-")</f>
        <v>0.15</v>
      </c>
      <c r="AM17" s="23" t="s">
        <v>29</v>
      </c>
      <c r="AN17" s="23" t="s">
        <v>7</v>
      </c>
      <c r="AO17" s="23" t="s">
        <v>78</v>
      </c>
      <c r="AP17" s="24">
        <v>45017</v>
      </c>
      <c r="AQ17" s="23" t="str">
        <f>TEXT(cadangan3[[#This Row],[Tanggal terjual]],"dddd")</f>
        <v>Saturday</v>
      </c>
    </row>
    <row r="18" spans="1:43" x14ac:dyDescent="0.2">
      <c r="A18" s="20">
        <v>17</v>
      </c>
      <c r="B18" s="21" t="str">
        <f>_xlfn.CONCAT("ORD-",INDEX(Helper!$B$2:$B$5,MATCH(cadangan3[[#This Row],[Marketplace]],Helper!$A$2:$A$5,0)),TEXT(cadangan3[[#This Row],[No]],"0000"),"-",TEXT(cadangan3[[#This Row],[Tanggal terjual]],"dd/mm/yy"))</f>
        <v>ORD-BB0017-05/04/23</v>
      </c>
      <c r="C18" t="s">
        <v>64</v>
      </c>
      <c r="D18" t="str">
        <f>IFERROR(INDEX(Katalog!$A$3:$A$12,MATCH(cadangan3[[#This Row],[ItemID A]],Katalog!$C$3:$C$12,0)),"-")</f>
        <v>Pakaian Unisex</v>
      </c>
      <c r="E18" t="str">
        <f>IFERROR(INDEX(Katalog!$B$3:$B$12,MATCH(cadangan3[[#This Row],[ItemID A]],Katalog!$C$3:$C$12,0)),"-")</f>
        <v>Jaket Hoodie</v>
      </c>
      <c r="F18">
        <v>2</v>
      </c>
      <c r="G18">
        <v>4</v>
      </c>
      <c r="H18" s="36">
        <f>IFERROR(INDEX(Katalog!$D$3:$D$12,MATCH(cadangan3[[#This Row],[ItemID A]],Katalog!$C$3:$C$12,0))*cadangan3[[#This Row],[Qty A]],0)</f>
        <v>700000</v>
      </c>
      <c r="I18" s="36">
        <f>IFERROR(INDEX(Katalog!$D$3:$D$12,MATCH(cadangan3[[#This Row],[Item A]],Katalog!$B$3:$B$12,0))*cadangan3[[#This Row],[Qty A]],0)</f>
        <v>700000</v>
      </c>
      <c r="J18" s="36">
        <f>IFERROR(cadangan3[[#This Row],[Harga Asli A]]-(cadangan3[[#This Row],[Harga Asli A]]*cadangan3[[#This Row],[Diskon]]),cadangan3[[#This Row],[Harga Asli A]])</f>
        <v>595000</v>
      </c>
      <c r="K18" s="36">
        <f>INDEX(Katalog!$F$3:$F$12,MATCH(cadangan3[[#This Row],[ItemID A]],Katalog!$C$3:$C$12,0))*cadangan3[[#This Row],[Qty A]]</f>
        <v>260000</v>
      </c>
      <c r="L18" s="36">
        <f>IFERROR(cadangan3[[#This Row],[Profit A]]-(cadangan3[[#This Row],[Profit A]]*cadangan3[[#This Row],[Diskon]]),K18)</f>
        <v>221000</v>
      </c>
      <c r="M18" t="s">
        <v>58</v>
      </c>
      <c r="N18" t="str">
        <f>IFERROR(INDEX(Katalog!$A$3:$A$12,MATCH(cadangan3[[#This Row],[ItemID B]],Katalog!$C$3:$C$12,0)),"-")</f>
        <v>Pakaian Wanita</v>
      </c>
      <c r="O18" t="str">
        <f>IFERROR(INDEX(Katalog!$B$3:$B$12,MATCH(cadangan3[[#This Row],[ItemID B]],Katalog!$C$3:$C$12,0)),"-")</f>
        <v>Dress</v>
      </c>
      <c r="P18">
        <v>1</v>
      </c>
      <c r="Q18">
        <v>5</v>
      </c>
      <c r="R18" s="36">
        <f>IFERROR(INDEX(Katalog!$D$3:$D$12,MATCH(cadangan3[[#This Row],[ItemID B]],Katalog!$C$3:$C$12,0))*cadangan3[[#This Row],[Qty B]],0)</f>
        <v>300000</v>
      </c>
      <c r="S18" s="36">
        <f>IFERROR(INDEX(Katalog!$D$3:$D$12,MATCH(cadangan3[[#This Row],[Item B]],Katalog!$B$3:$B$12,0))*cadangan3[[#This Row],[Qty B]],0)</f>
        <v>300000</v>
      </c>
      <c r="T18" s="36">
        <f>IFERROR(cadangan3[[#This Row],[Harga Asli B]]-(cadangan3[[#This Row],[Harga Asli B]]*cadangan3[[#This Row],[Diskon]]),cadangan3[[#This Row],[Harga Asli B]])</f>
        <v>255000</v>
      </c>
      <c r="U18" s="36">
        <f>IFERROR(INDEX(Katalog!$F$3:$F$12,MATCH(cadangan3[[#This Row],[ItemID B]],Katalog!$C$3:$C$12,0))*cadangan3[[#This Row],[Qty B]],0)</f>
        <v>100000</v>
      </c>
      <c r="V18" s="36">
        <f>IFERROR(cadangan3[[#This Row],[Profit B]]-(cadangan3[[#This Row],[Profit B]]*cadangan3[[#This Row],[Diskon]]),U18)</f>
        <v>85000</v>
      </c>
      <c r="X18" t="str">
        <f>IFERROR(INDEX(Katalog!$A$3:$A$12,MATCH(cadangan3[[#This Row],[ItemID C]],Katalog!$C$3:$C$12,0)),"-")</f>
        <v>-</v>
      </c>
      <c r="Y18" t="str">
        <f>IFERROR(INDEX(Katalog!$B$3:$B$12,MATCH(cadangan3[[#This Row],[ItemID C]],Katalog!$C$3:$C$12,0)),"-")</f>
        <v>-</v>
      </c>
      <c r="AB18" s="36">
        <f>IFERROR(INDEX(Katalog!$D$3:$D$12,MATCH(cadangan3[[#This Row],[ItemID C]],Katalog!$C$3:$C$12,0))*cadangan3[[#This Row],[Qty C]],0)</f>
        <v>0</v>
      </c>
      <c r="AC18" s="36">
        <f>IFERROR(INDEX(Katalog!$D$3:$D$12,MATCH(cadangan3[[#This Row],[Item C]],Katalog!$B$3:$B$12,0))*cadangan3[[#This Row],[Qty C]],0)</f>
        <v>0</v>
      </c>
      <c r="AD18" s="36">
        <f>IFERROR(cadangan3[[#This Row],[Harga Asli C]]-(cadangan3[[#This Row],[Harga Asli C]]*cadangan3[[#This Row],[Diskon]]),cadangan3[[#This Row],[Harga Asli C]])</f>
        <v>0</v>
      </c>
      <c r="AE18" s="36">
        <f>IFERROR(INDEX(Katalog!$F$3:$F$12,MATCH(cadangan3[[#This Row],[ItemID C]],Katalog!$C$3:$C$12,0))*cadangan3[[#This Row],[Qty C]],0)</f>
        <v>0</v>
      </c>
      <c r="AF18" s="36">
        <f>IFERROR(cadangan3[[#This Row],[Profit C]]-(cadangan3[[#This Row],[Profit C]]*cadangan3[[#This Row],[Diskon]]),cadangan3[[#This Row],[Profit C]])</f>
        <v>0</v>
      </c>
      <c r="AG18" s="21">
        <f>cadangan3[[#This Row],[Qty A]]+cadangan3[[#This Row],[Qty B]]+cadangan3[[#This Row],[Qty C]]</f>
        <v>3</v>
      </c>
      <c r="AH18" s="35">
        <f>cadangan3[[#This Row],[Harga A + Diskon]]+cadangan3[[#This Row],[Harga + Diskon B]]+cadangan3[[#This Row],[Harga + Diskon C]]</f>
        <v>850000</v>
      </c>
      <c r="AI18" s="35">
        <f>(cadangan3[[#This Row],[Profit A]]+cadangan3[[#This Row],[Profit B]]+cadangan3[[#This Row],[Profit C]])</f>
        <v>360000</v>
      </c>
      <c r="AJ18" s="35">
        <f>cadangan3[[#This Row],[Provit A + Diskon]]+cadangan3[[#This Row],[Provit B + Diskon]]+cadangan3[[#This Row],[Provit C + Diskon]]</f>
        <v>306000</v>
      </c>
      <c r="AK18" s="23" t="s">
        <v>28</v>
      </c>
      <c r="AL18" s="37">
        <f>IFERROR(INDEX('Kode Diskon'!$D$3:$D$9,MATCH(cadangan3[[#This Row],[Kode diskon]],'Kode Diskon'!$C$3:$C$9,0)),"-")</f>
        <v>0.15</v>
      </c>
      <c r="AM18" s="23" t="s">
        <v>29</v>
      </c>
      <c r="AN18" s="23" t="s">
        <v>14</v>
      </c>
      <c r="AO18" s="23" t="s">
        <v>80</v>
      </c>
      <c r="AP18" s="24">
        <v>45021</v>
      </c>
      <c r="AQ18" s="23" t="str">
        <f>TEXT(cadangan3[[#This Row],[Tanggal terjual]],"dddd")</f>
        <v>Wednesday</v>
      </c>
    </row>
    <row r="19" spans="1:43" x14ac:dyDescent="0.2">
      <c r="A19" s="20">
        <v>18</v>
      </c>
      <c r="B19" s="21" t="str">
        <f>_xlfn.CONCAT("ORD-",INDEX(Helper!$B$2:$B$5,MATCH(cadangan3[[#This Row],[Marketplace]],Helper!$A$2:$A$5,0)),TEXT(cadangan3[[#This Row],[No]],"0000"),"-",TEXT(cadangan3[[#This Row],[Tanggal terjual]],"dd/mm/yy"))</f>
        <v>ORD-BB0018-06/04/23</v>
      </c>
      <c r="C19" t="s">
        <v>58</v>
      </c>
      <c r="D19" t="str">
        <f>IFERROR(INDEX(Katalog!$A$3:$A$12,MATCH(cadangan3[[#This Row],[ItemID A]],Katalog!$C$3:$C$12,0)),"-")</f>
        <v>Pakaian Wanita</v>
      </c>
      <c r="E19" t="str">
        <f>IFERROR(INDEX(Katalog!$B$3:$B$12,MATCH(cadangan3[[#This Row],[ItemID A]],Katalog!$C$3:$C$12,0)),"-")</f>
        <v>Dress</v>
      </c>
      <c r="F19">
        <v>1</v>
      </c>
      <c r="G19">
        <v>4</v>
      </c>
      <c r="H19" s="36">
        <f>IFERROR(INDEX(Katalog!$D$3:$D$12,MATCH(cadangan3[[#This Row],[ItemID A]],Katalog!$C$3:$C$12,0))*cadangan3[[#This Row],[Qty A]],0)</f>
        <v>300000</v>
      </c>
      <c r="I19" s="36">
        <f>IFERROR(INDEX(Katalog!$D$3:$D$12,MATCH(cadangan3[[#This Row],[Item A]],Katalog!$B$3:$B$12,0))*cadangan3[[#This Row],[Qty A]],0)</f>
        <v>300000</v>
      </c>
      <c r="J19" s="36">
        <f>IFERROR(cadangan3[[#This Row],[Harga Asli A]]-(cadangan3[[#This Row],[Harga Asli A]]*cadangan3[[#This Row],[Diskon]]),cadangan3[[#This Row],[Harga Asli A]])</f>
        <v>255000</v>
      </c>
      <c r="K19" s="36">
        <f>INDEX(Katalog!$F$3:$F$12,MATCH(cadangan3[[#This Row],[ItemID A]],Katalog!$C$3:$C$12,0))*cadangan3[[#This Row],[Qty A]]</f>
        <v>100000</v>
      </c>
      <c r="L19" s="36">
        <f>IFERROR(cadangan3[[#This Row],[Profit A]]-(cadangan3[[#This Row],[Profit A]]*cadangan3[[#This Row],[Diskon]]),K19)</f>
        <v>85000</v>
      </c>
      <c r="N19" t="str">
        <f>IFERROR(INDEX(Katalog!$A$3:$A$12,MATCH(cadangan3[[#This Row],[ItemID B]],Katalog!$C$3:$C$12,0)),"-")</f>
        <v>-</v>
      </c>
      <c r="O19" t="str">
        <f>IFERROR(INDEX(Katalog!$B$3:$B$12,MATCH(cadangan3[[#This Row],[ItemID B]],Katalog!$C$3:$C$12,0)),"-")</f>
        <v>-</v>
      </c>
      <c r="R19" s="36">
        <f>IFERROR(INDEX(Katalog!$D$3:$D$12,MATCH(cadangan3[[#This Row],[ItemID B]],Katalog!$C$3:$C$12,0))*cadangan3[[#This Row],[Qty B]],0)</f>
        <v>0</v>
      </c>
      <c r="S19" s="36">
        <f>IFERROR(INDEX(Katalog!$D$3:$D$12,MATCH(cadangan3[[#This Row],[Item B]],Katalog!$B$3:$B$12,0))*cadangan3[[#This Row],[Qty B]],0)</f>
        <v>0</v>
      </c>
      <c r="T19" s="36">
        <f>IFERROR(cadangan3[[#This Row],[Harga Asli B]]-(cadangan3[[#This Row],[Harga Asli B]]*cadangan3[[#This Row],[Diskon]]),cadangan3[[#This Row],[Harga Asli B]])</f>
        <v>0</v>
      </c>
      <c r="U19" s="36">
        <f>IFERROR(INDEX(Katalog!$F$3:$F$12,MATCH(cadangan3[[#This Row],[ItemID B]],Katalog!$C$3:$C$12,0))*cadangan3[[#This Row],[Qty B]],0)</f>
        <v>0</v>
      </c>
      <c r="V19" s="36">
        <f>IFERROR(cadangan3[[#This Row],[Profit B]]-(cadangan3[[#This Row],[Profit B]]*cadangan3[[#This Row],[Diskon]]),U19)</f>
        <v>0</v>
      </c>
      <c r="X19" t="str">
        <f>IFERROR(INDEX(Katalog!$A$3:$A$12,MATCH(cadangan3[[#This Row],[ItemID C]],Katalog!$C$3:$C$12,0)),"-")</f>
        <v>-</v>
      </c>
      <c r="Y19" t="str">
        <f>IFERROR(INDEX(Katalog!$B$3:$B$12,MATCH(cadangan3[[#This Row],[ItemID C]],Katalog!$C$3:$C$12,0)),"-")</f>
        <v>-</v>
      </c>
      <c r="AB19" s="36">
        <f>IFERROR(INDEX(Katalog!$D$3:$D$12,MATCH(cadangan3[[#This Row],[ItemID C]],Katalog!$C$3:$C$12,0))*cadangan3[[#This Row],[Qty C]],0)</f>
        <v>0</v>
      </c>
      <c r="AC19" s="36">
        <f>IFERROR(INDEX(Katalog!$D$3:$D$12,MATCH(cadangan3[[#This Row],[Item C]],Katalog!$B$3:$B$12,0))*cadangan3[[#This Row],[Qty C]],0)</f>
        <v>0</v>
      </c>
      <c r="AD19" s="36">
        <f>IFERROR(cadangan3[[#This Row],[Harga Asli C]]-(cadangan3[[#This Row],[Harga Asli C]]*cadangan3[[#This Row],[Diskon]]),cadangan3[[#This Row],[Harga Asli C]])</f>
        <v>0</v>
      </c>
      <c r="AE19" s="36">
        <f>IFERROR(INDEX(Katalog!$F$3:$F$12,MATCH(cadangan3[[#This Row],[ItemID C]],Katalog!$C$3:$C$12,0))*cadangan3[[#This Row],[Qty C]],0)</f>
        <v>0</v>
      </c>
      <c r="AF19" s="36">
        <f>IFERROR(cadangan3[[#This Row],[Profit C]]-(cadangan3[[#This Row],[Profit C]]*cadangan3[[#This Row],[Diskon]]),cadangan3[[#This Row],[Profit C]])</f>
        <v>0</v>
      </c>
      <c r="AG19" s="21">
        <f>cadangan3[[#This Row],[Qty A]]+cadangan3[[#This Row],[Qty B]]+cadangan3[[#This Row],[Qty C]]</f>
        <v>1</v>
      </c>
      <c r="AH19" s="35">
        <f>cadangan3[[#This Row],[Harga A + Diskon]]+cadangan3[[#This Row],[Harga + Diskon B]]+cadangan3[[#This Row],[Harga + Diskon C]]</f>
        <v>255000</v>
      </c>
      <c r="AI19" s="35">
        <f>(cadangan3[[#This Row],[Profit A]]+cadangan3[[#This Row],[Profit B]]+cadangan3[[#This Row],[Profit C]])</f>
        <v>100000</v>
      </c>
      <c r="AJ19" s="35">
        <f>cadangan3[[#This Row],[Provit A + Diskon]]+cadangan3[[#This Row],[Provit B + Diskon]]+cadangan3[[#This Row],[Provit C + Diskon]]</f>
        <v>85000</v>
      </c>
      <c r="AK19" s="23" t="s">
        <v>28</v>
      </c>
      <c r="AL19" s="37">
        <f>IFERROR(INDEX('Kode Diskon'!$D$3:$D$9,MATCH(cadangan3[[#This Row],[Kode diskon]],'Kode Diskon'!$C$3:$C$9,0)),"-")</f>
        <v>0.15</v>
      </c>
      <c r="AM19" s="23" t="s">
        <v>29</v>
      </c>
      <c r="AN19" s="23" t="s">
        <v>14</v>
      </c>
      <c r="AO19" s="23" t="s">
        <v>77</v>
      </c>
      <c r="AP19" s="24">
        <v>45022</v>
      </c>
      <c r="AQ19" s="23" t="str">
        <f>TEXT(cadangan3[[#This Row],[Tanggal terjual]],"dddd")</f>
        <v>Thursday</v>
      </c>
    </row>
    <row r="20" spans="1:43" x14ac:dyDescent="0.2">
      <c r="A20" s="20">
        <v>19</v>
      </c>
      <c r="B20" s="21" t="str">
        <f>_xlfn.CONCAT("ORD-",INDEX(Helper!$B$2:$B$5,MATCH(cadangan3[[#This Row],[Marketplace]],Helper!$A$2:$A$5,0)),TEXT(cadangan3[[#This Row],[No]],"0000"),"-",TEXT(cadangan3[[#This Row],[Tanggal terjual]],"dd/mm/yy"))</f>
        <v>ORD-SP0019-02/04/23</v>
      </c>
      <c r="C20" t="s">
        <v>66</v>
      </c>
      <c r="D20" t="str">
        <f>IFERROR(INDEX(Katalog!$A$3:$A$12,MATCH(cadangan3[[#This Row],[ItemID A]],Katalog!$C$3:$C$12,0)),"-")</f>
        <v>Sepatu Pria</v>
      </c>
      <c r="E20" t="str">
        <f>IFERROR(INDEX(Katalog!$B$3:$B$12,MATCH(cadangan3[[#This Row],[ItemID A]],Katalog!$C$3:$C$12,0)),"-")</f>
        <v>Sandal Slip On</v>
      </c>
      <c r="F20">
        <v>1</v>
      </c>
      <c r="G20">
        <v>4</v>
      </c>
      <c r="H20" s="36">
        <f>IFERROR(INDEX(Katalog!$D$3:$D$12,MATCH(cadangan3[[#This Row],[ItemID A]],Katalog!$C$3:$C$12,0))*cadangan3[[#This Row],[Qty A]],0)</f>
        <v>150000</v>
      </c>
      <c r="I20" s="36">
        <f>IFERROR(INDEX(Katalog!$D$3:$D$12,MATCH(cadangan3[[#This Row],[Item A]],Katalog!$B$3:$B$12,0))*cadangan3[[#This Row],[Qty A]],0)</f>
        <v>150000</v>
      </c>
      <c r="J20" s="36">
        <f>IFERROR(cadangan3[[#This Row],[Harga Asli A]]-(cadangan3[[#This Row],[Harga Asli A]]*cadangan3[[#This Row],[Diskon]]),cadangan3[[#This Row],[Harga Asli A]])</f>
        <v>135000</v>
      </c>
      <c r="K20" s="36">
        <f>INDEX(Katalog!$F$3:$F$12,MATCH(cadangan3[[#This Row],[ItemID A]],Katalog!$C$3:$C$12,0))*cadangan3[[#This Row],[Qty A]]</f>
        <v>60000</v>
      </c>
      <c r="L20" s="36">
        <f>IFERROR(cadangan3[[#This Row],[Profit A]]-(cadangan3[[#This Row],[Profit A]]*cadangan3[[#This Row],[Diskon]]),K20)</f>
        <v>54000</v>
      </c>
      <c r="M20" t="s">
        <v>67</v>
      </c>
      <c r="N20" t="str">
        <f>IFERROR(INDEX(Katalog!$A$3:$A$12,MATCH(cadangan3[[#This Row],[ItemID B]],Katalog!$C$3:$C$12,0)),"-")</f>
        <v>Sepatu Wanita</v>
      </c>
      <c r="O20" t="str">
        <f>IFERROR(INDEX(Katalog!$B$3:$B$12,MATCH(cadangan3[[#This Row],[ItemID B]],Katalog!$C$3:$C$12,0)),"-")</f>
        <v>Flat Shoes</v>
      </c>
      <c r="P20">
        <v>2</v>
      </c>
      <c r="Q20">
        <v>2</v>
      </c>
      <c r="R20" s="36">
        <f>IFERROR(INDEX(Katalog!$D$3:$D$12,MATCH(cadangan3[[#This Row],[ItemID B]],Katalog!$C$3:$C$12,0))*cadangan3[[#This Row],[Qty B]],0)</f>
        <v>500000</v>
      </c>
      <c r="S20" s="36">
        <f>IFERROR(INDEX(Katalog!$D$3:$D$12,MATCH(cadangan3[[#This Row],[Item B]],Katalog!$B$3:$B$12,0))*cadangan3[[#This Row],[Qty B]],0)</f>
        <v>500000</v>
      </c>
      <c r="T20" s="36">
        <f>IFERROR(cadangan3[[#This Row],[Harga Asli B]]-(cadangan3[[#This Row],[Harga Asli B]]*cadangan3[[#This Row],[Diskon]]),cadangan3[[#This Row],[Harga Asli B]])</f>
        <v>450000</v>
      </c>
      <c r="U20" s="36">
        <f>IFERROR(INDEX(Katalog!$F$3:$F$12,MATCH(cadangan3[[#This Row],[ItemID B]],Katalog!$C$3:$C$12,0))*cadangan3[[#This Row],[Qty B]],0)</f>
        <v>200000</v>
      </c>
      <c r="V20" s="36">
        <f>IFERROR(cadangan3[[#This Row],[Profit B]]-(cadangan3[[#This Row],[Profit B]]*cadangan3[[#This Row],[Diskon]]),U20)</f>
        <v>180000</v>
      </c>
      <c r="W20" t="s">
        <v>61</v>
      </c>
      <c r="X20" t="str">
        <f>IFERROR(INDEX(Katalog!$A$3:$A$12,MATCH(cadangan3[[#This Row],[ItemID C]],Katalog!$C$3:$C$12,0)),"-")</f>
        <v>Pakaian Pria</v>
      </c>
      <c r="Y20" t="str">
        <f>IFERROR(INDEX(Katalog!$B$3:$B$12,MATCH(cadangan3[[#This Row],[ItemID C]],Katalog!$C$3:$C$12,0)),"-")</f>
        <v>Kaos Polo</v>
      </c>
      <c r="Z20">
        <v>1</v>
      </c>
      <c r="AA20">
        <v>4</v>
      </c>
      <c r="AB20" s="36">
        <f>IFERROR(INDEX(Katalog!$D$3:$D$12,MATCH(cadangan3[[#This Row],[ItemID C]],Katalog!$C$3:$C$12,0))*cadangan3[[#This Row],[Qty C]],0)</f>
        <v>200000</v>
      </c>
      <c r="AC20" s="36">
        <f>IFERROR(INDEX(Katalog!$D$3:$D$12,MATCH(cadangan3[[#This Row],[Item C]],Katalog!$B$3:$B$12,0))*cadangan3[[#This Row],[Qty C]],0)</f>
        <v>200000</v>
      </c>
      <c r="AD20" s="36">
        <f>IFERROR(cadangan3[[#This Row],[Harga Asli C]]-(cadangan3[[#This Row],[Harga Asli C]]*cadangan3[[#This Row],[Diskon]]),cadangan3[[#This Row],[Harga Asli C]])</f>
        <v>180000</v>
      </c>
      <c r="AE20" s="36">
        <f>IFERROR(INDEX(Katalog!$F$3:$F$12,MATCH(cadangan3[[#This Row],[ItemID C]],Katalog!$C$3:$C$12,0))*cadangan3[[#This Row],[Qty C]],0)</f>
        <v>80000</v>
      </c>
      <c r="AF20" s="36">
        <f>IFERROR(cadangan3[[#This Row],[Profit C]]-(cadangan3[[#This Row],[Profit C]]*cadangan3[[#This Row],[Diskon]]),cadangan3[[#This Row],[Profit C]])</f>
        <v>72000</v>
      </c>
      <c r="AG20" s="21">
        <f>cadangan3[[#This Row],[Qty A]]+cadangan3[[#This Row],[Qty B]]+cadangan3[[#This Row],[Qty C]]</f>
        <v>4</v>
      </c>
      <c r="AH20" s="35">
        <f>cadangan3[[#This Row],[Harga A + Diskon]]+cadangan3[[#This Row],[Harga + Diskon B]]+cadangan3[[#This Row],[Harga + Diskon C]]</f>
        <v>765000</v>
      </c>
      <c r="AI20" s="35">
        <f>(cadangan3[[#This Row],[Profit A]]+cadangan3[[#This Row],[Profit B]]+cadangan3[[#This Row],[Profit C]])</f>
        <v>340000</v>
      </c>
      <c r="AJ20" s="35">
        <f>cadangan3[[#This Row],[Provit A + Diskon]]+cadangan3[[#This Row],[Provit B + Diskon]]+cadangan3[[#This Row],[Provit C + Diskon]]</f>
        <v>306000</v>
      </c>
      <c r="AK20" s="23" t="s">
        <v>6</v>
      </c>
      <c r="AL20" s="37">
        <f>IFERROR(INDEX('Kode Diskon'!$D$3:$D$9,MATCH(cadangan3[[#This Row],[Kode diskon]],'Kode Diskon'!$C$3:$C$9,0)),"-")</f>
        <v>0.1</v>
      </c>
      <c r="AM20" s="23" t="s">
        <v>29</v>
      </c>
      <c r="AN20" s="23" t="s">
        <v>7</v>
      </c>
      <c r="AO20" s="23" t="s">
        <v>78</v>
      </c>
      <c r="AP20" s="24">
        <v>45018</v>
      </c>
      <c r="AQ20" s="23" t="str">
        <f>TEXT(cadangan3[[#This Row],[Tanggal terjual]],"dddd")</f>
        <v>Sunday</v>
      </c>
    </row>
    <row r="21" spans="1:43" x14ac:dyDescent="0.2">
      <c r="A21" s="20">
        <v>20</v>
      </c>
      <c r="B21" s="21" t="str">
        <f>_xlfn.CONCAT("ORD-",INDEX(Helper!$B$2:$B$5,MATCH(cadangan3[[#This Row],[Marketplace]],Helper!$A$2:$A$5,0)),TEXT(cadangan3[[#This Row],[No]],"0000"),"-",TEXT(cadangan3[[#This Row],[Tanggal terjual]],"dd/mm/yy"))</f>
        <v>ORD-SP0020-09/04/23</v>
      </c>
      <c r="C21" t="s">
        <v>62</v>
      </c>
      <c r="D21" t="str">
        <f>IFERROR(INDEX(Katalog!$A$3:$A$12,MATCH(cadangan3[[#This Row],[ItemID A]],Katalog!$C$3:$C$12,0)),"-")</f>
        <v>Pakaian Pria</v>
      </c>
      <c r="E21" t="str">
        <f>IFERROR(INDEX(Katalog!$B$3:$B$12,MATCH(cadangan3[[#This Row],[ItemID A]],Katalog!$C$3:$C$12,0)),"-")</f>
        <v>Celana Pendek</v>
      </c>
      <c r="F21">
        <v>1</v>
      </c>
      <c r="G21">
        <v>1</v>
      </c>
      <c r="H21" s="36">
        <f>IFERROR(INDEX(Katalog!$D$3:$D$12,MATCH(cadangan3[[#This Row],[ItemID A]],Katalog!$C$3:$C$12,0))*cadangan3[[#This Row],[Qty A]],0)</f>
        <v>180000</v>
      </c>
      <c r="I21" s="36">
        <f>IFERROR(INDEX(Katalog!$D$3:$D$12,MATCH(cadangan3[[#This Row],[Item A]],Katalog!$B$3:$B$12,0))*cadangan3[[#This Row],[Qty A]],0)</f>
        <v>180000</v>
      </c>
      <c r="J21" s="36">
        <f>IFERROR(cadangan3[[#This Row],[Harga Asli A]]-(cadangan3[[#This Row],[Harga Asli A]]*cadangan3[[#This Row],[Diskon]]),cadangan3[[#This Row],[Harga Asli A]])</f>
        <v>180000</v>
      </c>
      <c r="K21" s="36">
        <f>INDEX(Katalog!$F$3:$F$12,MATCH(cadangan3[[#This Row],[ItemID A]],Katalog!$C$3:$C$12,0))*cadangan3[[#This Row],[Qty A]]</f>
        <v>70000</v>
      </c>
      <c r="L21" s="36">
        <f>IFERROR(cadangan3[[#This Row],[Profit A]]-(cadangan3[[#This Row],[Profit A]]*cadangan3[[#This Row],[Diskon]]),K21)</f>
        <v>70000</v>
      </c>
      <c r="N21" t="str">
        <f>IFERROR(INDEX(Katalog!$A$3:$A$12,MATCH(cadangan3[[#This Row],[ItemID B]],Katalog!$C$3:$C$12,0)),"-")</f>
        <v>-</v>
      </c>
      <c r="O21" t="str">
        <f>IFERROR(INDEX(Katalog!$B$3:$B$12,MATCH(cadangan3[[#This Row],[ItemID B]],Katalog!$C$3:$C$12,0)),"-")</f>
        <v>-</v>
      </c>
      <c r="R21" s="36">
        <f>IFERROR(INDEX(Katalog!$D$3:$D$12,MATCH(cadangan3[[#This Row],[ItemID B]],Katalog!$C$3:$C$12,0))*cadangan3[[#This Row],[Qty B]],0)</f>
        <v>0</v>
      </c>
      <c r="S21" s="36">
        <f>IFERROR(INDEX(Katalog!$D$3:$D$12,MATCH(cadangan3[[#This Row],[Item B]],Katalog!$B$3:$B$12,0))*cadangan3[[#This Row],[Qty B]],0)</f>
        <v>0</v>
      </c>
      <c r="T21" s="36">
        <f>IFERROR(cadangan3[[#This Row],[Harga Asli B]]-(cadangan3[[#This Row],[Harga Asli B]]*cadangan3[[#This Row],[Diskon]]),cadangan3[[#This Row],[Harga Asli B]])</f>
        <v>0</v>
      </c>
      <c r="U21" s="36">
        <f>IFERROR(INDEX(Katalog!$F$3:$F$12,MATCH(cadangan3[[#This Row],[ItemID B]],Katalog!$C$3:$C$12,0))*cadangan3[[#This Row],[Qty B]],0)</f>
        <v>0</v>
      </c>
      <c r="V21" s="36">
        <f>IFERROR(cadangan3[[#This Row],[Profit B]]-(cadangan3[[#This Row],[Profit B]]*cadangan3[[#This Row],[Diskon]]),U21)</f>
        <v>0</v>
      </c>
      <c r="X21" t="str">
        <f>IFERROR(INDEX(Katalog!$A$3:$A$12,MATCH(cadangan3[[#This Row],[ItemID C]],Katalog!$C$3:$C$12,0)),"-")</f>
        <v>-</v>
      </c>
      <c r="Y21" t="str">
        <f>IFERROR(INDEX(Katalog!$B$3:$B$12,MATCH(cadangan3[[#This Row],[ItemID C]],Katalog!$C$3:$C$12,0)),"-")</f>
        <v>-</v>
      </c>
      <c r="AB21" s="36">
        <f>IFERROR(INDEX(Katalog!$D$3:$D$12,MATCH(cadangan3[[#This Row],[ItemID C]],Katalog!$C$3:$C$12,0))*cadangan3[[#This Row],[Qty C]],0)</f>
        <v>0</v>
      </c>
      <c r="AC21" s="36">
        <f>IFERROR(INDEX(Katalog!$D$3:$D$12,MATCH(cadangan3[[#This Row],[Item C]],Katalog!$B$3:$B$12,0))*cadangan3[[#This Row],[Qty C]],0)</f>
        <v>0</v>
      </c>
      <c r="AD21" s="36">
        <f>IFERROR(cadangan3[[#This Row],[Harga Asli C]]-(cadangan3[[#This Row],[Harga Asli C]]*cadangan3[[#This Row],[Diskon]]),cadangan3[[#This Row],[Harga Asli C]])</f>
        <v>0</v>
      </c>
      <c r="AE21" s="36">
        <f>IFERROR(INDEX(Katalog!$F$3:$F$12,MATCH(cadangan3[[#This Row],[ItemID C]],Katalog!$C$3:$C$12,0))*cadangan3[[#This Row],[Qty C]],0)</f>
        <v>0</v>
      </c>
      <c r="AF21" s="36">
        <f>IFERROR(cadangan3[[#This Row],[Profit C]]-(cadangan3[[#This Row],[Profit C]]*cadangan3[[#This Row],[Diskon]]),cadangan3[[#This Row],[Profit C]])</f>
        <v>0</v>
      </c>
      <c r="AG21" s="21">
        <f>cadangan3[[#This Row],[Qty A]]+cadangan3[[#This Row],[Qty B]]+cadangan3[[#This Row],[Qty C]]</f>
        <v>1</v>
      </c>
      <c r="AH21" s="35">
        <f>cadangan3[[#This Row],[Harga A + Diskon]]+cadangan3[[#This Row],[Harga + Diskon B]]+cadangan3[[#This Row],[Harga + Diskon C]]</f>
        <v>180000</v>
      </c>
      <c r="AI21" s="35">
        <f>(cadangan3[[#This Row],[Profit A]]+cadangan3[[#This Row],[Profit B]]+cadangan3[[#This Row],[Profit C]])</f>
        <v>70000</v>
      </c>
      <c r="AJ21" s="35">
        <f>cadangan3[[#This Row],[Provit A + Diskon]]+cadangan3[[#This Row],[Provit B + Diskon]]+cadangan3[[#This Row],[Provit C + Diskon]]</f>
        <v>70000</v>
      </c>
      <c r="AK21" s="23" t="s">
        <v>11</v>
      </c>
      <c r="AL21" s="37" t="str">
        <f>IFERROR(INDEX('Kode Diskon'!$D$3:$D$9,MATCH(cadangan3[[#This Row],[Kode diskon]],'Kode Diskon'!$C$3:$C$9,0)),"-")</f>
        <v>-</v>
      </c>
      <c r="AM21" s="23" t="s">
        <v>11</v>
      </c>
      <c r="AN21" s="23" t="s">
        <v>7</v>
      </c>
      <c r="AO21" s="23" t="s">
        <v>77</v>
      </c>
      <c r="AP21" s="24">
        <v>45025</v>
      </c>
      <c r="AQ21" s="23" t="str">
        <f>TEXT(cadangan3[[#This Row],[Tanggal terjual]],"dddd")</f>
        <v>Sunday</v>
      </c>
    </row>
    <row r="22" spans="1:43" x14ac:dyDescent="0.2">
      <c r="A22" s="20">
        <v>21</v>
      </c>
      <c r="B22" s="21" t="str">
        <f>_xlfn.CONCAT("ORD-",INDEX(Helper!$B$2:$B$5,MATCH(cadangan3[[#This Row],[Marketplace]],Helper!$A$2:$A$5,0)),TEXT(cadangan3[[#This Row],[No]],"0000"),"-",TEXT(cadangan3[[#This Row],[Tanggal terjual]],"dd/mm/yy"))</f>
        <v>ORD-SP0021-04/04/23</v>
      </c>
      <c r="C22" t="s">
        <v>59</v>
      </c>
      <c r="D22" t="str">
        <f>IFERROR(INDEX(Katalog!$A$3:$A$12,MATCH(cadangan3[[#This Row],[ItemID A]],Katalog!$C$3:$C$12,0)),"-")</f>
        <v>Pakaian Wanita</v>
      </c>
      <c r="E22" t="str">
        <f>IFERROR(INDEX(Katalog!$B$3:$B$12,MATCH(cadangan3[[#This Row],[ItemID A]],Katalog!$C$3:$C$12,0)),"-")</f>
        <v>Blouse</v>
      </c>
      <c r="F22">
        <v>2</v>
      </c>
      <c r="G22">
        <v>5</v>
      </c>
      <c r="H22" s="36">
        <f>IFERROR(INDEX(Katalog!$D$3:$D$12,MATCH(cadangan3[[#This Row],[ItemID A]],Katalog!$C$3:$C$12,0))*cadangan3[[#This Row],[Qty A]],0)</f>
        <v>300000</v>
      </c>
      <c r="I22" s="36">
        <f>IFERROR(INDEX(Katalog!$D$3:$D$12,MATCH(cadangan3[[#This Row],[Item A]],Katalog!$B$3:$B$12,0))*cadangan3[[#This Row],[Qty A]],0)</f>
        <v>300000</v>
      </c>
      <c r="J22" s="36">
        <f>IFERROR(cadangan3[[#This Row],[Harga Asli A]]-(cadangan3[[#This Row],[Harga Asli A]]*cadangan3[[#This Row],[Diskon]]),cadangan3[[#This Row],[Harga Asli A]])</f>
        <v>270000</v>
      </c>
      <c r="K22" s="36">
        <f>INDEX(Katalog!$F$3:$F$12,MATCH(cadangan3[[#This Row],[ItemID A]],Katalog!$C$3:$C$12,0))*cadangan3[[#This Row],[Qty A]]</f>
        <v>100000</v>
      </c>
      <c r="L22" s="36">
        <f>IFERROR(cadangan3[[#This Row],[Profit A]]-(cadangan3[[#This Row],[Profit A]]*cadangan3[[#This Row],[Diskon]]),K22)</f>
        <v>90000</v>
      </c>
      <c r="M22" t="s">
        <v>66</v>
      </c>
      <c r="N22" t="str">
        <f>IFERROR(INDEX(Katalog!$A$3:$A$12,MATCH(cadangan3[[#This Row],[ItemID B]],Katalog!$C$3:$C$12,0)),"-")</f>
        <v>Sepatu Pria</v>
      </c>
      <c r="O22" t="str">
        <f>IFERROR(INDEX(Katalog!$B$3:$B$12,MATCH(cadangan3[[#This Row],[ItemID B]],Katalog!$C$3:$C$12,0)),"-")</f>
        <v>Sandal Slip On</v>
      </c>
      <c r="P22">
        <v>1</v>
      </c>
      <c r="Q22">
        <v>2</v>
      </c>
      <c r="R22" s="36">
        <f>IFERROR(INDEX(Katalog!$D$3:$D$12,MATCH(cadangan3[[#This Row],[ItemID B]],Katalog!$C$3:$C$12,0))*cadangan3[[#This Row],[Qty B]],0)</f>
        <v>150000</v>
      </c>
      <c r="S22" s="36">
        <f>IFERROR(INDEX(Katalog!$D$3:$D$12,MATCH(cadangan3[[#This Row],[Item B]],Katalog!$B$3:$B$12,0))*cadangan3[[#This Row],[Qty B]],0)</f>
        <v>150000</v>
      </c>
      <c r="T22" s="36">
        <f>IFERROR(cadangan3[[#This Row],[Harga Asli B]]-(cadangan3[[#This Row],[Harga Asli B]]*cadangan3[[#This Row],[Diskon]]),cadangan3[[#This Row],[Harga Asli B]])</f>
        <v>135000</v>
      </c>
      <c r="U22" s="36">
        <f>IFERROR(INDEX(Katalog!$F$3:$F$12,MATCH(cadangan3[[#This Row],[ItemID B]],Katalog!$C$3:$C$12,0))*cadangan3[[#This Row],[Qty B]],0)</f>
        <v>60000</v>
      </c>
      <c r="V22" s="36">
        <f>IFERROR(cadangan3[[#This Row],[Profit B]]-(cadangan3[[#This Row],[Profit B]]*cadangan3[[#This Row],[Diskon]]),U22)</f>
        <v>54000</v>
      </c>
      <c r="X22" t="str">
        <f>IFERROR(INDEX(Katalog!$A$3:$A$12,MATCH(cadangan3[[#This Row],[ItemID C]],Katalog!$C$3:$C$12,0)),"-")</f>
        <v>-</v>
      </c>
      <c r="Y22" t="str">
        <f>IFERROR(INDEX(Katalog!$B$3:$B$12,MATCH(cadangan3[[#This Row],[ItemID C]],Katalog!$C$3:$C$12,0)),"-")</f>
        <v>-</v>
      </c>
      <c r="AB22" s="36">
        <f>IFERROR(INDEX(Katalog!$D$3:$D$12,MATCH(cadangan3[[#This Row],[ItemID C]],Katalog!$C$3:$C$12,0))*cadangan3[[#This Row],[Qty C]],0)</f>
        <v>0</v>
      </c>
      <c r="AC22" s="36">
        <f>IFERROR(INDEX(Katalog!$D$3:$D$12,MATCH(cadangan3[[#This Row],[Item C]],Katalog!$B$3:$B$12,0))*cadangan3[[#This Row],[Qty C]],0)</f>
        <v>0</v>
      </c>
      <c r="AD22" s="36">
        <f>IFERROR(cadangan3[[#This Row],[Harga Asli C]]-(cadangan3[[#This Row],[Harga Asli C]]*cadangan3[[#This Row],[Diskon]]),cadangan3[[#This Row],[Harga Asli C]])</f>
        <v>0</v>
      </c>
      <c r="AE22" s="36">
        <f>IFERROR(INDEX(Katalog!$F$3:$F$12,MATCH(cadangan3[[#This Row],[ItemID C]],Katalog!$C$3:$C$12,0))*cadangan3[[#This Row],[Qty C]],0)</f>
        <v>0</v>
      </c>
      <c r="AF22" s="36">
        <f>IFERROR(cadangan3[[#This Row],[Profit C]]-(cadangan3[[#This Row],[Profit C]]*cadangan3[[#This Row],[Diskon]]),cadangan3[[#This Row],[Profit C]])</f>
        <v>0</v>
      </c>
      <c r="AG22" s="21">
        <f>cadangan3[[#This Row],[Qty A]]+cadangan3[[#This Row],[Qty B]]+cadangan3[[#This Row],[Qty C]]</f>
        <v>3</v>
      </c>
      <c r="AH22" s="35">
        <f>cadangan3[[#This Row],[Harga A + Diskon]]+cadangan3[[#This Row],[Harga + Diskon B]]+cadangan3[[#This Row],[Harga + Diskon C]]</f>
        <v>405000</v>
      </c>
      <c r="AI22" s="35">
        <f>(cadangan3[[#This Row],[Profit A]]+cadangan3[[#This Row],[Profit B]]+cadangan3[[#This Row],[Profit C]])</f>
        <v>160000</v>
      </c>
      <c r="AJ22" s="35">
        <f>cadangan3[[#This Row],[Provit A + Diskon]]+cadangan3[[#This Row],[Provit B + Diskon]]+cadangan3[[#This Row],[Provit C + Diskon]]</f>
        <v>144000</v>
      </c>
      <c r="AK22" s="23" t="s">
        <v>6</v>
      </c>
      <c r="AL22" s="37">
        <f>IFERROR(INDEX('Kode Diskon'!$D$3:$D$9,MATCH(cadangan3[[#This Row],[Kode diskon]],'Kode Diskon'!$C$3:$C$9,0)),"-")</f>
        <v>0.1</v>
      </c>
      <c r="AM22" s="23" t="s">
        <v>29</v>
      </c>
      <c r="AN22" s="23" t="s">
        <v>7</v>
      </c>
      <c r="AO22" s="23" t="s">
        <v>80</v>
      </c>
      <c r="AP22" s="24">
        <v>45020</v>
      </c>
      <c r="AQ22" s="23" t="str">
        <f>TEXT(cadangan3[[#This Row],[Tanggal terjual]],"dddd")</f>
        <v>Tuesday</v>
      </c>
    </row>
    <row r="23" spans="1:43" x14ac:dyDescent="0.2">
      <c r="A23" s="20">
        <v>22</v>
      </c>
      <c r="B23" s="21" t="str">
        <f>_xlfn.CONCAT("ORD-",INDEX(Helper!$B$2:$B$5,MATCH(cadangan3[[#This Row],[Marketplace]],Helper!$A$2:$A$5,0)),TEXT(cadangan3[[#This Row],[No]],"0000"),"-",TEXT(cadangan3[[#This Row],[Tanggal terjual]],"dd/mm/yy"))</f>
        <v>ORD-SP0022-28/04/23</v>
      </c>
      <c r="C23" t="s">
        <v>64</v>
      </c>
      <c r="D23" t="str">
        <f>IFERROR(INDEX(Katalog!$A$3:$A$12,MATCH(cadangan3[[#This Row],[ItemID A]],Katalog!$C$3:$C$12,0)),"-")</f>
        <v>Pakaian Unisex</v>
      </c>
      <c r="E23" t="str">
        <f>IFERROR(INDEX(Katalog!$B$3:$B$12,MATCH(cadangan3[[#This Row],[ItemID A]],Katalog!$C$3:$C$12,0)),"-")</f>
        <v>Jaket Hoodie</v>
      </c>
      <c r="F23">
        <v>1</v>
      </c>
      <c r="G23">
        <v>1</v>
      </c>
      <c r="H23" s="36">
        <f>IFERROR(INDEX(Katalog!$D$3:$D$12,MATCH(cadangan3[[#This Row],[ItemID A]],Katalog!$C$3:$C$12,0))*cadangan3[[#This Row],[Qty A]],0)</f>
        <v>350000</v>
      </c>
      <c r="I23" s="36">
        <f>IFERROR(INDEX(Katalog!$D$3:$D$12,MATCH(cadangan3[[#This Row],[Item A]],Katalog!$B$3:$B$12,0))*cadangan3[[#This Row],[Qty A]],0)</f>
        <v>350000</v>
      </c>
      <c r="J23" s="36">
        <f>IFERROR(cadangan3[[#This Row],[Harga Asli A]]-(cadangan3[[#This Row],[Harga Asli A]]*cadangan3[[#This Row],[Diskon]]),cadangan3[[#This Row],[Harga Asli A]])</f>
        <v>280000</v>
      </c>
      <c r="K23" s="36">
        <f>INDEX(Katalog!$F$3:$F$12,MATCH(cadangan3[[#This Row],[ItemID A]],Katalog!$C$3:$C$12,0))*cadangan3[[#This Row],[Qty A]]</f>
        <v>130000</v>
      </c>
      <c r="L23" s="36">
        <f>IFERROR(cadangan3[[#This Row],[Profit A]]-(cadangan3[[#This Row],[Profit A]]*cadangan3[[#This Row],[Diskon]]),K23)</f>
        <v>104000</v>
      </c>
      <c r="M23" t="s">
        <v>58</v>
      </c>
      <c r="N23" t="str">
        <f>IFERROR(INDEX(Katalog!$A$3:$A$12,MATCH(cadangan3[[#This Row],[ItemID B]],Katalog!$C$3:$C$12,0)),"-")</f>
        <v>Pakaian Wanita</v>
      </c>
      <c r="O23" t="str">
        <f>IFERROR(INDEX(Katalog!$B$3:$B$12,MATCH(cadangan3[[#This Row],[ItemID B]],Katalog!$C$3:$C$12,0)),"-")</f>
        <v>Dress</v>
      </c>
      <c r="P23">
        <v>3</v>
      </c>
      <c r="Q23">
        <v>1</v>
      </c>
      <c r="R23" s="36">
        <f>IFERROR(INDEX(Katalog!$D$3:$D$12,MATCH(cadangan3[[#This Row],[ItemID B]],Katalog!$C$3:$C$12,0))*cadangan3[[#This Row],[Qty B]],0)</f>
        <v>900000</v>
      </c>
      <c r="S23" s="36">
        <f>IFERROR(INDEX(Katalog!$D$3:$D$12,MATCH(cadangan3[[#This Row],[Item B]],Katalog!$B$3:$B$12,0))*cadangan3[[#This Row],[Qty B]],0)</f>
        <v>900000</v>
      </c>
      <c r="T23" s="36">
        <f>IFERROR(cadangan3[[#This Row],[Harga Asli B]]-(cadangan3[[#This Row],[Harga Asli B]]*cadangan3[[#This Row],[Diskon]]),cadangan3[[#This Row],[Harga Asli B]])</f>
        <v>720000</v>
      </c>
      <c r="U23" s="36">
        <f>IFERROR(INDEX(Katalog!$F$3:$F$12,MATCH(cadangan3[[#This Row],[ItemID B]],Katalog!$C$3:$C$12,0))*cadangan3[[#This Row],[Qty B]],0)</f>
        <v>300000</v>
      </c>
      <c r="V23" s="36">
        <f>IFERROR(cadangan3[[#This Row],[Profit B]]-(cadangan3[[#This Row],[Profit B]]*cadangan3[[#This Row],[Diskon]]),U23)</f>
        <v>240000</v>
      </c>
      <c r="X23" t="str">
        <f>IFERROR(INDEX(Katalog!$A$3:$A$12,MATCH(cadangan3[[#This Row],[ItemID C]],Katalog!$C$3:$C$12,0)),"-")</f>
        <v>-</v>
      </c>
      <c r="Y23" t="str">
        <f>IFERROR(INDEX(Katalog!$B$3:$B$12,MATCH(cadangan3[[#This Row],[ItemID C]],Katalog!$C$3:$C$12,0)),"-")</f>
        <v>-</v>
      </c>
      <c r="AB23" s="36">
        <f>IFERROR(INDEX(Katalog!$D$3:$D$12,MATCH(cadangan3[[#This Row],[ItemID C]],Katalog!$C$3:$C$12,0))*cadangan3[[#This Row],[Qty C]],0)</f>
        <v>0</v>
      </c>
      <c r="AC23" s="36">
        <f>IFERROR(INDEX(Katalog!$D$3:$D$12,MATCH(cadangan3[[#This Row],[Item C]],Katalog!$B$3:$B$12,0))*cadangan3[[#This Row],[Qty C]],0)</f>
        <v>0</v>
      </c>
      <c r="AD23" s="36">
        <f>IFERROR(cadangan3[[#This Row],[Harga Asli C]]-(cadangan3[[#This Row],[Harga Asli C]]*cadangan3[[#This Row],[Diskon]]),cadangan3[[#This Row],[Harga Asli C]])</f>
        <v>0</v>
      </c>
      <c r="AE23" s="36">
        <f>IFERROR(INDEX(Katalog!$F$3:$F$12,MATCH(cadangan3[[#This Row],[ItemID C]],Katalog!$C$3:$C$12,0))*cadangan3[[#This Row],[Qty C]],0)</f>
        <v>0</v>
      </c>
      <c r="AF23" s="36">
        <f>IFERROR(cadangan3[[#This Row],[Profit C]]-(cadangan3[[#This Row],[Profit C]]*cadangan3[[#This Row],[Diskon]]),cadangan3[[#This Row],[Profit C]])</f>
        <v>0</v>
      </c>
      <c r="AG23" s="21">
        <f>cadangan3[[#This Row],[Qty A]]+cadangan3[[#This Row],[Qty B]]+cadangan3[[#This Row],[Qty C]]</f>
        <v>4</v>
      </c>
      <c r="AH23" s="35">
        <f>cadangan3[[#This Row],[Harga A + Diskon]]+cadangan3[[#This Row],[Harga + Diskon B]]+cadangan3[[#This Row],[Harga + Diskon C]]</f>
        <v>1000000</v>
      </c>
      <c r="AI23" s="35">
        <f>(cadangan3[[#This Row],[Profit A]]+cadangan3[[#This Row],[Profit B]]+cadangan3[[#This Row],[Profit C]])</f>
        <v>430000</v>
      </c>
      <c r="AJ23" s="35">
        <f>cadangan3[[#This Row],[Provit A + Diskon]]+cadangan3[[#This Row],[Provit B + Diskon]]+cadangan3[[#This Row],[Provit C + Diskon]]</f>
        <v>344000</v>
      </c>
      <c r="AK23" s="23" t="s">
        <v>8</v>
      </c>
      <c r="AL23" s="37">
        <f>IFERROR(INDEX('Kode Diskon'!$D$3:$D$9,MATCH(cadangan3[[#This Row],[Kode diskon]],'Kode Diskon'!$C$3:$C$9,0)),"-")</f>
        <v>0.2</v>
      </c>
      <c r="AM23" s="23" t="s">
        <v>9</v>
      </c>
      <c r="AN23" s="23" t="s">
        <v>7</v>
      </c>
      <c r="AO23" s="23" t="s">
        <v>78</v>
      </c>
      <c r="AP23" s="24">
        <v>45044</v>
      </c>
      <c r="AQ23" s="23" t="str">
        <f>TEXT(cadangan3[[#This Row],[Tanggal terjual]],"dddd")</f>
        <v>Friday</v>
      </c>
    </row>
    <row r="24" spans="1:43" x14ac:dyDescent="0.2">
      <c r="A24" s="20">
        <v>23</v>
      </c>
      <c r="B24" s="21" t="str">
        <f>_xlfn.CONCAT("ORD-",INDEX(Helper!$B$2:$B$5,MATCH(cadangan3[[#This Row],[Marketplace]],Helper!$A$2:$A$5,0)),TEXT(cadangan3[[#This Row],[No]],"0000"),"-",TEXT(cadangan3[[#This Row],[Tanggal terjual]],"dd/mm/yy"))</f>
        <v>ORD-SP0023-30/04/23</v>
      </c>
      <c r="C24" t="s">
        <v>59</v>
      </c>
      <c r="D24" t="str">
        <f>IFERROR(INDEX(Katalog!$A$3:$A$12,MATCH(cadangan3[[#This Row],[ItemID A]],Katalog!$C$3:$C$12,0)),"-")</f>
        <v>Pakaian Wanita</v>
      </c>
      <c r="E24" t="str">
        <f>IFERROR(INDEX(Katalog!$B$3:$B$12,MATCH(cadangan3[[#This Row],[ItemID A]],Katalog!$C$3:$C$12,0)),"-")</f>
        <v>Blouse</v>
      </c>
      <c r="F24">
        <v>3</v>
      </c>
      <c r="G24">
        <v>2</v>
      </c>
      <c r="H24" s="36">
        <f>IFERROR(INDEX(Katalog!$D$3:$D$12,MATCH(cadangan3[[#This Row],[ItemID A]],Katalog!$C$3:$C$12,0))*cadangan3[[#This Row],[Qty A]],0)</f>
        <v>450000</v>
      </c>
      <c r="I24" s="36">
        <f>IFERROR(INDEX(Katalog!$D$3:$D$12,MATCH(cadangan3[[#This Row],[Item A]],Katalog!$B$3:$B$12,0))*cadangan3[[#This Row],[Qty A]],0)</f>
        <v>450000</v>
      </c>
      <c r="J24" s="36">
        <f>IFERROR(cadangan3[[#This Row],[Harga Asli A]]-(cadangan3[[#This Row],[Harga Asli A]]*cadangan3[[#This Row],[Diskon]]),cadangan3[[#This Row],[Harga Asli A]])</f>
        <v>360000</v>
      </c>
      <c r="K24" s="36">
        <f>INDEX(Katalog!$F$3:$F$12,MATCH(cadangan3[[#This Row],[ItemID A]],Katalog!$C$3:$C$12,0))*cadangan3[[#This Row],[Qty A]]</f>
        <v>150000</v>
      </c>
      <c r="L24" s="36">
        <f>IFERROR(cadangan3[[#This Row],[Profit A]]-(cadangan3[[#This Row],[Profit A]]*cadangan3[[#This Row],[Diskon]]),K24)</f>
        <v>120000</v>
      </c>
      <c r="M24" t="s">
        <v>66</v>
      </c>
      <c r="N24" t="str">
        <f>IFERROR(INDEX(Katalog!$A$3:$A$12,MATCH(cadangan3[[#This Row],[ItemID B]],Katalog!$C$3:$C$12,0)),"-")</f>
        <v>Sepatu Pria</v>
      </c>
      <c r="O24" t="str">
        <f>IFERROR(INDEX(Katalog!$B$3:$B$12,MATCH(cadangan3[[#This Row],[ItemID B]],Katalog!$C$3:$C$12,0)),"-")</f>
        <v>Sandal Slip On</v>
      </c>
      <c r="P24">
        <v>1</v>
      </c>
      <c r="Q24">
        <v>5</v>
      </c>
      <c r="R24" s="36">
        <f>IFERROR(INDEX(Katalog!$D$3:$D$12,MATCH(cadangan3[[#This Row],[ItemID B]],Katalog!$C$3:$C$12,0))*cadangan3[[#This Row],[Qty B]],0)</f>
        <v>150000</v>
      </c>
      <c r="S24" s="36">
        <f>IFERROR(INDEX(Katalog!$D$3:$D$12,MATCH(cadangan3[[#This Row],[Item B]],Katalog!$B$3:$B$12,0))*cadangan3[[#This Row],[Qty B]],0)</f>
        <v>150000</v>
      </c>
      <c r="T24" s="36">
        <f>IFERROR(cadangan3[[#This Row],[Harga Asli B]]-(cadangan3[[#This Row],[Harga Asli B]]*cadangan3[[#This Row],[Diskon]]),cadangan3[[#This Row],[Harga Asli B]])</f>
        <v>120000</v>
      </c>
      <c r="U24" s="36">
        <f>IFERROR(INDEX(Katalog!$F$3:$F$12,MATCH(cadangan3[[#This Row],[ItemID B]],Katalog!$C$3:$C$12,0))*cadangan3[[#This Row],[Qty B]],0)</f>
        <v>60000</v>
      </c>
      <c r="V24" s="36">
        <f>IFERROR(cadangan3[[#This Row],[Profit B]]-(cadangan3[[#This Row],[Profit B]]*cadangan3[[#This Row],[Diskon]]),U24)</f>
        <v>48000</v>
      </c>
      <c r="X24" t="str">
        <f>IFERROR(INDEX(Katalog!$A$3:$A$12,MATCH(cadangan3[[#This Row],[ItemID C]],Katalog!$C$3:$C$12,0)),"-")</f>
        <v>-</v>
      </c>
      <c r="Y24" t="str">
        <f>IFERROR(INDEX(Katalog!$B$3:$B$12,MATCH(cadangan3[[#This Row],[ItemID C]],Katalog!$C$3:$C$12,0)),"-")</f>
        <v>-</v>
      </c>
      <c r="AB24" s="36">
        <f>IFERROR(INDEX(Katalog!$D$3:$D$12,MATCH(cadangan3[[#This Row],[ItemID C]],Katalog!$C$3:$C$12,0))*cadangan3[[#This Row],[Qty C]],0)</f>
        <v>0</v>
      </c>
      <c r="AC24" s="36">
        <f>IFERROR(INDEX(Katalog!$D$3:$D$12,MATCH(cadangan3[[#This Row],[Item C]],Katalog!$B$3:$B$12,0))*cadangan3[[#This Row],[Qty C]],0)</f>
        <v>0</v>
      </c>
      <c r="AD24" s="36">
        <f>IFERROR(cadangan3[[#This Row],[Harga Asli C]]-(cadangan3[[#This Row],[Harga Asli C]]*cadangan3[[#This Row],[Diskon]]),cadangan3[[#This Row],[Harga Asli C]])</f>
        <v>0</v>
      </c>
      <c r="AE24" s="36">
        <f>IFERROR(INDEX(Katalog!$F$3:$F$12,MATCH(cadangan3[[#This Row],[ItemID C]],Katalog!$C$3:$C$12,0))*cadangan3[[#This Row],[Qty C]],0)</f>
        <v>0</v>
      </c>
      <c r="AF24" s="36">
        <f>IFERROR(cadangan3[[#This Row],[Profit C]]-(cadangan3[[#This Row],[Profit C]]*cadangan3[[#This Row],[Diskon]]),cadangan3[[#This Row],[Profit C]])</f>
        <v>0</v>
      </c>
      <c r="AG24" s="21">
        <f>cadangan3[[#This Row],[Qty A]]+cadangan3[[#This Row],[Qty B]]+cadangan3[[#This Row],[Qty C]]</f>
        <v>4</v>
      </c>
      <c r="AH24" s="35">
        <f>cadangan3[[#This Row],[Harga A + Diskon]]+cadangan3[[#This Row],[Harga + Diskon B]]+cadangan3[[#This Row],[Harga + Diskon C]]</f>
        <v>480000</v>
      </c>
      <c r="AI24" s="35">
        <f>(cadangan3[[#This Row],[Profit A]]+cadangan3[[#This Row],[Profit B]]+cadangan3[[#This Row],[Profit C]])</f>
        <v>210000</v>
      </c>
      <c r="AJ24" s="35">
        <f>cadangan3[[#This Row],[Provit A + Diskon]]+cadangan3[[#This Row],[Provit B + Diskon]]+cadangan3[[#This Row],[Provit C + Diskon]]</f>
        <v>168000</v>
      </c>
      <c r="AK24" s="23" t="s">
        <v>8</v>
      </c>
      <c r="AL24" s="37">
        <f>IFERROR(INDEX('Kode Diskon'!$D$3:$D$9,MATCH(cadangan3[[#This Row],[Kode diskon]],'Kode Diskon'!$C$3:$C$9,0)),"-")</f>
        <v>0.2</v>
      </c>
      <c r="AM24" s="23" t="s">
        <v>9</v>
      </c>
      <c r="AN24" s="23" t="s">
        <v>7</v>
      </c>
      <c r="AO24" s="23" t="s">
        <v>75</v>
      </c>
      <c r="AP24" s="24">
        <v>45046</v>
      </c>
      <c r="AQ24" s="23" t="str">
        <f>TEXT(cadangan3[[#This Row],[Tanggal terjual]],"dddd")</f>
        <v>Sunday</v>
      </c>
    </row>
    <row r="25" spans="1:43" x14ac:dyDescent="0.2">
      <c r="A25" s="20">
        <v>24</v>
      </c>
      <c r="B25" s="21" t="str">
        <f>_xlfn.CONCAT("ORD-",INDEX(Helper!$B$2:$B$5,MATCH(cadangan3[[#This Row],[Marketplace]],Helper!$A$2:$A$5,0)),TEXT(cadangan3[[#This Row],[No]],"0000"),"-",TEXT(cadangan3[[#This Row],[Tanggal terjual]],"dd/mm/yy"))</f>
        <v>ORD-TK0024-06/04/23</v>
      </c>
      <c r="C25" t="s">
        <v>60</v>
      </c>
      <c r="D25" t="str">
        <f>IFERROR(INDEX(Katalog!$A$3:$A$12,MATCH(cadangan3[[#This Row],[ItemID A]],Katalog!$C$3:$C$12,0)),"-")</f>
        <v>Pakaian Wanita</v>
      </c>
      <c r="E25" t="str">
        <f>IFERROR(INDEX(Katalog!$B$3:$B$12,MATCH(cadangan3[[#This Row],[ItemID A]],Katalog!$C$3:$C$12,0)),"-")</f>
        <v>Kaftan</v>
      </c>
      <c r="F25">
        <v>7</v>
      </c>
      <c r="G25">
        <v>4</v>
      </c>
      <c r="H25" s="36">
        <f>IFERROR(INDEX(Katalog!$D$3:$D$12,MATCH(cadangan3[[#This Row],[ItemID A]],Katalog!$C$3:$C$12,0))*cadangan3[[#This Row],[Qty A]],0)</f>
        <v>1750000</v>
      </c>
      <c r="I25" s="36">
        <f>IFERROR(INDEX(Katalog!$D$3:$D$12,MATCH(cadangan3[[#This Row],[Item A]],Katalog!$B$3:$B$12,0))*cadangan3[[#This Row],[Qty A]],0)</f>
        <v>1750000</v>
      </c>
      <c r="J25" s="36">
        <f>IFERROR(cadangan3[[#This Row],[Harga Asli A]]-(cadangan3[[#This Row],[Harga Asli A]]*cadangan3[[#This Row],[Diskon]]),cadangan3[[#This Row],[Harga Asli A]])</f>
        <v>1575000</v>
      </c>
      <c r="K25" s="36">
        <f>INDEX(Katalog!$F$3:$F$12,MATCH(cadangan3[[#This Row],[ItemID A]],Katalog!$C$3:$C$12,0))*cadangan3[[#This Row],[Qty A]]</f>
        <v>700000</v>
      </c>
      <c r="L25" s="36">
        <f>IFERROR(cadangan3[[#This Row],[Profit A]]-(cadangan3[[#This Row],[Profit A]]*cadangan3[[#This Row],[Diskon]]),K25)</f>
        <v>630000</v>
      </c>
      <c r="N25" t="str">
        <f>IFERROR(INDEX(Katalog!$A$3:$A$12,MATCH(cadangan3[[#This Row],[ItemID B]],Katalog!$C$3:$C$12,0)),"-")</f>
        <v>-</v>
      </c>
      <c r="O25" t="str">
        <f>IFERROR(INDEX(Katalog!$B$3:$B$12,MATCH(cadangan3[[#This Row],[ItemID B]],Katalog!$C$3:$C$12,0)),"-")</f>
        <v>-</v>
      </c>
      <c r="R25" s="36">
        <f>IFERROR(INDEX(Katalog!$D$3:$D$12,MATCH(cadangan3[[#This Row],[ItemID B]],Katalog!$C$3:$C$12,0))*cadangan3[[#This Row],[Qty B]],0)</f>
        <v>0</v>
      </c>
      <c r="S25" s="36">
        <f>IFERROR(INDEX(Katalog!$D$3:$D$12,MATCH(cadangan3[[#This Row],[Item B]],Katalog!$B$3:$B$12,0))*cadangan3[[#This Row],[Qty B]],0)</f>
        <v>0</v>
      </c>
      <c r="T25" s="36">
        <f>IFERROR(cadangan3[[#This Row],[Harga Asli B]]-(cadangan3[[#This Row],[Harga Asli B]]*cadangan3[[#This Row],[Diskon]]),cadangan3[[#This Row],[Harga Asli B]])</f>
        <v>0</v>
      </c>
      <c r="U25" s="36">
        <f>IFERROR(INDEX(Katalog!$F$3:$F$12,MATCH(cadangan3[[#This Row],[ItemID B]],Katalog!$C$3:$C$12,0))*cadangan3[[#This Row],[Qty B]],0)</f>
        <v>0</v>
      </c>
      <c r="V25" s="36">
        <f>IFERROR(cadangan3[[#This Row],[Profit B]]-(cadangan3[[#This Row],[Profit B]]*cadangan3[[#This Row],[Diskon]]),U25)</f>
        <v>0</v>
      </c>
      <c r="X25" t="str">
        <f>IFERROR(INDEX(Katalog!$A$3:$A$12,MATCH(cadangan3[[#This Row],[ItemID C]],Katalog!$C$3:$C$12,0)),"-")</f>
        <v>-</v>
      </c>
      <c r="Y25" t="str">
        <f>IFERROR(INDEX(Katalog!$B$3:$B$12,MATCH(cadangan3[[#This Row],[ItemID C]],Katalog!$C$3:$C$12,0)),"-")</f>
        <v>-</v>
      </c>
      <c r="AB25" s="36">
        <f>IFERROR(INDEX(Katalog!$D$3:$D$12,MATCH(cadangan3[[#This Row],[ItemID C]],Katalog!$C$3:$C$12,0))*cadangan3[[#This Row],[Qty C]],0)</f>
        <v>0</v>
      </c>
      <c r="AC25" s="36">
        <f>IFERROR(INDEX(Katalog!$D$3:$D$12,MATCH(cadangan3[[#This Row],[Item C]],Katalog!$B$3:$B$12,0))*cadangan3[[#This Row],[Qty C]],0)</f>
        <v>0</v>
      </c>
      <c r="AD25" s="36">
        <f>IFERROR(cadangan3[[#This Row],[Harga Asli C]]-(cadangan3[[#This Row],[Harga Asli C]]*cadangan3[[#This Row],[Diskon]]),cadangan3[[#This Row],[Harga Asli C]])</f>
        <v>0</v>
      </c>
      <c r="AE25" s="36">
        <f>IFERROR(INDEX(Katalog!$F$3:$F$12,MATCH(cadangan3[[#This Row],[ItemID C]],Katalog!$C$3:$C$12,0))*cadangan3[[#This Row],[Qty C]],0)</f>
        <v>0</v>
      </c>
      <c r="AF25" s="36">
        <f>IFERROR(cadangan3[[#This Row],[Profit C]]-(cadangan3[[#This Row],[Profit C]]*cadangan3[[#This Row],[Diskon]]),cadangan3[[#This Row],[Profit C]])</f>
        <v>0</v>
      </c>
      <c r="AG25" s="21">
        <f>cadangan3[[#This Row],[Qty A]]+cadangan3[[#This Row],[Qty B]]+cadangan3[[#This Row],[Qty C]]</f>
        <v>7</v>
      </c>
      <c r="AH25" s="35">
        <f>cadangan3[[#This Row],[Harga A + Diskon]]+cadangan3[[#This Row],[Harga + Diskon B]]+cadangan3[[#This Row],[Harga + Diskon C]]</f>
        <v>1575000</v>
      </c>
      <c r="AI25" s="35">
        <f>(cadangan3[[#This Row],[Profit A]]+cadangan3[[#This Row],[Profit B]]+cadangan3[[#This Row],[Profit C]])</f>
        <v>700000</v>
      </c>
      <c r="AJ25" s="35">
        <f>cadangan3[[#This Row],[Provit A + Diskon]]+cadangan3[[#This Row],[Provit B + Diskon]]+cadangan3[[#This Row],[Provit C + Diskon]]</f>
        <v>630000</v>
      </c>
      <c r="AK25" s="23" t="s">
        <v>30</v>
      </c>
      <c r="AL25" s="37">
        <f>IFERROR(INDEX('Kode Diskon'!$D$3:$D$9,MATCH(cadangan3[[#This Row],[Kode diskon]],'Kode Diskon'!$C$3:$C$9,0)),"-")</f>
        <v>0.1</v>
      </c>
      <c r="AM25" s="23" t="s">
        <v>29</v>
      </c>
      <c r="AN25" s="23" t="s">
        <v>10</v>
      </c>
      <c r="AO25" s="23" t="s">
        <v>78</v>
      </c>
      <c r="AP25" s="24">
        <v>45022</v>
      </c>
      <c r="AQ25" s="23" t="str">
        <f>TEXT(cadangan3[[#This Row],[Tanggal terjual]],"dddd")</f>
        <v>Thursday</v>
      </c>
    </row>
    <row r="26" spans="1:43" x14ac:dyDescent="0.2">
      <c r="A26" s="20">
        <v>25</v>
      </c>
      <c r="B26" s="21" t="str">
        <f>_xlfn.CONCAT("ORD-",INDEX(Helper!$B$2:$B$5,MATCH(cadangan3[[#This Row],[Marketplace]],Helper!$A$2:$A$5,0)),TEXT(cadangan3[[#This Row],[No]],"0000"),"-",TEXT(cadangan3[[#This Row],[Tanggal terjual]],"dd/mm/yy"))</f>
        <v>ORD-SP0025-02/04/23</v>
      </c>
      <c r="C26" t="s">
        <v>64</v>
      </c>
      <c r="D26" t="str">
        <f>IFERROR(INDEX(Katalog!$A$3:$A$12,MATCH(cadangan3[[#This Row],[ItemID A]],Katalog!$C$3:$C$12,0)),"-")</f>
        <v>Pakaian Unisex</v>
      </c>
      <c r="E26" t="str">
        <f>IFERROR(INDEX(Katalog!$B$3:$B$12,MATCH(cadangan3[[#This Row],[ItemID A]],Katalog!$C$3:$C$12,0)),"-")</f>
        <v>Jaket Hoodie</v>
      </c>
      <c r="F26">
        <v>1</v>
      </c>
      <c r="G26">
        <v>1</v>
      </c>
      <c r="H26" s="36">
        <f>IFERROR(INDEX(Katalog!$D$3:$D$12,MATCH(cadangan3[[#This Row],[ItemID A]],Katalog!$C$3:$C$12,0))*cadangan3[[#This Row],[Qty A]],0)</f>
        <v>350000</v>
      </c>
      <c r="I26" s="36">
        <f>IFERROR(INDEX(Katalog!$D$3:$D$12,MATCH(cadangan3[[#This Row],[Item A]],Katalog!$B$3:$B$12,0))*cadangan3[[#This Row],[Qty A]],0)</f>
        <v>350000</v>
      </c>
      <c r="J26" s="36">
        <f>IFERROR(cadangan3[[#This Row],[Harga Asli A]]-(cadangan3[[#This Row],[Harga Asli A]]*cadangan3[[#This Row],[Diskon]]),cadangan3[[#This Row],[Harga Asli A]])</f>
        <v>297500</v>
      </c>
      <c r="K26" s="36">
        <f>INDEX(Katalog!$F$3:$F$12,MATCH(cadangan3[[#This Row],[ItemID A]],Katalog!$C$3:$C$12,0))*cadangan3[[#This Row],[Qty A]]</f>
        <v>130000</v>
      </c>
      <c r="L26" s="36">
        <f>IFERROR(cadangan3[[#This Row],[Profit A]]-(cadangan3[[#This Row],[Profit A]]*cadangan3[[#This Row],[Diskon]]),K26)</f>
        <v>110500</v>
      </c>
      <c r="M26" t="s">
        <v>58</v>
      </c>
      <c r="N26" t="str">
        <f>IFERROR(INDEX(Katalog!$A$3:$A$12,MATCH(cadangan3[[#This Row],[ItemID B]],Katalog!$C$3:$C$12,0)),"-")</f>
        <v>Pakaian Wanita</v>
      </c>
      <c r="O26" t="str">
        <f>IFERROR(INDEX(Katalog!$B$3:$B$12,MATCH(cadangan3[[#This Row],[ItemID B]],Katalog!$C$3:$C$12,0)),"-")</f>
        <v>Dress</v>
      </c>
      <c r="P26">
        <v>6</v>
      </c>
      <c r="Q26">
        <v>5</v>
      </c>
      <c r="R26" s="36">
        <f>IFERROR(INDEX(Katalog!$D$3:$D$12,MATCH(cadangan3[[#This Row],[ItemID B]],Katalog!$C$3:$C$12,0))*cadangan3[[#This Row],[Qty B]],0)</f>
        <v>1800000</v>
      </c>
      <c r="S26" s="36">
        <f>IFERROR(INDEX(Katalog!$D$3:$D$12,MATCH(cadangan3[[#This Row],[Item B]],Katalog!$B$3:$B$12,0))*cadangan3[[#This Row],[Qty B]],0)</f>
        <v>1800000</v>
      </c>
      <c r="T26" s="36">
        <f>IFERROR(cadangan3[[#This Row],[Harga Asli B]]-(cadangan3[[#This Row],[Harga Asli B]]*cadangan3[[#This Row],[Diskon]]),cadangan3[[#This Row],[Harga Asli B]])</f>
        <v>1530000</v>
      </c>
      <c r="U26" s="36">
        <f>IFERROR(INDEX(Katalog!$F$3:$F$12,MATCH(cadangan3[[#This Row],[ItemID B]],Katalog!$C$3:$C$12,0))*cadangan3[[#This Row],[Qty B]],0)</f>
        <v>600000</v>
      </c>
      <c r="V26" s="36">
        <f>IFERROR(cadangan3[[#This Row],[Profit B]]-(cadangan3[[#This Row],[Profit B]]*cadangan3[[#This Row],[Diskon]]),U26)</f>
        <v>510000</v>
      </c>
      <c r="X26" t="str">
        <f>IFERROR(INDEX(Katalog!$A$3:$A$12,MATCH(cadangan3[[#This Row],[ItemID C]],Katalog!$C$3:$C$12,0)),"-")</f>
        <v>-</v>
      </c>
      <c r="Y26" t="str">
        <f>IFERROR(INDEX(Katalog!$B$3:$B$12,MATCH(cadangan3[[#This Row],[ItemID C]],Katalog!$C$3:$C$12,0)),"-")</f>
        <v>-</v>
      </c>
      <c r="AB26" s="36">
        <f>IFERROR(INDEX(Katalog!$D$3:$D$12,MATCH(cadangan3[[#This Row],[ItemID C]],Katalog!$C$3:$C$12,0))*cadangan3[[#This Row],[Qty C]],0)</f>
        <v>0</v>
      </c>
      <c r="AC26" s="36">
        <f>IFERROR(INDEX(Katalog!$D$3:$D$12,MATCH(cadangan3[[#This Row],[Item C]],Katalog!$B$3:$B$12,0))*cadangan3[[#This Row],[Qty C]],0)</f>
        <v>0</v>
      </c>
      <c r="AD26" s="36">
        <f>IFERROR(cadangan3[[#This Row],[Harga Asli C]]-(cadangan3[[#This Row],[Harga Asli C]]*cadangan3[[#This Row],[Diskon]]),cadangan3[[#This Row],[Harga Asli C]])</f>
        <v>0</v>
      </c>
      <c r="AE26" s="36">
        <f>IFERROR(INDEX(Katalog!$F$3:$F$12,MATCH(cadangan3[[#This Row],[ItemID C]],Katalog!$C$3:$C$12,0))*cadangan3[[#This Row],[Qty C]],0)</f>
        <v>0</v>
      </c>
      <c r="AF26" s="36">
        <f>IFERROR(cadangan3[[#This Row],[Profit C]]-(cadangan3[[#This Row],[Profit C]]*cadangan3[[#This Row],[Diskon]]),cadangan3[[#This Row],[Profit C]])</f>
        <v>0</v>
      </c>
      <c r="AG26" s="21">
        <f>cadangan3[[#This Row],[Qty A]]+cadangan3[[#This Row],[Qty B]]+cadangan3[[#This Row],[Qty C]]</f>
        <v>7</v>
      </c>
      <c r="AH26" s="35">
        <f>cadangan3[[#This Row],[Harga A + Diskon]]+cadangan3[[#This Row],[Harga + Diskon B]]+cadangan3[[#This Row],[Harga + Diskon C]]</f>
        <v>1827500</v>
      </c>
      <c r="AI26" s="35">
        <f>(cadangan3[[#This Row],[Profit A]]+cadangan3[[#This Row],[Profit B]]+cadangan3[[#This Row],[Profit C]])</f>
        <v>730000</v>
      </c>
      <c r="AJ26" s="35">
        <f>cadangan3[[#This Row],[Provit A + Diskon]]+cadangan3[[#This Row],[Provit B + Diskon]]+cadangan3[[#This Row],[Provit C + Diskon]]</f>
        <v>620500</v>
      </c>
      <c r="AK26" s="23" t="s">
        <v>13</v>
      </c>
      <c r="AL26" s="37">
        <f>IFERROR(INDEX('Kode Diskon'!$D$3:$D$9,MATCH(cadangan3[[#This Row],[Kode diskon]],'Kode Diskon'!$C$3:$C$9,0)),"-")</f>
        <v>0.15</v>
      </c>
      <c r="AM26" s="23" t="s">
        <v>29</v>
      </c>
      <c r="AN26" s="23" t="s">
        <v>7</v>
      </c>
      <c r="AO26" s="23" t="s">
        <v>80</v>
      </c>
      <c r="AP26" s="24">
        <v>45018</v>
      </c>
      <c r="AQ26" s="23" t="str">
        <f>TEXT(cadangan3[[#This Row],[Tanggal terjual]],"dddd")</f>
        <v>Sunday</v>
      </c>
    </row>
    <row r="27" spans="1:43" x14ac:dyDescent="0.2">
      <c r="A27" s="20">
        <v>26</v>
      </c>
      <c r="B27" s="21" t="str">
        <f>_xlfn.CONCAT("ORD-",INDEX(Helper!$B$2:$B$5,MATCH(cadangan3[[#This Row],[Marketplace]],Helper!$A$2:$A$5,0)),TEXT(cadangan3[[#This Row],[No]],"0000"),"-",TEXT(cadangan3[[#This Row],[Tanggal terjual]],"dd/mm/yy"))</f>
        <v>ORD-BL0026-25/04/23</v>
      </c>
      <c r="C27" t="s">
        <v>63</v>
      </c>
      <c r="D27" t="str">
        <f>IFERROR(INDEX(Katalog!$A$3:$A$12,MATCH(cadangan3[[#This Row],[ItemID A]],Katalog!$C$3:$C$12,0)),"-")</f>
        <v>Pakaian Pria</v>
      </c>
      <c r="E27" t="str">
        <f>IFERROR(INDEX(Katalog!$B$3:$B$12,MATCH(cadangan3[[#This Row],[ItemID A]],Katalog!$C$3:$C$12,0)),"-")</f>
        <v>Jaket Jeans</v>
      </c>
      <c r="F27">
        <v>2</v>
      </c>
      <c r="G27">
        <v>3</v>
      </c>
      <c r="H27" s="36">
        <f>IFERROR(INDEX(Katalog!$D$3:$D$12,MATCH(cadangan3[[#This Row],[ItemID A]],Katalog!$C$3:$C$12,0))*cadangan3[[#This Row],[Qty A]],0)</f>
        <v>800000</v>
      </c>
      <c r="I27" s="36">
        <f>IFERROR(INDEX(Katalog!$D$3:$D$12,MATCH(cadangan3[[#This Row],[Item A]],Katalog!$B$3:$B$12,0))*cadangan3[[#This Row],[Qty A]],0)</f>
        <v>800000</v>
      </c>
      <c r="J27" s="36">
        <f>IFERROR(cadangan3[[#This Row],[Harga Asli A]]-(cadangan3[[#This Row],[Harga Asli A]]*cadangan3[[#This Row],[Diskon]]),cadangan3[[#This Row],[Harga Asli A]])</f>
        <v>680000</v>
      </c>
      <c r="K27" s="36">
        <f>INDEX(Katalog!$F$3:$F$12,MATCH(cadangan3[[#This Row],[ItemID A]],Katalog!$C$3:$C$12,0))*cadangan3[[#This Row],[Qty A]]</f>
        <v>300000</v>
      </c>
      <c r="L27" s="36">
        <f>IFERROR(cadangan3[[#This Row],[Profit A]]-(cadangan3[[#This Row],[Profit A]]*cadangan3[[#This Row],[Diskon]]),K27)</f>
        <v>255000</v>
      </c>
      <c r="M27" t="s">
        <v>58</v>
      </c>
      <c r="N27" t="str">
        <f>IFERROR(INDEX(Katalog!$A$3:$A$12,MATCH(cadangan3[[#This Row],[ItemID B]],Katalog!$C$3:$C$12,0)),"-")</f>
        <v>Pakaian Wanita</v>
      </c>
      <c r="O27" t="str">
        <f>IFERROR(INDEX(Katalog!$B$3:$B$12,MATCH(cadangan3[[#This Row],[ItemID B]],Katalog!$C$3:$C$12,0)),"-")</f>
        <v>Dress</v>
      </c>
      <c r="P27">
        <v>3</v>
      </c>
      <c r="Q27">
        <v>1</v>
      </c>
      <c r="R27" s="36">
        <f>IFERROR(INDEX(Katalog!$D$3:$D$12,MATCH(cadangan3[[#This Row],[ItemID B]],Katalog!$C$3:$C$12,0))*cadangan3[[#This Row],[Qty B]],0)</f>
        <v>900000</v>
      </c>
      <c r="S27" s="36">
        <f>IFERROR(INDEX(Katalog!$D$3:$D$12,MATCH(cadangan3[[#This Row],[Item B]],Katalog!$B$3:$B$12,0))*cadangan3[[#This Row],[Qty B]],0)</f>
        <v>900000</v>
      </c>
      <c r="T27" s="36">
        <f>IFERROR(cadangan3[[#This Row],[Harga Asli B]]-(cadangan3[[#This Row],[Harga Asli B]]*cadangan3[[#This Row],[Diskon]]),cadangan3[[#This Row],[Harga Asli B]])</f>
        <v>765000</v>
      </c>
      <c r="U27" s="36">
        <f>IFERROR(INDEX(Katalog!$F$3:$F$12,MATCH(cadangan3[[#This Row],[ItemID B]],Katalog!$C$3:$C$12,0))*cadangan3[[#This Row],[Qty B]],0)</f>
        <v>300000</v>
      </c>
      <c r="V27" s="36">
        <f>IFERROR(cadangan3[[#This Row],[Profit B]]-(cadangan3[[#This Row],[Profit B]]*cadangan3[[#This Row],[Diskon]]),U27)</f>
        <v>255000</v>
      </c>
      <c r="X27" t="str">
        <f>IFERROR(INDEX(Katalog!$A$3:$A$12,MATCH(cadangan3[[#This Row],[ItemID C]],Katalog!$C$3:$C$12,0)),"-")</f>
        <v>-</v>
      </c>
      <c r="Y27" t="str">
        <f>IFERROR(INDEX(Katalog!$B$3:$B$12,MATCH(cadangan3[[#This Row],[ItemID C]],Katalog!$C$3:$C$12,0)),"-")</f>
        <v>-</v>
      </c>
      <c r="AB27" s="36">
        <f>IFERROR(INDEX(Katalog!$D$3:$D$12,MATCH(cadangan3[[#This Row],[ItemID C]],Katalog!$C$3:$C$12,0))*cadangan3[[#This Row],[Qty C]],0)</f>
        <v>0</v>
      </c>
      <c r="AC27" s="36">
        <f>IFERROR(INDEX(Katalog!$D$3:$D$12,MATCH(cadangan3[[#This Row],[Item C]],Katalog!$B$3:$B$12,0))*cadangan3[[#This Row],[Qty C]],0)</f>
        <v>0</v>
      </c>
      <c r="AD27" s="36">
        <f>IFERROR(cadangan3[[#This Row],[Harga Asli C]]-(cadangan3[[#This Row],[Harga Asli C]]*cadangan3[[#This Row],[Diskon]]),cadangan3[[#This Row],[Harga Asli C]])</f>
        <v>0</v>
      </c>
      <c r="AE27" s="36">
        <f>IFERROR(INDEX(Katalog!$F$3:$F$12,MATCH(cadangan3[[#This Row],[ItemID C]],Katalog!$C$3:$C$12,0))*cadangan3[[#This Row],[Qty C]],0)</f>
        <v>0</v>
      </c>
      <c r="AF27" s="36">
        <f>IFERROR(cadangan3[[#This Row],[Profit C]]-(cadangan3[[#This Row],[Profit C]]*cadangan3[[#This Row],[Diskon]]),cadangan3[[#This Row],[Profit C]])</f>
        <v>0</v>
      </c>
      <c r="AG27" s="21">
        <f>cadangan3[[#This Row],[Qty A]]+cadangan3[[#This Row],[Qty B]]+cadangan3[[#This Row],[Qty C]]</f>
        <v>5</v>
      </c>
      <c r="AH27" s="35">
        <f>cadangan3[[#This Row],[Harga A + Diskon]]+cadangan3[[#This Row],[Harga + Diskon B]]+cadangan3[[#This Row],[Harga + Diskon C]]</f>
        <v>1445000</v>
      </c>
      <c r="AI27" s="35">
        <f>(cadangan3[[#This Row],[Profit A]]+cadangan3[[#This Row],[Profit B]]+cadangan3[[#This Row],[Profit C]])</f>
        <v>600000</v>
      </c>
      <c r="AJ27" s="35">
        <f>cadangan3[[#This Row],[Provit A + Diskon]]+cadangan3[[#This Row],[Provit B + Diskon]]+cadangan3[[#This Row],[Provit C + Diskon]]</f>
        <v>510000</v>
      </c>
      <c r="AK27" s="23" t="s">
        <v>32</v>
      </c>
      <c r="AL27" s="37">
        <f>IFERROR(INDEX('Kode Diskon'!$D$3:$D$9,MATCH(cadangan3[[#This Row],[Kode diskon]],'Kode Diskon'!$C$3:$C$9,0)),"-")</f>
        <v>0.15</v>
      </c>
      <c r="AM27" s="23" t="s">
        <v>9</v>
      </c>
      <c r="AN27" s="23" t="s">
        <v>12</v>
      </c>
      <c r="AO27" s="23" t="s">
        <v>80</v>
      </c>
      <c r="AP27" s="24">
        <v>45041</v>
      </c>
      <c r="AQ27" s="23" t="str">
        <f>TEXT(cadangan3[[#This Row],[Tanggal terjual]],"dddd")</f>
        <v>Tuesday</v>
      </c>
    </row>
    <row r="28" spans="1:43" x14ac:dyDescent="0.2">
      <c r="A28" s="20">
        <v>27</v>
      </c>
      <c r="B28" s="21" t="str">
        <f>_xlfn.CONCAT("ORD-",INDEX(Helper!$B$2:$B$5,MATCH(cadangan3[[#This Row],[Marketplace]],Helper!$A$2:$A$5,0)),TEXT(cadangan3[[#This Row],[No]],"0000"),"-",TEXT(cadangan3[[#This Row],[Tanggal terjual]],"dd/mm/yy"))</f>
        <v>ORD-BB0027-01/04/23</v>
      </c>
      <c r="C28" t="s">
        <v>67</v>
      </c>
      <c r="D28" t="str">
        <f>IFERROR(INDEX(Katalog!$A$3:$A$12,MATCH(cadangan3[[#This Row],[ItemID A]],Katalog!$C$3:$C$12,0)),"-")</f>
        <v>Sepatu Wanita</v>
      </c>
      <c r="E28" t="str">
        <f>IFERROR(INDEX(Katalog!$B$3:$B$12,MATCH(cadangan3[[#This Row],[ItemID A]],Katalog!$C$3:$C$12,0)),"-")</f>
        <v>Flat Shoes</v>
      </c>
      <c r="F28">
        <v>3</v>
      </c>
      <c r="G28">
        <v>1</v>
      </c>
      <c r="H28" s="36">
        <f>IFERROR(INDEX(Katalog!$D$3:$D$12,MATCH(cadangan3[[#This Row],[ItemID A]],Katalog!$C$3:$C$12,0))*cadangan3[[#This Row],[Qty A]],0)</f>
        <v>750000</v>
      </c>
      <c r="I28" s="36">
        <f>IFERROR(INDEX(Katalog!$D$3:$D$12,MATCH(cadangan3[[#This Row],[Item A]],Katalog!$B$3:$B$12,0))*cadangan3[[#This Row],[Qty A]],0)</f>
        <v>750000</v>
      </c>
      <c r="J28" s="36">
        <f>IFERROR(cadangan3[[#This Row],[Harga Asli A]]-(cadangan3[[#This Row],[Harga Asli A]]*cadangan3[[#This Row],[Diskon]]),cadangan3[[#This Row],[Harga Asli A]])</f>
        <v>637500</v>
      </c>
      <c r="K28" s="36">
        <f>INDEX(Katalog!$F$3:$F$12,MATCH(cadangan3[[#This Row],[ItemID A]],Katalog!$C$3:$C$12,0))*cadangan3[[#This Row],[Qty A]]</f>
        <v>300000</v>
      </c>
      <c r="L28" s="36">
        <f>IFERROR(cadangan3[[#This Row],[Profit A]]-(cadangan3[[#This Row],[Profit A]]*cadangan3[[#This Row],[Diskon]]),K28)</f>
        <v>255000</v>
      </c>
      <c r="M28" t="s">
        <v>61</v>
      </c>
      <c r="N28" t="str">
        <f>IFERROR(INDEX(Katalog!$A$3:$A$12,MATCH(cadangan3[[#This Row],[ItemID B]],Katalog!$C$3:$C$12,0)),"-")</f>
        <v>Pakaian Pria</v>
      </c>
      <c r="O28" t="str">
        <f>IFERROR(INDEX(Katalog!$B$3:$B$12,MATCH(cadangan3[[#This Row],[ItemID B]],Katalog!$C$3:$C$12,0)),"-")</f>
        <v>Kaos Polo</v>
      </c>
      <c r="P28">
        <v>2</v>
      </c>
      <c r="Q28">
        <v>3</v>
      </c>
      <c r="R28" s="36">
        <f>IFERROR(INDEX(Katalog!$D$3:$D$12,MATCH(cadangan3[[#This Row],[ItemID B]],Katalog!$C$3:$C$12,0))*cadangan3[[#This Row],[Qty B]],0)</f>
        <v>400000</v>
      </c>
      <c r="S28" s="36">
        <f>IFERROR(INDEX(Katalog!$D$3:$D$12,MATCH(cadangan3[[#This Row],[Item B]],Katalog!$B$3:$B$12,0))*cadangan3[[#This Row],[Qty B]],0)</f>
        <v>400000</v>
      </c>
      <c r="T28" s="36">
        <f>IFERROR(cadangan3[[#This Row],[Harga Asli B]]-(cadangan3[[#This Row],[Harga Asli B]]*cadangan3[[#This Row],[Diskon]]),cadangan3[[#This Row],[Harga Asli B]])</f>
        <v>340000</v>
      </c>
      <c r="U28" s="36">
        <f>IFERROR(INDEX(Katalog!$F$3:$F$12,MATCH(cadangan3[[#This Row],[ItemID B]],Katalog!$C$3:$C$12,0))*cadangan3[[#This Row],[Qty B]],0)</f>
        <v>160000</v>
      </c>
      <c r="V28" s="36">
        <f>IFERROR(cadangan3[[#This Row],[Profit B]]-(cadangan3[[#This Row],[Profit B]]*cadangan3[[#This Row],[Diskon]]),U28)</f>
        <v>136000</v>
      </c>
      <c r="W28" t="s">
        <v>58</v>
      </c>
      <c r="X28" t="str">
        <f>IFERROR(INDEX(Katalog!$A$3:$A$12,MATCH(cadangan3[[#This Row],[ItemID C]],Katalog!$C$3:$C$12,0)),"-")</f>
        <v>Pakaian Wanita</v>
      </c>
      <c r="Y28" t="str">
        <f>IFERROR(INDEX(Katalog!$B$3:$B$12,MATCH(cadangan3[[#This Row],[ItemID C]],Katalog!$C$3:$C$12,0)),"-")</f>
        <v>Dress</v>
      </c>
      <c r="Z28">
        <v>1</v>
      </c>
      <c r="AA28">
        <v>3</v>
      </c>
      <c r="AB28" s="36">
        <f>IFERROR(INDEX(Katalog!$D$3:$D$12,MATCH(cadangan3[[#This Row],[ItemID C]],Katalog!$C$3:$C$12,0))*cadangan3[[#This Row],[Qty C]],0)</f>
        <v>300000</v>
      </c>
      <c r="AC28" s="36">
        <f>IFERROR(INDEX(Katalog!$D$3:$D$12,MATCH(cadangan3[[#This Row],[Item C]],Katalog!$B$3:$B$12,0))*cadangan3[[#This Row],[Qty C]],0)</f>
        <v>300000</v>
      </c>
      <c r="AD28" s="36">
        <f>IFERROR(cadangan3[[#This Row],[Harga Asli C]]-(cadangan3[[#This Row],[Harga Asli C]]*cadangan3[[#This Row],[Diskon]]),cadangan3[[#This Row],[Harga Asli C]])</f>
        <v>255000</v>
      </c>
      <c r="AE28" s="36">
        <f>IFERROR(INDEX(Katalog!$F$3:$F$12,MATCH(cadangan3[[#This Row],[ItemID C]],Katalog!$C$3:$C$12,0))*cadangan3[[#This Row],[Qty C]],0)</f>
        <v>100000</v>
      </c>
      <c r="AF28" s="36">
        <f>IFERROR(cadangan3[[#This Row],[Profit C]]-(cadangan3[[#This Row],[Profit C]]*cadangan3[[#This Row],[Diskon]]),cadangan3[[#This Row],[Profit C]])</f>
        <v>85000</v>
      </c>
      <c r="AG28" s="21">
        <f>cadangan3[[#This Row],[Qty A]]+cadangan3[[#This Row],[Qty B]]+cadangan3[[#This Row],[Qty C]]</f>
        <v>6</v>
      </c>
      <c r="AH28" s="35">
        <f>cadangan3[[#This Row],[Harga A + Diskon]]+cadangan3[[#This Row],[Harga + Diskon B]]+cadangan3[[#This Row],[Harga + Diskon C]]</f>
        <v>1232500</v>
      </c>
      <c r="AI28" s="35">
        <f>(cadangan3[[#This Row],[Profit A]]+cadangan3[[#This Row],[Profit B]]+cadangan3[[#This Row],[Profit C]])</f>
        <v>560000</v>
      </c>
      <c r="AJ28" s="35">
        <f>cadangan3[[#This Row],[Provit A + Diskon]]+cadangan3[[#This Row],[Provit B + Diskon]]+cadangan3[[#This Row],[Provit C + Diskon]]</f>
        <v>476000</v>
      </c>
      <c r="AK28" s="23" t="s">
        <v>28</v>
      </c>
      <c r="AL28" s="37">
        <f>IFERROR(INDEX('Kode Diskon'!$D$3:$D$9,MATCH(cadangan3[[#This Row],[Kode diskon]],'Kode Diskon'!$C$3:$C$9,0)),"-")</f>
        <v>0.15</v>
      </c>
      <c r="AM28" s="23" t="s">
        <v>29</v>
      </c>
      <c r="AN28" s="23" t="s">
        <v>14</v>
      </c>
      <c r="AO28" s="23" t="s">
        <v>79</v>
      </c>
      <c r="AP28" s="24">
        <v>45017</v>
      </c>
      <c r="AQ28" s="23" t="str">
        <f>TEXT(cadangan3[[#This Row],[Tanggal terjual]],"dddd")</f>
        <v>Saturday</v>
      </c>
    </row>
    <row r="29" spans="1:43" x14ac:dyDescent="0.2">
      <c r="A29" s="20">
        <v>28</v>
      </c>
      <c r="B29" s="21" t="str">
        <f>_xlfn.CONCAT("ORD-",INDEX(Helper!$B$2:$B$5,MATCH(cadangan3[[#This Row],[Marketplace]],Helper!$A$2:$A$5,0)),TEXT(cadangan3[[#This Row],[No]],"0000"),"-",TEXT(cadangan3[[#This Row],[Tanggal terjual]],"dd/mm/yy"))</f>
        <v>ORD-BL0028-29/04/23</v>
      </c>
      <c r="C29" t="s">
        <v>62</v>
      </c>
      <c r="D29" t="str">
        <f>IFERROR(INDEX(Katalog!$A$3:$A$12,MATCH(cadangan3[[#This Row],[ItemID A]],Katalog!$C$3:$C$12,0)),"-")</f>
        <v>Pakaian Pria</v>
      </c>
      <c r="E29" t="str">
        <f>IFERROR(INDEX(Katalog!$B$3:$B$12,MATCH(cadangan3[[#This Row],[ItemID A]],Katalog!$C$3:$C$12,0)),"-")</f>
        <v>Celana Pendek</v>
      </c>
      <c r="F29">
        <v>5</v>
      </c>
      <c r="G29">
        <v>2</v>
      </c>
      <c r="H29" s="36">
        <f>IFERROR(INDEX(Katalog!$D$3:$D$12,MATCH(cadangan3[[#This Row],[ItemID A]],Katalog!$C$3:$C$12,0))*cadangan3[[#This Row],[Qty A]],0)</f>
        <v>900000</v>
      </c>
      <c r="I29" s="36">
        <f>IFERROR(INDEX(Katalog!$D$3:$D$12,MATCH(cadangan3[[#This Row],[Item A]],Katalog!$B$3:$B$12,0))*cadangan3[[#This Row],[Qty A]],0)</f>
        <v>900000</v>
      </c>
      <c r="J29" s="36">
        <f>IFERROR(cadangan3[[#This Row],[Harga Asli A]]-(cadangan3[[#This Row],[Harga Asli A]]*cadangan3[[#This Row],[Diskon]]),cadangan3[[#This Row],[Harga Asli A]])</f>
        <v>765000</v>
      </c>
      <c r="K29" s="36">
        <f>INDEX(Katalog!$F$3:$F$12,MATCH(cadangan3[[#This Row],[ItemID A]],Katalog!$C$3:$C$12,0))*cadangan3[[#This Row],[Qty A]]</f>
        <v>350000</v>
      </c>
      <c r="L29" s="36">
        <f>IFERROR(cadangan3[[#This Row],[Profit A]]-(cadangan3[[#This Row],[Profit A]]*cadangan3[[#This Row],[Diskon]]),K29)</f>
        <v>297500</v>
      </c>
      <c r="M29" t="s">
        <v>58</v>
      </c>
      <c r="N29" t="str">
        <f>IFERROR(INDEX(Katalog!$A$3:$A$12,MATCH(cadangan3[[#This Row],[ItemID B]],Katalog!$C$3:$C$12,0)),"-")</f>
        <v>Pakaian Wanita</v>
      </c>
      <c r="O29" t="str">
        <f>IFERROR(INDEX(Katalog!$B$3:$B$12,MATCH(cadangan3[[#This Row],[ItemID B]],Katalog!$C$3:$C$12,0)),"-")</f>
        <v>Dress</v>
      </c>
      <c r="P29">
        <v>2</v>
      </c>
      <c r="Q29">
        <v>1</v>
      </c>
      <c r="R29" s="36">
        <f>IFERROR(INDEX(Katalog!$D$3:$D$12,MATCH(cadangan3[[#This Row],[ItemID B]],Katalog!$C$3:$C$12,0))*cadangan3[[#This Row],[Qty B]],0)</f>
        <v>600000</v>
      </c>
      <c r="S29" s="36">
        <f>IFERROR(INDEX(Katalog!$D$3:$D$12,MATCH(cadangan3[[#This Row],[Item B]],Katalog!$B$3:$B$12,0))*cadangan3[[#This Row],[Qty B]],0)</f>
        <v>600000</v>
      </c>
      <c r="T29" s="36">
        <f>IFERROR(cadangan3[[#This Row],[Harga Asli B]]-(cadangan3[[#This Row],[Harga Asli B]]*cadangan3[[#This Row],[Diskon]]),cadangan3[[#This Row],[Harga Asli B]])</f>
        <v>510000</v>
      </c>
      <c r="U29" s="36">
        <f>IFERROR(INDEX(Katalog!$F$3:$F$12,MATCH(cadangan3[[#This Row],[ItemID B]],Katalog!$C$3:$C$12,0))*cadangan3[[#This Row],[Qty B]],0)</f>
        <v>200000</v>
      </c>
      <c r="V29" s="36">
        <f>IFERROR(cadangan3[[#This Row],[Profit B]]-(cadangan3[[#This Row],[Profit B]]*cadangan3[[#This Row],[Diskon]]),U29)</f>
        <v>170000</v>
      </c>
      <c r="X29" t="str">
        <f>IFERROR(INDEX(Katalog!$A$3:$A$12,MATCH(cadangan3[[#This Row],[ItemID C]],Katalog!$C$3:$C$12,0)),"-")</f>
        <v>-</v>
      </c>
      <c r="Y29" t="str">
        <f>IFERROR(INDEX(Katalog!$B$3:$B$12,MATCH(cadangan3[[#This Row],[ItemID C]],Katalog!$C$3:$C$12,0)),"-")</f>
        <v>-</v>
      </c>
      <c r="AB29" s="36">
        <f>IFERROR(INDEX(Katalog!$D$3:$D$12,MATCH(cadangan3[[#This Row],[ItemID C]],Katalog!$C$3:$C$12,0))*cadangan3[[#This Row],[Qty C]],0)</f>
        <v>0</v>
      </c>
      <c r="AC29" s="36">
        <f>IFERROR(INDEX(Katalog!$D$3:$D$12,MATCH(cadangan3[[#This Row],[Item C]],Katalog!$B$3:$B$12,0))*cadangan3[[#This Row],[Qty C]],0)</f>
        <v>0</v>
      </c>
      <c r="AD29" s="36">
        <f>IFERROR(cadangan3[[#This Row],[Harga Asli C]]-(cadangan3[[#This Row],[Harga Asli C]]*cadangan3[[#This Row],[Diskon]]),cadangan3[[#This Row],[Harga Asli C]])</f>
        <v>0</v>
      </c>
      <c r="AE29" s="36">
        <f>IFERROR(INDEX(Katalog!$F$3:$F$12,MATCH(cadangan3[[#This Row],[ItemID C]],Katalog!$C$3:$C$12,0))*cadangan3[[#This Row],[Qty C]],0)</f>
        <v>0</v>
      </c>
      <c r="AF29" s="36">
        <f>IFERROR(cadangan3[[#This Row],[Profit C]]-(cadangan3[[#This Row],[Profit C]]*cadangan3[[#This Row],[Diskon]]),cadangan3[[#This Row],[Profit C]])</f>
        <v>0</v>
      </c>
      <c r="AG29" s="21">
        <f>cadangan3[[#This Row],[Qty A]]+cadangan3[[#This Row],[Qty B]]+cadangan3[[#This Row],[Qty C]]</f>
        <v>7</v>
      </c>
      <c r="AH29" s="35">
        <f>cadangan3[[#This Row],[Harga A + Diskon]]+cadangan3[[#This Row],[Harga + Diskon B]]+cadangan3[[#This Row],[Harga + Diskon C]]</f>
        <v>1275000</v>
      </c>
      <c r="AI29" s="35">
        <f>(cadangan3[[#This Row],[Profit A]]+cadangan3[[#This Row],[Profit B]]+cadangan3[[#This Row],[Profit C]])</f>
        <v>550000</v>
      </c>
      <c r="AJ29" s="35">
        <f>cadangan3[[#This Row],[Provit A + Diskon]]+cadangan3[[#This Row],[Provit B + Diskon]]+cadangan3[[#This Row],[Provit C + Diskon]]</f>
        <v>467500</v>
      </c>
      <c r="AK29" s="23" t="s">
        <v>32</v>
      </c>
      <c r="AL29" s="37">
        <f>IFERROR(INDEX('Kode Diskon'!$D$3:$D$9,MATCH(cadangan3[[#This Row],[Kode diskon]],'Kode Diskon'!$C$3:$C$9,0)),"-")</f>
        <v>0.15</v>
      </c>
      <c r="AM29" s="23" t="s">
        <v>9</v>
      </c>
      <c r="AN29" s="23" t="s">
        <v>12</v>
      </c>
      <c r="AO29" s="23" t="s">
        <v>79</v>
      </c>
      <c r="AP29" s="24">
        <v>45045</v>
      </c>
      <c r="AQ29" s="23" t="str">
        <f>TEXT(cadangan3[[#This Row],[Tanggal terjual]],"dddd")</f>
        <v>Saturday</v>
      </c>
    </row>
    <row r="30" spans="1:43" x14ac:dyDescent="0.2">
      <c r="A30" s="20">
        <v>29</v>
      </c>
      <c r="B30" s="21" t="str">
        <f>_xlfn.CONCAT("ORD-",INDEX(Helper!$B$2:$B$5,MATCH(cadangan3[[#This Row],[Marketplace]],Helper!$A$2:$A$5,0)),TEXT(cadangan3[[#This Row],[No]],"0000"),"-",TEXT(cadangan3[[#This Row],[Tanggal terjual]],"dd/mm/yy"))</f>
        <v>ORD-SP0029-30/04/23</v>
      </c>
      <c r="C30" t="s">
        <v>60</v>
      </c>
      <c r="D30" t="str">
        <f>IFERROR(INDEX(Katalog!$A$3:$A$12,MATCH(cadangan3[[#This Row],[ItemID A]],Katalog!$C$3:$C$12,0)),"-")</f>
        <v>Pakaian Wanita</v>
      </c>
      <c r="E30" t="str">
        <f>IFERROR(INDEX(Katalog!$B$3:$B$12,MATCH(cadangan3[[#This Row],[ItemID A]],Katalog!$C$3:$C$12,0)),"-")</f>
        <v>Kaftan</v>
      </c>
      <c r="F30">
        <v>1</v>
      </c>
      <c r="G30">
        <v>1</v>
      </c>
      <c r="H30" s="36">
        <f>IFERROR(INDEX(Katalog!$D$3:$D$12,MATCH(cadangan3[[#This Row],[ItemID A]],Katalog!$C$3:$C$12,0))*cadangan3[[#This Row],[Qty A]],0)</f>
        <v>250000</v>
      </c>
      <c r="I30" s="36">
        <f>IFERROR(INDEX(Katalog!$D$3:$D$12,MATCH(cadangan3[[#This Row],[Item A]],Katalog!$B$3:$B$12,0))*cadangan3[[#This Row],[Qty A]],0)</f>
        <v>250000</v>
      </c>
      <c r="J30" s="36">
        <f>IFERROR(cadangan3[[#This Row],[Harga Asli A]]-(cadangan3[[#This Row],[Harga Asli A]]*cadangan3[[#This Row],[Diskon]]),cadangan3[[#This Row],[Harga Asli A]])</f>
        <v>200000</v>
      </c>
      <c r="K30" s="36">
        <f>INDEX(Katalog!$F$3:$F$12,MATCH(cadangan3[[#This Row],[ItemID A]],Katalog!$C$3:$C$12,0))*cadangan3[[#This Row],[Qty A]]</f>
        <v>100000</v>
      </c>
      <c r="L30" s="36">
        <f>IFERROR(cadangan3[[#This Row],[Profit A]]-(cadangan3[[#This Row],[Profit A]]*cadangan3[[#This Row],[Diskon]]),K30)</f>
        <v>80000</v>
      </c>
      <c r="N30" t="str">
        <f>IFERROR(INDEX(Katalog!$A$3:$A$12,MATCH(cadangan3[[#This Row],[ItemID B]],Katalog!$C$3:$C$12,0)),"-")</f>
        <v>-</v>
      </c>
      <c r="O30" t="str">
        <f>IFERROR(INDEX(Katalog!$B$3:$B$12,MATCH(cadangan3[[#This Row],[ItemID B]],Katalog!$C$3:$C$12,0)),"-")</f>
        <v>-</v>
      </c>
      <c r="R30" s="36">
        <f>IFERROR(INDEX(Katalog!$D$3:$D$12,MATCH(cadangan3[[#This Row],[ItemID B]],Katalog!$C$3:$C$12,0))*cadangan3[[#This Row],[Qty B]],0)</f>
        <v>0</v>
      </c>
      <c r="S30" s="36">
        <f>IFERROR(INDEX(Katalog!$D$3:$D$12,MATCH(cadangan3[[#This Row],[Item B]],Katalog!$B$3:$B$12,0))*cadangan3[[#This Row],[Qty B]],0)</f>
        <v>0</v>
      </c>
      <c r="T30" s="36">
        <f>IFERROR(cadangan3[[#This Row],[Harga Asli B]]-(cadangan3[[#This Row],[Harga Asli B]]*cadangan3[[#This Row],[Diskon]]),cadangan3[[#This Row],[Harga Asli B]])</f>
        <v>0</v>
      </c>
      <c r="U30" s="36">
        <f>IFERROR(INDEX(Katalog!$F$3:$F$12,MATCH(cadangan3[[#This Row],[ItemID B]],Katalog!$C$3:$C$12,0))*cadangan3[[#This Row],[Qty B]],0)</f>
        <v>0</v>
      </c>
      <c r="V30" s="36">
        <f>IFERROR(cadangan3[[#This Row],[Profit B]]-(cadangan3[[#This Row],[Profit B]]*cadangan3[[#This Row],[Diskon]]),U30)</f>
        <v>0</v>
      </c>
      <c r="X30" t="str">
        <f>IFERROR(INDEX(Katalog!$A$3:$A$12,MATCH(cadangan3[[#This Row],[ItemID C]],Katalog!$C$3:$C$12,0)),"-")</f>
        <v>-</v>
      </c>
      <c r="Y30" t="str">
        <f>IFERROR(INDEX(Katalog!$B$3:$B$12,MATCH(cadangan3[[#This Row],[ItemID C]],Katalog!$C$3:$C$12,0)),"-")</f>
        <v>-</v>
      </c>
      <c r="AB30" s="36">
        <f>IFERROR(INDEX(Katalog!$D$3:$D$12,MATCH(cadangan3[[#This Row],[ItemID C]],Katalog!$C$3:$C$12,0))*cadangan3[[#This Row],[Qty C]],0)</f>
        <v>0</v>
      </c>
      <c r="AC30" s="36">
        <f>IFERROR(INDEX(Katalog!$D$3:$D$12,MATCH(cadangan3[[#This Row],[Item C]],Katalog!$B$3:$B$12,0))*cadangan3[[#This Row],[Qty C]],0)</f>
        <v>0</v>
      </c>
      <c r="AD30" s="36">
        <f>IFERROR(cadangan3[[#This Row],[Harga Asli C]]-(cadangan3[[#This Row],[Harga Asli C]]*cadangan3[[#This Row],[Diskon]]),cadangan3[[#This Row],[Harga Asli C]])</f>
        <v>0</v>
      </c>
      <c r="AE30" s="36">
        <f>IFERROR(INDEX(Katalog!$F$3:$F$12,MATCH(cadangan3[[#This Row],[ItemID C]],Katalog!$C$3:$C$12,0))*cadangan3[[#This Row],[Qty C]],0)</f>
        <v>0</v>
      </c>
      <c r="AF30" s="36">
        <f>IFERROR(cadangan3[[#This Row],[Profit C]]-(cadangan3[[#This Row],[Profit C]]*cadangan3[[#This Row],[Diskon]]),cadangan3[[#This Row],[Profit C]])</f>
        <v>0</v>
      </c>
      <c r="AG30" s="21">
        <f>cadangan3[[#This Row],[Qty A]]+cadangan3[[#This Row],[Qty B]]+cadangan3[[#This Row],[Qty C]]</f>
        <v>1</v>
      </c>
      <c r="AH30" s="35">
        <f>cadangan3[[#This Row],[Harga A + Diskon]]+cadangan3[[#This Row],[Harga + Diskon B]]+cadangan3[[#This Row],[Harga + Diskon C]]</f>
        <v>200000</v>
      </c>
      <c r="AI30" s="35">
        <f>(cadangan3[[#This Row],[Profit A]]+cadangan3[[#This Row],[Profit B]]+cadangan3[[#This Row],[Profit C]])</f>
        <v>100000</v>
      </c>
      <c r="AJ30" s="35">
        <f>cadangan3[[#This Row],[Provit A + Diskon]]+cadangan3[[#This Row],[Provit B + Diskon]]+cadangan3[[#This Row],[Provit C + Diskon]]</f>
        <v>80000</v>
      </c>
      <c r="AK30" s="23" t="s">
        <v>8</v>
      </c>
      <c r="AL30" s="37">
        <f>IFERROR(INDEX('Kode Diskon'!$D$3:$D$9,MATCH(cadangan3[[#This Row],[Kode diskon]],'Kode Diskon'!$C$3:$C$9,0)),"-")</f>
        <v>0.2</v>
      </c>
      <c r="AM30" s="23" t="s">
        <v>9</v>
      </c>
      <c r="AN30" s="23" t="s">
        <v>7</v>
      </c>
      <c r="AO30" s="23" t="s">
        <v>80</v>
      </c>
      <c r="AP30" s="24">
        <v>45046</v>
      </c>
      <c r="AQ30" s="23" t="str">
        <f>TEXT(cadangan3[[#This Row],[Tanggal terjual]],"dddd")</f>
        <v>Sunday</v>
      </c>
    </row>
    <row r="31" spans="1:43" x14ac:dyDescent="0.2">
      <c r="A31" s="20">
        <v>30</v>
      </c>
      <c r="B31" s="21" t="str">
        <f>_xlfn.CONCAT("ORD-",INDEX(Helper!$B$2:$B$5,MATCH(cadangan3[[#This Row],[Marketplace]],Helper!$A$2:$A$5,0)),TEXT(cadangan3[[#This Row],[No]],"0000"),"-",TEXT(cadangan3[[#This Row],[Tanggal terjual]],"dd/mm/yy"))</f>
        <v>ORD-BB0030-04/04/23</v>
      </c>
      <c r="C31" t="s">
        <v>62</v>
      </c>
      <c r="D31" t="str">
        <f>IFERROR(INDEX(Katalog!$A$3:$A$12,MATCH(cadangan3[[#This Row],[ItemID A]],Katalog!$C$3:$C$12,0)),"-")</f>
        <v>Pakaian Pria</v>
      </c>
      <c r="E31" t="str">
        <f>IFERROR(INDEX(Katalog!$B$3:$B$12,MATCH(cadangan3[[#This Row],[ItemID A]],Katalog!$C$3:$C$12,0)),"-")</f>
        <v>Celana Pendek</v>
      </c>
      <c r="F31">
        <v>2</v>
      </c>
      <c r="G31">
        <v>2</v>
      </c>
      <c r="H31" s="36">
        <f>IFERROR(INDEX(Katalog!$D$3:$D$12,MATCH(cadangan3[[#This Row],[ItemID A]],Katalog!$C$3:$C$12,0))*cadangan3[[#This Row],[Qty A]],0)</f>
        <v>360000</v>
      </c>
      <c r="I31" s="36">
        <f>IFERROR(INDEX(Katalog!$D$3:$D$12,MATCH(cadangan3[[#This Row],[Item A]],Katalog!$B$3:$B$12,0))*cadangan3[[#This Row],[Qty A]],0)</f>
        <v>360000</v>
      </c>
      <c r="J31" s="36">
        <f>IFERROR(cadangan3[[#This Row],[Harga Asli A]]-(cadangan3[[#This Row],[Harga Asli A]]*cadangan3[[#This Row],[Diskon]]),cadangan3[[#This Row],[Harga Asli A]])</f>
        <v>306000</v>
      </c>
      <c r="K31" s="36">
        <f>INDEX(Katalog!$F$3:$F$12,MATCH(cadangan3[[#This Row],[ItemID A]],Katalog!$C$3:$C$12,0))*cadangan3[[#This Row],[Qty A]]</f>
        <v>140000</v>
      </c>
      <c r="L31" s="36">
        <f>IFERROR(cadangan3[[#This Row],[Profit A]]-(cadangan3[[#This Row],[Profit A]]*cadangan3[[#This Row],[Diskon]]),K31)</f>
        <v>119000</v>
      </c>
      <c r="M31" t="s">
        <v>67</v>
      </c>
      <c r="N31" t="str">
        <f>IFERROR(INDEX(Katalog!$A$3:$A$12,MATCH(cadangan3[[#This Row],[ItemID B]],Katalog!$C$3:$C$12,0)),"-")</f>
        <v>Sepatu Wanita</v>
      </c>
      <c r="O31" t="str">
        <f>IFERROR(INDEX(Katalog!$B$3:$B$12,MATCH(cadangan3[[#This Row],[ItemID B]],Katalog!$C$3:$C$12,0)),"-")</f>
        <v>Flat Shoes</v>
      </c>
      <c r="P31">
        <v>1</v>
      </c>
      <c r="Q31">
        <v>1</v>
      </c>
      <c r="R31" s="36">
        <f>IFERROR(INDEX(Katalog!$D$3:$D$12,MATCH(cadangan3[[#This Row],[ItemID B]],Katalog!$C$3:$C$12,0))*cadangan3[[#This Row],[Qty B]],0)</f>
        <v>250000</v>
      </c>
      <c r="S31" s="36">
        <f>IFERROR(INDEX(Katalog!$D$3:$D$12,MATCH(cadangan3[[#This Row],[Item B]],Katalog!$B$3:$B$12,0))*cadangan3[[#This Row],[Qty B]],0)</f>
        <v>250000</v>
      </c>
      <c r="T31" s="36">
        <f>IFERROR(cadangan3[[#This Row],[Harga Asli B]]-(cadangan3[[#This Row],[Harga Asli B]]*cadangan3[[#This Row],[Diskon]]),cadangan3[[#This Row],[Harga Asli B]])</f>
        <v>212500</v>
      </c>
      <c r="U31" s="36">
        <f>IFERROR(INDEX(Katalog!$F$3:$F$12,MATCH(cadangan3[[#This Row],[ItemID B]],Katalog!$C$3:$C$12,0))*cadangan3[[#This Row],[Qty B]],0)</f>
        <v>100000</v>
      </c>
      <c r="V31" s="36">
        <f>IFERROR(cadangan3[[#This Row],[Profit B]]-(cadangan3[[#This Row],[Profit B]]*cadangan3[[#This Row],[Diskon]]),U31)</f>
        <v>85000</v>
      </c>
      <c r="W31" t="s">
        <v>59</v>
      </c>
      <c r="X31" t="str">
        <f>IFERROR(INDEX(Katalog!$A$3:$A$12,MATCH(cadangan3[[#This Row],[ItemID C]],Katalog!$C$3:$C$12,0)),"-")</f>
        <v>Pakaian Wanita</v>
      </c>
      <c r="Y31" t="str">
        <f>IFERROR(INDEX(Katalog!$B$3:$B$12,MATCH(cadangan3[[#This Row],[ItemID C]],Katalog!$C$3:$C$12,0)),"-")</f>
        <v>Blouse</v>
      </c>
      <c r="Z31">
        <v>3</v>
      </c>
      <c r="AA31">
        <v>1</v>
      </c>
      <c r="AB31" s="36">
        <f>IFERROR(INDEX(Katalog!$D$3:$D$12,MATCH(cadangan3[[#This Row],[ItemID C]],Katalog!$C$3:$C$12,0))*cadangan3[[#This Row],[Qty C]],0)</f>
        <v>450000</v>
      </c>
      <c r="AC31" s="36">
        <f>IFERROR(INDEX(Katalog!$D$3:$D$12,MATCH(cadangan3[[#This Row],[Item C]],Katalog!$B$3:$B$12,0))*cadangan3[[#This Row],[Qty C]],0)</f>
        <v>450000</v>
      </c>
      <c r="AD31" s="36">
        <f>IFERROR(cadangan3[[#This Row],[Harga Asli C]]-(cadangan3[[#This Row],[Harga Asli C]]*cadangan3[[#This Row],[Diskon]]),cadangan3[[#This Row],[Harga Asli C]])</f>
        <v>382500</v>
      </c>
      <c r="AE31" s="36">
        <f>IFERROR(INDEX(Katalog!$F$3:$F$12,MATCH(cadangan3[[#This Row],[ItemID C]],Katalog!$C$3:$C$12,0))*cadangan3[[#This Row],[Qty C]],0)</f>
        <v>150000</v>
      </c>
      <c r="AF31" s="36">
        <f>IFERROR(cadangan3[[#This Row],[Profit C]]-(cadangan3[[#This Row],[Profit C]]*cadangan3[[#This Row],[Diskon]]),cadangan3[[#This Row],[Profit C]])</f>
        <v>127500</v>
      </c>
      <c r="AG31" s="21">
        <f>cadangan3[[#This Row],[Qty A]]+cadangan3[[#This Row],[Qty B]]+cadangan3[[#This Row],[Qty C]]</f>
        <v>6</v>
      </c>
      <c r="AH31" s="35">
        <f>cadangan3[[#This Row],[Harga A + Diskon]]+cadangan3[[#This Row],[Harga + Diskon B]]+cadangan3[[#This Row],[Harga + Diskon C]]</f>
        <v>901000</v>
      </c>
      <c r="AI31" s="35">
        <f>(cadangan3[[#This Row],[Profit A]]+cadangan3[[#This Row],[Profit B]]+cadangan3[[#This Row],[Profit C]])</f>
        <v>390000</v>
      </c>
      <c r="AJ31" s="35">
        <f>cadangan3[[#This Row],[Provit A + Diskon]]+cadangan3[[#This Row],[Provit B + Diskon]]+cadangan3[[#This Row],[Provit C + Diskon]]</f>
        <v>331500</v>
      </c>
      <c r="AK31" s="23" t="s">
        <v>28</v>
      </c>
      <c r="AL31" s="37">
        <f>IFERROR(INDEX('Kode Diskon'!$D$3:$D$9,MATCH(cadangan3[[#This Row],[Kode diskon]],'Kode Diskon'!$C$3:$C$9,0)),"-")</f>
        <v>0.15</v>
      </c>
      <c r="AM31" s="23" t="s">
        <v>29</v>
      </c>
      <c r="AN31" s="23" t="s">
        <v>14</v>
      </c>
      <c r="AO31" s="23" t="s">
        <v>80</v>
      </c>
      <c r="AP31" s="24">
        <v>45020</v>
      </c>
      <c r="AQ31" s="23" t="str">
        <f>TEXT(cadangan3[[#This Row],[Tanggal terjual]],"dddd")</f>
        <v>Tuesday</v>
      </c>
    </row>
    <row r="32" spans="1:43" x14ac:dyDescent="0.2">
      <c r="A32" s="20">
        <v>31</v>
      </c>
      <c r="B32" s="21" t="str">
        <f>_xlfn.CONCAT("ORD-",INDEX(Helper!$B$2:$B$5,MATCH(cadangan3[[#This Row],[Marketplace]],Helper!$A$2:$A$5,0)),TEXT(cadangan3[[#This Row],[No]],"0000"),"-",TEXT(cadangan3[[#This Row],[Tanggal terjual]],"dd/mm/yy"))</f>
        <v>ORD-SP0031-01/04/23</v>
      </c>
      <c r="C32" t="s">
        <v>64</v>
      </c>
      <c r="D32" t="str">
        <f>IFERROR(INDEX(Katalog!$A$3:$A$12,MATCH(cadangan3[[#This Row],[ItemID A]],Katalog!$C$3:$C$12,0)),"-")</f>
        <v>Pakaian Unisex</v>
      </c>
      <c r="E32" t="str">
        <f>IFERROR(INDEX(Katalog!$B$3:$B$12,MATCH(cadangan3[[#This Row],[ItemID A]],Katalog!$C$3:$C$12,0)),"-")</f>
        <v>Jaket Hoodie</v>
      </c>
      <c r="F32">
        <v>2</v>
      </c>
      <c r="G32">
        <v>3</v>
      </c>
      <c r="H32" s="36">
        <f>IFERROR(INDEX(Katalog!$D$3:$D$12,MATCH(cadangan3[[#This Row],[ItemID A]],Katalog!$C$3:$C$12,0))*cadangan3[[#This Row],[Qty A]],0)</f>
        <v>700000</v>
      </c>
      <c r="I32" s="36">
        <f>IFERROR(INDEX(Katalog!$D$3:$D$12,MATCH(cadangan3[[#This Row],[Item A]],Katalog!$B$3:$B$12,0))*cadangan3[[#This Row],[Qty A]],0)</f>
        <v>700000</v>
      </c>
      <c r="J32" s="36">
        <f>IFERROR(cadangan3[[#This Row],[Harga Asli A]]-(cadangan3[[#This Row],[Harga Asli A]]*cadangan3[[#This Row],[Diskon]]),cadangan3[[#This Row],[Harga Asli A]])</f>
        <v>595000</v>
      </c>
      <c r="K32" s="36">
        <f>INDEX(Katalog!$F$3:$F$12,MATCH(cadangan3[[#This Row],[ItemID A]],Katalog!$C$3:$C$12,0))*cadangan3[[#This Row],[Qty A]]</f>
        <v>260000</v>
      </c>
      <c r="L32" s="36">
        <f>IFERROR(cadangan3[[#This Row],[Profit A]]-(cadangan3[[#This Row],[Profit A]]*cadangan3[[#This Row],[Diskon]]),K32)</f>
        <v>221000</v>
      </c>
      <c r="M32" t="s">
        <v>58</v>
      </c>
      <c r="N32" t="str">
        <f>IFERROR(INDEX(Katalog!$A$3:$A$12,MATCH(cadangan3[[#This Row],[ItemID B]],Katalog!$C$3:$C$12,0)),"-")</f>
        <v>Pakaian Wanita</v>
      </c>
      <c r="O32" t="str">
        <f>IFERROR(INDEX(Katalog!$B$3:$B$12,MATCH(cadangan3[[#This Row],[ItemID B]],Katalog!$C$3:$C$12,0)),"-")</f>
        <v>Dress</v>
      </c>
      <c r="P32">
        <v>4</v>
      </c>
      <c r="Q32">
        <v>3</v>
      </c>
      <c r="R32" s="36">
        <f>IFERROR(INDEX(Katalog!$D$3:$D$12,MATCH(cadangan3[[#This Row],[ItemID B]],Katalog!$C$3:$C$12,0))*cadangan3[[#This Row],[Qty B]],0)</f>
        <v>1200000</v>
      </c>
      <c r="S32" s="36">
        <f>IFERROR(INDEX(Katalog!$D$3:$D$12,MATCH(cadangan3[[#This Row],[Item B]],Katalog!$B$3:$B$12,0))*cadangan3[[#This Row],[Qty B]],0)</f>
        <v>1200000</v>
      </c>
      <c r="T32" s="36">
        <f>IFERROR(cadangan3[[#This Row],[Harga Asli B]]-(cadangan3[[#This Row],[Harga Asli B]]*cadangan3[[#This Row],[Diskon]]),cadangan3[[#This Row],[Harga Asli B]])</f>
        <v>1020000</v>
      </c>
      <c r="U32" s="36">
        <f>IFERROR(INDEX(Katalog!$F$3:$F$12,MATCH(cadangan3[[#This Row],[ItemID B]],Katalog!$C$3:$C$12,0))*cadangan3[[#This Row],[Qty B]],0)</f>
        <v>400000</v>
      </c>
      <c r="V32" s="36">
        <f>IFERROR(cadangan3[[#This Row],[Profit B]]-(cadangan3[[#This Row],[Profit B]]*cadangan3[[#This Row],[Diskon]]),U32)</f>
        <v>340000</v>
      </c>
      <c r="X32" t="str">
        <f>IFERROR(INDEX(Katalog!$A$3:$A$12,MATCH(cadangan3[[#This Row],[ItemID C]],Katalog!$C$3:$C$12,0)),"-")</f>
        <v>-</v>
      </c>
      <c r="Y32" t="str">
        <f>IFERROR(INDEX(Katalog!$B$3:$B$12,MATCH(cadangan3[[#This Row],[ItemID C]],Katalog!$C$3:$C$12,0)),"-")</f>
        <v>-</v>
      </c>
      <c r="AB32" s="36">
        <f>IFERROR(INDEX(Katalog!$D$3:$D$12,MATCH(cadangan3[[#This Row],[ItemID C]],Katalog!$C$3:$C$12,0))*cadangan3[[#This Row],[Qty C]],0)</f>
        <v>0</v>
      </c>
      <c r="AC32" s="36">
        <f>IFERROR(INDEX(Katalog!$D$3:$D$12,MATCH(cadangan3[[#This Row],[Item C]],Katalog!$B$3:$B$12,0))*cadangan3[[#This Row],[Qty C]],0)</f>
        <v>0</v>
      </c>
      <c r="AD32" s="36">
        <f>IFERROR(cadangan3[[#This Row],[Harga Asli C]]-(cadangan3[[#This Row],[Harga Asli C]]*cadangan3[[#This Row],[Diskon]]),cadangan3[[#This Row],[Harga Asli C]])</f>
        <v>0</v>
      </c>
      <c r="AE32" s="36">
        <f>IFERROR(INDEX(Katalog!$F$3:$F$12,MATCH(cadangan3[[#This Row],[ItemID C]],Katalog!$C$3:$C$12,0))*cadangan3[[#This Row],[Qty C]],0)</f>
        <v>0</v>
      </c>
      <c r="AF32" s="36">
        <f>IFERROR(cadangan3[[#This Row],[Profit C]]-(cadangan3[[#This Row],[Profit C]]*cadangan3[[#This Row],[Diskon]]),cadangan3[[#This Row],[Profit C]])</f>
        <v>0</v>
      </c>
      <c r="AG32" s="21">
        <f>cadangan3[[#This Row],[Qty A]]+cadangan3[[#This Row],[Qty B]]+cadangan3[[#This Row],[Qty C]]</f>
        <v>6</v>
      </c>
      <c r="AH32" s="35">
        <f>cadangan3[[#This Row],[Harga A + Diskon]]+cadangan3[[#This Row],[Harga + Diskon B]]+cadangan3[[#This Row],[Harga + Diskon C]]</f>
        <v>1615000</v>
      </c>
      <c r="AI32" s="35">
        <f>(cadangan3[[#This Row],[Profit A]]+cadangan3[[#This Row],[Profit B]]+cadangan3[[#This Row],[Profit C]])</f>
        <v>660000</v>
      </c>
      <c r="AJ32" s="35">
        <f>cadangan3[[#This Row],[Provit A + Diskon]]+cadangan3[[#This Row],[Provit B + Diskon]]+cadangan3[[#This Row],[Provit C + Diskon]]</f>
        <v>561000</v>
      </c>
      <c r="AK32" s="23" t="s">
        <v>13</v>
      </c>
      <c r="AL32" s="37">
        <f>IFERROR(INDEX('Kode Diskon'!$D$3:$D$9,MATCH(cadangan3[[#This Row],[Kode diskon]],'Kode Diskon'!$C$3:$C$9,0)),"-")</f>
        <v>0.15</v>
      </c>
      <c r="AM32" s="23" t="s">
        <v>29</v>
      </c>
      <c r="AN32" s="23" t="s">
        <v>7</v>
      </c>
      <c r="AO32" s="23" t="s">
        <v>79</v>
      </c>
      <c r="AP32" s="24">
        <v>45017</v>
      </c>
      <c r="AQ32" s="23" t="str">
        <f>TEXT(cadangan3[[#This Row],[Tanggal terjual]],"dddd")</f>
        <v>Saturday</v>
      </c>
    </row>
    <row r="33" spans="1:43" x14ac:dyDescent="0.2">
      <c r="A33" s="20">
        <v>32</v>
      </c>
      <c r="B33" s="21" t="str">
        <f>_xlfn.CONCAT("ORD-",INDEX(Helper!$B$2:$B$5,MATCH(cadangan3[[#This Row],[Marketplace]],Helper!$A$2:$A$5,0)),TEXT(cadangan3[[#This Row],[No]],"0000"),"-",TEXT(cadangan3[[#This Row],[Tanggal terjual]],"dd/mm/yy"))</f>
        <v>ORD-SP0032-25/04/23</v>
      </c>
      <c r="C33" t="s">
        <v>63</v>
      </c>
      <c r="D33" t="str">
        <f>IFERROR(INDEX(Katalog!$A$3:$A$12,MATCH(cadangan3[[#This Row],[ItemID A]],Katalog!$C$3:$C$12,0)),"-")</f>
        <v>Pakaian Pria</v>
      </c>
      <c r="E33" t="str">
        <f>IFERROR(INDEX(Katalog!$B$3:$B$12,MATCH(cadangan3[[#This Row],[ItemID A]],Katalog!$C$3:$C$12,0)),"-")</f>
        <v>Jaket Jeans</v>
      </c>
      <c r="F33">
        <v>5</v>
      </c>
      <c r="G33">
        <v>5</v>
      </c>
      <c r="H33" s="36">
        <f>IFERROR(INDEX(Katalog!$D$3:$D$12,MATCH(cadangan3[[#This Row],[ItemID A]],Katalog!$C$3:$C$12,0))*cadangan3[[#This Row],[Qty A]],0)</f>
        <v>2000000</v>
      </c>
      <c r="I33" s="36">
        <f>IFERROR(INDEX(Katalog!$D$3:$D$12,MATCH(cadangan3[[#This Row],[Item A]],Katalog!$B$3:$B$12,0))*cadangan3[[#This Row],[Qty A]],0)</f>
        <v>2000000</v>
      </c>
      <c r="J33" s="36">
        <f>IFERROR(cadangan3[[#This Row],[Harga Asli A]]-(cadangan3[[#This Row],[Harga Asli A]]*cadangan3[[#This Row],[Diskon]]),cadangan3[[#This Row],[Harga Asli A]])</f>
        <v>1600000</v>
      </c>
      <c r="K33" s="36">
        <f>INDEX(Katalog!$F$3:$F$12,MATCH(cadangan3[[#This Row],[ItemID A]],Katalog!$C$3:$C$12,0))*cadangan3[[#This Row],[Qty A]]</f>
        <v>750000</v>
      </c>
      <c r="L33" s="36">
        <f>IFERROR(cadangan3[[#This Row],[Profit A]]-(cadangan3[[#This Row],[Profit A]]*cadangan3[[#This Row],[Diskon]]),K33)</f>
        <v>600000</v>
      </c>
      <c r="N33" t="str">
        <f>IFERROR(INDEX(Katalog!$A$3:$A$12,MATCH(cadangan3[[#This Row],[ItemID B]],Katalog!$C$3:$C$12,0)),"-")</f>
        <v>-</v>
      </c>
      <c r="O33" t="str">
        <f>IFERROR(INDEX(Katalog!$B$3:$B$12,MATCH(cadangan3[[#This Row],[ItemID B]],Katalog!$C$3:$C$12,0)),"-")</f>
        <v>-</v>
      </c>
      <c r="R33" s="36">
        <f>IFERROR(INDEX(Katalog!$D$3:$D$12,MATCH(cadangan3[[#This Row],[ItemID B]],Katalog!$C$3:$C$12,0))*cadangan3[[#This Row],[Qty B]],0)</f>
        <v>0</v>
      </c>
      <c r="S33" s="36">
        <f>IFERROR(INDEX(Katalog!$D$3:$D$12,MATCH(cadangan3[[#This Row],[Item B]],Katalog!$B$3:$B$12,0))*cadangan3[[#This Row],[Qty B]],0)</f>
        <v>0</v>
      </c>
      <c r="T33" s="36">
        <f>IFERROR(cadangan3[[#This Row],[Harga Asli B]]-(cadangan3[[#This Row],[Harga Asli B]]*cadangan3[[#This Row],[Diskon]]),cadangan3[[#This Row],[Harga Asli B]])</f>
        <v>0</v>
      </c>
      <c r="U33" s="36">
        <f>IFERROR(INDEX(Katalog!$F$3:$F$12,MATCH(cadangan3[[#This Row],[ItemID B]],Katalog!$C$3:$C$12,0))*cadangan3[[#This Row],[Qty B]],0)</f>
        <v>0</v>
      </c>
      <c r="V33" s="36">
        <f>IFERROR(cadangan3[[#This Row],[Profit B]]-(cadangan3[[#This Row],[Profit B]]*cadangan3[[#This Row],[Diskon]]),U33)</f>
        <v>0</v>
      </c>
      <c r="X33" t="str">
        <f>IFERROR(INDEX(Katalog!$A$3:$A$12,MATCH(cadangan3[[#This Row],[ItemID C]],Katalog!$C$3:$C$12,0)),"-")</f>
        <v>-</v>
      </c>
      <c r="Y33" t="str">
        <f>IFERROR(INDEX(Katalog!$B$3:$B$12,MATCH(cadangan3[[#This Row],[ItemID C]],Katalog!$C$3:$C$12,0)),"-")</f>
        <v>-</v>
      </c>
      <c r="AB33" s="36">
        <f>IFERROR(INDEX(Katalog!$D$3:$D$12,MATCH(cadangan3[[#This Row],[ItemID C]],Katalog!$C$3:$C$12,0))*cadangan3[[#This Row],[Qty C]],0)</f>
        <v>0</v>
      </c>
      <c r="AC33" s="36">
        <f>IFERROR(INDEX(Katalog!$D$3:$D$12,MATCH(cadangan3[[#This Row],[Item C]],Katalog!$B$3:$B$12,0))*cadangan3[[#This Row],[Qty C]],0)</f>
        <v>0</v>
      </c>
      <c r="AD33" s="36">
        <f>IFERROR(cadangan3[[#This Row],[Harga Asli C]]-(cadangan3[[#This Row],[Harga Asli C]]*cadangan3[[#This Row],[Diskon]]),cadangan3[[#This Row],[Harga Asli C]])</f>
        <v>0</v>
      </c>
      <c r="AE33" s="36">
        <f>IFERROR(INDEX(Katalog!$F$3:$F$12,MATCH(cadangan3[[#This Row],[ItemID C]],Katalog!$C$3:$C$12,0))*cadangan3[[#This Row],[Qty C]],0)</f>
        <v>0</v>
      </c>
      <c r="AF33" s="36">
        <f>IFERROR(cadangan3[[#This Row],[Profit C]]-(cadangan3[[#This Row],[Profit C]]*cadangan3[[#This Row],[Diskon]]),cadangan3[[#This Row],[Profit C]])</f>
        <v>0</v>
      </c>
      <c r="AG33" s="21">
        <f>cadangan3[[#This Row],[Qty A]]+cadangan3[[#This Row],[Qty B]]+cadangan3[[#This Row],[Qty C]]</f>
        <v>5</v>
      </c>
      <c r="AH33" s="35">
        <f>cadangan3[[#This Row],[Harga A + Diskon]]+cadangan3[[#This Row],[Harga + Diskon B]]+cadangan3[[#This Row],[Harga + Diskon C]]</f>
        <v>1600000</v>
      </c>
      <c r="AI33" s="35">
        <f>(cadangan3[[#This Row],[Profit A]]+cadangan3[[#This Row],[Profit B]]+cadangan3[[#This Row],[Profit C]])</f>
        <v>750000</v>
      </c>
      <c r="AJ33" s="35">
        <f>cadangan3[[#This Row],[Provit A + Diskon]]+cadangan3[[#This Row],[Provit B + Diskon]]+cadangan3[[#This Row],[Provit C + Diskon]]</f>
        <v>600000</v>
      </c>
      <c r="AK33" s="23" t="s">
        <v>8</v>
      </c>
      <c r="AL33" s="37">
        <f>IFERROR(INDEX('Kode Diskon'!$D$3:$D$9,MATCH(cadangan3[[#This Row],[Kode diskon]],'Kode Diskon'!$C$3:$C$9,0)),"-")</f>
        <v>0.2</v>
      </c>
      <c r="AM33" s="23" t="s">
        <v>9</v>
      </c>
      <c r="AN33" s="23" t="s">
        <v>7</v>
      </c>
      <c r="AO33" s="23" t="s">
        <v>77</v>
      </c>
      <c r="AP33" s="24">
        <v>45041</v>
      </c>
      <c r="AQ33" s="23" t="str">
        <f>TEXT(cadangan3[[#This Row],[Tanggal terjual]],"dddd")</f>
        <v>Tuesday</v>
      </c>
    </row>
    <row r="34" spans="1:43" x14ac:dyDescent="0.2">
      <c r="A34" s="20">
        <v>33</v>
      </c>
      <c r="B34" s="21" t="str">
        <f>_xlfn.CONCAT("ORD-",INDEX(Helper!$B$2:$B$5,MATCH(cadangan3[[#This Row],[Marketplace]],Helper!$A$2:$A$5,0)),TEXT(cadangan3[[#This Row],[No]],"0000"),"-",TEXT(cadangan3[[#This Row],[Tanggal terjual]],"dd/mm/yy"))</f>
        <v>ORD-BB0033-06/04/23</v>
      </c>
      <c r="C34" t="s">
        <v>58</v>
      </c>
      <c r="D34" t="str">
        <f>IFERROR(INDEX(Katalog!$A$3:$A$12,MATCH(cadangan3[[#This Row],[ItemID A]],Katalog!$C$3:$C$12,0)),"-")</f>
        <v>Pakaian Wanita</v>
      </c>
      <c r="E34" t="str">
        <f>IFERROR(INDEX(Katalog!$B$3:$B$12,MATCH(cadangan3[[#This Row],[ItemID A]],Katalog!$C$3:$C$12,0)),"-")</f>
        <v>Dress</v>
      </c>
      <c r="F34">
        <v>4</v>
      </c>
      <c r="G34">
        <v>1</v>
      </c>
      <c r="H34" s="36">
        <f>IFERROR(INDEX(Katalog!$D$3:$D$12,MATCH(cadangan3[[#This Row],[ItemID A]],Katalog!$C$3:$C$12,0))*cadangan3[[#This Row],[Qty A]],0)</f>
        <v>1200000</v>
      </c>
      <c r="I34" s="36">
        <f>IFERROR(INDEX(Katalog!$D$3:$D$12,MATCH(cadangan3[[#This Row],[Item A]],Katalog!$B$3:$B$12,0))*cadangan3[[#This Row],[Qty A]],0)</f>
        <v>1200000</v>
      </c>
      <c r="J34" s="36">
        <f>IFERROR(cadangan3[[#This Row],[Harga Asli A]]-(cadangan3[[#This Row],[Harga Asli A]]*cadangan3[[#This Row],[Diskon]]),cadangan3[[#This Row],[Harga Asli A]])</f>
        <v>1020000</v>
      </c>
      <c r="K34" s="36">
        <f>INDEX(Katalog!$F$3:$F$12,MATCH(cadangan3[[#This Row],[ItemID A]],Katalog!$C$3:$C$12,0))*cadangan3[[#This Row],[Qty A]]</f>
        <v>400000</v>
      </c>
      <c r="L34" s="36">
        <f>IFERROR(cadangan3[[#This Row],[Profit A]]-(cadangan3[[#This Row],[Profit A]]*cadangan3[[#This Row],[Diskon]]),K34)</f>
        <v>340000</v>
      </c>
      <c r="N34" t="str">
        <f>IFERROR(INDEX(Katalog!$A$3:$A$12,MATCH(cadangan3[[#This Row],[ItemID B]],Katalog!$C$3:$C$12,0)),"-")</f>
        <v>-</v>
      </c>
      <c r="O34" t="str">
        <f>IFERROR(INDEX(Katalog!$B$3:$B$12,MATCH(cadangan3[[#This Row],[ItemID B]],Katalog!$C$3:$C$12,0)),"-")</f>
        <v>-</v>
      </c>
      <c r="R34" s="36">
        <f>IFERROR(INDEX(Katalog!$D$3:$D$12,MATCH(cadangan3[[#This Row],[ItemID B]],Katalog!$C$3:$C$12,0))*cadangan3[[#This Row],[Qty B]],0)</f>
        <v>0</v>
      </c>
      <c r="S34" s="36">
        <f>IFERROR(INDEX(Katalog!$D$3:$D$12,MATCH(cadangan3[[#This Row],[Item B]],Katalog!$B$3:$B$12,0))*cadangan3[[#This Row],[Qty B]],0)</f>
        <v>0</v>
      </c>
      <c r="T34" s="36">
        <f>IFERROR(cadangan3[[#This Row],[Harga Asli B]]-(cadangan3[[#This Row],[Harga Asli B]]*cadangan3[[#This Row],[Diskon]]),cadangan3[[#This Row],[Harga Asli B]])</f>
        <v>0</v>
      </c>
      <c r="U34" s="36">
        <f>IFERROR(INDEX(Katalog!$F$3:$F$12,MATCH(cadangan3[[#This Row],[ItemID B]],Katalog!$C$3:$C$12,0))*cadangan3[[#This Row],[Qty B]],0)</f>
        <v>0</v>
      </c>
      <c r="V34" s="36">
        <f>IFERROR(cadangan3[[#This Row],[Profit B]]-(cadangan3[[#This Row],[Profit B]]*cadangan3[[#This Row],[Diskon]]),U34)</f>
        <v>0</v>
      </c>
      <c r="X34" t="str">
        <f>IFERROR(INDEX(Katalog!$A$3:$A$12,MATCH(cadangan3[[#This Row],[ItemID C]],Katalog!$C$3:$C$12,0)),"-")</f>
        <v>-</v>
      </c>
      <c r="Y34" t="str">
        <f>IFERROR(INDEX(Katalog!$B$3:$B$12,MATCH(cadangan3[[#This Row],[ItemID C]],Katalog!$C$3:$C$12,0)),"-")</f>
        <v>-</v>
      </c>
      <c r="AB34" s="36">
        <f>IFERROR(INDEX(Katalog!$D$3:$D$12,MATCH(cadangan3[[#This Row],[ItemID C]],Katalog!$C$3:$C$12,0))*cadangan3[[#This Row],[Qty C]],0)</f>
        <v>0</v>
      </c>
      <c r="AC34" s="36">
        <f>IFERROR(INDEX(Katalog!$D$3:$D$12,MATCH(cadangan3[[#This Row],[Item C]],Katalog!$B$3:$B$12,0))*cadangan3[[#This Row],[Qty C]],0)</f>
        <v>0</v>
      </c>
      <c r="AD34" s="36">
        <f>IFERROR(cadangan3[[#This Row],[Harga Asli C]]-(cadangan3[[#This Row],[Harga Asli C]]*cadangan3[[#This Row],[Diskon]]),cadangan3[[#This Row],[Harga Asli C]])</f>
        <v>0</v>
      </c>
      <c r="AE34" s="36">
        <f>IFERROR(INDEX(Katalog!$F$3:$F$12,MATCH(cadangan3[[#This Row],[ItemID C]],Katalog!$C$3:$C$12,0))*cadangan3[[#This Row],[Qty C]],0)</f>
        <v>0</v>
      </c>
      <c r="AF34" s="36">
        <f>IFERROR(cadangan3[[#This Row],[Profit C]]-(cadangan3[[#This Row],[Profit C]]*cadangan3[[#This Row],[Diskon]]),cadangan3[[#This Row],[Profit C]])</f>
        <v>0</v>
      </c>
      <c r="AG34" s="21">
        <f>cadangan3[[#This Row],[Qty A]]+cadangan3[[#This Row],[Qty B]]+cadangan3[[#This Row],[Qty C]]</f>
        <v>4</v>
      </c>
      <c r="AH34" s="35">
        <f>cadangan3[[#This Row],[Harga A + Diskon]]+cadangan3[[#This Row],[Harga + Diskon B]]+cadangan3[[#This Row],[Harga + Diskon C]]</f>
        <v>1020000</v>
      </c>
      <c r="AI34" s="35">
        <f>(cadangan3[[#This Row],[Profit A]]+cadangan3[[#This Row],[Profit B]]+cadangan3[[#This Row],[Profit C]])</f>
        <v>400000</v>
      </c>
      <c r="AJ34" s="35">
        <f>cadangan3[[#This Row],[Provit A + Diskon]]+cadangan3[[#This Row],[Provit B + Diskon]]+cadangan3[[#This Row],[Provit C + Diskon]]</f>
        <v>340000</v>
      </c>
      <c r="AK34" s="23" t="s">
        <v>28</v>
      </c>
      <c r="AL34" s="37">
        <f>IFERROR(INDEX('Kode Diskon'!$D$3:$D$9,MATCH(cadangan3[[#This Row],[Kode diskon]],'Kode Diskon'!$C$3:$C$9,0)),"-")</f>
        <v>0.15</v>
      </c>
      <c r="AM34" s="23" t="s">
        <v>29</v>
      </c>
      <c r="AN34" s="23" t="s">
        <v>14</v>
      </c>
      <c r="AO34" s="23" t="s">
        <v>80</v>
      </c>
      <c r="AP34" s="24">
        <v>45022</v>
      </c>
      <c r="AQ34" s="23" t="str">
        <f>TEXT(cadangan3[[#This Row],[Tanggal terjual]],"dddd")</f>
        <v>Thursday</v>
      </c>
    </row>
    <row r="35" spans="1:43" x14ac:dyDescent="0.2">
      <c r="A35" s="20">
        <v>34</v>
      </c>
      <c r="B35" s="21" t="str">
        <f>_xlfn.CONCAT("ORD-",INDEX(Helper!$B$2:$B$5,MATCH(cadangan3[[#This Row],[Marketplace]],Helper!$A$2:$A$5,0)),TEXT(cadangan3[[#This Row],[No]],"0000"),"-",TEXT(cadangan3[[#This Row],[Tanggal terjual]],"dd/mm/yy"))</f>
        <v>ORD-TK0034-04/04/23</v>
      </c>
      <c r="C35" t="s">
        <v>64</v>
      </c>
      <c r="D35" t="str">
        <f>IFERROR(INDEX(Katalog!$A$3:$A$12,MATCH(cadangan3[[#This Row],[ItemID A]],Katalog!$C$3:$C$12,0)),"-")</f>
        <v>Pakaian Unisex</v>
      </c>
      <c r="E35" t="str">
        <f>IFERROR(INDEX(Katalog!$B$3:$B$12,MATCH(cadangan3[[#This Row],[ItemID A]],Katalog!$C$3:$C$12,0)),"-")</f>
        <v>Jaket Hoodie</v>
      </c>
      <c r="F35">
        <v>2</v>
      </c>
      <c r="G35">
        <v>1</v>
      </c>
      <c r="H35" s="36">
        <f>IFERROR(INDEX(Katalog!$D$3:$D$12,MATCH(cadangan3[[#This Row],[ItemID A]],Katalog!$C$3:$C$12,0))*cadangan3[[#This Row],[Qty A]],0)</f>
        <v>700000</v>
      </c>
      <c r="I35" s="36">
        <f>IFERROR(INDEX(Katalog!$D$3:$D$12,MATCH(cadangan3[[#This Row],[Item A]],Katalog!$B$3:$B$12,0))*cadangan3[[#This Row],[Qty A]],0)</f>
        <v>700000</v>
      </c>
      <c r="J35" s="36">
        <f>IFERROR(cadangan3[[#This Row],[Harga Asli A]]-(cadangan3[[#This Row],[Harga Asli A]]*cadangan3[[#This Row],[Diskon]]),cadangan3[[#This Row],[Harga Asli A]])</f>
        <v>630000</v>
      </c>
      <c r="K35" s="36">
        <f>INDEX(Katalog!$F$3:$F$12,MATCH(cadangan3[[#This Row],[ItemID A]],Katalog!$C$3:$C$12,0))*cadangan3[[#This Row],[Qty A]]</f>
        <v>260000</v>
      </c>
      <c r="L35" s="36">
        <f>IFERROR(cadangan3[[#This Row],[Profit A]]-(cadangan3[[#This Row],[Profit A]]*cadangan3[[#This Row],[Diskon]]),K35)</f>
        <v>234000</v>
      </c>
      <c r="M35" t="s">
        <v>65</v>
      </c>
      <c r="N35" t="str">
        <f>IFERROR(INDEX(Katalog!$A$3:$A$12,MATCH(cadangan3[[#This Row],[ItemID B]],Katalog!$C$3:$C$12,0)),"-")</f>
        <v>Sepatu Pria</v>
      </c>
      <c r="O35" t="str">
        <f>IFERROR(INDEX(Katalog!$B$3:$B$12,MATCH(cadangan3[[#This Row],[ItemID B]],Katalog!$C$3:$C$12,0)),"-")</f>
        <v>Sneakers</v>
      </c>
      <c r="P35">
        <v>2</v>
      </c>
      <c r="Q35">
        <v>4</v>
      </c>
      <c r="R35" s="36">
        <f>IFERROR(INDEX(Katalog!$D$3:$D$12,MATCH(cadangan3[[#This Row],[ItemID B]],Katalog!$C$3:$C$12,0))*cadangan3[[#This Row],[Qty B]],0)</f>
        <v>1000000</v>
      </c>
      <c r="S35" s="36">
        <f>IFERROR(INDEX(Katalog!$D$3:$D$12,MATCH(cadangan3[[#This Row],[Item B]],Katalog!$B$3:$B$12,0))*cadangan3[[#This Row],[Qty B]],0)</f>
        <v>1000000</v>
      </c>
      <c r="T35" s="36">
        <f>IFERROR(cadangan3[[#This Row],[Harga Asli B]]-(cadangan3[[#This Row],[Harga Asli B]]*cadangan3[[#This Row],[Diskon]]),cadangan3[[#This Row],[Harga Asli B]])</f>
        <v>900000</v>
      </c>
      <c r="U35" s="36">
        <f>IFERROR(INDEX(Katalog!$F$3:$F$12,MATCH(cadangan3[[#This Row],[ItemID B]],Katalog!$C$3:$C$12,0))*cadangan3[[#This Row],[Qty B]],0)</f>
        <v>400000</v>
      </c>
      <c r="V35" s="36">
        <f>IFERROR(cadangan3[[#This Row],[Profit B]]-(cadangan3[[#This Row],[Profit B]]*cadangan3[[#This Row],[Diskon]]),U35)</f>
        <v>360000</v>
      </c>
      <c r="W35" t="s">
        <v>62</v>
      </c>
      <c r="X35" t="str">
        <f>IFERROR(INDEX(Katalog!$A$3:$A$12,MATCH(cadangan3[[#This Row],[ItemID C]],Katalog!$C$3:$C$12,0)),"-")</f>
        <v>Pakaian Pria</v>
      </c>
      <c r="Y35" t="str">
        <f>IFERROR(INDEX(Katalog!$B$3:$B$12,MATCH(cadangan3[[#This Row],[ItemID C]],Katalog!$C$3:$C$12,0)),"-")</f>
        <v>Celana Pendek</v>
      </c>
      <c r="Z35">
        <v>2</v>
      </c>
      <c r="AA35">
        <v>2</v>
      </c>
      <c r="AB35" s="36">
        <f>IFERROR(INDEX(Katalog!$D$3:$D$12,MATCH(cadangan3[[#This Row],[ItemID C]],Katalog!$C$3:$C$12,0))*cadangan3[[#This Row],[Qty C]],0)</f>
        <v>360000</v>
      </c>
      <c r="AC35" s="36">
        <f>IFERROR(INDEX(Katalog!$D$3:$D$12,MATCH(cadangan3[[#This Row],[Item C]],Katalog!$B$3:$B$12,0))*cadangan3[[#This Row],[Qty C]],0)</f>
        <v>360000</v>
      </c>
      <c r="AD35" s="36">
        <f>IFERROR(cadangan3[[#This Row],[Harga Asli C]]-(cadangan3[[#This Row],[Harga Asli C]]*cadangan3[[#This Row],[Diskon]]),cadangan3[[#This Row],[Harga Asli C]])</f>
        <v>324000</v>
      </c>
      <c r="AE35" s="36">
        <f>IFERROR(INDEX(Katalog!$F$3:$F$12,MATCH(cadangan3[[#This Row],[ItemID C]],Katalog!$C$3:$C$12,0))*cadangan3[[#This Row],[Qty C]],0)</f>
        <v>140000</v>
      </c>
      <c r="AF35" s="36">
        <f>IFERROR(cadangan3[[#This Row],[Profit C]]-(cadangan3[[#This Row],[Profit C]]*cadangan3[[#This Row],[Diskon]]),cadangan3[[#This Row],[Profit C]])</f>
        <v>126000</v>
      </c>
      <c r="AG35" s="21">
        <f>cadangan3[[#This Row],[Qty A]]+cadangan3[[#This Row],[Qty B]]+cadangan3[[#This Row],[Qty C]]</f>
        <v>6</v>
      </c>
      <c r="AH35" s="35">
        <f>cadangan3[[#This Row],[Harga A + Diskon]]+cadangan3[[#This Row],[Harga + Diskon B]]+cadangan3[[#This Row],[Harga + Diskon C]]</f>
        <v>1854000</v>
      </c>
      <c r="AI35" s="35">
        <f>(cadangan3[[#This Row],[Profit A]]+cadangan3[[#This Row],[Profit B]]+cadangan3[[#This Row],[Profit C]])</f>
        <v>800000</v>
      </c>
      <c r="AJ35" s="35">
        <f>cadangan3[[#This Row],[Provit A + Diskon]]+cadangan3[[#This Row],[Provit B + Diskon]]+cadangan3[[#This Row],[Provit C + Diskon]]</f>
        <v>720000</v>
      </c>
      <c r="AK35" s="23" t="s">
        <v>30</v>
      </c>
      <c r="AL35" s="37">
        <f>IFERROR(INDEX('Kode Diskon'!$D$3:$D$9,MATCH(cadangan3[[#This Row],[Kode diskon]],'Kode Diskon'!$C$3:$C$9,0)),"-")</f>
        <v>0.1</v>
      </c>
      <c r="AM35" s="23" t="s">
        <v>29</v>
      </c>
      <c r="AN35" s="23" t="s">
        <v>10</v>
      </c>
      <c r="AO35" s="23" t="s">
        <v>75</v>
      </c>
      <c r="AP35" s="24">
        <v>45020</v>
      </c>
      <c r="AQ35" s="23" t="str">
        <f>TEXT(cadangan3[[#This Row],[Tanggal terjual]],"dddd")</f>
        <v>Tuesday</v>
      </c>
    </row>
    <row r="36" spans="1:43" x14ac:dyDescent="0.2">
      <c r="A36" s="20">
        <v>35</v>
      </c>
      <c r="B36" s="21" t="str">
        <f>_xlfn.CONCAT("ORD-",INDEX(Helper!$B$2:$B$5,MATCH(cadangan3[[#This Row],[Marketplace]],Helper!$A$2:$A$5,0)),TEXT(cadangan3[[#This Row],[No]],"0000"),"-",TEXT(cadangan3[[#This Row],[Tanggal terjual]],"dd/mm/yy"))</f>
        <v>ORD-TK0035-04/04/23</v>
      </c>
      <c r="C36" t="s">
        <v>60</v>
      </c>
      <c r="D36" t="str">
        <f>IFERROR(INDEX(Katalog!$A$3:$A$12,MATCH(cadangan3[[#This Row],[ItemID A]],Katalog!$C$3:$C$12,0)),"-")</f>
        <v>Pakaian Wanita</v>
      </c>
      <c r="E36" t="str">
        <f>IFERROR(INDEX(Katalog!$B$3:$B$12,MATCH(cadangan3[[#This Row],[ItemID A]],Katalog!$C$3:$C$12,0)),"-")</f>
        <v>Kaftan</v>
      </c>
      <c r="F36">
        <v>2</v>
      </c>
      <c r="G36">
        <v>2</v>
      </c>
      <c r="H36" s="36">
        <f>IFERROR(INDEX(Katalog!$D$3:$D$12,MATCH(cadangan3[[#This Row],[ItemID A]],Katalog!$C$3:$C$12,0))*cadangan3[[#This Row],[Qty A]],0)</f>
        <v>500000</v>
      </c>
      <c r="I36" s="36">
        <f>IFERROR(INDEX(Katalog!$D$3:$D$12,MATCH(cadangan3[[#This Row],[Item A]],Katalog!$B$3:$B$12,0))*cadangan3[[#This Row],[Qty A]],0)</f>
        <v>500000</v>
      </c>
      <c r="J36" s="36">
        <f>IFERROR(cadangan3[[#This Row],[Harga Asli A]]-(cadangan3[[#This Row],[Harga Asli A]]*cadangan3[[#This Row],[Diskon]]),cadangan3[[#This Row],[Harga Asli A]])</f>
        <v>450000</v>
      </c>
      <c r="K36" s="36">
        <f>INDEX(Katalog!$F$3:$F$12,MATCH(cadangan3[[#This Row],[ItemID A]],Katalog!$C$3:$C$12,0))*cadangan3[[#This Row],[Qty A]]</f>
        <v>200000</v>
      </c>
      <c r="L36" s="36">
        <f>IFERROR(cadangan3[[#This Row],[Profit A]]-(cadangan3[[#This Row],[Profit A]]*cadangan3[[#This Row],[Diskon]]),K36)</f>
        <v>180000</v>
      </c>
      <c r="M36" t="s">
        <v>63</v>
      </c>
      <c r="N36" t="str">
        <f>IFERROR(INDEX(Katalog!$A$3:$A$12,MATCH(cadangan3[[#This Row],[ItemID B]],Katalog!$C$3:$C$12,0)),"-")</f>
        <v>Pakaian Pria</v>
      </c>
      <c r="O36" t="str">
        <f>IFERROR(INDEX(Katalog!$B$3:$B$12,MATCH(cadangan3[[#This Row],[ItemID B]],Katalog!$C$3:$C$12,0)),"-")</f>
        <v>Jaket Jeans</v>
      </c>
      <c r="P36">
        <v>1</v>
      </c>
      <c r="Q36">
        <v>2</v>
      </c>
      <c r="R36" s="36">
        <f>IFERROR(INDEX(Katalog!$D$3:$D$12,MATCH(cadangan3[[#This Row],[ItemID B]],Katalog!$C$3:$C$12,0))*cadangan3[[#This Row],[Qty B]],0)</f>
        <v>400000</v>
      </c>
      <c r="S36" s="36">
        <f>IFERROR(INDEX(Katalog!$D$3:$D$12,MATCH(cadangan3[[#This Row],[Item B]],Katalog!$B$3:$B$12,0))*cadangan3[[#This Row],[Qty B]],0)</f>
        <v>400000</v>
      </c>
      <c r="T36" s="36">
        <f>IFERROR(cadangan3[[#This Row],[Harga Asli B]]-(cadangan3[[#This Row],[Harga Asli B]]*cadangan3[[#This Row],[Diskon]]),cadangan3[[#This Row],[Harga Asli B]])</f>
        <v>360000</v>
      </c>
      <c r="U36" s="36">
        <f>IFERROR(INDEX(Katalog!$F$3:$F$12,MATCH(cadangan3[[#This Row],[ItemID B]],Katalog!$C$3:$C$12,0))*cadangan3[[#This Row],[Qty B]],0)</f>
        <v>150000</v>
      </c>
      <c r="V36" s="36">
        <f>IFERROR(cadangan3[[#This Row],[Profit B]]-(cadangan3[[#This Row],[Profit B]]*cadangan3[[#This Row],[Diskon]]),U36)</f>
        <v>135000</v>
      </c>
      <c r="X36" t="str">
        <f>IFERROR(INDEX(Katalog!$A$3:$A$12,MATCH(cadangan3[[#This Row],[ItemID C]],Katalog!$C$3:$C$12,0)),"-")</f>
        <v>-</v>
      </c>
      <c r="Y36" t="str">
        <f>IFERROR(INDEX(Katalog!$B$3:$B$12,MATCH(cadangan3[[#This Row],[ItemID C]],Katalog!$C$3:$C$12,0)),"-")</f>
        <v>-</v>
      </c>
      <c r="AB36" s="36">
        <f>IFERROR(INDEX(Katalog!$D$3:$D$12,MATCH(cadangan3[[#This Row],[ItemID C]],Katalog!$C$3:$C$12,0))*cadangan3[[#This Row],[Qty C]],0)</f>
        <v>0</v>
      </c>
      <c r="AC36" s="36">
        <f>IFERROR(INDEX(Katalog!$D$3:$D$12,MATCH(cadangan3[[#This Row],[Item C]],Katalog!$B$3:$B$12,0))*cadangan3[[#This Row],[Qty C]],0)</f>
        <v>0</v>
      </c>
      <c r="AD36" s="36">
        <f>IFERROR(cadangan3[[#This Row],[Harga Asli C]]-(cadangan3[[#This Row],[Harga Asli C]]*cadangan3[[#This Row],[Diskon]]),cadangan3[[#This Row],[Harga Asli C]])</f>
        <v>0</v>
      </c>
      <c r="AE36" s="36">
        <f>IFERROR(INDEX(Katalog!$F$3:$F$12,MATCH(cadangan3[[#This Row],[ItemID C]],Katalog!$C$3:$C$12,0))*cadangan3[[#This Row],[Qty C]],0)</f>
        <v>0</v>
      </c>
      <c r="AF36" s="36">
        <f>IFERROR(cadangan3[[#This Row],[Profit C]]-(cadangan3[[#This Row],[Profit C]]*cadangan3[[#This Row],[Diskon]]),cadangan3[[#This Row],[Profit C]])</f>
        <v>0</v>
      </c>
      <c r="AG36" s="21">
        <f>cadangan3[[#This Row],[Qty A]]+cadangan3[[#This Row],[Qty B]]+cadangan3[[#This Row],[Qty C]]</f>
        <v>3</v>
      </c>
      <c r="AH36" s="35">
        <f>cadangan3[[#This Row],[Harga A + Diskon]]+cadangan3[[#This Row],[Harga + Diskon B]]+cadangan3[[#This Row],[Harga + Diskon C]]</f>
        <v>810000</v>
      </c>
      <c r="AI36" s="35">
        <f>(cadangan3[[#This Row],[Profit A]]+cadangan3[[#This Row],[Profit B]]+cadangan3[[#This Row],[Profit C]])</f>
        <v>350000</v>
      </c>
      <c r="AJ36" s="35">
        <f>cadangan3[[#This Row],[Provit A + Diskon]]+cadangan3[[#This Row],[Provit B + Diskon]]+cadangan3[[#This Row],[Provit C + Diskon]]</f>
        <v>315000</v>
      </c>
      <c r="AK36" s="23" t="s">
        <v>30</v>
      </c>
      <c r="AL36" s="37">
        <f>IFERROR(INDEX('Kode Diskon'!$D$3:$D$9,MATCH(cadangan3[[#This Row],[Kode diskon]],'Kode Diskon'!$C$3:$C$9,0)),"-")</f>
        <v>0.1</v>
      </c>
      <c r="AM36" s="23" t="s">
        <v>29</v>
      </c>
      <c r="AN36" s="23" t="s">
        <v>10</v>
      </c>
      <c r="AO36" s="23" t="s">
        <v>80</v>
      </c>
      <c r="AP36" s="24">
        <v>45020</v>
      </c>
      <c r="AQ36" s="23" t="str">
        <f>TEXT(cadangan3[[#This Row],[Tanggal terjual]],"dddd")</f>
        <v>Tuesday</v>
      </c>
    </row>
    <row r="37" spans="1:43" x14ac:dyDescent="0.2">
      <c r="A37" s="20">
        <v>36</v>
      </c>
      <c r="B37" s="21" t="str">
        <f>_xlfn.CONCAT("ORD-",INDEX(Helper!$B$2:$B$5,MATCH(cadangan3[[#This Row],[Marketplace]],Helper!$A$2:$A$5,0)),TEXT(cadangan3[[#This Row],[No]],"0000"),"-",TEXT(cadangan3[[#This Row],[Tanggal terjual]],"dd/mm/yy"))</f>
        <v>ORD-BL0036-12/04/23</v>
      </c>
      <c r="C37" t="s">
        <v>59</v>
      </c>
      <c r="D37" t="str">
        <f>IFERROR(INDEX(Katalog!$A$3:$A$12,MATCH(cadangan3[[#This Row],[ItemID A]],Katalog!$C$3:$C$12,0)),"-")</f>
        <v>Pakaian Wanita</v>
      </c>
      <c r="E37" t="str">
        <f>IFERROR(INDEX(Katalog!$B$3:$B$12,MATCH(cadangan3[[#This Row],[ItemID A]],Katalog!$C$3:$C$12,0)),"-")</f>
        <v>Blouse</v>
      </c>
      <c r="F37">
        <v>1</v>
      </c>
      <c r="G37">
        <v>1</v>
      </c>
      <c r="H37" s="36">
        <f>IFERROR(INDEX(Katalog!$D$3:$D$12,MATCH(cadangan3[[#This Row],[ItemID A]],Katalog!$C$3:$C$12,0))*cadangan3[[#This Row],[Qty A]],0)</f>
        <v>150000</v>
      </c>
      <c r="I37" s="36">
        <f>IFERROR(INDEX(Katalog!$D$3:$D$12,MATCH(cadangan3[[#This Row],[Item A]],Katalog!$B$3:$B$12,0))*cadangan3[[#This Row],[Qty A]],0)</f>
        <v>150000</v>
      </c>
      <c r="J37" s="36">
        <f>IFERROR(cadangan3[[#This Row],[Harga Asli A]]-(cadangan3[[#This Row],[Harga Asli A]]*cadangan3[[#This Row],[Diskon]]),cadangan3[[#This Row],[Harga Asli A]])</f>
        <v>150000</v>
      </c>
      <c r="K37" s="36">
        <f>INDEX(Katalog!$F$3:$F$12,MATCH(cadangan3[[#This Row],[ItemID A]],Katalog!$C$3:$C$12,0))*cadangan3[[#This Row],[Qty A]]</f>
        <v>50000</v>
      </c>
      <c r="L37" s="36">
        <f>IFERROR(cadangan3[[#This Row],[Profit A]]-(cadangan3[[#This Row],[Profit A]]*cadangan3[[#This Row],[Diskon]]),K37)</f>
        <v>50000</v>
      </c>
      <c r="M37" t="s">
        <v>67</v>
      </c>
      <c r="N37" t="str">
        <f>IFERROR(INDEX(Katalog!$A$3:$A$12,MATCH(cadangan3[[#This Row],[ItemID B]],Katalog!$C$3:$C$12,0)),"-")</f>
        <v>Sepatu Wanita</v>
      </c>
      <c r="O37" t="str">
        <f>IFERROR(INDEX(Katalog!$B$3:$B$12,MATCH(cadangan3[[#This Row],[ItemID B]],Katalog!$C$3:$C$12,0)),"-")</f>
        <v>Flat Shoes</v>
      </c>
      <c r="P37">
        <v>1</v>
      </c>
      <c r="Q37">
        <v>5</v>
      </c>
      <c r="R37" s="36">
        <f>IFERROR(INDEX(Katalog!$D$3:$D$12,MATCH(cadangan3[[#This Row],[ItemID B]],Katalog!$C$3:$C$12,0))*cadangan3[[#This Row],[Qty B]],0)</f>
        <v>250000</v>
      </c>
      <c r="S37" s="36">
        <f>IFERROR(INDEX(Katalog!$D$3:$D$12,MATCH(cadangan3[[#This Row],[Item B]],Katalog!$B$3:$B$12,0))*cadangan3[[#This Row],[Qty B]],0)</f>
        <v>250000</v>
      </c>
      <c r="T37" s="36">
        <f>IFERROR(cadangan3[[#This Row],[Harga Asli B]]-(cadangan3[[#This Row],[Harga Asli B]]*cadangan3[[#This Row],[Diskon]]),cadangan3[[#This Row],[Harga Asli B]])</f>
        <v>250000</v>
      </c>
      <c r="U37" s="36">
        <f>IFERROR(INDEX(Katalog!$F$3:$F$12,MATCH(cadangan3[[#This Row],[ItemID B]],Katalog!$C$3:$C$12,0))*cadangan3[[#This Row],[Qty B]],0)</f>
        <v>100000</v>
      </c>
      <c r="V37" s="36">
        <f>IFERROR(cadangan3[[#This Row],[Profit B]]-(cadangan3[[#This Row],[Profit B]]*cadangan3[[#This Row],[Diskon]]),U37)</f>
        <v>100000</v>
      </c>
      <c r="X37" t="str">
        <f>IFERROR(INDEX(Katalog!$A$3:$A$12,MATCH(cadangan3[[#This Row],[ItemID C]],Katalog!$C$3:$C$12,0)),"-")</f>
        <v>-</v>
      </c>
      <c r="Y37" t="str">
        <f>IFERROR(INDEX(Katalog!$B$3:$B$12,MATCH(cadangan3[[#This Row],[ItemID C]],Katalog!$C$3:$C$12,0)),"-")</f>
        <v>-</v>
      </c>
      <c r="AB37" s="36">
        <f>IFERROR(INDEX(Katalog!$D$3:$D$12,MATCH(cadangan3[[#This Row],[ItemID C]],Katalog!$C$3:$C$12,0))*cadangan3[[#This Row],[Qty C]],0)</f>
        <v>0</v>
      </c>
      <c r="AC37" s="36">
        <f>IFERROR(INDEX(Katalog!$D$3:$D$12,MATCH(cadangan3[[#This Row],[Item C]],Katalog!$B$3:$B$12,0))*cadangan3[[#This Row],[Qty C]],0)</f>
        <v>0</v>
      </c>
      <c r="AD37" s="36">
        <f>IFERROR(cadangan3[[#This Row],[Harga Asli C]]-(cadangan3[[#This Row],[Harga Asli C]]*cadangan3[[#This Row],[Diskon]]),cadangan3[[#This Row],[Harga Asli C]])</f>
        <v>0</v>
      </c>
      <c r="AE37" s="36">
        <f>IFERROR(INDEX(Katalog!$F$3:$F$12,MATCH(cadangan3[[#This Row],[ItemID C]],Katalog!$C$3:$C$12,0))*cadangan3[[#This Row],[Qty C]],0)</f>
        <v>0</v>
      </c>
      <c r="AF37" s="36">
        <f>IFERROR(cadangan3[[#This Row],[Profit C]]-(cadangan3[[#This Row],[Profit C]]*cadangan3[[#This Row],[Diskon]]),cadangan3[[#This Row],[Profit C]])</f>
        <v>0</v>
      </c>
      <c r="AG37" s="21">
        <f>cadangan3[[#This Row],[Qty A]]+cadangan3[[#This Row],[Qty B]]+cadangan3[[#This Row],[Qty C]]</f>
        <v>2</v>
      </c>
      <c r="AH37" s="35">
        <f>cadangan3[[#This Row],[Harga A + Diskon]]+cadangan3[[#This Row],[Harga + Diskon B]]+cadangan3[[#This Row],[Harga + Diskon C]]</f>
        <v>400000</v>
      </c>
      <c r="AI37" s="35">
        <f>(cadangan3[[#This Row],[Profit A]]+cadangan3[[#This Row],[Profit B]]+cadangan3[[#This Row],[Profit C]])</f>
        <v>150000</v>
      </c>
      <c r="AJ37" s="35">
        <f>cadangan3[[#This Row],[Provit A + Diskon]]+cadangan3[[#This Row],[Provit B + Diskon]]+cadangan3[[#This Row],[Provit C + Diskon]]</f>
        <v>150000</v>
      </c>
      <c r="AK37" s="23" t="s">
        <v>11</v>
      </c>
      <c r="AL37" s="37" t="str">
        <f>IFERROR(INDEX('Kode Diskon'!$D$3:$D$9,MATCH(cadangan3[[#This Row],[Kode diskon]],'Kode Diskon'!$C$3:$C$9,0)),"-")</f>
        <v>-</v>
      </c>
      <c r="AM37" s="23" t="s">
        <v>11</v>
      </c>
      <c r="AN37" s="23" t="s">
        <v>12</v>
      </c>
      <c r="AO37" s="23" t="s">
        <v>79</v>
      </c>
      <c r="AP37" s="24">
        <v>45028</v>
      </c>
      <c r="AQ37" s="23" t="str">
        <f>TEXT(cadangan3[[#This Row],[Tanggal terjual]],"dddd")</f>
        <v>Wednesday</v>
      </c>
    </row>
    <row r="38" spans="1:43" x14ac:dyDescent="0.2">
      <c r="A38" s="20">
        <v>37</v>
      </c>
      <c r="B38" s="21" t="str">
        <f>_xlfn.CONCAT("ORD-",INDEX(Helper!$B$2:$B$5,MATCH(cadangan3[[#This Row],[Marketplace]],Helper!$A$2:$A$5,0)),TEXT(cadangan3[[#This Row],[No]],"0000"),"-",TEXT(cadangan3[[#This Row],[Tanggal terjual]],"dd/mm/yy"))</f>
        <v>ORD-BL0037-26/04/23</v>
      </c>
      <c r="C38" t="s">
        <v>67</v>
      </c>
      <c r="D38" t="str">
        <f>IFERROR(INDEX(Katalog!$A$3:$A$12,MATCH(cadangan3[[#This Row],[ItemID A]],Katalog!$C$3:$C$12,0)),"-")</f>
        <v>Sepatu Wanita</v>
      </c>
      <c r="E38" t="str">
        <f>IFERROR(INDEX(Katalog!$B$3:$B$12,MATCH(cadangan3[[#This Row],[ItemID A]],Katalog!$C$3:$C$12,0)),"-")</f>
        <v>Flat Shoes</v>
      </c>
      <c r="F38">
        <v>1</v>
      </c>
      <c r="G38">
        <v>3</v>
      </c>
      <c r="H38" s="36">
        <f>IFERROR(INDEX(Katalog!$D$3:$D$12,MATCH(cadangan3[[#This Row],[ItemID A]],Katalog!$C$3:$C$12,0))*cadangan3[[#This Row],[Qty A]],0)</f>
        <v>250000</v>
      </c>
      <c r="I38" s="36">
        <f>IFERROR(INDEX(Katalog!$D$3:$D$12,MATCH(cadangan3[[#This Row],[Item A]],Katalog!$B$3:$B$12,0))*cadangan3[[#This Row],[Qty A]],0)</f>
        <v>250000</v>
      </c>
      <c r="J38" s="36">
        <f>IFERROR(cadangan3[[#This Row],[Harga Asli A]]-(cadangan3[[#This Row],[Harga Asli A]]*cadangan3[[#This Row],[Diskon]]),cadangan3[[#This Row],[Harga Asli A]])</f>
        <v>212500</v>
      </c>
      <c r="K38" s="36">
        <f>INDEX(Katalog!$F$3:$F$12,MATCH(cadangan3[[#This Row],[ItemID A]],Katalog!$C$3:$C$12,0))*cadangan3[[#This Row],[Qty A]]</f>
        <v>100000</v>
      </c>
      <c r="L38" s="36">
        <f>IFERROR(cadangan3[[#This Row],[Profit A]]-(cadangan3[[#This Row],[Profit A]]*cadangan3[[#This Row],[Diskon]]),K38)</f>
        <v>85000</v>
      </c>
      <c r="M38" t="s">
        <v>62</v>
      </c>
      <c r="N38" t="str">
        <f>IFERROR(INDEX(Katalog!$A$3:$A$12,MATCH(cadangan3[[#This Row],[ItemID B]],Katalog!$C$3:$C$12,0)),"-")</f>
        <v>Pakaian Pria</v>
      </c>
      <c r="O38" t="str">
        <f>IFERROR(INDEX(Katalog!$B$3:$B$12,MATCH(cadangan3[[#This Row],[ItemID B]],Katalog!$C$3:$C$12,0)),"-")</f>
        <v>Celana Pendek</v>
      </c>
      <c r="P38">
        <v>2</v>
      </c>
      <c r="Q38">
        <v>2</v>
      </c>
      <c r="R38" s="36">
        <f>IFERROR(INDEX(Katalog!$D$3:$D$12,MATCH(cadangan3[[#This Row],[ItemID B]],Katalog!$C$3:$C$12,0))*cadangan3[[#This Row],[Qty B]],0)</f>
        <v>360000</v>
      </c>
      <c r="S38" s="36">
        <f>IFERROR(INDEX(Katalog!$D$3:$D$12,MATCH(cadangan3[[#This Row],[Item B]],Katalog!$B$3:$B$12,0))*cadangan3[[#This Row],[Qty B]],0)</f>
        <v>360000</v>
      </c>
      <c r="T38" s="36">
        <f>IFERROR(cadangan3[[#This Row],[Harga Asli B]]-(cadangan3[[#This Row],[Harga Asli B]]*cadangan3[[#This Row],[Diskon]]),cadangan3[[#This Row],[Harga Asli B]])</f>
        <v>306000</v>
      </c>
      <c r="U38" s="36">
        <f>IFERROR(INDEX(Katalog!$F$3:$F$12,MATCH(cadangan3[[#This Row],[ItemID B]],Katalog!$C$3:$C$12,0))*cadangan3[[#This Row],[Qty B]],0)</f>
        <v>140000</v>
      </c>
      <c r="V38" s="36">
        <f>IFERROR(cadangan3[[#This Row],[Profit B]]-(cadangan3[[#This Row],[Profit B]]*cadangan3[[#This Row],[Diskon]]),U38)</f>
        <v>119000</v>
      </c>
      <c r="X38" t="str">
        <f>IFERROR(INDEX(Katalog!$A$3:$A$12,MATCH(cadangan3[[#This Row],[ItemID C]],Katalog!$C$3:$C$12,0)),"-")</f>
        <v>-</v>
      </c>
      <c r="Y38" t="str">
        <f>IFERROR(INDEX(Katalog!$B$3:$B$12,MATCH(cadangan3[[#This Row],[ItemID C]],Katalog!$C$3:$C$12,0)),"-")</f>
        <v>-</v>
      </c>
      <c r="AB38" s="36">
        <f>IFERROR(INDEX(Katalog!$D$3:$D$12,MATCH(cadangan3[[#This Row],[ItemID C]],Katalog!$C$3:$C$12,0))*cadangan3[[#This Row],[Qty C]],0)</f>
        <v>0</v>
      </c>
      <c r="AC38" s="36">
        <f>IFERROR(INDEX(Katalog!$D$3:$D$12,MATCH(cadangan3[[#This Row],[Item C]],Katalog!$B$3:$B$12,0))*cadangan3[[#This Row],[Qty C]],0)</f>
        <v>0</v>
      </c>
      <c r="AD38" s="36">
        <f>IFERROR(cadangan3[[#This Row],[Harga Asli C]]-(cadangan3[[#This Row],[Harga Asli C]]*cadangan3[[#This Row],[Diskon]]),cadangan3[[#This Row],[Harga Asli C]])</f>
        <v>0</v>
      </c>
      <c r="AE38" s="36">
        <f>IFERROR(INDEX(Katalog!$F$3:$F$12,MATCH(cadangan3[[#This Row],[ItemID C]],Katalog!$C$3:$C$12,0))*cadangan3[[#This Row],[Qty C]],0)</f>
        <v>0</v>
      </c>
      <c r="AF38" s="36">
        <f>IFERROR(cadangan3[[#This Row],[Profit C]]-(cadangan3[[#This Row],[Profit C]]*cadangan3[[#This Row],[Diskon]]),cadangan3[[#This Row],[Profit C]])</f>
        <v>0</v>
      </c>
      <c r="AG38" s="21">
        <f>cadangan3[[#This Row],[Qty A]]+cadangan3[[#This Row],[Qty B]]+cadangan3[[#This Row],[Qty C]]</f>
        <v>3</v>
      </c>
      <c r="AH38" s="35">
        <f>cadangan3[[#This Row],[Harga A + Diskon]]+cadangan3[[#This Row],[Harga + Diskon B]]+cadangan3[[#This Row],[Harga + Diskon C]]</f>
        <v>518500</v>
      </c>
      <c r="AI38" s="35">
        <f>(cadangan3[[#This Row],[Profit A]]+cadangan3[[#This Row],[Profit B]]+cadangan3[[#This Row],[Profit C]])</f>
        <v>240000</v>
      </c>
      <c r="AJ38" s="35">
        <f>cadangan3[[#This Row],[Provit A + Diskon]]+cadangan3[[#This Row],[Provit B + Diskon]]+cadangan3[[#This Row],[Provit C + Diskon]]</f>
        <v>204000</v>
      </c>
      <c r="AK38" s="23" t="s">
        <v>32</v>
      </c>
      <c r="AL38" s="37">
        <f>IFERROR(INDEX('Kode Diskon'!$D$3:$D$9,MATCH(cadangan3[[#This Row],[Kode diskon]],'Kode Diskon'!$C$3:$C$9,0)),"-")</f>
        <v>0.15</v>
      </c>
      <c r="AM38" s="23" t="s">
        <v>9</v>
      </c>
      <c r="AN38" s="23" t="s">
        <v>12</v>
      </c>
      <c r="AO38" s="23" t="s">
        <v>79</v>
      </c>
      <c r="AP38" s="24">
        <v>45042</v>
      </c>
      <c r="AQ38" s="23" t="str">
        <f>TEXT(cadangan3[[#This Row],[Tanggal terjual]],"dddd")</f>
        <v>Wednesday</v>
      </c>
    </row>
    <row r="39" spans="1:43" x14ac:dyDescent="0.2">
      <c r="A39" s="20">
        <v>38</v>
      </c>
      <c r="B39" s="21" t="str">
        <f>_xlfn.CONCAT("ORD-",INDEX(Helper!$B$2:$B$5,MATCH(cadangan3[[#This Row],[Marketplace]],Helper!$A$2:$A$5,0)),TEXT(cadangan3[[#This Row],[No]],"0000"),"-",TEXT(cadangan3[[#This Row],[Tanggal terjual]],"dd/mm/yy"))</f>
        <v>ORD-BB0038-04/04/23</v>
      </c>
      <c r="C39" t="s">
        <v>64</v>
      </c>
      <c r="D39" t="str">
        <f>IFERROR(INDEX(Katalog!$A$3:$A$12,MATCH(cadangan3[[#This Row],[ItemID A]],Katalog!$C$3:$C$12,0)),"-")</f>
        <v>Pakaian Unisex</v>
      </c>
      <c r="E39" t="str">
        <f>IFERROR(INDEX(Katalog!$B$3:$B$12,MATCH(cadangan3[[#This Row],[ItemID A]],Katalog!$C$3:$C$12,0)),"-")</f>
        <v>Jaket Hoodie</v>
      </c>
      <c r="F39">
        <v>7</v>
      </c>
      <c r="G39">
        <v>3</v>
      </c>
      <c r="H39" s="36">
        <f>IFERROR(INDEX(Katalog!$D$3:$D$12,MATCH(cadangan3[[#This Row],[ItemID A]],Katalog!$C$3:$C$12,0))*cadangan3[[#This Row],[Qty A]],0)</f>
        <v>2450000</v>
      </c>
      <c r="I39" s="36">
        <f>IFERROR(INDEX(Katalog!$D$3:$D$12,MATCH(cadangan3[[#This Row],[Item A]],Katalog!$B$3:$B$12,0))*cadangan3[[#This Row],[Qty A]],0)</f>
        <v>2450000</v>
      </c>
      <c r="J39" s="36">
        <f>IFERROR(cadangan3[[#This Row],[Harga Asli A]]-(cadangan3[[#This Row],[Harga Asli A]]*cadangan3[[#This Row],[Diskon]]),cadangan3[[#This Row],[Harga Asli A]])</f>
        <v>2082500</v>
      </c>
      <c r="K39" s="36">
        <f>INDEX(Katalog!$F$3:$F$12,MATCH(cadangan3[[#This Row],[ItemID A]],Katalog!$C$3:$C$12,0))*cadangan3[[#This Row],[Qty A]]</f>
        <v>910000</v>
      </c>
      <c r="L39" s="36">
        <f>IFERROR(cadangan3[[#This Row],[Profit A]]-(cadangan3[[#This Row],[Profit A]]*cadangan3[[#This Row],[Diskon]]),K39)</f>
        <v>773500</v>
      </c>
      <c r="N39" t="str">
        <f>IFERROR(INDEX(Katalog!$A$3:$A$12,MATCH(cadangan3[[#This Row],[ItemID B]],Katalog!$C$3:$C$12,0)),"-")</f>
        <v>-</v>
      </c>
      <c r="O39" t="str">
        <f>IFERROR(INDEX(Katalog!$B$3:$B$12,MATCH(cadangan3[[#This Row],[ItemID B]],Katalog!$C$3:$C$12,0)),"-")</f>
        <v>-</v>
      </c>
      <c r="R39" s="36">
        <f>IFERROR(INDEX(Katalog!$D$3:$D$12,MATCH(cadangan3[[#This Row],[ItemID B]],Katalog!$C$3:$C$12,0))*cadangan3[[#This Row],[Qty B]],0)</f>
        <v>0</v>
      </c>
      <c r="S39" s="36">
        <f>IFERROR(INDEX(Katalog!$D$3:$D$12,MATCH(cadangan3[[#This Row],[Item B]],Katalog!$B$3:$B$12,0))*cadangan3[[#This Row],[Qty B]],0)</f>
        <v>0</v>
      </c>
      <c r="T39" s="36">
        <f>IFERROR(cadangan3[[#This Row],[Harga Asli B]]-(cadangan3[[#This Row],[Harga Asli B]]*cadangan3[[#This Row],[Diskon]]),cadangan3[[#This Row],[Harga Asli B]])</f>
        <v>0</v>
      </c>
      <c r="U39" s="36">
        <f>IFERROR(INDEX(Katalog!$F$3:$F$12,MATCH(cadangan3[[#This Row],[ItemID B]],Katalog!$C$3:$C$12,0))*cadangan3[[#This Row],[Qty B]],0)</f>
        <v>0</v>
      </c>
      <c r="V39" s="36">
        <f>IFERROR(cadangan3[[#This Row],[Profit B]]-(cadangan3[[#This Row],[Profit B]]*cadangan3[[#This Row],[Diskon]]),U39)</f>
        <v>0</v>
      </c>
      <c r="X39" t="str">
        <f>IFERROR(INDEX(Katalog!$A$3:$A$12,MATCH(cadangan3[[#This Row],[ItemID C]],Katalog!$C$3:$C$12,0)),"-")</f>
        <v>-</v>
      </c>
      <c r="Y39" t="str">
        <f>IFERROR(INDEX(Katalog!$B$3:$B$12,MATCH(cadangan3[[#This Row],[ItemID C]],Katalog!$C$3:$C$12,0)),"-")</f>
        <v>-</v>
      </c>
      <c r="AB39" s="36">
        <f>IFERROR(INDEX(Katalog!$D$3:$D$12,MATCH(cadangan3[[#This Row],[ItemID C]],Katalog!$C$3:$C$12,0))*cadangan3[[#This Row],[Qty C]],0)</f>
        <v>0</v>
      </c>
      <c r="AC39" s="36">
        <f>IFERROR(INDEX(Katalog!$D$3:$D$12,MATCH(cadangan3[[#This Row],[Item C]],Katalog!$B$3:$B$12,0))*cadangan3[[#This Row],[Qty C]],0)</f>
        <v>0</v>
      </c>
      <c r="AD39" s="36">
        <f>IFERROR(cadangan3[[#This Row],[Harga Asli C]]-(cadangan3[[#This Row],[Harga Asli C]]*cadangan3[[#This Row],[Diskon]]),cadangan3[[#This Row],[Harga Asli C]])</f>
        <v>0</v>
      </c>
      <c r="AE39" s="36">
        <f>IFERROR(INDEX(Katalog!$F$3:$F$12,MATCH(cadangan3[[#This Row],[ItemID C]],Katalog!$C$3:$C$12,0))*cadangan3[[#This Row],[Qty C]],0)</f>
        <v>0</v>
      </c>
      <c r="AF39" s="36">
        <f>IFERROR(cadangan3[[#This Row],[Profit C]]-(cadangan3[[#This Row],[Profit C]]*cadangan3[[#This Row],[Diskon]]),cadangan3[[#This Row],[Profit C]])</f>
        <v>0</v>
      </c>
      <c r="AG39" s="21">
        <f>cadangan3[[#This Row],[Qty A]]+cadangan3[[#This Row],[Qty B]]+cadangan3[[#This Row],[Qty C]]</f>
        <v>7</v>
      </c>
      <c r="AH39" s="35">
        <f>cadangan3[[#This Row],[Harga A + Diskon]]+cadangan3[[#This Row],[Harga + Diskon B]]+cadangan3[[#This Row],[Harga + Diskon C]]</f>
        <v>2082500</v>
      </c>
      <c r="AI39" s="35">
        <f>(cadangan3[[#This Row],[Profit A]]+cadangan3[[#This Row],[Profit B]]+cadangan3[[#This Row],[Profit C]])</f>
        <v>910000</v>
      </c>
      <c r="AJ39" s="35">
        <f>cadangan3[[#This Row],[Provit A + Diskon]]+cadangan3[[#This Row],[Provit B + Diskon]]+cadangan3[[#This Row],[Provit C + Diskon]]</f>
        <v>773500</v>
      </c>
      <c r="AK39" s="23" t="s">
        <v>28</v>
      </c>
      <c r="AL39" s="37">
        <f>IFERROR(INDEX('Kode Diskon'!$D$3:$D$9,MATCH(cadangan3[[#This Row],[Kode diskon]],'Kode Diskon'!$C$3:$C$9,0)),"-")</f>
        <v>0.15</v>
      </c>
      <c r="AM39" s="23" t="s">
        <v>29</v>
      </c>
      <c r="AN39" s="23" t="s">
        <v>14</v>
      </c>
      <c r="AO39" s="23" t="s">
        <v>80</v>
      </c>
      <c r="AP39" s="24">
        <v>45020</v>
      </c>
      <c r="AQ39" s="23" t="str">
        <f>TEXT(cadangan3[[#This Row],[Tanggal terjual]],"dddd")</f>
        <v>Tuesday</v>
      </c>
    </row>
    <row r="40" spans="1:43" x14ac:dyDescent="0.2">
      <c r="A40" s="20">
        <v>39</v>
      </c>
      <c r="B40" s="21" t="str">
        <f>_xlfn.CONCAT("ORD-",INDEX(Helper!$B$2:$B$5,MATCH(cadangan3[[#This Row],[Marketplace]],Helper!$A$2:$A$5,0)),TEXT(cadangan3[[#This Row],[No]],"0000"),"-",TEXT(cadangan3[[#This Row],[Tanggal terjual]],"dd/mm/yy"))</f>
        <v>ORD-TK0039-25/04/23</v>
      </c>
      <c r="C40" t="s">
        <v>66</v>
      </c>
      <c r="D40" t="str">
        <f>IFERROR(INDEX(Katalog!$A$3:$A$12,MATCH(cadangan3[[#This Row],[ItemID A]],Katalog!$C$3:$C$12,0)),"-")</f>
        <v>Sepatu Pria</v>
      </c>
      <c r="E40" t="str">
        <f>IFERROR(INDEX(Katalog!$B$3:$B$12,MATCH(cadangan3[[#This Row],[ItemID A]],Katalog!$C$3:$C$12,0)),"-")</f>
        <v>Sandal Slip On</v>
      </c>
      <c r="F40">
        <v>6</v>
      </c>
      <c r="G40">
        <v>4</v>
      </c>
      <c r="H40" s="36">
        <f>IFERROR(INDEX(Katalog!$D$3:$D$12,MATCH(cadangan3[[#This Row],[ItemID A]],Katalog!$C$3:$C$12,0))*cadangan3[[#This Row],[Qty A]],0)</f>
        <v>900000</v>
      </c>
      <c r="I40" s="36">
        <f>IFERROR(INDEX(Katalog!$D$3:$D$12,MATCH(cadangan3[[#This Row],[Item A]],Katalog!$B$3:$B$12,0))*cadangan3[[#This Row],[Qty A]],0)</f>
        <v>900000</v>
      </c>
      <c r="J40" s="36">
        <f>IFERROR(cadangan3[[#This Row],[Harga Asli A]]-(cadangan3[[#This Row],[Harga Asli A]]*cadangan3[[#This Row],[Diskon]]),cadangan3[[#This Row],[Harga Asli A]])</f>
        <v>810000</v>
      </c>
      <c r="K40" s="36">
        <f>INDEX(Katalog!$F$3:$F$12,MATCH(cadangan3[[#This Row],[ItemID A]],Katalog!$C$3:$C$12,0))*cadangan3[[#This Row],[Qty A]]</f>
        <v>360000</v>
      </c>
      <c r="L40" s="36">
        <f>IFERROR(cadangan3[[#This Row],[Profit A]]-(cadangan3[[#This Row],[Profit A]]*cadangan3[[#This Row],[Diskon]]),K40)</f>
        <v>324000</v>
      </c>
      <c r="N40" t="str">
        <f>IFERROR(INDEX(Katalog!$A$3:$A$12,MATCH(cadangan3[[#This Row],[ItemID B]],Katalog!$C$3:$C$12,0)),"-")</f>
        <v>-</v>
      </c>
      <c r="O40" t="str">
        <f>IFERROR(INDEX(Katalog!$B$3:$B$12,MATCH(cadangan3[[#This Row],[ItemID B]],Katalog!$C$3:$C$12,0)),"-")</f>
        <v>-</v>
      </c>
      <c r="R40" s="36">
        <f>IFERROR(INDEX(Katalog!$D$3:$D$12,MATCH(cadangan3[[#This Row],[ItemID B]],Katalog!$C$3:$C$12,0))*cadangan3[[#This Row],[Qty B]],0)</f>
        <v>0</v>
      </c>
      <c r="S40" s="36">
        <f>IFERROR(INDEX(Katalog!$D$3:$D$12,MATCH(cadangan3[[#This Row],[Item B]],Katalog!$B$3:$B$12,0))*cadangan3[[#This Row],[Qty B]],0)</f>
        <v>0</v>
      </c>
      <c r="T40" s="36">
        <f>IFERROR(cadangan3[[#This Row],[Harga Asli B]]-(cadangan3[[#This Row],[Harga Asli B]]*cadangan3[[#This Row],[Diskon]]),cadangan3[[#This Row],[Harga Asli B]])</f>
        <v>0</v>
      </c>
      <c r="U40" s="36">
        <f>IFERROR(INDEX(Katalog!$F$3:$F$12,MATCH(cadangan3[[#This Row],[ItemID B]],Katalog!$C$3:$C$12,0))*cadangan3[[#This Row],[Qty B]],0)</f>
        <v>0</v>
      </c>
      <c r="V40" s="36">
        <f>IFERROR(cadangan3[[#This Row],[Profit B]]-(cadangan3[[#This Row],[Profit B]]*cadangan3[[#This Row],[Diskon]]),U40)</f>
        <v>0</v>
      </c>
      <c r="X40" t="str">
        <f>IFERROR(INDEX(Katalog!$A$3:$A$12,MATCH(cadangan3[[#This Row],[ItemID C]],Katalog!$C$3:$C$12,0)),"-")</f>
        <v>-</v>
      </c>
      <c r="Y40" t="str">
        <f>IFERROR(INDEX(Katalog!$B$3:$B$12,MATCH(cadangan3[[#This Row],[ItemID C]],Katalog!$C$3:$C$12,0)),"-")</f>
        <v>-</v>
      </c>
      <c r="AB40" s="36">
        <f>IFERROR(INDEX(Katalog!$D$3:$D$12,MATCH(cadangan3[[#This Row],[ItemID C]],Katalog!$C$3:$C$12,0))*cadangan3[[#This Row],[Qty C]],0)</f>
        <v>0</v>
      </c>
      <c r="AC40" s="36">
        <f>IFERROR(INDEX(Katalog!$D$3:$D$12,MATCH(cadangan3[[#This Row],[Item C]],Katalog!$B$3:$B$12,0))*cadangan3[[#This Row],[Qty C]],0)</f>
        <v>0</v>
      </c>
      <c r="AD40" s="36">
        <f>IFERROR(cadangan3[[#This Row],[Harga Asli C]]-(cadangan3[[#This Row],[Harga Asli C]]*cadangan3[[#This Row],[Diskon]]),cadangan3[[#This Row],[Harga Asli C]])</f>
        <v>0</v>
      </c>
      <c r="AE40" s="36">
        <f>IFERROR(INDEX(Katalog!$F$3:$F$12,MATCH(cadangan3[[#This Row],[ItemID C]],Katalog!$C$3:$C$12,0))*cadangan3[[#This Row],[Qty C]],0)</f>
        <v>0</v>
      </c>
      <c r="AF40" s="36">
        <f>IFERROR(cadangan3[[#This Row],[Profit C]]-(cadangan3[[#This Row],[Profit C]]*cadangan3[[#This Row],[Diskon]]),cadangan3[[#This Row],[Profit C]])</f>
        <v>0</v>
      </c>
      <c r="AG40" s="21">
        <f>cadangan3[[#This Row],[Qty A]]+cadangan3[[#This Row],[Qty B]]+cadangan3[[#This Row],[Qty C]]</f>
        <v>6</v>
      </c>
      <c r="AH40" s="35">
        <f>cadangan3[[#This Row],[Harga A + Diskon]]+cadangan3[[#This Row],[Harga + Diskon B]]+cadangan3[[#This Row],[Harga + Diskon C]]</f>
        <v>810000</v>
      </c>
      <c r="AI40" s="35">
        <f>(cadangan3[[#This Row],[Profit A]]+cadangan3[[#This Row],[Profit B]]+cadangan3[[#This Row],[Profit C]])</f>
        <v>360000</v>
      </c>
      <c r="AJ40" s="35">
        <f>cadangan3[[#This Row],[Provit A + Diskon]]+cadangan3[[#This Row],[Provit B + Diskon]]+cadangan3[[#This Row],[Provit C + Diskon]]</f>
        <v>324000</v>
      </c>
      <c r="AK40" s="23" t="s">
        <v>31</v>
      </c>
      <c r="AL40" s="37">
        <f>IFERROR(INDEX('Kode Diskon'!$D$3:$D$9,MATCH(cadangan3[[#This Row],[Kode diskon]],'Kode Diskon'!$C$3:$C$9,0)),"-")</f>
        <v>0.1</v>
      </c>
      <c r="AM40" s="23" t="s">
        <v>9</v>
      </c>
      <c r="AN40" s="23" t="s">
        <v>10</v>
      </c>
      <c r="AO40" s="23" t="s">
        <v>76</v>
      </c>
      <c r="AP40" s="24">
        <v>45041</v>
      </c>
      <c r="AQ40" s="23" t="str">
        <f>TEXT(cadangan3[[#This Row],[Tanggal terjual]],"dddd")</f>
        <v>Tuesday</v>
      </c>
    </row>
    <row r="41" spans="1:43" x14ac:dyDescent="0.2">
      <c r="A41" s="20">
        <v>40</v>
      </c>
      <c r="B41" s="21" t="str">
        <f>_xlfn.CONCAT("ORD-",INDEX(Helper!$B$2:$B$5,MATCH(cadangan3[[#This Row],[Marketplace]],Helper!$A$2:$A$5,0)),TEXT(cadangan3[[#This Row],[No]],"0000"),"-",TEXT(cadangan3[[#This Row],[Tanggal terjual]],"dd/mm/yy"))</f>
        <v>ORD-TK0040-15/04/23</v>
      </c>
      <c r="C41" t="s">
        <v>60</v>
      </c>
      <c r="D41" t="str">
        <f>IFERROR(INDEX(Katalog!$A$3:$A$12,MATCH(cadangan3[[#This Row],[ItemID A]],Katalog!$C$3:$C$12,0)),"-")</f>
        <v>Pakaian Wanita</v>
      </c>
      <c r="E41" t="str">
        <f>IFERROR(INDEX(Katalog!$B$3:$B$12,MATCH(cadangan3[[#This Row],[ItemID A]],Katalog!$C$3:$C$12,0)),"-")</f>
        <v>Kaftan</v>
      </c>
      <c r="F41">
        <v>2</v>
      </c>
      <c r="G41">
        <v>5</v>
      </c>
      <c r="H41" s="36">
        <f>IFERROR(INDEX(Katalog!$D$3:$D$12,MATCH(cadangan3[[#This Row],[ItemID A]],Katalog!$C$3:$C$12,0))*cadangan3[[#This Row],[Qty A]],0)</f>
        <v>500000</v>
      </c>
      <c r="I41" s="36">
        <f>IFERROR(INDEX(Katalog!$D$3:$D$12,MATCH(cadangan3[[#This Row],[Item A]],Katalog!$B$3:$B$12,0))*cadangan3[[#This Row],[Qty A]],0)</f>
        <v>500000</v>
      </c>
      <c r="J41" s="36">
        <f>IFERROR(cadangan3[[#This Row],[Harga Asli A]]-(cadangan3[[#This Row],[Harga Asli A]]*cadangan3[[#This Row],[Diskon]]),cadangan3[[#This Row],[Harga Asli A]])</f>
        <v>500000</v>
      </c>
      <c r="K41" s="36">
        <f>INDEX(Katalog!$F$3:$F$12,MATCH(cadangan3[[#This Row],[ItemID A]],Katalog!$C$3:$C$12,0))*cadangan3[[#This Row],[Qty A]]</f>
        <v>200000</v>
      </c>
      <c r="L41" s="36">
        <f>IFERROR(cadangan3[[#This Row],[Profit A]]-(cadangan3[[#This Row],[Profit A]]*cadangan3[[#This Row],[Diskon]]),K41)</f>
        <v>200000</v>
      </c>
      <c r="M41" t="s">
        <v>62</v>
      </c>
      <c r="N41" t="str">
        <f>IFERROR(INDEX(Katalog!$A$3:$A$12,MATCH(cadangan3[[#This Row],[ItemID B]],Katalog!$C$3:$C$12,0)),"-")</f>
        <v>Pakaian Pria</v>
      </c>
      <c r="O41" t="str">
        <f>IFERROR(INDEX(Katalog!$B$3:$B$12,MATCH(cadangan3[[#This Row],[ItemID B]],Katalog!$C$3:$C$12,0)),"-")</f>
        <v>Celana Pendek</v>
      </c>
      <c r="P41">
        <v>3</v>
      </c>
      <c r="Q41">
        <v>3</v>
      </c>
      <c r="R41" s="36">
        <f>IFERROR(INDEX(Katalog!$D$3:$D$12,MATCH(cadangan3[[#This Row],[ItemID B]],Katalog!$C$3:$C$12,0))*cadangan3[[#This Row],[Qty B]],0)</f>
        <v>540000</v>
      </c>
      <c r="S41" s="36">
        <f>IFERROR(INDEX(Katalog!$D$3:$D$12,MATCH(cadangan3[[#This Row],[Item B]],Katalog!$B$3:$B$12,0))*cadangan3[[#This Row],[Qty B]],0)</f>
        <v>540000</v>
      </c>
      <c r="T41" s="36">
        <f>IFERROR(cadangan3[[#This Row],[Harga Asli B]]-(cadangan3[[#This Row],[Harga Asli B]]*cadangan3[[#This Row],[Diskon]]),cadangan3[[#This Row],[Harga Asli B]])</f>
        <v>540000</v>
      </c>
      <c r="U41" s="36">
        <f>IFERROR(INDEX(Katalog!$F$3:$F$12,MATCH(cadangan3[[#This Row],[ItemID B]],Katalog!$C$3:$C$12,0))*cadangan3[[#This Row],[Qty B]],0)</f>
        <v>210000</v>
      </c>
      <c r="V41" s="36">
        <f>IFERROR(cadangan3[[#This Row],[Profit B]]-(cadangan3[[#This Row],[Profit B]]*cadangan3[[#This Row],[Diskon]]),U41)</f>
        <v>210000</v>
      </c>
      <c r="W41" t="s">
        <v>61</v>
      </c>
      <c r="X41" t="str">
        <f>IFERROR(INDEX(Katalog!$A$3:$A$12,MATCH(cadangan3[[#This Row],[ItemID C]],Katalog!$C$3:$C$12,0)),"-")</f>
        <v>Pakaian Pria</v>
      </c>
      <c r="Y41" t="str">
        <f>IFERROR(INDEX(Katalog!$B$3:$B$12,MATCH(cadangan3[[#This Row],[ItemID C]],Katalog!$C$3:$C$12,0)),"-")</f>
        <v>Kaos Polo</v>
      </c>
      <c r="Z41">
        <v>2</v>
      </c>
      <c r="AA41">
        <v>3</v>
      </c>
      <c r="AB41" s="36">
        <f>IFERROR(INDEX(Katalog!$D$3:$D$12,MATCH(cadangan3[[#This Row],[ItemID C]],Katalog!$C$3:$C$12,0))*cadangan3[[#This Row],[Qty C]],0)</f>
        <v>400000</v>
      </c>
      <c r="AC41" s="36">
        <f>IFERROR(INDEX(Katalog!$D$3:$D$12,MATCH(cadangan3[[#This Row],[Item C]],Katalog!$B$3:$B$12,0))*cadangan3[[#This Row],[Qty C]],0)</f>
        <v>400000</v>
      </c>
      <c r="AD41" s="36">
        <f>IFERROR(cadangan3[[#This Row],[Harga Asli C]]-(cadangan3[[#This Row],[Harga Asli C]]*cadangan3[[#This Row],[Diskon]]),cadangan3[[#This Row],[Harga Asli C]])</f>
        <v>400000</v>
      </c>
      <c r="AE41" s="36">
        <f>IFERROR(INDEX(Katalog!$F$3:$F$12,MATCH(cadangan3[[#This Row],[ItemID C]],Katalog!$C$3:$C$12,0))*cadangan3[[#This Row],[Qty C]],0)</f>
        <v>160000</v>
      </c>
      <c r="AF41" s="36">
        <f>IFERROR(cadangan3[[#This Row],[Profit C]]-(cadangan3[[#This Row],[Profit C]]*cadangan3[[#This Row],[Diskon]]),cadangan3[[#This Row],[Profit C]])</f>
        <v>160000</v>
      </c>
      <c r="AG41" s="21">
        <f>cadangan3[[#This Row],[Qty A]]+cadangan3[[#This Row],[Qty B]]+cadangan3[[#This Row],[Qty C]]</f>
        <v>7</v>
      </c>
      <c r="AH41" s="35">
        <f>cadangan3[[#This Row],[Harga A + Diskon]]+cadangan3[[#This Row],[Harga + Diskon B]]+cadangan3[[#This Row],[Harga + Diskon C]]</f>
        <v>1440000</v>
      </c>
      <c r="AI41" s="35">
        <f>(cadangan3[[#This Row],[Profit A]]+cadangan3[[#This Row],[Profit B]]+cadangan3[[#This Row],[Profit C]])</f>
        <v>570000</v>
      </c>
      <c r="AJ41" s="35">
        <f>cadangan3[[#This Row],[Provit A + Diskon]]+cadangan3[[#This Row],[Provit B + Diskon]]+cadangan3[[#This Row],[Provit C + Diskon]]</f>
        <v>570000</v>
      </c>
      <c r="AK41" s="23" t="s">
        <v>11</v>
      </c>
      <c r="AL41" s="37" t="str">
        <f>IFERROR(INDEX('Kode Diskon'!$D$3:$D$9,MATCH(cadangan3[[#This Row],[Kode diskon]],'Kode Diskon'!$C$3:$C$9,0)),"-")</f>
        <v>-</v>
      </c>
      <c r="AM41" s="23" t="s">
        <v>11</v>
      </c>
      <c r="AN41" s="23" t="s">
        <v>10</v>
      </c>
      <c r="AO41" s="23" t="s">
        <v>80</v>
      </c>
      <c r="AP41" s="24">
        <v>45031</v>
      </c>
      <c r="AQ41" s="23" t="str">
        <f>TEXT(cadangan3[[#This Row],[Tanggal terjual]],"dddd")</f>
        <v>Saturday</v>
      </c>
    </row>
    <row r="42" spans="1:43" x14ac:dyDescent="0.2">
      <c r="A42" s="20">
        <v>41</v>
      </c>
      <c r="B42" s="21" t="str">
        <f>_xlfn.CONCAT("ORD-",INDEX(Helper!$B$2:$B$5,MATCH(cadangan3[[#This Row],[Marketplace]],Helper!$A$2:$A$5,0)),TEXT(cadangan3[[#This Row],[No]],"0000"),"-",TEXT(cadangan3[[#This Row],[Tanggal terjual]],"dd/mm/yy"))</f>
        <v>ORD-TK0041-01/04/23</v>
      </c>
      <c r="C42" t="s">
        <v>66</v>
      </c>
      <c r="D42" t="str">
        <f>IFERROR(INDEX(Katalog!$A$3:$A$12,MATCH(cadangan3[[#This Row],[ItemID A]],Katalog!$C$3:$C$12,0)),"-")</f>
        <v>Sepatu Pria</v>
      </c>
      <c r="E42" t="str">
        <f>IFERROR(INDEX(Katalog!$B$3:$B$12,MATCH(cadangan3[[#This Row],[ItemID A]],Katalog!$C$3:$C$12,0)),"-")</f>
        <v>Sandal Slip On</v>
      </c>
      <c r="F42">
        <v>2</v>
      </c>
      <c r="G42">
        <v>3</v>
      </c>
      <c r="H42" s="36">
        <f>IFERROR(INDEX(Katalog!$D$3:$D$12,MATCH(cadangan3[[#This Row],[ItemID A]],Katalog!$C$3:$C$12,0))*cadangan3[[#This Row],[Qty A]],0)</f>
        <v>300000</v>
      </c>
      <c r="I42" s="36">
        <f>IFERROR(INDEX(Katalog!$D$3:$D$12,MATCH(cadangan3[[#This Row],[Item A]],Katalog!$B$3:$B$12,0))*cadangan3[[#This Row],[Qty A]],0)</f>
        <v>300000</v>
      </c>
      <c r="J42" s="36">
        <f>IFERROR(cadangan3[[#This Row],[Harga Asli A]]-(cadangan3[[#This Row],[Harga Asli A]]*cadangan3[[#This Row],[Diskon]]),cadangan3[[#This Row],[Harga Asli A]])</f>
        <v>270000</v>
      </c>
      <c r="K42" s="36">
        <f>INDEX(Katalog!$F$3:$F$12,MATCH(cadangan3[[#This Row],[ItemID A]],Katalog!$C$3:$C$12,0))*cadangan3[[#This Row],[Qty A]]</f>
        <v>120000</v>
      </c>
      <c r="L42" s="36">
        <f>IFERROR(cadangan3[[#This Row],[Profit A]]-(cadangan3[[#This Row],[Profit A]]*cadangan3[[#This Row],[Diskon]]),K42)</f>
        <v>108000</v>
      </c>
      <c r="N42" t="str">
        <f>IFERROR(INDEX(Katalog!$A$3:$A$12,MATCH(cadangan3[[#This Row],[ItemID B]],Katalog!$C$3:$C$12,0)),"-")</f>
        <v>-</v>
      </c>
      <c r="O42" t="str">
        <f>IFERROR(INDEX(Katalog!$B$3:$B$12,MATCH(cadangan3[[#This Row],[ItemID B]],Katalog!$C$3:$C$12,0)),"-")</f>
        <v>-</v>
      </c>
      <c r="R42" s="36">
        <f>IFERROR(INDEX(Katalog!$D$3:$D$12,MATCH(cadangan3[[#This Row],[ItemID B]],Katalog!$C$3:$C$12,0))*cadangan3[[#This Row],[Qty B]],0)</f>
        <v>0</v>
      </c>
      <c r="S42" s="36">
        <f>IFERROR(INDEX(Katalog!$D$3:$D$12,MATCH(cadangan3[[#This Row],[Item B]],Katalog!$B$3:$B$12,0))*cadangan3[[#This Row],[Qty B]],0)</f>
        <v>0</v>
      </c>
      <c r="T42" s="36">
        <f>IFERROR(cadangan3[[#This Row],[Harga Asli B]]-(cadangan3[[#This Row],[Harga Asli B]]*cadangan3[[#This Row],[Diskon]]),cadangan3[[#This Row],[Harga Asli B]])</f>
        <v>0</v>
      </c>
      <c r="U42" s="36">
        <f>IFERROR(INDEX(Katalog!$F$3:$F$12,MATCH(cadangan3[[#This Row],[ItemID B]],Katalog!$C$3:$C$12,0))*cadangan3[[#This Row],[Qty B]],0)</f>
        <v>0</v>
      </c>
      <c r="V42" s="36">
        <f>IFERROR(cadangan3[[#This Row],[Profit B]]-(cadangan3[[#This Row],[Profit B]]*cadangan3[[#This Row],[Diskon]]),U42)</f>
        <v>0</v>
      </c>
      <c r="X42" t="str">
        <f>IFERROR(INDEX(Katalog!$A$3:$A$12,MATCH(cadangan3[[#This Row],[ItemID C]],Katalog!$C$3:$C$12,0)),"-")</f>
        <v>-</v>
      </c>
      <c r="Y42" t="str">
        <f>IFERROR(INDEX(Katalog!$B$3:$B$12,MATCH(cadangan3[[#This Row],[ItemID C]],Katalog!$C$3:$C$12,0)),"-")</f>
        <v>-</v>
      </c>
      <c r="AB42" s="36">
        <f>IFERROR(INDEX(Katalog!$D$3:$D$12,MATCH(cadangan3[[#This Row],[ItemID C]],Katalog!$C$3:$C$12,0))*cadangan3[[#This Row],[Qty C]],0)</f>
        <v>0</v>
      </c>
      <c r="AC42" s="36">
        <f>IFERROR(INDEX(Katalog!$D$3:$D$12,MATCH(cadangan3[[#This Row],[Item C]],Katalog!$B$3:$B$12,0))*cadangan3[[#This Row],[Qty C]],0)</f>
        <v>0</v>
      </c>
      <c r="AD42" s="36">
        <f>IFERROR(cadangan3[[#This Row],[Harga Asli C]]-(cadangan3[[#This Row],[Harga Asli C]]*cadangan3[[#This Row],[Diskon]]),cadangan3[[#This Row],[Harga Asli C]])</f>
        <v>0</v>
      </c>
      <c r="AE42" s="36">
        <f>IFERROR(INDEX(Katalog!$F$3:$F$12,MATCH(cadangan3[[#This Row],[ItemID C]],Katalog!$C$3:$C$12,0))*cadangan3[[#This Row],[Qty C]],0)</f>
        <v>0</v>
      </c>
      <c r="AF42" s="36">
        <f>IFERROR(cadangan3[[#This Row],[Profit C]]-(cadangan3[[#This Row],[Profit C]]*cadangan3[[#This Row],[Diskon]]),cadangan3[[#This Row],[Profit C]])</f>
        <v>0</v>
      </c>
      <c r="AG42" s="21">
        <f>cadangan3[[#This Row],[Qty A]]+cadangan3[[#This Row],[Qty B]]+cadangan3[[#This Row],[Qty C]]</f>
        <v>2</v>
      </c>
      <c r="AH42" s="35">
        <f>cadangan3[[#This Row],[Harga A + Diskon]]+cadangan3[[#This Row],[Harga + Diskon B]]+cadangan3[[#This Row],[Harga + Diskon C]]</f>
        <v>270000</v>
      </c>
      <c r="AI42" s="35">
        <f>(cadangan3[[#This Row],[Profit A]]+cadangan3[[#This Row],[Profit B]]+cadangan3[[#This Row],[Profit C]])</f>
        <v>120000</v>
      </c>
      <c r="AJ42" s="35">
        <f>cadangan3[[#This Row],[Provit A + Diskon]]+cadangan3[[#This Row],[Provit B + Diskon]]+cadangan3[[#This Row],[Provit C + Diskon]]</f>
        <v>108000</v>
      </c>
      <c r="AK42" s="23" t="s">
        <v>30</v>
      </c>
      <c r="AL42" s="37">
        <f>IFERROR(INDEX('Kode Diskon'!$D$3:$D$9,MATCH(cadangan3[[#This Row],[Kode diskon]],'Kode Diskon'!$C$3:$C$9,0)),"-")</f>
        <v>0.1</v>
      </c>
      <c r="AM42" s="23" t="s">
        <v>29</v>
      </c>
      <c r="AN42" s="23" t="s">
        <v>10</v>
      </c>
      <c r="AO42" s="23" t="s">
        <v>80</v>
      </c>
      <c r="AP42" s="24">
        <v>45017</v>
      </c>
      <c r="AQ42" s="23" t="str">
        <f>TEXT(cadangan3[[#This Row],[Tanggal terjual]],"dddd")</f>
        <v>Saturday</v>
      </c>
    </row>
    <row r="43" spans="1:43" x14ac:dyDescent="0.2">
      <c r="A43" s="20">
        <v>42</v>
      </c>
      <c r="B43" s="21" t="str">
        <f>_xlfn.CONCAT("ORD-",INDEX(Helper!$B$2:$B$5,MATCH(cadangan3[[#This Row],[Marketplace]],Helper!$A$2:$A$5,0)),TEXT(cadangan3[[#This Row],[No]],"0000"),"-",TEXT(cadangan3[[#This Row],[Tanggal terjual]],"dd/mm/yy"))</f>
        <v>ORD-BB0042-15/04/23</v>
      </c>
      <c r="C43" t="s">
        <v>63</v>
      </c>
      <c r="D43" t="str">
        <f>IFERROR(INDEX(Katalog!$A$3:$A$12,MATCH(cadangan3[[#This Row],[ItemID A]],Katalog!$C$3:$C$12,0)),"-")</f>
        <v>Pakaian Pria</v>
      </c>
      <c r="E43" t="str">
        <f>IFERROR(INDEX(Katalog!$B$3:$B$12,MATCH(cadangan3[[#This Row],[ItemID A]],Katalog!$C$3:$C$12,0)),"-")</f>
        <v>Jaket Jeans</v>
      </c>
      <c r="F43">
        <v>1</v>
      </c>
      <c r="G43">
        <v>5</v>
      </c>
      <c r="H43" s="36">
        <f>IFERROR(INDEX(Katalog!$D$3:$D$12,MATCH(cadangan3[[#This Row],[ItemID A]],Katalog!$C$3:$C$12,0))*cadangan3[[#This Row],[Qty A]],0)</f>
        <v>400000</v>
      </c>
      <c r="I43" s="36">
        <f>IFERROR(INDEX(Katalog!$D$3:$D$12,MATCH(cadangan3[[#This Row],[Item A]],Katalog!$B$3:$B$12,0))*cadangan3[[#This Row],[Qty A]],0)</f>
        <v>400000</v>
      </c>
      <c r="J43" s="36">
        <f>IFERROR(cadangan3[[#This Row],[Harga Asli A]]-(cadangan3[[#This Row],[Harga Asli A]]*cadangan3[[#This Row],[Diskon]]),cadangan3[[#This Row],[Harga Asli A]])</f>
        <v>400000</v>
      </c>
      <c r="K43" s="36">
        <f>INDEX(Katalog!$F$3:$F$12,MATCH(cadangan3[[#This Row],[ItemID A]],Katalog!$C$3:$C$12,0))*cadangan3[[#This Row],[Qty A]]</f>
        <v>150000</v>
      </c>
      <c r="L43" s="36">
        <f>IFERROR(cadangan3[[#This Row],[Profit A]]-(cadangan3[[#This Row],[Profit A]]*cadangan3[[#This Row],[Diskon]]),K43)</f>
        <v>150000</v>
      </c>
      <c r="N43" t="str">
        <f>IFERROR(INDEX(Katalog!$A$3:$A$12,MATCH(cadangan3[[#This Row],[ItemID B]],Katalog!$C$3:$C$12,0)),"-")</f>
        <v>-</v>
      </c>
      <c r="O43" t="str">
        <f>IFERROR(INDEX(Katalog!$B$3:$B$12,MATCH(cadangan3[[#This Row],[ItemID B]],Katalog!$C$3:$C$12,0)),"-")</f>
        <v>-</v>
      </c>
      <c r="R43" s="36">
        <f>IFERROR(INDEX(Katalog!$D$3:$D$12,MATCH(cadangan3[[#This Row],[ItemID B]],Katalog!$C$3:$C$12,0))*cadangan3[[#This Row],[Qty B]],0)</f>
        <v>0</v>
      </c>
      <c r="S43" s="36">
        <f>IFERROR(INDEX(Katalog!$D$3:$D$12,MATCH(cadangan3[[#This Row],[Item B]],Katalog!$B$3:$B$12,0))*cadangan3[[#This Row],[Qty B]],0)</f>
        <v>0</v>
      </c>
      <c r="T43" s="36">
        <f>IFERROR(cadangan3[[#This Row],[Harga Asli B]]-(cadangan3[[#This Row],[Harga Asli B]]*cadangan3[[#This Row],[Diskon]]),cadangan3[[#This Row],[Harga Asli B]])</f>
        <v>0</v>
      </c>
      <c r="U43" s="36">
        <f>IFERROR(INDEX(Katalog!$F$3:$F$12,MATCH(cadangan3[[#This Row],[ItemID B]],Katalog!$C$3:$C$12,0))*cadangan3[[#This Row],[Qty B]],0)</f>
        <v>0</v>
      </c>
      <c r="V43" s="36">
        <f>IFERROR(cadangan3[[#This Row],[Profit B]]-(cadangan3[[#This Row],[Profit B]]*cadangan3[[#This Row],[Diskon]]),U43)</f>
        <v>0</v>
      </c>
      <c r="X43" t="str">
        <f>IFERROR(INDEX(Katalog!$A$3:$A$12,MATCH(cadangan3[[#This Row],[ItemID C]],Katalog!$C$3:$C$12,0)),"-")</f>
        <v>-</v>
      </c>
      <c r="Y43" t="str">
        <f>IFERROR(INDEX(Katalog!$B$3:$B$12,MATCH(cadangan3[[#This Row],[ItemID C]],Katalog!$C$3:$C$12,0)),"-")</f>
        <v>-</v>
      </c>
      <c r="AB43" s="36">
        <f>IFERROR(INDEX(Katalog!$D$3:$D$12,MATCH(cadangan3[[#This Row],[ItemID C]],Katalog!$C$3:$C$12,0))*cadangan3[[#This Row],[Qty C]],0)</f>
        <v>0</v>
      </c>
      <c r="AC43" s="36">
        <f>IFERROR(INDEX(Katalog!$D$3:$D$12,MATCH(cadangan3[[#This Row],[Item C]],Katalog!$B$3:$B$12,0))*cadangan3[[#This Row],[Qty C]],0)</f>
        <v>0</v>
      </c>
      <c r="AD43" s="36">
        <f>IFERROR(cadangan3[[#This Row],[Harga Asli C]]-(cadangan3[[#This Row],[Harga Asli C]]*cadangan3[[#This Row],[Diskon]]),cadangan3[[#This Row],[Harga Asli C]])</f>
        <v>0</v>
      </c>
      <c r="AE43" s="36">
        <f>IFERROR(INDEX(Katalog!$F$3:$F$12,MATCH(cadangan3[[#This Row],[ItemID C]],Katalog!$C$3:$C$12,0))*cadangan3[[#This Row],[Qty C]],0)</f>
        <v>0</v>
      </c>
      <c r="AF43" s="36">
        <f>IFERROR(cadangan3[[#This Row],[Profit C]]-(cadangan3[[#This Row],[Profit C]]*cadangan3[[#This Row],[Diskon]]),cadangan3[[#This Row],[Profit C]])</f>
        <v>0</v>
      </c>
      <c r="AG43" s="21">
        <f>cadangan3[[#This Row],[Qty A]]+cadangan3[[#This Row],[Qty B]]+cadangan3[[#This Row],[Qty C]]</f>
        <v>1</v>
      </c>
      <c r="AH43" s="35">
        <f>cadangan3[[#This Row],[Harga A + Diskon]]+cadangan3[[#This Row],[Harga + Diskon B]]+cadangan3[[#This Row],[Harga + Diskon C]]</f>
        <v>400000</v>
      </c>
      <c r="AI43" s="35">
        <f>(cadangan3[[#This Row],[Profit A]]+cadangan3[[#This Row],[Profit B]]+cadangan3[[#This Row],[Profit C]])</f>
        <v>150000</v>
      </c>
      <c r="AJ43" s="35">
        <f>cadangan3[[#This Row],[Provit A + Diskon]]+cadangan3[[#This Row],[Provit B + Diskon]]+cadangan3[[#This Row],[Provit C + Diskon]]</f>
        <v>150000</v>
      </c>
      <c r="AK43" s="23" t="s">
        <v>11</v>
      </c>
      <c r="AL43" s="37" t="str">
        <f>IFERROR(INDEX('Kode Diskon'!$D$3:$D$9,MATCH(cadangan3[[#This Row],[Kode diskon]],'Kode Diskon'!$C$3:$C$9,0)),"-")</f>
        <v>-</v>
      </c>
      <c r="AM43" s="23" t="s">
        <v>11</v>
      </c>
      <c r="AN43" s="23" t="s">
        <v>14</v>
      </c>
      <c r="AO43" s="23" t="s">
        <v>77</v>
      </c>
      <c r="AP43" s="24">
        <v>45031</v>
      </c>
      <c r="AQ43" s="23" t="str">
        <f>TEXT(cadangan3[[#This Row],[Tanggal terjual]],"dddd")</f>
        <v>Saturday</v>
      </c>
    </row>
    <row r="44" spans="1:43" x14ac:dyDescent="0.2">
      <c r="A44" s="20">
        <v>43</v>
      </c>
      <c r="B44" s="21" t="str">
        <f>_xlfn.CONCAT("ORD-",INDEX(Helper!$B$2:$B$5,MATCH(cadangan3[[#This Row],[Marketplace]],Helper!$A$2:$A$5,0)),TEXT(cadangan3[[#This Row],[No]],"0000"),"-",TEXT(cadangan3[[#This Row],[Tanggal terjual]],"dd/mm/yy"))</f>
        <v>ORD-BB0043-05/04/23</v>
      </c>
      <c r="C44" t="s">
        <v>65</v>
      </c>
      <c r="D44" t="str">
        <f>IFERROR(INDEX(Katalog!$A$3:$A$12,MATCH(cadangan3[[#This Row],[ItemID A]],Katalog!$C$3:$C$12,0)),"-")</f>
        <v>Sepatu Pria</v>
      </c>
      <c r="E44" t="str">
        <f>IFERROR(INDEX(Katalog!$B$3:$B$12,MATCH(cadangan3[[#This Row],[ItemID A]],Katalog!$C$3:$C$12,0)),"-")</f>
        <v>Sneakers</v>
      </c>
      <c r="F44">
        <v>5</v>
      </c>
      <c r="G44">
        <v>1</v>
      </c>
      <c r="H44" s="36">
        <f>IFERROR(INDEX(Katalog!$D$3:$D$12,MATCH(cadangan3[[#This Row],[ItemID A]],Katalog!$C$3:$C$12,0))*cadangan3[[#This Row],[Qty A]],0)</f>
        <v>2500000</v>
      </c>
      <c r="I44" s="36">
        <f>IFERROR(INDEX(Katalog!$D$3:$D$12,MATCH(cadangan3[[#This Row],[Item A]],Katalog!$B$3:$B$12,0))*cadangan3[[#This Row],[Qty A]],0)</f>
        <v>2500000</v>
      </c>
      <c r="J44" s="36">
        <f>IFERROR(cadangan3[[#This Row],[Harga Asli A]]-(cadangan3[[#This Row],[Harga Asli A]]*cadangan3[[#This Row],[Diskon]]),cadangan3[[#This Row],[Harga Asli A]])</f>
        <v>2125000</v>
      </c>
      <c r="K44" s="36">
        <f>INDEX(Katalog!$F$3:$F$12,MATCH(cadangan3[[#This Row],[ItemID A]],Katalog!$C$3:$C$12,0))*cadangan3[[#This Row],[Qty A]]</f>
        <v>1000000</v>
      </c>
      <c r="L44" s="36">
        <f>IFERROR(cadangan3[[#This Row],[Profit A]]-(cadangan3[[#This Row],[Profit A]]*cadangan3[[#This Row],[Diskon]]),K44)</f>
        <v>850000</v>
      </c>
      <c r="M44" t="s">
        <v>59</v>
      </c>
      <c r="N44" t="str">
        <f>IFERROR(INDEX(Katalog!$A$3:$A$12,MATCH(cadangan3[[#This Row],[ItemID B]],Katalog!$C$3:$C$12,0)),"-")</f>
        <v>Pakaian Wanita</v>
      </c>
      <c r="O44" t="str">
        <f>IFERROR(INDEX(Katalog!$B$3:$B$12,MATCH(cadangan3[[#This Row],[ItemID B]],Katalog!$C$3:$C$12,0)),"-")</f>
        <v>Blouse</v>
      </c>
      <c r="P44">
        <v>2</v>
      </c>
      <c r="Q44">
        <v>3</v>
      </c>
      <c r="R44" s="36">
        <f>IFERROR(INDEX(Katalog!$D$3:$D$12,MATCH(cadangan3[[#This Row],[ItemID B]],Katalog!$C$3:$C$12,0))*cadangan3[[#This Row],[Qty B]],0)</f>
        <v>300000</v>
      </c>
      <c r="S44" s="36">
        <f>IFERROR(INDEX(Katalog!$D$3:$D$12,MATCH(cadangan3[[#This Row],[Item B]],Katalog!$B$3:$B$12,0))*cadangan3[[#This Row],[Qty B]],0)</f>
        <v>300000</v>
      </c>
      <c r="T44" s="36">
        <f>IFERROR(cadangan3[[#This Row],[Harga Asli B]]-(cadangan3[[#This Row],[Harga Asli B]]*cadangan3[[#This Row],[Diskon]]),cadangan3[[#This Row],[Harga Asli B]])</f>
        <v>255000</v>
      </c>
      <c r="U44" s="36">
        <f>IFERROR(INDEX(Katalog!$F$3:$F$12,MATCH(cadangan3[[#This Row],[ItemID B]],Katalog!$C$3:$C$12,0))*cadangan3[[#This Row],[Qty B]],0)</f>
        <v>100000</v>
      </c>
      <c r="V44" s="36">
        <f>IFERROR(cadangan3[[#This Row],[Profit B]]-(cadangan3[[#This Row],[Profit B]]*cadangan3[[#This Row],[Diskon]]),U44)</f>
        <v>85000</v>
      </c>
      <c r="X44" t="str">
        <f>IFERROR(INDEX(Katalog!$A$3:$A$12,MATCH(cadangan3[[#This Row],[ItemID C]],Katalog!$C$3:$C$12,0)),"-")</f>
        <v>-</v>
      </c>
      <c r="Y44" t="str">
        <f>IFERROR(INDEX(Katalog!$B$3:$B$12,MATCH(cadangan3[[#This Row],[ItemID C]],Katalog!$C$3:$C$12,0)),"-")</f>
        <v>-</v>
      </c>
      <c r="AB44" s="36">
        <f>IFERROR(INDEX(Katalog!$D$3:$D$12,MATCH(cadangan3[[#This Row],[ItemID C]],Katalog!$C$3:$C$12,0))*cadangan3[[#This Row],[Qty C]],0)</f>
        <v>0</v>
      </c>
      <c r="AC44" s="36">
        <f>IFERROR(INDEX(Katalog!$D$3:$D$12,MATCH(cadangan3[[#This Row],[Item C]],Katalog!$B$3:$B$12,0))*cadangan3[[#This Row],[Qty C]],0)</f>
        <v>0</v>
      </c>
      <c r="AD44" s="36">
        <f>IFERROR(cadangan3[[#This Row],[Harga Asli C]]-(cadangan3[[#This Row],[Harga Asli C]]*cadangan3[[#This Row],[Diskon]]),cadangan3[[#This Row],[Harga Asli C]])</f>
        <v>0</v>
      </c>
      <c r="AE44" s="36">
        <f>IFERROR(INDEX(Katalog!$F$3:$F$12,MATCH(cadangan3[[#This Row],[ItemID C]],Katalog!$C$3:$C$12,0))*cadangan3[[#This Row],[Qty C]],0)</f>
        <v>0</v>
      </c>
      <c r="AF44" s="36">
        <f>IFERROR(cadangan3[[#This Row],[Profit C]]-(cadangan3[[#This Row],[Profit C]]*cadangan3[[#This Row],[Diskon]]),cadangan3[[#This Row],[Profit C]])</f>
        <v>0</v>
      </c>
      <c r="AG44" s="21">
        <f>cadangan3[[#This Row],[Qty A]]+cadangan3[[#This Row],[Qty B]]+cadangan3[[#This Row],[Qty C]]</f>
        <v>7</v>
      </c>
      <c r="AH44" s="35">
        <f>cadangan3[[#This Row],[Harga A + Diskon]]+cadangan3[[#This Row],[Harga + Diskon B]]+cadangan3[[#This Row],[Harga + Diskon C]]</f>
        <v>2380000</v>
      </c>
      <c r="AI44" s="35">
        <f>(cadangan3[[#This Row],[Profit A]]+cadangan3[[#This Row],[Profit B]]+cadangan3[[#This Row],[Profit C]])</f>
        <v>1100000</v>
      </c>
      <c r="AJ44" s="35">
        <f>cadangan3[[#This Row],[Provit A + Diskon]]+cadangan3[[#This Row],[Provit B + Diskon]]+cadangan3[[#This Row],[Provit C + Diskon]]</f>
        <v>935000</v>
      </c>
      <c r="AK44" s="23" t="s">
        <v>28</v>
      </c>
      <c r="AL44" s="37">
        <f>IFERROR(INDEX('Kode Diskon'!$D$3:$D$9,MATCH(cadangan3[[#This Row],[Kode diskon]],'Kode Diskon'!$C$3:$C$9,0)),"-")</f>
        <v>0.15</v>
      </c>
      <c r="AM44" s="23" t="s">
        <v>29</v>
      </c>
      <c r="AN44" s="23" t="s">
        <v>14</v>
      </c>
      <c r="AO44" s="23" t="s">
        <v>77</v>
      </c>
      <c r="AP44" s="24">
        <v>45021</v>
      </c>
      <c r="AQ44" s="23" t="str">
        <f>TEXT(cadangan3[[#This Row],[Tanggal terjual]],"dddd")</f>
        <v>Wednesday</v>
      </c>
    </row>
    <row r="45" spans="1:43" x14ac:dyDescent="0.2">
      <c r="A45" s="20">
        <v>44</v>
      </c>
      <c r="B45" s="21" t="str">
        <f>_xlfn.CONCAT("ORD-",INDEX(Helper!$B$2:$B$5,MATCH(cadangan3[[#This Row],[Marketplace]],Helper!$A$2:$A$5,0)),TEXT(cadangan3[[#This Row],[No]],"0000"),"-",TEXT(cadangan3[[#This Row],[Tanggal terjual]],"dd/mm/yy"))</f>
        <v>ORD-SP0044-06/04/23</v>
      </c>
      <c r="C45" t="s">
        <v>58</v>
      </c>
      <c r="D45" t="str">
        <f>IFERROR(INDEX(Katalog!$A$3:$A$12,MATCH(cadangan3[[#This Row],[ItemID A]],Katalog!$C$3:$C$12,0)),"-")</f>
        <v>Pakaian Wanita</v>
      </c>
      <c r="E45" t="str">
        <f>IFERROR(INDEX(Katalog!$B$3:$B$12,MATCH(cadangan3[[#This Row],[ItemID A]],Katalog!$C$3:$C$12,0)),"-")</f>
        <v>Dress</v>
      </c>
      <c r="F45">
        <v>4</v>
      </c>
      <c r="G45">
        <v>3</v>
      </c>
      <c r="H45" s="36">
        <f>IFERROR(INDEX(Katalog!$D$3:$D$12,MATCH(cadangan3[[#This Row],[ItemID A]],Katalog!$C$3:$C$12,0))*cadangan3[[#This Row],[Qty A]],0)</f>
        <v>1200000</v>
      </c>
      <c r="I45" s="36">
        <f>IFERROR(INDEX(Katalog!$D$3:$D$12,MATCH(cadangan3[[#This Row],[Item A]],Katalog!$B$3:$B$12,0))*cadangan3[[#This Row],[Qty A]],0)</f>
        <v>1200000</v>
      </c>
      <c r="J45" s="36">
        <f>IFERROR(cadangan3[[#This Row],[Harga Asli A]]-(cadangan3[[#This Row],[Harga Asli A]]*cadangan3[[#This Row],[Diskon]]),cadangan3[[#This Row],[Harga Asli A]])</f>
        <v>1020000</v>
      </c>
      <c r="K45" s="36">
        <f>INDEX(Katalog!$F$3:$F$12,MATCH(cadangan3[[#This Row],[ItemID A]],Katalog!$C$3:$C$12,0))*cadangan3[[#This Row],[Qty A]]</f>
        <v>400000</v>
      </c>
      <c r="L45" s="36">
        <f>IFERROR(cadangan3[[#This Row],[Profit A]]-(cadangan3[[#This Row],[Profit A]]*cadangan3[[#This Row],[Diskon]]),K45)</f>
        <v>340000</v>
      </c>
      <c r="M45" t="s">
        <v>63</v>
      </c>
      <c r="N45" t="str">
        <f>IFERROR(INDEX(Katalog!$A$3:$A$12,MATCH(cadangan3[[#This Row],[ItemID B]],Katalog!$C$3:$C$12,0)),"-")</f>
        <v>Pakaian Pria</v>
      </c>
      <c r="O45" t="str">
        <f>IFERROR(INDEX(Katalog!$B$3:$B$12,MATCH(cadangan3[[#This Row],[ItemID B]],Katalog!$C$3:$C$12,0)),"-")</f>
        <v>Jaket Jeans</v>
      </c>
      <c r="P45">
        <v>1</v>
      </c>
      <c r="Q45">
        <v>5</v>
      </c>
      <c r="R45" s="36">
        <f>IFERROR(INDEX(Katalog!$D$3:$D$12,MATCH(cadangan3[[#This Row],[ItemID B]],Katalog!$C$3:$C$12,0))*cadangan3[[#This Row],[Qty B]],0)</f>
        <v>400000</v>
      </c>
      <c r="S45" s="36">
        <f>IFERROR(INDEX(Katalog!$D$3:$D$12,MATCH(cadangan3[[#This Row],[Item B]],Katalog!$B$3:$B$12,0))*cadangan3[[#This Row],[Qty B]],0)</f>
        <v>400000</v>
      </c>
      <c r="T45" s="36">
        <f>IFERROR(cadangan3[[#This Row],[Harga Asli B]]-(cadangan3[[#This Row],[Harga Asli B]]*cadangan3[[#This Row],[Diskon]]),cadangan3[[#This Row],[Harga Asli B]])</f>
        <v>340000</v>
      </c>
      <c r="U45" s="36">
        <f>IFERROR(INDEX(Katalog!$F$3:$F$12,MATCH(cadangan3[[#This Row],[ItemID B]],Katalog!$C$3:$C$12,0))*cadangan3[[#This Row],[Qty B]],0)</f>
        <v>150000</v>
      </c>
      <c r="V45" s="36">
        <f>IFERROR(cadangan3[[#This Row],[Profit B]]-(cadangan3[[#This Row],[Profit B]]*cadangan3[[#This Row],[Diskon]]),U45)</f>
        <v>127500</v>
      </c>
      <c r="W45" t="s">
        <v>60</v>
      </c>
      <c r="X45" t="str">
        <f>IFERROR(INDEX(Katalog!$A$3:$A$12,MATCH(cadangan3[[#This Row],[ItemID C]],Katalog!$C$3:$C$12,0)),"-")</f>
        <v>Pakaian Wanita</v>
      </c>
      <c r="Y45" t="str">
        <f>IFERROR(INDEX(Katalog!$B$3:$B$12,MATCH(cadangan3[[#This Row],[ItemID C]],Katalog!$C$3:$C$12,0)),"-")</f>
        <v>Kaftan</v>
      </c>
      <c r="Z45">
        <v>2</v>
      </c>
      <c r="AA45">
        <v>1</v>
      </c>
      <c r="AB45" s="36">
        <f>IFERROR(INDEX(Katalog!$D$3:$D$12,MATCH(cadangan3[[#This Row],[ItemID C]],Katalog!$C$3:$C$12,0))*cadangan3[[#This Row],[Qty C]],0)</f>
        <v>500000</v>
      </c>
      <c r="AC45" s="36">
        <f>IFERROR(INDEX(Katalog!$D$3:$D$12,MATCH(cadangan3[[#This Row],[Item C]],Katalog!$B$3:$B$12,0))*cadangan3[[#This Row],[Qty C]],0)</f>
        <v>500000</v>
      </c>
      <c r="AD45" s="36">
        <f>IFERROR(cadangan3[[#This Row],[Harga Asli C]]-(cadangan3[[#This Row],[Harga Asli C]]*cadangan3[[#This Row],[Diskon]]),cadangan3[[#This Row],[Harga Asli C]])</f>
        <v>425000</v>
      </c>
      <c r="AE45" s="36">
        <f>IFERROR(INDEX(Katalog!$F$3:$F$12,MATCH(cadangan3[[#This Row],[ItemID C]],Katalog!$C$3:$C$12,0))*cadangan3[[#This Row],[Qty C]],0)</f>
        <v>200000</v>
      </c>
      <c r="AF45" s="36">
        <f>IFERROR(cadangan3[[#This Row],[Profit C]]-(cadangan3[[#This Row],[Profit C]]*cadangan3[[#This Row],[Diskon]]),cadangan3[[#This Row],[Profit C]])</f>
        <v>170000</v>
      </c>
      <c r="AG45" s="21">
        <f>cadangan3[[#This Row],[Qty A]]+cadangan3[[#This Row],[Qty B]]+cadangan3[[#This Row],[Qty C]]</f>
        <v>7</v>
      </c>
      <c r="AH45" s="35">
        <f>cadangan3[[#This Row],[Harga A + Diskon]]+cadangan3[[#This Row],[Harga + Diskon B]]+cadangan3[[#This Row],[Harga + Diskon C]]</f>
        <v>1785000</v>
      </c>
      <c r="AI45" s="35">
        <f>(cadangan3[[#This Row],[Profit A]]+cadangan3[[#This Row],[Profit B]]+cadangan3[[#This Row],[Profit C]])</f>
        <v>750000</v>
      </c>
      <c r="AJ45" s="35">
        <f>cadangan3[[#This Row],[Provit A + Diskon]]+cadangan3[[#This Row],[Provit B + Diskon]]+cadangan3[[#This Row],[Provit C + Diskon]]</f>
        <v>637500</v>
      </c>
      <c r="AK45" s="23" t="s">
        <v>13</v>
      </c>
      <c r="AL45" s="37">
        <f>IFERROR(INDEX('Kode Diskon'!$D$3:$D$9,MATCH(cadangan3[[#This Row],[Kode diskon]],'Kode Diskon'!$C$3:$C$9,0)),"-")</f>
        <v>0.15</v>
      </c>
      <c r="AM45" s="23" t="s">
        <v>29</v>
      </c>
      <c r="AN45" s="23" t="s">
        <v>7</v>
      </c>
      <c r="AO45" s="23" t="s">
        <v>80</v>
      </c>
      <c r="AP45" s="24">
        <v>45022</v>
      </c>
      <c r="AQ45" s="23" t="str">
        <f>TEXT(cadangan3[[#This Row],[Tanggal terjual]],"dddd")</f>
        <v>Thursday</v>
      </c>
    </row>
    <row r="46" spans="1:43" x14ac:dyDescent="0.2">
      <c r="A46" s="20">
        <v>45</v>
      </c>
      <c r="B46" s="21" t="str">
        <f>_xlfn.CONCAT("ORD-",INDEX(Helper!$B$2:$B$5,MATCH(cadangan3[[#This Row],[Marketplace]],Helper!$A$2:$A$5,0)),TEXT(cadangan3[[#This Row],[No]],"0000"),"-",TEXT(cadangan3[[#This Row],[Tanggal terjual]],"dd/mm/yy"))</f>
        <v>ORD-BL0045-16/04/23</v>
      </c>
      <c r="C46" t="s">
        <v>59</v>
      </c>
      <c r="D46" t="str">
        <f>IFERROR(INDEX(Katalog!$A$3:$A$12,MATCH(cadangan3[[#This Row],[ItemID A]],Katalog!$C$3:$C$12,0)),"-")</f>
        <v>Pakaian Wanita</v>
      </c>
      <c r="E46" t="str">
        <f>IFERROR(INDEX(Katalog!$B$3:$B$12,MATCH(cadangan3[[#This Row],[ItemID A]],Katalog!$C$3:$C$12,0)),"-")</f>
        <v>Blouse</v>
      </c>
      <c r="F46">
        <v>2</v>
      </c>
      <c r="G46">
        <v>3</v>
      </c>
      <c r="H46" s="36">
        <f>IFERROR(INDEX(Katalog!$D$3:$D$12,MATCH(cadangan3[[#This Row],[ItemID A]],Katalog!$C$3:$C$12,0))*cadangan3[[#This Row],[Qty A]],0)</f>
        <v>300000</v>
      </c>
      <c r="I46" s="36">
        <f>IFERROR(INDEX(Katalog!$D$3:$D$12,MATCH(cadangan3[[#This Row],[Item A]],Katalog!$B$3:$B$12,0))*cadangan3[[#This Row],[Qty A]],0)</f>
        <v>300000</v>
      </c>
      <c r="J46" s="36">
        <f>IFERROR(cadangan3[[#This Row],[Harga Asli A]]-(cadangan3[[#This Row],[Harga Asli A]]*cadangan3[[#This Row],[Diskon]]),cadangan3[[#This Row],[Harga Asli A]])</f>
        <v>255000</v>
      </c>
      <c r="K46" s="36">
        <f>INDEX(Katalog!$F$3:$F$12,MATCH(cadangan3[[#This Row],[ItemID A]],Katalog!$C$3:$C$12,0))*cadangan3[[#This Row],[Qty A]]</f>
        <v>100000</v>
      </c>
      <c r="L46" s="36">
        <f>IFERROR(cadangan3[[#This Row],[Profit A]]-(cadangan3[[#This Row],[Profit A]]*cadangan3[[#This Row],[Diskon]]),K46)</f>
        <v>85000</v>
      </c>
      <c r="N46" t="str">
        <f>IFERROR(INDEX(Katalog!$A$3:$A$12,MATCH(cadangan3[[#This Row],[ItemID B]],Katalog!$C$3:$C$12,0)),"-")</f>
        <v>-</v>
      </c>
      <c r="O46" t="str">
        <f>IFERROR(INDEX(Katalog!$B$3:$B$12,MATCH(cadangan3[[#This Row],[ItemID B]],Katalog!$C$3:$C$12,0)),"-")</f>
        <v>-</v>
      </c>
      <c r="R46" s="36">
        <f>IFERROR(INDEX(Katalog!$D$3:$D$12,MATCH(cadangan3[[#This Row],[ItemID B]],Katalog!$C$3:$C$12,0))*cadangan3[[#This Row],[Qty B]],0)</f>
        <v>0</v>
      </c>
      <c r="S46" s="36">
        <f>IFERROR(INDEX(Katalog!$D$3:$D$12,MATCH(cadangan3[[#This Row],[Item B]],Katalog!$B$3:$B$12,0))*cadangan3[[#This Row],[Qty B]],0)</f>
        <v>0</v>
      </c>
      <c r="T46" s="36">
        <f>IFERROR(cadangan3[[#This Row],[Harga Asli B]]-(cadangan3[[#This Row],[Harga Asli B]]*cadangan3[[#This Row],[Diskon]]),cadangan3[[#This Row],[Harga Asli B]])</f>
        <v>0</v>
      </c>
      <c r="U46" s="36">
        <f>IFERROR(INDEX(Katalog!$F$3:$F$12,MATCH(cadangan3[[#This Row],[ItemID B]],Katalog!$C$3:$C$12,0))*cadangan3[[#This Row],[Qty B]],0)</f>
        <v>0</v>
      </c>
      <c r="V46" s="36">
        <f>IFERROR(cadangan3[[#This Row],[Profit B]]-(cadangan3[[#This Row],[Profit B]]*cadangan3[[#This Row],[Diskon]]),U46)</f>
        <v>0</v>
      </c>
      <c r="X46" t="str">
        <f>IFERROR(INDEX(Katalog!$A$3:$A$12,MATCH(cadangan3[[#This Row],[ItemID C]],Katalog!$C$3:$C$12,0)),"-")</f>
        <v>-</v>
      </c>
      <c r="Y46" t="str">
        <f>IFERROR(INDEX(Katalog!$B$3:$B$12,MATCH(cadangan3[[#This Row],[ItemID C]],Katalog!$C$3:$C$12,0)),"-")</f>
        <v>-</v>
      </c>
      <c r="AB46" s="36">
        <f>IFERROR(INDEX(Katalog!$D$3:$D$12,MATCH(cadangan3[[#This Row],[ItemID C]],Katalog!$C$3:$C$12,0))*cadangan3[[#This Row],[Qty C]],0)</f>
        <v>0</v>
      </c>
      <c r="AC46" s="36">
        <f>IFERROR(INDEX(Katalog!$D$3:$D$12,MATCH(cadangan3[[#This Row],[Item C]],Katalog!$B$3:$B$12,0))*cadangan3[[#This Row],[Qty C]],0)</f>
        <v>0</v>
      </c>
      <c r="AD46" s="36">
        <f>IFERROR(cadangan3[[#This Row],[Harga Asli C]]-(cadangan3[[#This Row],[Harga Asli C]]*cadangan3[[#This Row],[Diskon]]),cadangan3[[#This Row],[Harga Asli C]])</f>
        <v>0</v>
      </c>
      <c r="AE46" s="36">
        <f>IFERROR(INDEX(Katalog!$F$3:$F$12,MATCH(cadangan3[[#This Row],[ItemID C]],Katalog!$C$3:$C$12,0))*cadangan3[[#This Row],[Qty C]],0)</f>
        <v>0</v>
      </c>
      <c r="AF46" s="36">
        <f>IFERROR(cadangan3[[#This Row],[Profit C]]-(cadangan3[[#This Row],[Profit C]]*cadangan3[[#This Row],[Diskon]]),cadangan3[[#This Row],[Profit C]])</f>
        <v>0</v>
      </c>
      <c r="AG46" s="21">
        <f>cadangan3[[#This Row],[Qty A]]+cadangan3[[#This Row],[Qty B]]+cadangan3[[#This Row],[Qty C]]</f>
        <v>2</v>
      </c>
      <c r="AH46" s="35">
        <f>cadangan3[[#This Row],[Harga A + Diskon]]+cadangan3[[#This Row],[Harga + Diskon B]]+cadangan3[[#This Row],[Harga + Diskon C]]</f>
        <v>255000</v>
      </c>
      <c r="AI46" s="35">
        <f>(cadangan3[[#This Row],[Profit A]]+cadangan3[[#This Row],[Profit B]]+cadangan3[[#This Row],[Profit C]])</f>
        <v>100000</v>
      </c>
      <c r="AJ46" s="35">
        <f>cadangan3[[#This Row],[Provit A + Diskon]]+cadangan3[[#This Row],[Provit B + Diskon]]+cadangan3[[#This Row],[Provit C + Diskon]]</f>
        <v>85000</v>
      </c>
      <c r="AK46" s="23" t="s">
        <v>32</v>
      </c>
      <c r="AL46" s="37">
        <f>IFERROR(INDEX('Kode Diskon'!$D$3:$D$9,MATCH(cadangan3[[#This Row],[Kode diskon]],'Kode Diskon'!$C$3:$C$9,0)),"-")</f>
        <v>0.15</v>
      </c>
      <c r="AM46" s="23" t="s">
        <v>9</v>
      </c>
      <c r="AN46" s="23" t="s">
        <v>12</v>
      </c>
      <c r="AO46" s="23" t="s">
        <v>80</v>
      </c>
      <c r="AP46" s="24">
        <v>45032</v>
      </c>
      <c r="AQ46" s="23" t="str">
        <f>TEXT(cadangan3[[#This Row],[Tanggal terjual]],"dddd")</f>
        <v>Sunday</v>
      </c>
    </row>
    <row r="47" spans="1:43" x14ac:dyDescent="0.2">
      <c r="A47" s="20">
        <v>46</v>
      </c>
      <c r="B47" s="21" t="str">
        <f>_xlfn.CONCAT("ORD-",INDEX(Helper!$B$2:$B$5,MATCH(cadangan3[[#This Row],[Marketplace]],Helper!$A$2:$A$5,0)),TEXT(cadangan3[[#This Row],[No]],"0000"),"-",TEXT(cadangan3[[#This Row],[Tanggal terjual]],"dd/mm/yy"))</f>
        <v>ORD-BL0046-28/04/23</v>
      </c>
      <c r="C47" t="s">
        <v>65</v>
      </c>
      <c r="D47" t="str">
        <f>IFERROR(INDEX(Katalog!$A$3:$A$12,MATCH(cadangan3[[#This Row],[ItemID A]],Katalog!$C$3:$C$12,0)),"-")</f>
        <v>Sepatu Pria</v>
      </c>
      <c r="E47" t="str">
        <f>IFERROR(INDEX(Katalog!$B$3:$B$12,MATCH(cadangan3[[#This Row],[ItemID A]],Katalog!$C$3:$C$12,0)),"-")</f>
        <v>Sneakers</v>
      </c>
      <c r="F47">
        <v>1</v>
      </c>
      <c r="G47">
        <v>2</v>
      </c>
      <c r="H47" s="36">
        <f>IFERROR(INDEX(Katalog!$D$3:$D$12,MATCH(cadangan3[[#This Row],[ItemID A]],Katalog!$C$3:$C$12,0))*cadangan3[[#This Row],[Qty A]],0)</f>
        <v>500000</v>
      </c>
      <c r="I47" s="36">
        <f>IFERROR(INDEX(Katalog!$D$3:$D$12,MATCH(cadangan3[[#This Row],[Item A]],Katalog!$B$3:$B$12,0))*cadangan3[[#This Row],[Qty A]],0)</f>
        <v>500000</v>
      </c>
      <c r="J47" s="36">
        <f>IFERROR(cadangan3[[#This Row],[Harga Asli A]]-(cadangan3[[#This Row],[Harga Asli A]]*cadangan3[[#This Row],[Diskon]]),cadangan3[[#This Row],[Harga Asli A]])</f>
        <v>425000</v>
      </c>
      <c r="K47" s="36">
        <f>INDEX(Katalog!$F$3:$F$12,MATCH(cadangan3[[#This Row],[ItemID A]],Katalog!$C$3:$C$12,0))*cadangan3[[#This Row],[Qty A]]</f>
        <v>200000</v>
      </c>
      <c r="L47" s="36">
        <f>IFERROR(cadangan3[[#This Row],[Profit A]]-(cadangan3[[#This Row],[Profit A]]*cadangan3[[#This Row],[Diskon]]),K47)</f>
        <v>170000</v>
      </c>
      <c r="M47" t="s">
        <v>58</v>
      </c>
      <c r="N47" t="str">
        <f>IFERROR(INDEX(Katalog!$A$3:$A$12,MATCH(cadangan3[[#This Row],[ItemID B]],Katalog!$C$3:$C$12,0)),"-")</f>
        <v>Pakaian Wanita</v>
      </c>
      <c r="O47" t="str">
        <f>IFERROR(INDEX(Katalog!$B$3:$B$12,MATCH(cadangan3[[#This Row],[ItemID B]],Katalog!$C$3:$C$12,0)),"-")</f>
        <v>Dress</v>
      </c>
      <c r="P47">
        <v>1</v>
      </c>
      <c r="Q47">
        <v>1</v>
      </c>
      <c r="R47" s="36">
        <f>IFERROR(INDEX(Katalog!$D$3:$D$12,MATCH(cadangan3[[#This Row],[ItemID B]],Katalog!$C$3:$C$12,0))*cadangan3[[#This Row],[Qty B]],0)</f>
        <v>300000</v>
      </c>
      <c r="S47" s="36">
        <f>IFERROR(INDEX(Katalog!$D$3:$D$12,MATCH(cadangan3[[#This Row],[Item B]],Katalog!$B$3:$B$12,0))*cadangan3[[#This Row],[Qty B]],0)</f>
        <v>300000</v>
      </c>
      <c r="T47" s="36">
        <f>IFERROR(cadangan3[[#This Row],[Harga Asli B]]-(cadangan3[[#This Row],[Harga Asli B]]*cadangan3[[#This Row],[Diskon]]),cadangan3[[#This Row],[Harga Asli B]])</f>
        <v>255000</v>
      </c>
      <c r="U47" s="36">
        <f>IFERROR(INDEX(Katalog!$F$3:$F$12,MATCH(cadangan3[[#This Row],[ItemID B]],Katalog!$C$3:$C$12,0))*cadangan3[[#This Row],[Qty B]],0)</f>
        <v>100000</v>
      </c>
      <c r="V47" s="36">
        <f>IFERROR(cadangan3[[#This Row],[Profit B]]-(cadangan3[[#This Row],[Profit B]]*cadangan3[[#This Row],[Diskon]]),U47)</f>
        <v>85000</v>
      </c>
      <c r="W47" t="s">
        <v>63</v>
      </c>
      <c r="X47" t="str">
        <f>IFERROR(INDEX(Katalog!$A$3:$A$12,MATCH(cadangan3[[#This Row],[ItemID C]],Katalog!$C$3:$C$12,0)),"-")</f>
        <v>Pakaian Pria</v>
      </c>
      <c r="Y47" t="str">
        <f>IFERROR(INDEX(Katalog!$B$3:$B$12,MATCH(cadangan3[[#This Row],[ItemID C]],Katalog!$C$3:$C$12,0)),"-")</f>
        <v>Jaket Jeans</v>
      </c>
      <c r="Z47">
        <v>1</v>
      </c>
      <c r="AA47">
        <v>4</v>
      </c>
      <c r="AB47" s="36">
        <f>IFERROR(INDEX(Katalog!$D$3:$D$12,MATCH(cadangan3[[#This Row],[ItemID C]],Katalog!$C$3:$C$12,0))*cadangan3[[#This Row],[Qty C]],0)</f>
        <v>400000</v>
      </c>
      <c r="AC47" s="36">
        <f>IFERROR(INDEX(Katalog!$D$3:$D$12,MATCH(cadangan3[[#This Row],[Item C]],Katalog!$B$3:$B$12,0))*cadangan3[[#This Row],[Qty C]],0)</f>
        <v>400000</v>
      </c>
      <c r="AD47" s="36">
        <f>IFERROR(cadangan3[[#This Row],[Harga Asli C]]-(cadangan3[[#This Row],[Harga Asli C]]*cadangan3[[#This Row],[Diskon]]),cadangan3[[#This Row],[Harga Asli C]])</f>
        <v>340000</v>
      </c>
      <c r="AE47" s="36">
        <f>IFERROR(INDEX(Katalog!$F$3:$F$12,MATCH(cadangan3[[#This Row],[ItemID C]],Katalog!$C$3:$C$12,0))*cadangan3[[#This Row],[Qty C]],0)</f>
        <v>150000</v>
      </c>
      <c r="AF47" s="36">
        <f>IFERROR(cadangan3[[#This Row],[Profit C]]-(cadangan3[[#This Row],[Profit C]]*cadangan3[[#This Row],[Diskon]]),cadangan3[[#This Row],[Profit C]])</f>
        <v>127500</v>
      </c>
      <c r="AG47" s="21">
        <f>cadangan3[[#This Row],[Qty A]]+cadangan3[[#This Row],[Qty B]]+cadangan3[[#This Row],[Qty C]]</f>
        <v>3</v>
      </c>
      <c r="AH47" s="35">
        <f>cadangan3[[#This Row],[Harga A + Diskon]]+cadangan3[[#This Row],[Harga + Diskon B]]+cadangan3[[#This Row],[Harga + Diskon C]]</f>
        <v>1020000</v>
      </c>
      <c r="AI47" s="35">
        <f>(cadangan3[[#This Row],[Profit A]]+cadangan3[[#This Row],[Profit B]]+cadangan3[[#This Row],[Profit C]])</f>
        <v>450000</v>
      </c>
      <c r="AJ47" s="35">
        <f>cadangan3[[#This Row],[Provit A + Diskon]]+cadangan3[[#This Row],[Provit B + Diskon]]+cadangan3[[#This Row],[Provit C + Diskon]]</f>
        <v>382500</v>
      </c>
      <c r="AK47" s="23" t="s">
        <v>32</v>
      </c>
      <c r="AL47" s="37">
        <f>IFERROR(INDEX('Kode Diskon'!$D$3:$D$9,MATCH(cadangan3[[#This Row],[Kode diskon]],'Kode Diskon'!$C$3:$C$9,0)),"-")</f>
        <v>0.15</v>
      </c>
      <c r="AM47" s="23" t="s">
        <v>9</v>
      </c>
      <c r="AN47" s="23" t="s">
        <v>12</v>
      </c>
      <c r="AO47" s="23" t="s">
        <v>77</v>
      </c>
      <c r="AP47" s="24">
        <v>45044</v>
      </c>
      <c r="AQ47" s="23" t="str">
        <f>TEXT(cadangan3[[#This Row],[Tanggal terjual]],"dddd")</f>
        <v>Friday</v>
      </c>
    </row>
    <row r="48" spans="1:43" x14ac:dyDescent="0.2">
      <c r="A48" s="20">
        <v>47</v>
      </c>
      <c r="B48" s="21" t="str">
        <f>_xlfn.CONCAT("ORD-",INDEX(Helper!$B$2:$B$5,MATCH(cadangan3[[#This Row],[Marketplace]],Helper!$A$2:$A$5,0)),TEXT(cadangan3[[#This Row],[No]],"0000"),"-",TEXT(cadangan3[[#This Row],[Tanggal terjual]],"dd/mm/yy"))</f>
        <v>ORD-SP0047-04/04/23</v>
      </c>
      <c r="C48" t="s">
        <v>58</v>
      </c>
      <c r="D48" t="str">
        <f>IFERROR(INDEX(Katalog!$A$3:$A$12,MATCH(cadangan3[[#This Row],[ItemID A]],Katalog!$C$3:$C$12,0)),"-")</f>
        <v>Pakaian Wanita</v>
      </c>
      <c r="E48" t="str">
        <f>IFERROR(INDEX(Katalog!$B$3:$B$12,MATCH(cadangan3[[#This Row],[ItemID A]],Katalog!$C$3:$C$12,0)),"-")</f>
        <v>Dress</v>
      </c>
      <c r="F48">
        <v>1</v>
      </c>
      <c r="G48">
        <v>1</v>
      </c>
      <c r="H48" s="36">
        <f>IFERROR(INDEX(Katalog!$D$3:$D$12,MATCH(cadangan3[[#This Row],[ItemID A]],Katalog!$C$3:$C$12,0))*cadangan3[[#This Row],[Qty A]],0)</f>
        <v>300000</v>
      </c>
      <c r="I48" s="36">
        <f>IFERROR(INDEX(Katalog!$D$3:$D$12,MATCH(cadangan3[[#This Row],[Item A]],Katalog!$B$3:$B$12,0))*cadangan3[[#This Row],[Qty A]],0)</f>
        <v>300000</v>
      </c>
      <c r="J48" s="36">
        <f>IFERROR(cadangan3[[#This Row],[Harga Asli A]]-(cadangan3[[#This Row],[Harga Asli A]]*cadangan3[[#This Row],[Diskon]]),cadangan3[[#This Row],[Harga Asli A]])</f>
        <v>270000</v>
      </c>
      <c r="K48" s="36">
        <f>INDEX(Katalog!$F$3:$F$12,MATCH(cadangan3[[#This Row],[ItemID A]],Katalog!$C$3:$C$12,0))*cadangan3[[#This Row],[Qty A]]</f>
        <v>100000</v>
      </c>
      <c r="L48" s="36">
        <f>IFERROR(cadangan3[[#This Row],[Profit A]]-(cadangan3[[#This Row],[Profit A]]*cadangan3[[#This Row],[Diskon]]),K48)</f>
        <v>90000</v>
      </c>
      <c r="M48" t="s">
        <v>63</v>
      </c>
      <c r="N48" t="str">
        <f>IFERROR(INDEX(Katalog!$A$3:$A$12,MATCH(cadangan3[[#This Row],[ItemID B]],Katalog!$C$3:$C$12,0)),"-")</f>
        <v>Pakaian Pria</v>
      </c>
      <c r="O48" t="str">
        <f>IFERROR(INDEX(Katalog!$B$3:$B$12,MATCH(cadangan3[[#This Row],[ItemID B]],Katalog!$C$3:$C$12,0)),"-")</f>
        <v>Jaket Jeans</v>
      </c>
      <c r="P48">
        <v>2</v>
      </c>
      <c r="Q48">
        <v>3</v>
      </c>
      <c r="R48" s="36">
        <f>IFERROR(INDEX(Katalog!$D$3:$D$12,MATCH(cadangan3[[#This Row],[ItemID B]],Katalog!$C$3:$C$12,0))*cadangan3[[#This Row],[Qty B]],0)</f>
        <v>800000</v>
      </c>
      <c r="S48" s="36">
        <f>IFERROR(INDEX(Katalog!$D$3:$D$12,MATCH(cadangan3[[#This Row],[Item B]],Katalog!$B$3:$B$12,0))*cadangan3[[#This Row],[Qty B]],0)</f>
        <v>800000</v>
      </c>
      <c r="T48" s="36">
        <f>IFERROR(cadangan3[[#This Row],[Harga Asli B]]-(cadangan3[[#This Row],[Harga Asli B]]*cadangan3[[#This Row],[Diskon]]),cadangan3[[#This Row],[Harga Asli B]])</f>
        <v>720000</v>
      </c>
      <c r="U48" s="36">
        <f>IFERROR(INDEX(Katalog!$F$3:$F$12,MATCH(cadangan3[[#This Row],[ItemID B]],Katalog!$C$3:$C$12,0))*cadangan3[[#This Row],[Qty B]],0)</f>
        <v>300000</v>
      </c>
      <c r="V48" s="36">
        <f>IFERROR(cadangan3[[#This Row],[Profit B]]-(cadangan3[[#This Row],[Profit B]]*cadangan3[[#This Row],[Diskon]]),U48)</f>
        <v>270000</v>
      </c>
      <c r="X48" t="str">
        <f>IFERROR(INDEX(Katalog!$A$3:$A$12,MATCH(cadangan3[[#This Row],[ItemID C]],Katalog!$C$3:$C$12,0)),"-")</f>
        <v>-</v>
      </c>
      <c r="Y48" t="str">
        <f>IFERROR(INDEX(Katalog!$B$3:$B$12,MATCH(cadangan3[[#This Row],[ItemID C]],Katalog!$C$3:$C$12,0)),"-")</f>
        <v>-</v>
      </c>
      <c r="AB48" s="36">
        <f>IFERROR(INDEX(Katalog!$D$3:$D$12,MATCH(cadangan3[[#This Row],[ItemID C]],Katalog!$C$3:$C$12,0))*cadangan3[[#This Row],[Qty C]],0)</f>
        <v>0</v>
      </c>
      <c r="AC48" s="36">
        <f>IFERROR(INDEX(Katalog!$D$3:$D$12,MATCH(cadangan3[[#This Row],[Item C]],Katalog!$B$3:$B$12,0))*cadangan3[[#This Row],[Qty C]],0)</f>
        <v>0</v>
      </c>
      <c r="AD48" s="36">
        <f>IFERROR(cadangan3[[#This Row],[Harga Asli C]]-(cadangan3[[#This Row],[Harga Asli C]]*cadangan3[[#This Row],[Diskon]]),cadangan3[[#This Row],[Harga Asli C]])</f>
        <v>0</v>
      </c>
      <c r="AE48" s="36">
        <f>IFERROR(INDEX(Katalog!$F$3:$F$12,MATCH(cadangan3[[#This Row],[ItemID C]],Katalog!$C$3:$C$12,0))*cadangan3[[#This Row],[Qty C]],0)</f>
        <v>0</v>
      </c>
      <c r="AF48" s="36">
        <f>IFERROR(cadangan3[[#This Row],[Profit C]]-(cadangan3[[#This Row],[Profit C]]*cadangan3[[#This Row],[Diskon]]),cadangan3[[#This Row],[Profit C]])</f>
        <v>0</v>
      </c>
      <c r="AG48" s="21">
        <f>cadangan3[[#This Row],[Qty A]]+cadangan3[[#This Row],[Qty B]]+cadangan3[[#This Row],[Qty C]]</f>
        <v>3</v>
      </c>
      <c r="AH48" s="35">
        <f>cadangan3[[#This Row],[Harga A + Diskon]]+cadangan3[[#This Row],[Harga + Diskon B]]+cadangan3[[#This Row],[Harga + Diskon C]]</f>
        <v>990000</v>
      </c>
      <c r="AI48" s="35">
        <f>(cadangan3[[#This Row],[Profit A]]+cadangan3[[#This Row],[Profit B]]+cadangan3[[#This Row],[Profit C]])</f>
        <v>400000</v>
      </c>
      <c r="AJ48" s="35">
        <f>cadangan3[[#This Row],[Provit A + Diskon]]+cadangan3[[#This Row],[Provit B + Diskon]]+cadangan3[[#This Row],[Provit C + Diskon]]</f>
        <v>360000</v>
      </c>
      <c r="AK48" s="23" t="s">
        <v>6</v>
      </c>
      <c r="AL48" s="37">
        <f>IFERROR(INDEX('Kode Diskon'!$D$3:$D$9,MATCH(cadangan3[[#This Row],[Kode diskon]],'Kode Diskon'!$C$3:$C$9,0)),"-")</f>
        <v>0.1</v>
      </c>
      <c r="AM48" s="23" t="s">
        <v>29</v>
      </c>
      <c r="AN48" s="23" t="s">
        <v>7</v>
      </c>
      <c r="AO48" s="23" t="s">
        <v>79</v>
      </c>
      <c r="AP48" s="24">
        <v>45020</v>
      </c>
      <c r="AQ48" s="23" t="str">
        <f>TEXT(cadangan3[[#This Row],[Tanggal terjual]],"dddd")</f>
        <v>Tuesday</v>
      </c>
    </row>
    <row r="49" spans="1:43" x14ac:dyDescent="0.2">
      <c r="A49" s="20">
        <v>48</v>
      </c>
      <c r="B49" s="21" t="str">
        <f>_xlfn.CONCAT("ORD-",INDEX(Helper!$B$2:$B$5,MATCH(cadangan3[[#This Row],[Marketplace]],Helper!$A$2:$A$5,0)),TEXT(cadangan3[[#This Row],[No]],"0000"),"-",TEXT(cadangan3[[#This Row],[Tanggal terjual]],"dd/mm/yy"))</f>
        <v>ORD-SP0048-01/04/23</v>
      </c>
      <c r="C49" t="s">
        <v>61</v>
      </c>
      <c r="D49" t="str">
        <f>IFERROR(INDEX(Katalog!$A$3:$A$12,MATCH(cadangan3[[#This Row],[ItemID A]],Katalog!$C$3:$C$12,0)),"-")</f>
        <v>Pakaian Pria</v>
      </c>
      <c r="E49" t="str">
        <f>IFERROR(INDEX(Katalog!$B$3:$B$12,MATCH(cadangan3[[#This Row],[ItemID A]],Katalog!$C$3:$C$12,0)),"-")</f>
        <v>Kaos Polo</v>
      </c>
      <c r="F49">
        <v>4</v>
      </c>
      <c r="G49">
        <v>1</v>
      </c>
      <c r="H49" s="36">
        <f>IFERROR(INDEX(Katalog!$D$3:$D$12,MATCH(cadangan3[[#This Row],[ItemID A]],Katalog!$C$3:$C$12,0))*cadangan3[[#This Row],[Qty A]],0)</f>
        <v>800000</v>
      </c>
      <c r="I49" s="36">
        <f>IFERROR(INDEX(Katalog!$D$3:$D$12,MATCH(cadangan3[[#This Row],[Item A]],Katalog!$B$3:$B$12,0))*cadangan3[[#This Row],[Qty A]],0)</f>
        <v>800000</v>
      </c>
      <c r="J49" s="36">
        <f>IFERROR(cadangan3[[#This Row],[Harga Asli A]]-(cadangan3[[#This Row],[Harga Asli A]]*cadangan3[[#This Row],[Diskon]]),cadangan3[[#This Row],[Harga Asli A]])</f>
        <v>680000</v>
      </c>
      <c r="K49" s="36">
        <f>INDEX(Katalog!$F$3:$F$12,MATCH(cadangan3[[#This Row],[ItemID A]],Katalog!$C$3:$C$12,0))*cadangan3[[#This Row],[Qty A]]</f>
        <v>320000</v>
      </c>
      <c r="L49" s="36">
        <f>IFERROR(cadangan3[[#This Row],[Profit A]]-(cadangan3[[#This Row],[Profit A]]*cadangan3[[#This Row],[Diskon]]),K49)</f>
        <v>272000</v>
      </c>
      <c r="N49" t="str">
        <f>IFERROR(INDEX(Katalog!$A$3:$A$12,MATCH(cadangan3[[#This Row],[ItemID B]],Katalog!$C$3:$C$12,0)),"-")</f>
        <v>-</v>
      </c>
      <c r="O49" t="str">
        <f>IFERROR(INDEX(Katalog!$B$3:$B$12,MATCH(cadangan3[[#This Row],[ItemID B]],Katalog!$C$3:$C$12,0)),"-")</f>
        <v>-</v>
      </c>
      <c r="R49" s="36">
        <f>IFERROR(INDEX(Katalog!$D$3:$D$12,MATCH(cadangan3[[#This Row],[ItemID B]],Katalog!$C$3:$C$12,0))*cadangan3[[#This Row],[Qty B]],0)</f>
        <v>0</v>
      </c>
      <c r="S49" s="36">
        <f>IFERROR(INDEX(Katalog!$D$3:$D$12,MATCH(cadangan3[[#This Row],[Item B]],Katalog!$B$3:$B$12,0))*cadangan3[[#This Row],[Qty B]],0)</f>
        <v>0</v>
      </c>
      <c r="T49" s="36">
        <f>IFERROR(cadangan3[[#This Row],[Harga Asli B]]-(cadangan3[[#This Row],[Harga Asli B]]*cadangan3[[#This Row],[Diskon]]),cadangan3[[#This Row],[Harga Asli B]])</f>
        <v>0</v>
      </c>
      <c r="U49" s="36">
        <f>IFERROR(INDEX(Katalog!$F$3:$F$12,MATCH(cadangan3[[#This Row],[ItemID B]],Katalog!$C$3:$C$12,0))*cadangan3[[#This Row],[Qty B]],0)</f>
        <v>0</v>
      </c>
      <c r="V49" s="36">
        <f>IFERROR(cadangan3[[#This Row],[Profit B]]-(cadangan3[[#This Row],[Profit B]]*cadangan3[[#This Row],[Diskon]]),U49)</f>
        <v>0</v>
      </c>
      <c r="X49" t="str">
        <f>IFERROR(INDEX(Katalog!$A$3:$A$12,MATCH(cadangan3[[#This Row],[ItemID C]],Katalog!$C$3:$C$12,0)),"-")</f>
        <v>-</v>
      </c>
      <c r="Y49" t="str">
        <f>IFERROR(INDEX(Katalog!$B$3:$B$12,MATCH(cadangan3[[#This Row],[ItemID C]],Katalog!$C$3:$C$12,0)),"-")</f>
        <v>-</v>
      </c>
      <c r="AB49" s="36">
        <f>IFERROR(INDEX(Katalog!$D$3:$D$12,MATCH(cadangan3[[#This Row],[ItemID C]],Katalog!$C$3:$C$12,0))*cadangan3[[#This Row],[Qty C]],0)</f>
        <v>0</v>
      </c>
      <c r="AC49" s="36">
        <f>IFERROR(INDEX(Katalog!$D$3:$D$12,MATCH(cadangan3[[#This Row],[Item C]],Katalog!$B$3:$B$12,0))*cadangan3[[#This Row],[Qty C]],0)</f>
        <v>0</v>
      </c>
      <c r="AD49" s="36">
        <f>IFERROR(cadangan3[[#This Row],[Harga Asli C]]-(cadangan3[[#This Row],[Harga Asli C]]*cadangan3[[#This Row],[Diskon]]),cadangan3[[#This Row],[Harga Asli C]])</f>
        <v>0</v>
      </c>
      <c r="AE49" s="36">
        <f>IFERROR(INDEX(Katalog!$F$3:$F$12,MATCH(cadangan3[[#This Row],[ItemID C]],Katalog!$C$3:$C$12,0))*cadangan3[[#This Row],[Qty C]],0)</f>
        <v>0</v>
      </c>
      <c r="AF49" s="36">
        <f>IFERROR(cadangan3[[#This Row],[Profit C]]-(cadangan3[[#This Row],[Profit C]]*cadangan3[[#This Row],[Diskon]]),cadangan3[[#This Row],[Profit C]])</f>
        <v>0</v>
      </c>
      <c r="AG49" s="21">
        <f>cadangan3[[#This Row],[Qty A]]+cadangan3[[#This Row],[Qty B]]+cadangan3[[#This Row],[Qty C]]</f>
        <v>4</v>
      </c>
      <c r="AH49" s="35">
        <f>cadangan3[[#This Row],[Harga A + Diskon]]+cadangan3[[#This Row],[Harga + Diskon B]]+cadangan3[[#This Row],[Harga + Diskon C]]</f>
        <v>680000</v>
      </c>
      <c r="AI49" s="35">
        <f>(cadangan3[[#This Row],[Profit A]]+cadangan3[[#This Row],[Profit B]]+cadangan3[[#This Row],[Profit C]])</f>
        <v>320000</v>
      </c>
      <c r="AJ49" s="35">
        <f>cadangan3[[#This Row],[Provit A + Diskon]]+cadangan3[[#This Row],[Provit B + Diskon]]+cadangan3[[#This Row],[Provit C + Diskon]]</f>
        <v>272000</v>
      </c>
      <c r="AK49" s="23" t="s">
        <v>13</v>
      </c>
      <c r="AL49" s="37">
        <f>IFERROR(INDEX('Kode Diskon'!$D$3:$D$9,MATCH(cadangan3[[#This Row],[Kode diskon]],'Kode Diskon'!$C$3:$C$9,0)),"-")</f>
        <v>0.15</v>
      </c>
      <c r="AM49" s="23" t="s">
        <v>29</v>
      </c>
      <c r="AN49" s="23" t="s">
        <v>7</v>
      </c>
      <c r="AO49" s="23" t="s">
        <v>80</v>
      </c>
      <c r="AP49" s="24">
        <v>45017</v>
      </c>
      <c r="AQ49" s="23" t="str">
        <f>TEXT(cadangan3[[#This Row],[Tanggal terjual]],"dddd")</f>
        <v>Saturday</v>
      </c>
    </row>
    <row r="50" spans="1:43" x14ac:dyDescent="0.2">
      <c r="A50" s="20">
        <v>49</v>
      </c>
      <c r="B50" s="21" t="str">
        <f>_xlfn.CONCAT("ORD-",INDEX(Helper!$B$2:$B$5,MATCH(cadangan3[[#This Row],[Marketplace]],Helper!$A$2:$A$5,0)),TEXT(cadangan3[[#This Row],[No]],"0000"),"-",TEXT(cadangan3[[#This Row],[Tanggal terjual]],"dd/mm/yy"))</f>
        <v>ORD-TK0049-05/04/23</v>
      </c>
      <c r="C50" t="s">
        <v>64</v>
      </c>
      <c r="D50" t="str">
        <f>IFERROR(INDEX(Katalog!$A$3:$A$12,MATCH(cadangan3[[#This Row],[ItemID A]],Katalog!$C$3:$C$12,0)),"-")</f>
        <v>Pakaian Unisex</v>
      </c>
      <c r="E50" t="str">
        <f>IFERROR(INDEX(Katalog!$B$3:$B$12,MATCH(cadangan3[[#This Row],[ItemID A]],Katalog!$C$3:$C$12,0)),"-")</f>
        <v>Jaket Hoodie</v>
      </c>
      <c r="F50">
        <v>1</v>
      </c>
      <c r="G50">
        <v>3</v>
      </c>
      <c r="H50" s="36">
        <f>IFERROR(INDEX(Katalog!$D$3:$D$12,MATCH(cadangan3[[#This Row],[ItemID A]],Katalog!$C$3:$C$12,0))*cadangan3[[#This Row],[Qty A]],0)</f>
        <v>350000</v>
      </c>
      <c r="I50" s="36">
        <f>IFERROR(INDEX(Katalog!$D$3:$D$12,MATCH(cadangan3[[#This Row],[Item A]],Katalog!$B$3:$B$12,0))*cadangan3[[#This Row],[Qty A]],0)</f>
        <v>350000</v>
      </c>
      <c r="J50" s="36">
        <f>IFERROR(cadangan3[[#This Row],[Harga Asli A]]-(cadangan3[[#This Row],[Harga Asli A]]*cadangan3[[#This Row],[Diskon]]),cadangan3[[#This Row],[Harga Asli A]])</f>
        <v>315000</v>
      </c>
      <c r="K50" s="36">
        <f>INDEX(Katalog!$F$3:$F$12,MATCH(cadangan3[[#This Row],[ItemID A]],Katalog!$C$3:$C$12,0))*cadangan3[[#This Row],[Qty A]]</f>
        <v>130000</v>
      </c>
      <c r="L50" s="36">
        <f>IFERROR(cadangan3[[#This Row],[Profit A]]-(cadangan3[[#This Row],[Profit A]]*cadangan3[[#This Row],[Diskon]]),K50)</f>
        <v>117000</v>
      </c>
      <c r="M50" t="s">
        <v>67</v>
      </c>
      <c r="N50" t="str">
        <f>IFERROR(INDEX(Katalog!$A$3:$A$12,MATCH(cadangan3[[#This Row],[ItemID B]],Katalog!$C$3:$C$12,0)),"-")</f>
        <v>Sepatu Wanita</v>
      </c>
      <c r="O50" t="str">
        <f>IFERROR(INDEX(Katalog!$B$3:$B$12,MATCH(cadangan3[[#This Row],[ItemID B]],Katalog!$C$3:$C$12,0)),"-")</f>
        <v>Flat Shoes</v>
      </c>
      <c r="P50">
        <v>4</v>
      </c>
      <c r="Q50">
        <v>3</v>
      </c>
      <c r="R50" s="36">
        <f>IFERROR(INDEX(Katalog!$D$3:$D$12,MATCH(cadangan3[[#This Row],[ItemID B]],Katalog!$C$3:$C$12,0))*cadangan3[[#This Row],[Qty B]],0)</f>
        <v>1000000</v>
      </c>
      <c r="S50" s="36">
        <f>IFERROR(INDEX(Katalog!$D$3:$D$12,MATCH(cadangan3[[#This Row],[Item B]],Katalog!$B$3:$B$12,0))*cadangan3[[#This Row],[Qty B]],0)</f>
        <v>1000000</v>
      </c>
      <c r="T50" s="36">
        <f>IFERROR(cadangan3[[#This Row],[Harga Asli B]]-(cadangan3[[#This Row],[Harga Asli B]]*cadangan3[[#This Row],[Diskon]]),cadangan3[[#This Row],[Harga Asli B]])</f>
        <v>900000</v>
      </c>
      <c r="U50" s="36">
        <f>IFERROR(INDEX(Katalog!$F$3:$F$12,MATCH(cadangan3[[#This Row],[ItemID B]],Katalog!$C$3:$C$12,0))*cadangan3[[#This Row],[Qty B]],0)</f>
        <v>400000</v>
      </c>
      <c r="V50" s="36">
        <f>IFERROR(cadangan3[[#This Row],[Profit B]]-(cadangan3[[#This Row],[Profit B]]*cadangan3[[#This Row],[Diskon]]),U50)</f>
        <v>360000</v>
      </c>
      <c r="X50" t="str">
        <f>IFERROR(INDEX(Katalog!$A$3:$A$12,MATCH(cadangan3[[#This Row],[ItemID C]],Katalog!$C$3:$C$12,0)),"-")</f>
        <v>-</v>
      </c>
      <c r="Y50" t="str">
        <f>IFERROR(INDEX(Katalog!$B$3:$B$12,MATCH(cadangan3[[#This Row],[ItemID C]],Katalog!$C$3:$C$12,0)),"-")</f>
        <v>-</v>
      </c>
      <c r="AB50" s="36">
        <f>IFERROR(INDEX(Katalog!$D$3:$D$12,MATCH(cadangan3[[#This Row],[ItemID C]],Katalog!$C$3:$C$12,0))*cadangan3[[#This Row],[Qty C]],0)</f>
        <v>0</v>
      </c>
      <c r="AC50" s="36">
        <f>IFERROR(INDEX(Katalog!$D$3:$D$12,MATCH(cadangan3[[#This Row],[Item C]],Katalog!$B$3:$B$12,0))*cadangan3[[#This Row],[Qty C]],0)</f>
        <v>0</v>
      </c>
      <c r="AD50" s="36">
        <f>IFERROR(cadangan3[[#This Row],[Harga Asli C]]-(cadangan3[[#This Row],[Harga Asli C]]*cadangan3[[#This Row],[Diskon]]),cadangan3[[#This Row],[Harga Asli C]])</f>
        <v>0</v>
      </c>
      <c r="AE50" s="36">
        <f>IFERROR(INDEX(Katalog!$F$3:$F$12,MATCH(cadangan3[[#This Row],[ItemID C]],Katalog!$C$3:$C$12,0))*cadangan3[[#This Row],[Qty C]],0)</f>
        <v>0</v>
      </c>
      <c r="AF50" s="36">
        <f>IFERROR(cadangan3[[#This Row],[Profit C]]-(cadangan3[[#This Row],[Profit C]]*cadangan3[[#This Row],[Diskon]]),cadangan3[[#This Row],[Profit C]])</f>
        <v>0</v>
      </c>
      <c r="AG50" s="21">
        <f>cadangan3[[#This Row],[Qty A]]+cadangan3[[#This Row],[Qty B]]+cadangan3[[#This Row],[Qty C]]</f>
        <v>5</v>
      </c>
      <c r="AH50" s="35">
        <f>cadangan3[[#This Row],[Harga A + Diskon]]+cadangan3[[#This Row],[Harga + Diskon B]]+cadangan3[[#This Row],[Harga + Diskon C]]</f>
        <v>1215000</v>
      </c>
      <c r="AI50" s="35">
        <f>(cadangan3[[#This Row],[Profit A]]+cadangan3[[#This Row],[Profit B]]+cadangan3[[#This Row],[Profit C]])</f>
        <v>530000</v>
      </c>
      <c r="AJ50" s="35">
        <f>cadangan3[[#This Row],[Provit A + Diskon]]+cadangan3[[#This Row],[Provit B + Diskon]]+cadangan3[[#This Row],[Provit C + Diskon]]</f>
        <v>477000</v>
      </c>
      <c r="AK50" s="23" t="s">
        <v>30</v>
      </c>
      <c r="AL50" s="37">
        <f>IFERROR(INDEX('Kode Diskon'!$D$3:$D$9,MATCH(cadangan3[[#This Row],[Kode diskon]],'Kode Diskon'!$C$3:$C$9,0)),"-")</f>
        <v>0.1</v>
      </c>
      <c r="AM50" s="23" t="s">
        <v>29</v>
      </c>
      <c r="AN50" s="23" t="s">
        <v>10</v>
      </c>
      <c r="AO50" s="23" t="s">
        <v>76</v>
      </c>
      <c r="AP50" s="24">
        <v>45021</v>
      </c>
      <c r="AQ50" s="23" t="str">
        <f>TEXT(cadangan3[[#This Row],[Tanggal terjual]],"dddd")</f>
        <v>Wednesday</v>
      </c>
    </row>
    <row r="51" spans="1:43" x14ac:dyDescent="0.2">
      <c r="A51" s="20">
        <v>50</v>
      </c>
      <c r="B51" s="21" t="str">
        <f>_xlfn.CONCAT("ORD-",INDEX(Helper!$B$2:$B$5,MATCH(cadangan3[[#This Row],[Marketplace]],Helper!$A$2:$A$5,0)),TEXT(cadangan3[[#This Row],[No]],"0000"),"-",TEXT(cadangan3[[#This Row],[Tanggal terjual]],"dd/mm/yy"))</f>
        <v>ORD-SP0050-03/04/23</v>
      </c>
      <c r="C51" t="s">
        <v>61</v>
      </c>
      <c r="D51" t="str">
        <f>IFERROR(INDEX(Katalog!$A$3:$A$12,MATCH(cadangan3[[#This Row],[ItemID A]],Katalog!$C$3:$C$12,0)),"-")</f>
        <v>Pakaian Pria</v>
      </c>
      <c r="E51" t="str">
        <f>IFERROR(INDEX(Katalog!$B$3:$B$12,MATCH(cadangan3[[#This Row],[ItemID A]],Katalog!$C$3:$C$12,0)),"-")</f>
        <v>Kaos Polo</v>
      </c>
      <c r="F51">
        <v>1</v>
      </c>
      <c r="G51">
        <v>2</v>
      </c>
      <c r="H51" s="36">
        <f>IFERROR(INDEX(Katalog!$D$3:$D$12,MATCH(cadangan3[[#This Row],[ItemID A]],Katalog!$C$3:$C$12,0))*cadangan3[[#This Row],[Qty A]],0)</f>
        <v>200000</v>
      </c>
      <c r="I51" s="36">
        <f>IFERROR(INDEX(Katalog!$D$3:$D$12,MATCH(cadangan3[[#This Row],[Item A]],Katalog!$B$3:$B$12,0))*cadangan3[[#This Row],[Qty A]],0)</f>
        <v>200000</v>
      </c>
      <c r="J51" s="36">
        <f>IFERROR(cadangan3[[#This Row],[Harga Asli A]]-(cadangan3[[#This Row],[Harga Asli A]]*cadangan3[[#This Row],[Diskon]]),cadangan3[[#This Row],[Harga Asli A]])</f>
        <v>170000</v>
      </c>
      <c r="K51" s="36">
        <f>INDEX(Katalog!$F$3:$F$12,MATCH(cadangan3[[#This Row],[ItemID A]],Katalog!$C$3:$C$12,0))*cadangan3[[#This Row],[Qty A]]</f>
        <v>80000</v>
      </c>
      <c r="L51" s="36">
        <f>IFERROR(cadangan3[[#This Row],[Profit A]]-(cadangan3[[#This Row],[Profit A]]*cadangan3[[#This Row],[Diskon]]),K51)</f>
        <v>68000</v>
      </c>
      <c r="M51" t="s">
        <v>67</v>
      </c>
      <c r="N51" t="str">
        <f>IFERROR(INDEX(Katalog!$A$3:$A$12,MATCH(cadangan3[[#This Row],[ItemID B]],Katalog!$C$3:$C$12,0)),"-")</f>
        <v>Sepatu Wanita</v>
      </c>
      <c r="O51" t="str">
        <f>IFERROR(INDEX(Katalog!$B$3:$B$12,MATCH(cadangan3[[#This Row],[ItemID B]],Katalog!$C$3:$C$12,0)),"-")</f>
        <v>Flat Shoes</v>
      </c>
      <c r="P51">
        <v>3</v>
      </c>
      <c r="Q51">
        <v>5</v>
      </c>
      <c r="R51" s="36">
        <f>IFERROR(INDEX(Katalog!$D$3:$D$12,MATCH(cadangan3[[#This Row],[ItemID B]],Katalog!$C$3:$C$12,0))*cadangan3[[#This Row],[Qty B]],0)</f>
        <v>750000</v>
      </c>
      <c r="S51" s="36">
        <f>IFERROR(INDEX(Katalog!$D$3:$D$12,MATCH(cadangan3[[#This Row],[Item B]],Katalog!$B$3:$B$12,0))*cadangan3[[#This Row],[Qty B]],0)</f>
        <v>750000</v>
      </c>
      <c r="T51" s="36">
        <f>IFERROR(cadangan3[[#This Row],[Harga Asli B]]-(cadangan3[[#This Row],[Harga Asli B]]*cadangan3[[#This Row],[Diskon]]),cadangan3[[#This Row],[Harga Asli B]])</f>
        <v>637500</v>
      </c>
      <c r="U51" s="36">
        <f>IFERROR(INDEX(Katalog!$F$3:$F$12,MATCH(cadangan3[[#This Row],[ItemID B]],Katalog!$C$3:$C$12,0))*cadangan3[[#This Row],[Qty B]],0)</f>
        <v>300000</v>
      </c>
      <c r="V51" s="36">
        <f>IFERROR(cadangan3[[#This Row],[Profit B]]-(cadangan3[[#This Row],[Profit B]]*cadangan3[[#This Row],[Diskon]]),U51)</f>
        <v>255000</v>
      </c>
      <c r="W51" t="s">
        <v>65</v>
      </c>
      <c r="X51" t="str">
        <f>IFERROR(INDEX(Katalog!$A$3:$A$12,MATCH(cadangan3[[#This Row],[ItemID C]],Katalog!$C$3:$C$12,0)),"-")</f>
        <v>Sepatu Pria</v>
      </c>
      <c r="Y51" t="str">
        <f>IFERROR(INDEX(Katalog!$B$3:$B$12,MATCH(cadangan3[[#This Row],[ItemID C]],Katalog!$C$3:$C$12,0)),"-")</f>
        <v>Sneakers</v>
      </c>
      <c r="Z51">
        <v>3</v>
      </c>
      <c r="AA51">
        <v>2</v>
      </c>
      <c r="AB51" s="36">
        <f>IFERROR(INDEX(Katalog!$D$3:$D$12,MATCH(cadangan3[[#This Row],[ItemID C]],Katalog!$C$3:$C$12,0))*cadangan3[[#This Row],[Qty C]],0)</f>
        <v>1500000</v>
      </c>
      <c r="AC51" s="36">
        <f>IFERROR(INDEX(Katalog!$D$3:$D$12,MATCH(cadangan3[[#This Row],[Item C]],Katalog!$B$3:$B$12,0))*cadangan3[[#This Row],[Qty C]],0)</f>
        <v>1500000</v>
      </c>
      <c r="AD51" s="36">
        <f>IFERROR(cadangan3[[#This Row],[Harga Asli C]]-(cadangan3[[#This Row],[Harga Asli C]]*cadangan3[[#This Row],[Diskon]]),cadangan3[[#This Row],[Harga Asli C]])</f>
        <v>1275000</v>
      </c>
      <c r="AE51" s="36">
        <f>IFERROR(INDEX(Katalog!$F$3:$F$12,MATCH(cadangan3[[#This Row],[ItemID C]],Katalog!$C$3:$C$12,0))*cadangan3[[#This Row],[Qty C]],0)</f>
        <v>600000</v>
      </c>
      <c r="AF51" s="36">
        <f>IFERROR(cadangan3[[#This Row],[Profit C]]-(cadangan3[[#This Row],[Profit C]]*cadangan3[[#This Row],[Diskon]]),cadangan3[[#This Row],[Profit C]])</f>
        <v>510000</v>
      </c>
      <c r="AG51" s="21">
        <f>cadangan3[[#This Row],[Qty A]]+cadangan3[[#This Row],[Qty B]]+cadangan3[[#This Row],[Qty C]]</f>
        <v>7</v>
      </c>
      <c r="AH51" s="35">
        <f>cadangan3[[#This Row],[Harga A + Diskon]]+cadangan3[[#This Row],[Harga + Diskon B]]+cadangan3[[#This Row],[Harga + Diskon C]]</f>
        <v>2082500</v>
      </c>
      <c r="AI51" s="35">
        <f>(cadangan3[[#This Row],[Profit A]]+cadangan3[[#This Row],[Profit B]]+cadangan3[[#This Row],[Profit C]])</f>
        <v>980000</v>
      </c>
      <c r="AJ51" s="35">
        <f>cadangan3[[#This Row],[Provit A + Diskon]]+cadangan3[[#This Row],[Provit B + Diskon]]+cadangan3[[#This Row],[Provit C + Diskon]]</f>
        <v>833000</v>
      </c>
      <c r="AK51" s="23" t="s">
        <v>13</v>
      </c>
      <c r="AL51" s="37">
        <f>IFERROR(INDEX('Kode Diskon'!$D$3:$D$9,MATCH(cadangan3[[#This Row],[Kode diskon]],'Kode Diskon'!$C$3:$C$9,0)),"-")</f>
        <v>0.15</v>
      </c>
      <c r="AM51" s="23" t="s">
        <v>29</v>
      </c>
      <c r="AN51" s="23" t="s">
        <v>7</v>
      </c>
      <c r="AO51" s="23" t="s">
        <v>77</v>
      </c>
      <c r="AP51" s="24">
        <v>45019</v>
      </c>
      <c r="AQ51" s="23" t="str">
        <f>TEXT(cadangan3[[#This Row],[Tanggal terjual]],"dddd")</f>
        <v>Monday</v>
      </c>
    </row>
    <row r="52" spans="1:43" x14ac:dyDescent="0.2">
      <c r="A52" s="20">
        <v>51</v>
      </c>
      <c r="B52" s="21" t="str">
        <f>_xlfn.CONCAT("ORD-",INDEX(Helper!$B$2:$B$5,MATCH(cadangan3[[#This Row],[Marketplace]],Helper!$A$2:$A$5,0)),TEXT(cadangan3[[#This Row],[No]],"0000"),"-",TEXT(cadangan3[[#This Row],[Tanggal terjual]],"dd/mm/yy"))</f>
        <v>ORD-BB0051-05/04/23</v>
      </c>
      <c r="C52" t="s">
        <v>59</v>
      </c>
      <c r="D52" t="str">
        <f>IFERROR(INDEX(Katalog!$A$3:$A$12,MATCH(cadangan3[[#This Row],[ItemID A]],Katalog!$C$3:$C$12,0)),"-")</f>
        <v>Pakaian Wanita</v>
      </c>
      <c r="E52" t="str">
        <f>IFERROR(INDEX(Katalog!$B$3:$B$12,MATCH(cadangan3[[#This Row],[ItemID A]],Katalog!$C$3:$C$12,0)),"-")</f>
        <v>Blouse</v>
      </c>
      <c r="F52">
        <v>5</v>
      </c>
      <c r="G52">
        <v>4</v>
      </c>
      <c r="H52" s="36">
        <f>IFERROR(INDEX(Katalog!$D$3:$D$12,MATCH(cadangan3[[#This Row],[ItemID A]],Katalog!$C$3:$C$12,0))*cadangan3[[#This Row],[Qty A]],0)</f>
        <v>750000</v>
      </c>
      <c r="I52" s="36">
        <f>IFERROR(INDEX(Katalog!$D$3:$D$12,MATCH(cadangan3[[#This Row],[Item A]],Katalog!$B$3:$B$12,0))*cadangan3[[#This Row],[Qty A]],0)</f>
        <v>750000</v>
      </c>
      <c r="J52" s="36">
        <f>IFERROR(cadangan3[[#This Row],[Harga Asli A]]-(cadangan3[[#This Row],[Harga Asli A]]*cadangan3[[#This Row],[Diskon]]),cadangan3[[#This Row],[Harga Asli A]])</f>
        <v>637500</v>
      </c>
      <c r="K52" s="36">
        <f>INDEX(Katalog!$F$3:$F$12,MATCH(cadangan3[[#This Row],[ItemID A]],Katalog!$C$3:$C$12,0))*cadangan3[[#This Row],[Qty A]]</f>
        <v>250000</v>
      </c>
      <c r="L52" s="36">
        <f>IFERROR(cadangan3[[#This Row],[Profit A]]-(cadangan3[[#This Row],[Profit A]]*cadangan3[[#This Row],[Diskon]]),K52)</f>
        <v>212500</v>
      </c>
      <c r="M52" t="s">
        <v>65</v>
      </c>
      <c r="N52" t="str">
        <f>IFERROR(INDEX(Katalog!$A$3:$A$12,MATCH(cadangan3[[#This Row],[ItemID B]],Katalog!$C$3:$C$12,0)),"-")</f>
        <v>Sepatu Pria</v>
      </c>
      <c r="O52" t="str">
        <f>IFERROR(INDEX(Katalog!$B$3:$B$12,MATCH(cadangan3[[#This Row],[ItemID B]],Katalog!$C$3:$C$12,0)),"-")</f>
        <v>Sneakers</v>
      </c>
      <c r="P52">
        <v>1</v>
      </c>
      <c r="Q52">
        <v>3</v>
      </c>
      <c r="R52" s="36">
        <f>IFERROR(INDEX(Katalog!$D$3:$D$12,MATCH(cadangan3[[#This Row],[ItemID B]],Katalog!$C$3:$C$12,0))*cadangan3[[#This Row],[Qty B]],0)</f>
        <v>500000</v>
      </c>
      <c r="S52" s="36">
        <f>IFERROR(INDEX(Katalog!$D$3:$D$12,MATCH(cadangan3[[#This Row],[Item B]],Katalog!$B$3:$B$12,0))*cadangan3[[#This Row],[Qty B]],0)</f>
        <v>500000</v>
      </c>
      <c r="T52" s="36">
        <f>IFERROR(cadangan3[[#This Row],[Harga Asli B]]-(cadangan3[[#This Row],[Harga Asli B]]*cadangan3[[#This Row],[Diskon]]),cadangan3[[#This Row],[Harga Asli B]])</f>
        <v>425000</v>
      </c>
      <c r="U52" s="36">
        <f>IFERROR(INDEX(Katalog!$F$3:$F$12,MATCH(cadangan3[[#This Row],[ItemID B]],Katalog!$C$3:$C$12,0))*cadangan3[[#This Row],[Qty B]],0)</f>
        <v>200000</v>
      </c>
      <c r="V52" s="36">
        <f>IFERROR(cadangan3[[#This Row],[Profit B]]-(cadangan3[[#This Row],[Profit B]]*cadangan3[[#This Row],[Diskon]]),U52)</f>
        <v>170000</v>
      </c>
      <c r="X52" t="str">
        <f>IFERROR(INDEX(Katalog!$A$3:$A$12,MATCH(cadangan3[[#This Row],[ItemID C]],Katalog!$C$3:$C$12,0)),"-")</f>
        <v>-</v>
      </c>
      <c r="Y52" t="str">
        <f>IFERROR(INDEX(Katalog!$B$3:$B$12,MATCH(cadangan3[[#This Row],[ItemID C]],Katalog!$C$3:$C$12,0)),"-")</f>
        <v>-</v>
      </c>
      <c r="AB52" s="36">
        <f>IFERROR(INDEX(Katalog!$D$3:$D$12,MATCH(cadangan3[[#This Row],[ItemID C]],Katalog!$C$3:$C$12,0))*cadangan3[[#This Row],[Qty C]],0)</f>
        <v>0</v>
      </c>
      <c r="AC52" s="36">
        <f>IFERROR(INDEX(Katalog!$D$3:$D$12,MATCH(cadangan3[[#This Row],[Item C]],Katalog!$B$3:$B$12,0))*cadangan3[[#This Row],[Qty C]],0)</f>
        <v>0</v>
      </c>
      <c r="AD52" s="36">
        <f>IFERROR(cadangan3[[#This Row],[Harga Asli C]]-(cadangan3[[#This Row],[Harga Asli C]]*cadangan3[[#This Row],[Diskon]]),cadangan3[[#This Row],[Harga Asli C]])</f>
        <v>0</v>
      </c>
      <c r="AE52" s="36">
        <f>IFERROR(INDEX(Katalog!$F$3:$F$12,MATCH(cadangan3[[#This Row],[ItemID C]],Katalog!$C$3:$C$12,0))*cadangan3[[#This Row],[Qty C]],0)</f>
        <v>0</v>
      </c>
      <c r="AF52" s="36">
        <f>IFERROR(cadangan3[[#This Row],[Profit C]]-(cadangan3[[#This Row],[Profit C]]*cadangan3[[#This Row],[Diskon]]),cadangan3[[#This Row],[Profit C]])</f>
        <v>0</v>
      </c>
      <c r="AG52" s="21">
        <f>cadangan3[[#This Row],[Qty A]]+cadangan3[[#This Row],[Qty B]]+cadangan3[[#This Row],[Qty C]]</f>
        <v>6</v>
      </c>
      <c r="AH52" s="35">
        <f>cadangan3[[#This Row],[Harga A + Diskon]]+cadangan3[[#This Row],[Harga + Diskon B]]+cadangan3[[#This Row],[Harga + Diskon C]]</f>
        <v>1062500</v>
      </c>
      <c r="AI52" s="35">
        <f>(cadangan3[[#This Row],[Profit A]]+cadangan3[[#This Row],[Profit B]]+cadangan3[[#This Row],[Profit C]])</f>
        <v>450000</v>
      </c>
      <c r="AJ52" s="35">
        <f>cadangan3[[#This Row],[Provit A + Diskon]]+cadangan3[[#This Row],[Provit B + Diskon]]+cadangan3[[#This Row],[Provit C + Diskon]]</f>
        <v>382500</v>
      </c>
      <c r="AK52" s="23" t="s">
        <v>28</v>
      </c>
      <c r="AL52" s="37">
        <f>IFERROR(INDEX('Kode Diskon'!$D$3:$D$9,MATCH(cadangan3[[#This Row],[Kode diskon]],'Kode Diskon'!$C$3:$C$9,0)),"-")</f>
        <v>0.15</v>
      </c>
      <c r="AM52" s="23" t="s">
        <v>29</v>
      </c>
      <c r="AN52" s="23" t="s">
        <v>14</v>
      </c>
      <c r="AO52" s="23" t="s">
        <v>77</v>
      </c>
      <c r="AP52" s="24">
        <v>45021</v>
      </c>
      <c r="AQ52" s="23" t="str">
        <f>TEXT(cadangan3[[#This Row],[Tanggal terjual]],"dddd")</f>
        <v>Wednesday</v>
      </c>
    </row>
    <row r="53" spans="1:43" x14ac:dyDescent="0.2">
      <c r="A53" s="20">
        <v>52</v>
      </c>
      <c r="B53" s="21" t="str">
        <f>_xlfn.CONCAT("ORD-",INDEX(Helper!$B$2:$B$5,MATCH(cadangan3[[#This Row],[Marketplace]],Helper!$A$2:$A$5,0)),TEXT(cadangan3[[#This Row],[No]],"0000"),"-",TEXT(cadangan3[[#This Row],[Tanggal terjual]],"dd/mm/yy"))</f>
        <v>ORD-BL0052-27/04/23</v>
      </c>
      <c r="C53" t="s">
        <v>66</v>
      </c>
      <c r="D53" t="str">
        <f>IFERROR(INDEX(Katalog!$A$3:$A$12,MATCH(cadangan3[[#This Row],[ItemID A]],Katalog!$C$3:$C$12,0)),"-")</f>
        <v>Sepatu Pria</v>
      </c>
      <c r="E53" t="str">
        <f>IFERROR(INDEX(Katalog!$B$3:$B$12,MATCH(cadangan3[[#This Row],[ItemID A]],Katalog!$C$3:$C$12,0)),"-")</f>
        <v>Sandal Slip On</v>
      </c>
      <c r="F53">
        <v>2</v>
      </c>
      <c r="G53">
        <v>1</v>
      </c>
      <c r="H53" s="36">
        <f>IFERROR(INDEX(Katalog!$D$3:$D$12,MATCH(cadangan3[[#This Row],[ItemID A]],Katalog!$C$3:$C$12,0))*cadangan3[[#This Row],[Qty A]],0)</f>
        <v>300000</v>
      </c>
      <c r="I53" s="36">
        <f>IFERROR(INDEX(Katalog!$D$3:$D$12,MATCH(cadangan3[[#This Row],[Item A]],Katalog!$B$3:$B$12,0))*cadangan3[[#This Row],[Qty A]],0)</f>
        <v>300000</v>
      </c>
      <c r="J53" s="36">
        <f>IFERROR(cadangan3[[#This Row],[Harga Asli A]]-(cadangan3[[#This Row],[Harga Asli A]]*cadangan3[[#This Row],[Diskon]]),cadangan3[[#This Row],[Harga Asli A]])</f>
        <v>255000</v>
      </c>
      <c r="K53" s="36">
        <f>INDEX(Katalog!$F$3:$F$12,MATCH(cadangan3[[#This Row],[ItemID A]],Katalog!$C$3:$C$12,0))*cadangan3[[#This Row],[Qty A]]</f>
        <v>120000</v>
      </c>
      <c r="L53" s="36">
        <f>IFERROR(cadangan3[[#This Row],[Profit A]]-(cadangan3[[#This Row],[Profit A]]*cadangan3[[#This Row],[Diskon]]),K53)</f>
        <v>102000</v>
      </c>
      <c r="M53" t="s">
        <v>65</v>
      </c>
      <c r="N53" t="str">
        <f>IFERROR(INDEX(Katalog!$A$3:$A$12,MATCH(cadangan3[[#This Row],[ItemID B]],Katalog!$C$3:$C$12,0)),"-")</f>
        <v>Sepatu Pria</v>
      </c>
      <c r="O53" t="str">
        <f>IFERROR(INDEX(Katalog!$B$3:$B$12,MATCH(cadangan3[[#This Row],[ItemID B]],Katalog!$C$3:$C$12,0)),"-")</f>
        <v>Sneakers</v>
      </c>
      <c r="P53">
        <v>2</v>
      </c>
      <c r="Q53">
        <v>3</v>
      </c>
      <c r="R53" s="36">
        <f>IFERROR(INDEX(Katalog!$D$3:$D$12,MATCH(cadangan3[[#This Row],[ItemID B]],Katalog!$C$3:$C$12,0))*cadangan3[[#This Row],[Qty B]],0)</f>
        <v>1000000</v>
      </c>
      <c r="S53" s="36">
        <f>IFERROR(INDEX(Katalog!$D$3:$D$12,MATCH(cadangan3[[#This Row],[Item B]],Katalog!$B$3:$B$12,0))*cadangan3[[#This Row],[Qty B]],0)</f>
        <v>1000000</v>
      </c>
      <c r="T53" s="36">
        <f>IFERROR(cadangan3[[#This Row],[Harga Asli B]]-(cadangan3[[#This Row],[Harga Asli B]]*cadangan3[[#This Row],[Diskon]]),cadangan3[[#This Row],[Harga Asli B]])</f>
        <v>850000</v>
      </c>
      <c r="U53" s="36">
        <f>IFERROR(INDEX(Katalog!$F$3:$F$12,MATCH(cadangan3[[#This Row],[ItemID B]],Katalog!$C$3:$C$12,0))*cadangan3[[#This Row],[Qty B]],0)</f>
        <v>400000</v>
      </c>
      <c r="V53" s="36">
        <f>IFERROR(cadangan3[[#This Row],[Profit B]]-(cadangan3[[#This Row],[Profit B]]*cadangan3[[#This Row],[Diskon]]),U53)</f>
        <v>340000</v>
      </c>
      <c r="W53" t="s">
        <v>59</v>
      </c>
      <c r="X53" t="str">
        <f>IFERROR(INDEX(Katalog!$A$3:$A$12,MATCH(cadangan3[[#This Row],[ItemID C]],Katalog!$C$3:$C$12,0)),"-")</f>
        <v>Pakaian Wanita</v>
      </c>
      <c r="Y53" t="str">
        <f>IFERROR(INDEX(Katalog!$B$3:$B$12,MATCH(cadangan3[[#This Row],[ItemID C]],Katalog!$C$3:$C$12,0)),"-")</f>
        <v>Blouse</v>
      </c>
      <c r="Z53">
        <v>1</v>
      </c>
      <c r="AA53">
        <v>5</v>
      </c>
      <c r="AB53" s="36">
        <f>IFERROR(INDEX(Katalog!$D$3:$D$12,MATCH(cadangan3[[#This Row],[ItemID C]],Katalog!$C$3:$C$12,0))*cadangan3[[#This Row],[Qty C]],0)</f>
        <v>150000</v>
      </c>
      <c r="AC53" s="36">
        <f>IFERROR(INDEX(Katalog!$D$3:$D$12,MATCH(cadangan3[[#This Row],[Item C]],Katalog!$B$3:$B$12,0))*cadangan3[[#This Row],[Qty C]],0)</f>
        <v>150000</v>
      </c>
      <c r="AD53" s="36">
        <f>IFERROR(cadangan3[[#This Row],[Harga Asli C]]-(cadangan3[[#This Row],[Harga Asli C]]*cadangan3[[#This Row],[Diskon]]),cadangan3[[#This Row],[Harga Asli C]])</f>
        <v>127500</v>
      </c>
      <c r="AE53" s="36">
        <f>IFERROR(INDEX(Katalog!$F$3:$F$12,MATCH(cadangan3[[#This Row],[ItemID C]],Katalog!$C$3:$C$12,0))*cadangan3[[#This Row],[Qty C]],0)</f>
        <v>50000</v>
      </c>
      <c r="AF53" s="36">
        <f>IFERROR(cadangan3[[#This Row],[Profit C]]-(cadangan3[[#This Row],[Profit C]]*cadangan3[[#This Row],[Diskon]]),cadangan3[[#This Row],[Profit C]])</f>
        <v>42500</v>
      </c>
      <c r="AG53" s="21">
        <f>cadangan3[[#This Row],[Qty A]]+cadangan3[[#This Row],[Qty B]]+cadangan3[[#This Row],[Qty C]]</f>
        <v>5</v>
      </c>
      <c r="AH53" s="35">
        <f>cadangan3[[#This Row],[Harga A + Diskon]]+cadangan3[[#This Row],[Harga + Diskon B]]+cadangan3[[#This Row],[Harga + Diskon C]]</f>
        <v>1232500</v>
      </c>
      <c r="AI53" s="35">
        <f>(cadangan3[[#This Row],[Profit A]]+cadangan3[[#This Row],[Profit B]]+cadangan3[[#This Row],[Profit C]])</f>
        <v>570000</v>
      </c>
      <c r="AJ53" s="35">
        <f>cadangan3[[#This Row],[Provit A + Diskon]]+cadangan3[[#This Row],[Provit B + Diskon]]+cadangan3[[#This Row],[Provit C + Diskon]]</f>
        <v>484500</v>
      </c>
      <c r="AK53" s="23" t="s">
        <v>32</v>
      </c>
      <c r="AL53" s="37">
        <f>IFERROR(INDEX('Kode Diskon'!$D$3:$D$9,MATCH(cadangan3[[#This Row],[Kode diskon]],'Kode Diskon'!$C$3:$C$9,0)),"-")</f>
        <v>0.15</v>
      </c>
      <c r="AM53" s="23" t="s">
        <v>9</v>
      </c>
      <c r="AN53" s="23" t="s">
        <v>12</v>
      </c>
      <c r="AO53" s="23" t="s">
        <v>80</v>
      </c>
      <c r="AP53" s="24">
        <v>45043</v>
      </c>
      <c r="AQ53" s="23" t="str">
        <f>TEXT(cadangan3[[#This Row],[Tanggal terjual]],"dddd")</f>
        <v>Thursday</v>
      </c>
    </row>
    <row r="54" spans="1:43" x14ac:dyDescent="0.2">
      <c r="A54" s="20">
        <v>53</v>
      </c>
      <c r="B54" s="21" t="str">
        <f>_xlfn.CONCAT("ORD-",INDEX(Helper!$B$2:$B$5,MATCH(cadangan3[[#This Row],[Marketplace]],Helper!$A$2:$A$5,0)),TEXT(cadangan3[[#This Row],[No]],"0000"),"-",TEXT(cadangan3[[#This Row],[Tanggal terjual]],"dd/mm/yy"))</f>
        <v>ORD-BB0053-03/04/23</v>
      </c>
      <c r="C54" t="s">
        <v>65</v>
      </c>
      <c r="D54" t="str">
        <f>IFERROR(INDEX(Katalog!$A$3:$A$12,MATCH(cadangan3[[#This Row],[ItemID A]],Katalog!$C$3:$C$12,0)),"-")</f>
        <v>Sepatu Pria</v>
      </c>
      <c r="E54" t="str">
        <f>IFERROR(INDEX(Katalog!$B$3:$B$12,MATCH(cadangan3[[#This Row],[ItemID A]],Katalog!$C$3:$C$12,0)),"-")</f>
        <v>Sneakers</v>
      </c>
      <c r="F54">
        <v>2</v>
      </c>
      <c r="G54">
        <v>1</v>
      </c>
      <c r="H54" s="36">
        <f>IFERROR(INDEX(Katalog!$D$3:$D$12,MATCH(cadangan3[[#This Row],[ItemID A]],Katalog!$C$3:$C$12,0))*cadangan3[[#This Row],[Qty A]],0)</f>
        <v>1000000</v>
      </c>
      <c r="I54" s="36">
        <f>IFERROR(INDEX(Katalog!$D$3:$D$12,MATCH(cadangan3[[#This Row],[Item A]],Katalog!$B$3:$B$12,0))*cadangan3[[#This Row],[Qty A]],0)</f>
        <v>1000000</v>
      </c>
      <c r="J54" s="36">
        <f>IFERROR(cadangan3[[#This Row],[Harga Asli A]]-(cadangan3[[#This Row],[Harga Asli A]]*cadangan3[[#This Row],[Diskon]]),cadangan3[[#This Row],[Harga Asli A]])</f>
        <v>850000</v>
      </c>
      <c r="K54" s="36">
        <f>INDEX(Katalog!$F$3:$F$12,MATCH(cadangan3[[#This Row],[ItemID A]],Katalog!$C$3:$C$12,0))*cadangan3[[#This Row],[Qty A]]</f>
        <v>400000</v>
      </c>
      <c r="L54" s="36">
        <f>IFERROR(cadangan3[[#This Row],[Profit A]]-(cadangan3[[#This Row],[Profit A]]*cadangan3[[#This Row],[Diskon]]),K54)</f>
        <v>340000</v>
      </c>
      <c r="M54" t="s">
        <v>64</v>
      </c>
      <c r="N54" t="str">
        <f>IFERROR(INDEX(Katalog!$A$3:$A$12,MATCH(cadangan3[[#This Row],[ItemID B]],Katalog!$C$3:$C$12,0)),"-")</f>
        <v>Pakaian Unisex</v>
      </c>
      <c r="O54" t="str">
        <f>IFERROR(INDEX(Katalog!$B$3:$B$12,MATCH(cadangan3[[#This Row],[ItemID B]],Katalog!$C$3:$C$12,0)),"-")</f>
        <v>Jaket Hoodie</v>
      </c>
      <c r="P54">
        <v>1</v>
      </c>
      <c r="Q54">
        <v>1</v>
      </c>
      <c r="R54" s="36">
        <f>IFERROR(INDEX(Katalog!$D$3:$D$12,MATCH(cadangan3[[#This Row],[ItemID B]],Katalog!$C$3:$C$12,0))*cadangan3[[#This Row],[Qty B]],0)</f>
        <v>350000</v>
      </c>
      <c r="S54" s="36">
        <f>IFERROR(INDEX(Katalog!$D$3:$D$12,MATCH(cadangan3[[#This Row],[Item B]],Katalog!$B$3:$B$12,0))*cadangan3[[#This Row],[Qty B]],0)</f>
        <v>350000</v>
      </c>
      <c r="T54" s="36">
        <f>IFERROR(cadangan3[[#This Row],[Harga Asli B]]-(cadangan3[[#This Row],[Harga Asli B]]*cadangan3[[#This Row],[Diskon]]),cadangan3[[#This Row],[Harga Asli B]])</f>
        <v>297500</v>
      </c>
      <c r="U54" s="36">
        <f>IFERROR(INDEX(Katalog!$F$3:$F$12,MATCH(cadangan3[[#This Row],[ItemID B]],Katalog!$C$3:$C$12,0))*cadangan3[[#This Row],[Qty B]],0)</f>
        <v>130000</v>
      </c>
      <c r="V54" s="36">
        <f>IFERROR(cadangan3[[#This Row],[Profit B]]-(cadangan3[[#This Row],[Profit B]]*cadangan3[[#This Row],[Diskon]]),U54)</f>
        <v>110500</v>
      </c>
      <c r="X54" t="str">
        <f>IFERROR(INDEX(Katalog!$A$3:$A$12,MATCH(cadangan3[[#This Row],[ItemID C]],Katalog!$C$3:$C$12,0)),"-")</f>
        <v>-</v>
      </c>
      <c r="Y54" t="str">
        <f>IFERROR(INDEX(Katalog!$B$3:$B$12,MATCH(cadangan3[[#This Row],[ItemID C]],Katalog!$C$3:$C$12,0)),"-")</f>
        <v>-</v>
      </c>
      <c r="AB54" s="36">
        <f>IFERROR(INDEX(Katalog!$D$3:$D$12,MATCH(cadangan3[[#This Row],[ItemID C]],Katalog!$C$3:$C$12,0))*cadangan3[[#This Row],[Qty C]],0)</f>
        <v>0</v>
      </c>
      <c r="AC54" s="36">
        <f>IFERROR(INDEX(Katalog!$D$3:$D$12,MATCH(cadangan3[[#This Row],[Item C]],Katalog!$B$3:$B$12,0))*cadangan3[[#This Row],[Qty C]],0)</f>
        <v>0</v>
      </c>
      <c r="AD54" s="36">
        <f>IFERROR(cadangan3[[#This Row],[Harga Asli C]]-(cadangan3[[#This Row],[Harga Asli C]]*cadangan3[[#This Row],[Diskon]]),cadangan3[[#This Row],[Harga Asli C]])</f>
        <v>0</v>
      </c>
      <c r="AE54" s="36">
        <f>IFERROR(INDEX(Katalog!$F$3:$F$12,MATCH(cadangan3[[#This Row],[ItemID C]],Katalog!$C$3:$C$12,0))*cadangan3[[#This Row],[Qty C]],0)</f>
        <v>0</v>
      </c>
      <c r="AF54" s="36">
        <f>IFERROR(cadangan3[[#This Row],[Profit C]]-(cadangan3[[#This Row],[Profit C]]*cadangan3[[#This Row],[Diskon]]),cadangan3[[#This Row],[Profit C]])</f>
        <v>0</v>
      </c>
      <c r="AG54" s="21">
        <f>cadangan3[[#This Row],[Qty A]]+cadangan3[[#This Row],[Qty B]]+cadangan3[[#This Row],[Qty C]]</f>
        <v>3</v>
      </c>
      <c r="AH54" s="35">
        <f>cadangan3[[#This Row],[Harga A + Diskon]]+cadangan3[[#This Row],[Harga + Diskon B]]+cadangan3[[#This Row],[Harga + Diskon C]]</f>
        <v>1147500</v>
      </c>
      <c r="AI54" s="35">
        <f>(cadangan3[[#This Row],[Profit A]]+cadangan3[[#This Row],[Profit B]]+cadangan3[[#This Row],[Profit C]])</f>
        <v>530000</v>
      </c>
      <c r="AJ54" s="35">
        <f>cadangan3[[#This Row],[Provit A + Diskon]]+cadangan3[[#This Row],[Provit B + Diskon]]+cadangan3[[#This Row],[Provit C + Diskon]]</f>
        <v>450500</v>
      </c>
      <c r="AK54" s="23" t="s">
        <v>28</v>
      </c>
      <c r="AL54" s="37">
        <f>IFERROR(INDEX('Kode Diskon'!$D$3:$D$9,MATCH(cadangan3[[#This Row],[Kode diskon]],'Kode Diskon'!$C$3:$C$9,0)),"-")</f>
        <v>0.15</v>
      </c>
      <c r="AM54" s="23" t="s">
        <v>29</v>
      </c>
      <c r="AN54" s="23" t="s">
        <v>14</v>
      </c>
      <c r="AO54" s="23" t="s">
        <v>80</v>
      </c>
      <c r="AP54" s="24">
        <v>45019</v>
      </c>
      <c r="AQ54" s="23" t="str">
        <f>TEXT(cadangan3[[#This Row],[Tanggal terjual]],"dddd")</f>
        <v>Monday</v>
      </c>
    </row>
    <row r="55" spans="1:43" x14ac:dyDescent="0.2">
      <c r="A55" s="20">
        <v>54</v>
      </c>
      <c r="B55" s="21" t="str">
        <f>_xlfn.CONCAT("ORD-",INDEX(Helper!$B$2:$B$5,MATCH(cadangan3[[#This Row],[Marketplace]],Helper!$A$2:$A$5,0)),TEXT(cadangan3[[#This Row],[No]],"0000"),"-",TEXT(cadangan3[[#This Row],[Tanggal terjual]],"dd/mm/yy"))</f>
        <v>ORD-SP0054-03/04/23</v>
      </c>
      <c r="C55" t="s">
        <v>58</v>
      </c>
      <c r="D55" t="str">
        <f>IFERROR(INDEX(Katalog!$A$3:$A$12,MATCH(cadangan3[[#This Row],[ItemID A]],Katalog!$C$3:$C$12,0)),"-")</f>
        <v>Pakaian Wanita</v>
      </c>
      <c r="E55" t="str">
        <f>IFERROR(INDEX(Katalog!$B$3:$B$12,MATCH(cadangan3[[#This Row],[ItemID A]],Katalog!$C$3:$C$12,0)),"-")</f>
        <v>Dress</v>
      </c>
      <c r="F55">
        <v>1</v>
      </c>
      <c r="G55">
        <v>1</v>
      </c>
      <c r="H55" s="36">
        <f>IFERROR(INDEX(Katalog!$D$3:$D$12,MATCH(cadangan3[[#This Row],[ItemID A]],Katalog!$C$3:$C$12,0))*cadangan3[[#This Row],[Qty A]],0)</f>
        <v>300000</v>
      </c>
      <c r="I55" s="36">
        <f>IFERROR(INDEX(Katalog!$D$3:$D$12,MATCH(cadangan3[[#This Row],[Item A]],Katalog!$B$3:$B$12,0))*cadangan3[[#This Row],[Qty A]],0)</f>
        <v>300000</v>
      </c>
      <c r="J55" s="36">
        <f>IFERROR(cadangan3[[#This Row],[Harga Asli A]]-(cadangan3[[#This Row],[Harga Asli A]]*cadangan3[[#This Row],[Diskon]]),cadangan3[[#This Row],[Harga Asli A]])</f>
        <v>255000</v>
      </c>
      <c r="K55" s="36">
        <f>INDEX(Katalog!$F$3:$F$12,MATCH(cadangan3[[#This Row],[ItemID A]],Katalog!$C$3:$C$12,0))*cadangan3[[#This Row],[Qty A]]</f>
        <v>100000</v>
      </c>
      <c r="L55" s="36">
        <f>IFERROR(cadangan3[[#This Row],[Profit A]]-(cadangan3[[#This Row],[Profit A]]*cadangan3[[#This Row],[Diskon]]),K55)</f>
        <v>85000</v>
      </c>
      <c r="M55" t="s">
        <v>66</v>
      </c>
      <c r="N55" t="str">
        <f>IFERROR(INDEX(Katalog!$A$3:$A$12,MATCH(cadangan3[[#This Row],[ItemID B]],Katalog!$C$3:$C$12,0)),"-")</f>
        <v>Sepatu Pria</v>
      </c>
      <c r="O55" t="str">
        <f>IFERROR(INDEX(Katalog!$B$3:$B$12,MATCH(cadangan3[[#This Row],[ItemID B]],Katalog!$C$3:$C$12,0)),"-")</f>
        <v>Sandal Slip On</v>
      </c>
      <c r="P55">
        <v>5</v>
      </c>
      <c r="Q55">
        <v>5</v>
      </c>
      <c r="R55" s="36">
        <f>IFERROR(INDEX(Katalog!$D$3:$D$12,MATCH(cadangan3[[#This Row],[ItemID B]],Katalog!$C$3:$C$12,0))*cadangan3[[#This Row],[Qty B]],0)</f>
        <v>750000</v>
      </c>
      <c r="S55" s="36">
        <f>IFERROR(INDEX(Katalog!$D$3:$D$12,MATCH(cadangan3[[#This Row],[Item B]],Katalog!$B$3:$B$12,0))*cadangan3[[#This Row],[Qty B]],0)</f>
        <v>750000</v>
      </c>
      <c r="T55" s="36">
        <f>IFERROR(cadangan3[[#This Row],[Harga Asli B]]-(cadangan3[[#This Row],[Harga Asli B]]*cadangan3[[#This Row],[Diskon]]),cadangan3[[#This Row],[Harga Asli B]])</f>
        <v>637500</v>
      </c>
      <c r="U55" s="36">
        <f>IFERROR(INDEX(Katalog!$F$3:$F$12,MATCH(cadangan3[[#This Row],[ItemID B]],Katalog!$C$3:$C$12,0))*cadangan3[[#This Row],[Qty B]],0)</f>
        <v>300000</v>
      </c>
      <c r="V55" s="36">
        <f>IFERROR(cadangan3[[#This Row],[Profit B]]-(cadangan3[[#This Row],[Profit B]]*cadangan3[[#This Row],[Diskon]]),U55)</f>
        <v>255000</v>
      </c>
      <c r="X55" t="str">
        <f>IFERROR(INDEX(Katalog!$A$3:$A$12,MATCH(cadangan3[[#This Row],[ItemID C]],Katalog!$C$3:$C$12,0)),"-")</f>
        <v>-</v>
      </c>
      <c r="Y55" t="str">
        <f>IFERROR(INDEX(Katalog!$B$3:$B$12,MATCH(cadangan3[[#This Row],[ItemID C]],Katalog!$C$3:$C$12,0)),"-")</f>
        <v>-</v>
      </c>
      <c r="AB55" s="36">
        <f>IFERROR(INDEX(Katalog!$D$3:$D$12,MATCH(cadangan3[[#This Row],[ItemID C]],Katalog!$C$3:$C$12,0))*cadangan3[[#This Row],[Qty C]],0)</f>
        <v>0</v>
      </c>
      <c r="AC55" s="36">
        <f>IFERROR(INDEX(Katalog!$D$3:$D$12,MATCH(cadangan3[[#This Row],[Item C]],Katalog!$B$3:$B$12,0))*cadangan3[[#This Row],[Qty C]],0)</f>
        <v>0</v>
      </c>
      <c r="AD55" s="36">
        <f>IFERROR(cadangan3[[#This Row],[Harga Asli C]]-(cadangan3[[#This Row],[Harga Asli C]]*cadangan3[[#This Row],[Diskon]]),cadangan3[[#This Row],[Harga Asli C]])</f>
        <v>0</v>
      </c>
      <c r="AE55" s="36">
        <f>IFERROR(INDEX(Katalog!$F$3:$F$12,MATCH(cadangan3[[#This Row],[ItemID C]],Katalog!$C$3:$C$12,0))*cadangan3[[#This Row],[Qty C]],0)</f>
        <v>0</v>
      </c>
      <c r="AF55" s="36">
        <f>IFERROR(cadangan3[[#This Row],[Profit C]]-(cadangan3[[#This Row],[Profit C]]*cadangan3[[#This Row],[Diskon]]),cadangan3[[#This Row],[Profit C]])</f>
        <v>0</v>
      </c>
      <c r="AG55" s="21">
        <f>cadangan3[[#This Row],[Qty A]]+cadangan3[[#This Row],[Qty B]]+cadangan3[[#This Row],[Qty C]]</f>
        <v>6</v>
      </c>
      <c r="AH55" s="35">
        <f>cadangan3[[#This Row],[Harga A + Diskon]]+cadangan3[[#This Row],[Harga + Diskon B]]+cadangan3[[#This Row],[Harga + Diskon C]]</f>
        <v>892500</v>
      </c>
      <c r="AI55" s="35">
        <f>(cadangan3[[#This Row],[Profit A]]+cadangan3[[#This Row],[Profit B]]+cadangan3[[#This Row],[Profit C]])</f>
        <v>400000</v>
      </c>
      <c r="AJ55" s="35">
        <f>cadangan3[[#This Row],[Provit A + Diskon]]+cadangan3[[#This Row],[Provit B + Diskon]]+cadangan3[[#This Row],[Provit C + Diskon]]</f>
        <v>340000</v>
      </c>
      <c r="AK55" s="23" t="s">
        <v>13</v>
      </c>
      <c r="AL55" s="37">
        <f>IFERROR(INDEX('Kode Diskon'!$D$3:$D$9,MATCH(cadangan3[[#This Row],[Kode diskon]],'Kode Diskon'!$C$3:$C$9,0)),"-")</f>
        <v>0.15</v>
      </c>
      <c r="AM55" s="23" t="s">
        <v>29</v>
      </c>
      <c r="AN55" s="23" t="s">
        <v>7</v>
      </c>
      <c r="AO55" s="23" t="s">
        <v>79</v>
      </c>
      <c r="AP55" s="24">
        <v>45019</v>
      </c>
      <c r="AQ55" s="23" t="str">
        <f>TEXT(cadangan3[[#This Row],[Tanggal terjual]],"dddd")</f>
        <v>Monday</v>
      </c>
    </row>
    <row r="56" spans="1:43" x14ac:dyDescent="0.2">
      <c r="A56" s="20">
        <v>55</v>
      </c>
      <c r="B56" s="21" t="str">
        <f>_xlfn.CONCAT("ORD-",INDEX(Helper!$B$2:$B$5,MATCH(cadangan3[[#This Row],[Marketplace]],Helper!$A$2:$A$5,0)),TEXT(cadangan3[[#This Row],[No]],"0000"),"-",TEXT(cadangan3[[#This Row],[Tanggal terjual]],"dd/mm/yy"))</f>
        <v>ORD-SP0055-05/04/23</v>
      </c>
      <c r="C56" t="s">
        <v>65</v>
      </c>
      <c r="D56" t="str">
        <f>IFERROR(INDEX(Katalog!$A$3:$A$12,MATCH(cadangan3[[#This Row],[ItemID A]],Katalog!$C$3:$C$12,0)),"-")</f>
        <v>Sepatu Pria</v>
      </c>
      <c r="E56" t="str">
        <f>IFERROR(INDEX(Katalog!$B$3:$B$12,MATCH(cadangan3[[#This Row],[ItemID A]],Katalog!$C$3:$C$12,0)),"-")</f>
        <v>Sneakers</v>
      </c>
      <c r="F56">
        <v>2</v>
      </c>
      <c r="G56">
        <v>1</v>
      </c>
      <c r="H56" s="36">
        <f>IFERROR(INDEX(Katalog!$D$3:$D$12,MATCH(cadangan3[[#This Row],[ItemID A]],Katalog!$C$3:$C$12,0))*cadangan3[[#This Row],[Qty A]],0)</f>
        <v>1000000</v>
      </c>
      <c r="I56" s="36">
        <f>IFERROR(INDEX(Katalog!$D$3:$D$12,MATCH(cadangan3[[#This Row],[Item A]],Katalog!$B$3:$B$12,0))*cadangan3[[#This Row],[Qty A]],0)</f>
        <v>1000000</v>
      </c>
      <c r="J56" s="36">
        <f>IFERROR(cadangan3[[#This Row],[Harga Asli A]]-(cadangan3[[#This Row],[Harga Asli A]]*cadangan3[[#This Row],[Diskon]]),cadangan3[[#This Row],[Harga Asli A]])</f>
        <v>900000</v>
      </c>
      <c r="K56" s="36">
        <f>INDEX(Katalog!$F$3:$F$12,MATCH(cadangan3[[#This Row],[ItemID A]],Katalog!$C$3:$C$12,0))*cadangan3[[#This Row],[Qty A]]</f>
        <v>400000</v>
      </c>
      <c r="L56" s="36">
        <f>IFERROR(cadangan3[[#This Row],[Profit A]]-(cadangan3[[#This Row],[Profit A]]*cadangan3[[#This Row],[Diskon]]),K56)</f>
        <v>360000</v>
      </c>
      <c r="N56" t="str">
        <f>IFERROR(INDEX(Katalog!$A$3:$A$12,MATCH(cadangan3[[#This Row],[ItemID B]],Katalog!$C$3:$C$12,0)),"-")</f>
        <v>-</v>
      </c>
      <c r="O56" t="str">
        <f>IFERROR(INDEX(Katalog!$B$3:$B$12,MATCH(cadangan3[[#This Row],[ItemID B]],Katalog!$C$3:$C$12,0)),"-")</f>
        <v>-</v>
      </c>
      <c r="R56" s="36">
        <f>IFERROR(INDEX(Katalog!$D$3:$D$12,MATCH(cadangan3[[#This Row],[ItemID B]],Katalog!$C$3:$C$12,0))*cadangan3[[#This Row],[Qty B]],0)</f>
        <v>0</v>
      </c>
      <c r="S56" s="36">
        <f>IFERROR(INDEX(Katalog!$D$3:$D$12,MATCH(cadangan3[[#This Row],[Item B]],Katalog!$B$3:$B$12,0))*cadangan3[[#This Row],[Qty B]],0)</f>
        <v>0</v>
      </c>
      <c r="T56" s="36">
        <f>IFERROR(cadangan3[[#This Row],[Harga Asli B]]-(cadangan3[[#This Row],[Harga Asli B]]*cadangan3[[#This Row],[Diskon]]),cadangan3[[#This Row],[Harga Asli B]])</f>
        <v>0</v>
      </c>
      <c r="U56" s="36">
        <f>IFERROR(INDEX(Katalog!$F$3:$F$12,MATCH(cadangan3[[#This Row],[ItemID B]],Katalog!$C$3:$C$12,0))*cadangan3[[#This Row],[Qty B]],0)</f>
        <v>0</v>
      </c>
      <c r="V56" s="36">
        <f>IFERROR(cadangan3[[#This Row],[Profit B]]-(cadangan3[[#This Row],[Profit B]]*cadangan3[[#This Row],[Diskon]]),U56)</f>
        <v>0</v>
      </c>
      <c r="X56" t="str">
        <f>IFERROR(INDEX(Katalog!$A$3:$A$12,MATCH(cadangan3[[#This Row],[ItemID C]],Katalog!$C$3:$C$12,0)),"-")</f>
        <v>-</v>
      </c>
      <c r="Y56" t="str">
        <f>IFERROR(INDEX(Katalog!$B$3:$B$12,MATCH(cadangan3[[#This Row],[ItemID C]],Katalog!$C$3:$C$12,0)),"-")</f>
        <v>-</v>
      </c>
      <c r="AB56" s="36">
        <f>IFERROR(INDEX(Katalog!$D$3:$D$12,MATCH(cadangan3[[#This Row],[ItemID C]],Katalog!$C$3:$C$12,0))*cadangan3[[#This Row],[Qty C]],0)</f>
        <v>0</v>
      </c>
      <c r="AC56" s="36">
        <f>IFERROR(INDEX(Katalog!$D$3:$D$12,MATCH(cadangan3[[#This Row],[Item C]],Katalog!$B$3:$B$12,0))*cadangan3[[#This Row],[Qty C]],0)</f>
        <v>0</v>
      </c>
      <c r="AD56" s="36">
        <f>IFERROR(cadangan3[[#This Row],[Harga Asli C]]-(cadangan3[[#This Row],[Harga Asli C]]*cadangan3[[#This Row],[Diskon]]),cadangan3[[#This Row],[Harga Asli C]])</f>
        <v>0</v>
      </c>
      <c r="AE56" s="36">
        <f>IFERROR(INDEX(Katalog!$F$3:$F$12,MATCH(cadangan3[[#This Row],[ItemID C]],Katalog!$C$3:$C$12,0))*cadangan3[[#This Row],[Qty C]],0)</f>
        <v>0</v>
      </c>
      <c r="AF56" s="36">
        <f>IFERROR(cadangan3[[#This Row],[Profit C]]-(cadangan3[[#This Row],[Profit C]]*cadangan3[[#This Row],[Diskon]]),cadangan3[[#This Row],[Profit C]])</f>
        <v>0</v>
      </c>
      <c r="AG56" s="21">
        <f>cadangan3[[#This Row],[Qty A]]+cadangan3[[#This Row],[Qty B]]+cadangan3[[#This Row],[Qty C]]</f>
        <v>2</v>
      </c>
      <c r="AH56" s="35">
        <f>cadangan3[[#This Row],[Harga A + Diskon]]+cadangan3[[#This Row],[Harga + Diskon B]]+cadangan3[[#This Row],[Harga + Diskon C]]</f>
        <v>900000</v>
      </c>
      <c r="AI56" s="35">
        <f>(cadangan3[[#This Row],[Profit A]]+cadangan3[[#This Row],[Profit B]]+cadangan3[[#This Row],[Profit C]])</f>
        <v>400000</v>
      </c>
      <c r="AJ56" s="35">
        <f>cadangan3[[#This Row],[Provit A + Diskon]]+cadangan3[[#This Row],[Provit B + Diskon]]+cadangan3[[#This Row],[Provit C + Diskon]]</f>
        <v>360000</v>
      </c>
      <c r="AK56" s="23" t="s">
        <v>6</v>
      </c>
      <c r="AL56" s="37">
        <f>IFERROR(INDEX('Kode Diskon'!$D$3:$D$9,MATCH(cadangan3[[#This Row],[Kode diskon]],'Kode Diskon'!$C$3:$C$9,0)),"-")</f>
        <v>0.1</v>
      </c>
      <c r="AM56" s="23" t="s">
        <v>29</v>
      </c>
      <c r="AN56" s="23" t="s">
        <v>7</v>
      </c>
      <c r="AO56" s="23" t="s">
        <v>80</v>
      </c>
      <c r="AP56" s="24">
        <v>45021</v>
      </c>
      <c r="AQ56" s="23" t="str">
        <f>TEXT(cadangan3[[#This Row],[Tanggal terjual]],"dddd")</f>
        <v>Wednesday</v>
      </c>
    </row>
    <row r="57" spans="1:43" x14ac:dyDescent="0.2">
      <c r="A57" s="20">
        <v>56</v>
      </c>
      <c r="B57" s="21" t="str">
        <f>_xlfn.CONCAT("ORD-",INDEX(Helper!$B$2:$B$5,MATCH(cadangan3[[#This Row],[Marketplace]],Helper!$A$2:$A$5,0)),TEXT(cadangan3[[#This Row],[No]],"0000"),"-",TEXT(cadangan3[[#This Row],[Tanggal terjual]],"dd/mm/yy"))</f>
        <v>ORD-BB0056-06/04/23</v>
      </c>
      <c r="C57" t="s">
        <v>62</v>
      </c>
      <c r="D57" t="str">
        <f>IFERROR(INDEX(Katalog!$A$3:$A$12,MATCH(cadangan3[[#This Row],[ItemID A]],Katalog!$C$3:$C$12,0)),"-")</f>
        <v>Pakaian Pria</v>
      </c>
      <c r="E57" t="str">
        <f>IFERROR(INDEX(Katalog!$B$3:$B$12,MATCH(cadangan3[[#This Row],[ItemID A]],Katalog!$C$3:$C$12,0)),"-")</f>
        <v>Celana Pendek</v>
      </c>
      <c r="F57">
        <v>1</v>
      </c>
      <c r="G57">
        <v>5</v>
      </c>
      <c r="H57" s="36">
        <f>IFERROR(INDEX(Katalog!$D$3:$D$12,MATCH(cadangan3[[#This Row],[ItemID A]],Katalog!$C$3:$C$12,0))*cadangan3[[#This Row],[Qty A]],0)</f>
        <v>180000</v>
      </c>
      <c r="I57" s="36">
        <f>IFERROR(INDEX(Katalog!$D$3:$D$12,MATCH(cadangan3[[#This Row],[Item A]],Katalog!$B$3:$B$12,0))*cadangan3[[#This Row],[Qty A]],0)</f>
        <v>180000</v>
      </c>
      <c r="J57" s="36">
        <f>IFERROR(cadangan3[[#This Row],[Harga Asli A]]-(cadangan3[[#This Row],[Harga Asli A]]*cadangan3[[#This Row],[Diskon]]),cadangan3[[#This Row],[Harga Asli A]])</f>
        <v>153000</v>
      </c>
      <c r="K57" s="36">
        <f>INDEX(Katalog!$F$3:$F$12,MATCH(cadangan3[[#This Row],[ItemID A]],Katalog!$C$3:$C$12,0))*cadangan3[[#This Row],[Qty A]]</f>
        <v>70000</v>
      </c>
      <c r="L57" s="36">
        <f>IFERROR(cadangan3[[#This Row],[Profit A]]-(cadangan3[[#This Row],[Profit A]]*cadangan3[[#This Row],[Diskon]]),K57)</f>
        <v>59500</v>
      </c>
      <c r="M57" t="s">
        <v>64</v>
      </c>
      <c r="N57" t="str">
        <f>IFERROR(INDEX(Katalog!$A$3:$A$12,MATCH(cadangan3[[#This Row],[ItemID B]],Katalog!$C$3:$C$12,0)),"-")</f>
        <v>Pakaian Unisex</v>
      </c>
      <c r="O57" t="str">
        <f>IFERROR(INDEX(Katalog!$B$3:$B$12,MATCH(cadangan3[[#This Row],[ItemID B]],Katalog!$C$3:$C$12,0)),"-")</f>
        <v>Jaket Hoodie</v>
      </c>
      <c r="P57">
        <v>1</v>
      </c>
      <c r="Q57">
        <v>5</v>
      </c>
      <c r="R57" s="36">
        <f>IFERROR(INDEX(Katalog!$D$3:$D$12,MATCH(cadangan3[[#This Row],[ItemID B]],Katalog!$C$3:$C$12,0))*cadangan3[[#This Row],[Qty B]],0)</f>
        <v>350000</v>
      </c>
      <c r="S57" s="36">
        <f>IFERROR(INDEX(Katalog!$D$3:$D$12,MATCH(cadangan3[[#This Row],[Item B]],Katalog!$B$3:$B$12,0))*cadangan3[[#This Row],[Qty B]],0)</f>
        <v>350000</v>
      </c>
      <c r="T57" s="36">
        <f>IFERROR(cadangan3[[#This Row],[Harga Asli B]]-(cadangan3[[#This Row],[Harga Asli B]]*cadangan3[[#This Row],[Diskon]]),cadangan3[[#This Row],[Harga Asli B]])</f>
        <v>297500</v>
      </c>
      <c r="U57" s="36">
        <f>IFERROR(INDEX(Katalog!$F$3:$F$12,MATCH(cadangan3[[#This Row],[ItemID B]],Katalog!$C$3:$C$12,0))*cadangan3[[#This Row],[Qty B]],0)</f>
        <v>130000</v>
      </c>
      <c r="V57" s="36">
        <f>IFERROR(cadangan3[[#This Row],[Profit B]]-(cadangan3[[#This Row],[Profit B]]*cadangan3[[#This Row],[Diskon]]),U57)</f>
        <v>110500</v>
      </c>
      <c r="X57" t="str">
        <f>IFERROR(INDEX(Katalog!$A$3:$A$12,MATCH(cadangan3[[#This Row],[ItemID C]],Katalog!$C$3:$C$12,0)),"-")</f>
        <v>-</v>
      </c>
      <c r="Y57" t="str">
        <f>IFERROR(INDEX(Katalog!$B$3:$B$12,MATCH(cadangan3[[#This Row],[ItemID C]],Katalog!$C$3:$C$12,0)),"-")</f>
        <v>-</v>
      </c>
      <c r="AB57" s="36">
        <f>IFERROR(INDEX(Katalog!$D$3:$D$12,MATCH(cadangan3[[#This Row],[ItemID C]],Katalog!$C$3:$C$12,0))*cadangan3[[#This Row],[Qty C]],0)</f>
        <v>0</v>
      </c>
      <c r="AC57" s="36">
        <f>IFERROR(INDEX(Katalog!$D$3:$D$12,MATCH(cadangan3[[#This Row],[Item C]],Katalog!$B$3:$B$12,0))*cadangan3[[#This Row],[Qty C]],0)</f>
        <v>0</v>
      </c>
      <c r="AD57" s="36">
        <f>IFERROR(cadangan3[[#This Row],[Harga Asli C]]-(cadangan3[[#This Row],[Harga Asli C]]*cadangan3[[#This Row],[Diskon]]),cadangan3[[#This Row],[Harga Asli C]])</f>
        <v>0</v>
      </c>
      <c r="AE57" s="36">
        <f>IFERROR(INDEX(Katalog!$F$3:$F$12,MATCH(cadangan3[[#This Row],[ItemID C]],Katalog!$C$3:$C$12,0))*cadangan3[[#This Row],[Qty C]],0)</f>
        <v>0</v>
      </c>
      <c r="AF57" s="36">
        <f>IFERROR(cadangan3[[#This Row],[Profit C]]-(cadangan3[[#This Row],[Profit C]]*cadangan3[[#This Row],[Diskon]]),cadangan3[[#This Row],[Profit C]])</f>
        <v>0</v>
      </c>
      <c r="AG57" s="21">
        <f>cadangan3[[#This Row],[Qty A]]+cadangan3[[#This Row],[Qty B]]+cadangan3[[#This Row],[Qty C]]</f>
        <v>2</v>
      </c>
      <c r="AH57" s="35">
        <f>cadangan3[[#This Row],[Harga A + Diskon]]+cadangan3[[#This Row],[Harga + Diskon B]]+cadangan3[[#This Row],[Harga + Diskon C]]</f>
        <v>450500</v>
      </c>
      <c r="AI57" s="35">
        <f>(cadangan3[[#This Row],[Profit A]]+cadangan3[[#This Row],[Profit B]]+cadangan3[[#This Row],[Profit C]])</f>
        <v>200000</v>
      </c>
      <c r="AJ57" s="35">
        <f>cadangan3[[#This Row],[Provit A + Diskon]]+cadangan3[[#This Row],[Provit B + Diskon]]+cadangan3[[#This Row],[Provit C + Diskon]]</f>
        <v>170000</v>
      </c>
      <c r="AK57" s="23" t="s">
        <v>28</v>
      </c>
      <c r="AL57" s="37">
        <f>IFERROR(INDEX('Kode Diskon'!$D$3:$D$9,MATCH(cadangan3[[#This Row],[Kode diskon]],'Kode Diskon'!$C$3:$C$9,0)),"-")</f>
        <v>0.15</v>
      </c>
      <c r="AM57" s="23" t="s">
        <v>29</v>
      </c>
      <c r="AN57" s="23" t="s">
        <v>14</v>
      </c>
      <c r="AO57" s="23" t="s">
        <v>76</v>
      </c>
      <c r="AP57" s="24">
        <v>45022</v>
      </c>
      <c r="AQ57" s="23" t="str">
        <f>TEXT(cadangan3[[#This Row],[Tanggal terjual]],"dddd")</f>
        <v>Thursday</v>
      </c>
    </row>
    <row r="58" spans="1:43" x14ac:dyDescent="0.2">
      <c r="A58" s="20">
        <v>57</v>
      </c>
      <c r="B58" s="21" t="str">
        <f>_xlfn.CONCAT("ORD-",INDEX(Helper!$B$2:$B$5,MATCH(cadangan3[[#This Row],[Marketplace]],Helper!$A$2:$A$5,0)),TEXT(cadangan3[[#This Row],[No]],"0000"),"-",TEXT(cadangan3[[#This Row],[Tanggal terjual]],"dd/mm/yy"))</f>
        <v>ORD-SP0057-05/04/23</v>
      </c>
      <c r="C58" t="s">
        <v>67</v>
      </c>
      <c r="D58" t="str">
        <f>IFERROR(INDEX(Katalog!$A$3:$A$12,MATCH(cadangan3[[#This Row],[ItemID A]],Katalog!$C$3:$C$12,0)),"-")</f>
        <v>Sepatu Wanita</v>
      </c>
      <c r="E58" t="str">
        <f>IFERROR(INDEX(Katalog!$B$3:$B$12,MATCH(cadangan3[[#This Row],[ItemID A]],Katalog!$C$3:$C$12,0)),"-")</f>
        <v>Flat Shoes</v>
      </c>
      <c r="F58">
        <v>2</v>
      </c>
      <c r="G58">
        <v>2</v>
      </c>
      <c r="H58" s="36">
        <f>IFERROR(INDEX(Katalog!$D$3:$D$12,MATCH(cadangan3[[#This Row],[ItemID A]],Katalog!$C$3:$C$12,0))*cadangan3[[#This Row],[Qty A]],0)</f>
        <v>500000</v>
      </c>
      <c r="I58" s="36">
        <f>IFERROR(INDEX(Katalog!$D$3:$D$12,MATCH(cadangan3[[#This Row],[Item A]],Katalog!$B$3:$B$12,0))*cadangan3[[#This Row],[Qty A]],0)</f>
        <v>500000</v>
      </c>
      <c r="J58" s="36">
        <f>IFERROR(cadangan3[[#This Row],[Harga Asli A]]-(cadangan3[[#This Row],[Harga Asli A]]*cadangan3[[#This Row],[Diskon]]),cadangan3[[#This Row],[Harga Asli A]])</f>
        <v>450000</v>
      </c>
      <c r="K58" s="36">
        <f>INDEX(Katalog!$F$3:$F$12,MATCH(cadangan3[[#This Row],[ItemID A]],Katalog!$C$3:$C$12,0))*cadangan3[[#This Row],[Qty A]]</f>
        <v>200000</v>
      </c>
      <c r="L58" s="36">
        <f>IFERROR(cadangan3[[#This Row],[Profit A]]-(cadangan3[[#This Row],[Profit A]]*cadangan3[[#This Row],[Diskon]]),K58)</f>
        <v>180000</v>
      </c>
      <c r="N58" t="str">
        <f>IFERROR(INDEX(Katalog!$A$3:$A$12,MATCH(cadangan3[[#This Row],[ItemID B]],Katalog!$C$3:$C$12,0)),"-")</f>
        <v>-</v>
      </c>
      <c r="O58" t="str">
        <f>IFERROR(INDEX(Katalog!$B$3:$B$12,MATCH(cadangan3[[#This Row],[ItemID B]],Katalog!$C$3:$C$12,0)),"-")</f>
        <v>-</v>
      </c>
      <c r="R58" s="36">
        <f>IFERROR(INDEX(Katalog!$D$3:$D$12,MATCH(cadangan3[[#This Row],[ItemID B]],Katalog!$C$3:$C$12,0))*cadangan3[[#This Row],[Qty B]],0)</f>
        <v>0</v>
      </c>
      <c r="S58" s="36">
        <f>IFERROR(INDEX(Katalog!$D$3:$D$12,MATCH(cadangan3[[#This Row],[Item B]],Katalog!$B$3:$B$12,0))*cadangan3[[#This Row],[Qty B]],0)</f>
        <v>0</v>
      </c>
      <c r="T58" s="36">
        <f>IFERROR(cadangan3[[#This Row],[Harga Asli B]]-(cadangan3[[#This Row],[Harga Asli B]]*cadangan3[[#This Row],[Diskon]]),cadangan3[[#This Row],[Harga Asli B]])</f>
        <v>0</v>
      </c>
      <c r="U58" s="36">
        <f>IFERROR(INDEX(Katalog!$F$3:$F$12,MATCH(cadangan3[[#This Row],[ItemID B]],Katalog!$C$3:$C$12,0))*cadangan3[[#This Row],[Qty B]],0)</f>
        <v>0</v>
      </c>
      <c r="V58" s="36">
        <f>IFERROR(cadangan3[[#This Row],[Profit B]]-(cadangan3[[#This Row],[Profit B]]*cadangan3[[#This Row],[Diskon]]),U58)</f>
        <v>0</v>
      </c>
      <c r="X58" t="str">
        <f>IFERROR(INDEX(Katalog!$A$3:$A$12,MATCH(cadangan3[[#This Row],[ItemID C]],Katalog!$C$3:$C$12,0)),"-")</f>
        <v>-</v>
      </c>
      <c r="Y58" t="str">
        <f>IFERROR(INDEX(Katalog!$B$3:$B$12,MATCH(cadangan3[[#This Row],[ItemID C]],Katalog!$C$3:$C$12,0)),"-")</f>
        <v>-</v>
      </c>
      <c r="AB58" s="36">
        <f>IFERROR(INDEX(Katalog!$D$3:$D$12,MATCH(cadangan3[[#This Row],[ItemID C]],Katalog!$C$3:$C$12,0))*cadangan3[[#This Row],[Qty C]],0)</f>
        <v>0</v>
      </c>
      <c r="AC58" s="36">
        <f>IFERROR(INDEX(Katalog!$D$3:$D$12,MATCH(cadangan3[[#This Row],[Item C]],Katalog!$B$3:$B$12,0))*cadangan3[[#This Row],[Qty C]],0)</f>
        <v>0</v>
      </c>
      <c r="AD58" s="36">
        <f>IFERROR(cadangan3[[#This Row],[Harga Asli C]]-(cadangan3[[#This Row],[Harga Asli C]]*cadangan3[[#This Row],[Diskon]]),cadangan3[[#This Row],[Harga Asli C]])</f>
        <v>0</v>
      </c>
      <c r="AE58" s="36">
        <f>IFERROR(INDEX(Katalog!$F$3:$F$12,MATCH(cadangan3[[#This Row],[ItemID C]],Katalog!$C$3:$C$12,0))*cadangan3[[#This Row],[Qty C]],0)</f>
        <v>0</v>
      </c>
      <c r="AF58" s="36">
        <f>IFERROR(cadangan3[[#This Row],[Profit C]]-(cadangan3[[#This Row],[Profit C]]*cadangan3[[#This Row],[Diskon]]),cadangan3[[#This Row],[Profit C]])</f>
        <v>0</v>
      </c>
      <c r="AG58" s="21">
        <f>cadangan3[[#This Row],[Qty A]]+cadangan3[[#This Row],[Qty B]]+cadangan3[[#This Row],[Qty C]]</f>
        <v>2</v>
      </c>
      <c r="AH58" s="35">
        <f>cadangan3[[#This Row],[Harga A + Diskon]]+cadangan3[[#This Row],[Harga + Diskon B]]+cadangan3[[#This Row],[Harga + Diskon C]]</f>
        <v>450000</v>
      </c>
      <c r="AI58" s="35">
        <f>(cadangan3[[#This Row],[Profit A]]+cadangan3[[#This Row],[Profit B]]+cadangan3[[#This Row],[Profit C]])</f>
        <v>200000</v>
      </c>
      <c r="AJ58" s="35">
        <f>cadangan3[[#This Row],[Provit A + Diskon]]+cadangan3[[#This Row],[Provit B + Diskon]]+cadangan3[[#This Row],[Provit C + Diskon]]</f>
        <v>180000</v>
      </c>
      <c r="AK58" s="23" t="s">
        <v>6</v>
      </c>
      <c r="AL58" s="37">
        <f>IFERROR(INDEX('Kode Diskon'!$D$3:$D$9,MATCH(cadangan3[[#This Row],[Kode diskon]],'Kode Diskon'!$C$3:$C$9,0)),"-")</f>
        <v>0.1</v>
      </c>
      <c r="AM58" s="23" t="s">
        <v>29</v>
      </c>
      <c r="AN58" s="23" t="s">
        <v>7</v>
      </c>
      <c r="AO58" s="23" t="s">
        <v>77</v>
      </c>
      <c r="AP58" s="24">
        <v>45021</v>
      </c>
      <c r="AQ58" s="23" t="str">
        <f>TEXT(cadangan3[[#This Row],[Tanggal terjual]],"dddd")</f>
        <v>Wednesday</v>
      </c>
    </row>
    <row r="59" spans="1:43" x14ac:dyDescent="0.2">
      <c r="A59" s="20">
        <v>58</v>
      </c>
      <c r="B59" s="21" t="str">
        <f>_xlfn.CONCAT("ORD-",INDEX(Helper!$B$2:$B$5,MATCH(cadangan3[[#This Row],[Marketplace]],Helper!$A$2:$A$5,0)),TEXT(cadangan3[[#This Row],[No]],"0000"),"-",TEXT(cadangan3[[#This Row],[Tanggal terjual]],"dd/mm/yy"))</f>
        <v>ORD-BB0058-06/04/23</v>
      </c>
      <c r="C59" t="s">
        <v>58</v>
      </c>
      <c r="D59" t="str">
        <f>IFERROR(INDEX(Katalog!$A$3:$A$12,MATCH(cadangan3[[#This Row],[ItemID A]],Katalog!$C$3:$C$12,0)),"-")</f>
        <v>Pakaian Wanita</v>
      </c>
      <c r="E59" t="str">
        <f>IFERROR(INDEX(Katalog!$B$3:$B$12,MATCH(cadangan3[[#This Row],[ItemID A]],Katalog!$C$3:$C$12,0)),"-")</f>
        <v>Dress</v>
      </c>
      <c r="F59">
        <v>2</v>
      </c>
      <c r="G59">
        <v>5</v>
      </c>
      <c r="H59" s="36">
        <f>IFERROR(INDEX(Katalog!$D$3:$D$12,MATCH(cadangan3[[#This Row],[ItemID A]],Katalog!$C$3:$C$12,0))*cadangan3[[#This Row],[Qty A]],0)</f>
        <v>600000</v>
      </c>
      <c r="I59" s="36">
        <f>IFERROR(INDEX(Katalog!$D$3:$D$12,MATCH(cadangan3[[#This Row],[Item A]],Katalog!$B$3:$B$12,0))*cadangan3[[#This Row],[Qty A]],0)</f>
        <v>600000</v>
      </c>
      <c r="J59" s="36">
        <f>IFERROR(cadangan3[[#This Row],[Harga Asli A]]-(cadangan3[[#This Row],[Harga Asli A]]*cadangan3[[#This Row],[Diskon]]),cadangan3[[#This Row],[Harga Asli A]])</f>
        <v>510000</v>
      </c>
      <c r="K59" s="36">
        <f>INDEX(Katalog!$F$3:$F$12,MATCH(cadangan3[[#This Row],[ItemID A]],Katalog!$C$3:$C$12,0))*cadangan3[[#This Row],[Qty A]]</f>
        <v>200000</v>
      </c>
      <c r="L59" s="36">
        <f>IFERROR(cadangan3[[#This Row],[Profit A]]-(cadangan3[[#This Row],[Profit A]]*cadangan3[[#This Row],[Diskon]]),K59)</f>
        <v>170000</v>
      </c>
      <c r="N59" t="str">
        <f>IFERROR(INDEX(Katalog!$A$3:$A$12,MATCH(cadangan3[[#This Row],[ItemID B]],Katalog!$C$3:$C$12,0)),"-")</f>
        <v>-</v>
      </c>
      <c r="O59" t="str">
        <f>IFERROR(INDEX(Katalog!$B$3:$B$12,MATCH(cadangan3[[#This Row],[ItemID B]],Katalog!$C$3:$C$12,0)),"-")</f>
        <v>-</v>
      </c>
      <c r="R59" s="36">
        <f>IFERROR(INDEX(Katalog!$D$3:$D$12,MATCH(cadangan3[[#This Row],[ItemID B]],Katalog!$C$3:$C$12,0))*cadangan3[[#This Row],[Qty B]],0)</f>
        <v>0</v>
      </c>
      <c r="S59" s="36">
        <f>IFERROR(INDEX(Katalog!$D$3:$D$12,MATCH(cadangan3[[#This Row],[Item B]],Katalog!$B$3:$B$12,0))*cadangan3[[#This Row],[Qty B]],0)</f>
        <v>0</v>
      </c>
      <c r="T59" s="36">
        <f>IFERROR(cadangan3[[#This Row],[Harga Asli B]]-(cadangan3[[#This Row],[Harga Asli B]]*cadangan3[[#This Row],[Diskon]]),cadangan3[[#This Row],[Harga Asli B]])</f>
        <v>0</v>
      </c>
      <c r="U59" s="36">
        <f>IFERROR(INDEX(Katalog!$F$3:$F$12,MATCH(cadangan3[[#This Row],[ItemID B]],Katalog!$C$3:$C$12,0))*cadangan3[[#This Row],[Qty B]],0)</f>
        <v>0</v>
      </c>
      <c r="V59" s="36">
        <f>IFERROR(cadangan3[[#This Row],[Profit B]]-(cadangan3[[#This Row],[Profit B]]*cadangan3[[#This Row],[Diskon]]),U59)</f>
        <v>0</v>
      </c>
      <c r="X59" t="str">
        <f>IFERROR(INDEX(Katalog!$A$3:$A$12,MATCH(cadangan3[[#This Row],[ItemID C]],Katalog!$C$3:$C$12,0)),"-")</f>
        <v>-</v>
      </c>
      <c r="Y59" t="str">
        <f>IFERROR(INDEX(Katalog!$B$3:$B$12,MATCH(cadangan3[[#This Row],[ItemID C]],Katalog!$C$3:$C$12,0)),"-")</f>
        <v>-</v>
      </c>
      <c r="AB59" s="36">
        <f>IFERROR(INDEX(Katalog!$D$3:$D$12,MATCH(cadangan3[[#This Row],[ItemID C]],Katalog!$C$3:$C$12,0))*cadangan3[[#This Row],[Qty C]],0)</f>
        <v>0</v>
      </c>
      <c r="AC59" s="36">
        <f>IFERROR(INDEX(Katalog!$D$3:$D$12,MATCH(cadangan3[[#This Row],[Item C]],Katalog!$B$3:$B$12,0))*cadangan3[[#This Row],[Qty C]],0)</f>
        <v>0</v>
      </c>
      <c r="AD59" s="36">
        <f>IFERROR(cadangan3[[#This Row],[Harga Asli C]]-(cadangan3[[#This Row],[Harga Asli C]]*cadangan3[[#This Row],[Diskon]]),cadangan3[[#This Row],[Harga Asli C]])</f>
        <v>0</v>
      </c>
      <c r="AE59" s="36">
        <f>IFERROR(INDEX(Katalog!$F$3:$F$12,MATCH(cadangan3[[#This Row],[ItemID C]],Katalog!$C$3:$C$12,0))*cadangan3[[#This Row],[Qty C]],0)</f>
        <v>0</v>
      </c>
      <c r="AF59" s="36">
        <f>IFERROR(cadangan3[[#This Row],[Profit C]]-(cadangan3[[#This Row],[Profit C]]*cadangan3[[#This Row],[Diskon]]),cadangan3[[#This Row],[Profit C]])</f>
        <v>0</v>
      </c>
      <c r="AG59" s="21">
        <f>cadangan3[[#This Row],[Qty A]]+cadangan3[[#This Row],[Qty B]]+cadangan3[[#This Row],[Qty C]]</f>
        <v>2</v>
      </c>
      <c r="AH59" s="35">
        <f>cadangan3[[#This Row],[Harga A + Diskon]]+cadangan3[[#This Row],[Harga + Diskon B]]+cadangan3[[#This Row],[Harga + Diskon C]]</f>
        <v>510000</v>
      </c>
      <c r="AI59" s="35">
        <f>(cadangan3[[#This Row],[Profit A]]+cadangan3[[#This Row],[Profit B]]+cadangan3[[#This Row],[Profit C]])</f>
        <v>200000</v>
      </c>
      <c r="AJ59" s="35">
        <f>cadangan3[[#This Row],[Provit A + Diskon]]+cadangan3[[#This Row],[Provit B + Diskon]]+cadangan3[[#This Row],[Provit C + Diskon]]</f>
        <v>170000</v>
      </c>
      <c r="AK59" s="23" t="s">
        <v>28</v>
      </c>
      <c r="AL59" s="37">
        <f>IFERROR(INDEX('Kode Diskon'!$D$3:$D$9,MATCH(cadangan3[[#This Row],[Kode diskon]],'Kode Diskon'!$C$3:$C$9,0)),"-")</f>
        <v>0.15</v>
      </c>
      <c r="AM59" s="23" t="s">
        <v>29</v>
      </c>
      <c r="AN59" s="23" t="s">
        <v>14</v>
      </c>
      <c r="AO59" s="23" t="s">
        <v>80</v>
      </c>
      <c r="AP59" s="24">
        <v>45022</v>
      </c>
      <c r="AQ59" s="23" t="str">
        <f>TEXT(cadangan3[[#This Row],[Tanggal terjual]],"dddd")</f>
        <v>Thursday</v>
      </c>
    </row>
    <row r="60" spans="1:43" x14ac:dyDescent="0.2">
      <c r="A60" s="20">
        <v>59</v>
      </c>
      <c r="B60" s="21" t="str">
        <f>_xlfn.CONCAT("ORD-",INDEX(Helper!$B$2:$B$5,MATCH(cadangan3[[#This Row],[Marketplace]],Helper!$A$2:$A$5,0)),TEXT(cadangan3[[#This Row],[No]],"0000"),"-",TEXT(cadangan3[[#This Row],[Tanggal terjual]],"dd/mm/yy"))</f>
        <v>ORD-SP0059-04/04/23</v>
      </c>
      <c r="C60" t="s">
        <v>66</v>
      </c>
      <c r="D60" t="str">
        <f>IFERROR(INDEX(Katalog!$A$3:$A$12,MATCH(cadangan3[[#This Row],[ItemID A]],Katalog!$C$3:$C$12,0)),"-")</f>
        <v>Sepatu Pria</v>
      </c>
      <c r="E60" t="str">
        <f>IFERROR(INDEX(Katalog!$B$3:$B$12,MATCH(cadangan3[[#This Row],[ItemID A]],Katalog!$C$3:$C$12,0)),"-")</f>
        <v>Sandal Slip On</v>
      </c>
      <c r="F60">
        <v>5</v>
      </c>
      <c r="G60">
        <v>5</v>
      </c>
      <c r="H60" s="36">
        <f>IFERROR(INDEX(Katalog!$D$3:$D$12,MATCH(cadangan3[[#This Row],[ItemID A]],Katalog!$C$3:$C$12,0))*cadangan3[[#This Row],[Qty A]],0)</f>
        <v>750000</v>
      </c>
      <c r="I60" s="36">
        <f>IFERROR(INDEX(Katalog!$D$3:$D$12,MATCH(cadangan3[[#This Row],[Item A]],Katalog!$B$3:$B$12,0))*cadangan3[[#This Row],[Qty A]],0)</f>
        <v>750000</v>
      </c>
      <c r="J60" s="36">
        <f>IFERROR(cadangan3[[#This Row],[Harga Asli A]]-(cadangan3[[#This Row],[Harga Asli A]]*cadangan3[[#This Row],[Diskon]]),cadangan3[[#This Row],[Harga Asli A]])</f>
        <v>637500</v>
      </c>
      <c r="K60" s="36">
        <f>INDEX(Katalog!$F$3:$F$12,MATCH(cadangan3[[#This Row],[ItemID A]],Katalog!$C$3:$C$12,0))*cadangan3[[#This Row],[Qty A]]</f>
        <v>300000</v>
      </c>
      <c r="L60" s="36">
        <f>IFERROR(cadangan3[[#This Row],[Profit A]]-(cadangan3[[#This Row],[Profit A]]*cadangan3[[#This Row],[Diskon]]),K60)</f>
        <v>255000</v>
      </c>
      <c r="M60" t="s">
        <v>67</v>
      </c>
      <c r="N60" t="str">
        <f>IFERROR(INDEX(Katalog!$A$3:$A$12,MATCH(cadangan3[[#This Row],[ItemID B]],Katalog!$C$3:$C$12,0)),"-")</f>
        <v>Sepatu Wanita</v>
      </c>
      <c r="O60" t="str">
        <f>IFERROR(INDEX(Katalog!$B$3:$B$12,MATCH(cadangan3[[#This Row],[ItemID B]],Katalog!$C$3:$C$12,0)),"-")</f>
        <v>Flat Shoes</v>
      </c>
      <c r="P60">
        <v>1</v>
      </c>
      <c r="Q60">
        <v>4</v>
      </c>
      <c r="R60" s="36">
        <f>IFERROR(INDEX(Katalog!$D$3:$D$12,MATCH(cadangan3[[#This Row],[ItemID B]],Katalog!$C$3:$C$12,0))*cadangan3[[#This Row],[Qty B]],0)</f>
        <v>250000</v>
      </c>
      <c r="S60" s="36">
        <f>IFERROR(INDEX(Katalog!$D$3:$D$12,MATCH(cadangan3[[#This Row],[Item B]],Katalog!$B$3:$B$12,0))*cadangan3[[#This Row],[Qty B]],0)</f>
        <v>250000</v>
      </c>
      <c r="T60" s="36">
        <f>IFERROR(cadangan3[[#This Row],[Harga Asli B]]-(cadangan3[[#This Row],[Harga Asli B]]*cadangan3[[#This Row],[Diskon]]),cadangan3[[#This Row],[Harga Asli B]])</f>
        <v>212500</v>
      </c>
      <c r="U60" s="36">
        <f>IFERROR(INDEX(Katalog!$F$3:$F$12,MATCH(cadangan3[[#This Row],[ItemID B]],Katalog!$C$3:$C$12,0))*cadangan3[[#This Row],[Qty B]],0)</f>
        <v>100000</v>
      </c>
      <c r="V60" s="36">
        <f>IFERROR(cadangan3[[#This Row],[Profit B]]-(cadangan3[[#This Row],[Profit B]]*cadangan3[[#This Row],[Diskon]]),U60)</f>
        <v>85000</v>
      </c>
      <c r="X60" t="str">
        <f>IFERROR(INDEX(Katalog!$A$3:$A$12,MATCH(cadangan3[[#This Row],[ItemID C]],Katalog!$C$3:$C$12,0)),"-")</f>
        <v>-</v>
      </c>
      <c r="Y60" t="str">
        <f>IFERROR(INDEX(Katalog!$B$3:$B$12,MATCH(cadangan3[[#This Row],[ItemID C]],Katalog!$C$3:$C$12,0)),"-")</f>
        <v>-</v>
      </c>
      <c r="AB60" s="36">
        <f>IFERROR(INDEX(Katalog!$D$3:$D$12,MATCH(cadangan3[[#This Row],[ItemID C]],Katalog!$C$3:$C$12,0))*cadangan3[[#This Row],[Qty C]],0)</f>
        <v>0</v>
      </c>
      <c r="AC60" s="36">
        <f>IFERROR(INDEX(Katalog!$D$3:$D$12,MATCH(cadangan3[[#This Row],[Item C]],Katalog!$B$3:$B$12,0))*cadangan3[[#This Row],[Qty C]],0)</f>
        <v>0</v>
      </c>
      <c r="AD60" s="36">
        <f>IFERROR(cadangan3[[#This Row],[Harga Asli C]]-(cadangan3[[#This Row],[Harga Asli C]]*cadangan3[[#This Row],[Diskon]]),cadangan3[[#This Row],[Harga Asli C]])</f>
        <v>0</v>
      </c>
      <c r="AE60" s="36">
        <f>IFERROR(INDEX(Katalog!$F$3:$F$12,MATCH(cadangan3[[#This Row],[ItemID C]],Katalog!$C$3:$C$12,0))*cadangan3[[#This Row],[Qty C]],0)</f>
        <v>0</v>
      </c>
      <c r="AF60" s="36">
        <f>IFERROR(cadangan3[[#This Row],[Profit C]]-(cadangan3[[#This Row],[Profit C]]*cadangan3[[#This Row],[Diskon]]),cadangan3[[#This Row],[Profit C]])</f>
        <v>0</v>
      </c>
      <c r="AG60" s="21">
        <f>cadangan3[[#This Row],[Qty A]]+cadangan3[[#This Row],[Qty B]]+cadangan3[[#This Row],[Qty C]]</f>
        <v>6</v>
      </c>
      <c r="AH60" s="35">
        <f>cadangan3[[#This Row],[Harga A + Diskon]]+cadangan3[[#This Row],[Harga + Diskon B]]+cadangan3[[#This Row],[Harga + Diskon C]]</f>
        <v>850000</v>
      </c>
      <c r="AI60" s="35">
        <f>(cadangan3[[#This Row],[Profit A]]+cadangan3[[#This Row],[Profit B]]+cadangan3[[#This Row],[Profit C]])</f>
        <v>400000</v>
      </c>
      <c r="AJ60" s="35">
        <f>cadangan3[[#This Row],[Provit A + Diskon]]+cadangan3[[#This Row],[Provit B + Diskon]]+cadangan3[[#This Row],[Provit C + Diskon]]</f>
        <v>340000</v>
      </c>
      <c r="AK60" s="23" t="s">
        <v>13</v>
      </c>
      <c r="AL60" s="37">
        <f>IFERROR(INDEX('Kode Diskon'!$D$3:$D$9,MATCH(cadangan3[[#This Row],[Kode diskon]],'Kode Diskon'!$C$3:$C$9,0)),"-")</f>
        <v>0.15</v>
      </c>
      <c r="AM60" s="23" t="s">
        <v>29</v>
      </c>
      <c r="AN60" s="23" t="s">
        <v>7</v>
      </c>
      <c r="AO60" s="23" t="s">
        <v>80</v>
      </c>
      <c r="AP60" s="24">
        <v>45020</v>
      </c>
      <c r="AQ60" s="23" t="str">
        <f>TEXT(cadangan3[[#This Row],[Tanggal terjual]],"dddd")</f>
        <v>Tuesday</v>
      </c>
    </row>
    <row r="61" spans="1:43" x14ac:dyDescent="0.2">
      <c r="A61" s="20">
        <v>60</v>
      </c>
      <c r="B61" s="21" t="str">
        <f>_xlfn.CONCAT("ORD-",INDEX(Helper!$B$2:$B$5,MATCH(cadangan3[[#This Row],[Marketplace]],Helper!$A$2:$A$5,0)),TEXT(cadangan3[[#This Row],[No]],"0000"),"-",TEXT(cadangan3[[#This Row],[Tanggal terjual]],"dd/mm/yy"))</f>
        <v>ORD-SP0060-02/04/23</v>
      </c>
      <c r="C61" t="s">
        <v>67</v>
      </c>
      <c r="D61" t="str">
        <f>IFERROR(INDEX(Katalog!$A$3:$A$12,MATCH(cadangan3[[#This Row],[ItemID A]],Katalog!$C$3:$C$12,0)),"-")</f>
        <v>Sepatu Wanita</v>
      </c>
      <c r="E61" t="str">
        <f>IFERROR(INDEX(Katalog!$B$3:$B$12,MATCH(cadangan3[[#This Row],[ItemID A]],Katalog!$C$3:$C$12,0)),"-")</f>
        <v>Flat Shoes</v>
      </c>
      <c r="F61">
        <v>5</v>
      </c>
      <c r="G61">
        <v>5</v>
      </c>
      <c r="H61" s="36">
        <f>IFERROR(INDEX(Katalog!$D$3:$D$12,MATCH(cadangan3[[#This Row],[ItemID A]],Katalog!$C$3:$C$12,0))*cadangan3[[#This Row],[Qty A]],0)</f>
        <v>1250000</v>
      </c>
      <c r="I61" s="36">
        <f>IFERROR(INDEX(Katalog!$D$3:$D$12,MATCH(cadangan3[[#This Row],[Item A]],Katalog!$B$3:$B$12,0))*cadangan3[[#This Row],[Qty A]],0)</f>
        <v>1250000</v>
      </c>
      <c r="J61" s="36">
        <f>IFERROR(cadangan3[[#This Row],[Harga Asli A]]-(cadangan3[[#This Row],[Harga Asli A]]*cadangan3[[#This Row],[Diskon]]),cadangan3[[#This Row],[Harga Asli A]])</f>
        <v>1062500</v>
      </c>
      <c r="K61" s="36">
        <f>INDEX(Katalog!$F$3:$F$12,MATCH(cadangan3[[#This Row],[ItemID A]],Katalog!$C$3:$C$12,0))*cadangan3[[#This Row],[Qty A]]</f>
        <v>500000</v>
      </c>
      <c r="L61" s="36">
        <f>IFERROR(cadangan3[[#This Row],[Profit A]]-(cadangan3[[#This Row],[Profit A]]*cadangan3[[#This Row],[Diskon]]),K61)</f>
        <v>425000</v>
      </c>
      <c r="N61" t="str">
        <f>IFERROR(INDEX(Katalog!$A$3:$A$12,MATCH(cadangan3[[#This Row],[ItemID B]],Katalog!$C$3:$C$12,0)),"-")</f>
        <v>-</v>
      </c>
      <c r="O61" t="str">
        <f>IFERROR(INDEX(Katalog!$B$3:$B$12,MATCH(cadangan3[[#This Row],[ItemID B]],Katalog!$C$3:$C$12,0)),"-")</f>
        <v>-</v>
      </c>
      <c r="R61" s="36">
        <f>IFERROR(INDEX(Katalog!$D$3:$D$12,MATCH(cadangan3[[#This Row],[ItemID B]],Katalog!$C$3:$C$12,0))*cadangan3[[#This Row],[Qty B]],0)</f>
        <v>0</v>
      </c>
      <c r="S61" s="36">
        <f>IFERROR(INDEX(Katalog!$D$3:$D$12,MATCH(cadangan3[[#This Row],[Item B]],Katalog!$B$3:$B$12,0))*cadangan3[[#This Row],[Qty B]],0)</f>
        <v>0</v>
      </c>
      <c r="T61" s="36">
        <f>IFERROR(cadangan3[[#This Row],[Harga Asli B]]-(cadangan3[[#This Row],[Harga Asli B]]*cadangan3[[#This Row],[Diskon]]),cadangan3[[#This Row],[Harga Asli B]])</f>
        <v>0</v>
      </c>
      <c r="U61" s="36">
        <f>IFERROR(INDEX(Katalog!$F$3:$F$12,MATCH(cadangan3[[#This Row],[ItemID B]],Katalog!$C$3:$C$12,0))*cadangan3[[#This Row],[Qty B]],0)</f>
        <v>0</v>
      </c>
      <c r="V61" s="36">
        <f>IFERROR(cadangan3[[#This Row],[Profit B]]-(cadangan3[[#This Row],[Profit B]]*cadangan3[[#This Row],[Diskon]]),U61)</f>
        <v>0</v>
      </c>
      <c r="X61" t="str">
        <f>IFERROR(INDEX(Katalog!$A$3:$A$12,MATCH(cadangan3[[#This Row],[ItemID C]],Katalog!$C$3:$C$12,0)),"-")</f>
        <v>-</v>
      </c>
      <c r="Y61" t="str">
        <f>IFERROR(INDEX(Katalog!$B$3:$B$12,MATCH(cadangan3[[#This Row],[ItemID C]],Katalog!$C$3:$C$12,0)),"-")</f>
        <v>-</v>
      </c>
      <c r="AB61" s="36">
        <f>IFERROR(INDEX(Katalog!$D$3:$D$12,MATCH(cadangan3[[#This Row],[ItemID C]],Katalog!$C$3:$C$12,0))*cadangan3[[#This Row],[Qty C]],0)</f>
        <v>0</v>
      </c>
      <c r="AC61" s="36">
        <f>IFERROR(INDEX(Katalog!$D$3:$D$12,MATCH(cadangan3[[#This Row],[Item C]],Katalog!$B$3:$B$12,0))*cadangan3[[#This Row],[Qty C]],0)</f>
        <v>0</v>
      </c>
      <c r="AD61" s="36">
        <f>IFERROR(cadangan3[[#This Row],[Harga Asli C]]-(cadangan3[[#This Row],[Harga Asli C]]*cadangan3[[#This Row],[Diskon]]),cadangan3[[#This Row],[Harga Asli C]])</f>
        <v>0</v>
      </c>
      <c r="AE61" s="36">
        <f>IFERROR(INDEX(Katalog!$F$3:$F$12,MATCH(cadangan3[[#This Row],[ItemID C]],Katalog!$C$3:$C$12,0))*cadangan3[[#This Row],[Qty C]],0)</f>
        <v>0</v>
      </c>
      <c r="AF61" s="36">
        <f>IFERROR(cadangan3[[#This Row],[Profit C]]-(cadangan3[[#This Row],[Profit C]]*cadangan3[[#This Row],[Diskon]]),cadangan3[[#This Row],[Profit C]])</f>
        <v>0</v>
      </c>
      <c r="AG61" s="21">
        <f>cadangan3[[#This Row],[Qty A]]+cadangan3[[#This Row],[Qty B]]+cadangan3[[#This Row],[Qty C]]</f>
        <v>5</v>
      </c>
      <c r="AH61" s="35">
        <f>cadangan3[[#This Row],[Harga A + Diskon]]+cadangan3[[#This Row],[Harga + Diskon B]]+cadangan3[[#This Row],[Harga + Diskon C]]</f>
        <v>1062500</v>
      </c>
      <c r="AI61" s="35">
        <f>(cadangan3[[#This Row],[Profit A]]+cadangan3[[#This Row],[Profit B]]+cadangan3[[#This Row],[Profit C]])</f>
        <v>500000</v>
      </c>
      <c r="AJ61" s="35">
        <f>cadangan3[[#This Row],[Provit A + Diskon]]+cadangan3[[#This Row],[Provit B + Diskon]]+cadangan3[[#This Row],[Provit C + Diskon]]</f>
        <v>425000</v>
      </c>
      <c r="AK61" s="23" t="s">
        <v>13</v>
      </c>
      <c r="AL61" s="37">
        <f>IFERROR(INDEX('Kode Diskon'!$D$3:$D$9,MATCH(cadangan3[[#This Row],[Kode diskon]],'Kode Diskon'!$C$3:$C$9,0)),"-")</f>
        <v>0.15</v>
      </c>
      <c r="AM61" s="23" t="s">
        <v>29</v>
      </c>
      <c r="AN61" s="23" t="s">
        <v>7</v>
      </c>
      <c r="AO61" s="23" t="s">
        <v>79</v>
      </c>
      <c r="AP61" s="24">
        <v>45018</v>
      </c>
      <c r="AQ61" s="23" t="str">
        <f>TEXT(cadangan3[[#This Row],[Tanggal terjual]],"dddd")</f>
        <v>Sunday</v>
      </c>
    </row>
    <row r="62" spans="1:43" x14ac:dyDescent="0.2">
      <c r="A62" s="20">
        <v>61</v>
      </c>
      <c r="B62" s="21" t="str">
        <f>_xlfn.CONCAT("ORD-",INDEX(Helper!$B$2:$B$5,MATCH(cadangan3[[#This Row],[Marketplace]],Helper!$A$2:$A$5,0)),TEXT(cadangan3[[#This Row],[No]],"0000"),"-",TEXT(cadangan3[[#This Row],[Tanggal terjual]],"dd/mm/yy"))</f>
        <v>ORD-SP0061-03/04/23</v>
      </c>
      <c r="C62" t="s">
        <v>65</v>
      </c>
      <c r="D62" t="str">
        <f>IFERROR(INDEX(Katalog!$A$3:$A$12,MATCH(cadangan3[[#This Row],[ItemID A]],Katalog!$C$3:$C$12,0)),"-")</f>
        <v>Sepatu Pria</v>
      </c>
      <c r="E62" t="str">
        <f>IFERROR(INDEX(Katalog!$B$3:$B$12,MATCH(cadangan3[[#This Row],[ItemID A]],Katalog!$C$3:$C$12,0)),"-")</f>
        <v>Sneakers</v>
      </c>
      <c r="F62">
        <v>2</v>
      </c>
      <c r="G62">
        <v>1</v>
      </c>
      <c r="H62" s="36">
        <f>IFERROR(INDEX(Katalog!$D$3:$D$12,MATCH(cadangan3[[#This Row],[ItemID A]],Katalog!$C$3:$C$12,0))*cadangan3[[#This Row],[Qty A]],0)</f>
        <v>1000000</v>
      </c>
      <c r="I62" s="36">
        <f>IFERROR(INDEX(Katalog!$D$3:$D$12,MATCH(cadangan3[[#This Row],[Item A]],Katalog!$B$3:$B$12,0))*cadangan3[[#This Row],[Qty A]],0)</f>
        <v>1000000</v>
      </c>
      <c r="J62" s="36">
        <f>IFERROR(cadangan3[[#This Row],[Harga Asli A]]-(cadangan3[[#This Row],[Harga Asli A]]*cadangan3[[#This Row],[Diskon]]),cadangan3[[#This Row],[Harga Asli A]])</f>
        <v>900000</v>
      </c>
      <c r="K62" s="36">
        <f>INDEX(Katalog!$F$3:$F$12,MATCH(cadangan3[[#This Row],[ItemID A]],Katalog!$C$3:$C$12,0))*cadangan3[[#This Row],[Qty A]]</f>
        <v>400000</v>
      </c>
      <c r="L62" s="36">
        <f>IFERROR(cadangan3[[#This Row],[Profit A]]-(cadangan3[[#This Row],[Profit A]]*cadangan3[[#This Row],[Diskon]]),K62)</f>
        <v>360000</v>
      </c>
      <c r="M62" t="s">
        <v>61</v>
      </c>
      <c r="N62" t="str">
        <f>IFERROR(INDEX(Katalog!$A$3:$A$12,MATCH(cadangan3[[#This Row],[ItemID B]],Katalog!$C$3:$C$12,0)),"-")</f>
        <v>Pakaian Pria</v>
      </c>
      <c r="O62" t="str">
        <f>IFERROR(INDEX(Katalog!$B$3:$B$12,MATCH(cadangan3[[#This Row],[ItemID B]],Katalog!$C$3:$C$12,0)),"-")</f>
        <v>Kaos Polo</v>
      </c>
      <c r="P62">
        <v>1</v>
      </c>
      <c r="Q62">
        <v>4</v>
      </c>
      <c r="R62" s="36">
        <f>IFERROR(INDEX(Katalog!$D$3:$D$12,MATCH(cadangan3[[#This Row],[ItemID B]],Katalog!$C$3:$C$12,0))*cadangan3[[#This Row],[Qty B]],0)</f>
        <v>200000</v>
      </c>
      <c r="S62" s="36">
        <f>IFERROR(INDEX(Katalog!$D$3:$D$12,MATCH(cadangan3[[#This Row],[Item B]],Katalog!$B$3:$B$12,0))*cadangan3[[#This Row],[Qty B]],0)</f>
        <v>200000</v>
      </c>
      <c r="T62" s="36">
        <f>IFERROR(cadangan3[[#This Row],[Harga Asli B]]-(cadangan3[[#This Row],[Harga Asli B]]*cadangan3[[#This Row],[Diskon]]),cadangan3[[#This Row],[Harga Asli B]])</f>
        <v>180000</v>
      </c>
      <c r="U62" s="36">
        <f>IFERROR(INDEX(Katalog!$F$3:$F$12,MATCH(cadangan3[[#This Row],[ItemID B]],Katalog!$C$3:$C$12,0))*cadangan3[[#This Row],[Qty B]],0)</f>
        <v>80000</v>
      </c>
      <c r="V62" s="36">
        <f>IFERROR(cadangan3[[#This Row],[Profit B]]-(cadangan3[[#This Row],[Profit B]]*cadangan3[[#This Row],[Diskon]]),U62)</f>
        <v>72000</v>
      </c>
      <c r="X62" t="str">
        <f>IFERROR(INDEX(Katalog!$A$3:$A$12,MATCH(cadangan3[[#This Row],[ItemID C]],Katalog!$C$3:$C$12,0)),"-")</f>
        <v>-</v>
      </c>
      <c r="Y62" t="str">
        <f>IFERROR(INDEX(Katalog!$B$3:$B$12,MATCH(cadangan3[[#This Row],[ItemID C]],Katalog!$C$3:$C$12,0)),"-")</f>
        <v>-</v>
      </c>
      <c r="AB62" s="36">
        <f>IFERROR(INDEX(Katalog!$D$3:$D$12,MATCH(cadangan3[[#This Row],[ItemID C]],Katalog!$C$3:$C$12,0))*cadangan3[[#This Row],[Qty C]],0)</f>
        <v>0</v>
      </c>
      <c r="AC62" s="36">
        <f>IFERROR(INDEX(Katalog!$D$3:$D$12,MATCH(cadangan3[[#This Row],[Item C]],Katalog!$B$3:$B$12,0))*cadangan3[[#This Row],[Qty C]],0)</f>
        <v>0</v>
      </c>
      <c r="AD62" s="36">
        <f>IFERROR(cadangan3[[#This Row],[Harga Asli C]]-(cadangan3[[#This Row],[Harga Asli C]]*cadangan3[[#This Row],[Diskon]]),cadangan3[[#This Row],[Harga Asli C]])</f>
        <v>0</v>
      </c>
      <c r="AE62" s="36">
        <f>IFERROR(INDEX(Katalog!$F$3:$F$12,MATCH(cadangan3[[#This Row],[ItemID C]],Katalog!$C$3:$C$12,0))*cadangan3[[#This Row],[Qty C]],0)</f>
        <v>0</v>
      </c>
      <c r="AF62" s="36">
        <f>IFERROR(cadangan3[[#This Row],[Profit C]]-(cadangan3[[#This Row],[Profit C]]*cadangan3[[#This Row],[Diskon]]),cadangan3[[#This Row],[Profit C]])</f>
        <v>0</v>
      </c>
      <c r="AG62" s="21">
        <f>cadangan3[[#This Row],[Qty A]]+cadangan3[[#This Row],[Qty B]]+cadangan3[[#This Row],[Qty C]]</f>
        <v>3</v>
      </c>
      <c r="AH62" s="35">
        <f>cadangan3[[#This Row],[Harga A + Diskon]]+cadangan3[[#This Row],[Harga + Diskon B]]+cadangan3[[#This Row],[Harga + Diskon C]]</f>
        <v>1080000</v>
      </c>
      <c r="AI62" s="35">
        <f>(cadangan3[[#This Row],[Profit A]]+cadangan3[[#This Row],[Profit B]]+cadangan3[[#This Row],[Profit C]])</f>
        <v>480000</v>
      </c>
      <c r="AJ62" s="35">
        <f>cadangan3[[#This Row],[Provit A + Diskon]]+cadangan3[[#This Row],[Provit B + Diskon]]+cadangan3[[#This Row],[Provit C + Diskon]]</f>
        <v>432000</v>
      </c>
      <c r="AK62" s="23" t="s">
        <v>6</v>
      </c>
      <c r="AL62" s="37">
        <f>IFERROR(INDEX('Kode Diskon'!$D$3:$D$9,MATCH(cadangan3[[#This Row],[Kode diskon]],'Kode Diskon'!$C$3:$C$9,0)),"-")</f>
        <v>0.1</v>
      </c>
      <c r="AM62" s="23" t="s">
        <v>29</v>
      </c>
      <c r="AN62" s="23" t="s">
        <v>7</v>
      </c>
      <c r="AO62" s="23" t="s">
        <v>77</v>
      </c>
      <c r="AP62" s="24">
        <v>45019</v>
      </c>
      <c r="AQ62" s="23" t="str">
        <f>TEXT(cadangan3[[#This Row],[Tanggal terjual]],"dddd")</f>
        <v>Monday</v>
      </c>
    </row>
    <row r="63" spans="1:43" x14ac:dyDescent="0.2">
      <c r="A63" s="20">
        <v>62</v>
      </c>
      <c r="B63" s="21" t="str">
        <f>_xlfn.CONCAT("ORD-",INDEX(Helper!$B$2:$B$5,MATCH(cadangan3[[#This Row],[Marketplace]],Helper!$A$2:$A$5,0)),TEXT(cadangan3[[#This Row],[No]],"0000"),"-",TEXT(cadangan3[[#This Row],[Tanggal terjual]],"dd/mm/yy"))</f>
        <v>ORD-BL0062-12/04/23</v>
      </c>
      <c r="C63" t="s">
        <v>64</v>
      </c>
      <c r="D63" t="str">
        <f>IFERROR(INDEX(Katalog!$A$3:$A$12,MATCH(cadangan3[[#This Row],[ItemID A]],Katalog!$C$3:$C$12,0)),"-")</f>
        <v>Pakaian Unisex</v>
      </c>
      <c r="E63" t="str">
        <f>IFERROR(INDEX(Katalog!$B$3:$B$12,MATCH(cadangan3[[#This Row],[ItemID A]],Katalog!$C$3:$C$12,0)),"-")</f>
        <v>Jaket Hoodie</v>
      </c>
      <c r="F63">
        <v>1</v>
      </c>
      <c r="G63">
        <v>4</v>
      </c>
      <c r="H63" s="36">
        <f>IFERROR(INDEX(Katalog!$D$3:$D$12,MATCH(cadangan3[[#This Row],[ItemID A]],Katalog!$C$3:$C$12,0))*cadangan3[[#This Row],[Qty A]],0)</f>
        <v>350000</v>
      </c>
      <c r="I63" s="36">
        <f>IFERROR(INDEX(Katalog!$D$3:$D$12,MATCH(cadangan3[[#This Row],[Item A]],Katalog!$B$3:$B$12,0))*cadangan3[[#This Row],[Qty A]],0)</f>
        <v>350000</v>
      </c>
      <c r="J63" s="36">
        <f>IFERROR(cadangan3[[#This Row],[Harga Asli A]]-(cadangan3[[#This Row],[Harga Asli A]]*cadangan3[[#This Row],[Diskon]]),cadangan3[[#This Row],[Harga Asli A]])</f>
        <v>350000</v>
      </c>
      <c r="K63" s="36">
        <f>INDEX(Katalog!$F$3:$F$12,MATCH(cadangan3[[#This Row],[ItemID A]],Katalog!$C$3:$C$12,0))*cadangan3[[#This Row],[Qty A]]</f>
        <v>130000</v>
      </c>
      <c r="L63" s="36">
        <f>IFERROR(cadangan3[[#This Row],[Profit A]]-(cadangan3[[#This Row],[Profit A]]*cadangan3[[#This Row],[Diskon]]),K63)</f>
        <v>130000</v>
      </c>
      <c r="M63" t="s">
        <v>60</v>
      </c>
      <c r="N63" t="str">
        <f>IFERROR(INDEX(Katalog!$A$3:$A$12,MATCH(cadangan3[[#This Row],[ItemID B]],Katalog!$C$3:$C$12,0)),"-")</f>
        <v>Pakaian Wanita</v>
      </c>
      <c r="O63" t="str">
        <f>IFERROR(INDEX(Katalog!$B$3:$B$12,MATCH(cadangan3[[#This Row],[ItemID B]],Katalog!$C$3:$C$12,0)),"-")</f>
        <v>Kaftan</v>
      </c>
      <c r="P63">
        <v>1</v>
      </c>
      <c r="Q63">
        <v>2</v>
      </c>
      <c r="R63" s="36">
        <f>IFERROR(INDEX(Katalog!$D$3:$D$12,MATCH(cadangan3[[#This Row],[ItemID B]],Katalog!$C$3:$C$12,0))*cadangan3[[#This Row],[Qty B]],0)</f>
        <v>250000</v>
      </c>
      <c r="S63" s="36">
        <f>IFERROR(INDEX(Katalog!$D$3:$D$12,MATCH(cadangan3[[#This Row],[Item B]],Katalog!$B$3:$B$12,0))*cadangan3[[#This Row],[Qty B]],0)</f>
        <v>250000</v>
      </c>
      <c r="T63" s="36">
        <f>IFERROR(cadangan3[[#This Row],[Harga Asli B]]-(cadangan3[[#This Row],[Harga Asli B]]*cadangan3[[#This Row],[Diskon]]),cadangan3[[#This Row],[Harga Asli B]])</f>
        <v>250000</v>
      </c>
      <c r="U63" s="36">
        <f>IFERROR(INDEX(Katalog!$F$3:$F$12,MATCH(cadangan3[[#This Row],[ItemID B]],Katalog!$C$3:$C$12,0))*cadangan3[[#This Row],[Qty B]],0)</f>
        <v>100000</v>
      </c>
      <c r="V63" s="36">
        <f>IFERROR(cadangan3[[#This Row],[Profit B]]-(cadangan3[[#This Row],[Profit B]]*cadangan3[[#This Row],[Diskon]]),U63)</f>
        <v>100000</v>
      </c>
      <c r="W63" t="s">
        <v>62</v>
      </c>
      <c r="X63" t="str">
        <f>IFERROR(INDEX(Katalog!$A$3:$A$12,MATCH(cadangan3[[#This Row],[ItemID C]],Katalog!$C$3:$C$12,0)),"-")</f>
        <v>Pakaian Pria</v>
      </c>
      <c r="Y63" t="str">
        <f>IFERROR(INDEX(Katalog!$B$3:$B$12,MATCH(cadangan3[[#This Row],[ItemID C]],Katalog!$C$3:$C$12,0)),"-")</f>
        <v>Celana Pendek</v>
      </c>
      <c r="Z63">
        <v>3</v>
      </c>
      <c r="AA63">
        <v>5</v>
      </c>
      <c r="AB63" s="36">
        <f>IFERROR(INDEX(Katalog!$D$3:$D$12,MATCH(cadangan3[[#This Row],[ItemID C]],Katalog!$C$3:$C$12,0))*cadangan3[[#This Row],[Qty C]],0)</f>
        <v>540000</v>
      </c>
      <c r="AC63" s="36">
        <f>IFERROR(INDEX(Katalog!$D$3:$D$12,MATCH(cadangan3[[#This Row],[Item C]],Katalog!$B$3:$B$12,0))*cadangan3[[#This Row],[Qty C]],0)</f>
        <v>540000</v>
      </c>
      <c r="AD63" s="36">
        <f>IFERROR(cadangan3[[#This Row],[Harga Asli C]]-(cadangan3[[#This Row],[Harga Asli C]]*cadangan3[[#This Row],[Diskon]]),cadangan3[[#This Row],[Harga Asli C]])</f>
        <v>540000</v>
      </c>
      <c r="AE63" s="36">
        <f>IFERROR(INDEX(Katalog!$F$3:$F$12,MATCH(cadangan3[[#This Row],[ItemID C]],Katalog!$C$3:$C$12,0))*cadangan3[[#This Row],[Qty C]],0)</f>
        <v>210000</v>
      </c>
      <c r="AF63" s="36">
        <f>IFERROR(cadangan3[[#This Row],[Profit C]]-(cadangan3[[#This Row],[Profit C]]*cadangan3[[#This Row],[Diskon]]),cadangan3[[#This Row],[Profit C]])</f>
        <v>210000</v>
      </c>
      <c r="AG63" s="21">
        <f>cadangan3[[#This Row],[Qty A]]+cadangan3[[#This Row],[Qty B]]+cadangan3[[#This Row],[Qty C]]</f>
        <v>5</v>
      </c>
      <c r="AH63" s="35">
        <f>cadangan3[[#This Row],[Harga A + Diskon]]+cadangan3[[#This Row],[Harga + Diskon B]]+cadangan3[[#This Row],[Harga + Diskon C]]</f>
        <v>1140000</v>
      </c>
      <c r="AI63" s="35">
        <f>(cadangan3[[#This Row],[Profit A]]+cadangan3[[#This Row],[Profit B]]+cadangan3[[#This Row],[Profit C]])</f>
        <v>440000</v>
      </c>
      <c r="AJ63" s="35">
        <f>cadangan3[[#This Row],[Provit A + Diskon]]+cadangan3[[#This Row],[Provit B + Diskon]]+cadangan3[[#This Row],[Provit C + Diskon]]</f>
        <v>440000</v>
      </c>
      <c r="AK63" s="23" t="s">
        <v>11</v>
      </c>
      <c r="AL63" s="37" t="str">
        <f>IFERROR(INDEX('Kode Diskon'!$D$3:$D$9,MATCH(cadangan3[[#This Row],[Kode diskon]],'Kode Diskon'!$C$3:$C$9,0)),"-")</f>
        <v>-</v>
      </c>
      <c r="AM63" s="23" t="s">
        <v>11</v>
      </c>
      <c r="AN63" s="23" t="s">
        <v>12</v>
      </c>
      <c r="AO63" s="23" t="s">
        <v>79</v>
      </c>
      <c r="AP63" s="24">
        <v>45028</v>
      </c>
      <c r="AQ63" s="23" t="str">
        <f>TEXT(cadangan3[[#This Row],[Tanggal terjual]],"dddd")</f>
        <v>Wednesday</v>
      </c>
    </row>
    <row r="64" spans="1:43" x14ac:dyDescent="0.2">
      <c r="A64" s="20">
        <v>63</v>
      </c>
      <c r="B64" s="21" t="str">
        <f>_xlfn.CONCAT("ORD-",INDEX(Helper!$B$2:$B$5,MATCH(cadangan3[[#This Row],[Marketplace]],Helper!$A$2:$A$5,0)),TEXT(cadangan3[[#This Row],[No]],"0000"),"-",TEXT(cadangan3[[#This Row],[Tanggal terjual]],"dd/mm/yy"))</f>
        <v>ORD-BL0063-16/04/23</v>
      </c>
      <c r="C64" t="s">
        <v>59</v>
      </c>
      <c r="D64" t="str">
        <f>IFERROR(INDEX(Katalog!$A$3:$A$12,MATCH(cadangan3[[#This Row],[ItemID A]],Katalog!$C$3:$C$12,0)),"-")</f>
        <v>Pakaian Wanita</v>
      </c>
      <c r="E64" t="str">
        <f>IFERROR(INDEX(Katalog!$B$3:$B$12,MATCH(cadangan3[[#This Row],[ItemID A]],Katalog!$C$3:$C$12,0)),"-")</f>
        <v>Blouse</v>
      </c>
      <c r="F64">
        <v>2</v>
      </c>
      <c r="G64">
        <v>5</v>
      </c>
      <c r="H64" s="36">
        <f>IFERROR(INDEX(Katalog!$D$3:$D$12,MATCH(cadangan3[[#This Row],[ItemID A]],Katalog!$C$3:$C$12,0))*cadangan3[[#This Row],[Qty A]],0)</f>
        <v>300000</v>
      </c>
      <c r="I64" s="36">
        <f>IFERROR(INDEX(Katalog!$D$3:$D$12,MATCH(cadangan3[[#This Row],[Item A]],Katalog!$B$3:$B$12,0))*cadangan3[[#This Row],[Qty A]],0)</f>
        <v>300000</v>
      </c>
      <c r="J64" s="36">
        <f>IFERROR(cadangan3[[#This Row],[Harga Asli A]]-(cadangan3[[#This Row],[Harga Asli A]]*cadangan3[[#This Row],[Diskon]]),cadangan3[[#This Row],[Harga Asli A]])</f>
        <v>255000</v>
      </c>
      <c r="K64" s="36">
        <f>INDEX(Katalog!$F$3:$F$12,MATCH(cadangan3[[#This Row],[ItemID A]],Katalog!$C$3:$C$12,0))*cadangan3[[#This Row],[Qty A]]</f>
        <v>100000</v>
      </c>
      <c r="L64" s="36">
        <f>IFERROR(cadangan3[[#This Row],[Profit A]]-(cadangan3[[#This Row],[Profit A]]*cadangan3[[#This Row],[Diskon]]),K64)</f>
        <v>85000</v>
      </c>
      <c r="N64" t="str">
        <f>IFERROR(INDEX(Katalog!$A$3:$A$12,MATCH(cadangan3[[#This Row],[ItemID B]],Katalog!$C$3:$C$12,0)),"-")</f>
        <v>-</v>
      </c>
      <c r="O64" t="str">
        <f>IFERROR(INDEX(Katalog!$B$3:$B$12,MATCH(cadangan3[[#This Row],[ItemID B]],Katalog!$C$3:$C$12,0)),"-")</f>
        <v>-</v>
      </c>
      <c r="R64" s="36">
        <f>IFERROR(INDEX(Katalog!$D$3:$D$12,MATCH(cadangan3[[#This Row],[ItemID B]],Katalog!$C$3:$C$12,0))*cadangan3[[#This Row],[Qty B]],0)</f>
        <v>0</v>
      </c>
      <c r="S64" s="36">
        <f>IFERROR(INDEX(Katalog!$D$3:$D$12,MATCH(cadangan3[[#This Row],[Item B]],Katalog!$B$3:$B$12,0))*cadangan3[[#This Row],[Qty B]],0)</f>
        <v>0</v>
      </c>
      <c r="T64" s="36">
        <f>IFERROR(cadangan3[[#This Row],[Harga Asli B]]-(cadangan3[[#This Row],[Harga Asli B]]*cadangan3[[#This Row],[Diskon]]),cadangan3[[#This Row],[Harga Asli B]])</f>
        <v>0</v>
      </c>
      <c r="U64" s="36">
        <f>IFERROR(INDEX(Katalog!$F$3:$F$12,MATCH(cadangan3[[#This Row],[ItemID B]],Katalog!$C$3:$C$12,0))*cadangan3[[#This Row],[Qty B]],0)</f>
        <v>0</v>
      </c>
      <c r="V64" s="36">
        <f>IFERROR(cadangan3[[#This Row],[Profit B]]-(cadangan3[[#This Row],[Profit B]]*cadangan3[[#This Row],[Diskon]]),U64)</f>
        <v>0</v>
      </c>
      <c r="X64" t="str">
        <f>IFERROR(INDEX(Katalog!$A$3:$A$12,MATCH(cadangan3[[#This Row],[ItemID C]],Katalog!$C$3:$C$12,0)),"-")</f>
        <v>-</v>
      </c>
      <c r="Y64" t="str">
        <f>IFERROR(INDEX(Katalog!$B$3:$B$12,MATCH(cadangan3[[#This Row],[ItemID C]],Katalog!$C$3:$C$12,0)),"-")</f>
        <v>-</v>
      </c>
      <c r="AB64" s="36">
        <f>IFERROR(INDEX(Katalog!$D$3:$D$12,MATCH(cadangan3[[#This Row],[ItemID C]],Katalog!$C$3:$C$12,0))*cadangan3[[#This Row],[Qty C]],0)</f>
        <v>0</v>
      </c>
      <c r="AC64" s="36">
        <f>IFERROR(INDEX(Katalog!$D$3:$D$12,MATCH(cadangan3[[#This Row],[Item C]],Katalog!$B$3:$B$12,0))*cadangan3[[#This Row],[Qty C]],0)</f>
        <v>0</v>
      </c>
      <c r="AD64" s="36">
        <f>IFERROR(cadangan3[[#This Row],[Harga Asli C]]-(cadangan3[[#This Row],[Harga Asli C]]*cadangan3[[#This Row],[Diskon]]),cadangan3[[#This Row],[Harga Asli C]])</f>
        <v>0</v>
      </c>
      <c r="AE64" s="36">
        <f>IFERROR(INDEX(Katalog!$F$3:$F$12,MATCH(cadangan3[[#This Row],[ItemID C]],Katalog!$C$3:$C$12,0))*cadangan3[[#This Row],[Qty C]],0)</f>
        <v>0</v>
      </c>
      <c r="AF64" s="36">
        <f>IFERROR(cadangan3[[#This Row],[Profit C]]-(cadangan3[[#This Row],[Profit C]]*cadangan3[[#This Row],[Diskon]]),cadangan3[[#This Row],[Profit C]])</f>
        <v>0</v>
      </c>
      <c r="AG64" s="21">
        <f>cadangan3[[#This Row],[Qty A]]+cadangan3[[#This Row],[Qty B]]+cadangan3[[#This Row],[Qty C]]</f>
        <v>2</v>
      </c>
      <c r="AH64" s="35">
        <f>cadangan3[[#This Row],[Harga A + Diskon]]+cadangan3[[#This Row],[Harga + Diskon B]]+cadangan3[[#This Row],[Harga + Diskon C]]</f>
        <v>255000</v>
      </c>
      <c r="AI64" s="35">
        <f>(cadangan3[[#This Row],[Profit A]]+cadangan3[[#This Row],[Profit B]]+cadangan3[[#This Row],[Profit C]])</f>
        <v>100000</v>
      </c>
      <c r="AJ64" s="35">
        <f>cadangan3[[#This Row],[Provit A + Diskon]]+cadangan3[[#This Row],[Provit B + Diskon]]+cadangan3[[#This Row],[Provit C + Diskon]]</f>
        <v>85000</v>
      </c>
      <c r="AK64" s="23" t="s">
        <v>32</v>
      </c>
      <c r="AL64" s="37">
        <f>IFERROR(INDEX('Kode Diskon'!$D$3:$D$9,MATCH(cadangan3[[#This Row],[Kode diskon]],'Kode Diskon'!$C$3:$C$9,0)),"-")</f>
        <v>0.15</v>
      </c>
      <c r="AM64" s="23" t="s">
        <v>9</v>
      </c>
      <c r="AN64" s="23" t="s">
        <v>12</v>
      </c>
      <c r="AO64" s="23" t="s">
        <v>80</v>
      </c>
      <c r="AP64" s="24">
        <v>45032</v>
      </c>
      <c r="AQ64" s="23" t="str">
        <f>TEXT(cadangan3[[#This Row],[Tanggal terjual]],"dddd")</f>
        <v>Sunday</v>
      </c>
    </row>
    <row r="65" spans="1:43" x14ac:dyDescent="0.2">
      <c r="A65" s="20">
        <v>64</v>
      </c>
      <c r="B65" s="21" t="str">
        <f>_xlfn.CONCAT("ORD-",INDEX(Helper!$B$2:$B$5,MATCH(cadangan3[[#This Row],[Marketplace]],Helper!$A$2:$A$5,0)),TEXT(cadangan3[[#This Row],[No]],"0000"),"-",TEXT(cadangan3[[#This Row],[Tanggal terjual]],"dd/mm/yy"))</f>
        <v>ORD-BB0064-09/04/23</v>
      </c>
      <c r="C65" t="s">
        <v>65</v>
      </c>
      <c r="D65" t="str">
        <f>IFERROR(INDEX(Katalog!$A$3:$A$12,MATCH(cadangan3[[#This Row],[ItemID A]],Katalog!$C$3:$C$12,0)),"-")</f>
        <v>Sepatu Pria</v>
      </c>
      <c r="E65" t="str">
        <f>IFERROR(INDEX(Katalog!$B$3:$B$12,MATCH(cadangan3[[#This Row],[ItemID A]],Katalog!$C$3:$C$12,0)),"-")</f>
        <v>Sneakers</v>
      </c>
      <c r="F65">
        <v>6</v>
      </c>
      <c r="G65">
        <v>1</v>
      </c>
      <c r="H65" s="36">
        <f>IFERROR(INDEX(Katalog!$D$3:$D$12,MATCH(cadangan3[[#This Row],[ItemID A]],Katalog!$C$3:$C$12,0))*cadangan3[[#This Row],[Qty A]],0)</f>
        <v>3000000</v>
      </c>
      <c r="I65" s="36">
        <f>IFERROR(INDEX(Katalog!$D$3:$D$12,MATCH(cadangan3[[#This Row],[Item A]],Katalog!$B$3:$B$12,0))*cadangan3[[#This Row],[Qty A]],0)</f>
        <v>3000000</v>
      </c>
      <c r="J65" s="36">
        <f>IFERROR(cadangan3[[#This Row],[Harga Asli A]]-(cadangan3[[#This Row],[Harga Asli A]]*cadangan3[[#This Row],[Diskon]]),cadangan3[[#This Row],[Harga Asli A]])</f>
        <v>3000000</v>
      </c>
      <c r="K65" s="36">
        <f>INDEX(Katalog!$F$3:$F$12,MATCH(cadangan3[[#This Row],[ItemID A]],Katalog!$C$3:$C$12,0))*cadangan3[[#This Row],[Qty A]]</f>
        <v>1200000</v>
      </c>
      <c r="L65" s="36">
        <f>IFERROR(cadangan3[[#This Row],[Profit A]]-(cadangan3[[#This Row],[Profit A]]*cadangan3[[#This Row],[Diskon]]),K65)</f>
        <v>1200000</v>
      </c>
      <c r="M65" t="s">
        <v>62</v>
      </c>
      <c r="N65" t="str">
        <f>IFERROR(INDEX(Katalog!$A$3:$A$12,MATCH(cadangan3[[#This Row],[ItemID B]],Katalog!$C$3:$C$12,0)),"-")</f>
        <v>Pakaian Pria</v>
      </c>
      <c r="O65" t="str">
        <f>IFERROR(INDEX(Katalog!$B$3:$B$12,MATCH(cadangan3[[#This Row],[ItemID B]],Katalog!$C$3:$C$12,0)),"-")</f>
        <v>Celana Pendek</v>
      </c>
      <c r="P65">
        <v>1</v>
      </c>
      <c r="Q65">
        <v>2</v>
      </c>
      <c r="R65" s="36">
        <f>IFERROR(INDEX(Katalog!$D$3:$D$12,MATCH(cadangan3[[#This Row],[ItemID B]],Katalog!$C$3:$C$12,0))*cadangan3[[#This Row],[Qty B]],0)</f>
        <v>180000</v>
      </c>
      <c r="S65" s="36">
        <f>IFERROR(INDEX(Katalog!$D$3:$D$12,MATCH(cadangan3[[#This Row],[Item B]],Katalog!$B$3:$B$12,0))*cadangan3[[#This Row],[Qty B]],0)</f>
        <v>180000</v>
      </c>
      <c r="T65" s="36">
        <f>IFERROR(cadangan3[[#This Row],[Harga Asli B]]-(cadangan3[[#This Row],[Harga Asli B]]*cadangan3[[#This Row],[Diskon]]),cadangan3[[#This Row],[Harga Asli B]])</f>
        <v>180000</v>
      </c>
      <c r="U65" s="36">
        <f>IFERROR(INDEX(Katalog!$F$3:$F$12,MATCH(cadangan3[[#This Row],[ItemID B]],Katalog!$C$3:$C$12,0))*cadangan3[[#This Row],[Qty B]],0)</f>
        <v>70000</v>
      </c>
      <c r="V65" s="36">
        <f>IFERROR(cadangan3[[#This Row],[Profit B]]-(cadangan3[[#This Row],[Profit B]]*cadangan3[[#This Row],[Diskon]]),U65)</f>
        <v>70000</v>
      </c>
      <c r="X65" t="str">
        <f>IFERROR(INDEX(Katalog!$A$3:$A$12,MATCH(cadangan3[[#This Row],[ItemID C]],Katalog!$C$3:$C$12,0)),"-")</f>
        <v>-</v>
      </c>
      <c r="Y65" t="str">
        <f>IFERROR(INDEX(Katalog!$B$3:$B$12,MATCH(cadangan3[[#This Row],[ItemID C]],Katalog!$C$3:$C$12,0)),"-")</f>
        <v>-</v>
      </c>
      <c r="AB65" s="36">
        <f>IFERROR(INDEX(Katalog!$D$3:$D$12,MATCH(cadangan3[[#This Row],[ItemID C]],Katalog!$C$3:$C$12,0))*cadangan3[[#This Row],[Qty C]],0)</f>
        <v>0</v>
      </c>
      <c r="AC65" s="36">
        <f>IFERROR(INDEX(Katalog!$D$3:$D$12,MATCH(cadangan3[[#This Row],[Item C]],Katalog!$B$3:$B$12,0))*cadangan3[[#This Row],[Qty C]],0)</f>
        <v>0</v>
      </c>
      <c r="AD65" s="36">
        <f>IFERROR(cadangan3[[#This Row],[Harga Asli C]]-(cadangan3[[#This Row],[Harga Asli C]]*cadangan3[[#This Row],[Diskon]]),cadangan3[[#This Row],[Harga Asli C]])</f>
        <v>0</v>
      </c>
      <c r="AE65" s="36">
        <f>IFERROR(INDEX(Katalog!$F$3:$F$12,MATCH(cadangan3[[#This Row],[ItemID C]],Katalog!$C$3:$C$12,0))*cadangan3[[#This Row],[Qty C]],0)</f>
        <v>0</v>
      </c>
      <c r="AF65" s="36">
        <f>IFERROR(cadangan3[[#This Row],[Profit C]]-(cadangan3[[#This Row],[Profit C]]*cadangan3[[#This Row],[Diskon]]),cadangan3[[#This Row],[Profit C]])</f>
        <v>0</v>
      </c>
      <c r="AG65" s="21">
        <f>cadangan3[[#This Row],[Qty A]]+cadangan3[[#This Row],[Qty B]]+cadangan3[[#This Row],[Qty C]]</f>
        <v>7</v>
      </c>
      <c r="AH65" s="35">
        <f>cadangan3[[#This Row],[Harga A + Diskon]]+cadangan3[[#This Row],[Harga + Diskon B]]+cadangan3[[#This Row],[Harga + Diskon C]]</f>
        <v>3180000</v>
      </c>
      <c r="AI65" s="35">
        <f>(cadangan3[[#This Row],[Profit A]]+cadangan3[[#This Row],[Profit B]]+cadangan3[[#This Row],[Profit C]])</f>
        <v>1270000</v>
      </c>
      <c r="AJ65" s="35">
        <f>cadangan3[[#This Row],[Provit A + Diskon]]+cadangan3[[#This Row],[Provit B + Diskon]]+cadangan3[[#This Row],[Provit C + Diskon]]</f>
        <v>1270000</v>
      </c>
      <c r="AK65" s="23" t="s">
        <v>11</v>
      </c>
      <c r="AL65" s="37" t="str">
        <f>IFERROR(INDEX('Kode Diskon'!$D$3:$D$9,MATCH(cadangan3[[#This Row],[Kode diskon]],'Kode Diskon'!$C$3:$C$9,0)),"-")</f>
        <v>-</v>
      </c>
      <c r="AM65" s="23" t="s">
        <v>11</v>
      </c>
      <c r="AN65" s="23" t="s">
        <v>14</v>
      </c>
      <c r="AO65" s="23" t="s">
        <v>76</v>
      </c>
      <c r="AP65" s="24">
        <v>45025</v>
      </c>
      <c r="AQ65" s="23" t="str">
        <f>TEXT(cadangan3[[#This Row],[Tanggal terjual]],"dddd")</f>
        <v>Sunday</v>
      </c>
    </row>
    <row r="66" spans="1:43" x14ac:dyDescent="0.2">
      <c r="A66" s="20">
        <v>65</v>
      </c>
      <c r="B66" s="21" t="str">
        <f>_xlfn.CONCAT("ORD-",INDEX(Helper!$B$2:$B$5,MATCH(cadangan3[[#This Row],[Marketplace]],Helper!$A$2:$A$5,0)),TEXT(cadangan3[[#This Row],[No]],"0000"),"-",TEXT(cadangan3[[#This Row],[Tanggal terjual]],"dd/mm/yy"))</f>
        <v>ORD-SP0065-26/04/23</v>
      </c>
      <c r="C66" t="s">
        <v>58</v>
      </c>
      <c r="D66" t="str">
        <f>IFERROR(INDEX(Katalog!$A$3:$A$12,MATCH(cadangan3[[#This Row],[ItemID A]],Katalog!$C$3:$C$12,0)),"-")</f>
        <v>Pakaian Wanita</v>
      </c>
      <c r="E66" t="str">
        <f>IFERROR(INDEX(Katalog!$B$3:$B$12,MATCH(cadangan3[[#This Row],[ItemID A]],Katalog!$C$3:$C$12,0)),"-")</f>
        <v>Dress</v>
      </c>
      <c r="F66">
        <v>1</v>
      </c>
      <c r="G66">
        <v>5</v>
      </c>
      <c r="H66" s="36">
        <f>IFERROR(INDEX(Katalog!$D$3:$D$12,MATCH(cadangan3[[#This Row],[ItemID A]],Katalog!$C$3:$C$12,0))*cadangan3[[#This Row],[Qty A]],0)</f>
        <v>300000</v>
      </c>
      <c r="I66" s="36">
        <f>IFERROR(INDEX(Katalog!$D$3:$D$12,MATCH(cadangan3[[#This Row],[Item A]],Katalog!$B$3:$B$12,0))*cadangan3[[#This Row],[Qty A]],0)</f>
        <v>300000</v>
      </c>
      <c r="J66" s="36">
        <f>IFERROR(cadangan3[[#This Row],[Harga Asli A]]-(cadangan3[[#This Row],[Harga Asli A]]*cadangan3[[#This Row],[Diskon]]),cadangan3[[#This Row],[Harga Asli A]])</f>
        <v>240000</v>
      </c>
      <c r="K66" s="36">
        <f>INDEX(Katalog!$F$3:$F$12,MATCH(cadangan3[[#This Row],[ItemID A]],Katalog!$C$3:$C$12,0))*cadangan3[[#This Row],[Qty A]]</f>
        <v>100000</v>
      </c>
      <c r="L66" s="36">
        <f>IFERROR(cadangan3[[#This Row],[Profit A]]-(cadangan3[[#This Row],[Profit A]]*cadangan3[[#This Row],[Diskon]]),K66)</f>
        <v>80000</v>
      </c>
      <c r="N66" t="str">
        <f>IFERROR(INDEX(Katalog!$A$3:$A$12,MATCH(cadangan3[[#This Row],[ItemID B]],Katalog!$C$3:$C$12,0)),"-")</f>
        <v>-</v>
      </c>
      <c r="O66" t="str">
        <f>IFERROR(INDEX(Katalog!$B$3:$B$12,MATCH(cadangan3[[#This Row],[ItemID B]],Katalog!$C$3:$C$12,0)),"-")</f>
        <v>-</v>
      </c>
      <c r="R66" s="36">
        <f>IFERROR(INDEX(Katalog!$D$3:$D$12,MATCH(cadangan3[[#This Row],[ItemID B]],Katalog!$C$3:$C$12,0))*cadangan3[[#This Row],[Qty B]],0)</f>
        <v>0</v>
      </c>
      <c r="S66" s="36">
        <f>IFERROR(INDEX(Katalog!$D$3:$D$12,MATCH(cadangan3[[#This Row],[Item B]],Katalog!$B$3:$B$12,0))*cadangan3[[#This Row],[Qty B]],0)</f>
        <v>0</v>
      </c>
      <c r="T66" s="36">
        <f>IFERROR(cadangan3[[#This Row],[Harga Asli B]]-(cadangan3[[#This Row],[Harga Asli B]]*cadangan3[[#This Row],[Diskon]]),cadangan3[[#This Row],[Harga Asli B]])</f>
        <v>0</v>
      </c>
      <c r="U66" s="36">
        <f>IFERROR(INDEX(Katalog!$F$3:$F$12,MATCH(cadangan3[[#This Row],[ItemID B]],Katalog!$C$3:$C$12,0))*cadangan3[[#This Row],[Qty B]],0)</f>
        <v>0</v>
      </c>
      <c r="V66" s="36">
        <f>IFERROR(cadangan3[[#This Row],[Profit B]]-(cadangan3[[#This Row],[Profit B]]*cadangan3[[#This Row],[Diskon]]),U66)</f>
        <v>0</v>
      </c>
      <c r="X66" t="str">
        <f>IFERROR(INDEX(Katalog!$A$3:$A$12,MATCH(cadangan3[[#This Row],[ItemID C]],Katalog!$C$3:$C$12,0)),"-")</f>
        <v>-</v>
      </c>
      <c r="Y66" t="str">
        <f>IFERROR(INDEX(Katalog!$B$3:$B$12,MATCH(cadangan3[[#This Row],[ItemID C]],Katalog!$C$3:$C$12,0)),"-")</f>
        <v>-</v>
      </c>
      <c r="AB66" s="36">
        <f>IFERROR(INDEX(Katalog!$D$3:$D$12,MATCH(cadangan3[[#This Row],[ItemID C]],Katalog!$C$3:$C$12,0))*cadangan3[[#This Row],[Qty C]],0)</f>
        <v>0</v>
      </c>
      <c r="AC66" s="36">
        <f>IFERROR(INDEX(Katalog!$D$3:$D$12,MATCH(cadangan3[[#This Row],[Item C]],Katalog!$B$3:$B$12,0))*cadangan3[[#This Row],[Qty C]],0)</f>
        <v>0</v>
      </c>
      <c r="AD66" s="36">
        <f>IFERROR(cadangan3[[#This Row],[Harga Asli C]]-(cadangan3[[#This Row],[Harga Asli C]]*cadangan3[[#This Row],[Diskon]]),cadangan3[[#This Row],[Harga Asli C]])</f>
        <v>0</v>
      </c>
      <c r="AE66" s="36">
        <f>IFERROR(INDEX(Katalog!$F$3:$F$12,MATCH(cadangan3[[#This Row],[ItemID C]],Katalog!$C$3:$C$12,0))*cadangan3[[#This Row],[Qty C]],0)</f>
        <v>0</v>
      </c>
      <c r="AF66" s="36">
        <f>IFERROR(cadangan3[[#This Row],[Profit C]]-(cadangan3[[#This Row],[Profit C]]*cadangan3[[#This Row],[Diskon]]),cadangan3[[#This Row],[Profit C]])</f>
        <v>0</v>
      </c>
      <c r="AG66" s="21">
        <f>cadangan3[[#This Row],[Qty A]]+cadangan3[[#This Row],[Qty B]]+cadangan3[[#This Row],[Qty C]]</f>
        <v>1</v>
      </c>
      <c r="AH66" s="35">
        <f>cadangan3[[#This Row],[Harga A + Diskon]]+cadangan3[[#This Row],[Harga + Diskon B]]+cadangan3[[#This Row],[Harga + Diskon C]]</f>
        <v>240000</v>
      </c>
      <c r="AI66" s="35">
        <f>(cadangan3[[#This Row],[Profit A]]+cadangan3[[#This Row],[Profit B]]+cadangan3[[#This Row],[Profit C]])</f>
        <v>100000</v>
      </c>
      <c r="AJ66" s="35">
        <f>cadangan3[[#This Row],[Provit A + Diskon]]+cadangan3[[#This Row],[Provit B + Diskon]]+cadangan3[[#This Row],[Provit C + Diskon]]</f>
        <v>80000</v>
      </c>
      <c r="AK66" s="23" t="s">
        <v>8</v>
      </c>
      <c r="AL66" s="37">
        <f>IFERROR(INDEX('Kode Diskon'!$D$3:$D$9,MATCH(cadangan3[[#This Row],[Kode diskon]],'Kode Diskon'!$C$3:$C$9,0)),"-")</f>
        <v>0.2</v>
      </c>
      <c r="AM66" s="23" t="s">
        <v>9</v>
      </c>
      <c r="AN66" s="23" t="s">
        <v>7</v>
      </c>
      <c r="AO66" s="23" t="s">
        <v>79</v>
      </c>
      <c r="AP66" s="24">
        <v>45042</v>
      </c>
      <c r="AQ66" s="23" t="str">
        <f>TEXT(cadangan3[[#This Row],[Tanggal terjual]],"dddd")</f>
        <v>Wednesday</v>
      </c>
    </row>
    <row r="67" spans="1:43" x14ac:dyDescent="0.2">
      <c r="A67" s="20">
        <v>66</v>
      </c>
      <c r="B67" s="21" t="str">
        <f>_xlfn.CONCAT("ORD-",INDEX(Helper!$B$2:$B$5,MATCH(cadangan3[[#This Row],[Marketplace]],Helper!$A$2:$A$5,0)),TEXT(cadangan3[[#This Row],[No]],"0000"),"-",TEXT(cadangan3[[#This Row],[Tanggal terjual]],"dd/mm/yy"))</f>
        <v>ORD-TK0066-03/04/23</v>
      </c>
      <c r="C67" t="s">
        <v>59</v>
      </c>
      <c r="D67" t="str">
        <f>IFERROR(INDEX(Katalog!$A$3:$A$12,MATCH(cadangan3[[#This Row],[ItemID A]],Katalog!$C$3:$C$12,0)),"-")</f>
        <v>Pakaian Wanita</v>
      </c>
      <c r="E67" t="str">
        <f>IFERROR(INDEX(Katalog!$B$3:$B$12,MATCH(cadangan3[[#This Row],[ItemID A]],Katalog!$C$3:$C$12,0)),"-")</f>
        <v>Blouse</v>
      </c>
      <c r="F67">
        <v>1</v>
      </c>
      <c r="G67">
        <v>2</v>
      </c>
      <c r="H67" s="36">
        <f>IFERROR(INDEX(Katalog!$D$3:$D$12,MATCH(cadangan3[[#This Row],[ItemID A]],Katalog!$C$3:$C$12,0))*cadangan3[[#This Row],[Qty A]],0)</f>
        <v>150000</v>
      </c>
      <c r="I67" s="36">
        <f>IFERROR(INDEX(Katalog!$D$3:$D$12,MATCH(cadangan3[[#This Row],[Item A]],Katalog!$B$3:$B$12,0))*cadangan3[[#This Row],[Qty A]],0)</f>
        <v>150000</v>
      </c>
      <c r="J67" s="36">
        <f>IFERROR(cadangan3[[#This Row],[Harga Asli A]]-(cadangan3[[#This Row],[Harga Asli A]]*cadangan3[[#This Row],[Diskon]]),cadangan3[[#This Row],[Harga Asli A]])</f>
        <v>135000</v>
      </c>
      <c r="K67" s="36">
        <f>INDEX(Katalog!$F$3:$F$12,MATCH(cadangan3[[#This Row],[ItemID A]],Katalog!$C$3:$C$12,0))*cadangan3[[#This Row],[Qty A]]</f>
        <v>50000</v>
      </c>
      <c r="L67" s="36">
        <f>IFERROR(cadangan3[[#This Row],[Profit A]]-(cadangan3[[#This Row],[Profit A]]*cadangan3[[#This Row],[Diskon]]),K67)</f>
        <v>45000</v>
      </c>
      <c r="M67" t="s">
        <v>65</v>
      </c>
      <c r="N67" t="str">
        <f>IFERROR(INDEX(Katalog!$A$3:$A$12,MATCH(cadangan3[[#This Row],[ItemID B]],Katalog!$C$3:$C$12,0)),"-")</f>
        <v>Sepatu Pria</v>
      </c>
      <c r="O67" t="str">
        <f>IFERROR(INDEX(Katalog!$B$3:$B$12,MATCH(cadangan3[[#This Row],[ItemID B]],Katalog!$C$3:$C$12,0)),"-")</f>
        <v>Sneakers</v>
      </c>
      <c r="P67">
        <v>2</v>
      </c>
      <c r="Q67">
        <v>1</v>
      </c>
      <c r="R67" s="36">
        <f>IFERROR(INDEX(Katalog!$D$3:$D$12,MATCH(cadangan3[[#This Row],[ItemID B]],Katalog!$C$3:$C$12,0))*cadangan3[[#This Row],[Qty B]],0)</f>
        <v>1000000</v>
      </c>
      <c r="S67" s="36">
        <f>IFERROR(INDEX(Katalog!$D$3:$D$12,MATCH(cadangan3[[#This Row],[Item B]],Katalog!$B$3:$B$12,0))*cadangan3[[#This Row],[Qty B]],0)</f>
        <v>1000000</v>
      </c>
      <c r="T67" s="36">
        <f>IFERROR(cadangan3[[#This Row],[Harga Asli B]]-(cadangan3[[#This Row],[Harga Asli B]]*cadangan3[[#This Row],[Diskon]]),cadangan3[[#This Row],[Harga Asli B]])</f>
        <v>900000</v>
      </c>
      <c r="U67" s="36">
        <f>IFERROR(INDEX(Katalog!$F$3:$F$12,MATCH(cadangan3[[#This Row],[ItemID B]],Katalog!$C$3:$C$12,0))*cadangan3[[#This Row],[Qty B]],0)</f>
        <v>400000</v>
      </c>
      <c r="V67" s="36">
        <f>IFERROR(cadangan3[[#This Row],[Profit B]]-(cadangan3[[#This Row],[Profit B]]*cadangan3[[#This Row],[Diskon]]),U67)</f>
        <v>360000</v>
      </c>
      <c r="W67" t="s">
        <v>61</v>
      </c>
      <c r="X67" t="str">
        <f>IFERROR(INDEX(Katalog!$A$3:$A$12,MATCH(cadangan3[[#This Row],[ItemID C]],Katalog!$C$3:$C$12,0)),"-")</f>
        <v>Pakaian Pria</v>
      </c>
      <c r="Y67" t="str">
        <f>IFERROR(INDEX(Katalog!$B$3:$B$12,MATCH(cadangan3[[#This Row],[ItemID C]],Katalog!$C$3:$C$12,0)),"-")</f>
        <v>Kaos Polo</v>
      </c>
      <c r="Z67">
        <v>1</v>
      </c>
      <c r="AA67">
        <v>5</v>
      </c>
      <c r="AB67" s="36">
        <f>IFERROR(INDEX(Katalog!$D$3:$D$12,MATCH(cadangan3[[#This Row],[ItemID C]],Katalog!$C$3:$C$12,0))*cadangan3[[#This Row],[Qty C]],0)</f>
        <v>200000</v>
      </c>
      <c r="AC67" s="36">
        <f>IFERROR(INDEX(Katalog!$D$3:$D$12,MATCH(cadangan3[[#This Row],[Item C]],Katalog!$B$3:$B$12,0))*cadangan3[[#This Row],[Qty C]],0)</f>
        <v>200000</v>
      </c>
      <c r="AD67" s="36">
        <f>IFERROR(cadangan3[[#This Row],[Harga Asli C]]-(cadangan3[[#This Row],[Harga Asli C]]*cadangan3[[#This Row],[Diskon]]),cadangan3[[#This Row],[Harga Asli C]])</f>
        <v>180000</v>
      </c>
      <c r="AE67" s="36">
        <f>IFERROR(INDEX(Katalog!$F$3:$F$12,MATCH(cadangan3[[#This Row],[ItemID C]],Katalog!$C$3:$C$12,0))*cadangan3[[#This Row],[Qty C]],0)</f>
        <v>80000</v>
      </c>
      <c r="AF67" s="36">
        <f>IFERROR(cadangan3[[#This Row],[Profit C]]-(cadangan3[[#This Row],[Profit C]]*cadangan3[[#This Row],[Diskon]]),cadangan3[[#This Row],[Profit C]])</f>
        <v>72000</v>
      </c>
      <c r="AG67" s="21">
        <f>cadangan3[[#This Row],[Qty A]]+cadangan3[[#This Row],[Qty B]]+cadangan3[[#This Row],[Qty C]]</f>
        <v>4</v>
      </c>
      <c r="AH67" s="35">
        <f>cadangan3[[#This Row],[Harga A + Diskon]]+cadangan3[[#This Row],[Harga + Diskon B]]+cadangan3[[#This Row],[Harga + Diskon C]]</f>
        <v>1215000</v>
      </c>
      <c r="AI67" s="35">
        <f>(cadangan3[[#This Row],[Profit A]]+cadangan3[[#This Row],[Profit B]]+cadangan3[[#This Row],[Profit C]])</f>
        <v>530000</v>
      </c>
      <c r="AJ67" s="35">
        <f>cadangan3[[#This Row],[Provit A + Diskon]]+cadangan3[[#This Row],[Provit B + Diskon]]+cadangan3[[#This Row],[Provit C + Diskon]]</f>
        <v>477000</v>
      </c>
      <c r="AK67" s="23" t="s">
        <v>30</v>
      </c>
      <c r="AL67" s="37">
        <f>IFERROR(INDEX('Kode Diskon'!$D$3:$D$9,MATCH(cadangan3[[#This Row],[Kode diskon]],'Kode Diskon'!$C$3:$C$9,0)),"-")</f>
        <v>0.1</v>
      </c>
      <c r="AM67" s="23" t="s">
        <v>29</v>
      </c>
      <c r="AN67" s="23" t="s">
        <v>10</v>
      </c>
      <c r="AO67" s="23" t="s">
        <v>80</v>
      </c>
      <c r="AP67" s="24">
        <v>45019</v>
      </c>
      <c r="AQ67" s="23" t="str">
        <f>TEXT(cadangan3[[#This Row],[Tanggal terjual]],"dddd")</f>
        <v>Monday</v>
      </c>
    </row>
    <row r="68" spans="1:43" x14ac:dyDescent="0.2">
      <c r="A68" s="20">
        <v>67</v>
      </c>
      <c r="B68" s="21" t="str">
        <f>_xlfn.CONCAT("ORD-",INDEX(Helper!$B$2:$B$5,MATCH(cadangan3[[#This Row],[Marketplace]],Helper!$A$2:$A$5,0)),TEXT(cadangan3[[#This Row],[No]],"0000"),"-",TEXT(cadangan3[[#This Row],[Tanggal terjual]],"dd/mm/yy"))</f>
        <v>ORD-SP0067-19/04/23</v>
      </c>
      <c r="C68" t="s">
        <v>65</v>
      </c>
      <c r="D68" t="str">
        <f>IFERROR(INDEX(Katalog!$A$3:$A$12,MATCH(cadangan3[[#This Row],[ItemID A]],Katalog!$C$3:$C$12,0)),"-")</f>
        <v>Sepatu Pria</v>
      </c>
      <c r="E68" t="str">
        <f>IFERROR(INDEX(Katalog!$B$3:$B$12,MATCH(cadangan3[[#This Row],[ItemID A]],Katalog!$C$3:$C$12,0)),"-")</f>
        <v>Sneakers</v>
      </c>
      <c r="F68">
        <v>3</v>
      </c>
      <c r="G68">
        <v>1</v>
      </c>
      <c r="H68" s="36">
        <f>IFERROR(INDEX(Katalog!$D$3:$D$12,MATCH(cadangan3[[#This Row],[ItemID A]],Katalog!$C$3:$C$12,0))*cadangan3[[#This Row],[Qty A]],0)</f>
        <v>1500000</v>
      </c>
      <c r="I68" s="36">
        <f>IFERROR(INDEX(Katalog!$D$3:$D$12,MATCH(cadangan3[[#This Row],[Item A]],Katalog!$B$3:$B$12,0))*cadangan3[[#This Row],[Qty A]],0)</f>
        <v>1500000</v>
      </c>
      <c r="J68" s="36">
        <f>IFERROR(cadangan3[[#This Row],[Harga Asli A]]-(cadangan3[[#This Row],[Harga Asli A]]*cadangan3[[#This Row],[Diskon]]),cadangan3[[#This Row],[Harga Asli A]])</f>
        <v>1200000</v>
      </c>
      <c r="K68" s="36">
        <f>INDEX(Katalog!$F$3:$F$12,MATCH(cadangan3[[#This Row],[ItemID A]],Katalog!$C$3:$C$12,0))*cadangan3[[#This Row],[Qty A]]</f>
        <v>600000</v>
      </c>
      <c r="L68" s="36">
        <f>IFERROR(cadangan3[[#This Row],[Profit A]]-(cadangan3[[#This Row],[Profit A]]*cadangan3[[#This Row],[Diskon]]),K68)</f>
        <v>480000</v>
      </c>
      <c r="M68" t="s">
        <v>62</v>
      </c>
      <c r="N68" t="str">
        <f>IFERROR(INDEX(Katalog!$A$3:$A$12,MATCH(cadangan3[[#This Row],[ItemID B]],Katalog!$C$3:$C$12,0)),"-")</f>
        <v>Pakaian Pria</v>
      </c>
      <c r="O68" t="str">
        <f>IFERROR(INDEX(Katalog!$B$3:$B$12,MATCH(cadangan3[[#This Row],[ItemID B]],Katalog!$C$3:$C$12,0)),"-")</f>
        <v>Celana Pendek</v>
      </c>
      <c r="P68">
        <v>1</v>
      </c>
      <c r="Q68">
        <v>1</v>
      </c>
      <c r="R68" s="36">
        <f>IFERROR(INDEX(Katalog!$D$3:$D$12,MATCH(cadangan3[[#This Row],[ItemID B]],Katalog!$C$3:$C$12,0))*cadangan3[[#This Row],[Qty B]],0)</f>
        <v>180000</v>
      </c>
      <c r="S68" s="36">
        <f>IFERROR(INDEX(Katalog!$D$3:$D$12,MATCH(cadangan3[[#This Row],[Item B]],Katalog!$B$3:$B$12,0))*cadangan3[[#This Row],[Qty B]],0)</f>
        <v>180000</v>
      </c>
      <c r="T68" s="36">
        <f>IFERROR(cadangan3[[#This Row],[Harga Asli B]]-(cadangan3[[#This Row],[Harga Asli B]]*cadangan3[[#This Row],[Diskon]]),cadangan3[[#This Row],[Harga Asli B]])</f>
        <v>144000</v>
      </c>
      <c r="U68" s="36">
        <f>IFERROR(INDEX(Katalog!$F$3:$F$12,MATCH(cadangan3[[#This Row],[ItemID B]],Katalog!$C$3:$C$12,0))*cadangan3[[#This Row],[Qty B]],0)</f>
        <v>70000</v>
      </c>
      <c r="V68" s="36">
        <f>IFERROR(cadangan3[[#This Row],[Profit B]]-(cadangan3[[#This Row],[Profit B]]*cadangan3[[#This Row],[Diskon]]),U68)</f>
        <v>56000</v>
      </c>
      <c r="W68" t="s">
        <v>67</v>
      </c>
      <c r="X68" t="str">
        <f>IFERROR(INDEX(Katalog!$A$3:$A$12,MATCH(cadangan3[[#This Row],[ItemID C]],Katalog!$C$3:$C$12,0)),"-")</f>
        <v>Sepatu Wanita</v>
      </c>
      <c r="Y68" t="str">
        <f>IFERROR(INDEX(Katalog!$B$3:$B$12,MATCH(cadangan3[[#This Row],[ItemID C]],Katalog!$C$3:$C$12,0)),"-")</f>
        <v>Flat Shoes</v>
      </c>
      <c r="Z68">
        <v>2</v>
      </c>
      <c r="AA68">
        <v>3</v>
      </c>
      <c r="AB68" s="36">
        <f>IFERROR(INDEX(Katalog!$D$3:$D$12,MATCH(cadangan3[[#This Row],[ItemID C]],Katalog!$C$3:$C$12,0))*cadangan3[[#This Row],[Qty C]],0)</f>
        <v>500000</v>
      </c>
      <c r="AC68" s="36">
        <f>IFERROR(INDEX(Katalog!$D$3:$D$12,MATCH(cadangan3[[#This Row],[Item C]],Katalog!$B$3:$B$12,0))*cadangan3[[#This Row],[Qty C]],0)</f>
        <v>500000</v>
      </c>
      <c r="AD68" s="36">
        <f>IFERROR(cadangan3[[#This Row],[Harga Asli C]]-(cadangan3[[#This Row],[Harga Asli C]]*cadangan3[[#This Row],[Diskon]]),cadangan3[[#This Row],[Harga Asli C]])</f>
        <v>400000</v>
      </c>
      <c r="AE68" s="36">
        <f>IFERROR(INDEX(Katalog!$F$3:$F$12,MATCH(cadangan3[[#This Row],[ItemID C]],Katalog!$C$3:$C$12,0))*cadangan3[[#This Row],[Qty C]],0)</f>
        <v>200000</v>
      </c>
      <c r="AF68" s="36">
        <f>IFERROR(cadangan3[[#This Row],[Profit C]]-(cadangan3[[#This Row],[Profit C]]*cadangan3[[#This Row],[Diskon]]),cadangan3[[#This Row],[Profit C]])</f>
        <v>160000</v>
      </c>
      <c r="AG68" s="21">
        <f>cadangan3[[#This Row],[Qty A]]+cadangan3[[#This Row],[Qty B]]+cadangan3[[#This Row],[Qty C]]</f>
        <v>6</v>
      </c>
      <c r="AH68" s="35">
        <f>cadangan3[[#This Row],[Harga A + Diskon]]+cadangan3[[#This Row],[Harga + Diskon B]]+cadangan3[[#This Row],[Harga + Diskon C]]</f>
        <v>1744000</v>
      </c>
      <c r="AI68" s="35">
        <f>(cadangan3[[#This Row],[Profit A]]+cadangan3[[#This Row],[Profit B]]+cadangan3[[#This Row],[Profit C]])</f>
        <v>870000</v>
      </c>
      <c r="AJ68" s="35">
        <f>cadangan3[[#This Row],[Provit A + Diskon]]+cadangan3[[#This Row],[Provit B + Diskon]]+cadangan3[[#This Row],[Provit C + Diskon]]</f>
        <v>696000</v>
      </c>
      <c r="AK68" s="23" t="s">
        <v>8</v>
      </c>
      <c r="AL68" s="37">
        <f>IFERROR(INDEX('Kode Diskon'!$D$3:$D$9,MATCH(cadangan3[[#This Row],[Kode diskon]],'Kode Diskon'!$C$3:$C$9,0)),"-")</f>
        <v>0.2</v>
      </c>
      <c r="AM68" s="23" t="s">
        <v>9</v>
      </c>
      <c r="AN68" s="23" t="s">
        <v>7</v>
      </c>
      <c r="AO68" s="23" t="s">
        <v>80</v>
      </c>
      <c r="AP68" s="24">
        <v>45035</v>
      </c>
      <c r="AQ68" s="23" t="str">
        <f>TEXT(cadangan3[[#This Row],[Tanggal terjual]],"dddd")</f>
        <v>Wednesday</v>
      </c>
    </row>
    <row r="69" spans="1:43" x14ac:dyDescent="0.2">
      <c r="A69" s="20">
        <v>68</v>
      </c>
      <c r="B69" s="21" t="str">
        <f>_xlfn.CONCAT("ORD-",INDEX(Helper!$B$2:$B$5,MATCH(cadangan3[[#This Row],[Marketplace]],Helper!$A$2:$A$5,0)),TEXT(cadangan3[[#This Row],[No]],"0000"),"-",TEXT(cadangan3[[#This Row],[Tanggal terjual]],"dd/mm/yy"))</f>
        <v>ORD-SP0068-05/04/23</v>
      </c>
      <c r="C69" t="s">
        <v>59</v>
      </c>
      <c r="D69" t="str">
        <f>IFERROR(INDEX(Katalog!$A$3:$A$12,MATCH(cadangan3[[#This Row],[ItemID A]],Katalog!$C$3:$C$12,0)),"-")</f>
        <v>Pakaian Wanita</v>
      </c>
      <c r="E69" t="str">
        <f>IFERROR(INDEX(Katalog!$B$3:$B$12,MATCH(cadangan3[[#This Row],[ItemID A]],Katalog!$C$3:$C$12,0)),"-")</f>
        <v>Blouse</v>
      </c>
      <c r="F69">
        <v>2</v>
      </c>
      <c r="G69">
        <v>3</v>
      </c>
      <c r="H69" s="36">
        <f>IFERROR(INDEX(Katalog!$D$3:$D$12,MATCH(cadangan3[[#This Row],[ItemID A]],Katalog!$C$3:$C$12,0))*cadangan3[[#This Row],[Qty A]],0)</f>
        <v>300000</v>
      </c>
      <c r="I69" s="36">
        <f>IFERROR(INDEX(Katalog!$D$3:$D$12,MATCH(cadangan3[[#This Row],[Item A]],Katalog!$B$3:$B$12,0))*cadangan3[[#This Row],[Qty A]],0)</f>
        <v>300000</v>
      </c>
      <c r="J69" s="36">
        <f>IFERROR(cadangan3[[#This Row],[Harga Asli A]]-(cadangan3[[#This Row],[Harga Asli A]]*cadangan3[[#This Row],[Diskon]]),cadangan3[[#This Row],[Harga Asli A]])</f>
        <v>255000</v>
      </c>
      <c r="K69" s="36">
        <f>INDEX(Katalog!$F$3:$F$12,MATCH(cadangan3[[#This Row],[ItemID A]],Katalog!$C$3:$C$12,0))*cadangan3[[#This Row],[Qty A]]</f>
        <v>100000</v>
      </c>
      <c r="L69" s="36">
        <f>IFERROR(cadangan3[[#This Row],[Profit A]]-(cadangan3[[#This Row],[Profit A]]*cadangan3[[#This Row],[Diskon]]),K69)</f>
        <v>85000</v>
      </c>
      <c r="N69" t="str">
        <f>IFERROR(INDEX(Katalog!$A$3:$A$12,MATCH(cadangan3[[#This Row],[ItemID B]],Katalog!$C$3:$C$12,0)),"-")</f>
        <v>-</v>
      </c>
      <c r="O69" t="str">
        <f>IFERROR(INDEX(Katalog!$B$3:$B$12,MATCH(cadangan3[[#This Row],[ItemID B]],Katalog!$C$3:$C$12,0)),"-")</f>
        <v>-</v>
      </c>
      <c r="R69" s="36">
        <f>IFERROR(INDEX(Katalog!$D$3:$D$12,MATCH(cadangan3[[#This Row],[ItemID B]],Katalog!$C$3:$C$12,0))*cadangan3[[#This Row],[Qty B]],0)</f>
        <v>0</v>
      </c>
      <c r="S69" s="36">
        <f>IFERROR(INDEX(Katalog!$D$3:$D$12,MATCH(cadangan3[[#This Row],[Item B]],Katalog!$B$3:$B$12,0))*cadangan3[[#This Row],[Qty B]],0)</f>
        <v>0</v>
      </c>
      <c r="T69" s="36">
        <f>IFERROR(cadangan3[[#This Row],[Harga Asli B]]-(cadangan3[[#This Row],[Harga Asli B]]*cadangan3[[#This Row],[Diskon]]),cadangan3[[#This Row],[Harga Asli B]])</f>
        <v>0</v>
      </c>
      <c r="U69" s="36">
        <f>IFERROR(INDEX(Katalog!$F$3:$F$12,MATCH(cadangan3[[#This Row],[ItemID B]],Katalog!$C$3:$C$12,0))*cadangan3[[#This Row],[Qty B]],0)</f>
        <v>0</v>
      </c>
      <c r="V69" s="36">
        <f>IFERROR(cadangan3[[#This Row],[Profit B]]-(cadangan3[[#This Row],[Profit B]]*cadangan3[[#This Row],[Diskon]]),U69)</f>
        <v>0</v>
      </c>
      <c r="X69" t="str">
        <f>IFERROR(INDEX(Katalog!$A$3:$A$12,MATCH(cadangan3[[#This Row],[ItemID C]],Katalog!$C$3:$C$12,0)),"-")</f>
        <v>-</v>
      </c>
      <c r="Y69" t="str">
        <f>IFERROR(INDEX(Katalog!$B$3:$B$12,MATCH(cadangan3[[#This Row],[ItemID C]],Katalog!$C$3:$C$12,0)),"-")</f>
        <v>-</v>
      </c>
      <c r="AB69" s="36">
        <f>IFERROR(INDEX(Katalog!$D$3:$D$12,MATCH(cadangan3[[#This Row],[ItemID C]],Katalog!$C$3:$C$12,0))*cadangan3[[#This Row],[Qty C]],0)</f>
        <v>0</v>
      </c>
      <c r="AC69" s="36">
        <f>IFERROR(INDEX(Katalog!$D$3:$D$12,MATCH(cadangan3[[#This Row],[Item C]],Katalog!$B$3:$B$12,0))*cadangan3[[#This Row],[Qty C]],0)</f>
        <v>0</v>
      </c>
      <c r="AD69" s="36">
        <f>IFERROR(cadangan3[[#This Row],[Harga Asli C]]-(cadangan3[[#This Row],[Harga Asli C]]*cadangan3[[#This Row],[Diskon]]),cadangan3[[#This Row],[Harga Asli C]])</f>
        <v>0</v>
      </c>
      <c r="AE69" s="36">
        <f>IFERROR(INDEX(Katalog!$F$3:$F$12,MATCH(cadangan3[[#This Row],[ItemID C]],Katalog!$C$3:$C$12,0))*cadangan3[[#This Row],[Qty C]],0)</f>
        <v>0</v>
      </c>
      <c r="AF69" s="36">
        <f>IFERROR(cadangan3[[#This Row],[Profit C]]-(cadangan3[[#This Row],[Profit C]]*cadangan3[[#This Row],[Diskon]]),cadangan3[[#This Row],[Profit C]])</f>
        <v>0</v>
      </c>
      <c r="AG69" s="21">
        <f>cadangan3[[#This Row],[Qty A]]+cadangan3[[#This Row],[Qty B]]+cadangan3[[#This Row],[Qty C]]</f>
        <v>2</v>
      </c>
      <c r="AH69" s="35">
        <f>cadangan3[[#This Row],[Harga A + Diskon]]+cadangan3[[#This Row],[Harga + Diskon B]]+cadangan3[[#This Row],[Harga + Diskon C]]</f>
        <v>255000</v>
      </c>
      <c r="AI69" s="35">
        <f>(cadangan3[[#This Row],[Profit A]]+cadangan3[[#This Row],[Profit B]]+cadangan3[[#This Row],[Profit C]])</f>
        <v>100000</v>
      </c>
      <c r="AJ69" s="35">
        <f>cadangan3[[#This Row],[Provit A + Diskon]]+cadangan3[[#This Row],[Provit B + Diskon]]+cadangan3[[#This Row],[Provit C + Diskon]]</f>
        <v>85000</v>
      </c>
      <c r="AK69" s="23" t="s">
        <v>13</v>
      </c>
      <c r="AL69" s="37">
        <f>IFERROR(INDEX('Kode Diskon'!$D$3:$D$9,MATCH(cadangan3[[#This Row],[Kode diskon]],'Kode Diskon'!$C$3:$C$9,0)),"-")</f>
        <v>0.15</v>
      </c>
      <c r="AM69" s="23" t="s">
        <v>29</v>
      </c>
      <c r="AN69" s="23" t="s">
        <v>7</v>
      </c>
      <c r="AO69" s="23" t="s">
        <v>79</v>
      </c>
      <c r="AP69" s="24">
        <v>45021</v>
      </c>
      <c r="AQ69" s="23" t="str">
        <f>TEXT(cadangan3[[#This Row],[Tanggal terjual]],"dddd")</f>
        <v>Wednesday</v>
      </c>
    </row>
    <row r="70" spans="1:43" x14ac:dyDescent="0.2">
      <c r="A70" s="20">
        <v>69</v>
      </c>
      <c r="B70" s="21" t="str">
        <f>_xlfn.CONCAT("ORD-",INDEX(Helper!$B$2:$B$5,MATCH(cadangan3[[#This Row],[Marketplace]],Helper!$A$2:$A$5,0)),TEXT(cadangan3[[#This Row],[No]],"0000"),"-",TEXT(cadangan3[[#This Row],[Tanggal terjual]],"dd/mm/yy"))</f>
        <v>ORD-TK0069-16/04/23</v>
      </c>
      <c r="C70" t="s">
        <v>59</v>
      </c>
      <c r="D70" t="str">
        <f>IFERROR(INDEX(Katalog!$A$3:$A$12,MATCH(cadangan3[[#This Row],[ItemID A]],Katalog!$C$3:$C$12,0)),"-")</f>
        <v>Pakaian Wanita</v>
      </c>
      <c r="E70" t="str">
        <f>IFERROR(INDEX(Katalog!$B$3:$B$12,MATCH(cadangan3[[#This Row],[ItemID A]],Katalog!$C$3:$C$12,0)),"-")</f>
        <v>Blouse</v>
      </c>
      <c r="F70">
        <v>4</v>
      </c>
      <c r="G70">
        <v>5</v>
      </c>
      <c r="H70" s="36">
        <f>IFERROR(INDEX(Katalog!$D$3:$D$12,MATCH(cadangan3[[#This Row],[ItemID A]],Katalog!$C$3:$C$12,0))*cadangan3[[#This Row],[Qty A]],0)</f>
        <v>600000</v>
      </c>
      <c r="I70" s="36">
        <f>IFERROR(INDEX(Katalog!$D$3:$D$12,MATCH(cadangan3[[#This Row],[Item A]],Katalog!$B$3:$B$12,0))*cadangan3[[#This Row],[Qty A]],0)</f>
        <v>600000</v>
      </c>
      <c r="J70" s="36">
        <f>IFERROR(cadangan3[[#This Row],[Harga Asli A]]-(cadangan3[[#This Row],[Harga Asli A]]*cadangan3[[#This Row],[Diskon]]),cadangan3[[#This Row],[Harga Asli A]])</f>
        <v>540000</v>
      </c>
      <c r="K70" s="36">
        <f>INDEX(Katalog!$F$3:$F$12,MATCH(cadangan3[[#This Row],[ItemID A]],Katalog!$C$3:$C$12,0))*cadangan3[[#This Row],[Qty A]]</f>
        <v>200000</v>
      </c>
      <c r="L70" s="36">
        <f>IFERROR(cadangan3[[#This Row],[Profit A]]-(cadangan3[[#This Row],[Profit A]]*cadangan3[[#This Row],[Diskon]]),K70)</f>
        <v>180000</v>
      </c>
      <c r="M70" t="s">
        <v>63</v>
      </c>
      <c r="N70" t="str">
        <f>IFERROR(INDEX(Katalog!$A$3:$A$12,MATCH(cadangan3[[#This Row],[ItemID B]],Katalog!$C$3:$C$12,0)),"-")</f>
        <v>Pakaian Pria</v>
      </c>
      <c r="O70" t="str">
        <f>IFERROR(INDEX(Katalog!$B$3:$B$12,MATCH(cadangan3[[#This Row],[ItemID B]],Katalog!$C$3:$C$12,0)),"-")</f>
        <v>Jaket Jeans</v>
      </c>
      <c r="P70">
        <v>3</v>
      </c>
      <c r="Q70">
        <v>1</v>
      </c>
      <c r="R70" s="36">
        <f>IFERROR(INDEX(Katalog!$D$3:$D$12,MATCH(cadangan3[[#This Row],[ItemID B]],Katalog!$C$3:$C$12,0))*cadangan3[[#This Row],[Qty B]],0)</f>
        <v>1200000</v>
      </c>
      <c r="S70" s="36">
        <f>IFERROR(INDEX(Katalog!$D$3:$D$12,MATCH(cadangan3[[#This Row],[Item B]],Katalog!$B$3:$B$12,0))*cadangan3[[#This Row],[Qty B]],0)</f>
        <v>1200000</v>
      </c>
      <c r="T70" s="36">
        <f>IFERROR(cadangan3[[#This Row],[Harga Asli B]]-(cadangan3[[#This Row],[Harga Asli B]]*cadangan3[[#This Row],[Diskon]]),cadangan3[[#This Row],[Harga Asli B]])</f>
        <v>1080000</v>
      </c>
      <c r="U70" s="36">
        <f>IFERROR(INDEX(Katalog!$F$3:$F$12,MATCH(cadangan3[[#This Row],[ItemID B]],Katalog!$C$3:$C$12,0))*cadangan3[[#This Row],[Qty B]],0)</f>
        <v>450000</v>
      </c>
      <c r="V70" s="36">
        <f>IFERROR(cadangan3[[#This Row],[Profit B]]-(cadangan3[[#This Row],[Profit B]]*cadangan3[[#This Row],[Diskon]]),U70)</f>
        <v>405000</v>
      </c>
      <c r="X70" t="str">
        <f>IFERROR(INDEX(Katalog!$A$3:$A$12,MATCH(cadangan3[[#This Row],[ItemID C]],Katalog!$C$3:$C$12,0)),"-")</f>
        <v>-</v>
      </c>
      <c r="Y70" t="str">
        <f>IFERROR(INDEX(Katalog!$B$3:$B$12,MATCH(cadangan3[[#This Row],[ItemID C]],Katalog!$C$3:$C$12,0)),"-")</f>
        <v>-</v>
      </c>
      <c r="AB70" s="36">
        <f>IFERROR(INDEX(Katalog!$D$3:$D$12,MATCH(cadangan3[[#This Row],[ItemID C]],Katalog!$C$3:$C$12,0))*cadangan3[[#This Row],[Qty C]],0)</f>
        <v>0</v>
      </c>
      <c r="AC70" s="36">
        <f>IFERROR(INDEX(Katalog!$D$3:$D$12,MATCH(cadangan3[[#This Row],[Item C]],Katalog!$B$3:$B$12,0))*cadangan3[[#This Row],[Qty C]],0)</f>
        <v>0</v>
      </c>
      <c r="AD70" s="36">
        <f>IFERROR(cadangan3[[#This Row],[Harga Asli C]]-(cadangan3[[#This Row],[Harga Asli C]]*cadangan3[[#This Row],[Diskon]]),cadangan3[[#This Row],[Harga Asli C]])</f>
        <v>0</v>
      </c>
      <c r="AE70" s="36">
        <f>IFERROR(INDEX(Katalog!$F$3:$F$12,MATCH(cadangan3[[#This Row],[ItemID C]],Katalog!$C$3:$C$12,0))*cadangan3[[#This Row],[Qty C]],0)</f>
        <v>0</v>
      </c>
      <c r="AF70" s="36">
        <f>IFERROR(cadangan3[[#This Row],[Profit C]]-(cadangan3[[#This Row],[Profit C]]*cadangan3[[#This Row],[Diskon]]),cadangan3[[#This Row],[Profit C]])</f>
        <v>0</v>
      </c>
      <c r="AG70" s="21">
        <f>cadangan3[[#This Row],[Qty A]]+cadangan3[[#This Row],[Qty B]]+cadangan3[[#This Row],[Qty C]]</f>
        <v>7</v>
      </c>
      <c r="AH70" s="35">
        <f>cadangan3[[#This Row],[Harga A + Diskon]]+cadangan3[[#This Row],[Harga + Diskon B]]+cadangan3[[#This Row],[Harga + Diskon C]]</f>
        <v>1620000</v>
      </c>
      <c r="AI70" s="35">
        <f>(cadangan3[[#This Row],[Profit A]]+cadangan3[[#This Row],[Profit B]]+cadangan3[[#This Row],[Profit C]])</f>
        <v>650000</v>
      </c>
      <c r="AJ70" s="35">
        <f>cadangan3[[#This Row],[Provit A + Diskon]]+cadangan3[[#This Row],[Provit B + Diskon]]+cadangan3[[#This Row],[Provit C + Diskon]]</f>
        <v>585000</v>
      </c>
      <c r="AK70" s="23" t="s">
        <v>31</v>
      </c>
      <c r="AL70" s="37">
        <f>IFERROR(INDEX('Kode Diskon'!$D$3:$D$9,MATCH(cadangan3[[#This Row],[Kode diskon]],'Kode Diskon'!$C$3:$C$9,0)),"-")</f>
        <v>0.1</v>
      </c>
      <c r="AM70" s="23" t="s">
        <v>9</v>
      </c>
      <c r="AN70" s="23" t="s">
        <v>10</v>
      </c>
      <c r="AO70" s="23" t="s">
        <v>76</v>
      </c>
      <c r="AP70" s="24">
        <v>45032</v>
      </c>
      <c r="AQ70" s="23" t="str">
        <f>TEXT(cadangan3[[#This Row],[Tanggal terjual]],"dddd")</f>
        <v>Sunday</v>
      </c>
    </row>
    <row r="71" spans="1:43" x14ac:dyDescent="0.2">
      <c r="A71" s="20">
        <v>70</v>
      </c>
      <c r="B71" s="21" t="str">
        <f>_xlfn.CONCAT("ORD-",INDEX(Helper!$B$2:$B$5,MATCH(cadangan3[[#This Row],[Marketplace]],Helper!$A$2:$A$5,0)),TEXT(cadangan3[[#This Row],[No]],"0000"),"-",TEXT(cadangan3[[#This Row],[Tanggal terjual]],"dd/mm/yy"))</f>
        <v>ORD-SP0070-01/04/23</v>
      </c>
      <c r="C71" t="s">
        <v>62</v>
      </c>
      <c r="D71" t="str">
        <f>IFERROR(INDEX(Katalog!$A$3:$A$12,MATCH(cadangan3[[#This Row],[ItemID A]],Katalog!$C$3:$C$12,0)),"-")</f>
        <v>Pakaian Pria</v>
      </c>
      <c r="E71" t="str">
        <f>IFERROR(INDEX(Katalog!$B$3:$B$12,MATCH(cadangan3[[#This Row],[ItemID A]],Katalog!$C$3:$C$12,0)),"-")</f>
        <v>Celana Pendek</v>
      </c>
      <c r="F71">
        <v>3</v>
      </c>
      <c r="G71">
        <v>3</v>
      </c>
      <c r="H71" s="36">
        <f>IFERROR(INDEX(Katalog!$D$3:$D$12,MATCH(cadangan3[[#This Row],[ItemID A]],Katalog!$C$3:$C$12,0))*cadangan3[[#This Row],[Qty A]],0)</f>
        <v>540000</v>
      </c>
      <c r="I71" s="36">
        <f>IFERROR(INDEX(Katalog!$D$3:$D$12,MATCH(cadangan3[[#This Row],[Item A]],Katalog!$B$3:$B$12,0))*cadangan3[[#This Row],[Qty A]],0)</f>
        <v>540000</v>
      </c>
      <c r="J71" s="36">
        <f>IFERROR(cadangan3[[#This Row],[Harga Asli A]]-(cadangan3[[#This Row],[Harga Asli A]]*cadangan3[[#This Row],[Diskon]]),cadangan3[[#This Row],[Harga Asli A]])</f>
        <v>486000</v>
      </c>
      <c r="K71" s="36">
        <f>INDEX(Katalog!$F$3:$F$12,MATCH(cadangan3[[#This Row],[ItemID A]],Katalog!$C$3:$C$12,0))*cadangan3[[#This Row],[Qty A]]</f>
        <v>210000</v>
      </c>
      <c r="L71" s="36">
        <f>IFERROR(cadangan3[[#This Row],[Profit A]]-(cadangan3[[#This Row],[Profit A]]*cadangan3[[#This Row],[Diskon]]),K71)</f>
        <v>189000</v>
      </c>
      <c r="M71" t="s">
        <v>66</v>
      </c>
      <c r="N71" t="str">
        <f>IFERROR(INDEX(Katalog!$A$3:$A$12,MATCH(cadangan3[[#This Row],[ItemID B]],Katalog!$C$3:$C$12,0)),"-")</f>
        <v>Sepatu Pria</v>
      </c>
      <c r="O71" t="str">
        <f>IFERROR(INDEX(Katalog!$B$3:$B$12,MATCH(cadangan3[[#This Row],[ItemID B]],Katalog!$C$3:$C$12,0)),"-")</f>
        <v>Sandal Slip On</v>
      </c>
      <c r="P71">
        <v>1</v>
      </c>
      <c r="Q71">
        <v>4</v>
      </c>
      <c r="R71" s="36">
        <f>IFERROR(INDEX(Katalog!$D$3:$D$12,MATCH(cadangan3[[#This Row],[ItemID B]],Katalog!$C$3:$C$12,0))*cadangan3[[#This Row],[Qty B]],0)</f>
        <v>150000</v>
      </c>
      <c r="S71" s="36">
        <f>IFERROR(INDEX(Katalog!$D$3:$D$12,MATCH(cadangan3[[#This Row],[Item B]],Katalog!$B$3:$B$12,0))*cadangan3[[#This Row],[Qty B]],0)</f>
        <v>150000</v>
      </c>
      <c r="T71" s="36">
        <f>IFERROR(cadangan3[[#This Row],[Harga Asli B]]-(cadangan3[[#This Row],[Harga Asli B]]*cadangan3[[#This Row],[Diskon]]),cadangan3[[#This Row],[Harga Asli B]])</f>
        <v>135000</v>
      </c>
      <c r="U71" s="36">
        <f>IFERROR(INDEX(Katalog!$F$3:$F$12,MATCH(cadangan3[[#This Row],[ItemID B]],Katalog!$C$3:$C$12,0))*cadangan3[[#This Row],[Qty B]],0)</f>
        <v>60000</v>
      </c>
      <c r="V71" s="36">
        <f>IFERROR(cadangan3[[#This Row],[Profit B]]-(cadangan3[[#This Row],[Profit B]]*cadangan3[[#This Row],[Diskon]]),U71)</f>
        <v>54000</v>
      </c>
      <c r="W71" t="s">
        <v>62</v>
      </c>
      <c r="X71" t="str">
        <f>IFERROR(INDEX(Katalog!$A$3:$A$12,MATCH(cadangan3[[#This Row],[ItemID C]],Katalog!$C$3:$C$12,0)),"-")</f>
        <v>Pakaian Pria</v>
      </c>
      <c r="Y71" t="str">
        <f>IFERROR(INDEX(Katalog!$B$3:$B$12,MATCH(cadangan3[[#This Row],[ItemID C]],Katalog!$C$3:$C$12,0)),"-")</f>
        <v>Celana Pendek</v>
      </c>
      <c r="Z71">
        <v>1</v>
      </c>
      <c r="AA71">
        <v>5</v>
      </c>
      <c r="AB71" s="36">
        <f>IFERROR(INDEX(Katalog!$D$3:$D$12,MATCH(cadangan3[[#This Row],[ItemID C]],Katalog!$C$3:$C$12,0))*cadangan3[[#This Row],[Qty C]],0)</f>
        <v>180000</v>
      </c>
      <c r="AC71" s="36">
        <f>IFERROR(INDEX(Katalog!$D$3:$D$12,MATCH(cadangan3[[#This Row],[Item C]],Katalog!$B$3:$B$12,0))*cadangan3[[#This Row],[Qty C]],0)</f>
        <v>180000</v>
      </c>
      <c r="AD71" s="36">
        <f>IFERROR(cadangan3[[#This Row],[Harga Asli C]]-(cadangan3[[#This Row],[Harga Asli C]]*cadangan3[[#This Row],[Diskon]]),cadangan3[[#This Row],[Harga Asli C]])</f>
        <v>162000</v>
      </c>
      <c r="AE71" s="36">
        <f>IFERROR(INDEX(Katalog!$F$3:$F$12,MATCH(cadangan3[[#This Row],[ItemID C]],Katalog!$C$3:$C$12,0))*cadangan3[[#This Row],[Qty C]],0)</f>
        <v>70000</v>
      </c>
      <c r="AF71" s="36">
        <f>IFERROR(cadangan3[[#This Row],[Profit C]]-(cadangan3[[#This Row],[Profit C]]*cadangan3[[#This Row],[Diskon]]),cadangan3[[#This Row],[Profit C]])</f>
        <v>63000</v>
      </c>
      <c r="AG71" s="21">
        <f>cadangan3[[#This Row],[Qty A]]+cadangan3[[#This Row],[Qty B]]+cadangan3[[#This Row],[Qty C]]</f>
        <v>5</v>
      </c>
      <c r="AH71" s="35">
        <f>cadangan3[[#This Row],[Harga A + Diskon]]+cadangan3[[#This Row],[Harga + Diskon B]]+cadangan3[[#This Row],[Harga + Diskon C]]</f>
        <v>783000</v>
      </c>
      <c r="AI71" s="35">
        <f>(cadangan3[[#This Row],[Profit A]]+cadangan3[[#This Row],[Profit B]]+cadangan3[[#This Row],[Profit C]])</f>
        <v>340000</v>
      </c>
      <c r="AJ71" s="35">
        <f>cadangan3[[#This Row],[Provit A + Diskon]]+cadangan3[[#This Row],[Provit B + Diskon]]+cadangan3[[#This Row],[Provit C + Diskon]]</f>
        <v>306000</v>
      </c>
      <c r="AK71" s="23" t="s">
        <v>6</v>
      </c>
      <c r="AL71" s="37">
        <f>IFERROR(INDEX('Kode Diskon'!$D$3:$D$9,MATCH(cadangan3[[#This Row],[Kode diskon]],'Kode Diskon'!$C$3:$C$9,0)),"-")</f>
        <v>0.1</v>
      </c>
      <c r="AM71" s="23" t="s">
        <v>29</v>
      </c>
      <c r="AN71" s="23" t="s">
        <v>7</v>
      </c>
      <c r="AO71" s="23" t="s">
        <v>75</v>
      </c>
      <c r="AP71" s="24">
        <v>45017</v>
      </c>
      <c r="AQ71" s="23" t="str">
        <f>TEXT(cadangan3[[#This Row],[Tanggal terjual]],"dddd")</f>
        <v>Saturday</v>
      </c>
    </row>
    <row r="72" spans="1:43" x14ac:dyDescent="0.2">
      <c r="A72" s="20">
        <v>71</v>
      </c>
      <c r="B72" s="21" t="str">
        <f>_xlfn.CONCAT("ORD-",INDEX(Helper!$B$2:$B$5,MATCH(cadangan3[[#This Row],[Marketplace]],Helper!$A$2:$A$5,0)),TEXT(cadangan3[[#This Row],[No]],"0000"),"-",TEXT(cadangan3[[#This Row],[Tanggal terjual]],"dd/mm/yy"))</f>
        <v>ORD-SP0071-06/04/23</v>
      </c>
      <c r="C72" t="s">
        <v>58</v>
      </c>
      <c r="D72" t="str">
        <f>IFERROR(INDEX(Katalog!$A$3:$A$12,MATCH(cadangan3[[#This Row],[ItemID A]],Katalog!$C$3:$C$12,0)),"-")</f>
        <v>Pakaian Wanita</v>
      </c>
      <c r="E72" t="str">
        <f>IFERROR(INDEX(Katalog!$B$3:$B$12,MATCH(cadangan3[[#This Row],[ItemID A]],Katalog!$C$3:$C$12,0)),"-")</f>
        <v>Dress</v>
      </c>
      <c r="F72">
        <v>4</v>
      </c>
      <c r="G72">
        <v>2</v>
      </c>
      <c r="H72" s="36">
        <f>IFERROR(INDEX(Katalog!$D$3:$D$12,MATCH(cadangan3[[#This Row],[ItemID A]],Katalog!$C$3:$C$12,0))*cadangan3[[#This Row],[Qty A]],0)</f>
        <v>1200000</v>
      </c>
      <c r="I72" s="36">
        <f>IFERROR(INDEX(Katalog!$D$3:$D$12,MATCH(cadangan3[[#This Row],[Item A]],Katalog!$B$3:$B$12,0))*cadangan3[[#This Row],[Qty A]],0)</f>
        <v>1200000</v>
      </c>
      <c r="J72" s="36">
        <f>IFERROR(cadangan3[[#This Row],[Harga Asli A]]-(cadangan3[[#This Row],[Harga Asli A]]*cadangan3[[#This Row],[Diskon]]),cadangan3[[#This Row],[Harga Asli A]])</f>
        <v>1080000</v>
      </c>
      <c r="K72" s="36">
        <f>INDEX(Katalog!$F$3:$F$12,MATCH(cadangan3[[#This Row],[ItemID A]],Katalog!$C$3:$C$12,0))*cadangan3[[#This Row],[Qty A]]</f>
        <v>400000</v>
      </c>
      <c r="L72" s="36">
        <f>IFERROR(cadangan3[[#This Row],[Profit A]]-(cadangan3[[#This Row],[Profit A]]*cadangan3[[#This Row],[Diskon]]),K72)</f>
        <v>360000</v>
      </c>
      <c r="M72" t="s">
        <v>63</v>
      </c>
      <c r="N72" t="str">
        <f>IFERROR(INDEX(Katalog!$A$3:$A$12,MATCH(cadangan3[[#This Row],[ItemID B]],Katalog!$C$3:$C$12,0)),"-")</f>
        <v>Pakaian Pria</v>
      </c>
      <c r="O72" t="str">
        <f>IFERROR(INDEX(Katalog!$B$3:$B$12,MATCH(cadangan3[[#This Row],[ItemID B]],Katalog!$C$3:$C$12,0)),"-")</f>
        <v>Jaket Jeans</v>
      </c>
      <c r="P72">
        <v>1</v>
      </c>
      <c r="Q72">
        <v>3</v>
      </c>
      <c r="R72" s="36">
        <f>IFERROR(INDEX(Katalog!$D$3:$D$12,MATCH(cadangan3[[#This Row],[ItemID B]],Katalog!$C$3:$C$12,0))*cadangan3[[#This Row],[Qty B]],0)</f>
        <v>400000</v>
      </c>
      <c r="S72" s="36">
        <f>IFERROR(INDEX(Katalog!$D$3:$D$12,MATCH(cadangan3[[#This Row],[Item B]],Katalog!$B$3:$B$12,0))*cadangan3[[#This Row],[Qty B]],0)</f>
        <v>400000</v>
      </c>
      <c r="T72" s="36">
        <f>IFERROR(cadangan3[[#This Row],[Harga Asli B]]-(cadangan3[[#This Row],[Harga Asli B]]*cadangan3[[#This Row],[Diskon]]),cadangan3[[#This Row],[Harga Asli B]])</f>
        <v>360000</v>
      </c>
      <c r="U72" s="36">
        <f>IFERROR(INDEX(Katalog!$F$3:$F$12,MATCH(cadangan3[[#This Row],[ItemID B]],Katalog!$C$3:$C$12,0))*cadangan3[[#This Row],[Qty B]],0)</f>
        <v>150000</v>
      </c>
      <c r="V72" s="36">
        <f>IFERROR(cadangan3[[#This Row],[Profit B]]-(cadangan3[[#This Row],[Profit B]]*cadangan3[[#This Row],[Diskon]]),U72)</f>
        <v>135000</v>
      </c>
      <c r="X72" t="str">
        <f>IFERROR(INDEX(Katalog!$A$3:$A$12,MATCH(cadangan3[[#This Row],[ItemID C]],Katalog!$C$3:$C$12,0)),"-")</f>
        <v>-</v>
      </c>
      <c r="Y72" t="str">
        <f>IFERROR(INDEX(Katalog!$B$3:$B$12,MATCH(cadangan3[[#This Row],[ItemID C]],Katalog!$C$3:$C$12,0)),"-")</f>
        <v>-</v>
      </c>
      <c r="AB72" s="36">
        <f>IFERROR(INDEX(Katalog!$D$3:$D$12,MATCH(cadangan3[[#This Row],[ItemID C]],Katalog!$C$3:$C$12,0))*cadangan3[[#This Row],[Qty C]],0)</f>
        <v>0</v>
      </c>
      <c r="AC72" s="36">
        <f>IFERROR(INDEX(Katalog!$D$3:$D$12,MATCH(cadangan3[[#This Row],[Item C]],Katalog!$B$3:$B$12,0))*cadangan3[[#This Row],[Qty C]],0)</f>
        <v>0</v>
      </c>
      <c r="AD72" s="36">
        <f>IFERROR(cadangan3[[#This Row],[Harga Asli C]]-(cadangan3[[#This Row],[Harga Asli C]]*cadangan3[[#This Row],[Diskon]]),cadangan3[[#This Row],[Harga Asli C]])</f>
        <v>0</v>
      </c>
      <c r="AE72" s="36">
        <f>IFERROR(INDEX(Katalog!$F$3:$F$12,MATCH(cadangan3[[#This Row],[ItemID C]],Katalog!$C$3:$C$12,0))*cadangan3[[#This Row],[Qty C]],0)</f>
        <v>0</v>
      </c>
      <c r="AF72" s="36">
        <f>IFERROR(cadangan3[[#This Row],[Profit C]]-(cadangan3[[#This Row],[Profit C]]*cadangan3[[#This Row],[Diskon]]),cadangan3[[#This Row],[Profit C]])</f>
        <v>0</v>
      </c>
      <c r="AG72" s="21">
        <f>cadangan3[[#This Row],[Qty A]]+cadangan3[[#This Row],[Qty B]]+cadangan3[[#This Row],[Qty C]]</f>
        <v>5</v>
      </c>
      <c r="AH72" s="35">
        <f>cadangan3[[#This Row],[Harga A + Diskon]]+cadangan3[[#This Row],[Harga + Diskon B]]+cadangan3[[#This Row],[Harga + Diskon C]]</f>
        <v>1440000</v>
      </c>
      <c r="AI72" s="35">
        <f>(cadangan3[[#This Row],[Profit A]]+cadangan3[[#This Row],[Profit B]]+cadangan3[[#This Row],[Profit C]])</f>
        <v>550000</v>
      </c>
      <c r="AJ72" s="35">
        <f>cadangan3[[#This Row],[Provit A + Diskon]]+cadangan3[[#This Row],[Provit B + Diskon]]+cadangan3[[#This Row],[Provit C + Diskon]]</f>
        <v>495000</v>
      </c>
      <c r="AK72" s="23" t="s">
        <v>6</v>
      </c>
      <c r="AL72" s="37">
        <f>IFERROR(INDEX('Kode Diskon'!$D$3:$D$9,MATCH(cadangan3[[#This Row],[Kode diskon]],'Kode Diskon'!$C$3:$C$9,0)),"-")</f>
        <v>0.1</v>
      </c>
      <c r="AM72" s="23" t="s">
        <v>29</v>
      </c>
      <c r="AN72" s="23" t="s">
        <v>7</v>
      </c>
      <c r="AO72" s="23" t="s">
        <v>76</v>
      </c>
      <c r="AP72" s="24">
        <v>45022</v>
      </c>
      <c r="AQ72" s="23" t="str">
        <f>TEXT(cadangan3[[#This Row],[Tanggal terjual]],"dddd")</f>
        <v>Thursday</v>
      </c>
    </row>
    <row r="73" spans="1:43" x14ac:dyDescent="0.2">
      <c r="A73" s="20">
        <v>72</v>
      </c>
      <c r="B73" s="21" t="str">
        <f>_xlfn.CONCAT("ORD-",INDEX(Helper!$B$2:$B$5,MATCH(cadangan3[[#This Row],[Marketplace]],Helper!$A$2:$A$5,0)),TEXT(cadangan3[[#This Row],[No]],"0000"),"-",TEXT(cadangan3[[#This Row],[Tanggal terjual]],"dd/mm/yy"))</f>
        <v>ORD-SP0072-02/04/23</v>
      </c>
      <c r="C73" t="s">
        <v>67</v>
      </c>
      <c r="D73" t="str">
        <f>IFERROR(INDEX(Katalog!$A$3:$A$12,MATCH(cadangan3[[#This Row],[ItemID A]],Katalog!$C$3:$C$12,0)),"-")</f>
        <v>Sepatu Wanita</v>
      </c>
      <c r="E73" t="str">
        <f>IFERROR(INDEX(Katalog!$B$3:$B$12,MATCH(cadangan3[[#This Row],[ItemID A]],Katalog!$C$3:$C$12,0)),"-")</f>
        <v>Flat Shoes</v>
      </c>
      <c r="F73">
        <v>3</v>
      </c>
      <c r="G73">
        <v>4</v>
      </c>
      <c r="H73" s="36">
        <f>IFERROR(INDEX(Katalog!$D$3:$D$12,MATCH(cadangan3[[#This Row],[ItemID A]],Katalog!$C$3:$C$12,0))*cadangan3[[#This Row],[Qty A]],0)</f>
        <v>750000</v>
      </c>
      <c r="I73" s="36">
        <f>IFERROR(INDEX(Katalog!$D$3:$D$12,MATCH(cadangan3[[#This Row],[Item A]],Katalog!$B$3:$B$12,0))*cadangan3[[#This Row],[Qty A]],0)</f>
        <v>750000</v>
      </c>
      <c r="J73" s="36">
        <f>IFERROR(cadangan3[[#This Row],[Harga Asli A]]-(cadangan3[[#This Row],[Harga Asli A]]*cadangan3[[#This Row],[Diskon]]),cadangan3[[#This Row],[Harga Asli A]])</f>
        <v>675000</v>
      </c>
      <c r="K73" s="36">
        <f>INDEX(Katalog!$F$3:$F$12,MATCH(cadangan3[[#This Row],[ItemID A]],Katalog!$C$3:$C$12,0))*cadangan3[[#This Row],[Qty A]]</f>
        <v>300000</v>
      </c>
      <c r="L73" s="36">
        <f>IFERROR(cadangan3[[#This Row],[Profit A]]-(cadangan3[[#This Row],[Profit A]]*cadangan3[[#This Row],[Diskon]]),K73)</f>
        <v>270000</v>
      </c>
      <c r="M73" t="s">
        <v>61</v>
      </c>
      <c r="N73" t="str">
        <f>IFERROR(INDEX(Katalog!$A$3:$A$12,MATCH(cadangan3[[#This Row],[ItemID B]],Katalog!$C$3:$C$12,0)),"-")</f>
        <v>Pakaian Pria</v>
      </c>
      <c r="O73" t="str">
        <f>IFERROR(INDEX(Katalog!$B$3:$B$12,MATCH(cadangan3[[#This Row],[ItemID B]],Katalog!$C$3:$C$12,0)),"-")</f>
        <v>Kaos Polo</v>
      </c>
      <c r="P73">
        <v>2</v>
      </c>
      <c r="Q73">
        <v>3</v>
      </c>
      <c r="R73" s="36">
        <f>IFERROR(INDEX(Katalog!$D$3:$D$12,MATCH(cadangan3[[#This Row],[ItemID B]],Katalog!$C$3:$C$12,0))*cadangan3[[#This Row],[Qty B]],0)</f>
        <v>400000</v>
      </c>
      <c r="S73" s="36">
        <f>IFERROR(INDEX(Katalog!$D$3:$D$12,MATCH(cadangan3[[#This Row],[Item B]],Katalog!$B$3:$B$12,0))*cadangan3[[#This Row],[Qty B]],0)</f>
        <v>400000</v>
      </c>
      <c r="T73" s="36">
        <f>IFERROR(cadangan3[[#This Row],[Harga Asli B]]-(cadangan3[[#This Row],[Harga Asli B]]*cadangan3[[#This Row],[Diskon]]),cadangan3[[#This Row],[Harga Asli B]])</f>
        <v>360000</v>
      </c>
      <c r="U73" s="36">
        <f>IFERROR(INDEX(Katalog!$F$3:$F$12,MATCH(cadangan3[[#This Row],[ItemID B]],Katalog!$C$3:$C$12,0))*cadangan3[[#This Row],[Qty B]],0)</f>
        <v>160000</v>
      </c>
      <c r="V73" s="36">
        <f>IFERROR(cadangan3[[#This Row],[Profit B]]-(cadangan3[[#This Row],[Profit B]]*cadangan3[[#This Row],[Diskon]]),U73)</f>
        <v>144000</v>
      </c>
      <c r="W73" t="s">
        <v>59</v>
      </c>
      <c r="X73" t="str">
        <f>IFERROR(INDEX(Katalog!$A$3:$A$12,MATCH(cadangan3[[#This Row],[ItemID C]],Katalog!$C$3:$C$12,0)),"-")</f>
        <v>Pakaian Wanita</v>
      </c>
      <c r="Y73" t="str">
        <f>IFERROR(INDEX(Katalog!$B$3:$B$12,MATCH(cadangan3[[#This Row],[ItemID C]],Katalog!$C$3:$C$12,0)),"-")</f>
        <v>Blouse</v>
      </c>
      <c r="Z73">
        <v>1</v>
      </c>
      <c r="AA73">
        <v>1</v>
      </c>
      <c r="AB73" s="36">
        <f>IFERROR(INDEX(Katalog!$D$3:$D$12,MATCH(cadangan3[[#This Row],[ItemID C]],Katalog!$C$3:$C$12,0))*cadangan3[[#This Row],[Qty C]],0)</f>
        <v>150000</v>
      </c>
      <c r="AC73" s="36">
        <f>IFERROR(INDEX(Katalog!$D$3:$D$12,MATCH(cadangan3[[#This Row],[Item C]],Katalog!$B$3:$B$12,0))*cadangan3[[#This Row],[Qty C]],0)</f>
        <v>150000</v>
      </c>
      <c r="AD73" s="36">
        <f>IFERROR(cadangan3[[#This Row],[Harga Asli C]]-(cadangan3[[#This Row],[Harga Asli C]]*cadangan3[[#This Row],[Diskon]]),cadangan3[[#This Row],[Harga Asli C]])</f>
        <v>135000</v>
      </c>
      <c r="AE73" s="36">
        <f>IFERROR(INDEX(Katalog!$F$3:$F$12,MATCH(cadangan3[[#This Row],[ItemID C]],Katalog!$C$3:$C$12,0))*cadangan3[[#This Row],[Qty C]],0)</f>
        <v>50000</v>
      </c>
      <c r="AF73" s="36">
        <f>IFERROR(cadangan3[[#This Row],[Profit C]]-(cadangan3[[#This Row],[Profit C]]*cadangan3[[#This Row],[Diskon]]),cadangan3[[#This Row],[Profit C]])</f>
        <v>45000</v>
      </c>
      <c r="AG73" s="21">
        <f>cadangan3[[#This Row],[Qty A]]+cadangan3[[#This Row],[Qty B]]+cadangan3[[#This Row],[Qty C]]</f>
        <v>6</v>
      </c>
      <c r="AH73" s="35">
        <f>cadangan3[[#This Row],[Harga A + Diskon]]+cadangan3[[#This Row],[Harga + Diskon B]]+cadangan3[[#This Row],[Harga + Diskon C]]</f>
        <v>1170000</v>
      </c>
      <c r="AI73" s="35">
        <f>(cadangan3[[#This Row],[Profit A]]+cadangan3[[#This Row],[Profit B]]+cadangan3[[#This Row],[Profit C]])</f>
        <v>510000</v>
      </c>
      <c r="AJ73" s="35">
        <f>cadangan3[[#This Row],[Provit A + Diskon]]+cadangan3[[#This Row],[Provit B + Diskon]]+cadangan3[[#This Row],[Provit C + Diskon]]</f>
        <v>459000</v>
      </c>
      <c r="AK73" s="23" t="s">
        <v>6</v>
      </c>
      <c r="AL73" s="37">
        <f>IFERROR(INDEX('Kode Diskon'!$D$3:$D$9,MATCH(cadangan3[[#This Row],[Kode diskon]],'Kode Diskon'!$C$3:$C$9,0)),"-")</f>
        <v>0.1</v>
      </c>
      <c r="AM73" s="23" t="s">
        <v>29</v>
      </c>
      <c r="AN73" s="23" t="s">
        <v>7</v>
      </c>
      <c r="AO73" s="23" t="s">
        <v>80</v>
      </c>
      <c r="AP73" s="24">
        <v>45018</v>
      </c>
      <c r="AQ73" s="23" t="str">
        <f>TEXT(cadangan3[[#This Row],[Tanggal terjual]],"dddd")</f>
        <v>Sunday</v>
      </c>
    </row>
    <row r="74" spans="1:43" x14ac:dyDescent="0.2">
      <c r="A74" s="20">
        <v>73</v>
      </c>
      <c r="B74" s="21" t="str">
        <f>_xlfn.CONCAT("ORD-",INDEX(Helper!$B$2:$B$5,MATCH(cadangan3[[#This Row],[Marketplace]],Helper!$A$2:$A$5,0)),TEXT(cadangan3[[#This Row],[No]],"0000"),"-",TEXT(cadangan3[[#This Row],[Tanggal terjual]],"dd/mm/yy"))</f>
        <v>ORD-BL0073-28/04/23</v>
      </c>
      <c r="C74" t="s">
        <v>67</v>
      </c>
      <c r="D74" t="str">
        <f>IFERROR(INDEX(Katalog!$A$3:$A$12,MATCH(cadangan3[[#This Row],[ItemID A]],Katalog!$C$3:$C$12,0)),"-")</f>
        <v>Sepatu Wanita</v>
      </c>
      <c r="E74" t="str">
        <f>IFERROR(INDEX(Katalog!$B$3:$B$12,MATCH(cadangan3[[#This Row],[ItemID A]],Katalog!$C$3:$C$12,0)),"-")</f>
        <v>Flat Shoes</v>
      </c>
      <c r="F74">
        <v>1</v>
      </c>
      <c r="G74">
        <v>3</v>
      </c>
      <c r="H74" s="36">
        <f>IFERROR(INDEX(Katalog!$D$3:$D$12,MATCH(cadangan3[[#This Row],[ItemID A]],Katalog!$C$3:$C$12,0))*cadangan3[[#This Row],[Qty A]],0)</f>
        <v>250000</v>
      </c>
      <c r="I74" s="36">
        <f>IFERROR(INDEX(Katalog!$D$3:$D$12,MATCH(cadangan3[[#This Row],[Item A]],Katalog!$B$3:$B$12,0))*cadangan3[[#This Row],[Qty A]],0)</f>
        <v>250000</v>
      </c>
      <c r="J74" s="36">
        <f>IFERROR(cadangan3[[#This Row],[Harga Asli A]]-(cadangan3[[#This Row],[Harga Asli A]]*cadangan3[[#This Row],[Diskon]]),cadangan3[[#This Row],[Harga Asli A]])</f>
        <v>212500</v>
      </c>
      <c r="K74" s="36">
        <f>INDEX(Katalog!$F$3:$F$12,MATCH(cadangan3[[#This Row],[ItemID A]],Katalog!$C$3:$C$12,0))*cadangan3[[#This Row],[Qty A]]</f>
        <v>100000</v>
      </c>
      <c r="L74" s="36">
        <f>IFERROR(cadangan3[[#This Row],[Profit A]]-(cadangan3[[#This Row],[Profit A]]*cadangan3[[#This Row],[Diskon]]),K74)</f>
        <v>85000</v>
      </c>
      <c r="M74" t="s">
        <v>65</v>
      </c>
      <c r="N74" t="str">
        <f>IFERROR(INDEX(Katalog!$A$3:$A$12,MATCH(cadangan3[[#This Row],[ItemID B]],Katalog!$C$3:$C$12,0)),"-")</f>
        <v>Sepatu Pria</v>
      </c>
      <c r="O74" t="str">
        <f>IFERROR(INDEX(Katalog!$B$3:$B$12,MATCH(cadangan3[[#This Row],[ItemID B]],Katalog!$C$3:$C$12,0)),"-")</f>
        <v>Sneakers</v>
      </c>
      <c r="P74">
        <v>2</v>
      </c>
      <c r="Q74">
        <v>2</v>
      </c>
      <c r="R74" s="36">
        <f>IFERROR(INDEX(Katalog!$D$3:$D$12,MATCH(cadangan3[[#This Row],[ItemID B]],Katalog!$C$3:$C$12,0))*cadangan3[[#This Row],[Qty B]],0)</f>
        <v>1000000</v>
      </c>
      <c r="S74" s="36">
        <f>IFERROR(INDEX(Katalog!$D$3:$D$12,MATCH(cadangan3[[#This Row],[Item B]],Katalog!$B$3:$B$12,0))*cadangan3[[#This Row],[Qty B]],0)</f>
        <v>1000000</v>
      </c>
      <c r="T74" s="36">
        <f>IFERROR(cadangan3[[#This Row],[Harga Asli B]]-(cadangan3[[#This Row],[Harga Asli B]]*cadangan3[[#This Row],[Diskon]]),cadangan3[[#This Row],[Harga Asli B]])</f>
        <v>850000</v>
      </c>
      <c r="U74" s="36">
        <f>IFERROR(INDEX(Katalog!$F$3:$F$12,MATCH(cadangan3[[#This Row],[ItemID B]],Katalog!$C$3:$C$12,0))*cadangan3[[#This Row],[Qty B]],0)</f>
        <v>400000</v>
      </c>
      <c r="V74" s="36">
        <f>IFERROR(cadangan3[[#This Row],[Profit B]]-(cadangan3[[#This Row],[Profit B]]*cadangan3[[#This Row],[Diskon]]),U74)</f>
        <v>340000</v>
      </c>
      <c r="W74" t="s">
        <v>59</v>
      </c>
      <c r="X74" t="str">
        <f>IFERROR(INDEX(Katalog!$A$3:$A$12,MATCH(cadangan3[[#This Row],[ItemID C]],Katalog!$C$3:$C$12,0)),"-")</f>
        <v>Pakaian Wanita</v>
      </c>
      <c r="Y74" t="str">
        <f>IFERROR(INDEX(Katalog!$B$3:$B$12,MATCH(cadangan3[[#This Row],[ItemID C]],Katalog!$C$3:$C$12,0)),"-")</f>
        <v>Blouse</v>
      </c>
      <c r="Z74">
        <v>3</v>
      </c>
      <c r="AA74">
        <v>4</v>
      </c>
      <c r="AB74" s="36">
        <f>IFERROR(INDEX(Katalog!$D$3:$D$12,MATCH(cadangan3[[#This Row],[ItemID C]],Katalog!$C$3:$C$12,0))*cadangan3[[#This Row],[Qty C]],0)</f>
        <v>450000</v>
      </c>
      <c r="AC74" s="36">
        <f>IFERROR(INDEX(Katalog!$D$3:$D$12,MATCH(cadangan3[[#This Row],[Item C]],Katalog!$B$3:$B$12,0))*cadangan3[[#This Row],[Qty C]],0)</f>
        <v>450000</v>
      </c>
      <c r="AD74" s="36">
        <f>IFERROR(cadangan3[[#This Row],[Harga Asli C]]-(cadangan3[[#This Row],[Harga Asli C]]*cadangan3[[#This Row],[Diskon]]),cadangan3[[#This Row],[Harga Asli C]])</f>
        <v>382500</v>
      </c>
      <c r="AE74" s="36">
        <f>IFERROR(INDEX(Katalog!$F$3:$F$12,MATCH(cadangan3[[#This Row],[ItemID C]],Katalog!$C$3:$C$12,0))*cadangan3[[#This Row],[Qty C]],0)</f>
        <v>150000</v>
      </c>
      <c r="AF74" s="36">
        <f>IFERROR(cadangan3[[#This Row],[Profit C]]-(cadangan3[[#This Row],[Profit C]]*cadangan3[[#This Row],[Diskon]]),cadangan3[[#This Row],[Profit C]])</f>
        <v>127500</v>
      </c>
      <c r="AG74" s="21">
        <f>cadangan3[[#This Row],[Qty A]]+cadangan3[[#This Row],[Qty B]]+cadangan3[[#This Row],[Qty C]]</f>
        <v>6</v>
      </c>
      <c r="AH74" s="35">
        <f>cadangan3[[#This Row],[Harga A + Diskon]]+cadangan3[[#This Row],[Harga + Diskon B]]+cadangan3[[#This Row],[Harga + Diskon C]]</f>
        <v>1445000</v>
      </c>
      <c r="AI74" s="35">
        <f>(cadangan3[[#This Row],[Profit A]]+cadangan3[[#This Row],[Profit B]]+cadangan3[[#This Row],[Profit C]])</f>
        <v>650000</v>
      </c>
      <c r="AJ74" s="35">
        <f>cadangan3[[#This Row],[Provit A + Diskon]]+cadangan3[[#This Row],[Provit B + Diskon]]+cadangan3[[#This Row],[Provit C + Diskon]]</f>
        <v>552500</v>
      </c>
      <c r="AK74" s="23" t="s">
        <v>32</v>
      </c>
      <c r="AL74" s="37">
        <f>IFERROR(INDEX('Kode Diskon'!$D$3:$D$9,MATCH(cadangan3[[#This Row],[Kode diskon]],'Kode Diskon'!$C$3:$C$9,0)),"-")</f>
        <v>0.15</v>
      </c>
      <c r="AM74" s="23" t="s">
        <v>9</v>
      </c>
      <c r="AN74" s="23" t="s">
        <v>12</v>
      </c>
      <c r="AO74" s="23" t="s">
        <v>80</v>
      </c>
      <c r="AP74" s="24">
        <v>45044</v>
      </c>
      <c r="AQ74" s="23" t="str">
        <f>TEXT(cadangan3[[#This Row],[Tanggal terjual]],"dddd")</f>
        <v>Friday</v>
      </c>
    </row>
    <row r="75" spans="1:43" x14ac:dyDescent="0.2">
      <c r="A75" s="20">
        <v>74</v>
      </c>
      <c r="B75" s="21" t="str">
        <f>_xlfn.CONCAT("ORD-",INDEX(Helper!$B$2:$B$5,MATCH(cadangan3[[#This Row],[Marketplace]],Helper!$A$2:$A$5,0)),TEXT(cadangan3[[#This Row],[No]],"0000"),"-",TEXT(cadangan3[[#This Row],[Tanggal terjual]],"dd/mm/yy"))</f>
        <v>ORD-TK0074-05/04/23</v>
      </c>
      <c r="C75" t="s">
        <v>58</v>
      </c>
      <c r="D75" t="str">
        <f>IFERROR(INDEX(Katalog!$A$3:$A$12,MATCH(cadangan3[[#This Row],[ItemID A]],Katalog!$C$3:$C$12,0)),"-")</f>
        <v>Pakaian Wanita</v>
      </c>
      <c r="E75" t="str">
        <f>IFERROR(INDEX(Katalog!$B$3:$B$12,MATCH(cadangan3[[#This Row],[ItemID A]],Katalog!$C$3:$C$12,0)),"-")</f>
        <v>Dress</v>
      </c>
      <c r="F75">
        <v>3</v>
      </c>
      <c r="G75">
        <v>4</v>
      </c>
      <c r="H75" s="36">
        <f>IFERROR(INDEX(Katalog!$D$3:$D$12,MATCH(cadangan3[[#This Row],[ItemID A]],Katalog!$C$3:$C$12,0))*cadangan3[[#This Row],[Qty A]],0)</f>
        <v>900000</v>
      </c>
      <c r="I75" s="36">
        <f>IFERROR(INDEX(Katalog!$D$3:$D$12,MATCH(cadangan3[[#This Row],[Item A]],Katalog!$B$3:$B$12,0))*cadangan3[[#This Row],[Qty A]],0)</f>
        <v>900000</v>
      </c>
      <c r="J75" s="36">
        <f>IFERROR(cadangan3[[#This Row],[Harga Asli A]]-(cadangan3[[#This Row],[Harga Asli A]]*cadangan3[[#This Row],[Diskon]]),cadangan3[[#This Row],[Harga Asli A]])</f>
        <v>810000</v>
      </c>
      <c r="K75" s="36">
        <f>INDEX(Katalog!$F$3:$F$12,MATCH(cadangan3[[#This Row],[ItemID A]],Katalog!$C$3:$C$12,0))*cadangan3[[#This Row],[Qty A]]</f>
        <v>300000</v>
      </c>
      <c r="L75" s="36">
        <f>IFERROR(cadangan3[[#This Row],[Profit A]]-(cadangan3[[#This Row],[Profit A]]*cadangan3[[#This Row],[Diskon]]),K75)</f>
        <v>270000</v>
      </c>
      <c r="N75" t="str">
        <f>IFERROR(INDEX(Katalog!$A$3:$A$12,MATCH(cadangan3[[#This Row],[ItemID B]],Katalog!$C$3:$C$12,0)),"-")</f>
        <v>-</v>
      </c>
      <c r="O75" t="str">
        <f>IFERROR(INDEX(Katalog!$B$3:$B$12,MATCH(cadangan3[[#This Row],[ItemID B]],Katalog!$C$3:$C$12,0)),"-")</f>
        <v>-</v>
      </c>
      <c r="R75" s="36">
        <f>IFERROR(INDEX(Katalog!$D$3:$D$12,MATCH(cadangan3[[#This Row],[ItemID B]],Katalog!$C$3:$C$12,0))*cadangan3[[#This Row],[Qty B]],0)</f>
        <v>0</v>
      </c>
      <c r="S75" s="36">
        <f>IFERROR(INDEX(Katalog!$D$3:$D$12,MATCH(cadangan3[[#This Row],[Item B]],Katalog!$B$3:$B$12,0))*cadangan3[[#This Row],[Qty B]],0)</f>
        <v>0</v>
      </c>
      <c r="T75" s="36">
        <f>IFERROR(cadangan3[[#This Row],[Harga Asli B]]-(cadangan3[[#This Row],[Harga Asli B]]*cadangan3[[#This Row],[Diskon]]),cadangan3[[#This Row],[Harga Asli B]])</f>
        <v>0</v>
      </c>
      <c r="U75" s="36">
        <f>IFERROR(INDEX(Katalog!$F$3:$F$12,MATCH(cadangan3[[#This Row],[ItemID B]],Katalog!$C$3:$C$12,0))*cadangan3[[#This Row],[Qty B]],0)</f>
        <v>0</v>
      </c>
      <c r="V75" s="36">
        <f>IFERROR(cadangan3[[#This Row],[Profit B]]-(cadangan3[[#This Row],[Profit B]]*cadangan3[[#This Row],[Diskon]]),U75)</f>
        <v>0</v>
      </c>
      <c r="X75" t="str">
        <f>IFERROR(INDEX(Katalog!$A$3:$A$12,MATCH(cadangan3[[#This Row],[ItemID C]],Katalog!$C$3:$C$12,0)),"-")</f>
        <v>-</v>
      </c>
      <c r="Y75" t="str">
        <f>IFERROR(INDEX(Katalog!$B$3:$B$12,MATCH(cadangan3[[#This Row],[ItemID C]],Katalog!$C$3:$C$12,0)),"-")</f>
        <v>-</v>
      </c>
      <c r="AB75" s="36">
        <f>IFERROR(INDEX(Katalog!$D$3:$D$12,MATCH(cadangan3[[#This Row],[ItemID C]],Katalog!$C$3:$C$12,0))*cadangan3[[#This Row],[Qty C]],0)</f>
        <v>0</v>
      </c>
      <c r="AC75" s="36">
        <f>IFERROR(INDEX(Katalog!$D$3:$D$12,MATCH(cadangan3[[#This Row],[Item C]],Katalog!$B$3:$B$12,0))*cadangan3[[#This Row],[Qty C]],0)</f>
        <v>0</v>
      </c>
      <c r="AD75" s="36">
        <f>IFERROR(cadangan3[[#This Row],[Harga Asli C]]-(cadangan3[[#This Row],[Harga Asli C]]*cadangan3[[#This Row],[Diskon]]),cadangan3[[#This Row],[Harga Asli C]])</f>
        <v>0</v>
      </c>
      <c r="AE75" s="36">
        <f>IFERROR(INDEX(Katalog!$F$3:$F$12,MATCH(cadangan3[[#This Row],[ItemID C]],Katalog!$C$3:$C$12,0))*cadangan3[[#This Row],[Qty C]],0)</f>
        <v>0</v>
      </c>
      <c r="AF75" s="36">
        <f>IFERROR(cadangan3[[#This Row],[Profit C]]-(cadangan3[[#This Row],[Profit C]]*cadangan3[[#This Row],[Diskon]]),cadangan3[[#This Row],[Profit C]])</f>
        <v>0</v>
      </c>
      <c r="AG75" s="21">
        <f>cadangan3[[#This Row],[Qty A]]+cadangan3[[#This Row],[Qty B]]+cadangan3[[#This Row],[Qty C]]</f>
        <v>3</v>
      </c>
      <c r="AH75" s="35">
        <f>cadangan3[[#This Row],[Harga A + Diskon]]+cadangan3[[#This Row],[Harga + Diskon B]]+cadangan3[[#This Row],[Harga + Diskon C]]</f>
        <v>810000</v>
      </c>
      <c r="AI75" s="35">
        <f>(cadangan3[[#This Row],[Profit A]]+cadangan3[[#This Row],[Profit B]]+cadangan3[[#This Row],[Profit C]])</f>
        <v>300000</v>
      </c>
      <c r="AJ75" s="35">
        <f>cadangan3[[#This Row],[Provit A + Diskon]]+cadangan3[[#This Row],[Provit B + Diskon]]+cadangan3[[#This Row],[Provit C + Diskon]]</f>
        <v>270000</v>
      </c>
      <c r="AK75" s="23" t="s">
        <v>30</v>
      </c>
      <c r="AL75" s="37">
        <f>IFERROR(INDEX('Kode Diskon'!$D$3:$D$9,MATCH(cadangan3[[#This Row],[Kode diskon]],'Kode Diskon'!$C$3:$C$9,0)),"-")</f>
        <v>0.1</v>
      </c>
      <c r="AM75" s="23" t="s">
        <v>29</v>
      </c>
      <c r="AN75" s="23" t="s">
        <v>10</v>
      </c>
      <c r="AO75" s="23" t="s">
        <v>79</v>
      </c>
      <c r="AP75" s="24">
        <v>45021</v>
      </c>
      <c r="AQ75" s="23" t="str">
        <f>TEXT(cadangan3[[#This Row],[Tanggal terjual]],"dddd")</f>
        <v>Wednesday</v>
      </c>
    </row>
    <row r="76" spans="1:43" x14ac:dyDescent="0.2">
      <c r="A76" s="20">
        <v>75</v>
      </c>
      <c r="B76" s="21" t="str">
        <f>_xlfn.CONCAT("ORD-",INDEX(Helper!$B$2:$B$5,MATCH(cadangan3[[#This Row],[Marketplace]],Helper!$A$2:$A$5,0)),TEXT(cadangan3[[#This Row],[No]],"0000"),"-",TEXT(cadangan3[[#This Row],[Tanggal terjual]],"dd/mm/yy"))</f>
        <v>ORD-TK0075-03/04/23</v>
      </c>
      <c r="C76" t="s">
        <v>63</v>
      </c>
      <c r="D76" t="str">
        <f>IFERROR(INDEX(Katalog!$A$3:$A$12,MATCH(cadangan3[[#This Row],[ItemID A]],Katalog!$C$3:$C$12,0)),"-")</f>
        <v>Pakaian Pria</v>
      </c>
      <c r="E76" t="str">
        <f>IFERROR(INDEX(Katalog!$B$3:$B$12,MATCH(cadangan3[[#This Row],[ItemID A]],Katalog!$C$3:$C$12,0)),"-")</f>
        <v>Jaket Jeans</v>
      </c>
      <c r="F76">
        <v>6</v>
      </c>
      <c r="G76">
        <v>4</v>
      </c>
      <c r="H76" s="36">
        <f>IFERROR(INDEX(Katalog!$D$3:$D$12,MATCH(cadangan3[[#This Row],[ItemID A]],Katalog!$C$3:$C$12,0))*cadangan3[[#This Row],[Qty A]],0)</f>
        <v>2400000</v>
      </c>
      <c r="I76" s="36">
        <f>IFERROR(INDEX(Katalog!$D$3:$D$12,MATCH(cadangan3[[#This Row],[Item A]],Katalog!$B$3:$B$12,0))*cadangan3[[#This Row],[Qty A]],0)</f>
        <v>2400000</v>
      </c>
      <c r="J76" s="36">
        <f>IFERROR(cadangan3[[#This Row],[Harga Asli A]]-(cadangan3[[#This Row],[Harga Asli A]]*cadangan3[[#This Row],[Diskon]]),cadangan3[[#This Row],[Harga Asli A]])</f>
        <v>2160000</v>
      </c>
      <c r="K76" s="36">
        <f>INDEX(Katalog!$F$3:$F$12,MATCH(cadangan3[[#This Row],[ItemID A]],Katalog!$C$3:$C$12,0))*cadangan3[[#This Row],[Qty A]]</f>
        <v>900000</v>
      </c>
      <c r="L76" s="36">
        <f>IFERROR(cadangan3[[#This Row],[Profit A]]-(cadangan3[[#This Row],[Profit A]]*cadangan3[[#This Row],[Diskon]]),K76)</f>
        <v>810000</v>
      </c>
      <c r="M76" t="s">
        <v>58</v>
      </c>
      <c r="N76" t="str">
        <f>IFERROR(INDEX(Katalog!$A$3:$A$12,MATCH(cadangan3[[#This Row],[ItemID B]],Katalog!$C$3:$C$12,0)),"-")</f>
        <v>Pakaian Wanita</v>
      </c>
      <c r="O76" t="str">
        <f>IFERROR(INDEX(Katalog!$B$3:$B$12,MATCH(cadangan3[[#This Row],[ItemID B]],Katalog!$C$3:$C$12,0)),"-")</f>
        <v>Dress</v>
      </c>
      <c r="P76">
        <v>1</v>
      </c>
      <c r="Q76">
        <v>1</v>
      </c>
      <c r="R76" s="36">
        <f>IFERROR(INDEX(Katalog!$D$3:$D$12,MATCH(cadangan3[[#This Row],[ItemID B]],Katalog!$C$3:$C$12,0))*cadangan3[[#This Row],[Qty B]],0)</f>
        <v>300000</v>
      </c>
      <c r="S76" s="36">
        <f>IFERROR(INDEX(Katalog!$D$3:$D$12,MATCH(cadangan3[[#This Row],[Item B]],Katalog!$B$3:$B$12,0))*cadangan3[[#This Row],[Qty B]],0)</f>
        <v>300000</v>
      </c>
      <c r="T76" s="36">
        <f>IFERROR(cadangan3[[#This Row],[Harga Asli B]]-(cadangan3[[#This Row],[Harga Asli B]]*cadangan3[[#This Row],[Diskon]]),cadangan3[[#This Row],[Harga Asli B]])</f>
        <v>270000</v>
      </c>
      <c r="U76" s="36">
        <f>IFERROR(INDEX(Katalog!$F$3:$F$12,MATCH(cadangan3[[#This Row],[ItemID B]],Katalog!$C$3:$C$12,0))*cadangan3[[#This Row],[Qty B]],0)</f>
        <v>100000</v>
      </c>
      <c r="V76" s="36">
        <f>IFERROR(cadangan3[[#This Row],[Profit B]]-(cadangan3[[#This Row],[Profit B]]*cadangan3[[#This Row],[Diskon]]),U76)</f>
        <v>90000</v>
      </c>
      <c r="X76" t="str">
        <f>IFERROR(INDEX(Katalog!$A$3:$A$12,MATCH(cadangan3[[#This Row],[ItemID C]],Katalog!$C$3:$C$12,0)),"-")</f>
        <v>-</v>
      </c>
      <c r="Y76" t="str">
        <f>IFERROR(INDEX(Katalog!$B$3:$B$12,MATCH(cadangan3[[#This Row],[ItemID C]],Katalog!$C$3:$C$12,0)),"-")</f>
        <v>-</v>
      </c>
      <c r="AB76" s="36">
        <f>IFERROR(INDEX(Katalog!$D$3:$D$12,MATCH(cadangan3[[#This Row],[ItemID C]],Katalog!$C$3:$C$12,0))*cadangan3[[#This Row],[Qty C]],0)</f>
        <v>0</v>
      </c>
      <c r="AC76" s="36">
        <f>IFERROR(INDEX(Katalog!$D$3:$D$12,MATCH(cadangan3[[#This Row],[Item C]],Katalog!$B$3:$B$12,0))*cadangan3[[#This Row],[Qty C]],0)</f>
        <v>0</v>
      </c>
      <c r="AD76" s="36">
        <f>IFERROR(cadangan3[[#This Row],[Harga Asli C]]-(cadangan3[[#This Row],[Harga Asli C]]*cadangan3[[#This Row],[Diskon]]),cadangan3[[#This Row],[Harga Asli C]])</f>
        <v>0</v>
      </c>
      <c r="AE76" s="36">
        <f>IFERROR(INDEX(Katalog!$F$3:$F$12,MATCH(cadangan3[[#This Row],[ItemID C]],Katalog!$C$3:$C$12,0))*cadangan3[[#This Row],[Qty C]],0)</f>
        <v>0</v>
      </c>
      <c r="AF76" s="36">
        <f>IFERROR(cadangan3[[#This Row],[Profit C]]-(cadangan3[[#This Row],[Profit C]]*cadangan3[[#This Row],[Diskon]]),cadangan3[[#This Row],[Profit C]])</f>
        <v>0</v>
      </c>
      <c r="AG76" s="21">
        <f>cadangan3[[#This Row],[Qty A]]+cadangan3[[#This Row],[Qty B]]+cadangan3[[#This Row],[Qty C]]</f>
        <v>7</v>
      </c>
      <c r="AH76" s="35">
        <f>cadangan3[[#This Row],[Harga A + Diskon]]+cadangan3[[#This Row],[Harga + Diskon B]]+cadangan3[[#This Row],[Harga + Diskon C]]</f>
        <v>2430000</v>
      </c>
      <c r="AI76" s="35">
        <f>(cadangan3[[#This Row],[Profit A]]+cadangan3[[#This Row],[Profit B]]+cadangan3[[#This Row],[Profit C]])</f>
        <v>1000000</v>
      </c>
      <c r="AJ76" s="35">
        <f>cadangan3[[#This Row],[Provit A + Diskon]]+cadangan3[[#This Row],[Provit B + Diskon]]+cadangan3[[#This Row],[Provit C + Diskon]]</f>
        <v>900000</v>
      </c>
      <c r="AK76" s="23" t="s">
        <v>30</v>
      </c>
      <c r="AL76" s="37">
        <f>IFERROR(INDEX('Kode Diskon'!$D$3:$D$9,MATCH(cadangan3[[#This Row],[Kode diskon]],'Kode Diskon'!$C$3:$C$9,0)),"-")</f>
        <v>0.1</v>
      </c>
      <c r="AM76" s="23" t="s">
        <v>29</v>
      </c>
      <c r="AN76" s="23" t="s">
        <v>10</v>
      </c>
      <c r="AO76" s="23" t="s">
        <v>79</v>
      </c>
      <c r="AP76" s="24">
        <v>45019</v>
      </c>
      <c r="AQ76" s="23" t="str">
        <f>TEXT(cadangan3[[#This Row],[Tanggal terjual]],"dddd")</f>
        <v>Monday</v>
      </c>
    </row>
    <row r="77" spans="1:43" x14ac:dyDescent="0.2">
      <c r="A77" s="20">
        <v>76</v>
      </c>
      <c r="B77" s="21" t="str">
        <f>_xlfn.CONCAT("ORD-",INDEX(Helper!$B$2:$B$5,MATCH(cadangan3[[#This Row],[Marketplace]],Helper!$A$2:$A$5,0)),TEXT(cadangan3[[#This Row],[No]],"0000"),"-",TEXT(cadangan3[[#This Row],[Tanggal terjual]],"dd/mm/yy"))</f>
        <v>ORD-SP0076-26/04/23</v>
      </c>
      <c r="C77" t="s">
        <v>59</v>
      </c>
      <c r="D77" t="str">
        <f>IFERROR(INDEX(Katalog!$A$3:$A$12,MATCH(cadangan3[[#This Row],[ItemID A]],Katalog!$C$3:$C$12,0)),"-")</f>
        <v>Pakaian Wanita</v>
      </c>
      <c r="E77" t="str">
        <f>IFERROR(INDEX(Katalog!$B$3:$B$12,MATCH(cadangan3[[#This Row],[ItemID A]],Katalog!$C$3:$C$12,0)),"-")</f>
        <v>Blouse</v>
      </c>
      <c r="F77">
        <v>3</v>
      </c>
      <c r="G77">
        <v>1</v>
      </c>
      <c r="H77" s="36">
        <f>IFERROR(INDEX(Katalog!$D$3:$D$12,MATCH(cadangan3[[#This Row],[ItemID A]],Katalog!$C$3:$C$12,0))*cadangan3[[#This Row],[Qty A]],0)</f>
        <v>450000</v>
      </c>
      <c r="I77" s="36">
        <f>IFERROR(INDEX(Katalog!$D$3:$D$12,MATCH(cadangan3[[#This Row],[Item A]],Katalog!$B$3:$B$12,0))*cadangan3[[#This Row],[Qty A]],0)</f>
        <v>450000</v>
      </c>
      <c r="J77" s="36">
        <f>IFERROR(cadangan3[[#This Row],[Harga Asli A]]-(cadangan3[[#This Row],[Harga Asli A]]*cadangan3[[#This Row],[Diskon]]),cadangan3[[#This Row],[Harga Asli A]])</f>
        <v>360000</v>
      </c>
      <c r="K77" s="36">
        <f>INDEX(Katalog!$F$3:$F$12,MATCH(cadangan3[[#This Row],[ItemID A]],Katalog!$C$3:$C$12,0))*cadangan3[[#This Row],[Qty A]]</f>
        <v>150000</v>
      </c>
      <c r="L77" s="36">
        <f>IFERROR(cadangan3[[#This Row],[Profit A]]-(cadangan3[[#This Row],[Profit A]]*cadangan3[[#This Row],[Diskon]]),K77)</f>
        <v>120000</v>
      </c>
      <c r="N77" t="str">
        <f>IFERROR(INDEX(Katalog!$A$3:$A$12,MATCH(cadangan3[[#This Row],[ItemID B]],Katalog!$C$3:$C$12,0)),"-")</f>
        <v>-</v>
      </c>
      <c r="O77" t="str">
        <f>IFERROR(INDEX(Katalog!$B$3:$B$12,MATCH(cadangan3[[#This Row],[ItemID B]],Katalog!$C$3:$C$12,0)),"-")</f>
        <v>-</v>
      </c>
      <c r="R77" s="36">
        <f>IFERROR(INDEX(Katalog!$D$3:$D$12,MATCH(cadangan3[[#This Row],[ItemID B]],Katalog!$C$3:$C$12,0))*cadangan3[[#This Row],[Qty B]],0)</f>
        <v>0</v>
      </c>
      <c r="S77" s="36">
        <f>IFERROR(INDEX(Katalog!$D$3:$D$12,MATCH(cadangan3[[#This Row],[Item B]],Katalog!$B$3:$B$12,0))*cadangan3[[#This Row],[Qty B]],0)</f>
        <v>0</v>
      </c>
      <c r="T77" s="36">
        <f>IFERROR(cadangan3[[#This Row],[Harga Asli B]]-(cadangan3[[#This Row],[Harga Asli B]]*cadangan3[[#This Row],[Diskon]]),cadangan3[[#This Row],[Harga Asli B]])</f>
        <v>0</v>
      </c>
      <c r="U77" s="36">
        <f>IFERROR(INDEX(Katalog!$F$3:$F$12,MATCH(cadangan3[[#This Row],[ItemID B]],Katalog!$C$3:$C$12,0))*cadangan3[[#This Row],[Qty B]],0)</f>
        <v>0</v>
      </c>
      <c r="V77" s="36">
        <f>IFERROR(cadangan3[[#This Row],[Profit B]]-(cadangan3[[#This Row],[Profit B]]*cadangan3[[#This Row],[Diskon]]),U77)</f>
        <v>0</v>
      </c>
      <c r="X77" t="str">
        <f>IFERROR(INDEX(Katalog!$A$3:$A$12,MATCH(cadangan3[[#This Row],[ItemID C]],Katalog!$C$3:$C$12,0)),"-")</f>
        <v>-</v>
      </c>
      <c r="Y77" t="str">
        <f>IFERROR(INDEX(Katalog!$B$3:$B$12,MATCH(cadangan3[[#This Row],[ItemID C]],Katalog!$C$3:$C$12,0)),"-")</f>
        <v>-</v>
      </c>
      <c r="AB77" s="36">
        <f>IFERROR(INDEX(Katalog!$D$3:$D$12,MATCH(cadangan3[[#This Row],[ItemID C]],Katalog!$C$3:$C$12,0))*cadangan3[[#This Row],[Qty C]],0)</f>
        <v>0</v>
      </c>
      <c r="AC77" s="36">
        <f>IFERROR(INDEX(Katalog!$D$3:$D$12,MATCH(cadangan3[[#This Row],[Item C]],Katalog!$B$3:$B$12,0))*cadangan3[[#This Row],[Qty C]],0)</f>
        <v>0</v>
      </c>
      <c r="AD77" s="36">
        <f>IFERROR(cadangan3[[#This Row],[Harga Asli C]]-(cadangan3[[#This Row],[Harga Asli C]]*cadangan3[[#This Row],[Diskon]]),cadangan3[[#This Row],[Harga Asli C]])</f>
        <v>0</v>
      </c>
      <c r="AE77" s="36">
        <f>IFERROR(INDEX(Katalog!$F$3:$F$12,MATCH(cadangan3[[#This Row],[ItemID C]],Katalog!$C$3:$C$12,0))*cadangan3[[#This Row],[Qty C]],0)</f>
        <v>0</v>
      </c>
      <c r="AF77" s="36">
        <f>IFERROR(cadangan3[[#This Row],[Profit C]]-(cadangan3[[#This Row],[Profit C]]*cadangan3[[#This Row],[Diskon]]),cadangan3[[#This Row],[Profit C]])</f>
        <v>0</v>
      </c>
      <c r="AG77" s="21">
        <f>cadangan3[[#This Row],[Qty A]]+cadangan3[[#This Row],[Qty B]]+cadangan3[[#This Row],[Qty C]]</f>
        <v>3</v>
      </c>
      <c r="AH77" s="35">
        <f>cadangan3[[#This Row],[Harga A + Diskon]]+cadangan3[[#This Row],[Harga + Diskon B]]+cadangan3[[#This Row],[Harga + Diskon C]]</f>
        <v>360000</v>
      </c>
      <c r="AI77" s="35">
        <f>(cadangan3[[#This Row],[Profit A]]+cadangan3[[#This Row],[Profit B]]+cadangan3[[#This Row],[Profit C]])</f>
        <v>150000</v>
      </c>
      <c r="AJ77" s="35">
        <f>cadangan3[[#This Row],[Provit A + Diskon]]+cadangan3[[#This Row],[Provit B + Diskon]]+cadangan3[[#This Row],[Provit C + Diskon]]</f>
        <v>120000</v>
      </c>
      <c r="AK77" s="23" t="s">
        <v>8</v>
      </c>
      <c r="AL77" s="37">
        <f>IFERROR(INDEX('Kode Diskon'!$D$3:$D$9,MATCH(cadangan3[[#This Row],[Kode diskon]],'Kode Diskon'!$C$3:$C$9,0)),"-")</f>
        <v>0.2</v>
      </c>
      <c r="AM77" s="23" t="s">
        <v>9</v>
      </c>
      <c r="AN77" s="23" t="s">
        <v>7</v>
      </c>
      <c r="AO77" s="23" t="s">
        <v>76</v>
      </c>
      <c r="AP77" s="24">
        <v>45042</v>
      </c>
      <c r="AQ77" s="23" t="str">
        <f>TEXT(cadangan3[[#This Row],[Tanggal terjual]],"dddd")</f>
        <v>Wednesday</v>
      </c>
    </row>
    <row r="78" spans="1:43" x14ac:dyDescent="0.2">
      <c r="A78" s="20">
        <v>77</v>
      </c>
      <c r="B78" s="21" t="str">
        <f>_xlfn.CONCAT("ORD-",INDEX(Helper!$B$2:$B$5,MATCH(cadangan3[[#This Row],[Marketplace]],Helper!$A$2:$A$5,0)),TEXT(cadangan3[[#This Row],[No]],"0000"),"-",TEXT(cadangan3[[#This Row],[Tanggal terjual]],"dd/mm/yy"))</f>
        <v>ORD-TK0077-17/04/23</v>
      </c>
      <c r="C78" t="s">
        <v>62</v>
      </c>
      <c r="D78" t="str">
        <f>IFERROR(INDEX(Katalog!$A$3:$A$12,MATCH(cadangan3[[#This Row],[ItemID A]],Katalog!$C$3:$C$12,0)),"-")</f>
        <v>Pakaian Pria</v>
      </c>
      <c r="E78" t="str">
        <f>IFERROR(INDEX(Katalog!$B$3:$B$12,MATCH(cadangan3[[#This Row],[ItemID A]],Katalog!$C$3:$C$12,0)),"-")</f>
        <v>Celana Pendek</v>
      </c>
      <c r="F78">
        <v>5</v>
      </c>
      <c r="G78">
        <v>5</v>
      </c>
      <c r="H78" s="36">
        <f>IFERROR(INDEX(Katalog!$D$3:$D$12,MATCH(cadangan3[[#This Row],[ItemID A]],Katalog!$C$3:$C$12,0))*cadangan3[[#This Row],[Qty A]],0)</f>
        <v>900000</v>
      </c>
      <c r="I78" s="36">
        <f>IFERROR(INDEX(Katalog!$D$3:$D$12,MATCH(cadangan3[[#This Row],[Item A]],Katalog!$B$3:$B$12,0))*cadangan3[[#This Row],[Qty A]],0)</f>
        <v>900000</v>
      </c>
      <c r="J78" s="36">
        <f>IFERROR(cadangan3[[#This Row],[Harga Asli A]]-(cadangan3[[#This Row],[Harga Asli A]]*cadangan3[[#This Row],[Diskon]]),cadangan3[[#This Row],[Harga Asli A]])</f>
        <v>810000</v>
      </c>
      <c r="K78" s="36">
        <f>INDEX(Katalog!$F$3:$F$12,MATCH(cadangan3[[#This Row],[ItemID A]],Katalog!$C$3:$C$12,0))*cadangan3[[#This Row],[Qty A]]</f>
        <v>350000</v>
      </c>
      <c r="L78" s="36">
        <f>IFERROR(cadangan3[[#This Row],[Profit A]]-(cadangan3[[#This Row],[Profit A]]*cadangan3[[#This Row],[Diskon]]),K78)</f>
        <v>315000</v>
      </c>
      <c r="M78" t="s">
        <v>60</v>
      </c>
      <c r="N78" t="str">
        <f>IFERROR(INDEX(Katalog!$A$3:$A$12,MATCH(cadangan3[[#This Row],[ItemID B]],Katalog!$C$3:$C$12,0)),"-")</f>
        <v>Pakaian Wanita</v>
      </c>
      <c r="O78" t="str">
        <f>IFERROR(INDEX(Katalog!$B$3:$B$12,MATCH(cadangan3[[#This Row],[ItemID B]],Katalog!$C$3:$C$12,0)),"-")</f>
        <v>Kaftan</v>
      </c>
      <c r="P78">
        <v>1</v>
      </c>
      <c r="Q78">
        <v>4</v>
      </c>
      <c r="R78" s="36">
        <f>IFERROR(INDEX(Katalog!$D$3:$D$12,MATCH(cadangan3[[#This Row],[ItemID B]],Katalog!$C$3:$C$12,0))*cadangan3[[#This Row],[Qty B]],0)</f>
        <v>250000</v>
      </c>
      <c r="S78" s="36">
        <f>IFERROR(INDEX(Katalog!$D$3:$D$12,MATCH(cadangan3[[#This Row],[Item B]],Katalog!$B$3:$B$12,0))*cadangan3[[#This Row],[Qty B]],0)</f>
        <v>250000</v>
      </c>
      <c r="T78" s="36">
        <f>IFERROR(cadangan3[[#This Row],[Harga Asli B]]-(cadangan3[[#This Row],[Harga Asli B]]*cadangan3[[#This Row],[Diskon]]),cadangan3[[#This Row],[Harga Asli B]])</f>
        <v>225000</v>
      </c>
      <c r="U78" s="36">
        <f>IFERROR(INDEX(Katalog!$F$3:$F$12,MATCH(cadangan3[[#This Row],[ItemID B]],Katalog!$C$3:$C$12,0))*cadangan3[[#This Row],[Qty B]],0)</f>
        <v>100000</v>
      </c>
      <c r="V78" s="36">
        <f>IFERROR(cadangan3[[#This Row],[Profit B]]-(cadangan3[[#This Row],[Profit B]]*cadangan3[[#This Row],[Diskon]]),U78)</f>
        <v>90000</v>
      </c>
      <c r="W78" t="s">
        <v>61</v>
      </c>
      <c r="X78" t="str">
        <f>IFERROR(INDEX(Katalog!$A$3:$A$12,MATCH(cadangan3[[#This Row],[ItemID C]],Katalog!$C$3:$C$12,0)),"-")</f>
        <v>Pakaian Pria</v>
      </c>
      <c r="Y78" t="str">
        <f>IFERROR(INDEX(Katalog!$B$3:$B$12,MATCH(cadangan3[[#This Row],[ItemID C]],Katalog!$C$3:$C$12,0)),"-")</f>
        <v>Kaos Polo</v>
      </c>
      <c r="Z78">
        <v>1</v>
      </c>
      <c r="AA78">
        <v>3</v>
      </c>
      <c r="AB78" s="36">
        <f>IFERROR(INDEX(Katalog!$D$3:$D$12,MATCH(cadangan3[[#This Row],[ItemID C]],Katalog!$C$3:$C$12,0))*cadangan3[[#This Row],[Qty C]],0)</f>
        <v>200000</v>
      </c>
      <c r="AC78" s="36">
        <f>IFERROR(INDEX(Katalog!$D$3:$D$12,MATCH(cadangan3[[#This Row],[Item C]],Katalog!$B$3:$B$12,0))*cadangan3[[#This Row],[Qty C]],0)</f>
        <v>200000</v>
      </c>
      <c r="AD78" s="36">
        <f>IFERROR(cadangan3[[#This Row],[Harga Asli C]]-(cadangan3[[#This Row],[Harga Asli C]]*cadangan3[[#This Row],[Diskon]]),cadangan3[[#This Row],[Harga Asli C]])</f>
        <v>180000</v>
      </c>
      <c r="AE78" s="36">
        <f>IFERROR(INDEX(Katalog!$F$3:$F$12,MATCH(cadangan3[[#This Row],[ItemID C]],Katalog!$C$3:$C$12,0))*cadangan3[[#This Row],[Qty C]],0)</f>
        <v>80000</v>
      </c>
      <c r="AF78" s="36">
        <f>IFERROR(cadangan3[[#This Row],[Profit C]]-(cadangan3[[#This Row],[Profit C]]*cadangan3[[#This Row],[Diskon]]),cadangan3[[#This Row],[Profit C]])</f>
        <v>72000</v>
      </c>
      <c r="AG78" s="21">
        <f>cadangan3[[#This Row],[Qty A]]+cadangan3[[#This Row],[Qty B]]+cadangan3[[#This Row],[Qty C]]</f>
        <v>7</v>
      </c>
      <c r="AH78" s="35">
        <f>cadangan3[[#This Row],[Harga A + Diskon]]+cadangan3[[#This Row],[Harga + Diskon B]]+cadangan3[[#This Row],[Harga + Diskon C]]</f>
        <v>1215000</v>
      </c>
      <c r="AI78" s="35">
        <f>(cadangan3[[#This Row],[Profit A]]+cadangan3[[#This Row],[Profit B]]+cadangan3[[#This Row],[Profit C]])</f>
        <v>530000</v>
      </c>
      <c r="AJ78" s="35">
        <f>cadangan3[[#This Row],[Provit A + Diskon]]+cadangan3[[#This Row],[Provit B + Diskon]]+cadangan3[[#This Row],[Provit C + Diskon]]</f>
        <v>477000</v>
      </c>
      <c r="AK78" s="23" t="s">
        <v>31</v>
      </c>
      <c r="AL78" s="37">
        <f>IFERROR(INDEX('Kode Diskon'!$D$3:$D$9,MATCH(cadangan3[[#This Row],[Kode diskon]],'Kode Diskon'!$C$3:$C$9,0)),"-")</f>
        <v>0.1</v>
      </c>
      <c r="AM78" s="23" t="s">
        <v>9</v>
      </c>
      <c r="AN78" s="23" t="s">
        <v>10</v>
      </c>
      <c r="AO78" s="23" t="s">
        <v>75</v>
      </c>
      <c r="AP78" s="24">
        <v>45033</v>
      </c>
      <c r="AQ78" s="23" t="str">
        <f>TEXT(cadangan3[[#This Row],[Tanggal terjual]],"dddd")</f>
        <v>Monday</v>
      </c>
    </row>
    <row r="79" spans="1:43" x14ac:dyDescent="0.2">
      <c r="A79" s="20">
        <v>78</v>
      </c>
      <c r="B79" s="21" t="str">
        <f>_xlfn.CONCAT("ORD-",INDEX(Helper!$B$2:$B$5,MATCH(cadangan3[[#This Row],[Marketplace]],Helper!$A$2:$A$5,0)),TEXT(cadangan3[[#This Row],[No]],"0000"),"-",TEXT(cadangan3[[#This Row],[Tanggal terjual]],"dd/mm/yy"))</f>
        <v>ORD-SP0078-21/04/23</v>
      </c>
      <c r="C79" t="s">
        <v>67</v>
      </c>
      <c r="D79" t="str">
        <f>IFERROR(INDEX(Katalog!$A$3:$A$12,MATCH(cadangan3[[#This Row],[ItemID A]],Katalog!$C$3:$C$12,0)),"-")</f>
        <v>Sepatu Wanita</v>
      </c>
      <c r="E79" t="str">
        <f>IFERROR(INDEX(Katalog!$B$3:$B$12,MATCH(cadangan3[[#This Row],[ItemID A]],Katalog!$C$3:$C$12,0)),"-")</f>
        <v>Flat Shoes</v>
      </c>
      <c r="F79">
        <v>2</v>
      </c>
      <c r="G79">
        <v>5</v>
      </c>
      <c r="H79" s="36">
        <f>IFERROR(INDEX(Katalog!$D$3:$D$12,MATCH(cadangan3[[#This Row],[ItemID A]],Katalog!$C$3:$C$12,0))*cadangan3[[#This Row],[Qty A]],0)</f>
        <v>500000</v>
      </c>
      <c r="I79" s="36">
        <f>IFERROR(INDEX(Katalog!$D$3:$D$12,MATCH(cadangan3[[#This Row],[Item A]],Katalog!$B$3:$B$12,0))*cadangan3[[#This Row],[Qty A]],0)</f>
        <v>500000</v>
      </c>
      <c r="J79" s="36">
        <f>IFERROR(cadangan3[[#This Row],[Harga Asli A]]-(cadangan3[[#This Row],[Harga Asli A]]*cadangan3[[#This Row],[Diskon]]),cadangan3[[#This Row],[Harga Asli A]])</f>
        <v>400000</v>
      </c>
      <c r="K79" s="36">
        <f>INDEX(Katalog!$F$3:$F$12,MATCH(cadangan3[[#This Row],[ItemID A]],Katalog!$C$3:$C$12,0))*cadangan3[[#This Row],[Qty A]]</f>
        <v>200000</v>
      </c>
      <c r="L79" s="36">
        <f>IFERROR(cadangan3[[#This Row],[Profit A]]-(cadangan3[[#This Row],[Profit A]]*cadangan3[[#This Row],[Diskon]]),K79)</f>
        <v>160000</v>
      </c>
      <c r="M79" t="s">
        <v>66</v>
      </c>
      <c r="N79" t="str">
        <f>IFERROR(INDEX(Katalog!$A$3:$A$12,MATCH(cadangan3[[#This Row],[ItemID B]],Katalog!$C$3:$C$12,0)),"-")</f>
        <v>Sepatu Pria</v>
      </c>
      <c r="O79" t="str">
        <f>IFERROR(INDEX(Katalog!$B$3:$B$12,MATCH(cadangan3[[#This Row],[ItemID B]],Katalog!$C$3:$C$12,0)),"-")</f>
        <v>Sandal Slip On</v>
      </c>
      <c r="P79">
        <v>2</v>
      </c>
      <c r="Q79">
        <v>5</v>
      </c>
      <c r="R79" s="36">
        <f>IFERROR(INDEX(Katalog!$D$3:$D$12,MATCH(cadangan3[[#This Row],[ItemID B]],Katalog!$C$3:$C$12,0))*cadangan3[[#This Row],[Qty B]],0)</f>
        <v>300000</v>
      </c>
      <c r="S79" s="36">
        <f>IFERROR(INDEX(Katalog!$D$3:$D$12,MATCH(cadangan3[[#This Row],[Item B]],Katalog!$B$3:$B$12,0))*cadangan3[[#This Row],[Qty B]],0)</f>
        <v>300000</v>
      </c>
      <c r="T79" s="36">
        <f>IFERROR(cadangan3[[#This Row],[Harga Asli B]]-(cadangan3[[#This Row],[Harga Asli B]]*cadangan3[[#This Row],[Diskon]]),cadangan3[[#This Row],[Harga Asli B]])</f>
        <v>240000</v>
      </c>
      <c r="U79" s="36">
        <f>IFERROR(INDEX(Katalog!$F$3:$F$12,MATCH(cadangan3[[#This Row],[ItemID B]],Katalog!$C$3:$C$12,0))*cadangan3[[#This Row],[Qty B]],0)</f>
        <v>120000</v>
      </c>
      <c r="V79" s="36">
        <f>IFERROR(cadangan3[[#This Row],[Profit B]]-(cadangan3[[#This Row],[Profit B]]*cadangan3[[#This Row],[Diskon]]),U79)</f>
        <v>96000</v>
      </c>
      <c r="W79" t="s">
        <v>60</v>
      </c>
      <c r="X79" t="str">
        <f>IFERROR(INDEX(Katalog!$A$3:$A$12,MATCH(cadangan3[[#This Row],[ItemID C]],Katalog!$C$3:$C$12,0)),"-")</f>
        <v>Pakaian Wanita</v>
      </c>
      <c r="Y79" t="str">
        <f>IFERROR(INDEX(Katalog!$B$3:$B$12,MATCH(cadangan3[[#This Row],[ItemID C]],Katalog!$C$3:$C$12,0)),"-")</f>
        <v>Kaftan</v>
      </c>
      <c r="Z79">
        <v>1</v>
      </c>
      <c r="AA79">
        <v>3</v>
      </c>
      <c r="AB79" s="36">
        <f>IFERROR(INDEX(Katalog!$D$3:$D$12,MATCH(cadangan3[[#This Row],[ItemID C]],Katalog!$C$3:$C$12,0))*cadangan3[[#This Row],[Qty C]],0)</f>
        <v>250000</v>
      </c>
      <c r="AC79" s="36">
        <f>IFERROR(INDEX(Katalog!$D$3:$D$12,MATCH(cadangan3[[#This Row],[Item C]],Katalog!$B$3:$B$12,0))*cadangan3[[#This Row],[Qty C]],0)</f>
        <v>250000</v>
      </c>
      <c r="AD79" s="36">
        <f>IFERROR(cadangan3[[#This Row],[Harga Asli C]]-(cadangan3[[#This Row],[Harga Asli C]]*cadangan3[[#This Row],[Diskon]]),cadangan3[[#This Row],[Harga Asli C]])</f>
        <v>200000</v>
      </c>
      <c r="AE79" s="36">
        <f>IFERROR(INDEX(Katalog!$F$3:$F$12,MATCH(cadangan3[[#This Row],[ItemID C]],Katalog!$C$3:$C$12,0))*cadangan3[[#This Row],[Qty C]],0)</f>
        <v>100000</v>
      </c>
      <c r="AF79" s="36">
        <f>IFERROR(cadangan3[[#This Row],[Profit C]]-(cadangan3[[#This Row],[Profit C]]*cadangan3[[#This Row],[Diskon]]),cadangan3[[#This Row],[Profit C]])</f>
        <v>80000</v>
      </c>
      <c r="AG79" s="21">
        <f>cadangan3[[#This Row],[Qty A]]+cadangan3[[#This Row],[Qty B]]+cadangan3[[#This Row],[Qty C]]</f>
        <v>5</v>
      </c>
      <c r="AH79" s="35">
        <f>cadangan3[[#This Row],[Harga A + Diskon]]+cadangan3[[#This Row],[Harga + Diskon B]]+cadangan3[[#This Row],[Harga + Diskon C]]</f>
        <v>840000</v>
      </c>
      <c r="AI79" s="35">
        <f>(cadangan3[[#This Row],[Profit A]]+cadangan3[[#This Row],[Profit B]]+cadangan3[[#This Row],[Profit C]])</f>
        <v>420000</v>
      </c>
      <c r="AJ79" s="35">
        <f>cadangan3[[#This Row],[Provit A + Diskon]]+cadangan3[[#This Row],[Provit B + Diskon]]+cadangan3[[#This Row],[Provit C + Diskon]]</f>
        <v>336000</v>
      </c>
      <c r="AK79" s="23" t="s">
        <v>8</v>
      </c>
      <c r="AL79" s="37">
        <f>IFERROR(INDEX('Kode Diskon'!$D$3:$D$9,MATCH(cadangan3[[#This Row],[Kode diskon]],'Kode Diskon'!$C$3:$C$9,0)),"-")</f>
        <v>0.2</v>
      </c>
      <c r="AM79" s="23" t="s">
        <v>9</v>
      </c>
      <c r="AN79" s="23" t="s">
        <v>7</v>
      </c>
      <c r="AO79" s="23" t="s">
        <v>80</v>
      </c>
      <c r="AP79" s="24">
        <v>45037</v>
      </c>
      <c r="AQ79" s="23" t="str">
        <f>TEXT(cadangan3[[#This Row],[Tanggal terjual]],"dddd")</f>
        <v>Friday</v>
      </c>
    </row>
    <row r="80" spans="1:43" x14ac:dyDescent="0.2">
      <c r="A80" s="20">
        <v>79</v>
      </c>
      <c r="B80" s="21" t="str">
        <f>_xlfn.CONCAT("ORD-",INDEX(Helper!$B$2:$B$5,MATCH(cadangan3[[#This Row],[Marketplace]],Helper!$A$2:$A$5,0)),TEXT(cadangan3[[#This Row],[No]],"0000"),"-",TEXT(cadangan3[[#This Row],[Tanggal terjual]],"dd/mm/yy"))</f>
        <v>ORD-BB0079-02/04/23</v>
      </c>
      <c r="C80" t="s">
        <v>63</v>
      </c>
      <c r="D80" t="str">
        <f>IFERROR(INDEX(Katalog!$A$3:$A$12,MATCH(cadangan3[[#This Row],[ItemID A]],Katalog!$C$3:$C$12,0)),"-")</f>
        <v>Pakaian Pria</v>
      </c>
      <c r="E80" t="str">
        <f>IFERROR(INDEX(Katalog!$B$3:$B$12,MATCH(cadangan3[[#This Row],[ItemID A]],Katalog!$C$3:$C$12,0)),"-")</f>
        <v>Jaket Jeans</v>
      </c>
      <c r="F80">
        <v>1</v>
      </c>
      <c r="G80">
        <v>1</v>
      </c>
      <c r="H80" s="36">
        <f>IFERROR(INDEX(Katalog!$D$3:$D$12,MATCH(cadangan3[[#This Row],[ItemID A]],Katalog!$C$3:$C$12,0))*cadangan3[[#This Row],[Qty A]],0)</f>
        <v>400000</v>
      </c>
      <c r="I80" s="36">
        <f>IFERROR(INDEX(Katalog!$D$3:$D$12,MATCH(cadangan3[[#This Row],[Item A]],Katalog!$B$3:$B$12,0))*cadangan3[[#This Row],[Qty A]],0)</f>
        <v>400000</v>
      </c>
      <c r="J80" s="36">
        <f>IFERROR(cadangan3[[#This Row],[Harga Asli A]]-(cadangan3[[#This Row],[Harga Asli A]]*cadangan3[[#This Row],[Diskon]]),cadangan3[[#This Row],[Harga Asli A]])</f>
        <v>340000</v>
      </c>
      <c r="K80" s="36">
        <f>INDEX(Katalog!$F$3:$F$12,MATCH(cadangan3[[#This Row],[ItemID A]],Katalog!$C$3:$C$12,0))*cadangan3[[#This Row],[Qty A]]</f>
        <v>150000</v>
      </c>
      <c r="L80" s="36">
        <f>IFERROR(cadangan3[[#This Row],[Profit A]]-(cadangan3[[#This Row],[Profit A]]*cadangan3[[#This Row],[Diskon]]),K80)</f>
        <v>127500</v>
      </c>
      <c r="M80" t="s">
        <v>60</v>
      </c>
      <c r="N80" t="str">
        <f>IFERROR(INDEX(Katalog!$A$3:$A$12,MATCH(cadangan3[[#This Row],[ItemID B]],Katalog!$C$3:$C$12,0)),"-")</f>
        <v>Pakaian Wanita</v>
      </c>
      <c r="O80" t="str">
        <f>IFERROR(INDEX(Katalog!$B$3:$B$12,MATCH(cadangan3[[#This Row],[ItemID B]],Katalog!$C$3:$C$12,0)),"-")</f>
        <v>Kaftan</v>
      </c>
      <c r="P80">
        <v>1</v>
      </c>
      <c r="Q80">
        <v>2</v>
      </c>
      <c r="R80" s="36">
        <f>IFERROR(INDEX(Katalog!$D$3:$D$12,MATCH(cadangan3[[#This Row],[ItemID B]],Katalog!$C$3:$C$12,0))*cadangan3[[#This Row],[Qty B]],0)</f>
        <v>250000</v>
      </c>
      <c r="S80" s="36">
        <f>IFERROR(INDEX(Katalog!$D$3:$D$12,MATCH(cadangan3[[#This Row],[Item B]],Katalog!$B$3:$B$12,0))*cadangan3[[#This Row],[Qty B]],0)</f>
        <v>250000</v>
      </c>
      <c r="T80" s="36">
        <f>IFERROR(cadangan3[[#This Row],[Harga Asli B]]-(cadangan3[[#This Row],[Harga Asli B]]*cadangan3[[#This Row],[Diskon]]),cadangan3[[#This Row],[Harga Asli B]])</f>
        <v>212500</v>
      </c>
      <c r="U80" s="36">
        <f>IFERROR(INDEX(Katalog!$F$3:$F$12,MATCH(cadangan3[[#This Row],[ItemID B]],Katalog!$C$3:$C$12,0))*cadangan3[[#This Row],[Qty B]],0)</f>
        <v>100000</v>
      </c>
      <c r="V80" s="36">
        <f>IFERROR(cadangan3[[#This Row],[Profit B]]-(cadangan3[[#This Row],[Profit B]]*cadangan3[[#This Row],[Diskon]]),U80)</f>
        <v>85000</v>
      </c>
      <c r="X80" t="str">
        <f>IFERROR(INDEX(Katalog!$A$3:$A$12,MATCH(cadangan3[[#This Row],[ItemID C]],Katalog!$C$3:$C$12,0)),"-")</f>
        <v>-</v>
      </c>
      <c r="Y80" t="str">
        <f>IFERROR(INDEX(Katalog!$B$3:$B$12,MATCH(cadangan3[[#This Row],[ItemID C]],Katalog!$C$3:$C$12,0)),"-")</f>
        <v>-</v>
      </c>
      <c r="AB80" s="36">
        <f>IFERROR(INDEX(Katalog!$D$3:$D$12,MATCH(cadangan3[[#This Row],[ItemID C]],Katalog!$C$3:$C$12,0))*cadangan3[[#This Row],[Qty C]],0)</f>
        <v>0</v>
      </c>
      <c r="AC80" s="36">
        <f>IFERROR(INDEX(Katalog!$D$3:$D$12,MATCH(cadangan3[[#This Row],[Item C]],Katalog!$B$3:$B$12,0))*cadangan3[[#This Row],[Qty C]],0)</f>
        <v>0</v>
      </c>
      <c r="AD80" s="36">
        <f>IFERROR(cadangan3[[#This Row],[Harga Asli C]]-(cadangan3[[#This Row],[Harga Asli C]]*cadangan3[[#This Row],[Diskon]]),cadangan3[[#This Row],[Harga Asli C]])</f>
        <v>0</v>
      </c>
      <c r="AE80" s="36">
        <f>IFERROR(INDEX(Katalog!$F$3:$F$12,MATCH(cadangan3[[#This Row],[ItemID C]],Katalog!$C$3:$C$12,0))*cadangan3[[#This Row],[Qty C]],0)</f>
        <v>0</v>
      </c>
      <c r="AF80" s="36">
        <f>IFERROR(cadangan3[[#This Row],[Profit C]]-(cadangan3[[#This Row],[Profit C]]*cadangan3[[#This Row],[Diskon]]),cadangan3[[#This Row],[Profit C]])</f>
        <v>0</v>
      </c>
      <c r="AG80" s="21">
        <f>cadangan3[[#This Row],[Qty A]]+cadangan3[[#This Row],[Qty B]]+cadangan3[[#This Row],[Qty C]]</f>
        <v>2</v>
      </c>
      <c r="AH80" s="35">
        <f>cadangan3[[#This Row],[Harga A + Diskon]]+cadangan3[[#This Row],[Harga + Diskon B]]+cadangan3[[#This Row],[Harga + Diskon C]]</f>
        <v>552500</v>
      </c>
      <c r="AI80" s="35">
        <f>(cadangan3[[#This Row],[Profit A]]+cadangan3[[#This Row],[Profit B]]+cadangan3[[#This Row],[Profit C]])</f>
        <v>250000</v>
      </c>
      <c r="AJ80" s="35">
        <f>cadangan3[[#This Row],[Provit A + Diskon]]+cadangan3[[#This Row],[Provit B + Diskon]]+cadangan3[[#This Row],[Provit C + Diskon]]</f>
        <v>212500</v>
      </c>
      <c r="AK80" s="23" t="s">
        <v>28</v>
      </c>
      <c r="AL80" s="37">
        <f>IFERROR(INDEX('Kode Diskon'!$D$3:$D$9,MATCH(cadangan3[[#This Row],[Kode diskon]],'Kode Diskon'!$C$3:$C$9,0)),"-")</f>
        <v>0.15</v>
      </c>
      <c r="AM80" s="23" t="s">
        <v>29</v>
      </c>
      <c r="AN80" s="23" t="s">
        <v>14</v>
      </c>
      <c r="AO80" s="23" t="s">
        <v>80</v>
      </c>
      <c r="AP80" s="24">
        <v>45018</v>
      </c>
      <c r="AQ80" s="23" t="str">
        <f>TEXT(cadangan3[[#This Row],[Tanggal terjual]],"dddd")</f>
        <v>Sunday</v>
      </c>
    </row>
    <row r="81" spans="1:43" x14ac:dyDescent="0.2">
      <c r="A81" s="20">
        <v>80</v>
      </c>
      <c r="B81" s="21" t="str">
        <f>_xlfn.CONCAT("ORD-",INDEX(Helper!$B$2:$B$5,MATCH(cadangan3[[#This Row],[Marketplace]],Helper!$A$2:$A$5,0)),TEXT(cadangan3[[#This Row],[No]],"0000"),"-",TEXT(cadangan3[[#This Row],[Tanggal terjual]],"dd/mm/yy"))</f>
        <v>ORD-BB0080-05/04/23</v>
      </c>
      <c r="C81" t="s">
        <v>67</v>
      </c>
      <c r="D81" t="str">
        <f>IFERROR(INDEX(Katalog!$A$3:$A$12,MATCH(cadangan3[[#This Row],[ItemID A]],Katalog!$C$3:$C$12,0)),"-")</f>
        <v>Sepatu Wanita</v>
      </c>
      <c r="E81" t="str">
        <f>IFERROR(INDEX(Katalog!$B$3:$B$12,MATCH(cadangan3[[#This Row],[ItemID A]],Katalog!$C$3:$C$12,0)),"-")</f>
        <v>Flat Shoes</v>
      </c>
      <c r="F81">
        <v>4</v>
      </c>
      <c r="G81">
        <v>1</v>
      </c>
      <c r="H81" s="36">
        <f>IFERROR(INDEX(Katalog!$D$3:$D$12,MATCH(cadangan3[[#This Row],[ItemID A]],Katalog!$C$3:$C$12,0))*cadangan3[[#This Row],[Qty A]],0)</f>
        <v>1000000</v>
      </c>
      <c r="I81" s="36">
        <f>IFERROR(INDEX(Katalog!$D$3:$D$12,MATCH(cadangan3[[#This Row],[Item A]],Katalog!$B$3:$B$12,0))*cadangan3[[#This Row],[Qty A]],0)</f>
        <v>1000000</v>
      </c>
      <c r="J81" s="36">
        <f>IFERROR(cadangan3[[#This Row],[Harga Asli A]]-(cadangan3[[#This Row],[Harga Asli A]]*cadangan3[[#This Row],[Diskon]]),cadangan3[[#This Row],[Harga Asli A]])</f>
        <v>850000</v>
      </c>
      <c r="K81" s="36">
        <f>INDEX(Katalog!$F$3:$F$12,MATCH(cadangan3[[#This Row],[ItemID A]],Katalog!$C$3:$C$12,0))*cadangan3[[#This Row],[Qty A]]</f>
        <v>400000</v>
      </c>
      <c r="L81" s="36">
        <f>IFERROR(cadangan3[[#This Row],[Profit A]]-(cadangan3[[#This Row],[Profit A]]*cadangan3[[#This Row],[Diskon]]),K81)</f>
        <v>340000</v>
      </c>
      <c r="M81" t="s">
        <v>61</v>
      </c>
      <c r="N81" t="str">
        <f>IFERROR(INDEX(Katalog!$A$3:$A$12,MATCH(cadangan3[[#This Row],[ItemID B]],Katalog!$C$3:$C$12,0)),"-")</f>
        <v>Pakaian Pria</v>
      </c>
      <c r="O81" t="str">
        <f>IFERROR(INDEX(Katalog!$B$3:$B$12,MATCH(cadangan3[[#This Row],[ItemID B]],Katalog!$C$3:$C$12,0)),"-")</f>
        <v>Kaos Polo</v>
      </c>
      <c r="P81">
        <v>1</v>
      </c>
      <c r="Q81">
        <v>2</v>
      </c>
      <c r="R81" s="36">
        <f>IFERROR(INDEX(Katalog!$D$3:$D$12,MATCH(cadangan3[[#This Row],[ItemID B]],Katalog!$C$3:$C$12,0))*cadangan3[[#This Row],[Qty B]],0)</f>
        <v>200000</v>
      </c>
      <c r="S81" s="36">
        <f>IFERROR(INDEX(Katalog!$D$3:$D$12,MATCH(cadangan3[[#This Row],[Item B]],Katalog!$B$3:$B$12,0))*cadangan3[[#This Row],[Qty B]],0)</f>
        <v>200000</v>
      </c>
      <c r="T81" s="36">
        <f>IFERROR(cadangan3[[#This Row],[Harga Asli B]]-(cadangan3[[#This Row],[Harga Asli B]]*cadangan3[[#This Row],[Diskon]]),cadangan3[[#This Row],[Harga Asli B]])</f>
        <v>170000</v>
      </c>
      <c r="U81" s="36">
        <f>IFERROR(INDEX(Katalog!$F$3:$F$12,MATCH(cadangan3[[#This Row],[ItemID B]],Katalog!$C$3:$C$12,0))*cadangan3[[#This Row],[Qty B]],0)</f>
        <v>80000</v>
      </c>
      <c r="V81" s="36">
        <f>IFERROR(cadangan3[[#This Row],[Profit B]]-(cadangan3[[#This Row],[Profit B]]*cadangan3[[#This Row],[Diskon]]),U81)</f>
        <v>68000</v>
      </c>
      <c r="W81" t="s">
        <v>65</v>
      </c>
      <c r="X81" t="str">
        <f>IFERROR(INDEX(Katalog!$A$3:$A$12,MATCH(cadangan3[[#This Row],[ItemID C]],Katalog!$C$3:$C$12,0)),"-")</f>
        <v>Sepatu Pria</v>
      </c>
      <c r="Y81" t="str">
        <f>IFERROR(INDEX(Katalog!$B$3:$B$12,MATCH(cadangan3[[#This Row],[ItemID C]],Katalog!$C$3:$C$12,0)),"-")</f>
        <v>Sneakers</v>
      </c>
      <c r="Z81">
        <v>2</v>
      </c>
      <c r="AA81">
        <v>1</v>
      </c>
      <c r="AB81" s="36">
        <f>IFERROR(INDEX(Katalog!$D$3:$D$12,MATCH(cadangan3[[#This Row],[ItemID C]],Katalog!$C$3:$C$12,0))*cadangan3[[#This Row],[Qty C]],0)</f>
        <v>1000000</v>
      </c>
      <c r="AC81" s="36">
        <f>IFERROR(INDEX(Katalog!$D$3:$D$12,MATCH(cadangan3[[#This Row],[Item C]],Katalog!$B$3:$B$12,0))*cadangan3[[#This Row],[Qty C]],0)</f>
        <v>1000000</v>
      </c>
      <c r="AD81" s="36">
        <f>IFERROR(cadangan3[[#This Row],[Harga Asli C]]-(cadangan3[[#This Row],[Harga Asli C]]*cadangan3[[#This Row],[Diskon]]),cadangan3[[#This Row],[Harga Asli C]])</f>
        <v>850000</v>
      </c>
      <c r="AE81" s="36">
        <f>IFERROR(INDEX(Katalog!$F$3:$F$12,MATCH(cadangan3[[#This Row],[ItemID C]],Katalog!$C$3:$C$12,0))*cadangan3[[#This Row],[Qty C]],0)</f>
        <v>400000</v>
      </c>
      <c r="AF81" s="36">
        <f>IFERROR(cadangan3[[#This Row],[Profit C]]-(cadangan3[[#This Row],[Profit C]]*cadangan3[[#This Row],[Diskon]]),cadangan3[[#This Row],[Profit C]])</f>
        <v>340000</v>
      </c>
      <c r="AG81" s="21">
        <f>cadangan3[[#This Row],[Qty A]]+cadangan3[[#This Row],[Qty B]]+cadangan3[[#This Row],[Qty C]]</f>
        <v>7</v>
      </c>
      <c r="AH81" s="35">
        <f>cadangan3[[#This Row],[Harga A + Diskon]]+cadangan3[[#This Row],[Harga + Diskon B]]+cadangan3[[#This Row],[Harga + Diskon C]]</f>
        <v>1870000</v>
      </c>
      <c r="AI81" s="35">
        <f>(cadangan3[[#This Row],[Profit A]]+cadangan3[[#This Row],[Profit B]]+cadangan3[[#This Row],[Profit C]])</f>
        <v>880000</v>
      </c>
      <c r="AJ81" s="35">
        <f>cadangan3[[#This Row],[Provit A + Diskon]]+cadangan3[[#This Row],[Provit B + Diskon]]+cadangan3[[#This Row],[Provit C + Diskon]]</f>
        <v>748000</v>
      </c>
      <c r="AK81" s="23" t="s">
        <v>28</v>
      </c>
      <c r="AL81" s="37">
        <f>IFERROR(INDEX('Kode Diskon'!$D$3:$D$9,MATCH(cadangan3[[#This Row],[Kode diskon]],'Kode Diskon'!$C$3:$C$9,0)),"-")</f>
        <v>0.15</v>
      </c>
      <c r="AM81" s="23" t="s">
        <v>29</v>
      </c>
      <c r="AN81" s="23" t="s">
        <v>14</v>
      </c>
      <c r="AO81" s="23" t="s">
        <v>78</v>
      </c>
      <c r="AP81" s="24">
        <v>45021</v>
      </c>
      <c r="AQ81" s="23" t="str">
        <f>TEXT(cadangan3[[#This Row],[Tanggal terjual]],"dddd")</f>
        <v>Wednesday</v>
      </c>
    </row>
    <row r="82" spans="1:43" x14ac:dyDescent="0.2">
      <c r="A82" s="20">
        <v>81</v>
      </c>
      <c r="B82" s="21" t="str">
        <f>_xlfn.CONCAT("ORD-",INDEX(Helper!$B$2:$B$5,MATCH(cadangan3[[#This Row],[Marketplace]],Helper!$A$2:$A$5,0)),TEXT(cadangan3[[#This Row],[No]],"0000"),"-",TEXT(cadangan3[[#This Row],[Tanggal terjual]],"dd/mm/yy"))</f>
        <v>ORD-SP0081-06/04/23</v>
      </c>
      <c r="C82" t="s">
        <v>61</v>
      </c>
      <c r="D82" t="str">
        <f>IFERROR(INDEX(Katalog!$A$3:$A$12,MATCH(cadangan3[[#This Row],[ItemID A]],Katalog!$C$3:$C$12,0)),"-")</f>
        <v>Pakaian Pria</v>
      </c>
      <c r="E82" t="str">
        <f>IFERROR(INDEX(Katalog!$B$3:$B$12,MATCH(cadangan3[[#This Row],[ItemID A]],Katalog!$C$3:$C$12,0)),"-")</f>
        <v>Kaos Polo</v>
      </c>
      <c r="F82">
        <v>1</v>
      </c>
      <c r="G82">
        <v>5</v>
      </c>
      <c r="H82" s="36">
        <f>IFERROR(INDEX(Katalog!$D$3:$D$12,MATCH(cadangan3[[#This Row],[ItemID A]],Katalog!$C$3:$C$12,0))*cadangan3[[#This Row],[Qty A]],0)</f>
        <v>200000</v>
      </c>
      <c r="I82" s="36">
        <f>IFERROR(INDEX(Katalog!$D$3:$D$12,MATCH(cadangan3[[#This Row],[Item A]],Katalog!$B$3:$B$12,0))*cadangan3[[#This Row],[Qty A]],0)</f>
        <v>200000</v>
      </c>
      <c r="J82" s="36">
        <f>IFERROR(cadangan3[[#This Row],[Harga Asli A]]-(cadangan3[[#This Row],[Harga Asli A]]*cadangan3[[#This Row],[Diskon]]),cadangan3[[#This Row],[Harga Asli A]])</f>
        <v>180000</v>
      </c>
      <c r="K82" s="36">
        <f>INDEX(Katalog!$F$3:$F$12,MATCH(cadangan3[[#This Row],[ItemID A]],Katalog!$C$3:$C$12,0))*cadangan3[[#This Row],[Qty A]]</f>
        <v>80000</v>
      </c>
      <c r="L82" s="36">
        <f>IFERROR(cadangan3[[#This Row],[Profit A]]-(cadangan3[[#This Row],[Profit A]]*cadangan3[[#This Row],[Diskon]]),K82)</f>
        <v>72000</v>
      </c>
      <c r="M82" t="s">
        <v>60</v>
      </c>
      <c r="N82" t="str">
        <f>IFERROR(INDEX(Katalog!$A$3:$A$12,MATCH(cadangan3[[#This Row],[ItemID B]],Katalog!$C$3:$C$12,0)),"-")</f>
        <v>Pakaian Wanita</v>
      </c>
      <c r="O82" t="str">
        <f>IFERROR(INDEX(Katalog!$B$3:$B$12,MATCH(cadangan3[[#This Row],[ItemID B]],Katalog!$C$3:$C$12,0)),"-")</f>
        <v>Kaftan</v>
      </c>
      <c r="P82">
        <v>1</v>
      </c>
      <c r="Q82">
        <v>1</v>
      </c>
      <c r="R82" s="36">
        <f>IFERROR(INDEX(Katalog!$D$3:$D$12,MATCH(cadangan3[[#This Row],[ItemID B]],Katalog!$C$3:$C$12,0))*cadangan3[[#This Row],[Qty B]],0)</f>
        <v>250000</v>
      </c>
      <c r="S82" s="36">
        <f>IFERROR(INDEX(Katalog!$D$3:$D$12,MATCH(cadangan3[[#This Row],[Item B]],Katalog!$B$3:$B$12,0))*cadangan3[[#This Row],[Qty B]],0)</f>
        <v>250000</v>
      </c>
      <c r="T82" s="36">
        <f>IFERROR(cadangan3[[#This Row],[Harga Asli B]]-(cadangan3[[#This Row],[Harga Asli B]]*cadangan3[[#This Row],[Diskon]]),cadangan3[[#This Row],[Harga Asli B]])</f>
        <v>225000</v>
      </c>
      <c r="U82" s="36">
        <f>IFERROR(INDEX(Katalog!$F$3:$F$12,MATCH(cadangan3[[#This Row],[ItemID B]],Katalog!$C$3:$C$12,0))*cadangan3[[#This Row],[Qty B]],0)</f>
        <v>100000</v>
      </c>
      <c r="V82" s="36">
        <f>IFERROR(cadangan3[[#This Row],[Profit B]]-(cadangan3[[#This Row],[Profit B]]*cadangan3[[#This Row],[Diskon]]),U82)</f>
        <v>90000</v>
      </c>
      <c r="W82" t="s">
        <v>64</v>
      </c>
      <c r="X82" t="str">
        <f>IFERROR(INDEX(Katalog!$A$3:$A$12,MATCH(cadangan3[[#This Row],[ItemID C]],Katalog!$C$3:$C$12,0)),"-")</f>
        <v>Pakaian Unisex</v>
      </c>
      <c r="Y82" t="str">
        <f>IFERROR(INDEX(Katalog!$B$3:$B$12,MATCH(cadangan3[[#This Row],[ItemID C]],Katalog!$C$3:$C$12,0)),"-")</f>
        <v>Jaket Hoodie</v>
      </c>
      <c r="Z82">
        <v>1</v>
      </c>
      <c r="AA82">
        <v>3</v>
      </c>
      <c r="AB82" s="36">
        <f>IFERROR(INDEX(Katalog!$D$3:$D$12,MATCH(cadangan3[[#This Row],[ItemID C]],Katalog!$C$3:$C$12,0))*cadangan3[[#This Row],[Qty C]],0)</f>
        <v>350000</v>
      </c>
      <c r="AC82" s="36">
        <f>IFERROR(INDEX(Katalog!$D$3:$D$12,MATCH(cadangan3[[#This Row],[Item C]],Katalog!$B$3:$B$12,0))*cadangan3[[#This Row],[Qty C]],0)</f>
        <v>350000</v>
      </c>
      <c r="AD82" s="36">
        <f>IFERROR(cadangan3[[#This Row],[Harga Asli C]]-(cadangan3[[#This Row],[Harga Asli C]]*cadangan3[[#This Row],[Diskon]]),cadangan3[[#This Row],[Harga Asli C]])</f>
        <v>315000</v>
      </c>
      <c r="AE82" s="36">
        <f>IFERROR(INDEX(Katalog!$F$3:$F$12,MATCH(cadangan3[[#This Row],[ItemID C]],Katalog!$C$3:$C$12,0))*cadangan3[[#This Row],[Qty C]],0)</f>
        <v>130000</v>
      </c>
      <c r="AF82" s="36">
        <f>IFERROR(cadangan3[[#This Row],[Profit C]]-(cadangan3[[#This Row],[Profit C]]*cadangan3[[#This Row],[Diskon]]),cadangan3[[#This Row],[Profit C]])</f>
        <v>117000</v>
      </c>
      <c r="AG82" s="21">
        <f>cadangan3[[#This Row],[Qty A]]+cadangan3[[#This Row],[Qty B]]+cadangan3[[#This Row],[Qty C]]</f>
        <v>3</v>
      </c>
      <c r="AH82" s="35">
        <f>cadangan3[[#This Row],[Harga A + Diskon]]+cadangan3[[#This Row],[Harga + Diskon B]]+cadangan3[[#This Row],[Harga + Diskon C]]</f>
        <v>720000</v>
      </c>
      <c r="AI82" s="35">
        <f>(cadangan3[[#This Row],[Profit A]]+cadangan3[[#This Row],[Profit B]]+cadangan3[[#This Row],[Profit C]])</f>
        <v>310000</v>
      </c>
      <c r="AJ82" s="35">
        <f>cadangan3[[#This Row],[Provit A + Diskon]]+cadangan3[[#This Row],[Provit B + Diskon]]+cadangan3[[#This Row],[Provit C + Diskon]]</f>
        <v>279000</v>
      </c>
      <c r="AK82" s="23" t="s">
        <v>6</v>
      </c>
      <c r="AL82" s="37">
        <f>IFERROR(INDEX('Kode Diskon'!$D$3:$D$9,MATCH(cadangan3[[#This Row],[Kode diskon]],'Kode Diskon'!$C$3:$C$9,0)),"-")</f>
        <v>0.1</v>
      </c>
      <c r="AM82" s="23" t="s">
        <v>29</v>
      </c>
      <c r="AN82" s="23" t="s">
        <v>7</v>
      </c>
      <c r="AO82" s="23" t="s">
        <v>78</v>
      </c>
      <c r="AP82" s="24">
        <v>45022</v>
      </c>
      <c r="AQ82" s="23" t="str">
        <f>TEXT(cadangan3[[#This Row],[Tanggal terjual]],"dddd")</f>
        <v>Thursday</v>
      </c>
    </row>
    <row r="83" spans="1:43" x14ac:dyDescent="0.2">
      <c r="A83" s="20">
        <v>82</v>
      </c>
      <c r="B83" s="21" t="str">
        <f>_xlfn.CONCAT("ORD-",INDEX(Helper!$B$2:$B$5,MATCH(cadangan3[[#This Row],[Marketplace]],Helper!$A$2:$A$5,0)),TEXT(cadangan3[[#This Row],[No]],"0000"),"-",TEXT(cadangan3[[#This Row],[Tanggal terjual]],"dd/mm/yy"))</f>
        <v>ORD-TK0082-04/04/23</v>
      </c>
      <c r="C83" t="s">
        <v>58</v>
      </c>
      <c r="D83" t="str">
        <f>IFERROR(INDEX(Katalog!$A$3:$A$12,MATCH(cadangan3[[#This Row],[ItemID A]],Katalog!$C$3:$C$12,0)),"-")</f>
        <v>Pakaian Wanita</v>
      </c>
      <c r="E83" t="str">
        <f>IFERROR(INDEX(Katalog!$B$3:$B$12,MATCH(cadangan3[[#This Row],[ItemID A]],Katalog!$C$3:$C$12,0)),"-")</f>
        <v>Dress</v>
      </c>
      <c r="F83">
        <v>2</v>
      </c>
      <c r="G83">
        <v>3</v>
      </c>
      <c r="H83" s="36">
        <f>IFERROR(INDEX(Katalog!$D$3:$D$12,MATCH(cadangan3[[#This Row],[ItemID A]],Katalog!$C$3:$C$12,0))*cadangan3[[#This Row],[Qty A]],0)</f>
        <v>600000</v>
      </c>
      <c r="I83" s="36">
        <f>IFERROR(INDEX(Katalog!$D$3:$D$12,MATCH(cadangan3[[#This Row],[Item A]],Katalog!$B$3:$B$12,0))*cadangan3[[#This Row],[Qty A]],0)</f>
        <v>600000</v>
      </c>
      <c r="J83" s="36">
        <f>IFERROR(cadangan3[[#This Row],[Harga Asli A]]-(cadangan3[[#This Row],[Harga Asli A]]*cadangan3[[#This Row],[Diskon]]),cadangan3[[#This Row],[Harga Asli A]])</f>
        <v>540000</v>
      </c>
      <c r="K83" s="36">
        <f>INDEX(Katalog!$F$3:$F$12,MATCH(cadangan3[[#This Row],[ItemID A]],Katalog!$C$3:$C$12,0))*cadangan3[[#This Row],[Qty A]]</f>
        <v>200000</v>
      </c>
      <c r="L83" s="36">
        <f>IFERROR(cadangan3[[#This Row],[Profit A]]-(cadangan3[[#This Row],[Profit A]]*cadangan3[[#This Row],[Diskon]]),K83)</f>
        <v>180000</v>
      </c>
      <c r="M83" t="s">
        <v>62</v>
      </c>
      <c r="N83" t="str">
        <f>IFERROR(INDEX(Katalog!$A$3:$A$12,MATCH(cadangan3[[#This Row],[ItemID B]],Katalog!$C$3:$C$12,0)),"-")</f>
        <v>Pakaian Pria</v>
      </c>
      <c r="O83" t="str">
        <f>IFERROR(INDEX(Katalog!$B$3:$B$12,MATCH(cadangan3[[#This Row],[ItemID B]],Katalog!$C$3:$C$12,0)),"-")</f>
        <v>Celana Pendek</v>
      </c>
      <c r="P83">
        <v>1</v>
      </c>
      <c r="Q83">
        <v>4</v>
      </c>
      <c r="R83" s="36">
        <f>IFERROR(INDEX(Katalog!$D$3:$D$12,MATCH(cadangan3[[#This Row],[ItemID B]],Katalog!$C$3:$C$12,0))*cadangan3[[#This Row],[Qty B]],0)</f>
        <v>180000</v>
      </c>
      <c r="S83" s="36">
        <f>IFERROR(INDEX(Katalog!$D$3:$D$12,MATCH(cadangan3[[#This Row],[Item B]],Katalog!$B$3:$B$12,0))*cadangan3[[#This Row],[Qty B]],0)</f>
        <v>180000</v>
      </c>
      <c r="T83" s="36">
        <f>IFERROR(cadangan3[[#This Row],[Harga Asli B]]-(cadangan3[[#This Row],[Harga Asli B]]*cadangan3[[#This Row],[Diskon]]),cadangan3[[#This Row],[Harga Asli B]])</f>
        <v>162000</v>
      </c>
      <c r="U83" s="36">
        <f>IFERROR(INDEX(Katalog!$F$3:$F$12,MATCH(cadangan3[[#This Row],[ItemID B]],Katalog!$C$3:$C$12,0))*cadangan3[[#This Row],[Qty B]],0)</f>
        <v>70000</v>
      </c>
      <c r="V83" s="36">
        <f>IFERROR(cadangan3[[#This Row],[Profit B]]-(cadangan3[[#This Row],[Profit B]]*cadangan3[[#This Row],[Diskon]]),U83)</f>
        <v>63000</v>
      </c>
      <c r="X83" t="str">
        <f>IFERROR(INDEX(Katalog!$A$3:$A$12,MATCH(cadangan3[[#This Row],[ItemID C]],Katalog!$C$3:$C$12,0)),"-")</f>
        <v>-</v>
      </c>
      <c r="Y83" t="str">
        <f>IFERROR(INDEX(Katalog!$B$3:$B$12,MATCH(cadangan3[[#This Row],[ItemID C]],Katalog!$C$3:$C$12,0)),"-")</f>
        <v>-</v>
      </c>
      <c r="AB83" s="36">
        <f>IFERROR(INDEX(Katalog!$D$3:$D$12,MATCH(cadangan3[[#This Row],[ItemID C]],Katalog!$C$3:$C$12,0))*cadangan3[[#This Row],[Qty C]],0)</f>
        <v>0</v>
      </c>
      <c r="AC83" s="36">
        <f>IFERROR(INDEX(Katalog!$D$3:$D$12,MATCH(cadangan3[[#This Row],[Item C]],Katalog!$B$3:$B$12,0))*cadangan3[[#This Row],[Qty C]],0)</f>
        <v>0</v>
      </c>
      <c r="AD83" s="36">
        <f>IFERROR(cadangan3[[#This Row],[Harga Asli C]]-(cadangan3[[#This Row],[Harga Asli C]]*cadangan3[[#This Row],[Diskon]]),cadangan3[[#This Row],[Harga Asli C]])</f>
        <v>0</v>
      </c>
      <c r="AE83" s="36">
        <f>IFERROR(INDEX(Katalog!$F$3:$F$12,MATCH(cadangan3[[#This Row],[ItemID C]],Katalog!$C$3:$C$12,0))*cadangan3[[#This Row],[Qty C]],0)</f>
        <v>0</v>
      </c>
      <c r="AF83" s="36">
        <f>IFERROR(cadangan3[[#This Row],[Profit C]]-(cadangan3[[#This Row],[Profit C]]*cadangan3[[#This Row],[Diskon]]),cadangan3[[#This Row],[Profit C]])</f>
        <v>0</v>
      </c>
      <c r="AG83" s="21">
        <f>cadangan3[[#This Row],[Qty A]]+cadangan3[[#This Row],[Qty B]]+cadangan3[[#This Row],[Qty C]]</f>
        <v>3</v>
      </c>
      <c r="AH83" s="35">
        <f>cadangan3[[#This Row],[Harga A + Diskon]]+cadangan3[[#This Row],[Harga + Diskon B]]+cadangan3[[#This Row],[Harga + Diskon C]]</f>
        <v>702000</v>
      </c>
      <c r="AI83" s="35">
        <f>(cadangan3[[#This Row],[Profit A]]+cadangan3[[#This Row],[Profit B]]+cadangan3[[#This Row],[Profit C]])</f>
        <v>270000</v>
      </c>
      <c r="AJ83" s="35">
        <f>cadangan3[[#This Row],[Provit A + Diskon]]+cadangan3[[#This Row],[Provit B + Diskon]]+cadangan3[[#This Row],[Provit C + Diskon]]</f>
        <v>243000</v>
      </c>
      <c r="AK83" s="23" t="s">
        <v>30</v>
      </c>
      <c r="AL83" s="37">
        <f>IFERROR(INDEX('Kode Diskon'!$D$3:$D$9,MATCH(cadangan3[[#This Row],[Kode diskon]],'Kode Diskon'!$C$3:$C$9,0)),"-")</f>
        <v>0.1</v>
      </c>
      <c r="AM83" s="23" t="s">
        <v>29</v>
      </c>
      <c r="AN83" s="23" t="s">
        <v>10</v>
      </c>
      <c r="AO83" s="23" t="s">
        <v>80</v>
      </c>
      <c r="AP83" s="24">
        <v>45020</v>
      </c>
      <c r="AQ83" s="23" t="str">
        <f>TEXT(cadangan3[[#This Row],[Tanggal terjual]],"dddd")</f>
        <v>Tuesday</v>
      </c>
    </row>
    <row r="84" spans="1:43" x14ac:dyDescent="0.2">
      <c r="A84" s="20">
        <v>83</v>
      </c>
      <c r="B84" s="21" t="str">
        <f>_xlfn.CONCAT("ORD-",INDEX(Helper!$B$2:$B$5,MATCH(cadangan3[[#This Row],[Marketplace]],Helper!$A$2:$A$5,0)),TEXT(cadangan3[[#This Row],[No]],"0000"),"-",TEXT(cadangan3[[#This Row],[Tanggal terjual]],"dd/mm/yy"))</f>
        <v>ORD-SP0083-03/04/23</v>
      </c>
      <c r="C84" t="s">
        <v>60</v>
      </c>
      <c r="D84" t="str">
        <f>IFERROR(INDEX(Katalog!$A$3:$A$12,MATCH(cadangan3[[#This Row],[ItemID A]],Katalog!$C$3:$C$12,0)),"-")</f>
        <v>Pakaian Wanita</v>
      </c>
      <c r="E84" t="str">
        <f>IFERROR(INDEX(Katalog!$B$3:$B$12,MATCH(cadangan3[[#This Row],[ItemID A]],Katalog!$C$3:$C$12,0)),"-")</f>
        <v>Kaftan</v>
      </c>
      <c r="F84">
        <v>1</v>
      </c>
      <c r="G84">
        <v>3</v>
      </c>
      <c r="H84" s="36">
        <f>IFERROR(INDEX(Katalog!$D$3:$D$12,MATCH(cadangan3[[#This Row],[ItemID A]],Katalog!$C$3:$C$12,0))*cadangan3[[#This Row],[Qty A]],0)</f>
        <v>250000</v>
      </c>
      <c r="I84" s="36">
        <f>IFERROR(INDEX(Katalog!$D$3:$D$12,MATCH(cadangan3[[#This Row],[Item A]],Katalog!$B$3:$B$12,0))*cadangan3[[#This Row],[Qty A]],0)</f>
        <v>250000</v>
      </c>
      <c r="J84" s="36">
        <f>IFERROR(cadangan3[[#This Row],[Harga Asli A]]-(cadangan3[[#This Row],[Harga Asli A]]*cadangan3[[#This Row],[Diskon]]),cadangan3[[#This Row],[Harga Asli A]])</f>
        <v>212500</v>
      </c>
      <c r="K84" s="36">
        <f>INDEX(Katalog!$F$3:$F$12,MATCH(cadangan3[[#This Row],[ItemID A]],Katalog!$C$3:$C$12,0))*cadangan3[[#This Row],[Qty A]]</f>
        <v>100000</v>
      </c>
      <c r="L84" s="36">
        <f>IFERROR(cadangan3[[#This Row],[Profit A]]-(cadangan3[[#This Row],[Profit A]]*cadangan3[[#This Row],[Diskon]]),K84)</f>
        <v>85000</v>
      </c>
      <c r="N84" t="str">
        <f>IFERROR(INDEX(Katalog!$A$3:$A$12,MATCH(cadangan3[[#This Row],[ItemID B]],Katalog!$C$3:$C$12,0)),"-")</f>
        <v>-</v>
      </c>
      <c r="O84" t="str">
        <f>IFERROR(INDEX(Katalog!$B$3:$B$12,MATCH(cadangan3[[#This Row],[ItemID B]],Katalog!$C$3:$C$12,0)),"-")</f>
        <v>-</v>
      </c>
      <c r="R84" s="36">
        <f>IFERROR(INDEX(Katalog!$D$3:$D$12,MATCH(cadangan3[[#This Row],[ItemID B]],Katalog!$C$3:$C$12,0))*cadangan3[[#This Row],[Qty B]],0)</f>
        <v>0</v>
      </c>
      <c r="S84" s="36">
        <f>IFERROR(INDEX(Katalog!$D$3:$D$12,MATCH(cadangan3[[#This Row],[Item B]],Katalog!$B$3:$B$12,0))*cadangan3[[#This Row],[Qty B]],0)</f>
        <v>0</v>
      </c>
      <c r="T84" s="36">
        <f>IFERROR(cadangan3[[#This Row],[Harga Asli B]]-(cadangan3[[#This Row],[Harga Asli B]]*cadangan3[[#This Row],[Diskon]]),cadangan3[[#This Row],[Harga Asli B]])</f>
        <v>0</v>
      </c>
      <c r="U84" s="36">
        <f>IFERROR(INDEX(Katalog!$F$3:$F$12,MATCH(cadangan3[[#This Row],[ItemID B]],Katalog!$C$3:$C$12,0))*cadangan3[[#This Row],[Qty B]],0)</f>
        <v>0</v>
      </c>
      <c r="V84" s="36">
        <f>IFERROR(cadangan3[[#This Row],[Profit B]]-(cadangan3[[#This Row],[Profit B]]*cadangan3[[#This Row],[Diskon]]),U84)</f>
        <v>0</v>
      </c>
      <c r="X84" t="str">
        <f>IFERROR(INDEX(Katalog!$A$3:$A$12,MATCH(cadangan3[[#This Row],[ItemID C]],Katalog!$C$3:$C$12,0)),"-")</f>
        <v>-</v>
      </c>
      <c r="Y84" t="str">
        <f>IFERROR(INDEX(Katalog!$B$3:$B$12,MATCH(cadangan3[[#This Row],[ItemID C]],Katalog!$C$3:$C$12,0)),"-")</f>
        <v>-</v>
      </c>
      <c r="AB84" s="36">
        <f>IFERROR(INDEX(Katalog!$D$3:$D$12,MATCH(cadangan3[[#This Row],[ItemID C]],Katalog!$C$3:$C$12,0))*cadangan3[[#This Row],[Qty C]],0)</f>
        <v>0</v>
      </c>
      <c r="AC84" s="36">
        <f>IFERROR(INDEX(Katalog!$D$3:$D$12,MATCH(cadangan3[[#This Row],[Item C]],Katalog!$B$3:$B$12,0))*cadangan3[[#This Row],[Qty C]],0)</f>
        <v>0</v>
      </c>
      <c r="AD84" s="36">
        <f>IFERROR(cadangan3[[#This Row],[Harga Asli C]]-(cadangan3[[#This Row],[Harga Asli C]]*cadangan3[[#This Row],[Diskon]]),cadangan3[[#This Row],[Harga Asli C]])</f>
        <v>0</v>
      </c>
      <c r="AE84" s="36">
        <f>IFERROR(INDEX(Katalog!$F$3:$F$12,MATCH(cadangan3[[#This Row],[ItemID C]],Katalog!$C$3:$C$12,0))*cadangan3[[#This Row],[Qty C]],0)</f>
        <v>0</v>
      </c>
      <c r="AF84" s="36">
        <f>IFERROR(cadangan3[[#This Row],[Profit C]]-(cadangan3[[#This Row],[Profit C]]*cadangan3[[#This Row],[Diskon]]),cadangan3[[#This Row],[Profit C]])</f>
        <v>0</v>
      </c>
      <c r="AG84" s="21">
        <f>cadangan3[[#This Row],[Qty A]]+cadangan3[[#This Row],[Qty B]]+cadangan3[[#This Row],[Qty C]]</f>
        <v>1</v>
      </c>
      <c r="AH84" s="35">
        <f>cadangan3[[#This Row],[Harga A + Diskon]]+cadangan3[[#This Row],[Harga + Diskon B]]+cadangan3[[#This Row],[Harga + Diskon C]]</f>
        <v>212500</v>
      </c>
      <c r="AI84" s="35">
        <f>(cadangan3[[#This Row],[Profit A]]+cadangan3[[#This Row],[Profit B]]+cadangan3[[#This Row],[Profit C]])</f>
        <v>100000</v>
      </c>
      <c r="AJ84" s="35">
        <f>cadangan3[[#This Row],[Provit A + Diskon]]+cadangan3[[#This Row],[Provit B + Diskon]]+cadangan3[[#This Row],[Provit C + Diskon]]</f>
        <v>85000</v>
      </c>
      <c r="AK84" s="23" t="s">
        <v>13</v>
      </c>
      <c r="AL84" s="37">
        <f>IFERROR(INDEX('Kode Diskon'!$D$3:$D$9,MATCH(cadangan3[[#This Row],[Kode diskon]],'Kode Diskon'!$C$3:$C$9,0)),"-")</f>
        <v>0.15</v>
      </c>
      <c r="AM84" s="23" t="s">
        <v>29</v>
      </c>
      <c r="AN84" s="23" t="s">
        <v>7</v>
      </c>
      <c r="AO84" s="23" t="s">
        <v>80</v>
      </c>
      <c r="AP84" s="24">
        <v>45019</v>
      </c>
      <c r="AQ84" s="23" t="str">
        <f>TEXT(cadangan3[[#This Row],[Tanggal terjual]],"dddd")</f>
        <v>Monday</v>
      </c>
    </row>
    <row r="85" spans="1:43" x14ac:dyDescent="0.2">
      <c r="A85" s="20">
        <v>84</v>
      </c>
      <c r="B85" s="21" t="str">
        <f>_xlfn.CONCAT("ORD-",INDEX(Helper!$B$2:$B$5,MATCH(cadangan3[[#This Row],[Marketplace]],Helper!$A$2:$A$5,0)),TEXT(cadangan3[[#This Row],[No]],"0000"),"-",TEXT(cadangan3[[#This Row],[Tanggal terjual]],"dd/mm/yy"))</f>
        <v>ORD-BL0084-16/04/23</v>
      </c>
      <c r="C85" t="s">
        <v>58</v>
      </c>
      <c r="D85" t="str">
        <f>IFERROR(INDEX(Katalog!$A$3:$A$12,MATCH(cadangan3[[#This Row],[ItemID A]],Katalog!$C$3:$C$12,0)),"-")</f>
        <v>Pakaian Wanita</v>
      </c>
      <c r="E85" t="str">
        <f>IFERROR(INDEX(Katalog!$B$3:$B$12,MATCH(cadangan3[[#This Row],[ItemID A]],Katalog!$C$3:$C$12,0)),"-")</f>
        <v>Dress</v>
      </c>
      <c r="F85">
        <v>2</v>
      </c>
      <c r="G85">
        <v>4</v>
      </c>
      <c r="H85" s="36">
        <f>IFERROR(INDEX(Katalog!$D$3:$D$12,MATCH(cadangan3[[#This Row],[ItemID A]],Katalog!$C$3:$C$12,0))*cadangan3[[#This Row],[Qty A]],0)</f>
        <v>600000</v>
      </c>
      <c r="I85" s="36">
        <f>IFERROR(INDEX(Katalog!$D$3:$D$12,MATCH(cadangan3[[#This Row],[Item A]],Katalog!$B$3:$B$12,0))*cadangan3[[#This Row],[Qty A]],0)</f>
        <v>600000</v>
      </c>
      <c r="J85" s="36">
        <f>IFERROR(cadangan3[[#This Row],[Harga Asli A]]-(cadangan3[[#This Row],[Harga Asli A]]*cadangan3[[#This Row],[Diskon]]),cadangan3[[#This Row],[Harga Asli A]])</f>
        <v>510000</v>
      </c>
      <c r="K85" s="36">
        <f>INDEX(Katalog!$F$3:$F$12,MATCH(cadangan3[[#This Row],[ItemID A]],Katalog!$C$3:$C$12,0))*cadangan3[[#This Row],[Qty A]]</f>
        <v>200000</v>
      </c>
      <c r="L85" s="36">
        <f>IFERROR(cadangan3[[#This Row],[Profit A]]-(cadangan3[[#This Row],[Profit A]]*cadangan3[[#This Row],[Diskon]]),K85)</f>
        <v>170000</v>
      </c>
      <c r="M85" t="s">
        <v>61</v>
      </c>
      <c r="N85" t="str">
        <f>IFERROR(INDEX(Katalog!$A$3:$A$12,MATCH(cadangan3[[#This Row],[ItemID B]],Katalog!$C$3:$C$12,0)),"-")</f>
        <v>Pakaian Pria</v>
      </c>
      <c r="O85" t="str">
        <f>IFERROR(INDEX(Katalog!$B$3:$B$12,MATCH(cadangan3[[#This Row],[ItemID B]],Katalog!$C$3:$C$12,0)),"-")</f>
        <v>Kaos Polo</v>
      </c>
      <c r="P85">
        <v>1</v>
      </c>
      <c r="Q85">
        <v>3</v>
      </c>
      <c r="R85" s="36">
        <f>IFERROR(INDEX(Katalog!$D$3:$D$12,MATCH(cadangan3[[#This Row],[ItemID B]],Katalog!$C$3:$C$12,0))*cadangan3[[#This Row],[Qty B]],0)</f>
        <v>200000</v>
      </c>
      <c r="S85" s="36">
        <f>IFERROR(INDEX(Katalog!$D$3:$D$12,MATCH(cadangan3[[#This Row],[Item B]],Katalog!$B$3:$B$12,0))*cadangan3[[#This Row],[Qty B]],0)</f>
        <v>200000</v>
      </c>
      <c r="T85" s="36">
        <f>IFERROR(cadangan3[[#This Row],[Harga Asli B]]-(cadangan3[[#This Row],[Harga Asli B]]*cadangan3[[#This Row],[Diskon]]),cadangan3[[#This Row],[Harga Asli B]])</f>
        <v>170000</v>
      </c>
      <c r="U85" s="36">
        <f>IFERROR(INDEX(Katalog!$F$3:$F$12,MATCH(cadangan3[[#This Row],[ItemID B]],Katalog!$C$3:$C$12,0))*cadangan3[[#This Row],[Qty B]],0)</f>
        <v>80000</v>
      </c>
      <c r="V85" s="36">
        <f>IFERROR(cadangan3[[#This Row],[Profit B]]-(cadangan3[[#This Row],[Profit B]]*cadangan3[[#This Row],[Diskon]]),U85)</f>
        <v>68000</v>
      </c>
      <c r="X85" t="str">
        <f>IFERROR(INDEX(Katalog!$A$3:$A$12,MATCH(cadangan3[[#This Row],[ItemID C]],Katalog!$C$3:$C$12,0)),"-")</f>
        <v>-</v>
      </c>
      <c r="Y85" t="str">
        <f>IFERROR(INDEX(Katalog!$B$3:$B$12,MATCH(cadangan3[[#This Row],[ItemID C]],Katalog!$C$3:$C$12,0)),"-")</f>
        <v>-</v>
      </c>
      <c r="AB85" s="36">
        <f>IFERROR(INDEX(Katalog!$D$3:$D$12,MATCH(cadangan3[[#This Row],[ItemID C]],Katalog!$C$3:$C$12,0))*cadangan3[[#This Row],[Qty C]],0)</f>
        <v>0</v>
      </c>
      <c r="AC85" s="36">
        <f>IFERROR(INDEX(Katalog!$D$3:$D$12,MATCH(cadangan3[[#This Row],[Item C]],Katalog!$B$3:$B$12,0))*cadangan3[[#This Row],[Qty C]],0)</f>
        <v>0</v>
      </c>
      <c r="AD85" s="36">
        <f>IFERROR(cadangan3[[#This Row],[Harga Asli C]]-(cadangan3[[#This Row],[Harga Asli C]]*cadangan3[[#This Row],[Diskon]]),cadangan3[[#This Row],[Harga Asli C]])</f>
        <v>0</v>
      </c>
      <c r="AE85" s="36">
        <f>IFERROR(INDEX(Katalog!$F$3:$F$12,MATCH(cadangan3[[#This Row],[ItemID C]],Katalog!$C$3:$C$12,0))*cadangan3[[#This Row],[Qty C]],0)</f>
        <v>0</v>
      </c>
      <c r="AF85" s="36">
        <f>IFERROR(cadangan3[[#This Row],[Profit C]]-(cadangan3[[#This Row],[Profit C]]*cadangan3[[#This Row],[Diskon]]),cadangan3[[#This Row],[Profit C]])</f>
        <v>0</v>
      </c>
      <c r="AG85" s="21">
        <f>cadangan3[[#This Row],[Qty A]]+cadangan3[[#This Row],[Qty B]]+cadangan3[[#This Row],[Qty C]]</f>
        <v>3</v>
      </c>
      <c r="AH85" s="35">
        <f>cadangan3[[#This Row],[Harga A + Diskon]]+cadangan3[[#This Row],[Harga + Diskon B]]+cadangan3[[#This Row],[Harga + Diskon C]]</f>
        <v>680000</v>
      </c>
      <c r="AI85" s="35">
        <f>(cadangan3[[#This Row],[Profit A]]+cadangan3[[#This Row],[Profit B]]+cadangan3[[#This Row],[Profit C]])</f>
        <v>280000</v>
      </c>
      <c r="AJ85" s="35">
        <f>cadangan3[[#This Row],[Provit A + Diskon]]+cadangan3[[#This Row],[Provit B + Diskon]]+cadangan3[[#This Row],[Provit C + Diskon]]</f>
        <v>238000</v>
      </c>
      <c r="AK85" s="23" t="s">
        <v>32</v>
      </c>
      <c r="AL85" s="37">
        <f>IFERROR(INDEX('Kode Diskon'!$D$3:$D$9,MATCH(cadangan3[[#This Row],[Kode diskon]],'Kode Diskon'!$C$3:$C$9,0)),"-")</f>
        <v>0.15</v>
      </c>
      <c r="AM85" s="23" t="s">
        <v>9</v>
      </c>
      <c r="AN85" s="23" t="s">
        <v>12</v>
      </c>
      <c r="AO85" s="23" t="s">
        <v>75</v>
      </c>
      <c r="AP85" s="24">
        <v>45032</v>
      </c>
      <c r="AQ85" s="23" t="str">
        <f>TEXT(cadangan3[[#This Row],[Tanggal terjual]],"dddd")</f>
        <v>Sunday</v>
      </c>
    </row>
    <row r="86" spans="1:43" x14ac:dyDescent="0.2">
      <c r="A86" s="20">
        <v>85</v>
      </c>
      <c r="B86" s="21" t="str">
        <f>_xlfn.CONCAT("ORD-",INDEX(Helper!$B$2:$B$5,MATCH(cadangan3[[#This Row],[Marketplace]],Helper!$A$2:$A$5,0)),TEXT(cadangan3[[#This Row],[No]],"0000"),"-",TEXT(cadangan3[[#This Row],[Tanggal terjual]],"dd/mm/yy"))</f>
        <v>ORD-TK0085-02/04/23</v>
      </c>
      <c r="C86" t="s">
        <v>63</v>
      </c>
      <c r="D86" t="str">
        <f>IFERROR(INDEX(Katalog!$A$3:$A$12,MATCH(cadangan3[[#This Row],[ItemID A]],Katalog!$C$3:$C$12,0)),"-")</f>
        <v>Pakaian Pria</v>
      </c>
      <c r="E86" t="str">
        <f>IFERROR(INDEX(Katalog!$B$3:$B$12,MATCH(cadangan3[[#This Row],[ItemID A]],Katalog!$C$3:$C$12,0)),"-")</f>
        <v>Jaket Jeans</v>
      </c>
      <c r="F86">
        <v>2</v>
      </c>
      <c r="G86">
        <v>1</v>
      </c>
      <c r="H86" s="36">
        <f>IFERROR(INDEX(Katalog!$D$3:$D$12,MATCH(cadangan3[[#This Row],[ItemID A]],Katalog!$C$3:$C$12,0))*cadangan3[[#This Row],[Qty A]],0)</f>
        <v>800000</v>
      </c>
      <c r="I86" s="36">
        <f>IFERROR(INDEX(Katalog!$D$3:$D$12,MATCH(cadangan3[[#This Row],[Item A]],Katalog!$B$3:$B$12,0))*cadangan3[[#This Row],[Qty A]],0)</f>
        <v>800000</v>
      </c>
      <c r="J86" s="36">
        <f>IFERROR(cadangan3[[#This Row],[Harga Asli A]]-(cadangan3[[#This Row],[Harga Asli A]]*cadangan3[[#This Row],[Diskon]]),cadangan3[[#This Row],[Harga Asli A]])</f>
        <v>720000</v>
      </c>
      <c r="K86" s="36">
        <f>INDEX(Katalog!$F$3:$F$12,MATCH(cadangan3[[#This Row],[ItemID A]],Katalog!$C$3:$C$12,0))*cadangan3[[#This Row],[Qty A]]</f>
        <v>300000</v>
      </c>
      <c r="L86" s="36">
        <f>IFERROR(cadangan3[[#This Row],[Profit A]]-(cadangan3[[#This Row],[Profit A]]*cadangan3[[#This Row],[Diskon]]),K86)</f>
        <v>270000</v>
      </c>
      <c r="M86" t="s">
        <v>59</v>
      </c>
      <c r="N86" t="str">
        <f>IFERROR(INDEX(Katalog!$A$3:$A$12,MATCH(cadangan3[[#This Row],[ItemID B]],Katalog!$C$3:$C$12,0)),"-")</f>
        <v>Pakaian Wanita</v>
      </c>
      <c r="O86" t="str">
        <f>IFERROR(INDEX(Katalog!$B$3:$B$12,MATCH(cadangan3[[#This Row],[ItemID B]],Katalog!$C$3:$C$12,0)),"-")</f>
        <v>Blouse</v>
      </c>
      <c r="P86">
        <v>1</v>
      </c>
      <c r="Q86">
        <v>2</v>
      </c>
      <c r="R86" s="36">
        <f>IFERROR(INDEX(Katalog!$D$3:$D$12,MATCH(cadangan3[[#This Row],[ItemID B]],Katalog!$C$3:$C$12,0))*cadangan3[[#This Row],[Qty B]],0)</f>
        <v>150000</v>
      </c>
      <c r="S86" s="36">
        <f>IFERROR(INDEX(Katalog!$D$3:$D$12,MATCH(cadangan3[[#This Row],[Item B]],Katalog!$B$3:$B$12,0))*cadangan3[[#This Row],[Qty B]],0)</f>
        <v>150000</v>
      </c>
      <c r="T86" s="36">
        <f>IFERROR(cadangan3[[#This Row],[Harga Asli B]]-(cadangan3[[#This Row],[Harga Asli B]]*cadangan3[[#This Row],[Diskon]]),cadangan3[[#This Row],[Harga Asli B]])</f>
        <v>135000</v>
      </c>
      <c r="U86" s="36">
        <f>IFERROR(INDEX(Katalog!$F$3:$F$12,MATCH(cadangan3[[#This Row],[ItemID B]],Katalog!$C$3:$C$12,0))*cadangan3[[#This Row],[Qty B]],0)</f>
        <v>50000</v>
      </c>
      <c r="V86" s="36">
        <f>IFERROR(cadangan3[[#This Row],[Profit B]]-(cadangan3[[#This Row],[Profit B]]*cadangan3[[#This Row],[Diskon]]),U86)</f>
        <v>45000</v>
      </c>
      <c r="W86" t="s">
        <v>62</v>
      </c>
      <c r="X86" t="str">
        <f>IFERROR(INDEX(Katalog!$A$3:$A$12,MATCH(cadangan3[[#This Row],[ItemID C]],Katalog!$C$3:$C$12,0)),"-")</f>
        <v>Pakaian Pria</v>
      </c>
      <c r="Y86" t="str">
        <f>IFERROR(INDEX(Katalog!$B$3:$B$12,MATCH(cadangan3[[#This Row],[ItemID C]],Katalog!$C$3:$C$12,0)),"-")</f>
        <v>Celana Pendek</v>
      </c>
      <c r="Z86">
        <v>1</v>
      </c>
      <c r="AA86">
        <v>4</v>
      </c>
      <c r="AB86" s="36">
        <f>IFERROR(INDEX(Katalog!$D$3:$D$12,MATCH(cadangan3[[#This Row],[ItemID C]],Katalog!$C$3:$C$12,0))*cadangan3[[#This Row],[Qty C]],0)</f>
        <v>180000</v>
      </c>
      <c r="AC86" s="36">
        <f>IFERROR(INDEX(Katalog!$D$3:$D$12,MATCH(cadangan3[[#This Row],[Item C]],Katalog!$B$3:$B$12,0))*cadangan3[[#This Row],[Qty C]],0)</f>
        <v>180000</v>
      </c>
      <c r="AD86" s="36">
        <f>IFERROR(cadangan3[[#This Row],[Harga Asli C]]-(cadangan3[[#This Row],[Harga Asli C]]*cadangan3[[#This Row],[Diskon]]),cadangan3[[#This Row],[Harga Asli C]])</f>
        <v>162000</v>
      </c>
      <c r="AE86" s="36">
        <f>IFERROR(INDEX(Katalog!$F$3:$F$12,MATCH(cadangan3[[#This Row],[ItemID C]],Katalog!$C$3:$C$12,0))*cadangan3[[#This Row],[Qty C]],0)</f>
        <v>70000</v>
      </c>
      <c r="AF86" s="36">
        <f>IFERROR(cadangan3[[#This Row],[Profit C]]-(cadangan3[[#This Row],[Profit C]]*cadangan3[[#This Row],[Diskon]]),cadangan3[[#This Row],[Profit C]])</f>
        <v>63000</v>
      </c>
      <c r="AG86" s="21">
        <f>cadangan3[[#This Row],[Qty A]]+cadangan3[[#This Row],[Qty B]]+cadangan3[[#This Row],[Qty C]]</f>
        <v>4</v>
      </c>
      <c r="AH86" s="35">
        <f>cadangan3[[#This Row],[Harga A + Diskon]]+cadangan3[[#This Row],[Harga + Diskon B]]+cadangan3[[#This Row],[Harga + Diskon C]]</f>
        <v>1017000</v>
      </c>
      <c r="AI86" s="35">
        <f>(cadangan3[[#This Row],[Profit A]]+cadangan3[[#This Row],[Profit B]]+cadangan3[[#This Row],[Profit C]])</f>
        <v>420000</v>
      </c>
      <c r="AJ86" s="35">
        <f>cadangan3[[#This Row],[Provit A + Diskon]]+cadangan3[[#This Row],[Provit B + Diskon]]+cadangan3[[#This Row],[Provit C + Diskon]]</f>
        <v>378000</v>
      </c>
      <c r="AK86" s="23" t="s">
        <v>30</v>
      </c>
      <c r="AL86" s="37">
        <f>IFERROR(INDEX('Kode Diskon'!$D$3:$D$9,MATCH(cadangan3[[#This Row],[Kode diskon]],'Kode Diskon'!$C$3:$C$9,0)),"-")</f>
        <v>0.1</v>
      </c>
      <c r="AM86" s="23" t="s">
        <v>29</v>
      </c>
      <c r="AN86" s="23" t="s">
        <v>10</v>
      </c>
      <c r="AO86" s="23" t="s">
        <v>75</v>
      </c>
      <c r="AP86" s="24">
        <v>45018</v>
      </c>
      <c r="AQ86" s="23" t="str">
        <f>TEXT(cadangan3[[#This Row],[Tanggal terjual]],"dddd")</f>
        <v>Sunday</v>
      </c>
    </row>
    <row r="87" spans="1:43" x14ac:dyDescent="0.2">
      <c r="A87" s="20">
        <v>86</v>
      </c>
      <c r="B87" s="21" t="str">
        <f>_xlfn.CONCAT("ORD-",INDEX(Helper!$B$2:$B$5,MATCH(cadangan3[[#This Row],[Marketplace]],Helper!$A$2:$A$5,0)),TEXT(cadangan3[[#This Row],[No]],"0000"),"-",TEXT(cadangan3[[#This Row],[Tanggal terjual]],"dd/mm/yy"))</f>
        <v>ORD-SP0086-01/04/23</v>
      </c>
      <c r="C87" t="s">
        <v>60</v>
      </c>
      <c r="D87" t="str">
        <f>IFERROR(INDEX(Katalog!$A$3:$A$12,MATCH(cadangan3[[#This Row],[ItemID A]],Katalog!$C$3:$C$12,0)),"-")</f>
        <v>Pakaian Wanita</v>
      </c>
      <c r="E87" t="str">
        <f>IFERROR(INDEX(Katalog!$B$3:$B$12,MATCH(cadangan3[[#This Row],[ItemID A]],Katalog!$C$3:$C$12,0)),"-")</f>
        <v>Kaftan</v>
      </c>
      <c r="F87">
        <v>4</v>
      </c>
      <c r="G87">
        <v>2</v>
      </c>
      <c r="H87" s="36">
        <f>IFERROR(INDEX(Katalog!$D$3:$D$12,MATCH(cadangan3[[#This Row],[ItemID A]],Katalog!$C$3:$C$12,0))*cadangan3[[#This Row],[Qty A]],0)</f>
        <v>1000000</v>
      </c>
      <c r="I87" s="36">
        <f>IFERROR(INDEX(Katalog!$D$3:$D$12,MATCH(cadangan3[[#This Row],[Item A]],Katalog!$B$3:$B$12,0))*cadangan3[[#This Row],[Qty A]],0)</f>
        <v>1000000</v>
      </c>
      <c r="J87" s="36">
        <f>IFERROR(cadangan3[[#This Row],[Harga Asli A]]-(cadangan3[[#This Row],[Harga Asli A]]*cadangan3[[#This Row],[Diskon]]),cadangan3[[#This Row],[Harga Asli A]])</f>
        <v>900000</v>
      </c>
      <c r="K87" s="36">
        <f>INDEX(Katalog!$F$3:$F$12,MATCH(cadangan3[[#This Row],[ItemID A]],Katalog!$C$3:$C$12,0))*cadangan3[[#This Row],[Qty A]]</f>
        <v>400000</v>
      </c>
      <c r="L87" s="36">
        <f>IFERROR(cadangan3[[#This Row],[Profit A]]-(cadangan3[[#This Row],[Profit A]]*cadangan3[[#This Row],[Diskon]]),K87)</f>
        <v>360000</v>
      </c>
      <c r="M87" t="s">
        <v>58</v>
      </c>
      <c r="N87" t="str">
        <f>IFERROR(INDEX(Katalog!$A$3:$A$12,MATCH(cadangan3[[#This Row],[ItemID B]],Katalog!$C$3:$C$12,0)),"-")</f>
        <v>Pakaian Wanita</v>
      </c>
      <c r="O87" t="str">
        <f>IFERROR(INDEX(Katalog!$B$3:$B$12,MATCH(cadangan3[[#This Row],[ItemID B]],Katalog!$C$3:$C$12,0)),"-")</f>
        <v>Dress</v>
      </c>
      <c r="P87">
        <v>1</v>
      </c>
      <c r="Q87">
        <v>5</v>
      </c>
      <c r="R87" s="36">
        <f>IFERROR(INDEX(Katalog!$D$3:$D$12,MATCH(cadangan3[[#This Row],[ItemID B]],Katalog!$C$3:$C$12,0))*cadangan3[[#This Row],[Qty B]],0)</f>
        <v>300000</v>
      </c>
      <c r="S87" s="36">
        <f>IFERROR(INDEX(Katalog!$D$3:$D$12,MATCH(cadangan3[[#This Row],[Item B]],Katalog!$B$3:$B$12,0))*cadangan3[[#This Row],[Qty B]],0)</f>
        <v>300000</v>
      </c>
      <c r="T87" s="36">
        <f>IFERROR(cadangan3[[#This Row],[Harga Asli B]]-(cadangan3[[#This Row],[Harga Asli B]]*cadangan3[[#This Row],[Diskon]]),cadangan3[[#This Row],[Harga Asli B]])</f>
        <v>270000</v>
      </c>
      <c r="U87" s="36">
        <f>IFERROR(INDEX(Katalog!$F$3:$F$12,MATCH(cadangan3[[#This Row],[ItemID B]],Katalog!$C$3:$C$12,0))*cadangan3[[#This Row],[Qty B]],0)</f>
        <v>100000</v>
      </c>
      <c r="V87" s="36">
        <f>IFERROR(cadangan3[[#This Row],[Profit B]]-(cadangan3[[#This Row],[Profit B]]*cadangan3[[#This Row],[Diskon]]),U87)</f>
        <v>90000</v>
      </c>
      <c r="X87" t="str">
        <f>IFERROR(INDEX(Katalog!$A$3:$A$12,MATCH(cadangan3[[#This Row],[ItemID C]],Katalog!$C$3:$C$12,0)),"-")</f>
        <v>-</v>
      </c>
      <c r="Y87" t="str">
        <f>IFERROR(INDEX(Katalog!$B$3:$B$12,MATCH(cadangan3[[#This Row],[ItemID C]],Katalog!$C$3:$C$12,0)),"-")</f>
        <v>-</v>
      </c>
      <c r="AB87" s="36">
        <f>IFERROR(INDEX(Katalog!$D$3:$D$12,MATCH(cadangan3[[#This Row],[ItemID C]],Katalog!$C$3:$C$12,0))*cadangan3[[#This Row],[Qty C]],0)</f>
        <v>0</v>
      </c>
      <c r="AC87" s="36">
        <f>IFERROR(INDEX(Katalog!$D$3:$D$12,MATCH(cadangan3[[#This Row],[Item C]],Katalog!$B$3:$B$12,0))*cadangan3[[#This Row],[Qty C]],0)</f>
        <v>0</v>
      </c>
      <c r="AD87" s="36">
        <f>IFERROR(cadangan3[[#This Row],[Harga Asli C]]-(cadangan3[[#This Row],[Harga Asli C]]*cadangan3[[#This Row],[Diskon]]),cadangan3[[#This Row],[Harga Asli C]])</f>
        <v>0</v>
      </c>
      <c r="AE87" s="36">
        <f>IFERROR(INDEX(Katalog!$F$3:$F$12,MATCH(cadangan3[[#This Row],[ItemID C]],Katalog!$C$3:$C$12,0))*cadangan3[[#This Row],[Qty C]],0)</f>
        <v>0</v>
      </c>
      <c r="AF87" s="36">
        <f>IFERROR(cadangan3[[#This Row],[Profit C]]-(cadangan3[[#This Row],[Profit C]]*cadangan3[[#This Row],[Diskon]]),cadangan3[[#This Row],[Profit C]])</f>
        <v>0</v>
      </c>
      <c r="AG87" s="21">
        <f>cadangan3[[#This Row],[Qty A]]+cadangan3[[#This Row],[Qty B]]+cadangan3[[#This Row],[Qty C]]</f>
        <v>5</v>
      </c>
      <c r="AH87" s="35">
        <f>cadangan3[[#This Row],[Harga A + Diskon]]+cadangan3[[#This Row],[Harga + Diskon B]]+cadangan3[[#This Row],[Harga + Diskon C]]</f>
        <v>1170000</v>
      </c>
      <c r="AI87" s="35">
        <f>(cadangan3[[#This Row],[Profit A]]+cadangan3[[#This Row],[Profit B]]+cadangan3[[#This Row],[Profit C]])</f>
        <v>500000</v>
      </c>
      <c r="AJ87" s="35">
        <f>cadangan3[[#This Row],[Provit A + Diskon]]+cadangan3[[#This Row],[Provit B + Diskon]]+cadangan3[[#This Row],[Provit C + Diskon]]</f>
        <v>450000</v>
      </c>
      <c r="AK87" s="23" t="s">
        <v>6</v>
      </c>
      <c r="AL87" s="37">
        <f>IFERROR(INDEX('Kode Diskon'!$D$3:$D$9,MATCH(cadangan3[[#This Row],[Kode diskon]],'Kode Diskon'!$C$3:$C$9,0)),"-")</f>
        <v>0.1</v>
      </c>
      <c r="AM87" s="23" t="s">
        <v>29</v>
      </c>
      <c r="AN87" s="23" t="s">
        <v>7</v>
      </c>
      <c r="AO87" s="23" t="s">
        <v>79</v>
      </c>
      <c r="AP87" s="24">
        <v>45017</v>
      </c>
      <c r="AQ87" s="23" t="str">
        <f>TEXT(cadangan3[[#This Row],[Tanggal terjual]],"dddd")</f>
        <v>Saturday</v>
      </c>
    </row>
    <row r="88" spans="1:43" x14ac:dyDescent="0.2">
      <c r="A88" s="20">
        <v>87</v>
      </c>
      <c r="B88" s="21" t="str">
        <f>_xlfn.CONCAT("ORD-",INDEX(Helper!$B$2:$B$5,MATCH(cadangan3[[#This Row],[Marketplace]],Helper!$A$2:$A$5,0)),TEXT(cadangan3[[#This Row],[No]],"0000"),"-",TEXT(cadangan3[[#This Row],[Tanggal terjual]],"dd/mm/yy"))</f>
        <v>ORD-BL0087-30/04/23</v>
      </c>
      <c r="C88" t="s">
        <v>62</v>
      </c>
      <c r="D88" t="str">
        <f>IFERROR(INDEX(Katalog!$A$3:$A$12,MATCH(cadangan3[[#This Row],[ItemID A]],Katalog!$C$3:$C$12,0)),"-")</f>
        <v>Pakaian Pria</v>
      </c>
      <c r="E88" t="str">
        <f>IFERROR(INDEX(Katalog!$B$3:$B$12,MATCH(cadangan3[[#This Row],[ItemID A]],Katalog!$C$3:$C$12,0)),"-")</f>
        <v>Celana Pendek</v>
      </c>
      <c r="F88">
        <v>5</v>
      </c>
      <c r="G88">
        <v>2</v>
      </c>
      <c r="H88" s="36">
        <f>IFERROR(INDEX(Katalog!$D$3:$D$12,MATCH(cadangan3[[#This Row],[ItemID A]],Katalog!$C$3:$C$12,0))*cadangan3[[#This Row],[Qty A]],0)</f>
        <v>900000</v>
      </c>
      <c r="I88" s="36">
        <f>IFERROR(INDEX(Katalog!$D$3:$D$12,MATCH(cadangan3[[#This Row],[Item A]],Katalog!$B$3:$B$12,0))*cadangan3[[#This Row],[Qty A]],0)</f>
        <v>900000</v>
      </c>
      <c r="J88" s="36">
        <f>IFERROR(cadangan3[[#This Row],[Harga Asli A]]-(cadangan3[[#This Row],[Harga Asli A]]*cadangan3[[#This Row],[Diskon]]),cadangan3[[#This Row],[Harga Asli A]])</f>
        <v>765000</v>
      </c>
      <c r="K88" s="36">
        <f>INDEX(Katalog!$F$3:$F$12,MATCH(cadangan3[[#This Row],[ItemID A]],Katalog!$C$3:$C$12,0))*cadangan3[[#This Row],[Qty A]]</f>
        <v>350000</v>
      </c>
      <c r="L88" s="36">
        <f>IFERROR(cadangan3[[#This Row],[Profit A]]-(cadangan3[[#This Row],[Profit A]]*cadangan3[[#This Row],[Diskon]]),K88)</f>
        <v>297500</v>
      </c>
      <c r="M88" t="s">
        <v>65</v>
      </c>
      <c r="N88" t="str">
        <f>IFERROR(INDEX(Katalog!$A$3:$A$12,MATCH(cadangan3[[#This Row],[ItemID B]],Katalog!$C$3:$C$12,0)),"-")</f>
        <v>Sepatu Pria</v>
      </c>
      <c r="O88" t="str">
        <f>IFERROR(INDEX(Katalog!$B$3:$B$12,MATCH(cadangan3[[#This Row],[ItemID B]],Katalog!$C$3:$C$12,0)),"-")</f>
        <v>Sneakers</v>
      </c>
      <c r="P88">
        <v>1</v>
      </c>
      <c r="Q88">
        <v>4</v>
      </c>
      <c r="R88" s="36">
        <f>IFERROR(INDEX(Katalog!$D$3:$D$12,MATCH(cadangan3[[#This Row],[ItemID B]],Katalog!$C$3:$C$12,0))*cadangan3[[#This Row],[Qty B]],0)</f>
        <v>500000</v>
      </c>
      <c r="S88" s="36">
        <f>IFERROR(INDEX(Katalog!$D$3:$D$12,MATCH(cadangan3[[#This Row],[Item B]],Katalog!$B$3:$B$12,0))*cadangan3[[#This Row],[Qty B]],0)</f>
        <v>500000</v>
      </c>
      <c r="T88" s="36">
        <f>IFERROR(cadangan3[[#This Row],[Harga Asli B]]-(cadangan3[[#This Row],[Harga Asli B]]*cadangan3[[#This Row],[Diskon]]),cadangan3[[#This Row],[Harga Asli B]])</f>
        <v>425000</v>
      </c>
      <c r="U88" s="36">
        <f>IFERROR(INDEX(Katalog!$F$3:$F$12,MATCH(cadangan3[[#This Row],[ItemID B]],Katalog!$C$3:$C$12,0))*cadangan3[[#This Row],[Qty B]],0)</f>
        <v>200000</v>
      </c>
      <c r="V88" s="36">
        <f>IFERROR(cadangan3[[#This Row],[Profit B]]-(cadangan3[[#This Row],[Profit B]]*cadangan3[[#This Row],[Diskon]]),U88)</f>
        <v>170000</v>
      </c>
      <c r="W88" t="s">
        <v>59</v>
      </c>
      <c r="X88" t="str">
        <f>IFERROR(INDEX(Katalog!$A$3:$A$12,MATCH(cadangan3[[#This Row],[ItemID C]],Katalog!$C$3:$C$12,0)),"-")</f>
        <v>Pakaian Wanita</v>
      </c>
      <c r="Y88" t="str">
        <f>IFERROR(INDEX(Katalog!$B$3:$B$12,MATCH(cadangan3[[#This Row],[ItemID C]],Katalog!$C$3:$C$12,0)),"-")</f>
        <v>Blouse</v>
      </c>
      <c r="Z88">
        <v>1</v>
      </c>
      <c r="AA88">
        <v>4</v>
      </c>
      <c r="AB88" s="36">
        <f>IFERROR(INDEX(Katalog!$D$3:$D$12,MATCH(cadangan3[[#This Row],[ItemID C]],Katalog!$C$3:$C$12,0))*cadangan3[[#This Row],[Qty C]],0)</f>
        <v>150000</v>
      </c>
      <c r="AC88" s="36">
        <f>IFERROR(INDEX(Katalog!$D$3:$D$12,MATCH(cadangan3[[#This Row],[Item C]],Katalog!$B$3:$B$12,0))*cadangan3[[#This Row],[Qty C]],0)</f>
        <v>150000</v>
      </c>
      <c r="AD88" s="36">
        <f>IFERROR(cadangan3[[#This Row],[Harga Asli C]]-(cadangan3[[#This Row],[Harga Asli C]]*cadangan3[[#This Row],[Diskon]]),cadangan3[[#This Row],[Harga Asli C]])</f>
        <v>127500</v>
      </c>
      <c r="AE88" s="36">
        <f>IFERROR(INDEX(Katalog!$F$3:$F$12,MATCH(cadangan3[[#This Row],[ItemID C]],Katalog!$C$3:$C$12,0))*cadangan3[[#This Row],[Qty C]],0)</f>
        <v>50000</v>
      </c>
      <c r="AF88" s="36">
        <f>IFERROR(cadangan3[[#This Row],[Profit C]]-(cadangan3[[#This Row],[Profit C]]*cadangan3[[#This Row],[Diskon]]),cadangan3[[#This Row],[Profit C]])</f>
        <v>42500</v>
      </c>
      <c r="AG88" s="21">
        <f>cadangan3[[#This Row],[Qty A]]+cadangan3[[#This Row],[Qty B]]+cadangan3[[#This Row],[Qty C]]</f>
        <v>7</v>
      </c>
      <c r="AH88" s="35">
        <f>cadangan3[[#This Row],[Harga A + Diskon]]+cadangan3[[#This Row],[Harga + Diskon B]]+cadangan3[[#This Row],[Harga + Diskon C]]</f>
        <v>1317500</v>
      </c>
      <c r="AI88" s="35">
        <f>(cadangan3[[#This Row],[Profit A]]+cadangan3[[#This Row],[Profit B]]+cadangan3[[#This Row],[Profit C]])</f>
        <v>600000</v>
      </c>
      <c r="AJ88" s="35">
        <f>cadangan3[[#This Row],[Provit A + Diskon]]+cadangan3[[#This Row],[Provit B + Diskon]]+cadangan3[[#This Row],[Provit C + Diskon]]</f>
        <v>510000</v>
      </c>
      <c r="AK88" s="23" t="s">
        <v>32</v>
      </c>
      <c r="AL88" s="37">
        <f>IFERROR(INDEX('Kode Diskon'!$D$3:$D$9,MATCH(cadangan3[[#This Row],[Kode diskon]],'Kode Diskon'!$C$3:$C$9,0)),"-")</f>
        <v>0.15</v>
      </c>
      <c r="AM88" s="23" t="s">
        <v>9</v>
      </c>
      <c r="AN88" s="23" t="s">
        <v>12</v>
      </c>
      <c r="AO88" s="23" t="s">
        <v>76</v>
      </c>
      <c r="AP88" s="24">
        <v>45046</v>
      </c>
      <c r="AQ88" s="23" t="str">
        <f>TEXT(cadangan3[[#This Row],[Tanggal terjual]],"dddd")</f>
        <v>Sunday</v>
      </c>
    </row>
    <row r="89" spans="1:43" x14ac:dyDescent="0.2">
      <c r="A89" s="20">
        <v>88</v>
      </c>
      <c r="B89" s="21" t="str">
        <f>_xlfn.CONCAT("ORD-",INDEX(Helper!$B$2:$B$5,MATCH(cadangan3[[#This Row],[Marketplace]],Helper!$A$2:$A$5,0)),TEXT(cadangan3[[#This Row],[No]],"0000"),"-",TEXT(cadangan3[[#This Row],[Tanggal terjual]],"dd/mm/yy"))</f>
        <v>ORD-BL0088-16/04/23</v>
      </c>
      <c r="C89" t="s">
        <v>67</v>
      </c>
      <c r="D89" t="str">
        <f>IFERROR(INDEX(Katalog!$A$3:$A$12,MATCH(cadangan3[[#This Row],[ItemID A]],Katalog!$C$3:$C$12,0)),"-")</f>
        <v>Sepatu Wanita</v>
      </c>
      <c r="E89" t="str">
        <f>IFERROR(INDEX(Katalog!$B$3:$B$12,MATCH(cadangan3[[#This Row],[ItemID A]],Katalog!$C$3:$C$12,0)),"-")</f>
        <v>Flat Shoes</v>
      </c>
      <c r="F89">
        <v>2</v>
      </c>
      <c r="G89">
        <v>3</v>
      </c>
      <c r="H89" s="36">
        <f>IFERROR(INDEX(Katalog!$D$3:$D$12,MATCH(cadangan3[[#This Row],[ItemID A]],Katalog!$C$3:$C$12,0))*cadangan3[[#This Row],[Qty A]],0)</f>
        <v>500000</v>
      </c>
      <c r="I89" s="36">
        <f>IFERROR(INDEX(Katalog!$D$3:$D$12,MATCH(cadangan3[[#This Row],[Item A]],Katalog!$B$3:$B$12,0))*cadangan3[[#This Row],[Qty A]],0)</f>
        <v>500000</v>
      </c>
      <c r="J89" s="36">
        <f>IFERROR(cadangan3[[#This Row],[Harga Asli A]]-(cadangan3[[#This Row],[Harga Asli A]]*cadangan3[[#This Row],[Diskon]]),cadangan3[[#This Row],[Harga Asli A]])</f>
        <v>425000</v>
      </c>
      <c r="K89" s="36">
        <f>INDEX(Katalog!$F$3:$F$12,MATCH(cadangan3[[#This Row],[ItemID A]],Katalog!$C$3:$C$12,0))*cadangan3[[#This Row],[Qty A]]</f>
        <v>200000</v>
      </c>
      <c r="L89" s="36">
        <f>IFERROR(cadangan3[[#This Row],[Profit A]]-(cadangan3[[#This Row],[Profit A]]*cadangan3[[#This Row],[Diskon]]),K89)</f>
        <v>170000</v>
      </c>
      <c r="M89" t="s">
        <v>58</v>
      </c>
      <c r="N89" t="str">
        <f>IFERROR(INDEX(Katalog!$A$3:$A$12,MATCH(cadangan3[[#This Row],[ItemID B]],Katalog!$C$3:$C$12,0)),"-")</f>
        <v>Pakaian Wanita</v>
      </c>
      <c r="O89" t="str">
        <f>IFERROR(INDEX(Katalog!$B$3:$B$12,MATCH(cadangan3[[#This Row],[ItemID B]],Katalog!$C$3:$C$12,0)),"-")</f>
        <v>Dress</v>
      </c>
      <c r="P89">
        <v>3</v>
      </c>
      <c r="Q89">
        <v>1</v>
      </c>
      <c r="R89" s="36">
        <f>IFERROR(INDEX(Katalog!$D$3:$D$12,MATCH(cadangan3[[#This Row],[ItemID B]],Katalog!$C$3:$C$12,0))*cadangan3[[#This Row],[Qty B]],0)</f>
        <v>900000</v>
      </c>
      <c r="S89" s="36">
        <f>IFERROR(INDEX(Katalog!$D$3:$D$12,MATCH(cadangan3[[#This Row],[Item B]],Katalog!$B$3:$B$12,0))*cadangan3[[#This Row],[Qty B]],0)</f>
        <v>900000</v>
      </c>
      <c r="T89" s="36">
        <f>IFERROR(cadangan3[[#This Row],[Harga Asli B]]-(cadangan3[[#This Row],[Harga Asli B]]*cadangan3[[#This Row],[Diskon]]),cadangan3[[#This Row],[Harga Asli B]])</f>
        <v>765000</v>
      </c>
      <c r="U89" s="36">
        <f>IFERROR(INDEX(Katalog!$F$3:$F$12,MATCH(cadangan3[[#This Row],[ItemID B]],Katalog!$C$3:$C$12,0))*cadangan3[[#This Row],[Qty B]],0)</f>
        <v>300000</v>
      </c>
      <c r="V89" s="36">
        <f>IFERROR(cadangan3[[#This Row],[Profit B]]-(cadangan3[[#This Row],[Profit B]]*cadangan3[[#This Row],[Diskon]]),U89)</f>
        <v>255000</v>
      </c>
      <c r="X89" t="str">
        <f>IFERROR(INDEX(Katalog!$A$3:$A$12,MATCH(cadangan3[[#This Row],[ItemID C]],Katalog!$C$3:$C$12,0)),"-")</f>
        <v>-</v>
      </c>
      <c r="Y89" t="str">
        <f>IFERROR(INDEX(Katalog!$B$3:$B$12,MATCH(cadangan3[[#This Row],[ItemID C]],Katalog!$C$3:$C$12,0)),"-")</f>
        <v>-</v>
      </c>
      <c r="AB89" s="36">
        <f>IFERROR(INDEX(Katalog!$D$3:$D$12,MATCH(cadangan3[[#This Row],[ItemID C]],Katalog!$C$3:$C$12,0))*cadangan3[[#This Row],[Qty C]],0)</f>
        <v>0</v>
      </c>
      <c r="AC89" s="36">
        <f>IFERROR(INDEX(Katalog!$D$3:$D$12,MATCH(cadangan3[[#This Row],[Item C]],Katalog!$B$3:$B$12,0))*cadangan3[[#This Row],[Qty C]],0)</f>
        <v>0</v>
      </c>
      <c r="AD89" s="36">
        <f>IFERROR(cadangan3[[#This Row],[Harga Asli C]]-(cadangan3[[#This Row],[Harga Asli C]]*cadangan3[[#This Row],[Diskon]]),cadangan3[[#This Row],[Harga Asli C]])</f>
        <v>0</v>
      </c>
      <c r="AE89" s="36">
        <f>IFERROR(INDEX(Katalog!$F$3:$F$12,MATCH(cadangan3[[#This Row],[ItemID C]],Katalog!$C$3:$C$12,0))*cadangan3[[#This Row],[Qty C]],0)</f>
        <v>0</v>
      </c>
      <c r="AF89" s="36">
        <f>IFERROR(cadangan3[[#This Row],[Profit C]]-(cadangan3[[#This Row],[Profit C]]*cadangan3[[#This Row],[Diskon]]),cadangan3[[#This Row],[Profit C]])</f>
        <v>0</v>
      </c>
      <c r="AG89" s="21">
        <f>cadangan3[[#This Row],[Qty A]]+cadangan3[[#This Row],[Qty B]]+cadangan3[[#This Row],[Qty C]]</f>
        <v>5</v>
      </c>
      <c r="AH89" s="35">
        <f>cadangan3[[#This Row],[Harga A + Diskon]]+cadangan3[[#This Row],[Harga + Diskon B]]+cadangan3[[#This Row],[Harga + Diskon C]]</f>
        <v>1190000</v>
      </c>
      <c r="AI89" s="35">
        <f>(cadangan3[[#This Row],[Profit A]]+cadangan3[[#This Row],[Profit B]]+cadangan3[[#This Row],[Profit C]])</f>
        <v>500000</v>
      </c>
      <c r="AJ89" s="35">
        <f>cadangan3[[#This Row],[Provit A + Diskon]]+cadangan3[[#This Row],[Provit B + Diskon]]+cadangan3[[#This Row],[Provit C + Diskon]]</f>
        <v>425000</v>
      </c>
      <c r="AK89" s="23" t="s">
        <v>32</v>
      </c>
      <c r="AL89" s="37">
        <f>IFERROR(INDEX('Kode Diskon'!$D$3:$D$9,MATCH(cadangan3[[#This Row],[Kode diskon]],'Kode Diskon'!$C$3:$C$9,0)),"-")</f>
        <v>0.15</v>
      </c>
      <c r="AM89" s="23" t="s">
        <v>9</v>
      </c>
      <c r="AN89" s="23" t="s">
        <v>12</v>
      </c>
      <c r="AO89" s="23" t="s">
        <v>80</v>
      </c>
      <c r="AP89" s="24">
        <v>45032</v>
      </c>
      <c r="AQ89" s="23" t="str">
        <f>TEXT(cadangan3[[#This Row],[Tanggal terjual]],"dddd")</f>
        <v>Sunday</v>
      </c>
    </row>
    <row r="90" spans="1:43" x14ac:dyDescent="0.2">
      <c r="A90" s="20">
        <v>89</v>
      </c>
      <c r="B90" s="21" t="str">
        <f>_xlfn.CONCAT("ORD-",INDEX(Helper!$B$2:$B$5,MATCH(cadangan3[[#This Row],[Marketplace]],Helper!$A$2:$A$5,0)),TEXT(cadangan3[[#This Row],[No]],"0000"),"-",TEXT(cadangan3[[#This Row],[Tanggal terjual]],"dd/mm/yy"))</f>
        <v>ORD-SP0089-05/04/23</v>
      </c>
      <c r="C90" t="s">
        <v>60</v>
      </c>
      <c r="D90" t="str">
        <f>IFERROR(INDEX(Katalog!$A$3:$A$12,MATCH(cadangan3[[#This Row],[ItemID A]],Katalog!$C$3:$C$12,0)),"-")</f>
        <v>Pakaian Wanita</v>
      </c>
      <c r="E90" t="str">
        <f>IFERROR(INDEX(Katalog!$B$3:$B$12,MATCH(cadangan3[[#This Row],[ItemID A]],Katalog!$C$3:$C$12,0)),"-")</f>
        <v>Kaftan</v>
      </c>
      <c r="F90">
        <v>1</v>
      </c>
      <c r="G90">
        <v>2</v>
      </c>
      <c r="H90" s="36">
        <f>IFERROR(INDEX(Katalog!$D$3:$D$12,MATCH(cadangan3[[#This Row],[ItemID A]],Katalog!$C$3:$C$12,0))*cadangan3[[#This Row],[Qty A]],0)</f>
        <v>250000</v>
      </c>
      <c r="I90" s="36">
        <f>IFERROR(INDEX(Katalog!$D$3:$D$12,MATCH(cadangan3[[#This Row],[Item A]],Katalog!$B$3:$B$12,0))*cadangan3[[#This Row],[Qty A]],0)</f>
        <v>250000</v>
      </c>
      <c r="J90" s="36">
        <f>IFERROR(cadangan3[[#This Row],[Harga Asli A]]-(cadangan3[[#This Row],[Harga Asli A]]*cadangan3[[#This Row],[Diskon]]),cadangan3[[#This Row],[Harga Asli A]])</f>
        <v>225000</v>
      </c>
      <c r="K90" s="36">
        <f>INDEX(Katalog!$F$3:$F$12,MATCH(cadangan3[[#This Row],[ItemID A]],Katalog!$C$3:$C$12,0))*cadangan3[[#This Row],[Qty A]]</f>
        <v>100000</v>
      </c>
      <c r="L90" s="36">
        <f>IFERROR(cadangan3[[#This Row],[Profit A]]-(cadangan3[[#This Row],[Profit A]]*cadangan3[[#This Row],[Diskon]]),K90)</f>
        <v>90000</v>
      </c>
      <c r="M90" t="s">
        <v>62</v>
      </c>
      <c r="N90" t="str">
        <f>IFERROR(INDEX(Katalog!$A$3:$A$12,MATCH(cadangan3[[#This Row],[ItemID B]],Katalog!$C$3:$C$12,0)),"-")</f>
        <v>Pakaian Pria</v>
      </c>
      <c r="O90" t="str">
        <f>IFERROR(INDEX(Katalog!$B$3:$B$12,MATCH(cadangan3[[#This Row],[ItemID B]],Katalog!$C$3:$C$12,0)),"-")</f>
        <v>Celana Pendek</v>
      </c>
      <c r="P90">
        <v>1</v>
      </c>
      <c r="Q90">
        <v>5</v>
      </c>
      <c r="R90" s="36">
        <f>IFERROR(INDEX(Katalog!$D$3:$D$12,MATCH(cadangan3[[#This Row],[ItemID B]],Katalog!$C$3:$C$12,0))*cadangan3[[#This Row],[Qty B]],0)</f>
        <v>180000</v>
      </c>
      <c r="S90" s="36">
        <f>IFERROR(INDEX(Katalog!$D$3:$D$12,MATCH(cadangan3[[#This Row],[Item B]],Katalog!$B$3:$B$12,0))*cadangan3[[#This Row],[Qty B]],0)</f>
        <v>180000</v>
      </c>
      <c r="T90" s="36">
        <f>IFERROR(cadangan3[[#This Row],[Harga Asli B]]-(cadangan3[[#This Row],[Harga Asli B]]*cadangan3[[#This Row],[Diskon]]),cadangan3[[#This Row],[Harga Asli B]])</f>
        <v>162000</v>
      </c>
      <c r="U90" s="36">
        <f>IFERROR(INDEX(Katalog!$F$3:$F$12,MATCH(cadangan3[[#This Row],[ItemID B]],Katalog!$C$3:$C$12,0))*cadangan3[[#This Row],[Qty B]],0)</f>
        <v>70000</v>
      </c>
      <c r="V90" s="36">
        <f>IFERROR(cadangan3[[#This Row],[Profit B]]-(cadangan3[[#This Row],[Profit B]]*cadangan3[[#This Row],[Diskon]]),U90)</f>
        <v>63000</v>
      </c>
      <c r="X90" t="str">
        <f>IFERROR(INDEX(Katalog!$A$3:$A$12,MATCH(cadangan3[[#This Row],[ItemID C]],Katalog!$C$3:$C$12,0)),"-")</f>
        <v>-</v>
      </c>
      <c r="Y90" t="str">
        <f>IFERROR(INDEX(Katalog!$B$3:$B$12,MATCH(cadangan3[[#This Row],[ItemID C]],Katalog!$C$3:$C$12,0)),"-")</f>
        <v>-</v>
      </c>
      <c r="AB90" s="36">
        <f>IFERROR(INDEX(Katalog!$D$3:$D$12,MATCH(cadangan3[[#This Row],[ItemID C]],Katalog!$C$3:$C$12,0))*cadangan3[[#This Row],[Qty C]],0)</f>
        <v>0</v>
      </c>
      <c r="AC90" s="36">
        <f>IFERROR(INDEX(Katalog!$D$3:$D$12,MATCH(cadangan3[[#This Row],[Item C]],Katalog!$B$3:$B$12,0))*cadangan3[[#This Row],[Qty C]],0)</f>
        <v>0</v>
      </c>
      <c r="AD90" s="36">
        <f>IFERROR(cadangan3[[#This Row],[Harga Asli C]]-(cadangan3[[#This Row],[Harga Asli C]]*cadangan3[[#This Row],[Diskon]]),cadangan3[[#This Row],[Harga Asli C]])</f>
        <v>0</v>
      </c>
      <c r="AE90" s="36">
        <f>IFERROR(INDEX(Katalog!$F$3:$F$12,MATCH(cadangan3[[#This Row],[ItemID C]],Katalog!$C$3:$C$12,0))*cadangan3[[#This Row],[Qty C]],0)</f>
        <v>0</v>
      </c>
      <c r="AF90" s="36">
        <f>IFERROR(cadangan3[[#This Row],[Profit C]]-(cadangan3[[#This Row],[Profit C]]*cadangan3[[#This Row],[Diskon]]),cadangan3[[#This Row],[Profit C]])</f>
        <v>0</v>
      </c>
      <c r="AG90" s="21">
        <f>cadangan3[[#This Row],[Qty A]]+cadangan3[[#This Row],[Qty B]]+cadangan3[[#This Row],[Qty C]]</f>
        <v>2</v>
      </c>
      <c r="AH90" s="35">
        <f>cadangan3[[#This Row],[Harga A + Diskon]]+cadangan3[[#This Row],[Harga + Diskon B]]+cadangan3[[#This Row],[Harga + Diskon C]]</f>
        <v>387000</v>
      </c>
      <c r="AI90" s="35">
        <f>(cadangan3[[#This Row],[Profit A]]+cadangan3[[#This Row],[Profit B]]+cadangan3[[#This Row],[Profit C]])</f>
        <v>170000</v>
      </c>
      <c r="AJ90" s="35">
        <f>cadangan3[[#This Row],[Provit A + Diskon]]+cadangan3[[#This Row],[Provit B + Diskon]]+cadangan3[[#This Row],[Provit C + Diskon]]</f>
        <v>153000</v>
      </c>
      <c r="AK90" s="23" t="s">
        <v>6</v>
      </c>
      <c r="AL90" s="37">
        <f>IFERROR(INDEX('Kode Diskon'!$D$3:$D$9,MATCH(cadangan3[[#This Row],[Kode diskon]],'Kode Diskon'!$C$3:$C$9,0)),"-")</f>
        <v>0.1</v>
      </c>
      <c r="AM90" s="23" t="s">
        <v>29</v>
      </c>
      <c r="AN90" s="23" t="s">
        <v>7</v>
      </c>
      <c r="AO90" s="23" t="s">
        <v>76</v>
      </c>
      <c r="AP90" s="24">
        <v>45021</v>
      </c>
      <c r="AQ90" s="23" t="str">
        <f>TEXT(cadangan3[[#This Row],[Tanggal terjual]],"dddd")</f>
        <v>Wednesday</v>
      </c>
    </row>
    <row r="91" spans="1:43" x14ac:dyDescent="0.2">
      <c r="A91" s="20">
        <v>90</v>
      </c>
      <c r="B91" s="21" t="str">
        <f>_xlfn.CONCAT("ORD-",INDEX(Helper!$B$2:$B$5,MATCH(cadangan3[[#This Row],[Marketplace]],Helper!$A$2:$A$5,0)),TEXT(cadangan3[[#This Row],[No]],"0000"),"-",TEXT(cadangan3[[#This Row],[Tanggal terjual]],"dd/mm/yy"))</f>
        <v>ORD-TK0090-01/04/23</v>
      </c>
      <c r="C91" t="s">
        <v>66</v>
      </c>
      <c r="D91" t="str">
        <f>IFERROR(INDEX(Katalog!$A$3:$A$12,MATCH(cadangan3[[#This Row],[ItemID A]],Katalog!$C$3:$C$12,0)),"-")</f>
        <v>Sepatu Pria</v>
      </c>
      <c r="E91" t="str">
        <f>IFERROR(INDEX(Katalog!$B$3:$B$12,MATCH(cadangan3[[#This Row],[ItemID A]],Katalog!$C$3:$C$12,0)),"-")</f>
        <v>Sandal Slip On</v>
      </c>
      <c r="F91">
        <v>1</v>
      </c>
      <c r="G91">
        <v>1</v>
      </c>
      <c r="H91" s="36">
        <f>IFERROR(INDEX(Katalog!$D$3:$D$12,MATCH(cadangan3[[#This Row],[ItemID A]],Katalog!$C$3:$C$12,0))*cadangan3[[#This Row],[Qty A]],0)</f>
        <v>150000</v>
      </c>
      <c r="I91" s="36">
        <f>IFERROR(INDEX(Katalog!$D$3:$D$12,MATCH(cadangan3[[#This Row],[Item A]],Katalog!$B$3:$B$12,0))*cadangan3[[#This Row],[Qty A]],0)</f>
        <v>150000</v>
      </c>
      <c r="J91" s="36">
        <f>IFERROR(cadangan3[[#This Row],[Harga Asli A]]-(cadangan3[[#This Row],[Harga Asli A]]*cadangan3[[#This Row],[Diskon]]),cadangan3[[#This Row],[Harga Asli A]])</f>
        <v>135000</v>
      </c>
      <c r="K91" s="36">
        <f>INDEX(Katalog!$F$3:$F$12,MATCH(cadangan3[[#This Row],[ItemID A]],Katalog!$C$3:$C$12,0))*cadangan3[[#This Row],[Qty A]]</f>
        <v>60000</v>
      </c>
      <c r="L91" s="36">
        <f>IFERROR(cadangan3[[#This Row],[Profit A]]-(cadangan3[[#This Row],[Profit A]]*cadangan3[[#This Row],[Diskon]]),K91)</f>
        <v>54000</v>
      </c>
      <c r="N91" t="str">
        <f>IFERROR(INDEX(Katalog!$A$3:$A$12,MATCH(cadangan3[[#This Row],[ItemID B]],Katalog!$C$3:$C$12,0)),"-")</f>
        <v>-</v>
      </c>
      <c r="O91" t="str">
        <f>IFERROR(INDEX(Katalog!$B$3:$B$12,MATCH(cadangan3[[#This Row],[ItemID B]],Katalog!$C$3:$C$12,0)),"-")</f>
        <v>-</v>
      </c>
      <c r="R91" s="36">
        <f>IFERROR(INDEX(Katalog!$D$3:$D$12,MATCH(cadangan3[[#This Row],[ItemID B]],Katalog!$C$3:$C$12,0))*cadangan3[[#This Row],[Qty B]],0)</f>
        <v>0</v>
      </c>
      <c r="S91" s="36">
        <f>IFERROR(INDEX(Katalog!$D$3:$D$12,MATCH(cadangan3[[#This Row],[Item B]],Katalog!$B$3:$B$12,0))*cadangan3[[#This Row],[Qty B]],0)</f>
        <v>0</v>
      </c>
      <c r="T91" s="36">
        <f>IFERROR(cadangan3[[#This Row],[Harga Asli B]]-(cadangan3[[#This Row],[Harga Asli B]]*cadangan3[[#This Row],[Diskon]]),cadangan3[[#This Row],[Harga Asli B]])</f>
        <v>0</v>
      </c>
      <c r="U91" s="36">
        <f>IFERROR(INDEX(Katalog!$F$3:$F$12,MATCH(cadangan3[[#This Row],[ItemID B]],Katalog!$C$3:$C$12,0))*cadangan3[[#This Row],[Qty B]],0)</f>
        <v>0</v>
      </c>
      <c r="V91" s="36">
        <f>IFERROR(cadangan3[[#This Row],[Profit B]]-(cadangan3[[#This Row],[Profit B]]*cadangan3[[#This Row],[Diskon]]),U91)</f>
        <v>0</v>
      </c>
      <c r="X91" t="str">
        <f>IFERROR(INDEX(Katalog!$A$3:$A$12,MATCH(cadangan3[[#This Row],[ItemID C]],Katalog!$C$3:$C$12,0)),"-")</f>
        <v>-</v>
      </c>
      <c r="Y91" t="str">
        <f>IFERROR(INDEX(Katalog!$B$3:$B$12,MATCH(cadangan3[[#This Row],[ItemID C]],Katalog!$C$3:$C$12,0)),"-")</f>
        <v>-</v>
      </c>
      <c r="AB91" s="36">
        <f>IFERROR(INDEX(Katalog!$D$3:$D$12,MATCH(cadangan3[[#This Row],[ItemID C]],Katalog!$C$3:$C$12,0))*cadangan3[[#This Row],[Qty C]],0)</f>
        <v>0</v>
      </c>
      <c r="AC91" s="36">
        <f>IFERROR(INDEX(Katalog!$D$3:$D$12,MATCH(cadangan3[[#This Row],[Item C]],Katalog!$B$3:$B$12,0))*cadangan3[[#This Row],[Qty C]],0)</f>
        <v>0</v>
      </c>
      <c r="AD91" s="36">
        <f>IFERROR(cadangan3[[#This Row],[Harga Asli C]]-(cadangan3[[#This Row],[Harga Asli C]]*cadangan3[[#This Row],[Diskon]]),cadangan3[[#This Row],[Harga Asli C]])</f>
        <v>0</v>
      </c>
      <c r="AE91" s="36">
        <f>IFERROR(INDEX(Katalog!$F$3:$F$12,MATCH(cadangan3[[#This Row],[ItemID C]],Katalog!$C$3:$C$12,0))*cadangan3[[#This Row],[Qty C]],0)</f>
        <v>0</v>
      </c>
      <c r="AF91" s="36">
        <f>IFERROR(cadangan3[[#This Row],[Profit C]]-(cadangan3[[#This Row],[Profit C]]*cadangan3[[#This Row],[Diskon]]),cadangan3[[#This Row],[Profit C]])</f>
        <v>0</v>
      </c>
      <c r="AG91" s="21">
        <f>cadangan3[[#This Row],[Qty A]]+cadangan3[[#This Row],[Qty B]]+cadangan3[[#This Row],[Qty C]]</f>
        <v>1</v>
      </c>
      <c r="AH91" s="35">
        <f>cadangan3[[#This Row],[Harga A + Diskon]]+cadangan3[[#This Row],[Harga + Diskon B]]+cadangan3[[#This Row],[Harga + Diskon C]]</f>
        <v>135000</v>
      </c>
      <c r="AI91" s="35">
        <f>(cadangan3[[#This Row],[Profit A]]+cadangan3[[#This Row],[Profit B]]+cadangan3[[#This Row],[Profit C]])</f>
        <v>60000</v>
      </c>
      <c r="AJ91" s="35">
        <f>cadangan3[[#This Row],[Provit A + Diskon]]+cadangan3[[#This Row],[Provit B + Diskon]]+cadangan3[[#This Row],[Provit C + Diskon]]</f>
        <v>54000</v>
      </c>
      <c r="AK91" s="23" t="s">
        <v>30</v>
      </c>
      <c r="AL91" s="37">
        <f>IFERROR(INDEX('Kode Diskon'!$D$3:$D$9,MATCH(cadangan3[[#This Row],[Kode diskon]],'Kode Diskon'!$C$3:$C$9,0)),"-")</f>
        <v>0.1</v>
      </c>
      <c r="AM91" s="23" t="s">
        <v>29</v>
      </c>
      <c r="AN91" s="23" t="s">
        <v>10</v>
      </c>
      <c r="AO91" s="23" t="s">
        <v>80</v>
      </c>
      <c r="AP91" s="24">
        <v>45017</v>
      </c>
      <c r="AQ91" s="23" t="str">
        <f>TEXT(cadangan3[[#This Row],[Tanggal terjual]],"dddd")</f>
        <v>Saturday</v>
      </c>
    </row>
    <row r="92" spans="1:43" x14ac:dyDescent="0.2">
      <c r="A92" s="20">
        <v>91</v>
      </c>
      <c r="B92" s="21" t="str">
        <f>_xlfn.CONCAT("ORD-",INDEX(Helper!$B$2:$B$5,MATCH(cadangan3[[#This Row],[Marketplace]],Helper!$A$2:$A$5,0)),TEXT(cadangan3[[#This Row],[No]],"0000"),"-",TEXT(cadangan3[[#This Row],[Tanggal terjual]],"dd/mm/yy"))</f>
        <v>ORD-TK0091-28/04/23</v>
      </c>
      <c r="C92" t="s">
        <v>63</v>
      </c>
      <c r="D92" t="str">
        <f>IFERROR(INDEX(Katalog!$A$3:$A$12,MATCH(cadangan3[[#This Row],[ItemID A]],Katalog!$C$3:$C$12,0)),"-")</f>
        <v>Pakaian Pria</v>
      </c>
      <c r="E92" t="str">
        <f>IFERROR(INDEX(Katalog!$B$3:$B$12,MATCH(cadangan3[[#This Row],[ItemID A]],Katalog!$C$3:$C$12,0)),"-")</f>
        <v>Jaket Jeans</v>
      </c>
      <c r="F92">
        <v>1</v>
      </c>
      <c r="G92">
        <v>5</v>
      </c>
      <c r="H92" s="36">
        <f>IFERROR(INDEX(Katalog!$D$3:$D$12,MATCH(cadangan3[[#This Row],[ItemID A]],Katalog!$C$3:$C$12,0))*cadangan3[[#This Row],[Qty A]],0)</f>
        <v>400000</v>
      </c>
      <c r="I92" s="36">
        <f>IFERROR(INDEX(Katalog!$D$3:$D$12,MATCH(cadangan3[[#This Row],[Item A]],Katalog!$B$3:$B$12,0))*cadangan3[[#This Row],[Qty A]],0)</f>
        <v>400000</v>
      </c>
      <c r="J92" s="36">
        <f>IFERROR(cadangan3[[#This Row],[Harga Asli A]]-(cadangan3[[#This Row],[Harga Asli A]]*cadangan3[[#This Row],[Diskon]]),cadangan3[[#This Row],[Harga Asli A]])</f>
        <v>360000</v>
      </c>
      <c r="K92" s="36">
        <f>INDEX(Katalog!$F$3:$F$12,MATCH(cadangan3[[#This Row],[ItemID A]],Katalog!$C$3:$C$12,0))*cadangan3[[#This Row],[Qty A]]</f>
        <v>150000</v>
      </c>
      <c r="L92" s="36">
        <f>IFERROR(cadangan3[[#This Row],[Profit A]]-(cadangan3[[#This Row],[Profit A]]*cadangan3[[#This Row],[Diskon]]),K92)</f>
        <v>135000</v>
      </c>
      <c r="N92" t="str">
        <f>IFERROR(INDEX(Katalog!$A$3:$A$12,MATCH(cadangan3[[#This Row],[ItemID B]],Katalog!$C$3:$C$12,0)),"-")</f>
        <v>-</v>
      </c>
      <c r="O92" t="str">
        <f>IFERROR(INDEX(Katalog!$B$3:$B$12,MATCH(cadangan3[[#This Row],[ItemID B]],Katalog!$C$3:$C$12,0)),"-")</f>
        <v>-</v>
      </c>
      <c r="R92" s="36">
        <f>IFERROR(INDEX(Katalog!$D$3:$D$12,MATCH(cadangan3[[#This Row],[ItemID B]],Katalog!$C$3:$C$12,0))*cadangan3[[#This Row],[Qty B]],0)</f>
        <v>0</v>
      </c>
      <c r="S92" s="36">
        <f>IFERROR(INDEX(Katalog!$D$3:$D$12,MATCH(cadangan3[[#This Row],[Item B]],Katalog!$B$3:$B$12,0))*cadangan3[[#This Row],[Qty B]],0)</f>
        <v>0</v>
      </c>
      <c r="T92" s="36">
        <f>IFERROR(cadangan3[[#This Row],[Harga Asli B]]-(cadangan3[[#This Row],[Harga Asli B]]*cadangan3[[#This Row],[Diskon]]),cadangan3[[#This Row],[Harga Asli B]])</f>
        <v>0</v>
      </c>
      <c r="U92" s="36">
        <f>IFERROR(INDEX(Katalog!$F$3:$F$12,MATCH(cadangan3[[#This Row],[ItemID B]],Katalog!$C$3:$C$12,0))*cadangan3[[#This Row],[Qty B]],0)</f>
        <v>0</v>
      </c>
      <c r="V92" s="36">
        <f>IFERROR(cadangan3[[#This Row],[Profit B]]-(cadangan3[[#This Row],[Profit B]]*cadangan3[[#This Row],[Diskon]]),U92)</f>
        <v>0</v>
      </c>
      <c r="X92" t="str">
        <f>IFERROR(INDEX(Katalog!$A$3:$A$12,MATCH(cadangan3[[#This Row],[ItemID C]],Katalog!$C$3:$C$12,0)),"-")</f>
        <v>-</v>
      </c>
      <c r="Y92" t="str">
        <f>IFERROR(INDEX(Katalog!$B$3:$B$12,MATCH(cadangan3[[#This Row],[ItemID C]],Katalog!$C$3:$C$12,0)),"-")</f>
        <v>-</v>
      </c>
      <c r="AB92" s="36">
        <f>IFERROR(INDEX(Katalog!$D$3:$D$12,MATCH(cadangan3[[#This Row],[ItemID C]],Katalog!$C$3:$C$12,0))*cadangan3[[#This Row],[Qty C]],0)</f>
        <v>0</v>
      </c>
      <c r="AC92" s="36">
        <f>IFERROR(INDEX(Katalog!$D$3:$D$12,MATCH(cadangan3[[#This Row],[Item C]],Katalog!$B$3:$B$12,0))*cadangan3[[#This Row],[Qty C]],0)</f>
        <v>0</v>
      </c>
      <c r="AD92" s="36">
        <f>IFERROR(cadangan3[[#This Row],[Harga Asli C]]-(cadangan3[[#This Row],[Harga Asli C]]*cadangan3[[#This Row],[Diskon]]),cadangan3[[#This Row],[Harga Asli C]])</f>
        <v>0</v>
      </c>
      <c r="AE92" s="36">
        <f>IFERROR(INDEX(Katalog!$F$3:$F$12,MATCH(cadangan3[[#This Row],[ItemID C]],Katalog!$C$3:$C$12,0))*cadangan3[[#This Row],[Qty C]],0)</f>
        <v>0</v>
      </c>
      <c r="AF92" s="36">
        <f>IFERROR(cadangan3[[#This Row],[Profit C]]-(cadangan3[[#This Row],[Profit C]]*cadangan3[[#This Row],[Diskon]]),cadangan3[[#This Row],[Profit C]])</f>
        <v>0</v>
      </c>
      <c r="AG92" s="21">
        <f>cadangan3[[#This Row],[Qty A]]+cadangan3[[#This Row],[Qty B]]+cadangan3[[#This Row],[Qty C]]</f>
        <v>1</v>
      </c>
      <c r="AH92" s="35">
        <f>cadangan3[[#This Row],[Harga A + Diskon]]+cadangan3[[#This Row],[Harga + Diskon B]]+cadangan3[[#This Row],[Harga + Diskon C]]</f>
        <v>360000</v>
      </c>
      <c r="AI92" s="35">
        <f>(cadangan3[[#This Row],[Profit A]]+cadangan3[[#This Row],[Profit B]]+cadangan3[[#This Row],[Profit C]])</f>
        <v>150000</v>
      </c>
      <c r="AJ92" s="35">
        <f>cadangan3[[#This Row],[Provit A + Diskon]]+cadangan3[[#This Row],[Provit B + Diskon]]+cadangan3[[#This Row],[Provit C + Diskon]]</f>
        <v>135000</v>
      </c>
      <c r="AK92" s="23" t="s">
        <v>31</v>
      </c>
      <c r="AL92" s="37">
        <f>IFERROR(INDEX('Kode Diskon'!$D$3:$D$9,MATCH(cadangan3[[#This Row],[Kode diskon]],'Kode Diskon'!$C$3:$C$9,0)),"-")</f>
        <v>0.1</v>
      </c>
      <c r="AM92" s="23" t="s">
        <v>9</v>
      </c>
      <c r="AN92" s="23" t="s">
        <v>10</v>
      </c>
      <c r="AO92" s="23" t="s">
        <v>76</v>
      </c>
      <c r="AP92" s="24">
        <v>45044</v>
      </c>
      <c r="AQ92" s="23" t="str">
        <f>TEXT(cadangan3[[#This Row],[Tanggal terjual]],"dddd")</f>
        <v>Friday</v>
      </c>
    </row>
    <row r="93" spans="1:43" x14ac:dyDescent="0.2">
      <c r="A93" s="20">
        <v>92</v>
      </c>
      <c r="B93" s="21" t="str">
        <f>_xlfn.CONCAT("ORD-",INDEX(Helper!$B$2:$B$5,MATCH(cadangan3[[#This Row],[Marketplace]],Helper!$A$2:$A$5,0)),TEXT(cadangan3[[#This Row],[No]],"0000"),"-",TEXT(cadangan3[[#This Row],[Tanggal terjual]],"dd/mm/yy"))</f>
        <v>ORD-TK0092-13/04/23</v>
      </c>
      <c r="C93" t="s">
        <v>61</v>
      </c>
      <c r="D93" t="str">
        <f>IFERROR(INDEX(Katalog!$A$3:$A$12,MATCH(cadangan3[[#This Row],[ItemID A]],Katalog!$C$3:$C$12,0)),"-")</f>
        <v>Pakaian Pria</v>
      </c>
      <c r="E93" t="str">
        <f>IFERROR(INDEX(Katalog!$B$3:$B$12,MATCH(cadangan3[[#This Row],[ItemID A]],Katalog!$C$3:$C$12,0)),"-")</f>
        <v>Kaos Polo</v>
      </c>
      <c r="F93">
        <v>3</v>
      </c>
      <c r="G93">
        <v>1</v>
      </c>
      <c r="H93" s="36">
        <f>IFERROR(INDEX(Katalog!$D$3:$D$12,MATCH(cadangan3[[#This Row],[ItemID A]],Katalog!$C$3:$C$12,0))*cadangan3[[#This Row],[Qty A]],0)</f>
        <v>600000</v>
      </c>
      <c r="I93" s="36">
        <f>IFERROR(INDEX(Katalog!$D$3:$D$12,MATCH(cadangan3[[#This Row],[Item A]],Katalog!$B$3:$B$12,0))*cadangan3[[#This Row],[Qty A]],0)</f>
        <v>600000</v>
      </c>
      <c r="J93" s="36">
        <f>IFERROR(cadangan3[[#This Row],[Harga Asli A]]-(cadangan3[[#This Row],[Harga Asli A]]*cadangan3[[#This Row],[Diskon]]),cadangan3[[#This Row],[Harga Asli A]])</f>
        <v>600000</v>
      </c>
      <c r="K93" s="36">
        <f>INDEX(Katalog!$F$3:$F$12,MATCH(cadangan3[[#This Row],[ItemID A]],Katalog!$C$3:$C$12,0))*cadangan3[[#This Row],[Qty A]]</f>
        <v>240000</v>
      </c>
      <c r="L93" s="36">
        <f>IFERROR(cadangan3[[#This Row],[Profit A]]-(cadangan3[[#This Row],[Profit A]]*cadangan3[[#This Row],[Diskon]]),K93)</f>
        <v>240000</v>
      </c>
      <c r="M93" t="s">
        <v>60</v>
      </c>
      <c r="N93" t="str">
        <f>IFERROR(INDEX(Katalog!$A$3:$A$12,MATCH(cadangan3[[#This Row],[ItemID B]],Katalog!$C$3:$C$12,0)),"-")</f>
        <v>Pakaian Wanita</v>
      </c>
      <c r="O93" t="str">
        <f>IFERROR(INDEX(Katalog!$B$3:$B$12,MATCH(cadangan3[[#This Row],[ItemID B]],Katalog!$C$3:$C$12,0)),"-")</f>
        <v>Kaftan</v>
      </c>
      <c r="P93">
        <v>1</v>
      </c>
      <c r="Q93">
        <v>2</v>
      </c>
      <c r="R93" s="36">
        <f>IFERROR(INDEX(Katalog!$D$3:$D$12,MATCH(cadangan3[[#This Row],[ItemID B]],Katalog!$C$3:$C$12,0))*cadangan3[[#This Row],[Qty B]],0)</f>
        <v>250000</v>
      </c>
      <c r="S93" s="36">
        <f>IFERROR(INDEX(Katalog!$D$3:$D$12,MATCH(cadangan3[[#This Row],[Item B]],Katalog!$B$3:$B$12,0))*cadangan3[[#This Row],[Qty B]],0)</f>
        <v>250000</v>
      </c>
      <c r="T93" s="36">
        <f>IFERROR(cadangan3[[#This Row],[Harga Asli B]]-(cadangan3[[#This Row],[Harga Asli B]]*cadangan3[[#This Row],[Diskon]]),cadangan3[[#This Row],[Harga Asli B]])</f>
        <v>250000</v>
      </c>
      <c r="U93" s="36">
        <f>IFERROR(INDEX(Katalog!$F$3:$F$12,MATCH(cadangan3[[#This Row],[ItemID B]],Katalog!$C$3:$C$12,0))*cadangan3[[#This Row],[Qty B]],0)</f>
        <v>100000</v>
      </c>
      <c r="V93" s="36">
        <f>IFERROR(cadangan3[[#This Row],[Profit B]]-(cadangan3[[#This Row],[Profit B]]*cadangan3[[#This Row],[Diskon]]),U93)</f>
        <v>100000</v>
      </c>
      <c r="X93" t="str">
        <f>IFERROR(INDEX(Katalog!$A$3:$A$12,MATCH(cadangan3[[#This Row],[ItemID C]],Katalog!$C$3:$C$12,0)),"-")</f>
        <v>-</v>
      </c>
      <c r="Y93" t="str">
        <f>IFERROR(INDEX(Katalog!$B$3:$B$12,MATCH(cadangan3[[#This Row],[ItemID C]],Katalog!$C$3:$C$12,0)),"-")</f>
        <v>-</v>
      </c>
      <c r="AB93" s="36">
        <f>IFERROR(INDEX(Katalog!$D$3:$D$12,MATCH(cadangan3[[#This Row],[ItemID C]],Katalog!$C$3:$C$12,0))*cadangan3[[#This Row],[Qty C]],0)</f>
        <v>0</v>
      </c>
      <c r="AC93" s="36">
        <f>IFERROR(INDEX(Katalog!$D$3:$D$12,MATCH(cadangan3[[#This Row],[Item C]],Katalog!$B$3:$B$12,0))*cadangan3[[#This Row],[Qty C]],0)</f>
        <v>0</v>
      </c>
      <c r="AD93" s="36">
        <f>IFERROR(cadangan3[[#This Row],[Harga Asli C]]-(cadangan3[[#This Row],[Harga Asli C]]*cadangan3[[#This Row],[Diskon]]),cadangan3[[#This Row],[Harga Asli C]])</f>
        <v>0</v>
      </c>
      <c r="AE93" s="36">
        <f>IFERROR(INDEX(Katalog!$F$3:$F$12,MATCH(cadangan3[[#This Row],[ItemID C]],Katalog!$C$3:$C$12,0))*cadangan3[[#This Row],[Qty C]],0)</f>
        <v>0</v>
      </c>
      <c r="AF93" s="36">
        <f>IFERROR(cadangan3[[#This Row],[Profit C]]-(cadangan3[[#This Row],[Profit C]]*cadangan3[[#This Row],[Diskon]]),cadangan3[[#This Row],[Profit C]])</f>
        <v>0</v>
      </c>
      <c r="AG93" s="21">
        <f>cadangan3[[#This Row],[Qty A]]+cadangan3[[#This Row],[Qty B]]+cadangan3[[#This Row],[Qty C]]</f>
        <v>4</v>
      </c>
      <c r="AH93" s="35">
        <f>cadangan3[[#This Row],[Harga A + Diskon]]+cadangan3[[#This Row],[Harga + Diskon B]]+cadangan3[[#This Row],[Harga + Diskon C]]</f>
        <v>850000</v>
      </c>
      <c r="AI93" s="35">
        <f>(cadangan3[[#This Row],[Profit A]]+cadangan3[[#This Row],[Profit B]]+cadangan3[[#This Row],[Profit C]])</f>
        <v>340000</v>
      </c>
      <c r="AJ93" s="35">
        <f>cadangan3[[#This Row],[Provit A + Diskon]]+cadangan3[[#This Row],[Provit B + Diskon]]+cadangan3[[#This Row],[Provit C + Diskon]]</f>
        <v>340000</v>
      </c>
      <c r="AK93" s="23" t="s">
        <v>11</v>
      </c>
      <c r="AL93" s="37" t="str">
        <f>IFERROR(INDEX('Kode Diskon'!$D$3:$D$9,MATCH(cadangan3[[#This Row],[Kode diskon]],'Kode Diskon'!$C$3:$C$9,0)),"-")</f>
        <v>-</v>
      </c>
      <c r="AM93" s="23" t="s">
        <v>11</v>
      </c>
      <c r="AN93" s="23" t="s">
        <v>10</v>
      </c>
      <c r="AO93" s="23" t="s">
        <v>80</v>
      </c>
      <c r="AP93" s="24">
        <v>45029</v>
      </c>
      <c r="AQ93" s="23" t="str">
        <f>TEXT(cadangan3[[#This Row],[Tanggal terjual]],"dddd")</f>
        <v>Thursday</v>
      </c>
    </row>
    <row r="94" spans="1:43" x14ac:dyDescent="0.2">
      <c r="A94" s="20">
        <v>93</v>
      </c>
      <c r="B94" s="21" t="str">
        <f>_xlfn.CONCAT("ORD-",INDEX(Helper!$B$2:$B$5,MATCH(cadangan3[[#This Row],[Marketplace]],Helper!$A$2:$A$5,0)),TEXT(cadangan3[[#This Row],[No]],"0000"),"-",TEXT(cadangan3[[#This Row],[Tanggal terjual]],"dd/mm/yy"))</f>
        <v>ORD-BB0093-05/04/23</v>
      </c>
      <c r="C94" t="s">
        <v>60</v>
      </c>
      <c r="D94" t="str">
        <f>IFERROR(INDEX(Katalog!$A$3:$A$12,MATCH(cadangan3[[#This Row],[ItemID A]],Katalog!$C$3:$C$12,0)),"-")</f>
        <v>Pakaian Wanita</v>
      </c>
      <c r="E94" t="str">
        <f>IFERROR(INDEX(Katalog!$B$3:$B$12,MATCH(cadangan3[[#This Row],[ItemID A]],Katalog!$C$3:$C$12,0)),"-")</f>
        <v>Kaftan</v>
      </c>
      <c r="F94">
        <v>3</v>
      </c>
      <c r="G94">
        <v>2</v>
      </c>
      <c r="H94" s="36">
        <f>IFERROR(INDEX(Katalog!$D$3:$D$12,MATCH(cadangan3[[#This Row],[ItemID A]],Katalog!$C$3:$C$12,0))*cadangan3[[#This Row],[Qty A]],0)</f>
        <v>750000</v>
      </c>
      <c r="I94" s="36">
        <f>IFERROR(INDEX(Katalog!$D$3:$D$12,MATCH(cadangan3[[#This Row],[Item A]],Katalog!$B$3:$B$12,0))*cadangan3[[#This Row],[Qty A]],0)</f>
        <v>750000</v>
      </c>
      <c r="J94" s="36">
        <f>IFERROR(cadangan3[[#This Row],[Harga Asli A]]-(cadangan3[[#This Row],[Harga Asli A]]*cadangan3[[#This Row],[Diskon]]),cadangan3[[#This Row],[Harga Asli A]])</f>
        <v>637500</v>
      </c>
      <c r="K94" s="36">
        <f>INDEX(Katalog!$F$3:$F$12,MATCH(cadangan3[[#This Row],[ItemID A]],Katalog!$C$3:$C$12,0))*cadangan3[[#This Row],[Qty A]]</f>
        <v>300000</v>
      </c>
      <c r="L94" s="36">
        <f>IFERROR(cadangan3[[#This Row],[Profit A]]-(cadangan3[[#This Row],[Profit A]]*cadangan3[[#This Row],[Diskon]]),K94)</f>
        <v>255000</v>
      </c>
      <c r="N94" t="str">
        <f>IFERROR(INDEX(Katalog!$A$3:$A$12,MATCH(cadangan3[[#This Row],[ItemID B]],Katalog!$C$3:$C$12,0)),"-")</f>
        <v>-</v>
      </c>
      <c r="O94" t="str">
        <f>IFERROR(INDEX(Katalog!$B$3:$B$12,MATCH(cadangan3[[#This Row],[ItemID B]],Katalog!$C$3:$C$12,0)),"-")</f>
        <v>-</v>
      </c>
      <c r="R94" s="36">
        <f>IFERROR(INDEX(Katalog!$D$3:$D$12,MATCH(cadangan3[[#This Row],[ItemID B]],Katalog!$C$3:$C$12,0))*cadangan3[[#This Row],[Qty B]],0)</f>
        <v>0</v>
      </c>
      <c r="S94" s="36">
        <f>IFERROR(INDEX(Katalog!$D$3:$D$12,MATCH(cadangan3[[#This Row],[Item B]],Katalog!$B$3:$B$12,0))*cadangan3[[#This Row],[Qty B]],0)</f>
        <v>0</v>
      </c>
      <c r="T94" s="36">
        <f>IFERROR(cadangan3[[#This Row],[Harga Asli B]]-(cadangan3[[#This Row],[Harga Asli B]]*cadangan3[[#This Row],[Diskon]]),cadangan3[[#This Row],[Harga Asli B]])</f>
        <v>0</v>
      </c>
      <c r="U94" s="36">
        <f>IFERROR(INDEX(Katalog!$F$3:$F$12,MATCH(cadangan3[[#This Row],[ItemID B]],Katalog!$C$3:$C$12,0))*cadangan3[[#This Row],[Qty B]],0)</f>
        <v>0</v>
      </c>
      <c r="V94" s="36">
        <f>IFERROR(cadangan3[[#This Row],[Profit B]]-(cadangan3[[#This Row],[Profit B]]*cadangan3[[#This Row],[Diskon]]),U94)</f>
        <v>0</v>
      </c>
      <c r="X94" t="str">
        <f>IFERROR(INDEX(Katalog!$A$3:$A$12,MATCH(cadangan3[[#This Row],[ItemID C]],Katalog!$C$3:$C$12,0)),"-")</f>
        <v>-</v>
      </c>
      <c r="Y94" t="str">
        <f>IFERROR(INDEX(Katalog!$B$3:$B$12,MATCH(cadangan3[[#This Row],[ItemID C]],Katalog!$C$3:$C$12,0)),"-")</f>
        <v>-</v>
      </c>
      <c r="AB94" s="36">
        <f>IFERROR(INDEX(Katalog!$D$3:$D$12,MATCH(cadangan3[[#This Row],[ItemID C]],Katalog!$C$3:$C$12,0))*cadangan3[[#This Row],[Qty C]],0)</f>
        <v>0</v>
      </c>
      <c r="AC94" s="36">
        <f>IFERROR(INDEX(Katalog!$D$3:$D$12,MATCH(cadangan3[[#This Row],[Item C]],Katalog!$B$3:$B$12,0))*cadangan3[[#This Row],[Qty C]],0)</f>
        <v>0</v>
      </c>
      <c r="AD94" s="36">
        <f>IFERROR(cadangan3[[#This Row],[Harga Asli C]]-(cadangan3[[#This Row],[Harga Asli C]]*cadangan3[[#This Row],[Diskon]]),cadangan3[[#This Row],[Harga Asli C]])</f>
        <v>0</v>
      </c>
      <c r="AE94" s="36">
        <f>IFERROR(INDEX(Katalog!$F$3:$F$12,MATCH(cadangan3[[#This Row],[ItemID C]],Katalog!$C$3:$C$12,0))*cadangan3[[#This Row],[Qty C]],0)</f>
        <v>0</v>
      </c>
      <c r="AF94" s="36">
        <f>IFERROR(cadangan3[[#This Row],[Profit C]]-(cadangan3[[#This Row],[Profit C]]*cadangan3[[#This Row],[Diskon]]),cadangan3[[#This Row],[Profit C]])</f>
        <v>0</v>
      </c>
      <c r="AG94" s="21">
        <f>cadangan3[[#This Row],[Qty A]]+cadangan3[[#This Row],[Qty B]]+cadangan3[[#This Row],[Qty C]]</f>
        <v>3</v>
      </c>
      <c r="AH94" s="35">
        <f>cadangan3[[#This Row],[Harga A + Diskon]]+cadangan3[[#This Row],[Harga + Diskon B]]+cadangan3[[#This Row],[Harga + Diskon C]]</f>
        <v>637500</v>
      </c>
      <c r="AI94" s="35">
        <f>(cadangan3[[#This Row],[Profit A]]+cadangan3[[#This Row],[Profit B]]+cadangan3[[#This Row],[Profit C]])</f>
        <v>300000</v>
      </c>
      <c r="AJ94" s="35">
        <f>cadangan3[[#This Row],[Provit A + Diskon]]+cadangan3[[#This Row],[Provit B + Diskon]]+cadangan3[[#This Row],[Provit C + Diskon]]</f>
        <v>255000</v>
      </c>
      <c r="AK94" s="23" t="s">
        <v>28</v>
      </c>
      <c r="AL94" s="37">
        <f>IFERROR(INDEX('Kode Diskon'!$D$3:$D$9,MATCH(cadangan3[[#This Row],[Kode diskon]],'Kode Diskon'!$C$3:$C$9,0)),"-")</f>
        <v>0.15</v>
      </c>
      <c r="AM94" s="23" t="s">
        <v>29</v>
      </c>
      <c r="AN94" s="23" t="s">
        <v>14</v>
      </c>
      <c r="AO94" s="23" t="s">
        <v>80</v>
      </c>
      <c r="AP94" s="24">
        <v>45021</v>
      </c>
      <c r="AQ94" s="23" t="str">
        <f>TEXT(cadangan3[[#This Row],[Tanggal terjual]],"dddd")</f>
        <v>Wednesday</v>
      </c>
    </row>
    <row r="95" spans="1:43" x14ac:dyDescent="0.2">
      <c r="A95" s="20">
        <v>94</v>
      </c>
      <c r="B95" s="21" t="str">
        <f>_xlfn.CONCAT("ORD-",INDEX(Helper!$B$2:$B$5,MATCH(cadangan3[[#This Row],[Marketplace]],Helper!$A$2:$A$5,0)),TEXT(cadangan3[[#This Row],[No]],"0000"),"-",TEXT(cadangan3[[#This Row],[Tanggal terjual]],"dd/mm/yy"))</f>
        <v>ORD-TK0094-26/04/23</v>
      </c>
      <c r="C95" t="s">
        <v>66</v>
      </c>
      <c r="D95" t="str">
        <f>IFERROR(INDEX(Katalog!$A$3:$A$12,MATCH(cadangan3[[#This Row],[ItemID A]],Katalog!$C$3:$C$12,0)),"-")</f>
        <v>Sepatu Pria</v>
      </c>
      <c r="E95" t="str">
        <f>IFERROR(INDEX(Katalog!$B$3:$B$12,MATCH(cadangan3[[#This Row],[ItemID A]],Katalog!$C$3:$C$12,0)),"-")</f>
        <v>Sandal Slip On</v>
      </c>
      <c r="F95">
        <v>1</v>
      </c>
      <c r="G95">
        <v>2</v>
      </c>
      <c r="H95" s="36">
        <f>IFERROR(INDEX(Katalog!$D$3:$D$12,MATCH(cadangan3[[#This Row],[ItemID A]],Katalog!$C$3:$C$12,0))*cadangan3[[#This Row],[Qty A]],0)</f>
        <v>150000</v>
      </c>
      <c r="I95" s="36">
        <f>IFERROR(INDEX(Katalog!$D$3:$D$12,MATCH(cadangan3[[#This Row],[Item A]],Katalog!$B$3:$B$12,0))*cadangan3[[#This Row],[Qty A]],0)</f>
        <v>150000</v>
      </c>
      <c r="J95" s="36">
        <f>IFERROR(cadangan3[[#This Row],[Harga Asli A]]-(cadangan3[[#This Row],[Harga Asli A]]*cadangan3[[#This Row],[Diskon]]),cadangan3[[#This Row],[Harga Asli A]])</f>
        <v>135000</v>
      </c>
      <c r="K95" s="36">
        <f>INDEX(Katalog!$F$3:$F$12,MATCH(cadangan3[[#This Row],[ItemID A]],Katalog!$C$3:$C$12,0))*cadangan3[[#This Row],[Qty A]]</f>
        <v>60000</v>
      </c>
      <c r="L95" s="36">
        <f>IFERROR(cadangan3[[#This Row],[Profit A]]-(cadangan3[[#This Row],[Profit A]]*cadangan3[[#This Row],[Diskon]]),K95)</f>
        <v>54000</v>
      </c>
      <c r="M95" t="s">
        <v>62</v>
      </c>
      <c r="N95" t="str">
        <f>IFERROR(INDEX(Katalog!$A$3:$A$12,MATCH(cadangan3[[#This Row],[ItemID B]],Katalog!$C$3:$C$12,0)),"-")</f>
        <v>Pakaian Pria</v>
      </c>
      <c r="O95" t="str">
        <f>IFERROR(INDEX(Katalog!$B$3:$B$12,MATCH(cadangan3[[#This Row],[ItemID B]],Katalog!$C$3:$C$12,0)),"-")</f>
        <v>Celana Pendek</v>
      </c>
      <c r="P95">
        <v>1</v>
      </c>
      <c r="Q95">
        <v>1</v>
      </c>
      <c r="R95" s="36">
        <f>IFERROR(INDEX(Katalog!$D$3:$D$12,MATCH(cadangan3[[#This Row],[ItemID B]],Katalog!$C$3:$C$12,0))*cadangan3[[#This Row],[Qty B]],0)</f>
        <v>180000</v>
      </c>
      <c r="S95" s="36">
        <f>IFERROR(INDEX(Katalog!$D$3:$D$12,MATCH(cadangan3[[#This Row],[Item B]],Katalog!$B$3:$B$12,0))*cadangan3[[#This Row],[Qty B]],0)</f>
        <v>180000</v>
      </c>
      <c r="T95" s="36">
        <f>IFERROR(cadangan3[[#This Row],[Harga Asli B]]-(cadangan3[[#This Row],[Harga Asli B]]*cadangan3[[#This Row],[Diskon]]),cadangan3[[#This Row],[Harga Asli B]])</f>
        <v>162000</v>
      </c>
      <c r="U95" s="36">
        <f>IFERROR(INDEX(Katalog!$F$3:$F$12,MATCH(cadangan3[[#This Row],[ItemID B]],Katalog!$C$3:$C$12,0))*cadangan3[[#This Row],[Qty B]],0)</f>
        <v>70000</v>
      </c>
      <c r="V95" s="36">
        <f>IFERROR(cadangan3[[#This Row],[Profit B]]-(cadangan3[[#This Row],[Profit B]]*cadangan3[[#This Row],[Diskon]]),U95)</f>
        <v>63000</v>
      </c>
      <c r="W95" t="s">
        <v>63</v>
      </c>
      <c r="X95" t="str">
        <f>IFERROR(INDEX(Katalog!$A$3:$A$12,MATCH(cadangan3[[#This Row],[ItemID C]],Katalog!$C$3:$C$12,0)),"-")</f>
        <v>Pakaian Pria</v>
      </c>
      <c r="Y95" t="str">
        <f>IFERROR(INDEX(Katalog!$B$3:$B$12,MATCH(cadangan3[[#This Row],[ItemID C]],Katalog!$C$3:$C$12,0)),"-")</f>
        <v>Jaket Jeans</v>
      </c>
      <c r="Z95">
        <v>3</v>
      </c>
      <c r="AA95">
        <v>1</v>
      </c>
      <c r="AB95" s="36">
        <f>IFERROR(INDEX(Katalog!$D$3:$D$12,MATCH(cadangan3[[#This Row],[ItemID C]],Katalog!$C$3:$C$12,0))*cadangan3[[#This Row],[Qty C]],0)</f>
        <v>1200000</v>
      </c>
      <c r="AC95" s="36">
        <f>IFERROR(INDEX(Katalog!$D$3:$D$12,MATCH(cadangan3[[#This Row],[Item C]],Katalog!$B$3:$B$12,0))*cadangan3[[#This Row],[Qty C]],0)</f>
        <v>1200000</v>
      </c>
      <c r="AD95" s="36">
        <f>IFERROR(cadangan3[[#This Row],[Harga Asli C]]-(cadangan3[[#This Row],[Harga Asli C]]*cadangan3[[#This Row],[Diskon]]),cadangan3[[#This Row],[Harga Asli C]])</f>
        <v>1080000</v>
      </c>
      <c r="AE95" s="36">
        <f>IFERROR(INDEX(Katalog!$F$3:$F$12,MATCH(cadangan3[[#This Row],[ItemID C]],Katalog!$C$3:$C$12,0))*cadangan3[[#This Row],[Qty C]],0)</f>
        <v>450000</v>
      </c>
      <c r="AF95" s="36">
        <f>IFERROR(cadangan3[[#This Row],[Profit C]]-(cadangan3[[#This Row],[Profit C]]*cadangan3[[#This Row],[Diskon]]),cadangan3[[#This Row],[Profit C]])</f>
        <v>405000</v>
      </c>
      <c r="AG95" s="21">
        <f>cadangan3[[#This Row],[Qty A]]+cadangan3[[#This Row],[Qty B]]+cadangan3[[#This Row],[Qty C]]</f>
        <v>5</v>
      </c>
      <c r="AH95" s="35">
        <f>cadangan3[[#This Row],[Harga A + Diskon]]+cadangan3[[#This Row],[Harga + Diskon B]]+cadangan3[[#This Row],[Harga + Diskon C]]</f>
        <v>1377000</v>
      </c>
      <c r="AI95" s="35">
        <f>(cadangan3[[#This Row],[Profit A]]+cadangan3[[#This Row],[Profit B]]+cadangan3[[#This Row],[Profit C]])</f>
        <v>580000</v>
      </c>
      <c r="AJ95" s="35">
        <f>cadangan3[[#This Row],[Provit A + Diskon]]+cadangan3[[#This Row],[Provit B + Diskon]]+cadangan3[[#This Row],[Provit C + Diskon]]</f>
        <v>522000</v>
      </c>
      <c r="AK95" s="23" t="s">
        <v>31</v>
      </c>
      <c r="AL95" s="37">
        <f>IFERROR(INDEX('Kode Diskon'!$D$3:$D$9,MATCH(cadangan3[[#This Row],[Kode diskon]],'Kode Diskon'!$C$3:$C$9,0)),"-")</f>
        <v>0.1</v>
      </c>
      <c r="AM95" s="23" t="s">
        <v>9</v>
      </c>
      <c r="AN95" s="23" t="s">
        <v>10</v>
      </c>
      <c r="AO95" s="23" t="s">
        <v>75</v>
      </c>
      <c r="AP95" s="24">
        <v>45042</v>
      </c>
      <c r="AQ95" s="23" t="str">
        <f>TEXT(cadangan3[[#This Row],[Tanggal terjual]],"dddd")</f>
        <v>Wednesday</v>
      </c>
    </row>
    <row r="96" spans="1:43" x14ac:dyDescent="0.2">
      <c r="A96" s="20">
        <v>95</v>
      </c>
      <c r="B96" s="21" t="str">
        <f>_xlfn.CONCAT("ORD-",INDEX(Helper!$B$2:$B$5,MATCH(cadangan3[[#This Row],[Marketplace]],Helper!$A$2:$A$5,0)),TEXT(cadangan3[[#This Row],[No]],"0000"),"-",TEXT(cadangan3[[#This Row],[Tanggal terjual]],"dd/mm/yy"))</f>
        <v>ORD-BB0095-01/04/23</v>
      </c>
      <c r="C96" t="s">
        <v>58</v>
      </c>
      <c r="D96" t="str">
        <f>IFERROR(INDEX(Katalog!$A$3:$A$12,MATCH(cadangan3[[#This Row],[ItemID A]],Katalog!$C$3:$C$12,0)),"-")</f>
        <v>Pakaian Wanita</v>
      </c>
      <c r="E96" t="str">
        <f>IFERROR(INDEX(Katalog!$B$3:$B$12,MATCH(cadangan3[[#This Row],[ItemID A]],Katalog!$C$3:$C$12,0)),"-")</f>
        <v>Dress</v>
      </c>
      <c r="F96">
        <v>5</v>
      </c>
      <c r="G96">
        <v>5</v>
      </c>
      <c r="H96" s="36">
        <f>IFERROR(INDEX(Katalog!$D$3:$D$12,MATCH(cadangan3[[#This Row],[ItemID A]],Katalog!$C$3:$C$12,0))*cadangan3[[#This Row],[Qty A]],0)</f>
        <v>1500000</v>
      </c>
      <c r="I96" s="36">
        <f>IFERROR(INDEX(Katalog!$D$3:$D$12,MATCH(cadangan3[[#This Row],[Item A]],Katalog!$B$3:$B$12,0))*cadangan3[[#This Row],[Qty A]],0)</f>
        <v>1500000</v>
      </c>
      <c r="J96" s="36">
        <f>IFERROR(cadangan3[[#This Row],[Harga Asli A]]-(cadangan3[[#This Row],[Harga Asli A]]*cadangan3[[#This Row],[Diskon]]),cadangan3[[#This Row],[Harga Asli A]])</f>
        <v>1275000</v>
      </c>
      <c r="K96" s="36">
        <f>INDEX(Katalog!$F$3:$F$12,MATCH(cadangan3[[#This Row],[ItemID A]],Katalog!$C$3:$C$12,0))*cadangan3[[#This Row],[Qty A]]</f>
        <v>500000</v>
      </c>
      <c r="L96" s="36">
        <f>IFERROR(cadangan3[[#This Row],[Profit A]]-(cadangan3[[#This Row],[Profit A]]*cadangan3[[#This Row],[Diskon]]),K96)</f>
        <v>425000</v>
      </c>
      <c r="N96" t="str">
        <f>IFERROR(INDEX(Katalog!$A$3:$A$12,MATCH(cadangan3[[#This Row],[ItemID B]],Katalog!$C$3:$C$12,0)),"-")</f>
        <v>-</v>
      </c>
      <c r="O96" t="str">
        <f>IFERROR(INDEX(Katalog!$B$3:$B$12,MATCH(cadangan3[[#This Row],[ItemID B]],Katalog!$C$3:$C$12,0)),"-")</f>
        <v>-</v>
      </c>
      <c r="R96" s="36">
        <f>IFERROR(INDEX(Katalog!$D$3:$D$12,MATCH(cadangan3[[#This Row],[ItemID B]],Katalog!$C$3:$C$12,0))*cadangan3[[#This Row],[Qty B]],0)</f>
        <v>0</v>
      </c>
      <c r="S96" s="36">
        <f>IFERROR(INDEX(Katalog!$D$3:$D$12,MATCH(cadangan3[[#This Row],[Item B]],Katalog!$B$3:$B$12,0))*cadangan3[[#This Row],[Qty B]],0)</f>
        <v>0</v>
      </c>
      <c r="T96" s="36">
        <f>IFERROR(cadangan3[[#This Row],[Harga Asli B]]-(cadangan3[[#This Row],[Harga Asli B]]*cadangan3[[#This Row],[Diskon]]),cadangan3[[#This Row],[Harga Asli B]])</f>
        <v>0</v>
      </c>
      <c r="U96" s="36">
        <f>IFERROR(INDEX(Katalog!$F$3:$F$12,MATCH(cadangan3[[#This Row],[ItemID B]],Katalog!$C$3:$C$12,0))*cadangan3[[#This Row],[Qty B]],0)</f>
        <v>0</v>
      </c>
      <c r="V96" s="36">
        <f>IFERROR(cadangan3[[#This Row],[Profit B]]-(cadangan3[[#This Row],[Profit B]]*cadangan3[[#This Row],[Diskon]]),U96)</f>
        <v>0</v>
      </c>
      <c r="X96" t="str">
        <f>IFERROR(INDEX(Katalog!$A$3:$A$12,MATCH(cadangan3[[#This Row],[ItemID C]],Katalog!$C$3:$C$12,0)),"-")</f>
        <v>-</v>
      </c>
      <c r="Y96" t="str">
        <f>IFERROR(INDEX(Katalog!$B$3:$B$12,MATCH(cadangan3[[#This Row],[ItemID C]],Katalog!$C$3:$C$12,0)),"-")</f>
        <v>-</v>
      </c>
      <c r="AB96" s="36">
        <f>IFERROR(INDEX(Katalog!$D$3:$D$12,MATCH(cadangan3[[#This Row],[ItemID C]],Katalog!$C$3:$C$12,0))*cadangan3[[#This Row],[Qty C]],0)</f>
        <v>0</v>
      </c>
      <c r="AC96" s="36">
        <f>IFERROR(INDEX(Katalog!$D$3:$D$12,MATCH(cadangan3[[#This Row],[Item C]],Katalog!$B$3:$B$12,0))*cadangan3[[#This Row],[Qty C]],0)</f>
        <v>0</v>
      </c>
      <c r="AD96" s="36">
        <f>IFERROR(cadangan3[[#This Row],[Harga Asli C]]-(cadangan3[[#This Row],[Harga Asli C]]*cadangan3[[#This Row],[Diskon]]),cadangan3[[#This Row],[Harga Asli C]])</f>
        <v>0</v>
      </c>
      <c r="AE96" s="36">
        <f>IFERROR(INDEX(Katalog!$F$3:$F$12,MATCH(cadangan3[[#This Row],[ItemID C]],Katalog!$C$3:$C$12,0))*cadangan3[[#This Row],[Qty C]],0)</f>
        <v>0</v>
      </c>
      <c r="AF96" s="36">
        <f>IFERROR(cadangan3[[#This Row],[Profit C]]-(cadangan3[[#This Row],[Profit C]]*cadangan3[[#This Row],[Diskon]]),cadangan3[[#This Row],[Profit C]])</f>
        <v>0</v>
      </c>
      <c r="AG96" s="21">
        <f>cadangan3[[#This Row],[Qty A]]+cadangan3[[#This Row],[Qty B]]+cadangan3[[#This Row],[Qty C]]</f>
        <v>5</v>
      </c>
      <c r="AH96" s="35">
        <f>cadangan3[[#This Row],[Harga A + Diskon]]+cadangan3[[#This Row],[Harga + Diskon B]]+cadangan3[[#This Row],[Harga + Diskon C]]</f>
        <v>1275000</v>
      </c>
      <c r="AI96" s="35">
        <f>(cadangan3[[#This Row],[Profit A]]+cadangan3[[#This Row],[Profit B]]+cadangan3[[#This Row],[Profit C]])</f>
        <v>500000</v>
      </c>
      <c r="AJ96" s="35">
        <f>cadangan3[[#This Row],[Provit A + Diskon]]+cadangan3[[#This Row],[Provit B + Diskon]]+cadangan3[[#This Row],[Provit C + Diskon]]</f>
        <v>425000</v>
      </c>
      <c r="AK96" s="23" t="s">
        <v>28</v>
      </c>
      <c r="AL96" s="37">
        <f>IFERROR(INDEX('Kode Diskon'!$D$3:$D$9,MATCH(cadangan3[[#This Row],[Kode diskon]],'Kode Diskon'!$C$3:$C$9,0)),"-")</f>
        <v>0.15</v>
      </c>
      <c r="AM96" s="23" t="s">
        <v>29</v>
      </c>
      <c r="AN96" s="23" t="s">
        <v>14</v>
      </c>
      <c r="AO96" s="23" t="s">
        <v>77</v>
      </c>
      <c r="AP96" s="24">
        <v>45017</v>
      </c>
      <c r="AQ96" s="23" t="str">
        <f>TEXT(cadangan3[[#This Row],[Tanggal terjual]],"dddd")</f>
        <v>Saturday</v>
      </c>
    </row>
    <row r="97" spans="1:43" x14ac:dyDescent="0.2">
      <c r="A97" s="20">
        <v>96</v>
      </c>
      <c r="B97" s="21" t="str">
        <f>_xlfn.CONCAT("ORD-",INDEX(Helper!$B$2:$B$5,MATCH(cadangan3[[#This Row],[Marketplace]],Helper!$A$2:$A$5,0)),TEXT(cadangan3[[#This Row],[No]],"0000"),"-",TEXT(cadangan3[[#This Row],[Tanggal terjual]],"dd/mm/yy"))</f>
        <v>ORD-TK0096-17/04/23</v>
      </c>
      <c r="C97" t="s">
        <v>60</v>
      </c>
      <c r="D97" t="str">
        <f>IFERROR(INDEX(Katalog!$A$3:$A$12,MATCH(cadangan3[[#This Row],[ItemID A]],Katalog!$C$3:$C$12,0)),"-")</f>
        <v>Pakaian Wanita</v>
      </c>
      <c r="E97" t="str">
        <f>IFERROR(INDEX(Katalog!$B$3:$B$12,MATCH(cadangan3[[#This Row],[ItemID A]],Katalog!$C$3:$C$12,0)),"-")</f>
        <v>Kaftan</v>
      </c>
      <c r="F97">
        <v>4</v>
      </c>
      <c r="G97">
        <v>5</v>
      </c>
      <c r="H97" s="36">
        <f>IFERROR(INDEX(Katalog!$D$3:$D$12,MATCH(cadangan3[[#This Row],[ItemID A]],Katalog!$C$3:$C$12,0))*cadangan3[[#This Row],[Qty A]],0)</f>
        <v>1000000</v>
      </c>
      <c r="I97" s="36">
        <f>IFERROR(INDEX(Katalog!$D$3:$D$12,MATCH(cadangan3[[#This Row],[Item A]],Katalog!$B$3:$B$12,0))*cadangan3[[#This Row],[Qty A]],0)</f>
        <v>1000000</v>
      </c>
      <c r="J97" s="36">
        <f>IFERROR(cadangan3[[#This Row],[Harga Asli A]]-(cadangan3[[#This Row],[Harga Asli A]]*cadangan3[[#This Row],[Diskon]]),cadangan3[[#This Row],[Harga Asli A]])</f>
        <v>900000</v>
      </c>
      <c r="K97" s="36">
        <f>INDEX(Katalog!$F$3:$F$12,MATCH(cadangan3[[#This Row],[ItemID A]],Katalog!$C$3:$C$12,0))*cadangan3[[#This Row],[Qty A]]</f>
        <v>400000</v>
      </c>
      <c r="L97" s="36">
        <f>IFERROR(cadangan3[[#This Row],[Profit A]]-(cadangan3[[#This Row],[Profit A]]*cadangan3[[#This Row],[Diskon]]),K97)</f>
        <v>360000</v>
      </c>
      <c r="N97" t="str">
        <f>IFERROR(INDEX(Katalog!$A$3:$A$12,MATCH(cadangan3[[#This Row],[ItemID B]],Katalog!$C$3:$C$12,0)),"-")</f>
        <v>-</v>
      </c>
      <c r="O97" t="str">
        <f>IFERROR(INDEX(Katalog!$B$3:$B$12,MATCH(cadangan3[[#This Row],[ItemID B]],Katalog!$C$3:$C$12,0)),"-")</f>
        <v>-</v>
      </c>
      <c r="R97" s="36">
        <f>IFERROR(INDEX(Katalog!$D$3:$D$12,MATCH(cadangan3[[#This Row],[ItemID B]],Katalog!$C$3:$C$12,0))*cadangan3[[#This Row],[Qty B]],0)</f>
        <v>0</v>
      </c>
      <c r="S97" s="36">
        <f>IFERROR(INDEX(Katalog!$D$3:$D$12,MATCH(cadangan3[[#This Row],[Item B]],Katalog!$B$3:$B$12,0))*cadangan3[[#This Row],[Qty B]],0)</f>
        <v>0</v>
      </c>
      <c r="T97" s="36">
        <f>IFERROR(cadangan3[[#This Row],[Harga Asli B]]-(cadangan3[[#This Row],[Harga Asli B]]*cadangan3[[#This Row],[Diskon]]),cadangan3[[#This Row],[Harga Asli B]])</f>
        <v>0</v>
      </c>
      <c r="U97" s="36">
        <f>IFERROR(INDEX(Katalog!$F$3:$F$12,MATCH(cadangan3[[#This Row],[ItemID B]],Katalog!$C$3:$C$12,0))*cadangan3[[#This Row],[Qty B]],0)</f>
        <v>0</v>
      </c>
      <c r="V97" s="36">
        <f>IFERROR(cadangan3[[#This Row],[Profit B]]-(cadangan3[[#This Row],[Profit B]]*cadangan3[[#This Row],[Diskon]]),U97)</f>
        <v>0</v>
      </c>
      <c r="X97" t="str">
        <f>IFERROR(INDEX(Katalog!$A$3:$A$12,MATCH(cadangan3[[#This Row],[ItemID C]],Katalog!$C$3:$C$12,0)),"-")</f>
        <v>-</v>
      </c>
      <c r="Y97" t="str">
        <f>IFERROR(INDEX(Katalog!$B$3:$B$12,MATCH(cadangan3[[#This Row],[ItemID C]],Katalog!$C$3:$C$12,0)),"-")</f>
        <v>-</v>
      </c>
      <c r="AB97" s="36">
        <f>IFERROR(INDEX(Katalog!$D$3:$D$12,MATCH(cadangan3[[#This Row],[ItemID C]],Katalog!$C$3:$C$12,0))*cadangan3[[#This Row],[Qty C]],0)</f>
        <v>0</v>
      </c>
      <c r="AC97" s="36">
        <f>IFERROR(INDEX(Katalog!$D$3:$D$12,MATCH(cadangan3[[#This Row],[Item C]],Katalog!$B$3:$B$12,0))*cadangan3[[#This Row],[Qty C]],0)</f>
        <v>0</v>
      </c>
      <c r="AD97" s="36">
        <f>IFERROR(cadangan3[[#This Row],[Harga Asli C]]-(cadangan3[[#This Row],[Harga Asli C]]*cadangan3[[#This Row],[Diskon]]),cadangan3[[#This Row],[Harga Asli C]])</f>
        <v>0</v>
      </c>
      <c r="AE97" s="36">
        <f>IFERROR(INDEX(Katalog!$F$3:$F$12,MATCH(cadangan3[[#This Row],[ItemID C]],Katalog!$C$3:$C$12,0))*cadangan3[[#This Row],[Qty C]],0)</f>
        <v>0</v>
      </c>
      <c r="AF97" s="36">
        <f>IFERROR(cadangan3[[#This Row],[Profit C]]-(cadangan3[[#This Row],[Profit C]]*cadangan3[[#This Row],[Diskon]]),cadangan3[[#This Row],[Profit C]])</f>
        <v>0</v>
      </c>
      <c r="AG97" s="21">
        <f>cadangan3[[#This Row],[Qty A]]+cadangan3[[#This Row],[Qty B]]+cadangan3[[#This Row],[Qty C]]</f>
        <v>4</v>
      </c>
      <c r="AH97" s="35">
        <f>cadangan3[[#This Row],[Harga A + Diskon]]+cadangan3[[#This Row],[Harga + Diskon B]]+cadangan3[[#This Row],[Harga + Diskon C]]</f>
        <v>900000</v>
      </c>
      <c r="AI97" s="35">
        <f>(cadangan3[[#This Row],[Profit A]]+cadangan3[[#This Row],[Profit B]]+cadangan3[[#This Row],[Profit C]])</f>
        <v>400000</v>
      </c>
      <c r="AJ97" s="35">
        <f>cadangan3[[#This Row],[Provit A + Diskon]]+cadangan3[[#This Row],[Provit B + Diskon]]+cadangan3[[#This Row],[Provit C + Diskon]]</f>
        <v>360000</v>
      </c>
      <c r="AK97" s="23" t="s">
        <v>31</v>
      </c>
      <c r="AL97" s="37">
        <f>IFERROR(INDEX('Kode Diskon'!$D$3:$D$9,MATCH(cadangan3[[#This Row],[Kode diskon]],'Kode Diskon'!$C$3:$C$9,0)),"-")</f>
        <v>0.1</v>
      </c>
      <c r="AM97" s="23" t="s">
        <v>9</v>
      </c>
      <c r="AN97" s="23" t="s">
        <v>10</v>
      </c>
      <c r="AO97" s="23" t="s">
        <v>79</v>
      </c>
      <c r="AP97" s="24">
        <v>45033</v>
      </c>
      <c r="AQ97" s="23" t="str">
        <f>TEXT(cadangan3[[#This Row],[Tanggal terjual]],"dddd")</f>
        <v>Monday</v>
      </c>
    </row>
    <row r="98" spans="1:43" x14ac:dyDescent="0.2">
      <c r="A98" s="20">
        <v>97</v>
      </c>
      <c r="B98" s="21" t="str">
        <f>_xlfn.CONCAT("ORD-",INDEX(Helper!$B$2:$B$5,MATCH(cadangan3[[#This Row],[Marketplace]],Helper!$A$2:$A$5,0)),TEXT(cadangan3[[#This Row],[No]],"0000"),"-",TEXT(cadangan3[[#This Row],[Tanggal terjual]],"dd/mm/yy"))</f>
        <v>ORD-SP0097-06/04/23</v>
      </c>
      <c r="C98" t="s">
        <v>58</v>
      </c>
      <c r="D98" t="str">
        <f>IFERROR(INDEX(Katalog!$A$3:$A$12,MATCH(cadangan3[[#This Row],[ItemID A]],Katalog!$C$3:$C$12,0)),"-")</f>
        <v>Pakaian Wanita</v>
      </c>
      <c r="E98" t="str">
        <f>IFERROR(INDEX(Katalog!$B$3:$B$12,MATCH(cadangan3[[#This Row],[ItemID A]],Katalog!$C$3:$C$12,0)),"-")</f>
        <v>Dress</v>
      </c>
      <c r="F98">
        <v>1</v>
      </c>
      <c r="G98">
        <v>1</v>
      </c>
      <c r="H98" s="36">
        <f>IFERROR(INDEX(Katalog!$D$3:$D$12,MATCH(cadangan3[[#This Row],[ItemID A]],Katalog!$C$3:$C$12,0))*cadangan3[[#This Row],[Qty A]],0)</f>
        <v>300000</v>
      </c>
      <c r="I98" s="36">
        <f>IFERROR(INDEX(Katalog!$D$3:$D$12,MATCH(cadangan3[[#This Row],[Item A]],Katalog!$B$3:$B$12,0))*cadangan3[[#This Row],[Qty A]],0)</f>
        <v>300000</v>
      </c>
      <c r="J98" s="36">
        <f>IFERROR(cadangan3[[#This Row],[Harga Asli A]]-(cadangan3[[#This Row],[Harga Asli A]]*cadangan3[[#This Row],[Diskon]]),cadangan3[[#This Row],[Harga Asli A]])</f>
        <v>270000</v>
      </c>
      <c r="K98" s="36">
        <f>INDEX(Katalog!$F$3:$F$12,MATCH(cadangan3[[#This Row],[ItemID A]],Katalog!$C$3:$C$12,0))*cadangan3[[#This Row],[Qty A]]</f>
        <v>100000</v>
      </c>
      <c r="L98" s="36">
        <f>IFERROR(cadangan3[[#This Row],[Profit A]]-(cadangan3[[#This Row],[Profit A]]*cadangan3[[#This Row],[Diskon]]),K98)</f>
        <v>90000</v>
      </c>
      <c r="M98" t="s">
        <v>64</v>
      </c>
      <c r="N98" t="str">
        <f>IFERROR(INDEX(Katalog!$A$3:$A$12,MATCH(cadangan3[[#This Row],[ItemID B]],Katalog!$C$3:$C$12,0)),"-")</f>
        <v>Pakaian Unisex</v>
      </c>
      <c r="O98" t="str">
        <f>IFERROR(INDEX(Katalog!$B$3:$B$12,MATCH(cadangan3[[#This Row],[ItemID B]],Katalog!$C$3:$C$12,0)),"-")</f>
        <v>Jaket Hoodie</v>
      </c>
      <c r="P98">
        <v>1</v>
      </c>
      <c r="Q98">
        <v>5</v>
      </c>
      <c r="R98" s="36">
        <f>IFERROR(INDEX(Katalog!$D$3:$D$12,MATCH(cadangan3[[#This Row],[ItemID B]],Katalog!$C$3:$C$12,0))*cadangan3[[#This Row],[Qty B]],0)</f>
        <v>350000</v>
      </c>
      <c r="S98" s="36">
        <f>IFERROR(INDEX(Katalog!$D$3:$D$12,MATCH(cadangan3[[#This Row],[Item B]],Katalog!$B$3:$B$12,0))*cadangan3[[#This Row],[Qty B]],0)</f>
        <v>350000</v>
      </c>
      <c r="T98" s="36">
        <f>IFERROR(cadangan3[[#This Row],[Harga Asli B]]-(cadangan3[[#This Row],[Harga Asli B]]*cadangan3[[#This Row],[Diskon]]),cadangan3[[#This Row],[Harga Asli B]])</f>
        <v>315000</v>
      </c>
      <c r="U98" s="36">
        <f>IFERROR(INDEX(Katalog!$F$3:$F$12,MATCH(cadangan3[[#This Row],[ItemID B]],Katalog!$C$3:$C$12,0))*cadangan3[[#This Row],[Qty B]],0)</f>
        <v>130000</v>
      </c>
      <c r="V98" s="36">
        <f>IFERROR(cadangan3[[#This Row],[Profit B]]-(cadangan3[[#This Row],[Profit B]]*cadangan3[[#This Row],[Diskon]]),U98)</f>
        <v>117000</v>
      </c>
      <c r="X98" t="str">
        <f>IFERROR(INDEX(Katalog!$A$3:$A$12,MATCH(cadangan3[[#This Row],[ItemID C]],Katalog!$C$3:$C$12,0)),"-")</f>
        <v>-</v>
      </c>
      <c r="Y98" t="str">
        <f>IFERROR(INDEX(Katalog!$B$3:$B$12,MATCH(cadangan3[[#This Row],[ItemID C]],Katalog!$C$3:$C$12,0)),"-")</f>
        <v>-</v>
      </c>
      <c r="AB98" s="36">
        <f>IFERROR(INDEX(Katalog!$D$3:$D$12,MATCH(cadangan3[[#This Row],[ItemID C]],Katalog!$C$3:$C$12,0))*cadangan3[[#This Row],[Qty C]],0)</f>
        <v>0</v>
      </c>
      <c r="AC98" s="36">
        <f>IFERROR(INDEX(Katalog!$D$3:$D$12,MATCH(cadangan3[[#This Row],[Item C]],Katalog!$B$3:$B$12,0))*cadangan3[[#This Row],[Qty C]],0)</f>
        <v>0</v>
      </c>
      <c r="AD98" s="36">
        <f>IFERROR(cadangan3[[#This Row],[Harga Asli C]]-(cadangan3[[#This Row],[Harga Asli C]]*cadangan3[[#This Row],[Diskon]]),cadangan3[[#This Row],[Harga Asli C]])</f>
        <v>0</v>
      </c>
      <c r="AE98" s="36">
        <f>IFERROR(INDEX(Katalog!$F$3:$F$12,MATCH(cadangan3[[#This Row],[ItemID C]],Katalog!$C$3:$C$12,0))*cadangan3[[#This Row],[Qty C]],0)</f>
        <v>0</v>
      </c>
      <c r="AF98" s="36">
        <f>IFERROR(cadangan3[[#This Row],[Profit C]]-(cadangan3[[#This Row],[Profit C]]*cadangan3[[#This Row],[Diskon]]),cadangan3[[#This Row],[Profit C]])</f>
        <v>0</v>
      </c>
      <c r="AG98" s="21">
        <f>cadangan3[[#This Row],[Qty A]]+cadangan3[[#This Row],[Qty B]]+cadangan3[[#This Row],[Qty C]]</f>
        <v>2</v>
      </c>
      <c r="AH98" s="35">
        <f>cadangan3[[#This Row],[Harga A + Diskon]]+cadangan3[[#This Row],[Harga + Diskon B]]+cadangan3[[#This Row],[Harga + Diskon C]]</f>
        <v>585000</v>
      </c>
      <c r="AI98" s="35">
        <f>(cadangan3[[#This Row],[Profit A]]+cadangan3[[#This Row],[Profit B]]+cadangan3[[#This Row],[Profit C]])</f>
        <v>230000</v>
      </c>
      <c r="AJ98" s="35">
        <f>cadangan3[[#This Row],[Provit A + Diskon]]+cadangan3[[#This Row],[Provit B + Diskon]]+cadangan3[[#This Row],[Provit C + Diskon]]</f>
        <v>207000</v>
      </c>
      <c r="AK98" s="23" t="s">
        <v>6</v>
      </c>
      <c r="AL98" s="37">
        <f>IFERROR(INDEX('Kode Diskon'!$D$3:$D$9,MATCH(cadangan3[[#This Row],[Kode diskon]],'Kode Diskon'!$C$3:$C$9,0)),"-")</f>
        <v>0.1</v>
      </c>
      <c r="AM98" s="23" t="s">
        <v>29</v>
      </c>
      <c r="AN98" s="23" t="s">
        <v>7</v>
      </c>
      <c r="AO98" s="23" t="s">
        <v>80</v>
      </c>
      <c r="AP98" s="24">
        <v>45022</v>
      </c>
      <c r="AQ98" s="23" t="str">
        <f>TEXT(cadangan3[[#This Row],[Tanggal terjual]],"dddd")</f>
        <v>Thursday</v>
      </c>
    </row>
    <row r="99" spans="1:43" x14ac:dyDescent="0.2">
      <c r="A99" s="20">
        <v>98</v>
      </c>
      <c r="B99" s="21" t="str">
        <f>_xlfn.CONCAT("ORD-",INDEX(Helper!$B$2:$B$5,MATCH(cadangan3[[#This Row],[Marketplace]],Helper!$A$2:$A$5,0)),TEXT(cadangan3[[#This Row],[No]],"0000"),"-",TEXT(cadangan3[[#This Row],[Tanggal terjual]],"dd/mm/yy"))</f>
        <v>ORD-SP0098-20/04/23</v>
      </c>
      <c r="C99" t="s">
        <v>64</v>
      </c>
      <c r="D99" t="str">
        <f>IFERROR(INDEX(Katalog!$A$3:$A$12,MATCH(cadangan3[[#This Row],[ItemID A]],Katalog!$C$3:$C$12,0)),"-")</f>
        <v>Pakaian Unisex</v>
      </c>
      <c r="E99" t="str">
        <f>IFERROR(INDEX(Katalog!$B$3:$B$12,MATCH(cadangan3[[#This Row],[ItemID A]],Katalog!$C$3:$C$12,0)),"-")</f>
        <v>Jaket Hoodie</v>
      </c>
      <c r="F99">
        <v>1</v>
      </c>
      <c r="G99">
        <v>3</v>
      </c>
      <c r="H99" s="36">
        <f>IFERROR(INDEX(Katalog!$D$3:$D$12,MATCH(cadangan3[[#This Row],[ItemID A]],Katalog!$C$3:$C$12,0))*cadangan3[[#This Row],[Qty A]],0)</f>
        <v>350000</v>
      </c>
      <c r="I99" s="36">
        <f>IFERROR(INDEX(Katalog!$D$3:$D$12,MATCH(cadangan3[[#This Row],[Item A]],Katalog!$B$3:$B$12,0))*cadangan3[[#This Row],[Qty A]],0)</f>
        <v>350000</v>
      </c>
      <c r="J99" s="36">
        <f>IFERROR(cadangan3[[#This Row],[Harga Asli A]]-(cadangan3[[#This Row],[Harga Asli A]]*cadangan3[[#This Row],[Diskon]]),cadangan3[[#This Row],[Harga Asli A]])</f>
        <v>280000</v>
      </c>
      <c r="K99" s="36">
        <f>INDEX(Katalog!$F$3:$F$12,MATCH(cadangan3[[#This Row],[ItemID A]],Katalog!$C$3:$C$12,0))*cadangan3[[#This Row],[Qty A]]</f>
        <v>130000</v>
      </c>
      <c r="L99" s="36">
        <f>IFERROR(cadangan3[[#This Row],[Profit A]]-(cadangan3[[#This Row],[Profit A]]*cadangan3[[#This Row],[Diskon]]),K99)</f>
        <v>104000</v>
      </c>
      <c r="M99" t="s">
        <v>66</v>
      </c>
      <c r="N99" t="str">
        <f>IFERROR(INDEX(Katalog!$A$3:$A$12,MATCH(cadangan3[[#This Row],[ItemID B]],Katalog!$C$3:$C$12,0)),"-")</f>
        <v>Sepatu Pria</v>
      </c>
      <c r="O99" t="str">
        <f>IFERROR(INDEX(Katalog!$B$3:$B$12,MATCH(cadangan3[[#This Row],[ItemID B]],Katalog!$C$3:$C$12,0)),"-")</f>
        <v>Sandal Slip On</v>
      </c>
      <c r="P99">
        <v>2</v>
      </c>
      <c r="Q99">
        <v>4</v>
      </c>
      <c r="R99" s="36">
        <f>IFERROR(INDEX(Katalog!$D$3:$D$12,MATCH(cadangan3[[#This Row],[ItemID B]],Katalog!$C$3:$C$12,0))*cadangan3[[#This Row],[Qty B]],0)</f>
        <v>300000</v>
      </c>
      <c r="S99" s="36">
        <f>IFERROR(INDEX(Katalog!$D$3:$D$12,MATCH(cadangan3[[#This Row],[Item B]],Katalog!$B$3:$B$12,0))*cadangan3[[#This Row],[Qty B]],0)</f>
        <v>300000</v>
      </c>
      <c r="T99" s="36">
        <f>IFERROR(cadangan3[[#This Row],[Harga Asli B]]-(cadangan3[[#This Row],[Harga Asli B]]*cadangan3[[#This Row],[Diskon]]),cadangan3[[#This Row],[Harga Asli B]])</f>
        <v>240000</v>
      </c>
      <c r="U99" s="36">
        <f>IFERROR(INDEX(Katalog!$F$3:$F$12,MATCH(cadangan3[[#This Row],[ItemID B]],Katalog!$C$3:$C$12,0))*cadangan3[[#This Row],[Qty B]],0)</f>
        <v>120000</v>
      </c>
      <c r="V99" s="36">
        <f>IFERROR(cadangan3[[#This Row],[Profit B]]-(cadangan3[[#This Row],[Profit B]]*cadangan3[[#This Row],[Diskon]]),U99)</f>
        <v>96000</v>
      </c>
      <c r="W99" t="s">
        <v>58</v>
      </c>
      <c r="X99" t="str">
        <f>IFERROR(INDEX(Katalog!$A$3:$A$12,MATCH(cadangan3[[#This Row],[ItemID C]],Katalog!$C$3:$C$12,0)),"-")</f>
        <v>Pakaian Wanita</v>
      </c>
      <c r="Y99" t="str">
        <f>IFERROR(INDEX(Katalog!$B$3:$B$12,MATCH(cadangan3[[#This Row],[ItemID C]],Katalog!$C$3:$C$12,0)),"-")</f>
        <v>Dress</v>
      </c>
      <c r="Z99">
        <v>1</v>
      </c>
      <c r="AA99">
        <v>5</v>
      </c>
      <c r="AB99" s="36">
        <f>IFERROR(INDEX(Katalog!$D$3:$D$12,MATCH(cadangan3[[#This Row],[ItemID C]],Katalog!$C$3:$C$12,0))*cadangan3[[#This Row],[Qty C]],0)</f>
        <v>300000</v>
      </c>
      <c r="AC99" s="36">
        <f>IFERROR(INDEX(Katalog!$D$3:$D$12,MATCH(cadangan3[[#This Row],[Item C]],Katalog!$B$3:$B$12,0))*cadangan3[[#This Row],[Qty C]],0)</f>
        <v>300000</v>
      </c>
      <c r="AD99" s="36">
        <f>IFERROR(cadangan3[[#This Row],[Harga Asli C]]-(cadangan3[[#This Row],[Harga Asli C]]*cadangan3[[#This Row],[Diskon]]),cadangan3[[#This Row],[Harga Asli C]])</f>
        <v>240000</v>
      </c>
      <c r="AE99" s="36">
        <f>IFERROR(INDEX(Katalog!$F$3:$F$12,MATCH(cadangan3[[#This Row],[ItemID C]],Katalog!$C$3:$C$12,0))*cadangan3[[#This Row],[Qty C]],0)</f>
        <v>100000</v>
      </c>
      <c r="AF99" s="36">
        <f>IFERROR(cadangan3[[#This Row],[Profit C]]-(cadangan3[[#This Row],[Profit C]]*cadangan3[[#This Row],[Diskon]]),cadangan3[[#This Row],[Profit C]])</f>
        <v>80000</v>
      </c>
      <c r="AG99" s="21">
        <f>cadangan3[[#This Row],[Qty A]]+cadangan3[[#This Row],[Qty B]]+cadangan3[[#This Row],[Qty C]]</f>
        <v>4</v>
      </c>
      <c r="AH99" s="35">
        <f>cadangan3[[#This Row],[Harga A + Diskon]]+cadangan3[[#This Row],[Harga + Diskon B]]+cadangan3[[#This Row],[Harga + Diskon C]]</f>
        <v>760000</v>
      </c>
      <c r="AI99" s="35">
        <f>(cadangan3[[#This Row],[Profit A]]+cadangan3[[#This Row],[Profit B]]+cadangan3[[#This Row],[Profit C]])</f>
        <v>350000</v>
      </c>
      <c r="AJ99" s="35">
        <f>cadangan3[[#This Row],[Provit A + Diskon]]+cadangan3[[#This Row],[Provit B + Diskon]]+cadangan3[[#This Row],[Provit C + Diskon]]</f>
        <v>280000</v>
      </c>
      <c r="AK99" s="23" t="s">
        <v>8</v>
      </c>
      <c r="AL99" s="37">
        <f>IFERROR(INDEX('Kode Diskon'!$D$3:$D$9,MATCH(cadangan3[[#This Row],[Kode diskon]],'Kode Diskon'!$C$3:$C$9,0)),"-")</f>
        <v>0.2</v>
      </c>
      <c r="AM99" s="23" t="s">
        <v>9</v>
      </c>
      <c r="AN99" s="23" t="s">
        <v>7</v>
      </c>
      <c r="AO99" s="23" t="s">
        <v>79</v>
      </c>
      <c r="AP99" s="24">
        <v>45036</v>
      </c>
      <c r="AQ99" s="23" t="str">
        <f>TEXT(cadangan3[[#This Row],[Tanggal terjual]],"dddd")</f>
        <v>Thursday</v>
      </c>
    </row>
    <row r="100" spans="1:43" x14ac:dyDescent="0.2">
      <c r="A100" s="20">
        <v>99</v>
      </c>
      <c r="B100" s="21" t="str">
        <f>_xlfn.CONCAT("ORD-",INDEX(Helper!$B$2:$B$5,MATCH(cadangan3[[#This Row],[Marketplace]],Helper!$A$2:$A$5,0)),TEXT(cadangan3[[#This Row],[No]],"0000"),"-",TEXT(cadangan3[[#This Row],[Tanggal terjual]],"dd/mm/yy"))</f>
        <v>ORD-TK0099-06/04/23</v>
      </c>
      <c r="C100" t="s">
        <v>62</v>
      </c>
      <c r="D100" t="str">
        <f>IFERROR(INDEX(Katalog!$A$3:$A$12,MATCH(cadangan3[[#This Row],[ItemID A]],Katalog!$C$3:$C$12,0)),"-")</f>
        <v>Pakaian Pria</v>
      </c>
      <c r="E100" t="str">
        <f>IFERROR(INDEX(Katalog!$B$3:$B$12,MATCH(cadangan3[[#This Row],[ItemID A]],Katalog!$C$3:$C$12,0)),"-")</f>
        <v>Celana Pendek</v>
      </c>
      <c r="F100">
        <v>3</v>
      </c>
      <c r="G100">
        <v>5</v>
      </c>
      <c r="H100" s="36">
        <f>IFERROR(INDEX(Katalog!$D$3:$D$12,MATCH(cadangan3[[#This Row],[ItemID A]],Katalog!$C$3:$C$12,0))*cadangan3[[#This Row],[Qty A]],0)</f>
        <v>540000</v>
      </c>
      <c r="I100" s="36">
        <f>IFERROR(INDEX(Katalog!$D$3:$D$12,MATCH(cadangan3[[#This Row],[Item A]],Katalog!$B$3:$B$12,0))*cadangan3[[#This Row],[Qty A]],0)</f>
        <v>540000</v>
      </c>
      <c r="J100" s="36">
        <f>IFERROR(cadangan3[[#This Row],[Harga Asli A]]-(cadangan3[[#This Row],[Harga Asli A]]*cadangan3[[#This Row],[Diskon]]),cadangan3[[#This Row],[Harga Asli A]])</f>
        <v>486000</v>
      </c>
      <c r="K100" s="36">
        <f>INDEX(Katalog!$F$3:$F$12,MATCH(cadangan3[[#This Row],[ItemID A]],Katalog!$C$3:$C$12,0))*cadangan3[[#This Row],[Qty A]]</f>
        <v>210000</v>
      </c>
      <c r="L100" s="36">
        <f>IFERROR(cadangan3[[#This Row],[Profit A]]-(cadangan3[[#This Row],[Profit A]]*cadangan3[[#This Row],[Diskon]]),K100)</f>
        <v>189000</v>
      </c>
      <c r="M100" t="s">
        <v>59</v>
      </c>
      <c r="N100" t="str">
        <f>IFERROR(INDEX(Katalog!$A$3:$A$12,MATCH(cadangan3[[#This Row],[ItemID B]],Katalog!$C$3:$C$12,0)),"-")</f>
        <v>Pakaian Wanita</v>
      </c>
      <c r="O100" t="str">
        <f>IFERROR(INDEX(Katalog!$B$3:$B$12,MATCH(cadangan3[[#This Row],[ItemID B]],Katalog!$C$3:$C$12,0)),"-")</f>
        <v>Blouse</v>
      </c>
      <c r="P100">
        <v>1</v>
      </c>
      <c r="Q100">
        <v>5</v>
      </c>
      <c r="R100" s="36">
        <f>IFERROR(INDEX(Katalog!$D$3:$D$12,MATCH(cadangan3[[#This Row],[ItemID B]],Katalog!$C$3:$C$12,0))*cadangan3[[#This Row],[Qty B]],0)</f>
        <v>150000</v>
      </c>
      <c r="S100" s="36">
        <f>IFERROR(INDEX(Katalog!$D$3:$D$12,MATCH(cadangan3[[#This Row],[Item B]],Katalog!$B$3:$B$12,0))*cadangan3[[#This Row],[Qty B]],0)</f>
        <v>150000</v>
      </c>
      <c r="T100" s="36">
        <f>IFERROR(cadangan3[[#This Row],[Harga Asli B]]-(cadangan3[[#This Row],[Harga Asli B]]*cadangan3[[#This Row],[Diskon]]),cadangan3[[#This Row],[Harga Asli B]])</f>
        <v>135000</v>
      </c>
      <c r="U100" s="36">
        <f>IFERROR(INDEX(Katalog!$F$3:$F$12,MATCH(cadangan3[[#This Row],[ItemID B]],Katalog!$C$3:$C$12,0))*cadangan3[[#This Row],[Qty B]],0)</f>
        <v>50000</v>
      </c>
      <c r="V100" s="36">
        <f>IFERROR(cadangan3[[#This Row],[Profit B]]-(cadangan3[[#This Row],[Profit B]]*cadangan3[[#This Row],[Diskon]]),U100)</f>
        <v>45000</v>
      </c>
      <c r="W100" t="s">
        <v>62</v>
      </c>
      <c r="X100" t="str">
        <f>IFERROR(INDEX(Katalog!$A$3:$A$12,MATCH(cadangan3[[#This Row],[ItemID C]],Katalog!$C$3:$C$12,0)),"-")</f>
        <v>Pakaian Pria</v>
      </c>
      <c r="Y100" t="str">
        <f>IFERROR(INDEX(Katalog!$B$3:$B$12,MATCH(cadangan3[[#This Row],[ItemID C]],Katalog!$C$3:$C$12,0)),"-")</f>
        <v>Celana Pendek</v>
      </c>
      <c r="Z100">
        <v>1</v>
      </c>
      <c r="AA100">
        <v>3</v>
      </c>
      <c r="AB100" s="36">
        <f>IFERROR(INDEX(Katalog!$D$3:$D$12,MATCH(cadangan3[[#This Row],[ItemID C]],Katalog!$C$3:$C$12,0))*cadangan3[[#This Row],[Qty C]],0)</f>
        <v>180000</v>
      </c>
      <c r="AC100" s="36">
        <f>IFERROR(INDEX(Katalog!$D$3:$D$12,MATCH(cadangan3[[#This Row],[Item C]],Katalog!$B$3:$B$12,0))*cadangan3[[#This Row],[Qty C]],0)</f>
        <v>180000</v>
      </c>
      <c r="AD100" s="36">
        <f>IFERROR(cadangan3[[#This Row],[Harga Asli C]]-(cadangan3[[#This Row],[Harga Asli C]]*cadangan3[[#This Row],[Diskon]]),cadangan3[[#This Row],[Harga Asli C]])</f>
        <v>162000</v>
      </c>
      <c r="AE100" s="36">
        <f>IFERROR(INDEX(Katalog!$F$3:$F$12,MATCH(cadangan3[[#This Row],[ItemID C]],Katalog!$C$3:$C$12,0))*cadangan3[[#This Row],[Qty C]],0)</f>
        <v>70000</v>
      </c>
      <c r="AF100" s="36">
        <f>IFERROR(cadangan3[[#This Row],[Profit C]]-(cadangan3[[#This Row],[Profit C]]*cadangan3[[#This Row],[Diskon]]),cadangan3[[#This Row],[Profit C]])</f>
        <v>63000</v>
      </c>
      <c r="AG100" s="21">
        <f>cadangan3[[#This Row],[Qty A]]+cadangan3[[#This Row],[Qty B]]+cadangan3[[#This Row],[Qty C]]</f>
        <v>5</v>
      </c>
      <c r="AH100" s="35">
        <f>cadangan3[[#This Row],[Harga A + Diskon]]+cadangan3[[#This Row],[Harga + Diskon B]]+cadangan3[[#This Row],[Harga + Diskon C]]</f>
        <v>783000</v>
      </c>
      <c r="AI100" s="35">
        <f>(cadangan3[[#This Row],[Profit A]]+cadangan3[[#This Row],[Profit B]]+cadangan3[[#This Row],[Profit C]])</f>
        <v>330000</v>
      </c>
      <c r="AJ100" s="35">
        <f>cadangan3[[#This Row],[Provit A + Diskon]]+cadangan3[[#This Row],[Provit B + Diskon]]+cadangan3[[#This Row],[Provit C + Diskon]]</f>
        <v>297000</v>
      </c>
      <c r="AK100" s="23" t="s">
        <v>30</v>
      </c>
      <c r="AL100" s="37">
        <f>IFERROR(INDEX('Kode Diskon'!$D$3:$D$9,MATCH(cadangan3[[#This Row],[Kode diskon]],'Kode Diskon'!$C$3:$C$9,0)),"-")</f>
        <v>0.1</v>
      </c>
      <c r="AM100" s="23" t="s">
        <v>29</v>
      </c>
      <c r="AN100" s="23" t="s">
        <v>10</v>
      </c>
      <c r="AO100" s="23" t="s">
        <v>79</v>
      </c>
      <c r="AP100" s="24">
        <v>45022</v>
      </c>
      <c r="AQ100" s="23" t="str">
        <f>TEXT(cadangan3[[#This Row],[Tanggal terjual]],"dddd")</f>
        <v>Thursday</v>
      </c>
    </row>
    <row r="101" spans="1:43" x14ac:dyDescent="0.2">
      <c r="A101" s="20">
        <v>100</v>
      </c>
      <c r="B101" s="21" t="str">
        <f>_xlfn.CONCAT("ORD-",INDEX(Helper!$B$2:$B$5,MATCH(cadangan3[[#This Row],[Marketplace]],Helper!$A$2:$A$5,0)),TEXT(cadangan3[[#This Row],[No]],"0000"),"-",TEXT(cadangan3[[#This Row],[Tanggal terjual]],"dd/mm/yy"))</f>
        <v>ORD-TK0100-04/04/23</v>
      </c>
      <c r="C101" t="s">
        <v>67</v>
      </c>
      <c r="D101" t="str">
        <f>IFERROR(INDEX(Katalog!$A$3:$A$12,MATCH(cadangan3[[#This Row],[ItemID A]],Katalog!$C$3:$C$12,0)),"-")</f>
        <v>Sepatu Wanita</v>
      </c>
      <c r="E101" t="str">
        <f>IFERROR(INDEX(Katalog!$B$3:$B$12,MATCH(cadangan3[[#This Row],[ItemID A]],Katalog!$C$3:$C$12,0)),"-")</f>
        <v>Flat Shoes</v>
      </c>
      <c r="F101">
        <v>1</v>
      </c>
      <c r="G101">
        <v>1</v>
      </c>
      <c r="H101" s="36">
        <f>IFERROR(INDEX(Katalog!$D$3:$D$12,MATCH(cadangan3[[#This Row],[ItemID A]],Katalog!$C$3:$C$12,0))*cadangan3[[#This Row],[Qty A]],0)</f>
        <v>250000</v>
      </c>
      <c r="I101" s="36">
        <f>IFERROR(INDEX(Katalog!$D$3:$D$12,MATCH(cadangan3[[#This Row],[Item A]],Katalog!$B$3:$B$12,0))*cadangan3[[#This Row],[Qty A]],0)</f>
        <v>250000</v>
      </c>
      <c r="J101" s="36">
        <f>IFERROR(cadangan3[[#This Row],[Harga Asli A]]-(cadangan3[[#This Row],[Harga Asli A]]*cadangan3[[#This Row],[Diskon]]),cadangan3[[#This Row],[Harga Asli A]])</f>
        <v>225000</v>
      </c>
      <c r="K101" s="36">
        <f>INDEX(Katalog!$F$3:$F$12,MATCH(cadangan3[[#This Row],[ItemID A]],Katalog!$C$3:$C$12,0))*cadangan3[[#This Row],[Qty A]]</f>
        <v>100000</v>
      </c>
      <c r="L101" s="36">
        <f>IFERROR(cadangan3[[#This Row],[Profit A]]-(cadangan3[[#This Row],[Profit A]]*cadangan3[[#This Row],[Diskon]]),K101)</f>
        <v>90000</v>
      </c>
      <c r="M101" t="s">
        <v>65</v>
      </c>
      <c r="N101" t="str">
        <f>IFERROR(INDEX(Katalog!$A$3:$A$12,MATCH(cadangan3[[#This Row],[ItemID B]],Katalog!$C$3:$C$12,0)),"-")</f>
        <v>Sepatu Pria</v>
      </c>
      <c r="O101" t="str">
        <f>IFERROR(INDEX(Katalog!$B$3:$B$12,MATCH(cadangan3[[#This Row],[ItemID B]],Katalog!$C$3:$C$12,0)),"-")</f>
        <v>Sneakers</v>
      </c>
      <c r="P101">
        <v>1</v>
      </c>
      <c r="Q101">
        <v>2</v>
      </c>
      <c r="R101" s="36">
        <f>IFERROR(INDEX(Katalog!$D$3:$D$12,MATCH(cadangan3[[#This Row],[ItemID B]],Katalog!$C$3:$C$12,0))*cadangan3[[#This Row],[Qty B]],0)</f>
        <v>500000</v>
      </c>
      <c r="S101" s="36">
        <f>IFERROR(INDEX(Katalog!$D$3:$D$12,MATCH(cadangan3[[#This Row],[Item B]],Katalog!$B$3:$B$12,0))*cadangan3[[#This Row],[Qty B]],0)</f>
        <v>500000</v>
      </c>
      <c r="T101" s="36">
        <f>IFERROR(cadangan3[[#This Row],[Harga Asli B]]-(cadangan3[[#This Row],[Harga Asli B]]*cadangan3[[#This Row],[Diskon]]),cadangan3[[#This Row],[Harga Asli B]])</f>
        <v>450000</v>
      </c>
      <c r="U101" s="36">
        <f>IFERROR(INDEX(Katalog!$F$3:$F$12,MATCH(cadangan3[[#This Row],[ItemID B]],Katalog!$C$3:$C$12,0))*cadangan3[[#This Row],[Qty B]],0)</f>
        <v>200000</v>
      </c>
      <c r="V101" s="36">
        <f>IFERROR(cadangan3[[#This Row],[Profit B]]-(cadangan3[[#This Row],[Profit B]]*cadangan3[[#This Row],[Diskon]]),U101)</f>
        <v>180000</v>
      </c>
      <c r="W101" t="s">
        <v>67</v>
      </c>
      <c r="X101" t="str">
        <f>IFERROR(INDEX(Katalog!$A$3:$A$12,MATCH(cadangan3[[#This Row],[ItemID C]],Katalog!$C$3:$C$12,0)),"-")</f>
        <v>Sepatu Wanita</v>
      </c>
      <c r="Y101" t="str">
        <f>IFERROR(INDEX(Katalog!$B$3:$B$12,MATCH(cadangan3[[#This Row],[ItemID C]],Katalog!$C$3:$C$12,0)),"-")</f>
        <v>Flat Shoes</v>
      </c>
      <c r="Z101">
        <v>1</v>
      </c>
      <c r="AA101">
        <v>1</v>
      </c>
      <c r="AB101" s="36">
        <f>IFERROR(INDEX(Katalog!$D$3:$D$12,MATCH(cadangan3[[#This Row],[ItemID C]],Katalog!$C$3:$C$12,0))*cadangan3[[#This Row],[Qty C]],0)</f>
        <v>250000</v>
      </c>
      <c r="AC101" s="36">
        <f>IFERROR(INDEX(Katalog!$D$3:$D$12,MATCH(cadangan3[[#This Row],[Item C]],Katalog!$B$3:$B$12,0))*cadangan3[[#This Row],[Qty C]],0)</f>
        <v>250000</v>
      </c>
      <c r="AD101" s="36">
        <f>IFERROR(cadangan3[[#This Row],[Harga Asli C]]-(cadangan3[[#This Row],[Harga Asli C]]*cadangan3[[#This Row],[Diskon]]),cadangan3[[#This Row],[Harga Asli C]])</f>
        <v>225000</v>
      </c>
      <c r="AE101" s="36">
        <f>IFERROR(INDEX(Katalog!$F$3:$F$12,MATCH(cadangan3[[#This Row],[ItemID C]],Katalog!$C$3:$C$12,0))*cadangan3[[#This Row],[Qty C]],0)</f>
        <v>100000</v>
      </c>
      <c r="AF101" s="36">
        <f>IFERROR(cadangan3[[#This Row],[Profit C]]-(cadangan3[[#This Row],[Profit C]]*cadangan3[[#This Row],[Diskon]]),cadangan3[[#This Row],[Profit C]])</f>
        <v>90000</v>
      </c>
      <c r="AG101" s="21">
        <f>cadangan3[[#This Row],[Qty A]]+cadangan3[[#This Row],[Qty B]]+cadangan3[[#This Row],[Qty C]]</f>
        <v>3</v>
      </c>
      <c r="AH101" s="35">
        <f>cadangan3[[#This Row],[Harga A + Diskon]]+cadangan3[[#This Row],[Harga + Diskon B]]+cadangan3[[#This Row],[Harga + Diskon C]]</f>
        <v>900000</v>
      </c>
      <c r="AI101" s="35">
        <f>(cadangan3[[#This Row],[Profit A]]+cadangan3[[#This Row],[Profit B]]+cadangan3[[#This Row],[Profit C]])</f>
        <v>400000</v>
      </c>
      <c r="AJ101" s="35">
        <f>cadangan3[[#This Row],[Provit A + Diskon]]+cadangan3[[#This Row],[Provit B + Diskon]]+cadangan3[[#This Row],[Provit C + Diskon]]</f>
        <v>360000</v>
      </c>
      <c r="AK101" s="23" t="s">
        <v>30</v>
      </c>
      <c r="AL101" s="37">
        <f>IFERROR(INDEX('Kode Diskon'!$D$3:$D$9,MATCH(cadangan3[[#This Row],[Kode diskon]],'Kode Diskon'!$C$3:$C$9,0)),"-")</f>
        <v>0.1</v>
      </c>
      <c r="AM101" s="23" t="s">
        <v>29</v>
      </c>
      <c r="AN101" s="23" t="s">
        <v>10</v>
      </c>
      <c r="AO101" s="23" t="s">
        <v>76</v>
      </c>
      <c r="AP101" s="24">
        <v>45020</v>
      </c>
      <c r="AQ101" s="23" t="str">
        <f>TEXT(cadangan3[[#This Row],[Tanggal terjual]],"dddd")</f>
        <v>Tuesday</v>
      </c>
    </row>
    <row r="102" spans="1:43" x14ac:dyDescent="0.2">
      <c r="A102" s="20">
        <v>101</v>
      </c>
      <c r="B102" s="21" t="str">
        <f>_xlfn.CONCAT("ORD-",INDEX(Helper!$B$2:$B$5,MATCH(cadangan3[[#This Row],[Marketplace]],Helper!$A$2:$A$5,0)),TEXT(cadangan3[[#This Row],[No]],"0000"),"-",TEXT(cadangan3[[#This Row],[Tanggal terjual]],"dd/mm/yy"))</f>
        <v>ORD-SP0101-09/04/23</v>
      </c>
      <c r="C102" t="s">
        <v>65</v>
      </c>
      <c r="D102" t="str">
        <f>IFERROR(INDEX(Katalog!$A$3:$A$12,MATCH(cadangan3[[#This Row],[ItemID A]],Katalog!$C$3:$C$12,0)),"-")</f>
        <v>Sepatu Pria</v>
      </c>
      <c r="E102" t="str">
        <f>IFERROR(INDEX(Katalog!$B$3:$B$12,MATCH(cadangan3[[#This Row],[ItemID A]],Katalog!$C$3:$C$12,0)),"-")</f>
        <v>Sneakers</v>
      </c>
      <c r="F102">
        <v>4</v>
      </c>
      <c r="G102">
        <v>5</v>
      </c>
      <c r="H102" s="36">
        <f>IFERROR(INDEX(Katalog!$D$3:$D$12,MATCH(cadangan3[[#This Row],[ItemID A]],Katalog!$C$3:$C$12,0))*cadangan3[[#This Row],[Qty A]],0)</f>
        <v>2000000</v>
      </c>
      <c r="I102" s="36">
        <f>IFERROR(INDEX(Katalog!$D$3:$D$12,MATCH(cadangan3[[#This Row],[Item A]],Katalog!$B$3:$B$12,0))*cadangan3[[#This Row],[Qty A]],0)</f>
        <v>2000000</v>
      </c>
      <c r="J102" s="36">
        <f>IFERROR(cadangan3[[#This Row],[Harga Asli A]]-(cadangan3[[#This Row],[Harga Asli A]]*cadangan3[[#This Row],[Diskon]]),cadangan3[[#This Row],[Harga Asli A]])</f>
        <v>2000000</v>
      </c>
      <c r="K102" s="36">
        <f>INDEX(Katalog!$F$3:$F$12,MATCH(cadangan3[[#This Row],[ItemID A]],Katalog!$C$3:$C$12,0))*cadangan3[[#This Row],[Qty A]]</f>
        <v>800000</v>
      </c>
      <c r="L102" s="36">
        <f>IFERROR(cadangan3[[#This Row],[Profit A]]-(cadangan3[[#This Row],[Profit A]]*cadangan3[[#This Row],[Diskon]]),K102)</f>
        <v>800000</v>
      </c>
      <c r="M102" t="s">
        <v>63</v>
      </c>
      <c r="N102" t="str">
        <f>IFERROR(INDEX(Katalog!$A$3:$A$12,MATCH(cadangan3[[#This Row],[ItemID B]],Katalog!$C$3:$C$12,0)),"-")</f>
        <v>Pakaian Pria</v>
      </c>
      <c r="O102" t="str">
        <f>IFERROR(INDEX(Katalog!$B$3:$B$12,MATCH(cadangan3[[#This Row],[ItemID B]],Katalog!$C$3:$C$12,0)),"-")</f>
        <v>Jaket Jeans</v>
      </c>
      <c r="P102">
        <v>1</v>
      </c>
      <c r="Q102">
        <v>1</v>
      </c>
      <c r="R102" s="36">
        <f>IFERROR(INDEX(Katalog!$D$3:$D$12,MATCH(cadangan3[[#This Row],[ItemID B]],Katalog!$C$3:$C$12,0))*cadangan3[[#This Row],[Qty B]],0)</f>
        <v>400000</v>
      </c>
      <c r="S102" s="36">
        <f>IFERROR(INDEX(Katalog!$D$3:$D$12,MATCH(cadangan3[[#This Row],[Item B]],Katalog!$B$3:$B$12,0))*cadangan3[[#This Row],[Qty B]],0)</f>
        <v>400000</v>
      </c>
      <c r="T102" s="36">
        <f>IFERROR(cadangan3[[#This Row],[Harga Asli B]]-(cadangan3[[#This Row],[Harga Asli B]]*cadangan3[[#This Row],[Diskon]]),cadangan3[[#This Row],[Harga Asli B]])</f>
        <v>400000</v>
      </c>
      <c r="U102" s="36">
        <f>IFERROR(INDEX(Katalog!$F$3:$F$12,MATCH(cadangan3[[#This Row],[ItemID B]],Katalog!$C$3:$C$12,0))*cadangan3[[#This Row],[Qty B]],0)</f>
        <v>150000</v>
      </c>
      <c r="V102" s="36">
        <f>IFERROR(cadangan3[[#This Row],[Profit B]]-(cadangan3[[#This Row],[Profit B]]*cadangan3[[#This Row],[Diskon]]),U102)</f>
        <v>150000</v>
      </c>
      <c r="X102" t="str">
        <f>IFERROR(INDEX(Katalog!$A$3:$A$12,MATCH(cadangan3[[#This Row],[ItemID C]],Katalog!$C$3:$C$12,0)),"-")</f>
        <v>-</v>
      </c>
      <c r="Y102" t="str">
        <f>IFERROR(INDEX(Katalog!$B$3:$B$12,MATCH(cadangan3[[#This Row],[ItemID C]],Katalog!$C$3:$C$12,0)),"-")</f>
        <v>-</v>
      </c>
      <c r="AB102" s="36">
        <f>IFERROR(INDEX(Katalog!$D$3:$D$12,MATCH(cadangan3[[#This Row],[ItemID C]],Katalog!$C$3:$C$12,0))*cadangan3[[#This Row],[Qty C]],0)</f>
        <v>0</v>
      </c>
      <c r="AC102" s="36">
        <f>IFERROR(INDEX(Katalog!$D$3:$D$12,MATCH(cadangan3[[#This Row],[Item C]],Katalog!$B$3:$B$12,0))*cadangan3[[#This Row],[Qty C]],0)</f>
        <v>0</v>
      </c>
      <c r="AD102" s="36">
        <f>IFERROR(cadangan3[[#This Row],[Harga Asli C]]-(cadangan3[[#This Row],[Harga Asli C]]*cadangan3[[#This Row],[Diskon]]),cadangan3[[#This Row],[Harga Asli C]])</f>
        <v>0</v>
      </c>
      <c r="AE102" s="36">
        <f>IFERROR(INDEX(Katalog!$F$3:$F$12,MATCH(cadangan3[[#This Row],[ItemID C]],Katalog!$C$3:$C$12,0))*cadangan3[[#This Row],[Qty C]],0)</f>
        <v>0</v>
      </c>
      <c r="AF102" s="36">
        <f>IFERROR(cadangan3[[#This Row],[Profit C]]-(cadangan3[[#This Row],[Profit C]]*cadangan3[[#This Row],[Diskon]]),cadangan3[[#This Row],[Profit C]])</f>
        <v>0</v>
      </c>
      <c r="AG102" s="21">
        <f>cadangan3[[#This Row],[Qty A]]+cadangan3[[#This Row],[Qty B]]+cadangan3[[#This Row],[Qty C]]</f>
        <v>5</v>
      </c>
      <c r="AH102" s="35">
        <f>cadangan3[[#This Row],[Harga A + Diskon]]+cadangan3[[#This Row],[Harga + Diskon B]]+cadangan3[[#This Row],[Harga + Diskon C]]</f>
        <v>2400000</v>
      </c>
      <c r="AI102" s="35">
        <f>(cadangan3[[#This Row],[Profit A]]+cadangan3[[#This Row],[Profit B]]+cadangan3[[#This Row],[Profit C]])</f>
        <v>950000</v>
      </c>
      <c r="AJ102" s="35">
        <f>cadangan3[[#This Row],[Provit A + Diskon]]+cadangan3[[#This Row],[Provit B + Diskon]]+cadangan3[[#This Row],[Provit C + Diskon]]</f>
        <v>950000</v>
      </c>
      <c r="AK102" s="23" t="s">
        <v>11</v>
      </c>
      <c r="AL102" s="37" t="str">
        <f>IFERROR(INDEX('Kode Diskon'!$D$3:$D$9,MATCH(cadangan3[[#This Row],[Kode diskon]],'Kode Diskon'!$C$3:$C$9,0)),"-")</f>
        <v>-</v>
      </c>
      <c r="AM102" s="23" t="s">
        <v>11</v>
      </c>
      <c r="AN102" s="23" t="s">
        <v>7</v>
      </c>
      <c r="AO102" s="23" t="s">
        <v>80</v>
      </c>
      <c r="AP102" s="24">
        <v>45025</v>
      </c>
      <c r="AQ102" s="23" t="str">
        <f>TEXT(cadangan3[[#This Row],[Tanggal terjual]],"dddd")</f>
        <v>Sunday</v>
      </c>
    </row>
    <row r="103" spans="1:43" x14ac:dyDescent="0.2">
      <c r="A103" s="20">
        <v>102</v>
      </c>
      <c r="B103" s="21" t="str">
        <f>_xlfn.CONCAT("ORD-",INDEX(Helper!$B$2:$B$5,MATCH(cadangan3[[#This Row],[Marketplace]],Helper!$A$2:$A$5,0)),TEXT(cadangan3[[#This Row],[No]],"0000"),"-",TEXT(cadangan3[[#This Row],[Tanggal terjual]],"dd/mm/yy"))</f>
        <v>ORD-TK0102-04/04/23</v>
      </c>
      <c r="C103" t="s">
        <v>63</v>
      </c>
      <c r="D103" t="str">
        <f>IFERROR(INDEX(Katalog!$A$3:$A$12,MATCH(cadangan3[[#This Row],[ItemID A]],Katalog!$C$3:$C$12,0)),"-")</f>
        <v>Pakaian Pria</v>
      </c>
      <c r="E103" t="str">
        <f>IFERROR(INDEX(Katalog!$B$3:$B$12,MATCH(cadangan3[[#This Row],[ItemID A]],Katalog!$C$3:$C$12,0)),"-")</f>
        <v>Jaket Jeans</v>
      </c>
      <c r="F103">
        <v>3</v>
      </c>
      <c r="G103">
        <v>4</v>
      </c>
      <c r="H103" s="36">
        <f>IFERROR(INDEX(Katalog!$D$3:$D$12,MATCH(cadangan3[[#This Row],[ItemID A]],Katalog!$C$3:$C$12,0))*cadangan3[[#This Row],[Qty A]],0)</f>
        <v>1200000</v>
      </c>
      <c r="I103" s="36">
        <f>IFERROR(INDEX(Katalog!$D$3:$D$12,MATCH(cadangan3[[#This Row],[Item A]],Katalog!$B$3:$B$12,0))*cadangan3[[#This Row],[Qty A]],0)</f>
        <v>1200000</v>
      </c>
      <c r="J103" s="36">
        <f>IFERROR(cadangan3[[#This Row],[Harga Asli A]]-(cadangan3[[#This Row],[Harga Asli A]]*cadangan3[[#This Row],[Diskon]]),cadangan3[[#This Row],[Harga Asli A]])</f>
        <v>1080000</v>
      </c>
      <c r="K103" s="36">
        <f>INDEX(Katalog!$F$3:$F$12,MATCH(cadangan3[[#This Row],[ItemID A]],Katalog!$C$3:$C$12,0))*cadangan3[[#This Row],[Qty A]]</f>
        <v>450000</v>
      </c>
      <c r="L103" s="36">
        <f>IFERROR(cadangan3[[#This Row],[Profit A]]-(cadangan3[[#This Row],[Profit A]]*cadangan3[[#This Row],[Diskon]]),K103)</f>
        <v>405000</v>
      </c>
      <c r="M103" t="s">
        <v>67</v>
      </c>
      <c r="N103" t="str">
        <f>IFERROR(INDEX(Katalog!$A$3:$A$12,MATCH(cadangan3[[#This Row],[ItemID B]],Katalog!$C$3:$C$12,0)),"-")</f>
        <v>Sepatu Wanita</v>
      </c>
      <c r="O103" t="str">
        <f>IFERROR(INDEX(Katalog!$B$3:$B$12,MATCH(cadangan3[[#This Row],[ItemID B]],Katalog!$C$3:$C$12,0)),"-")</f>
        <v>Flat Shoes</v>
      </c>
      <c r="P103">
        <v>1</v>
      </c>
      <c r="Q103">
        <v>1</v>
      </c>
      <c r="R103" s="36">
        <f>IFERROR(INDEX(Katalog!$D$3:$D$12,MATCH(cadangan3[[#This Row],[ItemID B]],Katalog!$C$3:$C$12,0))*cadangan3[[#This Row],[Qty B]],0)</f>
        <v>250000</v>
      </c>
      <c r="S103" s="36">
        <f>IFERROR(INDEX(Katalog!$D$3:$D$12,MATCH(cadangan3[[#This Row],[Item B]],Katalog!$B$3:$B$12,0))*cadangan3[[#This Row],[Qty B]],0)</f>
        <v>250000</v>
      </c>
      <c r="T103" s="36">
        <f>IFERROR(cadangan3[[#This Row],[Harga Asli B]]-(cadangan3[[#This Row],[Harga Asli B]]*cadangan3[[#This Row],[Diskon]]),cadangan3[[#This Row],[Harga Asli B]])</f>
        <v>225000</v>
      </c>
      <c r="U103" s="36">
        <f>IFERROR(INDEX(Katalog!$F$3:$F$12,MATCH(cadangan3[[#This Row],[ItemID B]],Katalog!$C$3:$C$12,0))*cadangan3[[#This Row],[Qty B]],0)</f>
        <v>100000</v>
      </c>
      <c r="V103" s="36">
        <f>IFERROR(cadangan3[[#This Row],[Profit B]]-(cadangan3[[#This Row],[Profit B]]*cadangan3[[#This Row],[Diskon]]),U103)</f>
        <v>90000</v>
      </c>
      <c r="W103" t="s">
        <v>65</v>
      </c>
      <c r="X103" t="str">
        <f>IFERROR(INDEX(Katalog!$A$3:$A$12,MATCH(cadangan3[[#This Row],[ItemID C]],Katalog!$C$3:$C$12,0)),"-")</f>
        <v>Sepatu Pria</v>
      </c>
      <c r="Y103" t="str">
        <f>IFERROR(INDEX(Katalog!$B$3:$B$12,MATCH(cadangan3[[#This Row],[ItemID C]],Katalog!$C$3:$C$12,0)),"-")</f>
        <v>Sneakers</v>
      </c>
      <c r="Z103">
        <v>1</v>
      </c>
      <c r="AA103">
        <v>5</v>
      </c>
      <c r="AB103" s="36">
        <f>IFERROR(INDEX(Katalog!$D$3:$D$12,MATCH(cadangan3[[#This Row],[ItemID C]],Katalog!$C$3:$C$12,0))*cadangan3[[#This Row],[Qty C]],0)</f>
        <v>500000</v>
      </c>
      <c r="AC103" s="36">
        <f>IFERROR(INDEX(Katalog!$D$3:$D$12,MATCH(cadangan3[[#This Row],[Item C]],Katalog!$B$3:$B$12,0))*cadangan3[[#This Row],[Qty C]],0)</f>
        <v>500000</v>
      </c>
      <c r="AD103" s="36">
        <f>IFERROR(cadangan3[[#This Row],[Harga Asli C]]-(cadangan3[[#This Row],[Harga Asli C]]*cadangan3[[#This Row],[Diskon]]),cadangan3[[#This Row],[Harga Asli C]])</f>
        <v>450000</v>
      </c>
      <c r="AE103" s="36">
        <f>IFERROR(INDEX(Katalog!$F$3:$F$12,MATCH(cadangan3[[#This Row],[ItemID C]],Katalog!$C$3:$C$12,0))*cadangan3[[#This Row],[Qty C]],0)</f>
        <v>200000</v>
      </c>
      <c r="AF103" s="36">
        <f>IFERROR(cadangan3[[#This Row],[Profit C]]-(cadangan3[[#This Row],[Profit C]]*cadangan3[[#This Row],[Diskon]]),cadangan3[[#This Row],[Profit C]])</f>
        <v>180000</v>
      </c>
      <c r="AG103" s="21">
        <f>cadangan3[[#This Row],[Qty A]]+cadangan3[[#This Row],[Qty B]]+cadangan3[[#This Row],[Qty C]]</f>
        <v>5</v>
      </c>
      <c r="AH103" s="35">
        <f>cadangan3[[#This Row],[Harga A + Diskon]]+cadangan3[[#This Row],[Harga + Diskon B]]+cadangan3[[#This Row],[Harga + Diskon C]]</f>
        <v>1755000</v>
      </c>
      <c r="AI103" s="35">
        <f>(cadangan3[[#This Row],[Profit A]]+cadangan3[[#This Row],[Profit B]]+cadangan3[[#This Row],[Profit C]])</f>
        <v>750000</v>
      </c>
      <c r="AJ103" s="35">
        <f>cadangan3[[#This Row],[Provit A + Diskon]]+cadangan3[[#This Row],[Provit B + Diskon]]+cadangan3[[#This Row],[Provit C + Diskon]]</f>
        <v>675000</v>
      </c>
      <c r="AK103" s="23" t="s">
        <v>30</v>
      </c>
      <c r="AL103" s="37">
        <f>IFERROR(INDEX('Kode Diskon'!$D$3:$D$9,MATCH(cadangan3[[#This Row],[Kode diskon]],'Kode Diskon'!$C$3:$C$9,0)),"-")</f>
        <v>0.1</v>
      </c>
      <c r="AM103" s="23" t="s">
        <v>29</v>
      </c>
      <c r="AN103" s="23" t="s">
        <v>10</v>
      </c>
      <c r="AO103" s="23" t="s">
        <v>80</v>
      </c>
      <c r="AP103" s="24">
        <v>45020</v>
      </c>
      <c r="AQ103" s="23" t="str">
        <f>TEXT(cadangan3[[#This Row],[Tanggal terjual]],"dddd")</f>
        <v>Tuesday</v>
      </c>
    </row>
    <row r="104" spans="1:43" x14ac:dyDescent="0.2">
      <c r="A104" s="20">
        <v>103</v>
      </c>
      <c r="B104" s="21" t="str">
        <f>_xlfn.CONCAT("ORD-",INDEX(Helper!$B$2:$B$5,MATCH(cadangan3[[#This Row],[Marketplace]],Helper!$A$2:$A$5,0)),TEXT(cadangan3[[#This Row],[No]],"0000"),"-",TEXT(cadangan3[[#This Row],[Tanggal terjual]],"dd/mm/yy"))</f>
        <v>ORD-TK0103-17/04/23</v>
      </c>
      <c r="C104" t="s">
        <v>64</v>
      </c>
      <c r="D104" t="str">
        <f>IFERROR(INDEX(Katalog!$A$3:$A$12,MATCH(cadangan3[[#This Row],[ItemID A]],Katalog!$C$3:$C$12,0)),"-")</f>
        <v>Pakaian Unisex</v>
      </c>
      <c r="E104" t="str">
        <f>IFERROR(INDEX(Katalog!$B$3:$B$12,MATCH(cadangan3[[#This Row],[ItemID A]],Katalog!$C$3:$C$12,0)),"-")</f>
        <v>Jaket Hoodie</v>
      </c>
      <c r="F104">
        <v>1</v>
      </c>
      <c r="G104">
        <v>5</v>
      </c>
      <c r="H104" s="36">
        <f>IFERROR(INDEX(Katalog!$D$3:$D$12,MATCH(cadangan3[[#This Row],[ItemID A]],Katalog!$C$3:$C$12,0))*cadangan3[[#This Row],[Qty A]],0)</f>
        <v>350000</v>
      </c>
      <c r="I104" s="36">
        <f>IFERROR(INDEX(Katalog!$D$3:$D$12,MATCH(cadangan3[[#This Row],[Item A]],Katalog!$B$3:$B$12,0))*cadangan3[[#This Row],[Qty A]],0)</f>
        <v>350000</v>
      </c>
      <c r="J104" s="36">
        <f>IFERROR(cadangan3[[#This Row],[Harga Asli A]]-(cadangan3[[#This Row],[Harga Asli A]]*cadangan3[[#This Row],[Diskon]]),cadangan3[[#This Row],[Harga Asli A]])</f>
        <v>315000</v>
      </c>
      <c r="K104" s="36">
        <f>INDEX(Katalog!$F$3:$F$12,MATCH(cadangan3[[#This Row],[ItemID A]],Katalog!$C$3:$C$12,0))*cadangan3[[#This Row],[Qty A]]</f>
        <v>130000</v>
      </c>
      <c r="L104" s="36">
        <f>IFERROR(cadangan3[[#This Row],[Profit A]]-(cadangan3[[#This Row],[Profit A]]*cadangan3[[#This Row],[Diskon]]),K104)</f>
        <v>117000</v>
      </c>
      <c r="M104" t="s">
        <v>67</v>
      </c>
      <c r="N104" t="str">
        <f>IFERROR(INDEX(Katalog!$A$3:$A$12,MATCH(cadangan3[[#This Row],[ItemID B]],Katalog!$C$3:$C$12,0)),"-")</f>
        <v>Sepatu Wanita</v>
      </c>
      <c r="O104" t="str">
        <f>IFERROR(INDEX(Katalog!$B$3:$B$12,MATCH(cadangan3[[#This Row],[ItemID B]],Katalog!$C$3:$C$12,0)),"-")</f>
        <v>Flat Shoes</v>
      </c>
      <c r="P104">
        <v>1</v>
      </c>
      <c r="Q104">
        <v>5</v>
      </c>
      <c r="R104" s="36">
        <f>IFERROR(INDEX(Katalog!$D$3:$D$12,MATCH(cadangan3[[#This Row],[ItemID B]],Katalog!$C$3:$C$12,0))*cadangan3[[#This Row],[Qty B]],0)</f>
        <v>250000</v>
      </c>
      <c r="S104" s="36">
        <f>IFERROR(INDEX(Katalog!$D$3:$D$12,MATCH(cadangan3[[#This Row],[Item B]],Katalog!$B$3:$B$12,0))*cadangan3[[#This Row],[Qty B]],0)</f>
        <v>250000</v>
      </c>
      <c r="T104" s="36">
        <f>IFERROR(cadangan3[[#This Row],[Harga Asli B]]-(cadangan3[[#This Row],[Harga Asli B]]*cadangan3[[#This Row],[Diskon]]),cadangan3[[#This Row],[Harga Asli B]])</f>
        <v>225000</v>
      </c>
      <c r="U104" s="36">
        <f>IFERROR(INDEX(Katalog!$F$3:$F$12,MATCH(cadangan3[[#This Row],[ItemID B]],Katalog!$C$3:$C$12,0))*cadangan3[[#This Row],[Qty B]],0)</f>
        <v>100000</v>
      </c>
      <c r="V104" s="36">
        <f>IFERROR(cadangan3[[#This Row],[Profit B]]-(cadangan3[[#This Row],[Profit B]]*cadangan3[[#This Row],[Diskon]]),U104)</f>
        <v>90000</v>
      </c>
      <c r="X104" t="str">
        <f>IFERROR(INDEX(Katalog!$A$3:$A$12,MATCH(cadangan3[[#This Row],[ItemID C]],Katalog!$C$3:$C$12,0)),"-")</f>
        <v>-</v>
      </c>
      <c r="Y104" t="str">
        <f>IFERROR(INDEX(Katalog!$B$3:$B$12,MATCH(cadangan3[[#This Row],[ItemID C]],Katalog!$C$3:$C$12,0)),"-")</f>
        <v>-</v>
      </c>
      <c r="AB104" s="36">
        <f>IFERROR(INDEX(Katalog!$D$3:$D$12,MATCH(cadangan3[[#This Row],[ItemID C]],Katalog!$C$3:$C$12,0))*cadangan3[[#This Row],[Qty C]],0)</f>
        <v>0</v>
      </c>
      <c r="AC104" s="36">
        <f>IFERROR(INDEX(Katalog!$D$3:$D$12,MATCH(cadangan3[[#This Row],[Item C]],Katalog!$B$3:$B$12,0))*cadangan3[[#This Row],[Qty C]],0)</f>
        <v>0</v>
      </c>
      <c r="AD104" s="36">
        <f>IFERROR(cadangan3[[#This Row],[Harga Asli C]]-(cadangan3[[#This Row],[Harga Asli C]]*cadangan3[[#This Row],[Diskon]]),cadangan3[[#This Row],[Harga Asli C]])</f>
        <v>0</v>
      </c>
      <c r="AE104" s="36">
        <f>IFERROR(INDEX(Katalog!$F$3:$F$12,MATCH(cadangan3[[#This Row],[ItemID C]],Katalog!$C$3:$C$12,0))*cadangan3[[#This Row],[Qty C]],0)</f>
        <v>0</v>
      </c>
      <c r="AF104" s="36">
        <f>IFERROR(cadangan3[[#This Row],[Profit C]]-(cadangan3[[#This Row],[Profit C]]*cadangan3[[#This Row],[Diskon]]),cadangan3[[#This Row],[Profit C]])</f>
        <v>0</v>
      </c>
      <c r="AG104" s="21">
        <f>cadangan3[[#This Row],[Qty A]]+cadangan3[[#This Row],[Qty B]]+cadangan3[[#This Row],[Qty C]]</f>
        <v>2</v>
      </c>
      <c r="AH104" s="35">
        <f>cadangan3[[#This Row],[Harga A + Diskon]]+cadangan3[[#This Row],[Harga + Diskon B]]+cadangan3[[#This Row],[Harga + Diskon C]]</f>
        <v>540000</v>
      </c>
      <c r="AI104" s="35">
        <f>(cadangan3[[#This Row],[Profit A]]+cadangan3[[#This Row],[Profit B]]+cadangan3[[#This Row],[Profit C]])</f>
        <v>230000</v>
      </c>
      <c r="AJ104" s="35">
        <f>cadangan3[[#This Row],[Provit A + Diskon]]+cadangan3[[#This Row],[Provit B + Diskon]]+cadangan3[[#This Row],[Provit C + Diskon]]</f>
        <v>207000</v>
      </c>
      <c r="AK104" s="23" t="s">
        <v>31</v>
      </c>
      <c r="AL104" s="37">
        <f>IFERROR(INDEX('Kode Diskon'!$D$3:$D$9,MATCH(cadangan3[[#This Row],[Kode diskon]],'Kode Diskon'!$C$3:$C$9,0)),"-")</f>
        <v>0.1</v>
      </c>
      <c r="AM104" s="23" t="s">
        <v>9</v>
      </c>
      <c r="AN104" s="23" t="s">
        <v>10</v>
      </c>
      <c r="AO104" s="23" t="s">
        <v>77</v>
      </c>
      <c r="AP104" s="24">
        <v>45033</v>
      </c>
      <c r="AQ104" s="23" t="str">
        <f>TEXT(cadangan3[[#This Row],[Tanggal terjual]],"dddd")</f>
        <v>Monday</v>
      </c>
    </row>
    <row r="105" spans="1:43" x14ac:dyDescent="0.2">
      <c r="A105" s="20">
        <v>104</v>
      </c>
      <c r="B105" s="21" t="str">
        <f>_xlfn.CONCAT("ORD-",INDEX(Helper!$B$2:$B$5,MATCH(cadangan3[[#This Row],[Marketplace]],Helper!$A$2:$A$5,0)),TEXT(cadangan3[[#This Row],[No]],"0000"),"-",TEXT(cadangan3[[#This Row],[Tanggal terjual]],"dd/mm/yy"))</f>
        <v>ORD-SP0104-06/04/23</v>
      </c>
      <c r="C105" t="s">
        <v>58</v>
      </c>
      <c r="D105" t="str">
        <f>IFERROR(INDEX(Katalog!$A$3:$A$12,MATCH(cadangan3[[#This Row],[ItemID A]],Katalog!$C$3:$C$12,0)),"-")</f>
        <v>Pakaian Wanita</v>
      </c>
      <c r="E105" t="str">
        <f>IFERROR(INDEX(Katalog!$B$3:$B$12,MATCH(cadangan3[[#This Row],[ItemID A]],Katalog!$C$3:$C$12,0)),"-")</f>
        <v>Dress</v>
      </c>
      <c r="F105">
        <v>2</v>
      </c>
      <c r="G105">
        <v>2</v>
      </c>
      <c r="H105" s="36">
        <f>IFERROR(INDEX(Katalog!$D$3:$D$12,MATCH(cadangan3[[#This Row],[ItemID A]],Katalog!$C$3:$C$12,0))*cadangan3[[#This Row],[Qty A]],0)</f>
        <v>600000</v>
      </c>
      <c r="I105" s="36">
        <f>IFERROR(INDEX(Katalog!$D$3:$D$12,MATCH(cadangan3[[#This Row],[Item A]],Katalog!$B$3:$B$12,0))*cadangan3[[#This Row],[Qty A]],0)</f>
        <v>600000</v>
      </c>
      <c r="J105" s="36">
        <f>IFERROR(cadangan3[[#This Row],[Harga Asli A]]-(cadangan3[[#This Row],[Harga Asli A]]*cadangan3[[#This Row],[Diskon]]),cadangan3[[#This Row],[Harga Asli A]])</f>
        <v>510000</v>
      </c>
      <c r="K105" s="36">
        <f>INDEX(Katalog!$F$3:$F$12,MATCH(cadangan3[[#This Row],[ItemID A]],Katalog!$C$3:$C$12,0))*cadangan3[[#This Row],[Qty A]]</f>
        <v>200000</v>
      </c>
      <c r="L105" s="36">
        <f>IFERROR(cadangan3[[#This Row],[Profit A]]-(cadangan3[[#This Row],[Profit A]]*cadangan3[[#This Row],[Diskon]]),K105)</f>
        <v>170000</v>
      </c>
      <c r="M105" t="s">
        <v>60</v>
      </c>
      <c r="N105" t="str">
        <f>IFERROR(INDEX(Katalog!$A$3:$A$12,MATCH(cadangan3[[#This Row],[ItemID B]],Katalog!$C$3:$C$12,0)),"-")</f>
        <v>Pakaian Wanita</v>
      </c>
      <c r="O105" t="str">
        <f>IFERROR(INDEX(Katalog!$B$3:$B$12,MATCH(cadangan3[[#This Row],[ItemID B]],Katalog!$C$3:$C$12,0)),"-")</f>
        <v>Kaftan</v>
      </c>
      <c r="P105">
        <v>1</v>
      </c>
      <c r="Q105">
        <v>1</v>
      </c>
      <c r="R105" s="36">
        <f>IFERROR(INDEX(Katalog!$D$3:$D$12,MATCH(cadangan3[[#This Row],[ItemID B]],Katalog!$C$3:$C$12,0))*cadangan3[[#This Row],[Qty B]],0)</f>
        <v>250000</v>
      </c>
      <c r="S105" s="36">
        <f>IFERROR(INDEX(Katalog!$D$3:$D$12,MATCH(cadangan3[[#This Row],[Item B]],Katalog!$B$3:$B$12,0))*cadangan3[[#This Row],[Qty B]],0)</f>
        <v>250000</v>
      </c>
      <c r="T105" s="36">
        <f>IFERROR(cadangan3[[#This Row],[Harga Asli B]]-(cadangan3[[#This Row],[Harga Asli B]]*cadangan3[[#This Row],[Diskon]]),cadangan3[[#This Row],[Harga Asli B]])</f>
        <v>212500</v>
      </c>
      <c r="U105" s="36">
        <f>IFERROR(INDEX(Katalog!$F$3:$F$12,MATCH(cadangan3[[#This Row],[ItemID B]],Katalog!$C$3:$C$12,0))*cadangan3[[#This Row],[Qty B]],0)</f>
        <v>100000</v>
      </c>
      <c r="V105" s="36">
        <f>IFERROR(cadangan3[[#This Row],[Profit B]]-(cadangan3[[#This Row],[Profit B]]*cadangan3[[#This Row],[Diskon]]),U105)</f>
        <v>85000</v>
      </c>
      <c r="X105" t="str">
        <f>IFERROR(INDEX(Katalog!$A$3:$A$12,MATCH(cadangan3[[#This Row],[ItemID C]],Katalog!$C$3:$C$12,0)),"-")</f>
        <v>-</v>
      </c>
      <c r="Y105" t="str">
        <f>IFERROR(INDEX(Katalog!$B$3:$B$12,MATCH(cadangan3[[#This Row],[ItemID C]],Katalog!$C$3:$C$12,0)),"-")</f>
        <v>-</v>
      </c>
      <c r="AB105" s="36">
        <f>IFERROR(INDEX(Katalog!$D$3:$D$12,MATCH(cadangan3[[#This Row],[ItemID C]],Katalog!$C$3:$C$12,0))*cadangan3[[#This Row],[Qty C]],0)</f>
        <v>0</v>
      </c>
      <c r="AC105" s="36">
        <f>IFERROR(INDEX(Katalog!$D$3:$D$12,MATCH(cadangan3[[#This Row],[Item C]],Katalog!$B$3:$B$12,0))*cadangan3[[#This Row],[Qty C]],0)</f>
        <v>0</v>
      </c>
      <c r="AD105" s="36">
        <f>IFERROR(cadangan3[[#This Row],[Harga Asli C]]-(cadangan3[[#This Row],[Harga Asli C]]*cadangan3[[#This Row],[Diskon]]),cadangan3[[#This Row],[Harga Asli C]])</f>
        <v>0</v>
      </c>
      <c r="AE105" s="36">
        <f>IFERROR(INDEX(Katalog!$F$3:$F$12,MATCH(cadangan3[[#This Row],[ItemID C]],Katalog!$C$3:$C$12,0))*cadangan3[[#This Row],[Qty C]],0)</f>
        <v>0</v>
      </c>
      <c r="AF105" s="36">
        <f>IFERROR(cadangan3[[#This Row],[Profit C]]-(cadangan3[[#This Row],[Profit C]]*cadangan3[[#This Row],[Diskon]]),cadangan3[[#This Row],[Profit C]])</f>
        <v>0</v>
      </c>
      <c r="AG105" s="21">
        <f>cadangan3[[#This Row],[Qty A]]+cadangan3[[#This Row],[Qty B]]+cadangan3[[#This Row],[Qty C]]</f>
        <v>3</v>
      </c>
      <c r="AH105" s="35">
        <f>cadangan3[[#This Row],[Harga A + Diskon]]+cadangan3[[#This Row],[Harga + Diskon B]]+cadangan3[[#This Row],[Harga + Diskon C]]</f>
        <v>722500</v>
      </c>
      <c r="AI105" s="35">
        <f>(cadangan3[[#This Row],[Profit A]]+cadangan3[[#This Row],[Profit B]]+cadangan3[[#This Row],[Profit C]])</f>
        <v>300000</v>
      </c>
      <c r="AJ105" s="35">
        <f>cadangan3[[#This Row],[Provit A + Diskon]]+cadangan3[[#This Row],[Provit B + Diskon]]+cadangan3[[#This Row],[Provit C + Diskon]]</f>
        <v>255000</v>
      </c>
      <c r="AK105" s="23" t="s">
        <v>13</v>
      </c>
      <c r="AL105" s="37">
        <f>IFERROR(INDEX('Kode Diskon'!$D$3:$D$9,MATCH(cadangan3[[#This Row],[Kode diskon]],'Kode Diskon'!$C$3:$C$9,0)),"-")</f>
        <v>0.15</v>
      </c>
      <c r="AM105" s="23" t="s">
        <v>29</v>
      </c>
      <c r="AN105" s="23" t="s">
        <v>7</v>
      </c>
      <c r="AO105" s="23" t="s">
        <v>75</v>
      </c>
      <c r="AP105" s="24">
        <v>45022</v>
      </c>
      <c r="AQ105" s="23" t="str">
        <f>TEXT(cadangan3[[#This Row],[Tanggal terjual]],"dddd")</f>
        <v>Thursday</v>
      </c>
    </row>
    <row r="106" spans="1:43" x14ac:dyDescent="0.2">
      <c r="A106" s="20">
        <v>105</v>
      </c>
      <c r="B106" s="21" t="str">
        <f>_xlfn.CONCAT("ORD-",INDEX(Helper!$B$2:$B$5,MATCH(cadangan3[[#This Row],[Marketplace]],Helper!$A$2:$A$5,0)),TEXT(cadangan3[[#This Row],[No]],"0000"),"-",TEXT(cadangan3[[#This Row],[Tanggal terjual]],"dd/mm/yy"))</f>
        <v>ORD-SP0105-14/04/23</v>
      </c>
      <c r="C106" t="s">
        <v>65</v>
      </c>
      <c r="D106" t="str">
        <f>IFERROR(INDEX(Katalog!$A$3:$A$12,MATCH(cadangan3[[#This Row],[ItemID A]],Katalog!$C$3:$C$12,0)),"-")</f>
        <v>Sepatu Pria</v>
      </c>
      <c r="E106" t="str">
        <f>IFERROR(INDEX(Katalog!$B$3:$B$12,MATCH(cadangan3[[#This Row],[ItemID A]],Katalog!$C$3:$C$12,0)),"-")</f>
        <v>Sneakers</v>
      </c>
      <c r="F106">
        <v>3</v>
      </c>
      <c r="G106">
        <v>5</v>
      </c>
      <c r="H106" s="36">
        <f>IFERROR(INDEX(Katalog!$D$3:$D$12,MATCH(cadangan3[[#This Row],[ItemID A]],Katalog!$C$3:$C$12,0))*cadangan3[[#This Row],[Qty A]],0)</f>
        <v>1500000</v>
      </c>
      <c r="I106" s="36">
        <f>IFERROR(INDEX(Katalog!$D$3:$D$12,MATCH(cadangan3[[#This Row],[Item A]],Katalog!$B$3:$B$12,0))*cadangan3[[#This Row],[Qty A]],0)</f>
        <v>1500000</v>
      </c>
      <c r="J106" s="36">
        <f>IFERROR(cadangan3[[#This Row],[Harga Asli A]]-(cadangan3[[#This Row],[Harga Asli A]]*cadangan3[[#This Row],[Diskon]]),cadangan3[[#This Row],[Harga Asli A]])</f>
        <v>1500000</v>
      </c>
      <c r="K106" s="36">
        <f>INDEX(Katalog!$F$3:$F$12,MATCH(cadangan3[[#This Row],[ItemID A]],Katalog!$C$3:$C$12,0))*cadangan3[[#This Row],[Qty A]]</f>
        <v>600000</v>
      </c>
      <c r="L106" s="36">
        <f>IFERROR(cadangan3[[#This Row],[Profit A]]-(cadangan3[[#This Row],[Profit A]]*cadangan3[[#This Row],[Diskon]]),K106)</f>
        <v>600000</v>
      </c>
      <c r="N106" t="str">
        <f>IFERROR(INDEX(Katalog!$A$3:$A$12,MATCH(cadangan3[[#This Row],[ItemID B]],Katalog!$C$3:$C$12,0)),"-")</f>
        <v>-</v>
      </c>
      <c r="O106" t="str">
        <f>IFERROR(INDEX(Katalog!$B$3:$B$12,MATCH(cadangan3[[#This Row],[ItemID B]],Katalog!$C$3:$C$12,0)),"-")</f>
        <v>-</v>
      </c>
      <c r="R106" s="36">
        <f>IFERROR(INDEX(Katalog!$D$3:$D$12,MATCH(cadangan3[[#This Row],[ItemID B]],Katalog!$C$3:$C$12,0))*cadangan3[[#This Row],[Qty B]],0)</f>
        <v>0</v>
      </c>
      <c r="S106" s="36">
        <f>IFERROR(INDEX(Katalog!$D$3:$D$12,MATCH(cadangan3[[#This Row],[Item B]],Katalog!$B$3:$B$12,0))*cadangan3[[#This Row],[Qty B]],0)</f>
        <v>0</v>
      </c>
      <c r="T106" s="36">
        <f>IFERROR(cadangan3[[#This Row],[Harga Asli B]]-(cadangan3[[#This Row],[Harga Asli B]]*cadangan3[[#This Row],[Diskon]]),cadangan3[[#This Row],[Harga Asli B]])</f>
        <v>0</v>
      </c>
      <c r="U106" s="36">
        <f>IFERROR(INDEX(Katalog!$F$3:$F$12,MATCH(cadangan3[[#This Row],[ItemID B]],Katalog!$C$3:$C$12,0))*cadangan3[[#This Row],[Qty B]],0)</f>
        <v>0</v>
      </c>
      <c r="V106" s="36">
        <f>IFERROR(cadangan3[[#This Row],[Profit B]]-(cadangan3[[#This Row],[Profit B]]*cadangan3[[#This Row],[Diskon]]),U106)</f>
        <v>0</v>
      </c>
      <c r="X106" t="str">
        <f>IFERROR(INDEX(Katalog!$A$3:$A$12,MATCH(cadangan3[[#This Row],[ItemID C]],Katalog!$C$3:$C$12,0)),"-")</f>
        <v>-</v>
      </c>
      <c r="Y106" t="str">
        <f>IFERROR(INDEX(Katalog!$B$3:$B$12,MATCH(cadangan3[[#This Row],[ItemID C]],Katalog!$C$3:$C$12,0)),"-")</f>
        <v>-</v>
      </c>
      <c r="AB106" s="36">
        <f>IFERROR(INDEX(Katalog!$D$3:$D$12,MATCH(cadangan3[[#This Row],[ItemID C]],Katalog!$C$3:$C$12,0))*cadangan3[[#This Row],[Qty C]],0)</f>
        <v>0</v>
      </c>
      <c r="AC106" s="36">
        <f>IFERROR(INDEX(Katalog!$D$3:$D$12,MATCH(cadangan3[[#This Row],[Item C]],Katalog!$B$3:$B$12,0))*cadangan3[[#This Row],[Qty C]],0)</f>
        <v>0</v>
      </c>
      <c r="AD106" s="36">
        <f>IFERROR(cadangan3[[#This Row],[Harga Asli C]]-(cadangan3[[#This Row],[Harga Asli C]]*cadangan3[[#This Row],[Diskon]]),cadangan3[[#This Row],[Harga Asli C]])</f>
        <v>0</v>
      </c>
      <c r="AE106" s="36">
        <f>IFERROR(INDEX(Katalog!$F$3:$F$12,MATCH(cadangan3[[#This Row],[ItemID C]],Katalog!$C$3:$C$12,0))*cadangan3[[#This Row],[Qty C]],0)</f>
        <v>0</v>
      </c>
      <c r="AF106" s="36">
        <f>IFERROR(cadangan3[[#This Row],[Profit C]]-(cadangan3[[#This Row],[Profit C]]*cadangan3[[#This Row],[Diskon]]),cadangan3[[#This Row],[Profit C]])</f>
        <v>0</v>
      </c>
      <c r="AG106" s="21">
        <f>cadangan3[[#This Row],[Qty A]]+cadangan3[[#This Row],[Qty B]]+cadangan3[[#This Row],[Qty C]]</f>
        <v>3</v>
      </c>
      <c r="AH106" s="35">
        <f>cadangan3[[#This Row],[Harga A + Diskon]]+cadangan3[[#This Row],[Harga + Diskon B]]+cadangan3[[#This Row],[Harga + Diskon C]]</f>
        <v>1500000</v>
      </c>
      <c r="AI106" s="35">
        <f>(cadangan3[[#This Row],[Profit A]]+cadangan3[[#This Row],[Profit B]]+cadangan3[[#This Row],[Profit C]])</f>
        <v>600000</v>
      </c>
      <c r="AJ106" s="35">
        <f>cadangan3[[#This Row],[Provit A + Diskon]]+cadangan3[[#This Row],[Provit B + Diskon]]+cadangan3[[#This Row],[Provit C + Diskon]]</f>
        <v>600000</v>
      </c>
      <c r="AK106" s="23" t="s">
        <v>11</v>
      </c>
      <c r="AL106" s="37" t="str">
        <f>IFERROR(INDEX('Kode Diskon'!$D$3:$D$9,MATCH(cadangan3[[#This Row],[Kode diskon]],'Kode Diskon'!$C$3:$C$9,0)),"-")</f>
        <v>-</v>
      </c>
      <c r="AM106" s="23" t="s">
        <v>11</v>
      </c>
      <c r="AN106" s="23" t="s">
        <v>7</v>
      </c>
      <c r="AO106" s="23" t="s">
        <v>75</v>
      </c>
      <c r="AP106" s="24">
        <v>45030</v>
      </c>
      <c r="AQ106" s="23" t="str">
        <f>TEXT(cadangan3[[#This Row],[Tanggal terjual]],"dddd")</f>
        <v>Friday</v>
      </c>
    </row>
    <row r="107" spans="1:43" x14ac:dyDescent="0.2">
      <c r="A107" s="20">
        <v>106</v>
      </c>
      <c r="B107" s="21" t="str">
        <f>_xlfn.CONCAT("ORD-",INDEX(Helper!$B$2:$B$5,MATCH(cadangan3[[#This Row],[Marketplace]],Helper!$A$2:$A$5,0)),TEXT(cadangan3[[#This Row],[No]],"0000"),"-",TEXT(cadangan3[[#This Row],[Tanggal terjual]],"dd/mm/yy"))</f>
        <v>ORD-TK0106-21/04/23</v>
      </c>
      <c r="C107" t="s">
        <v>60</v>
      </c>
      <c r="D107" t="str">
        <f>IFERROR(INDEX(Katalog!$A$3:$A$12,MATCH(cadangan3[[#This Row],[ItemID A]],Katalog!$C$3:$C$12,0)),"-")</f>
        <v>Pakaian Wanita</v>
      </c>
      <c r="E107" t="str">
        <f>IFERROR(INDEX(Katalog!$B$3:$B$12,MATCH(cadangan3[[#This Row],[ItemID A]],Katalog!$C$3:$C$12,0)),"-")</f>
        <v>Kaftan</v>
      </c>
      <c r="F107">
        <v>5</v>
      </c>
      <c r="G107">
        <v>4</v>
      </c>
      <c r="H107" s="36">
        <f>IFERROR(INDEX(Katalog!$D$3:$D$12,MATCH(cadangan3[[#This Row],[ItemID A]],Katalog!$C$3:$C$12,0))*cadangan3[[#This Row],[Qty A]],0)</f>
        <v>1250000</v>
      </c>
      <c r="I107" s="36">
        <f>IFERROR(INDEX(Katalog!$D$3:$D$12,MATCH(cadangan3[[#This Row],[Item A]],Katalog!$B$3:$B$12,0))*cadangan3[[#This Row],[Qty A]],0)</f>
        <v>1250000</v>
      </c>
      <c r="J107" s="36">
        <f>IFERROR(cadangan3[[#This Row],[Harga Asli A]]-(cadangan3[[#This Row],[Harga Asli A]]*cadangan3[[#This Row],[Diskon]]),cadangan3[[#This Row],[Harga Asli A]])</f>
        <v>1125000</v>
      </c>
      <c r="K107" s="36">
        <f>INDEX(Katalog!$F$3:$F$12,MATCH(cadangan3[[#This Row],[ItemID A]],Katalog!$C$3:$C$12,0))*cadangan3[[#This Row],[Qty A]]</f>
        <v>500000</v>
      </c>
      <c r="L107" s="36">
        <f>IFERROR(cadangan3[[#This Row],[Profit A]]-(cadangan3[[#This Row],[Profit A]]*cadangan3[[#This Row],[Diskon]]),K107)</f>
        <v>450000</v>
      </c>
      <c r="N107" t="str">
        <f>IFERROR(INDEX(Katalog!$A$3:$A$12,MATCH(cadangan3[[#This Row],[ItemID B]],Katalog!$C$3:$C$12,0)),"-")</f>
        <v>-</v>
      </c>
      <c r="O107" t="str">
        <f>IFERROR(INDEX(Katalog!$B$3:$B$12,MATCH(cadangan3[[#This Row],[ItemID B]],Katalog!$C$3:$C$12,0)),"-")</f>
        <v>-</v>
      </c>
      <c r="R107" s="36">
        <f>IFERROR(INDEX(Katalog!$D$3:$D$12,MATCH(cadangan3[[#This Row],[ItemID B]],Katalog!$C$3:$C$12,0))*cadangan3[[#This Row],[Qty B]],0)</f>
        <v>0</v>
      </c>
      <c r="S107" s="36">
        <f>IFERROR(INDEX(Katalog!$D$3:$D$12,MATCH(cadangan3[[#This Row],[Item B]],Katalog!$B$3:$B$12,0))*cadangan3[[#This Row],[Qty B]],0)</f>
        <v>0</v>
      </c>
      <c r="T107" s="36">
        <f>IFERROR(cadangan3[[#This Row],[Harga Asli B]]-(cadangan3[[#This Row],[Harga Asli B]]*cadangan3[[#This Row],[Diskon]]),cadangan3[[#This Row],[Harga Asli B]])</f>
        <v>0</v>
      </c>
      <c r="U107" s="36">
        <f>IFERROR(INDEX(Katalog!$F$3:$F$12,MATCH(cadangan3[[#This Row],[ItemID B]],Katalog!$C$3:$C$12,0))*cadangan3[[#This Row],[Qty B]],0)</f>
        <v>0</v>
      </c>
      <c r="V107" s="36">
        <f>IFERROR(cadangan3[[#This Row],[Profit B]]-(cadangan3[[#This Row],[Profit B]]*cadangan3[[#This Row],[Diskon]]),U107)</f>
        <v>0</v>
      </c>
      <c r="X107" t="str">
        <f>IFERROR(INDEX(Katalog!$A$3:$A$12,MATCH(cadangan3[[#This Row],[ItemID C]],Katalog!$C$3:$C$12,0)),"-")</f>
        <v>-</v>
      </c>
      <c r="Y107" t="str">
        <f>IFERROR(INDEX(Katalog!$B$3:$B$12,MATCH(cadangan3[[#This Row],[ItemID C]],Katalog!$C$3:$C$12,0)),"-")</f>
        <v>-</v>
      </c>
      <c r="AB107" s="36">
        <f>IFERROR(INDEX(Katalog!$D$3:$D$12,MATCH(cadangan3[[#This Row],[ItemID C]],Katalog!$C$3:$C$12,0))*cadangan3[[#This Row],[Qty C]],0)</f>
        <v>0</v>
      </c>
      <c r="AC107" s="36">
        <f>IFERROR(INDEX(Katalog!$D$3:$D$12,MATCH(cadangan3[[#This Row],[Item C]],Katalog!$B$3:$B$12,0))*cadangan3[[#This Row],[Qty C]],0)</f>
        <v>0</v>
      </c>
      <c r="AD107" s="36">
        <f>IFERROR(cadangan3[[#This Row],[Harga Asli C]]-(cadangan3[[#This Row],[Harga Asli C]]*cadangan3[[#This Row],[Diskon]]),cadangan3[[#This Row],[Harga Asli C]])</f>
        <v>0</v>
      </c>
      <c r="AE107" s="36">
        <f>IFERROR(INDEX(Katalog!$F$3:$F$12,MATCH(cadangan3[[#This Row],[ItemID C]],Katalog!$C$3:$C$12,0))*cadangan3[[#This Row],[Qty C]],0)</f>
        <v>0</v>
      </c>
      <c r="AF107" s="36">
        <f>IFERROR(cadangan3[[#This Row],[Profit C]]-(cadangan3[[#This Row],[Profit C]]*cadangan3[[#This Row],[Diskon]]),cadangan3[[#This Row],[Profit C]])</f>
        <v>0</v>
      </c>
      <c r="AG107" s="21">
        <f>cadangan3[[#This Row],[Qty A]]+cadangan3[[#This Row],[Qty B]]+cadangan3[[#This Row],[Qty C]]</f>
        <v>5</v>
      </c>
      <c r="AH107" s="35">
        <f>cadangan3[[#This Row],[Harga A + Diskon]]+cadangan3[[#This Row],[Harga + Diskon B]]+cadangan3[[#This Row],[Harga + Diskon C]]</f>
        <v>1125000</v>
      </c>
      <c r="AI107" s="35">
        <f>(cadangan3[[#This Row],[Profit A]]+cadangan3[[#This Row],[Profit B]]+cadangan3[[#This Row],[Profit C]])</f>
        <v>500000</v>
      </c>
      <c r="AJ107" s="35">
        <f>cadangan3[[#This Row],[Provit A + Diskon]]+cadangan3[[#This Row],[Provit B + Diskon]]+cadangan3[[#This Row],[Provit C + Diskon]]</f>
        <v>450000</v>
      </c>
      <c r="AK107" s="23" t="s">
        <v>31</v>
      </c>
      <c r="AL107" s="37">
        <f>IFERROR(INDEX('Kode Diskon'!$D$3:$D$9,MATCH(cadangan3[[#This Row],[Kode diskon]],'Kode Diskon'!$C$3:$C$9,0)),"-")</f>
        <v>0.1</v>
      </c>
      <c r="AM107" s="23" t="s">
        <v>9</v>
      </c>
      <c r="AN107" s="23" t="s">
        <v>10</v>
      </c>
      <c r="AO107" s="23" t="s">
        <v>80</v>
      </c>
      <c r="AP107" s="24">
        <v>45037</v>
      </c>
      <c r="AQ107" s="23" t="str">
        <f>TEXT(cadangan3[[#This Row],[Tanggal terjual]],"dddd")</f>
        <v>Friday</v>
      </c>
    </row>
    <row r="108" spans="1:43" x14ac:dyDescent="0.2">
      <c r="A108" s="20">
        <v>107</v>
      </c>
      <c r="B108" s="21" t="str">
        <f>_xlfn.CONCAT("ORD-",INDEX(Helper!$B$2:$B$5,MATCH(cadangan3[[#This Row],[Marketplace]],Helper!$A$2:$A$5,0)),TEXT(cadangan3[[#This Row],[No]],"0000"),"-",TEXT(cadangan3[[#This Row],[Tanggal terjual]],"dd/mm/yy"))</f>
        <v>ORD-BL0107-24/04/23</v>
      </c>
      <c r="C108" t="s">
        <v>58</v>
      </c>
      <c r="D108" t="str">
        <f>IFERROR(INDEX(Katalog!$A$3:$A$12,MATCH(cadangan3[[#This Row],[ItemID A]],Katalog!$C$3:$C$12,0)),"-")</f>
        <v>Pakaian Wanita</v>
      </c>
      <c r="E108" t="str">
        <f>IFERROR(INDEX(Katalog!$B$3:$B$12,MATCH(cadangan3[[#This Row],[ItemID A]],Katalog!$C$3:$C$12,0)),"-")</f>
        <v>Dress</v>
      </c>
      <c r="F108">
        <v>1</v>
      </c>
      <c r="G108">
        <v>5</v>
      </c>
      <c r="H108" s="36">
        <f>IFERROR(INDEX(Katalog!$D$3:$D$12,MATCH(cadangan3[[#This Row],[ItemID A]],Katalog!$C$3:$C$12,0))*cadangan3[[#This Row],[Qty A]],0)</f>
        <v>300000</v>
      </c>
      <c r="I108" s="36">
        <f>IFERROR(INDEX(Katalog!$D$3:$D$12,MATCH(cadangan3[[#This Row],[Item A]],Katalog!$B$3:$B$12,0))*cadangan3[[#This Row],[Qty A]],0)</f>
        <v>300000</v>
      </c>
      <c r="J108" s="36">
        <f>IFERROR(cadangan3[[#This Row],[Harga Asli A]]-(cadangan3[[#This Row],[Harga Asli A]]*cadangan3[[#This Row],[Diskon]]),cadangan3[[#This Row],[Harga Asli A]])</f>
        <v>255000</v>
      </c>
      <c r="K108" s="36">
        <f>INDEX(Katalog!$F$3:$F$12,MATCH(cadangan3[[#This Row],[ItemID A]],Katalog!$C$3:$C$12,0))*cadangan3[[#This Row],[Qty A]]</f>
        <v>100000</v>
      </c>
      <c r="L108" s="36">
        <f>IFERROR(cadangan3[[#This Row],[Profit A]]-(cadangan3[[#This Row],[Profit A]]*cadangan3[[#This Row],[Diskon]]),K108)</f>
        <v>85000</v>
      </c>
      <c r="M108" t="s">
        <v>64</v>
      </c>
      <c r="N108" t="str">
        <f>IFERROR(INDEX(Katalog!$A$3:$A$12,MATCH(cadangan3[[#This Row],[ItemID B]],Katalog!$C$3:$C$12,0)),"-")</f>
        <v>Pakaian Unisex</v>
      </c>
      <c r="O108" t="str">
        <f>IFERROR(INDEX(Katalog!$B$3:$B$12,MATCH(cadangan3[[#This Row],[ItemID B]],Katalog!$C$3:$C$12,0)),"-")</f>
        <v>Jaket Hoodie</v>
      </c>
      <c r="P108">
        <v>1</v>
      </c>
      <c r="Q108">
        <v>3</v>
      </c>
      <c r="R108" s="36">
        <f>IFERROR(INDEX(Katalog!$D$3:$D$12,MATCH(cadangan3[[#This Row],[ItemID B]],Katalog!$C$3:$C$12,0))*cadangan3[[#This Row],[Qty B]],0)</f>
        <v>350000</v>
      </c>
      <c r="S108" s="36">
        <f>IFERROR(INDEX(Katalog!$D$3:$D$12,MATCH(cadangan3[[#This Row],[Item B]],Katalog!$B$3:$B$12,0))*cadangan3[[#This Row],[Qty B]],0)</f>
        <v>350000</v>
      </c>
      <c r="T108" s="36">
        <f>IFERROR(cadangan3[[#This Row],[Harga Asli B]]-(cadangan3[[#This Row],[Harga Asli B]]*cadangan3[[#This Row],[Diskon]]),cadangan3[[#This Row],[Harga Asli B]])</f>
        <v>297500</v>
      </c>
      <c r="U108" s="36">
        <f>IFERROR(INDEX(Katalog!$F$3:$F$12,MATCH(cadangan3[[#This Row],[ItemID B]],Katalog!$C$3:$C$12,0))*cadangan3[[#This Row],[Qty B]],0)</f>
        <v>130000</v>
      </c>
      <c r="V108" s="36">
        <f>IFERROR(cadangan3[[#This Row],[Profit B]]-(cadangan3[[#This Row],[Profit B]]*cadangan3[[#This Row],[Diskon]]),U108)</f>
        <v>110500</v>
      </c>
      <c r="X108" t="str">
        <f>IFERROR(INDEX(Katalog!$A$3:$A$12,MATCH(cadangan3[[#This Row],[ItemID C]],Katalog!$C$3:$C$12,0)),"-")</f>
        <v>-</v>
      </c>
      <c r="Y108" t="str">
        <f>IFERROR(INDEX(Katalog!$B$3:$B$12,MATCH(cadangan3[[#This Row],[ItemID C]],Katalog!$C$3:$C$12,0)),"-")</f>
        <v>-</v>
      </c>
      <c r="AB108" s="36">
        <f>IFERROR(INDEX(Katalog!$D$3:$D$12,MATCH(cadangan3[[#This Row],[ItemID C]],Katalog!$C$3:$C$12,0))*cadangan3[[#This Row],[Qty C]],0)</f>
        <v>0</v>
      </c>
      <c r="AC108" s="36">
        <f>IFERROR(INDEX(Katalog!$D$3:$D$12,MATCH(cadangan3[[#This Row],[Item C]],Katalog!$B$3:$B$12,0))*cadangan3[[#This Row],[Qty C]],0)</f>
        <v>0</v>
      </c>
      <c r="AD108" s="36">
        <f>IFERROR(cadangan3[[#This Row],[Harga Asli C]]-(cadangan3[[#This Row],[Harga Asli C]]*cadangan3[[#This Row],[Diskon]]),cadangan3[[#This Row],[Harga Asli C]])</f>
        <v>0</v>
      </c>
      <c r="AE108" s="36">
        <f>IFERROR(INDEX(Katalog!$F$3:$F$12,MATCH(cadangan3[[#This Row],[ItemID C]],Katalog!$C$3:$C$12,0))*cadangan3[[#This Row],[Qty C]],0)</f>
        <v>0</v>
      </c>
      <c r="AF108" s="36">
        <f>IFERROR(cadangan3[[#This Row],[Profit C]]-(cadangan3[[#This Row],[Profit C]]*cadangan3[[#This Row],[Diskon]]),cadangan3[[#This Row],[Profit C]])</f>
        <v>0</v>
      </c>
      <c r="AG108" s="21">
        <f>cadangan3[[#This Row],[Qty A]]+cadangan3[[#This Row],[Qty B]]+cadangan3[[#This Row],[Qty C]]</f>
        <v>2</v>
      </c>
      <c r="AH108" s="35">
        <f>cadangan3[[#This Row],[Harga A + Diskon]]+cadangan3[[#This Row],[Harga + Diskon B]]+cadangan3[[#This Row],[Harga + Diskon C]]</f>
        <v>552500</v>
      </c>
      <c r="AI108" s="35">
        <f>(cadangan3[[#This Row],[Profit A]]+cadangan3[[#This Row],[Profit B]]+cadangan3[[#This Row],[Profit C]])</f>
        <v>230000</v>
      </c>
      <c r="AJ108" s="35">
        <f>cadangan3[[#This Row],[Provit A + Diskon]]+cadangan3[[#This Row],[Provit B + Diskon]]+cadangan3[[#This Row],[Provit C + Diskon]]</f>
        <v>195500</v>
      </c>
      <c r="AK108" s="23" t="s">
        <v>32</v>
      </c>
      <c r="AL108" s="37">
        <f>IFERROR(INDEX('Kode Diskon'!$D$3:$D$9,MATCH(cadangan3[[#This Row],[Kode diskon]],'Kode Diskon'!$C$3:$C$9,0)),"-")</f>
        <v>0.15</v>
      </c>
      <c r="AM108" s="23" t="s">
        <v>9</v>
      </c>
      <c r="AN108" s="23" t="s">
        <v>12</v>
      </c>
      <c r="AO108" s="23" t="s">
        <v>78</v>
      </c>
      <c r="AP108" s="24">
        <v>45040</v>
      </c>
      <c r="AQ108" s="23" t="str">
        <f>TEXT(cadangan3[[#This Row],[Tanggal terjual]],"dddd")</f>
        <v>Monday</v>
      </c>
    </row>
    <row r="109" spans="1:43" x14ac:dyDescent="0.2">
      <c r="A109" s="20">
        <v>108</v>
      </c>
      <c r="B109" s="21" t="str">
        <f>_xlfn.CONCAT("ORD-",INDEX(Helper!$B$2:$B$5,MATCH(cadangan3[[#This Row],[Marketplace]],Helper!$A$2:$A$5,0)),TEXT(cadangan3[[#This Row],[No]],"0000"),"-",TEXT(cadangan3[[#This Row],[Tanggal terjual]],"dd/mm/yy"))</f>
        <v>ORD-BB0108-05/04/23</v>
      </c>
      <c r="C109" t="s">
        <v>64</v>
      </c>
      <c r="D109" t="str">
        <f>IFERROR(INDEX(Katalog!$A$3:$A$12,MATCH(cadangan3[[#This Row],[ItemID A]],Katalog!$C$3:$C$12,0)),"-")</f>
        <v>Pakaian Unisex</v>
      </c>
      <c r="E109" t="str">
        <f>IFERROR(INDEX(Katalog!$B$3:$B$12,MATCH(cadangan3[[#This Row],[ItemID A]],Katalog!$C$3:$C$12,0)),"-")</f>
        <v>Jaket Hoodie</v>
      </c>
      <c r="F109">
        <v>7</v>
      </c>
      <c r="G109">
        <v>4</v>
      </c>
      <c r="H109" s="36">
        <f>IFERROR(INDEX(Katalog!$D$3:$D$12,MATCH(cadangan3[[#This Row],[ItemID A]],Katalog!$C$3:$C$12,0))*cadangan3[[#This Row],[Qty A]],0)</f>
        <v>2450000</v>
      </c>
      <c r="I109" s="36">
        <f>IFERROR(INDEX(Katalog!$D$3:$D$12,MATCH(cadangan3[[#This Row],[Item A]],Katalog!$B$3:$B$12,0))*cadangan3[[#This Row],[Qty A]],0)</f>
        <v>2450000</v>
      </c>
      <c r="J109" s="36">
        <f>IFERROR(cadangan3[[#This Row],[Harga Asli A]]-(cadangan3[[#This Row],[Harga Asli A]]*cadangan3[[#This Row],[Diskon]]),cadangan3[[#This Row],[Harga Asli A]])</f>
        <v>2082500</v>
      </c>
      <c r="K109" s="36">
        <f>INDEX(Katalog!$F$3:$F$12,MATCH(cadangan3[[#This Row],[ItemID A]],Katalog!$C$3:$C$12,0))*cadangan3[[#This Row],[Qty A]]</f>
        <v>910000</v>
      </c>
      <c r="L109" s="36">
        <f>IFERROR(cadangan3[[#This Row],[Profit A]]-(cadangan3[[#This Row],[Profit A]]*cadangan3[[#This Row],[Diskon]]),K109)</f>
        <v>773500</v>
      </c>
      <c r="N109" t="str">
        <f>IFERROR(INDEX(Katalog!$A$3:$A$12,MATCH(cadangan3[[#This Row],[ItemID B]],Katalog!$C$3:$C$12,0)),"-")</f>
        <v>-</v>
      </c>
      <c r="O109" t="str">
        <f>IFERROR(INDEX(Katalog!$B$3:$B$12,MATCH(cadangan3[[#This Row],[ItemID B]],Katalog!$C$3:$C$12,0)),"-")</f>
        <v>-</v>
      </c>
      <c r="R109" s="36">
        <f>IFERROR(INDEX(Katalog!$D$3:$D$12,MATCH(cadangan3[[#This Row],[ItemID B]],Katalog!$C$3:$C$12,0))*cadangan3[[#This Row],[Qty B]],0)</f>
        <v>0</v>
      </c>
      <c r="S109" s="36">
        <f>IFERROR(INDEX(Katalog!$D$3:$D$12,MATCH(cadangan3[[#This Row],[Item B]],Katalog!$B$3:$B$12,0))*cadangan3[[#This Row],[Qty B]],0)</f>
        <v>0</v>
      </c>
      <c r="T109" s="36">
        <f>IFERROR(cadangan3[[#This Row],[Harga Asli B]]-(cadangan3[[#This Row],[Harga Asli B]]*cadangan3[[#This Row],[Diskon]]),cadangan3[[#This Row],[Harga Asli B]])</f>
        <v>0</v>
      </c>
      <c r="U109" s="36">
        <f>IFERROR(INDEX(Katalog!$F$3:$F$12,MATCH(cadangan3[[#This Row],[ItemID B]],Katalog!$C$3:$C$12,0))*cadangan3[[#This Row],[Qty B]],0)</f>
        <v>0</v>
      </c>
      <c r="V109" s="36">
        <f>IFERROR(cadangan3[[#This Row],[Profit B]]-(cadangan3[[#This Row],[Profit B]]*cadangan3[[#This Row],[Diskon]]),U109)</f>
        <v>0</v>
      </c>
      <c r="X109" t="str">
        <f>IFERROR(INDEX(Katalog!$A$3:$A$12,MATCH(cadangan3[[#This Row],[ItemID C]],Katalog!$C$3:$C$12,0)),"-")</f>
        <v>-</v>
      </c>
      <c r="Y109" t="str">
        <f>IFERROR(INDEX(Katalog!$B$3:$B$12,MATCH(cadangan3[[#This Row],[ItemID C]],Katalog!$C$3:$C$12,0)),"-")</f>
        <v>-</v>
      </c>
      <c r="AB109" s="36">
        <f>IFERROR(INDEX(Katalog!$D$3:$D$12,MATCH(cadangan3[[#This Row],[ItemID C]],Katalog!$C$3:$C$12,0))*cadangan3[[#This Row],[Qty C]],0)</f>
        <v>0</v>
      </c>
      <c r="AC109" s="36">
        <f>IFERROR(INDEX(Katalog!$D$3:$D$12,MATCH(cadangan3[[#This Row],[Item C]],Katalog!$B$3:$B$12,0))*cadangan3[[#This Row],[Qty C]],0)</f>
        <v>0</v>
      </c>
      <c r="AD109" s="36">
        <f>IFERROR(cadangan3[[#This Row],[Harga Asli C]]-(cadangan3[[#This Row],[Harga Asli C]]*cadangan3[[#This Row],[Diskon]]),cadangan3[[#This Row],[Harga Asli C]])</f>
        <v>0</v>
      </c>
      <c r="AE109" s="36">
        <f>IFERROR(INDEX(Katalog!$F$3:$F$12,MATCH(cadangan3[[#This Row],[ItemID C]],Katalog!$C$3:$C$12,0))*cadangan3[[#This Row],[Qty C]],0)</f>
        <v>0</v>
      </c>
      <c r="AF109" s="36">
        <f>IFERROR(cadangan3[[#This Row],[Profit C]]-(cadangan3[[#This Row],[Profit C]]*cadangan3[[#This Row],[Diskon]]),cadangan3[[#This Row],[Profit C]])</f>
        <v>0</v>
      </c>
      <c r="AG109" s="21">
        <f>cadangan3[[#This Row],[Qty A]]+cadangan3[[#This Row],[Qty B]]+cadangan3[[#This Row],[Qty C]]</f>
        <v>7</v>
      </c>
      <c r="AH109" s="35">
        <f>cadangan3[[#This Row],[Harga A + Diskon]]+cadangan3[[#This Row],[Harga + Diskon B]]+cadangan3[[#This Row],[Harga + Diskon C]]</f>
        <v>2082500</v>
      </c>
      <c r="AI109" s="35">
        <f>(cadangan3[[#This Row],[Profit A]]+cadangan3[[#This Row],[Profit B]]+cadangan3[[#This Row],[Profit C]])</f>
        <v>910000</v>
      </c>
      <c r="AJ109" s="35">
        <f>cadangan3[[#This Row],[Provit A + Diskon]]+cadangan3[[#This Row],[Provit B + Diskon]]+cadangan3[[#This Row],[Provit C + Diskon]]</f>
        <v>773500</v>
      </c>
      <c r="AK109" s="23" t="s">
        <v>28</v>
      </c>
      <c r="AL109" s="37">
        <f>IFERROR(INDEX('Kode Diskon'!$D$3:$D$9,MATCH(cadangan3[[#This Row],[Kode diskon]],'Kode Diskon'!$C$3:$C$9,0)),"-")</f>
        <v>0.15</v>
      </c>
      <c r="AM109" s="23" t="s">
        <v>29</v>
      </c>
      <c r="AN109" s="23" t="s">
        <v>14</v>
      </c>
      <c r="AO109" s="23" t="s">
        <v>80</v>
      </c>
      <c r="AP109" s="24">
        <v>45021</v>
      </c>
      <c r="AQ109" s="23" t="str">
        <f>TEXT(cadangan3[[#This Row],[Tanggal terjual]],"dddd")</f>
        <v>Wednesday</v>
      </c>
    </row>
    <row r="110" spans="1:43" x14ac:dyDescent="0.2">
      <c r="A110" s="20">
        <v>109</v>
      </c>
      <c r="B110" s="21" t="str">
        <f>_xlfn.CONCAT("ORD-",INDEX(Helper!$B$2:$B$5,MATCH(cadangan3[[#This Row],[Marketplace]],Helper!$A$2:$A$5,0)),TEXT(cadangan3[[#This Row],[No]],"0000"),"-",TEXT(cadangan3[[#This Row],[Tanggal terjual]],"dd/mm/yy"))</f>
        <v>ORD-SP0109-17/04/23</v>
      </c>
      <c r="C110" t="s">
        <v>67</v>
      </c>
      <c r="D110" t="str">
        <f>IFERROR(INDEX(Katalog!$A$3:$A$12,MATCH(cadangan3[[#This Row],[ItemID A]],Katalog!$C$3:$C$12,0)),"-")</f>
        <v>Sepatu Wanita</v>
      </c>
      <c r="E110" t="str">
        <f>IFERROR(INDEX(Katalog!$B$3:$B$12,MATCH(cadangan3[[#This Row],[ItemID A]],Katalog!$C$3:$C$12,0)),"-")</f>
        <v>Flat Shoes</v>
      </c>
      <c r="F110">
        <v>1</v>
      </c>
      <c r="G110">
        <v>4</v>
      </c>
      <c r="H110" s="36">
        <f>IFERROR(INDEX(Katalog!$D$3:$D$12,MATCH(cadangan3[[#This Row],[ItemID A]],Katalog!$C$3:$C$12,0))*cadangan3[[#This Row],[Qty A]],0)</f>
        <v>250000</v>
      </c>
      <c r="I110" s="36">
        <f>IFERROR(INDEX(Katalog!$D$3:$D$12,MATCH(cadangan3[[#This Row],[Item A]],Katalog!$B$3:$B$12,0))*cadangan3[[#This Row],[Qty A]],0)</f>
        <v>250000</v>
      </c>
      <c r="J110" s="36">
        <f>IFERROR(cadangan3[[#This Row],[Harga Asli A]]-(cadangan3[[#This Row],[Harga Asli A]]*cadangan3[[#This Row],[Diskon]]),cadangan3[[#This Row],[Harga Asli A]])</f>
        <v>200000</v>
      </c>
      <c r="K110" s="36">
        <f>INDEX(Katalog!$F$3:$F$12,MATCH(cadangan3[[#This Row],[ItemID A]],Katalog!$C$3:$C$12,0))*cadangan3[[#This Row],[Qty A]]</f>
        <v>100000</v>
      </c>
      <c r="L110" s="36">
        <f>IFERROR(cadangan3[[#This Row],[Profit A]]-(cadangan3[[#This Row],[Profit A]]*cadangan3[[#This Row],[Diskon]]),K110)</f>
        <v>80000</v>
      </c>
      <c r="M110" t="s">
        <v>62</v>
      </c>
      <c r="N110" t="str">
        <f>IFERROR(INDEX(Katalog!$A$3:$A$12,MATCH(cadangan3[[#This Row],[ItemID B]],Katalog!$C$3:$C$12,0)),"-")</f>
        <v>Pakaian Pria</v>
      </c>
      <c r="O110" t="str">
        <f>IFERROR(INDEX(Katalog!$B$3:$B$12,MATCH(cadangan3[[#This Row],[ItemID B]],Katalog!$C$3:$C$12,0)),"-")</f>
        <v>Celana Pendek</v>
      </c>
      <c r="P110">
        <v>1</v>
      </c>
      <c r="Q110">
        <v>3</v>
      </c>
      <c r="R110" s="36">
        <f>IFERROR(INDEX(Katalog!$D$3:$D$12,MATCH(cadangan3[[#This Row],[ItemID B]],Katalog!$C$3:$C$12,0))*cadangan3[[#This Row],[Qty B]],0)</f>
        <v>180000</v>
      </c>
      <c r="S110" s="36">
        <f>IFERROR(INDEX(Katalog!$D$3:$D$12,MATCH(cadangan3[[#This Row],[Item B]],Katalog!$B$3:$B$12,0))*cadangan3[[#This Row],[Qty B]],0)</f>
        <v>180000</v>
      </c>
      <c r="T110" s="36">
        <f>IFERROR(cadangan3[[#This Row],[Harga Asli B]]-(cadangan3[[#This Row],[Harga Asli B]]*cadangan3[[#This Row],[Diskon]]),cadangan3[[#This Row],[Harga Asli B]])</f>
        <v>144000</v>
      </c>
      <c r="U110" s="36">
        <f>IFERROR(INDEX(Katalog!$F$3:$F$12,MATCH(cadangan3[[#This Row],[ItemID B]],Katalog!$C$3:$C$12,0))*cadangan3[[#This Row],[Qty B]],0)</f>
        <v>70000</v>
      </c>
      <c r="V110" s="36">
        <f>IFERROR(cadangan3[[#This Row],[Profit B]]-(cadangan3[[#This Row],[Profit B]]*cadangan3[[#This Row],[Diskon]]),U110)</f>
        <v>56000</v>
      </c>
      <c r="X110" t="str">
        <f>IFERROR(INDEX(Katalog!$A$3:$A$12,MATCH(cadangan3[[#This Row],[ItemID C]],Katalog!$C$3:$C$12,0)),"-")</f>
        <v>-</v>
      </c>
      <c r="Y110" t="str">
        <f>IFERROR(INDEX(Katalog!$B$3:$B$12,MATCH(cadangan3[[#This Row],[ItemID C]],Katalog!$C$3:$C$12,0)),"-")</f>
        <v>-</v>
      </c>
      <c r="AB110" s="36">
        <f>IFERROR(INDEX(Katalog!$D$3:$D$12,MATCH(cadangan3[[#This Row],[ItemID C]],Katalog!$C$3:$C$12,0))*cadangan3[[#This Row],[Qty C]],0)</f>
        <v>0</v>
      </c>
      <c r="AC110" s="36">
        <f>IFERROR(INDEX(Katalog!$D$3:$D$12,MATCH(cadangan3[[#This Row],[Item C]],Katalog!$B$3:$B$12,0))*cadangan3[[#This Row],[Qty C]],0)</f>
        <v>0</v>
      </c>
      <c r="AD110" s="36">
        <f>IFERROR(cadangan3[[#This Row],[Harga Asli C]]-(cadangan3[[#This Row],[Harga Asli C]]*cadangan3[[#This Row],[Diskon]]),cadangan3[[#This Row],[Harga Asli C]])</f>
        <v>0</v>
      </c>
      <c r="AE110" s="36">
        <f>IFERROR(INDEX(Katalog!$F$3:$F$12,MATCH(cadangan3[[#This Row],[ItemID C]],Katalog!$C$3:$C$12,0))*cadangan3[[#This Row],[Qty C]],0)</f>
        <v>0</v>
      </c>
      <c r="AF110" s="36">
        <f>IFERROR(cadangan3[[#This Row],[Profit C]]-(cadangan3[[#This Row],[Profit C]]*cadangan3[[#This Row],[Diskon]]),cadangan3[[#This Row],[Profit C]])</f>
        <v>0</v>
      </c>
      <c r="AG110" s="21">
        <f>cadangan3[[#This Row],[Qty A]]+cadangan3[[#This Row],[Qty B]]+cadangan3[[#This Row],[Qty C]]</f>
        <v>2</v>
      </c>
      <c r="AH110" s="35">
        <f>cadangan3[[#This Row],[Harga A + Diskon]]+cadangan3[[#This Row],[Harga + Diskon B]]+cadangan3[[#This Row],[Harga + Diskon C]]</f>
        <v>344000</v>
      </c>
      <c r="AI110" s="35">
        <f>(cadangan3[[#This Row],[Profit A]]+cadangan3[[#This Row],[Profit B]]+cadangan3[[#This Row],[Profit C]])</f>
        <v>170000</v>
      </c>
      <c r="AJ110" s="35">
        <f>cadangan3[[#This Row],[Provit A + Diskon]]+cadangan3[[#This Row],[Provit B + Diskon]]+cadangan3[[#This Row],[Provit C + Diskon]]</f>
        <v>136000</v>
      </c>
      <c r="AK110" s="23" t="s">
        <v>8</v>
      </c>
      <c r="AL110" s="37">
        <f>IFERROR(INDEX('Kode Diskon'!$D$3:$D$9,MATCH(cadangan3[[#This Row],[Kode diskon]],'Kode Diskon'!$C$3:$C$9,0)),"-")</f>
        <v>0.2</v>
      </c>
      <c r="AM110" s="23" t="s">
        <v>9</v>
      </c>
      <c r="AN110" s="23" t="s">
        <v>7</v>
      </c>
      <c r="AO110" s="23" t="s">
        <v>77</v>
      </c>
      <c r="AP110" s="24">
        <v>45033</v>
      </c>
      <c r="AQ110" s="23" t="str">
        <f>TEXT(cadangan3[[#This Row],[Tanggal terjual]],"dddd")</f>
        <v>Monday</v>
      </c>
    </row>
    <row r="111" spans="1:43" x14ac:dyDescent="0.2">
      <c r="A111" s="20">
        <v>110</v>
      </c>
      <c r="B111" s="21" t="str">
        <f>_xlfn.CONCAT("ORD-",INDEX(Helper!$B$2:$B$5,MATCH(cadangan3[[#This Row],[Marketplace]],Helper!$A$2:$A$5,0)),TEXT(cadangan3[[#This Row],[No]],"0000"),"-",TEXT(cadangan3[[#This Row],[Tanggal terjual]],"dd/mm/yy"))</f>
        <v>ORD-SP0110-06/04/23</v>
      </c>
      <c r="C111" t="s">
        <v>58</v>
      </c>
      <c r="D111" t="str">
        <f>IFERROR(INDEX(Katalog!$A$3:$A$12,MATCH(cadangan3[[#This Row],[ItemID A]],Katalog!$C$3:$C$12,0)),"-")</f>
        <v>Pakaian Wanita</v>
      </c>
      <c r="E111" t="str">
        <f>IFERROR(INDEX(Katalog!$B$3:$B$12,MATCH(cadangan3[[#This Row],[ItemID A]],Katalog!$C$3:$C$12,0)),"-")</f>
        <v>Dress</v>
      </c>
      <c r="F111">
        <v>4</v>
      </c>
      <c r="G111">
        <v>2</v>
      </c>
      <c r="H111" s="36">
        <f>IFERROR(INDEX(Katalog!$D$3:$D$12,MATCH(cadangan3[[#This Row],[ItemID A]],Katalog!$C$3:$C$12,0))*cadangan3[[#This Row],[Qty A]],0)</f>
        <v>1200000</v>
      </c>
      <c r="I111" s="36">
        <f>IFERROR(INDEX(Katalog!$D$3:$D$12,MATCH(cadangan3[[#This Row],[Item A]],Katalog!$B$3:$B$12,0))*cadangan3[[#This Row],[Qty A]],0)</f>
        <v>1200000</v>
      </c>
      <c r="J111" s="36">
        <f>IFERROR(cadangan3[[#This Row],[Harga Asli A]]-(cadangan3[[#This Row],[Harga Asli A]]*cadangan3[[#This Row],[Diskon]]),cadangan3[[#This Row],[Harga Asli A]])</f>
        <v>1080000</v>
      </c>
      <c r="K111" s="36">
        <f>INDEX(Katalog!$F$3:$F$12,MATCH(cadangan3[[#This Row],[ItemID A]],Katalog!$C$3:$C$12,0))*cadangan3[[#This Row],[Qty A]]</f>
        <v>400000</v>
      </c>
      <c r="L111" s="36">
        <f>IFERROR(cadangan3[[#This Row],[Profit A]]-(cadangan3[[#This Row],[Profit A]]*cadangan3[[#This Row],[Diskon]]),K111)</f>
        <v>360000</v>
      </c>
      <c r="N111" t="str">
        <f>IFERROR(INDEX(Katalog!$A$3:$A$12,MATCH(cadangan3[[#This Row],[ItemID B]],Katalog!$C$3:$C$12,0)),"-")</f>
        <v>-</v>
      </c>
      <c r="O111" t="str">
        <f>IFERROR(INDEX(Katalog!$B$3:$B$12,MATCH(cadangan3[[#This Row],[ItemID B]],Katalog!$C$3:$C$12,0)),"-")</f>
        <v>-</v>
      </c>
      <c r="R111" s="36">
        <f>IFERROR(INDEX(Katalog!$D$3:$D$12,MATCH(cadangan3[[#This Row],[ItemID B]],Katalog!$C$3:$C$12,0))*cadangan3[[#This Row],[Qty B]],0)</f>
        <v>0</v>
      </c>
      <c r="S111" s="36">
        <f>IFERROR(INDEX(Katalog!$D$3:$D$12,MATCH(cadangan3[[#This Row],[Item B]],Katalog!$B$3:$B$12,0))*cadangan3[[#This Row],[Qty B]],0)</f>
        <v>0</v>
      </c>
      <c r="T111" s="36">
        <f>IFERROR(cadangan3[[#This Row],[Harga Asli B]]-(cadangan3[[#This Row],[Harga Asli B]]*cadangan3[[#This Row],[Diskon]]),cadangan3[[#This Row],[Harga Asli B]])</f>
        <v>0</v>
      </c>
      <c r="U111" s="36">
        <f>IFERROR(INDEX(Katalog!$F$3:$F$12,MATCH(cadangan3[[#This Row],[ItemID B]],Katalog!$C$3:$C$12,0))*cadangan3[[#This Row],[Qty B]],0)</f>
        <v>0</v>
      </c>
      <c r="V111" s="36">
        <f>IFERROR(cadangan3[[#This Row],[Profit B]]-(cadangan3[[#This Row],[Profit B]]*cadangan3[[#This Row],[Diskon]]),U111)</f>
        <v>0</v>
      </c>
      <c r="X111" t="str">
        <f>IFERROR(INDEX(Katalog!$A$3:$A$12,MATCH(cadangan3[[#This Row],[ItemID C]],Katalog!$C$3:$C$12,0)),"-")</f>
        <v>-</v>
      </c>
      <c r="Y111" t="str">
        <f>IFERROR(INDEX(Katalog!$B$3:$B$12,MATCH(cadangan3[[#This Row],[ItemID C]],Katalog!$C$3:$C$12,0)),"-")</f>
        <v>-</v>
      </c>
      <c r="AB111" s="36">
        <f>IFERROR(INDEX(Katalog!$D$3:$D$12,MATCH(cadangan3[[#This Row],[ItemID C]],Katalog!$C$3:$C$12,0))*cadangan3[[#This Row],[Qty C]],0)</f>
        <v>0</v>
      </c>
      <c r="AC111" s="36">
        <f>IFERROR(INDEX(Katalog!$D$3:$D$12,MATCH(cadangan3[[#This Row],[Item C]],Katalog!$B$3:$B$12,0))*cadangan3[[#This Row],[Qty C]],0)</f>
        <v>0</v>
      </c>
      <c r="AD111" s="36">
        <f>IFERROR(cadangan3[[#This Row],[Harga Asli C]]-(cadangan3[[#This Row],[Harga Asli C]]*cadangan3[[#This Row],[Diskon]]),cadangan3[[#This Row],[Harga Asli C]])</f>
        <v>0</v>
      </c>
      <c r="AE111" s="36">
        <f>IFERROR(INDEX(Katalog!$F$3:$F$12,MATCH(cadangan3[[#This Row],[ItemID C]],Katalog!$C$3:$C$12,0))*cadangan3[[#This Row],[Qty C]],0)</f>
        <v>0</v>
      </c>
      <c r="AF111" s="36">
        <f>IFERROR(cadangan3[[#This Row],[Profit C]]-(cadangan3[[#This Row],[Profit C]]*cadangan3[[#This Row],[Diskon]]),cadangan3[[#This Row],[Profit C]])</f>
        <v>0</v>
      </c>
      <c r="AG111" s="21">
        <f>cadangan3[[#This Row],[Qty A]]+cadangan3[[#This Row],[Qty B]]+cadangan3[[#This Row],[Qty C]]</f>
        <v>4</v>
      </c>
      <c r="AH111" s="35">
        <f>cadangan3[[#This Row],[Harga A + Diskon]]+cadangan3[[#This Row],[Harga + Diskon B]]+cadangan3[[#This Row],[Harga + Diskon C]]</f>
        <v>1080000</v>
      </c>
      <c r="AI111" s="35">
        <f>(cadangan3[[#This Row],[Profit A]]+cadangan3[[#This Row],[Profit B]]+cadangan3[[#This Row],[Profit C]])</f>
        <v>400000</v>
      </c>
      <c r="AJ111" s="35">
        <f>cadangan3[[#This Row],[Provit A + Diskon]]+cadangan3[[#This Row],[Provit B + Diskon]]+cadangan3[[#This Row],[Provit C + Diskon]]</f>
        <v>360000</v>
      </c>
      <c r="AK111" s="23" t="s">
        <v>6</v>
      </c>
      <c r="AL111" s="37">
        <f>IFERROR(INDEX('Kode Diskon'!$D$3:$D$9,MATCH(cadangan3[[#This Row],[Kode diskon]],'Kode Diskon'!$C$3:$C$9,0)),"-")</f>
        <v>0.1</v>
      </c>
      <c r="AM111" s="23" t="s">
        <v>29</v>
      </c>
      <c r="AN111" s="23" t="s">
        <v>7</v>
      </c>
      <c r="AO111" s="23" t="s">
        <v>75</v>
      </c>
      <c r="AP111" s="24">
        <v>45022</v>
      </c>
      <c r="AQ111" s="23" t="str">
        <f>TEXT(cadangan3[[#This Row],[Tanggal terjual]],"dddd")</f>
        <v>Thursday</v>
      </c>
    </row>
    <row r="112" spans="1:43" x14ac:dyDescent="0.2">
      <c r="A112" s="20">
        <v>111</v>
      </c>
      <c r="B112" s="21" t="str">
        <f>_xlfn.CONCAT("ORD-",INDEX(Helper!$B$2:$B$5,MATCH(cadangan3[[#This Row],[Marketplace]],Helper!$A$2:$A$5,0)),TEXT(cadangan3[[#This Row],[No]],"0000"),"-",TEXT(cadangan3[[#This Row],[Tanggal terjual]],"dd/mm/yy"))</f>
        <v>ORD-BL0111-10/04/23</v>
      </c>
      <c r="C112" t="s">
        <v>63</v>
      </c>
      <c r="D112" t="str">
        <f>IFERROR(INDEX(Katalog!$A$3:$A$12,MATCH(cadangan3[[#This Row],[ItemID A]],Katalog!$C$3:$C$12,0)),"-")</f>
        <v>Pakaian Pria</v>
      </c>
      <c r="E112" t="str">
        <f>IFERROR(INDEX(Katalog!$B$3:$B$12,MATCH(cadangan3[[#This Row],[ItemID A]],Katalog!$C$3:$C$12,0)),"-")</f>
        <v>Jaket Jeans</v>
      </c>
      <c r="F112">
        <v>3</v>
      </c>
      <c r="G112">
        <v>4</v>
      </c>
      <c r="H112" s="36">
        <f>IFERROR(INDEX(Katalog!$D$3:$D$12,MATCH(cadangan3[[#This Row],[ItemID A]],Katalog!$C$3:$C$12,0))*cadangan3[[#This Row],[Qty A]],0)</f>
        <v>1200000</v>
      </c>
      <c r="I112" s="36">
        <f>IFERROR(INDEX(Katalog!$D$3:$D$12,MATCH(cadangan3[[#This Row],[Item A]],Katalog!$B$3:$B$12,0))*cadangan3[[#This Row],[Qty A]],0)</f>
        <v>1200000</v>
      </c>
      <c r="J112" s="36">
        <f>IFERROR(cadangan3[[#This Row],[Harga Asli A]]-(cadangan3[[#This Row],[Harga Asli A]]*cadangan3[[#This Row],[Diskon]]),cadangan3[[#This Row],[Harga Asli A]])</f>
        <v>1200000</v>
      </c>
      <c r="K112" s="36">
        <f>INDEX(Katalog!$F$3:$F$12,MATCH(cadangan3[[#This Row],[ItemID A]],Katalog!$C$3:$C$12,0))*cadangan3[[#This Row],[Qty A]]</f>
        <v>450000</v>
      </c>
      <c r="L112" s="36">
        <f>IFERROR(cadangan3[[#This Row],[Profit A]]-(cadangan3[[#This Row],[Profit A]]*cadangan3[[#This Row],[Diskon]]),K112)</f>
        <v>450000</v>
      </c>
      <c r="M112" t="s">
        <v>61</v>
      </c>
      <c r="N112" t="str">
        <f>IFERROR(INDEX(Katalog!$A$3:$A$12,MATCH(cadangan3[[#This Row],[ItemID B]],Katalog!$C$3:$C$12,0)),"-")</f>
        <v>Pakaian Pria</v>
      </c>
      <c r="O112" t="str">
        <f>IFERROR(INDEX(Katalog!$B$3:$B$12,MATCH(cadangan3[[#This Row],[ItemID B]],Katalog!$C$3:$C$12,0)),"-")</f>
        <v>Kaos Polo</v>
      </c>
      <c r="P112">
        <v>2</v>
      </c>
      <c r="Q112">
        <v>5</v>
      </c>
      <c r="R112" s="36">
        <f>IFERROR(INDEX(Katalog!$D$3:$D$12,MATCH(cadangan3[[#This Row],[ItemID B]],Katalog!$C$3:$C$12,0))*cadangan3[[#This Row],[Qty B]],0)</f>
        <v>400000</v>
      </c>
      <c r="S112" s="36">
        <f>IFERROR(INDEX(Katalog!$D$3:$D$12,MATCH(cadangan3[[#This Row],[Item B]],Katalog!$B$3:$B$12,0))*cadangan3[[#This Row],[Qty B]],0)</f>
        <v>400000</v>
      </c>
      <c r="T112" s="36">
        <f>IFERROR(cadangan3[[#This Row],[Harga Asli B]]-(cadangan3[[#This Row],[Harga Asli B]]*cadangan3[[#This Row],[Diskon]]),cadangan3[[#This Row],[Harga Asli B]])</f>
        <v>400000</v>
      </c>
      <c r="U112" s="36">
        <f>IFERROR(INDEX(Katalog!$F$3:$F$12,MATCH(cadangan3[[#This Row],[ItemID B]],Katalog!$C$3:$C$12,0))*cadangan3[[#This Row],[Qty B]],0)</f>
        <v>160000</v>
      </c>
      <c r="V112" s="36">
        <f>IFERROR(cadangan3[[#This Row],[Profit B]]-(cadangan3[[#This Row],[Profit B]]*cadangan3[[#This Row],[Diskon]]),U112)</f>
        <v>160000</v>
      </c>
      <c r="W112" t="s">
        <v>65</v>
      </c>
      <c r="X112" t="str">
        <f>IFERROR(INDEX(Katalog!$A$3:$A$12,MATCH(cadangan3[[#This Row],[ItemID C]],Katalog!$C$3:$C$12,0)),"-")</f>
        <v>Sepatu Pria</v>
      </c>
      <c r="Y112" t="str">
        <f>IFERROR(INDEX(Katalog!$B$3:$B$12,MATCH(cadangan3[[#This Row],[ItemID C]],Katalog!$C$3:$C$12,0)),"-")</f>
        <v>Sneakers</v>
      </c>
      <c r="Z112">
        <v>1</v>
      </c>
      <c r="AA112">
        <v>5</v>
      </c>
      <c r="AB112" s="36">
        <f>IFERROR(INDEX(Katalog!$D$3:$D$12,MATCH(cadangan3[[#This Row],[ItemID C]],Katalog!$C$3:$C$12,0))*cadangan3[[#This Row],[Qty C]],0)</f>
        <v>500000</v>
      </c>
      <c r="AC112" s="36">
        <f>IFERROR(INDEX(Katalog!$D$3:$D$12,MATCH(cadangan3[[#This Row],[Item C]],Katalog!$B$3:$B$12,0))*cadangan3[[#This Row],[Qty C]],0)</f>
        <v>500000</v>
      </c>
      <c r="AD112" s="36">
        <f>IFERROR(cadangan3[[#This Row],[Harga Asli C]]-(cadangan3[[#This Row],[Harga Asli C]]*cadangan3[[#This Row],[Diskon]]),cadangan3[[#This Row],[Harga Asli C]])</f>
        <v>500000</v>
      </c>
      <c r="AE112" s="36">
        <f>IFERROR(INDEX(Katalog!$F$3:$F$12,MATCH(cadangan3[[#This Row],[ItemID C]],Katalog!$C$3:$C$12,0))*cadangan3[[#This Row],[Qty C]],0)</f>
        <v>200000</v>
      </c>
      <c r="AF112" s="36">
        <f>IFERROR(cadangan3[[#This Row],[Profit C]]-(cadangan3[[#This Row],[Profit C]]*cadangan3[[#This Row],[Diskon]]),cadangan3[[#This Row],[Profit C]])</f>
        <v>200000</v>
      </c>
      <c r="AG112" s="21">
        <f>cadangan3[[#This Row],[Qty A]]+cadangan3[[#This Row],[Qty B]]+cadangan3[[#This Row],[Qty C]]</f>
        <v>6</v>
      </c>
      <c r="AH112" s="35">
        <f>cadangan3[[#This Row],[Harga A + Diskon]]+cadangan3[[#This Row],[Harga + Diskon B]]+cadangan3[[#This Row],[Harga + Diskon C]]</f>
        <v>2100000</v>
      </c>
      <c r="AI112" s="35">
        <f>(cadangan3[[#This Row],[Profit A]]+cadangan3[[#This Row],[Profit B]]+cadangan3[[#This Row],[Profit C]])</f>
        <v>810000</v>
      </c>
      <c r="AJ112" s="35">
        <f>cadangan3[[#This Row],[Provit A + Diskon]]+cadangan3[[#This Row],[Provit B + Diskon]]+cadangan3[[#This Row],[Provit C + Diskon]]</f>
        <v>810000</v>
      </c>
      <c r="AK112" s="23" t="s">
        <v>11</v>
      </c>
      <c r="AL112" s="37" t="str">
        <f>IFERROR(INDEX('Kode Diskon'!$D$3:$D$9,MATCH(cadangan3[[#This Row],[Kode diskon]],'Kode Diskon'!$C$3:$C$9,0)),"-")</f>
        <v>-</v>
      </c>
      <c r="AM112" s="23" t="s">
        <v>11</v>
      </c>
      <c r="AN112" s="23" t="s">
        <v>12</v>
      </c>
      <c r="AO112" s="23" t="s">
        <v>77</v>
      </c>
      <c r="AP112" s="24">
        <v>45026</v>
      </c>
      <c r="AQ112" s="23" t="str">
        <f>TEXT(cadangan3[[#This Row],[Tanggal terjual]],"dddd")</f>
        <v>Monday</v>
      </c>
    </row>
    <row r="113" spans="1:43" x14ac:dyDescent="0.2">
      <c r="A113" s="20">
        <v>112</v>
      </c>
      <c r="B113" s="21" t="str">
        <f>_xlfn.CONCAT("ORD-",INDEX(Helper!$B$2:$B$5,MATCH(cadangan3[[#This Row],[Marketplace]],Helper!$A$2:$A$5,0)),TEXT(cadangan3[[#This Row],[No]],"0000"),"-",TEXT(cadangan3[[#This Row],[Tanggal terjual]],"dd/mm/yy"))</f>
        <v>ORD-TK0112-18/04/23</v>
      </c>
      <c r="C113" t="s">
        <v>67</v>
      </c>
      <c r="D113" t="str">
        <f>IFERROR(INDEX(Katalog!$A$3:$A$12,MATCH(cadangan3[[#This Row],[ItemID A]],Katalog!$C$3:$C$12,0)),"-")</f>
        <v>Sepatu Wanita</v>
      </c>
      <c r="E113" t="str">
        <f>IFERROR(INDEX(Katalog!$B$3:$B$12,MATCH(cadangan3[[#This Row],[ItemID A]],Katalog!$C$3:$C$12,0)),"-")</f>
        <v>Flat Shoes</v>
      </c>
      <c r="F113">
        <v>1</v>
      </c>
      <c r="G113">
        <v>2</v>
      </c>
      <c r="H113" s="36">
        <f>IFERROR(INDEX(Katalog!$D$3:$D$12,MATCH(cadangan3[[#This Row],[ItemID A]],Katalog!$C$3:$C$12,0))*cadangan3[[#This Row],[Qty A]],0)</f>
        <v>250000</v>
      </c>
      <c r="I113" s="36">
        <f>IFERROR(INDEX(Katalog!$D$3:$D$12,MATCH(cadangan3[[#This Row],[Item A]],Katalog!$B$3:$B$12,0))*cadangan3[[#This Row],[Qty A]],0)</f>
        <v>250000</v>
      </c>
      <c r="J113" s="36">
        <f>IFERROR(cadangan3[[#This Row],[Harga Asli A]]-(cadangan3[[#This Row],[Harga Asli A]]*cadangan3[[#This Row],[Diskon]]),cadangan3[[#This Row],[Harga Asli A]])</f>
        <v>225000</v>
      </c>
      <c r="K113" s="36">
        <f>INDEX(Katalog!$F$3:$F$12,MATCH(cadangan3[[#This Row],[ItemID A]],Katalog!$C$3:$C$12,0))*cadangan3[[#This Row],[Qty A]]</f>
        <v>100000</v>
      </c>
      <c r="L113" s="36">
        <f>IFERROR(cadangan3[[#This Row],[Profit A]]-(cadangan3[[#This Row],[Profit A]]*cadangan3[[#This Row],[Diskon]]),K113)</f>
        <v>90000</v>
      </c>
      <c r="M113" t="s">
        <v>65</v>
      </c>
      <c r="N113" t="str">
        <f>IFERROR(INDEX(Katalog!$A$3:$A$12,MATCH(cadangan3[[#This Row],[ItemID B]],Katalog!$C$3:$C$12,0)),"-")</f>
        <v>Sepatu Pria</v>
      </c>
      <c r="O113" t="str">
        <f>IFERROR(INDEX(Katalog!$B$3:$B$12,MATCH(cadangan3[[#This Row],[ItemID B]],Katalog!$C$3:$C$12,0)),"-")</f>
        <v>Sneakers</v>
      </c>
      <c r="P113">
        <v>1</v>
      </c>
      <c r="Q113">
        <v>2</v>
      </c>
      <c r="R113" s="36">
        <f>IFERROR(INDEX(Katalog!$D$3:$D$12,MATCH(cadangan3[[#This Row],[ItemID B]],Katalog!$C$3:$C$12,0))*cadangan3[[#This Row],[Qty B]],0)</f>
        <v>500000</v>
      </c>
      <c r="S113" s="36">
        <f>IFERROR(INDEX(Katalog!$D$3:$D$12,MATCH(cadangan3[[#This Row],[Item B]],Katalog!$B$3:$B$12,0))*cadangan3[[#This Row],[Qty B]],0)</f>
        <v>500000</v>
      </c>
      <c r="T113" s="36">
        <f>IFERROR(cadangan3[[#This Row],[Harga Asli B]]-(cadangan3[[#This Row],[Harga Asli B]]*cadangan3[[#This Row],[Diskon]]),cadangan3[[#This Row],[Harga Asli B]])</f>
        <v>450000</v>
      </c>
      <c r="U113" s="36">
        <f>IFERROR(INDEX(Katalog!$F$3:$F$12,MATCH(cadangan3[[#This Row],[ItemID B]],Katalog!$C$3:$C$12,0))*cadangan3[[#This Row],[Qty B]],0)</f>
        <v>200000</v>
      </c>
      <c r="V113" s="36">
        <f>IFERROR(cadangan3[[#This Row],[Profit B]]-(cadangan3[[#This Row],[Profit B]]*cadangan3[[#This Row],[Diskon]]),U113)</f>
        <v>180000</v>
      </c>
      <c r="W113" t="s">
        <v>67</v>
      </c>
      <c r="X113" t="str">
        <f>IFERROR(INDEX(Katalog!$A$3:$A$12,MATCH(cadangan3[[#This Row],[ItemID C]],Katalog!$C$3:$C$12,0)),"-")</f>
        <v>Sepatu Wanita</v>
      </c>
      <c r="Y113" t="str">
        <f>IFERROR(INDEX(Katalog!$B$3:$B$12,MATCH(cadangan3[[#This Row],[ItemID C]],Katalog!$C$3:$C$12,0)),"-")</f>
        <v>Flat Shoes</v>
      </c>
      <c r="Z113">
        <v>2</v>
      </c>
      <c r="AA113">
        <v>5</v>
      </c>
      <c r="AB113" s="36">
        <f>IFERROR(INDEX(Katalog!$D$3:$D$12,MATCH(cadangan3[[#This Row],[ItemID C]],Katalog!$C$3:$C$12,0))*cadangan3[[#This Row],[Qty C]],0)</f>
        <v>500000</v>
      </c>
      <c r="AC113" s="36">
        <f>IFERROR(INDEX(Katalog!$D$3:$D$12,MATCH(cadangan3[[#This Row],[Item C]],Katalog!$B$3:$B$12,0))*cadangan3[[#This Row],[Qty C]],0)</f>
        <v>500000</v>
      </c>
      <c r="AD113" s="36">
        <f>IFERROR(cadangan3[[#This Row],[Harga Asli C]]-(cadangan3[[#This Row],[Harga Asli C]]*cadangan3[[#This Row],[Diskon]]),cadangan3[[#This Row],[Harga Asli C]])</f>
        <v>450000</v>
      </c>
      <c r="AE113" s="36">
        <f>IFERROR(INDEX(Katalog!$F$3:$F$12,MATCH(cadangan3[[#This Row],[ItemID C]],Katalog!$C$3:$C$12,0))*cadangan3[[#This Row],[Qty C]],0)</f>
        <v>200000</v>
      </c>
      <c r="AF113" s="36">
        <f>IFERROR(cadangan3[[#This Row],[Profit C]]-(cadangan3[[#This Row],[Profit C]]*cadangan3[[#This Row],[Diskon]]),cadangan3[[#This Row],[Profit C]])</f>
        <v>180000</v>
      </c>
      <c r="AG113" s="21">
        <f>cadangan3[[#This Row],[Qty A]]+cadangan3[[#This Row],[Qty B]]+cadangan3[[#This Row],[Qty C]]</f>
        <v>4</v>
      </c>
      <c r="AH113" s="35">
        <f>cadangan3[[#This Row],[Harga A + Diskon]]+cadangan3[[#This Row],[Harga + Diskon B]]+cadangan3[[#This Row],[Harga + Diskon C]]</f>
        <v>1125000</v>
      </c>
      <c r="AI113" s="35">
        <f>(cadangan3[[#This Row],[Profit A]]+cadangan3[[#This Row],[Profit B]]+cadangan3[[#This Row],[Profit C]])</f>
        <v>500000</v>
      </c>
      <c r="AJ113" s="35">
        <f>cadangan3[[#This Row],[Provit A + Diskon]]+cadangan3[[#This Row],[Provit B + Diskon]]+cadangan3[[#This Row],[Provit C + Diskon]]</f>
        <v>450000</v>
      </c>
      <c r="AK113" s="23" t="s">
        <v>31</v>
      </c>
      <c r="AL113" s="37">
        <f>IFERROR(INDEX('Kode Diskon'!$D$3:$D$9,MATCH(cadangan3[[#This Row],[Kode diskon]],'Kode Diskon'!$C$3:$C$9,0)),"-")</f>
        <v>0.1</v>
      </c>
      <c r="AM113" s="23" t="s">
        <v>9</v>
      </c>
      <c r="AN113" s="23" t="s">
        <v>10</v>
      </c>
      <c r="AO113" s="23" t="s">
        <v>76</v>
      </c>
      <c r="AP113" s="24">
        <v>45034</v>
      </c>
      <c r="AQ113" s="23" t="str">
        <f>TEXT(cadangan3[[#This Row],[Tanggal terjual]],"dddd")</f>
        <v>Tuesday</v>
      </c>
    </row>
    <row r="114" spans="1:43" x14ac:dyDescent="0.2">
      <c r="A114" s="20">
        <v>113</v>
      </c>
      <c r="B114" s="21" t="str">
        <f>_xlfn.CONCAT("ORD-",INDEX(Helper!$B$2:$B$5,MATCH(cadangan3[[#This Row],[Marketplace]],Helper!$A$2:$A$5,0)),TEXT(cadangan3[[#This Row],[No]],"0000"),"-",TEXT(cadangan3[[#This Row],[Tanggal terjual]],"dd/mm/yy"))</f>
        <v>ORD-BB0113-14/04/23</v>
      </c>
      <c r="C114" t="s">
        <v>65</v>
      </c>
      <c r="D114" t="str">
        <f>IFERROR(INDEX(Katalog!$A$3:$A$12,MATCH(cadangan3[[#This Row],[ItemID A]],Katalog!$C$3:$C$12,0)),"-")</f>
        <v>Sepatu Pria</v>
      </c>
      <c r="E114" t="str">
        <f>IFERROR(INDEX(Katalog!$B$3:$B$12,MATCH(cadangan3[[#This Row],[ItemID A]],Katalog!$C$3:$C$12,0)),"-")</f>
        <v>Sneakers</v>
      </c>
      <c r="F114">
        <v>3</v>
      </c>
      <c r="G114">
        <v>1</v>
      </c>
      <c r="H114" s="36">
        <f>IFERROR(INDEX(Katalog!$D$3:$D$12,MATCH(cadangan3[[#This Row],[ItemID A]],Katalog!$C$3:$C$12,0))*cadangan3[[#This Row],[Qty A]],0)</f>
        <v>1500000</v>
      </c>
      <c r="I114" s="36">
        <f>IFERROR(INDEX(Katalog!$D$3:$D$12,MATCH(cadangan3[[#This Row],[Item A]],Katalog!$B$3:$B$12,0))*cadangan3[[#This Row],[Qty A]],0)</f>
        <v>1500000</v>
      </c>
      <c r="J114" s="36">
        <f>IFERROR(cadangan3[[#This Row],[Harga Asli A]]-(cadangan3[[#This Row],[Harga Asli A]]*cadangan3[[#This Row],[Diskon]]),cadangan3[[#This Row],[Harga Asli A]])</f>
        <v>1500000</v>
      </c>
      <c r="K114" s="36">
        <f>INDEX(Katalog!$F$3:$F$12,MATCH(cadangan3[[#This Row],[ItemID A]],Katalog!$C$3:$C$12,0))*cadangan3[[#This Row],[Qty A]]</f>
        <v>600000</v>
      </c>
      <c r="L114" s="36">
        <f>IFERROR(cadangan3[[#This Row],[Profit A]]-(cadangan3[[#This Row],[Profit A]]*cadangan3[[#This Row],[Diskon]]),K114)</f>
        <v>600000</v>
      </c>
      <c r="M114" t="s">
        <v>60</v>
      </c>
      <c r="N114" t="str">
        <f>IFERROR(INDEX(Katalog!$A$3:$A$12,MATCH(cadangan3[[#This Row],[ItemID B]],Katalog!$C$3:$C$12,0)),"-")</f>
        <v>Pakaian Wanita</v>
      </c>
      <c r="O114" t="str">
        <f>IFERROR(INDEX(Katalog!$B$3:$B$12,MATCH(cadangan3[[#This Row],[ItemID B]],Katalog!$C$3:$C$12,0)),"-")</f>
        <v>Kaftan</v>
      </c>
      <c r="P114">
        <v>1</v>
      </c>
      <c r="Q114">
        <v>4</v>
      </c>
      <c r="R114" s="36">
        <f>IFERROR(INDEX(Katalog!$D$3:$D$12,MATCH(cadangan3[[#This Row],[ItemID B]],Katalog!$C$3:$C$12,0))*cadangan3[[#This Row],[Qty B]],0)</f>
        <v>250000</v>
      </c>
      <c r="S114" s="36">
        <f>IFERROR(INDEX(Katalog!$D$3:$D$12,MATCH(cadangan3[[#This Row],[Item B]],Katalog!$B$3:$B$12,0))*cadangan3[[#This Row],[Qty B]],0)</f>
        <v>250000</v>
      </c>
      <c r="T114" s="36">
        <f>IFERROR(cadangan3[[#This Row],[Harga Asli B]]-(cadangan3[[#This Row],[Harga Asli B]]*cadangan3[[#This Row],[Diskon]]),cadangan3[[#This Row],[Harga Asli B]])</f>
        <v>250000</v>
      </c>
      <c r="U114" s="36">
        <f>IFERROR(INDEX(Katalog!$F$3:$F$12,MATCH(cadangan3[[#This Row],[ItemID B]],Katalog!$C$3:$C$12,0))*cadangan3[[#This Row],[Qty B]],0)</f>
        <v>100000</v>
      </c>
      <c r="V114" s="36">
        <f>IFERROR(cadangan3[[#This Row],[Profit B]]-(cadangan3[[#This Row],[Profit B]]*cadangan3[[#This Row],[Diskon]]),U114)</f>
        <v>100000</v>
      </c>
      <c r="X114" t="str">
        <f>IFERROR(INDEX(Katalog!$A$3:$A$12,MATCH(cadangan3[[#This Row],[ItemID C]],Katalog!$C$3:$C$12,0)),"-")</f>
        <v>-</v>
      </c>
      <c r="Y114" t="str">
        <f>IFERROR(INDEX(Katalog!$B$3:$B$12,MATCH(cadangan3[[#This Row],[ItemID C]],Katalog!$C$3:$C$12,0)),"-")</f>
        <v>-</v>
      </c>
      <c r="AB114" s="36">
        <f>IFERROR(INDEX(Katalog!$D$3:$D$12,MATCH(cadangan3[[#This Row],[ItemID C]],Katalog!$C$3:$C$12,0))*cadangan3[[#This Row],[Qty C]],0)</f>
        <v>0</v>
      </c>
      <c r="AC114" s="36">
        <f>IFERROR(INDEX(Katalog!$D$3:$D$12,MATCH(cadangan3[[#This Row],[Item C]],Katalog!$B$3:$B$12,0))*cadangan3[[#This Row],[Qty C]],0)</f>
        <v>0</v>
      </c>
      <c r="AD114" s="36">
        <f>IFERROR(cadangan3[[#This Row],[Harga Asli C]]-(cadangan3[[#This Row],[Harga Asli C]]*cadangan3[[#This Row],[Diskon]]),cadangan3[[#This Row],[Harga Asli C]])</f>
        <v>0</v>
      </c>
      <c r="AE114" s="36">
        <f>IFERROR(INDEX(Katalog!$F$3:$F$12,MATCH(cadangan3[[#This Row],[ItemID C]],Katalog!$C$3:$C$12,0))*cadangan3[[#This Row],[Qty C]],0)</f>
        <v>0</v>
      </c>
      <c r="AF114" s="36">
        <f>IFERROR(cadangan3[[#This Row],[Profit C]]-(cadangan3[[#This Row],[Profit C]]*cadangan3[[#This Row],[Diskon]]),cadangan3[[#This Row],[Profit C]])</f>
        <v>0</v>
      </c>
      <c r="AG114" s="21">
        <f>cadangan3[[#This Row],[Qty A]]+cadangan3[[#This Row],[Qty B]]+cadangan3[[#This Row],[Qty C]]</f>
        <v>4</v>
      </c>
      <c r="AH114" s="35">
        <f>cadangan3[[#This Row],[Harga A + Diskon]]+cadangan3[[#This Row],[Harga + Diskon B]]+cadangan3[[#This Row],[Harga + Diskon C]]</f>
        <v>1750000</v>
      </c>
      <c r="AI114" s="35">
        <f>(cadangan3[[#This Row],[Profit A]]+cadangan3[[#This Row],[Profit B]]+cadangan3[[#This Row],[Profit C]])</f>
        <v>700000</v>
      </c>
      <c r="AJ114" s="35">
        <f>cadangan3[[#This Row],[Provit A + Diskon]]+cadangan3[[#This Row],[Provit B + Diskon]]+cadangan3[[#This Row],[Provit C + Diskon]]</f>
        <v>700000</v>
      </c>
      <c r="AK114" s="23" t="s">
        <v>11</v>
      </c>
      <c r="AL114" s="37" t="str">
        <f>IFERROR(INDEX('Kode Diskon'!$D$3:$D$9,MATCH(cadangan3[[#This Row],[Kode diskon]],'Kode Diskon'!$C$3:$C$9,0)),"-")</f>
        <v>-</v>
      </c>
      <c r="AM114" s="23" t="s">
        <v>11</v>
      </c>
      <c r="AN114" s="23" t="s">
        <v>14</v>
      </c>
      <c r="AO114" s="23" t="s">
        <v>75</v>
      </c>
      <c r="AP114" s="24">
        <v>45030</v>
      </c>
      <c r="AQ114" s="23" t="str">
        <f>TEXT(cadangan3[[#This Row],[Tanggal terjual]],"dddd")</f>
        <v>Friday</v>
      </c>
    </row>
    <row r="115" spans="1:43" x14ac:dyDescent="0.2">
      <c r="A115" s="20">
        <v>114</v>
      </c>
      <c r="B115" s="21" t="str">
        <f>_xlfn.CONCAT("ORD-",INDEX(Helper!$B$2:$B$5,MATCH(cadangan3[[#This Row],[Marketplace]],Helper!$A$2:$A$5,0)),TEXT(cadangan3[[#This Row],[No]],"0000"),"-",TEXT(cadangan3[[#This Row],[Tanggal terjual]],"dd/mm/yy"))</f>
        <v>ORD-TK0114-04/04/23</v>
      </c>
      <c r="C115" t="s">
        <v>64</v>
      </c>
      <c r="D115" t="str">
        <f>IFERROR(INDEX(Katalog!$A$3:$A$12,MATCH(cadangan3[[#This Row],[ItemID A]],Katalog!$C$3:$C$12,0)),"-")</f>
        <v>Pakaian Unisex</v>
      </c>
      <c r="E115" t="str">
        <f>IFERROR(INDEX(Katalog!$B$3:$B$12,MATCH(cadangan3[[#This Row],[ItemID A]],Katalog!$C$3:$C$12,0)),"-")</f>
        <v>Jaket Hoodie</v>
      </c>
      <c r="F115">
        <v>2</v>
      </c>
      <c r="G115">
        <v>3</v>
      </c>
      <c r="H115" s="36">
        <f>IFERROR(INDEX(Katalog!$D$3:$D$12,MATCH(cadangan3[[#This Row],[ItemID A]],Katalog!$C$3:$C$12,0))*cadangan3[[#This Row],[Qty A]],0)</f>
        <v>700000</v>
      </c>
      <c r="I115" s="36">
        <f>IFERROR(INDEX(Katalog!$D$3:$D$12,MATCH(cadangan3[[#This Row],[Item A]],Katalog!$B$3:$B$12,0))*cadangan3[[#This Row],[Qty A]],0)</f>
        <v>700000</v>
      </c>
      <c r="J115" s="36">
        <f>IFERROR(cadangan3[[#This Row],[Harga Asli A]]-(cadangan3[[#This Row],[Harga Asli A]]*cadangan3[[#This Row],[Diskon]]),cadangan3[[#This Row],[Harga Asli A]])</f>
        <v>630000</v>
      </c>
      <c r="K115" s="36">
        <f>INDEX(Katalog!$F$3:$F$12,MATCH(cadangan3[[#This Row],[ItemID A]],Katalog!$C$3:$C$12,0))*cadangan3[[#This Row],[Qty A]]</f>
        <v>260000</v>
      </c>
      <c r="L115" s="36">
        <f>IFERROR(cadangan3[[#This Row],[Profit A]]-(cadangan3[[#This Row],[Profit A]]*cadangan3[[#This Row],[Diskon]]),K115)</f>
        <v>234000</v>
      </c>
      <c r="N115" t="str">
        <f>IFERROR(INDEX(Katalog!$A$3:$A$12,MATCH(cadangan3[[#This Row],[ItemID B]],Katalog!$C$3:$C$12,0)),"-")</f>
        <v>-</v>
      </c>
      <c r="O115" t="str">
        <f>IFERROR(INDEX(Katalog!$B$3:$B$12,MATCH(cadangan3[[#This Row],[ItemID B]],Katalog!$C$3:$C$12,0)),"-")</f>
        <v>-</v>
      </c>
      <c r="R115" s="36">
        <f>IFERROR(INDEX(Katalog!$D$3:$D$12,MATCH(cadangan3[[#This Row],[ItemID B]],Katalog!$C$3:$C$12,0))*cadangan3[[#This Row],[Qty B]],0)</f>
        <v>0</v>
      </c>
      <c r="S115" s="36">
        <f>IFERROR(INDEX(Katalog!$D$3:$D$12,MATCH(cadangan3[[#This Row],[Item B]],Katalog!$B$3:$B$12,0))*cadangan3[[#This Row],[Qty B]],0)</f>
        <v>0</v>
      </c>
      <c r="T115" s="36">
        <f>IFERROR(cadangan3[[#This Row],[Harga Asli B]]-(cadangan3[[#This Row],[Harga Asli B]]*cadangan3[[#This Row],[Diskon]]),cadangan3[[#This Row],[Harga Asli B]])</f>
        <v>0</v>
      </c>
      <c r="U115" s="36">
        <f>IFERROR(INDEX(Katalog!$F$3:$F$12,MATCH(cadangan3[[#This Row],[ItemID B]],Katalog!$C$3:$C$12,0))*cadangan3[[#This Row],[Qty B]],0)</f>
        <v>0</v>
      </c>
      <c r="V115" s="36">
        <f>IFERROR(cadangan3[[#This Row],[Profit B]]-(cadangan3[[#This Row],[Profit B]]*cadangan3[[#This Row],[Diskon]]),U115)</f>
        <v>0</v>
      </c>
      <c r="X115" t="str">
        <f>IFERROR(INDEX(Katalog!$A$3:$A$12,MATCH(cadangan3[[#This Row],[ItemID C]],Katalog!$C$3:$C$12,0)),"-")</f>
        <v>-</v>
      </c>
      <c r="Y115" t="str">
        <f>IFERROR(INDEX(Katalog!$B$3:$B$12,MATCH(cadangan3[[#This Row],[ItemID C]],Katalog!$C$3:$C$12,0)),"-")</f>
        <v>-</v>
      </c>
      <c r="AB115" s="36">
        <f>IFERROR(INDEX(Katalog!$D$3:$D$12,MATCH(cadangan3[[#This Row],[ItemID C]],Katalog!$C$3:$C$12,0))*cadangan3[[#This Row],[Qty C]],0)</f>
        <v>0</v>
      </c>
      <c r="AC115" s="36">
        <f>IFERROR(INDEX(Katalog!$D$3:$D$12,MATCH(cadangan3[[#This Row],[Item C]],Katalog!$B$3:$B$12,0))*cadangan3[[#This Row],[Qty C]],0)</f>
        <v>0</v>
      </c>
      <c r="AD115" s="36">
        <f>IFERROR(cadangan3[[#This Row],[Harga Asli C]]-(cadangan3[[#This Row],[Harga Asli C]]*cadangan3[[#This Row],[Diskon]]),cadangan3[[#This Row],[Harga Asli C]])</f>
        <v>0</v>
      </c>
      <c r="AE115" s="36">
        <f>IFERROR(INDEX(Katalog!$F$3:$F$12,MATCH(cadangan3[[#This Row],[ItemID C]],Katalog!$C$3:$C$12,0))*cadangan3[[#This Row],[Qty C]],0)</f>
        <v>0</v>
      </c>
      <c r="AF115" s="36">
        <f>IFERROR(cadangan3[[#This Row],[Profit C]]-(cadangan3[[#This Row],[Profit C]]*cadangan3[[#This Row],[Diskon]]),cadangan3[[#This Row],[Profit C]])</f>
        <v>0</v>
      </c>
      <c r="AG115" s="21">
        <f>cadangan3[[#This Row],[Qty A]]+cadangan3[[#This Row],[Qty B]]+cadangan3[[#This Row],[Qty C]]</f>
        <v>2</v>
      </c>
      <c r="AH115" s="35">
        <f>cadangan3[[#This Row],[Harga A + Diskon]]+cadangan3[[#This Row],[Harga + Diskon B]]+cadangan3[[#This Row],[Harga + Diskon C]]</f>
        <v>630000</v>
      </c>
      <c r="AI115" s="35">
        <f>(cadangan3[[#This Row],[Profit A]]+cadangan3[[#This Row],[Profit B]]+cadangan3[[#This Row],[Profit C]])</f>
        <v>260000</v>
      </c>
      <c r="AJ115" s="35">
        <f>cadangan3[[#This Row],[Provit A + Diskon]]+cadangan3[[#This Row],[Provit B + Diskon]]+cadangan3[[#This Row],[Provit C + Diskon]]</f>
        <v>234000</v>
      </c>
      <c r="AK115" s="23" t="s">
        <v>30</v>
      </c>
      <c r="AL115" s="37">
        <f>IFERROR(INDEX('Kode Diskon'!$D$3:$D$9,MATCH(cadangan3[[#This Row],[Kode diskon]],'Kode Diskon'!$C$3:$C$9,0)),"-")</f>
        <v>0.1</v>
      </c>
      <c r="AM115" s="23" t="s">
        <v>29</v>
      </c>
      <c r="AN115" s="23" t="s">
        <v>10</v>
      </c>
      <c r="AO115" s="23" t="s">
        <v>76</v>
      </c>
      <c r="AP115" s="24">
        <v>45020</v>
      </c>
      <c r="AQ115" s="23" t="str">
        <f>TEXT(cadangan3[[#This Row],[Tanggal terjual]],"dddd")</f>
        <v>Tuesday</v>
      </c>
    </row>
    <row r="116" spans="1:43" x14ac:dyDescent="0.2">
      <c r="A116" s="20">
        <v>115</v>
      </c>
      <c r="B116" s="21" t="str">
        <f>_xlfn.CONCAT("ORD-",INDEX(Helper!$B$2:$B$5,MATCH(cadangan3[[#This Row],[Marketplace]],Helper!$A$2:$A$5,0)),TEXT(cadangan3[[#This Row],[No]],"0000"),"-",TEXT(cadangan3[[#This Row],[Tanggal terjual]],"dd/mm/yy"))</f>
        <v>ORD-TK0115-01/04/23</v>
      </c>
      <c r="C116" t="s">
        <v>62</v>
      </c>
      <c r="D116" t="str">
        <f>IFERROR(INDEX(Katalog!$A$3:$A$12,MATCH(cadangan3[[#This Row],[ItemID A]],Katalog!$C$3:$C$12,0)),"-")</f>
        <v>Pakaian Pria</v>
      </c>
      <c r="E116" t="str">
        <f>IFERROR(INDEX(Katalog!$B$3:$B$12,MATCH(cadangan3[[#This Row],[ItemID A]],Katalog!$C$3:$C$12,0)),"-")</f>
        <v>Celana Pendek</v>
      </c>
      <c r="F116">
        <v>2</v>
      </c>
      <c r="G116">
        <v>3</v>
      </c>
      <c r="H116" s="36">
        <f>IFERROR(INDEX(Katalog!$D$3:$D$12,MATCH(cadangan3[[#This Row],[ItemID A]],Katalog!$C$3:$C$12,0))*cadangan3[[#This Row],[Qty A]],0)</f>
        <v>360000</v>
      </c>
      <c r="I116" s="36">
        <f>IFERROR(INDEX(Katalog!$D$3:$D$12,MATCH(cadangan3[[#This Row],[Item A]],Katalog!$B$3:$B$12,0))*cadangan3[[#This Row],[Qty A]],0)</f>
        <v>360000</v>
      </c>
      <c r="J116" s="36">
        <f>IFERROR(cadangan3[[#This Row],[Harga Asli A]]-(cadangan3[[#This Row],[Harga Asli A]]*cadangan3[[#This Row],[Diskon]]),cadangan3[[#This Row],[Harga Asli A]])</f>
        <v>324000</v>
      </c>
      <c r="K116" s="36">
        <f>INDEX(Katalog!$F$3:$F$12,MATCH(cadangan3[[#This Row],[ItemID A]],Katalog!$C$3:$C$12,0))*cadangan3[[#This Row],[Qty A]]</f>
        <v>140000</v>
      </c>
      <c r="L116" s="36">
        <f>IFERROR(cadangan3[[#This Row],[Profit A]]-(cadangan3[[#This Row],[Profit A]]*cadangan3[[#This Row],[Diskon]]),K116)</f>
        <v>126000</v>
      </c>
      <c r="M116" t="s">
        <v>60</v>
      </c>
      <c r="N116" t="str">
        <f>IFERROR(INDEX(Katalog!$A$3:$A$12,MATCH(cadangan3[[#This Row],[ItemID B]],Katalog!$C$3:$C$12,0)),"-")</f>
        <v>Pakaian Wanita</v>
      </c>
      <c r="O116" t="str">
        <f>IFERROR(INDEX(Katalog!$B$3:$B$12,MATCH(cadangan3[[#This Row],[ItemID B]],Katalog!$C$3:$C$12,0)),"-")</f>
        <v>Kaftan</v>
      </c>
      <c r="P116">
        <v>1</v>
      </c>
      <c r="Q116">
        <v>4</v>
      </c>
      <c r="R116" s="36">
        <f>IFERROR(INDEX(Katalog!$D$3:$D$12,MATCH(cadangan3[[#This Row],[ItemID B]],Katalog!$C$3:$C$12,0))*cadangan3[[#This Row],[Qty B]],0)</f>
        <v>250000</v>
      </c>
      <c r="S116" s="36">
        <f>IFERROR(INDEX(Katalog!$D$3:$D$12,MATCH(cadangan3[[#This Row],[Item B]],Katalog!$B$3:$B$12,0))*cadangan3[[#This Row],[Qty B]],0)</f>
        <v>250000</v>
      </c>
      <c r="T116" s="36">
        <f>IFERROR(cadangan3[[#This Row],[Harga Asli B]]-(cadangan3[[#This Row],[Harga Asli B]]*cadangan3[[#This Row],[Diskon]]),cadangan3[[#This Row],[Harga Asli B]])</f>
        <v>225000</v>
      </c>
      <c r="U116" s="36">
        <f>IFERROR(INDEX(Katalog!$F$3:$F$12,MATCH(cadangan3[[#This Row],[ItemID B]],Katalog!$C$3:$C$12,0))*cadangan3[[#This Row],[Qty B]],0)</f>
        <v>100000</v>
      </c>
      <c r="V116" s="36">
        <f>IFERROR(cadangan3[[#This Row],[Profit B]]-(cadangan3[[#This Row],[Profit B]]*cadangan3[[#This Row],[Diskon]]),U116)</f>
        <v>90000</v>
      </c>
      <c r="X116" t="str">
        <f>IFERROR(INDEX(Katalog!$A$3:$A$12,MATCH(cadangan3[[#This Row],[ItemID C]],Katalog!$C$3:$C$12,0)),"-")</f>
        <v>-</v>
      </c>
      <c r="Y116" t="str">
        <f>IFERROR(INDEX(Katalog!$B$3:$B$12,MATCH(cadangan3[[#This Row],[ItemID C]],Katalog!$C$3:$C$12,0)),"-")</f>
        <v>-</v>
      </c>
      <c r="AB116" s="36">
        <f>IFERROR(INDEX(Katalog!$D$3:$D$12,MATCH(cadangan3[[#This Row],[ItemID C]],Katalog!$C$3:$C$12,0))*cadangan3[[#This Row],[Qty C]],0)</f>
        <v>0</v>
      </c>
      <c r="AC116" s="36">
        <f>IFERROR(INDEX(Katalog!$D$3:$D$12,MATCH(cadangan3[[#This Row],[Item C]],Katalog!$B$3:$B$12,0))*cadangan3[[#This Row],[Qty C]],0)</f>
        <v>0</v>
      </c>
      <c r="AD116" s="36">
        <f>IFERROR(cadangan3[[#This Row],[Harga Asli C]]-(cadangan3[[#This Row],[Harga Asli C]]*cadangan3[[#This Row],[Diskon]]),cadangan3[[#This Row],[Harga Asli C]])</f>
        <v>0</v>
      </c>
      <c r="AE116" s="36">
        <f>IFERROR(INDEX(Katalog!$F$3:$F$12,MATCH(cadangan3[[#This Row],[ItemID C]],Katalog!$C$3:$C$12,0))*cadangan3[[#This Row],[Qty C]],0)</f>
        <v>0</v>
      </c>
      <c r="AF116" s="36">
        <f>IFERROR(cadangan3[[#This Row],[Profit C]]-(cadangan3[[#This Row],[Profit C]]*cadangan3[[#This Row],[Diskon]]),cadangan3[[#This Row],[Profit C]])</f>
        <v>0</v>
      </c>
      <c r="AG116" s="21">
        <f>cadangan3[[#This Row],[Qty A]]+cadangan3[[#This Row],[Qty B]]+cadangan3[[#This Row],[Qty C]]</f>
        <v>3</v>
      </c>
      <c r="AH116" s="35">
        <f>cadangan3[[#This Row],[Harga A + Diskon]]+cadangan3[[#This Row],[Harga + Diskon B]]+cadangan3[[#This Row],[Harga + Diskon C]]</f>
        <v>549000</v>
      </c>
      <c r="AI116" s="35">
        <f>(cadangan3[[#This Row],[Profit A]]+cadangan3[[#This Row],[Profit B]]+cadangan3[[#This Row],[Profit C]])</f>
        <v>240000</v>
      </c>
      <c r="AJ116" s="35">
        <f>cadangan3[[#This Row],[Provit A + Diskon]]+cadangan3[[#This Row],[Provit B + Diskon]]+cadangan3[[#This Row],[Provit C + Diskon]]</f>
        <v>216000</v>
      </c>
      <c r="AK116" s="23" t="s">
        <v>30</v>
      </c>
      <c r="AL116" s="37">
        <f>IFERROR(INDEX('Kode Diskon'!$D$3:$D$9,MATCH(cadangan3[[#This Row],[Kode diskon]],'Kode Diskon'!$C$3:$C$9,0)),"-")</f>
        <v>0.1</v>
      </c>
      <c r="AM116" s="23" t="s">
        <v>29</v>
      </c>
      <c r="AN116" s="23" t="s">
        <v>10</v>
      </c>
      <c r="AO116" s="23" t="s">
        <v>75</v>
      </c>
      <c r="AP116" s="24">
        <v>45017</v>
      </c>
      <c r="AQ116" s="23" t="str">
        <f>TEXT(cadangan3[[#This Row],[Tanggal terjual]],"dddd")</f>
        <v>Saturday</v>
      </c>
    </row>
    <row r="117" spans="1:43" x14ac:dyDescent="0.2">
      <c r="A117" s="20">
        <v>116</v>
      </c>
      <c r="B117" s="21" t="str">
        <f>_xlfn.CONCAT("ORD-",INDEX(Helper!$B$2:$B$5,MATCH(cadangan3[[#This Row],[Marketplace]],Helper!$A$2:$A$5,0)),TEXT(cadangan3[[#This Row],[No]],"0000"),"-",TEXT(cadangan3[[#This Row],[Tanggal terjual]],"dd/mm/yy"))</f>
        <v>ORD-BB0116-01/04/23</v>
      </c>
      <c r="C117" t="s">
        <v>60</v>
      </c>
      <c r="D117" t="str">
        <f>IFERROR(INDEX(Katalog!$A$3:$A$12,MATCH(cadangan3[[#This Row],[ItemID A]],Katalog!$C$3:$C$12,0)),"-")</f>
        <v>Pakaian Wanita</v>
      </c>
      <c r="E117" t="str">
        <f>IFERROR(INDEX(Katalog!$B$3:$B$12,MATCH(cadangan3[[#This Row],[ItemID A]],Katalog!$C$3:$C$12,0)),"-")</f>
        <v>Kaftan</v>
      </c>
      <c r="F117">
        <v>1</v>
      </c>
      <c r="G117">
        <v>1</v>
      </c>
      <c r="H117" s="36">
        <f>IFERROR(INDEX(Katalog!$D$3:$D$12,MATCH(cadangan3[[#This Row],[ItemID A]],Katalog!$C$3:$C$12,0))*cadangan3[[#This Row],[Qty A]],0)</f>
        <v>250000</v>
      </c>
      <c r="I117" s="36">
        <f>IFERROR(INDEX(Katalog!$D$3:$D$12,MATCH(cadangan3[[#This Row],[Item A]],Katalog!$B$3:$B$12,0))*cadangan3[[#This Row],[Qty A]],0)</f>
        <v>250000</v>
      </c>
      <c r="J117" s="36">
        <f>IFERROR(cadangan3[[#This Row],[Harga Asli A]]-(cadangan3[[#This Row],[Harga Asli A]]*cadangan3[[#This Row],[Diskon]]),cadangan3[[#This Row],[Harga Asli A]])</f>
        <v>212500</v>
      </c>
      <c r="K117" s="36">
        <f>INDEX(Katalog!$F$3:$F$12,MATCH(cadangan3[[#This Row],[ItemID A]],Katalog!$C$3:$C$12,0))*cadangan3[[#This Row],[Qty A]]</f>
        <v>100000</v>
      </c>
      <c r="L117" s="36">
        <f>IFERROR(cadangan3[[#This Row],[Profit A]]-(cadangan3[[#This Row],[Profit A]]*cadangan3[[#This Row],[Diskon]]),K117)</f>
        <v>85000</v>
      </c>
      <c r="N117" t="str">
        <f>IFERROR(INDEX(Katalog!$A$3:$A$12,MATCH(cadangan3[[#This Row],[ItemID B]],Katalog!$C$3:$C$12,0)),"-")</f>
        <v>-</v>
      </c>
      <c r="O117" t="str">
        <f>IFERROR(INDEX(Katalog!$B$3:$B$12,MATCH(cadangan3[[#This Row],[ItemID B]],Katalog!$C$3:$C$12,0)),"-")</f>
        <v>-</v>
      </c>
      <c r="R117" s="36">
        <f>IFERROR(INDEX(Katalog!$D$3:$D$12,MATCH(cadangan3[[#This Row],[ItemID B]],Katalog!$C$3:$C$12,0))*cadangan3[[#This Row],[Qty B]],0)</f>
        <v>0</v>
      </c>
      <c r="S117" s="36">
        <f>IFERROR(INDEX(Katalog!$D$3:$D$12,MATCH(cadangan3[[#This Row],[Item B]],Katalog!$B$3:$B$12,0))*cadangan3[[#This Row],[Qty B]],0)</f>
        <v>0</v>
      </c>
      <c r="T117" s="36">
        <f>IFERROR(cadangan3[[#This Row],[Harga Asli B]]-(cadangan3[[#This Row],[Harga Asli B]]*cadangan3[[#This Row],[Diskon]]),cadangan3[[#This Row],[Harga Asli B]])</f>
        <v>0</v>
      </c>
      <c r="U117" s="36">
        <f>IFERROR(INDEX(Katalog!$F$3:$F$12,MATCH(cadangan3[[#This Row],[ItemID B]],Katalog!$C$3:$C$12,0))*cadangan3[[#This Row],[Qty B]],0)</f>
        <v>0</v>
      </c>
      <c r="V117" s="36">
        <f>IFERROR(cadangan3[[#This Row],[Profit B]]-(cadangan3[[#This Row],[Profit B]]*cadangan3[[#This Row],[Diskon]]),U117)</f>
        <v>0</v>
      </c>
      <c r="X117" t="str">
        <f>IFERROR(INDEX(Katalog!$A$3:$A$12,MATCH(cadangan3[[#This Row],[ItemID C]],Katalog!$C$3:$C$12,0)),"-")</f>
        <v>-</v>
      </c>
      <c r="Y117" t="str">
        <f>IFERROR(INDEX(Katalog!$B$3:$B$12,MATCH(cadangan3[[#This Row],[ItemID C]],Katalog!$C$3:$C$12,0)),"-")</f>
        <v>-</v>
      </c>
      <c r="AB117" s="36">
        <f>IFERROR(INDEX(Katalog!$D$3:$D$12,MATCH(cadangan3[[#This Row],[ItemID C]],Katalog!$C$3:$C$12,0))*cadangan3[[#This Row],[Qty C]],0)</f>
        <v>0</v>
      </c>
      <c r="AC117" s="36">
        <f>IFERROR(INDEX(Katalog!$D$3:$D$12,MATCH(cadangan3[[#This Row],[Item C]],Katalog!$B$3:$B$12,0))*cadangan3[[#This Row],[Qty C]],0)</f>
        <v>0</v>
      </c>
      <c r="AD117" s="36">
        <f>IFERROR(cadangan3[[#This Row],[Harga Asli C]]-(cadangan3[[#This Row],[Harga Asli C]]*cadangan3[[#This Row],[Diskon]]),cadangan3[[#This Row],[Harga Asli C]])</f>
        <v>0</v>
      </c>
      <c r="AE117" s="36">
        <f>IFERROR(INDEX(Katalog!$F$3:$F$12,MATCH(cadangan3[[#This Row],[ItemID C]],Katalog!$C$3:$C$12,0))*cadangan3[[#This Row],[Qty C]],0)</f>
        <v>0</v>
      </c>
      <c r="AF117" s="36">
        <f>IFERROR(cadangan3[[#This Row],[Profit C]]-(cadangan3[[#This Row],[Profit C]]*cadangan3[[#This Row],[Diskon]]),cadangan3[[#This Row],[Profit C]])</f>
        <v>0</v>
      </c>
      <c r="AG117" s="21">
        <f>cadangan3[[#This Row],[Qty A]]+cadangan3[[#This Row],[Qty B]]+cadangan3[[#This Row],[Qty C]]</f>
        <v>1</v>
      </c>
      <c r="AH117" s="35">
        <f>cadangan3[[#This Row],[Harga A + Diskon]]+cadangan3[[#This Row],[Harga + Diskon B]]+cadangan3[[#This Row],[Harga + Diskon C]]</f>
        <v>212500</v>
      </c>
      <c r="AI117" s="35">
        <f>(cadangan3[[#This Row],[Profit A]]+cadangan3[[#This Row],[Profit B]]+cadangan3[[#This Row],[Profit C]])</f>
        <v>100000</v>
      </c>
      <c r="AJ117" s="35">
        <f>cadangan3[[#This Row],[Provit A + Diskon]]+cadangan3[[#This Row],[Provit B + Diskon]]+cadangan3[[#This Row],[Provit C + Diskon]]</f>
        <v>85000</v>
      </c>
      <c r="AK117" s="23" t="s">
        <v>28</v>
      </c>
      <c r="AL117" s="37">
        <f>IFERROR(INDEX('Kode Diskon'!$D$3:$D$9,MATCH(cadangan3[[#This Row],[Kode diskon]],'Kode Diskon'!$C$3:$C$9,0)),"-")</f>
        <v>0.15</v>
      </c>
      <c r="AM117" s="23" t="s">
        <v>29</v>
      </c>
      <c r="AN117" s="23" t="s">
        <v>14</v>
      </c>
      <c r="AO117" s="23" t="s">
        <v>77</v>
      </c>
      <c r="AP117" s="24">
        <v>45017</v>
      </c>
      <c r="AQ117" s="23" t="str">
        <f>TEXT(cadangan3[[#This Row],[Tanggal terjual]],"dddd")</f>
        <v>Saturday</v>
      </c>
    </row>
    <row r="118" spans="1:43" x14ac:dyDescent="0.2">
      <c r="A118" s="20">
        <v>117</v>
      </c>
      <c r="B118" s="21" t="str">
        <f>_xlfn.CONCAT("ORD-",INDEX(Helper!$B$2:$B$5,MATCH(cadangan3[[#This Row],[Marketplace]],Helper!$A$2:$A$5,0)),TEXT(cadangan3[[#This Row],[No]],"0000"),"-",TEXT(cadangan3[[#This Row],[Tanggal terjual]],"dd/mm/yy"))</f>
        <v>ORD-TK0117-02/04/23</v>
      </c>
      <c r="C118" t="s">
        <v>67</v>
      </c>
      <c r="D118" t="str">
        <f>IFERROR(INDEX(Katalog!$A$3:$A$12,MATCH(cadangan3[[#This Row],[ItemID A]],Katalog!$C$3:$C$12,0)),"-")</f>
        <v>Sepatu Wanita</v>
      </c>
      <c r="E118" t="str">
        <f>IFERROR(INDEX(Katalog!$B$3:$B$12,MATCH(cadangan3[[#This Row],[ItemID A]],Katalog!$C$3:$C$12,0)),"-")</f>
        <v>Flat Shoes</v>
      </c>
      <c r="F118">
        <v>4</v>
      </c>
      <c r="G118">
        <v>4</v>
      </c>
      <c r="H118" s="36">
        <f>IFERROR(INDEX(Katalog!$D$3:$D$12,MATCH(cadangan3[[#This Row],[ItemID A]],Katalog!$C$3:$C$12,0))*cadangan3[[#This Row],[Qty A]],0)</f>
        <v>1000000</v>
      </c>
      <c r="I118" s="36">
        <f>IFERROR(INDEX(Katalog!$D$3:$D$12,MATCH(cadangan3[[#This Row],[Item A]],Katalog!$B$3:$B$12,0))*cadangan3[[#This Row],[Qty A]],0)</f>
        <v>1000000</v>
      </c>
      <c r="J118" s="36">
        <f>IFERROR(cadangan3[[#This Row],[Harga Asli A]]-(cadangan3[[#This Row],[Harga Asli A]]*cadangan3[[#This Row],[Diskon]]),cadangan3[[#This Row],[Harga Asli A]])</f>
        <v>900000</v>
      </c>
      <c r="K118" s="36">
        <f>INDEX(Katalog!$F$3:$F$12,MATCH(cadangan3[[#This Row],[ItemID A]],Katalog!$C$3:$C$12,0))*cadangan3[[#This Row],[Qty A]]</f>
        <v>400000</v>
      </c>
      <c r="L118" s="36">
        <f>IFERROR(cadangan3[[#This Row],[Profit A]]-(cadangan3[[#This Row],[Profit A]]*cadangan3[[#This Row],[Diskon]]),K118)</f>
        <v>360000</v>
      </c>
      <c r="N118" t="str">
        <f>IFERROR(INDEX(Katalog!$A$3:$A$12,MATCH(cadangan3[[#This Row],[ItemID B]],Katalog!$C$3:$C$12,0)),"-")</f>
        <v>-</v>
      </c>
      <c r="O118" t="str">
        <f>IFERROR(INDEX(Katalog!$B$3:$B$12,MATCH(cadangan3[[#This Row],[ItemID B]],Katalog!$C$3:$C$12,0)),"-")</f>
        <v>-</v>
      </c>
      <c r="R118" s="36">
        <f>IFERROR(INDEX(Katalog!$D$3:$D$12,MATCH(cadangan3[[#This Row],[ItemID B]],Katalog!$C$3:$C$12,0))*cadangan3[[#This Row],[Qty B]],0)</f>
        <v>0</v>
      </c>
      <c r="S118" s="36">
        <f>IFERROR(INDEX(Katalog!$D$3:$D$12,MATCH(cadangan3[[#This Row],[Item B]],Katalog!$B$3:$B$12,0))*cadangan3[[#This Row],[Qty B]],0)</f>
        <v>0</v>
      </c>
      <c r="T118" s="36">
        <f>IFERROR(cadangan3[[#This Row],[Harga Asli B]]-(cadangan3[[#This Row],[Harga Asli B]]*cadangan3[[#This Row],[Diskon]]),cadangan3[[#This Row],[Harga Asli B]])</f>
        <v>0</v>
      </c>
      <c r="U118" s="36">
        <f>IFERROR(INDEX(Katalog!$F$3:$F$12,MATCH(cadangan3[[#This Row],[ItemID B]],Katalog!$C$3:$C$12,0))*cadangan3[[#This Row],[Qty B]],0)</f>
        <v>0</v>
      </c>
      <c r="V118" s="36">
        <f>IFERROR(cadangan3[[#This Row],[Profit B]]-(cadangan3[[#This Row],[Profit B]]*cadangan3[[#This Row],[Diskon]]),U118)</f>
        <v>0</v>
      </c>
      <c r="X118" t="str">
        <f>IFERROR(INDEX(Katalog!$A$3:$A$12,MATCH(cadangan3[[#This Row],[ItemID C]],Katalog!$C$3:$C$12,0)),"-")</f>
        <v>-</v>
      </c>
      <c r="Y118" t="str">
        <f>IFERROR(INDEX(Katalog!$B$3:$B$12,MATCH(cadangan3[[#This Row],[ItemID C]],Katalog!$C$3:$C$12,0)),"-")</f>
        <v>-</v>
      </c>
      <c r="AB118" s="36">
        <f>IFERROR(INDEX(Katalog!$D$3:$D$12,MATCH(cadangan3[[#This Row],[ItemID C]],Katalog!$C$3:$C$12,0))*cadangan3[[#This Row],[Qty C]],0)</f>
        <v>0</v>
      </c>
      <c r="AC118" s="36">
        <f>IFERROR(INDEX(Katalog!$D$3:$D$12,MATCH(cadangan3[[#This Row],[Item C]],Katalog!$B$3:$B$12,0))*cadangan3[[#This Row],[Qty C]],0)</f>
        <v>0</v>
      </c>
      <c r="AD118" s="36">
        <f>IFERROR(cadangan3[[#This Row],[Harga Asli C]]-(cadangan3[[#This Row],[Harga Asli C]]*cadangan3[[#This Row],[Diskon]]),cadangan3[[#This Row],[Harga Asli C]])</f>
        <v>0</v>
      </c>
      <c r="AE118" s="36">
        <f>IFERROR(INDEX(Katalog!$F$3:$F$12,MATCH(cadangan3[[#This Row],[ItemID C]],Katalog!$C$3:$C$12,0))*cadangan3[[#This Row],[Qty C]],0)</f>
        <v>0</v>
      </c>
      <c r="AF118" s="36">
        <f>IFERROR(cadangan3[[#This Row],[Profit C]]-(cadangan3[[#This Row],[Profit C]]*cadangan3[[#This Row],[Diskon]]),cadangan3[[#This Row],[Profit C]])</f>
        <v>0</v>
      </c>
      <c r="AG118" s="21">
        <f>cadangan3[[#This Row],[Qty A]]+cadangan3[[#This Row],[Qty B]]+cadangan3[[#This Row],[Qty C]]</f>
        <v>4</v>
      </c>
      <c r="AH118" s="35">
        <f>cadangan3[[#This Row],[Harga A + Diskon]]+cadangan3[[#This Row],[Harga + Diskon B]]+cadangan3[[#This Row],[Harga + Diskon C]]</f>
        <v>900000</v>
      </c>
      <c r="AI118" s="35">
        <f>(cadangan3[[#This Row],[Profit A]]+cadangan3[[#This Row],[Profit B]]+cadangan3[[#This Row],[Profit C]])</f>
        <v>400000</v>
      </c>
      <c r="AJ118" s="35">
        <f>cadangan3[[#This Row],[Provit A + Diskon]]+cadangan3[[#This Row],[Provit B + Diskon]]+cadangan3[[#This Row],[Provit C + Diskon]]</f>
        <v>360000</v>
      </c>
      <c r="AK118" s="23" t="s">
        <v>30</v>
      </c>
      <c r="AL118" s="37">
        <f>IFERROR(INDEX('Kode Diskon'!$D$3:$D$9,MATCH(cadangan3[[#This Row],[Kode diskon]],'Kode Diskon'!$C$3:$C$9,0)),"-")</f>
        <v>0.1</v>
      </c>
      <c r="AM118" s="23" t="s">
        <v>29</v>
      </c>
      <c r="AN118" s="23" t="s">
        <v>10</v>
      </c>
      <c r="AO118" s="23" t="s">
        <v>80</v>
      </c>
      <c r="AP118" s="24">
        <v>45018</v>
      </c>
      <c r="AQ118" s="23" t="str">
        <f>TEXT(cadangan3[[#This Row],[Tanggal terjual]],"dddd")</f>
        <v>Sunday</v>
      </c>
    </row>
    <row r="119" spans="1:43" x14ac:dyDescent="0.2">
      <c r="A119" s="20">
        <v>118</v>
      </c>
      <c r="B119" s="21" t="str">
        <f>_xlfn.CONCAT("ORD-",INDEX(Helper!$B$2:$B$5,MATCH(cadangan3[[#This Row],[Marketplace]],Helper!$A$2:$A$5,0)),TEXT(cadangan3[[#This Row],[No]],"0000"),"-",TEXT(cadangan3[[#This Row],[Tanggal terjual]],"dd/mm/yy"))</f>
        <v>ORD-TK0118-23/04/23</v>
      </c>
      <c r="C119" t="s">
        <v>67</v>
      </c>
      <c r="D119" t="str">
        <f>IFERROR(INDEX(Katalog!$A$3:$A$12,MATCH(cadangan3[[#This Row],[ItemID A]],Katalog!$C$3:$C$12,0)),"-")</f>
        <v>Sepatu Wanita</v>
      </c>
      <c r="E119" t="str">
        <f>IFERROR(INDEX(Katalog!$B$3:$B$12,MATCH(cadangan3[[#This Row],[ItemID A]],Katalog!$C$3:$C$12,0)),"-")</f>
        <v>Flat Shoes</v>
      </c>
      <c r="F119">
        <v>1</v>
      </c>
      <c r="G119">
        <v>5</v>
      </c>
      <c r="H119" s="36">
        <f>IFERROR(INDEX(Katalog!$D$3:$D$12,MATCH(cadangan3[[#This Row],[ItemID A]],Katalog!$C$3:$C$12,0))*cadangan3[[#This Row],[Qty A]],0)</f>
        <v>250000</v>
      </c>
      <c r="I119" s="36">
        <f>IFERROR(INDEX(Katalog!$D$3:$D$12,MATCH(cadangan3[[#This Row],[Item A]],Katalog!$B$3:$B$12,0))*cadangan3[[#This Row],[Qty A]],0)</f>
        <v>250000</v>
      </c>
      <c r="J119" s="36">
        <f>IFERROR(cadangan3[[#This Row],[Harga Asli A]]-(cadangan3[[#This Row],[Harga Asli A]]*cadangan3[[#This Row],[Diskon]]),cadangan3[[#This Row],[Harga Asli A]])</f>
        <v>225000</v>
      </c>
      <c r="K119" s="36">
        <f>INDEX(Katalog!$F$3:$F$12,MATCH(cadangan3[[#This Row],[ItemID A]],Katalog!$C$3:$C$12,0))*cadangan3[[#This Row],[Qty A]]</f>
        <v>100000</v>
      </c>
      <c r="L119" s="36">
        <f>IFERROR(cadangan3[[#This Row],[Profit A]]-(cadangan3[[#This Row],[Profit A]]*cadangan3[[#This Row],[Diskon]]),K119)</f>
        <v>90000</v>
      </c>
      <c r="M119" t="s">
        <v>60</v>
      </c>
      <c r="N119" t="str">
        <f>IFERROR(INDEX(Katalog!$A$3:$A$12,MATCH(cadangan3[[#This Row],[ItemID B]],Katalog!$C$3:$C$12,0)),"-")</f>
        <v>Pakaian Wanita</v>
      </c>
      <c r="O119" t="str">
        <f>IFERROR(INDEX(Katalog!$B$3:$B$12,MATCH(cadangan3[[#This Row],[ItemID B]],Katalog!$C$3:$C$12,0)),"-")</f>
        <v>Kaftan</v>
      </c>
      <c r="P119">
        <v>1</v>
      </c>
      <c r="Q119">
        <v>2</v>
      </c>
      <c r="R119" s="36">
        <f>IFERROR(INDEX(Katalog!$D$3:$D$12,MATCH(cadangan3[[#This Row],[ItemID B]],Katalog!$C$3:$C$12,0))*cadangan3[[#This Row],[Qty B]],0)</f>
        <v>250000</v>
      </c>
      <c r="S119" s="36">
        <f>IFERROR(INDEX(Katalog!$D$3:$D$12,MATCH(cadangan3[[#This Row],[Item B]],Katalog!$B$3:$B$12,0))*cadangan3[[#This Row],[Qty B]],0)</f>
        <v>250000</v>
      </c>
      <c r="T119" s="36">
        <f>IFERROR(cadangan3[[#This Row],[Harga Asli B]]-(cadangan3[[#This Row],[Harga Asli B]]*cadangan3[[#This Row],[Diskon]]),cadangan3[[#This Row],[Harga Asli B]])</f>
        <v>225000</v>
      </c>
      <c r="U119" s="36">
        <f>IFERROR(INDEX(Katalog!$F$3:$F$12,MATCH(cadangan3[[#This Row],[ItemID B]],Katalog!$C$3:$C$12,0))*cadangan3[[#This Row],[Qty B]],0)</f>
        <v>100000</v>
      </c>
      <c r="V119" s="36">
        <f>IFERROR(cadangan3[[#This Row],[Profit B]]-(cadangan3[[#This Row],[Profit B]]*cadangan3[[#This Row],[Diskon]]),U119)</f>
        <v>90000</v>
      </c>
      <c r="X119" t="str">
        <f>IFERROR(INDEX(Katalog!$A$3:$A$12,MATCH(cadangan3[[#This Row],[ItemID C]],Katalog!$C$3:$C$12,0)),"-")</f>
        <v>-</v>
      </c>
      <c r="Y119" t="str">
        <f>IFERROR(INDEX(Katalog!$B$3:$B$12,MATCH(cadangan3[[#This Row],[ItemID C]],Katalog!$C$3:$C$12,0)),"-")</f>
        <v>-</v>
      </c>
      <c r="AB119" s="36">
        <f>IFERROR(INDEX(Katalog!$D$3:$D$12,MATCH(cadangan3[[#This Row],[ItemID C]],Katalog!$C$3:$C$12,0))*cadangan3[[#This Row],[Qty C]],0)</f>
        <v>0</v>
      </c>
      <c r="AC119" s="36">
        <f>IFERROR(INDEX(Katalog!$D$3:$D$12,MATCH(cadangan3[[#This Row],[Item C]],Katalog!$B$3:$B$12,0))*cadangan3[[#This Row],[Qty C]],0)</f>
        <v>0</v>
      </c>
      <c r="AD119" s="36">
        <f>IFERROR(cadangan3[[#This Row],[Harga Asli C]]-(cadangan3[[#This Row],[Harga Asli C]]*cadangan3[[#This Row],[Diskon]]),cadangan3[[#This Row],[Harga Asli C]])</f>
        <v>0</v>
      </c>
      <c r="AE119" s="36">
        <f>IFERROR(INDEX(Katalog!$F$3:$F$12,MATCH(cadangan3[[#This Row],[ItemID C]],Katalog!$C$3:$C$12,0))*cadangan3[[#This Row],[Qty C]],0)</f>
        <v>0</v>
      </c>
      <c r="AF119" s="36">
        <f>IFERROR(cadangan3[[#This Row],[Profit C]]-(cadangan3[[#This Row],[Profit C]]*cadangan3[[#This Row],[Diskon]]),cadangan3[[#This Row],[Profit C]])</f>
        <v>0</v>
      </c>
      <c r="AG119" s="21">
        <f>cadangan3[[#This Row],[Qty A]]+cadangan3[[#This Row],[Qty B]]+cadangan3[[#This Row],[Qty C]]</f>
        <v>2</v>
      </c>
      <c r="AH119" s="35">
        <f>cadangan3[[#This Row],[Harga A + Diskon]]+cadangan3[[#This Row],[Harga + Diskon B]]+cadangan3[[#This Row],[Harga + Diskon C]]</f>
        <v>450000</v>
      </c>
      <c r="AI119" s="35">
        <f>(cadangan3[[#This Row],[Profit A]]+cadangan3[[#This Row],[Profit B]]+cadangan3[[#This Row],[Profit C]])</f>
        <v>200000</v>
      </c>
      <c r="AJ119" s="35">
        <f>cadangan3[[#This Row],[Provit A + Diskon]]+cadangan3[[#This Row],[Provit B + Diskon]]+cadangan3[[#This Row],[Provit C + Diskon]]</f>
        <v>180000</v>
      </c>
      <c r="AK119" s="23" t="s">
        <v>31</v>
      </c>
      <c r="AL119" s="37">
        <f>IFERROR(INDEX('Kode Diskon'!$D$3:$D$9,MATCH(cadangan3[[#This Row],[Kode diskon]],'Kode Diskon'!$C$3:$C$9,0)),"-")</f>
        <v>0.1</v>
      </c>
      <c r="AM119" s="23" t="s">
        <v>9</v>
      </c>
      <c r="AN119" s="23" t="s">
        <v>10</v>
      </c>
      <c r="AO119" s="23" t="s">
        <v>79</v>
      </c>
      <c r="AP119" s="24">
        <v>45039</v>
      </c>
      <c r="AQ119" s="23" t="str">
        <f>TEXT(cadangan3[[#This Row],[Tanggal terjual]],"dddd")</f>
        <v>Sunday</v>
      </c>
    </row>
    <row r="120" spans="1:43" x14ac:dyDescent="0.2">
      <c r="A120" s="20">
        <v>119</v>
      </c>
      <c r="B120" s="21" t="str">
        <f>_xlfn.CONCAT("ORD-",INDEX(Helper!$B$2:$B$5,MATCH(cadangan3[[#This Row],[Marketplace]],Helper!$A$2:$A$5,0)),TEXT(cadangan3[[#This Row],[No]],"0000"),"-",TEXT(cadangan3[[#This Row],[Tanggal terjual]],"dd/mm/yy"))</f>
        <v>ORD-SP0119-02/04/23</v>
      </c>
      <c r="C120" t="s">
        <v>58</v>
      </c>
      <c r="D120" t="str">
        <f>IFERROR(INDEX(Katalog!$A$3:$A$12,MATCH(cadangan3[[#This Row],[ItemID A]],Katalog!$C$3:$C$12,0)),"-")</f>
        <v>Pakaian Wanita</v>
      </c>
      <c r="E120" t="str">
        <f>IFERROR(INDEX(Katalog!$B$3:$B$12,MATCH(cadangan3[[#This Row],[ItemID A]],Katalog!$C$3:$C$12,0)),"-")</f>
        <v>Dress</v>
      </c>
      <c r="F120">
        <v>5</v>
      </c>
      <c r="G120">
        <v>4</v>
      </c>
      <c r="H120" s="36">
        <f>IFERROR(INDEX(Katalog!$D$3:$D$12,MATCH(cadangan3[[#This Row],[ItemID A]],Katalog!$C$3:$C$12,0))*cadangan3[[#This Row],[Qty A]],0)</f>
        <v>1500000</v>
      </c>
      <c r="I120" s="36">
        <f>IFERROR(INDEX(Katalog!$D$3:$D$12,MATCH(cadangan3[[#This Row],[Item A]],Katalog!$B$3:$B$12,0))*cadangan3[[#This Row],[Qty A]],0)</f>
        <v>1500000</v>
      </c>
      <c r="J120" s="36">
        <f>IFERROR(cadangan3[[#This Row],[Harga Asli A]]-(cadangan3[[#This Row],[Harga Asli A]]*cadangan3[[#This Row],[Diskon]]),cadangan3[[#This Row],[Harga Asli A]])</f>
        <v>1275000</v>
      </c>
      <c r="K120" s="36">
        <f>INDEX(Katalog!$F$3:$F$12,MATCH(cadangan3[[#This Row],[ItemID A]],Katalog!$C$3:$C$12,0))*cadangan3[[#This Row],[Qty A]]</f>
        <v>500000</v>
      </c>
      <c r="L120" s="36">
        <f>IFERROR(cadangan3[[#This Row],[Profit A]]-(cadangan3[[#This Row],[Profit A]]*cadangan3[[#This Row],[Diskon]]),K120)</f>
        <v>425000</v>
      </c>
      <c r="N120" t="str">
        <f>IFERROR(INDEX(Katalog!$A$3:$A$12,MATCH(cadangan3[[#This Row],[ItemID B]],Katalog!$C$3:$C$12,0)),"-")</f>
        <v>-</v>
      </c>
      <c r="O120" t="str">
        <f>IFERROR(INDEX(Katalog!$B$3:$B$12,MATCH(cadangan3[[#This Row],[ItemID B]],Katalog!$C$3:$C$12,0)),"-")</f>
        <v>-</v>
      </c>
      <c r="R120" s="36">
        <f>IFERROR(INDEX(Katalog!$D$3:$D$12,MATCH(cadangan3[[#This Row],[ItemID B]],Katalog!$C$3:$C$12,0))*cadangan3[[#This Row],[Qty B]],0)</f>
        <v>0</v>
      </c>
      <c r="S120" s="36">
        <f>IFERROR(INDEX(Katalog!$D$3:$D$12,MATCH(cadangan3[[#This Row],[Item B]],Katalog!$B$3:$B$12,0))*cadangan3[[#This Row],[Qty B]],0)</f>
        <v>0</v>
      </c>
      <c r="T120" s="36">
        <f>IFERROR(cadangan3[[#This Row],[Harga Asli B]]-(cadangan3[[#This Row],[Harga Asli B]]*cadangan3[[#This Row],[Diskon]]),cadangan3[[#This Row],[Harga Asli B]])</f>
        <v>0</v>
      </c>
      <c r="U120" s="36">
        <f>IFERROR(INDEX(Katalog!$F$3:$F$12,MATCH(cadangan3[[#This Row],[ItemID B]],Katalog!$C$3:$C$12,0))*cadangan3[[#This Row],[Qty B]],0)</f>
        <v>0</v>
      </c>
      <c r="V120" s="36">
        <f>IFERROR(cadangan3[[#This Row],[Profit B]]-(cadangan3[[#This Row],[Profit B]]*cadangan3[[#This Row],[Diskon]]),U120)</f>
        <v>0</v>
      </c>
      <c r="X120" t="str">
        <f>IFERROR(INDEX(Katalog!$A$3:$A$12,MATCH(cadangan3[[#This Row],[ItemID C]],Katalog!$C$3:$C$12,0)),"-")</f>
        <v>-</v>
      </c>
      <c r="Y120" t="str">
        <f>IFERROR(INDEX(Katalog!$B$3:$B$12,MATCH(cadangan3[[#This Row],[ItemID C]],Katalog!$C$3:$C$12,0)),"-")</f>
        <v>-</v>
      </c>
      <c r="AB120" s="36">
        <f>IFERROR(INDEX(Katalog!$D$3:$D$12,MATCH(cadangan3[[#This Row],[ItemID C]],Katalog!$C$3:$C$12,0))*cadangan3[[#This Row],[Qty C]],0)</f>
        <v>0</v>
      </c>
      <c r="AC120" s="36">
        <f>IFERROR(INDEX(Katalog!$D$3:$D$12,MATCH(cadangan3[[#This Row],[Item C]],Katalog!$B$3:$B$12,0))*cadangan3[[#This Row],[Qty C]],0)</f>
        <v>0</v>
      </c>
      <c r="AD120" s="36">
        <f>IFERROR(cadangan3[[#This Row],[Harga Asli C]]-(cadangan3[[#This Row],[Harga Asli C]]*cadangan3[[#This Row],[Diskon]]),cadangan3[[#This Row],[Harga Asli C]])</f>
        <v>0</v>
      </c>
      <c r="AE120" s="36">
        <f>IFERROR(INDEX(Katalog!$F$3:$F$12,MATCH(cadangan3[[#This Row],[ItemID C]],Katalog!$C$3:$C$12,0))*cadangan3[[#This Row],[Qty C]],0)</f>
        <v>0</v>
      </c>
      <c r="AF120" s="36">
        <f>IFERROR(cadangan3[[#This Row],[Profit C]]-(cadangan3[[#This Row],[Profit C]]*cadangan3[[#This Row],[Diskon]]),cadangan3[[#This Row],[Profit C]])</f>
        <v>0</v>
      </c>
      <c r="AG120" s="21">
        <f>cadangan3[[#This Row],[Qty A]]+cadangan3[[#This Row],[Qty B]]+cadangan3[[#This Row],[Qty C]]</f>
        <v>5</v>
      </c>
      <c r="AH120" s="35">
        <f>cadangan3[[#This Row],[Harga A + Diskon]]+cadangan3[[#This Row],[Harga + Diskon B]]+cadangan3[[#This Row],[Harga + Diskon C]]</f>
        <v>1275000</v>
      </c>
      <c r="AI120" s="35">
        <f>(cadangan3[[#This Row],[Profit A]]+cadangan3[[#This Row],[Profit B]]+cadangan3[[#This Row],[Profit C]])</f>
        <v>500000</v>
      </c>
      <c r="AJ120" s="35">
        <f>cadangan3[[#This Row],[Provit A + Diskon]]+cadangan3[[#This Row],[Provit B + Diskon]]+cadangan3[[#This Row],[Provit C + Diskon]]</f>
        <v>425000</v>
      </c>
      <c r="AK120" s="23" t="s">
        <v>13</v>
      </c>
      <c r="AL120" s="37">
        <f>IFERROR(INDEX('Kode Diskon'!$D$3:$D$9,MATCH(cadangan3[[#This Row],[Kode diskon]],'Kode Diskon'!$C$3:$C$9,0)),"-")</f>
        <v>0.15</v>
      </c>
      <c r="AM120" s="23" t="s">
        <v>29</v>
      </c>
      <c r="AN120" s="23" t="s">
        <v>7</v>
      </c>
      <c r="AO120" s="23" t="s">
        <v>76</v>
      </c>
      <c r="AP120" s="24">
        <v>45018</v>
      </c>
      <c r="AQ120" s="23" t="str">
        <f>TEXT(cadangan3[[#This Row],[Tanggal terjual]],"dddd")</f>
        <v>Sunday</v>
      </c>
    </row>
    <row r="121" spans="1:43" x14ac:dyDescent="0.2">
      <c r="A121" s="20">
        <v>120</v>
      </c>
      <c r="B121" s="21" t="str">
        <f>_xlfn.CONCAT("ORD-",INDEX(Helper!$B$2:$B$5,MATCH(cadangan3[[#This Row],[Marketplace]],Helper!$A$2:$A$5,0)),TEXT(cadangan3[[#This Row],[No]],"0000"),"-",TEXT(cadangan3[[#This Row],[Tanggal terjual]],"dd/mm/yy"))</f>
        <v>ORD-BL0120-21/04/23</v>
      </c>
      <c r="C121" t="s">
        <v>64</v>
      </c>
      <c r="D121" t="str">
        <f>IFERROR(INDEX(Katalog!$A$3:$A$12,MATCH(cadangan3[[#This Row],[ItemID A]],Katalog!$C$3:$C$12,0)),"-")</f>
        <v>Pakaian Unisex</v>
      </c>
      <c r="E121" t="str">
        <f>IFERROR(INDEX(Katalog!$B$3:$B$12,MATCH(cadangan3[[#This Row],[ItemID A]],Katalog!$C$3:$C$12,0)),"-")</f>
        <v>Jaket Hoodie</v>
      </c>
      <c r="F121">
        <v>2</v>
      </c>
      <c r="G121">
        <v>1</v>
      </c>
      <c r="H121" s="36">
        <f>IFERROR(INDEX(Katalog!$D$3:$D$12,MATCH(cadangan3[[#This Row],[ItemID A]],Katalog!$C$3:$C$12,0))*cadangan3[[#This Row],[Qty A]],0)</f>
        <v>700000</v>
      </c>
      <c r="I121" s="36">
        <f>IFERROR(INDEX(Katalog!$D$3:$D$12,MATCH(cadangan3[[#This Row],[Item A]],Katalog!$B$3:$B$12,0))*cadangan3[[#This Row],[Qty A]],0)</f>
        <v>700000</v>
      </c>
      <c r="J121" s="36">
        <f>IFERROR(cadangan3[[#This Row],[Harga Asli A]]-(cadangan3[[#This Row],[Harga Asli A]]*cadangan3[[#This Row],[Diskon]]),cadangan3[[#This Row],[Harga Asli A]])</f>
        <v>595000</v>
      </c>
      <c r="K121" s="36">
        <f>INDEX(Katalog!$F$3:$F$12,MATCH(cadangan3[[#This Row],[ItemID A]],Katalog!$C$3:$C$12,0))*cadangan3[[#This Row],[Qty A]]</f>
        <v>260000</v>
      </c>
      <c r="L121" s="36">
        <f>IFERROR(cadangan3[[#This Row],[Profit A]]-(cadangan3[[#This Row],[Profit A]]*cadangan3[[#This Row],[Diskon]]),K121)</f>
        <v>221000</v>
      </c>
      <c r="M121" t="s">
        <v>58</v>
      </c>
      <c r="N121" t="str">
        <f>IFERROR(INDEX(Katalog!$A$3:$A$12,MATCH(cadangan3[[#This Row],[ItemID B]],Katalog!$C$3:$C$12,0)),"-")</f>
        <v>Pakaian Wanita</v>
      </c>
      <c r="O121" t="str">
        <f>IFERROR(INDEX(Katalog!$B$3:$B$12,MATCH(cadangan3[[#This Row],[ItemID B]],Katalog!$C$3:$C$12,0)),"-")</f>
        <v>Dress</v>
      </c>
      <c r="P121">
        <v>2</v>
      </c>
      <c r="Q121">
        <v>5</v>
      </c>
      <c r="R121" s="36">
        <f>IFERROR(INDEX(Katalog!$D$3:$D$12,MATCH(cadangan3[[#This Row],[ItemID B]],Katalog!$C$3:$C$12,0))*cadangan3[[#This Row],[Qty B]],0)</f>
        <v>600000</v>
      </c>
      <c r="S121" s="36">
        <f>IFERROR(INDEX(Katalog!$D$3:$D$12,MATCH(cadangan3[[#This Row],[Item B]],Katalog!$B$3:$B$12,0))*cadangan3[[#This Row],[Qty B]],0)</f>
        <v>600000</v>
      </c>
      <c r="T121" s="36">
        <f>IFERROR(cadangan3[[#This Row],[Harga Asli B]]-(cadangan3[[#This Row],[Harga Asli B]]*cadangan3[[#This Row],[Diskon]]),cadangan3[[#This Row],[Harga Asli B]])</f>
        <v>510000</v>
      </c>
      <c r="U121" s="36">
        <f>IFERROR(INDEX(Katalog!$F$3:$F$12,MATCH(cadangan3[[#This Row],[ItemID B]],Katalog!$C$3:$C$12,0))*cadangan3[[#This Row],[Qty B]],0)</f>
        <v>200000</v>
      </c>
      <c r="V121" s="36">
        <f>IFERROR(cadangan3[[#This Row],[Profit B]]-(cadangan3[[#This Row],[Profit B]]*cadangan3[[#This Row],[Diskon]]),U121)</f>
        <v>170000</v>
      </c>
      <c r="W121" t="s">
        <v>66</v>
      </c>
      <c r="X121" t="str">
        <f>IFERROR(INDEX(Katalog!$A$3:$A$12,MATCH(cadangan3[[#This Row],[ItemID C]],Katalog!$C$3:$C$12,0)),"-")</f>
        <v>Sepatu Pria</v>
      </c>
      <c r="Y121" t="str">
        <f>IFERROR(INDEX(Katalog!$B$3:$B$12,MATCH(cadangan3[[#This Row],[ItemID C]],Katalog!$C$3:$C$12,0)),"-")</f>
        <v>Sandal Slip On</v>
      </c>
      <c r="Z121">
        <v>3</v>
      </c>
      <c r="AA121">
        <v>3</v>
      </c>
      <c r="AB121" s="36">
        <f>IFERROR(INDEX(Katalog!$D$3:$D$12,MATCH(cadangan3[[#This Row],[ItemID C]],Katalog!$C$3:$C$12,0))*cadangan3[[#This Row],[Qty C]],0)</f>
        <v>450000</v>
      </c>
      <c r="AC121" s="36">
        <f>IFERROR(INDEX(Katalog!$D$3:$D$12,MATCH(cadangan3[[#This Row],[Item C]],Katalog!$B$3:$B$12,0))*cadangan3[[#This Row],[Qty C]],0)</f>
        <v>450000</v>
      </c>
      <c r="AD121" s="36">
        <f>IFERROR(cadangan3[[#This Row],[Harga Asli C]]-(cadangan3[[#This Row],[Harga Asli C]]*cadangan3[[#This Row],[Diskon]]),cadangan3[[#This Row],[Harga Asli C]])</f>
        <v>382500</v>
      </c>
      <c r="AE121" s="36">
        <f>IFERROR(INDEX(Katalog!$F$3:$F$12,MATCH(cadangan3[[#This Row],[ItemID C]],Katalog!$C$3:$C$12,0))*cadangan3[[#This Row],[Qty C]],0)</f>
        <v>180000</v>
      </c>
      <c r="AF121" s="36">
        <f>IFERROR(cadangan3[[#This Row],[Profit C]]-(cadangan3[[#This Row],[Profit C]]*cadangan3[[#This Row],[Diskon]]),cadangan3[[#This Row],[Profit C]])</f>
        <v>153000</v>
      </c>
      <c r="AG121" s="21">
        <f>cadangan3[[#This Row],[Qty A]]+cadangan3[[#This Row],[Qty B]]+cadangan3[[#This Row],[Qty C]]</f>
        <v>7</v>
      </c>
      <c r="AH121" s="35">
        <f>cadangan3[[#This Row],[Harga A + Diskon]]+cadangan3[[#This Row],[Harga + Diskon B]]+cadangan3[[#This Row],[Harga + Diskon C]]</f>
        <v>1487500</v>
      </c>
      <c r="AI121" s="35">
        <f>(cadangan3[[#This Row],[Profit A]]+cadangan3[[#This Row],[Profit B]]+cadangan3[[#This Row],[Profit C]])</f>
        <v>640000</v>
      </c>
      <c r="AJ121" s="35">
        <f>cadangan3[[#This Row],[Provit A + Diskon]]+cadangan3[[#This Row],[Provit B + Diskon]]+cadangan3[[#This Row],[Provit C + Diskon]]</f>
        <v>544000</v>
      </c>
      <c r="AK121" s="23" t="s">
        <v>32</v>
      </c>
      <c r="AL121" s="37">
        <f>IFERROR(INDEX('Kode Diskon'!$D$3:$D$9,MATCH(cadangan3[[#This Row],[Kode diskon]],'Kode Diskon'!$C$3:$C$9,0)),"-")</f>
        <v>0.15</v>
      </c>
      <c r="AM121" s="23" t="s">
        <v>9</v>
      </c>
      <c r="AN121" s="23" t="s">
        <v>12</v>
      </c>
      <c r="AO121" s="23" t="s">
        <v>76</v>
      </c>
      <c r="AP121" s="24">
        <v>45037</v>
      </c>
      <c r="AQ121" s="23" t="str">
        <f>TEXT(cadangan3[[#This Row],[Tanggal terjual]],"dddd")</f>
        <v>Friday</v>
      </c>
    </row>
    <row r="122" spans="1:43" x14ac:dyDescent="0.2">
      <c r="A122" s="20">
        <v>121</v>
      </c>
      <c r="B122" s="21" t="str">
        <f>_xlfn.CONCAT("ORD-",INDEX(Helper!$B$2:$B$5,MATCH(cadangan3[[#This Row],[Marketplace]],Helper!$A$2:$A$5,0)),TEXT(cadangan3[[#This Row],[No]],"0000"),"-",TEXT(cadangan3[[#This Row],[Tanggal terjual]],"dd/mm/yy"))</f>
        <v>ORD-TK0121-16/04/23</v>
      </c>
      <c r="C122" t="s">
        <v>65</v>
      </c>
      <c r="D122" t="str">
        <f>IFERROR(INDEX(Katalog!$A$3:$A$12,MATCH(cadangan3[[#This Row],[ItemID A]],Katalog!$C$3:$C$12,0)),"-")</f>
        <v>Sepatu Pria</v>
      </c>
      <c r="E122" t="str">
        <f>IFERROR(INDEX(Katalog!$B$3:$B$12,MATCH(cadangan3[[#This Row],[ItemID A]],Katalog!$C$3:$C$12,0)),"-")</f>
        <v>Sneakers</v>
      </c>
      <c r="F122">
        <v>2</v>
      </c>
      <c r="G122">
        <v>3</v>
      </c>
      <c r="H122" s="36">
        <f>IFERROR(INDEX(Katalog!$D$3:$D$12,MATCH(cadangan3[[#This Row],[ItemID A]],Katalog!$C$3:$C$12,0))*cadangan3[[#This Row],[Qty A]],0)</f>
        <v>1000000</v>
      </c>
      <c r="I122" s="36">
        <f>IFERROR(INDEX(Katalog!$D$3:$D$12,MATCH(cadangan3[[#This Row],[Item A]],Katalog!$B$3:$B$12,0))*cadangan3[[#This Row],[Qty A]],0)</f>
        <v>1000000</v>
      </c>
      <c r="J122" s="36">
        <f>IFERROR(cadangan3[[#This Row],[Harga Asli A]]-(cadangan3[[#This Row],[Harga Asli A]]*cadangan3[[#This Row],[Diskon]]),cadangan3[[#This Row],[Harga Asli A]])</f>
        <v>900000</v>
      </c>
      <c r="K122" s="36">
        <f>INDEX(Katalog!$F$3:$F$12,MATCH(cadangan3[[#This Row],[ItemID A]],Katalog!$C$3:$C$12,0))*cadangan3[[#This Row],[Qty A]]</f>
        <v>400000</v>
      </c>
      <c r="L122" s="36">
        <f>IFERROR(cadangan3[[#This Row],[Profit A]]-(cadangan3[[#This Row],[Profit A]]*cadangan3[[#This Row],[Diskon]]),K122)</f>
        <v>360000</v>
      </c>
      <c r="M122" t="s">
        <v>67</v>
      </c>
      <c r="N122" t="str">
        <f>IFERROR(INDEX(Katalog!$A$3:$A$12,MATCH(cadangan3[[#This Row],[ItemID B]],Katalog!$C$3:$C$12,0)),"-")</f>
        <v>Sepatu Wanita</v>
      </c>
      <c r="O122" t="str">
        <f>IFERROR(INDEX(Katalog!$B$3:$B$12,MATCH(cadangan3[[#This Row],[ItemID B]],Katalog!$C$3:$C$12,0)),"-")</f>
        <v>Flat Shoes</v>
      </c>
      <c r="P122">
        <v>1</v>
      </c>
      <c r="Q122">
        <v>2</v>
      </c>
      <c r="R122" s="36">
        <f>IFERROR(INDEX(Katalog!$D$3:$D$12,MATCH(cadangan3[[#This Row],[ItemID B]],Katalog!$C$3:$C$12,0))*cadangan3[[#This Row],[Qty B]],0)</f>
        <v>250000</v>
      </c>
      <c r="S122" s="36">
        <f>IFERROR(INDEX(Katalog!$D$3:$D$12,MATCH(cadangan3[[#This Row],[Item B]],Katalog!$B$3:$B$12,0))*cadangan3[[#This Row],[Qty B]],0)</f>
        <v>250000</v>
      </c>
      <c r="T122" s="36">
        <f>IFERROR(cadangan3[[#This Row],[Harga Asli B]]-(cadangan3[[#This Row],[Harga Asli B]]*cadangan3[[#This Row],[Diskon]]),cadangan3[[#This Row],[Harga Asli B]])</f>
        <v>225000</v>
      </c>
      <c r="U122" s="36">
        <f>IFERROR(INDEX(Katalog!$F$3:$F$12,MATCH(cadangan3[[#This Row],[ItemID B]],Katalog!$C$3:$C$12,0))*cadangan3[[#This Row],[Qty B]],0)</f>
        <v>100000</v>
      </c>
      <c r="V122" s="36">
        <f>IFERROR(cadangan3[[#This Row],[Profit B]]-(cadangan3[[#This Row],[Profit B]]*cadangan3[[#This Row],[Diskon]]),U122)</f>
        <v>90000</v>
      </c>
      <c r="X122" t="str">
        <f>IFERROR(INDEX(Katalog!$A$3:$A$12,MATCH(cadangan3[[#This Row],[ItemID C]],Katalog!$C$3:$C$12,0)),"-")</f>
        <v>-</v>
      </c>
      <c r="Y122" t="str">
        <f>IFERROR(INDEX(Katalog!$B$3:$B$12,MATCH(cadangan3[[#This Row],[ItemID C]],Katalog!$C$3:$C$12,0)),"-")</f>
        <v>-</v>
      </c>
      <c r="AB122" s="36">
        <f>IFERROR(INDEX(Katalog!$D$3:$D$12,MATCH(cadangan3[[#This Row],[ItemID C]],Katalog!$C$3:$C$12,0))*cadangan3[[#This Row],[Qty C]],0)</f>
        <v>0</v>
      </c>
      <c r="AC122" s="36">
        <f>IFERROR(INDEX(Katalog!$D$3:$D$12,MATCH(cadangan3[[#This Row],[Item C]],Katalog!$B$3:$B$12,0))*cadangan3[[#This Row],[Qty C]],0)</f>
        <v>0</v>
      </c>
      <c r="AD122" s="36">
        <f>IFERROR(cadangan3[[#This Row],[Harga Asli C]]-(cadangan3[[#This Row],[Harga Asli C]]*cadangan3[[#This Row],[Diskon]]),cadangan3[[#This Row],[Harga Asli C]])</f>
        <v>0</v>
      </c>
      <c r="AE122" s="36">
        <f>IFERROR(INDEX(Katalog!$F$3:$F$12,MATCH(cadangan3[[#This Row],[ItemID C]],Katalog!$C$3:$C$12,0))*cadangan3[[#This Row],[Qty C]],0)</f>
        <v>0</v>
      </c>
      <c r="AF122" s="36">
        <f>IFERROR(cadangan3[[#This Row],[Profit C]]-(cadangan3[[#This Row],[Profit C]]*cadangan3[[#This Row],[Diskon]]),cadangan3[[#This Row],[Profit C]])</f>
        <v>0</v>
      </c>
      <c r="AG122" s="21">
        <f>cadangan3[[#This Row],[Qty A]]+cadangan3[[#This Row],[Qty B]]+cadangan3[[#This Row],[Qty C]]</f>
        <v>3</v>
      </c>
      <c r="AH122" s="35">
        <f>cadangan3[[#This Row],[Harga A + Diskon]]+cadangan3[[#This Row],[Harga + Diskon B]]+cadangan3[[#This Row],[Harga + Diskon C]]</f>
        <v>1125000</v>
      </c>
      <c r="AI122" s="35">
        <f>(cadangan3[[#This Row],[Profit A]]+cadangan3[[#This Row],[Profit B]]+cadangan3[[#This Row],[Profit C]])</f>
        <v>500000</v>
      </c>
      <c r="AJ122" s="35">
        <f>cadangan3[[#This Row],[Provit A + Diskon]]+cadangan3[[#This Row],[Provit B + Diskon]]+cadangan3[[#This Row],[Provit C + Diskon]]</f>
        <v>450000</v>
      </c>
      <c r="AK122" s="23" t="s">
        <v>31</v>
      </c>
      <c r="AL122" s="37">
        <f>IFERROR(INDEX('Kode Diskon'!$D$3:$D$9,MATCH(cadangan3[[#This Row],[Kode diskon]],'Kode Diskon'!$C$3:$C$9,0)),"-")</f>
        <v>0.1</v>
      </c>
      <c r="AM122" s="23" t="s">
        <v>9</v>
      </c>
      <c r="AN122" s="23" t="s">
        <v>10</v>
      </c>
      <c r="AO122" s="23" t="s">
        <v>80</v>
      </c>
      <c r="AP122" s="24">
        <v>45032</v>
      </c>
      <c r="AQ122" s="23" t="str">
        <f>TEXT(cadangan3[[#This Row],[Tanggal terjual]],"dddd")</f>
        <v>Sunday</v>
      </c>
    </row>
    <row r="123" spans="1:43" x14ac:dyDescent="0.2">
      <c r="A123" s="20">
        <v>122</v>
      </c>
      <c r="B123" s="21" t="str">
        <f>_xlfn.CONCAT("ORD-",INDEX(Helper!$B$2:$B$5,MATCH(cadangan3[[#This Row],[Marketplace]],Helper!$A$2:$A$5,0)),TEXT(cadangan3[[#This Row],[No]],"0000"),"-",TEXT(cadangan3[[#This Row],[Tanggal terjual]],"dd/mm/yy"))</f>
        <v>ORD-TK0122-28/04/23</v>
      </c>
      <c r="C123" t="s">
        <v>58</v>
      </c>
      <c r="D123" t="str">
        <f>IFERROR(INDEX(Katalog!$A$3:$A$12,MATCH(cadangan3[[#This Row],[ItemID A]],Katalog!$C$3:$C$12,0)),"-")</f>
        <v>Pakaian Wanita</v>
      </c>
      <c r="E123" t="str">
        <f>IFERROR(INDEX(Katalog!$B$3:$B$12,MATCH(cadangan3[[#This Row],[ItemID A]],Katalog!$C$3:$C$12,0)),"-")</f>
        <v>Dress</v>
      </c>
      <c r="F123">
        <v>2</v>
      </c>
      <c r="G123">
        <v>1</v>
      </c>
      <c r="H123" s="36">
        <f>IFERROR(INDEX(Katalog!$D$3:$D$12,MATCH(cadangan3[[#This Row],[ItemID A]],Katalog!$C$3:$C$12,0))*cadangan3[[#This Row],[Qty A]],0)</f>
        <v>600000</v>
      </c>
      <c r="I123" s="36">
        <f>IFERROR(INDEX(Katalog!$D$3:$D$12,MATCH(cadangan3[[#This Row],[Item A]],Katalog!$B$3:$B$12,0))*cadangan3[[#This Row],[Qty A]],0)</f>
        <v>600000</v>
      </c>
      <c r="J123" s="36">
        <f>IFERROR(cadangan3[[#This Row],[Harga Asli A]]-(cadangan3[[#This Row],[Harga Asli A]]*cadangan3[[#This Row],[Diskon]]),cadangan3[[#This Row],[Harga Asli A]])</f>
        <v>540000</v>
      </c>
      <c r="K123" s="36">
        <f>INDEX(Katalog!$F$3:$F$12,MATCH(cadangan3[[#This Row],[ItemID A]],Katalog!$C$3:$C$12,0))*cadangan3[[#This Row],[Qty A]]</f>
        <v>200000</v>
      </c>
      <c r="L123" s="36">
        <f>IFERROR(cadangan3[[#This Row],[Profit A]]-(cadangan3[[#This Row],[Profit A]]*cadangan3[[#This Row],[Diskon]]),K123)</f>
        <v>180000</v>
      </c>
      <c r="N123" t="str">
        <f>IFERROR(INDEX(Katalog!$A$3:$A$12,MATCH(cadangan3[[#This Row],[ItemID B]],Katalog!$C$3:$C$12,0)),"-")</f>
        <v>-</v>
      </c>
      <c r="O123" t="str">
        <f>IFERROR(INDEX(Katalog!$B$3:$B$12,MATCH(cadangan3[[#This Row],[ItemID B]],Katalog!$C$3:$C$12,0)),"-")</f>
        <v>-</v>
      </c>
      <c r="R123" s="36">
        <f>IFERROR(INDEX(Katalog!$D$3:$D$12,MATCH(cadangan3[[#This Row],[ItemID B]],Katalog!$C$3:$C$12,0))*cadangan3[[#This Row],[Qty B]],0)</f>
        <v>0</v>
      </c>
      <c r="S123" s="36">
        <f>IFERROR(INDEX(Katalog!$D$3:$D$12,MATCH(cadangan3[[#This Row],[Item B]],Katalog!$B$3:$B$12,0))*cadangan3[[#This Row],[Qty B]],0)</f>
        <v>0</v>
      </c>
      <c r="T123" s="36">
        <f>IFERROR(cadangan3[[#This Row],[Harga Asli B]]-(cadangan3[[#This Row],[Harga Asli B]]*cadangan3[[#This Row],[Diskon]]),cadangan3[[#This Row],[Harga Asli B]])</f>
        <v>0</v>
      </c>
      <c r="U123" s="36">
        <f>IFERROR(INDEX(Katalog!$F$3:$F$12,MATCH(cadangan3[[#This Row],[ItemID B]],Katalog!$C$3:$C$12,0))*cadangan3[[#This Row],[Qty B]],0)</f>
        <v>0</v>
      </c>
      <c r="V123" s="36">
        <f>IFERROR(cadangan3[[#This Row],[Profit B]]-(cadangan3[[#This Row],[Profit B]]*cadangan3[[#This Row],[Diskon]]),U123)</f>
        <v>0</v>
      </c>
      <c r="X123" t="str">
        <f>IFERROR(INDEX(Katalog!$A$3:$A$12,MATCH(cadangan3[[#This Row],[ItemID C]],Katalog!$C$3:$C$12,0)),"-")</f>
        <v>-</v>
      </c>
      <c r="Y123" t="str">
        <f>IFERROR(INDEX(Katalog!$B$3:$B$12,MATCH(cadangan3[[#This Row],[ItemID C]],Katalog!$C$3:$C$12,0)),"-")</f>
        <v>-</v>
      </c>
      <c r="AB123" s="36">
        <f>IFERROR(INDEX(Katalog!$D$3:$D$12,MATCH(cadangan3[[#This Row],[ItemID C]],Katalog!$C$3:$C$12,0))*cadangan3[[#This Row],[Qty C]],0)</f>
        <v>0</v>
      </c>
      <c r="AC123" s="36">
        <f>IFERROR(INDEX(Katalog!$D$3:$D$12,MATCH(cadangan3[[#This Row],[Item C]],Katalog!$B$3:$B$12,0))*cadangan3[[#This Row],[Qty C]],0)</f>
        <v>0</v>
      </c>
      <c r="AD123" s="36">
        <f>IFERROR(cadangan3[[#This Row],[Harga Asli C]]-(cadangan3[[#This Row],[Harga Asli C]]*cadangan3[[#This Row],[Diskon]]),cadangan3[[#This Row],[Harga Asli C]])</f>
        <v>0</v>
      </c>
      <c r="AE123" s="36">
        <f>IFERROR(INDEX(Katalog!$F$3:$F$12,MATCH(cadangan3[[#This Row],[ItemID C]],Katalog!$C$3:$C$12,0))*cadangan3[[#This Row],[Qty C]],0)</f>
        <v>0</v>
      </c>
      <c r="AF123" s="36">
        <f>IFERROR(cadangan3[[#This Row],[Profit C]]-(cadangan3[[#This Row],[Profit C]]*cadangan3[[#This Row],[Diskon]]),cadangan3[[#This Row],[Profit C]])</f>
        <v>0</v>
      </c>
      <c r="AG123" s="21">
        <f>cadangan3[[#This Row],[Qty A]]+cadangan3[[#This Row],[Qty B]]+cadangan3[[#This Row],[Qty C]]</f>
        <v>2</v>
      </c>
      <c r="AH123" s="35">
        <f>cadangan3[[#This Row],[Harga A + Diskon]]+cadangan3[[#This Row],[Harga + Diskon B]]+cadangan3[[#This Row],[Harga + Diskon C]]</f>
        <v>540000</v>
      </c>
      <c r="AI123" s="35">
        <f>(cadangan3[[#This Row],[Profit A]]+cadangan3[[#This Row],[Profit B]]+cadangan3[[#This Row],[Profit C]])</f>
        <v>200000</v>
      </c>
      <c r="AJ123" s="35">
        <f>cadangan3[[#This Row],[Provit A + Diskon]]+cadangan3[[#This Row],[Provit B + Diskon]]+cadangan3[[#This Row],[Provit C + Diskon]]</f>
        <v>180000</v>
      </c>
      <c r="AK123" s="23" t="s">
        <v>31</v>
      </c>
      <c r="AL123" s="37">
        <f>IFERROR(INDEX('Kode Diskon'!$D$3:$D$9,MATCH(cadangan3[[#This Row],[Kode diskon]],'Kode Diskon'!$C$3:$C$9,0)),"-")</f>
        <v>0.1</v>
      </c>
      <c r="AM123" s="23" t="s">
        <v>9</v>
      </c>
      <c r="AN123" s="23" t="s">
        <v>10</v>
      </c>
      <c r="AO123" s="23" t="s">
        <v>80</v>
      </c>
      <c r="AP123" s="24">
        <v>45044</v>
      </c>
      <c r="AQ123" s="23" t="str">
        <f>TEXT(cadangan3[[#This Row],[Tanggal terjual]],"dddd")</f>
        <v>Friday</v>
      </c>
    </row>
    <row r="124" spans="1:43" x14ac:dyDescent="0.2">
      <c r="A124" s="20">
        <v>123</v>
      </c>
      <c r="B124" s="21" t="str">
        <f>_xlfn.CONCAT("ORD-",INDEX(Helper!$B$2:$B$5,MATCH(cadangan3[[#This Row],[Marketplace]],Helper!$A$2:$A$5,0)),TEXT(cadangan3[[#This Row],[No]],"0000"),"-",TEXT(cadangan3[[#This Row],[Tanggal terjual]],"dd/mm/yy"))</f>
        <v>ORD-SP0123-04/04/23</v>
      </c>
      <c r="C124" t="s">
        <v>63</v>
      </c>
      <c r="D124" t="str">
        <f>IFERROR(INDEX(Katalog!$A$3:$A$12,MATCH(cadangan3[[#This Row],[ItemID A]],Katalog!$C$3:$C$12,0)),"-")</f>
        <v>Pakaian Pria</v>
      </c>
      <c r="E124" t="str">
        <f>IFERROR(INDEX(Katalog!$B$3:$B$12,MATCH(cadangan3[[#This Row],[ItemID A]],Katalog!$C$3:$C$12,0)),"-")</f>
        <v>Jaket Jeans</v>
      </c>
      <c r="F124">
        <v>3</v>
      </c>
      <c r="G124">
        <v>5</v>
      </c>
      <c r="H124" s="36">
        <f>IFERROR(INDEX(Katalog!$D$3:$D$12,MATCH(cadangan3[[#This Row],[ItemID A]],Katalog!$C$3:$C$12,0))*cadangan3[[#This Row],[Qty A]],0)</f>
        <v>1200000</v>
      </c>
      <c r="I124" s="36">
        <f>IFERROR(INDEX(Katalog!$D$3:$D$12,MATCH(cadangan3[[#This Row],[Item A]],Katalog!$B$3:$B$12,0))*cadangan3[[#This Row],[Qty A]],0)</f>
        <v>1200000</v>
      </c>
      <c r="J124" s="36">
        <f>IFERROR(cadangan3[[#This Row],[Harga Asli A]]-(cadangan3[[#This Row],[Harga Asli A]]*cadangan3[[#This Row],[Diskon]]),cadangan3[[#This Row],[Harga Asli A]])</f>
        <v>1080000</v>
      </c>
      <c r="K124" s="36">
        <f>INDEX(Katalog!$F$3:$F$12,MATCH(cadangan3[[#This Row],[ItemID A]],Katalog!$C$3:$C$12,0))*cadangan3[[#This Row],[Qty A]]</f>
        <v>450000</v>
      </c>
      <c r="L124" s="36">
        <f>IFERROR(cadangan3[[#This Row],[Profit A]]-(cadangan3[[#This Row],[Profit A]]*cadangan3[[#This Row],[Diskon]]),K124)</f>
        <v>405000</v>
      </c>
      <c r="M124" t="s">
        <v>65</v>
      </c>
      <c r="N124" t="str">
        <f>IFERROR(INDEX(Katalog!$A$3:$A$12,MATCH(cadangan3[[#This Row],[ItemID B]],Katalog!$C$3:$C$12,0)),"-")</f>
        <v>Sepatu Pria</v>
      </c>
      <c r="O124" t="str">
        <f>IFERROR(INDEX(Katalog!$B$3:$B$12,MATCH(cadangan3[[#This Row],[ItemID B]],Katalog!$C$3:$C$12,0)),"-")</f>
        <v>Sneakers</v>
      </c>
      <c r="P124">
        <v>1</v>
      </c>
      <c r="Q124">
        <v>3</v>
      </c>
      <c r="R124" s="36">
        <f>IFERROR(INDEX(Katalog!$D$3:$D$12,MATCH(cadangan3[[#This Row],[ItemID B]],Katalog!$C$3:$C$12,0))*cadangan3[[#This Row],[Qty B]],0)</f>
        <v>500000</v>
      </c>
      <c r="S124" s="36">
        <f>IFERROR(INDEX(Katalog!$D$3:$D$12,MATCH(cadangan3[[#This Row],[Item B]],Katalog!$B$3:$B$12,0))*cadangan3[[#This Row],[Qty B]],0)</f>
        <v>500000</v>
      </c>
      <c r="T124" s="36">
        <f>IFERROR(cadangan3[[#This Row],[Harga Asli B]]-(cadangan3[[#This Row],[Harga Asli B]]*cadangan3[[#This Row],[Diskon]]),cadangan3[[#This Row],[Harga Asli B]])</f>
        <v>450000</v>
      </c>
      <c r="U124" s="36">
        <f>IFERROR(INDEX(Katalog!$F$3:$F$12,MATCH(cadangan3[[#This Row],[ItemID B]],Katalog!$C$3:$C$12,0))*cadangan3[[#This Row],[Qty B]],0)</f>
        <v>200000</v>
      </c>
      <c r="V124" s="36">
        <f>IFERROR(cadangan3[[#This Row],[Profit B]]-(cadangan3[[#This Row],[Profit B]]*cadangan3[[#This Row],[Diskon]]),U124)</f>
        <v>180000</v>
      </c>
      <c r="X124" t="str">
        <f>IFERROR(INDEX(Katalog!$A$3:$A$12,MATCH(cadangan3[[#This Row],[ItemID C]],Katalog!$C$3:$C$12,0)),"-")</f>
        <v>-</v>
      </c>
      <c r="Y124" t="str">
        <f>IFERROR(INDEX(Katalog!$B$3:$B$12,MATCH(cadangan3[[#This Row],[ItemID C]],Katalog!$C$3:$C$12,0)),"-")</f>
        <v>-</v>
      </c>
      <c r="AB124" s="36">
        <f>IFERROR(INDEX(Katalog!$D$3:$D$12,MATCH(cadangan3[[#This Row],[ItemID C]],Katalog!$C$3:$C$12,0))*cadangan3[[#This Row],[Qty C]],0)</f>
        <v>0</v>
      </c>
      <c r="AC124" s="36">
        <f>IFERROR(INDEX(Katalog!$D$3:$D$12,MATCH(cadangan3[[#This Row],[Item C]],Katalog!$B$3:$B$12,0))*cadangan3[[#This Row],[Qty C]],0)</f>
        <v>0</v>
      </c>
      <c r="AD124" s="36">
        <f>IFERROR(cadangan3[[#This Row],[Harga Asli C]]-(cadangan3[[#This Row],[Harga Asli C]]*cadangan3[[#This Row],[Diskon]]),cadangan3[[#This Row],[Harga Asli C]])</f>
        <v>0</v>
      </c>
      <c r="AE124" s="36">
        <f>IFERROR(INDEX(Katalog!$F$3:$F$12,MATCH(cadangan3[[#This Row],[ItemID C]],Katalog!$C$3:$C$12,0))*cadangan3[[#This Row],[Qty C]],0)</f>
        <v>0</v>
      </c>
      <c r="AF124" s="36">
        <f>IFERROR(cadangan3[[#This Row],[Profit C]]-(cadangan3[[#This Row],[Profit C]]*cadangan3[[#This Row],[Diskon]]),cadangan3[[#This Row],[Profit C]])</f>
        <v>0</v>
      </c>
      <c r="AG124" s="21">
        <f>cadangan3[[#This Row],[Qty A]]+cadangan3[[#This Row],[Qty B]]+cadangan3[[#This Row],[Qty C]]</f>
        <v>4</v>
      </c>
      <c r="AH124" s="35">
        <f>cadangan3[[#This Row],[Harga A + Diskon]]+cadangan3[[#This Row],[Harga + Diskon B]]+cadangan3[[#This Row],[Harga + Diskon C]]</f>
        <v>1530000</v>
      </c>
      <c r="AI124" s="35">
        <f>(cadangan3[[#This Row],[Profit A]]+cadangan3[[#This Row],[Profit B]]+cadangan3[[#This Row],[Profit C]])</f>
        <v>650000</v>
      </c>
      <c r="AJ124" s="35">
        <f>cadangan3[[#This Row],[Provit A + Diskon]]+cadangan3[[#This Row],[Provit B + Diskon]]+cadangan3[[#This Row],[Provit C + Diskon]]</f>
        <v>585000</v>
      </c>
      <c r="AK124" s="23" t="s">
        <v>6</v>
      </c>
      <c r="AL124" s="37">
        <f>IFERROR(INDEX('Kode Diskon'!$D$3:$D$9,MATCH(cadangan3[[#This Row],[Kode diskon]],'Kode Diskon'!$C$3:$C$9,0)),"-")</f>
        <v>0.1</v>
      </c>
      <c r="AM124" s="23" t="s">
        <v>29</v>
      </c>
      <c r="AN124" s="23" t="s">
        <v>7</v>
      </c>
      <c r="AO124" s="23" t="s">
        <v>76</v>
      </c>
      <c r="AP124" s="24">
        <v>45020</v>
      </c>
      <c r="AQ124" s="23" t="str">
        <f>TEXT(cadangan3[[#This Row],[Tanggal terjual]],"dddd")</f>
        <v>Tuesday</v>
      </c>
    </row>
    <row r="125" spans="1:43" x14ac:dyDescent="0.2">
      <c r="A125" s="20">
        <v>124</v>
      </c>
      <c r="B125" s="21" t="str">
        <f>_xlfn.CONCAT("ORD-",INDEX(Helper!$B$2:$B$5,MATCH(cadangan3[[#This Row],[Marketplace]],Helper!$A$2:$A$5,0)),TEXT(cadangan3[[#This Row],[No]],"0000"),"-",TEXT(cadangan3[[#This Row],[Tanggal terjual]],"dd/mm/yy"))</f>
        <v>ORD-SP0124-04/04/23</v>
      </c>
      <c r="C125" t="s">
        <v>60</v>
      </c>
      <c r="D125" t="str">
        <f>IFERROR(INDEX(Katalog!$A$3:$A$12,MATCH(cadangan3[[#This Row],[ItemID A]],Katalog!$C$3:$C$12,0)),"-")</f>
        <v>Pakaian Wanita</v>
      </c>
      <c r="E125" t="str">
        <f>IFERROR(INDEX(Katalog!$B$3:$B$12,MATCH(cadangan3[[#This Row],[ItemID A]],Katalog!$C$3:$C$12,0)),"-")</f>
        <v>Kaftan</v>
      </c>
      <c r="F125">
        <v>2</v>
      </c>
      <c r="G125">
        <v>5</v>
      </c>
      <c r="H125" s="36">
        <f>IFERROR(INDEX(Katalog!$D$3:$D$12,MATCH(cadangan3[[#This Row],[ItemID A]],Katalog!$C$3:$C$12,0))*cadangan3[[#This Row],[Qty A]],0)</f>
        <v>500000</v>
      </c>
      <c r="I125" s="36">
        <f>IFERROR(INDEX(Katalog!$D$3:$D$12,MATCH(cadangan3[[#This Row],[Item A]],Katalog!$B$3:$B$12,0))*cadangan3[[#This Row],[Qty A]],0)</f>
        <v>500000</v>
      </c>
      <c r="J125" s="36">
        <f>IFERROR(cadangan3[[#This Row],[Harga Asli A]]-(cadangan3[[#This Row],[Harga Asli A]]*cadangan3[[#This Row],[Diskon]]),cadangan3[[#This Row],[Harga Asli A]])</f>
        <v>425000</v>
      </c>
      <c r="K125" s="36">
        <f>INDEX(Katalog!$F$3:$F$12,MATCH(cadangan3[[#This Row],[ItemID A]],Katalog!$C$3:$C$12,0))*cadangan3[[#This Row],[Qty A]]</f>
        <v>200000</v>
      </c>
      <c r="L125" s="36">
        <f>IFERROR(cadangan3[[#This Row],[Profit A]]-(cadangan3[[#This Row],[Profit A]]*cadangan3[[#This Row],[Diskon]]),K125)</f>
        <v>170000</v>
      </c>
      <c r="M125" t="s">
        <v>63</v>
      </c>
      <c r="N125" t="str">
        <f>IFERROR(INDEX(Katalog!$A$3:$A$12,MATCH(cadangan3[[#This Row],[ItemID B]],Katalog!$C$3:$C$12,0)),"-")</f>
        <v>Pakaian Pria</v>
      </c>
      <c r="O125" t="str">
        <f>IFERROR(INDEX(Katalog!$B$3:$B$12,MATCH(cadangan3[[#This Row],[ItemID B]],Katalog!$C$3:$C$12,0)),"-")</f>
        <v>Jaket Jeans</v>
      </c>
      <c r="P125">
        <v>2</v>
      </c>
      <c r="Q125">
        <v>2</v>
      </c>
      <c r="R125" s="36">
        <f>IFERROR(INDEX(Katalog!$D$3:$D$12,MATCH(cadangan3[[#This Row],[ItemID B]],Katalog!$C$3:$C$12,0))*cadangan3[[#This Row],[Qty B]],0)</f>
        <v>800000</v>
      </c>
      <c r="S125" s="36">
        <f>IFERROR(INDEX(Katalog!$D$3:$D$12,MATCH(cadangan3[[#This Row],[Item B]],Katalog!$B$3:$B$12,0))*cadangan3[[#This Row],[Qty B]],0)</f>
        <v>800000</v>
      </c>
      <c r="T125" s="36">
        <f>IFERROR(cadangan3[[#This Row],[Harga Asli B]]-(cadangan3[[#This Row],[Harga Asli B]]*cadangan3[[#This Row],[Diskon]]),cadangan3[[#This Row],[Harga Asli B]])</f>
        <v>680000</v>
      </c>
      <c r="U125" s="36">
        <f>IFERROR(INDEX(Katalog!$F$3:$F$12,MATCH(cadangan3[[#This Row],[ItemID B]],Katalog!$C$3:$C$12,0))*cadangan3[[#This Row],[Qty B]],0)</f>
        <v>300000</v>
      </c>
      <c r="V125" s="36">
        <f>IFERROR(cadangan3[[#This Row],[Profit B]]-(cadangan3[[#This Row],[Profit B]]*cadangan3[[#This Row],[Diskon]]),U125)</f>
        <v>255000</v>
      </c>
      <c r="X125" t="str">
        <f>IFERROR(INDEX(Katalog!$A$3:$A$12,MATCH(cadangan3[[#This Row],[ItemID C]],Katalog!$C$3:$C$12,0)),"-")</f>
        <v>-</v>
      </c>
      <c r="Y125" t="str">
        <f>IFERROR(INDEX(Katalog!$B$3:$B$12,MATCH(cadangan3[[#This Row],[ItemID C]],Katalog!$C$3:$C$12,0)),"-")</f>
        <v>-</v>
      </c>
      <c r="AB125" s="36">
        <f>IFERROR(INDEX(Katalog!$D$3:$D$12,MATCH(cadangan3[[#This Row],[ItemID C]],Katalog!$C$3:$C$12,0))*cadangan3[[#This Row],[Qty C]],0)</f>
        <v>0</v>
      </c>
      <c r="AC125" s="36">
        <f>IFERROR(INDEX(Katalog!$D$3:$D$12,MATCH(cadangan3[[#This Row],[Item C]],Katalog!$B$3:$B$12,0))*cadangan3[[#This Row],[Qty C]],0)</f>
        <v>0</v>
      </c>
      <c r="AD125" s="36">
        <f>IFERROR(cadangan3[[#This Row],[Harga Asli C]]-(cadangan3[[#This Row],[Harga Asli C]]*cadangan3[[#This Row],[Diskon]]),cadangan3[[#This Row],[Harga Asli C]])</f>
        <v>0</v>
      </c>
      <c r="AE125" s="36">
        <f>IFERROR(INDEX(Katalog!$F$3:$F$12,MATCH(cadangan3[[#This Row],[ItemID C]],Katalog!$C$3:$C$12,0))*cadangan3[[#This Row],[Qty C]],0)</f>
        <v>0</v>
      </c>
      <c r="AF125" s="36">
        <f>IFERROR(cadangan3[[#This Row],[Profit C]]-(cadangan3[[#This Row],[Profit C]]*cadangan3[[#This Row],[Diskon]]),cadangan3[[#This Row],[Profit C]])</f>
        <v>0</v>
      </c>
      <c r="AG125" s="21">
        <f>cadangan3[[#This Row],[Qty A]]+cadangan3[[#This Row],[Qty B]]+cadangan3[[#This Row],[Qty C]]</f>
        <v>4</v>
      </c>
      <c r="AH125" s="35">
        <f>cadangan3[[#This Row],[Harga A + Diskon]]+cadangan3[[#This Row],[Harga + Diskon B]]+cadangan3[[#This Row],[Harga + Diskon C]]</f>
        <v>1105000</v>
      </c>
      <c r="AI125" s="35">
        <f>(cadangan3[[#This Row],[Profit A]]+cadangan3[[#This Row],[Profit B]]+cadangan3[[#This Row],[Profit C]])</f>
        <v>500000</v>
      </c>
      <c r="AJ125" s="35">
        <f>cadangan3[[#This Row],[Provit A + Diskon]]+cadangan3[[#This Row],[Provit B + Diskon]]+cadangan3[[#This Row],[Provit C + Diskon]]</f>
        <v>425000</v>
      </c>
      <c r="AK125" s="23" t="s">
        <v>13</v>
      </c>
      <c r="AL125" s="37">
        <f>IFERROR(INDEX('Kode Diskon'!$D$3:$D$9,MATCH(cadangan3[[#This Row],[Kode diskon]],'Kode Diskon'!$C$3:$C$9,0)),"-")</f>
        <v>0.15</v>
      </c>
      <c r="AM125" s="23" t="s">
        <v>29</v>
      </c>
      <c r="AN125" s="23" t="s">
        <v>7</v>
      </c>
      <c r="AO125" s="23" t="s">
        <v>76</v>
      </c>
      <c r="AP125" s="24">
        <v>45020</v>
      </c>
      <c r="AQ125" s="23" t="str">
        <f>TEXT(cadangan3[[#This Row],[Tanggal terjual]],"dddd")</f>
        <v>Tuesday</v>
      </c>
    </row>
    <row r="126" spans="1:43" x14ac:dyDescent="0.2">
      <c r="A126" s="20">
        <v>125</v>
      </c>
      <c r="B126" s="21" t="str">
        <f>_xlfn.CONCAT("ORD-",INDEX(Helper!$B$2:$B$5,MATCH(cadangan3[[#This Row],[Marketplace]],Helper!$A$2:$A$5,0)),TEXT(cadangan3[[#This Row],[No]],"0000"),"-",TEXT(cadangan3[[#This Row],[Tanggal terjual]],"dd/mm/yy"))</f>
        <v>ORD-SP0125-06/04/23</v>
      </c>
      <c r="C126" t="s">
        <v>65</v>
      </c>
      <c r="D126" t="str">
        <f>IFERROR(INDEX(Katalog!$A$3:$A$12,MATCH(cadangan3[[#This Row],[ItemID A]],Katalog!$C$3:$C$12,0)),"-")</f>
        <v>Sepatu Pria</v>
      </c>
      <c r="E126" t="str">
        <f>IFERROR(INDEX(Katalog!$B$3:$B$12,MATCH(cadangan3[[#This Row],[ItemID A]],Katalog!$C$3:$C$12,0)),"-")</f>
        <v>Sneakers</v>
      </c>
      <c r="F126">
        <v>1</v>
      </c>
      <c r="G126">
        <v>5</v>
      </c>
      <c r="H126" s="36">
        <f>IFERROR(INDEX(Katalog!$D$3:$D$12,MATCH(cadangan3[[#This Row],[ItemID A]],Katalog!$C$3:$C$12,0))*cadangan3[[#This Row],[Qty A]],0)</f>
        <v>500000</v>
      </c>
      <c r="I126" s="36">
        <f>IFERROR(INDEX(Katalog!$D$3:$D$12,MATCH(cadangan3[[#This Row],[Item A]],Katalog!$B$3:$B$12,0))*cadangan3[[#This Row],[Qty A]],0)</f>
        <v>500000</v>
      </c>
      <c r="J126" s="36">
        <f>IFERROR(cadangan3[[#This Row],[Harga Asli A]]-(cadangan3[[#This Row],[Harga Asli A]]*cadangan3[[#This Row],[Diskon]]),cadangan3[[#This Row],[Harga Asli A]])</f>
        <v>450000</v>
      </c>
      <c r="K126" s="36">
        <f>INDEX(Katalog!$F$3:$F$12,MATCH(cadangan3[[#This Row],[ItemID A]],Katalog!$C$3:$C$12,0))*cadangan3[[#This Row],[Qty A]]</f>
        <v>200000</v>
      </c>
      <c r="L126" s="36">
        <f>IFERROR(cadangan3[[#This Row],[Profit A]]-(cadangan3[[#This Row],[Profit A]]*cadangan3[[#This Row],[Diskon]]),K126)</f>
        <v>180000</v>
      </c>
      <c r="M126" t="s">
        <v>67</v>
      </c>
      <c r="N126" t="str">
        <f>IFERROR(INDEX(Katalog!$A$3:$A$12,MATCH(cadangan3[[#This Row],[ItemID B]],Katalog!$C$3:$C$12,0)),"-")</f>
        <v>Sepatu Wanita</v>
      </c>
      <c r="O126" t="str">
        <f>IFERROR(INDEX(Katalog!$B$3:$B$12,MATCH(cadangan3[[#This Row],[ItemID B]],Katalog!$C$3:$C$12,0)),"-")</f>
        <v>Flat Shoes</v>
      </c>
      <c r="P126">
        <v>1</v>
      </c>
      <c r="Q126">
        <v>4</v>
      </c>
      <c r="R126" s="36">
        <f>IFERROR(INDEX(Katalog!$D$3:$D$12,MATCH(cadangan3[[#This Row],[ItemID B]],Katalog!$C$3:$C$12,0))*cadangan3[[#This Row],[Qty B]],0)</f>
        <v>250000</v>
      </c>
      <c r="S126" s="36">
        <f>IFERROR(INDEX(Katalog!$D$3:$D$12,MATCH(cadangan3[[#This Row],[Item B]],Katalog!$B$3:$B$12,0))*cadangan3[[#This Row],[Qty B]],0)</f>
        <v>250000</v>
      </c>
      <c r="T126" s="36">
        <f>IFERROR(cadangan3[[#This Row],[Harga Asli B]]-(cadangan3[[#This Row],[Harga Asli B]]*cadangan3[[#This Row],[Diskon]]),cadangan3[[#This Row],[Harga Asli B]])</f>
        <v>225000</v>
      </c>
      <c r="U126" s="36">
        <f>IFERROR(INDEX(Katalog!$F$3:$F$12,MATCH(cadangan3[[#This Row],[ItemID B]],Katalog!$C$3:$C$12,0))*cadangan3[[#This Row],[Qty B]],0)</f>
        <v>100000</v>
      </c>
      <c r="V126" s="36">
        <f>IFERROR(cadangan3[[#This Row],[Profit B]]-(cadangan3[[#This Row],[Profit B]]*cadangan3[[#This Row],[Diskon]]),U126)</f>
        <v>90000</v>
      </c>
      <c r="X126" t="str">
        <f>IFERROR(INDEX(Katalog!$A$3:$A$12,MATCH(cadangan3[[#This Row],[ItemID C]],Katalog!$C$3:$C$12,0)),"-")</f>
        <v>-</v>
      </c>
      <c r="Y126" t="str">
        <f>IFERROR(INDEX(Katalog!$B$3:$B$12,MATCH(cadangan3[[#This Row],[ItemID C]],Katalog!$C$3:$C$12,0)),"-")</f>
        <v>-</v>
      </c>
      <c r="AB126" s="36">
        <f>IFERROR(INDEX(Katalog!$D$3:$D$12,MATCH(cadangan3[[#This Row],[ItemID C]],Katalog!$C$3:$C$12,0))*cadangan3[[#This Row],[Qty C]],0)</f>
        <v>0</v>
      </c>
      <c r="AC126" s="36">
        <f>IFERROR(INDEX(Katalog!$D$3:$D$12,MATCH(cadangan3[[#This Row],[Item C]],Katalog!$B$3:$B$12,0))*cadangan3[[#This Row],[Qty C]],0)</f>
        <v>0</v>
      </c>
      <c r="AD126" s="36">
        <f>IFERROR(cadangan3[[#This Row],[Harga Asli C]]-(cadangan3[[#This Row],[Harga Asli C]]*cadangan3[[#This Row],[Diskon]]),cadangan3[[#This Row],[Harga Asli C]])</f>
        <v>0</v>
      </c>
      <c r="AE126" s="36">
        <f>IFERROR(INDEX(Katalog!$F$3:$F$12,MATCH(cadangan3[[#This Row],[ItemID C]],Katalog!$C$3:$C$12,0))*cadangan3[[#This Row],[Qty C]],0)</f>
        <v>0</v>
      </c>
      <c r="AF126" s="36">
        <f>IFERROR(cadangan3[[#This Row],[Profit C]]-(cadangan3[[#This Row],[Profit C]]*cadangan3[[#This Row],[Diskon]]),cadangan3[[#This Row],[Profit C]])</f>
        <v>0</v>
      </c>
      <c r="AG126" s="21">
        <f>cadangan3[[#This Row],[Qty A]]+cadangan3[[#This Row],[Qty B]]+cadangan3[[#This Row],[Qty C]]</f>
        <v>2</v>
      </c>
      <c r="AH126" s="35">
        <f>cadangan3[[#This Row],[Harga A + Diskon]]+cadangan3[[#This Row],[Harga + Diskon B]]+cadangan3[[#This Row],[Harga + Diskon C]]</f>
        <v>675000</v>
      </c>
      <c r="AI126" s="35">
        <f>(cadangan3[[#This Row],[Profit A]]+cadangan3[[#This Row],[Profit B]]+cadangan3[[#This Row],[Profit C]])</f>
        <v>300000</v>
      </c>
      <c r="AJ126" s="35">
        <f>cadangan3[[#This Row],[Provit A + Diskon]]+cadangan3[[#This Row],[Provit B + Diskon]]+cadangan3[[#This Row],[Provit C + Diskon]]</f>
        <v>270000</v>
      </c>
      <c r="AK126" s="23" t="s">
        <v>6</v>
      </c>
      <c r="AL126" s="37">
        <f>IFERROR(INDEX('Kode Diskon'!$D$3:$D$9,MATCH(cadangan3[[#This Row],[Kode diskon]],'Kode Diskon'!$C$3:$C$9,0)),"-")</f>
        <v>0.1</v>
      </c>
      <c r="AM126" s="23" t="s">
        <v>29</v>
      </c>
      <c r="AN126" s="23" t="s">
        <v>7</v>
      </c>
      <c r="AO126" s="23" t="s">
        <v>80</v>
      </c>
      <c r="AP126" s="24">
        <v>45022</v>
      </c>
      <c r="AQ126" s="23" t="str">
        <f>TEXT(cadangan3[[#This Row],[Tanggal terjual]],"dddd")</f>
        <v>Thursday</v>
      </c>
    </row>
    <row r="127" spans="1:43" x14ac:dyDescent="0.2">
      <c r="A127" s="20">
        <v>126</v>
      </c>
      <c r="B127" s="21" t="str">
        <f>_xlfn.CONCAT("ORD-",INDEX(Helper!$B$2:$B$5,MATCH(cadangan3[[#This Row],[Marketplace]],Helper!$A$2:$A$5,0)),TEXT(cadangan3[[#This Row],[No]],"0000"),"-",TEXT(cadangan3[[#This Row],[Tanggal terjual]],"dd/mm/yy"))</f>
        <v>ORD-TK0126-17/04/23</v>
      </c>
      <c r="C127" t="s">
        <v>60</v>
      </c>
      <c r="D127" t="str">
        <f>IFERROR(INDEX(Katalog!$A$3:$A$12,MATCH(cadangan3[[#This Row],[ItemID A]],Katalog!$C$3:$C$12,0)),"-")</f>
        <v>Pakaian Wanita</v>
      </c>
      <c r="E127" t="str">
        <f>IFERROR(INDEX(Katalog!$B$3:$B$12,MATCH(cadangan3[[#This Row],[ItemID A]],Katalog!$C$3:$C$12,0)),"-")</f>
        <v>Kaftan</v>
      </c>
      <c r="F127">
        <v>4</v>
      </c>
      <c r="G127">
        <v>5</v>
      </c>
      <c r="H127" s="36">
        <f>IFERROR(INDEX(Katalog!$D$3:$D$12,MATCH(cadangan3[[#This Row],[ItemID A]],Katalog!$C$3:$C$12,0))*cadangan3[[#This Row],[Qty A]],0)</f>
        <v>1000000</v>
      </c>
      <c r="I127" s="36">
        <f>IFERROR(INDEX(Katalog!$D$3:$D$12,MATCH(cadangan3[[#This Row],[Item A]],Katalog!$B$3:$B$12,0))*cadangan3[[#This Row],[Qty A]],0)</f>
        <v>1000000</v>
      </c>
      <c r="J127" s="36">
        <f>IFERROR(cadangan3[[#This Row],[Harga Asli A]]-(cadangan3[[#This Row],[Harga Asli A]]*cadangan3[[#This Row],[Diskon]]),cadangan3[[#This Row],[Harga Asli A]])</f>
        <v>900000</v>
      </c>
      <c r="K127" s="36">
        <f>INDEX(Katalog!$F$3:$F$12,MATCH(cadangan3[[#This Row],[ItemID A]],Katalog!$C$3:$C$12,0))*cadangan3[[#This Row],[Qty A]]</f>
        <v>400000</v>
      </c>
      <c r="L127" s="36">
        <f>IFERROR(cadangan3[[#This Row],[Profit A]]-(cadangan3[[#This Row],[Profit A]]*cadangan3[[#This Row],[Diskon]]),K127)</f>
        <v>360000</v>
      </c>
      <c r="M127" t="s">
        <v>67</v>
      </c>
      <c r="N127" t="str">
        <f>IFERROR(INDEX(Katalog!$A$3:$A$12,MATCH(cadangan3[[#This Row],[ItemID B]],Katalog!$C$3:$C$12,0)),"-")</f>
        <v>Sepatu Wanita</v>
      </c>
      <c r="O127" t="str">
        <f>IFERROR(INDEX(Katalog!$B$3:$B$12,MATCH(cadangan3[[#This Row],[ItemID B]],Katalog!$C$3:$C$12,0)),"-")</f>
        <v>Flat Shoes</v>
      </c>
      <c r="P127">
        <v>1</v>
      </c>
      <c r="Q127">
        <v>2</v>
      </c>
      <c r="R127" s="36">
        <f>IFERROR(INDEX(Katalog!$D$3:$D$12,MATCH(cadangan3[[#This Row],[ItemID B]],Katalog!$C$3:$C$12,0))*cadangan3[[#This Row],[Qty B]],0)</f>
        <v>250000</v>
      </c>
      <c r="S127" s="36">
        <f>IFERROR(INDEX(Katalog!$D$3:$D$12,MATCH(cadangan3[[#This Row],[Item B]],Katalog!$B$3:$B$12,0))*cadangan3[[#This Row],[Qty B]],0)</f>
        <v>250000</v>
      </c>
      <c r="T127" s="36">
        <f>IFERROR(cadangan3[[#This Row],[Harga Asli B]]-(cadangan3[[#This Row],[Harga Asli B]]*cadangan3[[#This Row],[Diskon]]),cadangan3[[#This Row],[Harga Asli B]])</f>
        <v>225000</v>
      </c>
      <c r="U127" s="36">
        <f>IFERROR(INDEX(Katalog!$F$3:$F$12,MATCH(cadangan3[[#This Row],[ItemID B]],Katalog!$C$3:$C$12,0))*cadangan3[[#This Row],[Qty B]],0)</f>
        <v>100000</v>
      </c>
      <c r="V127" s="36">
        <f>IFERROR(cadangan3[[#This Row],[Profit B]]-(cadangan3[[#This Row],[Profit B]]*cadangan3[[#This Row],[Diskon]]),U127)</f>
        <v>90000</v>
      </c>
      <c r="W127" t="s">
        <v>59</v>
      </c>
      <c r="X127" t="str">
        <f>IFERROR(INDEX(Katalog!$A$3:$A$12,MATCH(cadangan3[[#This Row],[ItemID C]],Katalog!$C$3:$C$12,0)),"-")</f>
        <v>Pakaian Wanita</v>
      </c>
      <c r="Y127" t="str">
        <f>IFERROR(INDEX(Katalog!$B$3:$B$12,MATCH(cadangan3[[#This Row],[ItemID C]],Katalog!$C$3:$C$12,0)),"-")</f>
        <v>Blouse</v>
      </c>
      <c r="Z127">
        <v>2</v>
      </c>
      <c r="AA127">
        <v>5</v>
      </c>
      <c r="AB127" s="36">
        <f>IFERROR(INDEX(Katalog!$D$3:$D$12,MATCH(cadangan3[[#This Row],[ItemID C]],Katalog!$C$3:$C$12,0))*cadangan3[[#This Row],[Qty C]],0)</f>
        <v>300000</v>
      </c>
      <c r="AC127" s="36">
        <f>IFERROR(INDEX(Katalog!$D$3:$D$12,MATCH(cadangan3[[#This Row],[Item C]],Katalog!$B$3:$B$12,0))*cadangan3[[#This Row],[Qty C]],0)</f>
        <v>300000</v>
      </c>
      <c r="AD127" s="36">
        <f>IFERROR(cadangan3[[#This Row],[Harga Asli C]]-(cadangan3[[#This Row],[Harga Asli C]]*cadangan3[[#This Row],[Diskon]]),cadangan3[[#This Row],[Harga Asli C]])</f>
        <v>270000</v>
      </c>
      <c r="AE127" s="36">
        <f>IFERROR(INDEX(Katalog!$F$3:$F$12,MATCH(cadangan3[[#This Row],[ItemID C]],Katalog!$C$3:$C$12,0))*cadangan3[[#This Row],[Qty C]],0)</f>
        <v>100000</v>
      </c>
      <c r="AF127" s="36">
        <f>IFERROR(cadangan3[[#This Row],[Profit C]]-(cadangan3[[#This Row],[Profit C]]*cadangan3[[#This Row],[Diskon]]),cadangan3[[#This Row],[Profit C]])</f>
        <v>90000</v>
      </c>
      <c r="AG127" s="21">
        <f>cadangan3[[#This Row],[Qty A]]+cadangan3[[#This Row],[Qty B]]+cadangan3[[#This Row],[Qty C]]</f>
        <v>7</v>
      </c>
      <c r="AH127" s="35">
        <f>cadangan3[[#This Row],[Harga A + Diskon]]+cadangan3[[#This Row],[Harga + Diskon B]]+cadangan3[[#This Row],[Harga + Diskon C]]</f>
        <v>1395000</v>
      </c>
      <c r="AI127" s="35">
        <f>(cadangan3[[#This Row],[Profit A]]+cadangan3[[#This Row],[Profit B]]+cadangan3[[#This Row],[Profit C]])</f>
        <v>600000</v>
      </c>
      <c r="AJ127" s="35">
        <f>cadangan3[[#This Row],[Provit A + Diskon]]+cadangan3[[#This Row],[Provit B + Diskon]]+cadangan3[[#This Row],[Provit C + Diskon]]</f>
        <v>540000</v>
      </c>
      <c r="AK127" s="23" t="s">
        <v>31</v>
      </c>
      <c r="AL127" s="37">
        <f>IFERROR(INDEX('Kode Diskon'!$D$3:$D$9,MATCH(cadangan3[[#This Row],[Kode diskon]],'Kode Diskon'!$C$3:$C$9,0)),"-")</f>
        <v>0.1</v>
      </c>
      <c r="AM127" s="23" t="s">
        <v>9</v>
      </c>
      <c r="AN127" s="23" t="s">
        <v>10</v>
      </c>
      <c r="AO127" s="23" t="s">
        <v>78</v>
      </c>
      <c r="AP127" s="24">
        <v>45033</v>
      </c>
      <c r="AQ127" s="23" t="str">
        <f>TEXT(cadangan3[[#This Row],[Tanggal terjual]],"dddd")</f>
        <v>Monday</v>
      </c>
    </row>
    <row r="128" spans="1:43" x14ac:dyDescent="0.2">
      <c r="A128" s="20">
        <v>127</v>
      </c>
      <c r="B128" s="21" t="str">
        <f>_xlfn.CONCAT("ORD-",INDEX(Helper!$B$2:$B$5,MATCH(cadangan3[[#This Row],[Marketplace]],Helper!$A$2:$A$5,0)),TEXT(cadangan3[[#This Row],[No]],"0000"),"-",TEXT(cadangan3[[#This Row],[Tanggal terjual]],"dd/mm/yy"))</f>
        <v>ORD-BB0127-02/04/23</v>
      </c>
      <c r="C128" t="s">
        <v>59</v>
      </c>
      <c r="D128" t="str">
        <f>IFERROR(INDEX(Katalog!$A$3:$A$12,MATCH(cadangan3[[#This Row],[ItemID A]],Katalog!$C$3:$C$12,0)),"-")</f>
        <v>Pakaian Wanita</v>
      </c>
      <c r="E128" t="str">
        <f>IFERROR(INDEX(Katalog!$B$3:$B$12,MATCH(cadangan3[[#This Row],[ItemID A]],Katalog!$C$3:$C$12,0)),"-")</f>
        <v>Blouse</v>
      </c>
      <c r="F128">
        <v>3</v>
      </c>
      <c r="G128">
        <v>2</v>
      </c>
      <c r="H128" s="36">
        <f>IFERROR(INDEX(Katalog!$D$3:$D$12,MATCH(cadangan3[[#This Row],[ItemID A]],Katalog!$C$3:$C$12,0))*cadangan3[[#This Row],[Qty A]],0)</f>
        <v>450000</v>
      </c>
      <c r="I128" s="36">
        <f>IFERROR(INDEX(Katalog!$D$3:$D$12,MATCH(cadangan3[[#This Row],[Item A]],Katalog!$B$3:$B$12,0))*cadangan3[[#This Row],[Qty A]],0)</f>
        <v>450000</v>
      </c>
      <c r="J128" s="36">
        <f>IFERROR(cadangan3[[#This Row],[Harga Asli A]]-(cadangan3[[#This Row],[Harga Asli A]]*cadangan3[[#This Row],[Diskon]]),cadangan3[[#This Row],[Harga Asli A]])</f>
        <v>382500</v>
      </c>
      <c r="K128" s="36">
        <f>INDEX(Katalog!$F$3:$F$12,MATCH(cadangan3[[#This Row],[ItemID A]],Katalog!$C$3:$C$12,0))*cadangan3[[#This Row],[Qty A]]</f>
        <v>150000</v>
      </c>
      <c r="L128" s="36">
        <f>IFERROR(cadangan3[[#This Row],[Profit A]]-(cadangan3[[#This Row],[Profit A]]*cadangan3[[#This Row],[Diskon]]),K128)</f>
        <v>127500</v>
      </c>
      <c r="M128" t="s">
        <v>67</v>
      </c>
      <c r="N128" t="str">
        <f>IFERROR(INDEX(Katalog!$A$3:$A$12,MATCH(cadangan3[[#This Row],[ItemID B]],Katalog!$C$3:$C$12,0)),"-")</f>
        <v>Sepatu Wanita</v>
      </c>
      <c r="O128" t="str">
        <f>IFERROR(INDEX(Katalog!$B$3:$B$12,MATCH(cadangan3[[#This Row],[ItemID B]],Katalog!$C$3:$C$12,0)),"-")</f>
        <v>Flat Shoes</v>
      </c>
      <c r="P128">
        <v>2</v>
      </c>
      <c r="Q128">
        <v>4</v>
      </c>
      <c r="R128" s="36">
        <f>IFERROR(INDEX(Katalog!$D$3:$D$12,MATCH(cadangan3[[#This Row],[ItemID B]],Katalog!$C$3:$C$12,0))*cadangan3[[#This Row],[Qty B]],0)</f>
        <v>500000</v>
      </c>
      <c r="S128" s="36">
        <f>IFERROR(INDEX(Katalog!$D$3:$D$12,MATCH(cadangan3[[#This Row],[Item B]],Katalog!$B$3:$B$12,0))*cadangan3[[#This Row],[Qty B]],0)</f>
        <v>500000</v>
      </c>
      <c r="T128" s="36">
        <f>IFERROR(cadangan3[[#This Row],[Harga Asli B]]-(cadangan3[[#This Row],[Harga Asli B]]*cadangan3[[#This Row],[Diskon]]),cadangan3[[#This Row],[Harga Asli B]])</f>
        <v>425000</v>
      </c>
      <c r="U128" s="36">
        <f>IFERROR(INDEX(Katalog!$F$3:$F$12,MATCH(cadangan3[[#This Row],[ItemID B]],Katalog!$C$3:$C$12,0))*cadangan3[[#This Row],[Qty B]],0)</f>
        <v>200000</v>
      </c>
      <c r="V128" s="36">
        <f>IFERROR(cadangan3[[#This Row],[Profit B]]-(cadangan3[[#This Row],[Profit B]]*cadangan3[[#This Row],[Diskon]]),U128)</f>
        <v>170000</v>
      </c>
      <c r="W128" t="s">
        <v>64</v>
      </c>
      <c r="X128" t="str">
        <f>IFERROR(INDEX(Katalog!$A$3:$A$12,MATCH(cadangan3[[#This Row],[ItemID C]],Katalog!$C$3:$C$12,0)),"-")</f>
        <v>Pakaian Unisex</v>
      </c>
      <c r="Y128" t="str">
        <f>IFERROR(INDEX(Katalog!$B$3:$B$12,MATCH(cadangan3[[#This Row],[ItemID C]],Katalog!$C$3:$C$12,0)),"-")</f>
        <v>Jaket Hoodie</v>
      </c>
      <c r="Z128">
        <v>1</v>
      </c>
      <c r="AA128">
        <v>1</v>
      </c>
      <c r="AB128" s="36">
        <f>IFERROR(INDEX(Katalog!$D$3:$D$12,MATCH(cadangan3[[#This Row],[ItemID C]],Katalog!$C$3:$C$12,0))*cadangan3[[#This Row],[Qty C]],0)</f>
        <v>350000</v>
      </c>
      <c r="AC128" s="36">
        <f>IFERROR(INDEX(Katalog!$D$3:$D$12,MATCH(cadangan3[[#This Row],[Item C]],Katalog!$B$3:$B$12,0))*cadangan3[[#This Row],[Qty C]],0)</f>
        <v>350000</v>
      </c>
      <c r="AD128" s="36">
        <f>IFERROR(cadangan3[[#This Row],[Harga Asli C]]-(cadangan3[[#This Row],[Harga Asli C]]*cadangan3[[#This Row],[Diskon]]),cadangan3[[#This Row],[Harga Asli C]])</f>
        <v>297500</v>
      </c>
      <c r="AE128" s="36">
        <f>IFERROR(INDEX(Katalog!$F$3:$F$12,MATCH(cadangan3[[#This Row],[ItemID C]],Katalog!$C$3:$C$12,0))*cadangan3[[#This Row],[Qty C]],0)</f>
        <v>130000</v>
      </c>
      <c r="AF128" s="36">
        <f>IFERROR(cadangan3[[#This Row],[Profit C]]-(cadangan3[[#This Row],[Profit C]]*cadangan3[[#This Row],[Diskon]]),cadangan3[[#This Row],[Profit C]])</f>
        <v>110500</v>
      </c>
      <c r="AG128" s="21">
        <f>cadangan3[[#This Row],[Qty A]]+cadangan3[[#This Row],[Qty B]]+cadangan3[[#This Row],[Qty C]]</f>
        <v>6</v>
      </c>
      <c r="AH128" s="35">
        <f>cadangan3[[#This Row],[Harga A + Diskon]]+cadangan3[[#This Row],[Harga + Diskon B]]+cadangan3[[#This Row],[Harga + Diskon C]]</f>
        <v>1105000</v>
      </c>
      <c r="AI128" s="35">
        <f>(cadangan3[[#This Row],[Profit A]]+cadangan3[[#This Row],[Profit B]]+cadangan3[[#This Row],[Profit C]])</f>
        <v>480000</v>
      </c>
      <c r="AJ128" s="35">
        <f>cadangan3[[#This Row],[Provit A + Diskon]]+cadangan3[[#This Row],[Provit B + Diskon]]+cadangan3[[#This Row],[Provit C + Diskon]]</f>
        <v>408000</v>
      </c>
      <c r="AK128" s="23" t="s">
        <v>28</v>
      </c>
      <c r="AL128" s="37">
        <f>IFERROR(INDEX('Kode Diskon'!$D$3:$D$9,MATCH(cadangan3[[#This Row],[Kode diskon]],'Kode Diskon'!$C$3:$C$9,0)),"-")</f>
        <v>0.15</v>
      </c>
      <c r="AM128" s="23" t="s">
        <v>29</v>
      </c>
      <c r="AN128" s="23" t="s">
        <v>14</v>
      </c>
      <c r="AO128" s="23" t="s">
        <v>76</v>
      </c>
      <c r="AP128" s="24">
        <v>45018</v>
      </c>
      <c r="AQ128" s="23" t="str">
        <f>TEXT(cadangan3[[#This Row],[Tanggal terjual]],"dddd")</f>
        <v>Sunday</v>
      </c>
    </row>
    <row r="129" spans="1:43" x14ac:dyDescent="0.2">
      <c r="A129" s="20">
        <v>128</v>
      </c>
      <c r="B129" s="21" t="str">
        <f>_xlfn.CONCAT("ORD-",INDEX(Helper!$B$2:$B$5,MATCH(cadangan3[[#This Row],[Marketplace]],Helper!$A$2:$A$5,0)),TEXT(cadangan3[[#This Row],[No]],"0000"),"-",TEXT(cadangan3[[#This Row],[Tanggal terjual]],"dd/mm/yy"))</f>
        <v>ORD-BL0128-28/04/23</v>
      </c>
      <c r="C129" t="s">
        <v>64</v>
      </c>
      <c r="D129" t="str">
        <f>IFERROR(INDEX(Katalog!$A$3:$A$12,MATCH(cadangan3[[#This Row],[ItemID A]],Katalog!$C$3:$C$12,0)),"-")</f>
        <v>Pakaian Unisex</v>
      </c>
      <c r="E129" t="str">
        <f>IFERROR(INDEX(Katalog!$B$3:$B$12,MATCH(cadangan3[[#This Row],[ItemID A]],Katalog!$C$3:$C$12,0)),"-")</f>
        <v>Jaket Hoodie</v>
      </c>
      <c r="F129">
        <v>7</v>
      </c>
      <c r="G129">
        <v>3</v>
      </c>
      <c r="H129" s="36">
        <f>IFERROR(INDEX(Katalog!$D$3:$D$12,MATCH(cadangan3[[#This Row],[ItemID A]],Katalog!$C$3:$C$12,0))*cadangan3[[#This Row],[Qty A]],0)</f>
        <v>2450000</v>
      </c>
      <c r="I129" s="36">
        <f>IFERROR(INDEX(Katalog!$D$3:$D$12,MATCH(cadangan3[[#This Row],[Item A]],Katalog!$B$3:$B$12,0))*cadangan3[[#This Row],[Qty A]],0)</f>
        <v>2450000</v>
      </c>
      <c r="J129" s="36">
        <f>IFERROR(cadangan3[[#This Row],[Harga Asli A]]-(cadangan3[[#This Row],[Harga Asli A]]*cadangan3[[#This Row],[Diskon]]),cadangan3[[#This Row],[Harga Asli A]])</f>
        <v>2082500</v>
      </c>
      <c r="K129" s="36">
        <f>INDEX(Katalog!$F$3:$F$12,MATCH(cadangan3[[#This Row],[ItemID A]],Katalog!$C$3:$C$12,0))*cadangan3[[#This Row],[Qty A]]</f>
        <v>910000</v>
      </c>
      <c r="L129" s="36">
        <f>IFERROR(cadangan3[[#This Row],[Profit A]]-(cadangan3[[#This Row],[Profit A]]*cadangan3[[#This Row],[Diskon]]),K129)</f>
        <v>773500</v>
      </c>
      <c r="N129" t="str">
        <f>IFERROR(INDEX(Katalog!$A$3:$A$12,MATCH(cadangan3[[#This Row],[ItemID B]],Katalog!$C$3:$C$12,0)),"-")</f>
        <v>-</v>
      </c>
      <c r="O129" t="str">
        <f>IFERROR(INDEX(Katalog!$B$3:$B$12,MATCH(cadangan3[[#This Row],[ItemID B]],Katalog!$C$3:$C$12,0)),"-")</f>
        <v>-</v>
      </c>
      <c r="R129" s="36">
        <f>IFERROR(INDEX(Katalog!$D$3:$D$12,MATCH(cadangan3[[#This Row],[ItemID B]],Katalog!$C$3:$C$12,0))*cadangan3[[#This Row],[Qty B]],0)</f>
        <v>0</v>
      </c>
      <c r="S129" s="36">
        <f>IFERROR(INDEX(Katalog!$D$3:$D$12,MATCH(cadangan3[[#This Row],[Item B]],Katalog!$B$3:$B$12,0))*cadangan3[[#This Row],[Qty B]],0)</f>
        <v>0</v>
      </c>
      <c r="T129" s="36">
        <f>IFERROR(cadangan3[[#This Row],[Harga Asli B]]-(cadangan3[[#This Row],[Harga Asli B]]*cadangan3[[#This Row],[Diskon]]),cadangan3[[#This Row],[Harga Asli B]])</f>
        <v>0</v>
      </c>
      <c r="U129" s="36">
        <f>IFERROR(INDEX(Katalog!$F$3:$F$12,MATCH(cadangan3[[#This Row],[ItemID B]],Katalog!$C$3:$C$12,0))*cadangan3[[#This Row],[Qty B]],0)</f>
        <v>0</v>
      </c>
      <c r="V129" s="36">
        <f>IFERROR(cadangan3[[#This Row],[Profit B]]-(cadangan3[[#This Row],[Profit B]]*cadangan3[[#This Row],[Diskon]]),U129)</f>
        <v>0</v>
      </c>
      <c r="X129" t="str">
        <f>IFERROR(INDEX(Katalog!$A$3:$A$12,MATCH(cadangan3[[#This Row],[ItemID C]],Katalog!$C$3:$C$12,0)),"-")</f>
        <v>-</v>
      </c>
      <c r="Y129" t="str">
        <f>IFERROR(INDEX(Katalog!$B$3:$B$12,MATCH(cadangan3[[#This Row],[ItemID C]],Katalog!$C$3:$C$12,0)),"-")</f>
        <v>-</v>
      </c>
      <c r="AB129" s="36">
        <f>IFERROR(INDEX(Katalog!$D$3:$D$12,MATCH(cadangan3[[#This Row],[ItemID C]],Katalog!$C$3:$C$12,0))*cadangan3[[#This Row],[Qty C]],0)</f>
        <v>0</v>
      </c>
      <c r="AC129" s="36">
        <f>IFERROR(INDEX(Katalog!$D$3:$D$12,MATCH(cadangan3[[#This Row],[Item C]],Katalog!$B$3:$B$12,0))*cadangan3[[#This Row],[Qty C]],0)</f>
        <v>0</v>
      </c>
      <c r="AD129" s="36">
        <f>IFERROR(cadangan3[[#This Row],[Harga Asli C]]-(cadangan3[[#This Row],[Harga Asli C]]*cadangan3[[#This Row],[Diskon]]),cadangan3[[#This Row],[Harga Asli C]])</f>
        <v>0</v>
      </c>
      <c r="AE129" s="36">
        <f>IFERROR(INDEX(Katalog!$F$3:$F$12,MATCH(cadangan3[[#This Row],[ItemID C]],Katalog!$C$3:$C$12,0))*cadangan3[[#This Row],[Qty C]],0)</f>
        <v>0</v>
      </c>
      <c r="AF129" s="36">
        <f>IFERROR(cadangan3[[#This Row],[Profit C]]-(cadangan3[[#This Row],[Profit C]]*cadangan3[[#This Row],[Diskon]]),cadangan3[[#This Row],[Profit C]])</f>
        <v>0</v>
      </c>
      <c r="AG129" s="21">
        <f>cadangan3[[#This Row],[Qty A]]+cadangan3[[#This Row],[Qty B]]+cadangan3[[#This Row],[Qty C]]</f>
        <v>7</v>
      </c>
      <c r="AH129" s="35">
        <f>cadangan3[[#This Row],[Harga A + Diskon]]+cadangan3[[#This Row],[Harga + Diskon B]]+cadangan3[[#This Row],[Harga + Diskon C]]</f>
        <v>2082500</v>
      </c>
      <c r="AI129" s="35">
        <f>(cadangan3[[#This Row],[Profit A]]+cadangan3[[#This Row],[Profit B]]+cadangan3[[#This Row],[Profit C]])</f>
        <v>910000</v>
      </c>
      <c r="AJ129" s="35">
        <f>cadangan3[[#This Row],[Provit A + Diskon]]+cadangan3[[#This Row],[Provit B + Diskon]]+cadangan3[[#This Row],[Provit C + Diskon]]</f>
        <v>773500</v>
      </c>
      <c r="AK129" s="23" t="s">
        <v>32</v>
      </c>
      <c r="AL129" s="37">
        <f>IFERROR(INDEX('Kode Diskon'!$D$3:$D$9,MATCH(cadangan3[[#This Row],[Kode diskon]],'Kode Diskon'!$C$3:$C$9,0)),"-")</f>
        <v>0.15</v>
      </c>
      <c r="AM129" s="23" t="s">
        <v>9</v>
      </c>
      <c r="AN129" s="23" t="s">
        <v>12</v>
      </c>
      <c r="AO129" s="23" t="s">
        <v>80</v>
      </c>
      <c r="AP129" s="24">
        <v>45044</v>
      </c>
      <c r="AQ129" s="23" t="str">
        <f>TEXT(cadangan3[[#This Row],[Tanggal terjual]],"dddd")</f>
        <v>Friday</v>
      </c>
    </row>
    <row r="130" spans="1:43" x14ac:dyDescent="0.2">
      <c r="A130" s="20">
        <v>129</v>
      </c>
      <c r="B130" s="21" t="str">
        <f>_xlfn.CONCAT("ORD-",INDEX(Helper!$B$2:$B$5,MATCH(cadangan3[[#This Row],[Marketplace]],Helper!$A$2:$A$5,0)),TEXT(cadangan3[[#This Row],[No]],"0000"),"-",TEXT(cadangan3[[#This Row],[Tanggal terjual]],"dd/mm/yy"))</f>
        <v>ORD-BB0129-06/04/23</v>
      </c>
      <c r="C130" t="s">
        <v>61</v>
      </c>
      <c r="D130" t="str">
        <f>IFERROR(INDEX(Katalog!$A$3:$A$12,MATCH(cadangan3[[#This Row],[ItemID A]],Katalog!$C$3:$C$12,0)),"-")</f>
        <v>Pakaian Pria</v>
      </c>
      <c r="E130" t="str">
        <f>IFERROR(INDEX(Katalog!$B$3:$B$12,MATCH(cadangan3[[#This Row],[ItemID A]],Katalog!$C$3:$C$12,0)),"-")</f>
        <v>Kaos Polo</v>
      </c>
      <c r="F130">
        <v>3</v>
      </c>
      <c r="G130">
        <v>2</v>
      </c>
      <c r="H130" s="36">
        <f>IFERROR(INDEX(Katalog!$D$3:$D$12,MATCH(cadangan3[[#This Row],[ItemID A]],Katalog!$C$3:$C$12,0))*cadangan3[[#This Row],[Qty A]],0)</f>
        <v>600000</v>
      </c>
      <c r="I130" s="36">
        <f>IFERROR(INDEX(Katalog!$D$3:$D$12,MATCH(cadangan3[[#This Row],[Item A]],Katalog!$B$3:$B$12,0))*cadangan3[[#This Row],[Qty A]],0)</f>
        <v>600000</v>
      </c>
      <c r="J130" s="36">
        <f>IFERROR(cadangan3[[#This Row],[Harga Asli A]]-(cadangan3[[#This Row],[Harga Asli A]]*cadangan3[[#This Row],[Diskon]]),cadangan3[[#This Row],[Harga Asli A]])</f>
        <v>510000</v>
      </c>
      <c r="K130" s="36">
        <f>INDEX(Katalog!$F$3:$F$12,MATCH(cadangan3[[#This Row],[ItemID A]],Katalog!$C$3:$C$12,0))*cadangan3[[#This Row],[Qty A]]</f>
        <v>240000</v>
      </c>
      <c r="L130" s="36">
        <f>IFERROR(cadangan3[[#This Row],[Profit A]]-(cadangan3[[#This Row],[Profit A]]*cadangan3[[#This Row],[Diskon]]),K130)</f>
        <v>204000</v>
      </c>
      <c r="N130" t="str">
        <f>IFERROR(INDEX(Katalog!$A$3:$A$12,MATCH(cadangan3[[#This Row],[ItemID B]],Katalog!$C$3:$C$12,0)),"-")</f>
        <v>-</v>
      </c>
      <c r="O130" t="str">
        <f>IFERROR(INDEX(Katalog!$B$3:$B$12,MATCH(cadangan3[[#This Row],[ItemID B]],Katalog!$C$3:$C$12,0)),"-")</f>
        <v>-</v>
      </c>
      <c r="R130" s="36">
        <f>IFERROR(INDEX(Katalog!$D$3:$D$12,MATCH(cadangan3[[#This Row],[ItemID B]],Katalog!$C$3:$C$12,0))*cadangan3[[#This Row],[Qty B]],0)</f>
        <v>0</v>
      </c>
      <c r="S130" s="36">
        <f>IFERROR(INDEX(Katalog!$D$3:$D$12,MATCH(cadangan3[[#This Row],[Item B]],Katalog!$B$3:$B$12,0))*cadangan3[[#This Row],[Qty B]],0)</f>
        <v>0</v>
      </c>
      <c r="T130" s="36">
        <f>IFERROR(cadangan3[[#This Row],[Harga Asli B]]-(cadangan3[[#This Row],[Harga Asli B]]*cadangan3[[#This Row],[Diskon]]),cadangan3[[#This Row],[Harga Asli B]])</f>
        <v>0</v>
      </c>
      <c r="U130" s="36">
        <f>IFERROR(INDEX(Katalog!$F$3:$F$12,MATCH(cadangan3[[#This Row],[ItemID B]],Katalog!$C$3:$C$12,0))*cadangan3[[#This Row],[Qty B]],0)</f>
        <v>0</v>
      </c>
      <c r="V130" s="36">
        <f>IFERROR(cadangan3[[#This Row],[Profit B]]-(cadangan3[[#This Row],[Profit B]]*cadangan3[[#This Row],[Diskon]]),U130)</f>
        <v>0</v>
      </c>
      <c r="X130" t="str">
        <f>IFERROR(INDEX(Katalog!$A$3:$A$12,MATCH(cadangan3[[#This Row],[ItemID C]],Katalog!$C$3:$C$12,0)),"-")</f>
        <v>-</v>
      </c>
      <c r="Y130" t="str">
        <f>IFERROR(INDEX(Katalog!$B$3:$B$12,MATCH(cadangan3[[#This Row],[ItemID C]],Katalog!$C$3:$C$12,0)),"-")</f>
        <v>-</v>
      </c>
      <c r="AB130" s="36">
        <f>IFERROR(INDEX(Katalog!$D$3:$D$12,MATCH(cadangan3[[#This Row],[ItemID C]],Katalog!$C$3:$C$12,0))*cadangan3[[#This Row],[Qty C]],0)</f>
        <v>0</v>
      </c>
      <c r="AC130" s="36">
        <f>IFERROR(INDEX(Katalog!$D$3:$D$12,MATCH(cadangan3[[#This Row],[Item C]],Katalog!$B$3:$B$12,0))*cadangan3[[#This Row],[Qty C]],0)</f>
        <v>0</v>
      </c>
      <c r="AD130" s="36">
        <f>IFERROR(cadangan3[[#This Row],[Harga Asli C]]-(cadangan3[[#This Row],[Harga Asli C]]*cadangan3[[#This Row],[Diskon]]),cadangan3[[#This Row],[Harga Asli C]])</f>
        <v>0</v>
      </c>
      <c r="AE130" s="36">
        <f>IFERROR(INDEX(Katalog!$F$3:$F$12,MATCH(cadangan3[[#This Row],[ItemID C]],Katalog!$C$3:$C$12,0))*cadangan3[[#This Row],[Qty C]],0)</f>
        <v>0</v>
      </c>
      <c r="AF130" s="36">
        <f>IFERROR(cadangan3[[#This Row],[Profit C]]-(cadangan3[[#This Row],[Profit C]]*cadangan3[[#This Row],[Diskon]]),cadangan3[[#This Row],[Profit C]])</f>
        <v>0</v>
      </c>
      <c r="AG130" s="21">
        <f>cadangan3[[#This Row],[Qty A]]+cadangan3[[#This Row],[Qty B]]+cadangan3[[#This Row],[Qty C]]</f>
        <v>3</v>
      </c>
      <c r="AH130" s="35">
        <f>cadangan3[[#This Row],[Harga A + Diskon]]+cadangan3[[#This Row],[Harga + Diskon B]]+cadangan3[[#This Row],[Harga + Diskon C]]</f>
        <v>510000</v>
      </c>
      <c r="AI130" s="35">
        <f>(cadangan3[[#This Row],[Profit A]]+cadangan3[[#This Row],[Profit B]]+cadangan3[[#This Row],[Profit C]])</f>
        <v>240000</v>
      </c>
      <c r="AJ130" s="35">
        <f>cadangan3[[#This Row],[Provit A + Diskon]]+cadangan3[[#This Row],[Provit B + Diskon]]+cadangan3[[#This Row],[Provit C + Diskon]]</f>
        <v>204000</v>
      </c>
      <c r="AK130" s="23" t="s">
        <v>28</v>
      </c>
      <c r="AL130" s="37">
        <f>IFERROR(INDEX('Kode Diskon'!$D$3:$D$9,MATCH(cadangan3[[#This Row],[Kode diskon]],'Kode Diskon'!$C$3:$C$9,0)),"-")</f>
        <v>0.15</v>
      </c>
      <c r="AM130" s="23" t="s">
        <v>29</v>
      </c>
      <c r="AN130" s="23" t="s">
        <v>14</v>
      </c>
      <c r="AO130" s="23" t="s">
        <v>80</v>
      </c>
      <c r="AP130" s="24">
        <v>45022</v>
      </c>
      <c r="AQ130" s="23" t="str">
        <f>TEXT(cadangan3[[#This Row],[Tanggal terjual]],"dddd")</f>
        <v>Thursday</v>
      </c>
    </row>
    <row r="131" spans="1:43" x14ac:dyDescent="0.2">
      <c r="A131" s="20">
        <v>130</v>
      </c>
      <c r="B131" s="21" t="str">
        <f>_xlfn.CONCAT("ORD-",INDEX(Helper!$B$2:$B$5,MATCH(cadangan3[[#This Row],[Marketplace]],Helper!$A$2:$A$5,0)),TEXT(cadangan3[[#This Row],[No]],"0000"),"-",TEXT(cadangan3[[#This Row],[Tanggal terjual]],"dd/mm/yy"))</f>
        <v>ORD-TK0130-05/04/23</v>
      </c>
      <c r="C131" t="s">
        <v>66</v>
      </c>
      <c r="D131" t="str">
        <f>IFERROR(INDEX(Katalog!$A$3:$A$12,MATCH(cadangan3[[#This Row],[ItemID A]],Katalog!$C$3:$C$12,0)),"-")</f>
        <v>Sepatu Pria</v>
      </c>
      <c r="E131" t="str">
        <f>IFERROR(INDEX(Katalog!$B$3:$B$12,MATCH(cadangan3[[#This Row],[ItemID A]],Katalog!$C$3:$C$12,0)),"-")</f>
        <v>Sandal Slip On</v>
      </c>
      <c r="F131">
        <v>2</v>
      </c>
      <c r="G131">
        <v>2</v>
      </c>
      <c r="H131" s="36">
        <f>IFERROR(INDEX(Katalog!$D$3:$D$12,MATCH(cadangan3[[#This Row],[ItemID A]],Katalog!$C$3:$C$12,0))*cadangan3[[#This Row],[Qty A]],0)</f>
        <v>300000</v>
      </c>
      <c r="I131" s="36">
        <f>IFERROR(INDEX(Katalog!$D$3:$D$12,MATCH(cadangan3[[#This Row],[Item A]],Katalog!$B$3:$B$12,0))*cadangan3[[#This Row],[Qty A]],0)</f>
        <v>300000</v>
      </c>
      <c r="J131" s="36">
        <f>IFERROR(cadangan3[[#This Row],[Harga Asli A]]-(cadangan3[[#This Row],[Harga Asli A]]*cadangan3[[#This Row],[Diskon]]),cadangan3[[#This Row],[Harga Asli A]])</f>
        <v>270000</v>
      </c>
      <c r="K131" s="36">
        <f>INDEX(Katalog!$F$3:$F$12,MATCH(cadangan3[[#This Row],[ItemID A]],Katalog!$C$3:$C$12,0))*cadangan3[[#This Row],[Qty A]]</f>
        <v>120000</v>
      </c>
      <c r="L131" s="36">
        <f>IFERROR(cadangan3[[#This Row],[Profit A]]-(cadangan3[[#This Row],[Profit A]]*cadangan3[[#This Row],[Diskon]]),K131)</f>
        <v>108000</v>
      </c>
      <c r="N131" t="str">
        <f>IFERROR(INDEX(Katalog!$A$3:$A$12,MATCH(cadangan3[[#This Row],[ItemID B]],Katalog!$C$3:$C$12,0)),"-")</f>
        <v>-</v>
      </c>
      <c r="O131" t="str">
        <f>IFERROR(INDEX(Katalog!$B$3:$B$12,MATCH(cadangan3[[#This Row],[ItemID B]],Katalog!$C$3:$C$12,0)),"-")</f>
        <v>-</v>
      </c>
      <c r="R131" s="36">
        <f>IFERROR(INDEX(Katalog!$D$3:$D$12,MATCH(cadangan3[[#This Row],[ItemID B]],Katalog!$C$3:$C$12,0))*cadangan3[[#This Row],[Qty B]],0)</f>
        <v>0</v>
      </c>
      <c r="S131" s="36">
        <f>IFERROR(INDEX(Katalog!$D$3:$D$12,MATCH(cadangan3[[#This Row],[Item B]],Katalog!$B$3:$B$12,0))*cadangan3[[#This Row],[Qty B]],0)</f>
        <v>0</v>
      </c>
      <c r="T131" s="36">
        <f>IFERROR(cadangan3[[#This Row],[Harga Asli B]]-(cadangan3[[#This Row],[Harga Asli B]]*cadangan3[[#This Row],[Diskon]]),cadangan3[[#This Row],[Harga Asli B]])</f>
        <v>0</v>
      </c>
      <c r="U131" s="36">
        <f>IFERROR(INDEX(Katalog!$F$3:$F$12,MATCH(cadangan3[[#This Row],[ItemID B]],Katalog!$C$3:$C$12,0))*cadangan3[[#This Row],[Qty B]],0)</f>
        <v>0</v>
      </c>
      <c r="V131" s="36">
        <f>IFERROR(cadangan3[[#This Row],[Profit B]]-(cadangan3[[#This Row],[Profit B]]*cadangan3[[#This Row],[Diskon]]),U131)</f>
        <v>0</v>
      </c>
      <c r="X131" t="str">
        <f>IFERROR(INDEX(Katalog!$A$3:$A$12,MATCH(cadangan3[[#This Row],[ItemID C]],Katalog!$C$3:$C$12,0)),"-")</f>
        <v>-</v>
      </c>
      <c r="Y131" t="str">
        <f>IFERROR(INDEX(Katalog!$B$3:$B$12,MATCH(cadangan3[[#This Row],[ItemID C]],Katalog!$C$3:$C$12,0)),"-")</f>
        <v>-</v>
      </c>
      <c r="AB131" s="36">
        <f>IFERROR(INDEX(Katalog!$D$3:$D$12,MATCH(cadangan3[[#This Row],[ItemID C]],Katalog!$C$3:$C$12,0))*cadangan3[[#This Row],[Qty C]],0)</f>
        <v>0</v>
      </c>
      <c r="AC131" s="36">
        <f>IFERROR(INDEX(Katalog!$D$3:$D$12,MATCH(cadangan3[[#This Row],[Item C]],Katalog!$B$3:$B$12,0))*cadangan3[[#This Row],[Qty C]],0)</f>
        <v>0</v>
      </c>
      <c r="AD131" s="36">
        <f>IFERROR(cadangan3[[#This Row],[Harga Asli C]]-(cadangan3[[#This Row],[Harga Asli C]]*cadangan3[[#This Row],[Diskon]]),cadangan3[[#This Row],[Harga Asli C]])</f>
        <v>0</v>
      </c>
      <c r="AE131" s="36">
        <f>IFERROR(INDEX(Katalog!$F$3:$F$12,MATCH(cadangan3[[#This Row],[ItemID C]],Katalog!$C$3:$C$12,0))*cadangan3[[#This Row],[Qty C]],0)</f>
        <v>0</v>
      </c>
      <c r="AF131" s="36">
        <f>IFERROR(cadangan3[[#This Row],[Profit C]]-(cadangan3[[#This Row],[Profit C]]*cadangan3[[#This Row],[Diskon]]),cadangan3[[#This Row],[Profit C]])</f>
        <v>0</v>
      </c>
      <c r="AG131" s="21">
        <f>cadangan3[[#This Row],[Qty A]]+cadangan3[[#This Row],[Qty B]]+cadangan3[[#This Row],[Qty C]]</f>
        <v>2</v>
      </c>
      <c r="AH131" s="35">
        <f>cadangan3[[#This Row],[Harga A + Diskon]]+cadangan3[[#This Row],[Harga + Diskon B]]+cadangan3[[#This Row],[Harga + Diskon C]]</f>
        <v>270000</v>
      </c>
      <c r="AI131" s="35">
        <f>(cadangan3[[#This Row],[Profit A]]+cadangan3[[#This Row],[Profit B]]+cadangan3[[#This Row],[Profit C]])</f>
        <v>120000</v>
      </c>
      <c r="AJ131" s="35">
        <f>cadangan3[[#This Row],[Provit A + Diskon]]+cadangan3[[#This Row],[Provit B + Diskon]]+cadangan3[[#This Row],[Provit C + Diskon]]</f>
        <v>108000</v>
      </c>
      <c r="AK131" s="23" t="s">
        <v>30</v>
      </c>
      <c r="AL131" s="37">
        <f>IFERROR(INDEX('Kode Diskon'!$D$3:$D$9,MATCH(cadangan3[[#This Row],[Kode diskon]],'Kode Diskon'!$C$3:$C$9,0)),"-")</f>
        <v>0.1</v>
      </c>
      <c r="AM131" s="23" t="s">
        <v>29</v>
      </c>
      <c r="AN131" s="23" t="s">
        <v>10</v>
      </c>
      <c r="AO131" s="23" t="s">
        <v>80</v>
      </c>
      <c r="AP131" s="24">
        <v>45021</v>
      </c>
      <c r="AQ131" s="23" t="str">
        <f>TEXT(cadangan3[[#This Row],[Tanggal terjual]],"dddd")</f>
        <v>Wednesday</v>
      </c>
    </row>
    <row r="132" spans="1:43" x14ac:dyDescent="0.2">
      <c r="A132" s="20">
        <v>131</v>
      </c>
      <c r="B132" s="21" t="str">
        <f>_xlfn.CONCAT("ORD-",INDEX(Helper!$B$2:$B$5,MATCH(cadangan3[[#This Row],[Marketplace]],Helper!$A$2:$A$5,0)),TEXT(cadangan3[[#This Row],[No]],"0000"),"-",TEXT(cadangan3[[#This Row],[Tanggal terjual]],"dd/mm/yy"))</f>
        <v>ORD-BB0131-08/04/23</v>
      </c>
      <c r="C132" t="s">
        <v>61</v>
      </c>
      <c r="D132" t="str">
        <f>IFERROR(INDEX(Katalog!$A$3:$A$12,MATCH(cadangan3[[#This Row],[ItemID A]],Katalog!$C$3:$C$12,0)),"-")</f>
        <v>Pakaian Pria</v>
      </c>
      <c r="E132" t="str">
        <f>IFERROR(INDEX(Katalog!$B$3:$B$12,MATCH(cadangan3[[#This Row],[ItemID A]],Katalog!$C$3:$C$12,0)),"-")</f>
        <v>Kaos Polo</v>
      </c>
      <c r="F132">
        <v>1</v>
      </c>
      <c r="G132">
        <v>4</v>
      </c>
      <c r="H132" s="36">
        <f>IFERROR(INDEX(Katalog!$D$3:$D$12,MATCH(cadangan3[[#This Row],[ItemID A]],Katalog!$C$3:$C$12,0))*cadangan3[[#This Row],[Qty A]],0)</f>
        <v>200000</v>
      </c>
      <c r="I132" s="36">
        <f>IFERROR(INDEX(Katalog!$D$3:$D$12,MATCH(cadangan3[[#This Row],[Item A]],Katalog!$B$3:$B$12,0))*cadangan3[[#This Row],[Qty A]],0)</f>
        <v>200000</v>
      </c>
      <c r="J132" s="36">
        <f>IFERROR(cadangan3[[#This Row],[Harga Asli A]]-(cadangan3[[#This Row],[Harga Asli A]]*cadangan3[[#This Row],[Diskon]]),cadangan3[[#This Row],[Harga Asli A]])</f>
        <v>200000</v>
      </c>
      <c r="K132" s="36">
        <f>INDEX(Katalog!$F$3:$F$12,MATCH(cadangan3[[#This Row],[ItemID A]],Katalog!$C$3:$C$12,0))*cadangan3[[#This Row],[Qty A]]</f>
        <v>80000</v>
      </c>
      <c r="L132" s="36">
        <f>IFERROR(cadangan3[[#This Row],[Profit A]]-(cadangan3[[#This Row],[Profit A]]*cadangan3[[#This Row],[Diskon]]),K132)</f>
        <v>80000</v>
      </c>
      <c r="M132" t="s">
        <v>67</v>
      </c>
      <c r="N132" t="str">
        <f>IFERROR(INDEX(Katalog!$A$3:$A$12,MATCH(cadangan3[[#This Row],[ItemID B]],Katalog!$C$3:$C$12,0)),"-")</f>
        <v>Sepatu Wanita</v>
      </c>
      <c r="O132" t="str">
        <f>IFERROR(INDEX(Katalog!$B$3:$B$12,MATCH(cadangan3[[#This Row],[ItemID B]],Katalog!$C$3:$C$12,0)),"-")</f>
        <v>Flat Shoes</v>
      </c>
      <c r="P132">
        <v>1</v>
      </c>
      <c r="Q132">
        <v>1</v>
      </c>
      <c r="R132" s="36">
        <f>IFERROR(INDEX(Katalog!$D$3:$D$12,MATCH(cadangan3[[#This Row],[ItemID B]],Katalog!$C$3:$C$12,0))*cadangan3[[#This Row],[Qty B]],0)</f>
        <v>250000</v>
      </c>
      <c r="S132" s="36">
        <f>IFERROR(INDEX(Katalog!$D$3:$D$12,MATCH(cadangan3[[#This Row],[Item B]],Katalog!$B$3:$B$12,0))*cadangan3[[#This Row],[Qty B]],0)</f>
        <v>250000</v>
      </c>
      <c r="T132" s="36">
        <f>IFERROR(cadangan3[[#This Row],[Harga Asli B]]-(cadangan3[[#This Row],[Harga Asli B]]*cadangan3[[#This Row],[Diskon]]),cadangan3[[#This Row],[Harga Asli B]])</f>
        <v>250000</v>
      </c>
      <c r="U132" s="36">
        <f>IFERROR(INDEX(Katalog!$F$3:$F$12,MATCH(cadangan3[[#This Row],[ItemID B]],Katalog!$C$3:$C$12,0))*cadangan3[[#This Row],[Qty B]],0)</f>
        <v>100000</v>
      </c>
      <c r="V132" s="36">
        <f>IFERROR(cadangan3[[#This Row],[Profit B]]-(cadangan3[[#This Row],[Profit B]]*cadangan3[[#This Row],[Diskon]]),U132)</f>
        <v>100000</v>
      </c>
      <c r="X132" t="str">
        <f>IFERROR(INDEX(Katalog!$A$3:$A$12,MATCH(cadangan3[[#This Row],[ItemID C]],Katalog!$C$3:$C$12,0)),"-")</f>
        <v>-</v>
      </c>
      <c r="Y132" t="str">
        <f>IFERROR(INDEX(Katalog!$B$3:$B$12,MATCH(cadangan3[[#This Row],[ItemID C]],Katalog!$C$3:$C$12,0)),"-")</f>
        <v>-</v>
      </c>
      <c r="AB132" s="36">
        <f>IFERROR(INDEX(Katalog!$D$3:$D$12,MATCH(cadangan3[[#This Row],[ItemID C]],Katalog!$C$3:$C$12,0))*cadangan3[[#This Row],[Qty C]],0)</f>
        <v>0</v>
      </c>
      <c r="AC132" s="36">
        <f>IFERROR(INDEX(Katalog!$D$3:$D$12,MATCH(cadangan3[[#This Row],[Item C]],Katalog!$B$3:$B$12,0))*cadangan3[[#This Row],[Qty C]],0)</f>
        <v>0</v>
      </c>
      <c r="AD132" s="36">
        <f>IFERROR(cadangan3[[#This Row],[Harga Asli C]]-(cadangan3[[#This Row],[Harga Asli C]]*cadangan3[[#This Row],[Diskon]]),cadangan3[[#This Row],[Harga Asli C]])</f>
        <v>0</v>
      </c>
      <c r="AE132" s="36">
        <f>IFERROR(INDEX(Katalog!$F$3:$F$12,MATCH(cadangan3[[#This Row],[ItemID C]],Katalog!$C$3:$C$12,0))*cadangan3[[#This Row],[Qty C]],0)</f>
        <v>0</v>
      </c>
      <c r="AF132" s="36">
        <f>IFERROR(cadangan3[[#This Row],[Profit C]]-(cadangan3[[#This Row],[Profit C]]*cadangan3[[#This Row],[Diskon]]),cadangan3[[#This Row],[Profit C]])</f>
        <v>0</v>
      </c>
      <c r="AG132" s="21">
        <f>cadangan3[[#This Row],[Qty A]]+cadangan3[[#This Row],[Qty B]]+cadangan3[[#This Row],[Qty C]]</f>
        <v>2</v>
      </c>
      <c r="AH132" s="35">
        <f>cadangan3[[#This Row],[Harga A + Diskon]]+cadangan3[[#This Row],[Harga + Diskon B]]+cadangan3[[#This Row],[Harga + Diskon C]]</f>
        <v>450000</v>
      </c>
      <c r="AI132" s="35">
        <f>(cadangan3[[#This Row],[Profit A]]+cadangan3[[#This Row],[Profit B]]+cadangan3[[#This Row],[Profit C]])</f>
        <v>180000</v>
      </c>
      <c r="AJ132" s="35">
        <f>cadangan3[[#This Row],[Provit A + Diskon]]+cadangan3[[#This Row],[Provit B + Diskon]]+cadangan3[[#This Row],[Provit C + Diskon]]</f>
        <v>180000</v>
      </c>
      <c r="AK132" s="23" t="s">
        <v>11</v>
      </c>
      <c r="AL132" s="37" t="str">
        <f>IFERROR(INDEX('Kode Diskon'!$D$3:$D$9,MATCH(cadangan3[[#This Row],[Kode diskon]],'Kode Diskon'!$C$3:$C$9,0)),"-")</f>
        <v>-</v>
      </c>
      <c r="AM132" s="23" t="s">
        <v>11</v>
      </c>
      <c r="AN132" s="23" t="s">
        <v>14</v>
      </c>
      <c r="AO132" s="23" t="s">
        <v>75</v>
      </c>
      <c r="AP132" s="24">
        <v>45024</v>
      </c>
      <c r="AQ132" s="23" t="str">
        <f>TEXT(cadangan3[[#This Row],[Tanggal terjual]],"dddd")</f>
        <v>Saturday</v>
      </c>
    </row>
    <row r="133" spans="1:43" x14ac:dyDescent="0.2">
      <c r="A133" s="20">
        <v>132</v>
      </c>
      <c r="B133" s="21" t="str">
        <f>_xlfn.CONCAT("ORD-",INDEX(Helper!$B$2:$B$5,MATCH(cadangan3[[#This Row],[Marketplace]],Helper!$A$2:$A$5,0)),TEXT(cadangan3[[#This Row],[No]],"0000"),"-",TEXT(cadangan3[[#This Row],[Tanggal terjual]],"dd/mm/yy"))</f>
        <v>ORD-SP0132-30/04/23</v>
      </c>
      <c r="C133" t="s">
        <v>63</v>
      </c>
      <c r="D133" t="str">
        <f>IFERROR(INDEX(Katalog!$A$3:$A$12,MATCH(cadangan3[[#This Row],[ItemID A]],Katalog!$C$3:$C$12,0)),"-")</f>
        <v>Pakaian Pria</v>
      </c>
      <c r="E133" t="str">
        <f>IFERROR(INDEX(Katalog!$B$3:$B$12,MATCH(cadangan3[[#This Row],[ItemID A]],Katalog!$C$3:$C$12,0)),"-")</f>
        <v>Jaket Jeans</v>
      </c>
      <c r="F133">
        <v>5</v>
      </c>
      <c r="G133">
        <v>5</v>
      </c>
      <c r="H133" s="36">
        <f>IFERROR(INDEX(Katalog!$D$3:$D$12,MATCH(cadangan3[[#This Row],[ItemID A]],Katalog!$C$3:$C$12,0))*cadangan3[[#This Row],[Qty A]],0)</f>
        <v>2000000</v>
      </c>
      <c r="I133" s="36">
        <f>IFERROR(INDEX(Katalog!$D$3:$D$12,MATCH(cadangan3[[#This Row],[Item A]],Katalog!$B$3:$B$12,0))*cadangan3[[#This Row],[Qty A]],0)</f>
        <v>2000000</v>
      </c>
      <c r="J133" s="36">
        <f>IFERROR(cadangan3[[#This Row],[Harga Asli A]]-(cadangan3[[#This Row],[Harga Asli A]]*cadangan3[[#This Row],[Diskon]]),cadangan3[[#This Row],[Harga Asli A]])</f>
        <v>1600000</v>
      </c>
      <c r="K133" s="36">
        <f>INDEX(Katalog!$F$3:$F$12,MATCH(cadangan3[[#This Row],[ItemID A]],Katalog!$C$3:$C$12,0))*cadangan3[[#This Row],[Qty A]]</f>
        <v>750000</v>
      </c>
      <c r="L133" s="36">
        <f>IFERROR(cadangan3[[#This Row],[Profit A]]-(cadangan3[[#This Row],[Profit A]]*cadangan3[[#This Row],[Diskon]]),K133)</f>
        <v>600000</v>
      </c>
      <c r="M133" t="s">
        <v>59</v>
      </c>
      <c r="N133" t="str">
        <f>IFERROR(INDEX(Katalog!$A$3:$A$12,MATCH(cadangan3[[#This Row],[ItemID B]],Katalog!$C$3:$C$12,0)),"-")</f>
        <v>Pakaian Wanita</v>
      </c>
      <c r="O133" t="str">
        <f>IFERROR(INDEX(Katalog!$B$3:$B$12,MATCH(cadangan3[[#This Row],[ItemID B]],Katalog!$C$3:$C$12,0)),"-")</f>
        <v>Blouse</v>
      </c>
      <c r="P133">
        <v>1</v>
      </c>
      <c r="Q133">
        <v>1</v>
      </c>
      <c r="R133" s="36">
        <f>IFERROR(INDEX(Katalog!$D$3:$D$12,MATCH(cadangan3[[#This Row],[ItemID B]],Katalog!$C$3:$C$12,0))*cadangan3[[#This Row],[Qty B]],0)</f>
        <v>150000</v>
      </c>
      <c r="S133" s="36">
        <f>IFERROR(INDEX(Katalog!$D$3:$D$12,MATCH(cadangan3[[#This Row],[Item B]],Katalog!$B$3:$B$12,0))*cadangan3[[#This Row],[Qty B]],0)</f>
        <v>150000</v>
      </c>
      <c r="T133" s="36">
        <f>IFERROR(cadangan3[[#This Row],[Harga Asli B]]-(cadangan3[[#This Row],[Harga Asli B]]*cadangan3[[#This Row],[Diskon]]),cadangan3[[#This Row],[Harga Asli B]])</f>
        <v>120000</v>
      </c>
      <c r="U133" s="36">
        <f>IFERROR(INDEX(Katalog!$F$3:$F$12,MATCH(cadangan3[[#This Row],[ItemID B]],Katalog!$C$3:$C$12,0))*cadangan3[[#This Row],[Qty B]],0)</f>
        <v>50000</v>
      </c>
      <c r="V133" s="36">
        <f>IFERROR(cadangan3[[#This Row],[Profit B]]-(cadangan3[[#This Row],[Profit B]]*cadangan3[[#This Row],[Diskon]]),U133)</f>
        <v>40000</v>
      </c>
      <c r="X133" t="str">
        <f>IFERROR(INDEX(Katalog!$A$3:$A$12,MATCH(cadangan3[[#This Row],[ItemID C]],Katalog!$C$3:$C$12,0)),"-")</f>
        <v>-</v>
      </c>
      <c r="Y133" t="str">
        <f>IFERROR(INDEX(Katalog!$B$3:$B$12,MATCH(cadangan3[[#This Row],[ItemID C]],Katalog!$C$3:$C$12,0)),"-")</f>
        <v>-</v>
      </c>
      <c r="AB133" s="36">
        <f>IFERROR(INDEX(Katalog!$D$3:$D$12,MATCH(cadangan3[[#This Row],[ItemID C]],Katalog!$C$3:$C$12,0))*cadangan3[[#This Row],[Qty C]],0)</f>
        <v>0</v>
      </c>
      <c r="AC133" s="36">
        <f>IFERROR(INDEX(Katalog!$D$3:$D$12,MATCH(cadangan3[[#This Row],[Item C]],Katalog!$B$3:$B$12,0))*cadangan3[[#This Row],[Qty C]],0)</f>
        <v>0</v>
      </c>
      <c r="AD133" s="36">
        <f>IFERROR(cadangan3[[#This Row],[Harga Asli C]]-(cadangan3[[#This Row],[Harga Asli C]]*cadangan3[[#This Row],[Diskon]]),cadangan3[[#This Row],[Harga Asli C]])</f>
        <v>0</v>
      </c>
      <c r="AE133" s="36">
        <f>IFERROR(INDEX(Katalog!$F$3:$F$12,MATCH(cadangan3[[#This Row],[ItemID C]],Katalog!$C$3:$C$12,0))*cadangan3[[#This Row],[Qty C]],0)</f>
        <v>0</v>
      </c>
      <c r="AF133" s="36">
        <f>IFERROR(cadangan3[[#This Row],[Profit C]]-(cadangan3[[#This Row],[Profit C]]*cadangan3[[#This Row],[Diskon]]),cadangan3[[#This Row],[Profit C]])</f>
        <v>0</v>
      </c>
      <c r="AG133" s="21">
        <f>cadangan3[[#This Row],[Qty A]]+cadangan3[[#This Row],[Qty B]]+cadangan3[[#This Row],[Qty C]]</f>
        <v>6</v>
      </c>
      <c r="AH133" s="35">
        <f>cadangan3[[#This Row],[Harga A + Diskon]]+cadangan3[[#This Row],[Harga + Diskon B]]+cadangan3[[#This Row],[Harga + Diskon C]]</f>
        <v>1720000</v>
      </c>
      <c r="AI133" s="35">
        <f>(cadangan3[[#This Row],[Profit A]]+cadangan3[[#This Row],[Profit B]]+cadangan3[[#This Row],[Profit C]])</f>
        <v>800000</v>
      </c>
      <c r="AJ133" s="35">
        <f>cadangan3[[#This Row],[Provit A + Diskon]]+cadangan3[[#This Row],[Provit B + Diskon]]+cadangan3[[#This Row],[Provit C + Diskon]]</f>
        <v>640000</v>
      </c>
      <c r="AK133" s="23" t="s">
        <v>8</v>
      </c>
      <c r="AL133" s="37">
        <f>IFERROR(INDEX('Kode Diskon'!$D$3:$D$9,MATCH(cadangan3[[#This Row],[Kode diskon]],'Kode Diskon'!$C$3:$C$9,0)),"-")</f>
        <v>0.2</v>
      </c>
      <c r="AM133" s="23" t="s">
        <v>9</v>
      </c>
      <c r="AN133" s="23" t="s">
        <v>7</v>
      </c>
      <c r="AO133" s="23" t="s">
        <v>80</v>
      </c>
      <c r="AP133" s="24">
        <v>45046</v>
      </c>
      <c r="AQ133" s="23" t="str">
        <f>TEXT(cadangan3[[#This Row],[Tanggal terjual]],"dddd")</f>
        <v>Sunday</v>
      </c>
    </row>
    <row r="134" spans="1:43" x14ac:dyDescent="0.2">
      <c r="A134" s="20">
        <v>133</v>
      </c>
      <c r="B134" s="21" t="str">
        <f>_xlfn.CONCAT("ORD-",INDEX(Helper!$B$2:$B$5,MATCH(cadangan3[[#This Row],[Marketplace]],Helper!$A$2:$A$5,0)),TEXT(cadangan3[[#This Row],[No]],"0000"),"-",TEXT(cadangan3[[#This Row],[Tanggal terjual]],"dd/mm/yy"))</f>
        <v>ORD-SP0133-05/04/23</v>
      </c>
      <c r="C134" t="s">
        <v>59</v>
      </c>
      <c r="D134" t="str">
        <f>IFERROR(INDEX(Katalog!$A$3:$A$12,MATCH(cadangan3[[#This Row],[ItemID A]],Katalog!$C$3:$C$12,0)),"-")</f>
        <v>Pakaian Wanita</v>
      </c>
      <c r="E134" t="str">
        <f>IFERROR(INDEX(Katalog!$B$3:$B$12,MATCH(cadangan3[[#This Row],[ItemID A]],Katalog!$C$3:$C$12,0)),"-")</f>
        <v>Blouse</v>
      </c>
      <c r="F134">
        <v>1</v>
      </c>
      <c r="G134">
        <v>4</v>
      </c>
      <c r="H134" s="36">
        <f>IFERROR(INDEX(Katalog!$D$3:$D$12,MATCH(cadangan3[[#This Row],[ItemID A]],Katalog!$C$3:$C$12,0))*cadangan3[[#This Row],[Qty A]],0)</f>
        <v>150000</v>
      </c>
      <c r="I134" s="36">
        <f>IFERROR(INDEX(Katalog!$D$3:$D$12,MATCH(cadangan3[[#This Row],[Item A]],Katalog!$B$3:$B$12,0))*cadangan3[[#This Row],[Qty A]],0)</f>
        <v>150000</v>
      </c>
      <c r="J134" s="36">
        <f>IFERROR(cadangan3[[#This Row],[Harga Asli A]]-(cadangan3[[#This Row],[Harga Asli A]]*cadangan3[[#This Row],[Diskon]]),cadangan3[[#This Row],[Harga Asli A]])</f>
        <v>127500</v>
      </c>
      <c r="K134" s="36">
        <f>INDEX(Katalog!$F$3:$F$12,MATCH(cadangan3[[#This Row],[ItemID A]],Katalog!$C$3:$C$12,0))*cadangan3[[#This Row],[Qty A]]</f>
        <v>50000</v>
      </c>
      <c r="L134" s="36">
        <f>IFERROR(cadangan3[[#This Row],[Profit A]]-(cadangan3[[#This Row],[Profit A]]*cadangan3[[#This Row],[Diskon]]),K134)</f>
        <v>42500</v>
      </c>
      <c r="M134" t="s">
        <v>61</v>
      </c>
      <c r="N134" t="str">
        <f>IFERROR(INDEX(Katalog!$A$3:$A$12,MATCH(cadangan3[[#This Row],[ItemID B]],Katalog!$C$3:$C$12,0)),"-")</f>
        <v>Pakaian Pria</v>
      </c>
      <c r="O134" t="str">
        <f>IFERROR(INDEX(Katalog!$B$3:$B$12,MATCH(cadangan3[[#This Row],[ItemID B]],Katalog!$C$3:$C$12,0)),"-")</f>
        <v>Kaos Polo</v>
      </c>
      <c r="P134">
        <v>1</v>
      </c>
      <c r="Q134">
        <v>3</v>
      </c>
      <c r="R134" s="36">
        <f>IFERROR(INDEX(Katalog!$D$3:$D$12,MATCH(cadangan3[[#This Row],[ItemID B]],Katalog!$C$3:$C$12,0))*cadangan3[[#This Row],[Qty B]],0)</f>
        <v>200000</v>
      </c>
      <c r="S134" s="36">
        <f>IFERROR(INDEX(Katalog!$D$3:$D$12,MATCH(cadangan3[[#This Row],[Item B]],Katalog!$B$3:$B$12,0))*cadangan3[[#This Row],[Qty B]],0)</f>
        <v>200000</v>
      </c>
      <c r="T134" s="36">
        <f>IFERROR(cadangan3[[#This Row],[Harga Asli B]]-(cadangan3[[#This Row],[Harga Asli B]]*cadangan3[[#This Row],[Diskon]]),cadangan3[[#This Row],[Harga Asli B]])</f>
        <v>170000</v>
      </c>
      <c r="U134" s="36">
        <f>IFERROR(INDEX(Katalog!$F$3:$F$12,MATCH(cadangan3[[#This Row],[ItemID B]],Katalog!$C$3:$C$12,0))*cadangan3[[#This Row],[Qty B]],0)</f>
        <v>80000</v>
      </c>
      <c r="V134" s="36">
        <f>IFERROR(cadangan3[[#This Row],[Profit B]]-(cadangan3[[#This Row],[Profit B]]*cadangan3[[#This Row],[Diskon]]),U134)</f>
        <v>68000</v>
      </c>
      <c r="W134" t="s">
        <v>67</v>
      </c>
      <c r="X134" t="str">
        <f>IFERROR(INDEX(Katalog!$A$3:$A$12,MATCH(cadangan3[[#This Row],[ItemID C]],Katalog!$C$3:$C$12,0)),"-")</f>
        <v>Sepatu Wanita</v>
      </c>
      <c r="Y134" t="str">
        <f>IFERROR(INDEX(Katalog!$B$3:$B$12,MATCH(cadangan3[[#This Row],[ItemID C]],Katalog!$C$3:$C$12,0)),"-")</f>
        <v>Flat Shoes</v>
      </c>
      <c r="Z134">
        <v>5</v>
      </c>
      <c r="AA134">
        <v>5</v>
      </c>
      <c r="AB134" s="36">
        <f>IFERROR(INDEX(Katalog!$D$3:$D$12,MATCH(cadangan3[[#This Row],[ItemID C]],Katalog!$C$3:$C$12,0))*cadangan3[[#This Row],[Qty C]],0)</f>
        <v>1250000</v>
      </c>
      <c r="AC134" s="36">
        <f>IFERROR(INDEX(Katalog!$D$3:$D$12,MATCH(cadangan3[[#This Row],[Item C]],Katalog!$B$3:$B$12,0))*cadangan3[[#This Row],[Qty C]],0)</f>
        <v>1250000</v>
      </c>
      <c r="AD134" s="36">
        <f>IFERROR(cadangan3[[#This Row],[Harga Asli C]]-(cadangan3[[#This Row],[Harga Asli C]]*cadangan3[[#This Row],[Diskon]]),cadangan3[[#This Row],[Harga Asli C]])</f>
        <v>1062500</v>
      </c>
      <c r="AE134" s="36">
        <f>IFERROR(INDEX(Katalog!$F$3:$F$12,MATCH(cadangan3[[#This Row],[ItemID C]],Katalog!$C$3:$C$12,0))*cadangan3[[#This Row],[Qty C]],0)</f>
        <v>500000</v>
      </c>
      <c r="AF134" s="36">
        <f>IFERROR(cadangan3[[#This Row],[Profit C]]-(cadangan3[[#This Row],[Profit C]]*cadangan3[[#This Row],[Diskon]]),cadangan3[[#This Row],[Profit C]])</f>
        <v>425000</v>
      </c>
      <c r="AG134" s="21">
        <f>cadangan3[[#This Row],[Qty A]]+cadangan3[[#This Row],[Qty B]]+cadangan3[[#This Row],[Qty C]]</f>
        <v>7</v>
      </c>
      <c r="AH134" s="35">
        <f>cadangan3[[#This Row],[Harga A + Diskon]]+cadangan3[[#This Row],[Harga + Diskon B]]+cadangan3[[#This Row],[Harga + Diskon C]]</f>
        <v>1360000</v>
      </c>
      <c r="AI134" s="35">
        <f>(cadangan3[[#This Row],[Profit A]]+cadangan3[[#This Row],[Profit B]]+cadangan3[[#This Row],[Profit C]])</f>
        <v>630000</v>
      </c>
      <c r="AJ134" s="35">
        <f>cadangan3[[#This Row],[Provit A + Diskon]]+cadangan3[[#This Row],[Provit B + Diskon]]+cadangan3[[#This Row],[Provit C + Diskon]]</f>
        <v>535500</v>
      </c>
      <c r="AK134" s="23" t="s">
        <v>13</v>
      </c>
      <c r="AL134" s="37">
        <f>IFERROR(INDEX('Kode Diskon'!$D$3:$D$9,MATCH(cadangan3[[#This Row],[Kode diskon]],'Kode Diskon'!$C$3:$C$9,0)),"-")</f>
        <v>0.15</v>
      </c>
      <c r="AM134" s="23" t="s">
        <v>29</v>
      </c>
      <c r="AN134" s="23" t="s">
        <v>7</v>
      </c>
      <c r="AO134" s="23" t="s">
        <v>75</v>
      </c>
      <c r="AP134" s="24">
        <v>45021</v>
      </c>
      <c r="AQ134" s="23" t="str">
        <f>TEXT(cadangan3[[#This Row],[Tanggal terjual]],"dddd")</f>
        <v>Wednesday</v>
      </c>
    </row>
    <row r="135" spans="1:43" x14ac:dyDescent="0.2">
      <c r="A135" s="20">
        <v>134</v>
      </c>
      <c r="B135" s="21" t="str">
        <f>_xlfn.CONCAT("ORD-",INDEX(Helper!$B$2:$B$5,MATCH(cadangan3[[#This Row],[Marketplace]],Helper!$A$2:$A$5,0)),TEXT(cadangan3[[#This Row],[No]],"0000"),"-",TEXT(cadangan3[[#This Row],[Tanggal terjual]],"dd/mm/yy"))</f>
        <v>ORD-TK0134-06/04/23</v>
      </c>
      <c r="C135" t="s">
        <v>59</v>
      </c>
      <c r="D135" t="str">
        <f>IFERROR(INDEX(Katalog!$A$3:$A$12,MATCH(cadangan3[[#This Row],[ItemID A]],Katalog!$C$3:$C$12,0)),"-")</f>
        <v>Pakaian Wanita</v>
      </c>
      <c r="E135" t="str">
        <f>IFERROR(INDEX(Katalog!$B$3:$B$12,MATCH(cadangan3[[#This Row],[ItemID A]],Katalog!$C$3:$C$12,0)),"-")</f>
        <v>Blouse</v>
      </c>
      <c r="F135">
        <v>5</v>
      </c>
      <c r="G135">
        <v>5</v>
      </c>
      <c r="H135" s="36">
        <f>IFERROR(INDEX(Katalog!$D$3:$D$12,MATCH(cadangan3[[#This Row],[ItemID A]],Katalog!$C$3:$C$12,0))*cadangan3[[#This Row],[Qty A]],0)</f>
        <v>750000</v>
      </c>
      <c r="I135" s="36">
        <f>IFERROR(INDEX(Katalog!$D$3:$D$12,MATCH(cadangan3[[#This Row],[Item A]],Katalog!$B$3:$B$12,0))*cadangan3[[#This Row],[Qty A]],0)</f>
        <v>750000</v>
      </c>
      <c r="J135" s="36">
        <f>IFERROR(cadangan3[[#This Row],[Harga Asli A]]-(cadangan3[[#This Row],[Harga Asli A]]*cadangan3[[#This Row],[Diskon]]),cadangan3[[#This Row],[Harga Asli A]])</f>
        <v>675000</v>
      </c>
      <c r="K135" s="36">
        <f>INDEX(Katalog!$F$3:$F$12,MATCH(cadangan3[[#This Row],[ItemID A]],Katalog!$C$3:$C$12,0))*cadangan3[[#This Row],[Qty A]]</f>
        <v>250000</v>
      </c>
      <c r="L135" s="36">
        <f>IFERROR(cadangan3[[#This Row],[Profit A]]-(cadangan3[[#This Row],[Profit A]]*cadangan3[[#This Row],[Diskon]]),K135)</f>
        <v>225000</v>
      </c>
      <c r="M135" t="s">
        <v>63</v>
      </c>
      <c r="N135" t="str">
        <f>IFERROR(INDEX(Katalog!$A$3:$A$12,MATCH(cadangan3[[#This Row],[ItemID B]],Katalog!$C$3:$C$12,0)),"-")</f>
        <v>Pakaian Pria</v>
      </c>
      <c r="O135" t="str">
        <f>IFERROR(INDEX(Katalog!$B$3:$B$12,MATCH(cadangan3[[#This Row],[ItemID B]],Katalog!$C$3:$C$12,0)),"-")</f>
        <v>Jaket Jeans</v>
      </c>
      <c r="P135">
        <v>1</v>
      </c>
      <c r="Q135">
        <v>1</v>
      </c>
      <c r="R135" s="36">
        <f>IFERROR(INDEX(Katalog!$D$3:$D$12,MATCH(cadangan3[[#This Row],[ItemID B]],Katalog!$C$3:$C$12,0))*cadangan3[[#This Row],[Qty B]],0)</f>
        <v>400000</v>
      </c>
      <c r="S135" s="36">
        <f>IFERROR(INDEX(Katalog!$D$3:$D$12,MATCH(cadangan3[[#This Row],[Item B]],Katalog!$B$3:$B$12,0))*cadangan3[[#This Row],[Qty B]],0)</f>
        <v>400000</v>
      </c>
      <c r="T135" s="36">
        <f>IFERROR(cadangan3[[#This Row],[Harga Asli B]]-(cadangan3[[#This Row],[Harga Asli B]]*cadangan3[[#This Row],[Diskon]]),cadangan3[[#This Row],[Harga Asli B]])</f>
        <v>360000</v>
      </c>
      <c r="U135" s="36">
        <f>IFERROR(INDEX(Katalog!$F$3:$F$12,MATCH(cadangan3[[#This Row],[ItemID B]],Katalog!$C$3:$C$12,0))*cadangan3[[#This Row],[Qty B]],0)</f>
        <v>150000</v>
      </c>
      <c r="V135" s="36">
        <f>IFERROR(cadangan3[[#This Row],[Profit B]]-(cadangan3[[#This Row],[Profit B]]*cadangan3[[#This Row],[Diskon]]),U135)</f>
        <v>135000</v>
      </c>
      <c r="W135" t="s">
        <v>61</v>
      </c>
      <c r="X135" t="str">
        <f>IFERROR(INDEX(Katalog!$A$3:$A$12,MATCH(cadangan3[[#This Row],[ItemID C]],Katalog!$C$3:$C$12,0)),"-")</f>
        <v>Pakaian Pria</v>
      </c>
      <c r="Y135" t="str">
        <f>IFERROR(INDEX(Katalog!$B$3:$B$12,MATCH(cadangan3[[#This Row],[ItemID C]],Katalog!$C$3:$C$12,0)),"-")</f>
        <v>Kaos Polo</v>
      </c>
      <c r="Z135">
        <v>1</v>
      </c>
      <c r="AA135">
        <v>5</v>
      </c>
      <c r="AB135" s="36">
        <f>IFERROR(INDEX(Katalog!$D$3:$D$12,MATCH(cadangan3[[#This Row],[ItemID C]],Katalog!$C$3:$C$12,0))*cadangan3[[#This Row],[Qty C]],0)</f>
        <v>200000</v>
      </c>
      <c r="AC135" s="36">
        <f>IFERROR(INDEX(Katalog!$D$3:$D$12,MATCH(cadangan3[[#This Row],[Item C]],Katalog!$B$3:$B$12,0))*cadangan3[[#This Row],[Qty C]],0)</f>
        <v>200000</v>
      </c>
      <c r="AD135" s="36">
        <f>IFERROR(cadangan3[[#This Row],[Harga Asli C]]-(cadangan3[[#This Row],[Harga Asli C]]*cadangan3[[#This Row],[Diskon]]),cadangan3[[#This Row],[Harga Asli C]])</f>
        <v>180000</v>
      </c>
      <c r="AE135" s="36">
        <f>IFERROR(INDEX(Katalog!$F$3:$F$12,MATCH(cadangan3[[#This Row],[ItemID C]],Katalog!$C$3:$C$12,0))*cadangan3[[#This Row],[Qty C]],0)</f>
        <v>80000</v>
      </c>
      <c r="AF135" s="36">
        <f>IFERROR(cadangan3[[#This Row],[Profit C]]-(cadangan3[[#This Row],[Profit C]]*cadangan3[[#This Row],[Diskon]]),cadangan3[[#This Row],[Profit C]])</f>
        <v>72000</v>
      </c>
      <c r="AG135" s="21">
        <f>cadangan3[[#This Row],[Qty A]]+cadangan3[[#This Row],[Qty B]]+cadangan3[[#This Row],[Qty C]]</f>
        <v>7</v>
      </c>
      <c r="AH135" s="35">
        <f>cadangan3[[#This Row],[Harga A + Diskon]]+cadangan3[[#This Row],[Harga + Diskon B]]+cadangan3[[#This Row],[Harga + Diskon C]]</f>
        <v>1215000</v>
      </c>
      <c r="AI135" s="35">
        <f>(cadangan3[[#This Row],[Profit A]]+cadangan3[[#This Row],[Profit B]]+cadangan3[[#This Row],[Profit C]])</f>
        <v>480000</v>
      </c>
      <c r="AJ135" s="35">
        <f>cadangan3[[#This Row],[Provit A + Diskon]]+cadangan3[[#This Row],[Provit B + Diskon]]+cadangan3[[#This Row],[Provit C + Diskon]]</f>
        <v>432000</v>
      </c>
      <c r="AK135" s="23" t="s">
        <v>30</v>
      </c>
      <c r="AL135" s="37">
        <f>IFERROR(INDEX('Kode Diskon'!$D$3:$D$9,MATCH(cadangan3[[#This Row],[Kode diskon]],'Kode Diskon'!$C$3:$C$9,0)),"-")</f>
        <v>0.1</v>
      </c>
      <c r="AM135" s="23" t="s">
        <v>29</v>
      </c>
      <c r="AN135" s="23" t="s">
        <v>10</v>
      </c>
      <c r="AO135" s="23" t="s">
        <v>80</v>
      </c>
      <c r="AP135" s="24">
        <v>45022</v>
      </c>
      <c r="AQ135" s="23" t="str">
        <f>TEXT(cadangan3[[#This Row],[Tanggal terjual]],"dddd")</f>
        <v>Thursday</v>
      </c>
    </row>
    <row r="136" spans="1:43" x14ac:dyDescent="0.2">
      <c r="A136" s="20">
        <v>135</v>
      </c>
      <c r="B136" s="21" t="str">
        <f>_xlfn.CONCAT("ORD-",INDEX(Helper!$B$2:$B$5,MATCH(cadangan3[[#This Row],[Marketplace]],Helper!$A$2:$A$5,0)),TEXT(cadangan3[[#This Row],[No]],"0000"),"-",TEXT(cadangan3[[#This Row],[Tanggal terjual]],"dd/mm/yy"))</f>
        <v>ORD-BL0135-09/04/23</v>
      </c>
      <c r="C136" t="s">
        <v>62</v>
      </c>
      <c r="D136" t="str">
        <f>IFERROR(INDEX(Katalog!$A$3:$A$12,MATCH(cadangan3[[#This Row],[ItemID A]],Katalog!$C$3:$C$12,0)),"-")</f>
        <v>Pakaian Pria</v>
      </c>
      <c r="E136" t="str">
        <f>IFERROR(INDEX(Katalog!$B$3:$B$12,MATCH(cadangan3[[#This Row],[ItemID A]],Katalog!$C$3:$C$12,0)),"-")</f>
        <v>Celana Pendek</v>
      </c>
      <c r="F136">
        <v>2</v>
      </c>
      <c r="G136">
        <v>3</v>
      </c>
      <c r="H136" s="36">
        <f>IFERROR(INDEX(Katalog!$D$3:$D$12,MATCH(cadangan3[[#This Row],[ItemID A]],Katalog!$C$3:$C$12,0))*cadangan3[[#This Row],[Qty A]],0)</f>
        <v>360000</v>
      </c>
      <c r="I136" s="36">
        <f>IFERROR(INDEX(Katalog!$D$3:$D$12,MATCH(cadangan3[[#This Row],[Item A]],Katalog!$B$3:$B$12,0))*cadangan3[[#This Row],[Qty A]],0)</f>
        <v>360000</v>
      </c>
      <c r="J136" s="36">
        <f>IFERROR(cadangan3[[#This Row],[Harga Asli A]]-(cadangan3[[#This Row],[Harga Asli A]]*cadangan3[[#This Row],[Diskon]]),cadangan3[[#This Row],[Harga Asli A]])</f>
        <v>360000</v>
      </c>
      <c r="K136" s="36">
        <f>INDEX(Katalog!$F$3:$F$12,MATCH(cadangan3[[#This Row],[ItemID A]],Katalog!$C$3:$C$12,0))*cadangan3[[#This Row],[Qty A]]</f>
        <v>140000</v>
      </c>
      <c r="L136" s="36">
        <f>IFERROR(cadangan3[[#This Row],[Profit A]]-(cadangan3[[#This Row],[Profit A]]*cadangan3[[#This Row],[Diskon]]),K136)</f>
        <v>140000</v>
      </c>
      <c r="M136" t="s">
        <v>64</v>
      </c>
      <c r="N136" t="str">
        <f>IFERROR(INDEX(Katalog!$A$3:$A$12,MATCH(cadangan3[[#This Row],[ItemID B]],Katalog!$C$3:$C$12,0)),"-")</f>
        <v>Pakaian Unisex</v>
      </c>
      <c r="O136" t="str">
        <f>IFERROR(INDEX(Katalog!$B$3:$B$12,MATCH(cadangan3[[#This Row],[ItemID B]],Katalog!$C$3:$C$12,0)),"-")</f>
        <v>Jaket Hoodie</v>
      </c>
      <c r="P136">
        <v>2</v>
      </c>
      <c r="Q136">
        <v>3</v>
      </c>
      <c r="R136" s="36">
        <f>IFERROR(INDEX(Katalog!$D$3:$D$12,MATCH(cadangan3[[#This Row],[ItemID B]],Katalog!$C$3:$C$12,0))*cadangan3[[#This Row],[Qty B]],0)</f>
        <v>700000</v>
      </c>
      <c r="S136" s="36">
        <f>IFERROR(INDEX(Katalog!$D$3:$D$12,MATCH(cadangan3[[#This Row],[Item B]],Katalog!$B$3:$B$12,0))*cadangan3[[#This Row],[Qty B]],0)</f>
        <v>700000</v>
      </c>
      <c r="T136" s="36">
        <f>IFERROR(cadangan3[[#This Row],[Harga Asli B]]-(cadangan3[[#This Row],[Harga Asli B]]*cadangan3[[#This Row],[Diskon]]),cadangan3[[#This Row],[Harga Asli B]])</f>
        <v>700000</v>
      </c>
      <c r="U136" s="36">
        <f>IFERROR(INDEX(Katalog!$F$3:$F$12,MATCH(cadangan3[[#This Row],[ItemID B]],Katalog!$C$3:$C$12,0))*cadangan3[[#This Row],[Qty B]],0)</f>
        <v>260000</v>
      </c>
      <c r="V136" s="36">
        <f>IFERROR(cadangan3[[#This Row],[Profit B]]-(cadangan3[[#This Row],[Profit B]]*cadangan3[[#This Row],[Diskon]]),U136)</f>
        <v>260000</v>
      </c>
      <c r="W136" t="s">
        <v>65</v>
      </c>
      <c r="X136" t="str">
        <f>IFERROR(INDEX(Katalog!$A$3:$A$12,MATCH(cadangan3[[#This Row],[ItemID C]],Katalog!$C$3:$C$12,0)),"-")</f>
        <v>Sepatu Pria</v>
      </c>
      <c r="Y136" t="str">
        <f>IFERROR(INDEX(Katalog!$B$3:$B$12,MATCH(cadangan3[[#This Row],[ItemID C]],Katalog!$C$3:$C$12,0)),"-")</f>
        <v>Sneakers</v>
      </c>
      <c r="Z136">
        <v>1</v>
      </c>
      <c r="AA136">
        <v>5</v>
      </c>
      <c r="AB136" s="36">
        <f>IFERROR(INDEX(Katalog!$D$3:$D$12,MATCH(cadangan3[[#This Row],[ItemID C]],Katalog!$C$3:$C$12,0))*cadangan3[[#This Row],[Qty C]],0)</f>
        <v>500000</v>
      </c>
      <c r="AC136" s="36">
        <f>IFERROR(INDEX(Katalog!$D$3:$D$12,MATCH(cadangan3[[#This Row],[Item C]],Katalog!$B$3:$B$12,0))*cadangan3[[#This Row],[Qty C]],0)</f>
        <v>500000</v>
      </c>
      <c r="AD136" s="36">
        <f>IFERROR(cadangan3[[#This Row],[Harga Asli C]]-(cadangan3[[#This Row],[Harga Asli C]]*cadangan3[[#This Row],[Diskon]]),cadangan3[[#This Row],[Harga Asli C]])</f>
        <v>500000</v>
      </c>
      <c r="AE136" s="36">
        <f>IFERROR(INDEX(Katalog!$F$3:$F$12,MATCH(cadangan3[[#This Row],[ItemID C]],Katalog!$C$3:$C$12,0))*cadangan3[[#This Row],[Qty C]],0)</f>
        <v>200000</v>
      </c>
      <c r="AF136" s="36">
        <f>IFERROR(cadangan3[[#This Row],[Profit C]]-(cadangan3[[#This Row],[Profit C]]*cadangan3[[#This Row],[Diskon]]),cadangan3[[#This Row],[Profit C]])</f>
        <v>200000</v>
      </c>
      <c r="AG136" s="21">
        <f>cadangan3[[#This Row],[Qty A]]+cadangan3[[#This Row],[Qty B]]+cadangan3[[#This Row],[Qty C]]</f>
        <v>5</v>
      </c>
      <c r="AH136" s="35">
        <f>cadangan3[[#This Row],[Harga A + Diskon]]+cadangan3[[#This Row],[Harga + Diskon B]]+cadangan3[[#This Row],[Harga + Diskon C]]</f>
        <v>1560000</v>
      </c>
      <c r="AI136" s="35">
        <f>(cadangan3[[#This Row],[Profit A]]+cadangan3[[#This Row],[Profit B]]+cadangan3[[#This Row],[Profit C]])</f>
        <v>600000</v>
      </c>
      <c r="AJ136" s="35">
        <f>cadangan3[[#This Row],[Provit A + Diskon]]+cadangan3[[#This Row],[Provit B + Diskon]]+cadangan3[[#This Row],[Provit C + Diskon]]</f>
        <v>600000</v>
      </c>
      <c r="AK136" s="23" t="s">
        <v>11</v>
      </c>
      <c r="AL136" s="37" t="str">
        <f>IFERROR(INDEX('Kode Diskon'!$D$3:$D$9,MATCH(cadangan3[[#This Row],[Kode diskon]],'Kode Diskon'!$C$3:$C$9,0)),"-")</f>
        <v>-</v>
      </c>
      <c r="AM136" s="23" t="s">
        <v>11</v>
      </c>
      <c r="AN136" s="23" t="s">
        <v>12</v>
      </c>
      <c r="AO136" s="23" t="s">
        <v>80</v>
      </c>
      <c r="AP136" s="24">
        <v>45025</v>
      </c>
      <c r="AQ136" s="23" t="str">
        <f>TEXT(cadangan3[[#This Row],[Tanggal terjual]],"dddd")</f>
        <v>Sunday</v>
      </c>
    </row>
    <row r="137" spans="1:43" x14ac:dyDescent="0.2">
      <c r="A137" s="20">
        <v>136</v>
      </c>
      <c r="B137" s="21" t="str">
        <f>_xlfn.CONCAT("ORD-",INDEX(Helper!$B$2:$B$5,MATCH(cadangan3[[#This Row],[Marketplace]],Helper!$A$2:$A$5,0)),TEXT(cadangan3[[#This Row],[No]],"0000"),"-",TEXT(cadangan3[[#This Row],[Tanggal terjual]],"dd/mm/yy"))</f>
        <v>ORD-SP0136-24/04/23</v>
      </c>
      <c r="C137" t="s">
        <v>67</v>
      </c>
      <c r="D137" t="str">
        <f>IFERROR(INDEX(Katalog!$A$3:$A$12,MATCH(cadangan3[[#This Row],[ItemID A]],Katalog!$C$3:$C$12,0)),"-")</f>
        <v>Sepatu Wanita</v>
      </c>
      <c r="E137" t="str">
        <f>IFERROR(INDEX(Katalog!$B$3:$B$12,MATCH(cadangan3[[#This Row],[ItemID A]],Katalog!$C$3:$C$12,0)),"-")</f>
        <v>Flat Shoes</v>
      </c>
      <c r="F137">
        <v>3</v>
      </c>
      <c r="G137">
        <v>4</v>
      </c>
      <c r="H137" s="36">
        <f>IFERROR(INDEX(Katalog!$D$3:$D$12,MATCH(cadangan3[[#This Row],[ItemID A]],Katalog!$C$3:$C$12,0))*cadangan3[[#This Row],[Qty A]],0)</f>
        <v>750000</v>
      </c>
      <c r="I137" s="36">
        <f>IFERROR(INDEX(Katalog!$D$3:$D$12,MATCH(cadangan3[[#This Row],[Item A]],Katalog!$B$3:$B$12,0))*cadangan3[[#This Row],[Qty A]],0)</f>
        <v>750000</v>
      </c>
      <c r="J137" s="36">
        <f>IFERROR(cadangan3[[#This Row],[Harga Asli A]]-(cadangan3[[#This Row],[Harga Asli A]]*cadangan3[[#This Row],[Diskon]]),cadangan3[[#This Row],[Harga Asli A]])</f>
        <v>600000</v>
      </c>
      <c r="K137" s="36">
        <f>INDEX(Katalog!$F$3:$F$12,MATCH(cadangan3[[#This Row],[ItemID A]],Katalog!$C$3:$C$12,0))*cadangan3[[#This Row],[Qty A]]</f>
        <v>300000</v>
      </c>
      <c r="L137" s="36">
        <f>IFERROR(cadangan3[[#This Row],[Profit A]]-(cadangan3[[#This Row],[Profit A]]*cadangan3[[#This Row],[Diskon]]),K137)</f>
        <v>240000</v>
      </c>
      <c r="M137" t="s">
        <v>58</v>
      </c>
      <c r="N137" t="str">
        <f>IFERROR(INDEX(Katalog!$A$3:$A$12,MATCH(cadangan3[[#This Row],[ItemID B]],Katalog!$C$3:$C$12,0)),"-")</f>
        <v>Pakaian Wanita</v>
      </c>
      <c r="O137" t="str">
        <f>IFERROR(INDEX(Katalog!$B$3:$B$12,MATCH(cadangan3[[#This Row],[ItemID B]],Katalog!$C$3:$C$12,0)),"-")</f>
        <v>Dress</v>
      </c>
      <c r="P137">
        <v>1</v>
      </c>
      <c r="Q137">
        <v>4</v>
      </c>
      <c r="R137" s="36">
        <f>IFERROR(INDEX(Katalog!$D$3:$D$12,MATCH(cadangan3[[#This Row],[ItemID B]],Katalog!$C$3:$C$12,0))*cadangan3[[#This Row],[Qty B]],0)</f>
        <v>300000</v>
      </c>
      <c r="S137" s="36">
        <f>IFERROR(INDEX(Katalog!$D$3:$D$12,MATCH(cadangan3[[#This Row],[Item B]],Katalog!$B$3:$B$12,0))*cadangan3[[#This Row],[Qty B]],0)</f>
        <v>300000</v>
      </c>
      <c r="T137" s="36">
        <f>IFERROR(cadangan3[[#This Row],[Harga Asli B]]-(cadangan3[[#This Row],[Harga Asli B]]*cadangan3[[#This Row],[Diskon]]),cadangan3[[#This Row],[Harga Asli B]])</f>
        <v>240000</v>
      </c>
      <c r="U137" s="36">
        <f>IFERROR(INDEX(Katalog!$F$3:$F$12,MATCH(cadangan3[[#This Row],[ItemID B]],Katalog!$C$3:$C$12,0))*cadangan3[[#This Row],[Qty B]],0)</f>
        <v>100000</v>
      </c>
      <c r="V137" s="36">
        <f>IFERROR(cadangan3[[#This Row],[Profit B]]-(cadangan3[[#This Row],[Profit B]]*cadangan3[[#This Row],[Diskon]]),U137)</f>
        <v>80000</v>
      </c>
      <c r="X137" t="str">
        <f>IFERROR(INDEX(Katalog!$A$3:$A$12,MATCH(cadangan3[[#This Row],[ItemID C]],Katalog!$C$3:$C$12,0)),"-")</f>
        <v>-</v>
      </c>
      <c r="Y137" t="str">
        <f>IFERROR(INDEX(Katalog!$B$3:$B$12,MATCH(cadangan3[[#This Row],[ItemID C]],Katalog!$C$3:$C$12,0)),"-")</f>
        <v>-</v>
      </c>
      <c r="AB137" s="36">
        <f>IFERROR(INDEX(Katalog!$D$3:$D$12,MATCH(cadangan3[[#This Row],[ItemID C]],Katalog!$C$3:$C$12,0))*cadangan3[[#This Row],[Qty C]],0)</f>
        <v>0</v>
      </c>
      <c r="AC137" s="36">
        <f>IFERROR(INDEX(Katalog!$D$3:$D$12,MATCH(cadangan3[[#This Row],[Item C]],Katalog!$B$3:$B$12,0))*cadangan3[[#This Row],[Qty C]],0)</f>
        <v>0</v>
      </c>
      <c r="AD137" s="36">
        <f>IFERROR(cadangan3[[#This Row],[Harga Asli C]]-(cadangan3[[#This Row],[Harga Asli C]]*cadangan3[[#This Row],[Diskon]]),cadangan3[[#This Row],[Harga Asli C]])</f>
        <v>0</v>
      </c>
      <c r="AE137" s="36">
        <f>IFERROR(INDEX(Katalog!$F$3:$F$12,MATCH(cadangan3[[#This Row],[ItemID C]],Katalog!$C$3:$C$12,0))*cadangan3[[#This Row],[Qty C]],0)</f>
        <v>0</v>
      </c>
      <c r="AF137" s="36">
        <f>IFERROR(cadangan3[[#This Row],[Profit C]]-(cadangan3[[#This Row],[Profit C]]*cadangan3[[#This Row],[Diskon]]),cadangan3[[#This Row],[Profit C]])</f>
        <v>0</v>
      </c>
      <c r="AG137" s="21">
        <f>cadangan3[[#This Row],[Qty A]]+cadangan3[[#This Row],[Qty B]]+cadangan3[[#This Row],[Qty C]]</f>
        <v>4</v>
      </c>
      <c r="AH137" s="35">
        <f>cadangan3[[#This Row],[Harga A + Diskon]]+cadangan3[[#This Row],[Harga + Diskon B]]+cadangan3[[#This Row],[Harga + Diskon C]]</f>
        <v>840000</v>
      </c>
      <c r="AI137" s="35">
        <f>(cadangan3[[#This Row],[Profit A]]+cadangan3[[#This Row],[Profit B]]+cadangan3[[#This Row],[Profit C]])</f>
        <v>400000</v>
      </c>
      <c r="AJ137" s="35">
        <f>cadangan3[[#This Row],[Provit A + Diskon]]+cadangan3[[#This Row],[Provit B + Diskon]]+cadangan3[[#This Row],[Provit C + Diskon]]</f>
        <v>320000</v>
      </c>
      <c r="AK137" s="23" t="s">
        <v>8</v>
      </c>
      <c r="AL137" s="37">
        <f>IFERROR(INDEX('Kode Diskon'!$D$3:$D$9,MATCH(cadangan3[[#This Row],[Kode diskon]],'Kode Diskon'!$C$3:$C$9,0)),"-")</f>
        <v>0.2</v>
      </c>
      <c r="AM137" s="23" t="s">
        <v>9</v>
      </c>
      <c r="AN137" s="23" t="s">
        <v>7</v>
      </c>
      <c r="AO137" s="23" t="s">
        <v>80</v>
      </c>
      <c r="AP137" s="24">
        <v>45040</v>
      </c>
      <c r="AQ137" s="23" t="str">
        <f>TEXT(cadangan3[[#This Row],[Tanggal terjual]],"dddd")</f>
        <v>Monday</v>
      </c>
    </row>
    <row r="138" spans="1:43" x14ac:dyDescent="0.2">
      <c r="A138" s="20">
        <v>137</v>
      </c>
      <c r="B138" s="21" t="str">
        <f>_xlfn.CONCAT("ORD-",INDEX(Helper!$B$2:$B$5,MATCH(cadangan3[[#This Row],[Marketplace]],Helper!$A$2:$A$5,0)),TEXT(cadangan3[[#This Row],[No]],"0000"),"-",TEXT(cadangan3[[#This Row],[Tanggal terjual]],"dd/mm/yy"))</f>
        <v>ORD-BL0137-25/04/23</v>
      </c>
      <c r="C138" t="s">
        <v>63</v>
      </c>
      <c r="D138" t="str">
        <f>IFERROR(INDEX(Katalog!$A$3:$A$12,MATCH(cadangan3[[#This Row],[ItemID A]],Katalog!$C$3:$C$12,0)),"-")</f>
        <v>Pakaian Pria</v>
      </c>
      <c r="E138" t="str">
        <f>IFERROR(INDEX(Katalog!$B$3:$B$12,MATCH(cadangan3[[#This Row],[ItemID A]],Katalog!$C$3:$C$12,0)),"-")</f>
        <v>Jaket Jeans</v>
      </c>
      <c r="F138">
        <v>1</v>
      </c>
      <c r="G138">
        <v>2</v>
      </c>
      <c r="H138" s="36">
        <f>IFERROR(INDEX(Katalog!$D$3:$D$12,MATCH(cadangan3[[#This Row],[ItemID A]],Katalog!$C$3:$C$12,0))*cadangan3[[#This Row],[Qty A]],0)</f>
        <v>400000</v>
      </c>
      <c r="I138" s="36">
        <f>IFERROR(INDEX(Katalog!$D$3:$D$12,MATCH(cadangan3[[#This Row],[Item A]],Katalog!$B$3:$B$12,0))*cadangan3[[#This Row],[Qty A]],0)</f>
        <v>400000</v>
      </c>
      <c r="J138" s="36">
        <f>IFERROR(cadangan3[[#This Row],[Harga Asli A]]-(cadangan3[[#This Row],[Harga Asli A]]*cadangan3[[#This Row],[Diskon]]),cadangan3[[#This Row],[Harga Asli A]])</f>
        <v>340000</v>
      </c>
      <c r="K138" s="36">
        <f>INDEX(Katalog!$F$3:$F$12,MATCH(cadangan3[[#This Row],[ItemID A]],Katalog!$C$3:$C$12,0))*cadangan3[[#This Row],[Qty A]]</f>
        <v>150000</v>
      </c>
      <c r="L138" s="36">
        <f>IFERROR(cadangan3[[#This Row],[Profit A]]-(cadangan3[[#This Row],[Profit A]]*cadangan3[[#This Row],[Diskon]]),K138)</f>
        <v>127500</v>
      </c>
      <c r="N138" t="str">
        <f>IFERROR(INDEX(Katalog!$A$3:$A$12,MATCH(cadangan3[[#This Row],[ItemID B]],Katalog!$C$3:$C$12,0)),"-")</f>
        <v>-</v>
      </c>
      <c r="O138" t="str">
        <f>IFERROR(INDEX(Katalog!$B$3:$B$12,MATCH(cadangan3[[#This Row],[ItemID B]],Katalog!$C$3:$C$12,0)),"-")</f>
        <v>-</v>
      </c>
      <c r="R138" s="36">
        <f>IFERROR(INDEX(Katalog!$D$3:$D$12,MATCH(cadangan3[[#This Row],[ItemID B]],Katalog!$C$3:$C$12,0))*cadangan3[[#This Row],[Qty B]],0)</f>
        <v>0</v>
      </c>
      <c r="S138" s="36">
        <f>IFERROR(INDEX(Katalog!$D$3:$D$12,MATCH(cadangan3[[#This Row],[Item B]],Katalog!$B$3:$B$12,0))*cadangan3[[#This Row],[Qty B]],0)</f>
        <v>0</v>
      </c>
      <c r="T138" s="36">
        <f>IFERROR(cadangan3[[#This Row],[Harga Asli B]]-(cadangan3[[#This Row],[Harga Asli B]]*cadangan3[[#This Row],[Diskon]]),cadangan3[[#This Row],[Harga Asli B]])</f>
        <v>0</v>
      </c>
      <c r="U138" s="36">
        <f>IFERROR(INDEX(Katalog!$F$3:$F$12,MATCH(cadangan3[[#This Row],[ItemID B]],Katalog!$C$3:$C$12,0))*cadangan3[[#This Row],[Qty B]],0)</f>
        <v>0</v>
      </c>
      <c r="V138" s="36">
        <f>IFERROR(cadangan3[[#This Row],[Profit B]]-(cadangan3[[#This Row],[Profit B]]*cadangan3[[#This Row],[Diskon]]),U138)</f>
        <v>0</v>
      </c>
      <c r="X138" t="str">
        <f>IFERROR(INDEX(Katalog!$A$3:$A$12,MATCH(cadangan3[[#This Row],[ItemID C]],Katalog!$C$3:$C$12,0)),"-")</f>
        <v>-</v>
      </c>
      <c r="Y138" t="str">
        <f>IFERROR(INDEX(Katalog!$B$3:$B$12,MATCH(cadangan3[[#This Row],[ItemID C]],Katalog!$C$3:$C$12,0)),"-")</f>
        <v>-</v>
      </c>
      <c r="AB138" s="36">
        <f>IFERROR(INDEX(Katalog!$D$3:$D$12,MATCH(cadangan3[[#This Row],[ItemID C]],Katalog!$C$3:$C$12,0))*cadangan3[[#This Row],[Qty C]],0)</f>
        <v>0</v>
      </c>
      <c r="AC138" s="36">
        <f>IFERROR(INDEX(Katalog!$D$3:$D$12,MATCH(cadangan3[[#This Row],[Item C]],Katalog!$B$3:$B$12,0))*cadangan3[[#This Row],[Qty C]],0)</f>
        <v>0</v>
      </c>
      <c r="AD138" s="36">
        <f>IFERROR(cadangan3[[#This Row],[Harga Asli C]]-(cadangan3[[#This Row],[Harga Asli C]]*cadangan3[[#This Row],[Diskon]]),cadangan3[[#This Row],[Harga Asli C]])</f>
        <v>0</v>
      </c>
      <c r="AE138" s="36">
        <f>IFERROR(INDEX(Katalog!$F$3:$F$12,MATCH(cadangan3[[#This Row],[ItemID C]],Katalog!$C$3:$C$12,0))*cadangan3[[#This Row],[Qty C]],0)</f>
        <v>0</v>
      </c>
      <c r="AF138" s="36">
        <f>IFERROR(cadangan3[[#This Row],[Profit C]]-(cadangan3[[#This Row],[Profit C]]*cadangan3[[#This Row],[Diskon]]),cadangan3[[#This Row],[Profit C]])</f>
        <v>0</v>
      </c>
      <c r="AG138" s="21">
        <f>cadangan3[[#This Row],[Qty A]]+cadangan3[[#This Row],[Qty B]]+cadangan3[[#This Row],[Qty C]]</f>
        <v>1</v>
      </c>
      <c r="AH138" s="35">
        <f>cadangan3[[#This Row],[Harga A + Diskon]]+cadangan3[[#This Row],[Harga + Diskon B]]+cadangan3[[#This Row],[Harga + Diskon C]]</f>
        <v>340000</v>
      </c>
      <c r="AI138" s="35">
        <f>(cadangan3[[#This Row],[Profit A]]+cadangan3[[#This Row],[Profit B]]+cadangan3[[#This Row],[Profit C]])</f>
        <v>150000</v>
      </c>
      <c r="AJ138" s="35">
        <f>cadangan3[[#This Row],[Provit A + Diskon]]+cadangan3[[#This Row],[Provit B + Diskon]]+cadangan3[[#This Row],[Provit C + Diskon]]</f>
        <v>127500</v>
      </c>
      <c r="AK138" s="23" t="s">
        <v>32</v>
      </c>
      <c r="AL138" s="37">
        <f>IFERROR(INDEX('Kode Diskon'!$D$3:$D$9,MATCH(cadangan3[[#This Row],[Kode diskon]],'Kode Diskon'!$C$3:$C$9,0)),"-")</f>
        <v>0.15</v>
      </c>
      <c r="AM138" s="23" t="s">
        <v>9</v>
      </c>
      <c r="AN138" s="23" t="s">
        <v>12</v>
      </c>
      <c r="AO138" s="23" t="s">
        <v>76</v>
      </c>
      <c r="AP138" s="24">
        <v>45041</v>
      </c>
      <c r="AQ138" s="23" t="str">
        <f>TEXT(cadangan3[[#This Row],[Tanggal terjual]],"dddd")</f>
        <v>Tuesday</v>
      </c>
    </row>
    <row r="139" spans="1:43" x14ac:dyDescent="0.2">
      <c r="A139" s="20">
        <v>138</v>
      </c>
      <c r="B139" s="21" t="str">
        <f>_xlfn.CONCAT("ORD-",INDEX(Helper!$B$2:$B$5,MATCH(cadangan3[[#This Row],[Marketplace]],Helper!$A$2:$A$5,0)),TEXT(cadangan3[[#This Row],[No]],"0000"),"-",TEXT(cadangan3[[#This Row],[Tanggal terjual]],"dd/mm/yy"))</f>
        <v>ORD-TK0138-23/04/23</v>
      </c>
      <c r="C139" t="s">
        <v>67</v>
      </c>
      <c r="D139" t="str">
        <f>IFERROR(INDEX(Katalog!$A$3:$A$12,MATCH(cadangan3[[#This Row],[ItemID A]],Katalog!$C$3:$C$12,0)),"-")</f>
        <v>Sepatu Wanita</v>
      </c>
      <c r="E139" t="str">
        <f>IFERROR(INDEX(Katalog!$B$3:$B$12,MATCH(cadangan3[[#This Row],[ItemID A]],Katalog!$C$3:$C$12,0)),"-")</f>
        <v>Flat Shoes</v>
      </c>
      <c r="F139">
        <v>1</v>
      </c>
      <c r="G139">
        <v>2</v>
      </c>
      <c r="H139" s="36">
        <f>IFERROR(INDEX(Katalog!$D$3:$D$12,MATCH(cadangan3[[#This Row],[ItemID A]],Katalog!$C$3:$C$12,0))*cadangan3[[#This Row],[Qty A]],0)</f>
        <v>250000</v>
      </c>
      <c r="I139" s="36">
        <f>IFERROR(INDEX(Katalog!$D$3:$D$12,MATCH(cadangan3[[#This Row],[Item A]],Katalog!$B$3:$B$12,0))*cadangan3[[#This Row],[Qty A]],0)</f>
        <v>250000</v>
      </c>
      <c r="J139" s="36">
        <f>IFERROR(cadangan3[[#This Row],[Harga Asli A]]-(cadangan3[[#This Row],[Harga Asli A]]*cadangan3[[#This Row],[Diskon]]),cadangan3[[#This Row],[Harga Asli A]])</f>
        <v>225000</v>
      </c>
      <c r="K139" s="36">
        <f>INDEX(Katalog!$F$3:$F$12,MATCH(cadangan3[[#This Row],[ItemID A]],Katalog!$C$3:$C$12,0))*cadangan3[[#This Row],[Qty A]]</f>
        <v>100000</v>
      </c>
      <c r="L139" s="36">
        <f>IFERROR(cadangan3[[#This Row],[Profit A]]-(cadangan3[[#This Row],[Profit A]]*cadangan3[[#This Row],[Diskon]]),K139)</f>
        <v>90000</v>
      </c>
      <c r="M139" t="s">
        <v>64</v>
      </c>
      <c r="N139" t="str">
        <f>IFERROR(INDEX(Katalog!$A$3:$A$12,MATCH(cadangan3[[#This Row],[ItemID B]],Katalog!$C$3:$C$12,0)),"-")</f>
        <v>Pakaian Unisex</v>
      </c>
      <c r="O139" t="str">
        <f>IFERROR(INDEX(Katalog!$B$3:$B$12,MATCH(cadangan3[[#This Row],[ItemID B]],Katalog!$C$3:$C$12,0)),"-")</f>
        <v>Jaket Hoodie</v>
      </c>
      <c r="P139">
        <v>1</v>
      </c>
      <c r="Q139">
        <v>4</v>
      </c>
      <c r="R139" s="36">
        <f>IFERROR(INDEX(Katalog!$D$3:$D$12,MATCH(cadangan3[[#This Row],[ItemID B]],Katalog!$C$3:$C$12,0))*cadangan3[[#This Row],[Qty B]],0)</f>
        <v>350000</v>
      </c>
      <c r="S139" s="36">
        <f>IFERROR(INDEX(Katalog!$D$3:$D$12,MATCH(cadangan3[[#This Row],[Item B]],Katalog!$B$3:$B$12,0))*cadangan3[[#This Row],[Qty B]],0)</f>
        <v>350000</v>
      </c>
      <c r="T139" s="36">
        <f>IFERROR(cadangan3[[#This Row],[Harga Asli B]]-(cadangan3[[#This Row],[Harga Asli B]]*cadangan3[[#This Row],[Diskon]]),cadangan3[[#This Row],[Harga Asli B]])</f>
        <v>315000</v>
      </c>
      <c r="U139" s="36">
        <f>IFERROR(INDEX(Katalog!$F$3:$F$12,MATCH(cadangan3[[#This Row],[ItemID B]],Katalog!$C$3:$C$12,0))*cadangan3[[#This Row],[Qty B]],0)</f>
        <v>130000</v>
      </c>
      <c r="V139" s="36">
        <f>IFERROR(cadangan3[[#This Row],[Profit B]]-(cadangan3[[#This Row],[Profit B]]*cadangan3[[#This Row],[Diskon]]),U139)</f>
        <v>117000</v>
      </c>
      <c r="W139" t="s">
        <v>58</v>
      </c>
      <c r="X139" t="str">
        <f>IFERROR(INDEX(Katalog!$A$3:$A$12,MATCH(cadangan3[[#This Row],[ItemID C]],Katalog!$C$3:$C$12,0)),"-")</f>
        <v>Pakaian Wanita</v>
      </c>
      <c r="Y139" t="str">
        <f>IFERROR(INDEX(Katalog!$B$3:$B$12,MATCH(cadangan3[[#This Row],[ItemID C]],Katalog!$C$3:$C$12,0)),"-")</f>
        <v>Dress</v>
      </c>
      <c r="Z139">
        <v>3</v>
      </c>
      <c r="AA139">
        <v>3</v>
      </c>
      <c r="AB139" s="36">
        <f>IFERROR(INDEX(Katalog!$D$3:$D$12,MATCH(cadangan3[[#This Row],[ItemID C]],Katalog!$C$3:$C$12,0))*cadangan3[[#This Row],[Qty C]],0)</f>
        <v>900000</v>
      </c>
      <c r="AC139" s="36">
        <f>IFERROR(INDEX(Katalog!$D$3:$D$12,MATCH(cadangan3[[#This Row],[Item C]],Katalog!$B$3:$B$12,0))*cadangan3[[#This Row],[Qty C]],0)</f>
        <v>900000</v>
      </c>
      <c r="AD139" s="36">
        <f>IFERROR(cadangan3[[#This Row],[Harga Asli C]]-(cadangan3[[#This Row],[Harga Asli C]]*cadangan3[[#This Row],[Diskon]]),cadangan3[[#This Row],[Harga Asli C]])</f>
        <v>810000</v>
      </c>
      <c r="AE139" s="36">
        <f>IFERROR(INDEX(Katalog!$F$3:$F$12,MATCH(cadangan3[[#This Row],[ItemID C]],Katalog!$C$3:$C$12,0))*cadangan3[[#This Row],[Qty C]],0)</f>
        <v>300000</v>
      </c>
      <c r="AF139" s="36">
        <f>IFERROR(cadangan3[[#This Row],[Profit C]]-(cadangan3[[#This Row],[Profit C]]*cadangan3[[#This Row],[Diskon]]),cadangan3[[#This Row],[Profit C]])</f>
        <v>270000</v>
      </c>
      <c r="AG139" s="21">
        <f>cadangan3[[#This Row],[Qty A]]+cadangan3[[#This Row],[Qty B]]+cadangan3[[#This Row],[Qty C]]</f>
        <v>5</v>
      </c>
      <c r="AH139" s="35">
        <f>cadangan3[[#This Row],[Harga A + Diskon]]+cadangan3[[#This Row],[Harga + Diskon B]]+cadangan3[[#This Row],[Harga + Diskon C]]</f>
        <v>1350000</v>
      </c>
      <c r="AI139" s="35">
        <f>(cadangan3[[#This Row],[Profit A]]+cadangan3[[#This Row],[Profit B]]+cadangan3[[#This Row],[Profit C]])</f>
        <v>530000</v>
      </c>
      <c r="AJ139" s="35">
        <f>cadangan3[[#This Row],[Provit A + Diskon]]+cadangan3[[#This Row],[Provit B + Diskon]]+cadangan3[[#This Row],[Provit C + Diskon]]</f>
        <v>477000</v>
      </c>
      <c r="AK139" s="23" t="s">
        <v>31</v>
      </c>
      <c r="AL139" s="37">
        <f>IFERROR(INDEX('Kode Diskon'!$D$3:$D$9,MATCH(cadangan3[[#This Row],[Kode diskon]],'Kode Diskon'!$C$3:$C$9,0)),"-")</f>
        <v>0.1</v>
      </c>
      <c r="AM139" s="23" t="s">
        <v>9</v>
      </c>
      <c r="AN139" s="23" t="s">
        <v>10</v>
      </c>
      <c r="AO139" s="23" t="s">
        <v>75</v>
      </c>
      <c r="AP139" s="24">
        <v>45039</v>
      </c>
      <c r="AQ139" s="23" t="str">
        <f>TEXT(cadangan3[[#This Row],[Tanggal terjual]],"dddd")</f>
        <v>Sunday</v>
      </c>
    </row>
    <row r="140" spans="1:43" x14ac:dyDescent="0.2">
      <c r="A140" s="20">
        <v>139</v>
      </c>
      <c r="B140" s="21" t="str">
        <f>_xlfn.CONCAT("ORD-",INDEX(Helper!$B$2:$B$5,MATCH(cadangan3[[#This Row],[Marketplace]],Helper!$A$2:$A$5,0)),TEXT(cadangan3[[#This Row],[No]],"0000"),"-",TEXT(cadangan3[[#This Row],[Tanggal terjual]],"dd/mm/yy"))</f>
        <v>ORD-SP0139-23/04/23</v>
      </c>
      <c r="C140" t="s">
        <v>59</v>
      </c>
      <c r="D140" t="str">
        <f>IFERROR(INDEX(Katalog!$A$3:$A$12,MATCH(cadangan3[[#This Row],[ItemID A]],Katalog!$C$3:$C$12,0)),"-")</f>
        <v>Pakaian Wanita</v>
      </c>
      <c r="E140" t="str">
        <f>IFERROR(INDEX(Katalog!$B$3:$B$12,MATCH(cadangan3[[#This Row],[ItemID A]],Katalog!$C$3:$C$12,0)),"-")</f>
        <v>Blouse</v>
      </c>
      <c r="F140">
        <v>4</v>
      </c>
      <c r="G140">
        <v>4</v>
      </c>
      <c r="H140" s="36">
        <f>IFERROR(INDEX(Katalog!$D$3:$D$12,MATCH(cadangan3[[#This Row],[ItemID A]],Katalog!$C$3:$C$12,0))*cadangan3[[#This Row],[Qty A]],0)</f>
        <v>600000</v>
      </c>
      <c r="I140" s="36">
        <f>IFERROR(INDEX(Katalog!$D$3:$D$12,MATCH(cadangan3[[#This Row],[Item A]],Katalog!$B$3:$B$12,0))*cadangan3[[#This Row],[Qty A]],0)</f>
        <v>600000</v>
      </c>
      <c r="J140" s="36">
        <f>IFERROR(cadangan3[[#This Row],[Harga Asli A]]-(cadangan3[[#This Row],[Harga Asli A]]*cadangan3[[#This Row],[Diskon]]),cadangan3[[#This Row],[Harga Asli A]])</f>
        <v>480000</v>
      </c>
      <c r="K140" s="36">
        <f>INDEX(Katalog!$F$3:$F$12,MATCH(cadangan3[[#This Row],[ItemID A]],Katalog!$C$3:$C$12,0))*cadangan3[[#This Row],[Qty A]]</f>
        <v>200000</v>
      </c>
      <c r="L140" s="36">
        <f>IFERROR(cadangan3[[#This Row],[Profit A]]-(cadangan3[[#This Row],[Profit A]]*cadangan3[[#This Row],[Diskon]]),K140)</f>
        <v>160000</v>
      </c>
      <c r="N140" t="str">
        <f>IFERROR(INDEX(Katalog!$A$3:$A$12,MATCH(cadangan3[[#This Row],[ItemID B]],Katalog!$C$3:$C$12,0)),"-")</f>
        <v>-</v>
      </c>
      <c r="O140" t="str">
        <f>IFERROR(INDEX(Katalog!$B$3:$B$12,MATCH(cadangan3[[#This Row],[ItemID B]],Katalog!$C$3:$C$12,0)),"-")</f>
        <v>-</v>
      </c>
      <c r="R140" s="36">
        <f>IFERROR(INDEX(Katalog!$D$3:$D$12,MATCH(cadangan3[[#This Row],[ItemID B]],Katalog!$C$3:$C$12,0))*cadangan3[[#This Row],[Qty B]],0)</f>
        <v>0</v>
      </c>
      <c r="S140" s="36">
        <f>IFERROR(INDEX(Katalog!$D$3:$D$12,MATCH(cadangan3[[#This Row],[Item B]],Katalog!$B$3:$B$12,0))*cadangan3[[#This Row],[Qty B]],0)</f>
        <v>0</v>
      </c>
      <c r="T140" s="36">
        <f>IFERROR(cadangan3[[#This Row],[Harga Asli B]]-(cadangan3[[#This Row],[Harga Asli B]]*cadangan3[[#This Row],[Diskon]]),cadangan3[[#This Row],[Harga Asli B]])</f>
        <v>0</v>
      </c>
      <c r="U140" s="36">
        <f>IFERROR(INDEX(Katalog!$F$3:$F$12,MATCH(cadangan3[[#This Row],[ItemID B]],Katalog!$C$3:$C$12,0))*cadangan3[[#This Row],[Qty B]],0)</f>
        <v>0</v>
      </c>
      <c r="V140" s="36">
        <f>IFERROR(cadangan3[[#This Row],[Profit B]]-(cadangan3[[#This Row],[Profit B]]*cadangan3[[#This Row],[Diskon]]),U140)</f>
        <v>0</v>
      </c>
      <c r="X140" t="str">
        <f>IFERROR(INDEX(Katalog!$A$3:$A$12,MATCH(cadangan3[[#This Row],[ItemID C]],Katalog!$C$3:$C$12,0)),"-")</f>
        <v>-</v>
      </c>
      <c r="Y140" t="str">
        <f>IFERROR(INDEX(Katalog!$B$3:$B$12,MATCH(cadangan3[[#This Row],[ItemID C]],Katalog!$C$3:$C$12,0)),"-")</f>
        <v>-</v>
      </c>
      <c r="AB140" s="36">
        <f>IFERROR(INDEX(Katalog!$D$3:$D$12,MATCH(cadangan3[[#This Row],[ItemID C]],Katalog!$C$3:$C$12,0))*cadangan3[[#This Row],[Qty C]],0)</f>
        <v>0</v>
      </c>
      <c r="AC140" s="36">
        <f>IFERROR(INDEX(Katalog!$D$3:$D$12,MATCH(cadangan3[[#This Row],[Item C]],Katalog!$B$3:$B$12,0))*cadangan3[[#This Row],[Qty C]],0)</f>
        <v>0</v>
      </c>
      <c r="AD140" s="36">
        <f>IFERROR(cadangan3[[#This Row],[Harga Asli C]]-(cadangan3[[#This Row],[Harga Asli C]]*cadangan3[[#This Row],[Diskon]]),cadangan3[[#This Row],[Harga Asli C]])</f>
        <v>0</v>
      </c>
      <c r="AE140" s="36">
        <f>IFERROR(INDEX(Katalog!$F$3:$F$12,MATCH(cadangan3[[#This Row],[ItemID C]],Katalog!$C$3:$C$12,0))*cadangan3[[#This Row],[Qty C]],0)</f>
        <v>0</v>
      </c>
      <c r="AF140" s="36">
        <f>IFERROR(cadangan3[[#This Row],[Profit C]]-(cadangan3[[#This Row],[Profit C]]*cadangan3[[#This Row],[Diskon]]),cadangan3[[#This Row],[Profit C]])</f>
        <v>0</v>
      </c>
      <c r="AG140" s="21">
        <f>cadangan3[[#This Row],[Qty A]]+cadangan3[[#This Row],[Qty B]]+cadangan3[[#This Row],[Qty C]]</f>
        <v>4</v>
      </c>
      <c r="AH140" s="35">
        <f>cadangan3[[#This Row],[Harga A + Diskon]]+cadangan3[[#This Row],[Harga + Diskon B]]+cadangan3[[#This Row],[Harga + Diskon C]]</f>
        <v>480000</v>
      </c>
      <c r="AI140" s="35">
        <f>(cadangan3[[#This Row],[Profit A]]+cadangan3[[#This Row],[Profit B]]+cadangan3[[#This Row],[Profit C]])</f>
        <v>200000</v>
      </c>
      <c r="AJ140" s="35">
        <f>cadangan3[[#This Row],[Provit A + Diskon]]+cadangan3[[#This Row],[Provit B + Diskon]]+cadangan3[[#This Row],[Provit C + Diskon]]</f>
        <v>160000</v>
      </c>
      <c r="AK140" s="23" t="s">
        <v>8</v>
      </c>
      <c r="AL140" s="37">
        <f>IFERROR(INDEX('Kode Diskon'!$D$3:$D$9,MATCH(cadangan3[[#This Row],[Kode diskon]],'Kode Diskon'!$C$3:$C$9,0)),"-")</f>
        <v>0.2</v>
      </c>
      <c r="AM140" s="23" t="s">
        <v>9</v>
      </c>
      <c r="AN140" s="23" t="s">
        <v>7</v>
      </c>
      <c r="AO140" s="23" t="s">
        <v>79</v>
      </c>
      <c r="AP140" s="24">
        <v>45039</v>
      </c>
      <c r="AQ140" s="23" t="str">
        <f>TEXT(cadangan3[[#This Row],[Tanggal terjual]],"dddd")</f>
        <v>Sunday</v>
      </c>
    </row>
    <row r="141" spans="1:43" x14ac:dyDescent="0.2">
      <c r="A141" s="20">
        <v>140</v>
      </c>
      <c r="B141" s="21" t="str">
        <f>_xlfn.CONCAT("ORD-",INDEX(Helper!$B$2:$B$5,MATCH(cadangan3[[#This Row],[Marketplace]],Helper!$A$2:$A$5,0)),TEXT(cadangan3[[#This Row],[No]],"0000"),"-",TEXT(cadangan3[[#This Row],[Tanggal terjual]],"dd/mm/yy"))</f>
        <v>ORD-BL0140-21/04/23</v>
      </c>
      <c r="C141" t="s">
        <v>66</v>
      </c>
      <c r="D141" t="str">
        <f>IFERROR(INDEX(Katalog!$A$3:$A$12,MATCH(cadangan3[[#This Row],[ItemID A]],Katalog!$C$3:$C$12,0)),"-")</f>
        <v>Sepatu Pria</v>
      </c>
      <c r="E141" t="str">
        <f>IFERROR(INDEX(Katalog!$B$3:$B$12,MATCH(cadangan3[[#This Row],[ItemID A]],Katalog!$C$3:$C$12,0)),"-")</f>
        <v>Sandal Slip On</v>
      </c>
      <c r="F141">
        <v>3</v>
      </c>
      <c r="G141">
        <v>3</v>
      </c>
      <c r="H141" s="36">
        <f>IFERROR(INDEX(Katalog!$D$3:$D$12,MATCH(cadangan3[[#This Row],[ItemID A]],Katalog!$C$3:$C$12,0))*cadangan3[[#This Row],[Qty A]],0)</f>
        <v>450000</v>
      </c>
      <c r="I141" s="36">
        <f>IFERROR(INDEX(Katalog!$D$3:$D$12,MATCH(cadangan3[[#This Row],[Item A]],Katalog!$B$3:$B$12,0))*cadangan3[[#This Row],[Qty A]],0)</f>
        <v>450000</v>
      </c>
      <c r="J141" s="36">
        <f>IFERROR(cadangan3[[#This Row],[Harga Asli A]]-(cadangan3[[#This Row],[Harga Asli A]]*cadangan3[[#This Row],[Diskon]]),cadangan3[[#This Row],[Harga Asli A]])</f>
        <v>382500</v>
      </c>
      <c r="K141" s="36">
        <f>INDEX(Katalog!$F$3:$F$12,MATCH(cadangan3[[#This Row],[ItemID A]],Katalog!$C$3:$C$12,0))*cadangan3[[#This Row],[Qty A]]</f>
        <v>180000</v>
      </c>
      <c r="L141" s="36">
        <f>IFERROR(cadangan3[[#This Row],[Profit A]]-(cadangan3[[#This Row],[Profit A]]*cadangan3[[#This Row],[Diskon]]),K141)</f>
        <v>153000</v>
      </c>
      <c r="M141" t="s">
        <v>58</v>
      </c>
      <c r="N141" t="str">
        <f>IFERROR(INDEX(Katalog!$A$3:$A$12,MATCH(cadangan3[[#This Row],[ItemID B]],Katalog!$C$3:$C$12,0)),"-")</f>
        <v>Pakaian Wanita</v>
      </c>
      <c r="O141" t="str">
        <f>IFERROR(INDEX(Katalog!$B$3:$B$12,MATCH(cadangan3[[#This Row],[ItemID B]],Katalog!$C$3:$C$12,0)),"-")</f>
        <v>Dress</v>
      </c>
      <c r="P141">
        <v>1</v>
      </c>
      <c r="Q141">
        <v>3</v>
      </c>
      <c r="R141" s="36">
        <f>IFERROR(INDEX(Katalog!$D$3:$D$12,MATCH(cadangan3[[#This Row],[ItemID B]],Katalog!$C$3:$C$12,0))*cadangan3[[#This Row],[Qty B]],0)</f>
        <v>300000</v>
      </c>
      <c r="S141" s="36">
        <f>IFERROR(INDEX(Katalog!$D$3:$D$12,MATCH(cadangan3[[#This Row],[Item B]],Katalog!$B$3:$B$12,0))*cadangan3[[#This Row],[Qty B]],0)</f>
        <v>300000</v>
      </c>
      <c r="T141" s="36">
        <f>IFERROR(cadangan3[[#This Row],[Harga Asli B]]-(cadangan3[[#This Row],[Harga Asli B]]*cadangan3[[#This Row],[Diskon]]),cadangan3[[#This Row],[Harga Asli B]])</f>
        <v>255000</v>
      </c>
      <c r="U141" s="36">
        <f>IFERROR(INDEX(Katalog!$F$3:$F$12,MATCH(cadangan3[[#This Row],[ItemID B]],Katalog!$C$3:$C$12,0))*cadangan3[[#This Row],[Qty B]],0)</f>
        <v>100000</v>
      </c>
      <c r="V141" s="36">
        <f>IFERROR(cadangan3[[#This Row],[Profit B]]-(cadangan3[[#This Row],[Profit B]]*cadangan3[[#This Row],[Diskon]]),U141)</f>
        <v>85000</v>
      </c>
      <c r="W141" t="s">
        <v>66</v>
      </c>
      <c r="X141" t="str">
        <f>IFERROR(INDEX(Katalog!$A$3:$A$12,MATCH(cadangan3[[#This Row],[ItemID C]],Katalog!$C$3:$C$12,0)),"-")</f>
        <v>Sepatu Pria</v>
      </c>
      <c r="Y141" t="str">
        <f>IFERROR(INDEX(Katalog!$B$3:$B$12,MATCH(cadangan3[[#This Row],[ItemID C]],Katalog!$C$3:$C$12,0)),"-")</f>
        <v>Sandal Slip On</v>
      </c>
      <c r="Z141">
        <v>1</v>
      </c>
      <c r="AA141">
        <v>4</v>
      </c>
      <c r="AB141" s="36">
        <f>IFERROR(INDEX(Katalog!$D$3:$D$12,MATCH(cadangan3[[#This Row],[ItemID C]],Katalog!$C$3:$C$12,0))*cadangan3[[#This Row],[Qty C]],0)</f>
        <v>150000</v>
      </c>
      <c r="AC141" s="36">
        <f>IFERROR(INDEX(Katalog!$D$3:$D$12,MATCH(cadangan3[[#This Row],[Item C]],Katalog!$B$3:$B$12,0))*cadangan3[[#This Row],[Qty C]],0)</f>
        <v>150000</v>
      </c>
      <c r="AD141" s="36">
        <f>IFERROR(cadangan3[[#This Row],[Harga Asli C]]-(cadangan3[[#This Row],[Harga Asli C]]*cadangan3[[#This Row],[Diskon]]),cadangan3[[#This Row],[Harga Asli C]])</f>
        <v>127500</v>
      </c>
      <c r="AE141" s="36">
        <f>IFERROR(INDEX(Katalog!$F$3:$F$12,MATCH(cadangan3[[#This Row],[ItemID C]],Katalog!$C$3:$C$12,0))*cadangan3[[#This Row],[Qty C]],0)</f>
        <v>60000</v>
      </c>
      <c r="AF141" s="36">
        <f>IFERROR(cadangan3[[#This Row],[Profit C]]-(cadangan3[[#This Row],[Profit C]]*cadangan3[[#This Row],[Diskon]]),cadangan3[[#This Row],[Profit C]])</f>
        <v>51000</v>
      </c>
      <c r="AG141" s="21">
        <f>cadangan3[[#This Row],[Qty A]]+cadangan3[[#This Row],[Qty B]]+cadangan3[[#This Row],[Qty C]]</f>
        <v>5</v>
      </c>
      <c r="AH141" s="35">
        <f>cadangan3[[#This Row],[Harga A + Diskon]]+cadangan3[[#This Row],[Harga + Diskon B]]+cadangan3[[#This Row],[Harga + Diskon C]]</f>
        <v>765000</v>
      </c>
      <c r="AI141" s="35">
        <f>(cadangan3[[#This Row],[Profit A]]+cadangan3[[#This Row],[Profit B]]+cadangan3[[#This Row],[Profit C]])</f>
        <v>340000</v>
      </c>
      <c r="AJ141" s="35">
        <f>cadangan3[[#This Row],[Provit A + Diskon]]+cadangan3[[#This Row],[Provit B + Diskon]]+cadangan3[[#This Row],[Provit C + Diskon]]</f>
        <v>289000</v>
      </c>
      <c r="AK141" s="23" t="s">
        <v>32</v>
      </c>
      <c r="AL141" s="37">
        <f>IFERROR(INDEX('Kode Diskon'!$D$3:$D$9,MATCH(cadangan3[[#This Row],[Kode diskon]],'Kode Diskon'!$C$3:$C$9,0)),"-")</f>
        <v>0.15</v>
      </c>
      <c r="AM141" s="23" t="s">
        <v>9</v>
      </c>
      <c r="AN141" s="23" t="s">
        <v>12</v>
      </c>
      <c r="AO141" s="23" t="s">
        <v>75</v>
      </c>
      <c r="AP141" s="24">
        <v>45037</v>
      </c>
      <c r="AQ141" s="23" t="str">
        <f>TEXT(cadangan3[[#This Row],[Tanggal terjual]],"dddd")</f>
        <v>Friday</v>
      </c>
    </row>
    <row r="142" spans="1:43" x14ac:dyDescent="0.2">
      <c r="A142" s="20">
        <v>141</v>
      </c>
      <c r="B142" s="21" t="str">
        <f>_xlfn.CONCAT("ORD-",INDEX(Helper!$B$2:$B$5,MATCH(cadangan3[[#This Row],[Marketplace]],Helper!$A$2:$A$5,0)),TEXT(cadangan3[[#This Row],[No]],"0000"),"-",TEXT(cadangan3[[#This Row],[Tanggal terjual]],"dd/mm/yy"))</f>
        <v>ORD-BB0141-06/04/23</v>
      </c>
      <c r="C142" t="s">
        <v>64</v>
      </c>
      <c r="D142" t="str">
        <f>IFERROR(INDEX(Katalog!$A$3:$A$12,MATCH(cadangan3[[#This Row],[ItemID A]],Katalog!$C$3:$C$12,0)),"-")</f>
        <v>Pakaian Unisex</v>
      </c>
      <c r="E142" t="str">
        <f>IFERROR(INDEX(Katalog!$B$3:$B$12,MATCH(cadangan3[[#This Row],[ItemID A]],Katalog!$C$3:$C$12,0)),"-")</f>
        <v>Jaket Hoodie</v>
      </c>
      <c r="F142">
        <v>2</v>
      </c>
      <c r="G142">
        <v>1</v>
      </c>
      <c r="H142" s="36">
        <f>IFERROR(INDEX(Katalog!$D$3:$D$12,MATCH(cadangan3[[#This Row],[ItemID A]],Katalog!$C$3:$C$12,0))*cadangan3[[#This Row],[Qty A]],0)</f>
        <v>700000</v>
      </c>
      <c r="I142" s="36">
        <f>IFERROR(INDEX(Katalog!$D$3:$D$12,MATCH(cadangan3[[#This Row],[Item A]],Katalog!$B$3:$B$12,0))*cadangan3[[#This Row],[Qty A]],0)</f>
        <v>700000</v>
      </c>
      <c r="J142" s="36">
        <f>IFERROR(cadangan3[[#This Row],[Harga Asli A]]-(cadangan3[[#This Row],[Harga Asli A]]*cadangan3[[#This Row],[Diskon]]),cadangan3[[#This Row],[Harga Asli A]])</f>
        <v>595000</v>
      </c>
      <c r="K142" s="36">
        <f>INDEX(Katalog!$F$3:$F$12,MATCH(cadangan3[[#This Row],[ItemID A]],Katalog!$C$3:$C$12,0))*cadangan3[[#This Row],[Qty A]]</f>
        <v>260000</v>
      </c>
      <c r="L142" s="36">
        <f>IFERROR(cadangan3[[#This Row],[Profit A]]-(cadangan3[[#This Row],[Profit A]]*cadangan3[[#This Row],[Diskon]]),K142)</f>
        <v>221000</v>
      </c>
      <c r="M142" t="s">
        <v>67</v>
      </c>
      <c r="N142" t="str">
        <f>IFERROR(INDEX(Katalog!$A$3:$A$12,MATCH(cadangan3[[#This Row],[ItemID B]],Katalog!$C$3:$C$12,0)),"-")</f>
        <v>Sepatu Wanita</v>
      </c>
      <c r="O142" t="str">
        <f>IFERROR(INDEX(Katalog!$B$3:$B$12,MATCH(cadangan3[[#This Row],[ItemID B]],Katalog!$C$3:$C$12,0)),"-")</f>
        <v>Flat Shoes</v>
      </c>
      <c r="P142">
        <v>1</v>
      </c>
      <c r="Q142">
        <v>2</v>
      </c>
      <c r="R142" s="36">
        <f>IFERROR(INDEX(Katalog!$D$3:$D$12,MATCH(cadangan3[[#This Row],[ItemID B]],Katalog!$C$3:$C$12,0))*cadangan3[[#This Row],[Qty B]],0)</f>
        <v>250000</v>
      </c>
      <c r="S142" s="36">
        <f>IFERROR(INDEX(Katalog!$D$3:$D$12,MATCH(cadangan3[[#This Row],[Item B]],Katalog!$B$3:$B$12,0))*cadangan3[[#This Row],[Qty B]],0)</f>
        <v>250000</v>
      </c>
      <c r="T142" s="36">
        <f>IFERROR(cadangan3[[#This Row],[Harga Asli B]]-(cadangan3[[#This Row],[Harga Asli B]]*cadangan3[[#This Row],[Diskon]]),cadangan3[[#This Row],[Harga Asli B]])</f>
        <v>212500</v>
      </c>
      <c r="U142" s="36">
        <f>IFERROR(INDEX(Katalog!$F$3:$F$12,MATCH(cadangan3[[#This Row],[ItemID B]],Katalog!$C$3:$C$12,0))*cadangan3[[#This Row],[Qty B]],0)</f>
        <v>100000</v>
      </c>
      <c r="V142" s="36">
        <f>IFERROR(cadangan3[[#This Row],[Profit B]]-(cadangan3[[#This Row],[Profit B]]*cadangan3[[#This Row],[Diskon]]),U142)</f>
        <v>85000</v>
      </c>
      <c r="X142" t="str">
        <f>IFERROR(INDEX(Katalog!$A$3:$A$12,MATCH(cadangan3[[#This Row],[ItemID C]],Katalog!$C$3:$C$12,0)),"-")</f>
        <v>-</v>
      </c>
      <c r="Y142" t="str">
        <f>IFERROR(INDEX(Katalog!$B$3:$B$12,MATCH(cadangan3[[#This Row],[ItemID C]],Katalog!$C$3:$C$12,0)),"-")</f>
        <v>-</v>
      </c>
      <c r="AB142" s="36">
        <f>IFERROR(INDEX(Katalog!$D$3:$D$12,MATCH(cadangan3[[#This Row],[ItemID C]],Katalog!$C$3:$C$12,0))*cadangan3[[#This Row],[Qty C]],0)</f>
        <v>0</v>
      </c>
      <c r="AC142" s="36">
        <f>IFERROR(INDEX(Katalog!$D$3:$D$12,MATCH(cadangan3[[#This Row],[Item C]],Katalog!$B$3:$B$12,0))*cadangan3[[#This Row],[Qty C]],0)</f>
        <v>0</v>
      </c>
      <c r="AD142" s="36">
        <f>IFERROR(cadangan3[[#This Row],[Harga Asli C]]-(cadangan3[[#This Row],[Harga Asli C]]*cadangan3[[#This Row],[Diskon]]),cadangan3[[#This Row],[Harga Asli C]])</f>
        <v>0</v>
      </c>
      <c r="AE142" s="36">
        <f>IFERROR(INDEX(Katalog!$F$3:$F$12,MATCH(cadangan3[[#This Row],[ItemID C]],Katalog!$C$3:$C$12,0))*cadangan3[[#This Row],[Qty C]],0)</f>
        <v>0</v>
      </c>
      <c r="AF142" s="36">
        <f>IFERROR(cadangan3[[#This Row],[Profit C]]-(cadangan3[[#This Row],[Profit C]]*cadangan3[[#This Row],[Diskon]]),cadangan3[[#This Row],[Profit C]])</f>
        <v>0</v>
      </c>
      <c r="AG142" s="21">
        <f>cadangan3[[#This Row],[Qty A]]+cadangan3[[#This Row],[Qty B]]+cadangan3[[#This Row],[Qty C]]</f>
        <v>3</v>
      </c>
      <c r="AH142" s="35">
        <f>cadangan3[[#This Row],[Harga A + Diskon]]+cadangan3[[#This Row],[Harga + Diskon B]]+cadangan3[[#This Row],[Harga + Diskon C]]</f>
        <v>807500</v>
      </c>
      <c r="AI142" s="35">
        <f>(cadangan3[[#This Row],[Profit A]]+cadangan3[[#This Row],[Profit B]]+cadangan3[[#This Row],[Profit C]])</f>
        <v>360000</v>
      </c>
      <c r="AJ142" s="35">
        <f>cadangan3[[#This Row],[Provit A + Diskon]]+cadangan3[[#This Row],[Provit B + Diskon]]+cadangan3[[#This Row],[Provit C + Diskon]]</f>
        <v>306000</v>
      </c>
      <c r="AK142" s="23" t="s">
        <v>28</v>
      </c>
      <c r="AL142" s="37">
        <f>IFERROR(INDEX('Kode Diskon'!$D$3:$D$9,MATCH(cadangan3[[#This Row],[Kode diskon]],'Kode Diskon'!$C$3:$C$9,0)),"-")</f>
        <v>0.15</v>
      </c>
      <c r="AM142" s="23" t="s">
        <v>29</v>
      </c>
      <c r="AN142" s="23" t="s">
        <v>14</v>
      </c>
      <c r="AO142" s="23" t="s">
        <v>79</v>
      </c>
      <c r="AP142" s="24">
        <v>45022</v>
      </c>
      <c r="AQ142" s="23" t="str">
        <f>TEXT(cadangan3[[#This Row],[Tanggal terjual]],"dddd")</f>
        <v>Thursday</v>
      </c>
    </row>
    <row r="143" spans="1:43" x14ac:dyDescent="0.2">
      <c r="A143" s="20">
        <v>142</v>
      </c>
      <c r="B143" s="21" t="str">
        <f>_xlfn.CONCAT("ORD-",INDEX(Helper!$B$2:$B$5,MATCH(cadangan3[[#This Row],[Marketplace]],Helper!$A$2:$A$5,0)),TEXT(cadangan3[[#This Row],[No]],"0000"),"-",TEXT(cadangan3[[#This Row],[Tanggal terjual]],"dd/mm/yy"))</f>
        <v>ORD-BL0142-25/04/23</v>
      </c>
      <c r="C143" t="s">
        <v>67</v>
      </c>
      <c r="D143" t="str">
        <f>IFERROR(INDEX(Katalog!$A$3:$A$12,MATCH(cadangan3[[#This Row],[ItemID A]],Katalog!$C$3:$C$12,0)),"-")</f>
        <v>Sepatu Wanita</v>
      </c>
      <c r="E143" t="str">
        <f>IFERROR(INDEX(Katalog!$B$3:$B$12,MATCH(cadangan3[[#This Row],[ItemID A]],Katalog!$C$3:$C$12,0)),"-")</f>
        <v>Flat Shoes</v>
      </c>
      <c r="F143">
        <v>2</v>
      </c>
      <c r="G143">
        <v>1</v>
      </c>
      <c r="H143" s="36">
        <f>IFERROR(INDEX(Katalog!$D$3:$D$12,MATCH(cadangan3[[#This Row],[ItemID A]],Katalog!$C$3:$C$12,0))*cadangan3[[#This Row],[Qty A]],0)</f>
        <v>500000</v>
      </c>
      <c r="I143" s="36">
        <f>IFERROR(INDEX(Katalog!$D$3:$D$12,MATCH(cadangan3[[#This Row],[Item A]],Katalog!$B$3:$B$12,0))*cadangan3[[#This Row],[Qty A]],0)</f>
        <v>500000</v>
      </c>
      <c r="J143" s="36">
        <f>IFERROR(cadangan3[[#This Row],[Harga Asli A]]-(cadangan3[[#This Row],[Harga Asli A]]*cadangan3[[#This Row],[Diskon]]),cadangan3[[#This Row],[Harga Asli A]])</f>
        <v>425000</v>
      </c>
      <c r="K143" s="36">
        <f>INDEX(Katalog!$F$3:$F$12,MATCH(cadangan3[[#This Row],[ItemID A]],Katalog!$C$3:$C$12,0))*cadangan3[[#This Row],[Qty A]]</f>
        <v>200000</v>
      </c>
      <c r="L143" s="36">
        <f>IFERROR(cadangan3[[#This Row],[Profit A]]-(cadangan3[[#This Row],[Profit A]]*cadangan3[[#This Row],[Diskon]]),K143)</f>
        <v>170000</v>
      </c>
      <c r="M143" t="s">
        <v>64</v>
      </c>
      <c r="N143" t="str">
        <f>IFERROR(INDEX(Katalog!$A$3:$A$12,MATCH(cadangan3[[#This Row],[ItemID B]],Katalog!$C$3:$C$12,0)),"-")</f>
        <v>Pakaian Unisex</v>
      </c>
      <c r="O143" t="str">
        <f>IFERROR(INDEX(Katalog!$B$3:$B$12,MATCH(cadangan3[[#This Row],[ItemID B]],Katalog!$C$3:$C$12,0)),"-")</f>
        <v>Jaket Hoodie</v>
      </c>
      <c r="P143">
        <v>1</v>
      </c>
      <c r="Q143">
        <v>3</v>
      </c>
      <c r="R143" s="36">
        <f>IFERROR(INDEX(Katalog!$D$3:$D$12,MATCH(cadangan3[[#This Row],[ItemID B]],Katalog!$C$3:$C$12,0))*cadangan3[[#This Row],[Qty B]],0)</f>
        <v>350000</v>
      </c>
      <c r="S143" s="36">
        <f>IFERROR(INDEX(Katalog!$D$3:$D$12,MATCH(cadangan3[[#This Row],[Item B]],Katalog!$B$3:$B$12,0))*cadangan3[[#This Row],[Qty B]],0)</f>
        <v>350000</v>
      </c>
      <c r="T143" s="36">
        <f>IFERROR(cadangan3[[#This Row],[Harga Asli B]]-(cadangan3[[#This Row],[Harga Asli B]]*cadangan3[[#This Row],[Diskon]]),cadangan3[[#This Row],[Harga Asli B]])</f>
        <v>297500</v>
      </c>
      <c r="U143" s="36">
        <f>IFERROR(INDEX(Katalog!$F$3:$F$12,MATCH(cadangan3[[#This Row],[ItemID B]],Katalog!$C$3:$C$12,0))*cadangan3[[#This Row],[Qty B]],0)</f>
        <v>130000</v>
      </c>
      <c r="V143" s="36">
        <f>IFERROR(cadangan3[[#This Row],[Profit B]]-(cadangan3[[#This Row],[Profit B]]*cadangan3[[#This Row],[Diskon]]),U143)</f>
        <v>110500</v>
      </c>
      <c r="W143" t="s">
        <v>65</v>
      </c>
      <c r="X143" t="str">
        <f>IFERROR(INDEX(Katalog!$A$3:$A$12,MATCH(cadangan3[[#This Row],[ItemID C]],Katalog!$C$3:$C$12,0)),"-")</f>
        <v>Sepatu Pria</v>
      </c>
      <c r="Y143" t="str">
        <f>IFERROR(INDEX(Katalog!$B$3:$B$12,MATCH(cadangan3[[#This Row],[ItemID C]],Katalog!$C$3:$C$12,0)),"-")</f>
        <v>Sneakers</v>
      </c>
      <c r="Z143">
        <v>4</v>
      </c>
      <c r="AA143">
        <v>3</v>
      </c>
      <c r="AB143" s="36">
        <f>IFERROR(INDEX(Katalog!$D$3:$D$12,MATCH(cadangan3[[#This Row],[ItemID C]],Katalog!$C$3:$C$12,0))*cadangan3[[#This Row],[Qty C]],0)</f>
        <v>2000000</v>
      </c>
      <c r="AC143" s="36">
        <f>IFERROR(INDEX(Katalog!$D$3:$D$12,MATCH(cadangan3[[#This Row],[Item C]],Katalog!$B$3:$B$12,0))*cadangan3[[#This Row],[Qty C]],0)</f>
        <v>2000000</v>
      </c>
      <c r="AD143" s="36">
        <f>IFERROR(cadangan3[[#This Row],[Harga Asli C]]-(cadangan3[[#This Row],[Harga Asli C]]*cadangan3[[#This Row],[Diskon]]),cadangan3[[#This Row],[Harga Asli C]])</f>
        <v>1700000</v>
      </c>
      <c r="AE143" s="36">
        <f>IFERROR(INDEX(Katalog!$F$3:$F$12,MATCH(cadangan3[[#This Row],[ItemID C]],Katalog!$C$3:$C$12,0))*cadangan3[[#This Row],[Qty C]],0)</f>
        <v>800000</v>
      </c>
      <c r="AF143" s="36">
        <f>IFERROR(cadangan3[[#This Row],[Profit C]]-(cadangan3[[#This Row],[Profit C]]*cadangan3[[#This Row],[Diskon]]),cadangan3[[#This Row],[Profit C]])</f>
        <v>680000</v>
      </c>
      <c r="AG143" s="21">
        <f>cadangan3[[#This Row],[Qty A]]+cadangan3[[#This Row],[Qty B]]+cadangan3[[#This Row],[Qty C]]</f>
        <v>7</v>
      </c>
      <c r="AH143" s="35">
        <f>cadangan3[[#This Row],[Harga A + Diskon]]+cadangan3[[#This Row],[Harga + Diskon B]]+cadangan3[[#This Row],[Harga + Diskon C]]</f>
        <v>2422500</v>
      </c>
      <c r="AI143" s="35">
        <f>(cadangan3[[#This Row],[Profit A]]+cadangan3[[#This Row],[Profit B]]+cadangan3[[#This Row],[Profit C]])</f>
        <v>1130000</v>
      </c>
      <c r="AJ143" s="35">
        <f>cadangan3[[#This Row],[Provit A + Diskon]]+cadangan3[[#This Row],[Provit B + Diskon]]+cadangan3[[#This Row],[Provit C + Diskon]]</f>
        <v>960500</v>
      </c>
      <c r="AK143" s="23" t="s">
        <v>32</v>
      </c>
      <c r="AL143" s="37">
        <f>IFERROR(INDEX('Kode Diskon'!$D$3:$D$9,MATCH(cadangan3[[#This Row],[Kode diskon]],'Kode Diskon'!$C$3:$C$9,0)),"-")</f>
        <v>0.15</v>
      </c>
      <c r="AM143" s="23" t="s">
        <v>9</v>
      </c>
      <c r="AN143" s="23" t="s">
        <v>12</v>
      </c>
      <c r="AO143" s="23" t="s">
        <v>80</v>
      </c>
      <c r="AP143" s="24">
        <v>45041</v>
      </c>
      <c r="AQ143" s="23" t="str">
        <f>TEXT(cadangan3[[#This Row],[Tanggal terjual]],"dddd")</f>
        <v>Tuesday</v>
      </c>
    </row>
    <row r="144" spans="1:43" x14ac:dyDescent="0.2">
      <c r="A144" s="20">
        <v>143</v>
      </c>
      <c r="B144" s="21" t="str">
        <f>_xlfn.CONCAT("ORD-",INDEX(Helper!$B$2:$B$5,MATCH(cadangan3[[#This Row],[Marketplace]],Helper!$A$2:$A$5,0)),TEXT(cadangan3[[#This Row],[No]],"0000"),"-",TEXT(cadangan3[[#This Row],[Tanggal terjual]],"dd/mm/yy"))</f>
        <v>ORD-SP0143-18/04/23</v>
      </c>
      <c r="C144" t="s">
        <v>66</v>
      </c>
      <c r="D144" t="str">
        <f>IFERROR(INDEX(Katalog!$A$3:$A$12,MATCH(cadangan3[[#This Row],[ItemID A]],Katalog!$C$3:$C$12,0)),"-")</f>
        <v>Sepatu Pria</v>
      </c>
      <c r="E144" t="str">
        <f>IFERROR(INDEX(Katalog!$B$3:$B$12,MATCH(cadangan3[[#This Row],[ItemID A]],Katalog!$C$3:$C$12,0)),"-")</f>
        <v>Sandal Slip On</v>
      </c>
      <c r="F144">
        <v>2</v>
      </c>
      <c r="G144">
        <v>5</v>
      </c>
      <c r="H144" s="36">
        <f>IFERROR(INDEX(Katalog!$D$3:$D$12,MATCH(cadangan3[[#This Row],[ItemID A]],Katalog!$C$3:$C$12,0))*cadangan3[[#This Row],[Qty A]],0)</f>
        <v>300000</v>
      </c>
      <c r="I144" s="36">
        <f>IFERROR(INDEX(Katalog!$D$3:$D$12,MATCH(cadangan3[[#This Row],[Item A]],Katalog!$B$3:$B$12,0))*cadangan3[[#This Row],[Qty A]],0)</f>
        <v>300000</v>
      </c>
      <c r="J144" s="36">
        <f>IFERROR(cadangan3[[#This Row],[Harga Asli A]]-(cadangan3[[#This Row],[Harga Asli A]]*cadangan3[[#This Row],[Diskon]]),cadangan3[[#This Row],[Harga Asli A]])</f>
        <v>240000</v>
      </c>
      <c r="K144" s="36">
        <f>INDEX(Katalog!$F$3:$F$12,MATCH(cadangan3[[#This Row],[ItemID A]],Katalog!$C$3:$C$12,0))*cadangan3[[#This Row],[Qty A]]</f>
        <v>120000</v>
      </c>
      <c r="L144" s="36">
        <f>IFERROR(cadangan3[[#This Row],[Profit A]]-(cadangan3[[#This Row],[Profit A]]*cadangan3[[#This Row],[Diskon]]),K144)</f>
        <v>96000</v>
      </c>
      <c r="M144" t="s">
        <v>62</v>
      </c>
      <c r="N144" t="str">
        <f>IFERROR(INDEX(Katalog!$A$3:$A$12,MATCH(cadangan3[[#This Row],[ItemID B]],Katalog!$C$3:$C$12,0)),"-")</f>
        <v>Pakaian Pria</v>
      </c>
      <c r="O144" t="str">
        <f>IFERROR(INDEX(Katalog!$B$3:$B$12,MATCH(cadangan3[[#This Row],[ItemID B]],Katalog!$C$3:$C$12,0)),"-")</f>
        <v>Celana Pendek</v>
      </c>
      <c r="P144">
        <v>3</v>
      </c>
      <c r="Q144">
        <v>5</v>
      </c>
      <c r="R144" s="36">
        <f>IFERROR(INDEX(Katalog!$D$3:$D$12,MATCH(cadangan3[[#This Row],[ItemID B]],Katalog!$C$3:$C$12,0))*cadangan3[[#This Row],[Qty B]],0)</f>
        <v>540000</v>
      </c>
      <c r="S144" s="36">
        <f>IFERROR(INDEX(Katalog!$D$3:$D$12,MATCH(cadangan3[[#This Row],[Item B]],Katalog!$B$3:$B$12,0))*cadangan3[[#This Row],[Qty B]],0)</f>
        <v>540000</v>
      </c>
      <c r="T144" s="36">
        <f>IFERROR(cadangan3[[#This Row],[Harga Asli B]]-(cadangan3[[#This Row],[Harga Asli B]]*cadangan3[[#This Row],[Diskon]]),cadangan3[[#This Row],[Harga Asli B]])</f>
        <v>432000</v>
      </c>
      <c r="U144" s="36">
        <f>IFERROR(INDEX(Katalog!$F$3:$F$12,MATCH(cadangan3[[#This Row],[ItemID B]],Katalog!$C$3:$C$12,0))*cadangan3[[#This Row],[Qty B]],0)</f>
        <v>210000</v>
      </c>
      <c r="V144" s="36">
        <f>IFERROR(cadangan3[[#This Row],[Profit B]]-(cadangan3[[#This Row],[Profit B]]*cadangan3[[#This Row],[Diskon]]),U144)</f>
        <v>168000</v>
      </c>
      <c r="X144" t="str">
        <f>IFERROR(INDEX(Katalog!$A$3:$A$12,MATCH(cadangan3[[#This Row],[ItemID C]],Katalog!$C$3:$C$12,0)),"-")</f>
        <v>-</v>
      </c>
      <c r="Y144" t="str">
        <f>IFERROR(INDEX(Katalog!$B$3:$B$12,MATCH(cadangan3[[#This Row],[ItemID C]],Katalog!$C$3:$C$12,0)),"-")</f>
        <v>-</v>
      </c>
      <c r="AB144" s="36">
        <f>IFERROR(INDEX(Katalog!$D$3:$D$12,MATCH(cadangan3[[#This Row],[ItemID C]],Katalog!$C$3:$C$12,0))*cadangan3[[#This Row],[Qty C]],0)</f>
        <v>0</v>
      </c>
      <c r="AC144" s="36">
        <f>IFERROR(INDEX(Katalog!$D$3:$D$12,MATCH(cadangan3[[#This Row],[Item C]],Katalog!$B$3:$B$12,0))*cadangan3[[#This Row],[Qty C]],0)</f>
        <v>0</v>
      </c>
      <c r="AD144" s="36">
        <f>IFERROR(cadangan3[[#This Row],[Harga Asli C]]-(cadangan3[[#This Row],[Harga Asli C]]*cadangan3[[#This Row],[Diskon]]),cadangan3[[#This Row],[Harga Asli C]])</f>
        <v>0</v>
      </c>
      <c r="AE144" s="36">
        <f>IFERROR(INDEX(Katalog!$F$3:$F$12,MATCH(cadangan3[[#This Row],[ItemID C]],Katalog!$C$3:$C$12,0))*cadangan3[[#This Row],[Qty C]],0)</f>
        <v>0</v>
      </c>
      <c r="AF144" s="36">
        <f>IFERROR(cadangan3[[#This Row],[Profit C]]-(cadangan3[[#This Row],[Profit C]]*cadangan3[[#This Row],[Diskon]]),cadangan3[[#This Row],[Profit C]])</f>
        <v>0</v>
      </c>
      <c r="AG144" s="21">
        <f>cadangan3[[#This Row],[Qty A]]+cadangan3[[#This Row],[Qty B]]+cadangan3[[#This Row],[Qty C]]</f>
        <v>5</v>
      </c>
      <c r="AH144" s="35">
        <f>cadangan3[[#This Row],[Harga A + Diskon]]+cadangan3[[#This Row],[Harga + Diskon B]]+cadangan3[[#This Row],[Harga + Diskon C]]</f>
        <v>672000</v>
      </c>
      <c r="AI144" s="35">
        <f>(cadangan3[[#This Row],[Profit A]]+cadangan3[[#This Row],[Profit B]]+cadangan3[[#This Row],[Profit C]])</f>
        <v>330000</v>
      </c>
      <c r="AJ144" s="35">
        <f>cadangan3[[#This Row],[Provit A + Diskon]]+cadangan3[[#This Row],[Provit B + Diskon]]+cadangan3[[#This Row],[Provit C + Diskon]]</f>
        <v>264000</v>
      </c>
      <c r="AK144" s="23" t="s">
        <v>8</v>
      </c>
      <c r="AL144" s="37">
        <f>IFERROR(INDEX('Kode Diskon'!$D$3:$D$9,MATCH(cadangan3[[#This Row],[Kode diskon]],'Kode Diskon'!$C$3:$C$9,0)),"-")</f>
        <v>0.2</v>
      </c>
      <c r="AM144" s="23" t="s">
        <v>9</v>
      </c>
      <c r="AN144" s="23" t="s">
        <v>7</v>
      </c>
      <c r="AO144" s="23" t="s">
        <v>80</v>
      </c>
      <c r="AP144" s="24">
        <v>45034</v>
      </c>
      <c r="AQ144" s="23" t="str">
        <f>TEXT(cadangan3[[#This Row],[Tanggal terjual]],"dddd")</f>
        <v>Tuesday</v>
      </c>
    </row>
    <row r="145" spans="1:43" x14ac:dyDescent="0.2">
      <c r="A145" s="20">
        <v>144</v>
      </c>
      <c r="B145" s="21" t="str">
        <f>_xlfn.CONCAT("ORD-",INDEX(Helper!$B$2:$B$5,MATCH(cadangan3[[#This Row],[Marketplace]],Helper!$A$2:$A$5,0)),TEXT(cadangan3[[#This Row],[No]],"0000"),"-",TEXT(cadangan3[[#This Row],[Tanggal terjual]],"dd/mm/yy"))</f>
        <v>ORD-BL0144-23/04/23</v>
      </c>
      <c r="C145" t="s">
        <v>64</v>
      </c>
      <c r="D145" t="str">
        <f>IFERROR(INDEX(Katalog!$A$3:$A$12,MATCH(cadangan3[[#This Row],[ItemID A]],Katalog!$C$3:$C$12,0)),"-")</f>
        <v>Pakaian Unisex</v>
      </c>
      <c r="E145" t="str">
        <f>IFERROR(INDEX(Katalog!$B$3:$B$12,MATCH(cadangan3[[#This Row],[ItemID A]],Katalog!$C$3:$C$12,0)),"-")</f>
        <v>Jaket Hoodie</v>
      </c>
      <c r="F145">
        <v>1</v>
      </c>
      <c r="G145">
        <v>1</v>
      </c>
      <c r="H145" s="36">
        <f>IFERROR(INDEX(Katalog!$D$3:$D$12,MATCH(cadangan3[[#This Row],[ItemID A]],Katalog!$C$3:$C$12,0))*cadangan3[[#This Row],[Qty A]],0)</f>
        <v>350000</v>
      </c>
      <c r="I145" s="36">
        <f>IFERROR(INDEX(Katalog!$D$3:$D$12,MATCH(cadangan3[[#This Row],[Item A]],Katalog!$B$3:$B$12,0))*cadangan3[[#This Row],[Qty A]],0)</f>
        <v>350000</v>
      </c>
      <c r="J145" s="36">
        <f>IFERROR(cadangan3[[#This Row],[Harga Asli A]]-(cadangan3[[#This Row],[Harga Asli A]]*cadangan3[[#This Row],[Diskon]]),cadangan3[[#This Row],[Harga Asli A]])</f>
        <v>297500</v>
      </c>
      <c r="K145" s="36">
        <f>INDEX(Katalog!$F$3:$F$12,MATCH(cadangan3[[#This Row],[ItemID A]],Katalog!$C$3:$C$12,0))*cadangan3[[#This Row],[Qty A]]</f>
        <v>130000</v>
      </c>
      <c r="L145" s="36">
        <f>IFERROR(cadangan3[[#This Row],[Profit A]]-(cadangan3[[#This Row],[Profit A]]*cadangan3[[#This Row],[Diskon]]),K145)</f>
        <v>110500</v>
      </c>
      <c r="N145" t="str">
        <f>IFERROR(INDEX(Katalog!$A$3:$A$12,MATCH(cadangan3[[#This Row],[ItemID B]],Katalog!$C$3:$C$12,0)),"-")</f>
        <v>-</v>
      </c>
      <c r="O145" t="str">
        <f>IFERROR(INDEX(Katalog!$B$3:$B$12,MATCH(cadangan3[[#This Row],[ItemID B]],Katalog!$C$3:$C$12,0)),"-")</f>
        <v>-</v>
      </c>
      <c r="R145" s="36">
        <f>IFERROR(INDEX(Katalog!$D$3:$D$12,MATCH(cadangan3[[#This Row],[ItemID B]],Katalog!$C$3:$C$12,0))*cadangan3[[#This Row],[Qty B]],0)</f>
        <v>0</v>
      </c>
      <c r="S145" s="36">
        <f>IFERROR(INDEX(Katalog!$D$3:$D$12,MATCH(cadangan3[[#This Row],[Item B]],Katalog!$B$3:$B$12,0))*cadangan3[[#This Row],[Qty B]],0)</f>
        <v>0</v>
      </c>
      <c r="T145" s="36">
        <f>IFERROR(cadangan3[[#This Row],[Harga Asli B]]-(cadangan3[[#This Row],[Harga Asli B]]*cadangan3[[#This Row],[Diskon]]),cadangan3[[#This Row],[Harga Asli B]])</f>
        <v>0</v>
      </c>
      <c r="U145" s="36">
        <f>IFERROR(INDEX(Katalog!$F$3:$F$12,MATCH(cadangan3[[#This Row],[ItemID B]],Katalog!$C$3:$C$12,0))*cadangan3[[#This Row],[Qty B]],0)</f>
        <v>0</v>
      </c>
      <c r="V145" s="36">
        <f>IFERROR(cadangan3[[#This Row],[Profit B]]-(cadangan3[[#This Row],[Profit B]]*cadangan3[[#This Row],[Diskon]]),U145)</f>
        <v>0</v>
      </c>
      <c r="X145" t="str">
        <f>IFERROR(INDEX(Katalog!$A$3:$A$12,MATCH(cadangan3[[#This Row],[ItemID C]],Katalog!$C$3:$C$12,0)),"-")</f>
        <v>-</v>
      </c>
      <c r="Y145" t="str">
        <f>IFERROR(INDEX(Katalog!$B$3:$B$12,MATCH(cadangan3[[#This Row],[ItemID C]],Katalog!$C$3:$C$12,0)),"-")</f>
        <v>-</v>
      </c>
      <c r="AB145" s="36">
        <f>IFERROR(INDEX(Katalog!$D$3:$D$12,MATCH(cadangan3[[#This Row],[ItemID C]],Katalog!$C$3:$C$12,0))*cadangan3[[#This Row],[Qty C]],0)</f>
        <v>0</v>
      </c>
      <c r="AC145" s="36">
        <f>IFERROR(INDEX(Katalog!$D$3:$D$12,MATCH(cadangan3[[#This Row],[Item C]],Katalog!$B$3:$B$12,0))*cadangan3[[#This Row],[Qty C]],0)</f>
        <v>0</v>
      </c>
      <c r="AD145" s="36">
        <f>IFERROR(cadangan3[[#This Row],[Harga Asli C]]-(cadangan3[[#This Row],[Harga Asli C]]*cadangan3[[#This Row],[Diskon]]),cadangan3[[#This Row],[Harga Asli C]])</f>
        <v>0</v>
      </c>
      <c r="AE145" s="36">
        <f>IFERROR(INDEX(Katalog!$F$3:$F$12,MATCH(cadangan3[[#This Row],[ItemID C]],Katalog!$C$3:$C$12,0))*cadangan3[[#This Row],[Qty C]],0)</f>
        <v>0</v>
      </c>
      <c r="AF145" s="36">
        <f>IFERROR(cadangan3[[#This Row],[Profit C]]-(cadangan3[[#This Row],[Profit C]]*cadangan3[[#This Row],[Diskon]]),cadangan3[[#This Row],[Profit C]])</f>
        <v>0</v>
      </c>
      <c r="AG145" s="21">
        <f>cadangan3[[#This Row],[Qty A]]+cadangan3[[#This Row],[Qty B]]+cadangan3[[#This Row],[Qty C]]</f>
        <v>1</v>
      </c>
      <c r="AH145" s="35">
        <f>cadangan3[[#This Row],[Harga A + Diskon]]+cadangan3[[#This Row],[Harga + Diskon B]]+cadangan3[[#This Row],[Harga + Diskon C]]</f>
        <v>297500</v>
      </c>
      <c r="AI145" s="35">
        <f>(cadangan3[[#This Row],[Profit A]]+cadangan3[[#This Row],[Profit B]]+cadangan3[[#This Row],[Profit C]])</f>
        <v>130000</v>
      </c>
      <c r="AJ145" s="35">
        <f>cadangan3[[#This Row],[Provit A + Diskon]]+cadangan3[[#This Row],[Provit B + Diskon]]+cadangan3[[#This Row],[Provit C + Diskon]]</f>
        <v>110500</v>
      </c>
      <c r="AK145" s="23" t="s">
        <v>32</v>
      </c>
      <c r="AL145" s="37">
        <f>IFERROR(INDEX('Kode Diskon'!$D$3:$D$9,MATCH(cadangan3[[#This Row],[Kode diskon]],'Kode Diskon'!$C$3:$C$9,0)),"-")</f>
        <v>0.15</v>
      </c>
      <c r="AM145" s="23" t="s">
        <v>9</v>
      </c>
      <c r="AN145" s="23" t="s">
        <v>12</v>
      </c>
      <c r="AO145" s="23" t="s">
        <v>76</v>
      </c>
      <c r="AP145" s="24">
        <v>45039</v>
      </c>
      <c r="AQ145" s="23" t="str">
        <f>TEXT(cadangan3[[#This Row],[Tanggal terjual]],"dddd")</f>
        <v>Sunday</v>
      </c>
    </row>
    <row r="146" spans="1:43" x14ac:dyDescent="0.2">
      <c r="A146" s="20">
        <v>145</v>
      </c>
      <c r="B146" s="21" t="str">
        <f>_xlfn.CONCAT("ORD-",INDEX(Helper!$B$2:$B$5,MATCH(cadangan3[[#This Row],[Marketplace]],Helper!$A$2:$A$5,0)),TEXT(cadangan3[[#This Row],[No]],"0000"),"-",TEXT(cadangan3[[#This Row],[Tanggal terjual]],"dd/mm/yy"))</f>
        <v>ORD-SP0145-04/04/23</v>
      </c>
      <c r="C146" t="s">
        <v>66</v>
      </c>
      <c r="D146" t="str">
        <f>IFERROR(INDEX(Katalog!$A$3:$A$12,MATCH(cadangan3[[#This Row],[ItemID A]],Katalog!$C$3:$C$12,0)),"-")</f>
        <v>Sepatu Pria</v>
      </c>
      <c r="E146" t="str">
        <f>IFERROR(INDEX(Katalog!$B$3:$B$12,MATCH(cadangan3[[#This Row],[ItemID A]],Katalog!$C$3:$C$12,0)),"-")</f>
        <v>Sandal Slip On</v>
      </c>
      <c r="F146">
        <v>3</v>
      </c>
      <c r="G146">
        <v>4</v>
      </c>
      <c r="H146" s="36">
        <f>IFERROR(INDEX(Katalog!$D$3:$D$12,MATCH(cadangan3[[#This Row],[ItemID A]],Katalog!$C$3:$C$12,0))*cadangan3[[#This Row],[Qty A]],0)</f>
        <v>450000</v>
      </c>
      <c r="I146" s="36">
        <f>IFERROR(INDEX(Katalog!$D$3:$D$12,MATCH(cadangan3[[#This Row],[Item A]],Katalog!$B$3:$B$12,0))*cadangan3[[#This Row],[Qty A]],0)</f>
        <v>450000</v>
      </c>
      <c r="J146" s="36">
        <f>IFERROR(cadangan3[[#This Row],[Harga Asli A]]-(cadangan3[[#This Row],[Harga Asli A]]*cadangan3[[#This Row],[Diskon]]),cadangan3[[#This Row],[Harga Asli A]])</f>
        <v>405000</v>
      </c>
      <c r="K146" s="36">
        <f>INDEX(Katalog!$F$3:$F$12,MATCH(cadangan3[[#This Row],[ItemID A]],Katalog!$C$3:$C$12,0))*cadangan3[[#This Row],[Qty A]]</f>
        <v>180000</v>
      </c>
      <c r="L146" s="36">
        <f>IFERROR(cadangan3[[#This Row],[Profit A]]-(cadangan3[[#This Row],[Profit A]]*cadangan3[[#This Row],[Diskon]]),K146)</f>
        <v>162000</v>
      </c>
      <c r="M146" t="s">
        <v>66</v>
      </c>
      <c r="N146" t="str">
        <f>IFERROR(INDEX(Katalog!$A$3:$A$12,MATCH(cadangan3[[#This Row],[ItemID B]],Katalog!$C$3:$C$12,0)),"-")</f>
        <v>Sepatu Pria</v>
      </c>
      <c r="O146" t="str">
        <f>IFERROR(INDEX(Katalog!$B$3:$B$12,MATCH(cadangan3[[#This Row],[ItemID B]],Katalog!$C$3:$C$12,0)),"-")</f>
        <v>Sandal Slip On</v>
      </c>
      <c r="P146">
        <v>3</v>
      </c>
      <c r="Q146">
        <v>2</v>
      </c>
      <c r="R146" s="36">
        <f>IFERROR(INDEX(Katalog!$D$3:$D$12,MATCH(cadangan3[[#This Row],[ItemID B]],Katalog!$C$3:$C$12,0))*cadangan3[[#This Row],[Qty B]],0)</f>
        <v>450000</v>
      </c>
      <c r="S146" s="36">
        <f>IFERROR(INDEX(Katalog!$D$3:$D$12,MATCH(cadangan3[[#This Row],[Item B]],Katalog!$B$3:$B$12,0))*cadangan3[[#This Row],[Qty B]],0)</f>
        <v>450000</v>
      </c>
      <c r="T146" s="36">
        <f>IFERROR(cadangan3[[#This Row],[Harga Asli B]]-(cadangan3[[#This Row],[Harga Asli B]]*cadangan3[[#This Row],[Diskon]]),cadangan3[[#This Row],[Harga Asli B]])</f>
        <v>405000</v>
      </c>
      <c r="U146" s="36">
        <f>IFERROR(INDEX(Katalog!$F$3:$F$12,MATCH(cadangan3[[#This Row],[ItemID B]],Katalog!$C$3:$C$12,0))*cadangan3[[#This Row],[Qty B]],0)</f>
        <v>180000</v>
      </c>
      <c r="V146" s="36">
        <f>IFERROR(cadangan3[[#This Row],[Profit B]]-(cadangan3[[#This Row],[Profit B]]*cadangan3[[#This Row],[Diskon]]),U146)</f>
        <v>162000</v>
      </c>
      <c r="W146" t="s">
        <v>59</v>
      </c>
      <c r="X146" t="str">
        <f>IFERROR(INDEX(Katalog!$A$3:$A$12,MATCH(cadangan3[[#This Row],[ItemID C]],Katalog!$C$3:$C$12,0)),"-")</f>
        <v>Pakaian Wanita</v>
      </c>
      <c r="Y146" t="str">
        <f>IFERROR(INDEX(Katalog!$B$3:$B$12,MATCH(cadangan3[[#This Row],[ItemID C]],Katalog!$C$3:$C$12,0)),"-")</f>
        <v>Blouse</v>
      </c>
      <c r="Z146">
        <v>1</v>
      </c>
      <c r="AA146">
        <v>5</v>
      </c>
      <c r="AB146" s="36">
        <f>IFERROR(INDEX(Katalog!$D$3:$D$12,MATCH(cadangan3[[#This Row],[ItemID C]],Katalog!$C$3:$C$12,0))*cadangan3[[#This Row],[Qty C]],0)</f>
        <v>150000</v>
      </c>
      <c r="AC146" s="36">
        <f>IFERROR(INDEX(Katalog!$D$3:$D$12,MATCH(cadangan3[[#This Row],[Item C]],Katalog!$B$3:$B$12,0))*cadangan3[[#This Row],[Qty C]],0)</f>
        <v>150000</v>
      </c>
      <c r="AD146" s="36">
        <f>IFERROR(cadangan3[[#This Row],[Harga Asli C]]-(cadangan3[[#This Row],[Harga Asli C]]*cadangan3[[#This Row],[Diskon]]),cadangan3[[#This Row],[Harga Asli C]])</f>
        <v>135000</v>
      </c>
      <c r="AE146" s="36">
        <f>IFERROR(INDEX(Katalog!$F$3:$F$12,MATCH(cadangan3[[#This Row],[ItemID C]],Katalog!$C$3:$C$12,0))*cadangan3[[#This Row],[Qty C]],0)</f>
        <v>50000</v>
      </c>
      <c r="AF146" s="36">
        <f>IFERROR(cadangan3[[#This Row],[Profit C]]-(cadangan3[[#This Row],[Profit C]]*cadangan3[[#This Row],[Diskon]]),cadangan3[[#This Row],[Profit C]])</f>
        <v>45000</v>
      </c>
      <c r="AG146" s="21">
        <f>cadangan3[[#This Row],[Qty A]]+cadangan3[[#This Row],[Qty B]]+cadangan3[[#This Row],[Qty C]]</f>
        <v>7</v>
      </c>
      <c r="AH146" s="35">
        <f>cadangan3[[#This Row],[Harga A + Diskon]]+cadangan3[[#This Row],[Harga + Diskon B]]+cadangan3[[#This Row],[Harga + Diskon C]]</f>
        <v>945000</v>
      </c>
      <c r="AI146" s="35">
        <f>(cadangan3[[#This Row],[Profit A]]+cadangan3[[#This Row],[Profit B]]+cadangan3[[#This Row],[Profit C]])</f>
        <v>410000</v>
      </c>
      <c r="AJ146" s="35">
        <f>cadangan3[[#This Row],[Provit A + Diskon]]+cadangan3[[#This Row],[Provit B + Diskon]]+cadangan3[[#This Row],[Provit C + Diskon]]</f>
        <v>369000</v>
      </c>
      <c r="AK146" s="23" t="s">
        <v>6</v>
      </c>
      <c r="AL146" s="37">
        <f>IFERROR(INDEX('Kode Diskon'!$D$3:$D$9,MATCH(cadangan3[[#This Row],[Kode diskon]],'Kode Diskon'!$C$3:$C$9,0)),"-")</f>
        <v>0.1</v>
      </c>
      <c r="AM146" s="23" t="s">
        <v>29</v>
      </c>
      <c r="AN146" s="23" t="s">
        <v>7</v>
      </c>
      <c r="AO146" s="23" t="s">
        <v>80</v>
      </c>
      <c r="AP146" s="24">
        <v>45020</v>
      </c>
      <c r="AQ146" s="23" t="str">
        <f>TEXT(cadangan3[[#This Row],[Tanggal terjual]],"dddd")</f>
        <v>Tuesday</v>
      </c>
    </row>
    <row r="147" spans="1:43" x14ac:dyDescent="0.2">
      <c r="A147" s="20">
        <v>146</v>
      </c>
      <c r="B147" s="21" t="str">
        <f>_xlfn.CONCAT("ORD-",INDEX(Helper!$B$2:$B$5,MATCH(cadangan3[[#This Row],[Marketplace]],Helper!$A$2:$A$5,0)),TEXT(cadangan3[[#This Row],[No]],"0000"),"-",TEXT(cadangan3[[#This Row],[Tanggal terjual]],"dd/mm/yy"))</f>
        <v>ORD-TK0146-26/04/23</v>
      </c>
      <c r="C147" t="s">
        <v>59</v>
      </c>
      <c r="D147" t="str">
        <f>IFERROR(INDEX(Katalog!$A$3:$A$12,MATCH(cadangan3[[#This Row],[ItemID A]],Katalog!$C$3:$C$12,0)),"-")</f>
        <v>Pakaian Wanita</v>
      </c>
      <c r="E147" t="str">
        <f>IFERROR(INDEX(Katalog!$B$3:$B$12,MATCH(cadangan3[[#This Row],[ItemID A]],Katalog!$C$3:$C$12,0)),"-")</f>
        <v>Blouse</v>
      </c>
      <c r="F147">
        <v>6</v>
      </c>
      <c r="G147">
        <v>1</v>
      </c>
      <c r="H147" s="36">
        <f>IFERROR(INDEX(Katalog!$D$3:$D$12,MATCH(cadangan3[[#This Row],[ItemID A]],Katalog!$C$3:$C$12,0))*cadangan3[[#This Row],[Qty A]],0)</f>
        <v>900000</v>
      </c>
      <c r="I147" s="36">
        <f>IFERROR(INDEX(Katalog!$D$3:$D$12,MATCH(cadangan3[[#This Row],[Item A]],Katalog!$B$3:$B$12,0))*cadangan3[[#This Row],[Qty A]],0)</f>
        <v>900000</v>
      </c>
      <c r="J147" s="36">
        <f>IFERROR(cadangan3[[#This Row],[Harga Asli A]]-(cadangan3[[#This Row],[Harga Asli A]]*cadangan3[[#This Row],[Diskon]]),cadangan3[[#This Row],[Harga Asli A]])</f>
        <v>810000</v>
      </c>
      <c r="K147" s="36">
        <f>INDEX(Katalog!$F$3:$F$12,MATCH(cadangan3[[#This Row],[ItemID A]],Katalog!$C$3:$C$12,0))*cadangan3[[#This Row],[Qty A]]</f>
        <v>300000</v>
      </c>
      <c r="L147" s="36">
        <f>IFERROR(cadangan3[[#This Row],[Profit A]]-(cadangan3[[#This Row],[Profit A]]*cadangan3[[#This Row],[Diskon]]),K147)</f>
        <v>270000</v>
      </c>
      <c r="M147" t="s">
        <v>60</v>
      </c>
      <c r="N147" t="str">
        <f>IFERROR(INDEX(Katalog!$A$3:$A$12,MATCH(cadangan3[[#This Row],[ItemID B]],Katalog!$C$3:$C$12,0)),"-")</f>
        <v>Pakaian Wanita</v>
      </c>
      <c r="O147" t="str">
        <f>IFERROR(INDEX(Katalog!$B$3:$B$12,MATCH(cadangan3[[#This Row],[ItemID B]],Katalog!$C$3:$C$12,0)),"-")</f>
        <v>Kaftan</v>
      </c>
      <c r="P147">
        <v>1</v>
      </c>
      <c r="Q147">
        <v>3</v>
      </c>
      <c r="R147" s="36">
        <f>IFERROR(INDEX(Katalog!$D$3:$D$12,MATCH(cadangan3[[#This Row],[ItemID B]],Katalog!$C$3:$C$12,0))*cadangan3[[#This Row],[Qty B]],0)</f>
        <v>250000</v>
      </c>
      <c r="S147" s="36">
        <f>IFERROR(INDEX(Katalog!$D$3:$D$12,MATCH(cadangan3[[#This Row],[Item B]],Katalog!$B$3:$B$12,0))*cadangan3[[#This Row],[Qty B]],0)</f>
        <v>250000</v>
      </c>
      <c r="T147" s="36">
        <f>IFERROR(cadangan3[[#This Row],[Harga Asli B]]-(cadangan3[[#This Row],[Harga Asli B]]*cadangan3[[#This Row],[Diskon]]),cadangan3[[#This Row],[Harga Asli B]])</f>
        <v>225000</v>
      </c>
      <c r="U147" s="36">
        <f>IFERROR(INDEX(Katalog!$F$3:$F$12,MATCH(cadangan3[[#This Row],[ItemID B]],Katalog!$C$3:$C$12,0))*cadangan3[[#This Row],[Qty B]],0)</f>
        <v>100000</v>
      </c>
      <c r="V147" s="36">
        <f>IFERROR(cadangan3[[#This Row],[Profit B]]-(cadangan3[[#This Row],[Profit B]]*cadangan3[[#This Row],[Diskon]]),U147)</f>
        <v>90000</v>
      </c>
      <c r="X147" t="str">
        <f>IFERROR(INDEX(Katalog!$A$3:$A$12,MATCH(cadangan3[[#This Row],[ItemID C]],Katalog!$C$3:$C$12,0)),"-")</f>
        <v>-</v>
      </c>
      <c r="Y147" t="str">
        <f>IFERROR(INDEX(Katalog!$B$3:$B$12,MATCH(cadangan3[[#This Row],[ItemID C]],Katalog!$C$3:$C$12,0)),"-")</f>
        <v>-</v>
      </c>
      <c r="AB147" s="36">
        <f>IFERROR(INDEX(Katalog!$D$3:$D$12,MATCH(cadangan3[[#This Row],[ItemID C]],Katalog!$C$3:$C$12,0))*cadangan3[[#This Row],[Qty C]],0)</f>
        <v>0</v>
      </c>
      <c r="AC147" s="36">
        <f>IFERROR(INDEX(Katalog!$D$3:$D$12,MATCH(cadangan3[[#This Row],[Item C]],Katalog!$B$3:$B$12,0))*cadangan3[[#This Row],[Qty C]],0)</f>
        <v>0</v>
      </c>
      <c r="AD147" s="36">
        <f>IFERROR(cadangan3[[#This Row],[Harga Asli C]]-(cadangan3[[#This Row],[Harga Asli C]]*cadangan3[[#This Row],[Diskon]]),cadangan3[[#This Row],[Harga Asli C]])</f>
        <v>0</v>
      </c>
      <c r="AE147" s="36">
        <f>IFERROR(INDEX(Katalog!$F$3:$F$12,MATCH(cadangan3[[#This Row],[ItemID C]],Katalog!$C$3:$C$12,0))*cadangan3[[#This Row],[Qty C]],0)</f>
        <v>0</v>
      </c>
      <c r="AF147" s="36">
        <f>IFERROR(cadangan3[[#This Row],[Profit C]]-(cadangan3[[#This Row],[Profit C]]*cadangan3[[#This Row],[Diskon]]),cadangan3[[#This Row],[Profit C]])</f>
        <v>0</v>
      </c>
      <c r="AG147" s="21">
        <f>cadangan3[[#This Row],[Qty A]]+cadangan3[[#This Row],[Qty B]]+cadangan3[[#This Row],[Qty C]]</f>
        <v>7</v>
      </c>
      <c r="AH147" s="35">
        <f>cadangan3[[#This Row],[Harga A + Diskon]]+cadangan3[[#This Row],[Harga + Diskon B]]+cadangan3[[#This Row],[Harga + Diskon C]]</f>
        <v>1035000</v>
      </c>
      <c r="AI147" s="35">
        <f>(cadangan3[[#This Row],[Profit A]]+cadangan3[[#This Row],[Profit B]]+cadangan3[[#This Row],[Profit C]])</f>
        <v>400000</v>
      </c>
      <c r="AJ147" s="35">
        <f>cadangan3[[#This Row],[Provit A + Diskon]]+cadangan3[[#This Row],[Provit B + Diskon]]+cadangan3[[#This Row],[Provit C + Diskon]]</f>
        <v>360000</v>
      </c>
      <c r="AK147" s="23" t="s">
        <v>31</v>
      </c>
      <c r="AL147" s="37">
        <f>IFERROR(INDEX('Kode Diskon'!$D$3:$D$9,MATCH(cadangan3[[#This Row],[Kode diskon]],'Kode Diskon'!$C$3:$C$9,0)),"-")</f>
        <v>0.1</v>
      </c>
      <c r="AM147" s="23" t="s">
        <v>9</v>
      </c>
      <c r="AN147" s="23" t="s">
        <v>10</v>
      </c>
      <c r="AO147" s="23" t="s">
        <v>80</v>
      </c>
      <c r="AP147" s="24">
        <v>45042</v>
      </c>
      <c r="AQ147" s="23" t="str">
        <f>TEXT(cadangan3[[#This Row],[Tanggal terjual]],"dddd")</f>
        <v>Wednesday</v>
      </c>
    </row>
    <row r="148" spans="1:43" x14ac:dyDescent="0.2">
      <c r="A148" s="20">
        <v>147</v>
      </c>
      <c r="B148" s="21" t="str">
        <f>_xlfn.CONCAT("ORD-",INDEX(Helper!$B$2:$B$5,MATCH(cadangan3[[#This Row],[Marketplace]],Helper!$A$2:$A$5,0)),TEXT(cadangan3[[#This Row],[No]],"0000"),"-",TEXT(cadangan3[[#This Row],[Tanggal terjual]],"dd/mm/yy"))</f>
        <v>ORD-SP0147-06/04/23</v>
      </c>
      <c r="C148" t="s">
        <v>60</v>
      </c>
      <c r="D148" t="str">
        <f>IFERROR(INDEX(Katalog!$A$3:$A$12,MATCH(cadangan3[[#This Row],[ItemID A]],Katalog!$C$3:$C$12,0)),"-")</f>
        <v>Pakaian Wanita</v>
      </c>
      <c r="E148" t="str">
        <f>IFERROR(INDEX(Katalog!$B$3:$B$12,MATCH(cadangan3[[#This Row],[ItemID A]],Katalog!$C$3:$C$12,0)),"-")</f>
        <v>Kaftan</v>
      </c>
      <c r="F148">
        <v>2</v>
      </c>
      <c r="G148">
        <v>5</v>
      </c>
      <c r="H148" s="36">
        <f>IFERROR(INDEX(Katalog!$D$3:$D$12,MATCH(cadangan3[[#This Row],[ItemID A]],Katalog!$C$3:$C$12,0))*cadangan3[[#This Row],[Qty A]],0)</f>
        <v>500000</v>
      </c>
      <c r="I148" s="36">
        <f>IFERROR(INDEX(Katalog!$D$3:$D$12,MATCH(cadangan3[[#This Row],[Item A]],Katalog!$B$3:$B$12,0))*cadangan3[[#This Row],[Qty A]],0)</f>
        <v>500000</v>
      </c>
      <c r="J148" s="36">
        <f>IFERROR(cadangan3[[#This Row],[Harga Asli A]]-(cadangan3[[#This Row],[Harga Asli A]]*cadangan3[[#This Row],[Diskon]]),cadangan3[[#This Row],[Harga Asli A]])</f>
        <v>450000</v>
      </c>
      <c r="K148" s="36">
        <f>INDEX(Katalog!$F$3:$F$12,MATCH(cadangan3[[#This Row],[ItemID A]],Katalog!$C$3:$C$12,0))*cadangan3[[#This Row],[Qty A]]</f>
        <v>200000</v>
      </c>
      <c r="L148" s="36">
        <f>IFERROR(cadangan3[[#This Row],[Profit A]]-(cadangan3[[#This Row],[Profit A]]*cadangan3[[#This Row],[Diskon]]),K148)</f>
        <v>180000</v>
      </c>
      <c r="N148" t="str">
        <f>IFERROR(INDEX(Katalog!$A$3:$A$12,MATCH(cadangan3[[#This Row],[ItemID B]],Katalog!$C$3:$C$12,0)),"-")</f>
        <v>-</v>
      </c>
      <c r="O148" t="str">
        <f>IFERROR(INDEX(Katalog!$B$3:$B$12,MATCH(cadangan3[[#This Row],[ItemID B]],Katalog!$C$3:$C$12,0)),"-")</f>
        <v>-</v>
      </c>
      <c r="R148" s="36">
        <f>IFERROR(INDEX(Katalog!$D$3:$D$12,MATCH(cadangan3[[#This Row],[ItemID B]],Katalog!$C$3:$C$12,0))*cadangan3[[#This Row],[Qty B]],0)</f>
        <v>0</v>
      </c>
      <c r="S148" s="36">
        <f>IFERROR(INDEX(Katalog!$D$3:$D$12,MATCH(cadangan3[[#This Row],[Item B]],Katalog!$B$3:$B$12,0))*cadangan3[[#This Row],[Qty B]],0)</f>
        <v>0</v>
      </c>
      <c r="T148" s="36">
        <f>IFERROR(cadangan3[[#This Row],[Harga Asli B]]-(cadangan3[[#This Row],[Harga Asli B]]*cadangan3[[#This Row],[Diskon]]),cadangan3[[#This Row],[Harga Asli B]])</f>
        <v>0</v>
      </c>
      <c r="U148" s="36">
        <f>IFERROR(INDEX(Katalog!$F$3:$F$12,MATCH(cadangan3[[#This Row],[ItemID B]],Katalog!$C$3:$C$12,0))*cadangan3[[#This Row],[Qty B]],0)</f>
        <v>0</v>
      </c>
      <c r="V148" s="36">
        <f>IFERROR(cadangan3[[#This Row],[Profit B]]-(cadangan3[[#This Row],[Profit B]]*cadangan3[[#This Row],[Diskon]]),U148)</f>
        <v>0</v>
      </c>
      <c r="X148" t="str">
        <f>IFERROR(INDEX(Katalog!$A$3:$A$12,MATCH(cadangan3[[#This Row],[ItemID C]],Katalog!$C$3:$C$12,0)),"-")</f>
        <v>-</v>
      </c>
      <c r="Y148" t="str">
        <f>IFERROR(INDEX(Katalog!$B$3:$B$12,MATCH(cadangan3[[#This Row],[ItemID C]],Katalog!$C$3:$C$12,0)),"-")</f>
        <v>-</v>
      </c>
      <c r="AB148" s="36">
        <f>IFERROR(INDEX(Katalog!$D$3:$D$12,MATCH(cadangan3[[#This Row],[ItemID C]],Katalog!$C$3:$C$12,0))*cadangan3[[#This Row],[Qty C]],0)</f>
        <v>0</v>
      </c>
      <c r="AC148" s="36">
        <f>IFERROR(INDEX(Katalog!$D$3:$D$12,MATCH(cadangan3[[#This Row],[Item C]],Katalog!$B$3:$B$12,0))*cadangan3[[#This Row],[Qty C]],0)</f>
        <v>0</v>
      </c>
      <c r="AD148" s="36">
        <f>IFERROR(cadangan3[[#This Row],[Harga Asli C]]-(cadangan3[[#This Row],[Harga Asli C]]*cadangan3[[#This Row],[Diskon]]),cadangan3[[#This Row],[Harga Asli C]])</f>
        <v>0</v>
      </c>
      <c r="AE148" s="36">
        <f>IFERROR(INDEX(Katalog!$F$3:$F$12,MATCH(cadangan3[[#This Row],[ItemID C]],Katalog!$C$3:$C$12,0))*cadangan3[[#This Row],[Qty C]],0)</f>
        <v>0</v>
      </c>
      <c r="AF148" s="36">
        <f>IFERROR(cadangan3[[#This Row],[Profit C]]-(cadangan3[[#This Row],[Profit C]]*cadangan3[[#This Row],[Diskon]]),cadangan3[[#This Row],[Profit C]])</f>
        <v>0</v>
      </c>
      <c r="AG148" s="21">
        <f>cadangan3[[#This Row],[Qty A]]+cadangan3[[#This Row],[Qty B]]+cadangan3[[#This Row],[Qty C]]</f>
        <v>2</v>
      </c>
      <c r="AH148" s="35">
        <f>cadangan3[[#This Row],[Harga A + Diskon]]+cadangan3[[#This Row],[Harga + Diskon B]]+cadangan3[[#This Row],[Harga + Diskon C]]</f>
        <v>450000</v>
      </c>
      <c r="AI148" s="35">
        <f>(cadangan3[[#This Row],[Profit A]]+cadangan3[[#This Row],[Profit B]]+cadangan3[[#This Row],[Profit C]])</f>
        <v>200000</v>
      </c>
      <c r="AJ148" s="35">
        <f>cadangan3[[#This Row],[Provit A + Diskon]]+cadangan3[[#This Row],[Provit B + Diskon]]+cadangan3[[#This Row],[Provit C + Diskon]]</f>
        <v>180000</v>
      </c>
      <c r="AK148" s="23" t="s">
        <v>6</v>
      </c>
      <c r="AL148" s="37">
        <f>IFERROR(INDEX('Kode Diskon'!$D$3:$D$9,MATCH(cadangan3[[#This Row],[Kode diskon]],'Kode Diskon'!$C$3:$C$9,0)),"-")</f>
        <v>0.1</v>
      </c>
      <c r="AM148" s="23" t="s">
        <v>29</v>
      </c>
      <c r="AN148" s="23" t="s">
        <v>7</v>
      </c>
      <c r="AO148" s="23" t="s">
        <v>80</v>
      </c>
      <c r="AP148" s="24">
        <v>45022</v>
      </c>
      <c r="AQ148" s="23" t="str">
        <f>TEXT(cadangan3[[#This Row],[Tanggal terjual]],"dddd")</f>
        <v>Thursday</v>
      </c>
    </row>
    <row r="149" spans="1:43" x14ac:dyDescent="0.2">
      <c r="A149" s="20">
        <v>148</v>
      </c>
      <c r="B149" s="21" t="str">
        <f>_xlfn.CONCAT("ORD-",INDEX(Helper!$B$2:$B$5,MATCH(cadangan3[[#This Row],[Marketplace]],Helper!$A$2:$A$5,0)),TEXT(cadangan3[[#This Row],[No]],"0000"),"-",TEXT(cadangan3[[#This Row],[Tanggal terjual]],"dd/mm/yy"))</f>
        <v>ORD-SP0148-06/04/23</v>
      </c>
      <c r="C149" t="s">
        <v>67</v>
      </c>
      <c r="D149" t="str">
        <f>IFERROR(INDEX(Katalog!$A$3:$A$12,MATCH(cadangan3[[#This Row],[ItemID A]],Katalog!$C$3:$C$12,0)),"-")</f>
        <v>Sepatu Wanita</v>
      </c>
      <c r="E149" t="str">
        <f>IFERROR(INDEX(Katalog!$B$3:$B$12,MATCH(cadangan3[[#This Row],[ItemID A]],Katalog!$C$3:$C$12,0)),"-")</f>
        <v>Flat Shoes</v>
      </c>
      <c r="F149">
        <v>2</v>
      </c>
      <c r="G149">
        <v>5</v>
      </c>
      <c r="H149" s="36">
        <f>IFERROR(INDEX(Katalog!$D$3:$D$12,MATCH(cadangan3[[#This Row],[ItemID A]],Katalog!$C$3:$C$12,0))*cadangan3[[#This Row],[Qty A]],0)</f>
        <v>500000</v>
      </c>
      <c r="I149" s="36">
        <f>IFERROR(INDEX(Katalog!$D$3:$D$12,MATCH(cadangan3[[#This Row],[Item A]],Katalog!$B$3:$B$12,0))*cadangan3[[#This Row],[Qty A]],0)</f>
        <v>500000</v>
      </c>
      <c r="J149" s="36">
        <f>IFERROR(cadangan3[[#This Row],[Harga Asli A]]-(cadangan3[[#This Row],[Harga Asli A]]*cadangan3[[#This Row],[Diskon]]),cadangan3[[#This Row],[Harga Asli A]])</f>
        <v>450000</v>
      </c>
      <c r="K149" s="36">
        <f>INDEX(Katalog!$F$3:$F$12,MATCH(cadangan3[[#This Row],[ItemID A]],Katalog!$C$3:$C$12,0))*cadangan3[[#This Row],[Qty A]]</f>
        <v>200000</v>
      </c>
      <c r="L149" s="36">
        <f>IFERROR(cadangan3[[#This Row],[Profit A]]-(cadangan3[[#This Row],[Profit A]]*cadangan3[[#This Row],[Diskon]]),K149)</f>
        <v>180000</v>
      </c>
      <c r="N149" t="str">
        <f>IFERROR(INDEX(Katalog!$A$3:$A$12,MATCH(cadangan3[[#This Row],[ItemID B]],Katalog!$C$3:$C$12,0)),"-")</f>
        <v>-</v>
      </c>
      <c r="O149" t="str">
        <f>IFERROR(INDEX(Katalog!$B$3:$B$12,MATCH(cadangan3[[#This Row],[ItemID B]],Katalog!$C$3:$C$12,0)),"-")</f>
        <v>-</v>
      </c>
      <c r="R149" s="36">
        <f>IFERROR(INDEX(Katalog!$D$3:$D$12,MATCH(cadangan3[[#This Row],[ItemID B]],Katalog!$C$3:$C$12,0))*cadangan3[[#This Row],[Qty B]],0)</f>
        <v>0</v>
      </c>
      <c r="S149" s="36">
        <f>IFERROR(INDEX(Katalog!$D$3:$D$12,MATCH(cadangan3[[#This Row],[Item B]],Katalog!$B$3:$B$12,0))*cadangan3[[#This Row],[Qty B]],0)</f>
        <v>0</v>
      </c>
      <c r="T149" s="36">
        <f>IFERROR(cadangan3[[#This Row],[Harga Asli B]]-(cadangan3[[#This Row],[Harga Asli B]]*cadangan3[[#This Row],[Diskon]]),cadangan3[[#This Row],[Harga Asli B]])</f>
        <v>0</v>
      </c>
      <c r="U149" s="36">
        <f>IFERROR(INDEX(Katalog!$F$3:$F$12,MATCH(cadangan3[[#This Row],[ItemID B]],Katalog!$C$3:$C$12,0))*cadangan3[[#This Row],[Qty B]],0)</f>
        <v>0</v>
      </c>
      <c r="V149" s="36">
        <f>IFERROR(cadangan3[[#This Row],[Profit B]]-(cadangan3[[#This Row],[Profit B]]*cadangan3[[#This Row],[Diskon]]),U149)</f>
        <v>0</v>
      </c>
      <c r="X149" t="str">
        <f>IFERROR(INDEX(Katalog!$A$3:$A$12,MATCH(cadangan3[[#This Row],[ItemID C]],Katalog!$C$3:$C$12,0)),"-")</f>
        <v>-</v>
      </c>
      <c r="Y149" t="str">
        <f>IFERROR(INDEX(Katalog!$B$3:$B$12,MATCH(cadangan3[[#This Row],[ItemID C]],Katalog!$C$3:$C$12,0)),"-")</f>
        <v>-</v>
      </c>
      <c r="AB149" s="36">
        <f>IFERROR(INDEX(Katalog!$D$3:$D$12,MATCH(cadangan3[[#This Row],[ItemID C]],Katalog!$C$3:$C$12,0))*cadangan3[[#This Row],[Qty C]],0)</f>
        <v>0</v>
      </c>
      <c r="AC149" s="36">
        <f>IFERROR(INDEX(Katalog!$D$3:$D$12,MATCH(cadangan3[[#This Row],[Item C]],Katalog!$B$3:$B$12,0))*cadangan3[[#This Row],[Qty C]],0)</f>
        <v>0</v>
      </c>
      <c r="AD149" s="36">
        <f>IFERROR(cadangan3[[#This Row],[Harga Asli C]]-(cadangan3[[#This Row],[Harga Asli C]]*cadangan3[[#This Row],[Diskon]]),cadangan3[[#This Row],[Harga Asli C]])</f>
        <v>0</v>
      </c>
      <c r="AE149" s="36">
        <f>IFERROR(INDEX(Katalog!$F$3:$F$12,MATCH(cadangan3[[#This Row],[ItemID C]],Katalog!$C$3:$C$12,0))*cadangan3[[#This Row],[Qty C]],0)</f>
        <v>0</v>
      </c>
      <c r="AF149" s="36">
        <f>IFERROR(cadangan3[[#This Row],[Profit C]]-(cadangan3[[#This Row],[Profit C]]*cadangan3[[#This Row],[Diskon]]),cadangan3[[#This Row],[Profit C]])</f>
        <v>0</v>
      </c>
      <c r="AG149" s="21">
        <f>cadangan3[[#This Row],[Qty A]]+cadangan3[[#This Row],[Qty B]]+cadangan3[[#This Row],[Qty C]]</f>
        <v>2</v>
      </c>
      <c r="AH149" s="35">
        <f>cadangan3[[#This Row],[Harga A + Diskon]]+cadangan3[[#This Row],[Harga + Diskon B]]+cadangan3[[#This Row],[Harga + Diskon C]]</f>
        <v>450000</v>
      </c>
      <c r="AI149" s="35">
        <f>(cadangan3[[#This Row],[Profit A]]+cadangan3[[#This Row],[Profit B]]+cadangan3[[#This Row],[Profit C]])</f>
        <v>200000</v>
      </c>
      <c r="AJ149" s="35">
        <f>cadangan3[[#This Row],[Provit A + Diskon]]+cadangan3[[#This Row],[Provit B + Diskon]]+cadangan3[[#This Row],[Provit C + Diskon]]</f>
        <v>180000</v>
      </c>
      <c r="AK149" s="23" t="s">
        <v>6</v>
      </c>
      <c r="AL149" s="37">
        <f>IFERROR(INDEX('Kode Diskon'!$D$3:$D$9,MATCH(cadangan3[[#This Row],[Kode diskon]],'Kode Diskon'!$C$3:$C$9,0)),"-")</f>
        <v>0.1</v>
      </c>
      <c r="AM149" s="23" t="s">
        <v>29</v>
      </c>
      <c r="AN149" s="23" t="s">
        <v>7</v>
      </c>
      <c r="AO149" s="23" t="s">
        <v>79</v>
      </c>
      <c r="AP149" s="24">
        <v>45022</v>
      </c>
      <c r="AQ149" s="23" t="str">
        <f>TEXT(cadangan3[[#This Row],[Tanggal terjual]],"dddd")</f>
        <v>Thursday</v>
      </c>
    </row>
    <row r="150" spans="1:43" x14ac:dyDescent="0.2">
      <c r="A150" s="20">
        <v>149</v>
      </c>
      <c r="B150" s="21" t="str">
        <f>_xlfn.CONCAT("ORD-",INDEX(Helper!$B$2:$B$5,MATCH(cadangan3[[#This Row],[Marketplace]],Helper!$A$2:$A$5,0)),TEXT(cadangan3[[#This Row],[No]],"0000"),"-",TEXT(cadangan3[[#This Row],[Tanggal terjual]],"dd/mm/yy"))</f>
        <v>ORD-BL0149-18/04/23</v>
      </c>
      <c r="C150" t="s">
        <v>61</v>
      </c>
      <c r="D150" t="str">
        <f>IFERROR(INDEX(Katalog!$A$3:$A$12,MATCH(cadangan3[[#This Row],[ItemID A]],Katalog!$C$3:$C$12,0)),"-")</f>
        <v>Pakaian Pria</v>
      </c>
      <c r="E150" t="str">
        <f>IFERROR(INDEX(Katalog!$B$3:$B$12,MATCH(cadangan3[[#This Row],[ItemID A]],Katalog!$C$3:$C$12,0)),"-")</f>
        <v>Kaos Polo</v>
      </c>
      <c r="F150">
        <v>2</v>
      </c>
      <c r="G150">
        <v>4</v>
      </c>
      <c r="H150" s="36">
        <f>IFERROR(INDEX(Katalog!$D$3:$D$12,MATCH(cadangan3[[#This Row],[ItemID A]],Katalog!$C$3:$C$12,0))*cadangan3[[#This Row],[Qty A]],0)</f>
        <v>400000</v>
      </c>
      <c r="I150" s="36">
        <f>IFERROR(INDEX(Katalog!$D$3:$D$12,MATCH(cadangan3[[#This Row],[Item A]],Katalog!$B$3:$B$12,0))*cadangan3[[#This Row],[Qty A]],0)</f>
        <v>400000</v>
      </c>
      <c r="J150" s="36">
        <f>IFERROR(cadangan3[[#This Row],[Harga Asli A]]-(cadangan3[[#This Row],[Harga Asli A]]*cadangan3[[#This Row],[Diskon]]),cadangan3[[#This Row],[Harga Asli A]])</f>
        <v>340000</v>
      </c>
      <c r="K150" s="36">
        <f>INDEX(Katalog!$F$3:$F$12,MATCH(cadangan3[[#This Row],[ItemID A]],Katalog!$C$3:$C$12,0))*cadangan3[[#This Row],[Qty A]]</f>
        <v>160000</v>
      </c>
      <c r="L150" s="36">
        <f>IFERROR(cadangan3[[#This Row],[Profit A]]-(cadangan3[[#This Row],[Profit A]]*cadangan3[[#This Row],[Diskon]]),K150)</f>
        <v>136000</v>
      </c>
      <c r="M150" t="s">
        <v>65</v>
      </c>
      <c r="N150" t="str">
        <f>IFERROR(INDEX(Katalog!$A$3:$A$12,MATCH(cadangan3[[#This Row],[ItemID B]],Katalog!$C$3:$C$12,0)),"-")</f>
        <v>Sepatu Pria</v>
      </c>
      <c r="O150" t="str">
        <f>IFERROR(INDEX(Katalog!$B$3:$B$12,MATCH(cadangan3[[#This Row],[ItemID B]],Katalog!$C$3:$C$12,0)),"-")</f>
        <v>Sneakers</v>
      </c>
      <c r="P150">
        <v>1</v>
      </c>
      <c r="Q150">
        <v>2</v>
      </c>
      <c r="R150" s="36">
        <f>IFERROR(INDEX(Katalog!$D$3:$D$12,MATCH(cadangan3[[#This Row],[ItemID B]],Katalog!$C$3:$C$12,0))*cadangan3[[#This Row],[Qty B]],0)</f>
        <v>500000</v>
      </c>
      <c r="S150" s="36">
        <f>IFERROR(INDEX(Katalog!$D$3:$D$12,MATCH(cadangan3[[#This Row],[Item B]],Katalog!$B$3:$B$12,0))*cadangan3[[#This Row],[Qty B]],0)</f>
        <v>500000</v>
      </c>
      <c r="T150" s="36">
        <f>IFERROR(cadangan3[[#This Row],[Harga Asli B]]-(cadangan3[[#This Row],[Harga Asli B]]*cadangan3[[#This Row],[Diskon]]),cadangan3[[#This Row],[Harga Asli B]])</f>
        <v>425000</v>
      </c>
      <c r="U150" s="36">
        <f>IFERROR(INDEX(Katalog!$F$3:$F$12,MATCH(cadangan3[[#This Row],[ItemID B]],Katalog!$C$3:$C$12,0))*cadangan3[[#This Row],[Qty B]],0)</f>
        <v>200000</v>
      </c>
      <c r="V150" s="36">
        <f>IFERROR(cadangan3[[#This Row],[Profit B]]-(cadangan3[[#This Row],[Profit B]]*cadangan3[[#This Row],[Diskon]]),U150)</f>
        <v>170000</v>
      </c>
      <c r="W150" t="s">
        <v>59</v>
      </c>
      <c r="X150" t="str">
        <f>IFERROR(INDEX(Katalog!$A$3:$A$12,MATCH(cadangan3[[#This Row],[ItemID C]],Katalog!$C$3:$C$12,0)),"-")</f>
        <v>Pakaian Wanita</v>
      </c>
      <c r="Y150" t="str">
        <f>IFERROR(INDEX(Katalog!$B$3:$B$12,MATCH(cadangan3[[#This Row],[ItemID C]],Katalog!$C$3:$C$12,0)),"-")</f>
        <v>Blouse</v>
      </c>
      <c r="Z150">
        <v>1</v>
      </c>
      <c r="AA150">
        <v>5</v>
      </c>
      <c r="AB150" s="36">
        <f>IFERROR(INDEX(Katalog!$D$3:$D$12,MATCH(cadangan3[[#This Row],[ItemID C]],Katalog!$C$3:$C$12,0))*cadangan3[[#This Row],[Qty C]],0)</f>
        <v>150000</v>
      </c>
      <c r="AC150" s="36">
        <f>IFERROR(INDEX(Katalog!$D$3:$D$12,MATCH(cadangan3[[#This Row],[Item C]],Katalog!$B$3:$B$12,0))*cadangan3[[#This Row],[Qty C]],0)</f>
        <v>150000</v>
      </c>
      <c r="AD150" s="36">
        <f>IFERROR(cadangan3[[#This Row],[Harga Asli C]]-(cadangan3[[#This Row],[Harga Asli C]]*cadangan3[[#This Row],[Diskon]]),cadangan3[[#This Row],[Harga Asli C]])</f>
        <v>127500</v>
      </c>
      <c r="AE150" s="36">
        <f>IFERROR(INDEX(Katalog!$F$3:$F$12,MATCH(cadangan3[[#This Row],[ItemID C]],Katalog!$C$3:$C$12,0))*cadangan3[[#This Row],[Qty C]],0)</f>
        <v>50000</v>
      </c>
      <c r="AF150" s="36">
        <f>IFERROR(cadangan3[[#This Row],[Profit C]]-(cadangan3[[#This Row],[Profit C]]*cadangan3[[#This Row],[Diskon]]),cadangan3[[#This Row],[Profit C]])</f>
        <v>42500</v>
      </c>
      <c r="AG150" s="21">
        <f>cadangan3[[#This Row],[Qty A]]+cadangan3[[#This Row],[Qty B]]+cadangan3[[#This Row],[Qty C]]</f>
        <v>4</v>
      </c>
      <c r="AH150" s="35">
        <f>cadangan3[[#This Row],[Harga A + Diskon]]+cadangan3[[#This Row],[Harga + Diskon B]]+cadangan3[[#This Row],[Harga + Diskon C]]</f>
        <v>892500</v>
      </c>
      <c r="AI150" s="35">
        <f>(cadangan3[[#This Row],[Profit A]]+cadangan3[[#This Row],[Profit B]]+cadangan3[[#This Row],[Profit C]])</f>
        <v>410000</v>
      </c>
      <c r="AJ150" s="35">
        <f>cadangan3[[#This Row],[Provit A + Diskon]]+cadangan3[[#This Row],[Provit B + Diskon]]+cadangan3[[#This Row],[Provit C + Diskon]]</f>
        <v>348500</v>
      </c>
      <c r="AK150" s="23" t="s">
        <v>32</v>
      </c>
      <c r="AL150" s="37">
        <f>IFERROR(INDEX('Kode Diskon'!$D$3:$D$9,MATCH(cadangan3[[#This Row],[Kode diskon]],'Kode Diskon'!$C$3:$C$9,0)),"-")</f>
        <v>0.15</v>
      </c>
      <c r="AM150" s="23" t="s">
        <v>9</v>
      </c>
      <c r="AN150" s="23" t="s">
        <v>12</v>
      </c>
      <c r="AO150" s="23" t="s">
        <v>76</v>
      </c>
      <c r="AP150" s="24">
        <v>45034</v>
      </c>
      <c r="AQ150" s="23" t="str">
        <f>TEXT(cadangan3[[#This Row],[Tanggal terjual]],"dddd")</f>
        <v>Tuesday</v>
      </c>
    </row>
    <row r="151" spans="1:43" x14ac:dyDescent="0.2">
      <c r="A151" s="20">
        <v>150</v>
      </c>
      <c r="B151" s="21" t="str">
        <f>_xlfn.CONCAT("ORD-",INDEX(Helper!$B$2:$B$5,MATCH(cadangan3[[#This Row],[Marketplace]],Helper!$A$2:$A$5,0)),TEXT(cadangan3[[#This Row],[No]],"0000"),"-",TEXT(cadangan3[[#This Row],[Tanggal terjual]],"dd/mm/yy"))</f>
        <v>ORD-SP0150-05/04/23</v>
      </c>
      <c r="C151" t="s">
        <v>58</v>
      </c>
      <c r="D151" t="str">
        <f>IFERROR(INDEX(Katalog!$A$3:$A$12,MATCH(cadangan3[[#This Row],[ItemID A]],Katalog!$C$3:$C$12,0)),"-")</f>
        <v>Pakaian Wanita</v>
      </c>
      <c r="E151" t="str">
        <f>IFERROR(INDEX(Katalog!$B$3:$B$12,MATCH(cadangan3[[#This Row],[ItemID A]],Katalog!$C$3:$C$12,0)),"-")</f>
        <v>Dress</v>
      </c>
      <c r="F151">
        <v>1</v>
      </c>
      <c r="G151">
        <v>4</v>
      </c>
      <c r="H151" s="36">
        <f>IFERROR(INDEX(Katalog!$D$3:$D$12,MATCH(cadangan3[[#This Row],[ItemID A]],Katalog!$C$3:$C$12,0))*cadangan3[[#This Row],[Qty A]],0)</f>
        <v>300000</v>
      </c>
      <c r="I151" s="36">
        <f>IFERROR(INDEX(Katalog!$D$3:$D$12,MATCH(cadangan3[[#This Row],[Item A]],Katalog!$B$3:$B$12,0))*cadangan3[[#This Row],[Qty A]],0)</f>
        <v>300000</v>
      </c>
      <c r="J151" s="36">
        <f>IFERROR(cadangan3[[#This Row],[Harga Asli A]]-(cadangan3[[#This Row],[Harga Asli A]]*cadangan3[[#This Row],[Diskon]]),cadangan3[[#This Row],[Harga Asli A]])</f>
        <v>255000</v>
      </c>
      <c r="K151" s="36">
        <f>INDEX(Katalog!$F$3:$F$12,MATCH(cadangan3[[#This Row],[ItemID A]],Katalog!$C$3:$C$12,0))*cadangan3[[#This Row],[Qty A]]</f>
        <v>100000</v>
      </c>
      <c r="L151" s="36">
        <f>IFERROR(cadangan3[[#This Row],[Profit A]]-(cadangan3[[#This Row],[Profit A]]*cadangan3[[#This Row],[Diskon]]),K151)</f>
        <v>85000</v>
      </c>
      <c r="M151" t="s">
        <v>66</v>
      </c>
      <c r="N151" t="str">
        <f>IFERROR(INDEX(Katalog!$A$3:$A$12,MATCH(cadangan3[[#This Row],[ItemID B]],Katalog!$C$3:$C$12,0)),"-")</f>
        <v>Sepatu Pria</v>
      </c>
      <c r="O151" t="str">
        <f>IFERROR(INDEX(Katalog!$B$3:$B$12,MATCH(cadangan3[[#This Row],[ItemID B]],Katalog!$C$3:$C$12,0)),"-")</f>
        <v>Sandal Slip On</v>
      </c>
      <c r="P151">
        <v>2</v>
      </c>
      <c r="Q151">
        <v>2</v>
      </c>
      <c r="R151" s="36">
        <f>IFERROR(INDEX(Katalog!$D$3:$D$12,MATCH(cadangan3[[#This Row],[ItemID B]],Katalog!$C$3:$C$12,0))*cadangan3[[#This Row],[Qty B]],0)</f>
        <v>300000</v>
      </c>
      <c r="S151" s="36">
        <f>IFERROR(INDEX(Katalog!$D$3:$D$12,MATCH(cadangan3[[#This Row],[Item B]],Katalog!$B$3:$B$12,0))*cadangan3[[#This Row],[Qty B]],0)</f>
        <v>300000</v>
      </c>
      <c r="T151" s="36">
        <f>IFERROR(cadangan3[[#This Row],[Harga Asli B]]-(cadangan3[[#This Row],[Harga Asli B]]*cadangan3[[#This Row],[Diskon]]),cadangan3[[#This Row],[Harga Asli B]])</f>
        <v>255000</v>
      </c>
      <c r="U151" s="36">
        <f>IFERROR(INDEX(Katalog!$F$3:$F$12,MATCH(cadangan3[[#This Row],[ItemID B]],Katalog!$C$3:$C$12,0))*cadangan3[[#This Row],[Qty B]],0)</f>
        <v>120000</v>
      </c>
      <c r="V151" s="36">
        <f>IFERROR(cadangan3[[#This Row],[Profit B]]-(cadangan3[[#This Row],[Profit B]]*cadangan3[[#This Row],[Diskon]]),U151)</f>
        <v>102000</v>
      </c>
      <c r="W151" t="s">
        <v>59</v>
      </c>
      <c r="X151" t="str">
        <f>IFERROR(INDEX(Katalog!$A$3:$A$12,MATCH(cadangan3[[#This Row],[ItemID C]],Katalog!$C$3:$C$12,0)),"-")</f>
        <v>Pakaian Wanita</v>
      </c>
      <c r="Y151" t="str">
        <f>IFERROR(INDEX(Katalog!$B$3:$B$12,MATCH(cadangan3[[#This Row],[ItemID C]],Katalog!$C$3:$C$12,0)),"-")</f>
        <v>Blouse</v>
      </c>
      <c r="Z151">
        <v>3</v>
      </c>
      <c r="AA151">
        <v>4</v>
      </c>
      <c r="AB151" s="36">
        <f>IFERROR(INDEX(Katalog!$D$3:$D$12,MATCH(cadangan3[[#This Row],[ItemID C]],Katalog!$C$3:$C$12,0))*cadangan3[[#This Row],[Qty C]],0)</f>
        <v>450000</v>
      </c>
      <c r="AC151" s="36">
        <f>IFERROR(INDEX(Katalog!$D$3:$D$12,MATCH(cadangan3[[#This Row],[Item C]],Katalog!$B$3:$B$12,0))*cadangan3[[#This Row],[Qty C]],0)</f>
        <v>450000</v>
      </c>
      <c r="AD151" s="36">
        <f>IFERROR(cadangan3[[#This Row],[Harga Asli C]]-(cadangan3[[#This Row],[Harga Asli C]]*cadangan3[[#This Row],[Diskon]]),cadangan3[[#This Row],[Harga Asli C]])</f>
        <v>382500</v>
      </c>
      <c r="AE151" s="36">
        <f>IFERROR(INDEX(Katalog!$F$3:$F$12,MATCH(cadangan3[[#This Row],[ItemID C]],Katalog!$C$3:$C$12,0))*cadangan3[[#This Row],[Qty C]],0)</f>
        <v>150000</v>
      </c>
      <c r="AF151" s="36">
        <f>IFERROR(cadangan3[[#This Row],[Profit C]]-(cadangan3[[#This Row],[Profit C]]*cadangan3[[#This Row],[Diskon]]),cadangan3[[#This Row],[Profit C]])</f>
        <v>127500</v>
      </c>
      <c r="AG151" s="21">
        <f>cadangan3[[#This Row],[Qty A]]+cadangan3[[#This Row],[Qty B]]+cadangan3[[#This Row],[Qty C]]</f>
        <v>6</v>
      </c>
      <c r="AH151" s="35">
        <f>cadangan3[[#This Row],[Harga A + Diskon]]+cadangan3[[#This Row],[Harga + Diskon B]]+cadangan3[[#This Row],[Harga + Diskon C]]</f>
        <v>892500</v>
      </c>
      <c r="AI151" s="35">
        <f>(cadangan3[[#This Row],[Profit A]]+cadangan3[[#This Row],[Profit B]]+cadangan3[[#This Row],[Profit C]])</f>
        <v>370000</v>
      </c>
      <c r="AJ151" s="35">
        <f>cadangan3[[#This Row],[Provit A + Diskon]]+cadangan3[[#This Row],[Provit B + Diskon]]+cadangan3[[#This Row],[Provit C + Diskon]]</f>
        <v>314500</v>
      </c>
      <c r="AK151" s="23" t="s">
        <v>13</v>
      </c>
      <c r="AL151" s="37">
        <f>IFERROR(INDEX('Kode Diskon'!$D$3:$D$9,MATCH(cadangan3[[#This Row],[Kode diskon]],'Kode Diskon'!$C$3:$C$9,0)),"-")</f>
        <v>0.15</v>
      </c>
      <c r="AM151" s="23" t="s">
        <v>29</v>
      </c>
      <c r="AN151" s="23" t="s">
        <v>7</v>
      </c>
      <c r="AO151" s="23" t="s">
        <v>79</v>
      </c>
      <c r="AP151" s="24">
        <v>45021</v>
      </c>
      <c r="AQ151" s="23" t="str">
        <f>TEXT(cadangan3[[#This Row],[Tanggal terjual]],"dddd")</f>
        <v>Wednesday</v>
      </c>
    </row>
    <row r="152" spans="1:43" x14ac:dyDescent="0.2">
      <c r="A152" s="20">
        <v>151</v>
      </c>
      <c r="B152" s="21" t="str">
        <f>_xlfn.CONCAT("ORD-",INDEX(Helper!$B$2:$B$5,MATCH(cadangan3[[#This Row],[Marketplace]],Helper!$A$2:$A$5,0)),TEXT(cadangan3[[#This Row],[No]],"0000"),"-",TEXT(cadangan3[[#This Row],[Tanggal terjual]],"dd/mm/yy"))</f>
        <v>ORD-BL0151-27/04/23</v>
      </c>
      <c r="C152" t="s">
        <v>67</v>
      </c>
      <c r="D152" t="str">
        <f>IFERROR(INDEX(Katalog!$A$3:$A$12,MATCH(cadangan3[[#This Row],[ItemID A]],Katalog!$C$3:$C$12,0)),"-")</f>
        <v>Sepatu Wanita</v>
      </c>
      <c r="E152" t="str">
        <f>IFERROR(INDEX(Katalog!$B$3:$B$12,MATCH(cadangan3[[#This Row],[ItemID A]],Katalog!$C$3:$C$12,0)),"-")</f>
        <v>Flat Shoes</v>
      </c>
      <c r="F152">
        <v>4</v>
      </c>
      <c r="G152">
        <v>2</v>
      </c>
      <c r="H152" s="36">
        <f>IFERROR(INDEX(Katalog!$D$3:$D$12,MATCH(cadangan3[[#This Row],[ItemID A]],Katalog!$C$3:$C$12,0))*cadangan3[[#This Row],[Qty A]],0)</f>
        <v>1000000</v>
      </c>
      <c r="I152" s="36">
        <f>IFERROR(INDEX(Katalog!$D$3:$D$12,MATCH(cadangan3[[#This Row],[Item A]],Katalog!$B$3:$B$12,0))*cadangan3[[#This Row],[Qty A]],0)</f>
        <v>1000000</v>
      </c>
      <c r="J152" s="36">
        <f>IFERROR(cadangan3[[#This Row],[Harga Asli A]]-(cadangan3[[#This Row],[Harga Asli A]]*cadangan3[[#This Row],[Diskon]]),cadangan3[[#This Row],[Harga Asli A]])</f>
        <v>850000</v>
      </c>
      <c r="K152" s="36">
        <f>INDEX(Katalog!$F$3:$F$12,MATCH(cadangan3[[#This Row],[ItemID A]],Katalog!$C$3:$C$12,0))*cadangan3[[#This Row],[Qty A]]</f>
        <v>400000</v>
      </c>
      <c r="L152" s="36">
        <f>IFERROR(cadangan3[[#This Row],[Profit A]]-(cadangan3[[#This Row],[Profit A]]*cadangan3[[#This Row],[Diskon]]),K152)</f>
        <v>340000</v>
      </c>
      <c r="M152" t="s">
        <v>61</v>
      </c>
      <c r="N152" t="str">
        <f>IFERROR(INDEX(Katalog!$A$3:$A$12,MATCH(cadangan3[[#This Row],[ItemID B]],Katalog!$C$3:$C$12,0)),"-")</f>
        <v>Pakaian Pria</v>
      </c>
      <c r="O152" t="str">
        <f>IFERROR(INDEX(Katalog!$B$3:$B$12,MATCH(cadangan3[[#This Row],[ItemID B]],Katalog!$C$3:$C$12,0)),"-")</f>
        <v>Kaos Polo</v>
      </c>
      <c r="P152">
        <v>1</v>
      </c>
      <c r="Q152">
        <v>5</v>
      </c>
      <c r="R152" s="36">
        <f>IFERROR(INDEX(Katalog!$D$3:$D$12,MATCH(cadangan3[[#This Row],[ItemID B]],Katalog!$C$3:$C$12,0))*cadangan3[[#This Row],[Qty B]],0)</f>
        <v>200000</v>
      </c>
      <c r="S152" s="36">
        <f>IFERROR(INDEX(Katalog!$D$3:$D$12,MATCH(cadangan3[[#This Row],[Item B]],Katalog!$B$3:$B$12,0))*cadangan3[[#This Row],[Qty B]],0)</f>
        <v>200000</v>
      </c>
      <c r="T152" s="36">
        <f>IFERROR(cadangan3[[#This Row],[Harga Asli B]]-(cadangan3[[#This Row],[Harga Asli B]]*cadangan3[[#This Row],[Diskon]]),cadangan3[[#This Row],[Harga Asli B]])</f>
        <v>170000</v>
      </c>
      <c r="U152" s="36">
        <f>IFERROR(INDEX(Katalog!$F$3:$F$12,MATCH(cadangan3[[#This Row],[ItemID B]],Katalog!$C$3:$C$12,0))*cadangan3[[#This Row],[Qty B]],0)</f>
        <v>80000</v>
      </c>
      <c r="V152" s="36">
        <f>IFERROR(cadangan3[[#This Row],[Profit B]]-(cadangan3[[#This Row],[Profit B]]*cadangan3[[#This Row],[Diskon]]),U152)</f>
        <v>68000</v>
      </c>
      <c r="X152" t="str">
        <f>IFERROR(INDEX(Katalog!$A$3:$A$12,MATCH(cadangan3[[#This Row],[ItemID C]],Katalog!$C$3:$C$12,0)),"-")</f>
        <v>-</v>
      </c>
      <c r="Y152" t="str">
        <f>IFERROR(INDEX(Katalog!$B$3:$B$12,MATCH(cadangan3[[#This Row],[ItemID C]],Katalog!$C$3:$C$12,0)),"-")</f>
        <v>-</v>
      </c>
      <c r="AB152" s="36">
        <f>IFERROR(INDEX(Katalog!$D$3:$D$12,MATCH(cadangan3[[#This Row],[ItemID C]],Katalog!$C$3:$C$12,0))*cadangan3[[#This Row],[Qty C]],0)</f>
        <v>0</v>
      </c>
      <c r="AC152" s="36">
        <f>IFERROR(INDEX(Katalog!$D$3:$D$12,MATCH(cadangan3[[#This Row],[Item C]],Katalog!$B$3:$B$12,0))*cadangan3[[#This Row],[Qty C]],0)</f>
        <v>0</v>
      </c>
      <c r="AD152" s="36">
        <f>IFERROR(cadangan3[[#This Row],[Harga Asli C]]-(cadangan3[[#This Row],[Harga Asli C]]*cadangan3[[#This Row],[Diskon]]),cadangan3[[#This Row],[Harga Asli C]])</f>
        <v>0</v>
      </c>
      <c r="AE152" s="36">
        <f>IFERROR(INDEX(Katalog!$F$3:$F$12,MATCH(cadangan3[[#This Row],[ItemID C]],Katalog!$C$3:$C$12,0))*cadangan3[[#This Row],[Qty C]],0)</f>
        <v>0</v>
      </c>
      <c r="AF152" s="36">
        <f>IFERROR(cadangan3[[#This Row],[Profit C]]-(cadangan3[[#This Row],[Profit C]]*cadangan3[[#This Row],[Diskon]]),cadangan3[[#This Row],[Profit C]])</f>
        <v>0</v>
      </c>
      <c r="AG152" s="21">
        <f>cadangan3[[#This Row],[Qty A]]+cadangan3[[#This Row],[Qty B]]+cadangan3[[#This Row],[Qty C]]</f>
        <v>5</v>
      </c>
      <c r="AH152" s="35">
        <f>cadangan3[[#This Row],[Harga A + Diskon]]+cadangan3[[#This Row],[Harga + Diskon B]]+cadangan3[[#This Row],[Harga + Diskon C]]</f>
        <v>1020000</v>
      </c>
      <c r="AI152" s="35">
        <f>(cadangan3[[#This Row],[Profit A]]+cadangan3[[#This Row],[Profit B]]+cadangan3[[#This Row],[Profit C]])</f>
        <v>480000</v>
      </c>
      <c r="AJ152" s="35">
        <f>cadangan3[[#This Row],[Provit A + Diskon]]+cadangan3[[#This Row],[Provit B + Diskon]]+cadangan3[[#This Row],[Provit C + Diskon]]</f>
        <v>408000</v>
      </c>
      <c r="AK152" s="23" t="s">
        <v>32</v>
      </c>
      <c r="AL152" s="37">
        <f>IFERROR(INDEX('Kode Diskon'!$D$3:$D$9,MATCH(cadangan3[[#This Row],[Kode diskon]],'Kode Diskon'!$C$3:$C$9,0)),"-")</f>
        <v>0.15</v>
      </c>
      <c r="AM152" s="23" t="s">
        <v>9</v>
      </c>
      <c r="AN152" s="23" t="s">
        <v>12</v>
      </c>
      <c r="AO152" s="23" t="s">
        <v>79</v>
      </c>
      <c r="AP152" s="24">
        <v>45043</v>
      </c>
      <c r="AQ152" s="23" t="str">
        <f>TEXT(cadangan3[[#This Row],[Tanggal terjual]],"dddd")</f>
        <v>Thursday</v>
      </c>
    </row>
    <row r="153" spans="1:43" x14ac:dyDescent="0.2">
      <c r="A153" s="20">
        <v>152</v>
      </c>
      <c r="B153" s="21" t="str">
        <f>_xlfn.CONCAT("ORD-",INDEX(Helper!$B$2:$B$5,MATCH(cadangan3[[#This Row],[Marketplace]],Helper!$A$2:$A$5,0)),TEXT(cadangan3[[#This Row],[No]],"0000"),"-",TEXT(cadangan3[[#This Row],[Tanggal terjual]],"dd/mm/yy"))</f>
        <v>ORD-BB0152-02/04/23</v>
      </c>
      <c r="C153" t="s">
        <v>60</v>
      </c>
      <c r="D153" t="str">
        <f>IFERROR(INDEX(Katalog!$A$3:$A$12,MATCH(cadangan3[[#This Row],[ItemID A]],Katalog!$C$3:$C$12,0)),"-")</f>
        <v>Pakaian Wanita</v>
      </c>
      <c r="E153" t="str">
        <f>IFERROR(INDEX(Katalog!$B$3:$B$12,MATCH(cadangan3[[#This Row],[ItemID A]],Katalog!$C$3:$C$12,0)),"-")</f>
        <v>Kaftan</v>
      </c>
      <c r="F153">
        <v>4</v>
      </c>
      <c r="G153">
        <v>3</v>
      </c>
      <c r="H153" s="36">
        <f>IFERROR(INDEX(Katalog!$D$3:$D$12,MATCH(cadangan3[[#This Row],[ItemID A]],Katalog!$C$3:$C$12,0))*cadangan3[[#This Row],[Qty A]],0)</f>
        <v>1000000</v>
      </c>
      <c r="I153" s="36">
        <f>IFERROR(INDEX(Katalog!$D$3:$D$12,MATCH(cadangan3[[#This Row],[Item A]],Katalog!$B$3:$B$12,0))*cadangan3[[#This Row],[Qty A]],0)</f>
        <v>1000000</v>
      </c>
      <c r="J153" s="36">
        <f>IFERROR(cadangan3[[#This Row],[Harga Asli A]]-(cadangan3[[#This Row],[Harga Asli A]]*cadangan3[[#This Row],[Diskon]]),cadangan3[[#This Row],[Harga Asli A]])</f>
        <v>850000</v>
      </c>
      <c r="K153" s="36">
        <f>INDEX(Katalog!$F$3:$F$12,MATCH(cadangan3[[#This Row],[ItemID A]],Katalog!$C$3:$C$12,0))*cadangan3[[#This Row],[Qty A]]</f>
        <v>400000</v>
      </c>
      <c r="L153" s="36">
        <f>IFERROR(cadangan3[[#This Row],[Profit A]]-(cadangan3[[#This Row],[Profit A]]*cadangan3[[#This Row],[Diskon]]),K153)</f>
        <v>340000</v>
      </c>
      <c r="N153" t="str">
        <f>IFERROR(INDEX(Katalog!$A$3:$A$12,MATCH(cadangan3[[#This Row],[ItemID B]],Katalog!$C$3:$C$12,0)),"-")</f>
        <v>-</v>
      </c>
      <c r="O153" t="str">
        <f>IFERROR(INDEX(Katalog!$B$3:$B$12,MATCH(cadangan3[[#This Row],[ItemID B]],Katalog!$C$3:$C$12,0)),"-")</f>
        <v>-</v>
      </c>
      <c r="R153" s="36">
        <f>IFERROR(INDEX(Katalog!$D$3:$D$12,MATCH(cadangan3[[#This Row],[ItemID B]],Katalog!$C$3:$C$12,0))*cadangan3[[#This Row],[Qty B]],0)</f>
        <v>0</v>
      </c>
      <c r="S153" s="36">
        <f>IFERROR(INDEX(Katalog!$D$3:$D$12,MATCH(cadangan3[[#This Row],[Item B]],Katalog!$B$3:$B$12,0))*cadangan3[[#This Row],[Qty B]],0)</f>
        <v>0</v>
      </c>
      <c r="T153" s="36">
        <f>IFERROR(cadangan3[[#This Row],[Harga Asli B]]-(cadangan3[[#This Row],[Harga Asli B]]*cadangan3[[#This Row],[Diskon]]),cadangan3[[#This Row],[Harga Asli B]])</f>
        <v>0</v>
      </c>
      <c r="U153" s="36">
        <f>IFERROR(INDEX(Katalog!$F$3:$F$12,MATCH(cadangan3[[#This Row],[ItemID B]],Katalog!$C$3:$C$12,0))*cadangan3[[#This Row],[Qty B]],0)</f>
        <v>0</v>
      </c>
      <c r="V153" s="36">
        <f>IFERROR(cadangan3[[#This Row],[Profit B]]-(cadangan3[[#This Row],[Profit B]]*cadangan3[[#This Row],[Diskon]]),U153)</f>
        <v>0</v>
      </c>
      <c r="X153" t="str">
        <f>IFERROR(INDEX(Katalog!$A$3:$A$12,MATCH(cadangan3[[#This Row],[ItemID C]],Katalog!$C$3:$C$12,0)),"-")</f>
        <v>-</v>
      </c>
      <c r="Y153" t="str">
        <f>IFERROR(INDEX(Katalog!$B$3:$B$12,MATCH(cadangan3[[#This Row],[ItemID C]],Katalog!$C$3:$C$12,0)),"-")</f>
        <v>-</v>
      </c>
      <c r="AB153" s="36">
        <f>IFERROR(INDEX(Katalog!$D$3:$D$12,MATCH(cadangan3[[#This Row],[ItemID C]],Katalog!$C$3:$C$12,0))*cadangan3[[#This Row],[Qty C]],0)</f>
        <v>0</v>
      </c>
      <c r="AC153" s="36">
        <f>IFERROR(INDEX(Katalog!$D$3:$D$12,MATCH(cadangan3[[#This Row],[Item C]],Katalog!$B$3:$B$12,0))*cadangan3[[#This Row],[Qty C]],0)</f>
        <v>0</v>
      </c>
      <c r="AD153" s="36">
        <f>IFERROR(cadangan3[[#This Row],[Harga Asli C]]-(cadangan3[[#This Row],[Harga Asli C]]*cadangan3[[#This Row],[Diskon]]),cadangan3[[#This Row],[Harga Asli C]])</f>
        <v>0</v>
      </c>
      <c r="AE153" s="36">
        <f>IFERROR(INDEX(Katalog!$F$3:$F$12,MATCH(cadangan3[[#This Row],[ItemID C]],Katalog!$C$3:$C$12,0))*cadangan3[[#This Row],[Qty C]],0)</f>
        <v>0</v>
      </c>
      <c r="AF153" s="36">
        <f>IFERROR(cadangan3[[#This Row],[Profit C]]-(cadangan3[[#This Row],[Profit C]]*cadangan3[[#This Row],[Diskon]]),cadangan3[[#This Row],[Profit C]])</f>
        <v>0</v>
      </c>
      <c r="AG153" s="21">
        <f>cadangan3[[#This Row],[Qty A]]+cadangan3[[#This Row],[Qty B]]+cadangan3[[#This Row],[Qty C]]</f>
        <v>4</v>
      </c>
      <c r="AH153" s="35">
        <f>cadangan3[[#This Row],[Harga A + Diskon]]+cadangan3[[#This Row],[Harga + Diskon B]]+cadangan3[[#This Row],[Harga + Diskon C]]</f>
        <v>850000</v>
      </c>
      <c r="AI153" s="35">
        <f>(cadangan3[[#This Row],[Profit A]]+cadangan3[[#This Row],[Profit B]]+cadangan3[[#This Row],[Profit C]])</f>
        <v>400000</v>
      </c>
      <c r="AJ153" s="35">
        <f>cadangan3[[#This Row],[Provit A + Diskon]]+cadangan3[[#This Row],[Provit B + Diskon]]+cadangan3[[#This Row],[Provit C + Diskon]]</f>
        <v>340000</v>
      </c>
      <c r="AK153" s="23" t="s">
        <v>28</v>
      </c>
      <c r="AL153" s="37">
        <f>IFERROR(INDEX('Kode Diskon'!$D$3:$D$9,MATCH(cadangan3[[#This Row],[Kode diskon]],'Kode Diskon'!$C$3:$C$9,0)),"-")</f>
        <v>0.15</v>
      </c>
      <c r="AM153" s="23" t="s">
        <v>29</v>
      </c>
      <c r="AN153" s="23" t="s">
        <v>14</v>
      </c>
      <c r="AO153" s="23" t="s">
        <v>80</v>
      </c>
      <c r="AP153" s="24">
        <v>45018</v>
      </c>
      <c r="AQ153" s="23" t="str">
        <f>TEXT(cadangan3[[#This Row],[Tanggal terjual]],"dddd")</f>
        <v>Sunday</v>
      </c>
    </row>
    <row r="154" spans="1:43" x14ac:dyDescent="0.2">
      <c r="A154" s="20">
        <v>153</v>
      </c>
      <c r="B154" s="21" t="str">
        <f>_xlfn.CONCAT("ORD-",INDEX(Helper!$B$2:$B$5,MATCH(cadangan3[[#This Row],[Marketplace]],Helper!$A$2:$A$5,0)),TEXT(cadangan3[[#This Row],[No]],"0000"),"-",TEXT(cadangan3[[#This Row],[Tanggal terjual]],"dd/mm/yy"))</f>
        <v>ORD-SP0153-04/04/23</v>
      </c>
      <c r="C154" t="s">
        <v>67</v>
      </c>
      <c r="D154" t="str">
        <f>IFERROR(INDEX(Katalog!$A$3:$A$12,MATCH(cadangan3[[#This Row],[ItemID A]],Katalog!$C$3:$C$12,0)),"-")</f>
        <v>Sepatu Wanita</v>
      </c>
      <c r="E154" t="str">
        <f>IFERROR(INDEX(Katalog!$B$3:$B$12,MATCH(cadangan3[[#This Row],[ItemID A]],Katalog!$C$3:$C$12,0)),"-")</f>
        <v>Flat Shoes</v>
      </c>
      <c r="F154">
        <v>2</v>
      </c>
      <c r="G154">
        <v>1</v>
      </c>
      <c r="H154" s="36">
        <f>IFERROR(INDEX(Katalog!$D$3:$D$12,MATCH(cadangan3[[#This Row],[ItemID A]],Katalog!$C$3:$C$12,0))*cadangan3[[#This Row],[Qty A]],0)</f>
        <v>500000</v>
      </c>
      <c r="I154" s="36">
        <f>IFERROR(INDEX(Katalog!$D$3:$D$12,MATCH(cadangan3[[#This Row],[Item A]],Katalog!$B$3:$B$12,0))*cadangan3[[#This Row],[Qty A]],0)</f>
        <v>500000</v>
      </c>
      <c r="J154" s="36">
        <f>IFERROR(cadangan3[[#This Row],[Harga Asli A]]-(cadangan3[[#This Row],[Harga Asli A]]*cadangan3[[#This Row],[Diskon]]),cadangan3[[#This Row],[Harga Asli A]])</f>
        <v>450000</v>
      </c>
      <c r="K154" s="36">
        <f>INDEX(Katalog!$F$3:$F$12,MATCH(cadangan3[[#This Row],[ItemID A]],Katalog!$C$3:$C$12,0))*cadangan3[[#This Row],[Qty A]]</f>
        <v>200000</v>
      </c>
      <c r="L154" s="36">
        <f>IFERROR(cadangan3[[#This Row],[Profit A]]-(cadangan3[[#This Row],[Profit A]]*cadangan3[[#This Row],[Diskon]]),K154)</f>
        <v>180000</v>
      </c>
      <c r="M154" t="s">
        <v>61</v>
      </c>
      <c r="N154" t="str">
        <f>IFERROR(INDEX(Katalog!$A$3:$A$12,MATCH(cadangan3[[#This Row],[ItemID B]],Katalog!$C$3:$C$12,0)),"-")</f>
        <v>Pakaian Pria</v>
      </c>
      <c r="O154" t="str">
        <f>IFERROR(INDEX(Katalog!$B$3:$B$12,MATCH(cadangan3[[#This Row],[ItemID B]],Katalog!$C$3:$C$12,0)),"-")</f>
        <v>Kaos Polo</v>
      </c>
      <c r="P154">
        <v>1</v>
      </c>
      <c r="Q154">
        <v>5</v>
      </c>
      <c r="R154" s="36">
        <f>IFERROR(INDEX(Katalog!$D$3:$D$12,MATCH(cadangan3[[#This Row],[ItemID B]],Katalog!$C$3:$C$12,0))*cadangan3[[#This Row],[Qty B]],0)</f>
        <v>200000</v>
      </c>
      <c r="S154" s="36">
        <f>IFERROR(INDEX(Katalog!$D$3:$D$12,MATCH(cadangan3[[#This Row],[Item B]],Katalog!$B$3:$B$12,0))*cadangan3[[#This Row],[Qty B]],0)</f>
        <v>200000</v>
      </c>
      <c r="T154" s="36">
        <f>IFERROR(cadangan3[[#This Row],[Harga Asli B]]-(cadangan3[[#This Row],[Harga Asli B]]*cadangan3[[#This Row],[Diskon]]),cadangan3[[#This Row],[Harga Asli B]])</f>
        <v>180000</v>
      </c>
      <c r="U154" s="36">
        <f>IFERROR(INDEX(Katalog!$F$3:$F$12,MATCH(cadangan3[[#This Row],[ItemID B]],Katalog!$C$3:$C$12,0))*cadangan3[[#This Row],[Qty B]],0)</f>
        <v>80000</v>
      </c>
      <c r="V154" s="36">
        <f>IFERROR(cadangan3[[#This Row],[Profit B]]-(cadangan3[[#This Row],[Profit B]]*cadangan3[[#This Row],[Diskon]]),U154)</f>
        <v>72000</v>
      </c>
      <c r="X154" t="str">
        <f>IFERROR(INDEX(Katalog!$A$3:$A$12,MATCH(cadangan3[[#This Row],[ItemID C]],Katalog!$C$3:$C$12,0)),"-")</f>
        <v>-</v>
      </c>
      <c r="Y154" t="str">
        <f>IFERROR(INDEX(Katalog!$B$3:$B$12,MATCH(cadangan3[[#This Row],[ItemID C]],Katalog!$C$3:$C$12,0)),"-")</f>
        <v>-</v>
      </c>
      <c r="AB154" s="36">
        <f>IFERROR(INDEX(Katalog!$D$3:$D$12,MATCH(cadangan3[[#This Row],[ItemID C]],Katalog!$C$3:$C$12,0))*cadangan3[[#This Row],[Qty C]],0)</f>
        <v>0</v>
      </c>
      <c r="AC154" s="36">
        <f>IFERROR(INDEX(Katalog!$D$3:$D$12,MATCH(cadangan3[[#This Row],[Item C]],Katalog!$B$3:$B$12,0))*cadangan3[[#This Row],[Qty C]],0)</f>
        <v>0</v>
      </c>
      <c r="AD154" s="36">
        <f>IFERROR(cadangan3[[#This Row],[Harga Asli C]]-(cadangan3[[#This Row],[Harga Asli C]]*cadangan3[[#This Row],[Diskon]]),cadangan3[[#This Row],[Harga Asli C]])</f>
        <v>0</v>
      </c>
      <c r="AE154" s="36">
        <f>IFERROR(INDEX(Katalog!$F$3:$F$12,MATCH(cadangan3[[#This Row],[ItemID C]],Katalog!$C$3:$C$12,0))*cadangan3[[#This Row],[Qty C]],0)</f>
        <v>0</v>
      </c>
      <c r="AF154" s="36">
        <f>IFERROR(cadangan3[[#This Row],[Profit C]]-(cadangan3[[#This Row],[Profit C]]*cadangan3[[#This Row],[Diskon]]),cadangan3[[#This Row],[Profit C]])</f>
        <v>0</v>
      </c>
      <c r="AG154" s="21">
        <f>cadangan3[[#This Row],[Qty A]]+cadangan3[[#This Row],[Qty B]]+cadangan3[[#This Row],[Qty C]]</f>
        <v>3</v>
      </c>
      <c r="AH154" s="35">
        <f>cadangan3[[#This Row],[Harga A + Diskon]]+cadangan3[[#This Row],[Harga + Diskon B]]+cadangan3[[#This Row],[Harga + Diskon C]]</f>
        <v>630000</v>
      </c>
      <c r="AI154" s="35">
        <f>(cadangan3[[#This Row],[Profit A]]+cadangan3[[#This Row],[Profit B]]+cadangan3[[#This Row],[Profit C]])</f>
        <v>280000</v>
      </c>
      <c r="AJ154" s="35">
        <f>cadangan3[[#This Row],[Provit A + Diskon]]+cadangan3[[#This Row],[Provit B + Diskon]]+cadangan3[[#This Row],[Provit C + Diskon]]</f>
        <v>252000</v>
      </c>
      <c r="AK154" s="23" t="s">
        <v>6</v>
      </c>
      <c r="AL154" s="37">
        <f>IFERROR(INDEX('Kode Diskon'!$D$3:$D$9,MATCH(cadangan3[[#This Row],[Kode diskon]],'Kode Diskon'!$C$3:$C$9,0)),"-")</f>
        <v>0.1</v>
      </c>
      <c r="AM154" s="23" t="s">
        <v>29</v>
      </c>
      <c r="AN154" s="23" t="s">
        <v>7</v>
      </c>
      <c r="AO154" s="23" t="s">
        <v>79</v>
      </c>
      <c r="AP154" s="24">
        <v>45020</v>
      </c>
      <c r="AQ154" s="23" t="str">
        <f>TEXT(cadangan3[[#This Row],[Tanggal terjual]],"dddd")</f>
        <v>Tuesday</v>
      </c>
    </row>
    <row r="155" spans="1:43" x14ac:dyDescent="0.2">
      <c r="A155" s="20">
        <v>154</v>
      </c>
      <c r="B155" s="21" t="str">
        <f>_xlfn.CONCAT("ORD-",INDEX(Helper!$B$2:$B$5,MATCH(cadangan3[[#This Row],[Marketplace]],Helper!$A$2:$A$5,0)),TEXT(cadangan3[[#This Row],[No]],"0000"),"-",TEXT(cadangan3[[#This Row],[Tanggal terjual]],"dd/mm/yy"))</f>
        <v>ORD-SP0154-09/04/23</v>
      </c>
      <c r="C155" t="s">
        <v>61</v>
      </c>
      <c r="D155" t="str">
        <f>IFERROR(INDEX(Katalog!$A$3:$A$12,MATCH(cadangan3[[#This Row],[ItemID A]],Katalog!$C$3:$C$12,0)),"-")</f>
        <v>Pakaian Pria</v>
      </c>
      <c r="E155" t="str">
        <f>IFERROR(INDEX(Katalog!$B$3:$B$12,MATCH(cadangan3[[#This Row],[ItemID A]],Katalog!$C$3:$C$12,0)),"-")</f>
        <v>Kaos Polo</v>
      </c>
      <c r="F155">
        <v>7</v>
      </c>
      <c r="G155">
        <v>1</v>
      </c>
      <c r="H155" s="36">
        <f>IFERROR(INDEX(Katalog!$D$3:$D$12,MATCH(cadangan3[[#This Row],[ItemID A]],Katalog!$C$3:$C$12,0))*cadangan3[[#This Row],[Qty A]],0)</f>
        <v>1400000</v>
      </c>
      <c r="I155" s="36">
        <f>IFERROR(INDEX(Katalog!$D$3:$D$12,MATCH(cadangan3[[#This Row],[Item A]],Katalog!$B$3:$B$12,0))*cadangan3[[#This Row],[Qty A]],0)</f>
        <v>1400000</v>
      </c>
      <c r="J155" s="36">
        <f>IFERROR(cadangan3[[#This Row],[Harga Asli A]]-(cadangan3[[#This Row],[Harga Asli A]]*cadangan3[[#This Row],[Diskon]]),cadangan3[[#This Row],[Harga Asli A]])</f>
        <v>1400000</v>
      </c>
      <c r="K155" s="36">
        <f>INDEX(Katalog!$F$3:$F$12,MATCH(cadangan3[[#This Row],[ItemID A]],Katalog!$C$3:$C$12,0))*cadangan3[[#This Row],[Qty A]]</f>
        <v>560000</v>
      </c>
      <c r="L155" s="36">
        <f>IFERROR(cadangan3[[#This Row],[Profit A]]-(cadangan3[[#This Row],[Profit A]]*cadangan3[[#This Row],[Diskon]]),K155)</f>
        <v>560000</v>
      </c>
      <c r="N155" t="str">
        <f>IFERROR(INDEX(Katalog!$A$3:$A$12,MATCH(cadangan3[[#This Row],[ItemID B]],Katalog!$C$3:$C$12,0)),"-")</f>
        <v>-</v>
      </c>
      <c r="O155" t="str">
        <f>IFERROR(INDEX(Katalog!$B$3:$B$12,MATCH(cadangan3[[#This Row],[ItemID B]],Katalog!$C$3:$C$12,0)),"-")</f>
        <v>-</v>
      </c>
      <c r="R155" s="36">
        <f>IFERROR(INDEX(Katalog!$D$3:$D$12,MATCH(cadangan3[[#This Row],[ItemID B]],Katalog!$C$3:$C$12,0))*cadangan3[[#This Row],[Qty B]],0)</f>
        <v>0</v>
      </c>
      <c r="S155" s="36">
        <f>IFERROR(INDEX(Katalog!$D$3:$D$12,MATCH(cadangan3[[#This Row],[Item B]],Katalog!$B$3:$B$12,0))*cadangan3[[#This Row],[Qty B]],0)</f>
        <v>0</v>
      </c>
      <c r="T155" s="36">
        <f>IFERROR(cadangan3[[#This Row],[Harga Asli B]]-(cadangan3[[#This Row],[Harga Asli B]]*cadangan3[[#This Row],[Diskon]]),cadangan3[[#This Row],[Harga Asli B]])</f>
        <v>0</v>
      </c>
      <c r="U155" s="36">
        <f>IFERROR(INDEX(Katalog!$F$3:$F$12,MATCH(cadangan3[[#This Row],[ItemID B]],Katalog!$C$3:$C$12,0))*cadangan3[[#This Row],[Qty B]],0)</f>
        <v>0</v>
      </c>
      <c r="V155" s="36">
        <f>IFERROR(cadangan3[[#This Row],[Profit B]]-(cadangan3[[#This Row],[Profit B]]*cadangan3[[#This Row],[Diskon]]),U155)</f>
        <v>0</v>
      </c>
      <c r="X155" t="str">
        <f>IFERROR(INDEX(Katalog!$A$3:$A$12,MATCH(cadangan3[[#This Row],[ItemID C]],Katalog!$C$3:$C$12,0)),"-")</f>
        <v>-</v>
      </c>
      <c r="Y155" t="str">
        <f>IFERROR(INDEX(Katalog!$B$3:$B$12,MATCH(cadangan3[[#This Row],[ItemID C]],Katalog!$C$3:$C$12,0)),"-")</f>
        <v>-</v>
      </c>
      <c r="AB155" s="36">
        <f>IFERROR(INDEX(Katalog!$D$3:$D$12,MATCH(cadangan3[[#This Row],[ItemID C]],Katalog!$C$3:$C$12,0))*cadangan3[[#This Row],[Qty C]],0)</f>
        <v>0</v>
      </c>
      <c r="AC155" s="36">
        <f>IFERROR(INDEX(Katalog!$D$3:$D$12,MATCH(cadangan3[[#This Row],[Item C]],Katalog!$B$3:$B$12,0))*cadangan3[[#This Row],[Qty C]],0)</f>
        <v>0</v>
      </c>
      <c r="AD155" s="36">
        <f>IFERROR(cadangan3[[#This Row],[Harga Asli C]]-(cadangan3[[#This Row],[Harga Asli C]]*cadangan3[[#This Row],[Diskon]]),cadangan3[[#This Row],[Harga Asli C]])</f>
        <v>0</v>
      </c>
      <c r="AE155" s="36">
        <f>IFERROR(INDEX(Katalog!$F$3:$F$12,MATCH(cadangan3[[#This Row],[ItemID C]],Katalog!$C$3:$C$12,0))*cadangan3[[#This Row],[Qty C]],0)</f>
        <v>0</v>
      </c>
      <c r="AF155" s="36">
        <f>IFERROR(cadangan3[[#This Row],[Profit C]]-(cadangan3[[#This Row],[Profit C]]*cadangan3[[#This Row],[Diskon]]),cadangan3[[#This Row],[Profit C]])</f>
        <v>0</v>
      </c>
      <c r="AG155" s="21">
        <f>cadangan3[[#This Row],[Qty A]]+cadangan3[[#This Row],[Qty B]]+cadangan3[[#This Row],[Qty C]]</f>
        <v>7</v>
      </c>
      <c r="AH155" s="35">
        <f>cadangan3[[#This Row],[Harga A + Diskon]]+cadangan3[[#This Row],[Harga + Diskon B]]+cadangan3[[#This Row],[Harga + Diskon C]]</f>
        <v>1400000</v>
      </c>
      <c r="AI155" s="35">
        <f>(cadangan3[[#This Row],[Profit A]]+cadangan3[[#This Row],[Profit B]]+cadangan3[[#This Row],[Profit C]])</f>
        <v>560000</v>
      </c>
      <c r="AJ155" s="35">
        <f>cadangan3[[#This Row],[Provit A + Diskon]]+cadangan3[[#This Row],[Provit B + Diskon]]+cadangan3[[#This Row],[Provit C + Diskon]]</f>
        <v>560000</v>
      </c>
      <c r="AK155" s="23" t="s">
        <v>11</v>
      </c>
      <c r="AL155" s="37" t="str">
        <f>IFERROR(INDEX('Kode Diskon'!$D$3:$D$9,MATCH(cadangan3[[#This Row],[Kode diskon]],'Kode Diskon'!$C$3:$C$9,0)),"-")</f>
        <v>-</v>
      </c>
      <c r="AM155" s="23" t="s">
        <v>11</v>
      </c>
      <c r="AN155" s="23" t="s">
        <v>7</v>
      </c>
      <c r="AO155" s="23" t="s">
        <v>77</v>
      </c>
      <c r="AP155" s="24">
        <v>45025</v>
      </c>
      <c r="AQ155" s="23" t="str">
        <f>TEXT(cadangan3[[#This Row],[Tanggal terjual]],"dddd")</f>
        <v>Sunday</v>
      </c>
    </row>
    <row r="156" spans="1:43" x14ac:dyDescent="0.2">
      <c r="A156" s="20">
        <v>155</v>
      </c>
      <c r="B156" s="21" t="str">
        <f>_xlfn.CONCAT("ORD-",INDEX(Helper!$B$2:$B$5,MATCH(cadangan3[[#This Row],[Marketplace]],Helper!$A$2:$A$5,0)),TEXT(cadangan3[[#This Row],[No]],"0000"),"-",TEXT(cadangan3[[#This Row],[Tanggal terjual]],"dd/mm/yy"))</f>
        <v>ORD-BB0155-03/04/23</v>
      </c>
      <c r="C156" t="s">
        <v>61</v>
      </c>
      <c r="D156" t="str">
        <f>IFERROR(INDEX(Katalog!$A$3:$A$12,MATCH(cadangan3[[#This Row],[ItemID A]],Katalog!$C$3:$C$12,0)),"-")</f>
        <v>Pakaian Pria</v>
      </c>
      <c r="E156" t="str">
        <f>IFERROR(INDEX(Katalog!$B$3:$B$12,MATCH(cadangan3[[#This Row],[ItemID A]],Katalog!$C$3:$C$12,0)),"-")</f>
        <v>Kaos Polo</v>
      </c>
      <c r="F156">
        <v>4</v>
      </c>
      <c r="G156">
        <v>5</v>
      </c>
      <c r="H156" s="36">
        <f>IFERROR(INDEX(Katalog!$D$3:$D$12,MATCH(cadangan3[[#This Row],[ItemID A]],Katalog!$C$3:$C$12,0))*cadangan3[[#This Row],[Qty A]],0)</f>
        <v>800000</v>
      </c>
      <c r="I156" s="36">
        <f>IFERROR(INDEX(Katalog!$D$3:$D$12,MATCH(cadangan3[[#This Row],[Item A]],Katalog!$B$3:$B$12,0))*cadangan3[[#This Row],[Qty A]],0)</f>
        <v>800000</v>
      </c>
      <c r="J156" s="36">
        <f>IFERROR(cadangan3[[#This Row],[Harga Asli A]]-(cadangan3[[#This Row],[Harga Asli A]]*cadangan3[[#This Row],[Diskon]]),cadangan3[[#This Row],[Harga Asli A]])</f>
        <v>680000</v>
      </c>
      <c r="K156" s="36">
        <f>INDEX(Katalog!$F$3:$F$12,MATCH(cadangan3[[#This Row],[ItemID A]],Katalog!$C$3:$C$12,0))*cadangan3[[#This Row],[Qty A]]</f>
        <v>320000</v>
      </c>
      <c r="L156" s="36">
        <f>IFERROR(cadangan3[[#This Row],[Profit A]]-(cadangan3[[#This Row],[Profit A]]*cadangan3[[#This Row],[Diskon]]),K156)</f>
        <v>272000</v>
      </c>
      <c r="M156" t="s">
        <v>66</v>
      </c>
      <c r="N156" t="str">
        <f>IFERROR(INDEX(Katalog!$A$3:$A$12,MATCH(cadangan3[[#This Row],[ItemID B]],Katalog!$C$3:$C$12,0)),"-")</f>
        <v>Sepatu Pria</v>
      </c>
      <c r="O156" t="str">
        <f>IFERROR(INDEX(Katalog!$B$3:$B$12,MATCH(cadangan3[[#This Row],[ItemID B]],Katalog!$C$3:$C$12,0)),"-")</f>
        <v>Sandal Slip On</v>
      </c>
      <c r="P156">
        <v>1</v>
      </c>
      <c r="Q156">
        <v>3</v>
      </c>
      <c r="R156" s="36">
        <f>IFERROR(INDEX(Katalog!$D$3:$D$12,MATCH(cadangan3[[#This Row],[ItemID B]],Katalog!$C$3:$C$12,0))*cadangan3[[#This Row],[Qty B]],0)</f>
        <v>150000</v>
      </c>
      <c r="S156" s="36">
        <f>IFERROR(INDEX(Katalog!$D$3:$D$12,MATCH(cadangan3[[#This Row],[Item B]],Katalog!$B$3:$B$12,0))*cadangan3[[#This Row],[Qty B]],0)</f>
        <v>150000</v>
      </c>
      <c r="T156" s="36">
        <f>IFERROR(cadangan3[[#This Row],[Harga Asli B]]-(cadangan3[[#This Row],[Harga Asli B]]*cadangan3[[#This Row],[Diskon]]),cadangan3[[#This Row],[Harga Asli B]])</f>
        <v>127500</v>
      </c>
      <c r="U156" s="36">
        <f>IFERROR(INDEX(Katalog!$F$3:$F$12,MATCH(cadangan3[[#This Row],[ItemID B]],Katalog!$C$3:$C$12,0))*cadangan3[[#This Row],[Qty B]],0)</f>
        <v>60000</v>
      </c>
      <c r="V156" s="36">
        <f>IFERROR(cadangan3[[#This Row],[Profit B]]-(cadangan3[[#This Row],[Profit B]]*cadangan3[[#This Row],[Diskon]]),U156)</f>
        <v>51000</v>
      </c>
      <c r="W156" t="s">
        <v>67</v>
      </c>
      <c r="X156" t="str">
        <f>IFERROR(INDEX(Katalog!$A$3:$A$12,MATCH(cadangan3[[#This Row],[ItemID C]],Katalog!$C$3:$C$12,0)),"-")</f>
        <v>Sepatu Wanita</v>
      </c>
      <c r="Y156" t="str">
        <f>IFERROR(INDEX(Katalog!$B$3:$B$12,MATCH(cadangan3[[#This Row],[ItemID C]],Katalog!$C$3:$C$12,0)),"-")</f>
        <v>Flat Shoes</v>
      </c>
      <c r="Z156">
        <v>1</v>
      </c>
      <c r="AA156">
        <v>2</v>
      </c>
      <c r="AB156" s="36">
        <f>IFERROR(INDEX(Katalog!$D$3:$D$12,MATCH(cadangan3[[#This Row],[ItemID C]],Katalog!$C$3:$C$12,0))*cadangan3[[#This Row],[Qty C]],0)</f>
        <v>250000</v>
      </c>
      <c r="AC156" s="36">
        <f>IFERROR(INDEX(Katalog!$D$3:$D$12,MATCH(cadangan3[[#This Row],[Item C]],Katalog!$B$3:$B$12,0))*cadangan3[[#This Row],[Qty C]],0)</f>
        <v>250000</v>
      </c>
      <c r="AD156" s="36">
        <f>IFERROR(cadangan3[[#This Row],[Harga Asli C]]-(cadangan3[[#This Row],[Harga Asli C]]*cadangan3[[#This Row],[Diskon]]),cadangan3[[#This Row],[Harga Asli C]])</f>
        <v>212500</v>
      </c>
      <c r="AE156" s="36">
        <f>IFERROR(INDEX(Katalog!$F$3:$F$12,MATCH(cadangan3[[#This Row],[ItemID C]],Katalog!$C$3:$C$12,0))*cadangan3[[#This Row],[Qty C]],0)</f>
        <v>100000</v>
      </c>
      <c r="AF156" s="36">
        <f>IFERROR(cadangan3[[#This Row],[Profit C]]-(cadangan3[[#This Row],[Profit C]]*cadangan3[[#This Row],[Diskon]]),cadangan3[[#This Row],[Profit C]])</f>
        <v>85000</v>
      </c>
      <c r="AG156" s="21">
        <f>cadangan3[[#This Row],[Qty A]]+cadangan3[[#This Row],[Qty B]]+cadangan3[[#This Row],[Qty C]]</f>
        <v>6</v>
      </c>
      <c r="AH156" s="35">
        <f>cadangan3[[#This Row],[Harga A + Diskon]]+cadangan3[[#This Row],[Harga + Diskon B]]+cadangan3[[#This Row],[Harga + Diskon C]]</f>
        <v>1020000</v>
      </c>
      <c r="AI156" s="35">
        <f>(cadangan3[[#This Row],[Profit A]]+cadangan3[[#This Row],[Profit B]]+cadangan3[[#This Row],[Profit C]])</f>
        <v>480000</v>
      </c>
      <c r="AJ156" s="35">
        <f>cadangan3[[#This Row],[Provit A + Diskon]]+cadangan3[[#This Row],[Provit B + Diskon]]+cadangan3[[#This Row],[Provit C + Diskon]]</f>
        <v>408000</v>
      </c>
      <c r="AK156" s="23" t="s">
        <v>28</v>
      </c>
      <c r="AL156" s="37">
        <f>IFERROR(INDEX('Kode Diskon'!$D$3:$D$9,MATCH(cadangan3[[#This Row],[Kode diskon]],'Kode Diskon'!$C$3:$C$9,0)),"-")</f>
        <v>0.15</v>
      </c>
      <c r="AM156" s="23" t="s">
        <v>29</v>
      </c>
      <c r="AN156" s="23" t="s">
        <v>14</v>
      </c>
      <c r="AO156" s="23" t="s">
        <v>76</v>
      </c>
      <c r="AP156" s="24">
        <v>45019</v>
      </c>
      <c r="AQ156" s="23" t="str">
        <f>TEXT(cadangan3[[#This Row],[Tanggal terjual]],"dddd")</f>
        <v>Monday</v>
      </c>
    </row>
    <row r="157" spans="1:43" x14ac:dyDescent="0.2">
      <c r="A157" s="20">
        <v>156</v>
      </c>
      <c r="B157" s="21" t="str">
        <f>_xlfn.CONCAT("ORD-",INDEX(Helper!$B$2:$B$5,MATCH(cadangan3[[#This Row],[Marketplace]],Helper!$A$2:$A$5,0)),TEXT(cadangan3[[#This Row],[No]],"0000"),"-",TEXT(cadangan3[[#This Row],[Tanggal terjual]],"dd/mm/yy"))</f>
        <v>ORD-SP0156-01/04/23</v>
      </c>
      <c r="C157" t="s">
        <v>61</v>
      </c>
      <c r="D157" t="str">
        <f>IFERROR(INDEX(Katalog!$A$3:$A$12,MATCH(cadangan3[[#This Row],[ItemID A]],Katalog!$C$3:$C$12,0)),"-")</f>
        <v>Pakaian Pria</v>
      </c>
      <c r="E157" t="str">
        <f>IFERROR(INDEX(Katalog!$B$3:$B$12,MATCH(cadangan3[[#This Row],[ItemID A]],Katalog!$C$3:$C$12,0)),"-")</f>
        <v>Kaos Polo</v>
      </c>
      <c r="F157">
        <v>1</v>
      </c>
      <c r="G157">
        <v>2</v>
      </c>
      <c r="H157" s="36">
        <f>IFERROR(INDEX(Katalog!$D$3:$D$12,MATCH(cadangan3[[#This Row],[ItemID A]],Katalog!$C$3:$C$12,0))*cadangan3[[#This Row],[Qty A]],0)</f>
        <v>200000</v>
      </c>
      <c r="I157" s="36">
        <f>IFERROR(INDEX(Katalog!$D$3:$D$12,MATCH(cadangan3[[#This Row],[Item A]],Katalog!$B$3:$B$12,0))*cadangan3[[#This Row],[Qty A]],0)</f>
        <v>200000</v>
      </c>
      <c r="J157" s="36">
        <f>IFERROR(cadangan3[[#This Row],[Harga Asli A]]-(cadangan3[[#This Row],[Harga Asli A]]*cadangan3[[#This Row],[Diskon]]),cadangan3[[#This Row],[Harga Asli A]])</f>
        <v>170000</v>
      </c>
      <c r="K157" s="36">
        <f>INDEX(Katalog!$F$3:$F$12,MATCH(cadangan3[[#This Row],[ItemID A]],Katalog!$C$3:$C$12,0))*cadangan3[[#This Row],[Qty A]]</f>
        <v>80000</v>
      </c>
      <c r="L157" s="36">
        <f>IFERROR(cadangan3[[#This Row],[Profit A]]-(cadangan3[[#This Row],[Profit A]]*cadangan3[[#This Row],[Diskon]]),K157)</f>
        <v>68000</v>
      </c>
      <c r="M157" t="s">
        <v>63</v>
      </c>
      <c r="N157" t="str">
        <f>IFERROR(INDEX(Katalog!$A$3:$A$12,MATCH(cadangan3[[#This Row],[ItemID B]],Katalog!$C$3:$C$12,0)),"-")</f>
        <v>Pakaian Pria</v>
      </c>
      <c r="O157" t="str">
        <f>IFERROR(INDEX(Katalog!$B$3:$B$12,MATCH(cadangan3[[#This Row],[ItemID B]],Katalog!$C$3:$C$12,0)),"-")</f>
        <v>Jaket Jeans</v>
      </c>
      <c r="P157">
        <v>2</v>
      </c>
      <c r="Q157">
        <v>5</v>
      </c>
      <c r="R157" s="36">
        <f>IFERROR(INDEX(Katalog!$D$3:$D$12,MATCH(cadangan3[[#This Row],[ItemID B]],Katalog!$C$3:$C$12,0))*cadangan3[[#This Row],[Qty B]],0)</f>
        <v>800000</v>
      </c>
      <c r="S157" s="36">
        <f>IFERROR(INDEX(Katalog!$D$3:$D$12,MATCH(cadangan3[[#This Row],[Item B]],Katalog!$B$3:$B$12,0))*cadangan3[[#This Row],[Qty B]],0)</f>
        <v>800000</v>
      </c>
      <c r="T157" s="36">
        <f>IFERROR(cadangan3[[#This Row],[Harga Asli B]]-(cadangan3[[#This Row],[Harga Asli B]]*cadangan3[[#This Row],[Diskon]]),cadangan3[[#This Row],[Harga Asli B]])</f>
        <v>680000</v>
      </c>
      <c r="U157" s="36">
        <f>IFERROR(INDEX(Katalog!$F$3:$F$12,MATCH(cadangan3[[#This Row],[ItemID B]],Katalog!$C$3:$C$12,0))*cadangan3[[#This Row],[Qty B]],0)</f>
        <v>300000</v>
      </c>
      <c r="V157" s="36">
        <f>IFERROR(cadangan3[[#This Row],[Profit B]]-(cadangan3[[#This Row],[Profit B]]*cadangan3[[#This Row],[Diskon]]),U157)</f>
        <v>255000</v>
      </c>
      <c r="W157" t="s">
        <v>58</v>
      </c>
      <c r="X157" t="str">
        <f>IFERROR(INDEX(Katalog!$A$3:$A$12,MATCH(cadangan3[[#This Row],[ItemID C]],Katalog!$C$3:$C$12,0)),"-")</f>
        <v>Pakaian Wanita</v>
      </c>
      <c r="Y157" t="str">
        <f>IFERROR(INDEX(Katalog!$B$3:$B$12,MATCH(cadangan3[[#This Row],[ItemID C]],Katalog!$C$3:$C$12,0)),"-")</f>
        <v>Dress</v>
      </c>
      <c r="Z157">
        <v>1</v>
      </c>
      <c r="AA157">
        <v>2</v>
      </c>
      <c r="AB157" s="36">
        <f>IFERROR(INDEX(Katalog!$D$3:$D$12,MATCH(cadangan3[[#This Row],[ItemID C]],Katalog!$C$3:$C$12,0))*cadangan3[[#This Row],[Qty C]],0)</f>
        <v>300000</v>
      </c>
      <c r="AC157" s="36">
        <f>IFERROR(INDEX(Katalog!$D$3:$D$12,MATCH(cadangan3[[#This Row],[Item C]],Katalog!$B$3:$B$12,0))*cadangan3[[#This Row],[Qty C]],0)</f>
        <v>300000</v>
      </c>
      <c r="AD157" s="36">
        <f>IFERROR(cadangan3[[#This Row],[Harga Asli C]]-(cadangan3[[#This Row],[Harga Asli C]]*cadangan3[[#This Row],[Diskon]]),cadangan3[[#This Row],[Harga Asli C]])</f>
        <v>255000</v>
      </c>
      <c r="AE157" s="36">
        <f>IFERROR(INDEX(Katalog!$F$3:$F$12,MATCH(cadangan3[[#This Row],[ItemID C]],Katalog!$C$3:$C$12,0))*cadangan3[[#This Row],[Qty C]],0)</f>
        <v>100000</v>
      </c>
      <c r="AF157" s="36">
        <f>IFERROR(cadangan3[[#This Row],[Profit C]]-(cadangan3[[#This Row],[Profit C]]*cadangan3[[#This Row],[Diskon]]),cadangan3[[#This Row],[Profit C]])</f>
        <v>85000</v>
      </c>
      <c r="AG157" s="21">
        <f>cadangan3[[#This Row],[Qty A]]+cadangan3[[#This Row],[Qty B]]+cadangan3[[#This Row],[Qty C]]</f>
        <v>4</v>
      </c>
      <c r="AH157" s="35">
        <f>cadangan3[[#This Row],[Harga A + Diskon]]+cadangan3[[#This Row],[Harga + Diskon B]]+cadangan3[[#This Row],[Harga + Diskon C]]</f>
        <v>1105000</v>
      </c>
      <c r="AI157" s="35">
        <f>(cadangan3[[#This Row],[Profit A]]+cadangan3[[#This Row],[Profit B]]+cadangan3[[#This Row],[Profit C]])</f>
        <v>480000</v>
      </c>
      <c r="AJ157" s="35">
        <f>cadangan3[[#This Row],[Provit A + Diskon]]+cadangan3[[#This Row],[Provit B + Diskon]]+cadangan3[[#This Row],[Provit C + Diskon]]</f>
        <v>408000</v>
      </c>
      <c r="AK157" s="23" t="s">
        <v>13</v>
      </c>
      <c r="AL157" s="37">
        <f>IFERROR(INDEX('Kode Diskon'!$D$3:$D$9,MATCH(cadangan3[[#This Row],[Kode diskon]],'Kode Diskon'!$C$3:$C$9,0)),"-")</f>
        <v>0.15</v>
      </c>
      <c r="AM157" s="23" t="s">
        <v>29</v>
      </c>
      <c r="AN157" s="23" t="s">
        <v>7</v>
      </c>
      <c r="AO157" s="23" t="s">
        <v>76</v>
      </c>
      <c r="AP157" s="24">
        <v>45017</v>
      </c>
      <c r="AQ157" s="23" t="str">
        <f>TEXT(cadangan3[[#This Row],[Tanggal terjual]],"dddd")</f>
        <v>Saturday</v>
      </c>
    </row>
    <row r="158" spans="1:43" x14ac:dyDescent="0.2">
      <c r="A158" s="20">
        <v>157</v>
      </c>
      <c r="B158" s="21" t="str">
        <f>_xlfn.CONCAT("ORD-",INDEX(Helper!$B$2:$B$5,MATCH(cadangan3[[#This Row],[Marketplace]],Helper!$A$2:$A$5,0)),TEXT(cadangan3[[#This Row],[No]],"0000"),"-",TEXT(cadangan3[[#This Row],[Tanggal terjual]],"dd/mm/yy"))</f>
        <v>ORD-SP0157-02/04/23</v>
      </c>
      <c r="C158" t="s">
        <v>67</v>
      </c>
      <c r="D158" t="str">
        <f>IFERROR(INDEX(Katalog!$A$3:$A$12,MATCH(cadangan3[[#This Row],[ItemID A]],Katalog!$C$3:$C$12,0)),"-")</f>
        <v>Sepatu Wanita</v>
      </c>
      <c r="E158" t="str">
        <f>IFERROR(INDEX(Katalog!$B$3:$B$12,MATCH(cadangan3[[#This Row],[ItemID A]],Katalog!$C$3:$C$12,0)),"-")</f>
        <v>Flat Shoes</v>
      </c>
      <c r="F158">
        <v>4</v>
      </c>
      <c r="G158">
        <v>2</v>
      </c>
      <c r="H158" s="36">
        <f>IFERROR(INDEX(Katalog!$D$3:$D$12,MATCH(cadangan3[[#This Row],[ItemID A]],Katalog!$C$3:$C$12,0))*cadangan3[[#This Row],[Qty A]],0)</f>
        <v>1000000</v>
      </c>
      <c r="I158" s="36">
        <f>IFERROR(INDEX(Katalog!$D$3:$D$12,MATCH(cadangan3[[#This Row],[Item A]],Katalog!$B$3:$B$12,0))*cadangan3[[#This Row],[Qty A]],0)</f>
        <v>1000000</v>
      </c>
      <c r="J158" s="36">
        <f>IFERROR(cadangan3[[#This Row],[Harga Asli A]]-(cadangan3[[#This Row],[Harga Asli A]]*cadangan3[[#This Row],[Diskon]]),cadangan3[[#This Row],[Harga Asli A]])</f>
        <v>850000</v>
      </c>
      <c r="K158" s="36">
        <f>INDEX(Katalog!$F$3:$F$12,MATCH(cadangan3[[#This Row],[ItemID A]],Katalog!$C$3:$C$12,0))*cadangan3[[#This Row],[Qty A]]</f>
        <v>400000</v>
      </c>
      <c r="L158" s="36">
        <f>IFERROR(cadangan3[[#This Row],[Profit A]]-(cadangan3[[#This Row],[Profit A]]*cadangan3[[#This Row],[Diskon]]),K158)</f>
        <v>340000</v>
      </c>
      <c r="N158" t="str">
        <f>IFERROR(INDEX(Katalog!$A$3:$A$12,MATCH(cadangan3[[#This Row],[ItemID B]],Katalog!$C$3:$C$12,0)),"-")</f>
        <v>-</v>
      </c>
      <c r="O158" t="str">
        <f>IFERROR(INDEX(Katalog!$B$3:$B$12,MATCH(cadangan3[[#This Row],[ItemID B]],Katalog!$C$3:$C$12,0)),"-")</f>
        <v>-</v>
      </c>
      <c r="R158" s="36">
        <f>IFERROR(INDEX(Katalog!$D$3:$D$12,MATCH(cadangan3[[#This Row],[ItemID B]],Katalog!$C$3:$C$12,0))*cadangan3[[#This Row],[Qty B]],0)</f>
        <v>0</v>
      </c>
      <c r="S158" s="36">
        <f>IFERROR(INDEX(Katalog!$D$3:$D$12,MATCH(cadangan3[[#This Row],[Item B]],Katalog!$B$3:$B$12,0))*cadangan3[[#This Row],[Qty B]],0)</f>
        <v>0</v>
      </c>
      <c r="T158" s="36">
        <f>IFERROR(cadangan3[[#This Row],[Harga Asli B]]-(cadangan3[[#This Row],[Harga Asli B]]*cadangan3[[#This Row],[Diskon]]),cadangan3[[#This Row],[Harga Asli B]])</f>
        <v>0</v>
      </c>
      <c r="U158" s="36">
        <f>IFERROR(INDEX(Katalog!$F$3:$F$12,MATCH(cadangan3[[#This Row],[ItemID B]],Katalog!$C$3:$C$12,0))*cadangan3[[#This Row],[Qty B]],0)</f>
        <v>0</v>
      </c>
      <c r="V158" s="36">
        <f>IFERROR(cadangan3[[#This Row],[Profit B]]-(cadangan3[[#This Row],[Profit B]]*cadangan3[[#This Row],[Diskon]]),U158)</f>
        <v>0</v>
      </c>
      <c r="X158" t="str">
        <f>IFERROR(INDEX(Katalog!$A$3:$A$12,MATCH(cadangan3[[#This Row],[ItemID C]],Katalog!$C$3:$C$12,0)),"-")</f>
        <v>-</v>
      </c>
      <c r="Y158" t="str">
        <f>IFERROR(INDEX(Katalog!$B$3:$B$12,MATCH(cadangan3[[#This Row],[ItemID C]],Katalog!$C$3:$C$12,0)),"-")</f>
        <v>-</v>
      </c>
      <c r="AB158" s="36">
        <f>IFERROR(INDEX(Katalog!$D$3:$D$12,MATCH(cadangan3[[#This Row],[ItemID C]],Katalog!$C$3:$C$12,0))*cadangan3[[#This Row],[Qty C]],0)</f>
        <v>0</v>
      </c>
      <c r="AC158" s="36">
        <f>IFERROR(INDEX(Katalog!$D$3:$D$12,MATCH(cadangan3[[#This Row],[Item C]],Katalog!$B$3:$B$12,0))*cadangan3[[#This Row],[Qty C]],0)</f>
        <v>0</v>
      </c>
      <c r="AD158" s="36">
        <f>IFERROR(cadangan3[[#This Row],[Harga Asli C]]-(cadangan3[[#This Row],[Harga Asli C]]*cadangan3[[#This Row],[Diskon]]),cadangan3[[#This Row],[Harga Asli C]])</f>
        <v>0</v>
      </c>
      <c r="AE158" s="36">
        <f>IFERROR(INDEX(Katalog!$F$3:$F$12,MATCH(cadangan3[[#This Row],[ItemID C]],Katalog!$C$3:$C$12,0))*cadangan3[[#This Row],[Qty C]],0)</f>
        <v>0</v>
      </c>
      <c r="AF158" s="36">
        <f>IFERROR(cadangan3[[#This Row],[Profit C]]-(cadangan3[[#This Row],[Profit C]]*cadangan3[[#This Row],[Diskon]]),cadangan3[[#This Row],[Profit C]])</f>
        <v>0</v>
      </c>
      <c r="AG158" s="21">
        <f>cadangan3[[#This Row],[Qty A]]+cadangan3[[#This Row],[Qty B]]+cadangan3[[#This Row],[Qty C]]</f>
        <v>4</v>
      </c>
      <c r="AH158" s="35">
        <f>cadangan3[[#This Row],[Harga A + Diskon]]+cadangan3[[#This Row],[Harga + Diskon B]]+cadangan3[[#This Row],[Harga + Diskon C]]</f>
        <v>850000</v>
      </c>
      <c r="AI158" s="35">
        <f>(cadangan3[[#This Row],[Profit A]]+cadangan3[[#This Row],[Profit B]]+cadangan3[[#This Row],[Profit C]])</f>
        <v>400000</v>
      </c>
      <c r="AJ158" s="35">
        <f>cadangan3[[#This Row],[Provit A + Diskon]]+cadangan3[[#This Row],[Provit B + Diskon]]+cadangan3[[#This Row],[Provit C + Diskon]]</f>
        <v>340000</v>
      </c>
      <c r="AK158" s="23" t="s">
        <v>13</v>
      </c>
      <c r="AL158" s="37">
        <f>IFERROR(INDEX('Kode Diskon'!$D$3:$D$9,MATCH(cadangan3[[#This Row],[Kode diskon]],'Kode Diskon'!$C$3:$C$9,0)),"-")</f>
        <v>0.15</v>
      </c>
      <c r="AM158" s="23" t="s">
        <v>29</v>
      </c>
      <c r="AN158" s="23" t="s">
        <v>7</v>
      </c>
      <c r="AO158" s="23" t="s">
        <v>76</v>
      </c>
      <c r="AP158" s="24">
        <v>45018</v>
      </c>
      <c r="AQ158" s="23" t="str">
        <f>TEXT(cadangan3[[#This Row],[Tanggal terjual]],"dddd")</f>
        <v>Sunday</v>
      </c>
    </row>
    <row r="159" spans="1:43" x14ac:dyDescent="0.2">
      <c r="A159" s="20">
        <v>158</v>
      </c>
      <c r="B159" s="21" t="str">
        <f>_xlfn.CONCAT("ORD-",INDEX(Helper!$B$2:$B$5,MATCH(cadangan3[[#This Row],[Marketplace]],Helper!$A$2:$A$5,0)),TEXT(cadangan3[[#This Row],[No]],"0000"),"-",TEXT(cadangan3[[#This Row],[Tanggal terjual]],"dd/mm/yy"))</f>
        <v>ORD-SP0158-06/04/23</v>
      </c>
      <c r="C159" t="s">
        <v>64</v>
      </c>
      <c r="D159" t="str">
        <f>IFERROR(INDEX(Katalog!$A$3:$A$12,MATCH(cadangan3[[#This Row],[ItemID A]],Katalog!$C$3:$C$12,0)),"-")</f>
        <v>Pakaian Unisex</v>
      </c>
      <c r="E159" t="str">
        <f>IFERROR(INDEX(Katalog!$B$3:$B$12,MATCH(cadangan3[[#This Row],[ItemID A]],Katalog!$C$3:$C$12,0)),"-")</f>
        <v>Jaket Hoodie</v>
      </c>
      <c r="F159">
        <v>4</v>
      </c>
      <c r="G159">
        <v>3</v>
      </c>
      <c r="H159" s="36">
        <f>IFERROR(INDEX(Katalog!$D$3:$D$12,MATCH(cadangan3[[#This Row],[ItemID A]],Katalog!$C$3:$C$12,0))*cadangan3[[#This Row],[Qty A]],0)</f>
        <v>1400000</v>
      </c>
      <c r="I159" s="36">
        <f>IFERROR(INDEX(Katalog!$D$3:$D$12,MATCH(cadangan3[[#This Row],[Item A]],Katalog!$B$3:$B$12,0))*cadangan3[[#This Row],[Qty A]],0)</f>
        <v>1400000</v>
      </c>
      <c r="J159" s="36">
        <f>IFERROR(cadangan3[[#This Row],[Harga Asli A]]-(cadangan3[[#This Row],[Harga Asli A]]*cadangan3[[#This Row],[Diskon]]),cadangan3[[#This Row],[Harga Asli A]])</f>
        <v>1190000</v>
      </c>
      <c r="K159" s="36">
        <f>INDEX(Katalog!$F$3:$F$12,MATCH(cadangan3[[#This Row],[ItemID A]],Katalog!$C$3:$C$12,0))*cadangan3[[#This Row],[Qty A]]</f>
        <v>520000</v>
      </c>
      <c r="L159" s="36">
        <f>IFERROR(cadangan3[[#This Row],[Profit A]]-(cadangan3[[#This Row],[Profit A]]*cadangan3[[#This Row],[Diskon]]),K159)</f>
        <v>442000</v>
      </c>
      <c r="M159" t="s">
        <v>63</v>
      </c>
      <c r="N159" t="str">
        <f>IFERROR(INDEX(Katalog!$A$3:$A$12,MATCH(cadangan3[[#This Row],[ItemID B]],Katalog!$C$3:$C$12,0)),"-")</f>
        <v>Pakaian Pria</v>
      </c>
      <c r="O159" t="str">
        <f>IFERROR(INDEX(Katalog!$B$3:$B$12,MATCH(cadangan3[[#This Row],[ItemID B]],Katalog!$C$3:$C$12,0)),"-")</f>
        <v>Jaket Jeans</v>
      </c>
      <c r="P159">
        <v>2</v>
      </c>
      <c r="Q159">
        <v>5</v>
      </c>
      <c r="R159" s="36">
        <f>IFERROR(INDEX(Katalog!$D$3:$D$12,MATCH(cadangan3[[#This Row],[ItemID B]],Katalog!$C$3:$C$12,0))*cadangan3[[#This Row],[Qty B]],0)</f>
        <v>800000</v>
      </c>
      <c r="S159" s="36">
        <f>IFERROR(INDEX(Katalog!$D$3:$D$12,MATCH(cadangan3[[#This Row],[Item B]],Katalog!$B$3:$B$12,0))*cadangan3[[#This Row],[Qty B]],0)</f>
        <v>800000</v>
      </c>
      <c r="T159" s="36">
        <f>IFERROR(cadangan3[[#This Row],[Harga Asli B]]-(cadangan3[[#This Row],[Harga Asli B]]*cadangan3[[#This Row],[Diskon]]),cadangan3[[#This Row],[Harga Asli B]])</f>
        <v>680000</v>
      </c>
      <c r="U159" s="36">
        <f>IFERROR(INDEX(Katalog!$F$3:$F$12,MATCH(cadangan3[[#This Row],[ItemID B]],Katalog!$C$3:$C$12,0))*cadangan3[[#This Row],[Qty B]],0)</f>
        <v>300000</v>
      </c>
      <c r="V159" s="36">
        <f>IFERROR(cadangan3[[#This Row],[Profit B]]-(cadangan3[[#This Row],[Profit B]]*cadangan3[[#This Row],[Diskon]]),U159)</f>
        <v>255000</v>
      </c>
      <c r="X159" t="str">
        <f>IFERROR(INDEX(Katalog!$A$3:$A$12,MATCH(cadangan3[[#This Row],[ItemID C]],Katalog!$C$3:$C$12,0)),"-")</f>
        <v>-</v>
      </c>
      <c r="Y159" t="str">
        <f>IFERROR(INDEX(Katalog!$B$3:$B$12,MATCH(cadangan3[[#This Row],[ItemID C]],Katalog!$C$3:$C$12,0)),"-")</f>
        <v>-</v>
      </c>
      <c r="AB159" s="36">
        <f>IFERROR(INDEX(Katalog!$D$3:$D$12,MATCH(cadangan3[[#This Row],[ItemID C]],Katalog!$C$3:$C$12,0))*cadangan3[[#This Row],[Qty C]],0)</f>
        <v>0</v>
      </c>
      <c r="AC159" s="36">
        <f>IFERROR(INDEX(Katalog!$D$3:$D$12,MATCH(cadangan3[[#This Row],[Item C]],Katalog!$B$3:$B$12,0))*cadangan3[[#This Row],[Qty C]],0)</f>
        <v>0</v>
      </c>
      <c r="AD159" s="36">
        <f>IFERROR(cadangan3[[#This Row],[Harga Asli C]]-(cadangan3[[#This Row],[Harga Asli C]]*cadangan3[[#This Row],[Diskon]]),cadangan3[[#This Row],[Harga Asli C]])</f>
        <v>0</v>
      </c>
      <c r="AE159" s="36">
        <f>IFERROR(INDEX(Katalog!$F$3:$F$12,MATCH(cadangan3[[#This Row],[ItemID C]],Katalog!$C$3:$C$12,0))*cadangan3[[#This Row],[Qty C]],0)</f>
        <v>0</v>
      </c>
      <c r="AF159" s="36">
        <f>IFERROR(cadangan3[[#This Row],[Profit C]]-(cadangan3[[#This Row],[Profit C]]*cadangan3[[#This Row],[Diskon]]),cadangan3[[#This Row],[Profit C]])</f>
        <v>0</v>
      </c>
      <c r="AG159" s="21">
        <f>cadangan3[[#This Row],[Qty A]]+cadangan3[[#This Row],[Qty B]]+cadangan3[[#This Row],[Qty C]]</f>
        <v>6</v>
      </c>
      <c r="AH159" s="35">
        <f>cadangan3[[#This Row],[Harga A + Diskon]]+cadangan3[[#This Row],[Harga + Diskon B]]+cadangan3[[#This Row],[Harga + Diskon C]]</f>
        <v>1870000</v>
      </c>
      <c r="AI159" s="35">
        <f>(cadangan3[[#This Row],[Profit A]]+cadangan3[[#This Row],[Profit B]]+cadangan3[[#This Row],[Profit C]])</f>
        <v>820000</v>
      </c>
      <c r="AJ159" s="35">
        <f>cadangan3[[#This Row],[Provit A + Diskon]]+cadangan3[[#This Row],[Provit B + Diskon]]+cadangan3[[#This Row],[Provit C + Diskon]]</f>
        <v>697000</v>
      </c>
      <c r="AK159" s="23" t="s">
        <v>13</v>
      </c>
      <c r="AL159" s="37">
        <f>IFERROR(INDEX('Kode Diskon'!$D$3:$D$9,MATCH(cadangan3[[#This Row],[Kode diskon]],'Kode Diskon'!$C$3:$C$9,0)),"-")</f>
        <v>0.15</v>
      </c>
      <c r="AM159" s="23" t="s">
        <v>29</v>
      </c>
      <c r="AN159" s="23" t="s">
        <v>7</v>
      </c>
      <c r="AO159" s="23" t="s">
        <v>76</v>
      </c>
      <c r="AP159" s="24">
        <v>45022</v>
      </c>
      <c r="AQ159" s="23" t="str">
        <f>TEXT(cadangan3[[#This Row],[Tanggal terjual]],"dddd")</f>
        <v>Thursday</v>
      </c>
    </row>
    <row r="160" spans="1:43" x14ac:dyDescent="0.2">
      <c r="A160" s="20">
        <v>159</v>
      </c>
      <c r="B160" s="21" t="str">
        <f>_xlfn.CONCAT("ORD-",INDEX(Helper!$B$2:$B$5,MATCH(cadangan3[[#This Row],[Marketplace]],Helper!$A$2:$A$5,0)),TEXT(cadangan3[[#This Row],[No]],"0000"),"-",TEXT(cadangan3[[#This Row],[Tanggal terjual]],"dd/mm/yy"))</f>
        <v>ORD-SP0159-08/04/23</v>
      </c>
      <c r="C160" t="s">
        <v>60</v>
      </c>
      <c r="D160" t="str">
        <f>IFERROR(INDEX(Katalog!$A$3:$A$12,MATCH(cadangan3[[#This Row],[ItemID A]],Katalog!$C$3:$C$12,0)),"-")</f>
        <v>Pakaian Wanita</v>
      </c>
      <c r="E160" t="str">
        <f>IFERROR(INDEX(Katalog!$B$3:$B$12,MATCH(cadangan3[[#This Row],[ItemID A]],Katalog!$C$3:$C$12,0)),"-")</f>
        <v>Kaftan</v>
      </c>
      <c r="F160">
        <v>1</v>
      </c>
      <c r="G160">
        <v>1</v>
      </c>
      <c r="H160" s="36">
        <f>IFERROR(INDEX(Katalog!$D$3:$D$12,MATCH(cadangan3[[#This Row],[ItemID A]],Katalog!$C$3:$C$12,0))*cadangan3[[#This Row],[Qty A]],0)</f>
        <v>250000</v>
      </c>
      <c r="I160" s="36">
        <f>IFERROR(INDEX(Katalog!$D$3:$D$12,MATCH(cadangan3[[#This Row],[Item A]],Katalog!$B$3:$B$12,0))*cadangan3[[#This Row],[Qty A]],0)</f>
        <v>250000</v>
      </c>
      <c r="J160" s="36">
        <f>IFERROR(cadangan3[[#This Row],[Harga Asli A]]-(cadangan3[[#This Row],[Harga Asli A]]*cadangan3[[#This Row],[Diskon]]),cadangan3[[#This Row],[Harga Asli A]])</f>
        <v>250000</v>
      </c>
      <c r="K160" s="36">
        <f>INDEX(Katalog!$F$3:$F$12,MATCH(cadangan3[[#This Row],[ItemID A]],Katalog!$C$3:$C$12,0))*cadangan3[[#This Row],[Qty A]]</f>
        <v>100000</v>
      </c>
      <c r="L160" s="36">
        <f>IFERROR(cadangan3[[#This Row],[Profit A]]-(cadangan3[[#This Row],[Profit A]]*cadangan3[[#This Row],[Diskon]]),K160)</f>
        <v>100000</v>
      </c>
      <c r="N160" t="str">
        <f>IFERROR(INDEX(Katalog!$A$3:$A$12,MATCH(cadangan3[[#This Row],[ItemID B]],Katalog!$C$3:$C$12,0)),"-")</f>
        <v>-</v>
      </c>
      <c r="O160" t="str">
        <f>IFERROR(INDEX(Katalog!$B$3:$B$12,MATCH(cadangan3[[#This Row],[ItemID B]],Katalog!$C$3:$C$12,0)),"-")</f>
        <v>-</v>
      </c>
      <c r="R160" s="36">
        <f>IFERROR(INDEX(Katalog!$D$3:$D$12,MATCH(cadangan3[[#This Row],[ItemID B]],Katalog!$C$3:$C$12,0))*cadangan3[[#This Row],[Qty B]],0)</f>
        <v>0</v>
      </c>
      <c r="S160" s="36">
        <f>IFERROR(INDEX(Katalog!$D$3:$D$12,MATCH(cadangan3[[#This Row],[Item B]],Katalog!$B$3:$B$12,0))*cadangan3[[#This Row],[Qty B]],0)</f>
        <v>0</v>
      </c>
      <c r="T160" s="36">
        <f>IFERROR(cadangan3[[#This Row],[Harga Asli B]]-(cadangan3[[#This Row],[Harga Asli B]]*cadangan3[[#This Row],[Diskon]]),cadangan3[[#This Row],[Harga Asli B]])</f>
        <v>0</v>
      </c>
      <c r="U160" s="36">
        <f>IFERROR(INDEX(Katalog!$F$3:$F$12,MATCH(cadangan3[[#This Row],[ItemID B]],Katalog!$C$3:$C$12,0))*cadangan3[[#This Row],[Qty B]],0)</f>
        <v>0</v>
      </c>
      <c r="V160" s="36">
        <f>IFERROR(cadangan3[[#This Row],[Profit B]]-(cadangan3[[#This Row],[Profit B]]*cadangan3[[#This Row],[Diskon]]),U160)</f>
        <v>0</v>
      </c>
      <c r="X160" t="str">
        <f>IFERROR(INDEX(Katalog!$A$3:$A$12,MATCH(cadangan3[[#This Row],[ItemID C]],Katalog!$C$3:$C$12,0)),"-")</f>
        <v>-</v>
      </c>
      <c r="Y160" t="str">
        <f>IFERROR(INDEX(Katalog!$B$3:$B$12,MATCH(cadangan3[[#This Row],[ItemID C]],Katalog!$C$3:$C$12,0)),"-")</f>
        <v>-</v>
      </c>
      <c r="AB160" s="36">
        <f>IFERROR(INDEX(Katalog!$D$3:$D$12,MATCH(cadangan3[[#This Row],[ItemID C]],Katalog!$C$3:$C$12,0))*cadangan3[[#This Row],[Qty C]],0)</f>
        <v>0</v>
      </c>
      <c r="AC160" s="36">
        <f>IFERROR(INDEX(Katalog!$D$3:$D$12,MATCH(cadangan3[[#This Row],[Item C]],Katalog!$B$3:$B$12,0))*cadangan3[[#This Row],[Qty C]],0)</f>
        <v>0</v>
      </c>
      <c r="AD160" s="36">
        <f>IFERROR(cadangan3[[#This Row],[Harga Asli C]]-(cadangan3[[#This Row],[Harga Asli C]]*cadangan3[[#This Row],[Diskon]]),cadangan3[[#This Row],[Harga Asli C]])</f>
        <v>0</v>
      </c>
      <c r="AE160" s="36">
        <f>IFERROR(INDEX(Katalog!$F$3:$F$12,MATCH(cadangan3[[#This Row],[ItemID C]],Katalog!$C$3:$C$12,0))*cadangan3[[#This Row],[Qty C]],0)</f>
        <v>0</v>
      </c>
      <c r="AF160" s="36">
        <f>IFERROR(cadangan3[[#This Row],[Profit C]]-(cadangan3[[#This Row],[Profit C]]*cadangan3[[#This Row],[Diskon]]),cadangan3[[#This Row],[Profit C]])</f>
        <v>0</v>
      </c>
      <c r="AG160" s="21">
        <f>cadangan3[[#This Row],[Qty A]]+cadangan3[[#This Row],[Qty B]]+cadangan3[[#This Row],[Qty C]]</f>
        <v>1</v>
      </c>
      <c r="AH160" s="35">
        <f>cadangan3[[#This Row],[Harga A + Diskon]]+cadangan3[[#This Row],[Harga + Diskon B]]+cadangan3[[#This Row],[Harga + Diskon C]]</f>
        <v>250000</v>
      </c>
      <c r="AI160" s="35">
        <f>(cadangan3[[#This Row],[Profit A]]+cadangan3[[#This Row],[Profit B]]+cadangan3[[#This Row],[Profit C]])</f>
        <v>100000</v>
      </c>
      <c r="AJ160" s="35">
        <f>cadangan3[[#This Row],[Provit A + Diskon]]+cadangan3[[#This Row],[Provit B + Diskon]]+cadangan3[[#This Row],[Provit C + Diskon]]</f>
        <v>100000</v>
      </c>
      <c r="AK160" s="23" t="s">
        <v>11</v>
      </c>
      <c r="AL160" s="37" t="str">
        <f>IFERROR(INDEX('Kode Diskon'!$D$3:$D$9,MATCH(cadangan3[[#This Row],[Kode diskon]],'Kode Diskon'!$C$3:$C$9,0)),"-")</f>
        <v>-</v>
      </c>
      <c r="AM160" s="23" t="s">
        <v>11</v>
      </c>
      <c r="AN160" s="23" t="s">
        <v>7</v>
      </c>
      <c r="AO160" s="23" t="s">
        <v>80</v>
      </c>
      <c r="AP160" s="24">
        <v>45024</v>
      </c>
      <c r="AQ160" s="23" t="str">
        <f>TEXT(cadangan3[[#This Row],[Tanggal terjual]],"dddd")</f>
        <v>Saturday</v>
      </c>
    </row>
    <row r="161" spans="1:43" x14ac:dyDescent="0.2">
      <c r="A161" s="20">
        <v>160</v>
      </c>
      <c r="B161" s="21" t="str">
        <f>_xlfn.CONCAT("ORD-",INDEX(Helper!$B$2:$B$5,MATCH(cadangan3[[#This Row],[Marketplace]],Helper!$A$2:$A$5,0)),TEXT(cadangan3[[#This Row],[No]],"0000"),"-",TEXT(cadangan3[[#This Row],[Tanggal terjual]],"dd/mm/yy"))</f>
        <v>ORD-SP0160-08/04/23</v>
      </c>
      <c r="C161" t="s">
        <v>58</v>
      </c>
      <c r="D161" t="str">
        <f>IFERROR(INDEX(Katalog!$A$3:$A$12,MATCH(cadangan3[[#This Row],[ItemID A]],Katalog!$C$3:$C$12,0)),"-")</f>
        <v>Pakaian Wanita</v>
      </c>
      <c r="E161" t="str">
        <f>IFERROR(INDEX(Katalog!$B$3:$B$12,MATCH(cadangan3[[#This Row],[ItemID A]],Katalog!$C$3:$C$12,0)),"-")</f>
        <v>Dress</v>
      </c>
      <c r="F161">
        <v>1</v>
      </c>
      <c r="G161">
        <v>4</v>
      </c>
      <c r="H161" s="36">
        <f>IFERROR(INDEX(Katalog!$D$3:$D$12,MATCH(cadangan3[[#This Row],[ItemID A]],Katalog!$C$3:$C$12,0))*cadangan3[[#This Row],[Qty A]],0)</f>
        <v>300000</v>
      </c>
      <c r="I161" s="36">
        <f>IFERROR(INDEX(Katalog!$D$3:$D$12,MATCH(cadangan3[[#This Row],[Item A]],Katalog!$B$3:$B$12,0))*cadangan3[[#This Row],[Qty A]],0)</f>
        <v>300000</v>
      </c>
      <c r="J161" s="36">
        <f>IFERROR(cadangan3[[#This Row],[Harga Asli A]]-(cadangan3[[#This Row],[Harga Asli A]]*cadangan3[[#This Row],[Diskon]]),cadangan3[[#This Row],[Harga Asli A]])</f>
        <v>300000</v>
      </c>
      <c r="K161" s="36">
        <f>INDEX(Katalog!$F$3:$F$12,MATCH(cadangan3[[#This Row],[ItemID A]],Katalog!$C$3:$C$12,0))*cadangan3[[#This Row],[Qty A]]</f>
        <v>100000</v>
      </c>
      <c r="L161" s="36">
        <f>IFERROR(cadangan3[[#This Row],[Profit A]]-(cadangan3[[#This Row],[Profit A]]*cadangan3[[#This Row],[Diskon]]),K161)</f>
        <v>100000</v>
      </c>
      <c r="M161" t="s">
        <v>61</v>
      </c>
      <c r="N161" t="str">
        <f>IFERROR(INDEX(Katalog!$A$3:$A$12,MATCH(cadangan3[[#This Row],[ItemID B]],Katalog!$C$3:$C$12,0)),"-")</f>
        <v>Pakaian Pria</v>
      </c>
      <c r="O161" t="str">
        <f>IFERROR(INDEX(Katalog!$B$3:$B$12,MATCH(cadangan3[[#This Row],[ItemID B]],Katalog!$C$3:$C$12,0)),"-")</f>
        <v>Kaos Polo</v>
      </c>
      <c r="P161">
        <v>2</v>
      </c>
      <c r="Q161">
        <v>3</v>
      </c>
      <c r="R161" s="36">
        <f>IFERROR(INDEX(Katalog!$D$3:$D$12,MATCH(cadangan3[[#This Row],[ItemID B]],Katalog!$C$3:$C$12,0))*cadangan3[[#This Row],[Qty B]],0)</f>
        <v>400000</v>
      </c>
      <c r="S161" s="36">
        <f>IFERROR(INDEX(Katalog!$D$3:$D$12,MATCH(cadangan3[[#This Row],[Item B]],Katalog!$B$3:$B$12,0))*cadangan3[[#This Row],[Qty B]],0)</f>
        <v>400000</v>
      </c>
      <c r="T161" s="36">
        <f>IFERROR(cadangan3[[#This Row],[Harga Asli B]]-(cadangan3[[#This Row],[Harga Asli B]]*cadangan3[[#This Row],[Diskon]]),cadangan3[[#This Row],[Harga Asli B]])</f>
        <v>400000</v>
      </c>
      <c r="U161" s="36">
        <f>IFERROR(INDEX(Katalog!$F$3:$F$12,MATCH(cadangan3[[#This Row],[ItemID B]],Katalog!$C$3:$C$12,0))*cadangan3[[#This Row],[Qty B]],0)</f>
        <v>160000</v>
      </c>
      <c r="V161" s="36">
        <f>IFERROR(cadangan3[[#This Row],[Profit B]]-(cadangan3[[#This Row],[Profit B]]*cadangan3[[#This Row],[Diskon]]),U161)</f>
        <v>160000</v>
      </c>
      <c r="W161" t="s">
        <v>66</v>
      </c>
      <c r="X161" t="str">
        <f>IFERROR(INDEX(Katalog!$A$3:$A$12,MATCH(cadangan3[[#This Row],[ItemID C]],Katalog!$C$3:$C$12,0)),"-")</f>
        <v>Sepatu Pria</v>
      </c>
      <c r="Y161" t="str">
        <f>IFERROR(INDEX(Katalog!$B$3:$B$12,MATCH(cadangan3[[#This Row],[ItemID C]],Katalog!$C$3:$C$12,0)),"-")</f>
        <v>Sandal Slip On</v>
      </c>
      <c r="Z161">
        <v>2</v>
      </c>
      <c r="AA161">
        <v>1</v>
      </c>
      <c r="AB161" s="36">
        <f>IFERROR(INDEX(Katalog!$D$3:$D$12,MATCH(cadangan3[[#This Row],[ItemID C]],Katalog!$C$3:$C$12,0))*cadangan3[[#This Row],[Qty C]],0)</f>
        <v>300000</v>
      </c>
      <c r="AC161" s="36">
        <f>IFERROR(INDEX(Katalog!$D$3:$D$12,MATCH(cadangan3[[#This Row],[Item C]],Katalog!$B$3:$B$12,0))*cadangan3[[#This Row],[Qty C]],0)</f>
        <v>300000</v>
      </c>
      <c r="AD161" s="36">
        <f>IFERROR(cadangan3[[#This Row],[Harga Asli C]]-(cadangan3[[#This Row],[Harga Asli C]]*cadangan3[[#This Row],[Diskon]]),cadangan3[[#This Row],[Harga Asli C]])</f>
        <v>300000</v>
      </c>
      <c r="AE161" s="36">
        <f>IFERROR(INDEX(Katalog!$F$3:$F$12,MATCH(cadangan3[[#This Row],[ItemID C]],Katalog!$C$3:$C$12,0))*cadangan3[[#This Row],[Qty C]],0)</f>
        <v>120000</v>
      </c>
      <c r="AF161" s="36">
        <f>IFERROR(cadangan3[[#This Row],[Profit C]]-(cadangan3[[#This Row],[Profit C]]*cadangan3[[#This Row],[Diskon]]),cadangan3[[#This Row],[Profit C]])</f>
        <v>120000</v>
      </c>
      <c r="AG161" s="21">
        <f>cadangan3[[#This Row],[Qty A]]+cadangan3[[#This Row],[Qty B]]+cadangan3[[#This Row],[Qty C]]</f>
        <v>5</v>
      </c>
      <c r="AH161" s="35">
        <f>cadangan3[[#This Row],[Harga A + Diskon]]+cadangan3[[#This Row],[Harga + Diskon B]]+cadangan3[[#This Row],[Harga + Diskon C]]</f>
        <v>1000000</v>
      </c>
      <c r="AI161" s="35">
        <f>(cadangan3[[#This Row],[Profit A]]+cadangan3[[#This Row],[Profit B]]+cadangan3[[#This Row],[Profit C]])</f>
        <v>380000</v>
      </c>
      <c r="AJ161" s="35">
        <f>cadangan3[[#This Row],[Provit A + Diskon]]+cadangan3[[#This Row],[Provit B + Diskon]]+cadangan3[[#This Row],[Provit C + Diskon]]</f>
        <v>380000</v>
      </c>
      <c r="AK161" s="23" t="s">
        <v>11</v>
      </c>
      <c r="AL161" s="37" t="str">
        <f>IFERROR(INDEX('Kode Diskon'!$D$3:$D$9,MATCH(cadangan3[[#This Row],[Kode diskon]],'Kode Diskon'!$C$3:$C$9,0)),"-")</f>
        <v>-</v>
      </c>
      <c r="AM161" s="23" t="s">
        <v>11</v>
      </c>
      <c r="AN161" s="23" t="s">
        <v>7</v>
      </c>
      <c r="AO161" s="23" t="s">
        <v>80</v>
      </c>
      <c r="AP161" s="24">
        <v>45024</v>
      </c>
      <c r="AQ161" s="23" t="str">
        <f>TEXT(cadangan3[[#This Row],[Tanggal terjual]],"dddd")</f>
        <v>Saturday</v>
      </c>
    </row>
    <row r="162" spans="1:43" x14ac:dyDescent="0.2">
      <c r="A162" s="20">
        <v>161</v>
      </c>
      <c r="B162" s="21" t="str">
        <f>_xlfn.CONCAT("ORD-",INDEX(Helper!$B$2:$B$5,MATCH(cadangan3[[#This Row],[Marketplace]],Helper!$A$2:$A$5,0)),TEXT(cadangan3[[#This Row],[No]],"0000"),"-",TEXT(cadangan3[[#This Row],[Tanggal terjual]],"dd/mm/yy"))</f>
        <v>ORD-SP0161-17/04/23</v>
      </c>
      <c r="C162" t="s">
        <v>63</v>
      </c>
      <c r="D162" t="str">
        <f>IFERROR(INDEX(Katalog!$A$3:$A$12,MATCH(cadangan3[[#This Row],[ItemID A]],Katalog!$C$3:$C$12,0)),"-")</f>
        <v>Pakaian Pria</v>
      </c>
      <c r="E162" t="str">
        <f>IFERROR(INDEX(Katalog!$B$3:$B$12,MATCH(cadangan3[[#This Row],[ItemID A]],Katalog!$C$3:$C$12,0)),"-")</f>
        <v>Jaket Jeans</v>
      </c>
      <c r="F162">
        <v>3</v>
      </c>
      <c r="G162">
        <v>2</v>
      </c>
      <c r="H162" s="36">
        <f>IFERROR(INDEX(Katalog!$D$3:$D$12,MATCH(cadangan3[[#This Row],[ItemID A]],Katalog!$C$3:$C$12,0))*cadangan3[[#This Row],[Qty A]],0)</f>
        <v>1200000</v>
      </c>
      <c r="I162" s="36">
        <f>IFERROR(INDEX(Katalog!$D$3:$D$12,MATCH(cadangan3[[#This Row],[Item A]],Katalog!$B$3:$B$12,0))*cadangan3[[#This Row],[Qty A]],0)</f>
        <v>1200000</v>
      </c>
      <c r="J162" s="36">
        <f>IFERROR(cadangan3[[#This Row],[Harga Asli A]]-(cadangan3[[#This Row],[Harga Asli A]]*cadangan3[[#This Row],[Diskon]]),cadangan3[[#This Row],[Harga Asli A]])</f>
        <v>960000</v>
      </c>
      <c r="K162" s="36">
        <f>INDEX(Katalog!$F$3:$F$12,MATCH(cadangan3[[#This Row],[ItemID A]],Katalog!$C$3:$C$12,0))*cadangan3[[#This Row],[Qty A]]</f>
        <v>450000</v>
      </c>
      <c r="L162" s="36">
        <f>IFERROR(cadangan3[[#This Row],[Profit A]]-(cadangan3[[#This Row],[Profit A]]*cadangan3[[#This Row],[Diskon]]),K162)</f>
        <v>360000</v>
      </c>
      <c r="M162" t="s">
        <v>67</v>
      </c>
      <c r="N162" t="str">
        <f>IFERROR(INDEX(Katalog!$A$3:$A$12,MATCH(cadangan3[[#This Row],[ItemID B]],Katalog!$C$3:$C$12,0)),"-")</f>
        <v>Sepatu Wanita</v>
      </c>
      <c r="O162" t="str">
        <f>IFERROR(INDEX(Katalog!$B$3:$B$12,MATCH(cadangan3[[#This Row],[ItemID B]],Katalog!$C$3:$C$12,0)),"-")</f>
        <v>Flat Shoes</v>
      </c>
      <c r="P162">
        <v>1</v>
      </c>
      <c r="Q162">
        <v>5</v>
      </c>
      <c r="R162" s="36">
        <f>IFERROR(INDEX(Katalog!$D$3:$D$12,MATCH(cadangan3[[#This Row],[ItemID B]],Katalog!$C$3:$C$12,0))*cadangan3[[#This Row],[Qty B]],0)</f>
        <v>250000</v>
      </c>
      <c r="S162" s="36">
        <f>IFERROR(INDEX(Katalog!$D$3:$D$12,MATCH(cadangan3[[#This Row],[Item B]],Katalog!$B$3:$B$12,0))*cadangan3[[#This Row],[Qty B]],0)</f>
        <v>250000</v>
      </c>
      <c r="T162" s="36">
        <f>IFERROR(cadangan3[[#This Row],[Harga Asli B]]-(cadangan3[[#This Row],[Harga Asli B]]*cadangan3[[#This Row],[Diskon]]),cadangan3[[#This Row],[Harga Asli B]])</f>
        <v>200000</v>
      </c>
      <c r="U162" s="36">
        <f>IFERROR(INDEX(Katalog!$F$3:$F$12,MATCH(cadangan3[[#This Row],[ItemID B]],Katalog!$C$3:$C$12,0))*cadangan3[[#This Row],[Qty B]],0)</f>
        <v>100000</v>
      </c>
      <c r="V162" s="36">
        <f>IFERROR(cadangan3[[#This Row],[Profit B]]-(cadangan3[[#This Row],[Profit B]]*cadangan3[[#This Row],[Diskon]]),U162)</f>
        <v>80000</v>
      </c>
      <c r="X162" t="str">
        <f>IFERROR(INDEX(Katalog!$A$3:$A$12,MATCH(cadangan3[[#This Row],[ItemID C]],Katalog!$C$3:$C$12,0)),"-")</f>
        <v>-</v>
      </c>
      <c r="Y162" t="str">
        <f>IFERROR(INDEX(Katalog!$B$3:$B$12,MATCH(cadangan3[[#This Row],[ItemID C]],Katalog!$C$3:$C$12,0)),"-")</f>
        <v>-</v>
      </c>
      <c r="AB162" s="36">
        <f>IFERROR(INDEX(Katalog!$D$3:$D$12,MATCH(cadangan3[[#This Row],[ItemID C]],Katalog!$C$3:$C$12,0))*cadangan3[[#This Row],[Qty C]],0)</f>
        <v>0</v>
      </c>
      <c r="AC162" s="36">
        <f>IFERROR(INDEX(Katalog!$D$3:$D$12,MATCH(cadangan3[[#This Row],[Item C]],Katalog!$B$3:$B$12,0))*cadangan3[[#This Row],[Qty C]],0)</f>
        <v>0</v>
      </c>
      <c r="AD162" s="36">
        <f>IFERROR(cadangan3[[#This Row],[Harga Asli C]]-(cadangan3[[#This Row],[Harga Asli C]]*cadangan3[[#This Row],[Diskon]]),cadangan3[[#This Row],[Harga Asli C]])</f>
        <v>0</v>
      </c>
      <c r="AE162" s="36">
        <f>IFERROR(INDEX(Katalog!$F$3:$F$12,MATCH(cadangan3[[#This Row],[ItemID C]],Katalog!$C$3:$C$12,0))*cadangan3[[#This Row],[Qty C]],0)</f>
        <v>0</v>
      </c>
      <c r="AF162" s="36">
        <f>IFERROR(cadangan3[[#This Row],[Profit C]]-(cadangan3[[#This Row],[Profit C]]*cadangan3[[#This Row],[Diskon]]),cadangan3[[#This Row],[Profit C]])</f>
        <v>0</v>
      </c>
      <c r="AG162" s="21">
        <f>cadangan3[[#This Row],[Qty A]]+cadangan3[[#This Row],[Qty B]]+cadangan3[[#This Row],[Qty C]]</f>
        <v>4</v>
      </c>
      <c r="AH162" s="35">
        <f>cadangan3[[#This Row],[Harga A + Diskon]]+cadangan3[[#This Row],[Harga + Diskon B]]+cadangan3[[#This Row],[Harga + Diskon C]]</f>
        <v>1160000</v>
      </c>
      <c r="AI162" s="35">
        <f>(cadangan3[[#This Row],[Profit A]]+cadangan3[[#This Row],[Profit B]]+cadangan3[[#This Row],[Profit C]])</f>
        <v>550000</v>
      </c>
      <c r="AJ162" s="35">
        <f>cadangan3[[#This Row],[Provit A + Diskon]]+cadangan3[[#This Row],[Provit B + Diskon]]+cadangan3[[#This Row],[Provit C + Diskon]]</f>
        <v>440000</v>
      </c>
      <c r="AK162" s="23" t="s">
        <v>8</v>
      </c>
      <c r="AL162" s="37">
        <f>IFERROR(INDEX('Kode Diskon'!$D$3:$D$9,MATCH(cadangan3[[#This Row],[Kode diskon]],'Kode Diskon'!$C$3:$C$9,0)),"-")</f>
        <v>0.2</v>
      </c>
      <c r="AM162" s="23" t="s">
        <v>9</v>
      </c>
      <c r="AN162" s="23" t="s">
        <v>7</v>
      </c>
      <c r="AO162" s="23" t="s">
        <v>76</v>
      </c>
      <c r="AP162" s="24">
        <v>45033</v>
      </c>
      <c r="AQ162" s="23" t="str">
        <f>TEXT(cadangan3[[#This Row],[Tanggal terjual]],"dddd")</f>
        <v>Monday</v>
      </c>
    </row>
    <row r="163" spans="1:43" x14ac:dyDescent="0.2">
      <c r="A163" s="20">
        <v>162</v>
      </c>
      <c r="B163" s="21" t="str">
        <f>_xlfn.CONCAT("ORD-",INDEX(Helper!$B$2:$B$5,MATCH(cadangan3[[#This Row],[Marketplace]],Helper!$A$2:$A$5,0)),TEXT(cadangan3[[#This Row],[No]],"0000"),"-",TEXT(cadangan3[[#This Row],[Tanggal terjual]],"dd/mm/yy"))</f>
        <v>ORD-SP0162-02/04/23</v>
      </c>
      <c r="C163" t="s">
        <v>64</v>
      </c>
      <c r="D163" t="str">
        <f>IFERROR(INDEX(Katalog!$A$3:$A$12,MATCH(cadangan3[[#This Row],[ItemID A]],Katalog!$C$3:$C$12,0)),"-")</f>
        <v>Pakaian Unisex</v>
      </c>
      <c r="E163" t="str">
        <f>IFERROR(INDEX(Katalog!$B$3:$B$12,MATCH(cadangan3[[#This Row],[ItemID A]],Katalog!$C$3:$C$12,0)),"-")</f>
        <v>Jaket Hoodie</v>
      </c>
      <c r="F163">
        <v>2</v>
      </c>
      <c r="G163">
        <v>3</v>
      </c>
      <c r="H163" s="36">
        <f>IFERROR(INDEX(Katalog!$D$3:$D$12,MATCH(cadangan3[[#This Row],[ItemID A]],Katalog!$C$3:$C$12,0))*cadangan3[[#This Row],[Qty A]],0)</f>
        <v>700000</v>
      </c>
      <c r="I163" s="36">
        <f>IFERROR(INDEX(Katalog!$D$3:$D$12,MATCH(cadangan3[[#This Row],[Item A]],Katalog!$B$3:$B$12,0))*cadangan3[[#This Row],[Qty A]],0)</f>
        <v>700000</v>
      </c>
      <c r="J163" s="36">
        <f>IFERROR(cadangan3[[#This Row],[Harga Asli A]]-(cadangan3[[#This Row],[Harga Asli A]]*cadangan3[[#This Row],[Diskon]]),cadangan3[[#This Row],[Harga Asli A]])</f>
        <v>630000</v>
      </c>
      <c r="K163" s="36">
        <f>INDEX(Katalog!$F$3:$F$12,MATCH(cadangan3[[#This Row],[ItemID A]],Katalog!$C$3:$C$12,0))*cadangan3[[#This Row],[Qty A]]</f>
        <v>260000</v>
      </c>
      <c r="L163" s="36">
        <f>IFERROR(cadangan3[[#This Row],[Profit A]]-(cadangan3[[#This Row],[Profit A]]*cadangan3[[#This Row],[Diskon]]),K163)</f>
        <v>234000</v>
      </c>
      <c r="M163" t="s">
        <v>64</v>
      </c>
      <c r="N163" t="str">
        <f>IFERROR(INDEX(Katalog!$A$3:$A$12,MATCH(cadangan3[[#This Row],[ItemID B]],Katalog!$C$3:$C$12,0)),"-")</f>
        <v>Pakaian Unisex</v>
      </c>
      <c r="O163" t="str">
        <f>IFERROR(INDEX(Katalog!$B$3:$B$12,MATCH(cadangan3[[#This Row],[ItemID B]],Katalog!$C$3:$C$12,0)),"-")</f>
        <v>Jaket Hoodie</v>
      </c>
      <c r="P163">
        <v>2</v>
      </c>
      <c r="Q163">
        <v>1</v>
      </c>
      <c r="R163" s="36">
        <f>IFERROR(INDEX(Katalog!$D$3:$D$12,MATCH(cadangan3[[#This Row],[ItemID B]],Katalog!$C$3:$C$12,0))*cadangan3[[#This Row],[Qty B]],0)</f>
        <v>700000</v>
      </c>
      <c r="S163" s="36">
        <f>IFERROR(INDEX(Katalog!$D$3:$D$12,MATCH(cadangan3[[#This Row],[Item B]],Katalog!$B$3:$B$12,0))*cadangan3[[#This Row],[Qty B]],0)</f>
        <v>700000</v>
      </c>
      <c r="T163" s="36">
        <f>IFERROR(cadangan3[[#This Row],[Harga Asli B]]-(cadangan3[[#This Row],[Harga Asli B]]*cadangan3[[#This Row],[Diskon]]),cadangan3[[#This Row],[Harga Asli B]])</f>
        <v>630000</v>
      </c>
      <c r="U163" s="36">
        <f>IFERROR(INDEX(Katalog!$F$3:$F$12,MATCH(cadangan3[[#This Row],[ItemID B]],Katalog!$C$3:$C$12,0))*cadangan3[[#This Row],[Qty B]],0)</f>
        <v>260000</v>
      </c>
      <c r="V163" s="36">
        <f>IFERROR(cadangan3[[#This Row],[Profit B]]-(cadangan3[[#This Row],[Profit B]]*cadangan3[[#This Row],[Diskon]]),U163)</f>
        <v>234000</v>
      </c>
      <c r="W163" t="s">
        <v>64</v>
      </c>
      <c r="X163" t="str">
        <f>IFERROR(INDEX(Katalog!$A$3:$A$12,MATCH(cadangan3[[#This Row],[ItemID C]],Katalog!$C$3:$C$12,0)),"-")</f>
        <v>Pakaian Unisex</v>
      </c>
      <c r="Y163" t="str">
        <f>IFERROR(INDEX(Katalog!$B$3:$B$12,MATCH(cadangan3[[#This Row],[ItemID C]],Katalog!$C$3:$C$12,0)),"-")</f>
        <v>Jaket Hoodie</v>
      </c>
      <c r="Z163">
        <v>2</v>
      </c>
      <c r="AA163">
        <v>4</v>
      </c>
      <c r="AB163" s="36">
        <f>IFERROR(INDEX(Katalog!$D$3:$D$12,MATCH(cadangan3[[#This Row],[ItemID C]],Katalog!$C$3:$C$12,0))*cadangan3[[#This Row],[Qty C]],0)</f>
        <v>700000</v>
      </c>
      <c r="AC163" s="36">
        <f>IFERROR(INDEX(Katalog!$D$3:$D$12,MATCH(cadangan3[[#This Row],[Item C]],Katalog!$B$3:$B$12,0))*cadangan3[[#This Row],[Qty C]],0)</f>
        <v>700000</v>
      </c>
      <c r="AD163" s="36">
        <f>IFERROR(cadangan3[[#This Row],[Harga Asli C]]-(cadangan3[[#This Row],[Harga Asli C]]*cadangan3[[#This Row],[Diskon]]),cadangan3[[#This Row],[Harga Asli C]])</f>
        <v>630000</v>
      </c>
      <c r="AE163" s="36">
        <f>IFERROR(INDEX(Katalog!$F$3:$F$12,MATCH(cadangan3[[#This Row],[ItemID C]],Katalog!$C$3:$C$12,0))*cadangan3[[#This Row],[Qty C]],0)</f>
        <v>260000</v>
      </c>
      <c r="AF163" s="36">
        <f>IFERROR(cadangan3[[#This Row],[Profit C]]-(cadangan3[[#This Row],[Profit C]]*cadangan3[[#This Row],[Diskon]]),cadangan3[[#This Row],[Profit C]])</f>
        <v>234000</v>
      </c>
      <c r="AG163" s="21">
        <f>cadangan3[[#This Row],[Qty A]]+cadangan3[[#This Row],[Qty B]]+cadangan3[[#This Row],[Qty C]]</f>
        <v>6</v>
      </c>
      <c r="AH163" s="35">
        <f>cadangan3[[#This Row],[Harga A + Diskon]]+cadangan3[[#This Row],[Harga + Diskon B]]+cadangan3[[#This Row],[Harga + Diskon C]]</f>
        <v>1890000</v>
      </c>
      <c r="AI163" s="35">
        <f>(cadangan3[[#This Row],[Profit A]]+cadangan3[[#This Row],[Profit B]]+cadangan3[[#This Row],[Profit C]])</f>
        <v>780000</v>
      </c>
      <c r="AJ163" s="35">
        <f>cadangan3[[#This Row],[Provit A + Diskon]]+cadangan3[[#This Row],[Provit B + Diskon]]+cadangan3[[#This Row],[Provit C + Diskon]]</f>
        <v>702000</v>
      </c>
      <c r="AK163" s="23" t="s">
        <v>6</v>
      </c>
      <c r="AL163" s="37">
        <f>IFERROR(INDEX('Kode Diskon'!$D$3:$D$9,MATCH(cadangan3[[#This Row],[Kode diskon]],'Kode Diskon'!$C$3:$C$9,0)),"-")</f>
        <v>0.1</v>
      </c>
      <c r="AM163" s="23" t="s">
        <v>29</v>
      </c>
      <c r="AN163" s="23" t="s">
        <v>7</v>
      </c>
      <c r="AO163" s="23" t="s">
        <v>78</v>
      </c>
      <c r="AP163" s="24">
        <v>45018</v>
      </c>
      <c r="AQ163" s="23" t="str">
        <f>TEXT(cadangan3[[#This Row],[Tanggal terjual]],"dddd")</f>
        <v>Sunday</v>
      </c>
    </row>
    <row r="164" spans="1:43" x14ac:dyDescent="0.2">
      <c r="A164" s="20">
        <v>163</v>
      </c>
      <c r="B164" s="21" t="str">
        <f>_xlfn.CONCAT("ORD-",INDEX(Helper!$B$2:$B$5,MATCH(cadangan3[[#This Row],[Marketplace]],Helper!$A$2:$A$5,0)),TEXT(cadangan3[[#This Row],[No]],"0000"),"-",TEXT(cadangan3[[#This Row],[Tanggal terjual]],"dd/mm/yy"))</f>
        <v>ORD-BL0163-19/04/23</v>
      </c>
      <c r="C164" t="s">
        <v>61</v>
      </c>
      <c r="D164" t="str">
        <f>IFERROR(INDEX(Katalog!$A$3:$A$12,MATCH(cadangan3[[#This Row],[ItemID A]],Katalog!$C$3:$C$12,0)),"-")</f>
        <v>Pakaian Pria</v>
      </c>
      <c r="E164" t="str">
        <f>IFERROR(INDEX(Katalog!$B$3:$B$12,MATCH(cadangan3[[#This Row],[ItemID A]],Katalog!$C$3:$C$12,0)),"-")</f>
        <v>Kaos Polo</v>
      </c>
      <c r="F164">
        <v>2</v>
      </c>
      <c r="G164">
        <v>3</v>
      </c>
      <c r="H164" s="36">
        <f>IFERROR(INDEX(Katalog!$D$3:$D$12,MATCH(cadangan3[[#This Row],[ItemID A]],Katalog!$C$3:$C$12,0))*cadangan3[[#This Row],[Qty A]],0)</f>
        <v>400000</v>
      </c>
      <c r="I164" s="36">
        <f>IFERROR(INDEX(Katalog!$D$3:$D$12,MATCH(cadangan3[[#This Row],[Item A]],Katalog!$B$3:$B$12,0))*cadangan3[[#This Row],[Qty A]],0)</f>
        <v>400000</v>
      </c>
      <c r="J164" s="36">
        <f>IFERROR(cadangan3[[#This Row],[Harga Asli A]]-(cadangan3[[#This Row],[Harga Asli A]]*cadangan3[[#This Row],[Diskon]]),cadangan3[[#This Row],[Harga Asli A]])</f>
        <v>340000</v>
      </c>
      <c r="K164" s="36">
        <f>INDEX(Katalog!$F$3:$F$12,MATCH(cadangan3[[#This Row],[ItemID A]],Katalog!$C$3:$C$12,0))*cadangan3[[#This Row],[Qty A]]</f>
        <v>160000</v>
      </c>
      <c r="L164" s="36">
        <f>IFERROR(cadangan3[[#This Row],[Profit A]]-(cadangan3[[#This Row],[Profit A]]*cadangan3[[#This Row],[Diskon]]),K164)</f>
        <v>136000</v>
      </c>
      <c r="M164" t="s">
        <v>66</v>
      </c>
      <c r="N164" t="str">
        <f>IFERROR(INDEX(Katalog!$A$3:$A$12,MATCH(cadangan3[[#This Row],[ItemID B]],Katalog!$C$3:$C$12,0)),"-")</f>
        <v>Sepatu Pria</v>
      </c>
      <c r="O164" t="str">
        <f>IFERROR(INDEX(Katalog!$B$3:$B$12,MATCH(cadangan3[[#This Row],[ItemID B]],Katalog!$C$3:$C$12,0)),"-")</f>
        <v>Sandal Slip On</v>
      </c>
      <c r="P164">
        <v>1</v>
      </c>
      <c r="Q164">
        <v>2</v>
      </c>
      <c r="R164" s="36">
        <f>IFERROR(INDEX(Katalog!$D$3:$D$12,MATCH(cadangan3[[#This Row],[ItemID B]],Katalog!$C$3:$C$12,0))*cadangan3[[#This Row],[Qty B]],0)</f>
        <v>150000</v>
      </c>
      <c r="S164" s="36">
        <f>IFERROR(INDEX(Katalog!$D$3:$D$12,MATCH(cadangan3[[#This Row],[Item B]],Katalog!$B$3:$B$12,0))*cadangan3[[#This Row],[Qty B]],0)</f>
        <v>150000</v>
      </c>
      <c r="T164" s="36">
        <f>IFERROR(cadangan3[[#This Row],[Harga Asli B]]-(cadangan3[[#This Row],[Harga Asli B]]*cadangan3[[#This Row],[Diskon]]),cadangan3[[#This Row],[Harga Asli B]])</f>
        <v>127500</v>
      </c>
      <c r="U164" s="36">
        <f>IFERROR(INDEX(Katalog!$F$3:$F$12,MATCH(cadangan3[[#This Row],[ItemID B]],Katalog!$C$3:$C$12,0))*cadangan3[[#This Row],[Qty B]],0)</f>
        <v>60000</v>
      </c>
      <c r="V164" s="36">
        <f>IFERROR(cadangan3[[#This Row],[Profit B]]-(cadangan3[[#This Row],[Profit B]]*cadangan3[[#This Row],[Diskon]]),U164)</f>
        <v>51000</v>
      </c>
      <c r="W164" t="s">
        <v>64</v>
      </c>
      <c r="X164" t="str">
        <f>IFERROR(INDEX(Katalog!$A$3:$A$12,MATCH(cadangan3[[#This Row],[ItemID C]],Katalog!$C$3:$C$12,0)),"-")</f>
        <v>Pakaian Unisex</v>
      </c>
      <c r="Y164" t="str">
        <f>IFERROR(INDEX(Katalog!$B$3:$B$12,MATCH(cadangan3[[#This Row],[ItemID C]],Katalog!$C$3:$C$12,0)),"-")</f>
        <v>Jaket Hoodie</v>
      </c>
      <c r="Z164">
        <v>1</v>
      </c>
      <c r="AA164">
        <v>1</v>
      </c>
      <c r="AB164" s="36">
        <f>IFERROR(INDEX(Katalog!$D$3:$D$12,MATCH(cadangan3[[#This Row],[ItemID C]],Katalog!$C$3:$C$12,0))*cadangan3[[#This Row],[Qty C]],0)</f>
        <v>350000</v>
      </c>
      <c r="AC164" s="36">
        <f>IFERROR(INDEX(Katalog!$D$3:$D$12,MATCH(cadangan3[[#This Row],[Item C]],Katalog!$B$3:$B$12,0))*cadangan3[[#This Row],[Qty C]],0)</f>
        <v>350000</v>
      </c>
      <c r="AD164" s="36">
        <f>IFERROR(cadangan3[[#This Row],[Harga Asli C]]-(cadangan3[[#This Row],[Harga Asli C]]*cadangan3[[#This Row],[Diskon]]),cadangan3[[#This Row],[Harga Asli C]])</f>
        <v>297500</v>
      </c>
      <c r="AE164" s="36">
        <f>IFERROR(INDEX(Katalog!$F$3:$F$12,MATCH(cadangan3[[#This Row],[ItemID C]],Katalog!$C$3:$C$12,0))*cadangan3[[#This Row],[Qty C]],0)</f>
        <v>130000</v>
      </c>
      <c r="AF164" s="36">
        <f>IFERROR(cadangan3[[#This Row],[Profit C]]-(cadangan3[[#This Row],[Profit C]]*cadangan3[[#This Row],[Diskon]]),cadangan3[[#This Row],[Profit C]])</f>
        <v>110500</v>
      </c>
      <c r="AG164" s="21">
        <f>cadangan3[[#This Row],[Qty A]]+cadangan3[[#This Row],[Qty B]]+cadangan3[[#This Row],[Qty C]]</f>
        <v>4</v>
      </c>
      <c r="AH164" s="35">
        <f>cadangan3[[#This Row],[Harga A + Diskon]]+cadangan3[[#This Row],[Harga + Diskon B]]+cadangan3[[#This Row],[Harga + Diskon C]]</f>
        <v>765000</v>
      </c>
      <c r="AI164" s="35">
        <f>(cadangan3[[#This Row],[Profit A]]+cadangan3[[#This Row],[Profit B]]+cadangan3[[#This Row],[Profit C]])</f>
        <v>350000</v>
      </c>
      <c r="AJ164" s="35">
        <f>cadangan3[[#This Row],[Provit A + Diskon]]+cadangan3[[#This Row],[Provit B + Diskon]]+cadangan3[[#This Row],[Provit C + Diskon]]</f>
        <v>297500</v>
      </c>
      <c r="AK164" s="23" t="s">
        <v>32</v>
      </c>
      <c r="AL164" s="37">
        <f>IFERROR(INDEX('Kode Diskon'!$D$3:$D$9,MATCH(cadangan3[[#This Row],[Kode diskon]],'Kode Diskon'!$C$3:$C$9,0)),"-")</f>
        <v>0.15</v>
      </c>
      <c r="AM164" s="23" t="s">
        <v>9</v>
      </c>
      <c r="AN164" s="23" t="s">
        <v>12</v>
      </c>
      <c r="AO164" s="23" t="s">
        <v>76</v>
      </c>
      <c r="AP164" s="24">
        <v>45035</v>
      </c>
      <c r="AQ164" s="23" t="str">
        <f>TEXT(cadangan3[[#This Row],[Tanggal terjual]],"dddd")</f>
        <v>Wednesday</v>
      </c>
    </row>
    <row r="165" spans="1:43" x14ac:dyDescent="0.2">
      <c r="A165" s="20">
        <v>164</v>
      </c>
      <c r="B165" s="21" t="str">
        <f>_xlfn.CONCAT("ORD-",INDEX(Helper!$B$2:$B$5,MATCH(cadangan3[[#This Row],[Marketplace]],Helper!$A$2:$A$5,0)),TEXT(cadangan3[[#This Row],[No]],"0000"),"-",TEXT(cadangan3[[#This Row],[Tanggal terjual]],"dd/mm/yy"))</f>
        <v>ORD-SP0164-01/04/23</v>
      </c>
      <c r="C165" t="s">
        <v>63</v>
      </c>
      <c r="D165" t="str">
        <f>IFERROR(INDEX(Katalog!$A$3:$A$12,MATCH(cadangan3[[#This Row],[ItemID A]],Katalog!$C$3:$C$12,0)),"-")</f>
        <v>Pakaian Pria</v>
      </c>
      <c r="E165" t="str">
        <f>IFERROR(INDEX(Katalog!$B$3:$B$12,MATCH(cadangan3[[#This Row],[ItemID A]],Katalog!$C$3:$C$12,0)),"-")</f>
        <v>Jaket Jeans</v>
      </c>
      <c r="F165">
        <v>2</v>
      </c>
      <c r="G165">
        <v>5</v>
      </c>
      <c r="H165" s="36">
        <f>IFERROR(INDEX(Katalog!$D$3:$D$12,MATCH(cadangan3[[#This Row],[ItemID A]],Katalog!$C$3:$C$12,0))*cadangan3[[#This Row],[Qty A]],0)</f>
        <v>800000</v>
      </c>
      <c r="I165" s="36">
        <f>IFERROR(INDEX(Katalog!$D$3:$D$12,MATCH(cadangan3[[#This Row],[Item A]],Katalog!$B$3:$B$12,0))*cadangan3[[#This Row],[Qty A]],0)</f>
        <v>800000</v>
      </c>
      <c r="J165" s="36">
        <f>IFERROR(cadangan3[[#This Row],[Harga Asli A]]-(cadangan3[[#This Row],[Harga Asli A]]*cadangan3[[#This Row],[Diskon]]),cadangan3[[#This Row],[Harga Asli A]])</f>
        <v>720000</v>
      </c>
      <c r="K165" s="36">
        <f>INDEX(Katalog!$F$3:$F$12,MATCH(cadangan3[[#This Row],[ItemID A]],Katalog!$C$3:$C$12,0))*cadangan3[[#This Row],[Qty A]]</f>
        <v>300000</v>
      </c>
      <c r="L165" s="36">
        <f>IFERROR(cadangan3[[#This Row],[Profit A]]-(cadangan3[[#This Row],[Profit A]]*cadangan3[[#This Row],[Diskon]]),K165)</f>
        <v>270000</v>
      </c>
      <c r="N165" t="str">
        <f>IFERROR(INDEX(Katalog!$A$3:$A$12,MATCH(cadangan3[[#This Row],[ItemID B]],Katalog!$C$3:$C$12,0)),"-")</f>
        <v>-</v>
      </c>
      <c r="O165" t="str">
        <f>IFERROR(INDEX(Katalog!$B$3:$B$12,MATCH(cadangan3[[#This Row],[ItemID B]],Katalog!$C$3:$C$12,0)),"-")</f>
        <v>-</v>
      </c>
      <c r="R165" s="36">
        <f>IFERROR(INDEX(Katalog!$D$3:$D$12,MATCH(cadangan3[[#This Row],[ItemID B]],Katalog!$C$3:$C$12,0))*cadangan3[[#This Row],[Qty B]],0)</f>
        <v>0</v>
      </c>
      <c r="S165" s="36">
        <f>IFERROR(INDEX(Katalog!$D$3:$D$12,MATCH(cadangan3[[#This Row],[Item B]],Katalog!$B$3:$B$12,0))*cadangan3[[#This Row],[Qty B]],0)</f>
        <v>0</v>
      </c>
      <c r="T165" s="36">
        <f>IFERROR(cadangan3[[#This Row],[Harga Asli B]]-(cadangan3[[#This Row],[Harga Asli B]]*cadangan3[[#This Row],[Diskon]]),cadangan3[[#This Row],[Harga Asli B]])</f>
        <v>0</v>
      </c>
      <c r="U165" s="36">
        <f>IFERROR(INDEX(Katalog!$F$3:$F$12,MATCH(cadangan3[[#This Row],[ItemID B]],Katalog!$C$3:$C$12,0))*cadangan3[[#This Row],[Qty B]],0)</f>
        <v>0</v>
      </c>
      <c r="V165" s="36">
        <f>IFERROR(cadangan3[[#This Row],[Profit B]]-(cadangan3[[#This Row],[Profit B]]*cadangan3[[#This Row],[Diskon]]),U165)</f>
        <v>0</v>
      </c>
      <c r="X165" t="str">
        <f>IFERROR(INDEX(Katalog!$A$3:$A$12,MATCH(cadangan3[[#This Row],[ItemID C]],Katalog!$C$3:$C$12,0)),"-")</f>
        <v>-</v>
      </c>
      <c r="Y165" t="str">
        <f>IFERROR(INDEX(Katalog!$B$3:$B$12,MATCH(cadangan3[[#This Row],[ItemID C]],Katalog!$C$3:$C$12,0)),"-")</f>
        <v>-</v>
      </c>
      <c r="AB165" s="36">
        <f>IFERROR(INDEX(Katalog!$D$3:$D$12,MATCH(cadangan3[[#This Row],[ItemID C]],Katalog!$C$3:$C$12,0))*cadangan3[[#This Row],[Qty C]],0)</f>
        <v>0</v>
      </c>
      <c r="AC165" s="36">
        <f>IFERROR(INDEX(Katalog!$D$3:$D$12,MATCH(cadangan3[[#This Row],[Item C]],Katalog!$B$3:$B$12,0))*cadangan3[[#This Row],[Qty C]],0)</f>
        <v>0</v>
      </c>
      <c r="AD165" s="36">
        <f>IFERROR(cadangan3[[#This Row],[Harga Asli C]]-(cadangan3[[#This Row],[Harga Asli C]]*cadangan3[[#This Row],[Diskon]]),cadangan3[[#This Row],[Harga Asli C]])</f>
        <v>0</v>
      </c>
      <c r="AE165" s="36">
        <f>IFERROR(INDEX(Katalog!$F$3:$F$12,MATCH(cadangan3[[#This Row],[ItemID C]],Katalog!$C$3:$C$12,0))*cadangan3[[#This Row],[Qty C]],0)</f>
        <v>0</v>
      </c>
      <c r="AF165" s="36">
        <f>IFERROR(cadangan3[[#This Row],[Profit C]]-(cadangan3[[#This Row],[Profit C]]*cadangan3[[#This Row],[Diskon]]),cadangan3[[#This Row],[Profit C]])</f>
        <v>0</v>
      </c>
      <c r="AG165" s="21">
        <f>cadangan3[[#This Row],[Qty A]]+cadangan3[[#This Row],[Qty B]]+cadangan3[[#This Row],[Qty C]]</f>
        <v>2</v>
      </c>
      <c r="AH165" s="35">
        <f>cadangan3[[#This Row],[Harga A + Diskon]]+cadangan3[[#This Row],[Harga + Diskon B]]+cadangan3[[#This Row],[Harga + Diskon C]]</f>
        <v>720000</v>
      </c>
      <c r="AI165" s="35">
        <f>(cadangan3[[#This Row],[Profit A]]+cadangan3[[#This Row],[Profit B]]+cadangan3[[#This Row],[Profit C]])</f>
        <v>300000</v>
      </c>
      <c r="AJ165" s="35">
        <f>cadangan3[[#This Row],[Provit A + Diskon]]+cadangan3[[#This Row],[Provit B + Diskon]]+cadangan3[[#This Row],[Provit C + Diskon]]</f>
        <v>270000</v>
      </c>
      <c r="AK165" s="23" t="s">
        <v>6</v>
      </c>
      <c r="AL165" s="37">
        <f>IFERROR(INDEX('Kode Diskon'!$D$3:$D$9,MATCH(cadangan3[[#This Row],[Kode diskon]],'Kode Diskon'!$C$3:$C$9,0)),"-")</f>
        <v>0.1</v>
      </c>
      <c r="AM165" s="23" t="s">
        <v>29</v>
      </c>
      <c r="AN165" s="23" t="s">
        <v>7</v>
      </c>
      <c r="AO165" s="23" t="s">
        <v>75</v>
      </c>
      <c r="AP165" s="24">
        <v>45017</v>
      </c>
      <c r="AQ165" s="23" t="str">
        <f>TEXT(cadangan3[[#This Row],[Tanggal terjual]],"dddd")</f>
        <v>Saturday</v>
      </c>
    </row>
    <row r="166" spans="1:43" x14ac:dyDescent="0.2">
      <c r="A166" s="20">
        <v>165</v>
      </c>
      <c r="B166" s="21" t="str">
        <f>_xlfn.CONCAT("ORD-",INDEX(Helper!$B$2:$B$5,MATCH(cadangan3[[#This Row],[Marketplace]],Helper!$A$2:$A$5,0)),TEXT(cadangan3[[#This Row],[No]],"0000"),"-",TEXT(cadangan3[[#This Row],[Tanggal terjual]],"dd/mm/yy"))</f>
        <v>ORD-SP0165-02/04/23</v>
      </c>
      <c r="C166" t="s">
        <v>67</v>
      </c>
      <c r="D166" t="str">
        <f>IFERROR(INDEX(Katalog!$A$3:$A$12,MATCH(cadangan3[[#This Row],[ItemID A]],Katalog!$C$3:$C$12,0)),"-")</f>
        <v>Sepatu Wanita</v>
      </c>
      <c r="E166" t="str">
        <f>IFERROR(INDEX(Katalog!$B$3:$B$12,MATCH(cadangan3[[#This Row],[ItemID A]],Katalog!$C$3:$C$12,0)),"-")</f>
        <v>Flat Shoes</v>
      </c>
      <c r="F166">
        <v>2</v>
      </c>
      <c r="G166">
        <v>4</v>
      </c>
      <c r="H166" s="36">
        <f>IFERROR(INDEX(Katalog!$D$3:$D$12,MATCH(cadangan3[[#This Row],[ItemID A]],Katalog!$C$3:$C$12,0))*cadangan3[[#This Row],[Qty A]],0)</f>
        <v>500000</v>
      </c>
      <c r="I166" s="36">
        <f>IFERROR(INDEX(Katalog!$D$3:$D$12,MATCH(cadangan3[[#This Row],[Item A]],Katalog!$B$3:$B$12,0))*cadangan3[[#This Row],[Qty A]],0)</f>
        <v>500000</v>
      </c>
      <c r="J166" s="36">
        <f>IFERROR(cadangan3[[#This Row],[Harga Asli A]]-(cadangan3[[#This Row],[Harga Asli A]]*cadangan3[[#This Row],[Diskon]]),cadangan3[[#This Row],[Harga Asli A]])</f>
        <v>450000</v>
      </c>
      <c r="K166" s="36">
        <f>INDEX(Katalog!$F$3:$F$12,MATCH(cadangan3[[#This Row],[ItemID A]],Katalog!$C$3:$C$12,0))*cadangan3[[#This Row],[Qty A]]</f>
        <v>200000</v>
      </c>
      <c r="L166" s="36">
        <f>IFERROR(cadangan3[[#This Row],[Profit A]]-(cadangan3[[#This Row],[Profit A]]*cadangan3[[#This Row],[Diskon]]),K166)</f>
        <v>180000</v>
      </c>
      <c r="N166" t="str">
        <f>IFERROR(INDEX(Katalog!$A$3:$A$12,MATCH(cadangan3[[#This Row],[ItemID B]],Katalog!$C$3:$C$12,0)),"-")</f>
        <v>-</v>
      </c>
      <c r="O166" t="str">
        <f>IFERROR(INDEX(Katalog!$B$3:$B$12,MATCH(cadangan3[[#This Row],[ItemID B]],Katalog!$C$3:$C$12,0)),"-")</f>
        <v>-</v>
      </c>
      <c r="R166" s="36">
        <f>IFERROR(INDEX(Katalog!$D$3:$D$12,MATCH(cadangan3[[#This Row],[ItemID B]],Katalog!$C$3:$C$12,0))*cadangan3[[#This Row],[Qty B]],0)</f>
        <v>0</v>
      </c>
      <c r="S166" s="36">
        <f>IFERROR(INDEX(Katalog!$D$3:$D$12,MATCH(cadangan3[[#This Row],[Item B]],Katalog!$B$3:$B$12,0))*cadangan3[[#This Row],[Qty B]],0)</f>
        <v>0</v>
      </c>
      <c r="T166" s="36">
        <f>IFERROR(cadangan3[[#This Row],[Harga Asli B]]-(cadangan3[[#This Row],[Harga Asli B]]*cadangan3[[#This Row],[Diskon]]),cadangan3[[#This Row],[Harga Asli B]])</f>
        <v>0</v>
      </c>
      <c r="U166" s="36">
        <f>IFERROR(INDEX(Katalog!$F$3:$F$12,MATCH(cadangan3[[#This Row],[ItemID B]],Katalog!$C$3:$C$12,0))*cadangan3[[#This Row],[Qty B]],0)</f>
        <v>0</v>
      </c>
      <c r="V166" s="36">
        <f>IFERROR(cadangan3[[#This Row],[Profit B]]-(cadangan3[[#This Row],[Profit B]]*cadangan3[[#This Row],[Diskon]]),U166)</f>
        <v>0</v>
      </c>
      <c r="X166" t="str">
        <f>IFERROR(INDEX(Katalog!$A$3:$A$12,MATCH(cadangan3[[#This Row],[ItemID C]],Katalog!$C$3:$C$12,0)),"-")</f>
        <v>-</v>
      </c>
      <c r="Y166" t="str">
        <f>IFERROR(INDEX(Katalog!$B$3:$B$12,MATCH(cadangan3[[#This Row],[ItemID C]],Katalog!$C$3:$C$12,0)),"-")</f>
        <v>-</v>
      </c>
      <c r="AB166" s="36">
        <f>IFERROR(INDEX(Katalog!$D$3:$D$12,MATCH(cadangan3[[#This Row],[ItemID C]],Katalog!$C$3:$C$12,0))*cadangan3[[#This Row],[Qty C]],0)</f>
        <v>0</v>
      </c>
      <c r="AC166" s="36">
        <f>IFERROR(INDEX(Katalog!$D$3:$D$12,MATCH(cadangan3[[#This Row],[Item C]],Katalog!$B$3:$B$12,0))*cadangan3[[#This Row],[Qty C]],0)</f>
        <v>0</v>
      </c>
      <c r="AD166" s="36">
        <f>IFERROR(cadangan3[[#This Row],[Harga Asli C]]-(cadangan3[[#This Row],[Harga Asli C]]*cadangan3[[#This Row],[Diskon]]),cadangan3[[#This Row],[Harga Asli C]])</f>
        <v>0</v>
      </c>
      <c r="AE166" s="36">
        <f>IFERROR(INDEX(Katalog!$F$3:$F$12,MATCH(cadangan3[[#This Row],[ItemID C]],Katalog!$C$3:$C$12,0))*cadangan3[[#This Row],[Qty C]],0)</f>
        <v>0</v>
      </c>
      <c r="AF166" s="36">
        <f>IFERROR(cadangan3[[#This Row],[Profit C]]-(cadangan3[[#This Row],[Profit C]]*cadangan3[[#This Row],[Diskon]]),cadangan3[[#This Row],[Profit C]])</f>
        <v>0</v>
      </c>
      <c r="AG166" s="21">
        <f>cadangan3[[#This Row],[Qty A]]+cadangan3[[#This Row],[Qty B]]+cadangan3[[#This Row],[Qty C]]</f>
        <v>2</v>
      </c>
      <c r="AH166" s="35">
        <f>cadangan3[[#This Row],[Harga A + Diskon]]+cadangan3[[#This Row],[Harga + Diskon B]]+cadangan3[[#This Row],[Harga + Diskon C]]</f>
        <v>450000</v>
      </c>
      <c r="AI166" s="35">
        <f>(cadangan3[[#This Row],[Profit A]]+cadangan3[[#This Row],[Profit B]]+cadangan3[[#This Row],[Profit C]])</f>
        <v>200000</v>
      </c>
      <c r="AJ166" s="35">
        <f>cadangan3[[#This Row],[Provit A + Diskon]]+cadangan3[[#This Row],[Provit B + Diskon]]+cadangan3[[#This Row],[Provit C + Diskon]]</f>
        <v>180000</v>
      </c>
      <c r="AK166" s="23" t="s">
        <v>6</v>
      </c>
      <c r="AL166" s="37">
        <f>IFERROR(INDEX('Kode Diskon'!$D$3:$D$9,MATCH(cadangan3[[#This Row],[Kode diskon]],'Kode Diskon'!$C$3:$C$9,0)),"-")</f>
        <v>0.1</v>
      </c>
      <c r="AM166" s="23" t="s">
        <v>29</v>
      </c>
      <c r="AN166" s="23" t="s">
        <v>7</v>
      </c>
      <c r="AO166" s="23" t="s">
        <v>80</v>
      </c>
      <c r="AP166" s="24">
        <v>45018</v>
      </c>
      <c r="AQ166" s="23" t="str">
        <f>TEXT(cadangan3[[#This Row],[Tanggal terjual]],"dddd")</f>
        <v>Sunday</v>
      </c>
    </row>
    <row r="167" spans="1:43" x14ac:dyDescent="0.2">
      <c r="A167" s="20">
        <v>166</v>
      </c>
      <c r="B167" s="21" t="str">
        <f>_xlfn.CONCAT("ORD-",INDEX(Helper!$B$2:$B$5,MATCH(cadangan3[[#This Row],[Marketplace]],Helper!$A$2:$A$5,0)),TEXT(cadangan3[[#This Row],[No]],"0000"),"-",TEXT(cadangan3[[#This Row],[Tanggal terjual]],"dd/mm/yy"))</f>
        <v>ORD-TK0166-27/04/23</v>
      </c>
      <c r="C167" t="s">
        <v>62</v>
      </c>
      <c r="D167" t="str">
        <f>IFERROR(INDEX(Katalog!$A$3:$A$12,MATCH(cadangan3[[#This Row],[ItemID A]],Katalog!$C$3:$C$12,0)),"-")</f>
        <v>Pakaian Pria</v>
      </c>
      <c r="E167" t="str">
        <f>IFERROR(INDEX(Katalog!$B$3:$B$12,MATCH(cadangan3[[#This Row],[ItemID A]],Katalog!$C$3:$C$12,0)),"-")</f>
        <v>Celana Pendek</v>
      </c>
      <c r="F167">
        <v>1</v>
      </c>
      <c r="G167">
        <v>4</v>
      </c>
      <c r="H167" s="36">
        <f>IFERROR(INDEX(Katalog!$D$3:$D$12,MATCH(cadangan3[[#This Row],[ItemID A]],Katalog!$C$3:$C$12,0))*cadangan3[[#This Row],[Qty A]],0)</f>
        <v>180000</v>
      </c>
      <c r="I167" s="36">
        <f>IFERROR(INDEX(Katalog!$D$3:$D$12,MATCH(cadangan3[[#This Row],[Item A]],Katalog!$B$3:$B$12,0))*cadangan3[[#This Row],[Qty A]],0)</f>
        <v>180000</v>
      </c>
      <c r="J167" s="36">
        <f>IFERROR(cadangan3[[#This Row],[Harga Asli A]]-(cadangan3[[#This Row],[Harga Asli A]]*cadangan3[[#This Row],[Diskon]]),cadangan3[[#This Row],[Harga Asli A]])</f>
        <v>162000</v>
      </c>
      <c r="K167" s="36">
        <f>INDEX(Katalog!$F$3:$F$12,MATCH(cadangan3[[#This Row],[ItemID A]],Katalog!$C$3:$C$12,0))*cadangan3[[#This Row],[Qty A]]</f>
        <v>70000</v>
      </c>
      <c r="L167" s="36">
        <f>IFERROR(cadangan3[[#This Row],[Profit A]]-(cadangan3[[#This Row],[Profit A]]*cadangan3[[#This Row],[Diskon]]),K167)</f>
        <v>63000</v>
      </c>
      <c r="M167" t="s">
        <v>61</v>
      </c>
      <c r="N167" t="str">
        <f>IFERROR(INDEX(Katalog!$A$3:$A$12,MATCH(cadangan3[[#This Row],[ItemID B]],Katalog!$C$3:$C$12,0)),"-")</f>
        <v>Pakaian Pria</v>
      </c>
      <c r="O167" t="str">
        <f>IFERROR(INDEX(Katalog!$B$3:$B$12,MATCH(cadangan3[[#This Row],[ItemID B]],Katalog!$C$3:$C$12,0)),"-")</f>
        <v>Kaos Polo</v>
      </c>
      <c r="P167">
        <v>4</v>
      </c>
      <c r="Q167">
        <v>1</v>
      </c>
      <c r="R167" s="36">
        <f>IFERROR(INDEX(Katalog!$D$3:$D$12,MATCH(cadangan3[[#This Row],[ItemID B]],Katalog!$C$3:$C$12,0))*cadangan3[[#This Row],[Qty B]],0)</f>
        <v>800000</v>
      </c>
      <c r="S167" s="36">
        <f>IFERROR(INDEX(Katalog!$D$3:$D$12,MATCH(cadangan3[[#This Row],[Item B]],Katalog!$B$3:$B$12,0))*cadangan3[[#This Row],[Qty B]],0)</f>
        <v>800000</v>
      </c>
      <c r="T167" s="36">
        <f>IFERROR(cadangan3[[#This Row],[Harga Asli B]]-(cadangan3[[#This Row],[Harga Asli B]]*cadangan3[[#This Row],[Diskon]]),cadangan3[[#This Row],[Harga Asli B]])</f>
        <v>720000</v>
      </c>
      <c r="U167" s="36">
        <f>IFERROR(INDEX(Katalog!$F$3:$F$12,MATCH(cadangan3[[#This Row],[ItemID B]],Katalog!$C$3:$C$12,0))*cadangan3[[#This Row],[Qty B]],0)</f>
        <v>320000</v>
      </c>
      <c r="V167" s="36">
        <f>IFERROR(cadangan3[[#This Row],[Profit B]]-(cadangan3[[#This Row],[Profit B]]*cadangan3[[#This Row],[Diskon]]),U167)</f>
        <v>288000</v>
      </c>
      <c r="X167" t="str">
        <f>IFERROR(INDEX(Katalog!$A$3:$A$12,MATCH(cadangan3[[#This Row],[ItemID C]],Katalog!$C$3:$C$12,0)),"-")</f>
        <v>-</v>
      </c>
      <c r="Y167" t="str">
        <f>IFERROR(INDEX(Katalog!$B$3:$B$12,MATCH(cadangan3[[#This Row],[ItemID C]],Katalog!$C$3:$C$12,0)),"-")</f>
        <v>-</v>
      </c>
      <c r="AB167" s="36">
        <f>IFERROR(INDEX(Katalog!$D$3:$D$12,MATCH(cadangan3[[#This Row],[ItemID C]],Katalog!$C$3:$C$12,0))*cadangan3[[#This Row],[Qty C]],0)</f>
        <v>0</v>
      </c>
      <c r="AC167" s="36">
        <f>IFERROR(INDEX(Katalog!$D$3:$D$12,MATCH(cadangan3[[#This Row],[Item C]],Katalog!$B$3:$B$12,0))*cadangan3[[#This Row],[Qty C]],0)</f>
        <v>0</v>
      </c>
      <c r="AD167" s="36">
        <f>IFERROR(cadangan3[[#This Row],[Harga Asli C]]-(cadangan3[[#This Row],[Harga Asli C]]*cadangan3[[#This Row],[Diskon]]),cadangan3[[#This Row],[Harga Asli C]])</f>
        <v>0</v>
      </c>
      <c r="AE167" s="36">
        <f>IFERROR(INDEX(Katalog!$F$3:$F$12,MATCH(cadangan3[[#This Row],[ItemID C]],Katalog!$C$3:$C$12,0))*cadangan3[[#This Row],[Qty C]],0)</f>
        <v>0</v>
      </c>
      <c r="AF167" s="36">
        <f>IFERROR(cadangan3[[#This Row],[Profit C]]-(cadangan3[[#This Row],[Profit C]]*cadangan3[[#This Row],[Diskon]]),cadangan3[[#This Row],[Profit C]])</f>
        <v>0</v>
      </c>
      <c r="AG167" s="21">
        <f>cadangan3[[#This Row],[Qty A]]+cadangan3[[#This Row],[Qty B]]+cadangan3[[#This Row],[Qty C]]</f>
        <v>5</v>
      </c>
      <c r="AH167" s="35">
        <f>cadangan3[[#This Row],[Harga A + Diskon]]+cadangan3[[#This Row],[Harga + Diskon B]]+cadangan3[[#This Row],[Harga + Diskon C]]</f>
        <v>882000</v>
      </c>
      <c r="AI167" s="35">
        <f>(cadangan3[[#This Row],[Profit A]]+cadangan3[[#This Row],[Profit B]]+cadangan3[[#This Row],[Profit C]])</f>
        <v>390000</v>
      </c>
      <c r="AJ167" s="35">
        <f>cadangan3[[#This Row],[Provit A + Diskon]]+cadangan3[[#This Row],[Provit B + Diskon]]+cadangan3[[#This Row],[Provit C + Diskon]]</f>
        <v>351000</v>
      </c>
      <c r="AK167" s="23" t="s">
        <v>31</v>
      </c>
      <c r="AL167" s="37">
        <f>IFERROR(INDEX('Kode Diskon'!$D$3:$D$9,MATCH(cadangan3[[#This Row],[Kode diskon]],'Kode Diskon'!$C$3:$C$9,0)),"-")</f>
        <v>0.1</v>
      </c>
      <c r="AM167" s="23" t="s">
        <v>9</v>
      </c>
      <c r="AN167" s="23" t="s">
        <v>10</v>
      </c>
      <c r="AO167" s="23" t="s">
        <v>75</v>
      </c>
      <c r="AP167" s="24">
        <v>45043</v>
      </c>
      <c r="AQ167" s="23" t="str">
        <f>TEXT(cadangan3[[#This Row],[Tanggal terjual]],"dddd")</f>
        <v>Thursday</v>
      </c>
    </row>
    <row r="168" spans="1:43" x14ac:dyDescent="0.2">
      <c r="A168" s="20">
        <v>167</v>
      </c>
      <c r="B168" s="21" t="str">
        <f>_xlfn.CONCAT("ORD-",INDEX(Helper!$B$2:$B$5,MATCH(cadangan3[[#This Row],[Marketplace]],Helper!$A$2:$A$5,0)),TEXT(cadangan3[[#This Row],[No]],"0000"),"-",TEXT(cadangan3[[#This Row],[Tanggal terjual]],"dd/mm/yy"))</f>
        <v>ORD-BB0167-15/04/23</v>
      </c>
      <c r="C168" t="s">
        <v>63</v>
      </c>
      <c r="D168" t="str">
        <f>IFERROR(INDEX(Katalog!$A$3:$A$12,MATCH(cadangan3[[#This Row],[ItemID A]],Katalog!$C$3:$C$12,0)),"-")</f>
        <v>Pakaian Pria</v>
      </c>
      <c r="E168" t="str">
        <f>IFERROR(INDEX(Katalog!$B$3:$B$12,MATCH(cadangan3[[#This Row],[ItemID A]],Katalog!$C$3:$C$12,0)),"-")</f>
        <v>Jaket Jeans</v>
      </c>
      <c r="F168">
        <v>5</v>
      </c>
      <c r="G168">
        <v>2</v>
      </c>
      <c r="H168" s="36">
        <f>IFERROR(INDEX(Katalog!$D$3:$D$12,MATCH(cadangan3[[#This Row],[ItemID A]],Katalog!$C$3:$C$12,0))*cadangan3[[#This Row],[Qty A]],0)</f>
        <v>2000000</v>
      </c>
      <c r="I168" s="36">
        <f>IFERROR(INDEX(Katalog!$D$3:$D$12,MATCH(cadangan3[[#This Row],[Item A]],Katalog!$B$3:$B$12,0))*cadangan3[[#This Row],[Qty A]],0)</f>
        <v>2000000</v>
      </c>
      <c r="J168" s="36">
        <f>IFERROR(cadangan3[[#This Row],[Harga Asli A]]-(cadangan3[[#This Row],[Harga Asli A]]*cadangan3[[#This Row],[Diskon]]),cadangan3[[#This Row],[Harga Asli A]])</f>
        <v>2000000</v>
      </c>
      <c r="K168" s="36">
        <f>INDEX(Katalog!$F$3:$F$12,MATCH(cadangan3[[#This Row],[ItemID A]],Katalog!$C$3:$C$12,0))*cadangan3[[#This Row],[Qty A]]</f>
        <v>750000</v>
      </c>
      <c r="L168" s="36">
        <f>IFERROR(cadangan3[[#This Row],[Profit A]]-(cadangan3[[#This Row],[Profit A]]*cadangan3[[#This Row],[Diskon]]),K168)</f>
        <v>750000</v>
      </c>
      <c r="M168" t="s">
        <v>66</v>
      </c>
      <c r="N168" t="str">
        <f>IFERROR(INDEX(Katalog!$A$3:$A$12,MATCH(cadangan3[[#This Row],[ItemID B]],Katalog!$C$3:$C$12,0)),"-")</f>
        <v>Sepatu Pria</v>
      </c>
      <c r="O168" t="str">
        <f>IFERROR(INDEX(Katalog!$B$3:$B$12,MATCH(cadangan3[[#This Row],[ItemID B]],Katalog!$C$3:$C$12,0)),"-")</f>
        <v>Sandal Slip On</v>
      </c>
      <c r="P168">
        <v>2</v>
      </c>
      <c r="Q168">
        <v>4</v>
      </c>
      <c r="R168" s="36">
        <f>IFERROR(INDEX(Katalog!$D$3:$D$12,MATCH(cadangan3[[#This Row],[ItemID B]],Katalog!$C$3:$C$12,0))*cadangan3[[#This Row],[Qty B]],0)</f>
        <v>300000</v>
      </c>
      <c r="S168" s="36">
        <f>IFERROR(INDEX(Katalog!$D$3:$D$12,MATCH(cadangan3[[#This Row],[Item B]],Katalog!$B$3:$B$12,0))*cadangan3[[#This Row],[Qty B]],0)</f>
        <v>300000</v>
      </c>
      <c r="T168" s="36">
        <f>IFERROR(cadangan3[[#This Row],[Harga Asli B]]-(cadangan3[[#This Row],[Harga Asli B]]*cadangan3[[#This Row],[Diskon]]),cadangan3[[#This Row],[Harga Asli B]])</f>
        <v>300000</v>
      </c>
      <c r="U168" s="36">
        <f>IFERROR(INDEX(Katalog!$F$3:$F$12,MATCH(cadangan3[[#This Row],[ItemID B]],Katalog!$C$3:$C$12,0))*cadangan3[[#This Row],[Qty B]],0)</f>
        <v>120000</v>
      </c>
      <c r="V168" s="36">
        <f>IFERROR(cadangan3[[#This Row],[Profit B]]-(cadangan3[[#This Row],[Profit B]]*cadangan3[[#This Row],[Diskon]]),U168)</f>
        <v>120000</v>
      </c>
      <c r="X168" t="str">
        <f>IFERROR(INDEX(Katalog!$A$3:$A$12,MATCH(cadangan3[[#This Row],[ItemID C]],Katalog!$C$3:$C$12,0)),"-")</f>
        <v>-</v>
      </c>
      <c r="Y168" t="str">
        <f>IFERROR(INDEX(Katalog!$B$3:$B$12,MATCH(cadangan3[[#This Row],[ItemID C]],Katalog!$C$3:$C$12,0)),"-")</f>
        <v>-</v>
      </c>
      <c r="AB168" s="36">
        <f>IFERROR(INDEX(Katalog!$D$3:$D$12,MATCH(cadangan3[[#This Row],[ItemID C]],Katalog!$C$3:$C$12,0))*cadangan3[[#This Row],[Qty C]],0)</f>
        <v>0</v>
      </c>
      <c r="AC168" s="36">
        <f>IFERROR(INDEX(Katalog!$D$3:$D$12,MATCH(cadangan3[[#This Row],[Item C]],Katalog!$B$3:$B$12,0))*cadangan3[[#This Row],[Qty C]],0)</f>
        <v>0</v>
      </c>
      <c r="AD168" s="36">
        <f>IFERROR(cadangan3[[#This Row],[Harga Asli C]]-(cadangan3[[#This Row],[Harga Asli C]]*cadangan3[[#This Row],[Diskon]]),cadangan3[[#This Row],[Harga Asli C]])</f>
        <v>0</v>
      </c>
      <c r="AE168" s="36">
        <f>IFERROR(INDEX(Katalog!$F$3:$F$12,MATCH(cadangan3[[#This Row],[ItemID C]],Katalog!$C$3:$C$12,0))*cadangan3[[#This Row],[Qty C]],0)</f>
        <v>0</v>
      </c>
      <c r="AF168" s="36">
        <f>IFERROR(cadangan3[[#This Row],[Profit C]]-(cadangan3[[#This Row],[Profit C]]*cadangan3[[#This Row],[Diskon]]),cadangan3[[#This Row],[Profit C]])</f>
        <v>0</v>
      </c>
      <c r="AG168" s="21">
        <f>cadangan3[[#This Row],[Qty A]]+cadangan3[[#This Row],[Qty B]]+cadangan3[[#This Row],[Qty C]]</f>
        <v>7</v>
      </c>
      <c r="AH168" s="35">
        <f>cadangan3[[#This Row],[Harga A + Diskon]]+cadangan3[[#This Row],[Harga + Diskon B]]+cadangan3[[#This Row],[Harga + Diskon C]]</f>
        <v>2300000</v>
      </c>
      <c r="AI168" s="35">
        <f>(cadangan3[[#This Row],[Profit A]]+cadangan3[[#This Row],[Profit B]]+cadangan3[[#This Row],[Profit C]])</f>
        <v>870000</v>
      </c>
      <c r="AJ168" s="35">
        <f>cadangan3[[#This Row],[Provit A + Diskon]]+cadangan3[[#This Row],[Provit B + Diskon]]+cadangan3[[#This Row],[Provit C + Diskon]]</f>
        <v>870000</v>
      </c>
      <c r="AK168" s="23" t="s">
        <v>11</v>
      </c>
      <c r="AL168" s="37" t="str">
        <f>IFERROR(INDEX('Kode Diskon'!$D$3:$D$9,MATCH(cadangan3[[#This Row],[Kode diskon]],'Kode Diskon'!$C$3:$C$9,0)),"-")</f>
        <v>-</v>
      </c>
      <c r="AM168" s="23" t="s">
        <v>11</v>
      </c>
      <c r="AN168" s="23" t="s">
        <v>14</v>
      </c>
      <c r="AO168" s="23" t="s">
        <v>80</v>
      </c>
      <c r="AP168" s="24">
        <v>45031</v>
      </c>
      <c r="AQ168" s="23" t="str">
        <f>TEXT(cadangan3[[#This Row],[Tanggal terjual]],"dddd")</f>
        <v>Saturday</v>
      </c>
    </row>
    <row r="169" spans="1:43" x14ac:dyDescent="0.2">
      <c r="A169" s="20">
        <v>168</v>
      </c>
      <c r="B169" s="21" t="str">
        <f>_xlfn.CONCAT("ORD-",INDEX(Helper!$B$2:$B$5,MATCH(cadangan3[[#This Row],[Marketplace]],Helper!$A$2:$A$5,0)),TEXT(cadangan3[[#This Row],[No]],"0000"),"-",TEXT(cadangan3[[#This Row],[Tanggal terjual]],"dd/mm/yy"))</f>
        <v>ORD-TK0168-09/04/23</v>
      </c>
      <c r="C169" t="s">
        <v>58</v>
      </c>
      <c r="D169" t="str">
        <f>IFERROR(INDEX(Katalog!$A$3:$A$12,MATCH(cadangan3[[#This Row],[ItemID A]],Katalog!$C$3:$C$12,0)),"-")</f>
        <v>Pakaian Wanita</v>
      </c>
      <c r="E169" t="str">
        <f>IFERROR(INDEX(Katalog!$B$3:$B$12,MATCH(cadangan3[[#This Row],[ItemID A]],Katalog!$C$3:$C$12,0)),"-")</f>
        <v>Dress</v>
      </c>
      <c r="F169">
        <v>2</v>
      </c>
      <c r="G169">
        <v>3</v>
      </c>
      <c r="H169" s="36">
        <f>IFERROR(INDEX(Katalog!$D$3:$D$12,MATCH(cadangan3[[#This Row],[ItemID A]],Katalog!$C$3:$C$12,0))*cadangan3[[#This Row],[Qty A]],0)</f>
        <v>600000</v>
      </c>
      <c r="I169" s="36">
        <f>IFERROR(INDEX(Katalog!$D$3:$D$12,MATCH(cadangan3[[#This Row],[Item A]],Katalog!$B$3:$B$12,0))*cadangan3[[#This Row],[Qty A]],0)</f>
        <v>600000</v>
      </c>
      <c r="J169" s="36">
        <f>IFERROR(cadangan3[[#This Row],[Harga Asli A]]-(cadangan3[[#This Row],[Harga Asli A]]*cadangan3[[#This Row],[Diskon]]),cadangan3[[#This Row],[Harga Asli A]])</f>
        <v>600000</v>
      </c>
      <c r="K169" s="36">
        <f>INDEX(Katalog!$F$3:$F$12,MATCH(cadangan3[[#This Row],[ItemID A]],Katalog!$C$3:$C$12,0))*cadangan3[[#This Row],[Qty A]]</f>
        <v>200000</v>
      </c>
      <c r="L169" s="36">
        <f>IFERROR(cadangan3[[#This Row],[Profit A]]-(cadangan3[[#This Row],[Profit A]]*cadangan3[[#This Row],[Diskon]]),K169)</f>
        <v>200000</v>
      </c>
      <c r="M169" t="s">
        <v>60</v>
      </c>
      <c r="N169" t="str">
        <f>IFERROR(INDEX(Katalog!$A$3:$A$12,MATCH(cadangan3[[#This Row],[ItemID B]],Katalog!$C$3:$C$12,0)),"-")</f>
        <v>Pakaian Wanita</v>
      </c>
      <c r="O169" t="str">
        <f>IFERROR(INDEX(Katalog!$B$3:$B$12,MATCH(cadangan3[[#This Row],[ItemID B]],Katalog!$C$3:$C$12,0)),"-")</f>
        <v>Kaftan</v>
      </c>
      <c r="P169">
        <v>1</v>
      </c>
      <c r="Q169">
        <v>4</v>
      </c>
      <c r="R169" s="36">
        <f>IFERROR(INDEX(Katalog!$D$3:$D$12,MATCH(cadangan3[[#This Row],[ItemID B]],Katalog!$C$3:$C$12,0))*cadangan3[[#This Row],[Qty B]],0)</f>
        <v>250000</v>
      </c>
      <c r="S169" s="36">
        <f>IFERROR(INDEX(Katalog!$D$3:$D$12,MATCH(cadangan3[[#This Row],[Item B]],Katalog!$B$3:$B$12,0))*cadangan3[[#This Row],[Qty B]],0)</f>
        <v>250000</v>
      </c>
      <c r="T169" s="36">
        <f>IFERROR(cadangan3[[#This Row],[Harga Asli B]]-(cadangan3[[#This Row],[Harga Asli B]]*cadangan3[[#This Row],[Diskon]]),cadangan3[[#This Row],[Harga Asli B]])</f>
        <v>250000</v>
      </c>
      <c r="U169" s="36">
        <f>IFERROR(INDEX(Katalog!$F$3:$F$12,MATCH(cadangan3[[#This Row],[ItemID B]],Katalog!$C$3:$C$12,0))*cadangan3[[#This Row],[Qty B]],0)</f>
        <v>100000</v>
      </c>
      <c r="V169" s="36">
        <f>IFERROR(cadangan3[[#This Row],[Profit B]]-(cadangan3[[#This Row],[Profit B]]*cadangan3[[#This Row],[Diskon]]),U169)</f>
        <v>100000</v>
      </c>
      <c r="X169" t="str">
        <f>IFERROR(INDEX(Katalog!$A$3:$A$12,MATCH(cadangan3[[#This Row],[ItemID C]],Katalog!$C$3:$C$12,0)),"-")</f>
        <v>-</v>
      </c>
      <c r="Y169" t="str">
        <f>IFERROR(INDEX(Katalog!$B$3:$B$12,MATCH(cadangan3[[#This Row],[ItemID C]],Katalog!$C$3:$C$12,0)),"-")</f>
        <v>-</v>
      </c>
      <c r="AB169" s="36">
        <f>IFERROR(INDEX(Katalog!$D$3:$D$12,MATCH(cadangan3[[#This Row],[ItemID C]],Katalog!$C$3:$C$12,0))*cadangan3[[#This Row],[Qty C]],0)</f>
        <v>0</v>
      </c>
      <c r="AC169" s="36">
        <f>IFERROR(INDEX(Katalog!$D$3:$D$12,MATCH(cadangan3[[#This Row],[Item C]],Katalog!$B$3:$B$12,0))*cadangan3[[#This Row],[Qty C]],0)</f>
        <v>0</v>
      </c>
      <c r="AD169" s="36">
        <f>IFERROR(cadangan3[[#This Row],[Harga Asli C]]-(cadangan3[[#This Row],[Harga Asli C]]*cadangan3[[#This Row],[Diskon]]),cadangan3[[#This Row],[Harga Asli C]])</f>
        <v>0</v>
      </c>
      <c r="AE169" s="36">
        <f>IFERROR(INDEX(Katalog!$F$3:$F$12,MATCH(cadangan3[[#This Row],[ItemID C]],Katalog!$C$3:$C$12,0))*cadangan3[[#This Row],[Qty C]],0)</f>
        <v>0</v>
      </c>
      <c r="AF169" s="36">
        <f>IFERROR(cadangan3[[#This Row],[Profit C]]-(cadangan3[[#This Row],[Profit C]]*cadangan3[[#This Row],[Diskon]]),cadangan3[[#This Row],[Profit C]])</f>
        <v>0</v>
      </c>
      <c r="AG169" s="21">
        <f>cadangan3[[#This Row],[Qty A]]+cadangan3[[#This Row],[Qty B]]+cadangan3[[#This Row],[Qty C]]</f>
        <v>3</v>
      </c>
      <c r="AH169" s="35">
        <f>cadangan3[[#This Row],[Harga A + Diskon]]+cadangan3[[#This Row],[Harga + Diskon B]]+cadangan3[[#This Row],[Harga + Diskon C]]</f>
        <v>850000</v>
      </c>
      <c r="AI169" s="35">
        <f>(cadangan3[[#This Row],[Profit A]]+cadangan3[[#This Row],[Profit B]]+cadangan3[[#This Row],[Profit C]])</f>
        <v>300000</v>
      </c>
      <c r="AJ169" s="35">
        <f>cadangan3[[#This Row],[Provit A + Diskon]]+cadangan3[[#This Row],[Provit B + Diskon]]+cadangan3[[#This Row],[Provit C + Diskon]]</f>
        <v>300000</v>
      </c>
      <c r="AK169" s="23" t="s">
        <v>11</v>
      </c>
      <c r="AL169" s="37" t="str">
        <f>IFERROR(INDEX('Kode Diskon'!$D$3:$D$9,MATCH(cadangan3[[#This Row],[Kode diskon]],'Kode Diskon'!$C$3:$C$9,0)),"-")</f>
        <v>-</v>
      </c>
      <c r="AM169" s="23" t="s">
        <v>11</v>
      </c>
      <c r="AN169" s="23" t="s">
        <v>10</v>
      </c>
      <c r="AO169" s="23" t="s">
        <v>77</v>
      </c>
      <c r="AP169" s="24">
        <v>45025</v>
      </c>
      <c r="AQ169" s="23" t="str">
        <f>TEXT(cadangan3[[#This Row],[Tanggal terjual]],"dddd")</f>
        <v>Sunday</v>
      </c>
    </row>
    <row r="170" spans="1:43" x14ac:dyDescent="0.2">
      <c r="A170" s="20">
        <v>169</v>
      </c>
      <c r="B170" s="21" t="str">
        <f>_xlfn.CONCAT("ORD-",INDEX(Helper!$B$2:$B$5,MATCH(cadangan3[[#This Row],[Marketplace]],Helper!$A$2:$A$5,0)),TEXT(cadangan3[[#This Row],[No]],"0000"),"-",TEXT(cadangan3[[#This Row],[Tanggal terjual]],"dd/mm/yy"))</f>
        <v>ORD-TK0169-22/04/23</v>
      </c>
      <c r="C170" t="s">
        <v>58</v>
      </c>
      <c r="D170" t="str">
        <f>IFERROR(INDEX(Katalog!$A$3:$A$12,MATCH(cadangan3[[#This Row],[ItemID A]],Katalog!$C$3:$C$12,0)),"-")</f>
        <v>Pakaian Wanita</v>
      </c>
      <c r="E170" t="str">
        <f>IFERROR(INDEX(Katalog!$B$3:$B$12,MATCH(cadangan3[[#This Row],[ItemID A]],Katalog!$C$3:$C$12,0)),"-")</f>
        <v>Dress</v>
      </c>
      <c r="F170">
        <v>1</v>
      </c>
      <c r="G170">
        <v>5</v>
      </c>
      <c r="H170" s="36">
        <f>IFERROR(INDEX(Katalog!$D$3:$D$12,MATCH(cadangan3[[#This Row],[ItemID A]],Katalog!$C$3:$C$12,0))*cadangan3[[#This Row],[Qty A]],0)</f>
        <v>300000</v>
      </c>
      <c r="I170" s="36">
        <f>IFERROR(INDEX(Katalog!$D$3:$D$12,MATCH(cadangan3[[#This Row],[Item A]],Katalog!$B$3:$B$12,0))*cadangan3[[#This Row],[Qty A]],0)</f>
        <v>300000</v>
      </c>
      <c r="J170" s="36">
        <f>IFERROR(cadangan3[[#This Row],[Harga Asli A]]-(cadangan3[[#This Row],[Harga Asli A]]*cadangan3[[#This Row],[Diskon]]),cadangan3[[#This Row],[Harga Asli A]])</f>
        <v>270000</v>
      </c>
      <c r="K170" s="36">
        <f>INDEX(Katalog!$F$3:$F$12,MATCH(cadangan3[[#This Row],[ItemID A]],Katalog!$C$3:$C$12,0))*cadangan3[[#This Row],[Qty A]]</f>
        <v>100000</v>
      </c>
      <c r="L170" s="36">
        <f>IFERROR(cadangan3[[#This Row],[Profit A]]-(cadangan3[[#This Row],[Profit A]]*cadangan3[[#This Row],[Diskon]]),K170)</f>
        <v>90000</v>
      </c>
      <c r="M170" t="s">
        <v>66</v>
      </c>
      <c r="N170" t="str">
        <f>IFERROR(INDEX(Katalog!$A$3:$A$12,MATCH(cadangan3[[#This Row],[ItemID B]],Katalog!$C$3:$C$12,0)),"-")</f>
        <v>Sepatu Pria</v>
      </c>
      <c r="O170" t="str">
        <f>IFERROR(INDEX(Katalog!$B$3:$B$12,MATCH(cadangan3[[#This Row],[ItemID B]],Katalog!$C$3:$C$12,0)),"-")</f>
        <v>Sandal Slip On</v>
      </c>
      <c r="P170">
        <v>2</v>
      </c>
      <c r="Q170">
        <v>5</v>
      </c>
      <c r="R170" s="36">
        <f>IFERROR(INDEX(Katalog!$D$3:$D$12,MATCH(cadangan3[[#This Row],[ItemID B]],Katalog!$C$3:$C$12,0))*cadangan3[[#This Row],[Qty B]],0)</f>
        <v>300000</v>
      </c>
      <c r="S170" s="36">
        <f>IFERROR(INDEX(Katalog!$D$3:$D$12,MATCH(cadangan3[[#This Row],[Item B]],Katalog!$B$3:$B$12,0))*cadangan3[[#This Row],[Qty B]],0)</f>
        <v>300000</v>
      </c>
      <c r="T170" s="36">
        <f>IFERROR(cadangan3[[#This Row],[Harga Asli B]]-(cadangan3[[#This Row],[Harga Asli B]]*cadangan3[[#This Row],[Diskon]]),cadangan3[[#This Row],[Harga Asli B]])</f>
        <v>270000</v>
      </c>
      <c r="U170" s="36">
        <f>IFERROR(INDEX(Katalog!$F$3:$F$12,MATCH(cadangan3[[#This Row],[ItemID B]],Katalog!$C$3:$C$12,0))*cadangan3[[#This Row],[Qty B]],0)</f>
        <v>120000</v>
      </c>
      <c r="V170" s="36">
        <f>IFERROR(cadangan3[[#This Row],[Profit B]]-(cadangan3[[#This Row],[Profit B]]*cadangan3[[#This Row],[Diskon]]),U170)</f>
        <v>108000</v>
      </c>
      <c r="X170" t="str">
        <f>IFERROR(INDEX(Katalog!$A$3:$A$12,MATCH(cadangan3[[#This Row],[ItemID C]],Katalog!$C$3:$C$12,0)),"-")</f>
        <v>-</v>
      </c>
      <c r="Y170" t="str">
        <f>IFERROR(INDEX(Katalog!$B$3:$B$12,MATCH(cadangan3[[#This Row],[ItemID C]],Katalog!$C$3:$C$12,0)),"-")</f>
        <v>-</v>
      </c>
      <c r="AB170" s="36">
        <f>IFERROR(INDEX(Katalog!$D$3:$D$12,MATCH(cadangan3[[#This Row],[ItemID C]],Katalog!$C$3:$C$12,0))*cadangan3[[#This Row],[Qty C]],0)</f>
        <v>0</v>
      </c>
      <c r="AC170" s="36">
        <f>IFERROR(INDEX(Katalog!$D$3:$D$12,MATCH(cadangan3[[#This Row],[Item C]],Katalog!$B$3:$B$12,0))*cadangan3[[#This Row],[Qty C]],0)</f>
        <v>0</v>
      </c>
      <c r="AD170" s="36">
        <f>IFERROR(cadangan3[[#This Row],[Harga Asli C]]-(cadangan3[[#This Row],[Harga Asli C]]*cadangan3[[#This Row],[Diskon]]),cadangan3[[#This Row],[Harga Asli C]])</f>
        <v>0</v>
      </c>
      <c r="AE170" s="36">
        <f>IFERROR(INDEX(Katalog!$F$3:$F$12,MATCH(cadangan3[[#This Row],[ItemID C]],Katalog!$C$3:$C$12,0))*cadangan3[[#This Row],[Qty C]],0)</f>
        <v>0</v>
      </c>
      <c r="AF170" s="36">
        <f>IFERROR(cadangan3[[#This Row],[Profit C]]-(cadangan3[[#This Row],[Profit C]]*cadangan3[[#This Row],[Diskon]]),cadangan3[[#This Row],[Profit C]])</f>
        <v>0</v>
      </c>
      <c r="AG170" s="21">
        <f>cadangan3[[#This Row],[Qty A]]+cadangan3[[#This Row],[Qty B]]+cadangan3[[#This Row],[Qty C]]</f>
        <v>3</v>
      </c>
      <c r="AH170" s="35">
        <f>cadangan3[[#This Row],[Harga A + Diskon]]+cadangan3[[#This Row],[Harga + Diskon B]]+cadangan3[[#This Row],[Harga + Diskon C]]</f>
        <v>540000</v>
      </c>
      <c r="AI170" s="35">
        <f>(cadangan3[[#This Row],[Profit A]]+cadangan3[[#This Row],[Profit B]]+cadangan3[[#This Row],[Profit C]])</f>
        <v>220000</v>
      </c>
      <c r="AJ170" s="35">
        <f>cadangan3[[#This Row],[Provit A + Diskon]]+cadangan3[[#This Row],[Provit B + Diskon]]+cadangan3[[#This Row],[Provit C + Diskon]]</f>
        <v>198000</v>
      </c>
      <c r="AK170" s="23" t="s">
        <v>31</v>
      </c>
      <c r="AL170" s="37">
        <f>IFERROR(INDEX('Kode Diskon'!$D$3:$D$9,MATCH(cadangan3[[#This Row],[Kode diskon]],'Kode Diskon'!$C$3:$C$9,0)),"-")</f>
        <v>0.1</v>
      </c>
      <c r="AM170" s="23" t="s">
        <v>9</v>
      </c>
      <c r="AN170" s="23" t="s">
        <v>10</v>
      </c>
      <c r="AO170" s="23" t="s">
        <v>80</v>
      </c>
      <c r="AP170" s="24">
        <v>45038</v>
      </c>
      <c r="AQ170" s="23" t="str">
        <f>TEXT(cadangan3[[#This Row],[Tanggal terjual]],"dddd")</f>
        <v>Saturday</v>
      </c>
    </row>
    <row r="171" spans="1:43" x14ac:dyDescent="0.2">
      <c r="A171" s="20">
        <v>170</v>
      </c>
      <c r="B171" s="21" t="str">
        <f>_xlfn.CONCAT("ORD-",INDEX(Helper!$B$2:$B$5,MATCH(cadangan3[[#This Row],[Marketplace]],Helper!$A$2:$A$5,0)),TEXT(cadangan3[[#This Row],[No]],"0000"),"-",TEXT(cadangan3[[#This Row],[Tanggal terjual]],"dd/mm/yy"))</f>
        <v>ORD-SP0170-27/04/23</v>
      </c>
      <c r="C171" t="s">
        <v>63</v>
      </c>
      <c r="D171" t="str">
        <f>IFERROR(INDEX(Katalog!$A$3:$A$12,MATCH(cadangan3[[#This Row],[ItemID A]],Katalog!$C$3:$C$12,0)),"-")</f>
        <v>Pakaian Pria</v>
      </c>
      <c r="E171" t="str">
        <f>IFERROR(INDEX(Katalog!$B$3:$B$12,MATCH(cadangan3[[#This Row],[ItemID A]],Katalog!$C$3:$C$12,0)),"-")</f>
        <v>Jaket Jeans</v>
      </c>
      <c r="F171">
        <v>1</v>
      </c>
      <c r="G171">
        <v>3</v>
      </c>
      <c r="H171" s="36">
        <f>IFERROR(INDEX(Katalog!$D$3:$D$12,MATCH(cadangan3[[#This Row],[ItemID A]],Katalog!$C$3:$C$12,0))*cadangan3[[#This Row],[Qty A]],0)</f>
        <v>400000</v>
      </c>
      <c r="I171" s="36">
        <f>IFERROR(INDEX(Katalog!$D$3:$D$12,MATCH(cadangan3[[#This Row],[Item A]],Katalog!$B$3:$B$12,0))*cadangan3[[#This Row],[Qty A]],0)</f>
        <v>400000</v>
      </c>
      <c r="J171" s="36">
        <f>IFERROR(cadangan3[[#This Row],[Harga Asli A]]-(cadangan3[[#This Row],[Harga Asli A]]*cadangan3[[#This Row],[Diskon]]),cadangan3[[#This Row],[Harga Asli A]])</f>
        <v>320000</v>
      </c>
      <c r="K171" s="36">
        <f>INDEX(Katalog!$F$3:$F$12,MATCH(cadangan3[[#This Row],[ItemID A]],Katalog!$C$3:$C$12,0))*cadangan3[[#This Row],[Qty A]]</f>
        <v>150000</v>
      </c>
      <c r="L171" s="36">
        <f>IFERROR(cadangan3[[#This Row],[Profit A]]-(cadangan3[[#This Row],[Profit A]]*cadangan3[[#This Row],[Diskon]]),K171)</f>
        <v>120000</v>
      </c>
      <c r="N171" t="str">
        <f>IFERROR(INDEX(Katalog!$A$3:$A$12,MATCH(cadangan3[[#This Row],[ItemID B]],Katalog!$C$3:$C$12,0)),"-")</f>
        <v>-</v>
      </c>
      <c r="O171" t="str">
        <f>IFERROR(INDEX(Katalog!$B$3:$B$12,MATCH(cadangan3[[#This Row],[ItemID B]],Katalog!$C$3:$C$12,0)),"-")</f>
        <v>-</v>
      </c>
      <c r="R171" s="36">
        <f>IFERROR(INDEX(Katalog!$D$3:$D$12,MATCH(cadangan3[[#This Row],[ItemID B]],Katalog!$C$3:$C$12,0))*cadangan3[[#This Row],[Qty B]],0)</f>
        <v>0</v>
      </c>
      <c r="S171" s="36">
        <f>IFERROR(INDEX(Katalog!$D$3:$D$12,MATCH(cadangan3[[#This Row],[Item B]],Katalog!$B$3:$B$12,0))*cadangan3[[#This Row],[Qty B]],0)</f>
        <v>0</v>
      </c>
      <c r="T171" s="36">
        <f>IFERROR(cadangan3[[#This Row],[Harga Asli B]]-(cadangan3[[#This Row],[Harga Asli B]]*cadangan3[[#This Row],[Diskon]]),cadangan3[[#This Row],[Harga Asli B]])</f>
        <v>0</v>
      </c>
      <c r="U171" s="36">
        <f>IFERROR(INDEX(Katalog!$F$3:$F$12,MATCH(cadangan3[[#This Row],[ItemID B]],Katalog!$C$3:$C$12,0))*cadangan3[[#This Row],[Qty B]],0)</f>
        <v>0</v>
      </c>
      <c r="V171" s="36">
        <f>IFERROR(cadangan3[[#This Row],[Profit B]]-(cadangan3[[#This Row],[Profit B]]*cadangan3[[#This Row],[Diskon]]),U171)</f>
        <v>0</v>
      </c>
      <c r="X171" t="str">
        <f>IFERROR(INDEX(Katalog!$A$3:$A$12,MATCH(cadangan3[[#This Row],[ItemID C]],Katalog!$C$3:$C$12,0)),"-")</f>
        <v>-</v>
      </c>
      <c r="Y171" t="str">
        <f>IFERROR(INDEX(Katalog!$B$3:$B$12,MATCH(cadangan3[[#This Row],[ItemID C]],Katalog!$C$3:$C$12,0)),"-")</f>
        <v>-</v>
      </c>
      <c r="AB171" s="36">
        <f>IFERROR(INDEX(Katalog!$D$3:$D$12,MATCH(cadangan3[[#This Row],[ItemID C]],Katalog!$C$3:$C$12,0))*cadangan3[[#This Row],[Qty C]],0)</f>
        <v>0</v>
      </c>
      <c r="AC171" s="36">
        <f>IFERROR(INDEX(Katalog!$D$3:$D$12,MATCH(cadangan3[[#This Row],[Item C]],Katalog!$B$3:$B$12,0))*cadangan3[[#This Row],[Qty C]],0)</f>
        <v>0</v>
      </c>
      <c r="AD171" s="36">
        <f>IFERROR(cadangan3[[#This Row],[Harga Asli C]]-(cadangan3[[#This Row],[Harga Asli C]]*cadangan3[[#This Row],[Diskon]]),cadangan3[[#This Row],[Harga Asli C]])</f>
        <v>0</v>
      </c>
      <c r="AE171" s="36">
        <f>IFERROR(INDEX(Katalog!$F$3:$F$12,MATCH(cadangan3[[#This Row],[ItemID C]],Katalog!$C$3:$C$12,0))*cadangan3[[#This Row],[Qty C]],0)</f>
        <v>0</v>
      </c>
      <c r="AF171" s="36">
        <f>IFERROR(cadangan3[[#This Row],[Profit C]]-(cadangan3[[#This Row],[Profit C]]*cadangan3[[#This Row],[Diskon]]),cadangan3[[#This Row],[Profit C]])</f>
        <v>0</v>
      </c>
      <c r="AG171" s="21">
        <f>cadangan3[[#This Row],[Qty A]]+cadangan3[[#This Row],[Qty B]]+cadangan3[[#This Row],[Qty C]]</f>
        <v>1</v>
      </c>
      <c r="AH171" s="35">
        <f>cadangan3[[#This Row],[Harga A + Diskon]]+cadangan3[[#This Row],[Harga + Diskon B]]+cadangan3[[#This Row],[Harga + Diskon C]]</f>
        <v>320000</v>
      </c>
      <c r="AI171" s="35">
        <f>(cadangan3[[#This Row],[Profit A]]+cadangan3[[#This Row],[Profit B]]+cadangan3[[#This Row],[Profit C]])</f>
        <v>150000</v>
      </c>
      <c r="AJ171" s="35">
        <f>cadangan3[[#This Row],[Provit A + Diskon]]+cadangan3[[#This Row],[Provit B + Diskon]]+cadangan3[[#This Row],[Provit C + Diskon]]</f>
        <v>120000</v>
      </c>
      <c r="AK171" s="23" t="s">
        <v>8</v>
      </c>
      <c r="AL171" s="37">
        <f>IFERROR(INDEX('Kode Diskon'!$D$3:$D$9,MATCH(cadangan3[[#This Row],[Kode diskon]],'Kode Diskon'!$C$3:$C$9,0)),"-")</f>
        <v>0.2</v>
      </c>
      <c r="AM171" s="23" t="s">
        <v>9</v>
      </c>
      <c r="AN171" s="23" t="s">
        <v>7</v>
      </c>
      <c r="AO171" s="23" t="s">
        <v>79</v>
      </c>
      <c r="AP171" s="24">
        <v>45043</v>
      </c>
      <c r="AQ171" s="23" t="str">
        <f>TEXT(cadangan3[[#This Row],[Tanggal terjual]],"dddd")</f>
        <v>Thursday</v>
      </c>
    </row>
    <row r="172" spans="1:43" x14ac:dyDescent="0.2">
      <c r="A172" s="20">
        <v>171</v>
      </c>
      <c r="B172" s="21" t="str">
        <f>_xlfn.CONCAT("ORD-",INDEX(Helper!$B$2:$B$5,MATCH(cadangan3[[#This Row],[Marketplace]],Helper!$A$2:$A$5,0)),TEXT(cadangan3[[#This Row],[No]],"0000"),"-",TEXT(cadangan3[[#This Row],[Tanggal terjual]],"dd/mm/yy"))</f>
        <v>ORD-SP0171-08/04/23</v>
      </c>
      <c r="C172" t="s">
        <v>62</v>
      </c>
      <c r="D172" t="str">
        <f>IFERROR(INDEX(Katalog!$A$3:$A$12,MATCH(cadangan3[[#This Row],[ItemID A]],Katalog!$C$3:$C$12,0)),"-")</f>
        <v>Pakaian Pria</v>
      </c>
      <c r="E172" t="str">
        <f>IFERROR(INDEX(Katalog!$B$3:$B$12,MATCH(cadangan3[[#This Row],[ItemID A]],Katalog!$C$3:$C$12,0)),"-")</f>
        <v>Celana Pendek</v>
      </c>
      <c r="F172">
        <v>3</v>
      </c>
      <c r="G172">
        <v>1</v>
      </c>
      <c r="H172" s="36">
        <f>IFERROR(INDEX(Katalog!$D$3:$D$12,MATCH(cadangan3[[#This Row],[ItemID A]],Katalog!$C$3:$C$12,0))*cadangan3[[#This Row],[Qty A]],0)</f>
        <v>540000</v>
      </c>
      <c r="I172" s="36">
        <f>IFERROR(INDEX(Katalog!$D$3:$D$12,MATCH(cadangan3[[#This Row],[Item A]],Katalog!$B$3:$B$12,0))*cadangan3[[#This Row],[Qty A]],0)</f>
        <v>540000</v>
      </c>
      <c r="J172" s="36">
        <f>IFERROR(cadangan3[[#This Row],[Harga Asli A]]-(cadangan3[[#This Row],[Harga Asli A]]*cadangan3[[#This Row],[Diskon]]),cadangan3[[#This Row],[Harga Asli A]])</f>
        <v>540000</v>
      </c>
      <c r="K172" s="36">
        <f>INDEX(Katalog!$F$3:$F$12,MATCH(cadangan3[[#This Row],[ItemID A]],Katalog!$C$3:$C$12,0))*cadangan3[[#This Row],[Qty A]]</f>
        <v>210000</v>
      </c>
      <c r="L172" s="36">
        <f>IFERROR(cadangan3[[#This Row],[Profit A]]-(cadangan3[[#This Row],[Profit A]]*cadangan3[[#This Row],[Diskon]]),K172)</f>
        <v>210000</v>
      </c>
      <c r="M172" t="s">
        <v>66</v>
      </c>
      <c r="N172" t="str">
        <f>IFERROR(INDEX(Katalog!$A$3:$A$12,MATCH(cadangan3[[#This Row],[ItemID B]],Katalog!$C$3:$C$12,0)),"-")</f>
        <v>Sepatu Pria</v>
      </c>
      <c r="O172" t="str">
        <f>IFERROR(INDEX(Katalog!$B$3:$B$12,MATCH(cadangan3[[#This Row],[ItemID B]],Katalog!$C$3:$C$12,0)),"-")</f>
        <v>Sandal Slip On</v>
      </c>
      <c r="P172">
        <v>1</v>
      </c>
      <c r="Q172">
        <v>2</v>
      </c>
      <c r="R172" s="36">
        <f>IFERROR(INDEX(Katalog!$D$3:$D$12,MATCH(cadangan3[[#This Row],[ItemID B]],Katalog!$C$3:$C$12,0))*cadangan3[[#This Row],[Qty B]],0)</f>
        <v>150000</v>
      </c>
      <c r="S172" s="36">
        <f>IFERROR(INDEX(Katalog!$D$3:$D$12,MATCH(cadangan3[[#This Row],[Item B]],Katalog!$B$3:$B$12,0))*cadangan3[[#This Row],[Qty B]],0)</f>
        <v>150000</v>
      </c>
      <c r="T172" s="36">
        <f>IFERROR(cadangan3[[#This Row],[Harga Asli B]]-(cadangan3[[#This Row],[Harga Asli B]]*cadangan3[[#This Row],[Diskon]]),cadangan3[[#This Row],[Harga Asli B]])</f>
        <v>150000</v>
      </c>
      <c r="U172" s="36">
        <f>IFERROR(INDEX(Katalog!$F$3:$F$12,MATCH(cadangan3[[#This Row],[ItemID B]],Katalog!$C$3:$C$12,0))*cadangan3[[#This Row],[Qty B]],0)</f>
        <v>60000</v>
      </c>
      <c r="V172" s="36">
        <f>IFERROR(cadangan3[[#This Row],[Profit B]]-(cadangan3[[#This Row],[Profit B]]*cadangan3[[#This Row],[Diskon]]),U172)</f>
        <v>60000</v>
      </c>
      <c r="W172" t="s">
        <v>60</v>
      </c>
      <c r="X172" t="str">
        <f>IFERROR(INDEX(Katalog!$A$3:$A$12,MATCH(cadangan3[[#This Row],[ItemID C]],Katalog!$C$3:$C$12,0)),"-")</f>
        <v>Pakaian Wanita</v>
      </c>
      <c r="Y172" t="str">
        <f>IFERROR(INDEX(Katalog!$B$3:$B$12,MATCH(cadangan3[[#This Row],[ItemID C]],Katalog!$C$3:$C$12,0)),"-")</f>
        <v>Kaftan</v>
      </c>
      <c r="Z172">
        <v>2</v>
      </c>
      <c r="AA172">
        <v>1</v>
      </c>
      <c r="AB172" s="36">
        <f>IFERROR(INDEX(Katalog!$D$3:$D$12,MATCH(cadangan3[[#This Row],[ItemID C]],Katalog!$C$3:$C$12,0))*cadangan3[[#This Row],[Qty C]],0)</f>
        <v>500000</v>
      </c>
      <c r="AC172" s="36">
        <f>IFERROR(INDEX(Katalog!$D$3:$D$12,MATCH(cadangan3[[#This Row],[Item C]],Katalog!$B$3:$B$12,0))*cadangan3[[#This Row],[Qty C]],0)</f>
        <v>500000</v>
      </c>
      <c r="AD172" s="36">
        <f>IFERROR(cadangan3[[#This Row],[Harga Asli C]]-(cadangan3[[#This Row],[Harga Asli C]]*cadangan3[[#This Row],[Diskon]]),cadangan3[[#This Row],[Harga Asli C]])</f>
        <v>500000</v>
      </c>
      <c r="AE172" s="36">
        <f>IFERROR(INDEX(Katalog!$F$3:$F$12,MATCH(cadangan3[[#This Row],[ItemID C]],Katalog!$C$3:$C$12,0))*cadangan3[[#This Row],[Qty C]],0)</f>
        <v>200000</v>
      </c>
      <c r="AF172" s="36">
        <f>IFERROR(cadangan3[[#This Row],[Profit C]]-(cadangan3[[#This Row],[Profit C]]*cadangan3[[#This Row],[Diskon]]),cadangan3[[#This Row],[Profit C]])</f>
        <v>200000</v>
      </c>
      <c r="AG172" s="21">
        <f>cadangan3[[#This Row],[Qty A]]+cadangan3[[#This Row],[Qty B]]+cadangan3[[#This Row],[Qty C]]</f>
        <v>6</v>
      </c>
      <c r="AH172" s="35">
        <f>cadangan3[[#This Row],[Harga A + Diskon]]+cadangan3[[#This Row],[Harga + Diskon B]]+cadangan3[[#This Row],[Harga + Diskon C]]</f>
        <v>1190000</v>
      </c>
      <c r="AI172" s="35">
        <f>(cadangan3[[#This Row],[Profit A]]+cadangan3[[#This Row],[Profit B]]+cadangan3[[#This Row],[Profit C]])</f>
        <v>470000</v>
      </c>
      <c r="AJ172" s="35">
        <f>cadangan3[[#This Row],[Provit A + Diskon]]+cadangan3[[#This Row],[Provit B + Diskon]]+cadangan3[[#This Row],[Provit C + Diskon]]</f>
        <v>470000</v>
      </c>
      <c r="AK172" s="23" t="s">
        <v>11</v>
      </c>
      <c r="AL172" s="37" t="str">
        <f>IFERROR(INDEX('Kode Diskon'!$D$3:$D$9,MATCH(cadangan3[[#This Row],[Kode diskon]],'Kode Diskon'!$C$3:$C$9,0)),"-")</f>
        <v>-</v>
      </c>
      <c r="AM172" s="23" t="s">
        <v>11</v>
      </c>
      <c r="AN172" s="23" t="s">
        <v>7</v>
      </c>
      <c r="AO172" s="23" t="s">
        <v>77</v>
      </c>
      <c r="AP172" s="24">
        <v>45024</v>
      </c>
      <c r="AQ172" s="23" t="str">
        <f>TEXT(cadangan3[[#This Row],[Tanggal terjual]],"dddd")</f>
        <v>Saturday</v>
      </c>
    </row>
    <row r="173" spans="1:43" x14ac:dyDescent="0.2">
      <c r="A173" s="20">
        <v>172</v>
      </c>
      <c r="B173" s="21" t="str">
        <f>_xlfn.CONCAT("ORD-",INDEX(Helper!$B$2:$B$5,MATCH(cadangan3[[#This Row],[Marketplace]],Helper!$A$2:$A$5,0)),TEXT(cadangan3[[#This Row],[No]],"0000"),"-",TEXT(cadangan3[[#This Row],[Tanggal terjual]],"dd/mm/yy"))</f>
        <v>ORD-TK0172-04/04/23</v>
      </c>
      <c r="C173" t="s">
        <v>63</v>
      </c>
      <c r="D173" t="str">
        <f>IFERROR(INDEX(Katalog!$A$3:$A$12,MATCH(cadangan3[[#This Row],[ItemID A]],Katalog!$C$3:$C$12,0)),"-")</f>
        <v>Pakaian Pria</v>
      </c>
      <c r="E173" t="str">
        <f>IFERROR(INDEX(Katalog!$B$3:$B$12,MATCH(cadangan3[[#This Row],[ItemID A]],Katalog!$C$3:$C$12,0)),"-")</f>
        <v>Jaket Jeans</v>
      </c>
      <c r="F173">
        <v>3</v>
      </c>
      <c r="G173">
        <v>3</v>
      </c>
      <c r="H173" s="36">
        <f>IFERROR(INDEX(Katalog!$D$3:$D$12,MATCH(cadangan3[[#This Row],[ItemID A]],Katalog!$C$3:$C$12,0))*cadangan3[[#This Row],[Qty A]],0)</f>
        <v>1200000</v>
      </c>
      <c r="I173" s="36">
        <f>IFERROR(INDEX(Katalog!$D$3:$D$12,MATCH(cadangan3[[#This Row],[Item A]],Katalog!$B$3:$B$12,0))*cadangan3[[#This Row],[Qty A]],0)</f>
        <v>1200000</v>
      </c>
      <c r="J173" s="36">
        <f>IFERROR(cadangan3[[#This Row],[Harga Asli A]]-(cadangan3[[#This Row],[Harga Asli A]]*cadangan3[[#This Row],[Diskon]]),cadangan3[[#This Row],[Harga Asli A]])</f>
        <v>1080000</v>
      </c>
      <c r="K173" s="36">
        <f>INDEX(Katalog!$F$3:$F$12,MATCH(cadangan3[[#This Row],[ItemID A]],Katalog!$C$3:$C$12,0))*cadangan3[[#This Row],[Qty A]]</f>
        <v>450000</v>
      </c>
      <c r="L173" s="36">
        <f>IFERROR(cadangan3[[#This Row],[Profit A]]-(cadangan3[[#This Row],[Profit A]]*cadangan3[[#This Row],[Diskon]]),K173)</f>
        <v>405000</v>
      </c>
      <c r="M173" t="s">
        <v>66</v>
      </c>
      <c r="N173" t="str">
        <f>IFERROR(INDEX(Katalog!$A$3:$A$12,MATCH(cadangan3[[#This Row],[ItemID B]],Katalog!$C$3:$C$12,0)),"-")</f>
        <v>Sepatu Pria</v>
      </c>
      <c r="O173" t="str">
        <f>IFERROR(INDEX(Katalog!$B$3:$B$12,MATCH(cadangan3[[#This Row],[ItemID B]],Katalog!$C$3:$C$12,0)),"-")</f>
        <v>Sandal Slip On</v>
      </c>
      <c r="P173">
        <v>1</v>
      </c>
      <c r="Q173">
        <v>1</v>
      </c>
      <c r="R173" s="36">
        <f>IFERROR(INDEX(Katalog!$D$3:$D$12,MATCH(cadangan3[[#This Row],[ItemID B]],Katalog!$C$3:$C$12,0))*cadangan3[[#This Row],[Qty B]],0)</f>
        <v>150000</v>
      </c>
      <c r="S173" s="36">
        <f>IFERROR(INDEX(Katalog!$D$3:$D$12,MATCH(cadangan3[[#This Row],[Item B]],Katalog!$B$3:$B$12,0))*cadangan3[[#This Row],[Qty B]],0)</f>
        <v>150000</v>
      </c>
      <c r="T173" s="36">
        <f>IFERROR(cadangan3[[#This Row],[Harga Asli B]]-(cadangan3[[#This Row],[Harga Asli B]]*cadangan3[[#This Row],[Diskon]]),cadangan3[[#This Row],[Harga Asli B]])</f>
        <v>135000</v>
      </c>
      <c r="U173" s="36">
        <f>IFERROR(INDEX(Katalog!$F$3:$F$12,MATCH(cadangan3[[#This Row],[ItemID B]],Katalog!$C$3:$C$12,0))*cadangan3[[#This Row],[Qty B]],0)</f>
        <v>60000</v>
      </c>
      <c r="V173" s="36">
        <f>IFERROR(cadangan3[[#This Row],[Profit B]]-(cadangan3[[#This Row],[Profit B]]*cadangan3[[#This Row],[Diskon]]),U173)</f>
        <v>54000</v>
      </c>
      <c r="X173" t="str">
        <f>IFERROR(INDEX(Katalog!$A$3:$A$12,MATCH(cadangan3[[#This Row],[ItemID C]],Katalog!$C$3:$C$12,0)),"-")</f>
        <v>-</v>
      </c>
      <c r="Y173" t="str">
        <f>IFERROR(INDEX(Katalog!$B$3:$B$12,MATCH(cadangan3[[#This Row],[ItemID C]],Katalog!$C$3:$C$12,0)),"-")</f>
        <v>-</v>
      </c>
      <c r="AB173" s="36">
        <f>IFERROR(INDEX(Katalog!$D$3:$D$12,MATCH(cadangan3[[#This Row],[ItemID C]],Katalog!$C$3:$C$12,0))*cadangan3[[#This Row],[Qty C]],0)</f>
        <v>0</v>
      </c>
      <c r="AC173" s="36">
        <f>IFERROR(INDEX(Katalog!$D$3:$D$12,MATCH(cadangan3[[#This Row],[Item C]],Katalog!$B$3:$B$12,0))*cadangan3[[#This Row],[Qty C]],0)</f>
        <v>0</v>
      </c>
      <c r="AD173" s="36">
        <f>IFERROR(cadangan3[[#This Row],[Harga Asli C]]-(cadangan3[[#This Row],[Harga Asli C]]*cadangan3[[#This Row],[Diskon]]),cadangan3[[#This Row],[Harga Asli C]])</f>
        <v>0</v>
      </c>
      <c r="AE173" s="36">
        <f>IFERROR(INDEX(Katalog!$F$3:$F$12,MATCH(cadangan3[[#This Row],[ItemID C]],Katalog!$C$3:$C$12,0))*cadangan3[[#This Row],[Qty C]],0)</f>
        <v>0</v>
      </c>
      <c r="AF173" s="36">
        <f>IFERROR(cadangan3[[#This Row],[Profit C]]-(cadangan3[[#This Row],[Profit C]]*cadangan3[[#This Row],[Diskon]]),cadangan3[[#This Row],[Profit C]])</f>
        <v>0</v>
      </c>
      <c r="AG173" s="21">
        <f>cadangan3[[#This Row],[Qty A]]+cadangan3[[#This Row],[Qty B]]+cadangan3[[#This Row],[Qty C]]</f>
        <v>4</v>
      </c>
      <c r="AH173" s="35">
        <f>cadangan3[[#This Row],[Harga A + Diskon]]+cadangan3[[#This Row],[Harga + Diskon B]]+cadangan3[[#This Row],[Harga + Diskon C]]</f>
        <v>1215000</v>
      </c>
      <c r="AI173" s="35">
        <f>(cadangan3[[#This Row],[Profit A]]+cadangan3[[#This Row],[Profit B]]+cadangan3[[#This Row],[Profit C]])</f>
        <v>510000</v>
      </c>
      <c r="AJ173" s="35">
        <f>cadangan3[[#This Row],[Provit A + Diskon]]+cadangan3[[#This Row],[Provit B + Diskon]]+cadangan3[[#This Row],[Provit C + Diskon]]</f>
        <v>459000</v>
      </c>
      <c r="AK173" s="23" t="s">
        <v>30</v>
      </c>
      <c r="AL173" s="37">
        <f>IFERROR(INDEX('Kode Diskon'!$D$3:$D$9,MATCH(cadangan3[[#This Row],[Kode diskon]],'Kode Diskon'!$C$3:$C$9,0)),"-")</f>
        <v>0.1</v>
      </c>
      <c r="AM173" s="23" t="s">
        <v>29</v>
      </c>
      <c r="AN173" s="23" t="s">
        <v>10</v>
      </c>
      <c r="AO173" s="23" t="s">
        <v>76</v>
      </c>
      <c r="AP173" s="24">
        <v>45020</v>
      </c>
      <c r="AQ173" s="23" t="str">
        <f>TEXT(cadangan3[[#This Row],[Tanggal terjual]],"dddd")</f>
        <v>Tuesday</v>
      </c>
    </row>
    <row r="174" spans="1:43" x14ac:dyDescent="0.2">
      <c r="A174" s="20">
        <v>173</v>
      </c>
      <c r="B174" s="21" t="str">
        <f>_xlfn.CONCAT("ORD-",INDEX(Helper!$B$2:$B$5,MATCH(cadangan3[[#This Row],[Marketplace]],Helper!$A$2:$A$5,0)),TEXT(cadangan3[[#This Row],[No]],"0000"),"-",TEXT(cadangan3[[#This Row],[Tanggal terjual]],"dd/mm/yy"))</f>
        <v>ORD-BB0173-03/04/23</v>
      </c>
      <c r="C174" t="s">
        <v>59</v>
      </c>
      <c r="D174" t="str">
        <f>IFERROR(INDEX(Katalog!$A$3:$A$12,MATCH(cadangan3[[#This Row],[ItemID A]],Katalog!$C$3:$C$12,0)),"-")</f>
        <v>Pakaian Wanita</v>
      </c>
      <c r="E174" t="str">
        <f>IFERROR(INDEX(Katalog!$B$3:$B$12,MATCH(cadangan3[[#This Row],[ItemID A]],Katalog!$C$3:$C$12,0)),"-")</f>
        <v>Blouse</v>
      </c>
      <c r="F174">
        <v>6</v>
      </c>
      <c r="G174">
        <v>3</v>
      </c>
      <c r="H174" s="36">
        <f>IFERROR(INDEX(Katalog!$D$3:$D$12,MATCH(cadangan3[[#This Row],[ItemID A]],Katalog!$C$3:$C$12,0))*cadangan3[[#This Row],[Qty A]],0)</f>
        <v>900000</v>
      </c>
      <c r="I174" s="36">
        <f>IFERROR(INDEX(Katalog!$D$3:$D$12,MATCH(cadangan3[[#This Row],[Item A]],Katalog!$B$3:$B$12,0))*cadangan3[[#This Row],[Qty A]],0)</f>
        <v>900000</v>
      </c>
      <c r="J174" s="36">
        <f>IFERROR(cadangan3[[#This Row],[Harga Asli A]]-(cadangan3[[#This Row],[Harga Asli A]]*cadangan3[[#This Row],[Diskon]]),cadangan3[[#This Row],[Harga Asli A]])</f>
        <v>765000</v>
      </c>
      <c r="K174" s="36">
        <f>INDEX(Katalog!$F$3:$F$12,MATCH(cadangan3[[#This Row],[ItemID A]],Katalog!$C$3:$C$12,0))*cadangan3[[#This Row],[Qty A]]</f>
        <v>300000</v>
      </c>
      <c r="L174" s="36">
        <f>IFERROR(cadangan3[[#This Row],[Profit A]]-(cadangan3[[#This Row],[Profit A]]*cadangan3[[#This Row],[Diskon]]),K174)</f>
        <v>255000</v>
      </c>
      <c r="M174" t="s">
        <v>67</v>
      </c>
      <c r="N174" t="str">
        <f>IFERROR(INDEX(Katalog!$A$3:$A$12,MATCH(cadangan3[[#This Row],[ItemID B]],Katalog!$C$3:$C$12,0)),"-")</f>
        <v>Sepatu Wanita</v>
      </c>
      <c r="O174" t="str">
        <f>IFERROR(INDEX(Katalog!$B$3:$B$12,MATCH(cadangan3[[#This Row],[ItemID B]],Katalog!$C$3:$C$12,0)),"-")</f>
        <v>Flat Shoes</v>
      </c>
      <c r="P174">
        <v>1</v>
      </c>
      <c r="Q174">
        <v>4</v>
      </c>
      <c r="R174" s="36">
        <f>IFERROR(INDEX(Katalog!$D$3:$D$12,MATCH(cadangan3[[#This Row],[ItemID B]],Katalog!$C$3:$C$12,0))*cadangan3[[#This Row],[Qty B]],0)</f>
        <v>250000</v>
      </c>
      <c r="S174" s="36">
        <f>IFERROR(INDEX(Katalog!$D$3:$D$12,MATCH(cadangan3[[#This Row],[Item B]],Katalog!$B$3:$B$12,0))*cadangan3[[#This Row],[Qty B]],0)</f>
        <v>250000</v>
      </c>
      <c r="T174" s="36">
        <f>IFERROR(cadangan3[[#This Row],[Harga Asli B]]-(cadangan3[[#This Row],[Harga Asli B]]*cadangan3[[#This Row],[Diskon]]),cadangan3[[#This Row],[Harga Asli B]])</f>
        <v>212500</v>
      </c>
      <c r="U174" s="36">
        <f>IFERROR(INDEX(Katalog!$F$3:$F$12,MATCH(cadangan3[[#This Row],[ItemID B]],Katalog!$C$3:$C$12,0))*cadangan3[[#This Row],[Qty B]],0)</f>
        <v>100000</v>
      </c>
      <c r="V174" s="36">
        <f>IFERROR(cadangan3[[#This Row],[Profit B]]-(cadangan3[[#This Row],[Profit B]]*cadangan3[[#This Row],[Diskon]]),U174)</f>
        <v>85000</v>
      </c>
      <c r="X174" t="str">
        <f>IFERROR(INDEX(Katalog!$A$3:$A$12,MATCH(cadangan3[[#This Row],[ItemID C]],Katalog!$C$3:$C$12,0)),"-")</f>
        <v>-</v>
      </c>
      <c r="Y174" t="str">
        <f>IFERROR(INDEX(Katalog!$B$3:$B$12,MATCH(cadangan3[[#This Row],[ItemID C]],Katalog!$C$3:$C$12,0)),"-")</f>
        <v>-</v>
      </c>
      <c r="AB174" s="36">
        <f>IFERROR(INDEX(Katalog!$D$3:$D$12,MATCH(cadangan3[[#This Row],[ItemID C]],Katalog!$C$3:$C$12,0))*cadangan3[[#This Row],[Qty C]],0)</f>
        <v>0</v>
      </c>
      <c r="AC174" s="36">
        <f>IFERROR(INDEX(Katalog!$D$3:$D$12,MATCH(cadangan3[[#This Row],[Item C]],Katalog!$B$3:$B$12,0))*cadangan3[[#This Row],[Qty C]],0)</f>
        <v>0</v>
      </c>
      <c r="AD174" s="36">
        <f>IFERROR(cadangan3[[#This Row],[Harga Asli C]]-(cadangan3[[#This Row],[Harga Asli C]]*cadangan3[[#This Row],[Diskon]]),cadangan3[[#This Row],[Harga Asli C]])</f>
        <v>0</v>
      </c>
      <c r="AE174" s="36">
        <f>IFERROR(INDEX(Katalog!$F$3:$F$12,MATCH(cadangan3[[#This Row],[ItemID C]],Katalog!$C$3:$C$12,0))*cadangan3[[#This Row],[Qty C]],0)</f>
        <v>0</v>
      </c>
      <c r="AF174" s="36">
        <f>IFERROR(cadangan3[[#This Row],[Profit C]]-(cadangan3[[#This Row],[Profit C]]*cadangan3[[#This Row],[Diskon]]),cadangan3[[#This Row],[Profit C]])</f>
        <v>0</v>
      </c>
      <c r="AG174" s="21">
        <f>cadangan3[[#This Row],[Qty A]]+cadangan3[[#This Row],[Qty B]]+cadangan3[[#This Row],[Qty C]]</f>
        <v>7</v>
      </c>
      <c r="AH174" s="35">
        <f>cadangan3[[#This Row],[Harga A + Diskon]]+cadangan3[[#This Row],[Harga + Diskon B]]+cadangan3[[#This Row],[Harga + Diskon C]]</f>
        <v>977500</v>
      </c>
      <c r="AI174" s="35">
        <f>(cadangan3[[#This Row],[Profit A]]+cadangan3[[#This Row],[Profit B]]+cadangan3[[#This Row],[Profit C]])</f>
        <v>400000</v>
      </c>
      <c r="AJ174" s="35">
        <f>cadangan3[[#This Row],[Provit A + Diskon]]+cadangan3[[#This Row],[Provit B + Diskon]]+cadangan3[[#This Row],[Provit C + Diskon]]</f>
        <v>340000</v>
      </c>
      <c r="AK174" s="23" t="s">
        <v>28</v>
      </c>
      <c r="AL174" s="37">
        <f>IFERROR(INDEX('Kode Diskon'!$D$3:$D$9,MATCH(cadangan3[[#This Row],[Kode diskon]],'Kode Diskon'!$C$3:$C$9,0)),"-")</f>
        <v>0.15</v>
      </c>
      <c r="AM174" s="23" t="s">
        <v>29</v>
      </c>
      <c r="AN174" s="23" t="s">
        <v>14</v>
      </c>
      <c r="AO174" s="23" t="s">
        <v>79</v>
      </c>
      <c r="AP174" s="24">
        <v>45019</v>
      </c>
      <c r="AQ174" s="23" t="str">
        <f>TEXT(cadangan3[[#This Row],[Tanggal terjual]],"dddd")</f>
        <v>Monday</v>
      </c>
    </row>
    <row r="175" spans="1:43" x14ac:dyDescent="0.2">
      <c r="A175" s="20">
        <v>174</v>
      </c>
      <c r="B175" s="21" t="str">
        <f>_xlfn.CONCAT("ORD-",INDEX(Helper!$B$2:$B$5,MATCH(cadangan3[[#This Row],[Marketplace]],Helper!$A$2:$A$5,0)),TEXT(cadangan3[[#This Row],[No]],"0000"),"-",TEXT(cadangan3[[#This Row],[Tanggal terjual]],"dd/mm/yy"))</f>
        <v>ORD-SP0174-24/04/23</v>
      </c>
      <c r="C175" t="s">
        <v>64</v>
      </c>
      <c r="D175" t="str">
        <f>IFERROR(INDEX(Katalog!$A$3:$A$12,MATCH(cadangan3[[#This Row],[ItemID A]],Katalog!$C$3:$C$12,0)),"-")</f>
        <v>Pakaian Unisex</v>
      </c>
      <c r="E175" t="str">
        <f>IFERROR(INDEX(Katalog!$B$3:$B$12,MATCH(cadangan3[[#This Row],[ItemID A]],Katalog!$C$3:$C$12,0)),"-")</f>
        <v>Jaket Hoodie</v>
      </c>
      <c r="F175">
        <v>1</v>
      </c>
      <c r="G175">
        <v>2</v>
      </c>
      <c r="H175" s="36">
        <f>IFERROR(INDEX(Katalog!$D$3:$D$12,MATCH(cadangan3[[#This Row],[ItemID A]],Katalog!$C$3:$C$12,0))*cadangan3[[#This Row],[Qty A]],0)</f>
        <v>350000</v>
      </c>
      <c r="I175" s="36">
        <f>IFERROR(INDEX(Katalog!$D$3:$D$12,MATCH(cadangan3[[#This Row],[Item A]],Katalog!$B$3:$B$12,0))*cadangan3[[#This Row],[Qty A]],0)</f>
        <v>350000</v>
      </c>
      <c r="J175" s="36">
        <f>IFERROR(cadangan3[[#This Row],[Harga Asli A]]-(cadangan3[[#This Row],[Harga Asli A]]*cadangan3[[#This Row],[Diskon]]),cadangan3[[#This Row],[Harga Asli A]])</f>
        <v>280000</v>
      </c>
      <c r="K175" s="36">
        <f>INDEX(Katalog!$F$3:$F$12,MATCH(cadangan3[[#This Row],[ItemID A]],Katalog!$C$3:$C$12,0))*cadangan3[[#This Row],[Qty A]]</f>
        <v>130000</v>
      </c>
      <c r="L175" s="36">
        <f>IFERROR(cadangan3[[#This Row],[Profit A]]-(cadangan3[[#This Row],[Profit A]]*cadangan3[[#This Row],[Diskon]]),K175)</f>
        <v>104000</v>
      </c>
      <c r="N175" t="str">
        <f>IFERROR(INDEX(Katalog!$A$3:$A$12,MATCH(cadangan3[[#This Row],[ItemID B]],Katalog!$C$3:$C$12,0)),"-")</f>
        <v>-</v>
      </c>
      <c r="O175" t="str">
        <f>IFERROR(INDEX(Katalog!$B$3:$B$12,MATCH(cadangan3[[#This Row],[ItemID B]],Katalog!$C$3:$C$12,0)),"-")</f>
        <v>-</v>
      </c>
      <c r="R175" s="36">
        <f>IFERROR(INDEX(Katalog!$D$3:$D$12,MATCH(cadangan3[[#This Row],[ItemID B]],Katalog!$C$3:$C$12,0))*cadangan3[[#This Row],[Qty B]],0)</f>
        <v>0</v>
      </c>
      <c r="S175" s="36">
        <f>IFERROR(INDEX(Katalog!$D$3:$D$12,MATCH(cadangan3[[#This Row],[Item B]],Katalog!$B$3:$B$12,0))*cadangan3[[#This Row],[Qty B]],0)</f>
        <v>0</v>
      </c>
      <c r="T175" s="36">
        <f>IFERROR(cadangan3[[#This Row],[Harga Asli B]]-(cadangan3[[#This Row],[Harga Asli B]]*cadangan3[[#This Row],[Diskon]]),cadangan3[[#This Row],[Harga Asli B]])</f>
        <v>0</v>
      </c>
      <c r="U175" s="36">
        <f>IFERROR(INDEX(Katalog!$F$3:$F$12,MATCH(cadangan3[[#This Row],[ItemID B]],Katalog!$C$3:$C$12,0))*cadangan3[[#This Row],[Qty B]],0)</f>
        <v>0</v>
      </c>
      <c r="V175" s="36">
        <f>IFERROR(cadangan3[[#This Row],[Profit B]]-(cadangan3[[#This Row],[Profit B]]*cadangan3[[#This Row],[Diskon]]),U175)</f>
        <v>0</v>
      </c>
      <c r="X175" t="str">
        <f>IFERROR(INDEX(Katalog!$A$3:$A$12,MATCH(cadangan3[[#This Row],[ItemID C]],Katalog!$C$3:$C$12,0)),"-")</f>
        <v>-</v>
      </c>
      <c r="Y175" t="str">
        <f>IFERROR(INDEX(Katalog!$B$3:$B$12,MATCH(cadangan3[[#This Row],[ItemID C]],Katalog!$C$3:$C$12,0)),"-")</f>
        <v>-</v>
      </c>
      <c r="AB175" s="36">
        <f>IFERROR(INDEX(Katalog!$D$3:$D$12,MATCH(cadangan3[[#This Row],[ItemID C]],Katalog!$C$3:$C$12,0))*cadangan3[[#This Row],[Qty C]],0)</f>
        <v>0</v>
      </c>
      <c r="AC175" s="36">
        <f>IFERROR(INDEX(Katalog!$D$3:$D$12,MATCH(cadangan3[[#This Row],[Item C]],Katalog!$B$3:$B$12,0))*cadangan3[[#This Row],[Qty C]],0)</f>
        <v>0</v>
      </c>
      <c r="AD175" s="36">
        <f>IFERROR(cadangan3[[#This Row],[Harga Asli C]]-(cadangan3[[#This Row],[Harga Asli C]]*cadangan3[[#This Row],[Diskon]]),cadangan3[[#This Row],[Harga Asli C]])</f>
        <v>0</v>
      </c>
      <c r="AE175" s="36">
        <f>IFERROR(INDEX(Katalog!$F$3:$F$12,MATCH(cadangan3[[#This Row],[ItemID C]],Katalog!$C$3:$C$12,0))*cadangan3[[#This Row],[Qty C]],0)</f>
        <v>0</v>
      </c>
      <c r="AF175" s="36">
        <f>IFERROR(cadangan3[[#This Row],[Profit C]]-(cadangan3[[#This Row],[Profit C]]*cadangan3[[#This Row],[Diskon]]),cadangan3[[#This Row],[Profit C]])</f>
        <v>0</v>
      </c>
      <c r="AG175" s="21">
        <f>cadangan3[[#This Row],[Qty A]]+cadangan3[[#This Row],[Qty B]]+cadangan3[[#This Row],[Qty C]]</f>
        <v>1</v>
      </c>
      <c r="AH175" s="35">
        <f>cadangan3[[#This Row],[Harga A + Diskon]]+cadangan3[[#This Row],[Harga + Diskon B]]+cadangan3[[#This Row],[Harga + Diskon C]]</f>
        <v>280000</v>
      </c>
      <c r="AI175" s="35">
        <f>(cadangan3[[#This Row],[Profit A]]+cadangan3[[#This Row],[Profit B]]+cadangan3[[#This Row],[Profit C]])</f>
        <v>130000</v>
      </c>
      <c r="AJ175" s="35">
        <f>cadangan3[[#This Row],[Provit A + Diskon]]+cadangan3[[#This Row],[Provit B + Diskon]]+cadangan3[[#This Row],[Provit C + Diskon]]</f>
        <v>104000</v>
      </c>
      <c r="AK175" s="23" t="s">
        <v>8</v>
      </c>
      <c r="AL175" s="37">
        <f>IFERROR(INDEX('Kode Diskon'!$D$3:$D$9,MATCH(cadangan3[[#This Row],[Kode diskon]],'Kode Diskon'!$C$3:$C$9,0)),"-")</f>
        <v>0.2</v>
      </c>
      <c r="AM175" s="23" t="s">
        <v>9</v>
      </c>
      <c r="AN175" s="23" t="s">
        <v>7</v>
      </c>
      <c r="AO175" s="23" t="s">
        <v>80</v>
      </c>
      <c r="AP175" s="24">
        <v>45040</v>
      </c>
      <c r="AQ175" s="23" t="str">
        <f>TEXT(cadangan3[[#This Row],[Tanggal terjual]],"dddd")</f>
        <v>Monday</v>
      </c>
    </row>
    <row r="176" spans="1:43" x14ac:dyDescent="0.2">
      <c r="A176" s="20">
        <v>175</v>
      </c>
      <c r="B176" s="21" t="str">
        <f>_xlfn.CONCAT("ORD-",INDEX(Helper!$B$2:$B$5,MATCH(cadangan3[[#This Row],[Marketplace]],Helper!$A$2:$A$5,0)),TEXT(cadangan3[[#This Row],[No]],"0000"),"-",TEXT(cadangan3[[#This Row],[Tanggal terjual]],"dd/mm/yy"))</f>
        <v>ORD-BB0175-06/04/23</v>
      </c>
      <c r="C176" t="s">
        <v>62</v>
      </c>
      <c r="D176" t="str">
        <f>IFERROR(INDEX(Katalog!$A$3:$A$12,MATCH(cadangan3[[#This Row],[ItemID A]],Katalog!$C$3:$C$12,0)),"-")</f>
        <v>Pakaian Pria</v>
      </c>
      <c r="E176" t="str">
        <f>IFERROR(INDEX(Katalog!$B$3:$B$12,MATCH(cadangan3[[#This Row],[ItemID A]],Katalog!$C$3:$C$12,0)),"-")</f>
        <v>Celana Pendek</v>
      </c>
      <c r="F176">
        <v>2</v>
      </c>
      <c r="G176">
        <v>4</v>
      </c>
      <c r="H176" s="36">
        <f>IFERROR(INDEX(Katalog!$D$3:$D$12,MATCH(cadangan3[[#This Row],[ItemID A]],Katalog!$C$3:$C$12,0))*cadangan3[[#This Row],[Qty A]],0)</f>
        <v>360000</v>
      </c>
      <c r="I176" s="36">
        <f>IFERROR(INDEX(Katalog!$D$3:$D$12,MATCH(cadangan3[[#This Row],[Item A]],Katalog!$B$3:$B$12,0))*cadangan3[[#This Row],[Qty A]],0)</f>
        <v>360000</v>
      </c>
      <c r="J176" s="36">
        <f>IFERROR(cadangan3[[#This Row],[Harga Asli A]]-(cadangan3[[#This Row],[Harga Asli A]]*cadangan3[[#This Row],[Diskon]]),cadangan3[[#This Row],[Harga Asli A]])</f>
        <v>306000</v>
      </c>
      <c r="K176" s="36">
        <f>INDEX(Katalog!$F$3:$F$12,MATCH(cadangan3[[#This Row],[ItemID A]],Katalog!$C$3:$C$12,0))*cadangan3[[#This Row],[Qty A]]</f>
        <v>140000</v>
      </c>
      <c r="L176" s="36">
        <f>IFERROR(cadangan3[[#This Row],[Profit A]]-(cadangan3[[#This Row],[Profit A]]*cadangan3[[#This Row],[Diskon]]),K176)</f>
        <v>119000</v>
      </c>
      <c r="N176" t="str">
        <f>IFERROR(INDEX(Katalog!$A$3:$A$12,MATCH(cadangan3[[#This Row],[ItemID B]],Katalog!$C$3:$C$12,0)),"-")</f>
        <v>-</v>
      </c>
      <c r="O176" t="str">
        <f>IFERROR(INDEX(Katalog!$B$3:$B$12,MATCH(cadangan3[[#This Row],[ItemID B]],Katalog!$C$3:$C$12,0)),"-")</f>
        <v>-</v>
      </c>
      <c r="R176" s="36">
        <f>IFERROR(INDEX(Katalog!$D$3:$D$12,MATCH(cadangan3[[#This Row],[ItemID B]],Katalog!$C$3:$C$12,0))*cadangan3[[#This Row],[Qty B]],0)</f>
        <v>0</v>
      </c>
      <c r="S176" s="36">
        <f>IFERROR(INDEX(Katalog!$D$3:$D$12,MATCH(cadangan3[[#This Row],[Item B]],Katalog!$B$3:$B$12,0))*cadangan3[[#This Row],[Qty B]],0)</f>
        <v>0</v>
      </c>
      <c r="T176" s="36">
        <f>IFERROR(cadangan3[[#This Row],[Harga Asli B]]-(cadangan3[[#This Row],[Harga Asli B]]*cadangan3[[#This Row],[Diskon]]),cadangan3[[#This Row],[Harga Asli B]])</f>
        <v>0</v>
      </c>
      <c r="U176" s="36">
        <f>IFERROR(INDEX(Katalog!$F$3:$F$12,MATCH(cadangan3[[#This Row],[ItemID B]],Katalog!$C$3:$C$12,0))*cadangan3[[#This Row],[Qty B]],0)</f>
        <v>0</v>
      </c>
      <c r="V176" s="36">
        <f>IFERROR(cadangan3[[#This Row],[Profit B]]-(cadangan3[[#This Row],[Profit B]]*cadangan3[[#This Row],[Diskon]]),U176)</f>
        <v>0</v>
      </c>
      <c r="X176" t="str">
        <f>IFERROR(INDEX(Katalog!$A$3:$A$12,MATCH(cadangan3[[#This Row],[ItemID C]],Katalog!$C$3:$C$12,0)),"-")</f>
        <v>-</v>
      </c>
      <c r="Y176" t="str">
        <f>IFERROR(INDEX(Katalog!$B$3:$B$12,MATCH(cadangan3[[#This Row],[ItemID C]],Katalog!$C$3:$C$12,0)),"-")</f>
        <v>-</v>
      </c>
      <c r="AB176" s="36">
        <f>IFERROR(INDEX(Katalog!$D$3:$D$12,MATCH(cadangan3[[#This Row],[ItemID C]],Katalog!$C$3:$C$12,0))*cadangan3[[#This Row],[Qty C]],0)</f>
        <v>0</v>
      </c>
      <c r="AC176" s="36">
        <f>IFERROR(INDEX(Katalog!$D$3:$D$12,MATCH(cadangan3[[#This Row],[Item C]],Katalog!$B$3:$B$12,0))*cadangan3[[#This Row],[Qty C]],0)</f>
        <v>0</v>
      </c>
      <c r="AD176" s="36">
        <f>IFERROR(cadangan3[[#This Row],[Harga Asli C]]-(cadangan3[[#This Row],[Harga Asli C]]*cadangan3[[#This Row],[Diskon]]),cadangan3[[#This Row],[Harga Asli C]])</f>
        <v>0</v>
      </c>
      <c r="AE176" s="36">
        <f>IFERROR(INDEX(Katalog!$F$3:$F$12,MATCH(cadangan3[[#This Row],[ItemID C]],Katalog!$C$3:$C$12,0))*cadangan3[[#This Row],[Qty C]],0)</f>
        <v>0</v>
      </c>
      <c r="AF176" s="36">
        <f>IFERROR(cadangan3[[#This Row],[Profit C]]-(cadangan3[[#This Row],[Profit C]]*cadangan3[[#This Row],[Diskon]]),cadangan3[[#This Row],[Profit C]])</f>
        <v>0</v>
      </c>
      <c r="AG176" s="21">
        <f>cadangan3[[#This Row],[Qty A]]+cadangan3[[#This Row],[Qty B]]+cadangan3[[#This Row],[Qty C]]</f>
        <v>2</v>
      </c>
      <c r="AH176" s="35">
        <f>cadangan3[[#This Row],[Harga A + Diskon]]+cadangan3[[#This Row],[Harga + Diskon B]]+cadangan3[[#This Row],[Harga + Diskon C]]</f>
        <v>306000</v>
      </c>
      <c r="AI176" s="35">
        <f>(cadangan3[[#This Row],[Profit A]]+cadangan3[[#This Row],[Profit B]]+cadangan3[[#This Row],[Profit C]])</f>
        <v>140000</v>
      </c>
      <c r="AJ176" s="35">
        <f>cadangan3[[#This Row],[Provit A + Diskon]]+cadangan3[[#This Row],[Provit B + Diskon]]+cadangan3[[#This Row],[Provit C + Diskon]]</f>
        <v>119000</v>
      </c>
      <c r="AK176" s="23" t="s">
        <v>28</v>
      </c>
      <c r="AL176" s="37">
        <f>IFERROR(INDEX('Kode Diskon'!$D$3:$D$9,MATCH(cadangan3[[#This Row],[Kode diskon]],'Kode Diskon'!$C$3:$C$9,0)),"-")</f>
        <v>0.15</v>
      </c>
      <c r="AM176" s="23" t="s">
        <v>29</v>
      </c>
      <c r="AN176" s="23" t="s">
        <v>14</v>
      </c>
      <c r="AO176" s="23" t="s">
        <v>75</v>
      </c>
      <c r="AP176" s="24">
        <v>45022</v>
      </c>
      <c r="AQ176" s="23" t="str">
        <f>TEXT(cadangan3[[#This Row],[Tanggal terjual]],"dddd")</f>
        <v>Thursday</v>
      </c>
    </row>
    <row r="177" spans="1:43" x14ac:dyDescent="0.2">
      <c r="A177" s="20">
        <v>176</v>
      </c>
      <c r="B177" s="21" t="str">
        <f>_xlfn.CONCAT("ORD-",INDEX(Helper!$B$2:$B$5,MATCH(cadangan3[[#This Row],[Marketplace]],Helper!$A$2:$A$5,0)),TEXT(cadangan3[[#This Row],[No]],"0000"),"-",TEXT(cadangan3[[#This Row],[Tanggal terjual]],"dd/mm/yy"))</f>
        <v>ORD-BL0176-17/04/23</v>
      </c>
      <c r="C177" t="s">
        <v>64</v>
      </c>
      <c r="D177" t="str">
        <f>IFERROR(INDEX(Katalog!$A$3:$A$12,MATCH(cadangan3[[#This Row],[ItemID A]],Katalog!$C$3:$C$12,0)),"-")</f>
        <v>Pakaian Unisex</v>
      </c>
      <c r="E177" t="str">
        <f>IFERROR(INDEX(Katalog!$B$3:$B$12,MATCH(cadangan3[[#This Row],[ItemID A]],Katalog!$C$3:$C$12,0)),"-")</f>
        <v>Jaket Hoodie</v>
      </c>
      <c r="F177">
        <v>1</v>
      </c>
      <c r="G177">
        <v>3</v>
      </c>
      <c r="H177" s="36">
        <f>IFERROR(INDEX(Katalog!$D$3:$D$12,MATCH(cadangan3[[#This Row],[ItemID A]],Katalog!$C$3:$C$12,0))*cadangan3[[#This Row],[Qty A]],0)</f>
        <v>350000</v>
      </c>
      <c r="I177" s="36">
        <f>IFERROR(INDEX(Katalog!$D$3:$D$12,MATCH(cadangan3[[#This Row],[Item A]],Katalog!$B$3:$B$12,0))*cadangan3[[#This Row],[Qty A]],0)</f>
        <v>350000</v>
      </c>
      <c r="J177" s="36">
        <f>IFERROR(cadangan3[[#This Row],[Harga Asli A]]-(cadangan3[[#This Row],[Harga Asli A]]*cadangan3[[#This Row],[Diskon]]),cadangan3[[#This Row],[Harga Asli A]])</f>
        <v>297500</v>
      </c>
      <c r="K177" s="36">
        <f>INDEX(Katalog!$F$3:$F$12,MATCH(cadangan3[[#This Row],[ItemID A]],Katalog!$C$3:$C$12,0))*cadangan3[[#This Row],[Qty A]]</f>
        <v>130000</v>
      </c>
      <c r="L177" s="36">
        <f>IFERROR(cadangan3[[#This Row],[Profit A]]-(cadangan3[[#This Row],[Profit A]]*cadangan3[[#This Row],[Diskon]]),K177)</f>
        <v>110500</v>
      </c>
      <c r="M177" t="s">
        <v>60</v>
      </c>
      <c r="N177" t="str">
        <f>IFERROR(INDEX(Katalog!$A$3:$A$12,MATCH(cadangan3[[#This Row],[ItemID B]],Katalog!$C$3:$C$12,0)),"-")</f>
        <v>Pakaian Wanita</v>
      </c>
      <c r="O177" t="str">
        <f>IFERROR(INDEX(Katalog!$B$3:$B$12,MATCH(cadangan3[[#This Row],[ItemID B]],Katalog!$C$3:$C$12,0)),"-")</f>
        <v>Kaftan</v>
      </c>
      <c r="P177">
        <v>1</v>
      </c>
      <c r="Q177">
        <v>4</v>
      </c>
      <c r="R177" s="36">
        <f>IFERROR(INDEX(Katalog!$D$3:$D$12,MATCH(cadangan3[[#This Row],[ItemID B]],Katalog!$C$3:$C$12,0))*cadangan3[[#This Row],[Qty B]],0)</f>
        <v>250000</v>
      </c>
      <c r="S177" s="36">
        <f>IFERROR(INDEX(Katalog!$D$3:$D$12,MATCH(cadangan3[[#This Row],[Item B]],Katalog!$B$3:$B$12,0))*cadangan3[[#This Row],[Qty B]],0)</f>
        <v>250000</v>
      </c>
      <c r="T177" s="36">
        <f>IFERROR(cadangan3[[#This Row],[Harga Asli B]]-(cadangan3[[#This Row],[Harga Asli B]]*cadangan3[[#This Row],[Diskon]]),cadangan3[[#This Row],[Harga Asli B]])</f>
        <v>212500</v>
      </c>
      <c r="U177" s="36">
        <f>IFERROR(INDEX(Katalog!$F$3:$F$12,MATCH(cadangan3[[#This Row],[ItemID B]],Katalog!$C$3:$C$12,0))*cadangan3[[#This Row],[Qty B]],0)</f>
        <v>100000</v>
      </c>
      <c r="V177" s="36">
        <f>IFERROR(cadangan3[[#This Row],[Profit B]]-(cadangan3[[#This Row],[Profit B]]*cadangan3[[#This Row],[Diskon]]),U177)</f>
        <v>85000</v>
      </c>
      <c r="X177" t="str">
        <f>IFERROR(INDEX(Katalog!$A$3:$A$12,MATCH(cadangan3[[#This Row],[ItemID C]],Katalog!$C$3:$C$12,0)),"-")</f>
        <v>-</v>
      </c>
      <c r="Y177" t="str">
        <f>IFERROR(INDEX(Katalog!$B$3:$B$12,MATCH(cadangan3[[#This Row],[ItemID C]],Katalog!$C$3:$C$12,0)),"-")</f>
        <v>-</v>
      </c>
      <c r="AB177" s="36">
        <f>IFERROR(INDEX(Katalog!$D$3:$D$12,MATCH(cadangan3[[#This Row],[ItemID C]],Katalog!$C$3:$C$12,0))*cadangan3[[#This Row],[Qty C]],0)</f>
        <v>0</v>
      </c>
      <c r="AC177" s="36">
        <f>IFERROR(INDEX(Katalog!$D$3:$D$12,MATCH(cadangan3[[#This Row],[Item C]],Katalog!$B$3:$B$12,0))*cadangan3[[#This Row],[Qty C]],0)</f>
        <v>0</v>
      </c>
      <c r="AD177" s="36">
        <f>IFERROR(cadangan3[[#This Row],[Harga Asli C]]-(cadangan3[[#This Row],[Harga Asli C]]*cadangan3[[#This Row],[Diskon]]),cadangan3[[#This Row],[Harga Asli C]])</f>
        <v>0</v>
      </c>
      <c r="AE177" s="36">
        <f>IFERROR(INDEX(Katalog!$F$3:$F$12,MATCH(cadangan3[[#This Row],[ItemID C]],Katalog!$C$3:$C$12,0))*cadangan3[[#This Row],[Qty C]],0)</f>
        <v>0</v>
      </c>
      <c r="AF177" s="36">
        <f>IFERROR(cadangan3[[#This Row],[Profit C]]-(cadangan3[[#This Row],[Profit C]]*cadangan3[[#This Row],[Diskon]]),cadangan3[[#This Row],[Profit C]])</f>
        <v>0</v>
      </c>
      <c r="AG177" s="21">
        <f>cadangan3[[#This Row],[Qty A]]+cadangan3[[#This Row],[Qty B]]+cadangan3[[#This Row],[Qty C]]</f>
        <v>2</v>
      </c>
      <c r="AH177" s="35">
        <f>cadangan3[[#This Row],[Harga A + Diskon]]+cadangan3[[#This Row],[Harga + Diskon B]]+cadangan3[[#This Row],[Harga + Diskon C]]</f>
        <v>510000</v>
      </c>
      <c r="AI177" s="35">
        <f>(cadangan3[[#This Row],[Profit A]]+cadangan3[[#This Row],[Profit B]]+cadangan3[[#This Row],[Profit C]])</f>
        <v>230000</v>
      </c>
      <c r="AJ177" s="35">
        <f>cadangan3[[#This Row],[Provit A + Diskon]]+cadangan3[[#This Row],[Provit B + Diskon]]+cadangan3[[#This Row],[Provit C + Diskon]]</f>
        <v>195500</v>
      </c>
      <c r="AK177" s="23" t="s">
        <v>32</v>
      </c>
      <c r="AL177" s="37">
        <f>IFERROR(INDEX('Kode Diskon'!$D$3:$D$9,MATCH(cadangan3[[#This Row],[Kode diskon]],'Kode Diskon'!$C$3:$C$9,0)),"-")</f>
        <v>0.15</v>
      </c>
      <c r="AM177" s="23" t="s">
        <v>9</v>
      </c>
      <c r="AN177" s="23" t="s">
        <v>12</v>
      </c>
      <c r="AO177" s="23" t="s">
        <v>79</v>
      </c>
      <c r="AP177" s="24">
        <v>45033</v>
      </c>
      <c r="AQ177" s="23" t="str">
        <f>TEXT(cadangan3[[#This Row],[Tanggal terjual]],"dddd")</f>
        <v>Monday</v>
      </c>
    </row>
    <row r="178" spans="1:43" x14ac:dyDescent="0.2">
      <c r="A178" s="20">
        <v>177</v>
      </c>
      <c r="B178" s="21" t="str">
        <f>_xlfn.CONCAT("ORD-",INDEX(Helper!$B$2:$B$5,MATCH(cadangan3[[#This Row],[Marketplace]],Helper!$A$2:$A$5,0)),TEXT(cadangan3[[#This Row],[No]],"0000"),"-",TEXT(cadangan3[[#This Row],[Tanggal terjual]],"dd/mm/yy"))</f>
        <v>ORD-SP0177-29/04/23</v>
      </c>
      <c r="C178" t="s">
        <v>62</v>
      </c>
      <c r="D178" t="str">
        <f>IFERROR(INDEX(Katalog!$A$3:$A$12,MATCH(cadangan3[[#This Row],[ItemID A]],Katalog!$C$3:$C$12,0)),"-")</f>
        <v>Pakaian Pria</v>
      </c>
      <c r="E178" t="str">
        <f>IFERROR(INDEX(Katalog!$B$3:$B$12,MATCH(cadangan3[[#This Row],[ItemID A]],Katalog!$C$3:$C$12,0)),"-")</f>
        <v>Celana Pendek</v>
      </c>
      <c r="F178">
        <v>1</v>
      </c>
      <c r="G178">
        <v>3</v>
      </c>
      <c r="H178" s="36">
        <f>IFERROR(INDEX(Katalog!$D$3:$D$12,MATCH(cadangan3[[#This Row],[ItemID A]],Katalog!$C$3:$C$12,0))*cadangan3[[#This Row],[Qty A]],0)</f>
        <v>180000</v>
      </c>
      <c r="I178" s="36">
        <f>IFERROR(INDEX(Katalog!$D$3:$D$12,MATCH(cadangan3[[#This Row],[Item A]],Katalog!$B$3:$B$12,0))*cadangan3[[#This Row],[Qty A]],0)</f>
        <v>180000</v>
      </c>
      <c r="J178" s="36">
        <f>IFERROR(cadangan3[[#This Row],[Harga Asli A]]-(cadangan3[[#This Row],[Harga Asli A]]*cadangan3[[#This Row],[Diskon]]),cadangan3[[#This Row],[Harga Asli A]])</f>
        <v>144000</v>
      </c>
      <c r="K178" s="36">
        <f>INDEX(Katalog!$F$3:$F$12,MATCH(cadangan3[[#This Row],[ItemID A]],Katalog!$C$3:$C$12,0))*cadangan3[[#This Row],[Qty A]]</f>
        <v>70000</v>
      </c>
      <c r="L178" s="36">
        <f>IFERROR(cadangan3[[#This Row],[Profit A]]-(cadangan3[[#This Row],[Profit A]]*cadangan3[[#This Row],[Diskon]]),K178)</f>
        <v>56000</v>
      </c>
      <c r="M178" t="s">
        <v>65</v>
      </c>
      <c r="N178" t="str">
        <f>IFERROR(INDEX(Katalog!$A$3:$A$12,MATCH(cadangan3[[#This Row],[ItemID B]],Katalog!$C$3:$C$12,0)),"-")</f>
        <v>Sepatu Pria</v>
      </c>
      <c r="O178" t="str">
        <f>IFERROR(INDEX(Katalog!$B$3:$B$12,MATCH(cadangan3[[#This Row],[ItemID B]],Katalog!$C$3:$C$12,0)),"-")</f>
        <v>Sneakers</v>
      </c>
      <c r="P178">
        <v>1</v>
      </c>
      <c r="Q178">
        <v>4</v>
      </c>
      <c r="R178" s="36">
        <f>IFERROR(INDEX(Katalog!$D$3:$D$12,MATCH(cadangan3[[#This Row],[ItemID B]],Katalog!$C$3:$C$12,0))*cadangan3[[#This Row],[Qty B]],0)</f>
        <v>500000</v>
      </c>
      <c r="S178" s="36">
        <f>IFERROR(INDEX(Katalog!$D$3:$D$12,MATCH(cadangan3[[#This Row],[Item B]],Katalog!$B$3:$B$12,0))*cadangan3[[#This Row],[Qty B]],0)</f>
        <v>500000</v>
      </c>
      <c r="T178" s="36">
        <f>IFERROR(cadangan3[[#This Row],[Harga Asli B]]-(cadangan3[[#This Row],[Harga Asli B]]*cadangan3[[#This Row],[Diskon]]),cadangan3[[#This Row],[Harga Asli B]])</f>
        <v>400000</v>
      </c>
      <c r="U178" s="36">
        <f>IFERROR(INDEX(Katalog!$F$3:$F$12,MATCH(cadangan3[[#This Row],[ItemID B]],Katalog!$C$3:$C$12,0))*cadangan3[[#This Row],[Qty B]],0)</f>
        <v>200000</v>
      </c>
      <c r="V178" s="36">
        <f>IFERROR(cadangan3[[#This Row],[Profit B]]-(cadangan3[[#This Row],[Profit B]]*cadangan3[[#This Row],[Diskon]]),U178)</f>
        <v>160000</v>
      </c>
      <c r="W178" t="s">
        <v>60</v>
      </c>
      <c r="X178" t="str">
        <f>IFERROR(INDEX(Katalog!$A$3:$A$12,MATCH(cadangan3[[#This Row],[ItemID C]],Katalog!$C$3:$C$12,0)),"-")</f>
        <v>Pakaian Wanita</v>
      </c>
      <c r="Y178" t="str">
        <f>IFERROR(INDEX(Katalog!$B$3:$B$12,MATCH(cadangan3[[#This Row],[ItemID C]],Katalog!$C$3:$C$12,0)),"-")</f>
        <v>Kaftan</v>
      </c>
      <c r="Z178">
        <v>1</v>
      </c>
      <c r="AA178">
        <v>2</v>
      </c>
      <c r="AB178" s="36">
        <f>IFERROR(INDEX(Katalog!$D$3:$D$12,MATCH(cadangan3[[#This Row],[ItemID C]],Katalog!$C$3:$C$12,0))*cadangan3[[#This Row],[Qty C]],0)</f>
        <v>250000</v>
      </c>
      <c r="AC178" s="36">
        <f>IFERROR(INDEX(Katalog!$D$3:$D$12,MATCH(cadangan3[[#This Row],[Item C]],Katalog!$B$3:$B$12,0))*cadangan3[[#This Row],[Qty C]],0)</f>
        <v>250000</v>
      </c>
      <c r="AD178" s="36">
        <f>IFERROR(cadangan3[[#This Row],[Harga Asli C]]-(cadangan3[[#This Row],[Harga Asli C]]*cadangan3[[#This Row],[Diskon]]),cadangan3[[#This Row],[Harga Asli C]])</f>
        <v>200000</v>
      </c>
      <c r="AE178" s="36">
        <f>IFERROR(INDEX(Katalog!$F$3:$F$12,MATCH(cadangan3[[#This Row],[ItemID C]],Katalog!$C$3:$C$12,0))*cadangan3[[#This Row],[Qty C]],0)</f>
        <v>100000</v>
      </c>
      <c r="AF178" s="36">
        <f>IFERROR(cadangan3[[#This Row],[Profit C]]-(cadangan3[[#This Row],[Profit C]]*cadangan3[[#This Row],[Diskon]]),cadangan3[[#This Row],[Profit C]])</f>
        <v>80000</v>
      </c>
      <c r="AG178" s="21">
        <f>cadangan3[[#This Row],[Qty A]]+cadangan3[[#This Row],[Qty B]]+cadangan3[[#This Row],[Qty C]]</f>
        <v>3</v>
      </c>
      <c r="AH178" s="35">
        <f>cadangan3[[#This Row],[Harga A + Diskon]]+cadangan3[[#This Row],[Harga + Diskon B]]+cadangan3[[#This Row],[Harga + Diskon C]]</f>
        <v>744000</v>
      </c>
      <c r="AI178" s="35">
        <f>(cadangan3[[#This Row],[Profit A]]+cadangan3[[#This Row],[Profit B]]+cadangan3[[#This Row],[Profit C]])</f>
        <v>370000</v>
      </c>
      <c r="AJ178" s="35">
        <f>cadangan3[[#This Row],[Provit A + Diskon]]+cadangan3[[#This Row],[Provit B + Diskon]]+cadangan3[[#This Row],[Provit C + Diskon]]</f>
        <v>296000</v>
      </c>
      <c r="AK178" s="23" t="s">
        <v>8</v>
      </c>
      <c r="AL178" s="37">
        <f>IFERROR(INDEX('Kode Diskon'!$D$3:$D$9,MATCH(cadangan3[[#This Row],[Kode diskon]],'Kode Diskon'!$C$3:$C$9,0)),"-")</f>
        <v>0.2</v>
      </c>
      <c r="AM178" s="23" t="s">
        <v>9</v>
      </c>
      <c r="AN178" s="23" t="s">
        <v>7</v>
      </c>
      <c r="AO178" s="23" t="s">
        <v>79</v>
      </c>
      <c r="AP178" s="24">
        <v>45045</v>
      </c>
      <c r="AQ178" s="23" t="str">
        <f>TEXT(cadangan3[[#This Row],[Tanggal terjual]],"dddd")</f>
        <v>Saturday</v>
      </c>
    </row>
    <row r="179" spans="1:43" x14ac:dyDescent="0.2">
      <c r="A179" s="20">
        <v>178</v>
      </c>
      <c r="B179" s="21" t="str">
        <f>_xlfn.CONCAT("ORD-",INDEX(Helper!$B$2:$B$5,MATCH(cadangan3[[#This Row],[Marketplace]],Helper!$A$2:$A$5,0)),TEXT(cadangan3[[#This Row],[No]],"0000"),"-",TEXT(cadangan3[[#This Row],[Tanggal terjual]],"dd/mm/yy"))</f>
        <v>ORD-SP0178-03/04/23</v>
      </c>
      <c r="C179" t="s">
        <v>64</v>
      </c>
      <c r="D179" t="str">
        <f>IFERROR(INDEX(Katalog!$A$3:$A$12,MATCH(cadangan3[[#This Row],[ItemID A]],Katalog!$C$3:$C$12,0)),"-")</f>
        <v>Pakaian Unisex</v>
      </c>
      <c r="E179" t="str">
        <f>IFERROR(INDEX(Katalog!$B$3:$B$12,MATCH(cadangan3[[#This Row],[ItemID A]],Katalog!$C$3:$C$12,0)),"-")</f>
        <v>Jaket Hoodie</v>
      </c>
      <c r="F179">
        <v>1</v>
      </c>
      <c r="G179">
        <v>3</v>
      </c>
      <c r="H179" s="36">
        <f>IFERROR(INDEX(Katalog!$D$3:$D$12,MATCH(cadangan3[[#This Row],[ItemID A]],Katalog!$C$3:$C$12,0))*cadangan3[[#This Row],[Qty A]],0)</f>
        <v>350000</v>
      </c>
      <c r="I179" s="36">
        <f>IFERROR(INDEX(Katalog!$D$3:$D$12,MATCH(cadangan3[[#This Row],[Item A]],Katalog!$B$3:$B$12,0))*cadangan3[[#This Row],[Qty A]],0)</f>
        <v>350000</v>
      </c>
      <c r="J179" s="36">
        <f>IFERROR(cadangan3[[#This Row],[Harga Asli A]]-(cadangan3[[#This Row],[Harga Asli A]]*cadangan3[[#This Row],[Diskon]]),cadangan3[[#This Row],[Harga Asli A]])</f>
        <v>315000</v>
      </c>
      <c r="K179" s="36">
        <f>INDEX(Katalog!$F$3:$F$12,MATCH(cadangan3[[#This Row],[ItemID A]],Katalog!$C$3:$C$12,0))*cadangan3[[#This Row],[Qty A]]</f>
        <v>130000</v>
      </c>
      <c r="L179" s="36">
        <f>IFERROR(cadangan3[[#This Row],[Profit A]]-(cadangan3[[#This Row],[Profit A]]*cadangan3[[#This Row],[Diskon]]),K179)</f>
        <v>117000</v>
      </c>
      <c r="M179" t="s">
        <v>66</v>
      </c>
      <c r="N179" t="str">
        <f>IFERROR(INDEX(Katalog!$A$3:$A$12,MATCH(cadangan3[[#This Row],[ItemID B]],Katalog!$C$3:$C$12,0)),"-")</f>
        <v>Sepatu Pria</v>
      </c>
      <c r="O179" t="str">
        <f>IFERROR(INDEX(Katalog!$B$3:$B$12,MATCH(cadangan3[[#This Row],[ItemID B]],Katalog!$C$3:$C$12,0)),"-")</f>
        <v>Sandal Slip On</v>
      </c>
      <c r="P179">
        <v>1</v>
      </c>
      <c r="Q179">
        <v>5</v>
      </c>
      <c r="R179" s="36">
        <f>IFERROR(INDEX(Katalog!$D$3:$D$12,MATCH(cadangan3[[#This Row],[ItemID B]],Katalog!$C$3:$C$12,0))*cadangan3[[#This Row],[Qty B]],0)</f>
        <v>150000</v>
      </c>
      <c r="S179" s="36">
        <f>IFERROR(INDEX(Katalog!$D$3:$D$12,MATCH(cadangan3[[#This Row],[Item B]],Katalog!$B$3:$B$12,0))*cadangan3[[#This Row],[Qty B]],0)</f>
        <v>150000</v>
      </c>
      <c r="T179" s="36">
        <f>IFERROR(cadangan3[[#This Row],[Harga Asli B]]-(cadangan3[[#This Row],[Harga Asli B]]*cadangan3[[#This Row],[Diskon]]),cadangan3[[#This Row],[Harga Asli B]])</f>
        <v>135000</v>
      </c>
      <c r="U179" s="36">
        <f>IFERROR(INDEX(Katalog!$F$3:$F$12,MATCH(cadangan3[[#This Row],[ItemID B]],Katalog!$C$3:$C$12,0))*cadangan3[[#This Row],[Qty B]],0)</f>
        <v>60000</v>
      </c>
      <c r="V179" s="36">
        <f>IFERROR(cadangan3[[#This Row],[Profit B]]-(cadangan3[[#This Row],[Profit B]]*cadangan3[[#This Row],[Diskon]]),U179)</f>
        <v>54000</v>
      </c>
      <c r="X179" t="str">
        <f>IFERROR(INDEX(Katalog!$A$3:$A$12,MATCH(cadangan3[[#This Row],[ItemID C]],Katalog!$C$3:$C$12,0)),"-")</f>
        <v>-</v>
      </c>
      <c r="Y179" t="str">
        <f>IFERROR(INDEX(Katalog!$B$3:$B$12,MATCH(cadangan3[[#This Row],[ItemID C]],Katalog!$C$3:$C$12,0)),"-")</f>
        <v>-</v>
      </c>
      <c r="AB179" s="36">
        <f>IFERROR(INDEX(Katalog!$D$3:$D$12,MATCH(cadangan3[[#This Row],[ItemID C]],Katalog!$C$3:$C$12,0))*cadangan3[[#This Row],[Qty C]],0)</f>
        <v>0</v>
      </c>
      <c r="AC179" s="36">
        <f>IFERROR(INDEX(Katalog!$D$3:$D$12,MATCH(cadangan3[[#This Row],[Item C]],Katalog!$B$3:$B$12,0))*cadangan3[[#This Row],[Qty C]],0)</f>
        <v>0</v>
      </c>
      <c r="AD179" s="36">
        <f>IFERROR(cadangan3[[#This Row],[Harga Asli C]]-(cadangan3[[#This Row],[Harga Asli C]]*cadangan3[[#This Row],[Diskon]]),cadangan3[[#This Row],[Harga Asli C]])</f>
        <v>0</v>
      </c>
      <c r="AE179" s="36">
        <f>IFERROR(INDEX(Katalog!$F$3:$F$12,MATCH(cadangan3[[#This Row],[ItemID C]],Katalog!$C$3:$C$12,0))*cadangan3[[#This Row],[Qty C]],0)</f>
        <v>0</v>
      </c>
      <c r="AF179" s="36">
        <f>IFERROR(cadangan3[[#This Row],[Profit C]]-(cadangan3[[#This Row],[Profit C]]*cadangan3[[#This Row],[Diskon]]),cadangan3[[#This Row],[Profit C]])</f>
        <v>0</v>
      </c>
      <c r="AG179" s="21">
        <f>cadangan3[[#This Row],[Qty A]]+cadangan3[[#This Row],[Qty B]]+cadangan3[[#This Row],[Qty C]]</f>
        <v>2</v>
      </c>
      <c r="AH179" s="35">
        <f>cadangan3[[#This Row],[Harga A + Diskon]]+cadangan3[[#This Row],[Harga + Diskon B]]+cadangan3[[#This Row],[Harga + Diskon C]]</f>
        <v>450000</v>
      </c>
      <c r="AI179" s="35">
        <f>(cadangan3[[#This Row],[Profit A]]+cadangan3[[#This Row],[Profit B]]+cadangan3[[#This Row],[Profit C]])</f>
        <v>190000</v>
      </c>
      <c r="AJ179" s="35">
        <f>cadangan3[[#This Row],[Provit A + Diskon]]+cadangan3[[#This Row],[Provit B + Diskon]]+cadangan3[[#This Row],[Provit C + Diskon]]</f>
        <v>171000</v>
      </c>
      <c r="AK179" s="23" t="s">
        <v>6</v>
      </c>
      <c r="AL179" s="37">
        <f>IFERROR(INDEX('Kode Diskon'!$D$3:$D$9,MATCH(cadangan3[[#This Row],[Kode diskon]],'Kode Diskon'!$C$3:$C$9,0)),"-")</f>
        <v>0.1</v>
      </c>
      <c r="AM179" s="23" t="s">
        <v>29</v>
      </c>
      <c r="AN179" s="23" t="s">
        <v>7</v>
      </c>
      <c r="AO179" s="23" t="s">
        <v>76</v>
      </c>
      <c r="AP179" s="24">
        <v>45019</v>
      </c>
      <c r="AQ179" s="23" t="str">
        <f>TEXT(cadangan3[[#This Row],[Tanggal terjual]],"dddd")</f>
        <v>Monday</v>
      </c>
    </row>
    <row r="180" spans="1:43" x14ac:dyDescent="0.2">
      <c r="A180" s="20">
        <v>179</v>
      </c>
      <c r="B180" s="21" t="str">
        <f>_xlfn.CONCAT("ORD-",INDEX(Helper!$B$2:$B$5,MATCH(cadangan3[[#This Row],[Marketplace]],Helper!$A$2:$A$5,0)),TEXT(cadangan3[[#This Row],[No]],"0000"),"-",TEXT(cadangan3[[#This Row],[Tanggal terjual]],"dd/mm/yy"))</f>
        <v>ORD-SP0179-16/04/23</v>
      </c>
      <c r="C180" t="s">
        <v>67</v>
      </c>
      <c r="D180" t="str">
        <f>IFERROR(INDEX(Katalog!$A$3:$A$12,MATCH(cadangan3[[#This Row],[ItemID A]],Katalog!$C$3:$C$12,0)),"-")</f>
        <v>Sepatu Wanita</v>
      </c>
      <c r="E180" t="str">
        <f>IFERROR(INDEX(Katalog!$B$3:$B$12,MATCH(cadangan3[[#This Row],[ItemID A]],Katalog!$C$3:$C$12,0)),"-")</f>
        <v>Flat Shoes</v>
      </c>
      <c r="F180">
        <v>1</v>
      </c>
      <c r="G180">
        <v>5</v>
      </c>
      <c r="H180" s="36">
        <f>IFERROR(INDEX(Katalog!$D$3:$D$12,MATCH(cadangan3[[#This Row],[ItemID A]],Katalog!$C$3:$C$12,0))*cadangan3[[#This Row],[Qty A]],0)</f>
        <v>250000</v>
      </c>
      <c r="I180" s="36">
        <f>IFERROR(INDEX(Katalog!$D$3:$D$12,MATCH(cadangan3[[#This Row],[Item A]],Katalog!$B$3:$B$12,0))*cadangan3[[#This Row],[Qty A]],0)</f>
        <v>250000</v>
      </c>
      <c r="J180" s="36">
        <f>IFERROR(cadangan3[[#This Row],[Harga Asli A]]-(cadangan3[[#This Row],[Harga Asli A]]*cadangan3[[#This Row],[Diskon]]),cadangan3[[#This Row],[Harga Asli A]])</f>
        <v>200000</v>
      </c>
      <c r="K180" s="36">
        <f>INDEX(Katalog!$F$3:$F$12,MATCH(cadangan3[[#This Row],[ItemID A]],Katalog!$C$3:$C$12,0))*cadangan3[[#This Row],[Qty A]]</f>
        <v>100000</v>
      </c>
      <c r="L180" s="36">
        <f>IFERROR(cadangan3[[#This Row],[Profit A]]-(cadangan3[[#This Row],[Profit A]]*cadangan3[[#This Row],[Diskon]]),K180)</f>
        <v>80000</v>
      </c>
      <c r="N180" t="str">
        <f>IFERROR(INDEX(Katalog!$A$3:$A$12,MATCH(cadangan3[[#This Row],[ItemID B]],Katalog!$C$3:$C$12,0)),"-")</f>
        <v>-</v>
      </c>
      <c r="O180" t="str">
        <f>IFERROR(INDEX(Katalog!$B$3:$B$12,MATCH(cadangan3[[#This Row],[ItemID B]],Katalog!$C$3:$C$12,0)),"-")</f>
        <v>-</v>
      </c>
      <c r="R180" s="36">
        <f>IFERROR(INDEX(Katalog!$D$3:$D$12,MATCH(cadangan3[[#This Row],[ItemID B]],Katalog!$C$3:$C$12,0))*cadangan3[[#This Row],[Qty B]],0)</f>
        <v>0</v>
      </c>
      <c r="S180" s="36">
        <f>IFERROR(INDEX(Katalog!$D$3:$D$12,MATCH(cadangan3[[#This Row],[Item B]],Katalog!$B$3:$B$12,0))*cadangan3[[#This Row],[Qty B]],0)</f>
        <v>0</v>
      </c>
      <c r="T180" s="36">
        <f>IFERROR(cadangan3[[#This Row],[Harga Asli B]]-(cadangan3[[#This Row],[Harga Asli B]]*cadangan3[[#This Row],[Diskon]]),cadangan3[[#This Row],[Harga Asli B]])</f>
        <v>0</v>
      </c>
      <c r="U180" s="36">
        <f>IFERROR(INDEX(Katalog!$F$3:$F$12,MATCH(cadangan3[[#This Row],[ItemID B]],Katalog!$C$3:$C$12,0))*cadangan3[[#This Row],[Qty B]],0)</f>
        <v>0</v>
      </c>
      <c r="V180" s="36">
        <f>IFERROR(cadangan3[[#This Row],[Profit B]]-(cadangan3[[#This Row],[Profit B]]*cadangan3[[#This Row],[Diskon]]),U180)</f>
        <v>0</v>
      </c>
      <c r="X180" t="str">
        <f>IFERROR(INDEX(Katalog!$A$3:$A$12,MATCH(cadangan3[[#This Row],[ItemID C]],Katalog!$C$3:$C$12,0)),"-")</f>
        <v>-</v>
      </c>
      <c r="Y180" t="str">
        <f>IFERROR(INDEX(Katalog!$B$3:$B$12,MATCH(cadangan3[[#This Row],[ItemID C]],Katalog!$C$3:$C$12,0)),"-")</f>
        <v>-</v>
      </c>
      <c r="AB180" s="36">
        <f>IFERROR(INDEX(Katalog!$D$3:$D$12,MATCH(cadangan3[[#This Row],[ItemID C]],Katalog!$C$3:$C$12,0))*cadangan3[[#This Row],[Qty C]],0)</f>
        <v>0</v>
      </c>
      <c r="AC180" s="36">
        <f>IFERROR(INDEX(Katalog!$D$3:$D$12,MATCH(cadangan3[[#This Row],[Item C]],Katalog!$B$3:$B$12,0))*cadangan3[[#This Row],[Qty C]],0)</f>
        <v>0</v>
      </c>
      <c r="AD180" s="36">
        <f>IFERROR(cadangan3[[#This Row],[Harga Asli C]]-(cadangan3[[#This Row],[Harga Asli C]]*cadangan3[[#This Row],[Diskon]]),cadangan3[[#This Row],[Harga Asli C]])</f>
        <v>0</v>
      </c>
      <c r="AE180" s="36">
        <f>IFERROR(INDEX(Katalog!$F$3:$F$12,MATCH(cadangan3[[#This Row],[ItemID C]],Katalog!$C$3:$C$12,0))*cadangan3[[#This Row],[Qty C]],0)</f>
        <v>0</v>
      </c>
      <c r="AF180" s="36">
        <f>IFERROR(cadangan3[[#This Row],[Profit C]]-(cadangan3[[#This Row],[Profit C]]*cadangan3[[#This Row],[Diskon]]),cadangan3[[#This Row],[Profit C]])</f>
        <v>0</v>
      </c>
      <c r="AG180" s="21">
        <f>cadangan3[[#This Row],[Qty A]]+cadangan3[[#This Row],[Qty B]]+cadangan3[[#This Row],[Qty C]]</f>
        <v>1</v>
      </c>
      <c r="AH180" s="35">
        <f>cadangan3[[#This Row],[Harga A + Diskon]]+cadangan3[[#This Row],[Harga + Diskon B]]+cadangan3[[#This Row],[Harga + Diskon C]]</f>
        <v>200000</v>
      </c>
      <c r="AI180" s="35">
        <f>(cadangan3[[#This Row],[Profit A]]+cadangan3[[#This Row],[Profit B]]+cadangan3[[#This Row],[Profit C]])</f>
        <v>100000</v>
      </c>
      <c r="AJ180" s="35">
        <f>cadangan3[[#This Row],[Provit A + Diskon]]+cadangan3[[#This Row],[Provit B + Diskon]]+cadangan3[[#This Row],[Provit C + Diskon]]</f>
        <v>80000</v>
      </c>
      <c r="AK180" s="23" t="s">
        <v>8</v>
      </c>
      <c r="AL180" s="37">
        <f>IFERROR(INDEX('Kode Diskon'!$D$3:$D$9,MATCH(cadangan3[[#This Row],[Kode diskon]],'Kode Diskon'!$C$3:$C$9,0)),"-")</f>
        <v>0.2</v>
      </c>
      <c r="AM180" s="23" t="s">
        <v>9</v>
      </c>
      <c r="AN180" s="23" t="s">
        <v>7</v>
      </c>
      <c r="AO180" s="23" t="s">
        <v>76</v>
      </c>
      <c r="AP180" s="24">
        <v>45032</v>
      </c>
      <c r="AQ180" s="23" t="str">
        <f>TEXT(cadangan3[[#This Row],[Tanggal terjual]],"dddd")</f>
        <v>Sunday</v>
      </c>
    </row>
    <row r="181" spans="1:43" x14ac:dyDescent="0.2">
      <c r="A181" s="20">
        <v>180</v>
      </c>
      <c r="B181" s="21" t="str">
        <f>_xlfn.CONCAT("ORD-",INDEX(Helper!$B$2:$B$5,MATCH(cadangan3[[#This Row],[Marketplace]],Helper!$A$2:$A$5,0)),TEXT(cadangan3[[#This Row],[No]],"0000"),"-",TEXT(cadangan3[[#This Row],[Tanggal terjual]],"dd/mm/yy"))</f>
        <v>ORD-TK0180-03/04/23</v>
      </c>
      <c r="C181" t="s">
        <v>63</v>
      </c>
      <c r="D181" t="str">
        <f>IFERROR(INDEX(Katalog!$A$3:$A$12,MATCH(cadangan3[[#This Row],[ItemID A]],Katalog!$C$3:$C$12,0)),"-")</f>
        <v>Pakaian Pria</v>
      </c>
      <c r="E181" t="str">
        <f>IFERROR(INDEX(Katalog!$B$3:$B$12,MATCH(cadangan3[[#This Row],[ItemID A]],Katalog!$C$3:$C$12,0)),"-")</f>
        <v>Jaket Jeans</v>
      </c>
      <c r="F181">
        <v>2</v>
      </c>
      <c r="G181">
        <v>4</v>
      </c>
      <c r="H181" s="36">
        <f>IFERROR(INDEX(Katalog!$D$3:$D$12,MATCH(cadangan3[[#This Row],[ItemID A]],Katalog!$C$3:$C$12,0))*cadangan3[[#This Row],[Qty A]],0)</f>
        <v>800000</v>
      </c>
      <c r="I181" s="36">
        <f>IFERROR(INDEX(Katalog!$D$3:$D$12,MATCH(cadangan3[[#This Row],[Item A]],Katalog!$B$3:$B$12,0))*cadangan3[[#This Row],[Qty A]],0)</f>
        <v>800000</v>
      </c>
      <c r="J181" s="36">
        <f>IFERROR(cadangan3[[#This Row],[Harga Asli A]]-(cadangan3[[#This Row],[Harga Asli A]]*cadangan3[[#This Row],[Diskon]]),cadangan3[[#This Row],[Harga Asli A]])</f>
        <v>720000</v>
      </c>
      <c r="K181" s="36">
        <f>INDEX(Katalog!$F$3:$F$12,MATCH(cadangan3[[#This Row],[ItemID A]],Katalog!$C$3:$C$12,0))*cadangan3[[#This Row],[Qty A]]</f>
        <v>300000</v>
      </c>
      <c r="L181" s="36">
        <f>IFERROR(cadangan3[[#This Row],[Profit A]]-(cadangan3[[#This Row],[Profit A]]*cadangan3[[#This Row],[Diskon]]),K181)</f>
        <v>270000</v>
      </c>
      <c r="M181" t="s">
        <v>60</v>
      </c>
      <c r="N181" t="str">
        <f>IFERROR(INDEX(Katalog!$A$3:$A$12,MATCH(cadangan3[[#This Row],[ItemID B]],Katalog!$C$3:$C$12,0)),"-")</f>
        <v>Pakaian Wanita</v>
      </c>
      <c r="O181" t="str">
        <f>IFERROR(INDEX(Katalog!$B$3:$B$12,MATCH(cadangan3[[#This Row],[ItemID B]],Katalog!$C$3:$C$12,0)),"-")</f>
        <v>Kaftan</v>
      </c>
      <c r="P181">
        <v>1</v>
      </c>
      <c r="Q181">
        <v>1</v>
      </c>
      <c r="R181" s="36">
        <f>IFERROR(INDEX(Katalog!$D$3:$D$12,MATCH(cadangan3[[#This Row],[ItemID B]],Katalog!$C$3:$C$12,0))*cadangan3[[#This Row],[Qty B]],0)</f>
        <v>250000</v>
      </c>
      <c r="S181" s="36">
        <f>IFERROR(INDEX(Katalog!$D$3:$D$12,MATCH(cadangan3[[#This Row],[Item B]],Katalog!$B$3:$B$12,0))*cadangan3[[#This Row],[Qty B]],0)</f>
        <v>250000</v>
      </c>
      <c r="T181" s="36">
        <f>IFERROR(cadangan3[[#This Row],[Harga Asli B]]-(cadangan3[[#This Row],[Harga Asli B]]*cadangan3[[#This Row],[Diskon]]),cadangan3[[#This Row],[Harga Asli B]])</f>
        <v>225000</v>
      </c>
      <c r="U181" s="36">
        <f>IFERROR(INDEX(Katalog!$F$3:$F$12,MATCH(cadangan3[[#This Row],[ItemID B]],Katalog!$C$3:$C$12,0))*cadangan3[[#This Row],[Qty B]],0)</f>
        <v>100000</v>
      </c>
      <c r="V181" s="36">
        <f>IFERROR(cadangan3[[#This Row],[Profit B]]-(cadangan3[[#This Row],[Profit B]]*cadangan3[[#This Row],[Diskon]]),U181)</f>
        <v>90000</v>
      </c>
      <c r="W181" t="s">
        <v>66</v>
      </c>
      <c r="X181" t="str">
        <f>IFERROR(INDEX(Katalog!$A$3:$A$12,MATCH(cadangan3[[#This Row],[ItemID C]],Katalog!$C$3:$C$12,0)),"-")</f>
        <v>Sepatu Pria</v>
      </c>
      <c r="Y181" t="str">
        <f>IFERROR(INDEX(Katalog!$B$3:$B$12,MATCH(cadangan3[[#This Row],[ItemID C]],Katalog!$C$3:$C$12,0)),"-")</f>
        <v>Sandal Slip On</v>
      </c>
      <c r="Z181">
        <v>1</v>
      </c>
      <c r="AA181">
        <v>1</v>
      </c>
      <c r="AB181" s="36">
        <f>IFERROR(INDEX(Katalog!$D$3:$D$12,MATCH(cadangan3[[#This Row],[ItemID C]],Katalog!$C$3:$C$12,0))*cadangan3[[#This Row],[Qty C]],0)</f>
        <v>150000</v>
      </c>
      <c r="AC181" s="36">
        <f>IFERROR(INDEX(Katalog!$D$3:$D$12,MATCH(cadangan3[[#This Row],[Item C]],Katalog!$B$3:$B$12,0))*cadangan3[[#This Row],[Qty C]],0)</f>
        <v>150000</v>
      </c>
      <c r="AD181" s="36">
        <f>IFERROR(cadangan3[[#This Row],[Harga Asli C]]-(cadangan3[[#This Row],[Harga Asli C]]*cadangan3[[#This Row],[Diskon]]),cadangan3[[#This Row],[Harga Asli C]])</f>
        <v>135000</v>
      </c>
      <c r="AE181" s="36">
        <f>IFERROR(INDEX(Katalog!$F$3:$F$12,MATCH(cadangan3[[#This Row],[ItemID C]],Katalog!$C$3:$C$12,0))*cadangan3[[#This Row],[Qty C]],0)</f>
        <v>60000</v>
      </c>
      <c r="AF181" s="36">
        <f>IFERROR(cadangan3[[#This Row],[Profit C]]-(cadangan3[[#This Row],[Profit C]]*cadangan3[[#This Row],[Diskon]]),cadangan3[[#This Row],[Profit C]])</f>
        <v>54000</v>
      </c>
      <c r="AG181" s="21">
        <f>cadangan3[[#This Row],[Qty A]]+cadangan3[[#This Row],[Qty B]]+cadangan3[[#This Row],[Qty C]]</f>
        <v>4</v>
      </c>
      <c r="AH181" s="35">
        <f>cadangan3[[#This Row],[Harga A + Diskon]]+cadangan3[[#This Row],[Harga + Diskon B]]+cadangan3[[#This Row],[Harga + Diskon C]]</f>
        <v>1080000</v>
      </c>
      <c r="AI181" s="35">
        <f>(cadangan3[[#This Row],[Profit A]]+cadangan3[[#This Row],[Profit B]]+cadangan3[[#This Row],[Profit C]])</f>
        <v>460000</v>
      </c>
      <c r="AJ181" s="35">
        <f>cadangan3[[#This Row],[Provit A + Diskon]]+cadangan3[[#This Row],[Provit B + Diskon]]+cadangan3[[#This Row],[Provit C + Diskon]]</f>
        <v>414000</v>
      </c>
      <c r="AK181" s="23" t="s">
        <v>30</v>
      </c>
      <c r="AL181" s="37">
        <f>IFERROR(INDEX('Kode Diskon'!$D$3:$D$9,MATCH(cadangan3[[#This Row],[Kode diskon]],'Kode Diskon'!$C$3:$C$9,0)),"-")</f>
        <v>0.1</v>
      </c>
      <c r="AM181" s="23" t="s">
        <v>29</v>
      </c>
      <c r="AN181" s="23" t="s">
        <v>10</v>
      </c>
      <c r="AO181" s="23" t="s">
        <v>75</v>
      </c>
      <c r="AP181" s="24">
        <v>45019</v>
      </c>
      <c r="AQ181" s="23" t="str">
        <f>TEXT(cadangan3[[#This Row],[Tanggal terjual]],"dddd")</f>
        <v>Monday</v>
      </c>
    </row>
    <row r="182" spans="1:43" x14ac:dyDescent="0.2">
      <c r="A182" s="20">
        <v>181</v>
      </c>
      <c r="B182" s="21" t="str">
        <f>_xlfn.CONCAT("ORD-",INDEX(Helper!$B$2:$B$5,MATCH(cadangan3[[#This Row],[Marketplace]],Helper!$A$2:$A$5,0)),TEXT(cadangan3[[#This Row],[No]],"0000"),"-",TEXT(cadangan3[[#This Row],[Tanggal terjual]],"dd/mm/yy"))</f>
        <v>ORD-SP0181-01/04/23</v>
      </c>
      <c r="C182" t="s">
        <v>59</v>
      </c>
      <c r="D182" t="str">
        <f>IFERROR(INDEX(Katalog!$A$3:$A$12,MATCH(cadangan3[[#This Row],[ItemID A]],Katalog!$C$3:$C$12,0)),"-")</f>
        <v>Pakaian Wanita</v>
      </c>
      <c r="E182" t="str">
        <f>IFERROR(INDEX(Katalog!$B$3:$B$12,MATCH(cadangan3[[#This Row],[ItemID A]],Katalog!$C$3:$C$12,0)),"-")</f>
        <v>Blouse</v>
      </c>
      <c r="F182">
        <v>5</v>
      </c>
      <c r="G182">
        <v>5</v>
      </c>
      <c r="H182" s="36">
        <f>IFERROR(INDEX(Katalog!$D$3:$D$12,MATCH(cadangan3[[#This Row],[ItemID A]],Katalog!$C$3:$C$12,0))*cadangan3[[#This Row],[Qty A]],0)</f>
        <v>750000</v>
      </c>
      <c r="I182" s="36">
        <f>IFERROR(INDEX(Katalog!$D$3:$D$12,MATCH(cadangan3[[#This Row],[Item A]],Katalog!$B$3:$B$12,0))*cadangan3[[#This Row],[Qty A]],0)</f>
        <v>750000</v>
      </c>
      <c r="J182" s="36">
        <f>IFERROR(cadangan3[[#This Row],[Harga Asli A]]-(cadangan3[[#This Row],[Harga Asli A]]*cadangan3[[#This Row],[Diskon]]),cadangan3[[#This Row],[Harga Asli A]])</f>
        <v>675000</v>
      </c>
      <c r="K182" s="36">
        <f>INDEX(Katalog!$F$3:$F$12,MATCH(cadangan3[[#This Row],[ItemID A]],Katalog!$C$3:$C$12,0))*cadangan3[[#This Row],[Qty A]]</f>
        <v>250000</v>
      </c>
      <c r="L182" s="36">
        <f>IFERROR(cadangan3[[#This Row],[Profit A]]-(cadangan3[[#This Row],[Profit A]]*cadangan3[[#This Row],[Diskon]]),K182)</f>
        <v>225000</v>
      </c>
      <c r="M182" t="s">
        <v>63</v>
      </c>
      <c r="N182" t="str">
        <f>IFERROR(INDEX(Katalog!$A$3:$A$12,MATCH(cadangan3[[#This Row],[ItemID B]],Katalog!$C$3:$C$12,0)),"-")</f>
        <v>Pakaian Pria</v>
      </c>
      <c r="O182" t="str">
        <f>IFERROR(INDEX(Katalog!$B$3:$B$12,MATCH(cadangan3[[#This Row],[ItemID B]],Katalog!$C$3:$C$12,0)),"-")</f>
        <v>Jaket Jeans</v>
      </c>
      <c r="P182">
        <v>2</v>
      </c>
      <c r="Q182">
        <v>2</v>
      </c>
      <c r="R182" s="36">
        <f>IFERROR(INDEX(Katalog!$D$3:$D$12,MATCH(cadangan3[[#This Row],[ItemID B]],Katalog!$C$3:$C$12,0))*cadangan3[[#This Row],[Qty B]],0)</f>
        <v>800000</v>
      </c>
      <c r="S182" s="36">
        <f>IFERROR(INDEX(Katalog!$D$3:$D$12,MATCH(cadangan3[[#This Row],[Item B]],Katalog!$B$3:$B$12,0))*cadangan3[[#This Row],[Qty B]],0)</f>
        <v>800000</v>
      </c>
      <c r="T182" s="36">
        <f>IFERROR(cadangan3[[#This Row],[Harga Asli B]]-(cadangan3[[#This Row],[Harga Asli B]]*cadangan3[[#This Row],[Diskon]]),cadangan3[[#This Row],[Harga Asli B]])</f>
        <v>720000</v>
      </c>
      <c r="U182" s="36">
        <f>IFERROR(INDEX(Katalog!$F$3:$F$12,MATCH(cadangan3[[#This Row],[ItemID B]],Katalog!$C$3:$C$12,0))*cadangan3[[#This Row],[Qty B]],0)</f>
        <v>300000</v>
      </c>
      <c r="V182" s="36">
        <f>IFERROR(cadangan3[[#This Row],[Profit B]]-(cadangan3[[#This Row],[Profit B]]*cadangan3[[#This Row],[Diskon]]),U182)</f>
        <v>270000</v>
      </c>
      <c r="X182" t="str">
        <f>IFERROR(INDEX(Katalog!$A$3:$A$12,MATCH(cadangan3[[#This Row],[ItemID C]],Katalog!$C$3:$C$12,0)),"-")</f>
        <v>-</v>
      </c>
      <c r="Y182" t="str">
        <f>IFERROR(INDEX(Katalog!$B$3:$B$12,MATCH(cadangan3[[#This Row],[ItemID C]],Katalog!$C$3:$C$12,0)),"-")</f>
        <v>-</v>
      </c>
      <c r="AB182" s="36">
        <f>IFERROR(INDEX(Katalog!$D$3:$D$12,MATCH(cadangan3[[#This Row],[ItemID C]],Katalog!$C$3:$C$12,0))*cadangan3[[#This Row],[Qty C]],0)</f>
        <v>0</v>
      </c>
      <c r="AC182" s="36">
        <f>IFERROR(INDEX(Katalog!$D$3:$D$12,MATCH(cadangan3[[#This Row],[Item C]],Katalog!$B$3:$B$12,0))*cadangan3[[#This Row],[Qty C]],0)</f>
        <v>0</v>
      </c>
      <c r="AD182" s="36">
        <f>IFERROR(cadangan3[[#This Row],[Harga Asli C]]-(cadangan3[[#This Row],[Harga Asli C]]*cadangan3[[#This Row],[Diskon]]),cadangan3[[#This Row],[Harga Asli C]])</f>
        <v>0</v>
      </c>
      <c r="AE182" s="36">
        <f>IFERROR(INDEX(Katalog!$F$3:$F$12,MATCH(cadangan3[[#This Row],[ItemID C]],Katalog!$C$3:$C$12,0))*cadangan3[[#This Row],[Qty C]],0)</f>
        <v>0</v>
      </c>
      <c r="AF182" s="36">
        <f>IFERROR(cadangan3[[#This Row],[Profit C]]-(cadangan3[[#This Row],[Profit C]]*cadangan3[[#This Row],[Diskon]]),cadangan3[[#This Row],[Profit C]])</f>
        <v>0</v>
      </c>
      <c r="AG182" s="21">
        <f>cadangan3[[#This Row],[Qty A]]+cadangan3[[#This Row],[Qty B]]+cadangan3[[#This Row],[Qty C]]</f>
        <v>7</v>
      </c>
      <c r="AH182" s="35">
        <f>cadangan3[[#This Row],[Harga A + Diskon]]+cadangan3[[#This Row],[Harga + Diskon B]]+cadangan3[[#This Row],[Harga + Diskon C]]</f>
        <v>1395000</v>
      </c>
      <c r="AI182" s="35">
        <f>(cadangan3[[#This Row],[Profit A]]+cadangan3[[#This Row],[Profit B]]+cadangan3[[#This Row],[Profit C]])</f>
        <v>550000</v>
      </c>
      <c r="AJ182" s="35">
        <f>cadangan3[[#This Row],[Provit A + Diskon]]+cadangan3[[#This Row],[Provit B + Diskon]]+cadangan3[[#This Row],[Provit C + Diskon]]</f>
        <v>495000</v>
      </c>
      <c r="AK182" s="23" t="s">
        <v>6</v>
      </c>
      <c r="AL182" s="37">
        <f>IFERROR(INDEX('Kode Diskon'!$D$3:$D$9,MATCH(cadangan3[[#This Row],[Kode diskon]],'Kode Diskon'!$C$3:$C$9,0)),"-")</f>
        <v>0.1</v>
      </c>
      <c r="AM182" s="23" t="s">
        <v>29</v>
      </c>
      <c r="AN182" s="23" t="s">
        <v>7</v>
      </c>
      <c r="AO182" s="23" t="s">
        <v>80</v>
      </c>
      <c r="AP182" s="24">
        <v>45017</v>
      </c>
      <c r="AQ182" s="23" t="str">
        <f>TEXT(cadangan3[[#This Row],[Tanggal terjual]],"dddd")</f>
        <v>Saturday</v>
      </c>
    </row>
    <row r="183" spans="1:43" x14ac:dyDescent="0.2">
      <c r="A183" s="20">
        <v>182</v>
      </c>
      <c r="B183" s="21" t="str">
        <f>_xlfn.CONCAT("ORD-",INDEX(Helper!$B$2:$B$5,MATCH(cadangan3[[#This Row],[Marketplace]],Helper!$A$2:$A$5,0)),TEXT(cadangan3[[#This Row],[No]],"0000"),"-",TEXT(cadangan3[[#This Row],[Tanggal terjual]],"dd/mm/yy"))</f>
        <v>ORD-SP0182-04/04/23</v>
      </c>
      <c r="C183" t="s">
        <v>61</v>
      </c>
      <c r="D183" t="str">
        <f>IFERROR(INDEX(Katalog!$A$3:$A$12,MATCH(cadangan3[[#This Row],[ItemID A]],Katalog!$C$3:$C$12,0)),"-")</f>
        <v>Pakaian Pria</v>
      </c>
      <c r="E183" t="str">
        <f>IFERROR(INDEX(Katalog!$B$3:$B$12,MATCH(cadangan3[[#This Row],[ItemID A]],Katalog!$C$3:$C$12,0)),"-")</f>
        <v>Kaos Polo</v>
      </c>
      <c r="F183">
        <v>1</v>
      </c>
      <c r="G183">
        <v>3</v>
      </c>
      <c r="H183" s="36">
        <f>IFERROR(INDEX(Katalog!$D$3:$D$12,MATCH(cadangan3[[#This Row],[ItemID A]],Katalog!$C$3:$C$12,0))*cadangan3[[#This Row],[Qty A]],0)</f>
        <v>200000</v>
      </c>
      <c r="I183" s="36">
        <f>IFERROR(INDEX(Katalog!$D$3:$D$12,MATCH(cadangan3[[#This Row],[Item A]],Katalog!$B$3:$B$12,0))*cadangan3[[#This Row],[Qty A]],0)</f>
        <v>200000</v>
      </c>
      <c r="J183" s="36">
        <f>IFERROR(cadangan3[[#This Row],[Harga Asli A]]-(cadangan3[[#This Row],[Harga Asli A]]*cadangan3[[#This Row],[Diskon]]),cadangan3[[#This Row],[Harga Asli A]])</f>
        <v>170000</v>
      </c>
      <c r="K183" s="36">
        <f>INDEX(Katalog!$F$3:$F$12,MATCH(cadangan3[[#This Row],[ItemID A]],Katalog!$C$3:$C$12,0))*cadangan3[[#This Row],[Qty A]]</f>
        <v>80000</v>
      </c>
      <c r="L183" s="36">
        <f>IFERROR(cadangan3[[#This Row],[Profit A]]-(cadangan3[[#This Row],[Profit A]]*cadangan3[[#This Row],[Diskon]]),K183)</f>
        <v>68000</v>
      </c>
      <c r="M183" t="s">
        <v>63</v>
      </c>
      <c r="N183" t="str">
        <f>IFERROR(INDEX(Katalog!$A$3:$A$12,MATCH(cadangan3[[#This Row],[ItemID B]],Katalog!$C$3:$C$12,0)),"-")</f>
        <v>Pakaian Pria</v>
      </c>
      <c r="O183" t="str">
        <f>IFERROR(INDEX(Katalog!$B$3:$B$12,MATCH(cadangan3[[#This Row],[ItemID B]],Katalog!$C$3:$C$12,0)),"-")</f>
        <v>Jaket Jeans</v>
      </c>
      <c r="P183">
        <v>1</v>
      </c>
      <c r="Q183">
        <v>4</v>
      </c>
      <c r="R183" s="36">
        <f>IFERROR(INDEX(Katalog!$D$3:$D$12,MATCH(cadangan3[[#This Row],[ItemID B]],Katalog!$C$3:$C$12,0))*cadangan3[[#This Row],[Qty B]],0)</f>
        <v>400000</v>
      </c>
      <c r="S183" s="36">
        <f>IFERROR(INDEX(Katalog!$D$3:$D$12,MATCH(cadangan3[[#This Row],[Item B]],Katalog!$B$3:$B$12,0))*cadangan3[[#This Row],[Qty B]],0)</f>
        <v>400000</v>
      </c>
      <c r="T183" s="36">
        <f>IFERROR(cadangan3[[#This Row],[Harga Asli B]]-(cadangan3[[#This Row],[Harga Asli B]]*cadangan3[[#This Row],[Diskon]]),cadangan3[[#This Row],[Harga Asli B]])</f>
        <v>340000</v>
      </c>
      <c r="U183" s="36">
        <f>IFERROR(INDEX(Katalog!$F$3:$F$12,MATCH(cadangan3[[#This Row],[ItemID B]],Katalog!$C$3:$C$12,0))*cadangan3[[#This Row],[Qty B]],0)</f>
        <v>150000</v>
      </c>
      <c r="V183" s="36">
        <f>IFERROR(cadangan3[[#This Row],[Profit B]]-(cadangan3[[#This Row],[Profit B]]*cadangan3[[#This Row],[Diskon]]),U183)</f>
        <v>127500</v>
      </c>
      <c r="X183" t="str">
        <f>IFERROR(INDEX(Katalog!$A$3:$A$12,MATCH(cadangan3[[#This Row],[ItemID C]],Katalog!$C$3:$C$12,0)),"-")</f>
        <v>-</v>
      </c>
      <c r="Y183" t="str">
        <f>IFERROR(INDEX(Katalog!$B$3:$B$12,MATCH(cadangan3[[#This Row],[ItemID C]],Katalog!$C$3:$C$12,0)),"-")</f>
        <v>-</v>
      </c>
      <c r="AB183" s="36">
        <f>IFERROR(INDEX(Katalog!$D$3:$D$12,MATCH(cadangan3[[#This Row],[ItemID C]],Katalog!$C$3:$C$12,0))*cadangan3[[#This Row],[Qty C]],0)</f>
        <v>0</v>
      </c>
      <c r="AC183" s="36">
        <f>IFERROR(INDEX(Katalog!$D$3:$D$12,MATCH(cadangan3[[#This Row],[Item C]],Katalog!$B$3:$B$12,0))*cadangan3[[#This Row],[Qty C]],0)</f>
        <v>0</v>
      </c>
      <c r="AD183" s="36">
        <f>IFERROR(cadangan3[[#This Row],[Harga Asli C]]-(cadangan3[[#This Row],[Harga Asli C]]*cadangan3[[#This Row],[Diskon]]),cadangan3[[#This Row],[Harga Asli C]])</f>
        <v>0</v>
      </c>
      <c r="AE183" s="36">
        <f>IFERROR(INDEX(Katalog!$F$3:$F$12,MATCH(cadangan3[[#This Row],[ItemID C]],Katalog!$C$3:$C$12,0))*cadangan3[[#This Row],[Qty C]],0)</f>
        <v>0</v>
      </c>
      <c r="AF183" s="36">
        <f>IFERROR(cadangan3[[#This Row],[Profit C]]-(cadangan3[[#This Row],[Profit C]]*cadangan3[[#This Row],[Diskon]]),cadangan3[[#This Row],[Profit C]])</f>
        <v>0</v>
      </c>
      <c r="AG183" s="21">
        <f>cadangan3[[#This Row],[Qty A]]+cadangan3[[#This Row],[Qty B]]+cadangan3[[#This Row],[Qty C]]</f>
        <v>2</v>
      </c>
      <c r="AH183" s="35">
        <f>cadangan3[[#This Row],[Harga A + Diskon]]+cadangan3[[#This Row],[Harga + Diskon B]]+cadangan3[[#This Row],[Harga + Diskon C]]</f>
        <v>510000</v>
      </c>
      <c r="AI183" s="35">
        <f>(cadangan3[[#This Row],[Profit A]]+cadangan3[[#This Row],[Profit B]]+cadangan3[[#This Row],[Profit C]])</f>
        <v>230000</v>
      </c>
      <c r="AJ183" s="35">
        <f>cadangan3[[#This Row],[Provit A + Diskon]]+cadangan3[[#This Row],[Provit B + Diskon]]+cadangan3[[#This Row],[Provit C + Diskon]]</f>
        <v>195500</v>
      </c>
      <c r="AK183" s="23" t="s">
        <v>13</v>
      </c>
      <c r="AL183" s="37">
        <f>IFERROR(INDEX('Kode Diskon'!$D$3:$D$9,MATCH(cadangan3[[#This Row],[Kode diskon]],'Kode Diskon'!$C$3:$C$9,0)),"-")</f>
        <v>0.15</v>
      </c>
      <c r="AM183" s="23" t="s">
        <v>29</v>
      </c>
      <c r="AN183" s="23" t="s">
        <v>7</v>
      </c>
      <c r="AO183" s="23" t="s">
        <v>79</v>
      </c>
      <c r="AP183" s="24">
        <v>45020</v>
      </c>
      <c r="AQ183" s="23" t="str">
        <f>TEXT(cadangan3[[#This Row],[Tanggal terjual]],"dddd")</f>
        <v>Tuesday</v>
      </c>
    </row>
    <row r="184" spans="1:43" x14ac:dyDescent="0.2">
      <c r="A184" s="20">
        <v>183</v>
      </c>
      <c r="B184" s="21" t="str">
        <f>_xlfn.CONCAT("ORD-",INDEX(Helper!$B$2:$B$5,MATCH(cadangan3[[#This Row],[Marketplace]],Helper!$A$2:$A$5,0)),TEXT(cadangan3[[#This Row],[No]],"0000"),"-",TEXT(cadangan3[[#This Row],[Tanggal terjual]],"dd/mm/yy"))</f>
        <v>ORD-BL0183-20/04/23</v>
      </c>
      <c r="C184" t="s">
        <v>59</v>
      </c>
      <c r="D184" t="str">
        <f>IFERROR(INDEX(Katalog!$A$3:$A$12,MATCH(cadangan3[[#This Row],[ItemID A]],Katalog!$C$3:$C$12,0)),"-")</f>
        <v>Pakaian Wanita</v>
      </c>
      <c r="E184" t="str">
        <f>IFERROR(INDEX(Katalog!$B$3:$B$12,MATCH(cadangan3[[#This Row],[ItemID A]],Katalog!$C$3:$C$12,0)),"-")</f>
        <v>Blouse</v>
      </c>
      <c r="F184">
        <v>7</v>
      </c>
      <c r="G184">
        <v>4</v>
      </c>
      <c r="H184" s="36">
        <f>IFERROR(INDEX(Katalog!$D$3:$D$12,MATCH(cadangan3[[#This Row],[ItemID A]],Katalog!$C$3:$C$12,0))*cadangan3[[#This Row],[Qty A]],0)</f>
        <v>1050000</v>
      </c>
      <c r="I184" s="36">
        <f>IFERROR(INDEX(Katalog!$D$3:$D$12,MATCH(cadangan3[[#This Row],[Item A]],Katalog!$B$3:$B$12,0))*cadangan3[[#This Row],[Qty A]],0)</f>
        <v>1050000</v>
      </c>
      <c r="J184" s="36">
        <f>IFERROR(cadangan3[[#This Row],[Harga Asli A]]-(cadangan3[[#This Row],[Harga Asli A]]*cadangan3[[#This Row],[Diskon]]),cadangan3[[#This Row],[Harga Asli A]])</f>
        <v>892500</v>
      </c>
      <c r="K184" s="36">
        <f>INDEX(Katalog!$F$3:$F$12,MATCH(cadangan3[[#This Row],[ItemID A]],Katalog!$C$3:$C$12,0))*cadangan3[[#This Row],[Qty A]]</f>
        <v>350000</v>
      </c>
      <c r="L184" s="36">
        <f>IFERROR(cadangan3[[#This Row],[Profit A]]-(cadangan3[[#This Row],[Profit A]]*cadangan3[[#This Row],[Diskon]]),K184)</f>
        <v>297500</v>
      </c>
      <c r="N184" t="str">
        <f>IFERROR(INDEX(Katalog!$A$3:$A$12,MATCH(cadangan3[[#This Row],[ItemID B]],Katalog!$C$3:$C$12,0)),"-")</f>
        <v>-</v>
      </c>
      <c r="O184" t="str">
        <f>IFERROR(INDEX(Katalog!$B$3:$B$12,MATCH(cadangan3[[#This Row],[ItemID B]],Katalog!$C$3:$C$12,0)),"-")</f>
        <v>-</v>
      </c>
      <c r="R184" s="36">
        <f>IFERROR(INDEX(Katalog!$D$3:$D$12,MATCH(cadangan3[[#This Row],[ItemID B]],Katalog!$C$3:$C$12,0))*cadangan3[[#This Row],[Qty B]],0)</f>
        <v>0</v>
      </c>
      <c r="S184" s="36">
        <f>IFERROR(INDEX(Katalog!$D$3:$D$12,MATCH(cadangan3[[#This Row],[Item B]],Katalog!$B$3:$B$12,0))*cadangan3[[#This Row],[Qty B]],0)</f>
        <v>0</v>
      </c>
      <c r="T184" s="36">
        <f>IFERROR(cadangan3[[#This Row],[Harga Asli B]]-(cadangan3[[#This Row],[Harga Asli B]]*cadangan3[[#This Row],[Diskon]]),cadangan3[[#This Row],[Harga Asli B]])</f>
        <v>0</v>
      </c>
      <c r="U184" s="36">
        <f>IFERROR(INDEX(Katalog!$F$3:$F$12,MATCH(cadangan3[[#This Row],[ItemID B]],Katalog!$C$3:$C$12,0))*cadangan3[[#This Row],[Qty B]],0)</f>
        <v>0</v>
      </c>
      <c r="V184" s="36">
        <f>IFERROR(cadangan3[[#This Row],[Profit B]]-(cadangan3[[#This Row],[Profit B]]*cadangan3[[#This Row],[Diskon]]),U184)</f>
        <v>0</v>
      </c>
      <c r="X184" t="str">
        <f>IFERROR(INDEX(Katalog!$A$3:$A$12,MATCH(cadangan3[[#This Row],[ItemID C]],Katalog!$C$3:$C$12,0)),"-")</f>
        <v>-</v>
      </c>
      <c r="Y184" t="str">
        <f>IFERROR(INDEX(Katalog!$B$3:$B$12,MATCH(cadangan3[[#This Row],[ItemID C]],Katalog!$C$3:$C$12,0)),"-")</f>
        <v>-</v>
      </c>
      <c r="AB184" s="36">
        <f>IFERROR(INDEX(Katalog!$D$3:$D$12,MATCH(cadangan3[[#This Row],[ItemID C]],Katalog!$C$3:$C$12,0))*cadangan3[[#This Row],[Qty C]],0)</f>
        <v>0</v>
      </c>
      <c r="AC184" s="36">
        <f>IFERROR(INDEX(Katalog!$D$3:$D$12,MATCH(cadangan3[[#This Row],[Item C]],Katalog!$B$3:$B$12,0))*cadangan3[[#This Row],[Qty C]],0)</f>
        <v>0</v>
      </c>
      <c r="AD184" s="36">
        <f>IFERROR(cadangan3[[#This Row],[Harga Asli C]]-(cadangan3[[#This Row],[Harga Asli C]]*cadangan3[[#This Row],[Diskon]]),cadangan3[[#This Row],[Harga Asli C]])</f>
        <v>0</v>
      </c>
      <c r="AE184" s="36">
        <f>IFERROR(INDEX(Katalog!$F$3:$F$12,MATCH(cadangan3[[#This Row],[ItemID C]],Katalog!$C$3:$C$12,0))*cadangan3[[#This Row],[Qty C]],0)</f>
        <v>0</v>
      </c>
      <c r="AF184" s="36">
        <f>IFERROR(cadangan3[[#This Row],[Profit C]]-(cadangan3[[#This Row],[Profit C]]*cadangan3[[#This Row],[Diskon]]),cadangan3[[#This Row],[Profit C]])</f>
        <v>0</v>
      </c>
      <c r="AG184" s="21">
        <f>cadangan3[[#This Row],[Qty A]]+cadangan3[[#This Row],[Qty B]]+cadangan3[[#This Row],[Qty C]]</f>
        <v>7</v>
      </c>
      <c r="AH184" s="35">
        <f>cadangan3[[#This Row],[Harga A + Diskon]]+cadangan3[[#This Row],[Harga + Diskon B]]+cadangan3[[#This Row],[Harga + Diskon C]]</f>
        <v>892500</v>
      </c>
      <c r="AI184" s="35">
        <f>(cadangan3[[#This Row],[Profit A]]+cadangan3[[#This Row],[Profit B]]+cadangan3[[#This Row],[Profit C]])</f>
        <v>350000</v>
      </c>
      <c r="AJ184" s="35">
        <f>cadangan3[[#This Row],[Provit A + Diskon]]+cadangan3[[#This Row],[Provit B + Diskon]]+cadangan3[[#This Row],[Provit C + Diskon]]</f>
        <v>297500</v>
      </c>
      <c r="AK184" s="23" t="s">
        <v>32</v>
      </c>
      <c r="AL184" s="37">
        <f>IFERROR(INDEX('Kode Diskon'!$D$3:$D$9,MATCH(cadangan3[[#This Row],[Kode diskon]],'Kode Diskon'!$C$3:$C$9,0)),"-")</f>
        <v>0.15</v>
      </c>
      <c r="AM184" s="23" t="s">
        <v>9</v>
      </c>
      <c r="AN184" s="23" t="s">
        <v>12</v>
      </c>
      <c r="AO184" s="23" t="s">
        <v>77</v>
      </c>
      <c r="AP184" s="24">
        <v>45036</v>
      </c>
      <c r="AQ184" s="23" t="str">
        <f>TEXT(cadangan3[[#This Row],[Tanggal terjual]],"dddd")</f>
        <v>Thursday</v>
      </c>
    </row>
    <row r="185" spans="1:43" x14ac:dyDescent="0.2">
      <c r="A185" s="20">
        <v>184</v>
      </c>
      <c r="B185" s="21" t="str">
        <f>_xlfn.CONCAT("ORD-",INDEX(Helper!$B$2:$B$5,MATCH(cadangan3[[#This Row],[Marketplace]],Helper!$A$2:$A$5,0)),TEXT(cadangan3[[#This Row],[No]],"0000"),"-",TEXT(cadangan3[[#This Row],[Tanggal terjual]],"dd/mm/yy"))</f>
        <v>ORD-TK0184-24/04/23</v>
      </c>
      <c r="C185" t="s">
        <v>66</v>
      </c>
      <c r="D185" t="str">
        <f>IFERROR(INDEX(Katalog!$A$3:$A$12,MATCH(cadangan3[[#This Row],[ItemID A]],Katalog!$C$3:$C$12,0)),"-")</f>
        <v>Sepatu Pria</v>
      </c>
      <c r="E185" t="str">
        <f>IFERROR(INDEX(Katalog!$B$3:$B$12,MATCH(cadangan3[[#This Row],[ItemID A]],Katalog!$C$3:$C$12,0)),"-")</f>
        <v>Sandal Slip On</v>
      </c>
      <c r="F185">
        <v>2</v>
      </c>
      <c r="G185">
        <v>2</v>
      </c>
      <c r="H185" s="36">
        <f>IFERROR(INDEX(Katalog!$D$3:$D$12,MATCH(cadangan3[[#This Row],[ItemID A]],Katalog!$C$3:$C$12,0))*cadangan3[[#This Row],[Qty A]],0)</f>
        <v>300000</v>
      </c>
      <c r="I185" s="36">
        <f>IFERROR(INDEX(Katalog!$D$3:$D$12,MATCH(cadangan3[[#This Row],[Item A]],Katalog!$B$3:$B$12,0))*cadangan3[[#This Row],[Qty A]],0)</f>
        <v>300000</v>
      </c>
      <c r="J185" s="36">
        <f>IFERROR(cadangan3[[#This Row],[Harga Asli A]]-(cadangan3[[#This Row],[Harga Asli A]]*cadangan3[[#This Row],[Diskon]]),cadangan3[[#This Row],[Harga Asli A]])</f>
        <v>270000</v>
      </c>
      <c r="K185" s="36">
        <f>INDEX(Katalog!$F$3:$F$12,MATCH(cadangan3[[#This Row],[ItemID A]],Katalog!$C$3:$C$12,0))*cadangan3[[#This Row],[Qty A]]</f>
        <v>120000</v>
      </c>
      <c r="L185" s="36">
        <f>IFERROR(cadangan3[[#This Row],[Profit A]]-(cadangan3[[#This Row],[Profit A]]*cadangan3[[#This Row],[Diskon]]),K185)</f>
        <v>108000</v>
      </c>
      <c r="M185" t="s">
        <v>64</v>
      </c>
      <c r="N185" t="str">
        <f>IFERROR(INDEX(Katalog!$A$3:$A$12,MATCH(cadangan3[[#This Row],[ItemID B]],Katalog!$C$3:$C$12,0)),"-")</f>
        <v>Pakaian Unisex</v>
      </c>
      <c r="O185" t="str">
        <f>IFERROR(INDEX(Katalog!$B$3:$B$12,MATCH(cadangan3[[#This Row],[ItemID B]],Katalog!$C$3:$C$12,0)),"-")</f>
        <v>Jaket Hoodie</v>
      </c>
      <c r="P185">
        <v>2</v>
      </c>
      <c r="Q185">
        <v>2</v>
      </c>
      <c r="R185" s="36">
        <f>IFERROR(INDEX(Katalog!$D$3:$D$12,MATCH(cadangan3[[#This Row],[ItemID B]],Katalog!$C$3:$C$12,0))*cadangan3[[#This Row],[Qty B]],0)</f>
        <v>700000</v>
      </c>
      <c r="S185" s="36">
        <f>IFERROR(INDEX(Katalog!$D$3:$D$12,MATCH(cadangan3[[#This Row],[Item B]],Katalog!$B$3:$B$12,0))*cadangan3[[#This Row],[Qty B]],0)</f>
        <v>700000</v>
      </c>
      <c r="T185" s="36">
        <f>IFERROR(cadangan3[[#This Row],[Harga Asli B]]-(cadangan3[[#This Row],[Harga Asli B]]*cadangan3[[#This Row],[Diskon]]),cadangan3[[#This Row],[Harga Asli B]])</f>
        <v>630000</v>
      </c>
      <c r="U185" s="36">
        <f>IFERROR(INDEX(Katalog!$F$3:$F$12,MATCH(cadangan3[[#This Row],[ItemID B]],Katalog!$C$3:$C$12,0))*cadangan3[[#This Row],[Qty B]],0)</f>
        <v>260000</v>
      </c>
      <c r="V185" s="36">
        <f>IFERROR(cadangan3[[#This Row],[Profit B]]-(cadangan3[[#This Row],[Profit B]]*cadangan3[[#This Row],[Diskon]]),U185)</f>
        <v>234000</v>
      </c>
      <c r="X185" t="str">
        <f>IFERROR(INDEX(Katalog!$A$3:$A$12,MATCH(cadangan3[[#This Row],[ItemID C]],Katalog!$C$3:$C$12,0)),"-")</f>
        <v>-</v>
      </c>
      <c r="Y185" t="str">
        <f>IFERROR(INDEX(Katalog!$B$3:$B$12,MATCH(cadangan3[[#This Row],[ItemID C]],Katalog!$C$3:$C$12,0)),"-")</f>
        <v>-</v>
      </c>
      <c r="AB185" s="36">
        <f>IFERROR(INDEX(Katalog!$D$3:$D$12,MATCH(cadangan3[[#This Row],[ItemID C]],Katalog!$C$3:$C$12,0))*cadangan3[[#This Row],[Qty C]],0)</f>
        <v>0</v>
      </c>
      <c r="AC185" s="36">
        <f>IFERROR(INDEX(Katalog!$D$3:$D$12,MATCH(cadangan3[[#This Row],[Item C]],Katalog!$B$3:$B$12,0))*cadangan3[[#This Row],[Qty C]],0)</f>
        <v>0</v>
      </c>
      <c r="AD185" s="36">
        <f>IFERROR(cadangan3[[#This Row],[Harga Asli C]]-(cadangan3[[#This Row],[Harga Asli C]]*cadangan3[[#This Row],[Diskon]]),cadangan3[[#This Row],[Harga Asli C]])</f>
        <v>0</v>
      </c>
      <c r="AE185" s="36">
        <f>IFERROR(INDEX(Katalog!$F$3:$F$12,MATCH(cadangan3[[#This Row],[ItemID C]],Katalog!$C$3:$C$12,0))*cadangan3[[#This Row],[Qty C]],0)</f>
        <v>0</v>
      </c>
      <c r="AF185" s="36">
        <f>IFERROR(cadangan3[[#This Row],[Profit C]]-(cadangan3[[#This Row],[Profit C]]*cadangan3[[#This Row],[Diskon]]),cadangan3[[#This Row],[Profit C]])</f>
        <v>0</v>
      </c>
      <c r="AG185" s="21">
        <f>cadangan3[[#This Row],[Qty A]]+cadangan3[[#This Row],[Qty B]]+cadangan3[[#This Row],[Qty C]]</f>
        <v>4</v>
      </c>
      <c r="AH185" s="35">
        <f>cadangan3[[#This Row],[Harga A + Diskon]]+cadangan3[[#This Row],[Harga + Diskon B]]+cadangan3[[#This Row],[Harga + Diskon C]]</f>
        <v>900000</v>
      </c>
      <c r="AI185" s="35">
        <f>(cadangan3[[#This Row],[Profit A]]+cadangan3[[#This Row],[Profit B]]+cadangan3[[#This Row],[Profit C]])</f>
        <v>380000</v>
      </c>
      <c r="AJ185" s="35">
        <f>cadangan3[[#This Row],[Provit A + Diskon]]+cadangan3[[#This Row],[Provit B + Diskon]]+cadangan3[[#This Row],[Provit C + Diskon]]</f>
        <v>342000</v>
      </c>
      <c r="AK185" s="23" t="s">
        <v>31</v>
      </c>
      <c r="AL185" s="37">
        <f>IFERROR(INDEX('Kode Diskon'!$D$3:$D$9,MATCH(cadangan3[[#This Row],[Kode diskon]],'Kode Diskon'!$C$3:$C$9,0)),"-")</f>
        <v>0.1</v>
      </c>
      <c r="AM185" s="23" t="s">
        <v>9</v>
      </c>
      <c r="AN185" s="23" t="s">
        <v>10</v>
      </c>
      <c r="AO185" s="23" t="s">
        <v>80</v>
      </c>
      <c r="AP185" s="24">
        <v>45040</v>
      </c>
      <c r="AQ185" s="23" t="str">
        <f>TEXT(cadangan3[[#This Row],[Tanggal terjual]],"dddd")</f>
        <v>Monday</v>
      </c>
    </row>
    <row r="186" spans="1:43" x14ac:dyDescent="0.2">
      <c r="A186" s="20">
        <v>185</v>
      </c>
      <c r="B186" s="21" t="str">
        <f>_xlfn.CONCAT("ORD-",INDEX(Helper!$B$2:$B$5,MATCH(cadangan3[[#This Row],[Marketplace]],Helper!$A$2:$A$5,0)),TEXT(cadangan3[[#This Row],[No]],"0000"),"-",TEXT(cadangan3[[#This Row],[Tanggal terjual]],"dd/mm/yy"))</f>
        <v>ORD-SP0185-06/04/23</v>
      </c>
      <c r="C186" t="s">
        <v>63</v>
      </c>
      <c r="D186" t="str">
        <f>IFERROR(INDEX(Katalog!$A$3:$A$12,MATCH(cadangan3[[#This Row],[ItemID A]],Katalog!$C$3:$C$12,0)),"-")</f>
        <v>Pakaian Pria</v>
      </c>
      <c r="E186" t="str">
        <f>IFERROR(INDEX(Katalog!$B$3:$B$12,MATCH(cadangan3[[#This Row],[ItemID A]],Katalog!$C$3:$C$12,0)),"-")</f>
        <v>Jaket Jeans</v>
      </c>
      <c r="F186">
        <v>3</v>
      </c>
      <c r="G186">
        <v>2</v>
      </c>
      <c r="H186" s="36">
        <f>IFERROR(INDEX(Katalog!$D$3:$D$12,MATCH(cadangan3[[#This Row],[ItemID A]],Katalog!$C$3:$C$12,0))*cadangan3[[#This Row],[Qty A]],0)</f>
        <v>1200000</v>
      </c>
      <c r="I186" s="36">
        <f>IFERROR(INDEX(Katalog!$D$3:$D$12,MATCH(cadangan3[[#This Row],[Item A]],Katalog!$B$3:$B$12,0))*cadangan3[[#This Row],[Qty A]],0)</f>
        <v>1200000</v>
      </c>
      <c r="J186" s="36">
        <f>IFERROR(cadangan3[[#This Row],[Harga Asli A]]-(cadangan3[[#This Row],[Harga Asli A]]*cadangan3[[#This Row],[Diskon]]),cadangan3[[#This Row],[Harga Asli A]])</f>
        <v>1020000</v>
      </c>
      <c r="K186" s="36">
        <f>INDEX(Katalog!$F$3:$F$12,MATCH(cadangan3[[#This Row],[ItemID A]],Katalog!$C$3:$C$12,0))*cadangan3[[#This Row],[Qty A]]</f>
        <v>450000</v>
      </c>
      <c r="L186" s="36">
        <f>IFERROR(cadangan3[[#This Row],[Profit A]]-(cadangan3[[#This Row],[Profit A]]*cadangan3[[#This Row],[Diskon]]),K186)</f>
        <v>382500</v>
      </c>
      <c r="M186" t="s">
        <v>65</v>
      </c>
      <c r="N186" t="str">
        <f>IFERROR(INDEX(Katalog!$A$3:$A$12,MATCH(cadangan3[[#This Row],[ItemID B]],Katalog!$C$3:$C$12,0)),"-")</f>
        <v>Sepatu Pria</v>
      </c>
      <c r="O186" t="str">
        <f>IFERROR(INDEX(Katalog!$B$3:$B$12,MATCH(cadangan3[[#This Row],[ItemID B]],Katalog!$C$3:$C$12,0)),"-")</f>
        <v>Sneakers</v>
      </c>
      <c r="P186">
        <v>1</v>
      </c>
      <c r="Q186">
        <v>5</v>
      </c>
      <c r="R186" s="36">
        <f>IFERROR(INDEX(Katalog!$D$3:$D$12,MATCH(cadangan3[[#This Row],[ItemID B]],Katalog!$C$3:$C$12,0))*cadangan3[[#This Row],[Qty B]],0)</f>
        <v>500000</v>
      </c>
      <c r="S186" s="36">
        <f>IFERROR(INDEX(Katalog!$D$3:$D$12,MATCH(cadangan3[[#This Row],[Item B]],Katalog!$B$3:$B$12,0))*cadangan3[[#This Row],[Qty B]],0)</f>
        <v>500000</v>
      </c>
      <c r="T186" s="36">
        <f>IFERROR(cadangan3[[#This Row],[Harga Asli B]]-(cadangan3[[#This Row],[Harga Asli B]]*cadangan3[[#This Row],[Diskon]]),cadangan3[[#This Row],[Harga Asli B]])</f>
        <v>425000</v>
      </c>
      <c r="U186" s="36">
        <f>IFERROR(INDEX(Katalog!$F$3:$F$12,MATCH(cadangan3[[#This Row],[ItemID B]],Katalog!$C$3:$C$12,0))*cadangan3[[#This Row],[Qty B]],0)</f>
        <v>200000</v>
      </c>
      <c r="V186" s="36">
        <f>IFERROR(cadangan3[[#This Row],[Profit B]]-(cadangan3[[#This Row],[Profit B]]*cadangan3[[#This Row],[Diskon]]),U186)</f>
        <v>170000</v>
      </c>
      <c r="X186" t="str">
        <f>IFERROR(INDEX(Katalog!$A$3:$A$12,MATCH(cadangan3[[#This Row],[ItemID C]],Katalog!$C$3:$C$12,0)),"-")</f>
        <v>-</v>
      </c>
      <c r="Y186" t="str">
        <f>IFERROR(INDEX(Katalog!$B$3:$B$12,MATCH(cadangan3[[#This Row],[ItemID C]],Katalog!$C$3:$C$12,0)),"-")</f>
        <v>-</v>
      </c>
      <c r="AB186" s="36">
        <f>IFERROR(INDEX(Katalog!$D$3:$D$12,MATCH(cadangan3[[#This Row],[ItemID C]],Katalog!$C$3:$C$12,0))*cadangan3[[#This Row],[Qty C]],0)</f>
        <v>0</v>
      </c>
      <c r="AC186" s="36">
        <f>IFERROR(INDEX(Katalog!$D$3:$D$12,MATCH(cadangan3[[#This Row],[Item C]],Katalog!$B$3:$B$12,0))*cadangan3[[#This Row],[Qty C]],0)</f>
        <v>0</v>
      </c>
      <c r="AD186" s="36">
        <f>IFERROR(cadangan3[[#This Row],[Harga Asli C]]-(cadangan3[[#This Row],[Harga Asli C]]*cadangan3[[#This Row],[Diskon]]),cadangan3[[#This Row],[Harga Asli C]])</f>
        <v>0</v>
      </c>
      <c r="AE186" s="36">
        <f>IFERROR(INDEX(Katalog!$F$3:$F$12,MATCH(cadangan3[[#This Row],[ItemID C]],Katalog!$C$3:$C$12,0))*cadangan3[[#This Row],[Qty C]],0)</f>
        <v>0</v>
      </c>
      <c r="AF186" s="36">
        <f>IFERROR(cadangan3[[#This Row],[Profit C]]-(cadangan3[[#This Row],[Profit C]]*cadangan3[[#This Row],[Diskon]]),cadangan3[[#This Row],[Profit C]])</f>
        <v>0</v>
      </c>
      <c r="AG186" s="21">
        <f>cadangan3[[#This Row],[Qty A]]+cadangan3[[#This Row],[Qty B]]+cadangan3[[#This Row],[Qty C]]</f>
        <v>4</v>
      </c>
      <c r="AH186" s="35">
        <f>cadangan3[[#This Row],[Harga A + Diskon]]+cadangan3[[#This Row],[Harga + Diskon B]]+cadangan3[[#This Row],[Harga + Diskon C]]</f>
        <v>1445000</v>
      </c>
      <c r="AI186" s="35">
        <f>(cadangan3[[#This Row],[Profit A]]+cadangan3[[#This Row],[Profit B]]+cadangan3[[#This Row],[Profit C]])</f>
        <v>650000</v>
      </c>
      <c r="AJ186" s="35">
        <f>cadangan3[[#This Row],[Provit A + Diskon]]+cadangan3[[#This Row],[Provit B + Diskon]]+cadangan3[[#This Row],[Provit C + Diskon]]</f>
        <v>552500</v>
      </c>
      <c r="AK186" s="23" t="s">
        <v>13</v>
      </c>
      <c r="AL186" s="37">
        <f>IFERROR(INDEX('Kode Diskon'!$D$3:$D$9,MATCH(cadangan3[[#This Row],[Kode diskon]],'Kode Diskon'!$C$3:$C$9,0)),"-")</f>
        <v>0.15</v>
      </c>
      <c r="AM186" s="23" t="s">
        <v>29</v>
      </c>
      <c r="AN186" s="23" t="s">
        <v>7</v>
      </c>
      <c r="AO186" s="23" t="s">
        <v>75</v>
      </c>
      <c r="AP186" s="24">
        <v>45022</v>
      </c>
      <c r="AQ186" s="23" t="str">
        <f>TEXT(cadangan3[[#This Row],[Tanggal terjual]],"dddd")</f>
        <v>Thursday</v>
      </c>
    </row>
    <row r="187" spans="1:43" x14ac:dyDescent="0.2">
      <c r="A187" s="20">
        <v>186</v>
      </c>
      <c r="B187" s="21" t="str">
        <f>_xlfn.CONCAT("ORD-",INDEX(Helper!$B$2:$B$5,MATCH(cadangan3[[#This Row],[Marketplace]],Helper!$A$2:$A$5,0)),TEXT(cadangan3[[#This Row],[No]],"0000"),"-",TEXT(cadangan3[[#This Row],[Tanggal terjual]],"dd/mm/yy"))</f>
        <v>ORD-BB0186-05/04/23</v>
      </c>
      <c r="C187" t="s">
        <v>61</v>
      </c>
      <c r="D187" t="str">
        <f>IFERROR(INDEX(Katalog!$A$3:$A$12,MATCH(cadangan3[[#This Row],[ItemID A]],Katalog!$C$3:$C$12,0)),"-")</f>
        <v>Pakaian Pria</v>
      </c>
      <c r="E187" t="str">
        <f>IFERROR(INDEX(Katalog!$B$3:$B$12,MATCH(cadangan3[[#This Row],[ItemID A]],Katalog!$C$3:$C$12,0)),"-")</f>
        <v>Kaos Polo</v>
      </c>
      <c r="F187">
        <v>4</v>
      </c>
      <c r="G187">
        <v>2</v>
      </c>
      <c r="H187" s="36">
        <f>IFERROR(INDEX(Katalog!$D$3:$D$12,MATCH(cadangan3[[#This Row],[ItemID A]],Katalog!$C$3:$C$12,0))*cadangan3[[#This Row],[Qty A]],0)</f>
        <v>800000</v>
      </c>
      <c r="I187" s="36">
        <f>IFERROR(INDEX(Katalog!$D$3:$D$12,MATCH(cadangan3[[#This Row],[Item A]],Katalog!$B$3:$B$12,0))*cadangan3[[#This Row],[Qty A]],0)</f>
        <v>800000</v>
      </c>
      <c r="J187" s="36">
        <f>IFERROR(cadangan3[[#This Row],[Harga Asli A]]-(cadangan3[[#This Row],[Harga Asli A]]*cadangan3[[#This Row],[Diskon]]),cadangan3[[#This Row],[Harga Asli A]])</f>
        <v>680000</v>
      </c>
      <c r="K187" s="36">
        <f>INDEX(Katalog!$F$3:$F$12,MATCH(cadangan3[[#This Row],[ItemID A]],Katalog!$C$3:$C$12,0))*cadangan3[[#This Row],[Qty A]]</f>
        <v>320000</v>
      </c>
      <c r="L187" s="36">
        <f>IFERROR(cadangan3[[#This Row],[Profit A]]-(cadangan3[[#This Row],[Profit A]]*cadangan3[[#This Row],[Diskon]]),K187)</f>
        <v>272000</v>
      </c>
      <c r="M187" t="s">
        <v>58</v>
      </c>
      <c r="N187" t="str">
        <f>IFERROR(INDEX(Katalog!$A$3:$A$12,MATCH(cadangan3[[#This Row],[ItemID B]],Katalog!$C$3:$C$12,0)),"-")</f>
        <v>Pakaian Wanita</v>
      </c>
      <c r="O187" t="str">
        <f>IFERROR(INDEX(Katalog!$B$3:$B$12,MATCH(cadangan3[[#This Row],[ItemID B]],Katalog!$C$3:$C$12,0)),"-")</f>
        <v>Dress</v>
      </c>
      <c r="P187">
        <v>1</v>
      </c>
      <c r="Q187">
        <v>4</v>
      </c>
      <c r="R187" s="36">
        <f>IFERROR(INDEX(Katalog!$D$3:$D$12,MATCH(cadangan3[[#This Row],[ItemID B]],Katalog!$C$3:$C$12,0))*cadangan3[[#This Row],[Qty B]],0)</f>
        <v>300000</v>
      </c>
      <c r="S187" s="36">
        <f>IFERROR(INDEX(Katalog!$D$3:$D$12,MATCH(cadangan3[[#This Row],[Item B]],Katalog!$B$3:$B$12,0))*cadangan3[[#This Row],[Qty B]],0)</f>
        <v>300000</v>
      </c>
      <c r="T187" s="36">
        <f>IFERROR(cadangan3[[#This Row],[Harga Asli B]]-(cadangan3[[#This Row],[Harga Asli B]]*cadangan3[[#This Row],[Diskon]]),cadangan3[[#This Row],[Harga Asli B]])</f>
        <v>255000</v>
      </c>
      <c r="U187" s="36">
        <f>IFERROR(INDEX(Katalog!$F$3:$F$12,MATCH(cadangan3[[#This Row],[ItemID B]],Katalog!$C$3:$C$12,0))*cadangan3[[#This Row],[Qty B]],0)</f>
        <v>100000</v>
      </c>
      <c r="V187" s="36">
        <f>IFERROR(cadangan3[[#This Row],[Profit B]]-(cadangan3[[#This Row],[Profit B]]*cadangan3[[#This Row],[Diskon]]),U187)</f>
        <v>85000</v>
      </c>
      <c r="X187" t="str">
        <f>IFERROR(INDEX(Katalog!$A$3:$A$12,MATCH(cadangan3[[#This Row],[ItemID C]],Katalog!$C$3:$C$12,0)),"-")</f>
        <v>-</v>
      </c>
      <c r="Y187" t="str">
        <f>IFERROR(INDEX(Katalog!$B$3:$B$12,MATCH(cadangan3[[#This Row],[ItemID C]],Katalog!$C$3:$C$12,0)),"-")</f>
        <v>-</v>
      </c>
      <c r="AB187" s="36">
        <f>IFERROR(INDEX(Katalog!$D$3:$D$12,MATCH(cadangan3[[#This Row],[ItemID C]],Katalog!$C$3:$C$12,0))*cadangan3[[#This Row],[Qty C]],0)</f>
        <v>0</v>
      </c>
      <c r="AC187" s="36">
        <f>IFERROR(INDEX(Katalog!$D$3:$D$12,MATCH(cadangan3[[#This Row],[Item C]],Katalog!$B$3:$B$12,0))*cadangan3[[#This Row],[Qty C]],0)</f>
        <v>0</v>
      </c>
      <c r="AD187" s="36">
        <f>IFERROR(cadangan3[[#This Row],[Harga Asli C]]-(cadangan3[[#This Row],[Harga Asli C]]*cadangan3[[#This Row],[Diskon]]),cadangan3[[#This Row],[Harga Asli C]])</f>
        <v>0</v>
      </c>
      <c r="AE187" s="36">
        <f>IFERROR(INDEX(Katalog!$F$3:$F$12,MATCH(cadangan3[[#This Row],[ItemID C]],Katalog!$C$3:$C$12,0))*cadangan3[[#This Row],[Qty C]],0)</f>
        <v>0</v>
      </c>
      <c r="AF187" s="36">
        <f>IFERROR(cadangan3[[#This Row],[Profit C]]-(cadangan3[[#This Row],[Profit C]]*cadangan3[[#This Row],[Diskon]]),cadangan3[[#This Row],[Profit C]])</f>
        <v>0</v>
      </c>
      <c r="AG187" s="21">
        <f>cadangan3[[#This Row],[Qty A]]+cadangan3[[#This Row],[Qty B]]+cadangan3[[#This Row],[Qty C]]</f>
        <v>5</v>
      </c>
      <c r="AH187" s="35">
        <f>cadangan3[[#This Row],[Harga A + Diskon]]+cadangan3[[#This Row],[Harga + Diskon B]]+cadangan3[[#This Row],[Harga + Diskon C]]</f>
        <v>935000</v>
      </c>
      <c r="AI187" s="35">
        <f>(cadangan3[[#This Row],[Profit A]]+cadangan3[[#This Row],[Profit B]]+cadangan3[[#This Row],[Profit C]])</f>
        <v>420000</v>
      </c>
      <c r="AJ187" s="35">
        <f>cadangan3[[#This Row],[Provit A + Diskon]]+cadangan3[[#This Row],[Provit B + Diskon]]+cadangan3[[#This Row],[Provit C + Diskon]]</f>
        <v>357000</v>
      </c>
      <c r="AK187" s="23" t="s">
        <v>28</v>
      </c>
      <c r="AL187" s="37">
        <f>IFERROR(INDEX('Kode Diskon'!$D$3:$D$9,MATCH(cadangan3[[#This Row],[Kode diskon]],'Kode Diskon'!$C$3:$C$9,0)),"-")</f>
        <v>0.15</v>
      </c>
      <c r="AM187" s="23" t="s">
        <v>29</v>
      </c>
      <c r="AN187" s="23" t="s">
        <v>14</v>
      </c>
      <c r="AO187" s="23" t="s">
        <v>80</v>
      </c>
      <c r="AP187" s="24">
        <v>45021</v>
      </c>
      <c r="AQ187" s="23" t="str">
        <f>TEXT(cadangan3[[#This Row],[Tanggal terjual]],"dddd")</f>
        <v>Wednesday</v>
      </c>
    </row>
    <row r="188" spans="1:43" x14ac:dyDescent="0.2">
      <c r="A188" s="20">
        <v>187</v>
      </c>
      <c r="B188" s="21" t="str">
        <f>_xlfn.CONCAT("ORD-",INDEX(Helper!$B$2:$B$5,MATCH(cadangan3[[#This Row],[Marketplace]],Helper!$A$2:$A$5,0)),TEXT(cadangan3[[#This Row],[No]],"0000"),"-",TEXT(cadangan3[[#This Row],[Tanggal terjual]],"dd/mm/yy"))</f>
        <v>ORD-TK0187-29/04/23</v>
      </c>
      <c r="C188" t="s">
        <v>64</v>
      </c>
      <c r="D188" t="str">
        <f>IFERROR(INDEX(Katalog!$A$3:$A$12,MATCH(cadangan3[[#This Row],[ItemID A]],Katalog!$C$3:$C$12,0)),"-")</f>
        <v>Pakaian Unisex</v>
      </c>
      <c r="E188" t="str">
        <f>IFERROR(INDEX(Katalog!$B$3:$B$12,MATCH(cadangan3[[#This Row],[ItemID A]],Katalog!$C$3:$C$12,0)),"-")</f>
        <v>Jaket Hoodie</v>
      </c>
      <c r="F188">
        <v>1</v>
      </c>
      <c r="G188">
        <v>2</v>
      </c>
      <c r="H188" s="36">
        <f>IFERROR(INDEX(Katalog!$D$3:$D$12,MATCH(cadangan3[[#This Row],[ItemID A]],Katalog!$C$3:$C$12,0))*cadangan3[[#This Row],[Qty A]],0)</f>
        <v>350000</v>
      </c>
      <c r="I188" s="36">
        <f>IFERROR(INDEX(Katalog!$D$3:$D$12,MATCH(cadangan3[[#This Row],[Item A]],Katalog!$B$3:$B$12,0))*cadangan3[[#This Row],[Qty A]],0)</f>
        <v>350000</v>
      </c>
      <c r="J188" s="36">
        <f>IFERROR(cadangan3[[#This Row],[Harga Asli A]]-(cadangan3[[#This Row],[Harga Asli A]]*cadangan3[[#This Row],[Diskon]]),cadangan3[[#This Row],[Harga Asli A]])</f>
        <v>315000</v>
      </c>
      <c r="K188" s="36">
        <f>INDEX(Katalog!$F$3:$F$12,MATCH(cadangan3[[#This Row],[ItemID A]],Katalog!$C$3:$C$12,0))*cadangan3[[#This Row],[Qty A]]</f>
        <v>130000</v>
      </c>
      <c r="L188" s="36">
        <f>IFERROR(cadangan3[[#This Row],[Profit A]]-(cadangan3[[#This Row],[Profit A]]*cadangan3[[#This Row],[Diskon]]),K188)</f>
        <v>117000</v>
      </c>
      <c r="M188" t="s">
        <v>61</v>
      </c>
      <c r="N188" t="str">
        <f>IFERROR(INDEX(Katalog!$A$3:$A$12,MATCH(cadangan3[[#This Row],[ItemID B]],Katalog!$C$3:$C$12,0)),"-")</f>
        <v>Pakaian Pria</v>
      </c>
      <c r="O188" t="str">
        <f>IFERROR(INDEX(Katalog!$B$3:$B$12,MATCH(cadangan3[[#This Row],[ItemID B]],Katalog!$C$3:$C$12,0)),"-")</f>
        <v>Kaos Polo</v>
      </c>
      <c r="P188">
        <v>1</v>
      </c>
      <c r="Q188">
        <v>5</v>
      </c>
      <c r="R188" s="36">
        <f>IFERROR(INDEX(Katalog!$D$3:$D$12,MATCH(cadangan3[[#This Row],[ItemID B]],Katalog!$C$3:$C$12,0))*cadangan3[[#This Row],[Qty B]],0)</f>
        <v>200000</v>
      </c>
      <c r="S188" s="36">
        <f>IFERROR(INDEX(Katalog!$D$3:$D$12,MATCH(cadangan3[[#This Row],[Item B]],Katalog!$B$3:$B$12,0))*cadangan3[[#This Row],[Qty B]],0)</f>
        <v>200000</v>
      </c>
      <c r="T188" s="36">
        <f>IFERROR(cadangan3[[#This Row],[Harga Asli B]]-(cadangan3[[#This Row],[Harga Asli B]]*cadangan3[[#This Row],[Diskon]]),cadangan3[[#This Row],[Harga Asli B]])</f>
        <v>180000</v>
      </c>
      <c r="U188" s="36">
        <f>IFERROR(INDEX(Katalog!$F$3:$F$12,MATCH(cadangan3[[#This Row],[ItemID B]],Katalog!$C$3:$C$12,0))*cadangan3[[#This Row],[Qty B]],0)</f>
        <v>80000</v>
      </c>
      <c r="V188" s="36">
        <f>IFERROR(cadangan3[[#This Row],[Profit B]]-(cadangan3[[#This Row],[Profit B]]*cadangan3[[#This Row],[Diskon]]),U188)</f>
        <v>72000</v>
      </c>
      <c r="X188" t="str">
        <f>IFERROR(INDEX(Katalog!$A$3:$A$12,MATCH(cadangan3[[#This Row],[ItemID C]],Katalog!$C$3:$C$12,0)),"-")</f>
        <v>-</v>
      </c>
      <c r="Y188" t="str">
        <f>IFERROR(INDEX(Katalog!$B$3:$B$12,MATCH(cadangan3[[#This Row],[ItemID C]],Katalog!$C$3:$C$12,0)),"-")</f>
        <v>-</v>
      </c>
      <c r="AB188" s="36">
        <f>IFERROR(INDEX(Katalog!$D$3:$D$12,MATCH(cadangan3[[#This Row],[ItemID C]],Katalog!$C$3:$C$12,0))*cadangan3[[#This Row],[Qty C]],0)</f>
        <v>0</v>
      </c>
      <c r="AC188" s="36">
        <f>IFERROR(INDEX(Katalog!$D$3:$D$12,MATCH(cadangan3[[#This Row],[Item C]],Katalog!$B$3:$B$12,0))*cadangan3[[#This Row],[Qty C]],0)</f>
        <v>0</v>
      </c>
      <c r="AD188" s="36">
        <f>IFERROR(cadangan3[[#This Row],[Harga Asli C]]-(cadangan3[[#This Row],[Harga Asli C]]*cadangan3[[#This Row],[Diskon]]),cadangan3[[#This Row],[Harga Asli C]])</f>
        <v>0</v>
      </c>
      <c r="AE188" s="36">
        <f>IFERROR(INDEX(Katalog!$F$3:$F$12,MATCH(cadangan3[[#This Row],[ItemID C]],Katalog!$C$3:$C$12,0))*cadangan3[[#This Row],[Qty C]],0)</f>
        <v>0</v>
      </c>
      <c r="AF188" s="36">
        <f>IFERROR(cadangan3[[#This Row],[Profit C]]-(cadangan3[[#This Row],[Profit C]]*cadangan3[[#This Row],[Diskon]]),cadangan3[[#This Row],[Profit C]])</f>
        <v>0</v>
      </c>
      <c r="AG188" s="21">
        <f>cadangan3[[#This Row],[Qty A]]+cadangan3[[#This Row],[Qty B]]+cadangan3[[#This Row],[Qty C]]</f>
        <v>2</v>
      </c>
      <c r="AH188" s="35">
        <f>cadangan3[[#This Row],[Harga A + Diskon]]+cadangan3[[#This Row],[Harga + Diskon B]]+cadangan3[[#This Row],[Harga + Diskon C]]</f>
        <v>495000</v>
      </c>
      <c r="AI188" s="35">
        <f>(cadangan3[[#This Row],[Profit A]]+cadangan3[[#This Row],[Profit B]]+cadangan3[[#This Row],[Profit C]])</f>
        <v>210000</v>
      </c>
      <c r="AJ188" s="35">
        <f>cadangan3[[#This Row],[Provit A + Diskon]]+cadangan3[[#This Row],[Provit B + Diskon]]+cadangan3[[#This Row],[Provit C + Diskon]]</f>
        <v>189000</v>
      </c>
      <c r="AK188" s="23" t="s">
        <v>31</v>
      </c>
      <c r="AL188" s="37">
        <f>IFERROR(INDEX('Kode Diskon'!$D$3:$D$9,MATCH(cadangan3[[#This Row],[Kode diskon]],'Kode Diskon'!$C$3:$C$9,0)),"-")</f>
        <v>0.1</v>
      </c>
      <c r="AM188" s="23" t="s">
        <v>9</v>
      </c>
      <c r="AN188" s="23" t="s">
        <v>10</v>
      </c>
      <c r="AO188" s="23" t="s">
        <v>76</v>
      </c>
      <c r="AP188" s="24">
        <v>45045</v>
      </c>
      <c r="AQ188" s="23" t="str">
        <f>TEXT(cadangan3[[#This Row],[Tanggal terjual]],"dddd")</f>
        <v>Saturday</v>
      </c>
    </row>
    <row r="189" spans="1:43" x14ac:dyDescent="0.2">
      <c r="A189" s="20">
        <v>188</v>
      </c>
      <c r="B189" s="21" t="str">
        <f>_xlfn.CONCAT("ORD-",INDEX(Helper!$B$2:$B$5,MATCH(cadangan3[[#This Row],[Marketplace]],Helper!$A$2:$A$5,0)),TEXT(cadangan3[[#This Row],[No]],"0000"),"-",TEXT(cadangan3[[#This Row],[Tanggal terjual]],"dd/mm/yy"))</f>
        <v>ORD-SP0188-28/04/23</v>
      </c>
      <c r="C189" t="s">
        <v>62</v>
      </c>
      <c r="D189" t="str">
        <f>IFERROR(INDEX(Katalog!$A$3:$A$12,MATCH(cadangan3[[#This Row],[ItemID A]],Katalog!$C$3:$C$12,0)),"-")</f>
        <v>Pakaian Pria</v>
      </c>
      <c r="E189" t="str">
        <f>IFERROR(INDEX(Katalog!$B$3:$B$12,MATCH(cadangan3[[#This Row],[ItemID A]],Katalog!$C$3:$C$12,0)),"-")</f>
        <v>Celana Pendek</v>
      </c>
      <c r="F189">
        <v>5</v>
      </c>
      <c r="G189">
        <v>1</v>
      </c>
      <c r="H189" s="36">
        <f>IFERROR(INDEX(Katalog!$D$3:$D$12,MATCH(cadangan3[[#This Row],[ItemID A]],Katalog!$C$3:$C$12,0))*cadangan3[[#This Row],[Qty A]],0)</f>
        <v>900000</v>
      </c>
      <c r="I189" s="36">
        <f>IFERROR(INDEX(Katalog!$D$3:$D$12,MATCH(cadangan3[[#This Row],[Item A]],Katalog!$B$3:$B$12,0))*cadangan3[[#This Row],[Qty A]],0)</f>
        <v>900000</v>
      </c>
      <c r="J189" s="36">
        <f>IFERROR(cadangan3[[#This Row],[Harga Asli A]]-(cadangan3[[#This Row],[Harga Asli A]]*cadangan3[[#This Row],[Diskon]]),cadangan3[[#This Row],[Harga Asli A]])</f>
        <v>720000</v>
      </c>
      <c r="K189" s="36">
        <f>INDEX(Katalog!$F$3:$F$12,MATCH(cadangan3[[#This Row],[ItemID A]],Katalog!$C$3:$C$12,0))*cadangan3[[#This Row],[Qty A]]</f>
        <v>350000</v>
      </c>
      <c r="L189" s="36">
        <f>IFERROR(cadangan3[[#This Row],[Profit A]]-(cadangan3[[#This Row],[Profit A]]*cadangan3[[#This Row],[Diskon]]),K189)</f>
        <v>280000</v>
      </c>
      <c r="M189" t="s">
        <v>58</v>
      </c>
      <c r="N189" t="str">
        <f>IFERROR(INDEX(Katalog!$A$3:$A$12,MATCH(cadangan3[[#This Row],[ItemID B]],Katalog!$C$3:$C$12,0)),"-")</f>
        <v>Pakaian Wanita</v>
      </c>
      <c r="O189" t="str">
        <f>IFERROR(INDEX(Katalog!$B$3:$B$12,MATCH(cadangan3[[#This Row],[ItemID B]],Katalog!$C$3:$C$12,0)),"-")</f>
        <v>Dress</v>
      </c>
      <c r="P189">
        <v>1</v>
      </c>
      <c r="Q189">
        <v>5</v>
      </c>
      <c r="R189" s="36">
        <f>IFERROR(INDEX(Katalog!$D$3:$D$12,MATCH(cadangan3[[#This Row],[ItemID B]],Katalog!$C$3:$C$12,0))*cadangan3[[#This Row],[Qty B]],0)</f>
        <v>300000</v>
      </c>
      <c r="S189" s="36">
        <f>IFERROR(INDEX(Katalog!$D$3:$D$12,MATCH(cadangan3[[#This Row],[Item B]],Katalog!$B$3:$B$12,0))*cadangan3[[#This Row],[Qty B]],0)</f>
        <v>300000</v>
      </c>
      <c r="T189" s="36">
        <f>IFERROR(cadangan3[[#This Row],[Harga Asli B]]-(cadangan3[[#This Row],[Harga Asli B]]*cadangan3[[#This Row],[Diskon]]),cadangan3[[#This Row],[Harga Asli B]])</f>
        <v>240000</v>
      </c>
      <c r="U189" s="36">
        <f>IFERROR(INDEX(Katalog!$F$3:$F$12,MATCH(cadangan3[[#This Row],[ItemID B]],Katalog!$C$3:$C$12,0))*cadangan3[[#This Row],[Qty B]],0)</f>
        <v>100000</v>
      </c>
      <c r="V189" s="36">
        <f>IFERROR(cadangan3[[#This Row],[Profit B]]-(cadangan3[[#This Row],[Profit B]]*cadangan3[[#This Row],[Diskon]]),U189)</f>
        <v>80000</v>
      </c>
      <c r="X189" t="str">
        <f>IFERROR(INDEX(Katalog!$A$3:$A$12,MATCH(cadangan3[[#This Row],[ItemID C]],Katalog!$C$3:$C$12,0)),"-")</f>
        <v>-</v>
      </c>
      <c r="Y189" t="str">
        <f>IFERROR(INDEX(Katalog!$B$3:$B$12,MATCH(cadangan3[[#This Row],[ItemID C]],Katalog!$C$3:$C$12,0)),"-")</f>
        <v>-</v>
      </c>
      <c r="AB189" s="36">
        <f>IFERROR(INDEX(Katalog!$D$3:$D$12,MATCH(cadangan3[[#This Row],[ItemID C]],Katalog!$C$3:$C$12,0))*cadangan3[[#This Row],[Qty C]],0)</f>
        <v>0</v>
      </c>
      <c r="AC189" s="36">
        <f>IFERROR(INDEX(Katalog!$D$3:$D$12,MATCH(cadangan3[[#This Row],[Item C]],Katalog!$B$3:$B$12,0))*cadangan3[[#This Row],[Qty C]],0)</f>
        <v>0</v>
      </c>
      <c r="AD189" s="36">
        <f>IFERROR(cadangan3[[#This Row],[Harga Asli C]]-(cadangan3[[#This Row],[Harga Asli C]]*cadangan3[[#This Row],[Diskon]]),cadangan3[[#This Row],[Harga Asli C]])</f>
        <v>0</v>
      </c>
      <c r="AE189" s="36">
        <f>IFERROR(INDEX(Katalog!$F$3:$F$12,MATCH(cadangan3[[#This Row],[ItemID C]],Katalog!$C$3:$C$12,0))*cadangan3[[#This Row],[Qty C]],0)</f>
        <v>0</v>
      </c>
      <c r="AF189" s="36">
        <f>IFERROR(cadangan3[[#This Row],[Profit C]]-(cadangan3[[#This Row],[Profit C]]*cadangan3[[#This Row],[Diskon]]),cadangan3[[#This Row],[Profit C]])</f>
        <v>0</v>
      </c>
      <c r="AG189" s="21">
        <f>cadangan3[[#This Row],[Qty A]]+cadangan3[[#This Row],[Qty B]]+cadangan3[[#This Row],[Qty C]]</f>
        <v>6</v>
      </c>
      <c r="AH189" s="35">
        <f>cadangan3[[#This Row],[Harga A + Diskon]]+cadangan3[[#This Row],[Harga + Diskon B]]+cadangan3[[#This Row],[Harga + Diskon C]]</f>
        <v>960000</v>
      </c>
      <c r="AI189" s="35">
        <f>(cadangan3[[#This Row],[Profit A]]+cadangan3[[#This Row],[Profit B]]+cadangan3[[#This Row],[Profit C]])</f>
        <v>450000</v>
      </c>
      <c r="AJ189" s="35">
        <f>cadangan3[[#This Row],[Provit A + Diskon]]+cadangan3[[#This Row],[Provit B + Diskon]]+cadangan3[[#This Row],[Provit C + Diskon]]</f>
        <v>360000</v>
      </c>
      <c r="AK189" s="23" t="s">
        <v>8</v>
      </c>
      <c r="AL189" s="37">
        <f>IFERROR(INDEX('Kode Diskon'!$D$3:$D$9,MATCH(cadangan3[[#This Row],[Kode diskon]],'Kode Diskon'!$C$3:$C$9,0)),"-")</f>
        <v>0.2</v>
      </c>
      <c r="AM189" s="23" t="s">
        <v>9</v>
      </c>
      <c r="AN189" s="23" t="s">
        <v>7</v>
      </c>
      <c r="AO189" s="23" t="s">
        <v>80</v>
      </c>
      <c r="AP189" s="24">
        <v>45044</v>
      </c>
      <c r="AQ189" s="23" t="str">
        <f>TEXT(cadangan3[[#This Row],[Tanggal terjual]],"dddd")</f>
        <v>Friday</v>
      </c>
    </row>
    <row r="190" spans="1:43" x14ac:dyDescent="0.2">
      <c r="A190" s="20">
        <v>189</v>
      </c>
      <c r="B190" s="21" t="str">
        <f>_xlfn.CONCAT("ORD-",INDEX(Helper!$B$2:$B$5,MATCH(cadangan3[[#This Row],[Marketplace]],Helper!$A$2:$A$5,0)),TEXT(cadangan3[[#This Row],[No]],"0000"),"-",TEXT(cadangan3[[#This Row],[Tanggal terjual]],"dd/mm/yy"))</f>
        <v>ORD-TK0189-01/04/23</v>
      </c>
      <c r="C190" t="s">
        <v>58</v>
      </c>
      <c r="D190" t="str">
        <f>IFERROR(INDEX(Katalog!$A$3:$A$12,MATCH(cadangan3[[#This Row],[ItemID A]],Katalog!$C$3:$C$12,0)),"-")</f>
        <v>Pakaian Wanita</v>
      </c>
      <c r="E190" t="str">
        <f>IFERROR(INDEX(Katalog!$B$3:$B$12,MATCH(cadangan3[[#This Row],[ItemID A]],Katalog!$C$3:$C$12,0)),"-")</f>
        <v>Dress</v>
      </c>
      <c r="F190">
        <v>1</v>
      </c>
      <c r="G190">
        <v>4</v>
      </c>
      <c r="H190" s="36">
        <f>IFERROR(INDEX(Katalog!$D$3:$D$12,MATCH(cadangan3[[#This Row],[ItemID A]],Katalog!$C$3:$C$12,0))*cadangan3[[#This Row],[Qty A]],0)</f>
        <v>300000</v>
      </c>
      <c r="I190" s="36">
        <f>IFERROR(INDEX(Katalog!$D$3:$D$12,MATCH(cadangan3[[#This Row],[Item A]],Katalog!$B$3:$B$12,0))*cadangan3[[#This Row],[Qty A]],0)</f>
        <v>300000</v>
      </c>
      <c r="J190" s="36">
        <f>IFERROR(cadangan3[[#This Row],[Harga Asli A]]-(cadangan3[[#This Row],[Harga Asli A]]*cadangan3[[#This Row],[Diskon]]),cadangan3[[#This Row],[Harga Asli A]])</f>
        <v>270000</v>
      </c>
      <c r="K190" s="36">
        <f>INDEX(Katalog!$F$3:$F$12,MATCH(cadangan3[[#This Row],[ItemID A]],Katalog!$C$3:$C$12,0))*cadangan3[[#This Row],[Qty A]]</f>
        <v>100000</v>
      </c>
      <c r="L190" s="36">
        <f>IFERROR(cadangan3[[#This Row],[Profit A]]-(cadangan3[[#This Row],[Profit A]]*cadangan3[[#This Row],[Diskon]]),K190)</f>
        <v>90000</v>
      </c>
      <c r="M190" t="s">
        <v>67</v>
      </c>
      <c r="N190" t="str">
        <f>IFERROR(INDEX(Katalog!$A$3:$A$12,MATCH(cadangan3[[#This Row],[ItemID B]],Katalog!$C$3:$C$12,0)),"-")</f>
        <v>Sepatu Wanita</v>
      </c>
      <c r="O190" t="str">
        <f>IFERROR(INDEX(Katalog!$B$3:$B$12,MATCH(cadangan3[[#This Row],[ItemID B]],Katalog!$C$3:$C$12,0)),"-")</f>
        <v>Flat Shoes</v>
      </c>
      <c r="P190">
        <v>4</v>
      </c>
      <c r="Q190">
        <v>1</v>
      </c>
      <c r="R190" s="36">
        <f>IFERROR(INDEX(Katalog!$D$3:$D$12,MATCH(cadangan3[[#This Row],[ItemID B]],Katalog!$C$3:$C$12,0))*cadangan3[[#This Row],[Qty B]],0)</f>
        <v>1000000</v>
      </c>
      <c r="S190" s="36">
        <f>IFERROR(INDEX(Katalog!$D$3:$D$12,MATCH(cadangan3[[#This Row],[Item B]],Katalog!$B$3:$B$12,0))*cadangan3[[#This Row],[Qty B]],0)</f>
        <v>1000000</v>
      </c>
      <c r="T190" s="36">
        <f>IFERROR(cadangan3[[#This Row],[Harga Asli B]]-(cadangan3[[#This Row],[Harga Asli B]]*cadangan3[[#This Row],[Diskon]]),cadangan3[[#This Row],[Harga Asli B]])</f>
        <v>900000</v>
      </c>
      <c r="U190" s="36">
        <f>IFERROR(INDEX(Katalog!$F$3:$F$12,MATCH(cadangan3[[#This Row],[ItemID B]],Katalog!$C$3:$C$12,0))*cadangan3[[#This Row],[Qty B]],0)</f>
        <v>400000</v>
      </c>
      <c r="V190" s="36">
        <f>IFERROR(cadangan3[[#This Row],[Profit B]]-(cadangan3[[#This Row],[Profit B]]*cadangan3[[#This Row],[Diskon]]),U190)</f>
        <v>360000</v>
      </c>
      <c r="W190" t="s">
        <v>65</v>
      </c>
      <c r="X190" t="str">
        <f>IFERROR(INDEX(Katalog!$A$3:$A$12,MATCH(cadangan3[[#This Row],[ItemID C]],Katalog!$C$3:$C$12,0)),"-")</f>
        <v>Sepatu Pria</v>
      </c>
      <c r="Y190" t="str">
        <f>IFERROR(INDEX(Katalog!$B$3:$B$12,MATCH(cadangan3[[#This Row],[ItemID C]],Katalog!$C$3:$C$12,0)),"-")</f>
        <v>Sneakers</v>
      </c>
      <c r="Z190">
        <v>1</v>
      </c>
      <c r="AA190">
        <v>5</v>
      </c>
      <c r="AB190" s="36">
        <f>IFERROR(INDEX(Katalog!$D$3:$D$12,MATCH(cadangan3[[#This Row],[ItemID C]],Katalog!$C$3:$C$12,0))*cadangan3[[#This Row],[Qty C]],0)</f>
        <v>500000</v>
      </c>
      <c r="AC190" s="36">
        <f>IFERROR(INDEX(Katalog!$D$3:$D$12,MATCH(cadangan3[[#This Row],[Item C]],Katalog!$B$3:$B$12,0))*cadangan3[[#This Row],[Qty C]],0)</f>
        <v>500000</v>
      </c>
      <c r="AD190" s="36">
        <f>IFERROR(cadangan3[[#This Row],[Harga Asli C]]-(cadangan3[[#This Row],[Harga Asli C]]*cadangan3[[#This Row],[Diskon]]),cadangan3[[#This Row],[Harga Asli C]])</f>
        <v>450000</v>
      </c>
      <c r="AE190" s="36">
        <f>IFERROR(INDEX(Katalog!$F$3:$F$12,MATCH(cadangan3[[#This Row],[ItemID C]],Katalog!$C$3:$C$12,0))*cadangan3[[#This Row],[Qty C]],0)</f>
        <v>200000</v>
      </c>
      <c r="AF190" s="36">
        <f>IFERROR(cadangan3[[#This Row],[Profit C]]-(cadangan3[[#This Row],[Profit C]]*cadangan3[[#This Row],[Diskon]]),cadangan3[[#This Row],[Profit C]])</f>
        <v>180000</v>
      </c>
      <c r="AG190" s="21">
        <f>cadangan3[[#This Row],[Qty A]]+cadangan3[[#This Row],[Qty B]]+cadangan3[[#This Row],[Qty C]]</f>
        <v>6</v>
      </c>
      <c r="AH190" s="35">
        <f>cadangan3[[#This Row],[Harga A + Diskon]]+cadangan3[[#This Row],[Harga + Diskon B]]+cadangan3[[#This Row],[Harga + Diskon C]]</f>
        <v>1620000</v>
      </c>
      <c r="AI190" s="35">
        <f>(cadangan3[[#This Row],[Profit A]]+cadangan3[[#This Row],[Profit B]]+cadangan3[[#This Row],[Profit C]])</f>
        <v>700000</v>
      </c>
      <c r="AJ190" s="35">
        <f>cadangan3[[#This Row],[Provit A + Diskon]]+cadangan3[[#This Row],[Provit B + Diskon]]+cadangan3[[#This Row],[Provit C + Diskon]]</f>
        <v>630000</v>
      </c>
      <c r="AK190" s="23" t="s">
        <v>30</v>
      </c>
      <c r="AL190" s="37">
        <f>IFERROR(INDEX('Kode Diskon'!$D$3:$D$9,MATCH(cadangan3[[#This Row],[Kode diskon]],'Kode Diskon'!$C$3:$C$9,0)),"-")</f>
        <v>0.1</v>
      </c>
      <c r="AM190" s="23" t="s">
        <v>29</v>
      </c>
      <c r="AN190" s="23" t="s">
        <v>10</v>
      </c>
      <c r="AO190" s="23" t="s">
        <v>80</v>
      </c>
      <c r="AP190" s="24">
        <v>45017</v>
      </c>
      <c r="AQ190" s="23" t="str">
        <f>TEXT(cadangan3[[#This Row],[Tanggal terjual]],"dddd")</f>
        <v>Saturday</v>
      </c>
    </row>
    <row r="191" spans="1:43" x14ac:dyDescent="0.2">
      <c r="A191" s="20">
        <v>190</v>
      </c>
      <c r="B191" s="21" t="str">
        <f>_xlfn.CONCAT("ORD-",INDEX(Helper!$B$2:$B$5,MATCH(cadangan3[[#This Row],[Marketplace]],Helper!$A$2:$A$5,0)),TEXT(cadangan3[[#This Row],[No]],"0000"),"-",TEXT(cadangan3[[#This Row],[Tanggal terjual]],"dd/mm/yy"))</f>
        <v>ORD-TK0190-05/04/23</v>
      </c>
      <c r="C191" t="s">
        <v>65</v>
      </c>
      <c r="D191" t="str">
        <f>IFERROR(INDEX(Katalog!$A$3:$A$12,MATCH(cadangan3[[#This Row],[ItemID A]],Katalog!$C$3:$C$12,0)),"-")</f>
        <v>Sepatu Pria</v>
      </c>
      <c r="E191" t="str">
        <f>IFERROR(INDEX(Katalog!$B$3:$B$12,MATCH(cadangan3[[#This Row],[ItemID A]],Katalog!$C$3:$C$12,0)),"-")</f>
        <v>Sneakers</v>
      </c>
      <c r="F191">
        <v>2</v>
      </c>
      <c r="G191">
        <v>3</v>
      </c>
      <c r="H191" s="36">
        <f>IFERROR(INDEX(Katalog!$D$3:$D$12,MATCH(cadangan3[[#This Row],[ItemID A]],Katalog!$C$3:$C$12,0))*cadangan3[[#This Row],[Qty A]],0)</f>
        <v>1000000</v>
      </c>
      <c r="I191" s="36">
        <f>IFERROR(INDEX(Katalog!$D$3:$D$12,MATCH(cadangan3[[#This Row],[Item A]],Katalog!$B$3:$B$12,0))*cadangan3[[#This Row],[Qty A]],0)</f>
        <v>1000000</v>
      </c>
      <c r="J191" s="36">
        <f>IFERROR(cadangan3[[#This Row],[Harga Asli A]]-(cadangan3[[#This Row],[Harga Asli A]]*cadangan3[[#This Row],[Diskon]]),cadangan3[[#This Row],[Harga Asli A]])</f>
        <v>900000</v>
      </c>
      <c r="K191" s="36">
        <f>INDEX(Katalog!$F$3:$F$12,MATCH(cadangan3[[#This Row],[ItemID A]],Katalog!$C$3:$C$12,0))*cadangan3[[#This Row],[Qty A]]</f>
        <v>400000</v>
      </c>
      <c r="L191" s="36">
        <f>IFERROR(cadangan3[[#This Row],[Profit A]]-(cadangan3[[#This Row],[Profit A]]*cadangan3[[#This Row],[Diskon]]),K191)</f>
        <v>360000</v>
      </c>
      <c r="M191" t="s">
        <v>67</v>
      </c>
      <c r="N191" t="str">
        <f>IFERROR(INDEX(Katalog!$A$3:$A$12,MATCH(cadangan3[[#This Row],[ItemID B]],Katalog!$C$3:$C$12,0)),"-")</f>
        <v>Sepatu Wanita</v>
      </c>
      <c r="O191" t="str">
        <f>IFERROR(INDEX(Katalog!$B$3:$B$12,MATCH(cadangan3[[#This Row],[ItemID B]],Katalog!$C$3:$C$12,0)),"-")</f>
        <v>Flat Shoes</v>
      </c>
      <c r="P191">
        <v>1</v>
      </c>
      <c r="Q191">
        <v>3</v>
      </c>
      <c r="R191" s="36">
        <f>IFERROR(INDEX(Katalog!$D$3:$D$12,MATCH(cadangan3[[#This Row],[ItemID B]],Katalog!$C$3:$C$12,0))*cadangan3[[#This Row],[Qty B]],0)</f>
        <v>250000</v>
      </c>
      <c r="S191" s="36">
        <f>IFERROR(INDEX(Katalog!$D$3:$D$12,MATCH(cadangan3[[#This Row],[Item B]],Katalog!$B$3:$B$12,0))*cadangan3[[#This Row],[Qty B]],0)</f>
        <v>250000</v>
      </c>
      <c r="T191" s="36">
        <f>IFERROR(cadangan3[[#This Row],[Harga Asli B]]-(cadangan3[[#This Row],[Harga Asli B]]*cadangan3[[#This Row],[Diskon]]),cadangan3[[#This Row],[Harga Asli B]])</f>
        <v>225000</v>
      </c>
      <c r="U191" s="36">
        <f>IFERROR(INDEX(Katalog!$F$3:$F$12,MATCH(cadangan3[[#This Row],[ItemID B]],Katalog!$C$3:$C$12,0))*cadangan3[[#This Row],[Qty B]],0)</f>
        <v>100000</v>
      </c>
      <c r="V191" s="36">
        <f>IFERROR(cadangan3[[#This Row],[Profit B]]-(cadangan3[[#This Row],[Profit B]]*cadangan3[[#This Row],[Diskon]]),U191)</f>
        <v>90000</v>
      </c>
      <c r="X191" t="str">
        <f>IFERROR(INDEX(Katalog!$A$3:$A$12,MATCH(cadangan3[[#This Row],[ItemID C]],Katalog!$C$3:$C$12,0)),"-")</f>
        <v>-</v>
      </c>
      <c r="Y191" t="str">
        <f>IFERROR(INDEX(Katalog!$B$3:$B$12,MATCH(cadangan3[[#This Row],[ItemID C]],Katalog!$C$3:$C$12,0)),"-")</f>
        <v>-</v>
      </c>
      <c r="AB191" s="36">
        <f>IFERROR(INDEX(Katalog!$D$3:$D$12,MATCH(cadangan3[[#This Row],[ItemID C]],Katalog!$C$3:$C$12,0))*cadangan3[[#This Row],[Qty C]],0)</f>
        <v>0</v>
      </c>
      <c r="AC191" s="36">
        <f>IFERROR(INDEX(Katalog!$D$3:$D$12,MATCH(cadangan3[[#This Row],[Item C]],Katalog!$B$3:$B$12,0))*cadangan3[[#This Row],[Qty C]],0)</f>
        <v>0</v>
      </c>
      <c r="AD191" s="36">
        <f>IFERROR(cadangan3[[#This Row],[Harga Asli C]]-(cadangan3[[#This Row],[Harga Asli C]]*cadangan3[[#This Row],[Diskon]]),cadangan3[[#This Row],[Harga Asli C]])</f>
        <v>0</v>
      </c>
      <c r="AE191" s="36">
        <f>IFERROR(INDEX(Katalog!$F$3:$F$12,MATCH(cadangan3[[#This Row],[ItemID C]],Katalog!$C$3:$C$12,0))*cadangan3[[#This Row],[Qty C]],0)</f>
        <v>0</v>
      </c>
      <c r="AF191" s="36">
        <f>IFERROR(cadangan3[[#This Row],[Profit C]]-(cadangan3[[#This Row],[Profit C]]*cadangan3[[#This Row],[Diskon]]),cadangan3[[#This Row],[Profit C]])</f>
        <v>0</v>
      </c>
      <c r="AG191" s="21">
        <f>cadangan3[[#This Row],[Qty A]]+cadangan3[[#This Row],[Qty B]]+cadangan3[[#This Row],[Qty C]]</f>
        <v>3</v>
      </c>
      <c r="AH191" s="35">
        <f>cadangan3[[#This Row],[Harga A + Diskon]]+cadangan3[[#This Row],[Harga + Diskon B]]+cadangan3[[#This Row],[Harga + Diskon C]]</f>
        <v>1125000</v>
      </c>
      <c r="AI191" s="35">
        <f>(cadangan3[[#This Row],[Profit A]]+cadangan3[[#This Row],[Profit B]]+cadangan3[[#This Row],[Profit C]])</f>
        <v>500000</v>
      </c>
      <c r="AJ191" s="35">
        <f>cadangan3[[#This Row],[Provit A + Diskon]]+cadangan3[[#This Row],[Provit B + Diskon]]+cadangan3[[#This Row],[Provit C + Diskon]]</f>
        <v>450000</v>
      </c>
      <c r="AK191" s="23" t="s">
        <v>30</v>
      </c>
      <c r="AL191" s="37">
        <f>IFERROR(INDEX('Kode Diskon'!$D$3:$D$9,MATCH(cadangan3[[#This Row],[Kode diskon]],'Kode Diskon'!$C$3:$C$9,0)),"-")</f>
        <v>0.1</v>
      </c>
      <c r="AM191" s="23" t="s">
        <v>29</v>
      </c>
      <c r="AN191" s="23" t="s">
        <v>10</v>
      </c>
      <c r="AO191" s="23" t="s">
        <v>80</v>
      </c>
      <c r="AP191" s="24">
        <v>45021</v>
      </c>
      <c r="AQ191" s="23" t="str">
        <f>TEXT(cadangan3[[#This Row],[Tanggal terjual]],"dddd")</f>
        <v>Wednesday</v>
      </c>
    </row>
    <row r="192" spans="1:43" x14ac:dyDescent="0.2">
      <c r="A192" s="20">
        <v>191</v>
      </c>
      <c r="B192" s="21" t="str">
        <f>_xlfn.CONCAT("ORD-",INDEX(Helper!$B$2:$B$5,MATCH(cadangan3[[#This Row],[Marketplace]],Helper!$A$2:$A$5,0)),TEXT(cadangan3[[#This Row],[No]],"0000"),"-",TEXT(cadangan3[[#This Row],[Tanggal terjual]],"dd/mm/yy"))</f>
        <v>ORD-TK0191-18/04/23</v>
      </c>
      <c r="C192" t="s">
        <v>61</v>
      </c>
      <c r="D192" t="str">
        <f>IFERROR(INDEX(Katalog!$A$3:$A$12,MATCH(cadangan3[[#This Row],[ItemID A]],Katalog!$C$3:$C$12,0)),"-")</f>
        <v>Pakaian Pria</v>
      </c>
      <c r="E192" t="str">
        <f>IFERROR(INDEX(Katalog!$B$3:$B$12,MATCH(cadangan3[[#This Row],[ItemID A]],Katalog!$C$3:$C$12,0)),"-")</f>
        <v>Kaos Polo</v>
      </c>
      <c r="F192">
        <v>3</v>
      </c>
      <c r="G192">
        <v>2</v>
      </c>
      <c r="H192" s="36">
        <f>IFERROR(INDEX(Katalog!$D$3:$D$12,MATCH(cadangan3[[#This Row],[ItemID A]],Katalog!$C$3:$C$12,0))*cadangan3[[#This Row],[Qty A]],0)</f>
        <v>600000</v>
      </c>
      <c r="I192" s="36">
        <f>IFERROR(INDEX(Katalog!$D$3:$D$12,MATCH(cadangan3[[#This Row],[Item A]],Katalog!$B$3:$B$12,0))*cadangan3[[#This Row],[Qty A]],0)</f>
        <v>600000</v>
      </c>
      <c r="J192" s="36">
        <f>IFERROR(cadangan3[[#This Row],[Harga Asli A]]-(cadangan3[[#This Row],[Harga Asli A]]*cadangan3[[#This Row],[Diskon]]),cadangan3[[#This Row],[Harga Asli A]])</f>
        <v>540000</v>
      </c>
      <c r="K192" s="36">
        <f>INDEX(Katalog!$F$3:$F$12,MATCH(cadangan3[[#This Row],[ItemID A]],Katalog!$C$3:$C$12,0))*cadangan3[[#This Row],[Qty A]]</f>
        <v>240000</v>
      </c>
      <c r="L192" s="36">
        <f>IFERROR(cadangan3[[#This Row],[Profit A]]-(cadangan3[[#This Row],[Profit A]]*cadangan3[[#This Row],[Diskon]]),K192)</f>
        <v>216000</v>
      </c>
      <c r="M192" t="s">
        <v>60</v>
      </c>
      <c r="N192" t="str">
        <f>IFERROR(INDEX(Katalog!$A$3:$A$12,MATCH(cadangan3[[#This Row],[ItemID B]],Katalog!$C$3:$C$12,0)),"-")</f>
        <v>Pakaian Wanita</v>
      </c>
      <c r="O192" t="str">
        <f>IFERROR(INDEX(Katalog!$B$3:$B$12,MATCH(cadangan3[[#This Row],[ItemID B]],Katalog!$C$3:$C$12,0)),"-")</f>
        <v>Kaftan</v>
      </c>
      <c r="P192">
        <v>2</v>
      </c>
      <c r="Q192">
        <v>5</v>
      </c>
      <c r="R192" s="36">
        <f>IFERROR(INDEX(Katalog!$D$3:$D$12,MATCH(cadangan3[[#This Row],[ItemID B]],Katalog!$C$3:$C$12,0))*cadangan3[[#This Row],[Qty B]],0)</f>
        <v>500000</v>
      </c>
      <c r="S192" s="36">
        <f>IFERROR(INDEX(Katalog!$D$3:$D$12,MATCH(cadangan3[[#This Row],[Item B]],Katalog!$B$3:$B$12,0))*cadangan3[[#This Row],[Qty B]],0)</f>
        <v>500000</v>
      </c>
      <c r="T192" s="36">
        <f>IFERROR(cadangan3[[#This Row],[Harga Asli B]]-(cadangan3[[#This Row],[Harga Asli B]]*cadangan3[[#This Row],[Diskon]]),cadangan3[[#This Row],[Harga Asli B]])</f>
        <v>450000</v>
      </c>
      <c r="U192" s="36">
        <f>IFERROR(INDEX(Katalog!$F$3:$F$12,MATCH(cadangan3[[#This Row],[ItemID B]],Katalog!$C$3:$C$12,0))*cadangan3[[#This Row],[Qty B]],0)</f>
        <v>200000</v>
      </c>
      <c r="V192" s="36">
        <f>IFERROR(cadangan3[[#This Row],[Profit B]]-(cadangan3[[#This Row],[Profit B]]*cadangan3[[#This Row],[Diskon]]),U192)</f>
        <v>180000</v>
      </c>
      <c r="W192" t="s">
        <v>58</v>
      </c>
      <c r="X192" t="str">
        <f>IFERROR(INDEX(Katalog!$A$3:$A$12,MATCH(cadangan3[[#This Row],[ItemID C]],Katalog!$C$3:$C$12,0)),"-")</f>
        <v>Pakaian Wanita</v>
      </c>
      <c r="Y192" t="str">
        <f>IFERROR(INDEX(Katalog!$B$3:$B$12,MATCH(cadangan3[[#This Row],[ItemID C]],Katalog!$C$3:$C$12,0)),"-")</f>
        <v>Dress</v>
      </c>
      <c r="Z192">
        <v>1</v>
      </c>
      <c r="AA192">
        <v>1</v>
      </c>
      <c r="AB192" s="36">
        <f>IFERROR(INDEX(Katalog!$D$3:$D$12,MATCH(cadangan3[[#This Row],[ItemID C]],Katalog!$C$3:$C$12,0))*cadangan3[[#This Row],[Qty C]],0)</f>
        <v>300000</v>
      </c>
      <c r="AC192" s="36">
        <f>IFERROR(INDEX(Katalog!$D$3:$D$12,MATCH(cadangan3[[#This Row],[Item C]],Katalog!$B$3:$B$12,0))*cadangan3[[#This Row],[Qty C]],0)</f>
        <v>300000</v>
      </c>
      <c r="AD192" s="36">
        <f>IFERROR(cadangan3[[#This Row],[Harga Asli C]]-(cadangan3[[#This Row],[Harga Asli C]]*cadangan3[[#This Row],[Diskon]]),cadangan3[[#This Row],[Harga Asli C]])</f>
        <v>270000</v>
      </c>
      <c r="AE192" s="36">
        <f>IFERROR(INDEX(Katalog!$F$3:$F$12,MATCH(cadangan3[[#This Row],[ItemID C]],Katalog!$C$3:$C$12,0))*cadangan3[[#This Row],[Qty C]],0)</f>
        <v>100000</v>
      </c>
      <c r="AF192" s="36">
        <f>IFERROR(cadangan3[[#This Row],[Profit C]]-(cadangan3[[#This Row],[Profit C]]*cadangan3[[#This Row],[Diskon]]),cadangan3[[#This Row],[Profit C]])</f>
        <v>90000</v>
      </c>
      <c r="AG192" s="21">
        <f>cadangan3[[#This Row],[Qty A]]+cadangan3[[#This Row],[Qty B]]+cadangan3[[#This Row],[Qty C]]</f>
        <v>6</v>
      </c>
      <c r="AH192" s="35">
        <f>cadangan3[[#This Row],[Harga A + Diskon]]+cadangan3[[#This Row],[Harga + Diskon B]]+cadangan3[[#This Row],[Harga + Diskon C]]</f>
        <v>1260000</v>
      </c>
      <c r="AI192" s="35">
        <f>(cadangan3[[#This Row],[Profit A]]+cadangan3[[#This Row],[Profit B]]+cadangan3[[#This Row],[Profit C]])</f>
        <v>540000</v>
      </c>
      <c r="AJ192" s="35">
        <f>cadangan3[[#This Row],[Provit A + Diskon]]+cadangan3[[#This Row],[Provit B + Diskon]]+cadangan3[[#This Row],[Provit C + Diskon]]</f>
        <v>486000</v>
      </c>
      <c r="AK192" s="23" t="s">
        <v>31</v>
      </c>
      <c r="AL192" s="37">
        <f>IFERROR(INDEX('Kode Diskon'!$D$3:$D$9,MATCH(cadangan3[[#This Row],[Kode diskon]],'Kode Diskon'!$C$3:$C$9,0)),"-")</f>
        <v>0.1</v>
      </c>
      <c r="AM192" s="23" t="s">
        <v>9</v>
      </c>
      <c r="AN192" s="23" t="s">
        <v>10</v>
      </c>
      <c r="AO192" s="23" t="s">
        <v>80</v>
      </c>
      <c r="AP192" s="24">
        <v>45034</v>
      </c>
      <c r="AQ192" s="23" t="str">
        <f>TEXT(cadangan3[[#This Row],[Tanggal terjual]],"dddd")</f>
        <v>Tuesday</v>
      </c>
    </row>
    <row r="193" spans="1:43" x14ac:dyDescent="0.2">
      <c r="A193" s="20">
        <v>192</v>
      </c>
      <c r="B193" s="21" t="str">
        <f>_xlfn.CONCAT("ORD-",INDEX(Helper!$B$2:$B$5,MATCH(cadangan3[[#This Row],[Marketplace]],Helper!$A$2:$A$5,0)),TEXT(cadangan3[[#This Row],[No]],"0000"),"-",TEXT(cadangan3[[#This Row],[Tanggal terjual]],"dd/mm/yy"))</f>
        <v>ORD-BB0192-05/04/23</v>
      </c>
      <c r="C193" t="s">
        <v>58</v>
      </c>
      <c r="D193" t="str">
        <f>IFERROR(INDEX(Katalog!$A$3:$A$12,MATCH(cadangan3[[#This Row],[ItemID A]],Katalog!$C$3:$C$12,0)),"-")</f>
        <v>Pakaian Wanita</v>
      </c>
      <c r="E193" t="str">
        <f>IFERROR(INDEX(Katalog!$B$3:$B$12,MATCH(cadangan3[[#This Row],[ItemID A]],Katalog!$C$3:$C$12,0)),"-")</f>
        <v>Dress</v>
      </c>
      <c r="F193">
        <v>1</v>
      </c>
      <c r="G193">
        <v>2</v>
      </c>
      <c r="H193" s="36">
        <f>IFERROR(INDEX(Katalog!$D$3:$D$12,MATCH(cadangan3[[#This Row],[ItemID A]],Katalog!$C$3:$C$12,0))*cadangan3[[#This Row],[Qty A]],0)</f>
        <v>300000</v>
      </c>
      <c r="I193" s="36">
        <f>IFERROR(INDEX(Katalog!$D$3:$D$12,MATCH(cadangan3[[#This Row],[Item A]],Katalog!$B$3:$B$12,0))*cadangan3[[#This Row],[Qty A]],0)</f>
        <v>300000</v>
      </c>
      <c r="J193" s="36">
        <f>IFERROR(cadangan3[[#This Row],[Harga Asli A]]-(cadangan3[[#This Row],[Harga Asli A]]*cadangan3[[#This Row],[Diskon]]),cadangan3[[#This Row],[Harga Asli A]])</f>
        <v>255000</v>
      </c>
      <c r="K193" s="36">
        <f>INDEX(Katalog!$F$3:$F$12,MATCH(cadangan3[[#This Row],[ItemID A]],Katalog!$C$3:$C$12,0))*cadangan3[[#This Row],[Qty A]]</f>
        <v>100000</v>
      </c>
      <c r="L193" s="36">
        <f>IFERROR(cadangan3[[#This Row],[Profit A]]-(cadangan3[[#This Row],[Profit A]]*cadangan3[[#This Row],[Diskon]]),K193)</f>
        <v>85000</v>
      </c>
      <c r="M193" t="s">
        <v>67</v>
      </c>
      <c r="N193" t="str">
        <f>IFERROR(INDEX(Katalog!$A$3:$A$12,MATCH(cadangan3[[#This Row],[ItemID B]],Katalog!$C$3:$C$12,0)),"-")</f>
        <v>Sepatu Wanita</v>
      </c>
      <c r="O193" t="str">
        <f>IFERROR(INDEX(Katalog!$B$3:$B$12,MATCH(cadangan3[[#This Row],[ItemID B]],Katalog!$C$3:$C$12,0)),"-")</f>
        <v>Flat Shoes</v>
      </c>
      <c r="P193">
        <v>1</v>
      </c>
      <c r="Q193">
        <v>3</v>
      </c>
      <c r="R193" s="36">
        <f>IFERROR(INDEX(Katalog!$D$3:$D$12,MATCH(cadangan3[[#This Row],[ItemID B]],Katalog!$C$3:$C$12,0))*cadangan3[[#This Row],[Qty B]],0)</f>
        <v>250000</v>
      </c>
      <c r="S193" s="36">
        <f>IFERROR(INDEX(Katalog!$D$3:$D$12,MATCH(cadangan3[[#This Row],[Item B]],Katalog!$B$3:$B$12,0))*cadangan3[[#This Row],[Qty B]],0)</f>
        <v>250000</v>
      </c>
      <c r="T193" s="36">
        <f>IFERROR(cadangan3[[#This Row],[Harga Asli B]]-(cadangan3[[#This Row],[Harga Asli B]]*cadangan3[[#This Row],[Diskon]]),cadangan3[[#This Row],[Harga Asli B]])</f>
        <v>212500</v>
      </c>
      <c r="U193" s="36">
        <f>IFERROR(INDEX(Katalog!$F$3:$F$12,MATCH(cadangan3[[#This Row],[ItemID B]],Katalog!$C$3:$C$12,0))*cadangan3[[#This Row],[Qty B]],0)</f>
        <v>100000</v>
      </c>
      <c r="V193" s="36">
        <f>IFERROR(cadangan3[[#This Row],[Profit B]]-(cadangan3[[#This Row],[Profit B]]*cadangan3[[#This Row],[Diskon]]),U193)</f>
        <v>85000</v>
      </c>
      <c r="X193" t="str">
        <f>IFERROR(INDEX(Katalog!$A$3:$A$12,MATCH(cadangan3[[#This Row],[ItemID C]],Katalog!$C$3:$C$12,0)),"-")</f>
        <v>-</v>
      </c>
      <c r="Y193" t="str">
        <f>IFERROR(INDEX(Katalog!$B$3:$B$12,MATCH(cadangan3[[#This Row],[ItemID C]],Katalog!$C$3:$C$12,0)),"-")</f>
        <v>-</v>
      </c>
      <c r="AB193" s="36">
        <f>IFERROR(INDEX(Katalog!$D$3:$D$12,MATCH(cadangan3[[#This Row],[ItemID C]],Katalog!$C$3:$C$12,0))*cadangan3[[#This Row],[Qty C]],0)</f>
        <v>0</v>
      </c>
      <c r="AC193" s="36">
        <f>IFERROR(INDEX(Katalog!$D$3:$D$12,MATCH(cadangan3[[#This Row],[Item C]],Katalog!$B$3:$B$12,0))*cadangan3[[#This Row],[Qty C]],0)</f>
        <v>0</v>
      </c>
      <c r="AD193" s="36">
        <f>IFERROR(cadangan3[[#This Row],[Harga Asli C]]-(cadangan3[[#This Row],[Harga Asli C]]*cadangan3[[#This Row],[Diskon]]),cadangan3[[#This Row],[Harga Asli C]])</f>
        <v>0</v>
      </c>
      <c r="AE193" s="36">
        <f>IFERROR(INDEX(Katalog!$F$3:$F$12,MATCH(cadangan3[[#This Row],[ItemID C]],Katalog!$C$3:$C$12,0))*cadangan3[[#This Row],[Qty C]],0)</f>
        <v>0</v>
      </c>
      <c r="AF193" s="36">
        <f>IFERROR(cadangan3[[#This Row],[Profit C]]-(cadangan3[[#This Row],[Profit C]]*cadangan3[[#This Row],[Diskon]]),cadangan3[[#This Row],[Profit C]])</f>
        <v>0</v>
      </c>
      <c r="AG193" s="21">
        <f>cadangan3[[#This Row],[Qty A]]+cadangan3[[#This Row],[Qty B]]+cadangan3[[#This Row],[Qty C]]</f>
        <v>2</v>
      </c>
      <c r="AH193" s="35">
        <f>cadangan3[[#This Row],[Harga A + Diskon]]+cadangan3[[#This Row],[Harga + Diskon B]]+cadangan3[[#This Row],[Harga + Diskon C]]</f>
        <v>467500</v>
      </c>
      <c r="AI193" s="35">
        <f>(cadangan3[[#This Row],[Profit A]]+cadangan3[[#This Row],[Profit B]]+cadangan3[[#This Row],[Profit C]])</f>
        <v>200000</v>
      </c>
      <c r="AJ193" s="35">
        <f>cadangan3[[#This Row],[Provit A + Diskon]]+cadangan3[[#This Row],[Provit B + Diskon]]+cadangan3[[#This Row],[Provit C + Diskon]]</f>
        <v>170000</v>
      </c>
      <c r="AK193" s="23" t="s">
        <v>28</v>
      </c>
      <c r="AL193" s="37">
        <f>IFERROR(INDEX('Kode Diskon'!$D$3:$D$9,MATCH(cadangan3[[#This Row],[Kode diskon]],'Kode Diskon'!$C$3:$C$9,0)),"-")</f>
        <v>0.15</v>
      </c>
      <c r="AM193" s="23" t="s">
        <v>29</v>
      </c>
      <c r="AN193" s="23" t="s">
        <v>14</v>
      </c>
      <c r="AO193" s="23" t="s">
        <v>80</v>
      </c>
      <c r="AP193" s="24">
        <v>45021</v>
      </c>
      <c r="AQ193" s="23" t="str">
        <f>TEXT(cadangan3[[#This Row],[Tanggal terjual]],"dddd")</f>
        <v>Wednesday</v>
      </c>
    </row>
    <row r="194" spans="1:43" x14ac:dyDescent="0.2">
      <c r="A194" s="20">
        <v>193</v>
      </c>
      <c r="B194" s="21" t="str">
        <f>_xlfn.CONCAT("ORD-",INDEX(Helper!$B$2:$B$5,MATCH(cadangan3[[#This Row],[Marketplace]],Helper!$A$2:$A$5,0)),TEXT(cadangan3[[#This Row],[No]],"0000"),"-",TEXT(cadangan3[[#This Row],[Tanggal terjual]],"dd/mm/yy"))</f>
        <v>ORD-TK0193-01/04/23</v>
      </c>
      <c r="C194" t="s">
        <v>62</v>
      </c>
      <c r="D194" t="str">
        <f>IFERROR(INDEX(Katalog!$A$3:$A$12,MATCH(cadangan3[[#This Row],[ItemID A]],Katalog!$C$3:$C$12,0)),"-")</f>
        <v>Pakaian Pria</v>
      </c>
      <c r="E194" t="str">
        <f>IFERROR(INDEX(Katalog!$B$3:$B$12,MATCH(cadangan3[[#This Row],[ItemID A]],Katalog!$C$3:$C$12,0)),"-")</f>
        <v>Celana Pendek</v>
      </c>
      <c r="F194">
        <v>4</v>
      </c>
      <c r="G194">
        <v>5</v>
      </c>
      <c r="H194" s="36">
        <f>IFERROR(INDEX(Katalog!$D$3:$D$12,MATCH(cadangan3[[#This Row],[ItemID A]],Katalog!$C$3:$C$12,0))*cadangan3[[#This Row],[Qty A]],0)</f>
        <v>720000</v>
      </c>
      <c r="I194" s="36">
        <f>IFERROR(INDEX(Katalog!$D$3:$D$12,MATCH(cadangan3[[#This Row],[Item A]],Katalog!$B$3:$B$12,0))*cadangan3[[#This Row],[Qty A]],0)</f>
        <v>720000</v>
      </c>
      <c r="J194" s="36">
        <f>IFERROR(cadangan3[[#This Row],[Harga Asli A]]-(cadangan3[[#This Row],[Harga Asli A]]*cadangan3[[#This Row],[Diskon]]),cadangan3[[#This Row],[Harga Asli A]])</f>
        <v>648000</v>
      </c>
      <c r="K194" s="36">
        <f>INDEX(Katalog!$F$3:$F$12,MATCH(cadangan3[[#This Row],[ItemID A]],Katalog!$C$3:$C$12,0))*cadangan3[[#This Row],[Qty A]]</f>
        <v>280000</v>
      </c>
      <c r="L194" s="36">
        <f>IFERROR(cadangan3[[#This Row],[Profit A]]-(cadangan3[[#This Row],[Profit A]]*cadangan3[[#This Row],[Diskon]]),K194)</f>
        <v>252000</v>
      </c>
      <c r="M194" t="s">
        <v>66</v>
      </c>
      <c r="N194" t="str">
        <f>IFERROR(INDEX(Katalog!$A$3:$A$12,MATCH(cadangan3[[#This Row],[ItemID B]],Katalog!$C$3:$C$12,0)),"-")</f>
        <v>Sepatu Pria</v>
      </c>
      <c r="O194" t="str">
        <f>IFERROR(INDEX(Katalog!$B$3:$B$12,MATCH(cadangan3[[#This Row],[ItemID B]],Katalog!$C$3:$C$12,0)),"-")</f>
        <v>Sandal Slip On</v>
      </c>
      <c r="P194">
        <v>2</v>
      </c>
      <c r="Q194">
        <v>3</v>
      </c>
      <c r="R194" s="36">
        <f>IFERROR(INDEX(Katalog!$D$3:$D$12,MATCH(cadangan3[[#This Row],[ItemID B]],Katalog!$C$3:$C$12,0))*cadangan3[[#This Row],[Qty B]],0)</f>
        <v>300000</v>
      </c>
      <c r="S194" s="36">
        <f>IFERROR(INDEX(Katalog!$D$3:$D$12,MATCH(cadangan3[[#This Row],[Item B]],Katalog!$B$3:$B$12,0))*cadangan3[[#This Row],[Qty B]],0)</f>
        <v>300000</v>
      </c>
      <c r="T194" s="36">
        <f>IFERROR(cadangan3[[#This Row],[Harga Asli B]]-(cadangan3[[#This Row],[Harga Asli B]]*cadangan3[[#This Row],[Diskon]]),cadangan3[[#This Row],[Harga Asli B]])</f>
        <v>270000</v>
      </c>
      <c r="U194" s="36">
        <f>IFERROR(INDEX(Katalog!$F$3:$F$12,MATCH(cadangan3[[#This Row],[ItemID B]],Katalog!$C$3:$C$12,0))*cadangan3[[#This Row],[Qty B]],0)</f>
        <v>120000</v>
      </c>
      <c r="V194" s="36">
        <f>IFERROR(cadangan3[[#This Row],[Profit B]]-(cadangan3[[#This Row],[Profit B]]*cadangan3[[#This Row],[Diskon]]),U194)</f>
        <v>108000</v>
      </c>
      <c r="W194" t="s">
        <v>58</v>
      </c>
      <c r="X194" t="str">
        <f>IFERROR(INDEX(Katalog!$A$3:$A$12,MATCH(cadangan3[[#This Row],[ItemID C]],Katalog!$C$3:$C$12,0)),"-")</f>
        <v>Pakaian Wanita</v>
      </c>
      <c r="Y194" t="str">
        <f>IFERROR(INDEX(Katalog!$B$3:$B$12,MATCH(cadangan3[[#This Row],[ItemID C]],Katalog!$C$3:$C$12,0)),"-")</f>
        <v>Dress</v>
      </c>
      <c r="Z194">
        <v>1</v>
      </c>
      <c r="AA194">
        <v>1</v>
      </c>
      <c r="AB194" s="36">
        <f>IFERROR(INDEX(Katalog!$D$3:$D$12,MATCH(cadangan3[[#This Row],[ItemID C]],Katalog!$C$3:$C$12,0))*cadangan3[[#This Row],[Qty C]],0)</f>
        <v>300000</v>
      </c>
      <c r="AC194" s="36">
        <f>IFERROR(INDEX(Katalog!$D$3:$D$12,MATCH(cadangan3[[#This Row],[Item C]],Katalog!$B$3:$B$12,0))*cadangan3[[#This Row],[Qty C]],0)</f>
        <v>300000</v>
      </c>
      <c r="AD194" s="36">
        <f>IFERROR(cadangan3[[#This Row],[Harga Asli C]]-(cadangan3[[#This Row],[Harga Asli C]]*cadangan3[[#This Row],[Diskon]]),cadangan3[[#This Row],[Harga Asli C]])</f>
        <v>270000</v>
      </c>
      <c r="AE194" s="36">
        <f>IFERROR(INDEX(Katalog!$F$3:$F$12,MATCH(cadangan3[[#This Row],[ItemID C]],Katalog!$C$3:$C$12,0))*cadangan3[[#This Row],[Qty C]],0)</f>
        <v>100000</v>
      </c>
      <c r="AF194" s="36">
        <f>IFERROR(cadangan3[[#This Row],[Profit C]]-(cadangan3[[#This Row],[Profit C]]*cadangan3[[#This Row],[Diskon]]),cadangan3[[#This Row],[Profit C]])</f>
        <v>90000</v>
      </c>
      <c r="AG194" s="21">
        <f>cadangan3[[#This Row],[Qty A]]+cadangan3[[#This Row],[Qty B]]+cadangan3[[#This Row],[Qty C]]</f>
        <v>7</v>
      </c>
      <c r="AH194" s="35">
        <f>cadangan3[[#This Row],[Harga A + Diskon]]+cadangan3[[#This Row],[Harga + Diskon B]]+cadangan3[[#This Row],[Harga + Diskon C]]</f>
        <v>1188000</v>
      </c>
      <c r="AI194" s="35">
        <f>(cadangan3[[#This Row],[Profit A]]+cadangan3[[#This Row],[Profit B]]+cadangan3[[#This Row],[Profit C]])</f>
        <v>500000</v>
      </c>
      <c r="AJ194" s="35">
        <f>cadangan3[[#This Row],[Provit A + Diskon]]+cadangan3[[#This Row],[Provit B + Diskon]]+cadangan3[[#This Row],[Provit C + Diskon]]</f>
        <v>450000</v>
      </c>
      <c r="AK194" s="23" t="s">
        <v>30</v>
      </c>
      <c r="AL194" s="37">
        <f>IFERROR(INDEX('Kode Diskon'!$D$3:$D$9,MATCH(cadangan3[[#This Row],[Kode diskon]],'Kode Diskon'!$C$3:$C$9,0)),"-")</f>
        <v>0.1</v>
      </c>
      <c r="AM194" s="23" t="s">
        <v>29</v>
      </c>
      <c r="AN194" s="23" t="s">
        <v>10</v>
      </c>
      <c r="AO194" s="23" t="s">
        <v>79</v>
      </c>
      <c r="AP194" s="24">
        <v>45017</v>
      </c>
      <c r="AQ194" s="23" t="str">
        <f>TEXT(cadangan3[[#This Row],[Tanggal terjual]],"dddd")</f>
        <v>Saturday</v>
      </c>
    </row>
    <row r="195" spans="1:43" x14ac:dyDescent="0.2">
      <c r="A195" s="20">
        <v>194</v>
      </c>
      <c r="B195" s="21" t="str">
        <f>_xlfn.CONCAT("ORD-",INDEX(Helper!$B$2:$B$5,MATCH(cadangan3[[#This Row],[Marketplace]],Helper!$A$2:$A$5,0)),TEXT(cadangan3[[#This Row],[No]],"0000"),"-",TEXT(cadangan3[[#This Row],[Tanggal terjual]],"dd/mm/yy"))</f>
        <v>ORD-SP0194-06/04/23</v>
      </c>
      <c r="C195" t="s">
        <v>59</v>
      </c>
      <c r="D195" t="str">
        <f>IFERROR(INDEX(Katalog!$A$3:$A$12,MATCH(cadangan3[[#This Row],[ItemID A]],Katalog!$C$3:$C$12,0)),"-")</f>
        <v>Pakaian Wanita</v>
      </c>
      <c r="E195" t="str">
        <f>IFERROR(INDEX(Katalog!$B$3:$B$12,MATCH(cadangan3[[#This Row],[ItemID A]],Katalog!$C$3:$C$12,0)),"-")</f>
        <v>Blouse</v>
      </c>
      <c r="F195">
        <v>1</v>
      </c>
      <c r="G195">
        <v>3</v>
      </c>
      <c r="H195" s="36">
        <f>IFERROR(INDEX(Katalog!$D$3:$D$12,MATCH(cadangan3[[#This Row],[ItemID A]],Katalog!$C$3:$C$12,0))*cadangan3[[#This Row],[Qty A]],0)</f>
        <v>150000</v>
      </c>
      <c r="I195" s="36">
        <f>IFERROR(INDEX(Katalog!$D$3:$D$12,MATCH(cadangan3[[#This Row],[Item A]],Katalog!$B$3:$B$12,0))*cadangan3[[#This Row],[Qty A]],0)</f>
        <v>150000</v>
      </c>
      <c r="J195" s="36">
        <f>IFERROR(cadangan3[[#This Row],[Harga Asli A]]-(cadangan3[[#This Row],[Harga Asli A]]*cadangan3[[#This Row],[Diskon]]),cadangan3[[#This Row],[Harga Asli A]])</f>
        <v>135000</v>
      </c>
      <c r="K195" s="36">
        <f>INDEX(Katalog!$F$3:$F$12,MATCH(cadangan3[[#This Row],[ItemID A]],Katalog!$C$3:$C$12,0))*cadangan3[[#This Row],[Qty A]]</f>
        <v>50000</v>
      </c>
      <c r="L195" s="36">
        <f>IFERROR(cadangan3[[#This Row],[Profit A]]-(cadangan3[[#This Row],[Profit A]]*cadangan3[[#This Row],[Diskon]]),K195)</f>
        <v>45000</v>
      </c>
      <c r="N195" t="str">
        <f>IFERROR(INDEX(Katalog!$A$3:$A$12,MATCH(cadangan3[[#This Row],[ItemID B]],Katalog!$C$3:$C$12,0)),"-")</f>
        <v>-</v>
      </c>
      <c r="O195" t="str">
        <f>IFERROR(INDEX(Katalog!$B$3:$B$12,MATCH(cadangan3[[#This Row],[ItemID B]],Katalog!$C$3:$C$12,0)),"-")</f>
        <v>-</v>
      </c>
      <c r="R195" s="36">
        <f>IFERROR(INDEX(Katalog!$D$3:$D$12,MATCH(cadangan3[[#This Row],[ItemID B]],Katalog!$C$3:$C$12,0))*cadangan3[[#This Row],[Qty B]],0)</f>
        <v>0</v>
      </c>
      <c r="S195" s="36">
        <f>IFERROR(INDEX(Katalog!$D$3:$D$12,MATCH(cadangan3[[#This Row],[Item B]],Katalog!$B$3:$B$12,0))*cadangan3[[#This Row],[Qty B]],0)</f>
        <v>0</v>
      </c>
      <c r="T195" s="36">
        <f>IFERROR(cadangan3[[#This Row],[Harga Asli B]]-(cadangan3[[#This Row],[Harga Asli B]]*cadangan3[[#This Row],[Diskon]]),cadangan3[[#This Row],[Harga Asli B]])</f>
        <v>0</v>
      </c>
      <c r="U195" s="36">
        <f>IFERROR(INDEX(Katalog!$F$3:$F$12,MATCH(cadangan3[[#This Row],[ItemID B]],Katalog!$C$3:$C$12,0))*cadangan3[[#This Row],[Qty B]],0)</f>
        <v>0</v>
      </c>
      <c r="V195" s="36">
        <f>IFERROR(cadangan3[[#This Row],[Profit B]]-(cadangan3[[#This Row],[Profit B]]*cadangan3[[#This Row],[Diskon]]),U195)</f>
        <v>0</v>
      </c>
      <c r="X195" t="str">
        <f>IFERROR(INDEX(Katalog!$A$3:$A$12,MATCH(cadangan3[[#This Row],[ItemID C]],Katalog!$C$3:$C$12,0)),"-")</f>
        <v>-</v>
      </c>
      <c r="Y195" t="str">
        <f>IFERROR(INDEX(Katalog!$B$3:$B$12,MATCH(cadangan3[[#This Row],[ItemID C]],Katalog!$C$3:$C$12,0)),"-")</f>
        <v>-</v>
      </c>
      <c r="AB195" s="36">
        <f>IFERROR(INDEX(Katalog!$D$3:$D$12,MATCH(cadangan3[[#This Row],[ItemID C]],Katalog!$C$3:$C$12,0))*cadangan3[[#This Row],[Qty C]],0)</f>
        <v>0</v>
      </c>
      <c r="AC195" s="36">
        <f>IFERROR(INDEX(Katalog!$D$3:$D$12,MATCH(cadangan3[[#This Row],[Item C]],Katalog!$B$3:$B$12,0))*cadangan3[[#This Row],[Qty C]],0)</f>
        <v>0</v>
      </c>
      <c r="AD195" s="36">
        <f>IFERROR(cadangan3[[#This Row],[Harga Asli C]]-(cadangan3[[#This Row],[Harga Asli C]]*cadangan3[[#This Row],[Diskon]]),cadangan3[[#This Row],[Harga Asli C]])</f>
        <v>0</v>
      </c>
      <c r="AE195" s="36">
        <f>IFERROR(INDEX(Katalog!$F$3:$F$12,MATCH(cadangan3[[#This Row],[ItemID C]],Katalog!$C$3:$C$12,0))*cadangan3[[#This Row],[Qty C]],0)</f>
        <v>0</v>
      </c>
      <c r="AF195" s="36">
        <f>IFERROR(cadangan3[[#This Row],[Profit C]]-(cadangan3[[#This Row],[Profit C]]*cadangan3[[#This Row],[Diskon]]),cadangan3[[#This Row],[Profit C]])</f>
        <v>0</v>
      </c>
      <c r="AG195" s="21">
        <f>cadangan3[[#This Row],[Qty A]]+cadangan3[[#This Row],[Qty B]]+cadangan3[[#This Row],[Qty C]]</f>
        <v>1</v>
      </c>
      <c r="AH195" s="35">
        <f>cadangan3[[#This Row],[Harga A + Diskon]]+cadangan3[[#This Row],[Harga + Diskon B]]+cadangan3[[#This Row],[Harga + Diskon C]]</f>
        <v>135000</v>
      </c>
      <c r="AI195" s="35">
        <f>(cadangan3[[#This Row],[Profit A]]+cadangan3[[#This Row],[Profit B]]+cadangan3[[#This Row],[Profit C]])</f>
        <v>50000</v>
      </c>
      <c r="AJ195" s="35">
        <f>cadangan3[[#This Row],[Provit A + Diskon]]+cadangan3[[#This Row],[Provit B + Diskon]]+cadangan3[[#This Row],[Provit C + Diskon]]</f>
        <v>45000</v>
      </c>
      <c r="AK195" s="23" t="s">
        <v>6</v>
      </c>
      <c r="AL195" s="37">
        <f>IFERROR(INDEX('Kode Diskon'!$D$3:$D$9,MATCH(cadangan3[[#This Row],[Kode diskon]],'Kode Diskon'!$C$3:$C$9,0)),"-")</f>
        <v>0.1</v>
      </c>
      <c r="AM195" s="23" t="s">
        <v>29</v>
      </c>
      <c r="AN195" s="23" t="s">
        <v>7</v>
      </c>
      <c r="AO195" s="23" t="s">
        <v>80</v>
      </c>
      <c r="AP195" s="24">
        <v>45022</v>
      </c>
      <c r="AQ195" s="23" t="str">
        <f>TEXT(cadangan3[[#This Row],[Tanggal terjual]],"dddd")</f>
        <v>Thursday</v>
      </c>
    </row>
    <row r="196" spans="1:43" x14ac:dyDescent="0.2">
      <c r="A196" s="20">
        <v>195</v>
      </c>
      <c r="B196" s="21" t="str">
        <f>_xlfn.CONCAT("ORD-",INDEX(Helper!$B$2:$B$5,MATCH(cadangan3[[#This Row],[Marketplace]],Helper!$A$2:$A$5,0)),TEXT(cadangan3[[#This Row],[No]],"0000"),"-",TEXT(cadangan3[[#This Row],[Tanggal terjual]],"dd/mm/yy"))</f>
        <v>ORD-SP0195-01/04/23</v>
      </c>
      <c r="C196" t="s">
        <v>67</v>
      </c>
      <c r="D196" t="str">
        <f>IFERROR(INDEX(Katalog!$A$3:$A$12,MATCH(cadangan3[[#This Row],[ItemID A]],Katalog!$C$3:$C$12,0)),"-")</f>
        <v>Sepatu Wanita</v>
      </c>
      <c r="E196" t="str">
        <f>IFERROR(INDEX(Katalog!$B$3:$B$12,MATCH(cadangan3[[#This Row],[ItemID A]],Katalog!$C$3:$C$12,0)),"-")</f>
        <v>Flat Shoes</v>
      </c>
      <c r="F196">
        <v>2</v>
      </c>
      <c r="G196">
        <v>5</v>
      </c>
      <c r="H196" s="36">
        <f>IFERROR(INDEX(Katalog!$D$3:$D$12,MATCH(cadangan3[[#This Row],[ItemID A]],Katalog!$C$3:$C$12,0))*cadangan3[[#This Row],[Qty A]],0)</f>
        <v>500000</v>
      </c>
      <c r="I196" s="36">
        <f>IFERROR(INDEX(Katalog!$D$3:$D$12,MATCH(cadangan3[[#This Row],[Item A]],Katalog!$B$3:$B$12,0))*cadangan3[[#This Row],[Qty A]],0)</f>
        <v>500000</v>
      </c>
      <c r="J196" s="36">
        <f>IFERROR(cadangan3[[#This Row],[Harga Asli A]]-(cadangan3[[#This Row],[Harga Asli A]]*cadangan3[[#This Row],[Diskon]]),cadangan3[[#This Row],[Harga Asli A]])</f>
        <v>425000</v>
      </c>
      <c r="K196" s="36">
        <f>INDEX(Katalog!$F$3:$F$12,MATCH(cadangan3[[#This Row],[ItemID A]],Katalog!$C$3:$C$12,0))*cadangan3[[#This Row],[Qty A]]</f>
        <v>200000</v>
      </c>
      <c r="L196" s="36">
        <f>IFERROR(cadangan3[[#This Row],[Profit A]]-(cadangan3[[#This Row],[Profit A]]*cadangan3[[#This Row],[Diskon]]),K196)</f>
        <v>170000</v>
      </c>
      <c r="M196" t="s">
        <v>58</v>
      </c>
      <c r="N196" t="str">
        <f>IFERROR(INDEX(Katalog!$A$3:$A$12,MATCH(cadangan3[[#This Row],[ItemID B]],Katalog!$C$3:$C$12,0)),"-")</f>
        <v>Pakaian Wanita</v>
      </c>
      <c r="O196" t="str">
        <f>IFERROR(INDEX(Katalog!$B$3:$B$12,MATCH(cadangan3[[#This Row],[ItemID B]],Katalog!$C$3:$C$12,0)),"-")</f>
        <v>Dress</v>
      </c>
      <c r="P196">
        <v>2</v>
      </c>
      <c r="Q196">
        <v>1</v>
      </c>
      <c r="R196" s="36">
        <f>IFERROR(INDEX(Katalog!$D$3:$D$12,MATCH(cadangan3[[#This Row],[ItemID B]],Katalog!$C$3:$C$12,0))*cadangan3[[#This Row],[Qty B]],0)</f>
        <v>600000</v>
      </c>
      <c r="S196" s="36">
        <f>IFERROR(INDEX(Katalog!$D$3:$D$12,MATCH(cadangan3[[#This Row],[Item B]],Katalog!$B$3:$B$12,0))*cadangan3[[#This Row],[Qty B]],0)</f>
        <v>600000</v>
      </c>
      <c r="T196" s="36">
        <f>IFERROR(cadangan3[[#This Row],[Harga Asli B]]-(cadangan3[[#This Row],[Harga Asli B]]*cadangan3[[#This Row],[Diskon]]),cadangan3[[#This Row],[Harga Asli B]])</f>
        <v>510000</v>
      </c>
      <c r="U196" s="36">
        <f>IFERROR(INDEX(Katalog!$F$3:$F$12,MATCH(cadangan3[[#This Row],[ItemID B]],Katalog!$C$3:$C$12,0))*cadangan3[[#This Row],[Qty B]],0)</f>
        <v>200000</v>
      </c>
      <c r="V196" s="36">
        <f>IFERROR(cadangan3[[#This Row],[Profit B]]-(cadangan3[[#This Row],[Profit B]]*cadangan3[[#This Row],[Diskon]]),U196)</f>
        <v>170000</v>
      </c>
      <c r="W196" t="s">
        <v>63</v>
      </c>
      <c r="X196" t="str">
        <f>IFERROR(INDEX(Katalog!$A$3:$A$12,MATCH(cadangan3[[#This Row],[ItemID C]],Katalog!$C$3:$C$12,0)),"-")</f>
        <v>Pakaian Pria</v>
      </c>
      <c r="Y196" t="str">
        <f>IFERROR(INDEX(Katalog!$B$3:$B$12,MATCH(cadangan3[[#This Row],[ItemID C]],Katalog!$C$3:$C$12,0)),"-")</f>
        <v>Jaket Jeans</v>
      </c>
      <c r="Z196">
        <v>2</v>
      </c>
      <c r="AA196">
        <v>2</v>
      </c>
      <c r="AB196" s="36">
        <f>IFERROR(INDEX(Katalog!$D$3:$D$12,MATCH(cadangan3[[#This Row],[ItemID C]],Katalog!$C$3:$C$12,0))*cadangan3[[#This Row],[Qty C]],0)</f>
        <v>800000</v>
      </c>
      <c r="AC196" s="36">
        <f>IFERROR(INDEX(Katalog!$D$3:$D$12,MATCH(cadangan3[[#This Row],[Item C]],Katalog!$B$3:$B$12,0))*cadangan3[[#This Row],[Qty C]],0)</f>
        <v>800000</v>
      </c>
      <c r="AD196" s="36">
        <f>IFERROR(cadangan3[[#This Row],[Harga Asli C]]-(cadangan3[[#This Row],[Harga Asli C]]*cadangan3[[#This Row],[Diskon]]),cadangan3[[#This Row],[Harga Asli C]])</f>
        <v>680000</v>
      </c>
      <c r="AE196" s="36">
        <f>IFERROR(INDEX(Katalog!$F$3:$F$12,MATCH(cadangan3[[#This Row],[ItemID C]],Katalog!$C$3:$C$12,0))*cadangan3[[#This Row],[Qty C]],0)</f>
        <v>300000</v>
      </c>
      <c r="AF196" s="36">
        <f>IFERROR(cadangan3[[#This Row],[Profit C]]-(cadangan3[[#This Row],[Profit C]]*cadangan3[[#This Row],[Diskon]]),cadangan3[[#This Row],[Profit C]])</f>
        <v>255000</v>
      </c>
      <c r="AG196" s="21">
        <f>cadangan3[[#This Row],[Qty A]]+cadangan3[[#This Row],[Qty B]]+cadangan3[[#This Row],[Qty C]]</f>
        <v>6</v>
      </c>
      <c r="AH196" s="35">
        <f>cadangan3[[#This Row],[Harga A + Diskon]]+cadangan3[[#This Row],[Harga + Diskon B]]+cadangan3[[#This Row],[Harga + Diskon C]]</f>
        <v>1615000</v>
      </c>
      <c r="AI196" s="35">
        <f>(cadangan3[[#This Row],[Profit A]]+cadangan3[[#This Row],[Profit B]]+cadangan3[[#This Row],[Profit C]])</f>
        <v>700000</v>
      </c>
      <c r="AJ196" s="35">
        <f>cadangan3[[#This Row],[Provit A + Diskon]]+cadangan3[[#This Row],[Provit B + Diskon]]+cadangan3[[#This Row],[Provit C + Diskon]]</f>
        <v>595000</v>
      </c>
      <c r="AK196" s="23" t="s">
        <v>13</v>
      </c>
      <c r="AL196" s="37">
        <f>IFERROR(INDEX('Kode Diskon'!$D$3:$D$9,MATCH(cadangan3[[#This Row],[Kode diskon]],'Kode Diskon'!$C$3:$C$9,0)),"-")</f>
        <v>0.15</v>
      </c>
      <c r="AM196" s="23" t="s">
        <v>29</v>
      </c>
      <c r="AN196" s="23" t="s">
        <v>7</v>
      </c>
      <c r="AO196" s="23" t="s">
        <v>75</v>
      </c>
      <c r="AP196" s="24">
        <v>45017</v>
      </c>
      <c r="AQ196" s="23" t="str">
        <f>TEXT(cadangan3[[#This Row],[Tanggal terjual]],"dddd")</f>
        <v>Saturday</v>
      </c>
    </row>
    <row r="197" spans="1:43" x14ac:dyDescent="0.2">
      <c r="A197" s="20">
        <v>196</v>
      </c>
      <c r="B197" s="21" t="str">
        <f>_xlfn.CONCAT("ORD-",INDEX(Helper!$B$2:$B$5,MATCH(cadangan3[[#This Row],[Marketplace]],Helper!$A$2:$A$5,0)),TEXT(cadangan3[[#This Row],[No]],"0000"),"-",TEXT(cadangan3[[#This Row],[Tanggal terjual]],"dd/mm/yy"))</f>
        <v>ORD-BB0196-02/04/23</v>
      </c>
      <c r="C197" t="s">
        <v>65</v>
      </c>
      <c r="D197" t="str">
        <f>IFERROR(INDEX(Katalog!$A$3:$A$12,MATCH(cadangan3[[#This Row],[ItemID A]],Katalog!$C$3:$C$12,0)),"-")</f>
        <v>Sepatu Pria</v>
      </c>
      <c r="E197" t="str">
        <f>IFERROR(INDEX(Katalog!$B$3:$B$12,MATCH(cadangan3[[#This Row],[ItemID A]],Katalog!$C$3:$C$12,0)),"-")</f>
        <v>Sneakers</v>
      </c>
      <c r="F197">
        <v>6</v>
      </c>
      <c r="G197">
        <v>4</v>
      </c>
      <c r="H197" s="36">
        <f>IFERROR(INDEX(Katalog!$D$3:$D$12,MATCH(cadangan3[[#This Row],[ItemID A]],Katalog!$C$3:$C$12,0))*cadangan3[[#This Row],[Qty A]],0)</f>
        <v>3000000</v>
      </c>
      <c r="I197" s="36">
        <f>IFERROR(INDEX(Katalog!$D$3:$D$12,MATCH(cadangan3[[#This Row],[Item A]],Katalog!$B$3:$B$12,0))*cadangan3[[#This Row],[Qty A]],0)</f>
        <v>3000000</v>
      </c>
      <c r="J197" s="36">
        <f>IFERROR(cadangan3[[#This Row],[Harga Asli A]]-(cadangan3[[#This Row],[Harga Asli A]]*cadangan3[[#This Row],[Diskon]]),cadangan3[[#This Row],[Harga Asli A]])</f>
        <v>2550000</v>
      </c>
      <c r="K197" s="36">
        <f>INDEX(Katalog!$F$3:$F$12,MATCH(cadangan3[[#This Row],[ItemID A]],Katalog!$C$3:$C$12,0))*cadangan3[[#This Row],[Qty A]]</f>
        <v>1200000</v>
      </c>
      <c r="L197" s="36">
        <f>IFERROR(cadangan3[[#This Row],[Profit A]]-(cadangan3[[#This Row],[Profit A]]*cadangan3[[#This Row],[Diskon]]),K197)</f>
        <v>1020000</v>
      </c>
      <c r="M197" t="s">
        <v>61</v>
      </c>
      <c r="N197" t="str">
        <f>IFERROR(INDEX(Katalog!$A$3:$A$12,MATCH(cadangan3[[#This Row],[ItemID B]],Katalog!$C$3:$C$12,0)),"-")</f>
        <v>Pakaian Pria</v>
      </c>
      <c r="O197" t="str">
        <f>IFERROR(INDEX(Katalog!$B$3:$B$12,MATCH(cadangan3[[#This Row],[ItemID B]],Katalog!$C$3:$C$12,0)),"-")</f>
        <v>Kaos Polo</v>
      </c>
      <c r="P197">
        <v>1</v>
      </c>
      <c r="Q197">
        <v>4</v>
      </c>
      <c r="R197" s="36">
        <f>IFERROR(INDEX(Katalog!$D$3:$D$12,MATCH(cadangan3[[#This Row],[ItemID B]],Katalog!$C$3:$C$12,0))*cadangan3[[#This Row],[Qty B]],0)</f>
        <v>200000</v>
      </c>
      <c r="S197" s="36">
        <f>IFERROR(INDEX(Katalog!$D$3:$D$12,MATCH(cadangan3[[#This Row],[Item B]],Katalog!$B$3:$B$12,0))*cadangan3[[#This Row],[Qty B]],0)</f>
        <v>200000</v>
      </c>
      <c r="T197" s="36">
        <f>IFERROR(cadangan3[[#This Row],[Harga Asli B]]-(cadangan3[[#This Row],[Harga Asli B]]*cadangan3[[#This Row],[Diskon]]),cadangan3[[#This Row],[Harga Asli B]])</f>
        <v>170000</v>
      </c>
      <c r="U197" s="36">
        <f>IFERROR(INDEX(Katalog!$F$3:$F$12,MATCH(cadangan3[[#This Row],[ItemID B]],Katalog!$C$3:$C$12,0))*cadangan3[[#This Row],[Qty B]],0)</f>
        <v>80000</v>
      </c>
      <c r="V197" s="36">
        <f>IFERROR(cadangan3[[#This Row],[Profit B]]-(cadangan3[[#This Row],[Profit B]]*cadangan3[[#This Row],[Diskon]]),U197)</f>
        <v>68000</v>
      </c>
      <c r="X197" t="str">
        <f>IFERROR(INDEX(Katalog!$A$3:$A$12,MATCH(cadangan3[[#This Row],[ItemID C]],Katalog!$C$3:$C$12,0)),"-")</f>
        <v>-</v>
      </c>
      <c r="Y197" t="str">
        <f>IFERROR(INDEX(Katalog!$B$3:$B$12,MATCH(cadangan3[[#This Row],[ItemID C]],Katalog!$C$3:$C$12,0)),"-")</f>
        <v>-</v>
      </c>
      <c r="AB197" s="36">
        <f>IFERROR(INDEX(Katalog!$D$3:$D$12,MATCH(cadangan3[[#This Row],[ItemID C]],Katalog!$C$3:$C$12,0))*cadangan3[[#This Row],[Qty C]],0)</f>
        <v>0</v>
      </c>
      <c r="AC197" s="36">
        <f>IFERROR(INDEX(Katalog!$D$3:$D$12,MATCH(cadangan3[[#This Row],[Item C]],Katalog!$B$3:$B$12,0))*cadangan3[[#This Row],[Qty C]],0)</f>
        <v>0</v>
      </c>
      <c r="AD197" s="36">
        <f>IFERROR(cadangan3[[#This Row],[Harga Asli C]]-(cadangan3[[#This Row],[Harga Asli C]]*cadangan3[[#This Row],[Diskon]]),cadangan3[[#This Row],[Harga Asli C]])</f>
        <v>0</v>
      </c>
      <c r="AE197" s="36">
        <f>IFERROR(INDEX(Katalog!$F$3:$F$12,MATCH(cadangan3[[#This Row],[ItemID C]],Katalog!$C$3:$C$12,0))*cadangan3[[#This Row],[Qty C]],0)</f>
        <v>0</v>
      </c>
      <c r="AF197" s="36">
        <f>IFERROR(cadangan3[[#This Row],[Profit C]]-(cadangan3[[#This Row],[Profit C]]*cadangan3[[#This Row],[Diskon]]),cadangan3[[#This Row],[Profit C]])</f>
        <v>0</v>
      </c>
      <c r="AG197" s="21">
        <f>cadangan3[[#This Row],[Qty A]]+cadangan3[[#This Row],[Qty B]]+cadangan3[[#This Row],[Qty C]]</f>
        <v>7</v>
      </c>
      <c r="AH197" s="35">
        <f>cadangan3[[#This Row],[Harga A + Diskon]]+cadangan3[[#This Row],[Harga + Diskon B]]+cadangan3[[#This Row],[Harga + Diskon C]]</f>
        <v>2720000</v>
      </c>
      <c r="AI197" s="35">
        <f>(cadangan3[[#This Row],[Profit A]]+cadangan3[[#This Row],[Profit B]]+cadangan3[[#This Row],[Profit C]])</f>
        <v>1280000</v>
      </c>
      <c r="AJ197" s="35">
        <f>cadangan3[[#This Row],[Provit A + Diskon]]+cadangan3[[#This Row],[Provit B + Diskon]]+cadangan3[[#This Row],[Provit C + Diskon]]</f>
        <v>1088000</v>
      </c>
      <c r="AK197" s="23" t="s">
        <v>28</v>
      </c>
      <c r="AL197" s="37">
        <f>IFERROR(INDEX('Kode Diskon'!$D$3:$D$9,MATCH(cadangan3[[#This Row],[Kode diskon]],'Kode Diskon'!$C$3:$C$9,0)),"-")</f>
        <v>0.15</v>
      </c>
      <c r="AM197" s="23" t="s">
        <v>29</v>
      </c>
      <c r="AN197" s="23" t="s">
        <v>14</v>
      </c>
      <c r="AO197" s="23" t="s">
        <v>80</v>
      </c>
      <c r="AP197" s="24">
        <v>45018</v>
      </c>
      <c r="AQ197" s="23" t="str">
        <f>TEXT(cadangan3[[#This Row],[Tanggal terjual]],"dddd")</f>
        <v>Sunday</v>
      </c>
    </row>
    <row r="198" spans="1:43" x14ac:dyDescent="0.2">
      <c r="A198" s="20">
        <v>197</v>
      </c>
      <c r="B198" s="21" t="str">
        <f>_xlfn.CONCAT("ORD-",INDEX(Helper!$B$2:$B$5,MATCH(cadangan3[[#This Row],[Marketplace]],Helper!$A$2:$A$5,0)),TEXT(cadangan3[[#This Row],[No]],"0000"),"-",TEXT(cadangan3[[#This Row],[Tanggal terjual]],"dd/mm/yy"))</f>
        <v>ORD-SP0197-02/04/23</v>
      </c>
      <c r="C198" t="s">
        <v>66</v>
      </c>
      <c r="D198" t="str">
        <f>IFERROR(INDEX(Katalog!$A$3:$A$12,MATCH(cadangan3[[#This Row],[ItemID A]],Katalog!$C$3:$C$12,0)),"-")</f>
        <v>Sepatu Pria</v>
      </c>
      <c r="E198" t="str">
        <f>IFERROR(INDEX(Katalog!$B$3:$B$12,MATCH(cadangan3[[#This Row],[ItemID A]],Katalog!$C$3:$C$12,0)),"-")</f>
        <v>Sandal Slip On</v>
      </c>
      <c r="F198">
        <v>4</v>
      </c>
      <c r="G198">
        <v>2</v>
      </c>
      <c r="H198" s="36">
        <f>IFERROR(INDEX(Katalog!$D$3:$D$12,MATCH(cadangan3[[#This Row],[ItemID A]],Katalog!$C$3:$C$12,0))*cadangan3[[#This Row],[Qty A]],0)</f>
        <v>600000</v>
      </c>
      <c r="I198" s="36">
        <f>IFERROR(INDEX(Katalog!$D$3:$D$12,MATCH(cadangan3[[#This Row],[Item A]],Katalog!$B$3:$B$12,0))*cadangan3[[#This Row],[Qty A]],0)</f>
        <v>600000</v>
      </c>
      <c r="J198" s="36">
        <f>IFERROR(cadangan3[[#This Row],[Harga Asli A]]-(cadangan3[[#This Row],[Harga Asli A]]*cadangan3[[#This Row],[Diskon]]),cadangan3[[#This Row],[Harga Asli A]])</f>
        <v>510000</v>
      </c>
      <c r="K198" s="36">
        <f>INDEX(Katalog!$F$3:$F$12,MATCH(cadangan3[[#This Row],[ItemID A]],Katalog!$C$3:$C$12,0))*cadangan3[[#This Row],[Qty A]]</f>
        <v>240000</v>
      </c>
      <c r="L198" s="36">
        <f>IFERROR(cadangan3[[#This Row],[Profit A]]-(cadangan3[[#This Row],[Profit A]]*cadangan3[[#This Row],[Diskon]]),K198)</f>
        <v>204000</v>
      </c>
      <c r="M198" t="s">
        <v>60</v>
      </c>
      <c r="N198" t="str">
        <f>IFERROR(INDEX(Katalog!$A$3:$A$12,MATCH(cadangan3[[#This Row],[ItemID B]],Katalog!$C$3:$C$12,0)),"-")</f>
        <v>Pakaian Wanita</v>
      </c>
      <c r="O198" t="str">
        <f>IFERROR(INDEX(Katalog!$B$3:$B$12,MATCH(cadangan3[[#This Row],[ItemID B]],Katalog!$C$3:$C$12,0)),"-")</f>
        <v>Kaftan</v>
      </c>
      <c r="P198">
        <v>1</v>
      </c>
      <c r="Q198">
        <v>5</v>
      </c>
      <c r="R198" s="36">
        <f>IFERROR(INDEX(Katalog!$D$3:$D$12,MATCH(cadangan3[[#This Row],[ItemID B]],Katalog!$C$3:$C$12,0))*cadangan3[[#This Row],[Qty B]],0)</f>
        <v>250000</v>
      </c>
      <c r="S198" s="36">
        <f>IFERROR(INDEX(Katalog!$D$3:$D$12,MATCH(cadangan3[[#This Row],[Item B]],Katalog!$B$3:$B$12,0))*cadangan3[[#This Row],[Qty B]],0)</f>
        <v>250000</v>
      </c>
      <c r="T198" s="36">
        <f>IFERROR(cadangan3[[#This Row],[Harga Asli B]]-(cadangan3[[#This Row],[Harga Asli B]]*cadangan3[[#This Row],[Diskon]]),cadangan3[[#This Row],[Harga Asli B]])</f>
        <v>212500</v>
      </c>
      <c r="U198" s="36">
        <f>IFERROR(INDEX(Katalog!$F$3:$F$12,MATCH(cadangan3[[#This Row],[ItemID B]],Katalog!$C$3:$C$12,0))*cadangan3[[#This Row],[Qty B]],0)</f>
        <v>100000</v>
      </c>
      <c r="V198" s="36">
        <f>IFERROR(cadangan3[[#This Row],[Profit B]]-(cadangan3[[#This Row],[Profit B]]*cadangan3[[#This Row],[Diskon]]),U198)</f>
        <v>85000</v>
      </c>
      <c r="W198" t="s">
        <v>65</v>
      </c>
      <c r="X198" t="str">
        <f>IFERROR(INDEX(Katalog!$A$3:$A$12,MATCH(cadangan3[[#This Row],[ItemID C]],Katalog!$C$3:$C$12,0)),"-")</f>
        <v>Sepatu Pria</v>
      </c>
      <c r="Y198" t="str">
        <f>IFERROR(INDEX(Katalog!$B$3:$B$12,MATCH(cadangan3[[#This Row],[ItemID C]],Katalog!$C$3:$C$12,0)),"-")</f>
        <v>Sneakers</v>
      </c>
      <c r="Z198">
        <v>1</v>
      </c>
      <c r="AA198">
        <v>5</v>
      </c>
      <c r="AB198" s="36">
        <f>IFERROR(INDEX(Katalog!$D$3:$D$12,MATCH(cadangan3[[#This Row],[ItemID C]],Katalog!$C$3:$C$12,0))*cadangan3[[#This Row],[Qty C]],0)</f>
        <v>500000</v>
      </c>
      <c r="AC198" s="36">
        <f>IFERROR(INDEX(Katalog!$D$3:$D$12,MATCH(cadangan3[[#This Row],[Item C]],Katalog!$B$3:$B$12,0))*cadangan3[[#This Row],[Qty C]],0)</f>
        <v>500000</v>
      </c>
      <c r="AD198" s="36">
        <f>IFERROR(cadangan3[[#This Row],[Harga Asli C]]-(cadangan3[[#This Row],[Harga Asli C]]*cadangan3[[#This Row],[Diskon]]),cadangan3[[#This Row],[Harga Asli C]])</f>
        <v>425000</v>
      </c>
      <c r="AE198" s="36">
        <f>IFERROR(INDEX(Katalog!$F$3:$F$12,MATCH(cadangan3[[#This Row],[ItemID C]],Katalog!$C$3:$C$12,0))*cadangan3[[#This Row],[Qty C]],0)</f>
        <v>200000</v>
      </c>
      <c r="AF198" s="36">
        <f>IFERROR(cadangan3[[#This Row],[Profit C]]-(cadangan3[[#This Row],[Profit C]]*cadangan3[[#This Row],[Diskon]]),cadangan3[[#This Row],[Profit C]])</f>
        <v>170000</v>
      </c>
      <c r="AG198" s="21">
        <f>cadangan3[[#This Row],[Qty A]]+cadangan3[[#This Row],[Qty B]]+cadangan3[[#This Row],[Qty C]]</f>
        <v>6</v>
      </c>
      <c r="AH198" s="35">
        <f>cadangan3[[#This Row],[Harga A + Diskon]]+cadangan3[[#This Row],[Harga + Diskon B]]+cadangan3[[#This Row],[Harga + Diskon C]]</f>
        <v>1147500</v>
      </c>
      <c r="AI198" s="35">
        <f>(cadangan3[[#This Row],[Profit A]]+cadangan3[[#This Row],[Profit B]]+cadangan3[[#This Row],[Profit C]])</f>
        <v>540000</v>
      </c>
      <c r="AJ198" s="35">
        <f>cadangan3[[#This Row],[Provit A + Diskon]]+cadangan3[[#This Row],[Provit B + Diskon]]+cadangan3[[#This Row],[Provit C + Diskon]]</f>
        <v>459000</v>
      </c>
      <c r="AK198" s="23" t="s">
        <v>13</v>
      </c>
      <c r="AL198" s="37">
        <f>IFERROR(INDEX('Kode Diskon'!$D$3:$D$9,MATCH(cadangan3[[#This Row],[Kode diskon]],'Kode Diskon'!$C$3:$C$9,0)),"-")</f>
        <v>0.15</v>
      </c>
      <c r="AM198" s="23" t="s">
        <v>29</v>
      </c>
      <c r="AN198" s="23" t="s">
        <v>7</v>
      </c>
      <c r="AO198" s="23" t="s">
        <v>76</v>
      </c>
      <c r="AP198" s="24">
        <v>45018</v>
      </c>
      <c r="AQ198" s="23" t="str">
        <f>TEXT(cadangan3[[#This Row],[Tanggal terjual]],"dddd")</f>
        <v>Sunday</v>
      </c>
    </row>
    <row r="199" spans="1:43" x14ac:dyDescent="0.2">
      <c r="A199" s="20">
        <v>198</v>
      </c>
      <c r="B199" s="21" t="str">
        <f>_xlfn.CONCAT("ORD-",INDEX(Helper!$B$2:$B$5,MATCH(cadangan3[[#This Row],[Marketplace]],Helper!$A$2:$A$5,0)),TEXT(cadangan3[[#This Row],[No]],"0000"),"-",TEXT(cadangan3[[#This Row],[Tanggal terjual]],"dd/mm/yy"))</f>
        <v>ORD-SP0198-26/04/23</v>
      </c>
      <c r="C199" t="s">
        <v>59</v>
      </c>
      <c r="D199" t="str">
        <f>IFERROR(INDEX(Katalog!$A$3:$A$12,MATCH(cadangan3[[#This Row],[ItemID A]],Katalog!$C$3:$C$12,0)),"-")</f>
        <v>Pakaian Wanita</v>
      </c>
      <c r="E199" t="str">
        <f>IFERROR(INDEX(Katalog!$B$3:$B$12,MATCH(cadangan3[[#This Row],[ItemID A]],Katalog!$C$3:$C$12,0)),"-")</f>
        <v>Blouse</v>
      </c>
      <c r="F199">
        <v>2</v>
      </c>
      <c r="G199">
        <v>1</v>
      </c>
      <c r="H199" s="36">
        <f>IFERROR(INDEX(Katalog!$D$3:$D$12,MATCH(cadangan3[[#This Row],[ItemID A]],Katalog!$C$3:$C$12,0))*cadangan3[[#This Row],[Qty A]],0)</f>
        <v>300000</v>
      </c>
      <c r="I199" s="36">
        <f>IFERROR(INDEX(Katalog!$D$3:$D$12,MATCH(cadangan3[[#This Row],[Item A]],Katalog!$B$3:$B$12,0))*cadangan3[[#This Row],[Qty A]],0)</f>
        <v>300000</v>
      </c>
      <c r="J199" s="36">
        <f>IFERROR(cadangan3[[#This Row],[Harga Asli A]]-(cadangan3[[#This Row],[Harga Asli A]]*cadangan3[[#This Row],[Diskon]]),cadangan3[[#This Row],[Harga Asli A]])</f>
        <v>240000</v>
      </c>
      <c r="K199" s="36">
        <f>INDEX(Katalog!$F$3:$F$12,MATCH(cadangan3[[#This Row],[ItemID A]],Katalog!$C$3:$C$12,0))*cadangan3[[#This Row],[Qty A]]</f>
        <v>100000</v>
      </c>
      <c r="L199" s="36">
        <f>IFERROR(cadangan3[[#This Row],[Profit A]]-(cadangan3[[#This Row],[Profit A]]*cadangan3[[#This Row],[Diskon]]),K199)</f>
        <v>80000</v>
      </c>
      <c r="N199" t="str">
        <f>IFERROR(INDEX(Katalog!$A$3:$A$12,MATCH(cadangan3[[#This Row],[ItemID B]],Katalog!$C$3:$C$12,0)),"-")</f>
        <v>-</v>
      </c>
      <c r="O199" t="str">
        <f>IFERROR(INDEX(Katalog!$B$3:$B$12,MATCH(cadangan3[[#This Row],[ItemID B]],Katalog!$C$3:$C$12,0)),"-")</f>
        <v>-</v>
      </c>
      <c r="R199" s="36">
        <f>IFERROR(INDEX(Katalog!$D$3:$D$12,MATCH(cadangan3[[#This Row],[ItemID B]],Katalog!$C$3:$C$12,0))*cadangan3[[#This Row],[Qty B]],0)</f>
        <v>0</v>
      </c>
      <c r="S199" s="36">
        <f>IFERROR(INDEX(Katalog!$D$3:$D$12,MATCH(cadangan3[[#This Row],[Item B]],Katalog!$B$3:$B$12,0))*cadangan3[[#This Row],[Qty B]],0)</f>
        <v>0</v>
      </c>
      <c r="T199" s="36">
        <f>IFERROR(cadangan3[[#This Row],[Harga Asli B]]-(cadangan3[[#This Row],[Harga Asli B]]*cadangan3[[#This Row],[Diskon]]),cadangan3[[#This Row],[Harga Asli B]])</f>
        <v>0</v>
      </c>
      <c r="U199" s="36">
        <f>IFERROR(INDEX(Katalog!$F$3:$F$12,MATCH(cadangan3[[#This Row],[ItemID B]],Katalog!$C$3:$C$12,0))*cadangan3[[#This Row],[Qty B]],0)</f>
        <v>0</v>
      </c>
      <c r="V199" s="36">
        <f>IFERROR(cadangan3[[#This Row],[Profit B]]-(cadangan3[[#This Row],[Profit B]]*cadangan3[[#This Row],[Diskon]]),U199)</f>
        <v>0</v>
      </c>
      <c r="X199" t="str">
        <f>IFERROR(INDEX(Katalog!$A$3:$A$12,MATCH(cadangan3[[#This Row],[ItemID C]],Katalog!$C$3:$C$12,0)),"-")</f>
        <v>-</v>
      </c>
      <c r="Y199" t="str">
        <f>IFERROR(INDEX(Katalog!$B$3:$B$12,MATCH(cadangan3[[#This Row],[ItemID C]],Katalog!$C$3:$C$12,0)),"-")</f>
        <v>-</v>
      </c>
      <c r="AB199" s="36">
        <f>IFERROR(INDEX(Katalog!$D$3:$D$12,MATCH(cadangan3[[#This Row],[ItemID C]],Katalog!$C$3:$C$12,0))*cadangan3[[#This Row],[Qty C]],0)</f>
        <v>0</v>
      </c>
      <c r="AC199" s="36">
        <f>IFERROR(INDEX(Katalog!$D$3:$D$12,MATCH(cadangan3[[#This Row],[Item C]],Katalog!$B$3:$B$12,0))*cadangan3[[#This Row],[Qty C]],0)</f>
        <v>0</v>
      </c>
      <c r="AD199" s="36">
        <f>IFERROR(cadangan3[[#This Row],[Harga Asli C]]-(cadangan3[[#This Row],[Harga Asli C]]*cadangan3[[#This Row],[Diskon]]),cadangan3[[#This Row],[Harga Asli C]])</f>
        <v>0</v>
      </c>
      <c r="AE199" s="36">
        <f>IFERROR(INDEX(Katalog!$F$3:$F$12,MATCH(cadangan3[[#This Row],[ItemID C]],Katalog!$C$3:$C$12,0))*cadangan3[[#This Row],[Qty C]],0)</f>
        <v>0</v>
      </c>
      <c r="AF199" s="36">
        <f>IFERROR(cadangan3[[#This Row],[Profit C]]-(cadangan3[[#This Row],[Profit C]]*cadangan3[[#This Row],[Diskon]]),cadangan3[[#This Row],[Profit C]])</f>
        <v>0</v>
      </c>
      <c r="AG199" s="21">
        <f>cadangan3[[#This Row],[Qty A]]+cadangan3[[#This Row],[Qty B]]+cadangan3[[#This Row],[Qty C]]</f>
        <v>2</v>
      </c>
      <c r="AH199" s="35">
        <f>cadangan3[[#This Row],[Harga A + Diskon]]+cadangan3[[#This Row],[Harga + Diskon B]]+cadangan3[[#This Row],[Harga + Diskon C]]</f>
        <v>240000</v>
      </c>
      <c r="AI199" s="35">
        <f>(cadangan3[[#This Row],[Profit A]]+cadangan3[[#This Row],[Profit B]]+cadangan3[[#This Row],[Profit C]])</f>
        <v>100000</v>
      </c>
      <c r="AJ199" s="35">
        <f>cadangan3[[#This Row],[Provit A + Diskon]]+cadangan3[[#This Row],[Provit B + Diskon]]+cadangan3[[#This Row],[Provit C + Diskon]]</f>
        <v>80000</v>
      </c>
      <c r="AK199" s="23" t="s">
        <v>8</v>
      </c>
      <c r="AL199" s="37">
        <f>IFERROR(INDEX('Kode Diskon'!$D$3:$D$9,MATCH(cadangan3[[#This Row],[Kode diskon]],'Kode Diskon'!$C$3:$C$9,0)),"-")</f>
        <v>0.2</v>
      </c>
      <c r="AM199" s="23" t="s">
        <v>9</v>
      </c>
      <c r="AN199" s="23" t="s">
        <v>7</v>
      </c>
      <c r="AO199" s="23" t="s">
        <v>80</v>
      </c>
      <c r="AP199" s="24">
        <v>45042</v>
      </c>
      <c r="AQ199" s="23" t="str">
        <f>TEXT(cadangan3[[#This Row],[Tanggal terjual]],"dddd")</f>
        <v>Wednesday</v>
      </c>
    </row>
    <row r="200" spans="1:43" x14ac:dyDescent="0.2">
      <c r="A200" s="20">
        <v>199</v>
      </c>
      <c r="B200" s="21" t="str">
        <f>_xlfn.CONCAT("ORD-",INDEX(Helper!$B$2:$B$5,MATCH(cadangan3[[#This Row],[Marketplace]],Helper!$A$2:$A$5,0)),TEXT(cadangan3[[#This Row],[No]],"0000"),"-",TEXT(cadangan3[[#This Row],[Tanggal terjual]],"dd/mm/yy"))</f>
        <v>ORD-SP0199-05/04/23</v>
      </c>
      <c r="C200" t="s">
        <v>59</v>
      </c>
      <c r="D200" t="str">
        <f>IFERROR(INDEX(Katalog!$A$3:$A$12,MATCH(cadangan3[[#This Row],[ItemID A]],Katalog!$C$3:$C$12,0)),"-")</f>
        <v>Pakaian Wanita</v>
      </c>
      <c r="E200" t="str">
        <f>IFERROR(INDEX(Katalog!$B$3:$B$12,MATCH(cadangan3[[#This Row],[ItemID A]],Katalog!$C$3:$C$12,0)),"-")</f>
        <v>Blouse</v>
      </c>
      <c r="F200">
        <v>1</v>
      </c>
      <c r="G200">
        <v>4</v>
      </c>
      <c r="H200" s="36">
        <f>IFERROR(INDEX(Katalog!$D$3:$D$12,MATCH(cadangan3[[#This Row],[ItemID A]],Katalog!$C$3:$C$12,0))*cadangan3[[#This Row],[Qty A]],0)</f>
        <v>150000</v>
      </c>
      <c r="I200" s="36">
        <f>IFERROR(INDEX(Katalog!$D$3:$D$12,MATCH(cadangan3[[#This Row],[Item A]],Katalog!$B$3:$B$12,0))*cadangan3[[#This Row],[Qty A]],0)</f>
        <v>150000</v>
      </c>
      <c r="J200" s="36">
        <f>IFERROR(cadangan3[[#This Row],[Harga Asli A]]-(cadangan3[[#This Row],[Harga Asli A]]*cadangan3[[#This Row],[Diskon]]),cadangan3[[#This Row],[Harga Asli A]])</f>
        <v>127500</v>
      </c>
      <c r="K200" s="36">
        <f>INDEX(Katalog!$F$3:$F$12,MATCH(cadangan3[[#This Row],[ItemID A]],Katalog!$C$3:$C$12,0))*cadangan3[[#This Row],[Qty A]]</f>
        <v>50000</v>
      </c>
      <c r="L200" s="36">
        <f>IFERROR(cadangan3[[#This Row],[Profit A]]-(cadangan3[[#This Row],[Profit A]]*cadangan3[[#This Row],[Diskon]]),K200)</f>
        <v>42500</v>
      </c>
      <c r="N200" t="str">
        <f>IFERROR(INDEX(Katalog!$A$3:$A$12,MATCH(cadangan3[[#This Row],[ItemID B]],Katalog!$C$3:$C$12,0)),"-")</f>
        <v>-</v>
      </c>
      <c r="O200" t="str">
        <f>IFERROR(INDEX(Katalog!$B$3:$B$12,MATCH(cadangan3[[#This Row],[ItemID B]],Katalog!$C$3:$C$12,0)),"-")</f>
        <v>-</v>
      </c>
      <c r="R200" s="36">
        <f>IFERROR(INDEX(Katalog!$D$3:$D$12,MATCH(cadangan3[[#This Row],[ItemID B]],Katalog!$C$3:$C$12,0))*cadangan3[[#This Row],[Qty B]],0)</f>
        <v>0</v>
      </c>
      <c r="S200" s="36">
        <f>IFERROR(INDEX(Katalog!$D$3:$D$12,MATCH(cadangan3[[#This Row],[Item B]],Katalog!$B$3:$B$12,0))*cadangan3[[#This Row],[Qty B]],0)</f>
        <v>0</v>
      </c>
      <c r="T200" s="36">
        <f>IFERROR(cadangan3[[#This Row],[Harga Asli B]]-(cadangan3[[#This Row],[Harga Asli B]]*cadangan3[[#This Row],[Diskon]]),cadangan3[[#This Row],[Harga Asli B]])</f>
        <v>0</v>
      </c>
      <c r="U200" s="36">
        <f>IFERROR(INDEX(Katalog!$F$3:$F$12,MATCH(cadangan3[[#This Row],[ItemID B]],Katalog!$C$3:$C$12,0))*cadangan3[[#This Row],[Qty B]],0)</f>
        <v>0</v>
      </c>
      <c r="V200" s="36">
        <f>IFERROR(cadangan3[[#This Row],[Profit B]]-(cadangan3[[#This Row],[Profit B]]*cadangan3[[#This Row],[Diskon]]),U200)</f>
        <v>0</v>
      </c>
      <c r="X200" t="str">
        <f>IFERROR(INDEX(Katalog!$A$3:$A$12,MATCH(cadangan3[[#This Row],[ItemID C]],Katalog!$C$3:$C$12,0)),"-")</f>
        <v>-</v>
      </c>
      <c r="Y200" t="str">
        <f>IFERROR(INDEX(Katalog!$B$3:$B$12,MATCH(cadangan3[[#This Row],[ItemID C]],Katalog!$C$3:$C$12,0)),"-")</f>
        <v>-</v>
      </c>
      <c r="AB200" s="36">
        <f>IFERROR(INDEX(Katalog!$D$3:$D$12,MATCH(cadangan3[[#This Row],[ItemID C]],Katalog!$C$3:$C$12,0))*cadangan3[[#This Row],[Qty C]],0)</f>
        <v>0</v>
      </c>
      <c r="AC200" s="36">
        <f>IFERROR(INDEX(Katalog!$D$3:$D$12,MATCH(cadangan3[[#This Row],[Item C]],Katalog!$B$3:$B$12,0))*cadangan3[[#This Row],[Qty C]],0)</f>
        <v>0</v>
      </c>
      <c r="AD200" s="36">
        <f>IFERROR(cadangan3[[#This Row],[Harga Asli C]]-(cadangan3[[#This Row],[Harga Asli C]]*cadangan3[[#This Row],[Diskon]]),cadangan3[[#This Row],[Harga Asli C]])</f>
        <v>0</v>
      </c>
      <c r="AE200" s="36">
        <f>IFERROR(INDEX(Katalog!$F$3:$F$12,MATCH(cadangan3[[#This Row],[ItemID C]],Katalog!$C$3:$C$12,0))*cadangan3[[#This Row],[Qty C]],0)</f>
        <v>0</v>
      </c>
      <c r="AF200" s="36">
        <f>IFERROR(cadangan3[[#This Row],[Profit C]]-(cadangan3[[#This Row],[Profit C]]*cadangan3[[#This Row],[Diskon]]),cadangan3[[#This Row],[Profit C]])</f>
        <v>0</v>
      </c>
      <c r="AG200" s="21">
        <f>cadangan3[[#This Row],[Qty A]]+cadangan3[[#This Row],[Qty B]]+cadangan3[[#This Row],[Qty C]]</f>
        <v>1</v>
      </c>
      <c r="AH200" s="35">
        <f>cadangan3[[#This Row],[Harga A + Diskon]]+cadangan3[[#This Row],[Harga + Diskon B]]+cadangan3[[#This Row],[Harga + Diskon C]]</f>
        <v>127500</v>
      </c>
      <c r="AI200" s="35">
        <f>(cadangan3[[#This Row],[Profit A]]+cadangan3[[#This Row],[Profit B]]+cadangan3[[#This Row],[Profit C]])</f>
        <v>50000</v>
      </c>
      <c r="AJ200" s="35">
        <f>cadangan3[[#This Row],[Provit A + Diskon]]+cadangan3[[#This Row],[Provit B + Diskon]]+cadangan3[[#This Row],[Provit C + Diskon]]</f>
        <v>42500</v>
      </c>
      <c r="AK200" s="23" t="s">
        <v>13</v>
      </c>
      <c r="AL200" s="37">
        <f>IFERROR(INDEX('Kode Diskon'!$D$3:$D$9,MATCH(cadangan3[[#This Row],[Kode diskon]],'Kode Diskon'!$C$3:$C$9,0)),"-")</f>
        <v>0.15</v>
      </c>
      <c r="AM200" s="23" t="s">
        <v>29</v>
      </c>
      <c r="AN200" s="23" t="s">
        <v>7</v>
      </c>
      <c r="AO200" s="23" t="s">
        <v>79</v>
      </c>
      <c r="AP200" s="24">
        <v>45021</v>
      </c>
      <c r="AQ200" s="23" t="str">
        <f>TEXT(cadangan3[[#This Row],[Tanggal terjual]],"dddd")</f>
        <v>Wednesday</v>
      </c>
    </row>
    <row r="201" spans="1:43" x14ac:dyDescent="0.2">
      <c r="A201" s="20">
        <v>200</v>
      </c>
      <c r="B201" s="21" t="str">
        <f>_xlfn.CONCAT("ORD-",INDEX(Helper!$B$2:$B$5,MATCH(cadangan3[[#This Row],[Marketplace]],Helper!$A$2:$A$5,0)),TEXT(cadangan3[[#This Row],[No]],"0000"),"-",TEXT(cadangan3[[#This Row],[Tanggal terjual]],"dd/mm/yy"))</f>
        <v>ORD-SP0200-26/04/23</v>
      </c>
      <c r="C201" t="s">
        <v>59</v>
      </c>
      <c r="D201" t="str">
        <f>IFERROR(INDEX(Katalog!$A$3:$A$12,MATCH(cadangan3[[#This Row],[ItemID A]],Katalog!$C$3:$C$12,0)),"-")</f>
        <v>Pakaian Wanita</v>
      </c>
      <c r="E201" t="str">
        <f>IFERROR(INDEX(Katalog!$B$3:$B$12,MATCH(cadangan3[[#This Row],[ItemID A]],Katalog!$C$3:$C$12,0)),"-")</f>
        <v>Blouse</v>
      </c>
      <c r="F201">
        <v>1</v>
      </c>
      <c r="G201">
        <v>4</v>
      </c>
      <c r="H201" s="36">
        <f>IFERROR(INDEX(Katalog!$D$3:$D$12,MATCH(cadangan3[[#This Row],[ItemID A]],Katalog!$C$3:$C$12,0))*cadangan3[[#This Row],[Qty A]],0)</f>
        <v>150000</v>
      </c>
      <c r="I201" s="36">
        <f>IFERROR(INDEX(Katalog!$D$3:$D$12,MATCH(cadangan3[[#This Row],[Item A]],Katalog!$B$3:$B$12,0))*cadangan3[[#This Row],[Qty A]],0)</f>
        <v>150000</v>
      </c>
      <c r="J201" s="36">
        <f>IFERROR(cadangan3[[#This Row],[Harga Asli A]]-(cadangan3[[#This Row],[Harga Asli A]]*cadangan3[[#This Row],[Diskon]]),cadangan3[[#This Row],[Harga Asli A]])</f>
        <v>120000</v>
      </c>
      <c r="K201" s="36">
        <f>INDEX(Katalog!$F$3:$F$12,MATCH(cadangan3[[#This Row],[ItemID A]],Katalog!$C$3:$C$12,0))*cadangan3[[#This Row],[Qty A]]</f>
        <v>50000</v>
      </c>
      <c r="L201" s="36">
        <f>IFERROR(cadangan3[[#This Row],[Profit A]]-(cadangan3[[#This Row],[Profit A]]*cadangan3[[#This Row],[Diskon]]),K201)</f>
        <v>40000</v>
      </c>
      <c r="M201" t="s">
        <v>64</v>
      </c>
      <c r="N201" t="str">
        <f>IFERROR(INDEX(Katalog!$A$3:$A$12,MATCH(cadangan3[[#This Row],[ItemID B]],Katalog!$C$3:$C$12,0)),"-")</f>
        <v>Pakaian Unisex</v>
      </c>
      <c r="O201" t="str">
        <f>IFERROR(INDEX(Katalog!$B$3:$B$12,MATCH(cadangan3[[#This Row],[ItemID B]],Katalog!$C$3:$C$12,0)),"-")</f>
        <v>Jaket Hoodie</v>
      </c>
      <c r="P201">
        <v>1</v>
      </c>
      <c r="Q201">
        <v>4</v>
      </c>
      <c r="R201" s="36">
        <f>IFERROR(INDEX(Katalog!$D$3:$D$12,MATCH(cadangan3[[#This Row],[ItemID B]],Katalog!$C$3:$C$12,0))*cadangan3[[#This Row],[Qty B]],0)</f>
        <v>350000</v>
      </c>
      <c r="S201" s="36">
        <f>IFERROR(INDEX(Katalog!$D$3:$D$12,MATCH(cadangan3[[#This Row],[Item B]],Katalog!$B$3:$B$12,0))*cadangan3[[#This Row],[Qty B]],0)</f>
        <v>350000</v>
      </c>
      <c r="T201" s="36">
        <f>IFERROR(cadangan3[[#This Row],[Harga Asli B]]-(cadangan3[[#This Row],[Harga Asli B]]*cadangan3[[#This Row],[Diskon]]),cadangan3[[#This Row],[Harga Asli B]])</f>
        <v>280000</v>
      </c>
      <c r="U201" s="36">
        <f>IFERROR(INDEX(Katalog!$F$3:$F$12,MATCH(cadangan3[[#This Row],[ItemID B]],Katalog!$C$3:$C$12,0))*cadangan3[[#This Row],[Qty B]],0)</f>
        <v>130000</v>
      </c>
      <c r="V201" s="36">
        <f>IFERROR(cadangan3[[#This Row],[Profit B]]-(cadangan3[[#This Row],[Profit B]]*cadangan3[[#This Row],[Diskon]]),U201)</f>
        <v>104000</v>
      </c>
      <c r="W201" t="s">
        <v>65</v>
      </c>
      <c r="X201" t="str">
        <f>IFERROR(INDEX(Katalog!$A$3:$A$12,MATCH(cadangan3[[#This Row],[ItemID C]],Katalog!$C$3:$C$12,0)),"-")</f>
        <v>Sepatu Pria</v>
      </c>
      <c r="Y201" t="str">
        <f>IFERROR(INDEX(Katalog!$B$3:$B$12,MATCH(cadangan3[[#This Row],[ItemID C]],Katalog!$C$3:$C$12,0)),"-")</f>
        <v>Sneakers</v>
      </c>
      <c r="Z201">
        <v>1</v>
      </c>
      <c r="AA201">
        <v>2</v>
      </c>
      <c r="AB201" s="36">
        <f>IFERROR(INDEX(Katalog!$D$3:$D$12,MATCH(cadangan3[[#This Row],[ItemID C]],Katalog!$C$3:$C$12,0))*cadangan3[[#This Row],[Qty C]],0)</f>
        <v>500000</v>
      </c>
      <c r="AC201" s="36">
        <f>IFERROR(INDEX(Katalog!$D$3:$D$12,MATCH(cadangan3[[#This Row],[Item C]],Katalog!$B$3:$B$12,0))*cadangan3[[#This Row],[Qty C]],0)</f>
        <v>500000</v>
      </c>
      <c r="AD201" s="36">
        <f>IFERROR(cadangan3[[#This Row],[Harga Asli C]]-(cadangan3[[#This Row],[Harga Asli C]]*cadangan3[[#This Row],[Diskon]]),cadangan3[[#This Row],[Harga Asli C]])</f>
        <v>400000</v>
      </c>
      <c r="AE201" s="36">
        <f>IFERROR(INDEX(Katalog!$F$3:$F$12,MATCH(cadangan3[[#This Row],[ItemID C]],Katalog!$C$3:$C$12,0))*cadangan3[[#This Row],[Qty C]],0)</f>
        <v>200000</v>
      </c>
      <c r="AF201" s="36">
        <f>IFERROR(cadangan3[[#This Row],[Profit C]]-(cadangan3[[#This Row],[Profit C]]*cadangan3[[#This Row],[Diskon]]),cadangan3[[#This Row],[Profit C]])</f>
        <v>160000</v>
      </c>
      <c r="AG201" s="21">
        <f>cadangan3[[#This Row],[Qty A]]+cadangan3[[#This Row],[Qty B]]+cadangan3[[#This Row],[Qty C]]</f>
        <v>3</v>
      </c>
      <c r="AH201" s="35">
        <f>cadangan3[[#This Row],[Harga A + Diskon]]+cadangan3[[#This Row],[Harga + Diskon B]]+cadangan3[[#This Row],[Harga + Diskon C]]</f>
        <v>800000</v>
      </c>
      <c r="AI201" s="35">
        <f>(cadangan3[[#This Row],[Profit A]]+cadangan3[[#This Row],[Profit B]]+cadangan3[[#This Row],[Profit C]])</f>
        <v>380000</v>
      </c>
      <c r="AJ201" s="35">
        <f>cadangan3[[#This Row],[Provit A + Diskon]]+cadangan3[[#This Row],[Provit B + Diskon]]+cadangan3[[#This Row],[Provit C + Diskon]]</f>
        <v>304000</v>
      </c>
      <c r="AK201" s="23" t="s">
        <v>8</v>
      </c>
      <c r="AL201" s="37">
        <f>IFERROR(INDEX('Kode Diskon'!$D$3:$D$9,MATCH(cadangan3[[#This Row],[Kode diskon]],'Kode Diskon'!$C$3:$C$9,0)),"-")</f>
        <v>0.2</v>
      </c>
      <c r="AM201" s="23" t="s">
        <v>9</v>
      </c>
      <c r="AN201" s="23" t="s">
        <v>7</v>
      </c>
      <c r="AO201" s="23" t="s">
        <v>75</v>
      </c>
      <c r="AP201" s="24">
        <v>45042</v>
      </c>
      <c r="AQ201" s="23" t="str">
        <f>TEXT(cadangan3[[#This Row],[Tanggal terjual]],"dddd")</f>
        <v>Wednesday</v>
      </c>
    </row>
    <row r="202" spans="1:43" x14ac:dyDescent="0.2">
      <c r="A202" s="20">
        <v>201</v>
      </c>
      <c r="B202" s="21" t="str">
        <f>_xlfn.CONCAT("ORD-",INDEX(Helper!$B$2:$B$5,MATCH(cadangan3[[#This Row],[Marketplace]],Helper!$A$2:$A$5,0)),TEXT(cadangan3[[#This Row],[No]],"0000"),"-",TEXT(cadangan3[[#This Row],[Tanggal terjual]],"dd/mm/yy"))</f>
        <v>ORD-TK0201-30/04/23</v>
      </c>
      <c r="C202" t="s">
        <v>63</v>
      </c>
      <c r="D202" t="str">
        <f>IFERROR(INDEX(Katalog!$A$3:$A$12,MATCH(cadangan3[[#This Row],[ItemID A]],Katalog!$C$3:$C$12,0)),"-")</f>
        <v>Pakaian Pria</v>
      </c>
      <c r="E202" t="str">
        <f>IFERROR(INDEX(Katalog!$B$3:$B$12,MATCH(cadangan3[[#This Row],[ItemID A]],Katalog!$C$3:$C$12,0)),"-")</f>
        <v>Jaket Jeans</v>
      </c>
      <c r="F202">
        <v>1</v>
      </c>
      <c r="G202">
        <v>1</v>
      </c>
      <c r="H202" s="36">
        <f>IFERROR(INDEX(Katalog!$D$3:$D$12,MATCH(cadangan3[[#This Row],[ItemID A]],Katalog!$C$3:$C$12,0))*cadangan3[[#This Row],[Qty A]],0)</f>
        <v>400000</v>
      </c>
      <c r="I202" s="36">
        <f>IFERROR(INDEX(Katalog!$D$3:$D$12,MATCH(cadangan3[[#This Row],[Item A]],Katalog!$B$3:$B$12,0))*cadangan3[[#This Row],[Qty A]],0)</f>
        <v>400000</v>
      </c>
      <c r="J202" s="36">
        <f>IFERROR(cadangan3[[#This Row],[Harga Asli A]]-(cadangan3[[#This Row],[Harga Asli A]]*cadangan3[[#This Row],[Diskon]]),cadangan3[[#This Row],[Harga Asli A]])</f>
        <v>360000</v>
      </c>
      <c r="K202" s="36">
        <f>INDEX(Katalog!$F$3:$F$12,MATCH(cadangan3[[#This Row],[ItemID A]],Katalog!$C$3:$C$12,0))*cadangan3[[#This Row],[Qty A]]</f>
        <v>150000</v>
      </c>
      <c r="L202" s="36">
        <f>IFERROR(cadangan3[[#This Row],[Profit A]]-(cadangan3[[#This Row],[Profit A]]*cadangan3[[#This Row],[Diskon]]),K202)</f>
        <v>135000</v>
      </c>
      <c r="N202" t="str">
        <f>IFERROR(INDEX(Katalog!$A$3:$A$12,MATCH(cadangan3[[#This Row],[ItemID B]],Katalog!$C$3:$C$12,0)),"-")</f>
        <v>-</v>
      </c>
      <c r="O202" t="str">
        <f>IFERROR(INDEX(Katalog!$B$3:$B$12,MATCH(cadangan3[[#This Row],[ItemID B]],Katalog!$C$3:$C$12,0)),"-")</f>
        <v>-</v>
      </c>
      <c r="R202" s="36">
        <f>IFERROR(INDEX(Katalog!$D$3:$D$12,MATCH(cadangan3[[#This Row],[ItemID B]],Katalog!$C$3:$C$12,0))*cadangan3[[#This Row],[Qty B]],0)</f>
        <v>0</v>
      </c>
      <c r="S202" s="36">
        <f>IFERROR(INDEX(Katalog!$D$3:$D$12,MATCH(cadangan3[[#This Row],[Item B]],Katalog!$B$3:$B$12,0))*cadangan3[[#This Row],[Qty B]],0)</f>
        <v>0</v>
      </c>
      <c r="T202" s="36">
        <f>IFERROR(cadangan3[[#This Row],[Harga Asli B]]-(cadangan3[[#This Row],[Harga Asli B]]*cadangan3[[#This Row],[Diskon]]),cadangan3[[#This Row],[Harga Asli B]])</f>
        <v>0</v>
      </c>
      <c r="U202" s="36">
        <f>IFERROR(INDEX(Katalog!$F$3:$F$12,MATCH(cadangan3[[#This Row],[ItemID B]],Katalog!$C$3:$C$12,0))*cadangan3[[#This Row],[Qty B]],0)</f>
        <v>0</v>
      </c>
      <c r="V202" s="36">
        <f>IFERROR(cadangan3[[#This Row],[Profit B]]-(cadangan3[[#This Row],[Profit B]]*cadangan3[[#This Row],[Diskon]]),U202)</f>
        <v>0</v>
      </c>
      <c r="X202" t="str">
        <f>IFERROR(INDEX(Katalog!$A$3:$A$12,MATCH(cadangan3[[#This Row],[ItemID C]],Katalog!$C$3:$C$12,0)),"-")</f>
        <v>-</v>
      </c>
      <c r="Y202" t="str">
        <f>IFERROR(INDEX(Katalog!$B$3:$B$12,MATCH(cadangan3[[#This Row],[ItemID C]],Katalog!$C$3:$C$12,0)),"-")</f>
        <v>-</v>
      </c>
      <c r="AB202" s="36">
        <f>IFERROR(INDEX(Katalog!$D$3:$D$12,MATCH(cadangan3[[#This Row],[ItemID C]],Katalog!$C$3:$C$12,0))*cadangan3[[#This Row],[Qty C]],0)</f>
        <v>0</v>
      </c>
      <c r="AC202" s="36">
        <f>IFERROR(INDEX(Katalog!$D$3:$D$12,MATCH(cadangan3[[#This Row],[Item C]],Katalog!$B$3:$B$12,0))*cadangan3[[#This Row],[Qty C]],0)</f>
        <v>0</v>
      </c>
      <c r="AD202" s="36">
        <f>IFERROR(cadangan3[[#This Row],[Harga Asli C]]-(cadangan3[[#This Row],[Harga Asli C]]*cadangan3[[#This Row],[Diskon]]),cadangan3[[#This Row],[Harga Asli C]])</f>
        <v>0</v>
      </c>
      <c r="AE202" s="36">
        <f>IFERROR(INDEX(Katalog!$F$3:$F$12,MATCH(cadangan3[[#This Row],[ItemID C]],Katalog!$C$3:$C$12,0))*cadangan3[[#This Row],[Qty C]],0)</f>
        <v>0</v>
      </c>
      <c r="AF202" s="36">
        <f>IFERROR(cadangan3[[#This Row],[Profit C]]-(cadangan3[[#This Row],[Profit C]]*cadangan3[[#This Row],[Diskon]]),cadangan3[[#This Row],[Profit C]])</f>
        <v>0</v>
      </c>
      <c r="AG202" s="21">
        <f>cadangan3[[#This Row],[Qty A]]+cadangan3[[#This Row],[Qty B]]+cadangan3[[#This Row],[Qty C]]</f>
        <v>1</v>
      </c>
      <c r="AH202" s="35">
        <f>cadangan3[[#This Row],[Harga A + Diskon]]+cadangan3[[#This Row],[Harga + Diskon B]]+cadangan3[[#This Row],[Harga + Diskon C]]</f>
        <v>360000</v>
      </c>
      <c r="AI202" s="35">
        <f>(cadangan3[[#This Row],[Profit A]]+cadangan3[[#This Row],[Profit B]]+cadangan3[[#This Row],[Profit C]])</f>
        <v>150000</v>
      </c>
      <c r="AJ202" s="35">
        <f>cadangan3[[#This Row],[Provit A + Diskon]]+cadangan3[[#This Row],[Provit B + Diskon]]+cadangan3[[#This Row],[Provit C + Diskon]]</f>
        <v>135000</v>
      </c>
      <c r="AK202" s="23" t="s">
        <v>31</v>
      </c>
      <c r="AL202" s="37">
        <f>IFERROR(INDEX('Kode Diskon'!$D$3:$D$9,MATCH(cadangan3[[#This Row],[Kode diskon]],'Kode Diskon'!$C$3:$C$9,0)),"-")</f>
        <v>0.1</v>
      </c>
      <c r="AM202" s="23" t="s">
        <v>9</v>
      </c>
      <c r="AN202" s="23" t="s">
        <v>10</v>
      </c>
      <c r="AO202" s="23" t="s">
        <v>80</v>
      </c>
      <c r="AP202" s="24">
        <v>45046</v>
      </c>
      <c r="AQ202" s="23" t="str">
        <f>TEXT(cadangan3[[#This Row],[Tanggal terjual]],"dddd")</f>
        <v>Sunday</v>
      </c>
    </row>
    <row r="203" spans="1:43" x14ac:dyDescent="0.2">
      <c r="A203" s="20">
        <v>202</v>
      </c>
      <c r="B203" s="21" t="str">
        <f>_xlfn.CONCAT("ORD-",INDEX(Helper!$B$2:$B$5,MATCH(cadangan3[[#This Row],[Marketplace]],Helper!$A$2:$A$5,0)),TEXT(cadangan3[[#This Row],[No]],"0000"),"-",TEXT(cadangan3[[#This Row],[Tanggal terjual]],"dd/mm/yy"))</f>
        <v>ORD-SP0202-05/04/23</v>
      </c>
      <c r="C203" t="s">
        <v>61</v>
      </c>
      <c r="D203" t="str">
        <f>IFERROR(INDEX(Katalog!$A$3:$A$12,MATCH(cadangan3[[#This Row],[ItemID A]],Katalog!$C$3:$C$12,0)),"-")</f>
        <v>Pakaian Pria</v>
      </c>
      <c r="E203" t="str">
        <f>IFERROR(INDEX(Katalog!$B$3:$B$12,MATCH(cadangan3[[#This Row],[ItemID A]],Katalog!$C$3:$C$12,0)),"-")</f>
        <v>Kaos Polo</v>
      </c>
      <c r="F203">
        <v>1</v>
      </c>
      <c r="G203">
        <v>3</v>
      </c>
      <c r="H203" s="36">
        <f>IFERROR(INDEX(Katalog!$D$3:$D$12,MATCH(cadangan3[[#This Row],[ItemID A]],Katalog!$C$3:$C$12,0))*cadangan3[[#This Row],[Qty A]],0)</f>
        <v>200000</v>
      </c>
      <c r="I203" s="36">
        <f>IFERROR(INDEX(Katalog!$D$3:$D$12,MATCH(cadangan3[[#This Row],[Item A]],Katalog!$B$3:$B$12,0))*cadangan3[[#This Row],[Qty A]],0)</f>
        <v>200000</v>
      </c>
      <c r="J203" s="36">
        <f>IFERROR(cadangan3[[#This Row],[Harga Asli A]]-(cadangan3[[#This Row],[Harga Asli A]]*cadangan3[[#This Row],[Diskon]]),cadangan3[[#This Row],[Harga Asli A]])</f>
        <v>170000</v>
      </c>
      <c r="K203" s="36">
        <f>INDEX(Katalog!$F$3:$F$12,MATCH(cadangan3[[#This Row],[ItemID A]],Katalog!$C$3:$C$12,0))*cadangan3[[#This Row],[Qty A]]</f>
        <v>80000</v>
      </c>
      <c r="L203" s="36">
        <f>IFERROR(cadangan3[[#This Row],[Profit A]]-(cadangan3[[#This Row],[Profit A]]*cadangan3[[#This Row],[Diskon]]),K203)</f>
        <v>68000</v>
      </c>
      <c r="M203" t="s">
        <v>65</v>
      </c>
      <c r="N203" t="str">
        <f>IFERROR(INDEX(Katalog!$A$3:$A$12,MATCH(cadangan3[[#This Row],[ItemID B]],Katalog!$C$3:$C$12,0)),"-")</f>
        <v>Sepatu Pria</v>
      </c>
      <c r="O203" t="str">
        <f>IFERROR(INDEX(Katalog!$B$3:$B$12,MATCH(cadangan3[[#This Row],[ItemID B]],Katalog!$C$3:$C$12,0)),"-")</f>
        <v>Sneakers</v>
      </c>
      <c r="P203">
        <v>1</v>
      </c>
      <c r="Q203">
        <v>2</v>
      </c>
      <c r="R203" s="36">
        <f>IFERROR(INDEX(Katalog!$D$3:$D$12,MATCH(cadangan3[[#This Row],[ItemID B]],Katalog!$C$3:$C$12,0))*cadangan3[[#This Row],[Qty B]],0)</f>
        <v>500000</v>
      </c>
      <c r="S203" s="36">
        <f>IFERROR(INDEX(Katalog!$D$3:$D$12,MATCH(cadangan3[[#This Row],[Item B]],Katalog!$B$3:$B$12,0))*cadangan3[[#This Row],[Qty B]],0)</f>
        <v>500000</v>
      </c>
      <c r="T203" s="36">
        <f>IFERROR(cadangan3[[#This Row],[Harga Asli B]]-(cadangan3[[#This Row],[Harga Asli B]]*cadangan3[[#This Row],[Diskon]]),cadangan3[[#This Row],[Harga Asli B]])</f>
        <v>425000</v>
      </c>
      <c r="U203" s="36">
        <f>IFERROR(INDEX(Katalog!$F$3:$F$12,MATCH(cadangan3[[#This Row],[ItemID B]],Katalog!$C$3:$C$12,0))*cadangan3[[#This Row],[Qty B]],0)</f>
        <v>200000</v>
      </c>
      <c r="V203" s="36">
        <f>IFERROR(cadangan3[[#This Row],[Profit B]]-(cadangan3[[#This Row],[Profit B]]*cadangan3[[#This Row],[Diskon]]),U203)</f>
        <v>170000</v>
      </c>
      <c r="W203" t="s">
        <v>60</v>
      </c>
      <c r="X203" t="str">
        <f>IFERROR(INDEX(Katalog!$A$3:$A$12,MATCH(cadangan3[[#This Row],[ItemID C]],Katalog!$C$3:$C$12,0)),"-")</f>
        <v>Pakaian Wanita</v>
      </c>
      <c r="Y203" t="str">
        <f>IFERROR(INDEX(Katalog!$B$3:$B$12,MATCH(cadangan3[[#This Row],[ItemID C]],Katalog!$C$3:$C$12,0)),"-")</f>
        <v>Kaftan</v>
      </c>
      <c r="Z203">
        <v>1</v>
      </c>
      <c r="AA203">
        <v>1</v>
      </c>
      <c r="AB203" s="36">
        <f>IFERROR(INDEX(Katalog!$D$3:$D$12,MATCH(cadangan3[[#This Row],[ItemID C]],Katalog!$C$3:$C$12,0))*cadangan3[[#This Row],[Qty C]],0)</f>
        <v>250000</v>
      </c>
      <c r="AC203" s="36">
        <f>IFERROR(INDEX(Katalog!$D$3:$D$12,MATCH(cadangan3[[#This Row],[Item C]],Katalog!$B$3:$B$12,0))*cadangan3[[#This Row],[Qty C]],0)</f>
        <v>250000</v>
      </c>
      <c r="AD203" s="36">
        <f>IFERROR(cadangan3[[#This Row],[Harga Asli C]]-(cadangan3[[#This Row],[Harga Asli C]]*cadangan3[[#This Row],[Diskon]]),cadangan3[[#This Row],[Harga Asli C]])</f>
        <v>212500</v>
      </c>
      <c r="AE203" s="36">
        <f>IFERROR(INDEX(Katalog!$F$3:$F$12,MATCH(cadangan3[[#This Row],[ItemID C]],Katalog!$C$3:$C$12,0))*cadangan3[[#This Row],[Qty C]],0)</f>
        <v>100000</v>
      </c>
      <c r="AF203" s="36">
        <f>IFERROR(cadangan3[[#This Row],[Profit C]]-(cadangan3[[#This Row],[Profit C]]*cadangan3[[#This Row],[Diskon]]),cadangan3[[#This Row],[Profit C]])</f>
        <v>85000</v>
      </c>
      <c r="AG203" s="21">
        <f>cadangan3[[#This Row],[Qty A]]+cadangan3[[#This Row],[Qty B]]+cadangan3[[#This Row],[Qty C]]</f>
        <v>3</v>
      </c>
      <c r="AH203" s="35">
        <f>cadangan3[[#This Row],[Harga A + Diskon]]+cadangan3[[#This Row],[Harga + Diskon B]]+cadangan3[[#This Row],[Harga + Diskon C]]</f>
        <v>807500</v>
      </c>
      <c r="AI203" s="35">
        <f>(cadangan3[[#This Row],[Profit A]]+cadangan3[[#This Row],[Profit B]]+cadangan3[[#This Row],[Profit C]])</f>
        <v>380000</v>
      </c>
      <c r="AJ203" s="35">
        <f>cadangan3[[#This Row],[Provit A + Diskon]]+cadangan3[[#This Row],[Provit B + Diskon]]+cadangan3[[#This Row],[Provit C + Diskon]]</f>
        <v>323000</v>
      </c>
      <c r="AK203" s="23" t="s">
        <v>13</v>
      </c>
      <c r="AL203" s="37">
        <f>IFERROR(INDEX('Kode Diskon'!$D$3:$D$9,MATCH(cadangan3[[#This Row],[Kode diskon]],'Kode Diskon'!$C$3:$C$9,0)),"-")</f>
        <v>0.15</v>
      </c>
      <c r="AM203" s="23" t="s">
        <v>29</v>
      </c>
      <c r="AN203" s="23" t="s">
        <v>7</v>
      </c>
      <c r="AO203" s="23" t="s">
        <v>79</v>
      </c>
      <c r="AP203" s="24">
        <v>45021</v>
      </c>
      <c r="AQ203" s="23" t="str">
        <f>TEXT(cadangan3[[#This Row],[Tanggal terjual]],"dddd")</f>
        <v>Wednesday</v>
      </c>
    </row>
    <row r="204" spans="1:43" x14ac:dyDescent="0.2">
      <c r="A204" s="20">
        <v>203</v>
      </c>
      <c r="B204" s="21" t="str">
        <f>_xlfn.CONCAT("ORD-",INDEX(Helper!$B$2:$B$5,MATCH(cadangan3[[#This Row],[Marketplace]],Helper!$A$2:$A$5,0)),TEXT(cadangan3[[#This Row],[No]],"0000"),"-",TEXT(cadangan3[[#This Row],[Tanggal terjual]],"dd/mm/yy"))</f>
        <v>ORD-SP0203-06/04/23</v>
      </c>
      <c r="C204" t="s">
        <v>66</v>
      </c>
      <c r="D204" t="str">
        <f>IFERROR(INDEX(Katalog!$A$3:$A$12,MATCH(cadangan3[[#This Row],[ItemID A]],Katalog!$C$3:$C$12,0)),"-")</f>
        <v>Sepatu Pria</v>
      </c>
      <c r="E204" t="str">
        <f>IFERROR(INDEX(Katalog!$B$3:$B$12,MATCH(cadangan3[[#This Row],[ItemID A]],Katalog!$C$3:$C$12,0)),"-")</f>
        <v>Sandal Slip On</v>
      </c>
      <c r="F204">
        <v>5</v>
      </c>
      <c r="G204">
        <v>2</v>
      </c>
      <c r="H204" s="36">
        <f>IFERROR(INDEX(Katalog!$D$3:$D$12,MATCH(cadangan3[[#This Row],[ItemID A]],Katalog!$C$3:$C$12,0))*cadangan3[[#This Row],[Qty A]],0)</f>
        <v>750000</v>
      </c>
      <c r="I204" s="36">
        <f>IFERROR(INDEX(Katalog!$D$3:$D$12,MATCH(cadangan3[[#This Row],[Item A]],Katalog!$B$3:$B$12,0))*cadangan3[[#This Row],[Qty A]],0)</f>
        <v>750000</v>
      </c>
      <c r="J204" s="36">
        <f>IFERROR(cadangan3[[#This Row],[Harga Asli A]]-(cadangan3[[#This Row],[Harga Asli A]]*cadangan3[[#This Row],[Diskon]]),cadangan3[[#This Row],[Harga Asli A]])</f>
        <v>637500</v>
      </c>
      <c r="K204" s="36">
        <f>INDEX(Katalog!$F$3:$F$12,MATCH(cadangan3[[#This Row],[ItemID A]],Katalog!$C$3:$C$12,0))*cadangan3[[#This Row],[Qty A]]</f>
        <v>300000</v>
      </c>
      <c r="L204" s="36">
        <f>IFERROR(cadangan3[[#This Row],[Profit A]]-(cadangan3[[#This Row],[Profit A]]*cadangan3[[#This Row],[Diskon]]),K204)</f>
        <v>255000</v>
      </c>
      <c r="M204" t="s">
        <v>59</v>
      </c>
      <c r="N204" t="str">
        <f>IFERROR(INDEX(Katalog!$A$3:$A$12,MATCH(cadangan3[[#This Row],[ItemID B]],Katalog!$C$3:$C$12,0)),"-")</f>
        <v>Pakaian Wanita</v>
      </c>
      <c r="O204" t="str">
        <f>IFERROR(INDEX(Katalog!$B$3:$B$12,MATCH(cadangan3[[#This Row],[ItemID B]],Katalog!$C$3:$C$12,0)),"-")</f>
        <v>Blouse</v>
      </c>
      <c r="P204">
        <v>2</v>
      </c>
      <c r="Q204">
        <v>1</v>
      </c>
      <c r="R204" s="36">
        <f>IFERROR(INDEX(Katalog!$D$3:$D$12,MATCH(cadangan3[[#This Row],[ItemID B]],Katalog!$C$3:$C$12,0))*cadangan3[[#This Row],[Qty B]],0)</f>
        <v>300000</v>
      </c>
      <c r="S204" s="36">
        <f>IFERROR(INDEX(Katalog!$D$3:$D$12,MATCH(cadangan3[[#This Row],[Item B]],Katalog!$B$3:$B$12,0))*cadangan3[[#This Row],[Qty B]],0)</f>
        <v>300000</v>
      </c>
      <c r="T204" s="36">
        <f>IFERROR(cadangan3[[#This Row],[Harga Asli B]]-(cadangan3[[#This Row],[Harga Asli B]]*cadangan3[[#This Row],[Diskon]]),cadangan3[[#This Row],[Harga Asli B]])</f>
        <v>255000</v>
      </c>
      <c r="U204" s="36">
        <f>IFERROR(INDEX(Katalog!$F$3:$F$12,MATCH(cadangan3[[#This Row],[ItemID B]],Katalog!$C$3:$C$12,0))*cadangan3[[#This Row],[Qty B]],0)</f>
        <v>100000</v>
      </c>
      <c r="V204" s="36">
        <f>IFERROR(cadangan3[[#This Row],[Profit B]]-(cadangan3[[#This Row],[Profit B]]*cadangan3[[#This Row],[Diskon]]),U204)</f>
        <v>85000</v>
      </c>
      <c r="X204" t="str">
        <f>IFERROR(INDEX(Katalog!$A$3:$A$12,MATCH(cadangan3[[#This Row],[ItemID C]],Katalog!$C$3:$C$12,0)),"-")</f>
        <v>-</v>
      </c>
      <c r="Y204" t="str">
        <f>IFERROR(INDEX(Katalog!$B$3:$B$12,MATCH(cadangan3[[#This Row],[ItemID C]],Katalog!$C$3:$C$12,0)),"-")</f>
        <v>-</v>
      </c>
      <c r="AB204" s="36">
        <f>IFERROR(INDEX(Katalog!$D$3:$D$12,MATCH(cadangan3[[#This Row],[ItemID C]],Katalog!$C$3:$C$12,0))*cadangan3[[#This Row],[Qty C]],0)</f>
        <v>0</v>
      </c>
      <c r="AC204" s="36">
        <f>IFERROR(INDEX(Katalog!$D$3:$D$12,MATCH(cadangan3[[#This Row],[Item C]],Katalog!$B$3:$B$12,0))*cadangan3[[#This Row],[Qty C]],0)</f>
        <v>0</v>
      </c>
      <c r="AD204" s="36">
        <f>IFERROR(cadangan3[[#This Row],[Harga Asli C]]-(cadangan3[[#This Row],[Harga Asli C]]*cadangan3[[#This Row],[Diskon]]),cadangan3[[#This Row],[Harga Asli C]])</f>
        <v>0</v>
      </c>
      <c r="AE204" s="36">
        <f>IFERROR(INDEX(Katalog!$F$3:$F$12,MATCH(cadangan3[[#This Row],[ItemID C]],Katalog!$C$3:$C$12,0))*cadangan3[[#This Row],[Qty C]],0)</f>
        <v>0</v>
      </c>
      <c r="AF204" s="36">
        <f>IFERROR(cadangan3[[#This Row],[Profit C]]-(cadangan3[[#This Row],[Profit C]]*cadangan3[[#This Row],[Diskon]]),cadangan3[[#This Row],[Profit C]])</f>
        <v>0</v>
      </c>
      <c r="AG204" s="21">
        <f>cadangan3[[#This Row],[Qty A]]+cadangan3[[#This Row],[Qty B]]+cadangan3[[#This Row],[Qty C]]</f>
        <v>7</v>
      </c>
      <c r="AH204" s="35">
        <f>cadangan3[[#This Row],[Harga A + Diskon]]+cadangan3[[#This Row],[Harga + Diskon B]]+cadangan3[[#This Row],[Harga + Diskon C]]</f>
        <v>892500</v>
      </c>
      <c r="AI204" s="35">
        <f>(cadangan3[[#This Row],[Profit A]]+cadangan3[[#This Row],[Profit B]]+cadangan3[[#This Row],[Profit C]])</f>
        <v>400000</v>
      </c>
      <c r="AJ204" s="35">
        <f>cadangan3[[#This Row],[Provit A + Diskon]]+cadangan3[[#This Row],[Provit B + Diskon]]+cadangan3[[#This Row],[Provit C + Diskon]]</f>
        <v>340000</v>
      </c>
      <c r="AK204" s="23" t="s">
        <v>13</v>
      </c>
      <c r="AL204" s="37">
        <f>IFERROR(INDEX('Kode Diskon'!$D$3:$D$9,MATCH(cadangan3[[#This Row],[Kode diskon]],'Kode Diskon'!$C$3:$C$9,0)),"-")</f>
        <v>0.15</v>
      </c>
      <c r="AM204" s="23" t="s">
        <v>29</v>
      </c>
      <c r="AN204" s="23" t="s">
        <v>7</v>
      </c>
      <c r="AO204" s="23" t="s">
        <v>80</v>
      </c>
      <c r="AP204" s="24">
        <v>45022</v>
      </c>
      <c r="AQ204" s="23" t="str">
        <f>TEXT(cadangan3[[#This Row],[Tanggal terjual]],"dddd")</f>
        <v>Thursday</v>
      </c>
    </row>
    <row r="205" spans="1:43" x14ac:dyDescent="0.2">
      <c r="A205" s="20">
        <v>204</v>
      </c>
      <c r="B205" s="21" t="str">
        <f>_xlfn.CONCAT("ORD-",INDEX(Helper!$B$2:$B$5,MATCH(cadangan3[[#This Row],[Marketplace]],Helper!$A$2:$A$5,0)),TEXT(cadangan3[[#This Row],[No]],"0000"),"-",TEXT(cadangan3[[#This Row],[Tanggal terjual]],"dd/mm/yy"))</f>
        <v>ORD-BL0204-29/04/23</v>
      </c>
      <c r="C205" t="s">
        <v>58</v>
      </c>
      <c r="D205" t="str">
        <f>IFERROR(INDEX(Katalog!$A$3:$A$12,MATCH(cadangan3[[#This Row],[ItemID A]],Katalog!$C$3:$C$12,0)),"-")</f>
        <v>Pakaian Wanita</v>
      </c>
      <c r="E205" t="str">
        <f>IFERROR(INDEX(Katalog!$B$3:$B$12,MATCH(cadangan3[[#This Row],[ItemID A]],Katalog!$C$3:$C$12,0)),"-")</f>
        <v>Dress</v>
      </c>
      <c r="F205">
        <v>2</v>
      </c>
      <c r="G205">
        <v>2</v>
      </c>
      <c r="H205" s="36">
        <f>IFERROR(INDEX(Katalog!$D$3:$D$12,MATCH(cadangan3[[#This Row],[ItemID A]],Katalog!$C$3:$C$12,0))*cadangan3[[#This Row],[Qty A]],0)</f>
        <v>600000</v>
      </c>
      <c r="I205" s="36">
        <f>IFERROR(INDEX(Katalog!$D$3:$D$12,MATCH(cadangan3[[#This Row],[Item A]],Katalog!$B$3:$B$12,0))*cadangan3[[#This Row],[Qty A]],0)</f>
        <v>600000</v>
      </c>
      <c r="J205" s="36">
        <f>IFERROR(cadangan3[[#This Row],[Harga Asli A]]-(cadangan3[[#This Row],[Harga Asli A]]*cadangan3[[#This Row],[Diskon]]),cadangan3[[#This Row],[Harga Asli A]])</f>
        <v>510000</v>
      </c>
      <c r="K205" s="36">
        <f>INDEX(Katalog!$F$3:$F$12,MATCH(cadangan3[[#This Row],[ItemID A]],Katalog!$C$3:$C$12,0))*cadangan3[[#This Row],[Qty A]]</f>
        <v>200000</v>
      </c>
      <c r="L205" s="36">
        <f>IFERROR(cadangan3[[#This Row],[Profit A]]-(cadangan3[[#This Row],[Profit A]]*cadangan3[[#This Row],[Diskon]]),K205)</f>
        <v>170000</v>
      </c>
      <c r="M205" t="s">
        <v>60</v>
      </c>
      <c r="N205" t="str">
        <f>IFERROR(INDEX(Katalog!$A$3:$A$12,MATCH(cadangan3[[#This Row],[ItemID B]],Katalog!$C$3:$C$12,0)),"-")</f>
        <v>Pakaian Wanita</v>
      </c>
      <c r="O205" t="str">
        <f>IFERROR(INDEX(Katalog!$B$3:$B$12,MATCH(cadangan3[[#This Row],[ItemID B]],Katalog!$C$3:$C$12,0)),"-")</f>
        <v>Kaftan</v>
      </c>
      <c r="P205">
        <v>1</v>
      </c>
      <c r="Q205">
        <v>2</v>
      </c>
      <c r="R205" s="36">
        <f>IFERROR(INDEX(Katalog!$D$3:$D$12,MATCH(cadangan3[[#This Row],[ItemID B]],Katalog!$C$3:$C$12,0))*cadangan3[[#This Row],[Qty B]],0)</f>
        <v>250000</v>
      </c>
      <c r="S205" s="36">
        <f>IFERROR(INDEX(Katalog!$D$3:$D$12,MATCH(cadangan3[[#This Row],[Item B]],Katalog!$B$3:$B$12,0))*cadangan3[[#This Row],[Qty B]],0)</f>
        <v>250000</v>
      </c>
      <c r="T205" s="36">
        <f>IFERROR(cadangan3[[#This Row],[Harga Asli B]]-(cadangan3[[#This Row],[Harga Asli B]]*cadangan3[[#This Row],[Diskon]]),cadangan3[[#This Row],[Harga Asli B]])</f>
        <v>212500</v>
      </c>
      <c r="U205" s="36">
        <f>IFERROR(INDEX(Katalog!$F$3:$F$12,MATCH(cadangan3[[#This Row],[ItemID B]],Katalog!$C$3:$C$12,0))*cadangan3[[#This Row],[Qty B]],0)</f>
        <v>100000</v>
      </c>
      <c r="V205" s="36">
        <f>IFERROR(cadangan3[[#This Row],[Profit B]]-(cadangan3[[#This Row],[Profit B]]*cadangan3[[#This Row],[Diskon]]),U205)</f>
        <v>85000</v>
      </c>
      <c r="X205" t="str">
        <f>IFERROR(INDEX(Katalog!$A$3:$A$12,MATCH(cadangan3[[#This Row],[ItemID C]],Katalog!$C$3:$C$12,0)),"-")</f>
        <v>-</v>
      </c>
      <c r="Y205" t="str">
        <f>IFERROR(INDEX(Katalog!$B$3:$B$12,MATCH(cadangan3[[#This Row],[ItemID C]],Katalog!$C$3:$C$12,0)),"-")</f>
        <v>-</v>
      </c>
      <c r="AB205" s="36">
        <f>IFERROR(INDEX(Katalog!$D$3:$D$12,MATCH(cadangan3[[#This Row],[ItemID C]],Katalog!$C$3:$C$12,0))*cadangan3[[#This Row],[Qty C]],0)</f>
        <v>0</v>
      </c>
      <c r="AC205" s="36">
        <f>IFERROR(INDEX(Katalog!$D$3:$D$12,MATCH(cadangan3[[#This Row],[Item C]],Katalog!$B$3:$B$12,0))*cadangan3[[#This Row],[Qty C]],0)</f>
        <v>0</v>
      </c>
      <c r="AD205" s="36">
        <f>IFERROR(cadangan3[[#This Row],[Harga Asli C]]-(cadangan3[[#This Row],[Harga Asli C]]*cadangan3[[#This Row],[Diskon]]),cadangan3[[#This Row],[Harga Asli C]])</f>
        <v>0</v>
      </c>
      <c r="AE205" s="36">
        <f>IFERROR(INDEX(Katalog!$F$3:$F$12,MATCH(cadangan3[[#This Row],[ItemID C]],Katalog!$C$3:$C$12,0))*cadangan3[[#This Row],[Qty C]],0)</f>
        <v>0</v>
      </c>
      <c r="AF205" s="36">
        <f>IFERROR(cadangan3[[#This Row],[Profit C]]-(cadangan3[[#This Row],[Profit C]]*cadangan3[[#This Row],[Diskon]]),cadangan3[[#This Row],[Profit C]])</f>
        <v>0</v>
      </c>
      <c r="AG205" s="21">
        <f>cadangan3[[#This Row],[Qty A]]+cadangan3[[#This Row],[Qty B]]+cadangan3[[#This Row],[Qty C]]</f>
        <v>3</v>
      </c>
      <c r="AH205" s="35">
        <f>cadangan3[[#This Row],[Harga A + Diskon]]+cadangan3[[#This Row],[Harga + Diskon B]]+cadangan3[[#This Row],[Harga + Diskon C]]</f>
        <v>722500</v>
      </c>
      <c r="AI205" s="35">
        <f>(cadangan3[[#This Row],[Profit A]]+cadangan3[[#This Row],[Profit B]]+cadangan3[[#This Row],[Profit C]])</f>
        <v>300000</v>
      </c>
      <c r="AJ205" s="35">
        <f>cadangan3[[#This Row],[Provit A + Diskon]]+cadangan3[[#This Row],[Provit B + Diskon]]+cadangan3[[#This Row],[Provit C + Diskon]]</f>
        <v>255000</v>
      </c>
      <c r="AK205" s="23" t="s">
        <v>32</v>
      </c>
      <c r="AL205" s="37">
        <f>IFERROR(INDEX('Kode Diskon'!$D$3:$D$9,MATCH(cadangan3[[#This Row],[Kode diskon]],'Kode Diskon'!$C$3:$C$9,0)),"-")</f>
        <v>0.15</v>
      </c>
      <c r="AM205" s="23" t="s">
        <v>9</v>
      </c>
      <c r="AN205" s="23" t="s">
        <v>12</v>
      </c>
      <c r="AO205" s="23" t="s">
        <v>80</v>
      </c>
      <c r="AP205" s="24">
        <v>45045</v>
      </c>
      <c r="AQ205" s="23" t="str">
        <f>TEXT(cadangan3[[#This Row],[Tanggal terjual]],"dddd")</f>
        <v>Saturday</v>
      </c>
    </row>
    <row r="206" spans="1:43" x14ac:dyDescent="0.2">
      <c r="A206" s="20">
        <v>205</v>
      </c>
      <c r="B206" s="21" t="str">
        <f>_xlfn.CONCAT("ORD-",INDEX(Helper!$B$2:$B$5,MATCH(cadangan3[[#This Row],[Marketplace]],Helper!$A$2:$A$5,0)),TEXT(cadangan3[[#This Row],[No]],"0000"),"-",TEXT(cadangan3[[#This Row],[Tanggal terjual]],"dd/mm/yy"))</f>
        <v>ORD-BL0205-21/04/23</v>
      </c>
      <c r="C206" t="s">
        <v>66</v>
      </c>
      <c r="D206" t="str">
        <f>IFERROR(INDEX(Katalog!$A$3:$A$12,MATCH(cadangan3[[#This Row],[ItemID A]],Katalog!$C$3:$C$12,0)),"-")</f>
        <v>Sepatu Pria</v>
      </c>
      <c r="E206" t="str">
        <f>IFERROR(INDEX(Katalog!$B$3:$B$12,MATCH(cadangan3[[#This Row],[ItemID A]],Katalog!$C$3:$C$12,0)),"-")</f>
        <v>Sandal Slip On</v>
      </c>
      <c r="F206">
        <v>1</v>
      </c>
      <c r="G206">
        <v>5</v>
      </c>
      <c r="H206" s="36">
        <f>IFERROR(INDEX(Katalog!$D$3:$D$12,MATCH(cadangan3[[#This Row],[ItemID A]],Katalog!$C$3:$C$12,0))*cadangan3[[#This Row],[Qty A]],0)</f>
        <v>150000</v>
      </c>
      <c r="I206" s="36">
        <f>IFERROR(INDEX(Katalog!$D$3:$D$12,MATCH(cadangan3[[#This Row],[Item A]],Katalog!$B$3:$B$12,0))*cadangan3[[#This Row],[Qty A]],0)</f>
        <v>150000</v>
      </c>
      <c r="J206" s="36">
        <f>IFERROR(cadangan3[[#This Row],[Harga Asli A]]-(cadangan3[[#This Row],[Harga Asli A]]*cadangan3[[#This Row],[Diskon]]),cadangan3[[#This Row],[Harga Asli A]])</f>
        <v>127500</v>
      </c>
      <c r="K206" s="36">
        <f>INDEX(Katalog!$F$3:$F$12,MATCH(cadangan3[[#This Row],[ItemID A]],Katalog!$C$3:$C$12,0))*cadangan3[[#This Row],[Qty A]]</f>
        <v>60000</v>
      </c>
      <c r="L206" s="36">
        <f>IFERROR(cadangan3[[#This Row],[Profit A]]-(cadangan3[[#This Row],[Profit A]]*cadangan3[[#This Row],[Diskon]]),K206)</f>
        <v>51000</v>
      </c>
      <c r="N206" t="str">
        <f>IFERROR(INDEX(Katalog!$A$3:$A$12,MATCH(cadangan3[[#This Row],[ItemID B]],Katalog!$C$3:$C$12,0)),"-")</f>
        <v>-</v>
      </c>
      <c r="O206" t="str">
        <f>IFERROR(INDEX(Katalog!$B$3:$B$12,MATCH(cadangan3[[#This Row],[ItemID B]],Katalog!$C$3:$C$12,0)),"-")</f>
        <v>-</v>
      </c>
      <c r="R206" s="36">
        <f>IFERROR(INDEX(Katalog!$D$3:$D$12,MATCH(cadangan3[[#This Row],[ItemID B]],Katalog!$C$3:$C$12,0))*cadangan3[[#This Row],[Qty B]],0)</f>
        <v>0</v>
      </c>
      <c r="S206" s="36">
        <f>IFERROR(INDEX(Katalog!$D$3:$D$12,MATCH(cadangan3[[#This Row],[Item B]],Katalog!$B$3:$B$12,0))*cadangan3[[#This Row],[Qty B]],0)</f>
        <v>0</v>
      </c>
      <c r="T206" s="36">
        <f>IFERROR(cadangan3[[#This Row],[Harga Asli B]]-(cadangan3[[#This Row],[Harga Asli B]]*cadangan3[[#This Row],[Diskon]]),cadangan3[[#This Row],[Harga Asli B]])</f>
        <v>0</v>
      </c>
      <c r="U206" s="36">
        <f>IFERROR(INDEX(Katalog!$F$3:$F$12,MATCH(cadangan3[[#This Row],[ItemID B]],Katalog!$C$3:$C$12,0))*cadangan3[[#This Row],[Qty B]],0)</f>
        <v>0</v>
      </c>
      <c r="V206" s="36">
        <f>IFERROR(cadangan3[[#This Row],[Profit B]]-(cadangan3[[#This Row],[Profit B]]*cadangan3[[#This Row],[Diskon]]),U206)</f>
        <v>0</v>
      </c>
      <c r="X206" t="str">
        <f>IFERROR(INDEX(Katalog!$A$3:$A$12,MATCH(cadangan3[[#This Row],[ItemID C]],Katalog!$C$3:$C$12,0)),"-")</f>
        <v>-</v>
      </c>
      <c r="Y206" t="str">
        <f>IFERROR(INDEX(Katalog!$B$3:$B$12,MATCH(cadangan3[[#This Row],[ItemID C]],Katalog!$C$3:$C$12,0)),"-")</f>
        <v>-</v>
      </c>
      <c r="AB206" s="36">
        <f>IFERROR(INDEX(Katalog!$D$3:$D$12,MATCH(cadangan3[[#This Row],[ItemID C]],Katalog!$C$3:$C$12,0))*cadangan3[[#This Row],[Qty C]],0)</f>
        <v>0</v>
      </c>
      <c r="AC206" s="36">
        <f>IFERROR(INDEX(Katalog!$D$3:$D$12,MATCH(cadangan3[[#This Row],[Item C]],Katalog!$B$3:$B$12,0))*cadangan3[[#This Row],[Qty C]],0)</f>
        <v>0</v>
      </c>
      <c r="AD206" s="36">
        <f>IFERROR(cadangan3[[#This Row],[Harga Asli C]]-(cadangan3[[#This Row],[Harga Asli C]]*cadangan3[[#This Row],[Diskon]]),cadangan3[[#This Row],[Harga Asli C]])</f>
        <v>0</v>
      </c>
      <c r="AE206" s="36">
        <f>IFERROR(INDEX(Katalog!$F$3:$F$12,MATCH(cadangan3[[#This Row],[ItemID C]],Katalog!$C$3:$C$12,0))*cadangan3[[#This Row],[Qty C]],0)</f>
        <v>0</v>
      </c>
      <c r="AF206" s="36">
        <f>IFERROR(cadangan3[[#This Row],[Profit C]]-(cadangan3[[#This Row],[Profit C]]*cadangan3[[#This Row],[Diskon]]),cadangan3[[#This Row],[Profit C]])</f>
        <v>0</v>
      </c>
      <c r="AG206" s="21">
        <f>cadangan3[[#This Row],[Qty A]]+cadangan3[[#This Row],[Qty B]]+cadangan3[[#This Row],[Qty C]]</f>
        <v>1</v>
      </c>
      <c r="AH206" s="35">
        <f>cadangan3[[#This Row],[Harga A + Diskon]]+cadangan3[[#This Row],[Harga + Diskon B]]+cadangan3[[#This Row],[Harga + Diskon C]]</f>
        <v>127500</v>
      </c>
      <c r="AI206" s="35">
        <f>(cadangan3[[#This Row],[Profit A]]+cadangan3[[#This Row],[Profit B]]+cadangan3[[#This Row],[Profit C]])</f>
        <v>60000</v>
      </c>
      <c r="AJ206" s="35">
        <f>cadangan3[[#This Row],[Provit A + Diskon]]+cadangan3[[#This Row],[Provit B + Diskon]]+cadangan3[[#This Row],[Provit C + Diskon]]</f>
        <v>51000</v>
      </c>
      <c r="AK206" s="23" t="s">
        <v>32</v>
      </c>
      <c r="AL206" s="37">
        <f>IFERROR(INDEX('Kode Diskon'!$D$3:$D$9,MATCH(cadangan3[[#This Row],[Kode diskon]],'Kode Diskon'!$C$3:$C$9,0)),"-")</f>
        <v>0.15</v>
      </c>
      <c r="AM206" s="23" t="s">
        <v>9</v>
      </c>
      <c r="AN206" s="23" t="s">
        <v>12</v>
      </c>
      <c r="AO206" s="23" t="s">
        <v>77</v>
      </c>
      <c r="AP206" s="24">
        <v>45037</v>
      </c>
      <c r="AQ206" s="23" t="str">
        <f>TEXT(cadangan3[[#This Row],[Tanggal terjual]],"dddd")</f>
        <v>Friday</v>
      </c>
    </row>
    <row r="207" spans="1:43" x14ac:dyDescent="0.2">
      <c r="A207" s="20">
        <v>206</v>
      </c>
      <c r="B207" s="21" t="str">
        <f>_xlfn.CONCAT("ORD-",INDEX(Helper!$B$2:$B$5,MATCH(cadangan3[[#This Row],[Marketplace]],Helper!$A$2:$A$5,0)),TEXT(cadangan3[[#This Row],[No]],"0000"),"-",TEXT(cadangan3[[#This Row],[Tanggal terjual]],"dd/mm/yy"))</f>
        <v>ORD-SP0206-04/04/23</v>
      </c>
      <c r="C207" t="s">
        <v>62</v>
      </c>
      <c r="D207" t="str">
        <f>IFERROR(INDEX(Katalog!$A$3:$A$12,MATCH(cadangan3[[#This Row],[ItemID A]],Katalog!$C$3:$C$12,0)),"-")</f>
        <v>Pakaian Pria</v>
      </c>
      <c r="E207" t="str">
        <f>IFERROR(INDEX(Katalog!$B$3:$B$12,MATCH(cadangan3[[#This Row],[ItemID A]],Katalog!$C$3:$C$12,0)),"-")</f>
        <v>Celana Pendek</v>
      </c>
      <c r="F207">
        <v>3</v>
      </c>
      <c r="G207">
        <v>4</v>
      </c>
      <c r="H207" s="36">
        <f>IFERROR(INDEX(Katalog!$D$3:$D$12,MATCH(cadangan3[[#This Row],[ItemID A]],Katalog!$C$3:$C$12,0))*cadangan3[[#This Row],[Qty A]],0)</f>
        <v>540000</v>
      </c>
      <c r="I207" s="36">
        <f>IFERROR(INDEX(Katalog!$D$3:$D$12,MATCH(cadangan3[[#This Row],[Item A]],Katalog!$B$3:$B$12,0))*cadangan3[[#This Row],[Qty A]],0)</f>
        <v>540000</v>
      </c>
      <c r="J207" s="36">
        <f>IFERROR(cadangan3[[#This Row],[Harga Asli A]]-(cadangan3[[#This Row],[Harga Asli A]]*cadangan3[[#This Row],[Diskon]]),cadangan3[[#This Row],[Harga Asli A]])</f>
        <v>459000</v>
      </c>
      <c r="K207" s="36">
        <f>INDEX(Katalog!$F$3:$F$12,MATCH(cadangan3[[#This Row],[ItemID A]],Katalog!$C$3:$C$12,0))*cadangan3[[#This Row],[Qty A]]</f>
        <v>210000</v>
      </c>
      <c r="L207" s="36">
        <f>IFERROR(cadangan3[[#This Row],[Profit A]]-(cadangan3[[#This Row],[Profit A]]*cadangan3[[#This Row],[Diskon]]),K207)</f>
        <v>178500</v>
      </c>
      <c r="M207" t="s">
        <v>61</v>
      </c>
      <c r="N207" t="str">
        <f>IFERROR(INDEX(Katalog!$A$3:$A$12,MATCH(cadangan3[[#This Row],[ItemID B]],Katalog!$C$3:$C$12,0)),"-")</f>
        <v>Pakaian Pria</v>
      </c>
      <c r="O207" t="str">
        <f>IFERROR(INDEX(Katalog!$B$3:$B$12,MATCH(cadangan3[[#This Row],[ItemID B]],Katalog!$C$3:$C$12,0)),"-")</f>
        <v>Kaos Polo</v>
      </c>
      <c r="P207">
        <v>1</v>
      </c>
      <c r="Q207">
        <v>4</v>
      </c>
      <c r="R207" s="36">
        <f>IFERROR(INDEX(Katalog!$D$3:$D$12,MATCH(cadangan3[[#This Row],[ItemID B]],Katalog!$C$3:$C$12,0))*cadangan3[[#This Row],[Qty B]],0)</f>
        <v>200000</v>
      </c>
      <c r="S207" s="36">
        <f>IFERROR(INDEX(Katalog!$D$3:$D$12,MATCH(cadangan3[[#This Row],[Item B]],Katalog!$B$3:$B$12,0))*cadangan3[[#This Row],[Qty B]],0)</f>
        <v>200000</v>
      </c>
      <c r="T207" s="36">
        <f>IFERROR(cadangan3[[#This Row],[Harga Asli B]]-(cadangan3[[#This Row],[Harga Asli B]]*cadangan3[[#This Row],[Diskon]]),cadangan3[[#This Row],[Harga Asli B]])</f>
        <v>170000</v>
      </c>
      <c r="U207" s="36">
        <f>IFERROR(INDEX(Katalog!$F$3:$F$12,MATCH(cadangan3[[#This Row],[ItemID B]],Katalog!$C$3:$C$12,0))*cadangan3[[#This Row],[Qty B]],0)</f>
        <v>80000</v>
      </c>
      <c r="V207" s="36">
        <f>IFERROR(cadangan3[[#This Row],[Profit B]]-(cadangan3[[#This Row],[Profit B]]*cadangan3[[#This Row],[Diskon]]),U207)</f>
        <v>68000</v>
      </c>
      <c r="X207" t="str">
        <f>IFERROR(INDEX(Katalog!$A$3:$A$12,MATCH(cadangan3[[#This Row],[ItemID C]],Katalog!$C$3:$C$12,0)),"-")</f>
        <v>-</v>
      </c>
      <c r="Y207" t="str">
        <f>IFERROR(INDEX(Katalog!$B$3:$B$12,MATCH(cadangan3[[#This Row],[ItemID C]],Katalog!$C$3:$C$12,0)),"-")</f>
        <v>-</v>
      </c>
      <c r="AB207" s="36">
        <f>IFERROR(INDEX(Katalog!$D$3:$D$12,MATCH(cadangan3[[#This Row],[ItemID C]],Katalog!$C$3:$C$12,0))*cadangan3[[#This Row],[Qty C]],0)</f>
        <v>0</v>
      </c>
      <c r="AC207" s="36">
        <f>IFERROR(INDEX(Katalog!$D$3:$D$12,MATCH(cadangan3[[#This Row],[Item C]],Katalog!$B$3:$B$12,0))*cadangan3[[#This Row],[Qty C]],0)</f>
        <v>0</v>
      </c>
      <c r="AD207" s="36">
        <f>IFERROR(cadangan3[[#This Row],[Harga Asli C]]-(cadangan3[[#This Row],[Harga Asli C]]*cadangan3[[#This Row],[Diskon]]),cadangan3[[#This Row],[Harga Asli C]])</f>
        <v>0</v>
      </c>
      <c r="AE207" s="36">
        <f>IFERROR(INDEX(Katalog!$F$3:$F$12,MATCH(cadangan3[[#This Row],[ItemID C]],Katalog!$C$3:$C$12,0))*cadangan3[[#This Row],[Qty C]],0)</f>
        <v>0</v>
      </c>
      <c r="AF207" s="36">
        <f>IFERROR(cadangan3[[#This Row],[Profit C]]-(cadangan3[[#This Row],[Profit C]]*cadangan3[[#This Row],[Diskon]]),cadangan3[[#This Row],[Profit C]])</f>
        <v>0</v>
      </c>
      <c r="AG207" s="21">
        <f>cadangan3[[#This Row],[Qty A]]+cadangan3[[#This Row],[Qty B]]+cadangan3[[#This Row],[Qty C]]</f>
        <v>4</v>
      </c>
      <c r="AH207" s="35">
        <f>cadangan3[[#This Row],[Harga A + Diskon]]+cadangan3[[#This Row],[Harga + Diskon B]]+cadangan3[[#This Row],[Harga + Diskon C]]</f>
        <v>629000</v>
      </c>
      <c r="AI207" s="35">
        <f>(cadangan3[[#This Row],[Profit A]]+cadangan3[[#This Row],[Profit B]]+cadangan3[[#This Row],[Profit C]])</f>
        <v>290000</v>
      </c>
      <c r="AJ207" s="35">
        <f>cadangan3[[#This Row],[Provit A + Diskon]]+cadangan3[[#This Row],[Provit B + Diskon]]+cadangan3[[#This Row],[Provit C + Diskon]]</f>
        <v>246500</v>
      </c>
      <c r="AK207" s="23" t="s">
        <v>13</v>
      </c>
      <c r="AL207" s="37">
        <f>IFERROR(INDEX('Kode Diskon'!$D$3:$D$9,MATCH(cadangan3[[#This Row],[Kode diskon]],'Kode Diskon'!$C$3:$C$9,0)),"-")</f>
        <v>0.15</v>
      </c>
      <c r="AM207" s="23" t="s">
        <v>29</v>
      </c>
      <c r="AN207" s="23" t="s">
        <v>7</v>
      </c>
      <c r="AO207" s="23" t="s">
        <v>77</v>
      </c>
      <c r="AP207" s="24">
        <v>45020</v>
      </c>
      <c r="AQ207" s="23" t="str">
        <f>TEXT(cadangan3[[#This Row],[Tanggal terjual]],"dddd")</f>
        <v>Tuesday</v>
      </c>
    </row>
    <row r="208" spans="1:43" x14ac:dyDescent="0.2">
      <c r="A208" s="20">
        <v>207</v>
      </c>
      <c r="B208" s="21" t="str">
        <f>_xlfn.CONCAT("ORD-",INDEX(Helper!$B$2:$B$5,MATCH(cadangan3[[#This Row],[Marketplace]],Helper!$A$2:$A$5,0)),TEXT(cadangan3[[#This Row],[No]],"0000"),"-",TEXT(cadangan3[[#This Row],[Tanggal terjual]],"dd/mm/yy"))</f>
        <v>ORD-SP0207-22/04/23</v>
      </c>
      <c r="C208" t="s">
        <v>65</v>
      </c>
      <c r="D208" t="str">
        <f>IFERROR(INDEX(Katalog!$A$3:$A$12,MATCH(cadangan3[[#This Row],[ItemID A]],Katalog!$C$3:$C$12,0)),"-")</f>
        <v>Sepatu Pria</v>
      </c>
      <c r="E208" t="str">
        <f>IFERROR(INDEX(Katalog!$B$3:$B$12,MATCH(cadangan3[[#This Row],[ItemID A]],Katalog!$C$3:$C$12,0)),"-")</f>
        <v>Sneakers</v>
      </c>
      <c r="F208">
        <v>2</v>
      </c>
      <c r="G208">
        <v>2</v>
      </c>
      <c r="H208" s="36">
        <f>IFERROR(INDEX(Katalog!$D$3:$D$12,MATCH(cadangan3[[#This Row],[ItemID A]],Katalog!$C$3:$C$12,0))*cadangan3[[#This Row],[Qty A]],0)</f>
        <v>1000000</v>
      </c>
      <c r="I208" s="36">
        <f>IFERROR(INDEX(Katalog!$D$3:$D$12,MATCH(cadangan3[[#This Row],[Item A]],Katalog!$B$3:$B$12,0))*cadangan3[[#This Row],[Qty A]],0)</f>
        <v>1000000</v>
      </c>
      <c r="J208" s="36">
        <f>IFERROR(cadangan3[[#This Row],[Harga Asli A]]-(cadangan3[[#This Row],[Harga Asli A]]*cadangan3[[#This Row],[Diskon]]),cadangan3[[#This Row],[Harga Asli A]])</f>
        <v>800000</v>
      </c>
      <c r="K208" s="36">
        <f>INDEX(Katalog!$F$3:$F$12,MATCH(cadangan3[[#This Row],[ItemID A]],Katalog!$C$3:$C$12,0))*cadangan3[[#This Row],[Qty A]]</f>
        <v>400000</v>
      </c>
      <c r="L208" s="36">
        <f>IFERROR(cadangan3[[#This Row],[Profit A]]-(cadangan3[[#This Row],[Profit A]]*cadangan3[[#This Row],[Diskon]]),K208)</f>
        <v>320000</v>
      </c>
      <c r="M208" t="s">
        <v>67</v>
      </c>
      <c r="N208" t="str">
        <f>IFERROR(INDEX(Katalog!$A$3:$A$12,MATCH(cadangan3[[#This Row],[ItemID B]],Katalog!$C$3:$C$12,0)),"-")</f>
        <v>Sepatu Wanita</v>
      </c>
      <c r="O208" t="str">
        <f>IFERROR(INDEX(Katalog!$B$3:$B$12,MATCH(cadangan3[[#This Row],[ItemID B]],Katalog!$C$3:$C$12,0)),"-")</f>
        <v>Flat Shoes</v>
      </c>
      <c r="P208">
        <v>1</v>
      </c>
      <c r="Q208">
        <v>4</v>
      </c>
      <c r="R208" s="36">
        <f>IFERROR(INDEX(Katalog!$D$3:$D$12,MATCH(cadangan3[[#This Row],[ItemID B]],Katalog!$C$3:$C$12,0))*cadangan3[[#This Row],[Qty B]],0)</f>
        <v>250000</v>
      </c>
      <c r="S208" s="36">
        <f>IFERROR(INDEX(Katalog!$D$3:$D$12,MATCH(cadangan3[[#This Row],[Item B]],Katalog!$B$3:$B$12,0))*cadangan3[[#This Row],[Qty B]],0)</f>
        <v>250000</v>
      </c>
      <c r="T208" s="36">
        <f>IFERROR(cadangan3[[#This Row],[Harga Asli B]]-(cadangan3[[#This Row],[Harga Asli B]]*cadangan3[[#This Row],[Diskon]]),cadangan3[[#This Row],[Harga Asli B]])</f>
        <v>200000</v>
      </c>
      <c r="U208" s="36">
        <f>IFERROR(INDEX(Katalog!$F$3:$F$12,MATCH(cadangan3[[#This Row],[ItemID B]],Katalog!$C$3:$C$12,0))*cadangan3[[#This Row],[Qty B]],0)</f>
        <v>100000</v>
      </c>
      <c r="V208" s="36">
        <f>IFERROR(cadangan3[[#This Row],[Profit B]]-(cadangan3[[#This Row],[Profit B]]*cadangan3[[#This Row],[Diskon]]),U208)</f>
        <v>80000</v>
      </c>
      <c r="W208" t="s">
        <v>59</v>
      </c>
      <c r="X208" t="str">
        <f>IFERROR(INDEX(Katalog!$A$3:$A$12,MATCH(cadangan3[[#This Row],[ItemID C]],Katalog!$C$3:$C$12,0)),"-")</f>
        <v>Pakaian Wanita</v>
      </c>
      <c r="Y208" t="str">
        <f>IFERROR(INDEX(Katalog!$B$3:$B$12,MATCH(cadangan3[[#This Row],[ItemID C]],Katalog!$C$3:$C$12,0)),"-")</f>
        <v>Blouse</v>
      </c>
      <c r="Z208">
        <v>1</v>
      </c>
      <c r="AA208">
        <v>2</v>
      </c>
      <c r="AB208" s="36">
        <f>IFERROR(INDEX(Katalog!$D$3:$D$12,MATCH(cadangan3[[#This Row],[ItemID C]],Katalog!$C$3:$C$12,0))*cadangan3[[#This Row],[Qty C]],0)</f>
        <v>150000</v>
      </c>
      <c r="AC208" s="36">
        <f>IFERROR(INDEX(Katalog!$D$3:$D$12,MATCH(cadangan3[[#This Row],[Item C]],Katalog!$B$3:$B$12,0))*cadangan3[[#This Row],[Qty C]],0)</f>
        <v>150000</v>
      </c>
      <c r="AD208" s="36">
        <f>IFERROR(cadangan3[[#This Row],[Harga Asli C]]-(cadangan3[[#This Row],[Harga Asli C]]*cadangan3[[#This Row],[Diskon]]),cadangan3[[#This Row],[Harga Asli C]])</f>
        <v>120000</v>
      </c>
      <c r="AE208" s="36">
        <f>IFERROR(INDEX(Katalog!$F$3:$F$12,MATCH(cadangan3[[#This Row],[ItemID C]],Katalog!$C$3:$C$12,0))*cadangan3[[#This Row],[Qty C]],0)</f>
        <v>50000</v>
      </c>
      <c r="AF208" s="36">
        <f>IFERROR(cadangan3[[#This Row],[Profit C]]-(cadangan3[[#This Row],[Profit C]]*cadangan3[[#This Row],[Diskon]]),cadangan3[[#This Row],[Profit C]])</f>
        <v>40000</v>
      </c>
      <c r="AG208" s="21">
        <f>cadangan3[[#This Row],[Qty A]]+cadangan3[[#This Row],[Qty B]]+cadangan3[[#This Row],[Qty C]]</f>
        <v>4</v>
      </c>
      <c r="AH208" s="35">
        <f>cadangan3[[#This Row],[Harga A + Diskon]]+cadangan3[[#This Row],[Harga + Diskon B]]+cadangan3[[#This Row],[Harga + Diskon C]]</f>
        <v>1120000</v>
      </c>
      <c r="AI208" s="35">
        <f>(cadangan3[[#This Row],[Profit A]]+cadangan3[[#This Row],[Profit B]]+cadangan3[[#This Row],[Profit C]])</f>
        <v>550000</v>
      </c>
      <c r="AJ208" s="35">
        <f>cadangan3[[#This Row],[Provit A + Diskon]]+cadangan3[[#This Row],[Provit B + Diskon]]+cadangan3[[#This Row],[Provit C + Diskon]]</f>
        <v>440000</v>
      </c>
      <c r="AK208" s="23" t="s">
        <v>8</v>
      </c>
      <c r="AL208" s="37">
        <f>IFERROR(INDEX('Kode Diskon'!$D$3:$D$9,MATCH(cadangan3[[#This Row],[Kode diskon]],'Kode Diskon'!$C$3:$C$9,0)),"-")</f>
        <v>0.2</v>
      </c>
      <c r="AM208" s="23" t="s">
        <v>9</v>
      </c>
      <c r="AN208" s="23" t="s">
        <v>7</v>
      </c>
      <c r="AO208" s="23" t="s">
        <v>80</v>
      </c>
      <c r="AP208" s="24">
        <v>45038</v>
      </c>
      <c r="AQ208" s="23" t="str">
        <f>TEXT(cadangan3[[#This Row],[Tanggal terjual]],"dddd")</f>
        <v>Saturday</v>
      </c>
    </row>
    <row r="209" spans="1:43" x14ac:dyDescent="0.2">
      <c r="A209" s="20">
        <v>208</v>
      </c>
      <c r="B209" s="21" t="str">
        <f>_xlfn.CONCAT("ORD-",INDEX(Helper!$B$2:$B$5,MATCH(cadangan3[[#This Row],[Marketplace]],Helper!$A$2:$A$5,0)),TEXT(cadangan3[[#This Row],[No]],"0000"),"-",TEXT(cadangan3[[#This Row],[Tanggal terjual]],"dd/mm/yy"))</f>
        <v>ORD-TK0208-22/04/23</v>
      </c>
      <c r="C209" t="s">
        <v>59</v>
      </c>
      <c r="D209" t="str">
        <f>IFERROR(INDEX(Katalog!$A$3:$A$12,MATCH(cadangan3[[#This Row],[ItemID A]],Katalog!$C$3:$C$12,0)),"-")</f>
        <v>Pakaian Wanita</v>
      </c>
      <c r="E209" t="str">
        <f>IFERROR(INDEX(Katalog!$B$3:$B$12,MATCH(cadangan3[[#This Row],[ItemID A]],Katalog!$C$3:$C$12,0)),"-")</f>
        <v>Blouse</v>
      </c>
      <c r="F209">
        <v>1</v>
      </c>
      <c r="G209">
        <v>3</v>
      </c>
      <c r="H209" s="36">
        <f>IFERROR(INDEX(Katalog!$D$3:$D$12,MATCH(cadangan3[[#This Row],[ItemID A]],Katalog!$C$3:$C$12,0))*cadangan3[[#This Row],[Qty A]],0)</f>
        <v>150000</v>
      </c>
      <c r="I209" s="36">
        <f>IFERROR(INDEX(Katalog!$D$3:$D$12,MATCH(cadangan3[[#This Row],[Item A]],Katalog!$B$3:$B$12,0))*cadangan3[[#This Row],[Qty A]],0)</f>
        <v>150000</v>
      </c>
      <c r="J209" s="36">
        <f>IFERROR(cadangan3[[#This Row],[Harga Asli A]]-(cadangan3[[#This Row],[Harga Asli A]]*cadangan3[[#This Row],[Diskon]]),cadangan3[[#This Row],[Harga Asli A]])</f>
        <v>135000</v>
      </c>
      <c r="K209" s="36">
        <f>INDEX(Katalog!$F$3:$F$12,MATCH(cadangan3[[#This Row],[ItemID A]],Katalog!$C$3:$C$12,0))*cadangan3[[#This Row],[Qty A]]</f>
        <v>50000</v>
      </c>
      <c r="L209" s="36">
        <f>IFERROR(cadangan3[[#This Row],[Profit A]]-(cadangan3[[#This Row],[Profit A]]*cadangan3[[#This Row],[Diskon]]),K209)</f>
        <v>45000</v>
      </c>
      <c r="M209" t="s">
        <v>64</v>
      </c>
      <c r="N209" t="str">
        <f>IFERROR(INDEX(Katalog!$A$3:$A$12,MATCH(cadangan3[[#This Row],[ItemID B]],Katalog!$C$3:$C$12,0)),"-")</f>
        <v>Pakaian Unisex</v>
      </c>
      <c r="O209" t="str">
        <f>IFERROR(INDEX(Katalog!$B$3:$B$12,MATCH(cadangan3[[#This Row],[ItemID B]],Katalog!$C$3:$C$12,0)),"-")</f>
        <v>Jaket Hoodie</v>
      </c>
      <c r="P209">
        <v>5</v>
      </c>
      <c r="Q209">
        <v>5</v>
      </c>
      <c r="R209" s="36">
        <f>IFERROR(INDEX(Katalog!$D$3:$D$12,MATCH(cadangan3[[#This Row],[ItemID B]],Katalog!$C$3:$C$12,0))*cadangan3[[#This Row],[Qty B]],0)</f>
        <v>1750000</v>
      </c>
      <c r="S209" s="36">
        <f>IFERROR(INDEX(Katalog!$D$3:$D$12,MATCH(cadangan3[[#This Row],[Item B]],Katalog!$B$3:$B$12,0))*cadangan3[[#This Row],[Qty B]],0)</f>
        <v>1750000</v>
      </c>
      <c r="T209" s="36">
        <f>IFERROR(cadangan3[[#This Row],[Harga Asli B]]-(cadangan3[[#This Row],[Harga Asli B]]*cadangan3[[#This Row],[Diskon]]),cadangan3[[#This Row],[Harga Asli B]])</f>
        <v>1575000</v>
      </c>
      <c r="U209" s="36">
        <f>IFERROR(INDEX(Katalog!$F$3:$F$12,MATCH(cadangan3[[#This Row],[ItemID B]],Katalog!$C$3:$C$12,0))*cadangan3[[#This Row],[Qty B]],0)</f>
        <v>650000</v>
      </c>
      <c r="V209" s="36">
        <f>IFERROR(cadangan3[[#This Row],[Profit B]]-(cadangan3[[#This Row],[Profit B]]*cadangan3[[#This Row],[Diskon]]),U209)</f>
        <v>585000</v>
      </c>
      <c r="X209" t="str">
        <f>IFERROR(INDEX(Katalog!$A$3:$A$12,MATCH(cadangan3[[#This Row],[ItemID C]],Katalog!$C$3:$C$12,0)),"-")</f>
        <v>-</v>
      </c>
      <c r="Y209" t="str">
        <f>IFERROR(INDEX(Katalog!$B$3:$B$12,MATCH(cadangan3[[#This Row],[ItemID C]],Katalog!$C$3:$C$12,0)),"-")</f>
        <v>-</v>
      </c>
      <c r="AB209" s="36">
        <f>IFERROR(INDEX(Katalog!$D$3:$D$12,MATCH(cadangan3[[#This Row],[ItemID C]],Katalog!$C$3:$C$12,0))*cadangan3[[#This Row],[Qty C]],0)</f>
        <v>0</v>
      </c>
      <c r="AC209" s="36">
        <f>IFERROR(INDEX(Katalog!$D$3:$D$12,MATCH(cadangan3[[#This Row],[Item C]],Katalog!$B$3:$B$12,0))*cadangan3[[#This Row],[Qty C]],0)</f>
        <v>0</v>
      </c>
      <c r="AD209" s="36">
        <f>IFERROR(cadangan3[[#This Row],[Harga Asli C]]-(cadangan3[[#This Row],[Harga Asli C]]*cadangan3[[#This Row],[Diskon]]),cadangan3[[#This Row],[Harga Asli C]])</f>
        <v>0</v>
      </c>
      <c r="AE209" s="36">
        <f>IFERROR(INDEX(Katalog!$F$3:$F$12,MATCH(cadangan3[[#This Row],[ItemID C]],Katalog!$C$3:$C$12,0))*cadangan3[[#This Row],[Qty C]],0)</f>
        <v>0</v>
      </c>
      <c r="AF209" s="36">
        <f>IFERROR(cadangan3[[#This Row],[Profit C]]-(cadangan3[[#This Row],[Profit C]]*cadangan3[[#This Row],[Diskon]]),cadangan3[[#This Row],[Profit C]])</f>
        <v>0</v>
      </c>
      <c r="AG209" s="21">
        <f>cadangan3[[#This Row],[Qty A]]+cadangan3[[#This Row],[Qty B]]+cadangan3[[#This Row],[Qty C]]</f>
        <v>6</v>
      </c>
      <c r="AH209" s="35">
        <f>cadangan3[[#This Row],[Harga A + Diskon]]+cadangan3[[#This Row],[Harga + Diskon B]]+cadangan3[[#This Row],[Harga + Diskon C]]</f>
        <v>1710000</v>
      </c>
      <c r="AI209" s="35">
        <f>(cadangan3[[#This Row],[Profit A]]+cadangan3[[#This Row],[Profit B]]+cadangan3[[#This Row],[Profit C]])</f>
        <v>700000</v>
      </c>
      <c r="AJ209" s="35">
        <f>cadangan3[[#This Row],[Provit A + Diskon]]+cadangan3[[#This Row],[Provit B + Diskon]]+cadangan3[[#This Row],[Provit C + Diskon]]</f>
        <v>630000</v>
      </c>
      <c r="AK209" s="23" t="s">
        <v>31</v>
      </c>
      <c r="AL209" s="37">
        <f>IFERROR(INDEX('Kode Diskon'!$D$3:$D$9,MATCH(cadangan3[[#This Row],[Kode diskon]],'Kode Diskon'!$C$3:$C$9,0)),"-")</f>
        <v>0.1</v>
      </c>
      <c r="AM209" s="23" t="s">
        <v>9</v>
      </c>
      <c r="AN209" s="23" t="s">
        <v>10</v>
      </c>
      <c r="AO209" s="23" t="s">
        <v>77</v>
      </c>
      <c r="AP209" s="24">
        <v>45038</v>
      </c>
      <c r="AQ209" s="23" t="str">
        <f>TEXT(cadangan3[[#This Row],[Tanggal terjual]],"dddd")</f>
        <v>Saturday</v>
      </c>
    </row>
    <row r="210" spans="1:43" x14ac:dyDescent="0.2">
      <c r="A210" s="20">
        <v>209</v>
      </c>
      <c r="B210" s="21" t="str">
        <f>_xlfn.CONCAT("ORD-",INDEX(Helper!$B$2:$B$5,MATCH(cadangan3[[#This Row],[Marketplace]],Helper!$A$2:$A$5,0)),TEXT(cadangan3[[#This Row],[No]],"0000"),"-",TEXT(cadangan3[[#This Row],[Tanggal terjual]],"dd/mm/yy"))</f>
        <v>ORD-SP0209-05/04/23</v>
      </c>
      <c r="C210" t="s">
        <v>60</v>
      </c>
      <c r="D210" t="str">
        <f>IFERROR(INDEX(Katalog!$A$3:$A$12,MATCH(cadangan3[[#This Row],[ItemID A]],Katalog!$C$3:$C$12,0)),"-")</f>
        <v>Pakaian Wanita</v>
      </c>
      <c r="E210" t="str">
        <f>IFERROR(INDEX(Katalog!$B$3:$B$12,MATCH(cadangan3[[#This Row],[ItemID A]],Katalog!$C$3:$C$12,0)),"-")</f>
        <v>Kaftan</v>
      </c>
      <c r="F210">
        <v>1</v>
      </c>
      <c r="G210">
        <v>4</v>
      </c>
      <c r="H210" s="36">
        <f>IFERROR(INDEX(Katalog!$D$3:$D$12,MATCH(cadangan3[[#This Row],[ItemID A]],Katalog!$C$3:$C$12,0))*cadangan3[[#This Row],[Qty A]],0)</f>
        <v>250000</v>
      </c>
      <c r="I210" s="36">
        <f>IFERROR(INDEX(Katalog!$D$3:$D$12,MATCH(cadangan3[[#This Row],[Item A]],Katalog!$B$3:$B$12,0))*cadangan3[[#This Row],[Qty A]],0)</f>
        <v>250000</v>
      </c>
      <c r="J210" s="36">
        <f>IFERROR(cadangan3[[#This Row],[Harga Asli A]]-(cadangan3[[#This Row],[Harga Asli A]]*cadangan3[[#This Row],[Diskon]]),cadangan3[[#This Row],[Harga Asli A]])</f>
        <v>212500</v>
      </c>
      <c r="K210" s="36">
        <f>INDEX(Katalog!$F$3:$F$12,MATCH(cadangan3[[#This Row],[ItemID A]],Katalog!$C$3:$C$12,0))*cadangan3[[#This Row],[Qty A]]</f>
        <v>100000</v>
      </c>
      <c r="L210" s="36">
        <f>IFERROR(cadangan3[[#This Row],[Profit A]]-(cadangan3[[#This Row],[Profit A]]*cadangan3[[#This Row],[Diskon]]),K210)</f>
        <v>85000</v>
      </c>
      <c r="M210" t="s">
        <v>67</v>
      </c>
      <c r="N210" t="str">
        <f>IFERROR(INDEX(Katalog!$A$3:$A$12,MATCH(cadangan3[[#This Row],[ItemID B]],Katalog!$C$3:$C$12,0)),"-")</f>
        <v>Sepatu Wanita</v>
      </c>
      <c r="O210" t="str">
        <f>IFERROR(INDEX(Katalog!$B$3:$B$12,MATCH(cadangan3[[#This Row],[ItemID B]],Katalog!$C$3:$C$12,0)),"-")</f>
        <v>Flat Shoes</v>
      </c>
      <c r="P210">
        <v>1</v>
      </c>
      <c r="Q210">
        <v>4</v>
      </c>
      <c r="R210" s="36">
        <f>IFERROR(INDEX(Katalog!$D$3:$D$12,MATCH(cadangan3[[#This Row],[ItemID B]],Katalog!$C$3:$C$12,0))*cadangan3[[#This Row],[Qty B]],0)</f>
        <v>250000</v>
      </c>
      <c r="S210" s="36">
        <f>IFERROR(INDEX(Katalog!$D$3:$D$12,MATCH(cadangan3[[#This Row],[Item B]],Katalog!$B$3:$B$12,0))*cadangan3[[#This Row],[Qty B]],0)</f>
        <v>250000</v>
      </c>
      <c r="T210" s="36">
        <f>IFERROR(cadangan3[[#This Row],[Harga Asli B]]-(cadangan3[[#This Row],[Harga Asli B]]*cadangan3[[#This Row],[Diskon]]),cadangan3[[#This Row],[Harga Asli B]])</f>
        <v>212500</v>
      </c>
      <c r="U210" s="36">
        <f>IFERROR(INDEX(Katalog!$F$3:$F$12,MATCH(cadangan3[[#This Row],[ItemID B]],Katalog!$C$3:$C$12,0))*cadangan3[[#This Row],[Qty B]],0)</f>
        <v>100000</v>
      </c>
      <c r="V210" s="36">
        <f>IFERROR(cadangan3[[#This Row],[Profit B]]-(cadangan3[[#This Row],[Profit B]]*cadangan3[[#This Row],[Diskon]]),U210)</f>
        <v>85000</v>
      </c>
      <c r="X210" t="str">
        <f>IFERROR(INDEX(Katalog!$A$3:$A$12,MATCH(cadangan3[[#This Row],[ItemID C]],Katalog!$C$3:$C$12,0)),"-")</f>
        <v>-</v>
      </c>
      <c r="Y210" t="str">
        <f>IFERROR(INDEX(Katalog!$B$3:$B$12,MATCH(cadangan3[[#This Row],[ItemID C]],Katalog!$C$3:$C$12,0)),"-")</f>
        <v>-</v>
      </c>
      <c r="AB210" s="36">
        <f>IFERROR(INDEX(Katalog!$D$3:$D$12,MATCH(cadangan3[[#This Row],[ItemID C]],Katalog!$C$3:$C$12,0))*cadangan3[[#This Row],[Qty C]],0)</f>
        <v>0</v>
      </c>
      <c r="AC210" s="36">
        <f>IFERROR(INDEX(Katalog!$D$3:$D$12,MATCH(cadangan3[[#This Row],[Item C]],Katalog!$B$3:$B$12,0))*cadangan3[[#This Row],[Qty C]],0)</f>
        <v>0</v>
      </c>
      <c r="AD210" s="36">
        <f>IFERROR(cadangan3[[#This Row],[Harga Asli C]]-(cadangan3[[#This Row],[Harga Asli C]]*cadangan3[[#This Row],[Diskon]]),cadangan3[[#This Row],[Harga Asli C]])</f>
        <v>0</v>
      </c>
      <c r="AE210" s="36">
        <f>IFERROR(INDEX(Katalog!$F$3:$F$12,MATCH(cadangan3[[#This Row],[ItemID C]],Katalog!$C$3:$C$12,0))*cadangan3[[#This Row],[Qty C]],0)</f>
        <v>0</v>
      </c>
      <c r="AF210" s="36">
        <f>IFERROR(cadangan3[[#This Row],[Profit C]]-(cadangan3[[#This Row],[Profit C]]*cadangan3[[#This Row],[Diskon]]),cadangan3[[#This Row],[Profit C]])</f>
        <v>0</v>
      </c>
      <c r="AG210" s="21">
        <f>cadangan3[[#This Row],[Qty A]]+cadangan3[[#This Row],[Qty B]]+cadangan3[[#This Row],[Qty C]]</f>
        <v>2</v>
      </c>
      <c r="AH210" s="35">
        <f>cadangan3[[#This Row],[Harga A + Diskon]]+cadangan3[[#This Row],[Harga + Diskon B]]+cadangan3[[#This Row],[Harga + Diskon C]]</f>
        <v>425000</v>
      </c>
      <c r="AI210" s="35">
        <f>(cadangan3[[#This Row],[Profit A]]+cadangan3[[#This Row],[Profit B]]+cadangan3[[#This Row],[Profit C]])</f>
        <v>200000</v>
      </c>
      <c r="AJ210" s="35">
        <f>cadangan3[[#This Row],[Provit A + Diskon]]+cadangan3[[#This Row],[Provit B + Diskon]]+cadangan3[[#This Row],[Provit C + Diskon]]</f>
        <v>170000</v>
      </c>
      <c r="AK210" s="23" t="s">
        <v>13</v>
      </c>
      <c r="AL210" s="37">
        <f>IFERROR(INDEX('Kode Diskon'!$D$3:$D$9,MATCH(cadangan3[[#This Row],[Kode diskon]],'Kode Diskon'!$C$3:$C$9,0)),"-")</f>
        <v>0.15</v>
      </c>
      <c r="AM210" s="23" t="s">
        <v>29</v>
      </c>
      <c r="AN210" s="23" t="s">
        <v>7</v>
      </c>
      <c r="AO210" s="23" t="s">
        <v>80</v>
      </c>
      <c r="AP210" s="24">
        <v>45021</v>
      </c>
      <c r="AQ210" s="23" t="str">
        <f>TEXT(cadangan3[[#This Row],[Tanggal terjual]],"dddd")</f>
        <v>Wednesday</v>
      </c>
    </row>
    <row r="211" spans="1:43" x14ac:dyDescent="0.2">
      <c r="A211" s="20">
        <v>210</v>
      </c>
      <c r="B211" s="21" t="str">
        <f>_xlfn.CONCAT("ORD-",INDEX(Helper!$B$2:$B$5,MATCH(cadangan3[[#This Row],[Marketplace]],Helper!$A$2:$A$5,0)),TEXT(cadangan3[[#This Row],[No]],"0000"),"-",TEXT(cadangan3[[#This Row],[Tanggal terjual]],"dd/mm/yy"))</f>
        <v>ORD-TK0210-23/04/23</v>
      </c>
      <c r="C211" t="s">
        <v>63</v>
      </c>
      <c r="D211" t="str">
        <f>IFERROR(INDEX(Katalog!$A$3:$A$12,MATCH(cadangan3[[#This Row],[ItemID A]],Katalog!$C$3:$C$12,0)),"-")</f>
        <v>Pakaian Pria</v>
      </c>
      <c r="E211" t="str">
        <f>IFERROR(INDEX(Katalog!$B$3:$B$12,MATCH(cadangan3[[#This Row],[ItemID A]],Katalog!$C$3:$C$12,0)),"-")</f>
        <v>Jaket Jeans</v>
      </c>
      <c r="F211">
        <v>2</v>
      </c>
      <c r="G211">
        <v>5</v>
      </c>
      <c r="H211" s="36">
        <f>IFERROR(INDEX(Katalog!$D$3:$D$12,MATCH(cadangan3[[#This Row],[ItemID A]],Katalog!$C$3:$C$12,0))*cadangan3[[#This Row],[Qty A]],0)</f>
        <v>800000</v>
      </c>
      <c r="I211" s="36">
        <f>IFERROR(INDEX(Katalog!$D$3:$D$12,MATCH(cadangan3[[#This Row],[Item A]],Katalog!$B$3:$B$12,0))*cadangan3[[#This Row],[Qty A]],0)</f>
        <v>800000</v>
      </c>
      <c r="J211" s="36">
        <f>IFERROR(cadangan3[[#This Row],[Harga Asli A]]-(cadangan3[[#This Row],[Harga Asli A]]*cadangan3[[#This Row],[Diskon]]),cadangan3[[#This Row],[Harga Asli A]])</f>
        <v>720000</v>
      </c>
      <c r="K211" s="36">
        <f>INDEX(Katalog!$F$3:$F$12,MATCH(cadangan3[[#This Row],[ItemID A]],Katalog!$C$3:$C$12,0))*cadangan3[[#This Row],[Qty A]]</f>
        <v>300000</v>
      </c>
      <c r="L211" s="36">
        <f>IFERROR(cadangan3[[#This Row],[Profit A]]-(cadangan3[[#This Row],[Profit A]]*cadangan3[[#This Row],[Diskon]]),K211)</f>
        <v>270000</v>
      </c>
      <c r="M211" t="s">
        <v>58</v>
      </c>
      <c r="N211" t="str">
        <f>IFERROR(INDEX(Katalog!$A$3:$A$12,MATCH(cadangan3[[#This Row],[ItemID B]],Katalog!$C$3:$C$12,0)),"-")</f>
        <v>Pakaian Wanita</v>
      </c>
      <c r="O211" t="str">
        <f>IFERROR(INDEX(Katalog!$B$3:$B$12,MATCH(cadangan3[[#This Row],[ItemID B]],Katalog!$C$3:$C$12,0)),"-")</f>
        <v>Dress</v>
      </c>
      <c r="P211">
        <v>1</v>
      </c>
      <c r="Q211">
        <v>1</v>
      </c>
      <c r="R211" s="36">
        <f>IFERROR(INDEX(Katalog!$D$3:$D$12,MATCH(cadangan3[[#This Row],[ItemID B]],Katalog!$C$3:$C$12,0))*cadangan3[[#This Row],[Qty B]],0)</f>
        <v>300000</v>
      </c>
      <c r="S211" s="36">
        <f>IFERROR(INDEX(Katalog!$D$3:$D$12,MATCH(cadangan3[[#This Row],[Item B]],Katalog!$B$3:$B$12,0))*cadangan3[[#This Row],[Qty B]],0)</f>
        <v>300000</v>
      </c>
      <c r="T211" s="36">
        <f>IFERROR(cadangan3[[#This Row],[Harga Asli B]]-(cadangan3[[#This Row],[Harga Asli B]]*cadangan3[[#This Row],[Diskon]]),cadangan3[[#This Row],[Harga Asli B]])</f>
        <v>270000</v>
      </c>
      <c r="U211" s="36">
        <f>IFERROR(INDEX(Katalog!$F$3:$F$12,MATCH(cadangan3[[#This Row],[ItemID B]],Katalog!$C$3:$C$12,0))*cadangan3[[#This Row],[Qty B]],0)</f>
        <v>100000</v>
      </c>
      <c r="V211" s="36">
        <f>IFERROR(cadangan3[[#This Row],[Profit B]]-(cadangan3[[#This Row],[Profit B]]*cadangan3[[#This Row],[Diskon]]),U211)</f>
        <v>90000</v>
      </c>
      <c r="W211" t="s">
        <v>59</v>
      </c>
      <c r="X211" t="str">
        <f>IFERROR(INDEX(Katalog!$A$3:$A$12,MATCH(cadangan3[[#This Row],[ItemID C]],Katalog!$C$3:$C$12,0)),"-")</f>
        <v>Pakaian Wanita</v>
      </c>
      <c r="Y211" t="str">
        <f>IFERROR(INDEX(Katalog!$B$3:$B$12,MATCH(cadangan3[[#This Row],[ItemID C]],Katalog!$C$3:$C$12,0)),"-")</f>
        <v>Blouse</v>
      </c>
      <c r="Z211">
        <v>2</v>
      </c>
      <c r="AA211">
        <v>2</v>
      </c>
      <c r="AB211" s="36">
        <f>IFERROR(INDEX(Katalog!$D$3:$D$12,MATCH(cadangan3[[#This Row],[ItemID C]],Katalog!$C$3:$C$12,0))*cadangan3[[#This Row],[Qty C]],0)</f>
        <v>300000</v>
      </c>
      <c r="AC211" s="36">
        <f>IFERROR(INDEX(Katalog!$D$3:$D$12,MATCH(cadangan3[[#This Row],[Item C]],Katalog!$B$3:$B$12,0))*cadangan3[[#This Row],[Qty C]],0)</f>
        <v>300000</v>
      </c>
      <c r="AD211" s="36">
        <f>IFERROR(cadangan3[[#This Row],[Harga Asli C]]-(cadangan3[[#This Row],[Harga Asli C]]*cadangan3[[#This Row],[Diskon]]),cadangan3[[#This Row],[Harga Asli C]])</f>
        <v>270000</v>
      </c>
      <c r="AE211" s="36">
        <f>IFERROR(INDEX(Katalog!$F$3:$F$12,MATCH(cadangan3[[#This Row],[ItemID C]],Katalog!$C$3:$C$12,0))*cadangan3[[#This Row],[Qty C]],0)</f>
        <v>100000</v>
      </c>
      <c r="AF211" s="36">
        <f>IFERROR(cadangan3[[#This Row],[Profit C]]-(cadangan3[[#This Row],[Profit C]]*cadangan3[[#This Row],[Diskon]]),cadangan3[[#This Row],[Profit C]])</f>
        <v>90000</v>
      </c>
      <c r="AG211" s="21">
        <f>cadangan3[[#This Row],[Qty A]]+cadangan3[[#This Row],[Qty B]]+cadangan3[[#This Row],[Qty C]]</f>
        <v>5</v>
      </c>
      <c r="AH211" s="35">
        <f>cadangan3[[#This Row],[Harga A + Diskon]]+cadangan3[[#This Row],[Harga + Diskon B]]+cadangan3[[#This Row],[Harga + Diskon C]]</f>
        <v>1260000</v>
      </c>
      <c r="AI211" s="35">
        <f>(cadangan3[[#This Row],[Profit A]]+cadangan3[[#This Row],[Profit B]]+cadangan3[[#This Row],[Profit C]])</f>
        <v>500000</v>
      </c>
      <c r="AJ211" s="35">
        <f>cadangan3[[#This Row],[Provit A + Diskon]]+cadangan3[[#This Row],[Provit B + Diskon]]+cadangan3[[#This Row],[Provit C + Diskon]]</f>
        <v>450000</v>
      </c>
      <c r="AK211" s="23" t="s">
        <v>31</v>
      </c>
      <c r="AL211" s="37">
        <f>IFERROR(INDEX('Kode Diskon'!$D$3:$D$9,MATCH(cadangan3[[#This Row],[Kode diskon]],'Kode Diskon'!$C$3:$C$9,0)),"-")</f>
        <v>0.1</v>
      </c>
      <c r="AM211" s="23" t="s">
        <v>9</v>
      </c>
      <c r="AN211" s="23" t="s">
        <v>10</v>
      </c>
      <c r="AO211" s="23" t="s">
        <v>80</v>
      </c>
      <c r="AP211" s="24">
        <v>45039</v>
      </c>
      <c r="AQ211" s="23" t="str">
        <f>TEXT(cadangan3[[#This Row],[Tanggal terjual]],"dddd")</f>
        <v>Sunday</v>
      </c>
    </row>
    <row r="212" spans="1:43" x14ac:dyDescent="0.2">
      <c r="A212" s="20">
        <v>211</v>
      </c>
      <c r="B212" s="21" t="str">
        <f>_xlfn.CONCAT("ORD-",INDEX(Helper!$B$2:$B$5,MATCH(cadangan3[[#This Row],[Marketplace]],Helper!$A$2:$A$5,0)),TEXT(cadangan3[[#This Row],[No]],"0000"),"-",TEXT(cadangan3[[#This Row],[Tanggal terjual]],"dd/mm/yy"))</f>
        <v>ORD-TK0211-08/04/23</v>
      </c>
      <c r="C212" t="s">
        <v>65</v>
      </c>
      <c r="D212" t="str">
        <f>IFERROR(INDEX(Katalog!$A$3:$A$12,MATCH(cadangan3[[#This Row],[ItemID A]],Katalog!$C$3:$C$12,0)),"-")</f>
        <v>Sepatu Pria</v>
      </c>
      <c r="E212" t="str">
        <f>IFERROR(INDEX(Katalog!$B$3:$B$12,MATCH(cadangan3[[#This Row],[ItemID A]],Katalog!$C$3:$C$12,0)),"-")</f>
        <v>Sneakers</v>
      </c>
      <c r="F212">
        <v>4</v>
      </c>
      <c r="G212">
        <v>1</v>
      </c>
      <c r="H212" s="36">
        <f>IFERROR(INDEX(Katalog!$D$3:$D$12,MATCH(cadangan3[[#This Row],[ItemID A]],Katalog!$C$3:$C$12,0))*cadangan3[[#This Row],[Qty A]],0)</f>
        <v>2000000</v>
      </c>
      <c r="I212" s="36">
        <f>IFERROR(INDEX(Katalog!$D$3:$D$12,MATCH(cadangan3[[#This Row],[Item A]],Katalog!$B$3:$B$12,0))*cadangan3[[#This Row],[Qty A]],0)</f>
        <v>2000000</v>
      </c>
      <c r="J212" s="36">
        <f>IFERROR(cadangan3[[#This Row],[Harga Asli A]]-(cadangan3[[#This Row],[Harga Asli A]]*cadangan3[[#This Row],[Diskon]]),cadangan3[[#This Row],[Harga Asli A]])</f>
        <v>2000000</v>
      </c>
      <c r="K212" s="36">
        <f>INDEX(Katalog!$F$3:$F$12,MATCH(cadangan3[[#This Row],[ItemID A]],Katalog!$C$3:$C$12,0))*cadangan3[[#This Row],[Qty A]]</f>
        <v>800000</v>
      </c>
      <c r="L212" s="36">
        <f>IFERROR(cadangan3[[#This Row],[Profit A]]-(cadangan3[[#This Row],[Profit A]]*cadangan3[[#This Row],[Diskon]]),K212)</f>
        <v>800000</v>
      </c>
      <c r="M212" t="s">
        <v>64</v>
      </c>
      <c r="N212" t="str">
        <f>IFERROR(INDEX(Katalog!$A$3:$A$12,MATCH(cadangan3[[#This Row],[ItemID B]],Katalog!$C$3:$C$12,0)),"-")</f>
        <v>Pakaian Unisex</v>
      </c>
      <c r="O212" t="str">
        <f>IFERROR(INDEX(Katalog!$B$3:$B$12,MATCH(cadangan3[[#This Row],[ItemID B]],Katalog!$C$3:$C$12,0)),"-")</f>
        <v>Jaket Hoodie</v>
      </c>
      <c r="P212">
        <v>3</v>
      </c>
      <c r="Q212">
        <v>4</v>
      </c>
      <c r="R212" s="36">
        <f>IFERROR(INDEX(Katalog!$D$3:$D$12,MATCH(cadangan3[[#This Row],[ItemID B]],Katalog!$C$3:$C$12,0))*cadangan3[[#This Row],[Qty B]],0)</f>
        <v>1050000</v>
      </c>
      <c r="S212" s="36">
        <f>IFERROR(INDEX(Katalog!$D$3:$D$12,MATCH(cadangan3[[#This Row],[Item B]],Katalog!$B$3:$B$12,0))*cadangan3[[#This Row],[Qty B]],0)</f>
        <v>1050000</v>
      </c>
      <c r="T212" s="36">
        <f>IFERROR(cadangan3[[#This Row],[Harga Asli B]]-(cadangan3[[#This Row],[Harga Asli B]]*cadangan3[[#This Row],[Diskon]]),cadangan3[[#This Row],[Harga Asli B]])</f>
        <v>1050000</v>
      </c>
      <c r="U212" s="36">
        <f>IFERROR(INDEX(Katalog!$F$3:$F$12,MATCH(cadangan3[[#This Row],[ItemID B]],Katalog!$C$3:$C$12,0))*cadangan3[[#This Row],[Qty B]],0)</f>
        <v>390000</v>
      </c>
      <c r="V212" s="36">
        <f>IFERROR(cadangan3[[#This Row],[Profit B]]-(cadangan3[[#This Row],[Profit B]]*cadangan3[[#This Row],[Diskon]]),U212)</f>
        <v>390000</v>
      </c>
      <c r="X212" t="str">
        <f>IFERROR(INDEX(Katalog!$A$3:$A$12,MATCH(cadangan3[[#This Row],[ItemID C]],Katalog!$C$3:$C$12,0)),"-")</f>
        <v>-</v>
      </c>
      <c r="Y212" t="str">
        <f>IFERROR(INDEX(Katalog!$B$3:$B$12,MATCH(cadangan3[[#This Row],[ItemID C]],Katalog!$C$3:$C$12,0)),"-")</f>
        <v>-</v>
      </c>
      <c r="AB212" s="36">
        <f>IFERROR(INDEX(Katalog!$D$3:$D$12,MATCH(cadangan3[[#This Row],[ItemID C]],Katalog!$C$3:$C$12,0))*cadangan3[[#This Row],[Qty C]],0)</f>
        <v>0</v>
      </c>
      <c r="AC212" s="36">
        <f>IFERROR(INDEX(Katalog!$D$3:$D$12,MATCH(cadangan3[[#This Row],[Item C]],Katalog!$B$3:$B$12,0))*cadangan3[[#This Row],[Qty C]],0)</f>
        <v>0</v>
      </c>
      <c r="AD212" s="36">
        <f>IFERROR(cadangan3[[#This Row],[Harga Asli C]]-(cadangan3[[#This Row],[Harga Asli C]]*cadangan3[[#This Row],[Diskon]]),cadangan3[[#This Row],[Harga Asli C]])</f>
        <v>0</v>
      </c>
      <c r="AE212" s="36">
        <f>IFERROR(INDEX(Katalog!$F$3:$F$12,MATCH(cadangan3[[#This Row],[ItemID C]],Katalog!$C$3:$C$12,0))*cadangan3[[#This Row],[Qty C]],0)</f>
        <v>0</v>
      </c>
      <c r="AF212" s="36">
        <f>IFERROR(cadangan3[[#This Row],[Profit C]]-(cadangan3[[#This Row],[Profit C]]*cadangan3[[#This Row],[Diskon]]),cadangan3[[#This Row],[Profit C]])</f>
        <v>0</v>
      </c>
      <c r="AG212" s="21">
        <f>cadangan3[[#This Row],[Qty A]]+cadangan3[[#This Row],[Qty B]]+cadangan3[[#This Row],[Qty C]]</f>
        <v>7</v>
      </c>
      <c r="AH212" s="35">
        <f>cadangan3[[#This Row],[Harga A + Diskon]]+cadangan3[[#This Row],[Harga + Diskon B]]+cadangan3[[#This Row],[Harga + Diskon C]]</f>
        <v>3050000</v>
      </c>
      <c r="AI212" s="35">
        <f>(cadangan3[[#This Row],[Profit A]]+cadangan3[[#This Row],[Profit B]]+cadangan3[[#This Row],[Profit C]])</f>
        <v>1190000</v>
      </c>
      <c r="AJ212" s="35">
        <f>cadangan3[[#This Row],[Provit A + Diskon]]+cadangan3[[#This Row],[Provit B + Diskon]]+cadangan3[[#This Row],[Provit C + Diskon]]</f>
        <v>1190000</v>
      </c>
      <c r="AK212" s="23" t="s">
        <v>11</v>
      </c>
      <c r="AL212" s="37" t="str">
        <f>IFERROR(INDEX('Kode Diskon'!$D$3:$D$9,MATCH(cadangan3[[#This Row],[Kode diskon]],'Kode Diskon'!$C$3:$C$9,0)),"-")</f>
        <v>-</v>
      </c>
      <c r="AM212" s="23" t="s">
        <v>11</v>
      </c>
      <c r="AN212" s="23" t="s">
        <v>10</v>
      </c>
      <c r="AO212" s="23" t="s">
        <v>80</v>
      </c>
      <c r="AP212" s="24">
        <v>45024</v>
      </c>
      <c r="AQ212" s="23" t="str">
        <f>TEXT(cadangan3[[#This Row],[Tanggal terjual]],"dddd")</f>
        <v>Saturday</v>
      </c>
    </row>
    <row r="213" spans="1:43" x14ac:dyDescent="0.2">
      <c r="A213" s="20">
        <v>212</v>
      </c>
      <c r="B213" s="21" t="str">
        <f>_xlfn.CONCAT("ORD-",INDEX(Helper!$B$2:$B$5,MATCH(cadangan3[[#This Row],[Marketplace]],Helper!$A$2:$A$5,0)),TEXT(cadangan3[[#This Row],[No]],"0000"),"-",TEXT(cadangan3[[#This Row],[Tanggal terjual]],"dd/mm/yy"))</f>
        <v>ORD-BB0212-06/04/23</v>
      </c>
      <c r="C213" t="s">
        <v>60</v>
      </c>
      <c r="D213" t="str">
        <f>IFERROR(INDEX(Katalog!$A$3:$A$12,MATCH(cadangan3[[#This Row],[ItemID A]],Katalog!$C$3:$C$12,0)),"-")</f>
        <v>Pakaian Wanita</v>
      </c>
      <c r="E213" t="str">
        <f>IFERROR(INDEX(Katalog!$B$3:$B$12,MATCH(cadangan3[[#This Row],[ItemID A]],Katalog!$C$3:$C$12,0)),"-")</f>
        <v>Kaftan</v>
      </c>
      <c r="F213">
        <v>1</v>
      </c>
      <c r="G213">
        <v>5</v>
      </c>
      <c r="H213" s="36">
        <f>IFERROR(INDEX(Katalog!$D$3:$D$12,MATCH(cadangan3[[#This Row],[ItemID A]],Katalog!$C$3:$C$12,0))*cadangan3[[#This Row],[Qty A]],0)</f>
        <v>250000</v>
      </c>
      <c r="I213" s="36">
        <f>IFERROR(INDEX(Katalog!$D$3:$D$12,MATCH(cadangan3[[#This Row],[Item A]],Katalog!$B$3:$B$12,0))*cadangan3[[#This Row],[Qty A]],0)</f>
        <v>250000</v>
      </c>
      <c r="J213" s="36">
        <f>IFERROR(cadangan3[[#This Row],[Harga Asli A]]-(cadangan3[[#This Row],[Harga Asli A]]*cadangan3[[#This Row],[Diskon]]),cadangan3[[#This Row],[Harga Asli A]])</f>
        <v>212500</v>
      </c>
      <c r="K213" s="36">
        <f>INDEX(Katalog!$F$3:$F$12,MATCH(cadangan3[[#This Row],[ItemID A]],Katalog!$C$3:$C$12,0))*cadangan3[[#This Row],[Qty A]]</f>
        <v>100000</v>
      </c>
      <c r="L213" s="36">
        <f>IFERROR(cadangan3[[#This Row],[Profit A]]-(cadangan3[[#This Row],[Profit A]]*cadangan3[[#This Row],[Diskon]]),K213)</f>
        <v>85000</v>
      </c>
      <c r="N213" t="str">
        <f>IFERROR(INDEX(Katalog!$A$3:$A$12,MATCH(cadangan3[[#This Row],[ItemID B]],Katalog!$C$3:$C$12,0)),"-")</f>
        <v>-</v>
      </c>
      <c r="O213" t="str">
        <f>IFERROR(INDEX(Katalog!$B$3:$B$12,MATCH(cadangan3[[#This Row],[ItemID B]],Katalog!$C$3:$C$12,0)),"-")</f>
        <v>-</v>
      </c>
      <c r="R213" s="36">
        <f>IFERROR(INDEX(Katalog!$D$3:$D$12,MATCH(cadangan3[[#This Row],[ItemID B]],Katalog!$C$3:$C$12,0))*cadangan3[[#This Row],[Qty B]],0)</f>
        <v>0</v>
      </c>
      <c r="S213" s="36">
        <f>IFERROR(INDEX(Katalog!$D$3:$D$12,MATCH(cadangan3[[#This Row],[Item B]],Katalog!$B$3:$B$12,0))*cadangan3[[#This Row],[Qty B]],0)</f>
        <v>0</v>
      </c>
      <c r="T213" s="36">
        <f>IFERROR(cadangan3[[#This Row],[Harga Asli B]]-(cadangan3[[#This Row],[Harga Asli B]]*cadangan3[[#This Row],[Diskon]]),cadangan3[[#This Row],[Harga Asli B]])</f>
        <v>0</v>
      </c>
      <c r="U213" s="36">
        <f>IFERROR(INDEX(Katalog!$F$3:$F$12,MATCH(cadangan3[[#This Row],[ItemID B]],Katalog!$C$3:$C$12,0))*cadangan3[[#This Row],[Qty B]],0)</f>
        <v>0</v>
      </c>
      <c r="V213" s="36">
        <f>IFERROR(cadangan3[[#This Row],[Profit B]]-(cadangan3[[#This Row],[Profit B]]*cadangan3[[#This Row],[Diskon]]),U213)</f>
        <v>0</v>
      </c>
      <c r="X213" t="str">
        <f>IFERROR(INDEX(Katalog!$A$3:$A$12,MATCH(cadangan3[[#This Row],[ItemID C]],Katalog!$C$3:$C$12,0)),"-")</f>
        <v>-</v>
      </c>
      <c r="Y213" t="str">
        <f>IFERROR(INDEX(Katalog!$B$3:$B$12,MATCH(cadangan3[[#This Row],[ItemID C]],Katalog!$C$3:$C$12,0)),"-")</f>
        <v>-</v>
      </c>
      <c r="AB213" s="36">
        <f>IFERROR(INDEX(Katalog!$D$3:$D$12,MATCH(cadangan3[[#This Row],[ItemID C]],Katalog!$C$3:$C$12,0))*cadangan3[[#This Row],[Qty C]],0)</f>
        <v>0</v>
      </c>
      <c r="AC213" s="36">
        <f>IFERROR(INDEX(Katalog!$D$3:$D$12,MATCH(cadangan3[[#This Row],[Item C]],Katalog!$B$3:$B$12,0))*cadangan3[[#This Row],[Qty C]],0)</f>
        <v>0</v>
      </c>
      <c r="AD213" s="36">
        <f>IFERROR(cadangan3[[#This Row],[Harga Asli C]]-(cadangan3[[#This Row],[Harga Asli C]]*cadangan3[[#This Row],[Diskon]]),cadangan3[[#This Row],[Harga Asli C]])</f>
        <v>0</v>
      </c>
      <c r="AE213" s="36">
        <f>IFERROR(INDEX(Katalog!$F$3:$F$12,MATCH(cadangan3[[#This Row],[ItemID C]],Katalog!$C$3:$C$12,0))*cadangan3[[#This Row],[Qty C]],0)</f>
        <v>0</v>
      </c>
      <c r="AF213" s="36">
        <f>IFERROR(cadangan3[[#This Row],[Profit C]]-(cadangan3[[#This Row],[Profit C]]*cadangan3[[#This Row],[Diskon]]),cadangan3[[#This Row],[Profit C]])</f>
        <v>0</v>
      </c>
      <c r="AG213" s="21">
        <f>cadangan3[[#This Row],[Qty A]]+cadangan3[[#This Row],[Qty B]]+cadangan3[[#This Row],[Qty C]]</f>
        <v>1</v>
      </c>
      <c r="AH213" s="35">
        <f>cadangan3[[#This Row],[Harga A + Diskon]]+cadangan3[[#This Row],[Harga + Diskon B]]+cadangan3[[#This Row],[Harga + Diskon C]]</f>
        <v>212500</v>
      </c>
      <c r="AI213" s="35">
        <f>(cadangan3[[#This Row],[Profit A]]+cadangan3[[#This Row],[Profit B]]+cadangan3[[#This Row],[Profit C]])</f>
        <v>100000</v>
      </c>
      <c r="AJ213" s="35">
        <f>cadangan3[[#This Row],[Provit A + Diskon]]+cadangan3[[#This Row],[Provit B + Diskon]]+cadangan3[[#This Row],[Provit C + Diskon]]</f>
        <v>85000</v>
      </c>
      <c r="AK213" s="23" t="s">
        <v>28</v>
      </c>
      <c r="AL213" s="37">
        <f>IFERROR(INDEX('Kode Diskon'!$D$3:$D$9,MATCH(cadangan3[[#This Row],[Kode diskon]],'Kode Diskon'!$C$3:$C$9,0)),"-")</f>
        <v>0.15</v>
      </c>
      <c r="AM213" s="23" t="s">
        <v>29</v>
      </c>
      <c r="AN213" s="23" t="s">
        <v>14</v>
      </c>
      <c r="AO213" s="23" t="s">
        <v>76</v>
      </c>
      <c r="AP213" s="24">
        <v>45022</v>
      </c>
      <c r="AQ213" s="23" t="str">
        <f>TEXT(cadangan3[[#This Row],[Tanggal terjual]],"dddd")</f>
        <v>Thursday</v>
      </c>
    </row>
    <row r="214" spans="1:43" x14ac:dyDescent="0.2">
      <c r="A214" s="20">
        <v>213</v>
      </c>
      <c r="B214" s="21" t="str">
        <f>_xlfn.CONCAT("ORD-",INDEX(Helper!$B$2:$B$5,MATCH(cadangan3[[#This Row],[Marketplace]],Helper!$A$2:$A$5,0)),TEXT(cadangan3[[#This Row],[No]],"0000"),"-",TEXT(cadangan3[[#This Row],[Tanggal terjual]],"dd/mm/yy"))</f>
        <v>ORD-BB0213-06/04/23</v>
      </c>
      <c r="C214" t="s">
        <v>59</v>
      </c>
      <c r="D214" t="str">
        <f>IFERROR(INDEX(Katalog!$A$3:$A$12,MATCH(cadangan3[[#This Row],[ItemID A]],Katalog!$C$3:$C$12,0)),"-")</f>
        <v>Pakaian Wanita</v>
      </c>
      <c r="E214" t="str">
        <f>IFERROR(INDEX(Katalog!$B$3:$B$12,MATCH(cadangan3[[#This Row],[ItemID A]],Katalog!$C$3:$C$12,0)),"-")</f>
        <v>Blouse</v>
      </c>
      <c r="F214">
        <v>3</v>
      </c>
      <c r="G214">
        <v>5</v>
      </c>
      <c r="H214" s="36">
        <f>IFERROR(INDEX(Katalog!$D$3:$D$12,MATCH(cadangan3[[#This Row],[ItemID A]],Katalog!$C$3:$C$12,0))*cadangan3[[#This Row],[Qty A]],0)</f>
        <v>450000</v>
      </c>
      <c r="I214" s="36">
        <f>IFERROR(INDEX(Katalog!$D$3:$D$12,MATCH(cadangan3[[#This Row],[Item A]],Katalog!$B$3:$B$12,0))*cadangan3[[#This Row],[Qty A]],0)</f>
        <v>450000</v>
      </c>
      <c r="J214" s="36">
        <f>IFERROR(cadangan3[[#This Row],[Harga Asli A]]-(cadangan3[[#This Row],[Harga Asli A]]*cadangan3[[#This Row],[Diskon]]),cadangan3[[#This Row],[Harga Asli A]])</f>
        <v>382500</v>
      </c>
      <c r="K214" s="36">
        <f>INDEX(Katalog!$F$3:$F$12,MATCH(cadangan3[[#This Row],[ItemID A]],Katalog!$C$3:$C$12,0))*cadangan3[[#This Row],[Qty A]]</f>
        <v>150000</v>
      </c>
      <c r="L214" s="36">
        <f>IFERROR(cadangan3[[#This Row],[Profit A]]-(cadangan3[[#This Row],[Profit A]]*cadangan3[[#This Row],[Diskon]]),K214)</f>
        <v>127500</v>
      </c>
      <c r="M214" t="s">
        <v>60</v>
      </c>
      <c r="N214" t="str">
        <f>IFERROR(INDEX(Katalog!$A$3:$A$12,MATCH(cadangan3[[#This Row],[ItemID B]],Katalog!$C$3:$C$12,0)),"-")</f>
        <v>Pakaian Wanita</v>
      </c>
      <c r="O214" t="str">
        <f>IFERROR(INDEX(Katalog!$B$3:$B$12,MATCH(cadangan3[[#This Row],[ItemID B]],Katalog!$C$3:$C$12,0)),"-")</f>
        <v>Kaftan</v>
      </c>
      <c r="P214">
        <v>1</v>
      </c>
      <c r="Q214">
        <v>5</v>
      </c>
      <c r="R214" s="36">
        <f>IFERROR(INDEX(Katalog!$D$3:$D$12,MATCH(cadangan3[[#This Row],[ItemID B]],Katalog!$C$3:$C$12,0))*cadangan3[[#This Row],[Qty B]],0)</f>
        <v>250000</v>
      </c>
      <c r="S214" s="36">
        <f>IFERROR(INDEX(Katalog!$D$3:$D$12,MATCH(cadangan3[[#This Row],[Item B]],Katalog!$B$3:$B$12,0))*cadangan3[[#This Row],[Qty B]],0)</f>
        <v>250000</v>
      </c>
      <c r="T214" s="36">
        <f>IFERROR(cadangan3[[#This Row],[Harga Asli B]]-(cadangan3[[#This Row],[Harga Asli B]]*cadangan3[[#This Row],[Diskon]]),cadangan3[[#This Row],[Harga Asli B]])</f>
        <v>212500</v>
      </c>
      <c r="U214" s="36">
        <f>IFERROR(INDEX(Katalog!$F$3:$F$12,MATCH(cadangan3[[#This Row],[ItemID B]],Katalog!$C$3:$C$12,0))*cadangan3[[#This Row],[Qty B]],0)</f>
        <v>100000</v>
      </c>
      <c r="V214" s="36">
        <f>IFERROR(cadangan3[[#This Row],[Profit B]]-(cadangan3[[#This Row],[Profit B]]*cadangan3[[#This Row],[Diskon]]),U214)</f>
        <v>85000</v>
      </c>
      <c r="X214" t="str">
        <f>IFERROR(INDEX(Katalog!$A$3:$A$12,MATCH(cadangan3[[#This Row],[ItemID C]],Katalog!$C$3:$C$12,0)),"-")</f>
        <v>-</v>
      </c>
      <c r="Y214" t="str">
        <f>IFERROR(INDEX(Katalog!$B$3:$B$12,MATCH(cadangan3[[#This Row],[ItemID C]],Katalog!$C$3:$C$12,0)),"-")</f>
        <v>-</v>
      </c>
      <c r="AB214" s="36">
        <f>IFERROR(INDEX(Katalog!$D$3:$D$12,MATCH(cadangan3[[#This Row],[ItemID C]],Katalog!$C$3:$C$12,0))*cadangan3[[#This Row],[Qty C]],0)</f>
        <v>0</v>
      </c>
      <c r="AC214" s="36">
        <f>IFERROR(INDEX(Katalog!$D$3:$D$12,MATCH(cadangan3[[#This Row],[Item C]],Katalog!$B$3:$B$12,0))*cadangan3[[#This Row],[Qty C]],0)</f>
        <v>0</v>
      </c>
      <c r="AD214" s="36">
        <f>IFERROR(cadangan3[[#This Row],[Harga Asli C]]-(cadangan3[[#This Row],[Harga Asli C]]*cadangan3[[#This Row],[Diskon]]),cadangan3[[#This Row],[Harga Asli C]])</f>
        <v>0</v>
      </c>
      <c r="AE214" s="36">
        <f>IFERROR(INDEX(Katalog!$F$3:$F$12,MATCH(cadangan3[[#This Row],[ItemID C]],Katalog!$C$3:$C$12,0))*cadangan3[[#This Row],[Qty C]],0)</f>
        <v>0</v>
      </c>
      <c r="AF214" s="36">
        <f>IFERROR(cadangan3[[#This Row],[Profit C]]-(cadangan3[[#This Row],[Profit C]]*cadangan3[[#This Row],[Diskon]]),cadangan3[[#This Row],[Profit C]])</f>
        <v>0</v>
      </c>
      <c r="AG214" s="21">
        <f>cadangan3[[#This Row],[Qty A]]+cadangan3[[#This Row],[Qty B]]+cadangan3[[#This Row],[Qty C]]</f>
        <v>4</v>
      </c>
      <c r="AH214" s="35">
        <f>cadangan3[[#This Row],[Harga A + Diskon]]+cadangan3[[#This Row],[Harga + Diskon B]]+cadangan3[[#This Row],[Harga + Diskon C]]</f>
        <v>595000</v>
      </c>
      <c r="AI214" s="35">
        <f>(cadangan3[[#This Row],[Profit A]]+cadangan3[[#This Row],[Profit B]]+cadangan3[[#This Row],[Profit C]])</f>
        <v>250000</v>
      </c>
      <c r="AJ214" s="35">
        <f>cadangan3[[#This Row],[Provit A + Diskon]]+cadangan3[[#This Row],[Provit B + Diskon]]+cadangan3[[#This Row],[Provit C + Diskon]]</f>
        <v>212500</v>
      </c>
      <c r="AK214" s="23" t="s">
        <v>28</v>
      </c>
      <c r="AL214" s="37">
        <f>IFERROR(INDEX('Kode Diskon'!$D$3:$D$9,MATCH(cadangan3[[#This Row],[Kode diskon]],'Kode Diskon'!$C$3:$C$9,0)),"-")</f>
        <v>0.15</v>
      </c>
      <c r="AM214" s="23" t="s">
        <v>29</v>
      </c>
      <c r="AN214" s="23" t="s">
        <v>14</v>
      </c>
      <c r="AO214" s="23" t="s">
        <v>80</v>
      </c>
      <c r="AP214" s="24">
        <v>45022</v>
      </c>
      <c r="AQ214" s="23" t="str">
        <f>TEXT(cadangan3[[#This Row],[Tanggal terjual]],"dddd")</f>
        <v>Thursday</v>
      </c>
    </row>
    <row r="215" spans="1:43" x14ac:dyDescent="0.2">
      <c r="A215" s="20">
        <v>214</v>
      </c>
      <c r="B215" s="21" t="str">
        <f>_xlfn.CONCAT("ORD-",INDEX(Helper!$B$2:$B$5,MATCH(cadangan3[[#This Row],[Marketplace]],Helper!$A$2:$A$5,0)),TEXT(cadangan3[[#This Row],[No]],"0000"),"-",TEXT(cadangan3[[#This Row],[Tanggal terjual]],"dd/mm/yy"))</f>
        <v>ORD-SP0214-21/04/23</v>
      </c>
      <c r="C215" t="s">
        <v>62</v>
      </c>
      <c r="D215" t="str">
        <f>IFERROR(INDEX(Katalog!$A$3:$A$12,MATCH(cadangan3[[#This Row],[ItemID A]],Katalog!$C$3:$C$12,0)),"-")</f>
        <v>Pakaian Pria</v>
      </c>
      <c r="E215" t="str">
        <f>IFERROR(INDEX(Katalog!$B$3:$B$12,MATCH(cadangan3[[#This Row],[ItemID A]],Katalog!$C$3:$C$12,0)),"-")</f>
        <v>Celana Pendek</v>
      </c>
      <c r="F215">
        <v>1</v>
      </c>
      <c r="G215">
        <v>1</v>
      </c>
      <c r="H215" s="36">
        <f>IFERROR(INDEX(Katalog!$D$3:$D$12,MATCH(cadangan3[[#This Row],[ItemID A]],Katalog!$C$3:$C$12,0))*cadangan3[[#This Row],[Qty A]],0)</f>
        <v>180000</v>
      </c>
      <c r="I215" s="36">
        <f>IFERROR(INDEX(Katalog!$D$3:$D$12,MATCH(cadangan3[[#This Row],[Item A]],Katalog!$B$3:$B$12,0))*cadangan3[[#This Row],[Qty A]],0)</f>
        <v>180000</v>
      </c>
      <c r="J215" s="36">
        <f>IFERROR(cadangan3[[#This Row],[Harga Asli A]]-(cadangan3[[#This Row],[Harga Asli A]]*cadangan3[[#This Row],[Diskon]]),cadangan3[[#This Row],[Harga Asli A]])</f>
        <v>144000</v>
      </c>
      <c r="K215" s="36">
        <f>INDEX(Katalog!$F$3:$F$12,MATCH(cadangan3[[#This Row],[ItemID A]],Katalog!$C$3:$C$12,0))*cadangan3[[#This Row],[Qty A]]</f>
        <v>70000</v>
      </c>
      <c r="L215" s="36">
        <f>IFERROR(cadangan3[[#This Row],[Profit A]]-(cadangan3[[#This Row],[Profit A]]*cadangan3[[#This Row],[Diskon]]),K215)</f>
        <v>56000</v>
      </c>
      <c r="N215" t="str">
        <f>IFERROR(INDEX(Katalog!$A$3:$A$12,MATCH(cadangan3[[#This Row],[ItemID B]],Katalog!$C$3:$C$12,0)),"-")</f>
        <v>-</v>
      </c>
      <c r="O215" t="str">
        <f>IFERROR(INDEX(Katalog!$B$3:$B$12,MATCH(cadangan3[[#This Row],[ItemID B]],Katalog!$C$3:$C$12,0)),"-")</f>
        <v>-</v>
      </c>
      <c r="R215" s="36">
        <f>IFERROR(INDEX(Katalog!$D$3:$D$12,MATCH(cadangan3[[#This Row],[ItemID B]],Katalog!$C$3:$C$12,0))*cadangan3[[#This Row],[Qty B]],0)</f>
        <v>0</v>
      </c>
      <c r="S215" s="36">
        <f>IFERROR(INDEX(Katalog!$D$3:$D$12,MATCH(cadangan3[[#This Row],[Item B]],Katalog!$B$3:$B$12,0))*cadangan3[[#This Row],[Qty B]],0)</f>
        <v>0</v>
      </c>
      <c r="T215" s="36">
        <f>IFERROR(cadangan3[[#This Row],[Harga Asli B]]-(cadangan3[[#This Row],[Harga Asli B]]*cadangan3[[#This Row],[Diskon]]),cadangan3[[#This Row],[Harga Asli B]])</f>
        <v>0</v>
      </c>
      <c r="U215" s="36">
        <f>IFERROR(INDEX(Katalog!$F$3:$F$12,MATCH(cadangan3[[#This Row],[ItemID B]],Katalog!$C$3:$C$12,0))*cadangan3[[#This Row],[Qty B]],0)</f>
        <v>0</v>
      </c>
      <c r="V215" s="36">
        <f>IFERROR(cadangan3[[#This Row],[Profit B]]-(cadangan3[[#This Row],[Profit B]]*cadangan3[[#This Row],[Diskon]]),U215)</f>
        <v>0</v>
      </c>
      <c r="X215" t="str">
        <f>IFERROR(INDEX(Katalog!$A$3:$A$12,MATCH(cadangan3[[#This Row],[ItemID C]],Katalog!$C$3:$C$12,0)),"-")</f>
        <v>-</v>
      </c>
      <c r="Y215" t="str">
        <f>IFERROR(INDEX(Katalog!$B$3:$B$12,MATCH(cadangan3[[#This Row],[ItemID C]],Katalog!$C$3:$C$12,0)),"-")</f>
        <v>-</v>
      </c>
      <c r="AB215" s="36">
        <f>IFERROR(INDEX(Katalog!$D$3:$D$12,MATCH(cadangan3[[#This Row],[ItemID C]],Katalog!$C$3:$C$12,0))*cadangan3[[#This Row],[Qty C]],0)</f>
        <v>0</v>
      </c>
      <c r="AC215" s="36">
        <f>IFERROR(INDEX(Katalog!$D$3:$D$12,MATCH(cadangan3[[#This Row],[Item C]],Katalog!$B$3:$B$12,0))*cadangan3[[#This Row],[Qty C]],0)</f>
        <v>0</v>
      </c>
      <c r="AD215" s="36">
        <f>IFERROR(cadangan3[[#This Row],[Harga Asli C]]-(cadangan3[[#This Row],[Harga Asli C]]*cadangan3[[#This Row],[Diskon]]),cadangan3[[#This Row],[Harga Asli C]])</f>
        <v>0</v>
      </c>
      <c r="AE215" s="36">
        <f>IFERROR(INDEX(Katalog!$F$3:$F$12,MATCH(cadangan3[[#This Row],[ItemID C]],Katalog!$C$3:$C$12,0))*cadangan3[[#This Row],[Qty C]],0)</f>
        <v>0</v>
      </c>
      <c r="AF215" s="36">
        <f>IFERROR(cadangan3[[#This Row],[Profit C]]-(cadangan3[[#This Row],[Profit C]]*cadangan3[[#This Row],[Diskon]]),cadangan3[[#This Row],[Profit C]])</f>
        <v>0</v>
      </c>
      <c r="AG215" s="21">
        <f>cadangan3[[#This Row],[Qty A]]+cadangan3[[#This Row],[Qty B]]+cadangan3[[#This Row],[Qty C]]</f>
        <v>1</v>
      </c>
      <c r="AH215" s="35">
        <f>cadangan3[[#This Row],[Harga A + Diskon]]+cadangan3[[#This Row],[Harga + Diskon B]]+cadangan3[[#This Row],[Harga + Diskon C]]</f>
        <v>144000</v>
      </c>
      <c r="AI215" s="35">
        <f>(cadangan3[[#This Row],[Profit A]]+cadangan3[[#This Row],[Profit B]]+cadangan3[[#This Row],[Profit C]])</f>
        <v>70000</v>
      </c>
      <c r="AJ215" s="35">
        <f>cadangan3[[#This Row],[Provit A + Diskon]]+cadangan3[[#This Row],[Provit B + Diskon]]+cadangan3[[#This Row],[Provit C + Diskon]]</f>
        <v>56000</v>
      </c>
      <c r="AK215" s="23" t="s">
        <v>8</v>
      </c>
      <c r="AL215" s="37">
        <f>IFERROR(INDEX('Kode Diskon'!$D$3:$D$9,MATCH(cadangan3[[#This Row],[Kode diskon]],'Kode Diskon'!$C$3:$C$9,0)),"-")</f>
        <v>0.2</v>
      </c>
      <c r="AM215" s="23" t="s">
        <v>9</v>
      </c>
      <c r="AN215" s="23" t="s">
        <v>7</v>
      </c>
      <c r="AO215" s="23" t="s">
        <v>75</v>
      </c>
      <c r="AP215" s="24">
        <v>45037</v>
      </c>
      <c r="AQ215" s="23" t="str">
        <f>TEXT(cadangan3[[#This Row],[Tanggal terjual]],"dddd")</f>
        <v>Friday</v>
      </c>
    </row>
    <row r="216" spans="1:43" x14ac:dyDescent="0.2">
      <c r="A216" s="20">
        <v>215</v>
      </c>
      <c r="B216" s="21" t="str">
        <f>_xlfn.CONCAT("ORD-",INDEX(Helper!$B$2:$B$5,MATCH(cadangan3[[#This Row],[Marketplace]],Helper!$A$2:$A$5,0)),TEXT(cadangan3[[#This Row],[No]],"0000"),"-",TEXT(cadangan3[[#This Row],[Tanggal terjual]],"dd/mm/yy"))</f>
        <v>ORD-BL0215-25/04/23</v>
      </c>
      <c r="C216" t="s">
        <v>61</v>
      </c>
      <c r="D216" t="str">
        <f>IFERROR(INDEX(Katalog!$A$3:$A$12,MATCH(cadangan3[[#This Row],[ItemID A]],Katalog!$C$3:$C$12,0)),"-")</f>
        <v>Pakaian Pria</v>
      </c>
      <c r="E216" t="str">
        <f>IFERROR(INDEX(Katalog!$B$3:$B$12,MATCH(cadangan3[[#This Row],[ItemID A]],Katalog!$C$3:$C$12,0)),"-")</f>
        <v>Kaos Polo</v>
      </c>
      <c r="F216">
        <v>4</v>
      </c>
      <c r="G216">
        <v>4</v>
      </c>
      <c r="H216" s="36">
        <f>IFERROR(INDEX(Katalog!$D$3:$D$12,MATCH(cadangan3[[#This Row],[ItemID A]],Katalog!$C$3:$C$12,0))*cadangan3[[#This Row],[Qty A]],0)</f>
        <v>800000</v>
      </c>
      <c r="I216" s="36">
        <f>IFERROR(INDEX(Katalog!$D$3:$D$12,MATCH(cadangan3[[#This Row],[Item A]],Katalog!$B$3:$B$12,0))*cadangan3[[#This Row],[Qty A]],0)</f>
        <v>800000</v>
      </c>
      <c r="J216" s="36">
        <f>IFERROR(cadangan3[[#This Row],[Harga Asli A]]-(cadangan3[[#This Row],[Harga Asli A]]*cadangan3[[#This Row],[Diskon]]),cadangan3[[#This Row],[Harga Asli A]])</f>
        <v>680000</v>
      </c>
      <c r="K216" s="36">
        <f>INDEX(Katalog!$F$3:$F$12,MATCH(cadangan3[[#This Row],[ItemID A]],Katalog!$C$3:$C$12,0))*cadangan3[[#This Row],[Qty A]]</f>
        <v>320000</v>
      </c>
      <c r="L216" s="36">
        <f>IFERROR(cadangan3[[#This Row],[Profit A]]-(cadangan3[[#This Row],[Profit A]]*cadangan3[[#This Row],[Diskon]]),K216)</f>
        <v>272000</v>
      </c>
      <c r="M216" t="s">
        <v>65</v>
      </c>
      <c r="N216" t="str">
        <f>IFERROR(INDEX(Katalog!$A$3:$A$12,MATCH(cadangan3[[#This Row],[ItemID B]],Katalog!$C$3:$C$12,0)),"-")</f>
        <v>Sepatu Pria</v>
      </c>
      <c r="O216" t="str">
        <f>IFERROR(INDEX(Katalog!$B$3:$B$12,MATCH(cadangan3[[#This Row],[ItemID B]],Katalog!$C$3:$C$12,0)),"-")</f>
        <v>Sneakers</v>
      </c>
      <c r="P216">
        <v>1</v>
      </c>
      <c r="Q216">
        <v>2</v>
      </c>
      <c r="R216" s="36">
        <f>IFERROR(INDEX(Katalog!$D$3:$D$12,MATCH(cadangan3[[#This Row],[ItemID B]],Katalog!$C$3:$C$12,0))*cadangan3[[#This Row],[Qty B]],0)</f>
        <v>500000</v>
      </c>
      <c r="S216" s="36">
        <f>IFERROR(INDEX(Katalog!$D$3:$D$12,MATCH(cadangan3[[#This Row],[Item B]],Katalog!$B$3:$B$12,0))*cadangan3[[#This Row],[Qty B]],0)</f>
        <v>500000</v>
      </c>
      <c r="T216" s="36">
        <f>IFERROR(cadangan3[[#This Row],[Harga Asli B]]-(cadangan3[[#This Row],[Harga Asli B]]*cadangan3[[#This Row],[Diskon]]),cadangan3[[#This Row],[Harga Asli B]])</f>
        <v>425000</v>
      </c>
      <c r="U216" s="36">
        <f>IFERROR(INDEX(Katalog!$F$3:$F$12,MATCH(cadangan3[[#This Row],[ItemID B]],Katalog!$C$3:$C$12,0))*cadangan3[[#This Row],[Qty B]],0)</f>
        <v>200000</v>
      </c>
      <c r="V216" s="36">
        <f>IFERROR(cadangan3[[#This Row],[Profit B]]-(cadangan3[[#This Row],[Profit B]]*cadangan3[[#This Row],[Diskon]]),U216)</f>
        <v>170000</v>
      </c>
      <c r="X216" t="str">
        <f>IFERROR(INDEX(Katalog!$A$3:$A$12,MATCH(cadangan3[[#This Row],[ItemID C]],Katalog!$C$3:$C$12,0)),"-")</f>
        <v>-</v>
      </c>
      <c r="Y216" t="str">
        <f>IFERROR(INDEX(Katalog!$B$3:$B$12,MATCH(cadangan3[[#This Row],[ItemID C]],Katalog!$C$3:$C$12,0)),"-")</f>
        <v>-</v>
      </c>
      <c r="AB216" s="36">
        <f>IFERROR(INDEX(Katalog!$D$3:$D$12,MATCH(cadangan3[[#This Row],[ItemID C]],Katalog!$C$3:$C$12,0))*cadangan3[[#This Row],[Qty C]],0)</f>
        <v>0</v>
      </c>
      <c r="AC216" s="36">
        <f>IFERROR(INDEX(Katalog!$D$3:$D$12,MATCH(cadangan3[[#This Row],[Item C]],Katalog!$B$3:$B$12,0))*cadangan3[[#This Row],[Qty C]],0)</f>
        <v>0</v>
      </c>
      <c r="AD216" s="36">
        <f>IFERROR(cadangan3[[#This Row],[Harga Asli C]]-(cadangan3[[#This Row],[Harga Asli C]]*cadangan3[[#This Row],[Diskon]]),cadangan3[[#This Row],[Harga Asli C]])</f>
        <v>0</v>
      </c>
      <c r="AE216" s="36">
        <f>IFERROR(INDEX(Katalog!$F$3:$F$12,MATCH(cadangan3[[#This Row],[ItemID C]],Katalog!$C$3:$C$12,0))*cadangan3[[#This Row],[Qty C]],0)</f>
        <v>0</v>
      </c>
      <c r="AF216" s="36">
        <f>IFERROR(cadangan3[[#This Row],[Profit C]]-(cadangan3[[#This Row],[Profit C]]*cadangan3[[#This Row],[Diskon]]),cadangan3[[#This Row],[Profit C]])</f>
        <v>0</v>
      </c>
      <c r="AG216" s="21">
        <f>cadangan3[[#This Row],[Qty A]]+cadangan3[[#This Row],[Qty B]]+cadangan3[[#This Row],[Qty C]]</f>
        <v>5</v>
      </c>
      <c r="AH216" s="35">
        <f>cadangan3[[#This Row],[Harga A + Diskon]]+cadangan3[[#This Row],[Harga + Diskon B]]+cadangan3[[#This Row],[Harga + Diskon C]]</f>
        <v>1105000</v>
      </c>
      <c r="AI216" s="35">
        <f>(cadangan3[[#This Row],[Profit A]]+cadangan3[[#This Row],[Profit B]]+cadangan3[[#This Row],[Profit C]])</f>
        <v>520000</v>
      </c>
      <c r="AJ216" s="35">
        <f>cadangan3[[#This Row],[Provit A + Diskon]]+cadangan3[[#This Row],[Provit B + Diskon]]+cadangan3[[#This Row],[Provit C + Diskon]]</f>
        <v>442000</v>
      </c>
      <c r="AK216" s="23" t="s">
        <v>32</v>
      </c>
      <c r="AL216" s="37">
        <f>IFERROR(INDEX('Kode Diskon'!$D$3:$D$9,MATCH(cadangan3[[#This Row],[Kode diskon]],'Kode Diskon'!$C$3:$C$9,0)),"-")</f>
        <v>0.15</v>
      </c>
      <c r="AM216" s="23" t="s">
        <v>9</v>
      </c>
      <c r="AN216" s="23" t="s">
        <v>12</v>
      </c>
      <c r="AO216" s="23" t="s">
        <v>78</v>
      </c>
      <c r="AP216" s="24">
        <v>45041</v>
      </c>
      <c r="AQ216" s="23" t="str">
        <f>TEXT(cadangan3[[#This Row],[Tanggal terjual]],"dddd")</f>
        <v>Tuesday</v>
      </c>
    </row>
    <row r="217" spans="1:43" x14ac:dyDescent="0.2">
      <c r="A217" s="20">
        <v>216</v>
      </c>
      <c r="B217" s="21" t="str">
        <f>_xlfn.CONCAT("ORD-",INDEX(Helper!$B$2:$B$5,MATCH(cadangan3[[#This Row],[Marketplace]],Helper!$A$2:$A$5,0)),TEXT(cadangan3[[#This Row],[No]],"0000"),"-",TEXT(cadangan3[[#This Row],[Tanggal terjual]],"dd/mm/yy"))</f>
        <v>ORD-BB0216-13/04/23</v>
      </c>
      <c r="C217" t="s">
        <v>63</v>
      </c>
      <c r="D217" t="str">
        <f>IFERROR(INDEX(Katalog!$A$3:$A$12,MATCH(cadangan3[[#This Row],[ItemID A]],Katalog!$C$3:$C$12,0)),"-")</f>
        <v>Pakaian Pria</v>
      </c>
      <c r="E217" t="str">
        <f>IFERROR(INDEX(Katalog!$B$3:$B$12,MATCH(cadangan3[[#This Row],[ItemID A]],Katalog!$C$3:$C$12,0)),"-")</f>
        <v>Jaket Jeans</v>
      </c>
      <c r="F217">
        <v>2</v>
      </c>
      <c r="G217">
        <v>3</v>
      </c>
      <c r="H217" s="36">
        <f>IFERROR(INDEX(Katalog!$D$3:$D$12,MATCH(cadangan3[[#This Row],[ItemID A]],Katalog!$C$3:$C$12,0))*cadangan3[[#This Row],[Qty A]],0)</f>
        <v>800000</v>
      </c>
      <c r="I217" s="36">
        <f>IFERROR(INDEX(Katalog!$D$3:$D$12,MATCH(cadangan3[[#This Row],[Item A]],Katalog!$B$3:$B$12,0))*cadangan3[[#This Row],[Qty A]],0)</f>
        <v>800000</v>
      </c>
      <c r="J217" s="36">
        <f>IFERROR(cadangan3[[#This Row],[Harga Asli A]]-(cadangan3[[#This Row],[Harga Asli A]]*cadangan3[[#This Row],[Diskon]]),cadangan3[[#This Row],[Harga Asli A]])</f>
        <v>800000</v>
      </c>
      <c r="K217" s="36">
        <f>INDEX(Katalog!$F$3:$F$12,MATCH(cadangan3[[#This Row],[ItemID A]],Katalog!$C$3:$C$12,0))*cadangan3[[#This Row],[Qty A]]</f>
        <v>300000</v>
      </c>
      <c r="L217" s="36">
        <f>IFERROR(cadangan3[[#This Row],[Profit A]]-(cadangan3[[#This Row],[Profit A]]*cadangan3[[#This Row],[Diskon]]),K217)</f>
        <v>300000</v>
      </c>
      <c r="M217" t="s">
        <v>58</v>
      </c>
      <c r="N217" t="str">
        <f>IFERROR(INDEX(Katalog!$A$3:$A$12,MATCH(cadangan3[[#This Row],[ItemID B]],Katalog!$C$3:$C$12,0)),"-")</f>
        <v>Pakaian Wanita</v>
      </c>
      <c r="O217" t="str">
        <f>IFERROR(INDEX(Katalog!$B$3:$B$12,MATCH(cadangan3[[#This Row],[ItemID B]],Katalog!$C$3:$C$12,0)),"-")</f>
        <v>Dress</v>
      </c>
      <c r="P217">
        <v>1</v>
      </c>
      <c r="Q217">
        <v>2</v>
      </c>
      <c r="R217" s="36">
        <f>IFERROR(INDEX(Katalog!$D$3:$D$12,MATCH(cadangan3[[#This Row],[ItemID B]],Katalog!$C$3:$C$12,0))*cadangan3[[#This Row],[Qty B]],0)</f>
        <v>300000</v>
      </c>
      <c r="S217" s="36">
        <f>IFERROR(INDEX(Katalog!$D$3:$D$12,MATCH(cadangan3[[#This Row],[Item B]],Katalog!$B$3:$B$12,0))*cadangan3[[#This Row],[Qty B]],0)</f>
        <v>300000</v>
      </c>
      <c r="T217" s="36">
        <f>IFERROR(cadangan3[[#This Row],[Harga Asli B]]-(cadangan3[[#This Row],[Harga Asli B]]*cadangan3[[#This Row],[Diskon]]),cadangan3[[#This Row],[Harga Asli B]])</f>
        <v>300000</v>
      </c>
      <c r="U217" s="36">
        <f>IFERROR(INDEX(Katalog!$F$3:$F$12,MATCH(cadangan3[[#This Row],[ItemID B]],Katalog!$C$3:$C$12,0))*cadangan3[[#This Row],[Qty B]],0)</f>
        <v>100000</v>
      </c>
      <c r="V217" s="36">
        <f>IFERROR(cadangan3[[#This Row],[Profit B]]-(cadangan3[[#This Row],[Profit B]]*cadangan3[[#This Row],[Diskon]]),U217)</f>
        <v>100000</v>
      </c>
      <c r="W217" t="s">
        <v>59</v>
      </c>
      <c r="X217" t="str">
        <f>IFERROR(INDEX(Katalog!$A$3:$A$12,MATCH(cadangan3[[#This Row],[ItemID C]],Katalog!$C$3:$C$12,0)),"-")</f>
        <v>Pakaian Wanita</v>
      </c>
      <c r="Y217" t="str">
        <f>IFERROR(INDEX(Katalog!$B$3:$B$12,MATCH(cadangan3[[#This Row],[ItemID C]],Katalog!$C$3:$C$12,0)),"-")</f>
        <v>Blouse</v>
      </c>
      <c r="Z217">
        <v>2</v>
      </c>
      <c r="AA217">
        <v>2</v>
      </c>
      <c r="AB217" s="36">
        <f>IFERROR(INDEX(Katalog!$D$3:$D$12,MATCH(cadangan3[[#This Row],[ItemID C]],Katalog!$C$3:$C$12,0))*cadangan3[[#This Row],[Qty C]],0)</f>
        <v>300000</v>
      </c>
      <c r="AC217" s="36">
        <f>IFERROR(INDEX(Katalog!$D$3:$D$12,MATCH(cadangan3[[#This Row],[Item C]],Katalog!$B$3:$B$12,0))*cadangan3[[#This Row],[Qty C]],0)</f>
        <v>300000</v>
      </c>
      <c r="AD217" s="36">
        <f>IFERROR(cadangan3[[#This Row],[Harga Asli C]]-(cadangan3[[#This Row],[Harga Asli C]]*cadangan3[[#This Row],[Diskon]]),cadangan3[[#This Row],[Harga Asli C]])</f>
        <v>300000</v>
      </c>
      <c r="AE217" s="36">
        <f>IFERROR(INDEX(Katalog!$F$3:$F$12,MATCH(cadangan3[[#This Row],[ItemID C]],Katalog!$C$3:$C$12,0))*cadangan3[[#This Row],[Qty C]],0)</f>
        <v>100000</v>
      </c>
      <c r="AF217" s="36">
        <f>IFERROR(cadangan3[[#This Row],[Profit C]]-(cadangan3[[#This Row],[Profit C]]*cadangan3[[#This Row],[Diskon]]),cadangan3[[#This Row],[Profit C]])</f>
        <v>100000</v>
      </c>
      <c r="AG217" s="21">
        <f>cadangan3[[#This Row],[Qty A]]+cadangan3[[#This Row],[Qty B]]+cadangan3[[#This Row],[Qty C]]</f>
        <v>5</v>
      </c>
      <c r="AH217" s="35">
        <f>cadangan3[[#This Row],[Harga A + Diskon]]+cadangan3[[#This Row],[Harga + Diskon B]]+cadangan3[[#This Row],[Harga + Diskon C]]</f>
        <v>1400000</v>
      </c>
      <c r="AI217" s="35">
        <f>(cadangan3[[#This Row],[Profit A]]+cadangan3[[#This Row],[Profit B]]+cadangan3[[#This Row],[Profit C]])</f>
        <v>500000</v>
      </c>
      <c r="AJ217" s="35">
        <f>cadangan3[[#This Row],[Provit A + Diskon]]+cadangan3[[#This Row],[Provit B + Diskon]]+cadangan3[[#This Row],[Provit C + Diskon]]</f>
        <v>500000</v>
      </c>
      <c r="AK217" s="23" t="s">
        <v>11</v>
      </c>
      <c r="AL217" s="37" t="str">
        <f>IFERROR(INDEX('Kode Diskon'!$D$3:$D$9,MATCH(cadangan3[[#This Row],[Kode diskon]],'Kode Diskon'!$C$3:$C$9,0)),"-")</f>
        <v>-</v>
      </c>
      <c r="AM217" s="23" t="s">
        <v>11</v>
      </c>
      <c r="AN217" s="23" t="s">
        <v>14</v>
      </c>
      <c r="AO217" s="23" t="s">
        <v>80</v>
      </c>
      <c r="AP217" s="24">
        <v>45029</v>
      </c>
      <c r="AQ217" s="23" t="str">
        <f>TEXT(cadangan3[[#This Row],[Tanggal terjual]],"dddd")</f>
        <v>Thursday</v>
      </c>
    </row>
    <row r="218" spans="1:43" x14ac:dyDescent="0.2">
      <c r="A218" s="20">
        <v>217</v>
      </c>
      <c r="B218" s="21" t="str">
        <f>_xlfn.CONCAT("ORD-",INDEX(Helper!$B$2:$B$5,MATCH(cadangan3[[#This Row],[Marketplace]],Helper!$A$2:$A$5,0)),TEXT(cadangan3[[#This Row],[No]],"0000"),"-",TEXT(cadangan3[[#This Row],[Tanggal terjual]],"dd/mm/yy"))</f>
        <v>ORD-SP0217-16/04/23</v>
      </c>
      <c r="C218" t="s">
        <v>64</v>
      </c>
      <c r="D218" t="str">
        <f>IFERROR(INDEX(Katalog!$A$3:$A$12,MATCH(cadangan3[[#This Row],[ItemID A]],Katalog!$C$3:$C$12,0)),"-")</f>
        <v>Pakaian Unisex</v>
      </c>
      <c r="E218" t="str">
        <f>IFERROR(INDEX(Katalog!$B$3:$B$12,MATCH(cadangan3[[#This Row],[ItemID A]],Katalog!$C$3:$C$12,0)),"-")</f>
        <v>Jaket Hoodie</v>
      </c>
      <c r="F218">
        <v>1</v>
      </c>
      <c r="G218">
        <v>3</v>
      </c>
      <c r="H218" s="36">
        <f>IFERROR(INDEX(Katalog!$D$3:$D$12,MATCH(cadangan3[[#This Row],[ItemID A]],Katalog!$C$3:$C$12,0))*cadangan3[[#This Row],[Qty A]],0)</f>
        <v>350000</v>
      </c>
      <c r="I218" s="36">
        <f>IFERROR(INDEX(Katalog!$D$3:$D$12,MATCH(cadangan3[[#This Row],[Item A]],Katalog!$B$3:$B$12,0))*cadangan3[[#This Row],[Qty A]],0)</f>
        <v>350000</v>
      </c>
      <c r="J218" s="36">
        <f>IFERROR(cadangan3[[#This Row],[Harga Asli A]]-(cadangan3[[#This Row],[Harga Asli A]]*cadangan3[[#This Row],[Diskon]]),cadangan3[[#This Row],[Harga Asli A]])</f>
        <v>280000</v>
      </c>
      <c r="K218" s="36">
        <f>INDEX(Katalog!$F$3:$F$12,MATCH(cadangan3[[#This Row],[ItemID A]],Katalog!$C$3:$C$12,0))*cadangan3[[#This Row],[Qty A]]</f>
        <v>130000</v>
      </c>
      <c r="L218" s="36">
        <f>IFERROR(cadangan3[[#This Row],[Profit A]]-(cadangan3[[#This Row],[Profit A]]*cadangan3[[#This Row],[Diskon]]),K218)</f>
        <v>104000</v>
      </c>
      <c r="N218" t="str">
        <f>IFERROR(INDEX(Katalog!$A$3:$A$12,MATCH(cadangan3[[#This Row],[ItemID B]],Katalog!$C$3:$C$12,0)),"-")</f>
        <v>-</v>
      </c>
      <c r="O218" t="str">
        <f>IFERROR(INDEX(Katalog!$B$3:$B$12,MATCH(cadangan3[[#This Row],[ItemID B]],Katalog!$C$3:$C$12,0)),"-")</f>
        <v>-</v>
      </c>
      <c r="R218" s="36">
        <f>IFERROR(INDEX(Katalog!$D$3:$D$12,MATCH(cadangan3[[#This Row],[ItemID B]],Katalog!$C$3:$C$12,0))*cadangan3[[#This Row],[Qty B]],0)</f>
        <v>0</v>
      </c>
      <c r="S218" s="36">
        <f>IFERROR(INDEX(Katalog!$D$3:$D$12,MATCH(cadangan3[[#This Row],[Item B]],Katalog!$B$3:$B$12,0))*cadangan3[[#This Row],[Qty B]],0)</f>
        <v>0</v>
      </c>
      <c r="T218" s="36">
        <f>IFERROR(cadangan3[[#This Row],[Harga Asli B]]-(cadangan3[[#This Row],[Harga Asli B]]*cadangan3[[#This Row],[Diskon]]),cadangan3[[#This Row],[Harga Asli B]])</f>
        <v>0</v>
      </c>
      <c r="U218" s="36">
        <f>IFERROR(INDEX(Katalog!$F$3:$F$12,MATCH(cadangan3[[#This Row],[ItemID B]],Katalog!$C$3:$C$12,0))*cadangan3[[#This Row],[Qty B]],0)</f>
        <v>0</v>
      </c>
      <c r="V218" s="36">
        <f>IFERROR(cadangan3[[#This Row],[Profit B]]-(cadangan3[[#This Row],[Profit B]]*cadangan3[[#This Row],[Diskon]]),U218)</f>
        <v>0</v>
      </c>
      <c r="X218" t="str">
        <f>IFERROR(INDEX(Katalog!$A$3:$A$12,MATCH(cadangan3[[#This Row],[ItemID C]],Katalog!$C$3:$C$12,0)),"-")</f>
        <v>-</v>
      </c>
      <c r="Y218" t="str">
        <f>IFERROR(INDEX(Katalog!$B$3:$B$12,MATCH(cadangan3[[#This Row],[ItemID C]],Katalog!$C$3:$C$12,0)),"-")</f>
        <v>-</v>
      </c>
      <c r="AB218" s="36">
        <f>IFERROR(INDEX(Katalog!$D$3:$D$12,MATCH(cadangan3[[#This Row],[ItemID C]],Katalog!$C$3:$C$12,0))*cadangan3[[#This Row],[Qty C]],0)</f>
        <v>0</v>
      </c>
      <c r="AC218" s="36">
        <f>IFERROR(INDEX(Katalog!$D$3:$D$12,MATCH(cadangan3[[#This Row],[Item C]],Katalog!$B$3:$B$12,0))*cadangan3[[#This Row],[Qty C]],0)</f>
        <v>0</v>
      </c>
      <c r="AD218" s="36">
        <f>IFERROR(cadangan3[[#This Row],[Harga Asli C]]-(cadangan3[[#This Row],[Harga Asli C]]*cadangan3[[#This Row],[Diskon]]),cadangan3[[#This Row],[Harga Asli C]])</f>
        <v>0</v>
      </c>
      <c r="AE218" s="36">
        <f>IFERROR(INDEX(Katalog!$F$3:$F$12,MATCH(cadangan3[[#This Row],[ItemID C]],Katalog!$C$3:$C$12,0))*cadangan3[[#This Row],[Qty C]],0)</f>
        <v>0</v>
      </c>
      <c r="AF218" s="36">
        <f>IFERROR(cadangan3[[#This Row],[Profit C]]-(cadangan3[[#This Row],[Profit C]]*cadangan3[[#This Row],[Diskon]]),cadangan3[[#This Row],[Profit C]])</f>
        <v>0</v>
      </c>
      <c r="AG218" s="21">
        <f>cadangan3[[#This Row],[Qty A]]+cadangan3[[#This Row],[Qty B]]+cadangan3[[#This Row],[Qty C]]</f>
        <v>1</v>
      </c>
      <c r="AH218" s="35">
        <f>cadangan3[[#This Row],[Harga A + Diskon]]+cadangan3[[#This Row],[Harga + Diskon B]]+cadangan3[[#This Row],[Harga + Diskon C]]</f>
        <v>280000</v>
      </c>
      <c r="AI218" s="35">
        <f>(cadangan3[[#This Row],[Profit A]]+cadangan3[[#This Row],[Profit B]]+cadangan3[[#This Row],[Profit C]])</f>
        <v>130000</v>
      </c>
      <c r="AJ218" s="35">
        <f>cadangan3[[#This Row],[Provit A + Diskon]]+cadangan3[[#This Row],[Provit B + Diskon]]+cadangan3[[#This Row],[Provit C + Diskon]]</f>
        <v>104000</v>
      </c>
      <c r="AK218" s="23" t="s">
        <v>8</v>
      </c>
      <c r="AL218" s="37">
        <f>IFERROR(INDEX('Kode Diskon'!$D$3:$D$9,MATCH(cadangan3[[#This Row],[Kode diskon]],'Kode Diskon'!$C$3:$C$9,0)),"-")</f>
        <v>0.2</v>
      </c>
      <c r="AM218" s="23" t="s">
        <v>9</v>
      </c>
      <c r="AN218" s="23" t="s">
        <v>7</v>
      </c>
      <c r="AO218" s="23" t="s">
        <v>75</v>
      </c>
      <c r="AP218" s="24">
        <v>45032</v>
      </c>
      <c r="AQ218" s="23" t="str">
        <f>TEXT(cadangan3[[#This Row],[Tanggal terjual]],"dddd")</f>
        <v>Sunday</v>
      </c>
    </row>
    <row r="219" spans="1:43" x14ac:dyDescent="0.2">
      <c r="A219" s="20">
        <v>218</v>
      </c>
      <c r="B219" s="21" t="str">
        <f>_xlfn.CONCAT("ORD-",INDEX(Helper!$B$2:$B$5,MATCH(cadangan3[[#This Row],[Marketplace]],Helper!$A$2:$A$5,0)),TEXT(cadangan3[[#This Row],[No]],"0000"),"-",TEXT(cadangan3[[#This Row],[Tanggal terjual]],"dd/mm/yy"))</f>
        <v>ORD-SP0218-04/04/23</v>
      </c>
      <c r="C219" t="s">
        <v>66</v>
      </c>
      <c r="D219" t="str">
        <f>IFERROR(INDEX(Katalog!$A$3:$A$12,MATCH(cadangan3[[#This Row],[ItemID A]],Katalog!$C$3:$C$12,0)),"-")</f>
        <v>Sepatu Pria</v>
      </c>
      <c r="E219" t="str">
        <f>IFERROR(INDEX(Katalog!$B$3:$B$12,MATCH(cadangan3[[#This Row],[ItemID A]],Katalog!$C$3:$C$12,0)),"-")</f>
        <v>Sandal Slip On</v>
      </c>
      <c r="F219">
        <v>3</v>
      </c>
      <c r="G219">
        <v>1</v>
      </c>
      <c r="H219" s="36">
        <f>IFERROR(INDEX(Katalog!$D$3:$D$12,MATCH(cadangan3[[#This Row],[ItemID A]],Katalog!$C$3:$C$12,0))*cadangan3[[#This Row],[Qty A]],0)</f>
        <v>450000</v>
      </c>
      <c r="I219" s="36">
        <f>IFERROR(INDEX(Katalog!$D$3:$D$12,MATCH(cadangan3[[#This Row],[Item A]],Katalog!$B$3:$B$12,0))*cadangan3[[#This Row],[Qty A]],0)</f>
        <v>450000</v>
      </c>
      <c r="J219" s="36">
        <f>IFERROR(cadangan3[[#This Row],[Harga Asli A]]-(cadangan3[[#This Row],[Harga Asli A]]*cadangan3[[#This Row],[Diskon]]),cadangan3[[#This Row],[Harga Asli A]])</f>
        <v>382500</v>
      </c>
      <c r="K219" s="36">
        <f>INDEX(Katalog!$F$3:$F$12,MATCH(cadangan3[[#This Row],[ItemID A]],Katalog!$C$3:$C$12,0))*cadangan3[[#This Row],[Qty A]]</f>
        <v>180000</v>
      </c>
      <c r="L219" s="36">
        <f>IFERROR(cadangan3[[#This Row],[Profit A]]-(cadangan3[[#This Row],[Profit A]]*cadangan3[[#This Row],[Diskon]]),K219)</f>
        <v>153000</v>
      </c>
      <c r="M219" t="s">
        <v>62</v>
      </c>
      <c r="N219" t="str">
        <f>IFERROR(INDEX(Katalog!$A$3:$A$12,MATCH(cadangan3[[#This Row],[ItemID B]],Katalog!$C$3:$C$12,0)),"-")</f>
        <v>Pakaian Pria</v>
      </c>
      <c r="O219" t="str">
        <f>IFERROR(INDEX(Katalog!$B$3:$B$12,MATCH(cadangan3[[#This Row],[ItemID B]],Katalog!$C$3:$C$12,0)),"-")</f>
        <v>Celana Pendek</v>
      </c>
      <c r="P219">
        <v>2</v>
      </c>
      <c r="Q219">
        <v>4</v>
      </c>
      <c r="R219" s="36">
        <f>IFERROR(INDEX(Katalog!$D$3:$D$12,MATCH(cadangan3[[#This Row],[ItemID B]],Katalog!$C$3:$C$12,0))*cadangan3[[#This Row],[Qty B]],0)</f>
        <v>360000</v>
      </c>
      <c r="S219" s="36">
        <f>IFERROR(INDEX(Katalog!$D$3:$D$12,MATCH(cadangan3[[#This Row],[Item B]],Katalog!$B$3:$B$12,0))*cadangan3[[#This Row],[Qty B]],0)</f>
        <v>360000</v>
      </c>
      <c r="T219" s="36">
        <f>IFERROR(cadangan3[[#This Row],[Harga Asli B]]-(cadangan3[[#This Row],[Harga Asli B]]*cadangan3[[#This Row],[Diskon]]),cadangan3[[#This Row],[Harga Asli B]])</f>
        <v>306000</v>
      </c>
      <c r="U219" s="36">
        <f>IFERROR(INDEX(Katalog!$F$3:$F$12,MATCH(cadangan3[[#This Row],[ItemID B]],Katalog!$C$3:$C$12,0))*cadangan3[[#This Row],[Qty B]],0)</f>
        <v>140000</v>
      </c>
      <c r="V219" s="36">
        <f>IFERROR(cadangan3[[#This Row],[Profit B]]-(cadangan3[[#This Row],[Profit B]]*cadangan3[[#This Row],[Diskon]]),U219)</f>
        <v>119000</v>
      </c>
      <c r="X219" t="str">
        <f>IFERROR(INDEX(Katalog!$A$3:$A$12,MATCH(cadangan3[[#This Row],[ItemID C]],Katalog!$C$3:$C$12,0)),"-")</f>
        <v>-</v>
      </c>
      <c r="Y219" t="str">
        <f>IFERROR(INDEX(Katalog!$B$3:$B$12,MATCH(cadangan3[[#This Row],[ItemID C]],Katalog!$C$3:$C$12,0)),"-")</f>
        <v>-</v>
      </c>
      <c r="AB219" s="36">
        <f>IFERROR(INDEX(Katalog!$D$3:$D$12,MATCH(cadangan3[[#This Row],[ItemID C]],Katalog!$C$3:$C$12,0))*cadangan3[[#This Row],[Qty C]],0)</f>
        <v>0</v>
      </c>
      <c r="AC219" s="36">
        <f>IFERROR(INDEX(Katalog!$D$3:$D$12,MATCH(cadangan3[[#This Row],[Item C]],Katalog!$B$3:$B$12,0))*cadangan3[[#This Row],[Qty C]],0)</f>
        <v>0</v>
      </c>
      <c r="AD219" s="36">
        <f>IFERROR(cadangan3[[#This Row],[Harga Asli C]]-(cadangan3[[#This Row],[Harga Asli C]]*cadangan3[[#This Row],[Diskon]]),cadangan3[[#This Row],[Harga Asli C]])</f>
        <v>0</v>
      </c>
      <c r="AE219" s="36">
        <f>IFERROR(INDEX(Katalog!$F$3:$F$12,MATCH(cadangan3[[#This Row],[ItemID C]],Katalog!$C$3:$C$12,0))*cadangan3[[#This Row],[Qty C]],0)</f>
        <v>0</v>
      </c>
      <c r="AF219" s="36">
        <f>IFERROR(cadangan3[[#This Row],[Profit C]]-(cadangan3[[#This Row],[Profit C]]*cadangan3[[#This Row],[Diskon]]),cadangan3[[#This Row],[Profit C]])</f>
        <v>0</v>
      </c>
      <c r="AG219" s="21">
        <f>cadangan3[[#This Row],[Qty A]]+cadangan3[[#This Row],[Qty B]]+cadangan3[[#This Row],[Qty C]]</f>
        <v>5</v>
      </c>
      <c r="AH219" s="35">
        <f>cadangan3[[#This Row],[Harga A + Diskon]]+cadangan3[[#This Row],[Harga + Diskon B]]+cadangan3[[#This Row],[Harga + Diskon C]]</f>
        <v>688500</v>
      </c>
      <c r="AI219" s="35">
        <f>(cadangan3[[#This Row],[Profit A]]+cadangan3[[#This Row],[Profit B]]+cadangan3[[#This Row],[Profit C]])</f>
        <v>320000</v>
      </c>
      <c r="AJ219" s="35">
        <f>cadangan3[[#This Row],[Provit A + Diskon]]+cadangan3[[#This Row],[Provit B + Diskon]]+cadangan3[[#This Row],[Provit C + Diskon]]</f>
        <v>272000</v>
      </c>
      <c r="AK219" s="23" t="s">
        <v>13</v>
      </c>
      <c r="AL219" s="37">
        <f>IFERROR(INDEX('Kode Diskon'!$D$3:$D$9,MATCH(cadangan3[[#This Row],[Kode diskon]],'Kode Diskon'!$C$3:$C$9,0)),"-")</f>
        <v>0.15</v>
      </c>
      <c r="AM219" s="23" t="s">
        <v>29</v>
      </c>
      <c r="AN219" s="23" t="s">
        <v>7</v>
      </c>
      <c r="AO219" s="23" t="s">
        <v>79</v>
      </c>
      <c r="AP219" s="24">
        <v>45020</v>
      </c>
      <c r="AQ219" s="23" t="str">
        <f>TEXT(cadangan3[[#This Row],[Tanggal terjual]],"dddd")</f>
        <v>Tuesday</v>
      </c>
    </row>
    <row r="220" spans="1:43" x14ac:dyDescent="0.2">
      <c r="A220" s="20">
        <v>219</v>
      </c>
      <c r="B220" s="21" t="str">
        <f>_xlfn.CONCAT("ORD-",INDEX(Helper!$B$2:$B$5,MATCH(cadangan3[[#This Row],[Marketplace]],Helper!$A$2:$A$5,0)),TEXT(cadangan3[[#This Row],[No]],"0000"),"-",TEXT(cadangan3[[#This Row],[Tanggal terjual]],"dd/mm/yy"))</f>
        <v>ORD-TK0219-19/04/23</v>
      </c>
      <c r="C220" t="s">
        <v>60</v>
      </c>
      <c r="D220" t="str">
        <f>IFERROR(INDEX(Katalog!$A$3:$A$12,MATCH(cadangan3[[#This Row],[ItemID A]],Katalog!$C$3:$C$12,0)),"-")</f>
        <v>Pakaian Wanita</v>
      </c>
      <c r="E220" t="str">
        <f>IFERROR(INDEX(Katalog!$B$3:$B$12,MATCH(cadangan3[[#This Row],[ItemID A]],Katalog!$C$3:$C$12,0)),"-")</f>
        <v>Kaftan</v>
      </c>
      <c r="F220">
        <v>3</v>
      </c>
      <c r="G220">
        <v>5</v>
      </c>
      <c r="H220" s="36">
        <f>IFERROR(INDEX(Katalog!$D$3:$D$12,MATCH(cadangan3[[#This Row],[ItemID A]],Katalog!$C$3:$C$12,0))*cadangan3[[#This Row],[Qty A]],0)</f>
        <v>750000</v>
      </c>
      <c r="I220" s="36">
        <f>IFERROR(INDEX(Katalog!$D$3:$D$12,MATCH(cadangan3[[#This Row],[Item A]],Katalog!$B$3:$B$12,0))*cadangan3[[#This Row],[Qty A]],0)</f>
        <v>750000</v>
      </c>
      <c r="J220" s="36">
        <f>IFERROR(cadangan3[[#This Row],[Harga Asli A]]-(cadangan3[[#This Row],[Harga Asli A]]*cadangan3[[#This Row],[Diskon]]),cadangan3[[#This Row],[Harga Asli A]])</f>
        <v>675000</v>
      </c>
      <c r="K220" s="36">
        <f>INDEX(Katalog!$F$3:$F$12,MATCH(cadangan3[[#This Row],[ItemID A]],Katalog!$C$3:$C$12,0))*cadangan3[[#This Row],[Qty A]]</f>
        <v>300000</v>
      </c>
      <c r="L220" s="36">
        <f>IFERROR(cadangan3[[#This Row],[Profit A]]-(cadangan3[[#This Row],[Profit A]]*cadangan3[[#This Row],[Diskon]]),K220)</f>
        <v>270000</v>
      </c>
      <c r="M220" t="s">
        <v>62</v>
      </c>
      <c r="N220" t="str">
        <f>IFERROR(INDEX(Katalog!$A$3:$A$12,MATCH(cadangan3[[#This Row],[ItemID B]],Katalog!$C$3:$C$12,0)),"-")</f>
        <v>Pakaian Pria</v>
      </c>
      <c r="O220" t="str">
        <f>IFERROR(INDEX(Katalog!$B$3:$B$12,MATCH(cadangan3[[#This Row],[ItemID B]],Katalog!$C$3:$C$12,0)),"-")</f>
        <v>Celana Pendek</v>
      </c>
      <c r="P220">
        <v>2</v>
      </c>
      <c r="Q220">
        <v>4</v>
      </c>
      <c r="R220" s="36">
        <f>IFERROR(INDEX(Katalog!$D$3:$D$12,MATCH(cadangan3[[#This Row],[ItemID B]],Katalog!$C$3:$C$12,0))*cadangan3[[#This Row],[Qty B]],0)</f>
        <v>360000</v>
      </c>
      <c r="S220" s="36">
        <f>IFERROR(INDEX(Katalog!$D$3:$D$12,MATCH(cadangan3[[#This Row],[Item B]],Katalog!$B$3:$B$12,0))*cadangan3[[#This Row],[Qty B]],0)</f>
        <v>360000</v>
      </c>
      <c r="T220" s="36">
        <f>IFERROR(cadangan3[[#This Row],[Harga Asli B]]-(cadangan3[[#This Row],[Harga Asli B]]*cadangan3[[#This Row],[Diskon]]),cadangan3[[#This Row],[Harga Asli B]])</f>
        <v>324000</v>
      </c>
      <c r="U220" s="36">
        <f>IFERROR(INDEX(Katalog!$F$3:$F$12,MATCH(cadangan3[[#This Row],[ItemID B]],Katalog!$C$3:$C$12,0))*cadangan3[[#This Row],[Qty B]],0)</f>
        <v>140000</v>
      </c>
      <c r="V220" s="36">
        <f>IFERROR(cadangan3[[#This Row],[Profit B]]-(cadangan3[[#This Row],[Profit B]]*cadangan3[[#This Row],[Diskon]]),U220)</f>
        <v>126000</v>
      </c>
      <c r="X220" t="str">
        <f>IFERROR(INDEX(Katalog!$A$3:$A$12,MATCH(cadangan3[[#This Row],[ItemID C]],Katalog!$C$3:$C$12,0)),"-")</f>
        <v>-</v>
      </c>
      <c r="Y220" t="str">
        <f>IFERROR(INDEX(Katalog!$B$3:$B$12,MATCH(cadangan3[[#This Row],[ItemID C]],Katalog!$C$3:$C$12,0)),"-")</f>
        <v>-</v>
      </c>
      <c r="AB220" s="36">
        <f>IFERROR(INDEX(Katalog!$D$3:$D$12,MATCH(cadangan3[[#This Row],[ItemID C]],Katalog!$C$3:$C$12,0))*cadangan3[[#This Row],[Qty C]],0)</f>
        <v>0</v>
      </c>
      <c r="AC220" s="36">
        <f>IFERROR(INDEX(Katalog!$D$3:$D$12,MATCH(cadangan3[[#This Row],[Item C]],Katalog!$B$3:$B$12,0))*cadangan3[[#This Row],[Qty C]],0)</f>
        <v>0</v>
      </c>
      <c r="AD220" s="36">
        <f>IFERROR(cadangan3[[#This Row],[Harga Asli C]]-(cadangan3[[#This Row],[Harga Asli C]]*cadangan3[[#This Row],[Diskon]]),cadangan3[[#This Row],[Harga Asli C]])</f>
        <v>0</v>
      </c>
      <c r="AE220" s="36">
        <f>IFERROR(INDEX(Katalog!$F$3:$F$12,MATCH(cadangan3[[#This Row],[ItemID C]],Katalog!$C$3:$C$12,0))*cadangan3[[#This Row],[Qty C]],0)</f>
        <v>0</v>
      </c>
      <c r="AF220" s="36">
        <f>IFERROR(cadangan3[[#This Row],[Profit C]]-(cadangan3[[#This Row],[Profit C]]*cadangan3[[#This Row],[Diskon]]),cadangan3[[#This Row],[Profit C]])</f>
        <v>0</v>
      </c>
      <c r="AG220" s="21">
        <f>cadangan3[[#This Row],[Qty A]]+cadangan3[[#This Row],[Qty B]]+cadangan3[[#This Row],[Qty C]]</f>
        <v>5</v>
      </c>
      <c r="AH220" s="35">
        <f>cadangan3[[#This Row],[Harga A + Diskon]]+cadangan3[[#This Row],[Harga + Diskon B]]+cadangan3[[#This Row],[Harga + Diskon C]]</f>
        <v>999000</v>
      </c>
      <c r="AI220" s="35">
        <f>(cadangan3[[#This Row],[Profit A]]+cadangan3[[#This Row],[Profit B]]+cadangan3[[#This Row],[Profit C]])</f>
        <v>440000</v>
      </c>
      <c r="AJ220" s="35">
        <f>cadangan3[[#This Row],[Provit A + Diskon]]+cadangan3[[#This Row],[Provit B + Diskon]]+cadangan3[[#This Row],[Provit C + Diskon]]</f>
        <v>396000</v>
      </c>
      <c r="AK220" s="23" t="s">
        <v>31</v>
      </c>
      <c r="AL220" s="37">
        <f>IFERROR(INDEX('Kode Diskon'!$D$3:$D$9,MATCH(cadangan3[[#This Row],[Kode diskon]],'Kode Diskon'!$C$3:$C$9,0)),"-")</f>
        <v>0.1</v>
      </c>
      <c r="AM220" s="23" t="s">
        <v>9</v>
      </c>
      <c r="AN220" s="23" t="s">
        <v>10</v>
      </c>
      <c r="AO220" s="23" t="s">
        <v>75</v>
      </c>
      <c r="AP220" s="24">
        <v>45035</v>
      </c>
      <c r="AQ220" s="23" t="str">
        <f>TEXT(cadangan3[[#This Row],[Tanggal terjual]],"dddd")</f>
        <v>Wednesday</v>
      </c>
    </row>
    <row r="221" spans="1:43" x14ac:dyDescent="0.2">
      <c r="A221" s="20">
        <v>220</v>
      </c>
      <c r="B221" s="21" t="str">
        <f>_xlfn.CONCAT("ORD-",INDEX(Helper!$B$2:$B$5,MATCH(cadangan3[[#This Row],[Marketplace]],Helper!$A$2:$A$5,0)),TEXT(cadangan3[[#This Row],[No]],"0000"),"-",TEXT(cadangan3[[#This Row],[Tanggal terjual]],"dd/mm/yy"))</f>
        <v>ORD-TK0220-05/04/23</v>
      </c>
      <c r="C221" t="s">
        <v>66</v>
      </c>
      <c r="D221" t="str">
        <f>IFERROR(INDEX(Katalog!$A$3:$A$12,MATCH(cadangan3[[#This Row],[ItemID A]],Katalog!$C$3:$C$12,0)),"-")</f>
        <v>Sepatu Pria</v>
      </c>
      <c r="E221" t="str">
        <f>IFERROR(INDEX(Katalog!$B$3:$B$12,MATCH(cadangan3[[#This Row],[ItemID A]],Katalog!$C$3:$C$12,0)),"-")</f>
        <v>Sandal Slip On</v>
      </c>
      <c r="F221">
        <v>1</v>
      </c>
      <c r="G221">
        <v>2</v>
      </c>
      <c r="H221" s="36">
        <f>IFERROR(INDEX(Katalog!$D$3:$D$12,MATCH(cadangan3[[#This Row],[ItemID A]],Katalog!$C$3:$C$12,0))*cadangan3[[#This Row],[Qty A]],0)</f>
        <v>150000</v>
      </c>
      <c r="I221" s="36">
        <f>IFERROR(INDEX(Katalog!$D$3:$D$12,MATCH(cadangan3[[#This Row],[Item A]],Katalog!$B$3:$B$12,0))*cadangan3[[#This Row],[Qty A]],0)</f>
        <v>150000</v>
      </c>
      <c r="J221" s="36">
        <f>IFERROR(cadangan3[[#This Row],[Harga Asli A]]-(cadangan3[[#This Row],[Harga Asli A]]*cadangan3[[#This Row],[Diskon]]),cadangan3[[#This Row],[Harga Asli A]])</f>
        <v>135000</v>
      </c>
      <c r="K221" s="36">
        <f>INDEX(Katalog!$F$3:$F$12,MATCH(cadangan3[[#This Row],[ItemID A]],Katalog!$C$3:$C$12,0))*cadangan3[[#This Row],[Qty A]]</f>
        <v>60000</v>
      </c>
      <c r="L221" s="36">
        <f>IFERROR(cadangan3[[#This Row],[Profit A]]-(cadangan3[[#This Row],[Profit A]]*cadangan3[[#This Row],[Diskon]]),K221)</f>
        <v>54000</v>
      </c>
      <c r="M221" t="s">
        <v>60</v>
      </c>
      <c r="N221" t="str">
        <f>IFERROR(INDEX(Katalog!$A$3:$A$12,MATCH(cadangan3[[#This Row],[ItemID B]],Katalog!$C$3:$C$12,0)),"-")</f>
        <v>Pakaian Wanita</v>
      </c>
      <c r="O221" t="str">
        <f>IFERROR(INDEX(Katalog!$B$3:$B$12,MATCH(cadangan3[[#This Row],[ItemID B]],Katalog!$C$3:$C$12,0)),"-")</f>
        <v>Kaftan</v>
      </c>
      <c r="P221">
        <v>3</v>
      </c>
      <c r="Q221">
        <v>5</v>
      </c>
      <c r="R221" s="36">
        <f>IFERROR(INDEX(Katalog!$D$3:$D$12,MATCH(cadangan3[[#This Row],[ItemID B]],Katalog!$C$3:$C$12,0))*cadangan3[[#This Row],[Qty B]],0)</f>
        <v>750000</v>
      </c>
      <c r="S221" s="36">
        <f>IFERROR(INDEX(Katalog!$D$3:$D$12,MATCH(cadangan3[[#This Row],[Item B]],Katalog!$B$3:$B$12,0))*cadangan3[[#This Row],[Qty B]],0)</f>
        <v>750000</v>
      </c>
      <c r="T221" s="36">
        <f>IFERROR(cadangan3[[#This Row],[Harga Asli B]]-(cadangan3[[#This Row],[Harga Asli B]]*cadangan3[[#This Row],[Diskon]]),cadangan3[[#This Row],[Harga Asli B]])</f>
        <v>675000</v>
      </c>
      <c r="U221" s="36">
        <f>IFERROR(INDEX(Katalog!$F$3:$F$12,MATCH(cadangan3[[#This Row],[ItemID B]],Katalog!$C$3:$C$12,0))*cadangan3[[#This Row],[Qty B]],0)</f>
        <v>300000</v>
      </c>
      <c r="V221" s="36">
        <f>IFERROR(cadangan3[[#This Row],[Profit B]]-(cadangan3[[#This Row],[Profit B]]*cadangan3[[#This Row],[Diskon]]),U221)</f>
        <v>270000</v>
      </c>
      <c r="W221" t="s">
        <v>67</v>
      </c>
      <c r="X221" t="str">
        <f>IFERROR(INDEX(Katalog!$A$3:$A$12,MATCH(cadangan3[[#This Row],[ItemID C]],Katalog!$C$3:$C$12,0)),"-")</f>
        <v>Sepatu Wanita</v>
      </c>
      <c r="Y221" t="str">
        <f>IFERROR(INDEX(Katalog!$B$3:$B$12,MATCH(cadangan3[[#This Row],[ItemID C]],Katalog!$C$3:$C$12,0)),"-")</f>
        <v>Flat Shoes</v>
      </c>
      <c r="Z221">
        <v>3</v>
      </c>
      <c r="AA221">
        <v>5</v>
      </c>
      <c r="AB221" s="36">
        <f>IFERROR(INDEX(Katalog!$D$3:$D$12,MATCH(cadangan3[[#This Row],[ItemID C]],Katalog!$C$3:$C$12,0))*cadangan3[[#This Row],[Qty C]],0)</f>
        <v>750000</v>
      </c>
      <c r="AC221" s="36">
        <f>IFERROR(INDEX(Katalog!$D$3:$D$12,MATCH(cadangan3[[#This Row],[Item C]],Katalog!$B$3:$B$12,0))*cadangan3[[#This Row],[Qty C]],0)</f>
        <v>750000</v>
      </c>
      <c r="AD221" s="36">
        <f>IFERROR(cadangan3[[#This Row],[Harga Asli C]]-(cadangan3[[#This Row],[Harga Asli C]]*cadangan3[[#This Row],[Diskon]]),cadangan3[[#This Row],[Harga Asli C]])</f>
        <v>675000</v>
      </c>
      <c r="AE221" s="36">
        <f>IFERROR(INDEX(Katalog!$F$3:$F$12,MATCH(cadangan3[[#This Row],[ItemID C]],Katalog!$C$3:$C$12,0))*cadangan3[[#This Row],[Qty C]],0)</f>
        <v>300000</v>
      </c>
      <c r="AF221" s="36">
        <f>IFERROR(cadangan3[[#This Row],[Profit C]]-(cadangan3[[#This Row],[Profit C]]*cadangan3[[#This Row],[Diskon]]),cadangan3[[#This Row],[Profit C]])</f>
        <v>270000</v>
      </c>
      <c r="AG221" s="21">
        <f>cadangan3[[#This Row],[Qty A]]+cadangan3[[#This Row],[Qty B]]+cadangan3[[#This Row],[Qty C]]</f>
        <v>7</v>
      </c>
      <c r="AH221" s="35">
        <f>cadangan3[[#This Row],[Harga A + Diskon]]+cadangan3[[#This Row],[Harga + Diskon B]]+cadangan3[[#This Row],[Harga + Diskon C]]</f>
        <v>1485000</v>
      </c>
      <c r="AI221" s="35">
        <f>(cadangan3[[#This Row],[Profit A]]+cadangan3[[#This Row],[Profit B]]+cadangan3[[#This Row],[Profit C]])</f>
        <v>660000</v>
      </c>
      <c r="AJ221" s="35">
        <f>cadangan3[[#This Row],[Provit A + Diskon]]+cadangan3[[#This Row],[Provit B + Diskon]]+cadangan3[[#This Row],[Provit C + Diskon]]</f>
        <v>594000</v>
      </c>
      <c r="AK221" s="23" t="s">
        <v>30</v>
      </c>
      <c r="AL221" s="37">
        <f>IFERROR(INDEX('Kode Diskon'!$D$3:$D$9,MATCH(cadangan3[[#This Row],[Kode diskon]],'Kode Diskon'!$C$3:$C$9,0)),"-")</f>
        <v>0.1</v>
      </c>
      <c r="AM221" s="23" t="s">
        <v>29</v>
      </c>
      <c r="AN221" s="23" t="s">
        <v>10</v>
      </c>
      <c r="AO221" s="23" t="s">
        <v>79</v>
      </c>
      <c r="AP221" s="24">
        <v>45021</v>
      </c>
      <c r="AQ221" s="23" t="str">
        <f>TEXT(cadangan3[[#This Row],[Tanggal terjual]],"dddd")</f>
        <v>Wednesday</v>
      </c>
    </row>
    <row r="222" spans="1:43" x14ac:dyDescent="0.2">
      <c r="A222" s="20">
        <v>221</v>
      </c>
      <c r="B222" s="21" t="str">
        <f>_xlfn.CONCAT("ORD-",INDEX(Helper!$B$2:$B$5,MATCH(cadangan3[[#This Row],[Marketplace]],Helper!$A$2:$A$5,0)),TEXT(cadangan3[[#This Row],[No]],"0000"),"-",TEXT(cadangan3[[#This Row],[Tanggal terjual]],"dd/mm/yy"))</f>
        <v>ORD-SP0221-03/04/23</v>
      </c>
      <c r="C222" t="s">
        <v>65</v>
      </c>
      <c r="D222" t="str">
        <f>IFERROR(INDEX(Katalog!$A$3:$A$12,MATCH(cadangan3[[#This Row],[ItemID A]],Katalog!$C$3:$C$12,0)),"-")</f>
        <v>Sepatu Pria</v>
      </c>
      <c r="E222" t="str">
        <f>IFERROR(INDEX(Katalog!$B$3:$B$12,MATCH(cadangan3[[#This Row],[ItemID A]],Katalog!$C$3:$C$12,0)),"-")</f>
        <v>Sneakers</v>
      </c>
      <c r="F222">
        <v>2</v>
      </c>
      <c r="G222">
        <v>2</v>
      </c>
      <c r="H222" s="36">
        <f>IFERROR(INDEX(Katalog!$D$3:$D$12,MATCH(cadangan3[[#This Row],[ItemID A]],Katalog!$C$3:$C$12,0))*cadangan3[[#This Row],[Qty A]],0)</f>
        <v>1000000</v>
      </c>
      <c r="I222" s="36">
        <f>IFERROR(INDEX(Katalog!$D$3:$D$12,MATCH(cadangan3[[#This Row],[Item A]],Katalog!$B$3:$B$12,0))*cadangan3[[#This Row],[Qty A]],0)</f>
        <v>1000000</v>
      </c>
      <c r="J222" s="36">
        <f>IFERROR(cadangan3[[#This Row],[Harga Asli A]]-(cadangan3[[#This Row],[Harga Asli A]]*cadangan3[[#This Row],[Diskon]]),cadangan3[[#This Row],[Harga Asli A]])</f>
        <v>900000</v>
      </c>
      <c r="K222" s="36">
        <f>INDEX(Katalog!$F$3:$F$12,MATCH(cadangan3[[#This Row],[ItemID A]],Katalog!$C$3:$C$12,0))*cadangan3[[#This Row],[Qty A]]</f>
        <v>400000</v>
      </c>
      <c r="L222" s="36">
        <f>IFERROR(cadangan3[[#This Row],[Profit A]]-(cadangan3[[#This Row],[Profit A]]*cadangan3[[#This Row],[Diskon]]),K222)</f>
        <v>360000</v>
      </c>
      <c r="M222" t="s">
        <v>61</v>
      </c>
      <c r="N222" t="str">
        <f>IFERROR(INDEX(Katalog!$A$3:$A$12,MATCH(cadangan3[[#This Row],[ItemID B]],Katalog!$C$3:$C$12,0)),"-")</f>
        <v>Pakaian Pria</v>
      </c>
      <c r="O222" t="str">
        <f>IFERROR(INDEX(Katalog!$B$3:$B$12,MATCH(cadangan3[[#This Row],[ItemID B]],Katalog!$C$3:$C$12,0)),"-")</f>
        <v>Kaos Polo</v>
      </c>
      <c r="P222">
        <v>1</v>
      </c>
      <c r="Q222">
        <v>4</v>
      </c>
      <c r="R222" s="36">
        <f>IFERROR(INDEX(Katalog!$D$3:$D$12,MATCH(cadangan3[[#This Row],[ItemID B]],Katalog!$C$3:$C$12,0))*cadangan3[[#This Row],[Qty B]],0)</f>
        <v>200000</v>
      </c>
      <c r="S222" s="36">
        <f>IFERROR(INDEX(Katalog!$D$3:$D$12,MATCH(cadangan3[[#This Row],[Item B]],Katalog!$B$3:$B$12,0))*cadangan3[[#This Row],[Qty B]],0)</f>
        <v>200000</v>
      </c>
      <c r="T222" s="36">
        <f>IFERROR(cadangan3[[#This Row],[Harga Asli B]]-(cadangan3[[#This Row],[Harga Asli B]]*cadangan3[[#This Row],[Diskon]]),cadangan3[[#This Row],[Harga Asli B]])</f>
        <v>180000</v>
      </c>
      <c r="U222" s="36">
        <f>IFERROR(INDEX(Katalog!$F$3:$F$12,MATCH(cadangan3[[#This Row],[ItemID B]],Katalog!$C$3:$C$12,0))*cadangan3[[#This Row],[Qty B]],0)</f>
        <v>80000</v>
      </c>
      <c r="V222" s="36">
        <f>IFERROR(cadangan3[[#This Row],[Profit B]]-(cadangan3[[#This Row],[Profit B]]*cadangan3[[#This Row],[Diskon]]),U222)</f>
        <v>72000</v>
      </c>
      <c r="X222" t="str">
        <f>IFERROR(INDEX(Katalog!$A$3:$A$12,MATCH(cadangan3[[#This Row],[ItemID C]],Katalog!$C$3:$C$12,0)),"-")</f>
        <v>-</v>
      </c>
      <c r="Y222" t="str">
        <f>IFERROR(INDEX(Katalog!$B$3:$B$12,MATCH(cadangan3[[#This Row],[ItemID C]],Katalog!$C$3:$C$12,0)),"-")</f>
        <v>-</v>
      </c>
      <c r="AB222" s="36">
        <f>IFERROR(INDEX(Katalog!$D$3:$D$12,MATCH(cadangan3[[#This Row],[ItemID C]],Katalog!$C$3:$C$12,0))*cadangan3[[#This Row],[Qty C]],0)</f>
        <v>0</v>
      </c>
      <c r="AC222" s="36">
        <f>IFERROR(INDEX(Katalog!$D$3:$D$12,MATCH(cadangan3[[#This Row],[Item C]],Katalog!$B$3:$B$12,0))*cadangan3[[#This Row],[Qty C]],0)</f>
        <v>0</v>
      </c>
      <c r="AD222" s="36">
        <f>IFERROR(cadangan3[[#This Row],[Harga Asli C]]-(cadangan3[[#This Row],[Harga Asli C]]*cadangan3[[#This Row],[Diskon]]),cadangan3[[#This Row],[Harga Asli C]])</f>
        <v>0</v>
      </c>
      <c r="AE222" s="36">
        <f>IFERROR(INDEX(Katalog!$F$3:$F$12,MATCH(cadangan3[[#This Row],[ItemID C]],Katalog!$C$3:$C$12,0))*cadangan3[[#This Row],[Qty C]],0)</f>
        <v>0</v>
      </c>
      <c r="AF222" s="36">
        <f>IFERROR(cadangan3[[#This Row],[Profit C]]-(cadangan3[[#This Row],[Profit C]]*cadangan3[[#This Row],[Diskon]]),cadangan3[[#This Row],[Profit C]])</f>
        <v>0</v>
      </c>
      <c r="AG222" s="21">
        <f>cadangan3[[#This Row],[Qty A]]+cadangan3[[#This Row],[Qty B]]+cadangan3[[#This Row],[Qty C]]</f>
        <v>3</v>
      </c>
      <c r="AH222" s="35">
        <f>cadangan3[[#This Row],[Harga A + Diskon]]+cadangan3[[#This Row],[Harga + Diskon B]]+cadangan3[[#This Row],[Harga + Diskon C]]</f>
        <v>1080000</v>
      </c>
      <c r="AI222" s="35">
        <f>(cadangan3[[#This Row],[Profit A]]+cadangan3[[#This Row],[Profit B]]+cadangan3[[#This Row],[Profit C]])</f>
        <v>480000</v>
      </c>
      <c r="AJ222" s="35">
        <f>cadangan3[[#This Row],[Provit A + Diskon]]+cadangan3[[#This Row],[Provit B + Diskon]]+cadangan3[[#This Row],[Provit C + Diskon]]</f>
        <v>432000</v>
      </c>
      <c r="AK222" s="23" t="s">
        <v>6</v>
      </c>
      <c r="AL222" s="37">
        <f>IFERROR(INDEX('Kode Diskon'!$D$3:$D$9,MATCH(cadangan3[[#This Row],[Kode diskon]],'Kode Diskon'!$C$3:$C$9,0)),"-")</f>
        <v>0.1</v>
      </c>
      <c r="AM222" s="23" t="s">
        <v>29</v>
      </c>
      <c r="AN222" s="23" t="s">
        <v>7</v>
      </c>
      <c r="AO222" s="23" t="s">
        <v>77</v>
      </c>
      <c r="AP222" s="24">
        <v>45019</v>
      </c>
      <c r="AQ222" s="23" t="str">
        <f>TEXT(cadangan3[[#This Row],[Tanggal terjual]],"dddd")</f>
        <v>Monday</v>
      </c>
    </row>
    <row r="223" spans="1:43" x14ac:dyDescent="0.2">
      <c r="A223" s="20">
        <v>222</v>
      </c>
      <c r="B223" s="21" t="str">
        <f>_xlfn.CONCAT("ORD-",INDEX(Helper!$B$2:$B$5,MATCH(cadangan3[[#This Row],[Marketplace]],Helper!$A$2:$A$5,0)),TEXT(cadangan3[[#This Row],[No]],"0000"),"-",TEXT(cadangan3[[#This Row],[Tanggal terjual]],"dd/mm/yy"))</f>
        <v>ORD-TK0222-22/04/23</v>
      </c>
      <c r="C223" t="s">
        <v>61</v>
      </c>
      <c r="D223" t="str">
        <f>IFERROR(INDEX(Katalog!$A$3:$A$12,MATCH(cadangan3[[#This Row],[ItemID A]],Katalog!$C$3:$C$12,0)),"-")</f>
        <v>Pakaian Pria</v>
      </c>
      <c r="E223" t="str">
        <f>IFERROR(INDEX(Katalog!$B$3:$B$12,MATCH(cadangan3[[#This Row],[ItemID A]],Katalog!$C$3:$C$12,0)),"-")</f>
        <v>Kaos Polo</v>
      </c>
      <c r="F223">
        <v>2</v>
      </c>
      <c r="G223">
        <v>3</v>
      </c>
      <c r="H223" s="36">
        <f>IFERROR(INDEX(Katalog!$D$3:$D$12,MATCH(cadangan3[[#This Row],[ItemID A]],Katalog!$C$3:$C$12,0))*cadangan3[[#This Row],[Qty A]],0)</f>
        <v>400000</v>
      </c>
      <c r="I223" s="36">
        <f>IFERROR(INDEX(Katalog!$D$3:$D$12,MATCH(cadangan3[[#This Row],[Item A]],Katalog!$B$3:$B$12,0))*cadangan3[[#This Row],[Qty A]],0)</f>
        <v>400000</v>
      </c>
      <c r="J223" s="36">
        <f>IFERROR(cadangan3[[#This Row],[Harga Asli A]]-(cadangan3[[#This Row],[Harga Asli A]]*cadangan3[[#This Row],[Diskon]]),cadangan3[[#This Row],[Harga Asli A]])</f>
        <v>360000</v>
      </c>
      <c r="K223" s="36">
        <f>INDEX(Katalog!$F$3:$F$12,MATCH(cadangan3[[#This Row],[ItemID A]],Katalog!$C$3:$C$12,0))*cadangan3[[#This Row],[Qty A]]</f>
        <v>160000</v>
      </c>
      <c r="L223" s="36">
        <f>IFERROR(cadangan3[[#This Row],[Profit A]]-(cadangan3[[#This Row],[Profit A]]*cadangan3[[#This Row],[Diskon]]),K223)</f>
        <v>144000</v>
      </c>
      <c r="N223" t="str">
        <f>IFERROR(INDEX(Katalog!$A$3:$A$12,MATCH(cadangan3[[#This Row],[ItemID B]],Katalog!$C$3:$C$12,0)),"-")</f>
        <v>-</v>
      </c>
      <c r="O223" t="str">
        <f>IFERROR(INDEX(Katalog!$B$3:$B$12,MATCH(cadangan3[[#This Row],[ItemID B]],Katalog!$C$3:$C$12,0)),"-")</f>
        <v>-</v>
      </c>
      <c r="R223" s="36">
        <f>IFERROR(INDEX(Katalog!$D$3:$D$12,MATCH(cadangan3[[#This Row],[ItemID B]],Katalog!$C$3:$C$12,0))*cadangan3[[#This Row],[Qty B]],0)</f>
        <v>0</v>
      </c>
      <c r="S223" s="36">
        <f>IFERROR(INDEX(Katalog!$D$3:$D$12,MATCH(cadangan3[[#This Row],[Item B]],Katalog!$B$3:$B$12,0))*cadangan3[[#This Row],[Qty B]],0)</f>
        <v>0</v>
      </c>
      <c r="T223" s="36">
        <f>IFERROR(cadangan3[[#This Row],[Harga Asli B]]-(cadangan3[[#This Row],[Harga Asli B]]*cadangan3[[#This Row],[Diskon]]),cadangan3[[#This Row],[Harga Asli B]])</f>
        <v>0</v>
      </c>
      <c r="U223" s="36">
        <f>IFERROR(INDEX(Katalog!$F$3:$F$12,MATCH(cadangan3[[#This Row],[ItemID B]],Katalog!$C$3:$C$12,0))*cadangan3[[#This Row],[Qty B]],0)</f>
        <v>0</v>
      </c>
      <c r="V223" s="36">
        <f>IFERROR(cadangan3[[#This Row],[Profit B]]-(cadangan3[[#This Row],[Profit B]]*cadangan3[[#This Row],[Diskon]]),U223)</f>
        <v>0</v>
      </c>
      <c r="X223" t="str">
        <f>IFERROR(INDEX(Katalog!$A$3:$A$12,MATCH(cadangan3[[#This Row],[ItemID C]],Katalog!$C$3:$C$12,0)),"-")</f>
        <v>-</v>
      </c>
      <c r="Y223" t="str">
        <f>IFERROR(INDEX(Katalog!$B$3:$B$12,MATCH(cadangan3[[#This Row],[ItemID C]],Katalog!$C$3:$C$12,0)),"-")</f>
        <v>-</v>
      </c>
      <c r="AB223" s="36">
        <f>IFERROR(INDEX(Katalog!$D$3:$D$12,MATCH(cadangan3[[#This Row],[ItemID C]],Katalog!$C$3:$C$12,0))*cadangan3[[#This Row],[Qty C]],0)</f>
        <v>0</v>
      </c>
      <c r="AC223" s="36">
        <f>IFERROR(INDEX(Katalog!$D$3:$D$12,MATCH(cadangan3[[#This Row],[Item C]],Katalog!$B$3:$B$12,0))*cadangan3[[#This Row],[Qty C]],0)</f>
        <v>0</v>
      </c>
      <c r="AD223" s="36">
        <f>IFERROR(cadangan3[[#This Row],[Harga Asli C]]-(cadangan3[[#This Row],[Harga Asli C]]*cadangan3[[#This Row],[Diskon]]),cadangan3[[#This Row],[Harga Asli C]])</f>
        <v>0</v>
      </c>
      <c r="AE223" s="36">
        <f>IFERROR(INDEX(Katalog!$F$3:$F$12,MATCH(cadangan3[[#This Row],[ItemID C]],Katalog!$C$3:$C$12,0))*cadangan3[[#This Row],[Qty C]],0)</f>
        <v>0</v>
      </c>
      <c r="AF223" s="36">
        <f>IFERROR(cadangan3[[#This Row],[Profit C]]-(cadangan3[[#This Row],[Profit C]]*cadangan3[[#This Row],[Diskon]]),cadangan3[[#This Row],[Profit C]])</f>
        <v>0</v>
      </c>
      <c r="AG223" s="21">
        <f>cadangan3[[#This Row],[Qty A]]+cadangan3[[#This Row],[Qty B]]+cadangan3[[#This Row],[Qty C]]</f>
        <v>2</v>
      </c>
      <c r="AH223" s="35">
        <f>cadangan3[[#This Row],[Harga A + Diskon]]+cadangan3[[#This Row],[Harga + Diskon B]]+cadangan3[[#This Row],[Harga + Diskon C]]</f>
        <v>360000</v>
      </c>
      <c r="AI223" s="35">
        <f>(cadangan3[[#This Row],[Profit A]]+cadangan3[[#This Row],[Profit B]]+cadangan3[[#This Row],[Profit C]])</f>
        <v>160000</v>
      </c>
      <c r="AJ223" s="35">
        <f>cadangan3[[#This Row],[Provit A + Diskon]]+cadangan3[[#This Row],[Provit B + Diskon]]+cadangan3[[#This Row],[Provit C + Diskon]]</f>
        <v>144000</v>
      </c>
      <c r="AK223" s="23" t="s">
        <v>31</v>
      </c>
      <c r="AL223" s="37">
        <f>IFERROR(INDEX('Kode Diskon'!$D$3:$D$9,MATCH(cadangan3[[#This Row],[Kode diskon]],'Kode Diskon'!$C$3:$C$9,0)),"-")</f>
        <v>0.1</v>
      </c>
      <c r="AM223" s="23" t="s">
        <v>9</v>
      </c>
      <c r="AN223" s="23" t="s">
        <v>10</v>
      </c>
      <c r="AO223" s="23" t="s">
        <v>79</v>
      </c>
      <c r="AP223" s="24">
        <v>45038</v>
      </c>
      <c r="AQ223" s="23" t="str">
        <f>TEXT(cadangan3[[#This Row],[Tanggal terjual]],"dddd")</f>
        <v>Saturday</v>
      </c>
    </row>
    <row r="224" spans="1:43" x14ac:dyDescent="0.2">
      <c r="A224" s="20">
        <v>223</v>
      </c>
      <c r="B224" s="21" t="str">
        <f>_xlfn.CONCAT("ORD-",INDEX(Helper!$B$2:$B$5,MATCH(cadangan3[[#This Row],[Marketplace]],Helper!$A$2:$A$5,0)),TEXT(cadangan3[[#This Row],[No]],"0000"),"-",TEXT(cadangan3[[#This Row],[Tanggal terjual]],"dd/mm/yy"))</f>
        <v>ORD-TK0223-05/04/23</v>
      </c>
      <c r="C224" t="s">
        <v>60</v>
      </c>
      <c r="D224" t="str">
        <f>IFERROR(INDEX(Katalog!$A$3:$A$12,MATCH(cadangan3[[#This Row],[ItemID A]],Katalog!$C$3:$C$12,0)),"-")</f>
        <v>Pakaian Wanita</v>
      </c>
      <c r="E224" t="str">
        <f>IFERROR(INDEX(Katalog!$B$3:$B$12,MATCH(cadangan3[[#This Row],[ItemID A]],Katalog!$C$3:$C$12,0)),"-")</f>
        <v>Kaftan</v>
      </c>
      <c r="F224">
        <v>5</v>
      </c>
      <c r="G224">
        <v>3</v>
      </c>
      <c r="H224" s="36">
        <f>IFERROR(INDEX(Katalog!$D$3:$D$12,MATCH(cadangan3[[#This Row],[ItemID A]],Katalog!$C$3:$C$12,0))*cadangan3[[#This Row],[Qty A]],0)</f>
        <v>1250000</v>
      </c>
      <c r="I224" s="36">
        <f>IFERROR(INDEX(Katalog!$D$3:$D$12,MATCH(cadangan3[[#This Row],[Item A]],Katalog!$B$3:$B$12,0))*cadangan3[[#This Row],[Qty A]],0)</f>
        <v>1250000</v>
      </c>
      <c r="J224" s="36">
        <f>IFERROR(cadangan3[[#This Row],[Harga Asli A]]-(cadangan3[[#This Row],[Harga Asli A]]*cadangan3[[#This Row],[Diskon]]),cadangan3[[#This Row],[Harga Asli A]])</f>
        <v>1125000</v>
      </c>
      <c r="K224" s="36">
        <f>INDEX(Katalog!$F$3:$F$12,MATCH(cadangan3[[#This Row],[ItemID A]],Katalog!$C$3:$C$12,0))*cadangan3[[#This Row],[Qty A]]</f>
        <v>500000</v>
      </c>
      <c r="L224" s="36">
        <f>IFERROR(cadangan3[[#This Row],[Profit A]]-(cadangan3[[#This Row],[Profit A]]*cadangan3[[#This Row],[Diskon]]),K224)</f>
        <v>450000</v>
      </c>
      <c r="N224" t="str">
        <f>IFERROR(INDEX(Katalog!$A$3:$A$12,MATCH(cadangan3[[#This Row],[ItemID B]],Katalog!$C$3:$C$12,0)),"-")</f>
        <v>-</v>
      </c>
      <c r="O224" t="str">
        <f>IFERROR(INDEX(Katalog!$B$3:$B$12,MATCH(cadangan3[[#This Row],[ItemID B]],Katalog!$C$3:$C$12,0)),"-")</f>
        <v>-</v>
      </c>
      <c r="R224" s="36">
        <f>IFERROR(INDEX(Katalog!$D$3:$D$12,MATCH(cadangan3[[#This Row],[ItemID B]],Katalog!$C$3:$C$12,0))*cadangan3[[#This Row],[Qty B]],0)</f>
        <v>0</v>
      </c>
      <c r="S224" s="36">
        <f>IFERROR(INDEX(Katalog!$D$3:$D$12,MATCH(cadangan3[[#This Row],[Item B]],Katalog!$B$3:$B$12,0))*cadangan3[[#This Row],[Qty B]],0)</f>
        <v>0</v>
      </c>
      <c r="T224" s="36">
        <f>IFERROR(cadangan3[[#This Row],[Harga Asli B]]-(cadangan3[[#This Row],[Harga Asli B]]*cadangan3[[#This Row],[Diskon]]),cadangan3[[#This Row],[Harga Asli B]])</f>
        <v>0</v>
      </c>
      <c r="U224" s="36">
        <f>IFERROR(INDEX(Katalog!$F$3:$F$12,MATCH(cadangan3[[#This Row],[ItemID B]],Katalog!$C$3:$C$12,0))*cadangan3[[#This Row],[Qty B]],0)</f>
        <v>0</v>
      </c>
      <c r="V224" s="36">
        <f>IFERROR(cadangan3[[#This Row],[Profit B]]-(cadangan3[[#This Row],[Profit B]]*cadangan3[[#This Row],[Diskon]]),U224)</f>
        <v>0</v>
      </c>
      <c r="X224" t="str">
        <f>IFERROR(INDEX(Katalog!$A$3:$A$12,MATCH(cadangan3[[#This Row],[ItemID C]],Katalog!$C$3:$C$12,0)),"-")</f>
        <v>-</v>
      </c>
      <c r="Y224" t="str">
        <f>IFERROR(INDEX(Katalog!$B$3:$B$12,MATCH(cadangan3[[#This Row],[ItemID C]],Katalog!$C$3:$C$12,0)),"-")</f>
        <v>-</v>
      </c>
      <c r="AB224" s="36">
        <f>IFERROR(INDEX(Katalog!$D$3:$D$12,MATCH(cadangan3[[#This Row],[ItemID C]],Katalog!$C$3:$C$12,0))*cadangan3[[#This Row],[Qty C]],0)</f>
        <v>0</v>
      </c>
      <c r="AC224" s="36">
        <f>IFERROR(INDEX(Katalog!$D$3:$D$12,MATCH(cadangan3[[#This Row],[Item C]],Katalog!$B$3:$B$12,0))*cadangan3[[#This Row],[Qty C]],0)</f>
        <v>0</v>
      </c>
      <c r="AD224" s="36">
        <f>IFERROR(cadangan3[[#This Row],[Harga Asli C]]-(cadangan3[[#This Row],[Harga Asli C]]*cadangan3[[#This Row],[Diskon]]),cadangan3[[#This Row],[Harga Asli C]])</f>
        <v>0</v>
      </c>
      <c r="AE224" s="36">
        <f>IFERROR(INDEX(Katalog!$F$3:$F$12,MATCH(cadangan3[[#This Row],[ItemID C]],Katalog!$C$3:$C$12,0))*cadangan3[[#This Row],[Qty C]],0)</f>
        <v>0</v>
      </c>
      <c r="AF224" s="36">
        <f>IFERROR(cadangan3[[#This Row],[Profit C]]-(cadangan3[[#This Row],[Profit C]]*cadangan3[[#This Row],[Diskon]]),cadangan3[[#This Row],[Profit C]])</f>
        <v>0</v>
      </c>
      <c r="AG224" s="21">
        <f>cadangan3[[#This Row],[Qty A]]+cadangan3[[#This Row],[Qty B]]+cadangan3[[#This Row],[Qty C]]</f>
        <v>5</v>
      </c>
      <c r="AH224" s="35">
        <f>cadangan3[[#This Row],[Harga A + Diskon]]+cadangan3[[#This Row],[Harga + Diskon B]]+cadangan3[[#This Row],[Harga + Diskon C]]</f>
        <v>1125000</v>
      </c>
      <c r="AI224" s="35">
        <f>(cadangan3[[#This Row],[Profit A]]+cadangan3[[#This Row],[Profit B]]+cadangan3[[#This Row],[Profit C]])</f>
        <v>500000</v>
      </c>
      <c r="AJ224" s="35">
        <f>cadangan3[[#This Row],[Provit A + Diskon]]+cadangan3[[#This Row],[Provit B + Diskon]]+cadangan3[[#This Row],[Provit C + Diskon]]</f>
        <v>450000</v>
      </c>
      <c r="AK224" s="23" t="s">
        <v>30</v>
      </c>
      <c r="AL224" s="37">
        <f>IFERROR(INDEX('Kode Diskon'!$D$3:$D$9,MATCH(cadangan3[[#This Row],[Kode diskon]],'Kode Diskon'!$C$3:$C$9,0)),"-")</f>
        <v>0.1</v>
      </c>
      <c r="AM224" s="23" t="s">
        <v>29</v>
      </c>
      <c r="AN224" s="23" t="s">
        <v>10</v>
      </c>
      <c r="AO224" s="23" t="s">
        <v>80</v>
      </c>
      <c r="AP224" s="24">
        <v>45021</v>
      </c>
      <c r="AQ224" s="23" t="str">
        <f>TEXT(cadangan3[[#This Row],[Tanggal terjual]],"dddd")</f>
        <v>Wednesday</v>
      </c>
    </row>
    <row r="225" spans="1:43" x14ac:dyDescent="0.2">
      <c r="A225" s="20">
        <v>224</v>
      </c>
      <c r="B225" s="21" t="str">
        <f>_xlfn.CONCAT("ORD-",INDEX(Helper!$B$2:$B$5,MATCH(cadangan3[[#This Row],[Marketplace]],Helper!$A$2:$A$5,0)),TEXT(cadangan3[[#This Row],[No]],"0000"),"-",TEXT(cadangan3[[#This Row],[Tanggal terjual]],"dd/mm/yy"))</f>
        <v>ORD-SP0224-30/04/23</v>
      </c>
      <c r="C225" t="s">
        <v>65</v>
      </c>
      <c r="D225" t="str">
        <f>IFERROR(INDEX(Katalog!$A$3:$A$12,MATCH(cadangan3[[#This Row],[ItemID A]],Katalog!$C$3:$C$12,0)),"-")</f>
        <v>Sepatu Pria</v>
      </c>
      <c r="E225" t="str">
        <f>IFERROR(INDEX(Katalog!$B$3:$B$12,MATCH(cadangan3[[#This Row],[ItemID A]],Katalog!$C$3:$C$12,0)),"-")</f>
        <v>Sneakers</v>
      </c>
      <c r="F225">
        <v>3</v>
      </c>
      <c r="G225">
        <v>5</v>
      </c>
      <c r="H225" s="36">
        <f>IFERROR(INDEX(Katalog!$D$3:$D$12,MATCH(cadangan3[[#This Row],[ItemID A]],Katalog!$C$3:$C$12,0))*cadangan3[[#This Row],[Qty A]],0)</f>
        <v>1500000</v>
      </c>
      <c r="I225" s="36">
        <f>IFERROR(INDEX(Katalog!$D$3:$D$12,MATCH(cadangan3[[#This Row],[Item A]],Katalog!$B$3:$B$12,0))*cadangan3[[#This Row],[Qty A]],0)</f>
        <v>1500000</v>
      </c>
      <c r="J225" s="36">
        <f>IFERROR(cadangan3[[#This Row],[Harga Asli A]]-(cadangan3[[#This Row],[Harga Asli A]]*cadangan3[[#This Row],[Diskon]]),cadangan3[[#This Row],[Harga Asli A]])</f>
        <v>1200000</v>
      </c>
      <c r="K225" s="36">
        <f>INDEX(Katalog!$F$3:$F$12,MATCH(cadangan3[[#This Row],[ItemID A]],Katalog!$C$3:$C$12,0))*cadangan3[[#This Row],[Qty A]]</f>
        <v>600000</v>
      </c>
      <c r="L225" s="36">
        <f>IFERROR(cadangan3[[#This Row],[Profit A]]-(cadangan3[[#This Row],[Profit A]]*cadangan3[[#This Row],[Diskon]]),K225)</f>
        <v>480000</v>
      </c>
      <c r="N225" t="str">
        <f>IFERROR(INDEX(Katalog!$A$3:$A$12,MATCH(cadangan3[[#This Row],[ItemID B]],Katalog!$C$3:$C$12,0)),"-")</f>
        <v>-</v>
      </c>
      <c r="O225" t="str">
        <f>IFERROR(INDEX(Katalog!$B$3:$B$12,MATCH(cadangan3[[#This Row],[ItemID B]],Katalog!$C$3:$C$12,0)),"-")</f>
        <v>-</v>
      </c>
      <c r="R225" s="36">
        <f>IFERROR(INDEX(Katalog!$D$3:$D$12,MATCH(cadangan3[[#This Row],[ItemID B]],Katalog!$C$3:$C$12,0))*cadangan3[[#This Row],[Qty B]],0)</f>
        <v>0</v>
      </c>
      <c r="S225" s="36">
        <f>IFERROR(INDEX(Katalog!$D$3:$D$12,MATCH(cadangan3[[#This Row],[Item B]],Katalog!$B$3:$B$12,0))*cadangan3[[#This Row],[Qty B]],0)</f>
        <v>0</v>
      </c>
      <c r="T225" s="36">
        <f>IFERROR(cadangan3[[#This Row],[Harga Asli B]]-(cadangan3[[#This Row],[Harga Asli B]]*cadangan3[[#This Row],[Diskon]]),cadangan3[[#This Row],[Harga Asli B]])</f>
        <v>0</v>
      </c>
      <c r="U225" s="36">
        <f>IFERROR(INDEX(Katalog!$F$3:$F$12,MATCH(cadangan3[[#This Row],[ItemID B]],Katalog!$C$3:$C$12,0))*cadangan3[[#This Row],[Qty B]],0)</f>
        <v>0</v>
      </c>
      <c r="V225" s="36">
        <f>IFERROR(cadangan3[[#This Row],[Profit B]]-(cadangan3[[#This Row],[Profit B]]*cadangan3[[#This Row],[Diskon]]),U225)</f>
        <v>0</v>
      </c>
      <c r="X225" t="str">
        <f>IFERROR(INDEX(Katalog!$A$3:$A$12,MATCH(cadangan3[[#This Row],[ItemID C]],Katalog!$C$3:$C$12,0)),"-")</f>
        <v>-</v>
      </c>
      <c r="Y225" t="str">
        <f>IFERROR(INDEX(Katalog!$B$3:$B$12,MATCH(cadangan3[[#This Row],[ItemID C]],Katalog!$C$3:$C$12,0)),"-")</f>
        <v>-</v>
      </c>
      <c r="AB225" s="36">
        <f>IFERROR(INDEX(Katalog!$D$3:$D$12,MATCH(cadangan3[[#This Row],[ItemID C]],Katalog!$C$3:$C$12,0))*cadangan3[[#This Row],[Qty C]],0)</f>
        <v>0</v>
      </c>
      <c r="AC225" s="36">
        <f>IFERROR(INDEX(Katalog!$D$3:$D$12,MATCH(cadangan3[[#This Row],[Item C]],Katalog!$B$3:$B$12,0))*cadangan3[[#This Row],[Qty C]],0)</f>
        <v>0</v>
      </c>
      <c r="AD225" s="36">
        <f>IFERROR(cadangan3[[#This Row],[Harga Asli C]]-(cadangan3[[#This Row],[Harga Asli C]]*cadangan3[[#This Row],[Diskon]]),cadangan3[[#This Row],[Harga Asli C]])</f>
        <v>0</v>
      </c>
      <c r="AE225" s="36">
        <f>IFERROR(INDEX(Katalog!$F$3:$F$12,MATCH(cadangan3[[#This Row],[ItemID C]],Katalog!$C$3:$C$12,0))*cadangan3[[#This Row],[Qty C]],0)</f>
        <v>0</v>
      </c>
      <c r="AF225" s="36">
        <f>IFERROR(cadangan3[[#This Row],[Profit C]]-(cadangan3[[#This Row],[Profit C]]*cadangan3[[#This Row],[Diskon]]),cadangan3[[#This Row],[Profit C]])</f>
        <v>0</v>
      </c>
      <c r="AG225" s="21">
        <f>cadangan3[[#This Row],[Qty A]]+cadangan3[[#This Row],[Qty B]]+cadangan3[[#This Row],[Qty C]]</f>
        <v>3</v>
      </c>
      <c r="AH225" s="35">
        <f>cadangan3[[#This Row],[Harga A + Diskon]]+cadangan3[[#This Row],[Harga + Diskon B]]+cadangan3[[#This Row],[Harga + Diskon C]]</f>
        <v>1200000</v>
      </c>
      <c r="AI225" s="35">
        <f>(cadangan3[[#This Row],[Profit A]]+cadangan3[[#This Row],[Profit B]]+cadangan3[[#This Row],[Profit C]])</f>
        <v>600000</v>
      </c>
      <c r="AJ225" s="35">
        <f>cadangan3[[#This Row],[Provit A + Diskon]]+cadangan3[[#This Row],[Provit B + Diskon]]+cadangan3[[#This Row],[Provit C + Diskon]]</f>
        <v>480000</v>
      </c>
      <c r="AK225" s="23" t="s">
        <v>8</v>
      </c>
      <c r="AL225" s="37">
        <f>IFERROR(INDEX('Kode Diskon'!$D$3:$D$9,MATCH(cadangan3[[#This Row],[Kode diskon]],'Kode Diskon'!$C$3:$C$9,0)),"-")</f>
        <v>0.2</v>
      </c>
      <c r="AM225" s="23" t="s">
        <v>9</v>
      </c>
      <c r="AN225" s="23" t="s">
        <v>7</v>
      </c>
      <c r="AO225" s="23" t="s">
        <v>75</v>
      </c>
      <c r="AP225" s="24">
        <v>45046</v>
      </c>
      <c r="AQ225" s="23" t="str">
        <f>TEXT(cadangan3[[#This Row],[Tanggal terjual]],"dddd")</f>
        <v>Sunday</v>
      </c>
    </row>
    <row r="226" spans="1:43" x14ac:dyDescent="0.2">
      <c r="A226" s="20">
        <v>225</v>
      </c>
      <c r="B226" s="21" t="str">
        <f>_xlfn.CONCAT("ORD-",INDEX(Helper!$B$2:$B$5,MATCH(cadangan3[[#This Row],[Marketplace]],Helper!$A$2:$A$5,0)),TEXT(cadangan3[[#This Row],[No]],"0000"),"-",TEXT(cadangan3[[#This Row],[Tanggal terjual]],"dd/mm/yy"))</f>
        <v>ORD-SP0225-18/04/23</v>
      </c>
      <c r="C226" t="s">
        <v>59</v>
      </c>
      <c r="D226" t="str">
        <f>IFERROR(INDEX(Katalog!$A$3:$A$12,MATCH(cadangan3[[#This Row],[ItemID A]],Katalog!$C$3:$C$12,0)),"-")</f>
        <v>Pakaian Wanita</v>
      </c>
      <c r="E226" t="str">
        <f>IFERROR(INDEX(Katalog!$B$3:$B$12,MATCH(cadangan3[[#This Row],[ItemID A]],Katalog!$C$3:$C$12,0)),"-")</f>
        <v>Blouse</v>
      </c>
      <c r="F226">
        <v>2</v>
      </c>
      <c r="G226">
        <v>1</v>
      </c>
      <c r="H226" s="36">
        <f>IFERROR(INDEX(Katalog!$D$3:$D$12,MATCH(cadangan3[[#This Row],[ItemID A]],Katalog!$C$3:$C$12,0))*cadangan3[[#This Row],[Qty A]],0)</f>
        <v>300000</v>
      </c>
      <c r="I226" s="36">
        <f>IFERROR(INDEX(Katalog!$D$3:$D$12,MATCH(cadangan3[[#This Row],[Item A]],Katalog!$B$3:$B$12,0))*cadangan3[[#This Row],[Qty A]],0)</f>
        <v>300000</v>
      </c>
      <c r="J226" s="36">
        <f>IFERROR(cadangan3[[#This Row],[Harga Asli A]]-(cadangan3[[#This Row],[Harga Asli A]]*cadangan3[[#This Row],[Diskon]]),cadangan3[[#This Row],[Harga Asli A]])</f>
        <v>240000</v>
      </c>
      <c r="K226" s="36">
        <f>INDEX(Katalog!$F$3:$F$12,MATCH(cadangan3[[#This Row],[ItemID A]],Katalog!$C$3:$C$12,0))*cadangan3[[#This Row],[Qty A]]</f>
        <v>100000</v>
      </c>
      <c r="L226" s="36">
        <f>IFERROR(cadangan3[[#This Row],[Profit A]]-(cadangan3[[#This Row],[Profit A]]*cadangan3[[#This Row],[Diskon]]),K226)</f>
        <v>80000</v>
      </c>
      <c r="N226" t="str">
        <f>IFERROR(INDEX(Katalog!$A$3:$A$12,MATCH(cadangan3[[#This Row],[ItemID B]],Katalog!$C$3:$C$12,0)),"-")</f>
        <v>-</v>
      </c>
      <c r="O226" t="str">
        <f>IFERROR(INDEX(Katalog!$B$3:$B$12,MATCH(cadangan3[[#This Row],[ItemID B]],Katalog!$C$3:$C$12,0)),"-")</f>
        <v>-</v>
      </c>
      <c r="R226" s="36">
        <f>IFERROR(INDEX(Katalog!$D$3:$D$12,MATCH(cadangan3[[#This Row],[ItemID B]],Katalog!$C$3:$C$12,0))*cadangan3[[#This Row],[Qty B]],0)</f>
        <v>0</v>
      </c>
      <c r="S226" s="36">
        <f>IFERROR(INDEX(Katalog!$D$3:$D$12,MATCH(cadangan3[[#This Row],[Item B]],Katalog!$B$3:$B$12,0))*cadangan3[[#This Row],[Qty B]],0)</f>
        <v>0</v>
      </c>
      <c r="T226" s="36">
        <f>IFERROR(cadangan3[[#This Row],[Harga Asli B]]-(cadangan3[[#This Row],[Harga Asli B]]*cadangan3[[#This Row],[Diskon]]),cadangan3[[#This Row],[Harga Asli B]])</f>
        <v>0</v>
      </c>
      <c r="U226" s="36">
        <f>IFERROR(INDEX(Katalog!$F$3:$F$12,MATCH(cadangan3[[#This Row],[ItemID B]],Katalog!$C$3:$C$12,0))*cadangan3[[#This Row],[Qty B]],0)</f>
        <v>0</v>
      </c>
      <c r="V226" s="36">
        <f>IFERROR(cadangan3[[#This Row],[Profit B]]-(cadangan3[[#This Row],[Profit B]]*cadangan3[[#This Row],[Diskon]]),U226)</f>
        <v>0</v>
      </c>
      <c r="X226" t="str">
        <f>IFERROR(INDEX(Katalog!$A$3:$A$12,MATCH(cadangan3[[#This Row],[ItemID C]],Katalog!$C$3:$C$12,0)),"-")</f>
        <v>-</v>
      </c>
      <c r="Y226" t="str">
        <f>IFERROR(INDEX(Katalog!$B$3:$B$12,MATCH(cadangan3[[#This Row],[ItemID C]],Katalog!$C$3:$C$12,0)),"-")</f>
        <v>-</v>
      </c>
      <c r="AB226" s="36">
        <f>IFERROR(INDEX(Katalog!$D$3:$D$12,MATCH(cadangan3[[#This Row],[ItemID C]],Katalog!$C$3:$C$12,0))*cadangan3[[#This Row],[Qty C]],0)</f>
        <v>0</v>
      </c>
      <c r="AC226" s="36">
        <f>IFERROR(INDEX(Katalog!$D$3:$D$12,MATCH(cadangan3[[#This Row],[Item C]],Katalog!$B$3:$B$12,0))*cadangan3[[#This Row],[Qty C]],0)</f>
        <v>0</v>
      </c>
      <c r="AD226" s="36">
        <f>IFERROR(cadangan3[[#This Row],[Harga Asli C]]-(cadangan3[[#This Row],[Harga Asli C]]*cadangan3[[#This Row],[Diskon]]),cadangan3[[#This Row],[Harga Asli C]])</f>
        <v>0</v>
      </c>
      <c r="AE226" s="36">
        <f>IFERROR(INDEX(Katalog!$F$3:$F$12,MATCH(cadangan3[[#This Row],[ItemID C]],Katalog!$C$3:$C$12,0))*cadangan3[[#This Row],[Qty C]],0)</f>
        <v>0</v>
      </c>
      <c r="AF226" s="36">
        <f>IFERROR(cadangan3[[#This Row],[Profit C]]-(cadangan3[[#This Row],[Profit C]]*cadangan3[[#This Row],[Diskon]]),cadangan3[[#This Row],[Profit C]])</f>
        <v>0</v>
      </c>
      <c r="AG226" s="21">
        <f>cadangan3[[#This Row],[Qty A]]+cadangan3[[#This Row],[Qty B]]+cadangan3[[#This Row],[Qty C]]</f>
        <v>2</v>
      </c>
      <c r="AH226" s="35">
        <f>cadangan3[[#This Row],[Harga A + Diskon]]+cadangan3[[#This Row],[Harga + Diskon B]]+cadangan3[[#This Row],[Harga + Diskon C]]</f>
        <v>240000</v>
      </c>
      <c r="AI226" s="35">
        <f>(cadangan3[[#This Row],[Profit A]]+cadangan3[[#This Row],[Profit B]]+cadangan3[[#This Row],[Profit C]])</f>
        <v>100000</v>
      </c>
      <c r="AJ226" s="35">
        <f>cadangan3[[#This Row],[Provit A + Diskon]]+cadangan3[[#This Row],[Provit B + Diskon]]+cadangan3[[#This Row],[Provit C + Diskon]]</f>
        <v>80000</v>
      </c>
      <c r="AK226" s="23" t="s">
        <v>8</v>
      </c>
      <c r="AL226" s="37">
        <f>IFERROR(INDEX('Kode Diskon'!$D$3:$D$9,MATCH(cadangan3[[#This Row],[Kode diskon]],'Kode Diskon'!$C$3:$C$9,0)),"-")</f>
        <v>0.2</v>
      </c>
      <c r="AM226" s="23" t="s">
        <v>9</v>
      </c>
      <c r="AN226" s="23" t="s">
        <v>7</v>
      </c>
      <c r="AO226" s="23" t="s">
        <v>75</v>
      </c>
      <c r="AP226" s="24">
        <v>45034</v>
      </c>
      <c r="AQ226" s="23" t="str">
        <f>TEXT(cadangan3[[#This Row],[Tanggal terjual]],"dddd")</f>
        <v>Tuesday</v>
      </c>
    </row>
    <row r="227" spans="1:43" x14ac:dyDescent="0.2">
      <c r="A227" s="20">
        <v>226</v>
      </c>
      <c r="B227" s="21" t="str">
        <f>_xlfn.CONCAT("ORD-",INDEX(Helper!$B$2:$B$5,MATCH(cadangan3[[#This Row],[Marketplace]],Helper!$A$2:$A$5,0)),TEXT(cadangan3[[#This Row],[No]],"0000"),"-",TEXT(cadangan3[[#This Row],[Tanggal terjual]],"dd/mm/yy"))</f>
        <v>ORD-SP0226-06/04/23</v>
      </c>
      <c r="C227" t="s">
        <v>61</v>
      </c>
      <c r="D227" t="str">
        <f>IFERROR(INDEX(Katalog!$A$3:$A$12,MATCH(cadangan3[[#This Row],[ItemID A]],Katalog!$C$3:$C$12,0)),"-")</f>
        <v>Pakaian Pria</v>
      </c>
      <c r="E227" t="str">
        <f>IFERROR(INDEX(Katalog!$B$3:$B$12,MATCH(cadangan3[[#This Row],[ItemID A]],Katalog!$C$3:$C$12,0)),"-")</f>
        <v>Kaos Polo</v>
      </c>
      <c r="F227">
        <v>4</v>
      </c>
      <c r="G227">
        <v>2</v>
      </c>
      <c r="H227" s="36">
        <f>IFERROR(INDEX(Katalog!$D$3:$D$12,MATCH(cadangan3[[#This Row],[ItemID A]],Katalog!$C$3:$C$12,0))*cadangan3[[#This Row],[Qty A]],0)</f>
        <v>800000</v>
      </c>
      <c r="I227" s="36">
        <f>IFERROR(INDEX(Katalog!$D$3:$D$12,MATCH(cadangan3[[#This Row],[Item A]],Katalog!$B$3:$B$12,0))*cadangan3[[#This Row],[Qty A]],0)</f>
        <v>800000</v>
      </c>
      <c r="J227" s="36">
        <f>IFERROR(cadangan3[[#This Row],[Harga Asli A]]-(cadangan3[[#This Row],[Harga Asli A]]*cadangan3[[#This Row],[Diskon]]),cadangan3[[#This Row],[Harga Asli A]])</f>
        <v>680000</v>
      </c>
      <c r="K227" s="36">
        <f>INDEX(Katalog!$F$3:$F$12,MATCH(cadangan3[[#This Row],[ItemID A]],Katalog!$C$3:$C$12,0))*cadangan3[[#This Row],[Qty A]]</f>
        <v>320000</v>
      </c>
      <c r="L227" s="36">
        <f>IFERROR(cadangan3[[#This Row],[Profit A]]-(cadangan3[[#This Row],[Profit A]]*cadangan3[[#This Row],[Diskon]]),K227)</f>
        <v>272000</v>
      </c>
      <c r="M227" t="s">
        <v>65</v>
      </c>
      <c r="N227" t="str">
        <f>IFERROR(INDEX(Katalog!$A$3:$A$12,MATCH(cadangan3[[#This Row],[ItemID B]],Katalog!$C$3:$C$12,0)),"-")</f>
        <v>Sepatu Pria</v>
      </c>
      <c r="O227" t="str">
        <f>IFERROR(INDEX(Katalog!$B$3:$B$12,MATCH(cadangan3[[#This Row],[ItemID B]],Katalog!$C$3:$C$12,0)),"-")</f>
        <v>Sneakers</v>
      </c>
      <c r="P227">
        <v>1</v>
      </c>
      <c r="Q227">
        <v>1</v>
      </c>
      <c r="R227" s="36">
        <f>IFERROR(INDEX(Katalog!$D$3:$D$12,MATCH(cadangan3[[#This Row],[ItemID B]],Katalog!$C$3:$C$12,0))*cadangan3[[#This Row],[Qty B]],0)</f>
        <v>500000</v>
      </c>
      <c r="S227" s="36">
        <f>IFERROR(INDEX(Katalog!$D$3:$D$12,MATCH(cadangan3[[#This Row],[Item B]],Katalog!$B$3:$B$12,0))*cadangan3[[#This Row],[Qty B]],0)</f>
        <v>500000</v>
      </c>
      <c r="T227" s="36">
        <f>IFERROR(cadangan3[[#This Row],[Harga Asli B]]-(cadangan3[[#This Row],[Harga Asli B]]*cadangan3[[#This Row],[Diskon]]),cadangan3[[#This Row],[Harga Asli B]])</f>
        <v>425000</v>
      </c>
      <c r="U227" s="36">
        <f>IFERROR(INDEX(Katalog!$F$3:$F$12,MATCH(cadangan3[[#This Row],[ItemID B]],Katalog!$C$3:$C$12,0))*cadangan3[[#This Row],[Qty B]],0)</f>
        <v>200000</v>
      </c>
      <c r="V227" s="36">
        <f>IFERROR(cadangan3[[#This Row],[Profit B]]-(cadangan3[[#This Row],[Profit B]]*cadangan3[[#This Row],[Diskon]]),U227)</f>
        <v>170000</v>
      </c>
      <c r="X227" t="str">
        <f>IFERROR(INDEX(Katalog!$A$3:$A$12,MATCH(cadangan3[[#This Row],[ItemID C]],Katalog!$C$3:$C$12,0)),"-")</f>
        <v>-</v>
      </c>
      <c r="Y227" t="str">
        <f>IFERROR(INDEX(Katalog!$B$3:$B$12,MATCH(cadangan3[[#This Row],[ItemID C]],Katalog!$C$3:$C$12,0)),"-")</f>
        <v>-</v>
      </c>
      <c r="AB227" s="36">
        <f>IFERROR(INDEX(Katalog!$D$3:$D$12,MATCH(cadangan3[[#This Row],[ItemID C]],Katalog!$C$3:$C$12,0))*cadangan3[[#This Row],[Qty C]],0)</f>
        <v>0</v>
      </c>
      <c r="AC227" s="36">
        <f>IFERROR(INDEX(Katalog!$D$3:$D$12,MATCH(cadangan3[[#This Row],[Item C]],Katalog!$B$3:$B$12,0))*cadangan3[[#This Row],[Qty C]],0)</f>
        <v>0</v>
      </c>
      <c r="AD227" s="36">
        <f>IFERROR(cadangan3[[#This Row],[Harga Asli C]]-(cadangan3[[#This Row],[Harga Asli C]]*cadangan3[[#This Row],[Diskon]]),cadangan3[[#This Row],[Harga Asli C]])</f>
        <v>0</v>
      </c>
      <c r="AE227" s="36">
        <f>IFERROR(INDEX(Katalog!$F$3:$F$12,MATCH(cadangan3[[#This Row],[ItemID C]],Katalog!$C$3:$C$12,0))*cadangan3[[#This Row],[Qty C]],0)</f>
        <v>0</v>
      </c>
      <c r="AF227" s="36">
        <f>IFERROR(cadangan3[[#This Row],[Profit C]]-(cadangan3[[#This Row],[Profit C]]*cadangan3[[#This Row],[Diskon]]),cadangan3[[#This Row],[Profit C]])</f>
        <v>0</v>
      </c>
      <c r="AG227" s="21">
        <f>cadangan3[[#This Row],[Qty A]]+cadangan3[[#This Row],[Qty B]]+cadangan3[[#This Row],[Qty C]]</f>
        <v>5</v>
      </c>
      <c r="AH227" s="35">
        <f>cadangan3[[#This Row],[Harga A + Diskon]]+cadangan3[[#This Row],[Harga + Diskon B]]+cadangan3[[#This Row],[Harga + Diskon C]]</f>
        <v>1105000</v>
      </c>
      <c r="AI227" s="35">
        <f>(cadangan3[[#This Row],[Profit A]]+cadangan3[[#This Row],[Profit B]]+cadangan3[[#This Row],[Profit C]])</f>
        <v>520000</v>
      </c>
      <c r="AJ227" s="35">
        <f>cadangan3[[#This Row],[Provit A + Diskon]]+cadangan3[[#This Row],[Provit B + Diskon]]+cadangan3[[#This Row],[Provit C + Diskon]]</f>
        <v>442000</v>
      </c>
      <c r="AK227" s="23" t="s">
        <v>13</v>
      </c>
      <c r="AL227" s="37">
        <f>IFERROR(INDEX('Kode Diskon'!$D$3:$D$9,MATCH(cadangan3[[#This Row],[Kode diskon]],'Kode Diskon'!$C$3:$C$9,0)),"-")</f>
        <v>0.15</v>
      </c>
      <c r="AM227" s="23" t="s">
        <v>29</v>
      </c>
      <c r="AN227" s="23" t="s">
        <v>7</v>
      </c>
      <c r="AO227" s="23" t="s">
        <v>76</v>
      </c>
      <c r="AP227" s="24">
        <v>45022</v>
      </c>
      <c r="AQ227" s="23" t="str">
        <f>TEXT(cadangan3[[#This Row],[Tanggal terjual]],"dddd")</f>
        <v>Thursday</v>
      </c>
    </row>
    <row r="228" spans="1:43" x14ac:dyDescent="0.2">
      <c r="A228" s="20">
        <v>227</v>
      </c>
      <c r="B228" s="21" t="str">
        <f>_xlfn.CONCAT("ORD-",INDEX(Helper!$B$2:$B$5,MATCH(cadangan3[[#This Row],[Marketplace]],Helper!$A$2:$A$5,0)),TEXT(cadangan3[[#This Row],[No]],"0000"),"-",TEXT(cadangan3[[#This Row],[Tanggal terjual]],"dd/mm/yy"))</f>
        <v>ORD-BB0227-05/04/23</v>
      </c>
      <c r="C228" t="s">
        <v>66</v>
      </c>
      <c r="D228" t="str">
        <f>IFERROR(INDEX(Katalog!$A$3:$A$12,MATCH(cadangan3[[#This Row],[ItemID A]],Katalog!$C$3:$C$12,0)),"-")</f>
        <v>Sepatu Pria</v>
      </c>
      <c r="E228" t="str">
        <f>IFERROR(INDEX(Katalog!$B$3:$B$12,MATCH(cadangan3[[#This Row],[ItemID A]],Katalog!$C$3:$C$12,0)),"-")</f>
        <v>Sandal Slip On</v>
      </c>
      <c r="F228">
        <v>2</v>
      </c>
      <c r="G228">
        <v>4</v>
      </c>
      <c r="H228" s="36">
        <f>IFERROR(INDEX(Katalog!$D$3:$D$12,MATCH(cadangan3[[#This Row],[ItemID A]],Katalog!$C$3:$C$12,0))*cadangan3[[#This Row],[Qty A]],0)</f>
        <v>300000</v>
      </c>
      <c r="I228" s="36">
        <f>IFERROR(INDEX(Katalog!$D$3:$D$12,MATCH(cadangan3[[#This Row],[Item A]],Katalog!$B$3:$B$12,0))*cadangan3[[#This Row],[Qty A]],0)</f>
        <v>300000</v>
      </c>
      <c r="J228" s="36">
        <f>IFERROR(cadangan3[[#This Row],[Harga Asli A]]-(cadangan3[[#This Row],[Harga Asli A]]*cadangan3[[#This Row],[Diskon]]),cadangan3[[#This Row],[Harga Asli A]])</f>
        <v>255000</v>
      </c>
      <c r="K228" s="36">
        <f>INDEX(Katalog!$F$3:$F$12,MATCH(cadangan3[[#This Row],[ItemID A]],Katalog!$C$3:$C$12,0))*cadangan3[[#This Row],[Qty A]]</f>
        <v>120000</v>
      </c>
      <c r="L228" s="36">
        <f>IFERROR(cadangan3[[#This Row],[Profit A]]-(cadangan3[[#This Row],[Profit A]]*cadangan3[[#This Row],[Diskon]]),K228)</f>
        <v>102000</v>
      </c>
      <c r="N228" t="str">
        <f>IFERROR(INDEX(Katalog!$A$3:$A$12,MATCH(cadangan3[[#This Row],[ItemID B]],Katalog!$C$3:$C$12,0)),"-")</f>
        <v>-</v>
      </c>
      <c r="O228" t="str">
        <f>IFERROR(INDEX(Katalog!$B$3:$B$12,MATCH(cadangan3[[#This Row],[ItemID B]],Katalog!$C$3:$C$12,0)),"-")</f>
        <v>-</v>
      </c>
      <c r="R228" s="36">
        <f>IFERROR(INDEX(Katalog!$D$3:$D$12,MATCH(cadangan3[[#This Row],[ItemID B]],Katalog!$C$3:$C$12,0))*cadangan3[[#This Row],[Qty B]],0)</f>
        <v>0</v>
      </c>
      <c r="S228" s="36">
        <f>IFERROR(INDEX(Katalog!$D$3:$D$12,MATCH(cadangan3[[#This Row],[Item B]],Katalog!$B$3:$B$12,0))*cadangan3[[#This Row],[Qty B]],0)</f>
        <v>0</v>
      </c>
      <c r="T228" s="36">
        <f>IFERROR(cadangan3[[#This Row],[Harga Asli B]]-(cadangan3[[#This Row],[Harga Asli B]]*cadangan3[[#This Row],[Diskon]]),cadangan3[[#This Row],[Harga Asli B]])</f>
        <v>0</v>
      </c>
      <c r="U228" s="36">
        <f>IFERROR(INDEX(Katalog!$F$3:$F$12,MATCH(cadangan3[[#This Row],[ItemID B]],Katalog!$C$3:$C$12,0))*cadangan3[[#This Row],[Qty B]],0)</f>
        <v>0</v>
      </c>
      <c r="V228" s="36">
        <f>IFERROR(cadangan3[[#This Row],[Profit B]]-(cadangan3[[#This Row],[Profit B]]*cadangan3[[#This Row],[Diskon]]),U228)</f>
        <v>0</v>
      </c>
      <c r="X228" t="str">
        <f>IFERROR(INDEX(Katalog!$A$3:$A$12,MATCH(cadangan3[[#This Row],[ItemID C]],Katalog!$C$3:$C$12,0)),"-")</f>
        <v>-</v>
      </c>
      <c r="Y228" t="str">
        <f>IFERROR(INDEX(Katalog!$B$3:$B$12,MATCH(cadangan3[[#This Row],[ItemID C]],Katalog!$C$3:$C$12,0)),"-")</f>
        <v>-</v>
      </c>
      <c r="AB228" s="36">
        <f>IFERROR(INDEX(Katalog!$D$3:$D$12,MATCH(cadangan3[[#This Row],[ItemID C]],Katalog!$C$3:$C$12,0))*cadangan3[[#This Row],[Qty C]],0)</f>
        <v>0</v>
      </c>
      <c r="AC228" s="36">
        <f>IFERROR(INDEX(Katalog!$D$3:$D$12,MATCH(cadangan3[[#This Row],[Item C]],Katalog!$B$3:$B$12,0))*cadangan3[[#This Row],[Qty C]],0)</f>
        <v>0</v>
      </c>
      <c r="AD228" s="36">
        <f>IFERROR(cadangan3[[#This Row],[Harga Asli C]]-(cadangan3[[#This Row],[Harga Asli C]]*cadangan3[[#This Row],[Diskon]]),cadangan3[[#This Row],[Harga Asli C]])</f>
        <v>0</v>
      </c>
      <c r="AE228" s="36">
        <f>IFERROR(INDEX(Katalog!$F$3:$F$12,MATCH(cadangan3[[#This Row],[ItemID C]],Katalog!$C$3:$C$12,0))*cadangan3[[#This Row],[Qty C]],0)</f>
        <v>0</v>
      </c>
      <c r="AF228" s="36">
        <f>IFERROR(cadangan3[[#This Row],[Profit C]]-(cadangan3[[#This Row],[Profit C]]*cadangan3[[#This Row],[Diskon]]),cadangan3[[#This Row],[Profit C]])</f>
        <v>0</v>
      </c>
      <c r="AG228" s="21">
        <f>cadangan3[[#This Row],[Qty A]]+cadangan3[[#This Row],[Qty B]]+cadangan3[[#This Row],[Qty C]]</f>
        <v>2</v>
      </c>
      <c r="AH228" s="35">
        <f>cadangan3[[#This Row],[Harga A + Diskon]]+cadangan3[[#This Row],[Harga + Diskon B]]+cadangan3[[#This Row],[Harga + Diskon C]]</f>
        <v>255000</v>
      </c>
      <c r="AI228" s="35">
        <f>(cadangan3[[#This Row],[Profit A]]+cadangan3[[#This Row],[Profit B]]+cadangan3[[#This Row],[Profit C]])</f>
        <v>120000</v>
      </c>
      <c r="AJ228" s="35">
        <f>cadangan3[[#This Row],[Provit A + Diskon]]+cadangan3[[#This Row],[Provit B + Diskon]]+cadangan3[[#This Row],[Provit C + Diskon]]</f>
        <v>102000</v>
      </c>
      <c r="AK228" s="23" t="s">
        <v>28</v>
      </c>
      <c r="AL228" s="37">
        <f>IFERROR(INDEX('Kode Diskon'!$D$3:$D$9,MATCH(cadangan3[[#This Row],[Kode diskon]],'Kode Diskon'!$C$3:$C$9,0)),"-")</f>
        <v>0.15</v>
      </c>
      <c r="AM228" s="23" t="s">
        <v>29</v>
      </c>
      <c r="AN228" s="23" t="s">
        <v>14</v>
      </c>
      <c r="AO228" s="23" t="s">
        <v>75</v>
      </c>
      <c r="AP228" s="24">
        <v>45021</v>
      </c>
      <c r="AQ228" s="23" t="str">
        <f>TEXT(cadangan3[[#This Row],[Tanggal terjual]],"dddd")</f>
        <v>Wednesday</v>
      </c>
    </row>
    <row r="229" spans="1:43" x14ac:dyDescent="0.2">
      <c r="A229" s="20">
        <v>228</v>
      </c>
      <c r="B229" s="21" t="str">
        <f>_xlfn.CONCAT("ORD-",INDEX(Helper!$B$2:$B$5,MATCH(cadangan3[[#This Row],[Marketplace]],Helper!$A$2:$A$5,0)),TEXT(cadangan3[[#This Row],[No]],"0000"),"-",TEXT(cadangan3[[#This Row],[Tanggal terjual]],"dd/mm/yy"))</f>
        <v>ORD-SP0228-26/04/23</v>
      </c>
      <c r="C229" t="s">
        <v>58</v>
      </c>
      <c r="D229" t="str">
        <f>IFERROR(INDEX(Katalog!$A$3:$A$12,MATCH(cadangan3[[#This Row],[ItemID A]],Katalog!$C$3:$C$12,0)),"-")</f>
        <v>Pakaian Wanita</v>
      </c>
      <c r="E229" t="str">
        <f>IFERROR(INDEX(Katalog!$B$3:$B$12,MATCH(cadangan3[[#This Row],[ItemID A]],Katalog!$C$3:$C$12,0)),"-")</f>
        <v>Dress</v>
      </c>
      <c r="F229">
        <v>4</v>
      </c>
      <c r="G229">
        <v>3</v>
      </c>
      <c r="H229" s="36">
        <f>IFERROR(INDEX(Katalog!$D$3:$D$12,MATCH(cadangan3[[#This Row],[ItemID A]],Katalog!$C$3:$C$12,0))*cadangan3[[#This Row],[Qty A]],0)</f>
        <v>1200000</v>
      </c>
      <c r="I229" s="36">
        <f>IFERROR(INDEX(Katalog!$D$3:$D$12,MATCH(cadangan3[[#This Row],[Item A]],Katalog!$B$3:$B$12,0))*cadangan3[[#This Row],[Qty A]],0)</f>
        <v>1200000</v>
      </c>
      <c r="J229" s="36">
        <f>IFERROR(cadangan3[[#This Row],[Harga Asli A]]-(cadangan3[[#This Row],[Harga Asli A]]*cadangan3[[#This Row],[Diskon]]),cadangan3[[#This Row],[Harga Asli A]])</f>
        <v>960000</v>
      </c>
      <c r="K229" s="36">
        <f>INDEX(Katalog!$F$3:$F$12,MATCH(cadangan3[[#This Row],[ItemID A]],Katalog!$C$3:$C$12,0))*cadangan3[[#This Row],[Qty A]]</f>
        <v>400000</v>
      </c>
      <c r="L229" s="36">
        <f>IFERROR(cadangan3[[#This Row],[Profit A]]-(cadangan3[[#This Row],[Profit A]]*cadangan3[[#This Row],[Diskon]]),K229)</f>
        <v>320000</v>
      </c>
      <c r="N229" t="str">
        <f>IFERROR(INDEX(Katalog!$A$3:$A$12,MATCH(cadangan3[[#This Row],[ItemID B]],Katalog!$C$3:$C$12,0)),"-")</f>
        <v>-</v>
      </c>
      <c r="O229" t="str">
        <f>IFERROR(INDEX(Katalog!$B$3:$B$12,MATCH(cadangan3[[#This Row],[ItemID B]],Katalog!$C$3:$C$12,0)),"-")</f>
        <v>-</v>
      </c>
      <c r="R229" s="36">
        <f>IFERROR(INDEX(Katalog!$D$3:$D$12,MATCH(cadangan3[[#This Row],[ItemID B]],Katalog!$C$3:$C$12,0))*cadangan3[[#This Row],[Qty B]],0)</f>
        <v>0</v>
      </c>
      <c r="S229" s="36">
        <f>IFERROR(INDEX(Katalog!$D$3:$D$12,MATCH(cadangan3[[#This Row],[Item B]],Katalog!$B$3:$B$12,0))*cadangan3[[#This Row],[Qty B]],0)</f>
        <v>0</v>
      </c>
      <c r="T229" s="36">
        <f>IFERROR(cadangan3[[#This Row],[Harga Asli B]]-(cadangan3[[#This Row],[Harga Asli B]]*cadangan3[[#This Row],[Diskon]]),cadangan3[[#This Row],[Harga Asli B]])</f>
        <v>0</v>
      </c>
      <c r="U229" s="36">
        <f>IFERROR(INDEX(Katalog!$F$3:$F$12,MATCH(cadangan3[[#This Row],[ItemID B]],Katalog!$C$3:$C$12,0))*cadangan3[[#This Row],[Qty B]],0)</f>
        <v>0</v>
      </c>
      <c r="V229" s="36">
        <f>IFERROR(cadangan3[[#This Row],[Profit B]]-(cadangan3[[#This Row],[Profit B]]*cadangan3[[#This Row],[Diskon]]),U229)</f>
        <v>0</v>
      </c>
      <c r="X229" t="str">
        <f>IFERROR(INDEX(Katalog!$A$3:$A$12,MATCH(cadangan3[[#This Row],[ItemID C]],Katalog!$C$3:$C$12,0)),"-")</f>
        <v>-</v>
      </c>
      <c r="Y229" t="str">
        <f>IFERROR(INDEX(Katalog!$B$3:$B$12,MATCH(cadangan3[[#This Row],[ItemID C]],Katalog!$C$3:$C$12,0)),"-")</f>
        <v>-</v>
      </c>
      <c r="AB229" s="36">
        <f>IFERROR(INDEX(Katalog!$D$3:$D$12,MATCH(cadangan3[[#This Row],[ItemID C]],Katalog!$C$3:$C$12,0))*cadangan3[[#This Row],[Qty C]],0)</f>
        <v>0</v>
      </c>
      <c r="AC229" s="36">
        <f>IFERROR(INDEX(Katalog!$D$3:$D$12,MATCH(cadangan3[[#This Row],[Item C]],Katalog!$B$3:$B$12,0))*cadangan3[[#This Row],[Qty C]],0)</f>
        <v>0</v>
      </c>
      <c r="AD229" s="36">
        <f>IFERROR(cadangan3[[#This Row],[Harga Asli C]]-(cadangan3[[#This Row],[Harga Asli C]]*cadangan3[[#This Row],[Diskon]]),cadangan3[[#This Row],[Harga Asli C]])</f>
        <v>0</v>
      </c>
      <c r="AE229" s="36">
        <f>IFERROR(INDEX(Katalog!$F$3:$F$12,MATCH(cadangan3[[#This Row],[ItemID C]],Katalog!$C$3:$C$12,0))*cadangan3[[#This Row],[Qty C]],0)</f>
        <v>0</v>
      </c>
      <c r="AF229" s="36">
        <f>IFERROR(cadangan3[[#This Row],[Profit C]]-(cadangan3[[#This Row],[Profit C]]*cadangan3[[#This Row],[Diskon]]),cadangan3[[#This Row],[Profit C]])</f>
        <v>0</v>
      </c>
      <c r="AG229" s="21">
        <f>cadangan3[[#This Row],[Qty A]]+cadangan3[[#This Row],[Qty B]]+cadangan3[[#This Row],[Qty C]]</f>
        <v>4</v>
      </c>
      <c r="AH229" s="35">
        <f>cadangan3[[#This Row],[Harga A + Diskon]]+cadangan3[[#This Row],[Harga + Diskon B]]+cadangan3[[#This Row],[Harga + Diskon C]]</f>
        <v>960000</v>
      </c>
      <c r="AI229" s="35">
        <f>(cadangan3[[#This Row],[Profit A]]+cadangan3[[#This Row],[Profit B]]+cadangan3[[#This Row],[Profit C]])</f>
        <v>400000</v>
      </c>
      <c r="AJ229" s="35">
        <f>cadangan3[[#This Row],[Provit A + Diskon]]+cadangan3[[#This Row],[Provit B + Diskon]]+cadangan3[[#This Row],[Provit C + Diskon]]</f>
        <v>320000</v>
      </c>
      <c r="AK229" s="23" t="s">
        <v>8</v>
      </c>
      <c r="AL229" s="37">
        <f>IFERROR(INDEX('Kode Diskon'!$D$3:$D$9,MATCH(cadangan3[[#This Row],[Kode diskon]],'Kode Diskon'!$C$3:$C$9,0)),"-")</f>
        <v>0.2</v>
      </c>
      <c r="AM229" s="23" t="s">
        <v>9</v>
      </c>
      <c r="AN229" s="23" t="s">
        <v>7</v>
      </c>
      <c r="AO229" s="23" t="s">
        <v>75</v>
      </c>
      <c r="AP229" s="24">
        <v>45042</v>
      </c>
      <c r="AQ229" s="23" t="str">
        <f>TEXT(cadangan3[[#This Row],[Tanggal terjual]],"dddd")</f>
        <v>Wednesday</v>
      </c>
    </row>
    <row r="230" spans="1:43" x14ac:dyDescent="0.2">
      <c r="A230" s="20">
        <v>229</v>
      </c>
      <c r="B230" s="21" t="str">
        <f>_xlfn.CONCAT("ORD-",INDEX(Helper!$B$2:$B$5,MATCH(cadangan3[[#This Row],[Marketplace]],Helper!$A$2:$A$5,0)),TEXT(cadangan3[[#This Row],[No]],"0000"),"-",TEXT(cadangan3[[#This Row],[Tanggal terjual]],"dd/mm/yy"))</f>
        <v>ORD-SP0229-28/04/23</v>
      </c>
      <c r="C230" t="s">
        <v>62</v>
      </c>
      <c r="D230" t="str">
        <f>IFERROR(INDEX(Katalog!$A$3:$A$12,MATCH(cadangan3[[#This Row],[ItemID A]],Katalog!$C$3:$C$12,0)),"-")</f>
        <v>Pakaian Pria</v>
      </c>
      <c r="E230" t="str">
        <f>IFERROR(INDEX(Katalog!$B$3:$B$12,MATCH(cadangan3[[#This Row],[ItemID A]],Katalog!$C$3:$C$12,0)),"-")</f>
        <v>Celana Pendek</v>
      </c>
      <c r="F230">
        <v>2</v>
      </c>
      <c r="G230">
        <v>1</v>
      </c>
      <c r="H230" s="36">
        <f>IFERROR(INDEX(Katalog!$D$3:$D$12,MATCH(cadangan3[[#This Row],[ItemID A]],Katalog!$C$3:$C$12,0))*cadangan3[[#This Row],[Qty A]],0)</f>
        <v>360000</v>
      </c>
      <c r="I230" s="36">
        <f>IFERROR(INDEX(Katalog!$D$3:$D$12,MATCH(cadangan3[[#This Row],[Item A]],Katalog!$B$3:$B$12,0))*cadangan3[[#This Row],[Qty A]],0)</f>
        <v>360000</v>
      </c>
      <c r="J230" s="36">
        <f>IFERROR(cadangan3[[#This Row],[Harga Asli A]]-(cadangan3[[#This Row],[Harga Asli A]]*cadangan3[[#This Row],[Diskon]]),cadangan3[[#This Row],[Harga Asli A]])</f>
        <v>288000</v>
      </c>
      <c r="K230" s="36">
        <f>INDEX(Katalog!$F$3:$F$12,MATCH(cadangan3[[#This Row],[ItemID A]],Katalog!$C$3:$C$12,0))*cadangan3[[#This Row],[Qty A]]</f>
        <v>140000</v>
      </c>
      <c r="L230" s="36">
        <f>IFERROR(cadangan3[[#This Row],[Profit A]]-(cadangan3[[#This Row],[Profit A]]*cadangan3[[#This Row],[Diskon]]),K230)</f>
        <v>112000</v>
      </c>
      <c r="M230" t="s">
        <v>65</v>
      </c>
      <c r="N230" t="str">
        <f>IFERROR(INDEX(Katalog!$A$3:$A$12,MATCH(cadangan3[[#This Row],[ItemID B]],Katalog!$C$3:$C$12,0)),"-")</f>
        <v>Sepatu Pria</v>
      </c>
      <c r="O230" t="str">
        <f>IFERROR(INDEX(Katalog!$B$3:$B$12,MATCH(cadangan3[[#This Row],[ItemID B]],Katalog!$C$3:$C$12,0)),"-")</f>
        <v>Sneakers</v>
      </c>
      <c r="P230">
        <v>2</v>
      </c>
      <c r="Q230">
        <v>1</v>
      </c>
      <c r="R230" s="36">
        <f>IFERROR(INDEX(Katalog!$D$3:$D$12,MATCH(cadangan3[[#This Row],[ItemID B]],Katalog!$C$3:$C$12,0))*cadangan3[[#This Row],[Qty B]],0)</f>
        <v>1000000</v>
      </c>
      <c r="S230" s="36">
        <f>IFERROR(INDEX(Katalog!$D$3:$D$12,MATCH(cadangan3[[#This Row],[Item B]],Katalog!$B$3:$B$12,0))*cadangan3[[#This Row],[Qty B]],0)</f>
        <v>1000000</v>
      </c>
      <c r="T230" s="36">
        <f>IFERROR(cadangan3[[#This Row],[Harga Asli B]]-(cadangan3[[#This Row],[Harga Asli B]]*cadangan3[[#This Row],[Diskon]]),cadangan3[[#This Row],[Harga Asli B]])</f>
        <v>800000</v>
      </c>
      <c r="U230" s="36">
        <f>IFERROR(INDEX(Katalog!$F$3:$F$12,MATCH(cadangan3[[#This Row],[ItemID B]],Katalog!$C$3:$C$12,0))*cadangan3[[#This Row],[Qty B]],0)</f>
        <v>400000</v>
      </c>
      <c r="V230" s="36">
        <f>IFERROR(cadangan3[[#This Row],[Profit B]]-(cadangan3[[#This Row],[Profit B]]*cadangan3[[#This Row],[Diskon]]),U230)</f>
        <v>320000</v>
      </c>
      <c r="W230" t="s">
        <v>66</v>
      </c>
      <c r="X230" t="str">
        <f>IFERROR(INDEX(Katalog!$A$3:$A$12,MATCH(cadangan3[[#This Row],[ItemID C]],Katalog!$C$3:$C$12,0)),"-")</f>
        <v>Sepatu Pria</v>
      </c>
      <c r="Y230" t="str">
        <f>IFERROR(INDEX(Katalog!$B$3:$B$12,MATCH(cadangan3[[#This Row],[ItemID C]],Katalog!$C$3:$C$12,0)),"-")</f>
        <v>Sandal Slip On</v>
      </c>
      <c r="Z230">
        <v>1</v>
      </c>
      <c r="AA230">
        <v>1</v>
      </c>
      <c r="AB230" s="36">
        <f>IFERROR(INDEX(Katalog!$D$3:$D$12,MATCH(cadangan3[[#This Row],[ItemID C]],Katalog!$C$3:$C$12,0))*cadangan3[[#This Row],[Qty C]],0)</f>
        <v>150000</v>
      </c>
      <c r="AC230" s="36">
        <f>IFERROR(INDEX(Katalog!$D$3:$D$12,MATCH(cadangan3[[#This Row],[Item C]],Katalog!$B$3:$B$12,0))*cadangan3[[#This Row],[Qty C]],0)</f>
        <v>150000</v>
      </c>
      <c r="AD230" s="36">
        <f>IFERROR(cadangan3[[#This Row],[Harga Asli C]]-(cadangan3[[#This Row],[Harga Asli C]]*cadangan3[[#This Row],[Diskon]]),cadangan3[[#This Row],[Harga Asli C]])</f>
        <v>120000</v>
      </c>
      <c r="AE230" s="36">
        <f>IFERROR(INDEX(Katalog!$F$3:$F$12,MATCH(cadangan3[[#This Row],[ItemID C]],Katalog!$C$3:$C$12,0))*cadangan3[[#This Row],[Qty C]],0)</f>
        <v>60000</v>
      </c>
      <c r="AF230" s="36">
        <f>IFERROR(cadangan3[[#This Row],[Profit C]]-(cadangan3[[#This Row],[Profit C]]*cadangan3[[#This Row],[Diskon]]),cadangan3[[#This Row],[Profit C]])</f>
        <v>48000</v>
      </c>
      <c r="AG230" s="21">
        <f>cadangan3[[#This Row],[Qty A]]+cadangan3[[#This Row],[Qty B]]+cadangan3[[#This Row],[Qty C]]</f>
        <v>5</v>
      </c>
      <c r="AH230" s="35">
        <f>cadangan3[[#This Row],[Harga A + Diskon]]+cadangan3[[#This Row],[Harga + Diskon B]]+cadangan3[[#This Row],[Harga + Diskon C]]</f>
        <v>1208000</v>
      </c>
      <c r="AI230" s="35">
        <f>(cadangan3[[#This Row],[Profit A]]+cadangan3[[#This Row],[Profit B]]+cadangan3[[#This Row],[Profit C]])</f>
        <v>600000</v>
      </c>
      <c r="AJ230" s="35">
        <f>cadangan3[[#This Row],[Provit A + Diskon]]+cadangan3[[#This Row],[Provit B + Diskon]]+cadangan3[[#This Row],[Provit C + Diskon]]</f>
        <v>480000</v>
      </c>
      <c r="AK230" s="23" t="s">
        <v>8</v>
      </c>
      <c r="AL230" s="37">
        <f>IFERROR(INDEX('Kode Diskon'!$D$3:$D$9,MATCH(cadangan3[[#This Row],[Kode diskon]],'Kode Diskon'!$C$3:$C$9,0)),"-")</f>
        <v>0.2</v>
      </c>
      <c r="AM230" s="23" t="s">
        <v>9</v>
      </c>
      <c r="AN230" s="23" t="s">
        <v>7</v>
      </c>
      <c r="AO230" s="23" t="s">
        <v>76</v>
      </c>
      <c r="AP230" s="24">
        <v>45044</v>
      </c>
      <c r="AQ230" s="23" t="str">
        <f>TEXT(cadangan3[[#This Row],[Tanggal terjual]],"dddd")</f>
        <v>Friday</v>
      </c>
    </row>
    <row r="231" spans="1:43" x14ac:dyDescent="0.2">
      <c r="A231" s="20">
        <v>230</v>
      </c>
      <c r="B231" s="21" t="str">
        <f>_xlfn.CONCAT("ORD-",INDEX(Helper!$B$2:$B$5,MATCH(cadangan3[[#This Row],[Marketplace]],Helper!$A$2:$A$5,0)),TEXT(cadangan3[[#This Row],[No]],"0000"),"-",TEXT(cadangan3[[#This Row],[Tanggal terjual]],"dd/mm/yy"))</f>
        <v>ORD-BB0230-06/04/23</v>
      </c>
      <c r="C231" t="s">
        <v>58</v>
      </c>
      <c r="D231" t="str">
        <f>IFERROR(INDEX(Katalog!$A$3:$A$12,MATCH(cadangan3[[#This Row],[ItemID A]],Katalog!$C$3:$C$12,0)),"-")</f>
        <v>Pakaian Wanita</v>
      </c>
      <c r="E231" t="str">
        <f>IFERROR(INDEX(Katalog!$B$3:$B$12,MATCH(cadangan3[[#This Row],[ItemID A]],Katalog!$C$3:$C$12,0)),"-")</f>
        <v>Dress</v>
      </c>
      <c r="F231">
        <v>1</v>
      </c>
      <c r="G231">
        <v>5</v>
      </c>
      <c r="H231" s="36">
        <f>IFERROR(INDEX(Katalog!$D$3:$D$12,MATCH(cadangan3[[#This Row],[ItemID A]],Katalog!$C$3:$C$12,0))*cadangan3[[#This Row],[Qty A]],0)</f>
        <v>300000</v>
      </c>
      <c r="I231" s="36">
        <f>IFERROR(INDEX(Katalog!$D$3:$D$12,MATCH(cadangan3[[#This Row],[Item A]],Katalog!$B$3:$B$12,0))*cadangan3[[#This Row],[Qty A]],0)</f>
        <v>300000</v>
      </c>
      <c r="J231" s="36">
        <f>IFERROR(cadangan3[[#This Row],[Harga Asli A]]-(cadangan3[[#This Row],[Harga Asli A]]*cadangan3[[#This Row],[Diskon]]),cadangan3[[#This Row],[Harga Asli A]])</f>
        <v>255000</v>
      </c>
      <c r="K231" s="36">
        <f>INDEX(Katalog!$F$3:$F$12,MATCH(cadangan3[[#This Row],[ItemID A]],Katalog!$C$3:$C$12,0))*cadangan3[[#This Row],[Qty A]]</f>
        <v>100000</v>
      </c>
      <c r="L231" s="36">
        <f>IFERROR(cadangan3[[#This Row],[Profit A]]-(cadangan3[[#This Row],[Profit A]]*cadangan3[[#This Row],[Diskon]]),K231)</f>
        <v>85000</v>
      </c>
      <c r="M231" t="s">
        <v>63</v>
      </c>
      <c r="N231" t="str">
        <f>IFERROR(INDEX(Katalog!$A$3:$A$12,MATCH(cadangan3[[#This Row],[ItemID B]],Katalog!$C$3:$C$12,0)),"-")</f>
        <v>Pakaian Pria</v>
      </c>
      <c r="O231" t="str">
        <f>IFERROR(INDEX(Katalog!$B$3:$B$12,MATCH(cadangan3[[#This Row],[ItemID B]],Katalog!$C$3:$C$12,0)),"-")</f>
        <v>Jaket Jeans</v>
      </c>
      <c r="P231">
        <v>1</v>
      </c>
      <c r="Q231">
        <v>1</v>
      </c>
      <c r="R231" s="36">
        <f>IFERROR(INDEX(Katalog!$D$3:$D$12,MATCH(cadangan3[[#This Row],[ItemID B]],Katalog!$C$3:$C$12,0))*cadangan3[[#This Row],[Qty B]],0)</f>
        <v>400000</v>
      </c>
      <c r="S231" s="36">
        <f>IFERROR(INDEX(Katalog!$D$3:$D$12,MATCH(cadangan3[[#This Row],[Item B]],Katalog!$B$3:$B$12,0))*cadangan3[[#This Row],[Qty B]],0)</f>
        <v>400000</v>
      </c>
      <c r="T231" s="36">
        <f>IFERROR(cadangan3[[#This Row],[Harga Asli B]]-(cadangan3[[#This Row],[Harga Asli B]]*cadangan3[[#This Row],[Diskon]]),cadangan3[[#This Row],[Harga Asli B]])</f>
        <v>340000</v>
      </c>
      <c r="U231" s="36">
        <f>IFERROR(INDEX(Katalog!$F$3:$F$12,MATCH(cadangan3[[#This Row],[ItemID B]],Katalog!$C$3:$C$12,0))*cadangan3[[#This Row],[Qty B]],0)</f>
        <v>150000</v>
      </c>
      <c r="V231" s="36">
        <f>IFERROR(cadangan3[[#This Row],[Profit B]]-(cadangan3[[#This Row],[Profit B]]*cadangan3[[#This Row],[Diskon]]),U231)</f>
        <v>127500</v>
      </c>
      <c r="X231" t="str">
        <f>IFERROR(INDEX(Katalog!$A$3:$A$12,MATCH(cadangan3[[#This Row],[ItemID C]],Katalog!$C$3:$C$12,0)),"-")</f>
        <v>-</v>
      </c>
      <c r="Y231" t="str">
        <f>IFERROR(INDEX(Katalog!$B$3:$B$12,MATCH(cadangan3[[#This Row],[ItemID C]],Katalog!$C$3:$C$12,0)),"-")</f>
        <v>-</v>
      </c>
      <c r="AB231" s="36">
        <f>IFERROR(INDEX(Katalog!$D$3:$D$12,MATCH(cadangan3[[#This Row],[ItemID C]],Katalog!$C$3:$C$12,0))*cadangan3[[#This Row],[Qty C]],0)</f>
        <v>0</v>
      </c>
      <c r="AC231" s="36">
        <f>IFERROR(INDEX(Katalog!$D$3:$D$12,MATCH(cadangan3[[#This Row],[Item C]],Katalog!$B$3:$B$12,0))*cadangan3[[#This Row],[Qty C]],0)</f>
        <v>0</v>
      </c>
      <c r="AD231" s="36">
        <f>IFERROR(cadangan3[[#This Row],[Harga Asli C]]-(cadangan3[[#This Row],[Harga Asli C]]*cadangan3[[#This Row],[Diskon]]),cadangan3[[#This Row],[Harga Asli C]])</f>
        <v>0</v>
      </c>
      <c r="AE231" s="36">
        <f>IFERROR(INDEX(Katalog!$F$3:$F$12,MATCH(cadangan3[[#This Row],[ItemID C]],Katalog!$C$3:$C$12,0))*cadangan3[[#This Row],[Qty C]],0)</f>
        <v>0</v>
      </c>
      <c r="AF231" s="36">
        <f>IFERROR(cadangan3[[#This Row],[Profit C]]-(cadangan3[[#This Row],[Profit C]]*cadangan3[[#This Row],[Diskon]]),cadangan3[[#This Row],[Profit C]])</f>
        <v>0</v>
      </c>
      <c r="AG231" s="21">
        <f>cadangan3[[#This Row],[Qty A]]+cadangan3[[#This Row],[Qty B]]+cadangan3[[#This Row],[Qty C]]</f>
        <v>2</v>
      </c>
      <c r="AH231" s="35">
        <f>cadangan3[[#This Row],[Harga A + Diskon]]+cadangan3[[#This Row],[Harga + Diskon B]]+cadangan3[[#This Row],[Harga + Diskon C]]</f>
        <v>595000</v>
      </c>
      <c r="AI231" s="35">
        <f>(cadangan3[[#This Row],[Profit A]]+cadangan3[[#This Row],[Profit B]]+cadangan3[[#This Row],[Profit C]])</f>
        <v>250000</v>
      </c>
      <c r="AJ231" s="35">
        <f>cadangan3[[#This Row],[Provit A + Diskon]]+cadangan3[[#This Row],[Provit B + Diskon]]+cadangan3[[#This Row],[Provit C + Diskon]]</f>
        <v>212500</v>
      </c>
      <c r="AK231" s="23" t="s">
        <v>28</v>
      </c>
      <c r="AL231" s="37">
        <f>IFERROR(INDEX('Kode Diskon'!$D$3:$D$9,MATCH(cadangan3[[#This Row],[Kode diskon]],'Kode Diskon'!$C$3:$C$9,0)),"-")</f>
        <v>0.15</v>
      </c>
      <c r="AM231" s="23" t="s">
        <v>29</v>
      </c>
      <c r="AN231" s="23" t="s">
        <v>14</v>
      </c>
      <c r="AO231" s="23" t="s">
        <v>75</v>
      </c>
      <c r="AP231" s="24">
        <v>45022</v>
      </c>
      <c r="AQ231" s="23" t="str">
        <f>TEXT(cadangan3[[#This Row],[Tanggal terjual]],"dddd")</f>
        <v>Thursday</v>
      </c>
    </row>
    <row r="232" spans="1:43" x14ac:dyDescent="0.2">
      <c r="A232" s="20">
        <v>231</v>
      </c>
      <c r="B232" s="21" t="str">
        <f>_xlfn.CONCAT("ORD-",INDEX(Helper!$B$2:$B$5,MATCH(cadangan3[[#This Row],[Marketplace]],Helper!$A$2:$A$5,0)),TEXT(cadangan3[[#This Row],[No]],"0000"),"-",TEXT(cadangan3[[#This Row],[Tanggal terjual]],"dd/mm/yy"))</f>
        <v>ORD-SP0231-02/04/23</v>
      </c>
      <c r="C232" t="s">
        <v>62</v>
      </c>
      <c r="D232" t="str">
        <f>IFERROR(INDEX(Katalog!$A$3:$A$12,MATCH(cadangan3[[#This Row],[ItemID A]],Katalog!$C$3:$C$12,0)),"-")</f>
        <v>Pakaian Pria</v>
      </c>
      <c r="E232" t="str">
        <f>IFERROR(INDEX(Katalog!$B$3:$B$12,MATCH(cadangan3[[#This Row],[ItemID A]],Katalog!$C$3:$C$12,0)),"-")</f>
        <v>Celana Pendek</v>
      </c>
      <c r="F232">
        <v>2</v>
      </c>
      <c r="G232">
        <v>3</v>
      </c>
      <c r="H232" s="36">
        <f>IFERROR(INDEX(Katalog!$D$3:$D$12,MATCH(cadangan3[[#This Row],[ItemID A]],Katalog!$C$3:$C$12,0))*cadangan3[[#This Row],[Qty A]],0)</f>
        <v>360000</v>
      </c>
      <c r="I232" s="36">
        <f>IFERROR(INDEX(Katalog!$D$3:$D$12,MATCH(cadangan3[[#This Row],[Item A]],Katalog!$B$3:$B$12,0))*cadangan3[[#This Row],[Qty A]],0)</f>
        <v>360000</v>
      </c>
      <c r="J232" s="36">
        <f>IFERROR(cadangan3[[#This Row],[Harga Asli A]]-(cadangan3[[#This Row],[Harga Asli A]]*cadangan3[[#This Row],[Diskon]]),cadangan3[[#This Row],[Harga Asli A]])</f>
        <v>306000</v>
      </c>
      <c r="K232" s="36">
        <f>INDEX(Katalog!$F$3:$F$12,MATCH(cadangan3[[#This Row],[ItemID A]],Katalog!$C$3:$C$12,0))*cadangan3[[#This Row],[Qty A]]</f>
        <v>140000</v>
      </c>
      <c r="L232" s="36">
        <f>IFERROR(cadangan3[[#This Row],[Profit A]]-(cadangan3[[#This Row],[Profit A]]*cadangan3[[#This Row],[Diskon]]),K232)</f>
        <v>119000</v>
      </c>
      <c r="M232" t="s">
        <v>67</v>
      </c>
      <c r="N232" t="str">
        <f>IFERROR(INDEX(Katalog!$A$3:$A$12,MATCH(cadangan3[[#This Row],[ItemID B]],Katalog!$C$3:$C$12,0)),"-")</f>
        <v>Sepatu Wanita</v>
      </c>
      <c r="O232" t="str">
        <f>IFERROR(INDEX(Katalog!$B$3:$B$12,MATCH(cadangan3[[#This Row],[ItemID B]],Katalog!$C$3:$C$12,0)),"-")</f>
        <v>Flat Shoes</v>
      </c>
      <c r="P232">
        <v>2</v>
      </c>
      <c r="Q232">
        <v>4</v>
      </c>
      <c r="R232" s="36">
        <f>IFERROR(INDEX(Katalog!$D$3:$D$12,MATCH(cadangan3[[#This Row],[ItemID B]],Katalog!$C$3:$C$12,0))*cadangan3[[#This Row],[Qty B]],0)</f>
        <v>500000</v>
      </c>
      <c r="S232" s="36">
        <f>IFERROR(INDEX(Katalog!$D$3:$D$12,MATCH(cadangan3[[#This Row],[Item B]],Katalog!$B$3:$B$12,0))*cadangan3[[#This Row],[Qty B]],0)</f>
        <v>500000</v>
      </c>
      <c r="T232" s="36">
        <f>IFERROR(cadangan3[[#This Row],[Harga Asli B]]-(cadangan3[[#This Row],[Harga Asli B]]*cadangan3[[#This Row],[Diskon]]),cadangan3[[#This Row],[Harga Asli B]])</f>
        <v>425000</v>
      </c>
      <c r="U232" s="36">
        <f>IFERROR(INDEX(Katalog!$F$3:$F$12,MATCH(cadangan3[[#This Row],[ItemID B]],Katalog!$C$3:$C$12,0))*cadangan3[[#This Row],[Qty B]],0)</f>
        <v>200000</v>
      </c>
      <c r="V232" s="36">
        <f>IFERROR(cadangan3[[#This Row],[Profit B]]-(cadangan3[[#This Row],[Profit B]]*cadangan3[[#This Row],[Diskon]]),U232)</f>
        <v>170000</v>
      </c>
      <c r="W232" t="s">
        <v>62</v>
      </c>
      <c r="X232" t="str">
        <f>IFERROR(INDEX(Katalog!$A$3:$A$12,MATCH(cadangan3[[#This Row],[ItemID C]],Katalog!$C$3:$C$12,0)),"-")</f>
        <v>Pakaian Pria</v>
      </c>
      <c r="Y232" t="str">
        <f>IFERROR(INDEX(Katalog!$B$3:$B$12,MATCH(cadangan3[[#This Row],[ItemID C]],Katalog!$C$3:$C$12,0)),"-")</f>
        <v>Celana Pendek</v>
      </c>
      <c r="Z232">
        <v>1</v>
      </c>
      <c r="AA232">
        <v>1</v>
      </c>
      <c r="AB232" s="36">
        <f>IFERROR(INDEX(Katalog!$D$3:$D$12,MATCH(cadangan3[[#This Row],[ItemID C]],Katalog!$C$3:$C$12,0))*cadangan3[[#This Row],[Qty C]],0)</f>
        <v>180000</v>
      </c>
      <c r="AC232" s="36">
        <f>IFERROR(INDEX(Katalog!$D$3:$D$12,MATCH(cadangan3[[#This Row],[Item C]],Katalog!$B$3:$B$12,0))*cadangan3[[#This Row],[Qty C]],0)</f>
        <v>180000</v>
      </c>
      <c r="AD232" s="36">
        <f>IFERROR(cadangan3[[#This Row],[Harga Asli C]]-(cadangan3[[#This Row],[Harga Asli C]]*cadangan3[[#This Row],[Diskon]]),cadangan3[[#This Row],[Harga Asli C]])</f>
        <v>153000</v>
      </c>
      <c r="AE232" s="36">
        <f>IFERROR(INDEX(Katalog!$F$3:$F$12,MATCH(cadangan3[[#This Row],[ItemID C]],Katalog!$C$3:$C$12,0))*cadangan3[[#This Row],[Qty C]],0)</f>
        <v>70000</v>
      </c>
      <c r="AF232" s="36">
        <f>IFERROR(cadangan3[[#This Row],[Profit C]]-(cadangan3[[#This Row],[Profit C]]*cadangan3[[#This Row],[Diskon]]),cadangan3[[#This Row],[Profit C]])</f>
        <v>59500</v>
      </c>
      <c r="AG232" s="21">
        <f>cadangan3[[#This Row],[Qty A]]+cadangan3[[#This Row],[Qty B]]+cadangan3[[#This Row],[Qty C]]</f>
        <v>5</v>
      </c>
      <c r="AH232" s="35">
        <f>cadangan3[[#This Row],[Harga A + Diskon]]+cadangan3[[#This Row],[Harga + Diskon B]]+cadangan3[[#This Row],[Harga + Diskon C]]</f>
        <v>884000</v>
      </c>
      <c r="AI232" s="35">
        <f>(cadangan3[[#This Row],[Profit A]]+cadangan3[[#This Row],[Profit B]]+cadangan3[[#This Row],[Profit C]])</f>
        <v>410000</v>
      </c>
      <c r="AJ232" s="35">
        <f>cadangan3[[#This Row],[Provit A + Diskon]]+cadangan3[[#This Row],[Provit B + Diskon]]+cadangan3[[#This Row],[Provit C + Diskon]]</f>
        <v>348500</v>
      </c>
      <c r="AK232" s="23" t="s">
        <v>13</v>
      </c>
      <c r="AL232" s="37">
        <f>IFERROR(INDEX('Kode Diskon'!$D$3:$D$9,MATCH(cadangan3[[#This Row],[Kode diskon]],'Kode Diskon'!$C$3:$C$9,0)),"-")</f>
        <v>0.15</v>
      </c>
      <c r="AM232" s="23" t="s">
        <v>29</v>
      </c>
      <c r="AN232" s="23" t="s">
        <v>7</v>
      </c>
      <c r="AO232" s="23" t="s">
        <v>80</v>
      </c>
      <c r="AP232" s="24">
        <v>45018</v>
      </c>
      <c r="AQ232" s="23" t="str">
        <f>TEXT(cadangan3[[#This Row],[Tanggal terjual]],"dddd")</f>
        <v>Sunday</v>
      </c>
    </row>
    <row r="233" spans="1:43" x14ac:dyDescent="0.2">
      <c r="A233" s="20">
        <v>232</v>
      </c>
      <c r="B233" s="21" t="str">
        <f>_xlfn.CONCAT("ORD-",INDEX(Helper!$B$2:$B$5,MATCH(cadangan3[[#This Row],[Marketplace]],Helper!$A$2:$A$5,0)),TEXT(cadangan3[[#This Row],[No]],"0000"),"-",TEXT(cadangan3[[#This Row],[Tanggal terjual]],"dd/mm/yy"))</f>
        <v>ORD-TK0232-20/04/23</v>
      </c>
      <c r="C233" t="s">
        <v>58</v>
      </c>
      <c r="D233" t="str">
        <f>IFERROR(INDEX(Katalog!$A$3:$A$12,MATCH(cadangan3[[#This Row],[ItemID A]],Katalog!$C$3:$C$12,0)),"-")</f>
        <v>Pakaian Wanita</v>
      </c>
      <c r="E233" t="str">
        <f>IFERROR(INDEX(Katalog!$B$3:$B$12,MATCH(cadangan3[[#This Row],[ItemID A]],Katalog!$C$3:$C$12,0)),"-")</f>
        <v>Dress</v>
      </c>
      <c r="F233">
        <v>4</v>
      </c>
      <c r="G233">
        <v>1</v>
      </c>
      <c r="H233" s="36">
        <f>IFERROR(INDEX(Katalog!$D$3:$D$12,MATCH(cadangan3[[#This Row],[ItemID A]],Katalog!$C$3:$C$12,0))*cadangan3[[#This Row],[Qty A]],0)</f>
        <v>1200000</v>
      </c>
      <c r="I233" s="36">
        <f>IFERROR(INDEX(Katalog!$D$3:$D$12,MATCH(cadangan3[[#This Row],[Item A]],Katalog!$B$3:$B$12,0))*cadangan3[[#This Row],[Qty A]],0)</f>
        <v>1200000</v>
      </c>
      <c r="J233" s="36">
        <f>IFERROR(cadangan3[[#This Row],[Harga Asli A]]-(cadangan3[[#This Row],[Harga Asli A]]*cadangan3[[#This Row],[Diskon]]),cadangan3[[#This Row],[Harga Asli A]])</f>
        <v>1080000</v>
      </c>
      <c r="K233" s="36">
        <f>INDEX(Katalog!$F$3:$F$12,MATCH(cadangan3[[#This Row],[ItemID A]],Katalog!$C$3:$C$12,0))*cadangan3[[#This Row],[Qty A]]</f>
        <v>400000</v>
      </c>
      <c r="L233" s="36">
        <f>IFERROR(cadangan3[[#This Row],[Profit A]]-(cadangan3[[#This Row],[Profit A]]*cadangan3[[#This Row],[Diskon]]),K233)</f>
        <v>360000</v>
      </c>
      <c r="M233" t="s">
        <v>62</v>
      </c>
      <c r="N233" t="str">
        <f>IFERROR(INDEX(Katalog!$A$3:$A$12,MATCH(cadangan3[[#This Row],[ItemID B]],Katalog!$C$3:$C$12,0)),"-")</f>
        <v>Pakaian Pria</v>
      </c>
      <c r="O233" t="str">
        <f>IFERROR(INDEX(Katalog!$B$3:$B$12,MATCH(cadangan3[[#This Row],[ItemID B]],Katalog!$C$3:$C$12,0)),"-")</f>
        <v>Celana Pendek</v>
      </c>
      <c r="P233">
        <v>1</v>
      </c>
      <c r="Q233">
        <v>2</v>
      </c>
      <c r="R233" s="36">
        <f>IFERROR(INDEX(Katalog!$D$3:$D$12,MATCH(cadangan3[[#This Row],[ItemID B]],Katalog!$C$3:$C$12,0))*cadangan3[[#This Row],[Qty B]],0)</f>
        <v>180000</v>
      </c>
      <c r="S233" s="36">
        <f>IFERROR(INDEX(Katalog!$D$3:$D$12,MATCH(cadangan3[[#This Row],[Item B]],Katalog!$B$3:$B$12,0))*cadangan3[[#This Row],[Qty B]],0)</f>
        <v>180000</v>
      </c>
      <c r="T233" s="36">
        <f>IFERROR(cadangan3[[#This Row],[Harga Asli B]]-(cadangan3[[#This Row],[Harga Asli B]]*cadangan3[[#This Row],[Diskon]]),cadangan3[[#This Row],[Harga Asli B]])</f>
        <v>162000</v>
      </c>
      <c r="U233" s="36">
        <f>IFERROR(INDEX(Katalog!$F$3:$F$12,MATCH(cadangan3[[#This Row],[ItemID B]],Katalog!$C$3:$C$12,0))*cadangan3[[#This Row],[Qty B]],0)</f>
        <v>70000</v>
      </c>
      <c r="V233" s="36">
        <f>IFERROR(cadangan3[[#This Row],[Profit B]]-(cadangan3[[#This Row],[Profit B]]*cadangan3[[#This Row],[Diskon]]),U233)</f>
        <v>63000</v>
      </c>
      <c r="W233" t="s">
        <v>58</v>
      </c>
      <c r="X233" t="str">
        <f>IFERROR(INDEX(Katalog!$A$3:$A$12,MATCH(cadangan3[[#This Row],[ItemID C]],Katalog!$C$3:$C$12,0)),"-")</f>
        <v>Pakaian Wanita</v>
      </c>
      <c r="Y233" t="str">
        <f>IFERROR(INDEX(Katalog!$B$3:$B$12,MATCH(cadangan3[[#This Row],[ItemID C]],Katalog!$C$3:$C$12,0)),"-")</f>
        <v>Dress</v>
      </c>
      <c r="Z233">
        <v>1</v>
      </c>
      <c r="AA233">
        <v>3</v>
      </c>
      <c r="AB233" s="36">
        <f>IFERROR(INDEX(Katalog!$D$3:$D$12,MATCH(cadangan3[[#This Row],[ItemID C]],Katalog!$C$3:$C$12,0))*cadangan3[[#This Row],[Qty C]],0)</f>
        <v>300000</v>
      </c>
      <c r="AC233" s="36">
        <f>IFERROR(INDEX(Katalog!$D$3:$D$12,MATCH(cadangan3[[#This Row],[Item C]],Katalog!$B$3:$B$12,0))*cadangan3[[#This Row],[Qty C]],0)</f>
        <v>300000</v>
      </c>
      <c r="AD233" s="36">
        <f>IFERROR(cadangan3[[#This Row],[Harga Asli C]]-(cadangan3[[#This Row],[Harga Asli C]]*cadangan3[[#This Row],[Diskon]]),cadangan3[[#This Row],[Harga Asli C]])</f>
        <v>270000</v>
      </c>
      <c r="AE233" s="36">
        <f>IFERROR(INDEX(Katalog!$F$3:$F$12,MATCH(cadangan3[[#This Row],[ItemID C]],Katalog!$C$3:$C$12,0))*cadangan3[[#This Row],[Qty C]],0)</f>
        <v>100000</v>
      </c>
      <c r="AF233" s="36">
        <f>IFERROR(cadangan3[[#This Row],[Profit C]]-(cadangan3[[#This Row],[Profit C]]*cadangan3[[#This Row],[Diskon]]),cadangan3[[#This Row],[Profit C]])</f>
        <v>90000</v>
      </c>
      <c r="AG233" s="21">
        <f>cadangan3[[#This Row],[Qty A]]+cadangan3[[#This Row],[Qty B]]+cadangan3[[#This Row],[Qty C]]</f>
        <v>6</v>
      </c>
      <c r="AH233" s="35">
        <f>cadangan3[[#This Row],[Harga A + Diskon]]+cadangan3[[#This Row],[Harga + Diskon B]]+cadangan3[[#This Row],[Harga + Diskon C]]</f>
        <v>1512000</v>
      </c>
      <c r="AI233" s="35">
        <f>(cadangan3[[#This Row],[Profit A]]+cadangan3[[#This Row],[Profit B]]+cadangan3[[#This Row],[Profit C]])</f>
        <v>570000</v>
      </c>
      <c r="AJ233" s="35">
        <f>cadangan3[[#This Row],[Provit A + Diskon]]+cadangan3[[#This Row],[Provit B + Diskon]]+cadangan3[[#This Row],[Provit C + Diskon]]</f>
        <v>513000</v>
      </c>
      <c r="AK233" s="23" t="s">
        <v>31</v>
      </c>
      <c r="AL233" s="37">
        <f>IFERROR(INDEX('Kode Diskon'!$D$3:$D$9,MATCH(cadangan3[[#This Row],[Kode diskon]],'Kode Diskon'!$C$3:$C$9,0)),"-")</f>
        <v>0.1</v>
      </c>
      <c r="AM233" s="23" t="s">
        <v>9</v>
      </c>
      <c r="AN233" s="23" t="s">
        <v>10</v>
      </c>
      <c r="AO233" s="23" t="s">
        <v>76</v>
      </c>
      <c r="AP233" s="24">
        <v>45036</v>
      </c>
      <c r="AQ233" s="23" t="str">
        <f>TEXT(cadangan3[[#This Row],[Tanggal terjual]],"dddd")</f>
        <v>Thursday</v>
      </c>
    </row>
    <row r="234" spans="1:43" x14ac:dyDescent="0.2">
      <c r="A234" s="20">
        <v>233</v>
      </c>
      <c r="B234" s="21" t="str">
        <f>_xlfn.CONCAT("ORD-",INDEX(Helper!$B$2:$B$5,MATCH(cadangan3[[#This Row],[Marketplace]],Helper!$A$2:$A$5,0)),TEXT(cadangan3[[#This Row],[No]],"0000"),"-",TEXT(cadangan3[[#This Row],[Tanggal terjual]],"dd/mm/yy"))</f>
        <v>ORD-SP0233-29/04/23</v>
      </c>
      <c r="C234" t="s">
        <v>62</v>
      </c>
      <c r="D234" t="str">
        <f>IFERROR(INDEX(Katalog!$A$3:$A$12,MATCH(cadangan3[[#This Row],[ItemID A]],Katalog!$C$3:$C$12,0)),"-")</f>
        <v>Pakaian Pria</v>
      </c>
      <c r="E234" t="str">
        <f>IFERROR(INDEX(Katalog!$B$3:$B$12,MATCH(cadangan3[[#This Row],[ItemID A]],Katalog!$C$3:$C$12,0)),"-")</f>
        <v>Celana Pendek</v>
      </c>
      <c r="F234">
        <v>2</v>
      </c>
      <c r="G234">
        <v>5</v>
      </c>
      <c r="H234" s="36">
        <f>IFERROR(INDEX(Katalog!$D$3:$D$12,MATCH(cadangan3[[#This Row],[ItemID A]],Katalog!$C$3:$C$12,0))*cadangan3[[#This Row],[Qty A]],0)</f>
        <v>360000</v>
      </c>
      <c r="I234" s="36">
        <f>IFERROR(INDEX(Katalog!$D$3:$D$12,MATCH(cadangan3[[#This Row],[Item A]],Katalog!$B$3:$B$12,0))*cadangan3[[#This Row],[Qty A]],0)</f>
        <v>360000</v>
      </c>
      <c r="J234" s="36">
        <f>IFERROR(cadangan3[[#This Row],[Harga Asli A]]-(cadangan3[[#This Row],[Harga Asli A]]*cadangan3[[#This Row],[Diskon]]),cadangan3[[#This Row],[Harga Asli A]])</f>
        <v>288000</v>
      </c>
      <c r="K234" s="36">
        <f>INDEX(Katalog!$F$3:$F$12,MATCH(cadangan3[[#This Row],[ItemID A]],Katalog!$C$3:$C$12,0))*cadangan3[[#This Row],[Qty A]]</f>
        <v>140000</v>
      </c>
      <c r="L234" s="36">
        <f>IFERROR(cadangan3[[#This Row],[Profit A]]-(cadangan3[[#This Row],[Profit A]]*cadangan3[[#This Row],[Diskon]]),K234)</f>
        <v>112000</v>
      </c>
      <c r="M234" t="s">
        <v>65</v>
      </c>
      <c r="N234" t="str">
        <f>IFERROR(INDEX(Katalog!$A$3:$A$12,MATCH(cadangan3[[#This Row],[ItemID B]],Katalog!$C$3:$C$12,0)),"-")</f>
        <v>Sepatu Pria</v>
      </c>
      <c r="O234" t="str">
        <f>IFERROR(INDEX(Katalog!$B$3:$B$12,MATCH(cadangan3[[#This Row],[ItemID B]],Katalog!$C$3:$C$12,0)),"-")</f>
        <v>Sneakers</v>
      </c>
      <c r="P234">
        <v>2</v>
      </c>
      <c r="Q234">
        <v>3</v>
      </c>
      <c r="R234" s="36">
        <f>IFERROR(INDEX(Katalog!$D$3:$D$12,MATCH(cadangan3[[#This Row],[ItemID B]],Katalog!$C$3:$C$12,0))*cadangan3[[#This Row],[Qty B]],0)</f>
        <v>1000000</v>
      </c>
      <c r="S234" s="36">
        <f>IFERROR(INDEX(Katalog!$D$3:$D$12,MATCH(cadangan3[[#This Row],[Item B]],Katalog!$B$3:$B$12,0))*cadangan3[[#This Row],[Qty B]],0)</f>
        <v>1000000</v>
      </c>
      <c r="T234" s="36">
        <f>IFERROR(cadangan3[[#This Row],[Harga Asli B]]-(cadangan3[[#This Row],[Harga Asli B]]*cadangan3[[#This Row],[Diskon]]),cadangan3[[#This Row],[Harga Asli B]])</f>
        <v>800000</v>
      </c>
      <c r="U234" s="36">
        <f>IFERROR(INDEX(Katalog!$F$3:$F$12,MATCH(cadangan3[[#This Row],[ItemID B]],Katalog!$C$3:$C$12,0))*cadangan3[[#This Row],[Qty B]],0)</f>
        <v>400000</v>
      </c>
      <c r="V234" s="36">
        <f>IFERROR(cadangan3[[#This Row],[Profit B]]-(cadangan3[[#This Row],[Profit B]]*cadangan3[[#This Row],[Diskon]]),U234)</f>
        <v>320000</v>
      </c>
      <c r="X234" t="str">
        <f>IFERROR(INDEX(Katalog!$A$3:$A$12,MATCH(cadangan3[[#This Row],[ItemID C]],Katalog!$C$3:$C$12,0)),"-")</f>
        <v>-</v>
      </c>
      <c r="Y234" t="str">
        <f>IFERROR(INDEX(Katalog!$B$3:$B$12,MATCH(cadangan3[[#This Row],[ItemID C]],Katalog!$C$3:$C$12,0)),"-")</f>
        <v>-</v>
      </c>
      <c r="AB234" s="36">
        <f>IFERROR(INDEX(Katalog!$D$3:$D$12,MATCH(cadangan3[[#This Row],[ItemID C]],Katalog!$C$3:$C$12,0))*cadangan3[[#This Row],[Qty C]],0)</f>
        <v>0</v>
      </c>
      <c r="AC234" s="36">
        <f>IFERROR(INDEX(Katalog!$D$3:$D$12,MATCH(cadangan3[[#This Row],[Item C]],Katalog!$B$3:$B$12,0))*cadangan3[[#This Row],[Qty C]],0)</f>
        <v>0</v>
      </c>
      <c r="AD234" s="36">
        <f>IFERROR(cadangan3[[#This Row],[Harga Asli C]]-(cadangan3[[#This Row],[Harga Asli C]]*cadangan3[[#This Row],[Diskon]]),cadangan3[[#This Row],[Harga Asli C]])</f>
        <v>0</v>
      </c>
      <c r="AE234" s="36">
        <f>IFERROR(INDEX(Katalog!$F$3:$F$12,MATCH(cadangan3[[#This Row],[ItemID C]],Katalog!$C$3:$C$12,0))*cadangan3[[#This Row],[Qty C]],0)</f>
        <v>0</v>
      </c>
      <c r="AF234" s="36">
        <f>IFERROR(cadangan3[[#This Row],[Profit C]]-(cadangan3[[#This Row],[Profit C]]*cadangan3[[#This Row],[Diskon]]),cadangan3[[#This Row],[Profit C]])</f>
        <v>0</v>
      </c>
      <c r="AG234" s="21">
        <f>cadangan3[[#This Row],[Qty A]]+cadangan3[[#This Row],[Qty B]]+cadangan3[[#This Row],[Qty C]]</f>
        <v>4</v>
      </c>
      <c r="AH234" s="35">
        <f>cadangan3[[#This Row],[Harga A + Diskon]]+cadangan3[[#This Row],[Harga + Diskon B]]+cadangan3[[#This Row],[Harga + Diskon C]]</f>
        <v>1088000</v>
      </c>
      <c r="AI234" s="35">
        <f>(cadangan3[[#This Row],[Profit A]]+cadangan3[[#This Row],[Profit B]]+cadangan3[[#This Row],[Profit C]])</f>
        <v>540000</v>
      </c>
      <c r="AJ234" s="35">
        <f>cadangan3[[#This Row],[Provit A + Diskon]]+cadangan3[[#This Row],[Provit B + Diskon]]+cadangan3[[#This Row],[Provit C + Diskon]]</f>
        <v>432000</v>
      </c>
      <c r="AK234" s="23" t="s">
        <v>8</v>
      </c>
      <c r="AL234" s="37">
        <f>IFERROR(INDEX('Kode Diskon'!$D$3:$D$9,MATCH(cadangan3[[#This Row],[Kode diskon]],'Kode Diskon'!$C$3:$C$9,0)),"-")</f>
        <v>0.2</v>
      </c>
      <c r="AM234" s="23" t="s">
        <v>9</v>
      </c>
      <c r="AN234" s="23" t="s">
        <v>7</v>
      </c>
      <c r="AO234" s="23" t="s">
        <v>79</v>
      </c>
      <c r="AP234" s="24">
        <v>45045</v>
      </c>
      <c r="AQ234" s="23" t="str">
        <f>TEXT(cadangan3[[#This Row],[Tanggal terjual]],"dddd")</f>
        <v>Saturday</v>
      </c>
    </row>
    <row r="235" spans="1:43" x14ac:dyDescent="0.2">
      <c r="A235" s="20">
        <v>234</v>
      </c>
      <c r="B235" s="21" t="str">
        <f>_xlfn.CONCAT("ORD-",INDEX(Helper!$B$2:$B$5,MATCH(cadangan3[[#This Row],[Marketplace]],Helper!$A$2:$A$5,0)),TEXT(cadangan3[[#This Row],[No]],"0000"),"-",TEXT(cadangan3[[#This Row],[Tanggal terjual]],"dd/mm/yy"))</f>
        <v>ORD-BB0234-01/04/23</v>
      </c>
      <c r="C235" t="s">
        <v>66</v>
      </c>
      <c r="D235" t="str">
        <f>IFERROR(INDEX(Katalog!$A$3:$A$12,MATCH(cadangan3[[#This Row],[ItemID A]],Katalog!$C$3:$C$12,0)),"-")</f>
        <v>Sepatu Pria</v>
      </c>
      <c r="E235" t="str">
        <f>IFERROR(INDEX(Katalog!$B$3:$B$12,MATCH(cadangan3[[#This Row],[ItemID A]],Katalog!$C$3:$C$12,0)),"-")</f>
        <v>Sandal Slip On</v>
      </c>
      <c r="F235">
        <v>4</v>
      </c>
      <c r="G235">
        <v>2</v>
      </c>
      <c r="H235" s="36">
        <f>IFERROR(INDEX(Katalog!$D$3:$D$12,MATCH(cadangan3[[#This Row],[ItemID A]],Katalog!$C$3:$C$12,0))*cadangan3[[#This Row],[Qty A]],0)</f>
        <v>600000</v>
      </c>
      <c r="I235" s="36">
        <f>IFERROR(INDEX(Katalog!$D$3:$D$12,MATCH(cadangan3[[#This Row],[Item A]],Katalog!$B$3:$B$12,0))*cadangan3[[#This Row],[Qty A]],0)</f>
        <v>600000</v>
      </c>
      <c r="J235" s="36">
        <f>IFERROR(cadangan3[[#This Row],[Harga Asli A]]-(cadangan3[[#This Row],[Harga Asli A]]*cadangan3[[#This Row],[Diskon]]),cadangan3[[#This Row],[Harga Asli A]])</f>
        <v>510000</v>
      </c>
      <c r="K235" s="36">
        <f>INDEX(Katalog!$F$3:$F$12,MATCH(cadangan3[[#This Row],[ItemID A]],Katalog!$C$3:$C$12,0))*cadangan3[[#This Row],[Qty A]]</f>
        <v>240000</v>
      </c>
      <c r="L235" s="36">
        <f>IFERROR(cadangan3[[#This Row],[Profit A]]-(cadangan3[[#This Row],[Profit A]]*cadangan3[[#This Row],[Diskon]]),K235)</f>
        <v>204000</v>
      </c>
      <c r="M235" t="s">
        <v>63</v>
      </c>
      <c r="N235" t="str">
        <f>IFERROR(INDEX(Katalog!$A$3:$A$12,MATCH(cadangan3[[#This Row],[ItemID B]],Katalog!$C$3:$C$12,0)),"-")</f>
        <v>Pakaian Pria</v>
      </c>
      <c r="O235" t="str">
        <f>IFERROR(INDEX(Katalog!$B$3:$B$12,MATCH(cadangan3[[#This Row],[ItemID B]],Katalog!$C$3:$C$12,0)),"-")</f>
        <v>Jaket Jeans</v>
      </c>
      <c r="P235">
        <v>1</v>
      </c>
      <c r="Q235">
        <v>4</v>
      </c>
      <c r="R235" s="36">
        <f>IFERROR(INDEX(Katalog!$D$3:$D$12,MATCH(cadangan3[[#This Row],[ItemID B]],Katalog!$C$3:$C$12,0))*cadangan3[[#This Row],[Qty B]],0)</f>
        <v>400000</v>
      </c>
      <c r="S235" s="36">
        <f>IFERROR(INDEX(Katalog!$D$3:$D$12,MATCH(cadangan3[[#This Row],[Item B]],Katalog!$B$3:$B$12,0))*cadangan3[[#This Row],[Qty B]],0)</f>
        <v>400000</v>
      </c>
      <c r="T235" s="36">
        <f>IFERROR(cadangan3[[#This Row],[Harga Asli B]]-(cadangan3[[#This Row],[Harga Asli B]]*cadangan3[[#This Row],[Diskon]]),cadangan3[[#This Row],[Harga Asli B]])</f>
        <v>340000</v>
      </c>
      <c r="U235" s="36">
        <f>IFERROR(INDEX(Katalog!$F$3:$F$12,MATCH(cadangan3[[#This Row],[ItemID B]],Katalog!$C$3:$C$12,0))*cadangan3[[#This Row],[Qty B]],0)</f>
        <v>150000</v>
      </c>
      <c r="V235" s="36">
        <f>IFERROR(cadangan3[[#This Row],[Profit B]]-(cadangan3[[#This Row],[Profit B]]*cadangan3[[#This Row],[Diskon]]),U235)</f>
        <v>127500</v>
      </c>
      <c r="X235" t="str">
        <f>IFERROR(INDEX(Katalog!$A$3:$A$12,MATCH(cadangan3[[#This Row],[ItemID C]],Katalog!$C$3:$C$12,0)),"-")</f>
        <v>-</v>
      </c>
      <c r="Y235" t="str">
        <f>IFERROR(INDEX(Katalog!$B$3:$B$12,MATCH(cadangan3[[#This Row],[ItemID C]],Katalog!$C$3:$C$12,0)),"-")</f>
        <v>-</v>
      </c>
      <c r="AB235" s="36">
        <f>IFERROR(INDEX(Katalog!$D$3:$D$12,MATCH(cadangan3[[#This Row],[ItemID C]],Katalog!$C$3:$C$12,0))*cadangan3[[#This Row],[Qty C]],0)</f>
        <v>0</v>
      </c>
      <c r="AC235" s="36">
        <f>IFERROR(INDEX(Katalog!$D$3:$D$12,MATCH(cadangan3[[#This Row],[Item C]],Katalog!$B$3:$B$12,0))*cadangan3[[#This Row],[Qty C]],0)</f>
        <v>0</v>
      </c>
      <c r="AD235" s="36">
        <f>IFERROR(cadangan3[[#This Row],[Harga Asli C]]-(cadangan3[[#This Row],[Harga Asli C]]*cadangan3[[#This Row],[Diskon]]),cadangan3[[#This Row],[Harga Asli C]])</f>
        <v>0</v>
      </c>
      <c r="AE235" s="36">
        <f>IFERROR(INDEX(Katalog!$F$3:$F$12,MATCH(cadangan3[[#This Row],[ItemID C]],Katalog!$C$3:$C$12,0))*cadangan3[[#This Row],[Qty C]],0)</f>
        <v>0</v>
      </c>
      <c r="AF235" s="36">
        <f>IFERROR(cadangan3[[#This Row],[Profit C]]-(cadangan3[[#This Row],[Profit C]]*cadangan3[[#This Row],[Diskon]]),cadangan3[[#This Row],[Profit C]])</f>
        <v>0</v>
      </c>
      <c r="AG235" s="21">
        <f>cadangan3[[#This Row],[Qty A]]+cadangan3[[#This Row],[Qty B]]+cadangan3[[#This Row],[Qty C]]</f>
        <v>5</v>
      </c>
      <c r="AH235" s="35">
        <f>cadangan3[[#This Row],[Harga A + Diskon]]+cadangan3[[#This Row],[Harga + Diskon B]]+cadangan3[[#This Row],[Harga + Diskon C]]</f>
        <v>850000</v>
      </c>
      <c r="AI235" s="35">
        <f>(cadangan3[[#This Row],[Profit A]]+cadangan3[[#This Row],[Profit B]]+cadangan3[[#This Row],[Profit C]])</f>
        <v>390000</v>
      </c>
      <c r="AJ235" s="35">
        <f>cadangan3[[#This Row],[Provit A + Diskon]]+cadangan3[[#This Row],[Provit B + Diskon]]+cadangan3[[#This Row],[Provit C + Diskon]]</f>
        <v>331500</v>
      </c>
      <c r="AK235" s="23" t="s">
        <v>28</v>
      </c>
      <c r="AL235" s="37">
        <f>IFERROR(INDEX('Kode Diskon'!$D$3:$D$9,MATCH(cadangan3[[#This Row],[Kode diskon]],'Kode Diskon'!$C$3:$C$9,0)),"-")</f>
        <v>0.15</v>
      </c>
      <c r="AM235" s="23" t="s">
        <v>29</v>
      </c>
      <c r="AN235" s="23" t="s">
        <v>14</v>
      </c>
      <c r="AO235" s="23" t="s">
        <v>80</v>
      </c>
      <c r="AP235" s="24">
        <v>45017</v>
      </c>
      <c r="AQ235" s="23" t="str">
        <f>TEXT(cadangan3[[#This Row],[Tanggal terjual]],"dddd")</f>
        <v>Saturday</v>
      </c>
    </row>
    <row r="236" spans="1:43" x14ac:dyDescent="0.2">
      <c r="A236" s="20">
        <v>235</v>
      </c>
      <c r="B236" s="21" t="str">
        <f>_xlfn.CONCAT("ORD-",INDEX(Helper!$B$2:$B$5,MATCH(cadangan3[[#This Row],[Marketplace]],Helper!$A$2:$A$5,0)),TEXT(cadangan3[[#This Row],[No]],"0000"),"-",TEXT(cadangan3[[#This Row],[Tanggal terjual]],"dd/mm/yy"))</f>
        <v>ORD-TK0235-22/04/23</v>
      </c>
      <c r="C236" t="s">
        <v>65</v>
      </c>
      <c r="D236" t="str">
        <f>IFERROR(INDEX(Katalog!$A$3:$A$12,MATCH(cadangan3[[#This Row],[ItemID A]],Katalog!$C$3:$C$12,0)),"-")</f>
        <v>Sepatu Pria</v>
      </c>
      <c r="E236" t="str">
        <f>IFERROR(INDEX(Katalog!$B$3:$B$12,MATCH(cadangan3[[#This Row],[ItemID A]],Katalog!$C$3:$C$12,0)),"-")</f>
        <v>Sneakers</v>
      </c>
      <c r="F236">
        <v>3</v>
      </c>
      <c r="G236">
        <v>4</v>
      </c>
      <c r="H236" s="36">
        <f>IFERROR(INDEX(Katalog!$D$3:$D$12,MATCH(cadangan3[[#This Row],[ItemID A]],Katalog!$C$3:$C$12,0))*cadangan3[[#This Row],[Qty A]],0)</f>
        <v>1500000</v>
      </c>
      <c r="I236" s="36">
        <f>IFERROR(INDEX(Katalog!$D$3:$D$12,MATCH(cadangan3[[#This Row],[Item A]],Katalog!$B$3:$B$12,0))*cadangan3[[#This Row],[Qty A]],0)</f>
        <v>1500000</v>
      </c>
      <c r="J236" s="36">
        <f>IFERROR(cadangan3[[#This Row],[Harga Asli A]]-(cadangan3[[#This Row],[Harga Asli A]]*cadangan3[[#This Row],[Diskon]]),cadangan3[[#This Row],[Harga Asli A]])</f>
        <v>1350000</v>
      </c>
      <c r="K236" s="36">
        <f>INDEX(Katalog!$F$3:$F$12,MATCH(cadangan3[[#This Row],[ItemID A]],Katalog!$C$3:$C$12,0))*cadangan3[[#This Row],[Qty A]]</f>
        <v>600000</v>
      </c>
      <c r="L236" s="36">
        <f>IFERROR(cadangan3[[#This Row],[Profit A]]-(cadangan3[[#This Row],[Profit A]]*cadangan3[[#This Row],[Diskon]]),K236)</f>
        <v>540000</v>
      </c>
      <c r="M236" t="s">
        <v>58</v>
      </c>
      <c r="N236" t="str">
        <f>IFERROR(INDEX(Katalog!$A$3:$A$12,MATCH(cadangan3[[#This Row],[ItemID B]],Katalog!$C$3:$C$12,0)),"-")</f>
        <v>Pakaian Wanita</v>
      </c>
      <c r="O236" t="str">
        <f>IFERROR(INDEX(Katalog!$B$3:$B$12,MATCH(cadangan3[[#This Row],[ItemID B]],Katalog!$C$3:$C$12,0)),"-")</f>
        <v>Dress</v>
      </c>
      <c r="P236">
        <v>1</v>
      </c>
      <c r="Q236">
        <v>1</v>
      </c>
      <c r="R236" s="36">
        <f>IFERROR(INDEX(Katalog!$D$3:$D$12,MATCH(cadangan3[[#This Row],[ItemID B]],Katalog!$C$3:$C$12,0))*cadangan3[[#This Row],[Qty B]],0)</f>
        <v>300000</v>
      </c>
      <c r="S236" s="36">
        <f>IFERROR(INDEX(Katalog!$D$3:$D$12,MATCH(cadangan3[[#This Row],[Item B]],Katalog!$B$3:$B$12,0))*cadangan3[[#This Row],[Qty B]],0)</f>
        <v>300000</v>
      </c>
      <c r="T236" s="36">
        <f>IFERROR(cadangan3[[#This Row],[Harga Asli B]]-(cadangan3[[#This Row],[Harga Asli B]]*cadangan3[[#This Row],[Diskon]]),cadangan3[[#This Row],[Harga Asli B]])</f>
        <v>270000</v>
      </c>
      <c r="U236" s="36">
        <f>IFERROR(INDEX(Katalog!$F$3:$F$12,MATCH(cadangan3[[#This Row],[ItemID B]],Katalog!$C$3:$C$12,0))*cadangan3[[#This Row],[Qty B]],0)</f>
        <v>100000</v>
      </c>
      <c r="V236" s="36">
        <f>IFERROR(cadangan3[[#This Row],[Profit B]]-(cadangan3[[#This Row],[Profit B]]*cadangan3[[#This Row],[Diskon]]),U236)</f>
        <v>90000</v>
      </c>
      <c r="W236" t="s">
        <v>61</v>
      </c>
      <c r="X236" t="str">
        <f>IFERROR(INDEX(Katalog!$A$3:$A$12,MATCH(cadangan3[[#This Row],[ItemID C]],Katalog!$C$3:$C$12,0)),"-")</f>
        <v>Pakaian Pria</v>
      </c>
      <c r="Y236" t="str">
        <f>IFERROR(INDEX(Katalog!$B$3:$B$12,MATCH(cadangan3[[#This Row],[ItemID C]],Katalog!$C$3:$C$12,0)),"-")</f>
        <v>Kaos Polo</v>
      </c>
      <c r="Z236">
        <v>1</v>
      </c>
      <c r="AA236">
        <v>5</v>
      </c>
      <c r="AB236" s="36">
        <f>IFERROR(INDEX(Katalog!$D$3:$D$12,MATCH(cadangan3[[#This Row],[ItemID C]],Katalog!$C$3:$C$12,0))*cadangan3[[#This Row],[Qty C]],0)</f>
        <v>200000</v>
      </c>
      <c r="AC236" s="36">
        <f>IFERROR(INDEX(Katalog!$D$3:$D$12,MATCH(cadangan3[[#This Row],[Item C]],Katalog!$B$3:$B$12,0))*cadangan3[[#This Row],[Qty C]],0)</f>
        <v>200000</v>
      </c>
      <c r="AD236" s="36">
        <f>IFERROR(cadangan3[[#This Row],[Harga Asli C]]-(cadangan3[[#This Row],[Harga Asli C]]*cadangan3[[#This Row],[Diskon]]),cadangan3[[#This Row],[Harga Asli C]])</f>
        <v>180000</v>
      </c>
      <c r="AE236" s="36">
        <f>IFERROR(INDEX(Katalog!$F$3:$F$12,MATCH(cadangan3[[#This Row],[ItemID C]],Katalog!$C$3:$C$12,0))*cadangan3[[#This Row],[Qty C]],0)</f>
        <v>80000</v>
      </c>
      <c r="AF236" s="36">
        <f>IFERROR(cadangan3[[#This Row],[Profit C]]-(cadangan3[[#This Row],[Profit C]]*cadangan3[[#This Row],[Diskon]]),cadangan3[[#This Row],[Profit C]])</f>
        <v>72000</v>
      </c>
      <c r="AG236" s="21">
        <f>cadangan3[[#This Row],[Qty A]]+cadangan3[[#This Row],[Qty B]]+cadangan3[[#This Row],[Qty C]]</f>
        <v>5</v>
      </c>
      <c r="AH236" s="35">
        <f>cadangan3[[#This Row],[Harga A + Diskon]]+cadangan3[[#This Row],[Harga + Diskon B]]+cadangan3[[#This Row],[Harga + Diskon C]]</f>
        <v>1800000</v>
      </c>
      <c r="AI236" s="35">
        <f>(cadangan3[[#This Row],[Profit A]]+cadangan3[[#This Row],[Profit B]]+cadangan3[[#This Row],[Profit C]])</f>
        <v>780000</v>
      </c>
      <c r="AJ236" s="35">
        <f>cadangan3[[#This Row],[Provit A + Diskon]]+cadangan3[[#This Row],[Provit B + Diskon]]+cadangan3[[#This Row],[Provit C + Diskon]]</f>
        <v>702000</v>
      </c>
      <c r="AK236" s="23" t="s">
        <v>31</v>
      </c>
      <c r="AL236" s="37">
        <f>IFERROR(INDEX('Kode Diskon'!$D$3:$D$9,MATCH(cadangan3[[#This Row],[Kode diskon]],'Kode Diskon'!$C$3:$C$9,0)),"-")</f>
        <v>0.1</v>
      </c>
      <c r="AM236" s="23" t="s">
        <v>9</v>
      </c>
      <c r="AN236" s="23" t="s">
        <v>10</v>
      </c>
      <c r="AO236" s="23" t="s">
        <v>75</v>
      </c>
      <c r="AP236" s="24">
        <v>45038</v>
      </c>
      <c r="AQ236" s="23" t="str">
        <f>TEXT(cadangan3[[#This Row],[Tanggal terjual]],"dddd")</f>
        <v>Saturday</v>
      </c>
    </row>
    <row r="237" spans="1:43" x14ac:dyDescent="0.2">
      <c r="A237" s="20">
        <v>236</v>
      </c>
      <c r="B237" s="21" t="str">
        <f>_xlfn.CONCAT("ORD-",INDEX(Helper!$B$2:$B$5,MATCH(cadangan3[[#This Row],[Marketplace]],Helper!$A$2:$A$5,0)),TEXT(cadangan3[[#This Row],[No]],"0000"),"-",TEXT(cadangan3[[#This Row],[Tanggal terjual]],"dd/mm/yy"))</f>
        <v>ORD-TK0236-29/04/23</v>
      </c>
      <c r="C237" t="s">
        <v>61</v>
      </c>
      <c r="D237" t="str">
        <f>IFERROR(INDEX(Katalog!$A$3:$A$12,MATCH(cadangan3[[#This Row],[ItemID A]],Katalog!$C$3:$C$12,0)),"-")</f>
        <v>Pakaian Pria</v>
      </c>
      <c r="E237" t="str">
        <f>IFERROR(INDEX(Katalog!$B$3:$B$12,MATCH(cadangan3[[#This Row],[ItemID A]],Katalog!$C$3:$C$12,0)),"-")</f>
        <v>Kaos Polo</v>
      </c>
      <c r="F237">
        <v>1</v>
      </c>
      <c r="G237">
        <v>2</v>
      </c>
      <c r="H237" s="36">
        <f>IFERROR(INDEX(Katalog!$D$3:$D$12,MATCH(cadangan3[[#This Row],[ItemID A]],Katalog!$C$3:$C$12,0))*cadangan3[[#This Row],[Qty A]],0)</f>
        <v>200000</v>
      </c>
      <c r="I237" s="36">
        <f>IFERROR(INDEX(Katalog!$D$3:$D$12,MATCH(cadangan3[[#This Row],[Item A]],Katalog!$B$3:$B$12,0))*cadangan3[[#This Row],[Qty A]],0)</f>
        <v>200000</v>
      </c>
      <c r="J237" s="36">
        <f>IFERROR(cadangan3[[#This Row],[Harga Asli A]]-(cadangan3[[#This Row],[Harga Asli A]]*cadangan3[[#This Row],[Diskon]]),cadangan3[[#This Row],[Harga Asli A]])</f>
        <v>180000</v>
      </c>
      <c r="K237" s="36">
        <f>INDEX(Katalog!$F$3:$F$12,MATCH(cadangan3[[#This Row],[ItemID A]],Katalog!$C$3:$C$12,0))*cadangan3[[#This Row],[Qty A]]</f>
        <v>80000</v>
      </c>
      <c r="L237" s="36">
        <f>IFERROR(cadangan3[[#This Row],[Profit A]]-(cadangan3[[#This Row],[Profit A]]*cadangan3[[#This Row],[Diskon]]),K237)</f>
        <v>72000</v>
      </c>
      <c r="N237" t="str">
        <f>IFERROR(INDEX(Katalog!$A$3:$A$12,MATCH(cadangan3[[#This Row],[ItemID B]],Katalog!$C$3:$C$12,0)),"-")</f>
        <v>-</v>
      </c>
      <c r="O237" t="str">
        <f>IFERROR(INDEX(Katalog!$B$3:$B$12,MATCH(cadangan3[[#This Row],[ItemID B]],Katalog!$C$3:$C$12,0)),"-")</f>
        <v>-</v>
      </c>
      <c r="R237" s="36">
        <f>IFERROR(INDEX(Katalog!$D$3:$D$12,MATCH(cadangan3[[#This Row],[ItemID B]],Katalog!$C$3:$C$12,0))*cadangan3[[#This Row],[Qty B]],0)</f>
        <v>0</v>
      </c>
      <c r="S237" s="36">
        <f>IFERROR(INDEX(Katalog!$D$3:$D$12,MATCH(cadangan3[[#This Row],[Item B]],Katalog!$B$3:$B$12,0))*cadangan3[[#This Row],[Qty B]],0)</f>
        <v>0</v>
      </c>
      <c r="T237" s="36">
        <f>IFERROR(cadangan3[[#This Row],[Harga Asli B]]-(cadangan3[[#This Row],[Harga Asli B]]*cadangan3[[#This Row],[Diskon]]),cadangan3[[#This Row],[Harga Asli B]])</f>
        <v>0</v>
      </c>
      <c r="U237" s="36">
        <f>IFERROR(INDEX(Katalog!$F$3:$F$12,MATCH(cadangan3[[#This Row],[ItemID B]],Katalog!$C$3:$C$12,0))*cadangan3[[#This Row],[Qty B]],0)</f>
        <v>0</v>
      </c>
      <c r="V237" s="36">
        <f>IFERROR(cadangan3[[#This Row],[Profit B]]-(cadangan3[[#This Row],[Profit B]]*cadangan3[[#This Row],[Diskon]]),U237)</f>
        <v>0</v>
      </c>
      <c r="X237" t="str">
        <f>IFERROR(INDEX(Katalog!$A$3:$A$12,MATCH(cadangan3[[#This Row],[ItemID C]],Katalog!$C$3:$C$12,0)),"-")</f>
        <v>-</v>
      </c>
      <c r="Y237" t="str">
        <f>IFERROR(INDEX(Katalog!$B$3:$B$12,MATCH(cadangan3[[#This Row],[ItemID C]],Katalog!$C$3:$C$12,0)),"-")</f>
        <v>-</v>
      </c>
      <c r="AB237" s="36">
        <f>IFERROR(INDEX(Katalog!$D$3:$D$12,MATCH(cadangan3[[#This Row],[ItemID C]],Katalog!$C$3:$C$12,0))*cadangan3[[#This Row],[Qty C]],0)</f>
        <v>0</v>
      </c>
      <c r="AC237" s="36">
        <f>IFERROR(INDEX(Katalog!$D$3:$D$12,MATCH(cadangan3[[#This Row],[Item C]],Katalog!$B$3:$B$12,0))*cadangan3[[#This Row],[Qty C]],0)</f>
        <v>0</v>
      </c>
      <c r="AD237" s="36">
        <f>IFERROR(cadangan3[[#This Row],[Harga Asli C]]-(cadangan3[[#This Row],[Harga Asli C]]*cadangan3[[#This Row],[Diskon]]),cadangan3[[#This Row],[Harga Asli C]])</f>
        <v>0</v>
      </c>
      <c r="AE237" s="36">
        <f>IFERROR(INDEX(Katalog!$F$3:$F$12,MATCH(cadangan3[[#This Row],[ItemID C]],Katalog!$C$3:$C$12,0))*cadangan3[[#This Row],[Qty C]],0)</f>
        <v>0</v>
      </c>
      <c r="AF237" s="36">
        <f>IFERROR(cadangan3[[#This Row],[Profit C]]-(cadangan3[[#This Row],[Profit C]]*cadangan3[[#This Row],[Diskon]]),cadangan3[[#This Row],[Profit C]])</f>
        <v>0</v>
      </c>
      <c r="AG237" s="21">
        <f>cadangan3[[#This Row],[Qty A]]+cadangan3[[#This Row],[Qty B]]+cadangan3[[#This Row],[Qty C]]</f>
        <v>1</v>
      </c>
      <c r="AH237" s="35">
        <f>cadangan3[[#This Row],[Harga A + Diskon]]+cadangan3[[#This Row],[Harga + Diskon B]]+cadangan3[[#This Row],[Harga + Diskon C]]</f>
        <v>180000</v>
      </c>
      <c r="AI237" s="35">
        <f>(cadangan3[[#This Row],[Profit A]]+cadangan3[[#This Row],[Profit B]]+cadangan3[[#This Row],[Profit C]])</f>
        <v>80000</v>
      </c>
      <c r="AJ237" s="35">
        <f>cadangan3[[#This Row],[Provit A + Diskon]]+cadangan3[[#This Row],[Provit B + Diskon]]+cadangan3[[#This Row],[Provit C + Diskon]]</f>
        <v>72000</v>
      </c>
      <c r="AK237" s="23" t="s">
        <v>31</v>
      </c>
      <c r="AL237" s="37">
        <f>IFERROR(INDEX('Kode Diskon'!$D$3:$D$9,MATCH(cadangan3[[#This Row],[Kode diskon]],'Kode Diskon'!$C$3:$C$9,0)),"-")</f>
        <v>0.1</v>
      </c>
      <c r="AM237" s="23" t="s">
        <v>9</v>
      </c>
      <c r="AN237" s="23" t="s">
        <v>10</v>
      </c>
      <c r="AO237" s="23" t="s">
        <v>78</v>
      </c>
      <c r="AP237" s="24">
        <v>45045</v>
      </c>
      <c r="AQ237" s="23" t="str">
        <f>TEXT(cadangan3[[#This Row],[Tanggal terjual]],"dddd")</f>
        <v>Saturday</v>
      </c>
    </row>
    <row r="238" spans="1:43" x14ac:dyDescent="0.2">
      <c r="A238" s="20">
        <v>237</v>
      </c>
      <c r="B238" s="21" t="str">
        <f>_xlfn.CONCAT("ORD-",INDEX(Helper!$B$2:$B$5,MATCH(cadangan3[[#This Row],[Marketplace]],Helper!$A$2:$A$5,0)),TEXT(cadangan3[[#This Row],[No]],"0000"),"-",TEXT(cadangan3[[#This Row],[Tanggal terjual]],"dd/mm/yy"))</f>
        <v>ORD-BB0237-02/04/23</v>
      </c>
      <c r="C238" t="s">
        <v>60</v>
      </c>
      <c r="D238" t="str">
        <f>IFERROR(INDEX(Katalog!$A$3:$A$12,MATCH(cadangan3[[#This Row],[ItemID A]],Katalog!$C$3:$C$12,0)),"-")</f>
        <v>Pakaian Wanita</v>
      </c>
      <c r="E238" t="str">
        <f>IFERROR(INDEX(Katalog!$B$3:$B$12,MATCH(cadangan3[[#This Row],[ItemID A]],Katalog!$C$3:$C$12,0)),"-")</f>
        <v>Kaftan</v>
      </c>
      <c r="F238">
        <v>3</v>
      </c>
      <c r="G238">
        <v>3</v>
      </c>
      <c r="H238" s="36">
        <f>IFERROR(INDEX(Katalog!$D$3:$D$12,MATCH(cadangan3[[#This Row],[ItemID A]],Katalog!$C$3:$C$12,0))*cadangan3[[#This Row],[Qty A]],0)</f>
        <v>750000</v>
      </c>
      <c r="I238" s="36">
        <f>IFERROR(INDEX(Katalog!$D$3:$D$12,MATCH(cadangan3[[#This Row],[Item A]],Katalog!$B$3:$B$12,0))*cadangan3[[#This Row],[Qty A]],0)</f>
        <v>750000</v>
      </c>
      <c r="J238" s="36">
        <f>IFERROR(cadangan3[[#This Row],[Harga Asli A]]-(cadangan3[[#This Row],[Harga Asli A]]*cadangan3[[#This Row],[Diskon]]),cadangan3[[#This Row],[Harga Asli A]])</f>
        <v>637500</v>
      </c>
      <c r="K238" s="36">
        <f>INDEX(Katalog!$F$3:$F$12,MATCH(cadangan3[[#This Row],[ItemID A]],Katalog!$C$3:$C$12,0))*cadangan3[[#This Row],[Qty A]]</f>
        <v>300000</v>
      </c>
      <c r="L238" s="36">
        <f>IFERROR(cadangan3[[#This Row],[Profit A]]-(cadangan3[[#This Row],[Profit A]]*cadangan3[[#This Row],[Diskon]]),K238)</f>
        <v>255000</v>
      </c>
      <c r="N238" t="str">
        <f>IFERROR(INDEX(Katalog!$A$3:$A$12,MATCH(cadangan3[[#This Row],[ItemID B]],Katalog!$C$3:$C$12,0)),"-")</f>
        <v>-</v>
      </c>
      <c r="O238" t="str">
        <f>IFERROR(INDEX(Katalog!$B$3:$B$12,MATCH(cadangan3[[#This Row],[ItemID B]],Katalog!$C$3:$C$12,0)),"-")</f>
        <v>-</v>
      </c>
      <c r="R238" s="36">
        <f>IFERROR(INDEX(Katalog!$D$3:$D$12,MATCH(cadangan3[[#This Row],[ItemID B]],Katalog!$C$3:$C$12,0))*cadangan3[[#This Row],[Qty B]],0)</f>
        <v>0</v>
      </c>
      <c r="S238" s="36">
        <f>IFERROR(INDEX(Katalog!$D$3:$D$12,MATCH(cadangan3[[#This Row],[Item B]],Katalog!$B$3:$B$12,0))*cadangan3[[#This Row],[Qty B]],0)</f>
        <v>0</v>
      </c>
      <c r="T238" s="36">
        <f>IFERROR(cadangan3[[#This Row],[Harga Asli B]]-(cadangan3[[#This Row],[Harga Asli B]]*cadangan3[[#This Row],[Diskon]]),cadangan3[[#This Row],[Harga Asli B]])</f>
        <v>0</v>
      </c>
      <c r="U238" s="36">
        <f>IFERROR(INDEX(Katalog!$F$3:$F$12,MATCH(cadangan3[[#This Row],[ItemID B]],Katalog!$C$3:$C$12,0))*cadangan3[[#This Row],[Qty B]],0)</f>
        <v>0</v>
      </c>
      <c r="V238" s="36">
        <f>IFERROR(cadangan3[[#This Row],[Profit B]]-(cadangan3[[#This Row],[Profit B]]*cadangan3[[#This Row],[Diskon]]),U238)</f>
        <v>0</v>
      </c>
      <c r="X238" t="str">
        <f>IFERROR(INDEX(Katalog!$A$3:$A$12,MATCH(cadangan3[[#This Row],[ItemID C]],Katalog!$C$3:$C$12,0)),"-")</f>
        <v>-</v>
      </c>
      <c r="Y238" t="str">
        <f>IFERROR(INDEX(Katalog!$B$3:$B$12,MATCH(cadangan3[[#This Row],[ItemID C]],Katalog!$C$3:$C$12,0)),"-")</f>
        <v>-</v>
      </c>
      <c r="AB238" s="36">
        <f>IFERROR(INDEX(Katalog!$D$3:$D$12,MATCH(cadangan3[[#This Row],[ItemID C]],Katalog!$C$3:$C$12,0))*cadangan3[[#This Row],[Qty C]],0)</f>
        <v>0</v>
      </c>
      <c r="AC238" s="36">
        <f>IFERROR(INDEX(Katalog!$D$3:$D$12,MATCH(cadangan3[[#This Row],[Item C]],Katalog!$B$3:$B$12,0))*cadangan3[[#This Row],[Qty C]],0)</f>
        <v>0</v>
      </c>
      <c r="AD238" s="36">
        <f>IFERROR(cadangan3[[#This Row],[Harga Asli C]]-(cadangan3[[#This Row],[Harga Asli C]]*cadangan3[[#This Row],[Diskon]]),cadangan3[[#This Row],[Harga Asli C]])</f>
        <v>0</v>
      </c>
      <c r="AE238" s="36">
        <f>IFERROR(INDEX(Katalog!$F$3:$F$12,MATCH(cadangan3[[#This Row],[ItemID C]],Katalog!$C$3:$C$12,0))*cadangan3[[#This Row],[Qty C]],0)</f>
        <v>0</v>
      </c>
      <c r="AF238" s="36">
        <f>IFERROR(cadangan3[[#This Row],[Profit C]]-(cadangan3[[#This Row],[Profit C]]*cadangan3[[#This Row],[Diskon]]),cadangan3[[#This Row],[Profit C]])</f>
        <v>0</v>
      </c>
      <c r="AG238" s="21">
        <f>cadangan3[[#This Row],[Qty A]]+cadangan3[[#This Row],[Qty B]]+cadangan3[[#This Row],[Qty C]]</f>
        <v>3</v>
      </c>
      <c r="AH238" s="35">
        <f>cadangan3[[#This Row],[Harga A + Diskon]]+cadangan3[[#This Row],[Harga + Diskon B]]+cadangan3[[#This Row],[Harga + Diskon C]]</f>
        <v>637500</v>
      </c>
      <c r="AI238" s="35">
        <f>(cadangan3[[#This Row],[Profit A]]+cadangan3[[#This Row],[Profit B]]+cadangan3[[#This Row],[Profit C]])</f>
        <v>300000</v>
      </c>
      <c r="AJ238" s="35">
        <f>cadangan3[[#This Row],[Provit A + Diskon]]+cadangan3[[#This Row],[Provit B + Diskon]]+cadangan3[[#This Row],[Provit C + Diskon]]</f>
        <v>255000</v>
      </c>
      <c r="AK238" s="23" t="s">
        <v>28</v>
      </c>
      <c r="AL238" s="37">
        <f>IFERROR(INDEX('Kode Diskon'!$D$3:$D$9,MATCH(cadangan3[[#This Row],[Kode diskon]],'Kode Diskon'!$C$3:$C$9,0)),"-")</f>
        <v>0.15</v>
      </c>
      <c r="AM238" s="23" t="s">
        <v>29</v>
      </c>
      <c r="AN238" s="23" t="s">
        <v>14</v>
      </c>
      <c r="AO238" s="23" t="s">
        <v>80</v>
      </c>
      <c r="AP238" s="24">
        <v>45018</v>
      </c>
      <c r="AQ238" s="23" t="str">
        <f>TEXT(cadangan3[[#This Row],[Tanggal terjual]],"dddd")</f>
        <v>Sunday</v>
      </c>
    </row>
    <row r="239" spans="1:43" x14ac:dyDescent="0.2">
      <c r="A239" s="20">
        <v>238</v>
      </c>
      <c r="B239" s="21" t="str">
        <f>_xlfn.CONCAT("ORD-",INDEX(Helper!$B$2:$B$5,MATCH(cadangan3[[#This Row],[Marketplace]],Helper!$A$2:$A$5,0)),TEXT(cadangan3[[#This Row],[No]],"0000"),"-",TEXT(cadangan3[[#This Row],[Tanggal terjual]],"dd/mm/yy"))</f>
        <v>ORD-SP0238-04/04/23</v>
      </c>
      <c r="C239" t="s">
        <v>66</v>
      </c>
      <c r="D239" t="str">
        <f>IFERROR(INDEX(Katalog!$A$3:$A$12,MATCH(cadangan3[[#This Row],[ItemID A]],Katalog!$C$3:$C$12,0)),"-")</f>
        <v>Sepatu Pria</v>
      </c>
      <c r="E239" t="str">
        <f>IFERROR(INDEX(Katalog!$B$3:$B$12,MATCH(cadangan3[[#This Row],[ItemID A]],Katalog!$C$3:$C$12,0)),"-")</f>
        <v>Sandal Slip On</v>
      </c>
      <c r="F239">
        <v>2</v>
      </c>
      <c r="G239">
        <v>4</v>
      </c>
      <c r="H239" s="36">
        <f>IFERROR(INDEX(Katalog!$D$3:$D$12,MATCH(cadangan3[[#This Row],[ItemID A]],Katalog!$C$3:$C$12,0))*cadangan3[[#This Row],[Qty A]],0)</f>
        <v>300000</v>
      </c>
      <c r="I239" s="36">
        <f>IFERROR(INDEX(Katalog!$D$3:$D$12,MATCH(cadangan3[[#This Row],[Item A]],Katalog!$B$3:$B$12,0))*cadangan3[[#This Row],[Qty A]],0)</f>
        <v>300000</v>
      </c>
      <c r="J239" s="36">
        <f>IFERROR(cadangan3[[#This Row],[Harga Asli A]]-(cadangan3[[#This Row],[Harga Asli A]]*cadangan3[[#This Row],[Diskon]]),cadangan3[[#This Row],[Harga Asli A]])</f>
        <v>255000</v>
      </c>
      <c r="K239" s="36">
        <f>INDEX(Katalog!$F$3:$F$12,MATCH(cadangan3[[#This Row],[ItemID A]],Katalog!$C$3:$C$12,0))*cadangan3[[#This Row],[Qty A]]</f>
        <v>120000</v>
      </c>
      <c r="L239" s="36">
        <f>IFERROR(cadangan3[[#This Row],[Profit A]]-(cadangan3[[#This Row],[Profit A]]*cadangan3[[#This Row],[Diskon]]),K239)</f>
        <v>102000</v>
      </c>
      <c r="M239" t="s">
        <v>63</v>
      </c>
      <c r="N239" t="str">
        <f>IFERROR(INDEX(Katalog!$A$3:$A$12,MATCH(cadangan3[[#This Row],[ItemID B]],Katalog!$C$3:$C$12,0)),"-")</f>
        <v>Pakaian Pria</v>
      </c>
      <c r="O239" t="str">
        <f>IFERROR(INDEX(Katalog!$B$3:$B$12,MATCH(cadangan3[[#This Row],[ItemID B]],Katalog!$C$3:$C$12,0)),"-")</f>
        <v>Jaket Jeans</v>
      </c>
      <c r="P239">
        <v>1</v>
      </c>
      <c r="Q239">
        <v>3</v>
      </c>
      <c r="R239" s="36">
        <f>IFERROR(INDEX(Katalog!$D$3:$D$12,MATCH(cadangan3[[#This Row],[ItemID B]],Katalog!$C$3:$C$12,0))*cadangan3[[#This Row],[Qty B]],0)</f>
        <v>400000</v>
      </c>
      <c r="S239" s="36">
        <f>IFERROR(INDEX(Katalog!$D$3:$D$12,MATCH(cadangan3[[#This Row],[Item B]],Katalog!$B$3:$B$12,0))*cadangan3[[#This Row],[Qty B]],0)</f>
        <v>400000</v>
      </c>
      <c r="T239" s="36">
        <f>IFERROR(cadangan3[[#This Row],[Harga Asli B]]-(cadangan3[[#This Row],[Harga Asli B]]*cadangan3[[#This Row],[Diskon]]),cadangan3[[#This Row],[Harga Asli B]])</f>
        <v>340000</v>
      </c>
      <c r="U239" s="36">
        <f>IFERROR(INDEX(Katalog!$F$3:$F$12,MATCH(cadangan3[[#This Row],[ItemID B]],Katalog!$C$3:$C$12,0))*cadangan3[[#This Row],[Qty B]],0)</f>
        <v>150000</v>
      </c>
      <c r="V239" s="36">
        <f>IFERROR(cadangan3[[#This Row],[Profit B]]-(cadangan3[[#This Row],[Profit B]]*cadangan3[[#This Row],[Diskon]]),U239)</f>
        <v>127500</v>
      </c>
      <c r="W239" t="s">
        <v>59</v>
      </c>
      <c r="X239" t="str">
        <f>IFERROR(INDEX(Katalog!$A$3:$A$12,MATCH(cadangan3[[#This Row],[ItemID C]],Katalog!$C$3:$C$12,0)),"-")</f>
        <v>Pakaian Wanita</v>
      </c>
      <c r="Y239" t="str">
        <f>IFERROR(INDEX(Katalog!$B$3:$B$12,MATCH(cadangan3[[#This Row],[ItemID C]],Katalog!$C$3:$C$12,0)),"-")</f>
        <v>Blouse</v>
      </c>
      <c r="Z239">
        <v>4</v>
      </c>
      <c r="AA239">
        <v>5</v>
      </c>
      <c r="AB239" s="36">
        <f>IFERROR(INDEX(Katalog!$D$3:$D$12,MATCH(cadangan3[[#This Row],[ItemID C]],Katalog!$C$3:$C$12,0))*cadangan3[[#This Row],[Qty C]],0)</f>
        <v>600000</v>
      </c>
      <c r="AC239" s="36">
        <f>IFERROR(INDEX(Katalog!$D$3:$D$12,MATCH(cadangan3[[#This Row],[Item C]],Katalog!$B$3:$B$12,0))*cadangan3[[#This Row],[Qty C]],0)</f>
        <v>600000</v>
      </c>
      <c r="AD239" s="36">
        <f>IFERROR(cadangan3[[#This Row],[Harga Asli C]]-(cadangan3[[#This Row],[Harga Asli C]]*cadangan3[[#This Row],[Diskon]]),cadangan3[[#This Row],[Harga Asli C]])</f>
        <v>510000</v>
      </c>
      <c r="AE239" s="36">
        <f>IFERROR(INDEX(Katalog!$F$3:$F$12,MATCH(cadangan3[[#This Row],[ItemID C]],Katalog!$C$3:$C$12,0))*cadangan3[[#This Row],[Qty C]],0)</f>
        <v>200000</v>
      </c>
      <c r="AF239" s="36">
        <f>IFERROR(cadangan3[[#This Row],[Profit C]]-(cadangan3[[#This Row],[Profit C]]*cadangan3[[#This Row],[Diskon]]),cadangan3[[#This Row],[Profit C]])</f>
        <v>170000</v>
      </c>
      <c r="AG239" s="21">
        <f>cadangan3[[#This Row],[Qty A]]+cadangan3[[#This Row],[Qty B]]+cadangan3[[#This Row],[Qty C]]</f>
        <v>7</v>
      </c>
      <c r="AH239" s="35">
        <f>cadangan3[[#This Row],[Harga A + Diskon]]+cadangan3[[#This Row],[Harga + Diskon B]]+cadangan3[[#This Row],[Harga + Diskon C]]</f>
        <v>1105000</v>
      </c>
      <c r="AI239" s="35">
        <f>(cadangan3[[#This Row],[Profit A]]+cadangan3[[#This Row],[Profit B]]+cadangan3[[#This Row],[Profit C]])</f>
        <v>470000</v>
      </c>
      <c r="AJ239" s="35">
        <f>cadangan3[[#This Row],[Provit A + Diskon]]+cadangan3[[#This Row],[Provit B + Diskon]]+cadangan3[[#This Row],[Provit C + Diskon]]</f>
        <v>399500</v>
      </c>
      <c r="AK239" s="23" t="s">
        <v>13</v>
      </c>
      <c r="AL239" s="37">
        <f>IFERROR(INDEX('Kode Diskon'!$D$3:$D$9,MATCH(cadangan3[[#This Row],[Kode diskon]],'Kode Diskon'!$C$3:$C$9,0)),"-")</f>
        <v>0.15</v>
      </c>
      <c r="AM239" s="23" t="s">
        <v>29</v>
      </c>
      <c r="AN239" s="23" t="s">
        <v>7</v>
      </c>
      <c r="AO239" s="23" t="s">
        <v>75</v>
      </c>
      <c r="AP239" s="24">
        <v>45020</v>
      </c>
      <c r="AQ239" s="23" t="str">
        <f>TEXT(cadangan3[[#This Row],[Tanggal terjual]],"dddd")</f>
        <v>Tuesday</v>
      </c>
    </row>
    <row r="240" spans="1:43" x14ac:dyDescent="0.2">
      <c r="A240" s="20">
        <v>239</v>
      </c>
      <c r="B240" s="21" t="str">
        <f>_xlfn.CONCAT("ORD-",INDEX(Helper!$B$2:$B$5,MATCH(cadangan3[[#This Row],[Marketplace]],Helper!$A$2:$A$5,0)),TEXT(cadangan3[[#This Row],[No]],"0000"),"-",TEXT(cadangan3[[#This Row],[Tanggal terjual]],"dd/mm/yy"))</f>
        <v>ORD-SP0239-08/04/23</v>
      </c>
      <c r="C240" t="s">
        <v>60</v>
      </c>
      <c r="D240" t="str">
        <f>IFERROR(INDEX(Katalog!$A$3:$A$12,MATCH(cadangan3[[#This Row],[ItemID A]],Katalog!$C$3:$C$12,0)),"-")</f>
        <v>Pakaian Wanita</v>
      </c>
      <c r="E240" t="str">
        <f>IFERROR(INDEX(Katalog!$B$3:$B$12,MATCH(cadangan3[[#This Row],[ItemID A]],Katalog!$C$3:$C$12,0)),"-")</f>
        <v>Kaftan</v>
      </c>
      <c r="F240">
        <v>4</v>
      </c>
      <c r="G240">
        <v>4</v>
      </c>
      <c r="H240" s="36">
        <f>IFERROR(INDEX(Katalog!$D$3:$D$12,MATCH(cadangan3[[#This Row],[ItemID A]],Katalog!$C$3:$C$12,0))*cadangan3[[#This Row],[Qty A]],0)</f>
        <v>1000000</v>
      </c>
      <c r="I240" s="36">
        <f>IFERROR(INDEX(Katalog!$D$3:$D$12,MATCH(cadangan3[[#This Row],[Item A]],Katalog!$B$3:$B$12,0))*cadangan3[[#This Row],[Qty A]],0)</f>
        <v>1000000</v>
      </c>
      <c r="J240" s="36">
        <f>IFERROR(cadangan3[[#This Row],[Harga Asli A]]-(cadangan3[[#This Row],[Harga Asli A]]*cadangan3[[#This Row],[Diskon]]),cadangan3[[#This Row],[Harga Asli A]])</f>
        <v>1000000</v>
      </c>
      <c r="K240" s="36">
        <f>INDEX(Katalog!$F$3:$F$12,MATCH(cadangan3[[#This Row],[ItemID A]],Katalog!$C$3:$C$12,0))*cadangan3[[#This Row],[Qty A]]</f>
        <v>400000</v>
      </c>
      <c r="L240" s="36">
        <f>IFERROR(cadangan3[[#This Row],[Profit A]]-(cadangan3[[#This Row],[Profit A]]*cadangan3[[#This Row],[Diskon]]),K240)</f>
        <v>400000</v>
      </c>
      <c r="N240" t="str">
        <f>IFERROR(INDEX(Katalog!$A$3:$A$12,MATCH(cadangan3[[#This Row],[ItemID B]],Katalog!$C$3:$C$12,0)),"-")</f>
        <v>-</v>
      </c>
      <c r="O240" t="str">
        <f>IFERROR(INDEX(Katalog!$B$3:$B$12,MATCH(cadangan3[[#This Row],[ItemID B]],Katalog!$C$3:$C$12,0)),"-")</f>
        <v>-</v>
      </c>
      <c r="R240" s="36">
        <f>IFERROR(INDEX(Katalog!$D$3:$D$12,MATCH(cadangan3[[#This Row],[ItemID B]],Katalog!$C$3:$C$12,0))*cadangan3[[#This Row],[Qty B]],0)</f>
        <v>0</v>
      </c>
      <c r="S240" s="36">
        <f>IFERROR(INDEX(Katalog!$D$3:$D$12,MATCH(cadangan3[[#This Row],[Item B]],Katalog!$B$3:$B$12,0))*cadangan3[[#This Row],[Qty B]],0)</f>
        <v>0</v>
      </c>
      <c r="T240" s="36">
        <f>IFERROR(cadangan3[[#This Row],[Harga Asli B]]-(cadangan3[[#This Row],[Harga Asli B]]*cadangan3[[#This Row],[Diskon]]),cadangan3[[#This Row],[Harga Asli B]])</f>
        <v>0</v>
      </c>
      <c r="U240" s="36">
        <f>IFERROR(INDEX(Katalog!$F$3:$F$12,MATCH(cadangan3[[#This Row],[ItemID B]],Katalog!$C$3:$C$12,0))*cadangan3[[#This Row],[Qty B]],0)</f>
        <v>0</v>
      </c>
      <c r="V240" s="36">
        <f>IFERROR(cadangan3[[#This Row],[Profit B]]-(cadangan3[[#This Row],[Profit B]]*cadangan3[[#This Row],[Diskon]]),U240)</f>
        <v>0</v>
      </c>
      <c r="X240" t="str">
        <f>IFERROR(INDEX(Katalog!$A$3:$A$12,MATCH(cadangan3[[#This Row],[ItemID C]],Katalog!$C$3:$C$12,0)),"-")</f>
        <v>-</v>
      </c>
      <c r="Y240" t="str">
        <f>IFERROR(INDEX(Katalog!$B$3:$B$12,MATCH(cadangan3[[#This Row],[ItemID C]],Katalog!$C$3:$C$12,0)),"-")</f>
        <v>-</v>
      </c>
      <c r="AB240" s="36">
        <f>IFERROR(INDEX(Katalog!$D$3:$D$12,MATCH(cadangan3[[#This Row],[ItemID C]],Katalog!$C$3:$C$12,0))*cadangan3[[#This Row],[Qty C]],0)</f>
        <v>0</v>
      </c>
      <c r="AC240" s="36">
        <f>IFERROR(INDEX(Katalog!$D$3:$D$12,MATCH(cadangan3[[#This Row],[Item C]],Katalog!$B$3:$B$12,0))*cadangan3[[#This Row],[Qty C]],0)</f>
        <v>0</v>
      </c>
      <c r="AD240" s="36">
        <f>IFERROR(cadangan3[[#This Row],[Harga Asli C]]-(cadangan3[[#This Row],[Harga Asli C]]*cadangan3[[#This Row],[Diskon]]),cadangan3[[#This Row],[Harga Asli C]])</f>
        <v>0</v>
      </c>
      <c r="AE240" s="36">
        <f>IFERROR(INDEX(Katalog!$F$3:$F$12,MATCH(cadangan3[[#This Row],[ItemID C]],Katalog!$C$3:$C$12,0))*cadangan3[[#This Row],[Qty C]],0)</f>
        <v>0</v>
      </c>
      <c r="AF240" s="36">
        <f>IFERROR(cadangan3[[#This Row],[Profit C]]-(cadangan3[[#This Row],[Profit C]]*cadangan3[[#This Row],[Diskon]]),cadangan3[[#This Row],[Profit C]])</f>
        <v>0</v>
      </c>
      <c r="AG240" s="21">
        <f>cadangan3[[#This Row],[Qty A]]+cadangan3[[#This Row],[Qty B]]+cadangan3[[#This Row],[Qty C]]</f>
        <v>4</v>
      </c>
      <c r="AH240" s="35">
        <f>cadangan3[[#This Row],[Harga A + Diskon]]+cadangan3[[#This Row],[Harga + Diskon B]]+cadangan3[[#This Row],[Harga + Diskon C]]</f>
        <v>1000000</v>
      </c>
      <c r="AI240" s="35">
        <f>(cadangan3[[#This Row],[Profit A]]+cadangan3[[#This Row],[Profit B]]+cadangan3[[#This Row],[Profit C]])</f>
        <v>400000</v>
      </c>
      <c r="AJ240" s="35">
        <f>cadangan3[[#This Row],[Provit A + Diskon]]+cadangan3[[#This Row],[Provit B + Diskon]]+cadangan3[[#This Row],[Provit C + Diskon]]</f>
        <v>400000</v>
      </c>
      <c r="AK240" s="23" t="s">
        <v>11</v>
      </c>
      <c r="AL240" s="37" t="str">
        <f>IFERROR(INDEX('Kode Diskon'!$D$3:$D$9,MATCH(cadangan3[[#This Row],[Kode diskon]],'Kode Diskon'!$C$3:$C$9,0)),"-")</f>
        <v>-</v>
      </c>
      <c r="AM240" s="23" t="s">
        <v>11</v>
      </c>
      <c r="AN240" s="23" t="s">
        <v>7</v>
      </c>
      <c r="AO240" s="23" t="s">
        <v>75</v>
      </c>
      <c r="AP240" s="24">
        <v>45024</v>
      </c>
      <c r="AQ240" s="23" t="str">
        <f>TEXT(cadangan3[[#This Row],[Tanggal terjual]],"dddd")</f>
        <v>Saturday</v>
      </c>
    </row>
    <row r="241" spans="1:43" x14ac:dyDescent="0.2">
      <c r="A241" s="20">
        <v>240</v>
      </c>
      <c r="B241" s="21" t="str">
        <f>_xlfn.CONCAT("ORD-",INDEX(Helper!$B$2:$B$5,MATCH(cadangan3[[#This Row],[Marketplace]],Helper!$A$2:$A$5,0)),TEXT(cadangan3[[#This Row],[No]],"0000"),"-",TEXT(cadangan3[[#This Row],[Tanggal terjual]],"dd/mm/yy"))</f>
        <v>ORD-BB0240-04/04/23</v>
      </c>
      <c r="C241" t="s">
        <v>61</v>
      </c>
      <c r="D241" t="str">
        <f>IFERROR(INDEX(Katalog!$A$3:$A$12,MATCH(cadangan3[[#This Row],[ItemID A]],Katalog!$C$3:$C$12,0)),"-")</f>
        <v>Pakaian Pria</v>
      </c>
      <c r="E241" t="str">
        <f>IFERROR(INDEX(Katalog!$B$3:$B$12,MATCH(cadangan3[[#This Row],[ItemID A]],Katalog!$C$3:$C$12,0)),"-")</f>
        <v>Kaos Polo</v>
      </c>
      <c r="F241">
        <v>6</v>
      </c>
      <c r="G241">
        <v>4</v>
      </c>
      <c r="H241" s="36">
        <f>IFERROR(INDEX(Katalog!$D$3:$D$12,MATCH(cadangan3[[#This Row],[ItemID A]],Katalog!$C$3:$C$12,0))*cadangan3[[#This Row],[Qty A]],0)</f>
        <v>1200000</v>
      </c>
      <c r="I241" s="36">
        <f>IFERROR(INDEX(Katalog!$D$3:$D$12,MATCH(cadangan3[[#This Row],[Item A]],Katalog!$B$3:$B$12,0))*cadangan3[[#This Row],[Qty A]],0)</f>
        <v>1200000</v>
      </c>
      <c r="J241" s="36">
        <f>IFERROR(cadangan3[[#This Row],[Harga Asli A]]-(cadangan3[[#This Row],[Harga Asli A]]*cadangan3[[#This Row],[Diskon]]),cadangan3[[#This Row],[Harga Asli A]])</f>
        <v>1020000</v>
      </c>
      <c r="K241" s="36">
        <f>INDEX(Katalog!$F$3:$F$12,MATCH(cadangan3[[#This Row],[ItemID A]],Katalog!$C$3:$C$12,0))*cadangan3[[#This Row],[Qty A]]</f>
        <v>480000</v>
      </c>
      <c r="L241" s="36">
        <f>IFERROR(cadangan3[[#This Row],[Profit A]]-(cadangan3[[#This Row],[Profit A]]*cadangan3[[#This Row],[Diskon]]),K241)</f>
        <v>408000</v>
      </c>
      <c r="N241" t="str">
        <f>IFERROR(INDEX(Katalog!$A$3:$A$12,MATCH(cadangan3[[#This Row],[ItemID B]],Katalog!$C$3:$C$12,0)),"-")</f>
        <v>-</v>
      </c>
      <c r="O241" t="str">
        <f>IFERROR(INDEX(Katalog!$B$3:$B$12,MATCH(cadangan3[[#This Row],[ItemID B]],Katalog!$C$3:$C$12,0)),"-")</f>
        <v>-</v>
      </c>
      <c r="R241" s="36">
        <f>IFERROR(INDEX(Katalog!$D$3:$D$12,MATCH(cadangan3[[#This Row],[ItemID B]],Katalog!$C$3:$C$12,0))*cadangan3[[#This Row],[Qty B]],0)</f>
        <v>0</v>
      </c>
      <c r="S241" s="36">
        <f>IFERROR(INDEX(Katalog!$D$3:$D$12,MATCH(cadangan3[[#This Row],[Item B]],Katalog!$B$3:$B$12,0))*cadangan3[[#This Row],[Qty B]],0)</f>
        <v>0</v>
      </c>
      <c r="T241" s="36">
        <f>IFERROR(cadangan3[[#This Row],[Harga Asli B]]-(cadangan3[[#This Row],[Harga Asli B]]*cadangan3[[#This Row],[Diskon]]),cadangan3[[#This Row],[Harga Asli B]])</f>
        <v>0</v>
      </c>
      <c r="U241" s="36">
        <f>IFERROR(INDEX(Katalog!$F$3:$F$12,MATCH(cadangan3[[#This Row],[ItemID B]],Katalog!$C$3:$C$12,0))*cadangan3[[#This Row],[Qty B]],0)</f>
        <v>0</v>
      </c>
      <c r="V241" s="36">
        <f>IFERROR(cadangan3[[#This Row],[Profit B]]-(cadangan3[[#This Row],[Profit B]]*cadangan3[[#This Row],[Diskon]]),U241)</f>
        <v>0</v>
      </c>
      <c r="X241" t="str">
        <f>IFERROR(INDEX(Katalog!$A$3:$A$12,MATCH(cadangan3[[#This Row],[ItemID C]],Katalog!$C$3:$C$12,0)),"-")</f>
        <v>-</v>
      </c>
      <c r="Y241" t="str">
        <f>IFERROR(INDEX(Katalog!$B$3:$B$12,MATCH(cadangan3[[#This Row],[ItemID C]],Katalog!$C$3:$C$12,0)),"-")</f>
        <v>-</v>
      </c>
      <c r="AB241" s="36">
        <f>IFERROR(INDEX(Katalog!$D$3:$D$12,MATCH(cadangan3[[#This Row],[ItemID C]],Katalog!$C$3:$C$12,0))*cadangan3[[#This Row],[Qty C]],0)</f>
        <v>0</v>
      </c>
      <c r="AC241" s="36">
        <f>IFERROR(INDEX(Katalog!$D$3:$D$12,MATCH(cadangan3[[#This Row],[Item C]],Katalog!$B$3:$B$12,0))*cadangan3[[#This Row],[Qty C]],0)</f>
        <v>0</v>
      </c>
      <c r="AD241" s="36">
        <f>IFERROR(cadangan3[[#This Row],[Harga Asli C]]-(cadangan3[[#This Row],[Harga Asli C]]*cadangan3[[#This Row],[Diskon]]),cadangan3[[#This Row],[Harga Asli C]])</f>
        <v>0</v>
      </c>
      <c r="AE241" s="36">
        <f>IFERROR(INDEX(Katalog!$F$3:$F$12,MATCH(cadangan3[[#This Row],[ItemID C]],Katalog!$C$3:$C$12,0))*cadangan3[[#This Row],[Qty C]],0)</f>
        <v>0</v>
      </c>
      <c r="AF241" s="36">
        <f>IFERROR(cadangan3[[#This Row],[Profit C]]-(cadangan3[[#This Row],[Profit C]]*cadangan3[[#This Row],[Diskon]]),cadangan3[[#This Row],[Profit C]])</f>
        <v>0</v>
      </c>
      <c r="AG241" s="21">
        <f>cadangan3[[#This Row],[Qty A]]+cadangan3[[#This Row],[Qty B]]+cadangan3[[#This Row],[Qty C]]</f>
        <v>6</v>
      </c>
      <c r="AH241" s="35">
        <f>cadangan3[[#This Row],[Harga A + Diskon]]+cadangan3[[#This Row],[Harga + Diskon B]]+cadangan3[[#This Row],[Harga + Diskon C]]</f>
        <v>1020000</v>
      </c>
      <c r="AI241" s="35">
        <f>(cadangan3[[#This Row],[Profit A]]+cadangan3[[#This Row],[Profit B]]+cadangan3[[#This Row],[Profit C]])</f>
        <v>480000</v>
      </c>
      <c r="AJ241" s="35">
        <f>cadangan3[[#This Row],[Provit A + Diskon]]+cadangan3[[#This Row],[Provit B + Diskon]]+cadangan3[[#This Row],[Provit C + Diskon]]</f>
        <v>408000</v>
      </c>
      <c r="AK241" s="23" t="s">
        <v>28</v>
      </c>
      <c r="AL241" s="37">
        <f>IFERROR(INDEX('Kode Diskon'!$D$3:$D$9,MATCH(cadangan3[[#This Row],[Kode diskon]],'Kode Diskon'!$C$3:$C$9,0)),"-")</f>
        <v>0.15</v>
      </c>
      <c r="AM241" s="23" t="s">
        <v>29</v>
      </c>
      <c r="AN241" s="23" t="s">
        <v>14</v>
      </c>
      <c r="AO241" s="23" t="s">
        <v>76</v>
      </c>
      <c r="AP241" s="24">
        <v>45020</v>
      </c>
      <c r="AQ241" s="23" t="str">
        <f>TEXT(cadangan3[[#This Row],[Tanggal terjual]],"dddd")</f>
        <v>Tuesday</v>
      </c>
    </row>
    <row r="242" spans="1:43" x14ac:dyDescent="0.2">
      <c r="A242" s="20">
        <v>241</v>
      </c>
      <c r="B242" s="21" t="str">
        <f>_xlfn.CONCAT("ORD-",INDEX(Helper!$B$2:$B$5,MATCH(cadangan3[[#This Row],[Marketplace]],Helper!$A$2:$A$5,0)),TEXT(cadangan3[[#This Row],[No]],"0000"),"-",TEXT(cadangan3[[#This Row],[Tanggal terjual]],"dd/mm/yy"))</f>
        <v>ORD-BL0241-28/04/23</v>
      </c>
      <c r="C242" t="s">
        <v>61</v>
      </c>
      <c r="D242" t="str">
        <f>IFERROR(INDEX(Katalog!$A$3:$A$12,MATCH(cadangan3[[#This Row],[ItemID A]],Katalog!$C$3:$C$12,0)),"-")</f>
        <v>Pakaian Pria</v>
      </c>
      <c r="E242" t="str">
        <f>IFERROR(INDEX(Katalog!$B$3:$B$12,MATCH(cadangan3[[#This Row],[ItemID A]],Katalog!$C$3:$C$12,0)),"-")</f>
        <v>Kaos Polo</v>
      </c>
      <c r="F242">
        <v>3</v>
      </c>
      <c r="G242">
        <v>2</v>
      </c>
      <c r="H242" s="36">
        <f>IFERROR(INDEX(Katalog!$D$3:$D$12,MATCH(cadangan3[[#This Row],[ItemID A]],Katalog!$C$3:$C$12,0))*cadangan3[[#This Row],[Qty A]],0)</f>
        <v>600000</v>
      </c>
      <c r="I242" s="36">
        <f>IFERROR(INDEX(Katalog!$D$3:$D$12,MATCH(cadangan3[[#This Row],[Item A]],Katalog!$B$3:$B$12,0))*cadangan3[[#This Row],[Qty A]],0)</f>
        <v>600000</v>
      </c>
      <c r="J242" s="36">
        <f>IFERROR(cadangan3[[#This Row],[Harga Asli A]]-(cadangan3[[#This Row],[Harga Asli A]]*cadangan3[[#This Row],[Diskon]]),cadangan3[[#This Row],[Harga Asli A]])</f>
        <v>510000</v>
      </c>
      <c r="K242" s="36">
        <f>INDEX(Katalog!$F$3:$F$12,MATCH(cadangan3[[#This Row],[ItemID A]],Katalog!$C$3:$C$12,0))*cadangan3[[#This Row],[Qty A]]</f>
        <v>240000</v>
      </c>
      <c r="L242" s="36">
        <f>IFERROR(cadangan3[[#This Row],[Profit A]]-(cadangan3[[#This Row],[Profit A]]*cadangan3[[#This Row],[Diskon]]),K242)</f>
        <v>204000</v>
      </c>
      <c r="M242" t="s">
        <v>65</v>
      </c>
      <c r="N242" t="str">
        <f>IFERROR(INDEX(Katalog!$A$3:$A$12,MATCH(cadangan3[[#This Row],[ItemID B]],Katalog!$C$3:$C$12,0)),"-")</f>
        <v>Sepatu Pria</v>
      </c>
      <c r="O242" t="str">
        <f>IFERROR(INDEX(Katalog!$B$3:$B$12,MATCH(cadangan3[[#This Row],[ItemID B]],Katalog!$C$3:$C$12,0)),"-")</f>
        <v>Sneakers</v>
      </c>
      <c r="P242">
        <v>2</v>
      </c>
      <c r="Q242">
        <v>1</v>
      </c>
      <c r="R242" s="36">
        <f>IFERROR(INDEX(Katalog!$D$3:$D$12,MATCH(cadangan3[[#This Row],[ItemID B]],Katalog!$C$3:$C$12,0))*cadangan3[[#This Row],[Qty B]],0)</f>
        <v>1000000</v>
      </c>
      <c r="S242" s="36">
        <f>IFERROR(INDEX(Katalog!$D$3:$D$12,MATCH(cadangan3[[#This Row],[Item B]],Katalog!$B$3:$B$12,0))*cadangan3[[#This Row],[Qty B]],0)</f>
        <v>1000000</v>
      </c>
      <c r="T242" s="36">
        <f>IFERROR(cadangan3[[#This Row],[Harga Asli B]]-(cadangan3[[#This Row],[Harga Asli B]]*cadangan3[[#This Row],[Diskon]]),cadangan3[[#This Row],[Harga Asli B]])</f>
        <v>850000</v>
      </c>
      <c r="U242" s="36">
        <f>IFERROR(INDEX(Katalog!$F$3:$F$12,MATCH(cadangan3[[#This Row],[ItemID B]],Katalog!$C$3:$C$12,0))*cadangan3[[#This Row],[Qty B]],0)</f>
        <v>400000</v>
      </c>
      <c r="V242" s="36">
        <f>IFERROR(cadangan3[[#This Row],[Profit B]]-(cadangan3[[#This Row],[Profit B]]*cadangan3[[#This Row],[Diskon]]),U242)</f>
        <v>340000</v>
      </c>
      <c r="X242" t="str">
        <f>IFERROR(INDEX(Katalog!$A$3:$A$12,MATCH(cadangan3[[#This Row],[ItemID C]],Katalog!$C$3:$C$12,0)),"-")</f>
        <v>-</v>
      </c>
      <c r="Y242" t="str">
        <f>IFERROR(INDEX(Katalog!$B$3:$B$12,MATCH(cadangan3[[#This Row],[ItemID C]],Katalog!$C$3:$C$12,0)),"-")</f>
        <v>-</v>
      </c>
      <c r="AB242" s="36">
        <f>IFERROR(INDEX(Katalog!$D$3:$D$12,MATCH(cadangan3[[#This Row],[ItemID C]],Katalog!$C$3:$C$12,0))*cadangan3[[#This Row],[Qty C]],0)</f>
        <v>0</v>
      </c>
      <c r="AC242" s="36">
        <f>IFERROR(INDEX(Katalog!$D$3:$D$12,MATCH(cadangan3[[#This Row],[Item C]],Katalog!$B$3:$B$12,0))*cadangan3[[#This Row],[Qty C]],0)</f>
        <v>0</v>
      </c>
      <c r="AD242" s="36">
        <f>IFERROR(cadangan3[[#This Row],[Harga Asli C]]-(cadangan3[[#This Row],[Harga Asli C]]*cadangan3[[#This Row],[Diskon]]),cadangan3[[#This Row],[Harga Asli C]])</f>
        <v>0</v>
      </c>
      <c r="AE242" s="36">
        <f>IFERROR(INDEX(Katalog!$F$3:$F$12,MATCH(cadangan3[[#This Row],[ItemID C]],Katalog!$C$3:$C$12,0))*cadangan3[[#This Row],[Qty C]],0)</f>
        <v>0</v>
      </c>
      <c r="AF242" s="36">
        <f>IFERROR(cadangan3[[#This Row],[Profit C]]-(cadangan3[[#This Row],[Profit C]]*cadangan3[[#This Row],[Diskon]]),cadangan3[[#This Row],[Profit C]])</f>
        <v>0</v>
      </c>
      <c r="AG242" s="21">
        <f>cadangan3[[#This Row],[Qty A]]+cadangan3[[#This Row],[Qty B]]+cadangan3[[#This Row],[Qty C]]</f>
        <v>5</v>
      </c>
      <c r="AH242" s="35">
        <f>cadangan3[[#This Row],[Harga A + Diskon]]+cadangan3[[#This Row],[Harga + Diskon B]]+cadangan3[[#This Row],[Harga + Diskon C]]</f>
        <v>1360000</v>
      </c>
      <c r="AI242" s="35">
        <f>(cadangan3[[#This Row],[Profit A]]+cadangan3[[#This Row],[Profit B]]+cadangan3[[#This Row],[Profit C]])</f>
        <v>640000</v>
      </c>
      <c r="AJ242" s="35">
        <f>cadangan3[[#This Row],[Provit A + Diskon]]+cadangan3[[#This Row],[Provit B + Diskon]]+cadangan3[[#This Row],[Provit C + Diskon]]</f>
        <v>544000</v>
      </c>
      <c r="AK242" s="23" t="s">
        <v>32</v>
      </c>
      <c r="AL242" s="37">
        <f>IFERROR(INDEX('Kode Diskon'!$D$3:$D$9,MATCH(cadangan3[[#This Row],[Kode diskon]],'Kode Diskon'!$C$3:$C$9,0)),"-")</f>
        <v>0.15</v>
      </c>
      <c r="AM242" s="23" t="s">
        <v>9</v>
      </c>
      <c r="AN242" s="23" t="s">
        <v>12</v>
      </c>
      <c r="AO242" s="23" t="s">
        <v>79</v>
      </c>
      <c r="AP242" s="24">
        <v>45044</v>
      </c>
      <c r="AQ242" s="23" t="str">
        <f>TEXT(cadangan3[[#This Row],[Tanggal terjual]],"dddd")</f>
        <v>Friday</v>
      </c>
    </row>
    <row r="243" spans="1:43" x14ac:dyDescent="0.2">
      <c r="A243" s="20">
        <v>242</v>
      </c>
      <c r="B243" s="21" t="str">
        <f>_xlfn.CONCAT("ORD-",INDEX(Helper!$B$2:$B$5,MATCH(cadangan3[[#This Row],[Marketplace]],Helper!$A$2:$A$5,0)),TEXT(cadangan3[[#This Row],[No]],"0000"),"-",TEXT(cadangan3[[#This Row],[Tanggal terjual]],"dd/mm/yy"))</f>
        <v>ORD-SP0242-14/04/23</v>
      </c>
      <c r="C243" t="s">
        <v>61</v>
      </c>
      <c r="D243" t="str">
        <f>IFERROR(INDEX(Katalog!$A$3:$A$12,MATCH(cadangan3[[#This Row],[ItemID A]],Katalog!$C$3:$C$12,0)),"-")</f>
        <v>Pakaian Pria</v>
      </c>
      <c r="E243" t="str">
        <f>IFERROR(INDEX(Katalog!$B$3:$B$12,MATCH(cadangan3[[#This Row],[ItemID A]],Katalog!$C$3:$C$12,0)),"-")</f>
        <v>Kaos Polo</v>
      </c>
      <c r="F243">
        <v>3</v>
      </c>
      <c r="G243">
        <v>5</v>
      </c>
      <c r="H243" s="36">
        <f>IFERROR(INDEX(Katalog!$D$3:$D$12,MATCH(cadangan3[[#This Row],[ItemID A]],Katalog!$C$3:$C$12,0))*cadangan3[[#This Row],[Qty A]],0)</f>
        <v>600000</v>
      </c>
      <c r="I243" s="36">
        <f>IFERROR(INDEX(Katalog!$D$3:$D$12,MATCH(cadangan3[[#This Row],[Item A]],Katalog!$B$3:$B$12,0))*cadangan3[[#This Row],[Qty A]],0)</f>
        <v>600000</v>
      </c>
      <c r="J243" s="36">
        <f>IFERROR(cadangan3[[#This Row],[Harga Asli A]]-(cadangan3[[#This Row],[Harga Asli A]]*cadangan3[[#This Row],[Diskon]]),cadangan3[[#This Row],[Harga Asli A]])</f>
        <v>600000</v>
      </c>
      <c r="K243" s="36">
        <f>INDEX(Katalog!$F$3:$F$12,MATCH(cadangan3[[#This Row],[ItemID A]],Katalog!$C$3:$C$12,0))*cadangan3[[#This Row],[Qty A]]</f>
        <v>240000</v>
      </c>
      <c r="L243" s="36">
        <f>IFERROR(cadangan3[[#This Row],[Profit A]]-(cadangan3[[#This Row],[Profit A]]*cadangan3[[#This Row],[Diskon]]),K243)</f>
        <v>240000</v>
      </c>
      <c r="N243" t="str">
        <f>IFERROR(INDEX(Katalog!$A$3:$A$12,MATCH(cadangan3[[#This Row],[ItemID B]],Katalog!$C$3:$C$12,0)),"-")</f>
        <v>-</v>
      </c>
      <c r="O243" t="str">
        <f>IFERROR(INDEX(Katalog!$B$3:$B$12,MATCH(cadangan3[[#This Row],[ItemID B]],Katalog!$C$3:$C$12,0)),"-")</f>
        <v>-</v>
      </c>
      <c r="R243" s="36">
        <f>IFERROR(INDEX(Katalog!$D$3:$D$12,MATCH(cadangan3[[#This Row],[ItemID B]],Katalog!$C$3:$C$12,0))*cadangan3[[#This Row],[Qty B]],0)</f>
        <v>0</v>
      </c>
      <c r="S243" s="36">
        <f>IFERROR(INDEX(Katalog!$D$3:$D$12,MATCH(cadangan3[[#This Row],[Item B]],Katalog!$B$3:$B$12,0))*cadangan3[[#This Row],[Qty B]],0)</f>
        <v>0</v>
      </c>
      <c r="T243" s="36">
        <f>IFERROR(cadangan3[[#This Row],[Harga Asli B]]-(cadangan3[[#This Row],[Harga Asli B]]*cadangan3[[#This Row],[Diskon]]),cadangan3[[#This Row],[Harga Asli B]])</f>
        <v>0</v>
      </c>
      <c r="U243" s="36">
        <f>IFERROR(INDEX(Katalog!$F$3:$F$12,MATCH(cadangan3[[#This Row],[ItemID B]],Katalog!$C$3:$C$12,0))*cadangan3[[#This Row],[Qty B]],0)</f>
        <v>0</v>
      </c>
      <c r="V243" s="36">
        <f>IFERROR(cadangan3[[#This Row],[Profit B]]-(cadangan3[[#This Row],[Profit B]]*cadangan3[[#This Row],[Diskon]]),U243)</f>
        <v>0</v>
      </c>
      <c r="X243" t="str">
        <f>IFERROR(INDEX(Katalog!$A$3:$A$12,MATCH(cadangan3[[#This Row],[ItemID C]],Katalog!$C$3:$C$12,0)),"-")</f>
        <v>-</v>
      </c>
      <c r="Y243" t="str">
        <f>IFERROR(INDEX(Katalog!$B$3:$B$12,MATCH(cadangan3[[#This Row],[ItemID C]],Katalog!$C$3:$C$12,0)),"-")</f>
        <v>-</v>
      </c>
      <c r="AB243" s="36">
        <f>IFERROR(INDEX(Katalog!$D$3:$D$12,MATCH(cadangan3[[#This Row],[ItemID C]],Katalog!$C$3:$C$12,0))*cadangan3[[#This Row],[Qty C]],0)</f>
        <v>0</v>
      </c>
      <c r="AC243" s="36">
        <f>IFERROR(INDEX(Katalog!$D$3:$D$12,MATCH(cadangan3[[#This Row],[Item C]],Katalog!$B$3:$B$12,0))*cadangan3[[#This Row],[Qty C]],0)</f>
        <v>0</v>
      </c>
      <c r="AD243" s="36">
        <f>IFERROR(cadangan3[[#This Row],[Harga Asli C]]-(cadangan3[[#This Row],[Harga Asli C]]*cadangan3[[#This Row],[Diskon]]),cadangan3[[#This Row],[Harga Asli C]])</f>
        <v>0</v>
      </c>
      <c r="AE243" s="36">
        <f>IFERROR(INDEX(Katalog!$F$3:$F$12,MATCH(cadangan3[[#This Row],[ItemID C]],Katalog!$C$3:$C$12,0))*cadangan3[[#This Row],[Qty C]],0)</f>
        <v>0</v>
      </c>
      <c r="AF243" s="36">
        <f>IFERROR(cadangan3[[#This Row],[Profit C]]-(cadangan3[[#This Row],[Profit C]]*cadangan3[[#This Row],[Diskon]]),cadangan3[[#This Row],[Profit C]])</f>
        <v>0</v>
      </c>
      <c r="AG243" s="21">
        <f>cadangan3[[#This Row],[Qty A]]+cadangan3[[#This Row],[Qty B]]+cadangan3[[#This Row],[Qty C]]</f>
        <v>3</v>
      </c>
      <c r="AH243" s="35">
        <f>cadangan3[[#This Row],[Harga A + Diskon]]+cadangan3[[#This Row],[Harga + Diskon B]]+cadangan3[[#This Row],[Harga + Diskon C]]</f>
        <v>600000</v>
      </c>
      <c r="AI243" s="35">
        <f>(cadangan3[[#This Row],[Profit A]]+cadangan3[[#This Row],[Profit B]]+cadangan3[[#This Row],[Profit C]])</f>
        <v>240000</v>
      </c>
      <c r="AJ243" s="35">
        <f>cadangan3[[#This Row],[Provit A + Diskon]]+cadangan3[[#This Row],[Provit B + Diskon]]+cadangan3[[#This Row],[Provit C + Diskon]]</f>
        <v>240000</v>
      </c>
      <c r="AK243" s="23" t="s">
        <v>11</v>
      </c>
      <c r="AL243" s="37" t="str">
        <f>IFERROR(INDEX('Kode Diskon'!$D$3:$D$9,MATCH(cadangan3[[#This Row],[Kode diskon]],'Kode Diskon'!$C$3:$C$9,0)),"-")</f>
        <v>-</v>
      </c>
      <c r="AM243" s="23" t="s">
        <v>11</v>
      </c>
      <c r="AN243" s="23" t="s">
        <v>7</v>
      </c>
      <c r="AO243" s="23" t="s">
        <v>80</v>
      </c>
      <c r="AP243" s="24">
        <v>45030</v>
      </c>
      <c r="AQ243" s="23" t="str">
        <f>TEXT(cadangan3[[#This Row],[Tanggal terjual]],"dddd")</f>
        <v>Friday</v>
      </c>
    </row>
    <row r="244" spans="1:43" x14ac:dyDescent="0.2">
      <c r="A244" s="20">
        <v>243</v>
      </c>
      <c r="B244" s="21" t="str">
        <f>_xlfn.CONCAT("ORD-",INDEX(Helper!$B$2:$B$5,MATCH(cadangan3[[#This Row],[Marketplace]],Helper!$A$2:$A$5,0)),TEXT(cadangan3[[#This Row],[No]],"0000"),"-",TEXT(cadangan3[[#This Row],[Tanggal terjual]],"dd/mm/yy"))</f>
        <v>ORD-SP0243-04/04/23</v>
      </c>
      <c r="C244" t="s">
        <v>62</v>
      </c>
      <c r="D244" t="str">
        <f>IFERROR(INDEX(Katalog!$A$3:$A$12,MATCH(cadangan3[[#This Row],[ItemID A]],Katalog!$C$3:$C$12,0)),"-")</f>
        <v>Pakaian Pria</v>
      </c>
      <c r="E244" t="str">
        <f>IFERROR(INDEX(Katalog!$B$3:$B$12,MATCH(cadangan3[[#This Row],[ItemID A]],Katalog!$C$3:$C$12,0)),"-")</f>
        <v>Celana Pendek</v>
      </c>
      <c r="F244">
        <v>2</v>
      </c>
      <c r="G244">
        <v>4</v>
      </c>
      <c r="H244" s="36">
        <f>IFERROR(INDEX(Katalog!$D$3:$D$12,MATCH(cadangan3[[#This Row],[ItemID A]],Katalog!$C$3:$C$12,0))*cadangan3[[#This Row],[Qty A]],0)</f>
        <v>360000</v>
      </c>
      <c r="I244" s="36">
        <f>IFERROR(INDEX(Katalog!$D$3:$D$12,MATCH(cadangan3[[#This Row],[Item A]],Katalog!$B$3:$B$12,0))*cadangan3[[#This Row],[Qty A]],0)</f>
        <v>360000</v>
      </c>
      <c r="J244" s="36">
        <f>IFERROR(cadangan3[[#This Row],[Harga Asli A]]-(cadangan3[[#This Row],[Harga Asli A]]*cadangan3[[#This Row],[Diskon]]),cadangan3[[#This Row],[Harga Asli A]])</f>
        <v>306000</v>
      </c>
      <c r="K244" s="36">
        <f>INDEX(Katalog!$F$3:$F$12,MATCH(cadangan3[[#This Row],[ItemID A]],Katalog!$C$3:$C$12,0))*cadangan3[[#This Row],[Qty A]]</f>
        <v>140000</v>
      </c>
      <c r="L244" s="36">
        <f>IFERROR(cadangan3[[#This Row],[Profit A]]-(cadangan3[[#This Row],[Profit A]]*cadangan3[[#This Row],[Diskon]]),K244)</f>
        <v>119000</v>
      </c>
      <c r="N244" t="str">
        <f>IFERROR(INDEX(Katalog!$A$3:$A$12,MATCH(cadangan3[[#This Row],[ItemID B]],Katalog!$C$3:$C$12,0)),"-")</f>
        <v>-</v>
      </c>
      <c r="O244" t="str">
        <f>IFERROR(INDEX(Katalog!$B$3:$B$12,MATCH(cadangan3[[#This Row],[ItemID B]],Katalog!$C$3:$C$12,0)),"-")</f>
        <v>-</v>
      </c>
      <c r="R244" s="36">
        <f>IFERROR(INDEX(Katalog!$D$3:$D$12,MATCH(cadangan3[[#This Row],[ItemID B]],Katalog!$C$3:$C$12,0))*cadangan3[[#This Row],[Qty B]],0)</f>
        <v>0</v>
      </c>
      <c r="S244" s="36">
        <f>IFERROR(INDEX(Katalog!$D$3:$D$12,MATCH(cadangan3[[#This Row],[Item B]],Katalog!$B$3:$B$12,0))*cadangan3[[#This Row],[Qty B]],0)</f>
        <v>0</v>
      </c>
      <c r="T244" s="36">
        <f>IFERROR(cadangan3[[#This Row],[Harga Asli B]]-(cadangan3[[#This Row],[Harga Asli B]]*cadangan3[[#This Row],[Diskon]]),cadangan3[[#This Row],[Harga Asli B]])</f>
        <v>0</v>
      </c>
      <c r="U244" s="36">
        <f>IFERROR(INDEX(Katalog!$F$3:$F$12,MATCH(cadangan3[[#This Row],[ItemID B]],Katalog!$C$3:$C$12,0))*cadangan3[[#This Row],[Qty B]],0)</f>
        <v>0</v>
      </c>
      <c r="V244" s="36">
        <f>IFERROR(cadangan3[[#This Row],[Profit B]]-(cadangan3[[#This Row],[Profit B]]*cadangan3[[#This Row],[Diskon]]),U244)</f>
        <v>0</v>
      </c>
      <c r="X244" t="str">
        <f>IFERROR(INDEX(Katalog!$A$3:$A$12,MATCH(cadangan3[[#This Row],[ItemID C]],Katalog!$C$3:$C$12,0)),"-")</f>
        <v>-</v>
      </c>
      <c r="Y244" t="str">
        <f>IFERROR(INDEX(Katalog!$B$3:$B$12,MATCH(cadangan3[[#This Row],[ItemID C]],Katalog!$C$3:$C$12,0)),"-")</f>
        <v>-</v>
      </c>
      <c r="AB244" s="36">
        <f>IFERROR(INDEX(Katalog!$D$3:$D$12,MATCH(cadangan3[[#This Row],[ItemID C]],Katalog!$C$3:$C$12,0))*cadangan3[[#This Row],[Qty C]],0)</f>
        <v>0</v>
      </c>
      <c r="AC244" s="36">
        <f>IFERROR(INDEX(Katalog!$D$3:$D$12,MATCH(cadangan3[[#This Row],[Item C]],Katalog!$B$3:$B$12,0))*cadangan3[[#This Row],[Qty C]],0)</f>
        <v>0</v>
      </c>
      <c r="AD244" s="36">
        <f>IFERROR(cadangan3[[#This Row],[Harga Asli C]]-(cadangan3[[#This Row],[Harga Asli C]]*cadangan3[[#This Row],[Diskon]]),cadangan3[[#This Row],[Harga Asli C]])</f>
        <v>0</v>
      </c>
      <c r="AE244" s="36">
        <f>IFERROR(INDEX(Katalog!$F$3:$F$12,MATCH(cadangan3[[#This Row],[ItemID C]],Katalog!$C$3:$C$12,0))*cadangan3[[#This Row],[Qty C]],0)</f>
        <v>0</v>
      </c>
      <c r="AF244" s="36">
        <f>IFERROR(cadangan3[[#This Row],[Profit C]]-(cadangan3[[#This Row],[Profit C]]*cadangan3[[#This Row],[Diskon]]),cadangan3[[#This Row],[Profit C]])</f>
        <v>0</v>
      </c>
      <c r="AG244" s="21">
        <f>cadangan3[[#This Row],[Qty A]]+cadangan3[[#This Row],[Qty B]]+cadangan3[[#This Row],[Qty C]]</f>
        <v>2</v>
      </c>
      <c r="AH244" s="35">
        <f>cadangan3[[#This Row],[Harga A + Diskon]]+cadangan3[[#This Row],[Harga + Diskon B]]+cadangan3[[#This Row],[Harga + Diskon C]]</f>
        <v>306000</v>
      </c>
      <c r="AI244" s="35">
        <f>(cadangan3[[#This Row],[Profit A]]+cadangan3[[#This Row],[Profit B]]+cadangan3[[#This Row],[Profit C]])</f>
        <v>140000</v>
      </c>
      <c r="AJ244" s="35">
        <f>cadangan3[[#This Row],[Provit A + Diskon]]+cadangan3[[#This Row],[Provit B + Diskon]]+cadangan3[[#This Row],[Provit C + Diskon]]</f>
        <v>119000</v>
      </c>
      <c r="AK244" s="23" t="s">
        <v>13</v>
      </c>
      <c r="AL244" s="37">
        <f>IFERROR(INDEX('Kode Diskon'!$D$3:$D$9,MATCH(cadangan3[[#This Row],[Kode diskon]],'Kode Diskon'!$C$3:$C$9,0)),"-")</f>
        <v>0.15</v>
      </c>
      <c r="AM244" s="23" t="s">
        <v>29</v>
      </c>
      <c r="AN244" s="23" t="s">
        <v>7</v>
      </c>
      <c r="AO244" s="23" t="s">
        <v>80</v>
      </c>
      <c r="AP244" s="24">
        <v>45020</v>
      </c>
      <c r="AQ244" s="23" t="str">
        <f>TEXT(cadangan3[[#This Row],[Tanggal terjual]],"dddd")</f>
        <v>Tuesday</v>
      </c>
    </row>
    <row r="245" spans="1:43" x14ac:dyDescent="0.2">
      <c r="A245" s="20">
        <v>244</v>
      </c>
      <c r="B245" s="21" t="str">
        <f>_xlfn.CONCAT("ORD-",INDEX(Helper!$B$2:$B$5,MATCH(cadangan3[[#This Row],[Marketplace]],Helper!$A$2:$A$5,0)),TEXT(cadangan3[[#This Row],[No]],"0000"),"-",TEXT(cadangan3[[#This Row],[Tanggal terjual]],"dd/mm/yy"))</f>
        <v>ORD-TK0244-30/04/23</v>
      </c>
      <c r="C245" t="s">
        <v>58</v>
      </c>
      <c r="D245" t="str">
        <f>IFERROR(INDEX(Katalog!$A$3:$A$12,MATCH(cadangan3[[#This Row],[ItemID A]],Katalog!$C$3:$C$12,0)),"-")</f>
        <v>Pakaian Wanita</v>
      </c>
      <c r="E245" t="str">
        <f>IFERROR(INDEX(Katalog!$B$3:$B$12,MATCH(cadangan3[[#This Row],[ItemID A]],Katalog!$C$3:$C$12,0)),"-")</f>
        <v>Dress</v>
      </c>
      <c r="F245">
        <v>2</v>
      </c>
      <c r="G245">
        <v>4</v>
      </c>
      <c r="H245" s="36">
        <f>IFERROR(INDEX(Katalog!$D$3:$D$12,MATCH(cadangan3[[#This Row],[ItemID A]],Katalog!$C$3:$C$12,0))*cadangan3[[#This Row],[Qty A]],0)</f>
        <v>600000</v>
      </c>
      <c r="I245" s="36">
        <f>IFERROR(INDEX(Katalog!$D$3:$D$12,MATCH(cadangan3[[#This Row],[Item A]],Katalog!$B$3:$B$12,0))*cadangan3[[#This Row],[Qty A]],0)</f>
        <v>600000</v>
      </c>
      <c r="J245" s="36">
        <f>IFERROR(cadangan3[[#This Row],[Harga Asli A]]-(cadangan3[[#This Row],[Harga Asli A]]*cadangan3[[#This Row],[Diskon]]),cadangan3[[#This Row],[Harga Asli A]])</f>
        <v>540000</v>
      </c>
      <c r="K245" s="36">
        <f>INDEX(Katalog!$F$3:$F$12,MATCH(cadangan3[[#This Row],[ItemID A]],Katalog!$C$3:$C$12,0))*cadangan3[[#This Row],[Qty A]]</f>
        <v>200000</v>
      </c>
      <c r="L245" s="36">
        <f>IFERROR(cadangan3[[#This Row],[Profit A]]-(cadangan3[[#This Row],[Profit A]]*cadangan3[[#This Row],[Diskon]]),K245)</f>
        <v>180000</v>
      </c>
      <c r="M245" t="s">
        <v>66</v>
      </c>
      <c r="N245" t="str">
        <f>IFERROR(INDEX(Katalog!$A$3:$A$12,MATCH(cadangan3[[#This Row],[ItemID B]],Katalog!$C$3:$C$12,0)),"-")</f>
        <v>Sepatu Pria</v>
      </c>
      <c r="O245" t="str">
        <f>IFERROR(INDEX(Katalog!$B$3:$B$12,MATCH(cadangan3[[#This Row],[ItemID B]],Katalog!$C$3:$C$12,0)),"-")</f>
        <v>Sandal Slip On</v>
      </c>
      <c r="P245">
        <v>1</v>
      </c>
      <c r="Q245">
        <v>3</v>
      </c>
      <c r="R245" s="36">
        <f>IFERROR(INDEX(Katalog!$D$3:$D$12,MATCH(cadangan3[[#This Row],[ItemID B]],Katalog!$C$3:$C$12,0))*cadangan3[[#This Row],[Qty B]],0)</f>
        <v>150000</v>
      </c>
      <c r="S245" s="36">
        <f>IFERROR(INDEX(Katalog!$D$3:$D$12,MATCH(cadangan3[[#This Row],[Item B]],Katalog!$B$3:$B$12,0))*cadangan3[[#This Row],[Qty B]],0)</f>
        <v>150000</v>
      </c>
      <c r="T245" s="36">
        <f>IFERROR(cadangan3[[#This Row],[Harga Asli B]]-(cadangan3[[#This Row],[Harga Asli B]]*cadangan3[[#This Row],[Diskon]]),cadangan3[[#This Row],[Harga Asli B]])</f>
        <v>135000</v>
      </c>
      <c r="U245" s="36">
        <f>IFERROR(INDEX(Katalog!$F$3:$F$12,MATCH(cadangan3[[#This Row],[ItemID B]],Katalog!$C$3:$C$12,0))*cadangan3[[#This Row],[Qty B]],0)</f>
        <v>60000</v>
      </c>
      <c r="V245" s="36">
        <f>IFERROR(cadangan3[[#This Row],[Profit B]]-(cadangan3[[#This Row],[Profit B]]*cadangan3[[#This Row],[Diskon]]),U245)</f>
        <v>54000</v>
      </c>
      <c r="X245" t="str">
        <f>IFERROR(INDEX(Katalog!$A$3:$A$12,MATCH(cadangan3[[#This Row],[ItemID C]],Katalog!$C$3:$C$12,0)),"-")</f>
        <v>-</v>
      </c>
      <c r="Y245" t="str">
        <f>IFERROR(INDEX(Katalog!$B$3:$B$12,MATCH(cadangan3[[#This Row],[ItemID C]],Katalog!$C$3:$C$12,0)),"-")</f>
        <v>-</v>
      </c>
      <c r="AB245" s="36">
        <f>IFERROR(INDEX(Katalog!$D$3:$D$12,MATCH(cadangan3[[#This Row],[ItemID C]],Katalog!$C$3:$C$12,0))*cadangan3[[#This Row],[Qty C]],0)</f>
        <v>0</v>
      </c>
      <c r="AC245" s="36">
        <f>IFERROR(INDEX(Katalog!$D$3:$D$12,MATCH(cadangan3[[#This Row],[Item C]],Katalog!$B$3:$B$12,0))*cadangan3[[#This Row],[Qty C]],0)</f>
        <v>0</v>
      </c>
      <c r="AD245" s="36">
        <f>IFERROR(cadangan3[[#This Row],[Harga Asli C]]-(cadangan3[[#This Row],[Harga Asli C]]*cadangan3[[#This Row],[Diskon]]),cadangan3[[#This Row],[Harga Asli C]])</f>
        <v>0</v>
      </c>
      <c r="AE245" s="36">
        <f>IFERROR(INDEX(Katalog!$F$3:$F$12,MATCH(cadangan3[[#This Row],[ItemID C]],Katalog!$C$3:$C$12,0))*cadangan3[[#This Row],[Qty C]],0)</f>
        <v>0</v>
      </c>
      <c r="AF245" s="36">
        <f>IFERROR(cadangan3[[#This Row],[Profit C]]-(cadangan3[[#This Row],[Profit C]]*cadangan3[[#This Row],[Diskon]]),cadangan3[[#This Row],[Profit C]])</f>
        <v>0</v>
      </c>
      <c r="AG245" s="21">
        <f>cadangan3[[#This Row],[Qty A]]+cadangan3[[#This Row],[Qty B]]+cadangan3[[#This Row],[Qty C]]</f>
        <v>3</v>
      </c>
      <c r="AH245" s="35">
        <f>cadangan3[[#This Row],[Harga A + Diskon]]+cadangan3[[#This Row],[Harga + Diskon B]]+cadangan3[[#This Row],[Harga + Diskon C]]</f>
        <v>675000</v>
      </c>
      <c r="AI245" s="35">
        <f>(cadangan3[[#This Row],[Profit A]]+cadangan3[[#This Row],[Profit B]]+cadangan3[[#This Row],[Profit C]])</f>
        <v>260000</v>
      </c>
      <c r="AJ245" s="35">
        <f>cadangan3[[#This Row],[Provit A + Diskon]]+cadangan3[[#This Row],[Provit B + Diskon]]+cadangan3[[#This Row],[Provit C + Diskon]]</f>
        <v>234000</v>
      </c>
      <c r="AK245" s="23" t="s">
        <v>31</v>
      </c>
      <c r="AL245" s="37">
        <f>IFERROR(INDEX('Kode Diskon'!$D$3:$D$9,MATCH(cadangan3[[#This Row],[Kode diskon]],'Kode Diskon'!$C$3:$C$9,0)),"-")</f>
        <v>0.1</v>
      </c>
      <c r="AM245" s="23" t="s">
        <v>9</v>
      </c>
      <c r="AN245" s="23" t="s">
        <v>10</v>
      </c>
      <c r="AO245" s="23" t="s">
        <v>79</v>
      </c>
      <c r="AP245" s="24">
        <v>45046</v>
      </c>
      <c r="AQ245" s="23" t="str">
        <f>TEXT(cadangan3[[#This Row],[Tanggal terjual]],"dddd")</f>
        <v>Sunday</v>
      </c>
    </row>
    <row r="246" spans="1:43" x14ac:dyDescent="0.2">
      <c r="A246" s="20">
        <v>245</v>
      </c>
      <c r="B246" s="21" t="str">
        <f>_xlfn.CONCAT("ORD-",INDEX(Helper!$B$2:$B$5,MATCH(cadangan3[[#This Row],[Marketplace]],Helper!$A$2:$A$5,0)),TEXT(cadangan3[[#This Row],[No]],"0000"),"-",TEXT(cadangan3[[#This Row],[Tanggal terjual]],"dd/mm/yy"))</f>
        <v>ORD-SP0245-17/04/23</v>
      </c>
      <c r="C246" t="s">
        <v>62</v>
      </c>
      <c r="D246" t="str">
        <f>IFERROR(INDEX(Katalog!$A$3:$A$12,MATCH(cadangan3[[#This Row],[ItemID A]],Katalog!$C$3:$C$12,0)),"-")</f>
        <v>Pakaian Pria</v>
      </c>
      <c r="E246" t="str">
        <f>IFERROR(INDEX(Katalog!$B$3:$B$12,MATCH(cadangan3[[#This Row],[ItemID A]],Katalog!$C$3:$C$12,0)),"-")</f>
        <v>Celana Pendek</v>
      </c>
      <c r="F246">
        <v>1</v>
      </c>
      <c r="G246">
        <v>5</v>
      </c>
      <c r="H246" s="36">
        <f>IFERROR(INDEX(Katalog!$D$3:$D$12,MATCH(cadangan3[[#This Row],[ItemID A]],Katalog!$C$3:$C$12,0))*cadangan3[[#This Row],[Qty A]],0)</f>
        <v>180000</v>
      </c>
      <c r="I246" s="36">
        <f>IFERROR(INDEX(Katalog!$D$3:$D$12,MATCH(cadangan3[[#This Row],[Item A]],Katalog!$B$3:$B$12,0))*cadangan3[[#This Row],[Qty A]],0)</f>
        <v>180000</v>
      </c>
      <c r="J246" s="36">
        <f>IFERROR(cadangan3[[#This Row],[Harga Asli A]]-(cadangan3[[#This Row],[Harga Asli A]]*cadangan3[[#This Row],[Diskon]]),cadangan3[[#This Row],[Harga Asli A]])</f>
        <v>144000</v>
      </c>
      <c r="K246" s="36">
        <f>INDEX(Katalog!$F$3:$F$12,MATCH(cadangan3[[#This Row],[ItemID A]],Katalog!$C$3:$C$12,0))*cadangan3[[#This Row],[Qty A]]</f>
        <v>70000</v>
      </c>
      <c r="L246" s="36">
        <f>IFERROR(cadangan3[[#This Row],[Profit A]]-(cadangan3[[#This Row],[Profit A]]*cadangan3[[#This Row],[Diskon]]),K246)</f>
        <v>56000</v>
      </c>
      <c r="N246" t="str">
        <f>IFERROR(INDEX(Katalog!$A$3:$A$12,MATCH(cadangan3[[#This Row],[ItemID B]],Katalog!$C$3:$C$12,0)),"-")</f>
        <v>-</v>
      </c>
      <c r="O246" t="str">
        <f>IFERROR(INDEX(Katalog!$B$3:$B$12,MATCH(cadangan3[[#This Row],[ItemID B]],Katalog!$C$3:$C$12,0)),"-")</f>
        <v>-</v>
      </c>
      <c r="R246" s="36">
        <f>IFERROR(INDEX(Katalog!$D$3:$D$12,MATCH(cadangan3[[#This Row],[ItemID B]],Katalog!$C$3:$C$12,0))*cadangan3[[#This Row],[Qty B]],0)</f>
        <v>0</v>
      </c>
      <c r="S246" s="36">
        <f>IFERROR(INDEX(Katalog!$D$3:$D$12,MATCH(cadangan3[[#This Row],[Item B]],Katalog!$B$3:$B$12,0))*cadangan3[[#This Row],[Qty B]],0)</f>
        <v>0</v>
      </c>
      <c r="T246" s="36">
        <f>IFERROR(cadangan3[[#This Row],[Harga Asli B]]-(cadangan3[[#This Row],[Harga Asli B]]*cadangan3[[#This Row],[Diskon]]),cadangan3[[#This Row],[Harga Asli B]])</f>
        <v>0</v>
      </c>
      <c r="U246" s="36">
        <f>IFERROR(INDEX(Katalog!$F$3:$F$12,MATCH(cadangan3[[#This Row],[ItemID B]],Katalog!$C$3:$C$12,0))*cadangan3[[#This Row],[Qty B]],0)</f>
        <v>0</v>
      </c>
      <c r="V246" s="36">
        <f>IFERROR(cadangan3[[#This Row],[Profit B]]-(cadangan3[[#This Row],[Profit B]]*cadangan3[[#This Row],[Diskon]]),U246)</f>
        <v>0</v>
      </c>
      <c r="X246" t="str">
        <f>IFERROR(INDEX(Katalog!$A$3:$A$12,MATCH(cadangan3[[#This Row],[ItemID C]],Katalog!$C$3:$C$12,0)),"-")</f>
        <v>-</v>
      </c>
      <c r="Y246" t="str">
        <f>IFERROR(INDEX(Katalog!$B$3:$B$12,MATCH(cadangan3[[#This Row],[ItemID C]],Katalog!$C$3:$C$12,0)),"-")</f>
        <v>-</v>
      </c>
      <c r="AB246" s="36">
        <f>IFERROR(INDEX(Katalog!$D$3:$D$12,MATCH(cadangan3[[#This Row],[ItemID C]],Katalog!$C$3:$C$12,0))*cadangan3[[#This Row],[Qty C]],0)</f>
        <v>0</v>
      </c>
      <c r="AC246" s="36">
        <f>IFERROR(INDEX(Katalog!$D$3:$D$12,MATCH(cadangan3[[#This Row],[Item C]],Katalog!$B$3:$B$12,0))*cadangan3[[#This Row],[Qty C]],0)</f>
        <v>0</v>
      </c>
      <c r="AD246" s="36">
        <f>IFERROR(cadangan3[[#This Row],[Harga Asli C]]-(cadangan3[[#This Row],[Harga Asli C]]*cadangan3[[#This Row],[Diskon]]),cadangan3[[#This Row],[Harga Asli C]])</f>
        <v>0</v>
      </c>
      <c r="AE246" s="36">
        <f>IFERROR(INDEX(Katalog!$F$3:$F$12,MATCH(cadangan3[[#This Row],[ItemID C]],Katalog!$C$3:$C$12,0))*cadangan3[[#This Row],[Qty C]],0)</f>
        <v>0</v>
      </c>
      <c r="AF246" s="36">
        <f>IFERROR(cadangan3[[#This Row],[Profit C]]-(cadangan3[[#This Row],[Profit C]]*cadangan3[[#This Row],[Diskon]]),cadangan3[[#This Row],[Profit C]])</f>
        <v>0</v>
      </c>
      <c r="AG246" s="21">
        <f>cadangan3[[#This Row],[Qty A]]+cadangan3[[#This Row],[Qty B]]+cadangan3[[#This Row],[Qty C]]</f>
        <v>1</v>
      </c>
      <c r="AH246" s="35">
        <f>cadangan3[[#This Row],[Harga A + Diskon]]+cadangan3[[#This Row],[Harga + Diskon B]]+cadangan3[[#This Row],[Harga + Diskon C]]</f>
        <v>144000</v>
      </c>
      <c r="AI246" s="35">
        <f>(cadangan3[[#This Row],[Profit A]]+cadangan3[[#This Row],[Profit B]]+cadangan3[[#This Row],[Profit C]])</f>
        <v>70000</v>
      </c>
      <c r="AJ246" s="35">
        <f>cadangan3[[#This Row],[Provit A + Diskon]]+cadangan3[[#This Row],[Provit B + Diskon]]+cadangan3[[#This Row],[Provit C + Diskon]]</f>
        <v>56000</v>
      </c>
      <c r="AK246" s="23" t="s">
        <v>8</v>
      </c>
      <c r="AL246" s="37">
        <f>IFERROR(INDEX('Kode Diskon'!$D$3:$D$9,MATCH(cadangan3[[#This Row],[Kode diskon]],'Kode Diskon'!$C$3:$C$9,0)),"-")</f>
        <v>0.2</v>
      </c>
      <c r="AM246" s="23" t="s">
        <v>9</v>
      </c>
      <c r="AN246" s="23" t="s">
        <v>7</v>
      </c>
      <c r="AO246" s="23" t="s">
        <v>75</v>
      </c>
      <c r="AP246" s="24">
        <v>45033</v>
      </c>
      <c r="AQ246" s="23" t="str">
        <f>TEXT(cadangan3[[#This Row],[Tanggal terjual]],"dddd")</f>
        <v>Monday</v>
      </c>
    </row>
    <row r="247" spans="1:43" x14ac:dyDescent="0.2">
      <c r="A247" s="20">
        <v>246</v>
      </c>
      <c r="B247" s="21" t="str">
        <f>_xlfn.CONCAT("ORD-",INDEX(Helper!$B$2:$B$5,MATCH(cadangan3[[#This Row],[Marketplace]],Helper!$A$2:$A$5,0)),TEXT(cadangan3[[#This Row],[No]],"0000"),"-",TEXT(cadangan3[[#This Row],[Tanggal terjual]],"dd/mm/yy"))</f>
        <v>ORD-SP0246-05/04/23</v>
      </c>
      <c r="C247" t="s">
        <v>61</v>
      </c>
      <c r="D247" t="str">
        <f>IFERROR(INDEX(Katalog!$A$3:$A$12,MATCH(cadangan3[[#This Row],[ItemID A]],Katalog!$C$3:$C$12,0)),"-")</f>
        <v>Pakaian Pria</v>
      </c>
      <c r="E247" t="str">
        <f>IFERROR(INDEX(Katalog!$B$3:$B$12,MATCH(cadangan3[[#This Row],[ItemID A]],Katalog!$C$3:$C$12,0)),"-")</f>
        <v>Kaos Polo</v>
      </c>
      <c r="F247">
        <v>2</v>
      </c>
      <c r="G247">
        <v>3</v>
      </c>
      <c r="H247" s="36">
        <f>IFERROR(INDEX(Katalog!$D$3:$D$12,MATCH(cadangan3[[#This Row],[ItemID A]],Katalog!$C$3:$C$12,0))*cadangan3[[#This Row],[Qty A]],0)</f>
        <v>400000</v>
      </c>
      <c r="I247" s="36">
        <f>IFERROR(INDEX(Katalog!$D$3:$D$12,MATCH(cadangan3[[#This Row],[Item A]],Katalog!$B$3:$B$12,0))*cadangan3[[#This Row],[Qty A]],0)</f>
        <v>400000</v>
      </c>
      <c r="J247" s="36">
        <f>IFERROR(cadangan3[[#This Row],[Harga Asli A]]-(cadangan3[[#This Row],[Harga Asli A]]*cadangan3[[#This Row],[Diskon]]),cadangan3[[#This Row],[Harga Asli A]])</f>
        <v>340000</v>
      </c>
      <c r="K247" s="36">
        <f>INDEX(Katalog!$F$3:$F$12,MATCH(cadangan3[[#This Row],[ItemID A]],Katalog!$C$3:$C$12,0))*cadangan3[[#This Row],[Qty A]]</f>
        <v>160000</v>
      </c>
      <c r="L247" s="36">
        <f>IFERROR(cadangan3[[#This Row],[Profit A]]-(cadangan3[[#This Row],[Profit A]]*cadangan3[[#This Row],[Diskon]]),K247)</f>
        <v>136000</v>
      </c>
      <c r="M247" t="s">
        <v>59</v>
      </c>
      <c r="N247" t="str">
        <f>IFERROR(INDEX(Katalog!$A$3:$A$12,MATCH(cadangan3[[#This Row],[ItemID B]],Katalog!$C$3:$C$12,0)),"-")</f>
        <v>Pakaian Wanita</v>
      </c>
      <c r="O247" t="str">
        <f>IFERROR(INDEX(Katalog!$B$3:$B$12,MATCH(cadangan3[[#This Row],[ItemID B]],Katalog!$C$3:$C$12,0)),"-")</f>
        <v>Blouse</v>
      </c>
      <c r="P247">
        <v>1</v>
      </c>
      <c r="Q247">
        <v>4</v>
      </c>
      <c r="R247" s="36">
        <f>IFERROR(INDEX(Katalog!$D$3:$D$12,MATCH(cadangan3[[#This Row],[ItemID B]],Katalog!$C$3:$C$12,0))*cadangan3[[#This Row],[Qty B]],0)</f>
        <v>150000</v>
      </c>
      <c r="S247" s="36">
        <f>IFERROR(INDEX(Katalog!$D$3:$D$12,MATCH(cadangan3[[#This Row],[Item B]],Katalog!$B$3:$B$12,0))*cadangan3[[#This Row],[Qty B]],0)</f>
        <v>150000</v>
      </c>
      <c r="T247" s="36">
        <f>IFERROR(cadangan3[[#This Row],[Harga Asli B]]-(cadangan3[[#This Row],[Harga Asli B]]*cadangan3[[#This Row],[Diskon]]),cadangan3[[#This Row],[Harga Asli B]])</f>
        <v>127500</v>
      </c>
      <c r="U247" s="36">
        <f>IFERROR(INDEX(Katalog!$F$3:$F$12,MATCH(cadangan3[[#This Row],[ItemID B]],Katalog!$C$3:$C$12,0))*cadangan3[[#This Row],[Qty B]],0)</f>
        <v>50000</v>
      </c>
      <c r="V247" s="36">
        <f>IFERROR(cadangan3[[#This Row],[Profit B]]-(cadangan3[[#This Row],[Profit B]]*cadangan3[[#This Row],[Diskon]]),U247)</f>
        <v>42500</v>
      </c>
      <c r="X247" t="str">
        <f>IFERROR(INDEX(Katalog!$A$3:$A$12,MATCH(cadangan3[[#This Row],[ItemID C]],Katalog!$C$3:$C$12,0)),"-")</f>
        <v>-</v>
      </c>
      <c r="Y247" t="str">
        <f>IFERROR(INDEX(Katalog!$B$3:$B$12,MATCH(cadangan3[[#This Row],[ItemID C]],Katalog!$C$3:$C$12,0)),"-")</f>
        <v>-</v>
      </c>
      <c r="AB247" s="36">
        <f>IFERROR(INDEX(Katalog!$D$3:$D$12,MATCH(cadangan3[[#This Row],[ItemID C]],Katalog!$C$3:$C$12,0))*cadangan3[[#This Row],[Qty C]],0)</f>
        <v>0</v>
      </c>
      <c r="AC247" s="36">
        <f>IFERROR(INDEX(Katalog!$D$3:$D$12,MATCH(cadangan3[[#This Row],[Item C]],Katalog!$B$3:$B$12,0))*cadangan3[[#This Row],[Qty C]],0)</f>
        <v>0</v>
      </c>
      <c r="AD247" s="36">
        <f>IFERROR(cadangan3[[#This Row],[Harga Asli C]]-(cadangan3[[#This Row],[Harga Asli C]]*cadangan3[[#This Row],[Diskon]]),cadangan3[[#This Row],[Harga Asli C]])</f>
        <v>0</v>
      </c>
      <c r="AE247" s="36">
        <f>IFERROR(INDEX(Katalog!$F$3:$F$12,MATCH(cadangan3[[#This Row],[ItemID C]],Katalog!$C$3:$C$12,0))*cadangan3[[#This Row],[Qty C]],0)</f>
        <v>0</v>
      </c>
      <c r="AF247" s="36">
        <f>IFERROR(cadangan3[[#This Row],[Profit C]]-(cadangan3[[#This Row],[Profit C]]*cadangan3[[#This Row],[Diskon]]),cadangan3[[#This Row],[Profit C]])</f>
        <v>0</v>
      </c>
      <c r="AG247" s="21">
        <f>cadangan3[[#This Row],[Qty A]]+cadangan3[[#This Row],[Qty B]]+cadangan3[[#This Row],[Qty C]]</f>
        <v>3</v>
      </c>
      <c r="AH247" s="35">
        <f>cadangan3[[#This Row],[Harga A + Diskon]]+cadangan3[[#This Row],[Harga + Diskon B]]+cadangan3[[#This Row],[Harga + Diskon C]]</f>
        <v>467500</v>
      </c>
      <c r="AI247" s="35">
        <f>(cadangan3[[#This Row],[Profit A]]+cadangan3[[#This Row],[Profit B]]+cadangan3[[#This Row],[Profit C]])</f>
        <v>210000</v>
      </c>
      <c r="AJ247" s="35">
        <f>cadangan3[[#This Row],[Provit A + Diskon]]+cadangan3[[#This Row],[Provit B + Diskon]]+cadangan3[[#This Row],[Provit C + Diskon]]</f>
        <v>178500</v>
      </c>
      <c r="AK247" s="23" t="s">
        <v>13</v>
      </c>
      <c r="AL247" s="37">
        <f>IFERROR(INDEX('Kode Diskon'!$D$3:$D$9,MATCH(cadangan3[[#This Row],[Kode diskon]],'Kode Diskon'!$C$3:$C$9,0)),"-")</f>
        <v>0.15</v>
      </c>
      <c r="AM247" s="23" t="s">
        <v>29</v>
      </c>
      <c r="AN247" s="23" t="s">
        <v>7</v>
      </c>
      <c r="AO247" s="23" t="s">
        <v>77</v>
      </c>
      <c r="AP247" s="24">
        <v>45021</v>
      </c>
      <c r="AQ247" s="23" t="str">
        <f>TEXT(cadangan3[[#This Row],[Tanggal terjual]],"dddd")</f>
        <v>Wednesday</v>
      </c>
    </row>
    <row r="248" spans="1:43" x14ac:dyDescent="0.2">
      <c r="A248" s="20">
        <v>247</v>
      </c>
      <c r="B248" s="21" t="str">
        <f>_xlfn.CONCAT("ORD-",INDEX(Helper!$B$2:$B$5,MATCH(cadangan3[[#This Row],[Marketplace]],Helper!$A$2:$A$5,0)),TEXT(cadangan3[[#This Row],[No]],"0000"),"-",TEXT(cadangan3[[#This Row],[Tanggal terjual]],"dd/mm/yy"))</f>
        <v>ORD-TK0247-30/04/23</v>
      </c>
      <c r="C248" t="s">
        <v>63</v>
      </c>
      <c r="D248" t="str">
        <f>IFERROR(INDEX(Katalog!$A$3:$A$12,MATCH(cadangan3[[#This Row],[ItemID A]],Katalog!$C$3:$C$12,0)),"-")</f>
        <v>Pakaian Pria</v>
      </c>
      <c r="E248" t="str">
        <f>IFERROR(INDEX(Katalog!$B$3:$B$12,MATCH(cadangan3[[#This Row],[ItemID A]],Katalog!$C$3:$C$12,0)),"-")</f>
        <v>Jaket Jeans</v>
      </c>
      <c r="F248">
        <v>1</v>
      </c>
      <c r="G248">
        <v>5</v>
      </c>
      <c r="H248" s="36">
        <f>IFERROR(INDEX(Katalog!$D$3:$D$12,MATCH(cadangan3[[#This Row],[ItemID A]],Katalog!$C$3:$C$12,0))*cadangan3[[#This Row],[Qty A]],0)</f>
        <v>400000</v>
      </c>
      <c r="I248" s="36">
        <f>IFERROR(INDEX(Katalog!$D$3:$D$12,MATCH(cadangan3[[#This Row],[Item A]],Katalog!$B$3:$B$12,0))*cadangan3[[#This Row],[Qty A]],0)</f>
        <v>400000</v>
      </c>
      <c r="J248" s="36">
        <f>IFERROR(cadangan3[[#This Row],[Harga Asli A]]-(cadangan3[[#This Row],[Harga Asli A]]*cadangan3[[#This Row],[Diskon]]),cadangan3[[#This Row],[Harga Asli A]])</f>
        <v>360000</v>
      </c>
      <c r="K248" s="36">
        <f>INDEX(Katalog!$F$3:$F$12,MATCH(cadangan3[[#This Row],[ItemID A]],Katalog!$C$3:$C$12,0))*cadangan3[[#This Row],[Qty A]]</f>
        <v>150000</v>
      </c>
      <c r="L248" s="36">
        <f>IFERROR(cadangan3[[#This Row],[Profit A]]-(cadangan3[[#This Row],[Profit A]]*cadangan3[[#This Row],[Diskon]]),K248)</f>
        <v>135000</v>
      </c>
      <c r="M248" t="s">
        <v>64</v>
      </c>
      <c r="N248" t="str">
        <f>IFERROR(INDEX(Katalog!$A$3:$A$12,MATCH(cadangan3[[#This Row],[ItemID B]],Katalog!$C$3:$C$12,0)),"-")</f>
        <v>Pakaian Unisex</v>
      </c>
      <c r="O248" t="str">
        <f>IFERROR(INDEX(Katalog!$B$3:$B$12,MATCH(cadangan3[[#This Row],[ItemID B]],Katalog!$C$3:$C$12,0)),"-")</f>
        <v>Jaket Hoodie</v>
      </c>
      <c r="P248">
        <v>3</v>
      </c>
      <c r="Q248">
        <v>4</v>
      </c>
      <c r="R248" s="36">
        <f>IFERROR(INDEX(Katalog!$D$3:$D$12,MATCH(cadangan3[[#This Row],[ItemID B]],Katalog!$C$3:$C$12,0))*cadangan3[[#This Row],[Qty B]],0)</f>
        <v>1050000</v>
      </c>
      <c r="S248" s="36">
        <f>IFERROR(INDEX(Katalog!$D$3:$D$12,MATCH(cadangan3[[#This Row],[Item B]],Katalog!$B$3:$B$12,0))*cadangan3[[#This Row],[Qty B]],0)</f>
        <v>1050000</v>
      </c>
      <c r="T248" s="36">
        <f>IFERROR(cadangan3[[#This Row],[Harga Asli B]]-(cadangan3[[#This Row],[Harga Asli B]]*cadangan3[[#This Row],[Diskon]]),cadangan3[[#This Row],[Harga Asli B]])</f>
        <v>945000</v>
      </c>
      <c r="U248" s="36">
        <f>IFERROR(INDEX(Katalog!$F$3:$F$12,MATCH(cadangan3[[#This Row],[ItemID B]],Katalog!$C$3:$C$12,0))*cadangan3[[#This Row],[Qty B]],0)</f>
        <v>390000</v>
      </c>
      <c r="V248" s="36">
        <f>IFERROR(cadangan3[[#This Row],[Profit B]]-(cadangan3[[#This Row],[Profit B]]*cadangan3[[#This Row],[Diskon]]),U248)</f>
        <v>351000</v>
      </c>
      <c r="X248" t="str">
        <f>IFERROR(INDEX(Katalog!$A$3:$A$12,MATCH(cadangan3[[#This Row],[ItemID C]],Katalog!$C$3:$C$12,0)),"-")</f>
        <v>-</v>
      </c>
      <c r="Y248" t="str">
        <f>IFERROR(INDEX(Katalog!$B$3:$B$12,MATCH(cadangan3[[#This Row],[ItemID C]],Katalog!$C$3:$C$12,0)),"-")</f>
        <v>-</v>
      </c>
      <c r="AB248" s="36">
        <f>IFERROR(INDEX(Katalog!$D$3:$D$12,MATCH(cadangan3[[#This Row],[ItemID C]],Katalog!$C$3:$C$12,0))*cadangan3[[#This Row],[Qty C]],0)</f>
        <v>0</v>
      </c>
      <c r="AC248" s="36">
        <f>IFERROR(INDEX(Katalog!$D$3:$D$12,MATCH(cadangan3[[#This Row],[Item C]],Katalog!$B$3:$B$12,0))*cadangan3[[#This Row],[Qty C]],0)</f>
        <v>0</v>
      </c>
      <c r="AD248" s="36">
        <f>IFERROR(cadangan3[[#This Row],[Harga Asli C]]-(cadangan3[[#This Row],[Harga Asli C]]*cadangan3[[#This Row],[Diskon]]),cadangan3[[#This Row],[Harga Asli C]])</f>
        <v>0</v>
      </c>
      <c r="AE248" s="36">
        <f>IFERROR(INDEX(Katalog!$F$3:$F$12,MATCH(cadangan3[[#This Row],[ItemID C]],Katalog!$C$3:$C$12,0))*cadangan3[[#This Row],[Qty C]],0)</f>
        <v>0</v>
      </c>
      <c r="AF248" s="36">
        <f>IFERROR(cadangan3[[#This Row],[Profit C]]-(cadangan3[[#This Row],[Profit C]]*cadangan3[[#This Row],[Diskon]]),cadangan3[[#This Row],[Profit C]])</f>
        <v>0</v>
      </c>
      <c r="AG248" s="21">
        <f>cadangan3[[#This Row],[Qty A]]+cadangan3[[#This Row],[Qty B]]+cadangan3[[#This Row],[Qty C]]</f>
        <v>4</v>
      </c>
      <c r="AH248" s="35">
        <f>cadangan3[[#This Row],[Harga A + Diskon]]+cadangan3[[#This Row],[Harga + Diskon B]]+cadangan3[[#This Row],[Harga + Diskon C]]</f>
        <v>1305000</v>
      </c>
      <c r="AI248" s="35">
        <f>(cadangan3[[#This Row],[Profit A]]+cadangan3[[#This Row],[Profit B]]+cadangan3[[#This Row],[Profit C]])</f>
        <v>540000</v>
      </c>
      <c r="AJ248" s="35">
        <f>cadangan3[[#This Row],[Provit A + Diskon]]+cadangan3[[#This Row],[Provit B + Diskon]]+cadangan3[[#This Row],[Provit C + Diskon]]</f>
        <v>486000</v>
      </c>
      <c r="AK248" s="23" t="s">
        <v>31</v>
      </c>
      <c r="AL248" s="37">
        <f>IFERROR(INDEX('Kode Diskon'!$D$3:$D$9,MATCH(cadangan3[[#This Row],[Kode diskon]],'Kode Diskon'!$C$3:$C$9,0)),"-")</f>
        <v>0.1</v>
      </c>
      <c r="AM248" s="23" t="s">
        <v>9</v>
      </c>
      <c r="AN248" s="23" t="s">
        <v>10</v>
      </c>
      <c r="AO248" s="23" t="s">
        <v>75</v>
      </c>
      <c r="AP248" s="24">
        <v>45046</v>
      </c>
      <c r="AQ248" s="23" t="str">
        <f>TEXT(cadangan3[[#This Row],[Tanggal terjual]],"dddd")</f>
        <v>Sunday</v>
      </c>
    </row>
    <row r="249" spans="1:43" x14ac:dyDescent="0.2">
      <c r="A249" s="20">
        <v>248</v>
      </c>
      <c r="B249" s="21" t="str">
        <f>_xlfn.CONCAT("ORD-",INDEX(Helper!$B$2:$B$5,MATCH(cadangan3[[#This Row],[Marketplace]],Helper!$A$2:$A$5,0)),TEXT(cadangan3[[#This Row],[No]],"0000"),"-",TEXT(cadangan3[[#This Row],[Tanggal terjual]],"dd/mm/yy"))</f>
        <v>ORD-BL0248-22/04/23</v>
      </c>
      <c r="C249" t="s">
        <v>60</v>
      </c>
      <c r="D249" t="str">
        <f>IFERROR(INDEX(Katalog!$A$3:$A$12,MATCH(cadangan3[[#This Row],[ItemID A]],Katalog!$C$3:$C$12,0)),"-")</f>
        <v>Pakaian Wanita</v>
      </c>
      <c r="E249" t="str">
        <f>IFERROR(INDEX(Katalog!$B$3:$B$12,MATCH(cadangan3[[#This Row],[ItemID A]],Katalog!$C$3:$C$12,0)),"-")</f>
        <v>Kaftan</v>
      </c>
      <c r="F249">
        <v>1</v>
      </c>
      <c r="G249">
        <v>2</v>
      </c>
      <c r="H249" s="36">
        <f>IFERROR(INDEX(Katalog!$D$3:$D$12,MATCH(cadangan3[[#This Row],[ItemID A]],Katalog!$C$3:$C$12,0))*cadangan3[[#This Row],[Qty A]],0)</f>
        <v>250000</v>
      </c>
      <c r="I249" s="36">
        <f>IFERROR(INDEX(Katalog!$D$3:$D$12,MATCH(cadangan3[[#This Row],[Item A]],Katalog!$B$3:$B$12,0))*cadangan3[[#This Row],[Qty A]],0)</f>
        <v>250000</v>
      </c>
      <c r="J249" s="36">
        <f>IFERROR(cadangan3[[#This Row],[Harga Asli A]]-(cadangan3[[#This Row],[Harga Asli A]]*cadangan3[[#This Row],[Diskon]]),cadangan3[[#This Row],[Harga Asli A]])</f>
        <v>212500</v>
      </c>
      <c r="K249" s="36">
        <f>INDEX(Katalog!$F$3:$F$12,MATCH(cadangan3[[#This Row],[ItemID A]],Katalog!$C$3:$C$12,0))*cadangan3[[#This Row],[Qty A]]</f>
        <v>100000</v>
      </c>
      <c r="L249" s="36">
        <f>IFERROR(cadangan3[[#This Row],[Profit A]]-(cadangan3[[#This Row],[Profit A]]*cadangan3[[#This Row],[Diskon]]),K249)</f>
        <v>85000</v>
      </c>
      <c r="M249" t="s">
        <v>62</v>
      </c>
      <c r="N249" t="str">
        <f>IFERROR(INDEX(Katalog!$A$3:$A$12,MATCH(cadangan3[[#This Row],[ItemID B]],Katalog!$C$3:$C$12,0)),"-")</f>
        <v>Pakaian Pria</v>
      </c>
      <c r="O249" t="str">
        <f>IFERROR(INDEX(Katalog!$B$3:$B$12,MATCH(cadangan3[[#This Row],[ItemID B]],Katalog!$C$3:$C$12,0)),"-")</f>
        <v>Celana Pendek</v>
      </c>
      <c r="P249">
        <v>1</v>
      </c>
      <c r="Q249">
        <v>3</v>
      </c>
      <c r="R249" s="36">
        <f>IFERROR(INDEX(Katalog!$D$3:$D$12,MATCH(cadangan3[[#This Row],[ItemID B]],Katalog!$C$3:$C$12,0))*cadangan3[[#This Row],[Qty B]],0)</f>
        <v>180000</v>
      </c>
      <c r="S249" s="36">
        <f>IFERROR(INDEX(Katalog!$D$3:$D$12,MATCH(cadangan3[[#This Row],[Item B]],Katalog!$B$3:$B$12,0))*cadangan3[[#This Row],[Qty B]],0)</f>
        <v>180000</v>
      </c>
      <c r="T249" s="36">
        <f>IFERROR(cadangan3[[#This Row],[Harga Asli B]]-(cadangan3[[#This Row],[Harga Asli B]]*cadangan3[[#This Row],[Diskon]]),cadangan3[[#This Row],[Harga Asli B]])</f>
        <v>153000</v>
      </c>
      <c r="U249" s="36">
        <f>IFERROR(INDEX(Katalog!$F$3:$F$12,MATCH(cadangan3[[#This Row],[ItemID B]],Katalog!$C$3:$C$12,0))*cadangan3[[#This Row],[Qty B]],0)</f>
        <v>70000</v>
      </c>
      <c r="V249" s="36">
        <f>IFERROR(cadangan3[[#This Row],[Profit B]]-(cadangan3[[#This Row],[Profit B]]*cadangan3[[#This Row],[Diskon]]),U249)</f>
        <v>59500</v>
      </c>
      <c r="W249" t="s">
        <v>61</v>
      </c>
      <c r="X249" t="str">
        <f>IFERROR(INDEX(Katalog!$A$3:$A$12,MATCH(cadangan3[[#This Row],[ItemID C]],Katalog!$C$3:$C$12,0)),"-")</f>
        <v>Pakaian Pria</v>
      </c>
      <c r="Y249" t="str">
        <f>IFERROR(INDEX(Katalog!$B$3:$B$12,MATCH(cadangan3[[#This Row],[ItemID C]],Katalog!$C$3:$C$12,0)),"-")</f>
        <v>Kaos Polo</v>
      </c>
      <c r="Z249">
        <v>5</v>
      </c>
      <c r="AA249">
        <v>4</v>
      </c>
      <c r="AB249" s="36">
        <f>IFERROR(INDEX(Katalog!$D$3:$D$12,MATCH(cadangan3[[#This Row],[ItemID C]],Katalog!$C$3:$C$12,0))*cadangan3[[#This Row],[Qty C]],0)</f>
        <v>1000000</v>
      </c>
      <c r="AC249" s="36">
        <f>IFERROR(INDEX(Katalog!$D$3:$D$12,MATCH(cadangan3[[#This Row],[Item C]],Katalog!$B$3:$B$12,0))*cadangan3[[#This Row],[Qty C]],0)</f>
        <v>1000000</v>
      </c>
      <c r="AD249" s="36">
        <f>IFERROR(cadangan3[[#This Row],[Harga Asli C]]-(cadangan3[[#This Row],[Harga Asli C]]*cadangan3[[#This Row],[Diskon]]),cadangan3[[#This Row],[Harga Asli C]])</f>
        <v>850000</v>
      </c>
      <c r="AE249" s="36">
        <f>IFERROR(INDEX(Katalog!$F$3:$F$12,MATCH(cadangan3[[#This Row],[ItemID C]],Katalog!$C$3:$C$12,0))*cadangan3[[#This Row],[Qty C]],0)</f>
        <v>400000</v>
      </c>
      <c r="AF249" s="36">
        <f>IFERROR(cadangan3[[#This Row],[Profit C]]-(cadangan3[[#This Row],[Profit C]]*cadangan3[[#This Row],[Diskon]]),cadangan3[[#This Row],[Profit C]])</f>
        <v>340000</v>
      </c>
      <c r="AG249" s="21">
        <f>cadangan3[[#This Row],[Qty A]]+cadangan3[[#This Row],[Qty B]]+cadangan3[[#This Row],[Qty C]]</f>
        <v>7</v>
      </c>
      <c r="AH249" s="35">
        <f>cadangan3[[#This Row],[Harga A + Diskon]]+cadangan3[[#This Row],[Harga + Diskon B]]+cadangan3[[#This Row],[Harga + Diskon C]]</f>
        <v>1215500</v>
      </c>
      <c r="AI249" s="35">
        <f>(cadangan3[[#This Row],[Profit A]]+cadangan3[[#This Row],[Profit B]]+cadangan3[[#This Row],[Profit C]])</f>
        <v>570000</v>
      </c>
      <c r="AJ249" s="35">
        <f>cadangan3[[#This Row],[Provit A + Diskon]]+cadangan3[[#This Row],[Provit B + Diskon]]+cadangan3[[#This Row],[Provit C + Diskon]]</f>
        <v>484500</v>
      </c>
      <c r="AK249" s="23" t="s">
        <v>32</v>
      </c>
      <c r="AL249" s="37">
        <f>IFERROR(INDEX('Kode Diskon'!$D$3:$D$9,MATCH(cadangan3[[#This Row],[Kode diskon]],'Kode Diskon'!$C$3:$C$9,0)),"-")</f>
        <v>0.15</v>
      </c>
      <c r="AM249" s="23" t="s">
        <v>9</v>
      </c>
      <c r="AN249" s="23" t="s">
        <v>12</v>
      </c>
      <c r="AO249" s="23" t="s">
        <v>75</v>
      </c>
      <c r="AP249" s="24">
        <v>45038</v>
      </c>
      <c r="AQ249" s="23" t="str">
        <f>TEXT(cadangan3[[#This Row],[Tanggal terjual]],"dddd")</f>
        <v>Saturday</v>
      </c>
    </row>
    <row r="250" spans="1:43" x14ac:dyDescent="0.2">
      <c r="A250" s="20">
        <v>249</v>
      </c>
      <c r="B250" s="21" t="str">
        <f>_xlfn.CONCAT("ORD-",INDEX(Helper!$B$2:$B$5,MATCH(cadangan3[[#This Row],[Marketplace]],Helper!$A$2:$A$5,0)),TEXT(cadangan3[[#This Row],[No]],"0000"),"-",TEXT(cadangan3[[#This Row],[Tanggal terjual]],"dd/mm/yy"))</f>
        <v>ORD-TK0249-05/04/23</v>
      </c>
      <c r="C250" t="s">
        <v>66</v>
      </c>
      <c r="D250" t="str">
        <f>IFERROR(INDEX(Katalog!$A$3:$A$12,MATCH(cadangan3[[#This Row],[ItemID A]],Katalog!$C$3:$C$12,0)),"-")</f>
        <v>Sepatu Pria</v>
      </c>
      <c r="E250" t="str">
        <f>IFERROR(INDEX(Katalog!$B$3:$B$12,MATCH(cadangan3[[#This Row],[ItemID A]],Katalog!$C$3:$C$12,0)),"-")</f>
        <v>Sandal Slip On</v>
      </c>
      <c r="F250">
        <v>3</v>
      </c>
      <c r="G250">
        <v>4</v>
      </c>
      <c r="H250" s="36">
        <f>IFERROR(INDEX(Katalog!$D$3:$D$12,MATCH(cadangan3[[#This Row],[ItemID A]],Katalog!$C$3:$C$12,0))*cadangan3[[#This Row],[Qty A]],0)</f>
        <v>450000</v>
      </c>
      <c r="I250" s="36">
        <f>IFERROR(INDEX(Katalog!$D$3:$D$12,MATCH(cadangan3[[#This Row],[Item A]],Katalog!$B$3:$B$12,0))*cadangan3[[#This Row],[Qty A]],0)</f>
        <v>450000</v>
      </c>
      <c r="J250" s="36">
        <f>IFERROR(cadangan3[[#This Row],[Harga Asli A]]-(cadangan3[[#This Row],[Harga Asli A]]*cadangan3[[#This Row],[Diskon]]),cadangan3[[#This Row],[Harga Asli A]])</f>
        <v>405000</v>
      </c>
      <c r="K250" s="36">
        <f>INDEX(Katalog!$F$3:$F$12,MATCH(cadangan3[[#This Row],[ItemID A]],Katalog!$C$3:$C$12,0))*cadangan3[[#This Row],[Qty A]]</f>
        <v>180000</v>
      </c>
      <c r="L250" s="36">
        <f>IFERROR(cadangan3[[#This Row],[Profit A]]-(cadangan3[[#This Row],[Profit A]]*cadangan3[[#This Row],[Diskon]]),K250)</f>
        <v>162000</v>
      </c>
      <c r="M250" t="s">
        <v>64</v>
      </c>
      <c r="N250" t="str">
        <f>IFERROR(INDEX(Katalog!$A$3:$A$12,MATCH(cadangan3[[#This Row],[ItemID B]],Katalog!$C$3:$C$12,0)),"-")</f>
        <v>Pakaian Unisex</v>
      </c>
      <c r="O250" t="str">
        <f>IFERROR(INDEX(Katalog!$B$3:$B$12,MATCH(cadangan3[[#This Row],[ItemID B]],Katalog!$C$3:$C$12,0)),"-")</f>
        <v>Jaket Hoodie</v>
      </c>
      <c r="P250">
        <v>1</v>
      </c>
      <c r="Q250">
        <v>4</v>
      </c>
      <c r="R250" s="36">
        <f>IFERROR(INDEX(Katalog!$D$3:$D$12,MATCH(cadangan3[[#This Row],[ItemID B]],Katalog!$C$3:$C$12,0))*cadangan3[[#This Row],[Qty B]],0)</f>
        <v>350000</v>
      </c>
      <c r="S250" s="36">
        <f>IFERROR(INDEX(Katalog!$D$3:$D$12,MATCH(cadangan3[[#This Row],[Item B]],Katalog!$B$3:$B$12,0))*cadangan3[[#This Row],[Qty B]],0)</f>
        <v>350000</v>
      </c>
      <c r="T250" s="36">
        <f>IFERROR(cadangan3[[#This Row],[Harga Asli B]]-(cadangan3[[#This Row],[Harga Asli B]]*cadangan3[[#This Row],[Diskon]]),cadangan3[[#This Row],[Harga Asli B]])</f>
        <v>315000</v>
      </c>
      <c r="U250" s="36">
        <f>IFERROR(INDEX(Katalog!$F$3:$F$12,MATCH(cadangan3[[#This Row],[ItemID B]],Katalog!$C$3:$C$12,0))*cadangan3[[#This Row],[Qty B]],0)</f>
        <v>130000</v>
      </c>
      <c r="V250" s="36">
        <f>IFERROR(cadangan3[[#This Row],[Profit B]]-(cadangan3[[#This Row],[Profit B]]*cadangan3[[#This Row],[Diskon]]),U250)</f>
        <v>117000</v>
      </c>
      <c r="W250" t="s">
        <v>61</v>
      </c>
      <c r="X250" t="str">
        <f>IFERROR(INDEX(Katalog!$A$3:$A$12,MATCH(cadangan3[[#This Row],[ItemID C]],Katalog!$C$3:$C$12,0)),"-")</f>
        <v>Pakaian Pria</v>
      </c>
      <c r="Y250" t="str">
        <f>IFERROR(INDEX(Katalog!$B$3:$B$12,MATCH(cadangan3[[#This Row],[ItemID C]],Katalog!$C$3:$C$12,0)),"-")</f>
        <v>Kaos Polo</v>
      </c>
      <c r="Z250">
        <v>1</v>
      </c>
      <c r="AA250">
        <v>5</v>
      </c>
      <c r="AB250" s="36">
        <f>IFERROR(INDEX(Katalog!$D$3:$D$12,MATCH(cadangan3[[#This Row],[ItemID C]],Katalog!$C$3:$C$12,0))*cadangan3[[#This Row],[Qty C]],0)</f>
        <v>200000</v>
      </c>
      <c r="AC250" s="36">
        <f>IFERROR(INDEX(Katalog!$D$3:$D$12,MATCH(cadangan3[[#This Row],[Item C]],Katalog!$B$3:$B$12,0))*cadangan3[[#This Row],[Qty C]],0)</f>
        <v>200000</v>
      </c>
      <c r="AD250" s="36">
        <f>IFERROR(cadangan3[[#This Row],[Harga Asli C]]-(cadangan3[[#This Row],[Harga Asli C]]*cadangan3[[#This Row],[Diskon]]),cadangan3[[#This Row],[Harga Asli C]])</f>
        <v>180000</v>
      </c>
      <c r="AE250" s="36">
        <f>IFERROR(INDEX(Katalog!$F$3:$F$12,MATCH(cadangan3[[#This Row],[ItemID C]],Katalog!$C$3:$C$12,0))*cadangan3[[#This Row],[Qty C]],0)</f>
        <v>80000</v>
      </c>
      <c r="AF250" s="36">
        <f>IFERROR(cadangan3[[#This Row],[Profit C]]-(cadangan3[[#This Row],[Profit C]]*cadangan3[[#This Row],[Diskon]]),cadangan3[[#This Row],[Profit C]])</f>
        <v>72000</v>
      </c>
      <c r="AG250" s="21">
        <f>cadangan3[[#This Row],[Qty A]]+cadangan3[[#This Row],[Qty B]]+cadangan3[[#This Row],[Qty C]]</f>
        <v>5</v>
      </c>
      <c r="AH250" s="35">
        <f>cadangan3[[#This Row],[Harga A + Diskon]]+cadangan3[[#This Row],[Harga + Diskon B]]+cadangan3[[#This Row],[Harga + Diskon C]]</f>
        <v>900000</v>
      </c>
      <c r="AI250" s="35">
        <f>(cadangan3[[#This Row],[Profit A]]+cadangan3[[#This Row],[Profit B]]+cadangan3[[#This Row],[Profit C]])</f>
        <v>390000</v>
      </c>
      <c r="AJ250" s="35">
        <f>cadangan3[[#This Row],[Provit A + Diskon]]+cadangan3[[#This Row],[Provit B + Diskon]]+cadangan3[[#This Row],[Provit C + Diskon]]</f>
        <v>351000</v>
      </c>
      <c r="AK250" s="23" t="s">
        <v>30</v>
      </c>
      <c r="AL250" s="37">
        <f>IFERROR(INDEX('Kode Diskon'!$D$3:$D$9,MATCH(cadangan3[[#This Row],[Kode diskon]],'Kode Diskon'!$C$3:$C$9,0)),"-")</f>
        <v>0.1</v>
      </c>
      <c r="AM250" s="23" t="s">
        <v>29</v>
      </c>
      <c r="AN250" s="23" t="s">
        <v>10</v>
      </c>
      <c r="AO250" s="23" t="s">
        <v>80</v>
      </c>
      <c r="AP250" s="24">
        <v>45021</v>
      </c>
      <c r="AQ250" s="23" t="str">
        <f>TEXT(cadangan3[[#This Row],[Tanggal terjual]],"dddd")</f>
        <v>Wednesday</v>
      </c>
    </row>
    <row r="251" spans="1:43" x14ac:dyDescent="0.2">
      <c r="A251" s="20">
        <v>250</v>
      </c>
      <c r="B251" s="21" t="str">
        <f>_xlfn.CONCAT("ORD-",INDEX(Helper!$B$2:$B$5,MATCH(cadangan3[[#This Row],[Marketplace]],Helper!$A$2:$A$5,0)),TEXT(cadangan3[[#This Row],[No]],"0000"),"-",TEXT(cadangan3[[#This Row],[Tanggal terjual]],"dd/mm/yy"))</f>
        <v>ORD-SP0250-20/04/23</v>
      </c>
      <c r="C251" t="s">
        <v>60</v>
      </c>
      <c r="D251" t="str">
        <f>IFERROR(INDEX(Katalog!$A$3:$A$12,MATCH(cadangan3[[#This Row],[ItemID A]],Katalog!$C$3:$C$12,0)),"-")</f>
        <v>Pakaian Wanita</v>
      </c>
      <c r="E251" t="str">
        <f>IFERROR(INDEX(Katalog!$B$3:$B$12,MATCH(cadangan3[[#This Row],[ItemID A]],Katalog!$C$3:$C$12,0)),"-")</f>
        <v>Kaftan</v>
      </c>
      <c r="F251">
        <v>1</v>
      </c>
      <c r="G251">
        <v>2</v>
      </c>
      <c r="H251" s="36">
        <f>IFERROR(INDEX(Katalog!$D$3:$D$12,MATCH(cadangan3[[#This Row],[ItemID A]],Katalog!$C$3:$C$12,0))*cadangan3[[#This Row],[Qty A]],0)</f>
        <v>250000</v>
      </c>
      <c r="I251" s="36">
        <f>IFERROR(INDEX(Katalog!$D$3:$D$12,MATCH(cadangan3[[#This Row],[Item A]],Katalog!$B$3:$B$12,0))*cadangan3[[#This Row],[Qty A]],0)</f>
        <v>250000</v>
      </c>
      <c r="J251" s="36">
        <f>IFERROR(cadangan3[[#This Row],[Harga Asli A]]-(cadangan3[[#This Row],[Harga Asli A]]*cadangan3[[#This Row],[Diskon]]),cadangan3[[#This Row],[Harga Asli A]])</f>
        <v>200000</v>
      </c>
      <c r="K251" s="36">
        <f>INDEX(Katalog!$F$3:$F$12,MATCH(cadangan3[[#This Row],[ItemID A]],Katalog!$C$3:$C$12,0))*cadangan3[[#This Row],[Qty A]]</f>
        <v>100000</v>
      </c>
      <c r="L251" s="36">
        <f>IFERROR(cadangan3[[#This Row],[Profit A]]-(cadangan3[[#This Row],[Profit A]]*cadangan3[[#This Row],[Diskon]]),K251)</f>
        <v>80000</v>
      </c>
      <c r="M251" t="s">
        <v>64</v>
      </c>
      <c r="N251" t="str">
        <f>IFERROR(INDEX(Katalog!$A$3:$A$12,MATCH(cadangan3[[#This Row],[ItemID B]],Katalog!$C$3:$C$12,0)),"-")</f>
        <v>Pakaian Unisex</v>
      </c>
      <c r="O251" t="str">
        <f>IFERROR(INDEX(Katalog!$B$3:$B$12,MATCH(cadangan3[[#This Row],[ItemID B]],Katalog!$C$3:$C$12,0)),"-")</f>
        <v>Jaket Hoodie</v>
      </c>
      <c r="P251">
        <v>1</v>
      </c>
      <c r="Q251">
        <v>3</v>
      </c>
      <c r="R251" s="36">
        <f>IFERROR(INDEX(Katalog!$D$3:$D$12,MATCH(cadangan3[[#This Row],[ItemID B]],Katalog!$C$3:$C$12,0))*cadangan3[[#This Row],[Qty B]],0)</f>
        <v>350000</v>
      </c>
      <c r="S251" s="36">
        <f>IFERROR(INDEX(Katalog!$D$3:$D$12,MATCH(cadangan3[[#This Row],[Item B]],Katalog!$B$3:$B$12,0))*cadangan3[[#This Row],[Qty B]],0)</f>
        <v>350000</v>
      </c>
      <c r="T251" s="36">
        <f>IFERROR(cadangan3[[#This Row],[Harga Asli B]]-(cadangan3[[#This Row],[Harga Asli B]]*cadangan3[[#This Row],[Diskon]]),cadangan3[[#This Row],[Harga Asli B]])</f>
        <v>280000</v>
      </c>
      <c r="U251" s="36">
        <f>IFERROR(INDEX(Katalog!$F$3:$F$12,MATCH(cadangan3[[#This Row],[ItemID B]],Katalog!$C$3:$C$12,0))*cadangan3[[#This Row],[Qty B]],0)</f>
        <v>130000</v>
      </c>
      <c r="V251" s="36">
        <f>IFERROR(cadangan3[[#This Row],[Profit B]]-(cadangan3[[#This Row],[Profit B]]*cadangan3[[#This Row],[Diskon]]),U251)</f>
        <v>104000</v>
      </c>
      <c r="X251" t="str">
        <f>IFERROR(INDEX(Katalog!$A$3:$A$12,MATCH(cadangan3[[#This Row],[ItemID C]],Katalog!$C$3:$C$12,0)),"-")</f>
        <v>-</v>
      </c>
      <c r="Y251" t="str">
        <f>IFERROR(INDEX(Katalog!$B$3:$B$12,MATCH(cadangan3[[#This Row],[ItemID C]],Katalog!$C$3:$C$12,0)),"-")</f>
        <v>-</v>
      </c>
      <c r="AB251" s="36">
        <f>IFERROR(INDEX(Katalog!$D$3:$D$12,MATCH(cadangan3[[#This Row],[ItemID C]],Katalog!$C$3:$C$12,0))*cadangan3[[#This Row],[Qty C]],0)</f>
        <v>0</v>
      </c>
      <c r="AC251" s="36">
        <f>IFERROR(INDEX(Katalog!$D$3:$D$12,MATCH(cadangan3[[#This Row],[Item C]],Katalog!$B$3:$B$12,0))*cadangan3[[#This Row],[Qty C]],0)</f>
        <v>0</v>
      </c>
      <c r="AD251" s="36">
        <f>IFERROR(cadangan3[[#This Row],[Harga Asli C]]-(cadangan3[[#This Row],[Harga Asli C]]*cadangan3[[#This Row],[Diskon]]),cadangan3[[#This Row],[Harga Asli C]])</f>
        <v>0</v>
      </c>
      <c r="AE251" s="36">
        <f>IFERROR(INDEX(Katalog!$F$3:$F$12,MATCH(cadangan3[[#This Row],[ItemID C]],Katalog!$C$3:$C$12,0))*cadangan3[[#This Row],[Qty C]],0)</f>
        <v>0</v>
      </c>
      <c r="AF251" s="36">
        <f>IFERROR(cadangan3[[#This Row],[Profit C]]-(cadangan3[[#This Row],[Profit C]]*cadangan3[[#This Row],[Diskon]]),cadangan3[[#This Row],[Profit C]])</f>
        <v>0</v>
      </c>
      <c r="AG251" s="21">
        <f>cadangan3[[#This Row],[Qty A]]+cadangan3[[#This Row],[Qty B]]+cadangan3[[#This Row],[Qty C]]</f>
        <v>2</v>
      </c>
      <c r="AH251" s="35">
        <f>cadangan3[[#This Row],[Harga A + Diskon]]+cadangan3[[#This Row],[Harga + Diskon B]]+cadangan3[[#This Row],[Harga + Diskon C]]</f>
        <v>480000</v>
      </c>
      <c r="AI251" s="35">
        <f>(cadangan3[[#This Row],[Profit A]]+cadangan3[[#This Row],[Profit B]]+cadangan3[[#This Row],[Profit C]])</f>
        <v>230000</v>
      </c>
      <c r="AJ251" s="35">
        <f>cadangan3[[#This Row],[Provit A + Diskon]]+cadangan3[[#This Row],[Provit B + Diskon]]+cadangan3[[#This Row],[Provit C + Diskon]]</f>
        <v>184000</v>
      </c>
      <c r="AK251" s="23" t="s">
        <v>8</v>
      </c>
      <c r="AL251" s="37">
        <f>IFERROR(INDEX('Kode Diskon'!$D$3:$D$9,MATCH(cadangan3[[#This Row],[Kode diskon]],'Kode Diskon'!$C$3:$C$9,0)),"-")</f>
        <v>0.2</v>
      </c>
      <c r="AM251" s="23" t="s">
        <v>9</v>
      </c>
      <c r="AN251" s="23" t="s">
        <v>7</v>
      </c>
      <c r="AO251" s="23" t="s">
        <v>76</v>
      </c>
      <c r="AP251" s="24">
        <v>45036</v>
      </c>
      <c r="AQ251" s="23" t="str">
        <f>TEXT(cadangan3[[#This Row],[Tanggal terjual]],"dddd")</f>
        <v>Thursday</v>
      </c>
    </row>
    <row r="252" spans="1:43" x14ac:dyDescent="0.2">
      <c r="A252" s="20">
        <v>251</v>
      </c>
      <c r="B252" s="21" t="str">
        <f>_xlfn.CONCAT("ORD-",INDEX(Helper!$B$2:$B$5,MATCH(cadangan3[[#This Row],[Marketplace]],Helper!$A$2:$A$5,0)),TEXT(cadangan3[[#This Row],[No]],"0000"),"-",TEXT(cadangan3[[#This Row],[Tanggal terjual]],"dd/mm/yy"))</f>
        <v>ORD-TK0251-25/04/23</v>
      </c>
      <c r="C252" t="s">
        <v>66</v>
      </c>
      <c r="D252" t="str">
        <f>IFERROR(INDEX(Katalog!$A$3:$A$12,MATCH(cadangan3[[#This Row],[ItemID A]],Katalog!$C$3:$C$12,0)),"-")</f>
        <v>Sepatu Pria</v>
      </c>
      <c r="E252" t="str">
        <f>IFERROR(INDEX(Katalog!$B$3:$B$12,MATCH(cadangan3[[#This Row],[ItemID A]],Katalog!$C$3:$C$12,0)),"-")</f>
        <v>Sandal Slip On</v>
      </c>
      <c r="F252">
        <v>2</v>
      </c>
      <c r="G252">
        <v>5</v>
      </c>
      <c r="H252" s="36">
        <f>IFERROR(INDEX(Katalog!$D$3:$D$12,MATCH(cadangan3[[#This Row],[ItemID A]],Katalog!$C$3:$C$12,0))*cadangan3[[#This Row],[Qty A]],0)</f>
        <v>300000</v>
      </c>
      <c r="I252" s="36">
        <f>IFERROR(INDEX(Katalog!$D$3:$D$12,MATCH(cadangan3[[#This Row],[Item A]],Katalog!$B$3:$B$12,0))*cadangan3[[#This Row],[Qty A]],0)</f>
        <v>300000</v>
      </c>
      <c r="J252" s="36">
        <f>IFERROR(cadangan3[[#This Row],[Harga Asli A]]-(cadangan3[[#This Row],[Harga Asli A]]*cadangan3[[#This Row],[Diskon]]),cadangan3[[#This Row],[Harga Asli A]])</f>
        <v>270000</v>
      </c>
      <c r="K252" s="36">
        <f>INDEX(Katalog!$F$3:$F$12,MATCH(cadangan3[[#This Row],[ItemID A]],Katalog!$C$3:$C$12,0))*cadangan3[[#This Row],[Qty A]]</f>
        <v>120000</v>
      </c>
      <c r="L252" s="36">
        <f>IFERROR(cadangan3[[#This Row],[Profit A]]-(cadangan3[[#This Row],[Profit A]]*cadangan3[[#This Row],[Diskon]]),K252)</f>
        <v>108000</v>
      </c>
      <c r="N252" t="str">
        <f>IFERROR(INDEX(Katalog!$A$3:$A$12,MATCH(cadangan3[[#This Row],[ItemID B]],Katalog!$C$3:$C$12,0)),"-")</f>
        <v>-</v>
      </c>
      <c r="O252" t="str">
        <f>IFERROR(INDEX(Katalog!$B$3:$B$12,MATCH(cadangan3[[#This Row],[ItemID B]],Katalog!$C$3:$C$12,0)),"-")</f>
        <v>-</v>
      </c>
      <c r="R252" s="36">
        <f>IFERROR(INDEX(Katalog!$D$3:$D$12,MATCH(cadangan3[[#This Row],[ItemID B]],Katalog!$C$3:$C$12,0))*cadangan3[[#This Row],[Qty B]],0)</f>
        <v>0</v>
      </c>
      <c r="S252" s="36">
        <f>IFERROR(INDEX(Katalog!$D$3:$D$12,MATCH(cadangan3[[#This Row],[Item B]],Katalog!$B$3:$B$12,0))*cadangan3[[#This Row],[Qty B]],0)</f>
        <v>0</v>
      </c>
      <c r="T252" s="36">
        <f>IFERROR(cadangan3[[#This Row],[Harga Asli B]]-(cadangan3[[#This Row],[Harga Asli B]]*cadangan3[[#This Row],[Diskon]]),cadangan3[[#This Row],[Harga Asli B]])</f>
        <v>0</v>
      </c>
      <c r="U252" s="36">
        <f>IFERROR(INDEX(Katalog!$F$3:$F$12,MATCH(cadangan3[[#This Row],[ItemID B]],Katalog!$C$3:$C$12,0))*cadangan3[[#This Row],[Qty B]],0)</f>
        <v>0</v>
      </c>
      <c r="V252" s="36">
        <f>IFERROR(cadangan3[[#This Row],[Profit B]]-(cadangan3[[#This Row],[Profit B]]*cadangan3[[#This Row],[Diskon]]),U252)</f>
        <v>0</v>
      </c>
      <c r="X252" t="str">
        <f>IFERROR(INDEX(Katalog!$A$3:$A$12,MATCH(cadangan3[[#This Row],[ItemID C]],Katalog!$C$3:$C$12,0)),"-")</f>
        <v>-</v>
      </c>
      <c r="Y252" t="str">
        <f>IFERROR(INDEX(Katalog!$B$3:$B$12,MATCH(cadangan3[[#This Row],[ItemID C]],Katalog!$C$3:$C$12,0)),"-")</f>
        <v>-</v>
      </c>
      <c r="AB252" s="36">
        <f>IFERROR(INDEX(Katalog!$D$3:$D$12,MATCH(cadangan3[[#This Row],[ItemID C]],Katalog!$C$3:$C$12,0))*cadangan3[[#This Row],[Qty C]],0)</f>
        <v>0</v>
      </c>
      <c r="AC252" s="36">
        <f>IFERROR(INDEX(Katalog!$D$3:$D$12,MATCH(cadangan3[[#This Row],[Item C]],Katalog!$B$3:$B$12,0))*cadangan3[[#This Row],[Qty C]],0)</f>
        <v>0</v>
      </c>
      <c r="AD252" s="36">
        <f>IFERROR(cadangan3[[#This Row],[Harga Asli C]]-(cadangan3[[#This Row],[Harga Asli C]]*cadangan3[[#This Row],[Diskon]]),cadangan3[[#This Row],[Harga Asli C]])</f>
        <v>0</v>
      </c>
      <c r="AE252" s="36">
        <f>IFERROR(INDEX(Katalog!$F$3:$F$12,MATCH(cadangan3[[#This Row],[ItemID C]],Katalog!$C$3:$C$12,0))*cadangan3[[#This Row],[Qty C]],0)</f>
        <v>0</v>
      </c>
      <c r="AF252" s="36">
        <f>IFERROR(cadangan3[[#This Row],[Profit C]]-(cadangan3[[#This Row],[Profit C]]*cadangan3[[#This Row],[Diskon]]),cadangan3[[#This Row],[Profit C]])</f>
        <v>0</v>
      </c>
      <c r="AG252" s="21">
        <f>cadangan3[[#This Row],[Qty A]]+cadangan3[[#This Row],[Qty B]]+cadangan3[[#This Row],[Qty C]]</f>
        <v>2</v>
      </c>
      <c r="AH252" s="35">
        <f>cadangan3[[#This Row],[Harga A + Diskon]]+cadangan3[[#This Row],[Harga + Diskon B]]+cadangan3[[#This Row],[Harga + Diskon C]]</f>
        <v>270000</v>
      </c>
      <c r="AI252" s="35">
        <f>(cadangan3[[#This Row],[Profit A]]+cadangan3[[#This Row],[Profit B]]+cadangan3[[#This Row],[Profit C]])</f>
        <v>120000</v>
      </c>
      <c r="AJ252" s="35">
        <f>cadangan3[[#This Row],[Provit A + Diskon]]+cadangan3[[#This Row],[Provit B + Diskon]]+cadangan3[[#This Row],[Provit C + Diskon]]</f>
        <v>108000</v>
      </c>
      <c r="AK252" s="23" t="s">
        <v>31</v>
      </c>
      <c r="AL252" s="37">
        <f>IFERROR(INDEX('Kode Diskon'!$D$3:$D$9,MATCH(cadangan3[[#This Row],[Kode diskon]],'Kode Diskon'!$C$3:$C$9,0)),"-")</f>
        <v>0.1</v>
      </c>
      <c r="AM252" s="23" t="s">
        <v>9</v>
      </c>
      <c r="AN252" s="23" t="s">
        <v>10</v>
      </c>
      <c r="AO252" s="23" t="s">
        <v>76</v>
      </c>
      <c r="AP252" s="24">
        <v>45041</v>
      </c>
      <c r="AQ252" s="23" t="str">
        <f>TEXT(cadangan3[[#This Row],[Tanggal terjual]],"dddd")</f>
        <v>Tuesday</v>
      </c>
    </row>
    <row r="253" spans="1:43" x14ac:dyDescent="0.2">
      <c r="A253" s="20">
        <v>252</v>
      </c>
      <c r="B253" s="21" t="str">
        <f>_xlfn.CONCAT("ORD-",INDEX(Helper!$B$2:$B$5,MATCH(cadangan3[[#This Row],[Marketplace]],Helper!$A$2:$A$5,0)),TEXT(cadangan3[[#This Row],[No]],"0000"),"-",TEXT(cadangan3[[#This Row],[Tanggal terjual]],"dd/mm/yy"))</f>
        <v>ORD-TK0252-17/04/23</v>
      </c>
      <c r="C253" t="s">
        <v>66</v>
      </c>
      <c r="D253" t="str">
        <f>IFERROR(INDEX(Katalog!$A$3:$A$12,MATCH(cadangan3[[#This Row],[ItemID A]],Katalog!$C$3:$C$12,0)),"-")</f>
        <v>Sepatu Pria</v>
      </c>
      <c r="E253" t="str">
        <f>IFERROR(INDEX(Katalog!$B$3:$B$12,MATCH(cadangan3[[#This Row],[ItemID A]],Katalog!$C$3:$C$12,0)),"-")</f>
        <v>Sandal Slip On</v>
      </c>
      <c r="F253">
        <v>2</v>
      </c>
      <c r="G253">
        <v>4</v>
      </c>
      <c r="H253" s="36">
        <f>IFERROR(INDEX(Katalog!$D$3:$D$12,MATCH(cadangan3[[#This Row],[ItemID A]],Katalog!$C$3:$C$12,0))*cadangan3[[#This Row],[Qty A]],0)</f>
        <v>300000</v>
      </c>
      <c r="I253" s="36">
        <f>IFERROR(INDEX(Katalog!$D$3:$D$12,MATCH(cadangan3[[#This Row],[Item A]],Katalog!$B$3:$B$12,0))*cadangan3[[#This Row],[Qty A]],0)</f>
        <v>300000</v>
      </c>
      <c r="J253" s="36">
        <f>IFERROR(cadangan3[[#This Row],[Harga Asli A]]-(cadangan3[[#This Row],[Harga Asli A]]*cadangan3[[#This Row],[Diskon]]),cadangan3[[#This Row],[Harga Asli A]])</f>
        <v>270000</v>
      </c>
      <c r="K253" s="36">
        <f>INDEX(Katalog!$F$3:$F$12,MATCH(cadangan3[[#This Row],[ItemID A]],Katalog!$C$3:$C$12,0))*cadangan3[[#This Row],[Qty A]]</f>
        <v>120000</v>
      </c>
      <c r="L253" s="36">
        <f>IFERROR(cadangan3[[#This Row],[Profit A]]-(cadangan3[[#This Row],[Profit A]]*cadangan3[[#This Row],[Diskon]]),K253)</f>
        <v>108000</v>
      </c>
      <c r="M253" t="s">
        <v>64</v>
      </c>
      <c r="N253" t="str">
        <f>IFERROR(INDEX(Katalog!$A$3:$A$12,MATCH(cadangan3[[#This Row],[ItemID B]],Katalog!$C$3:$C$12,0)),"-")</f>
        <v>Pakaian Unisex</v>
      </c>
      <c r="O253" t="str">
        <f>IFERROR(INDEX(Katalog!$B$3:$B$12,MATCH(cadangan3[[#This Row],[ItemID B]],Katalog!$C$3:$C$12,0)),"-")</f>
        <v>Jaket Hoodie</v>
      </c>
      <c r="P253">
        <v>3</v>
      </c>
      <c r="Q253">
        <v>2</v>
      </c>
      <c r="R253" s="36">
        <f>IFERROR(INDEX(Katalog!$D$3:$D$12,MATCH(cadangan3[[#This Row],[ItemID B]],Katalog!$C$3:$C$12,0))*cadangan3[[#This Row],[Qty B]],0)</f>
        <v>1050000</v>
      </c>
      <c r="S253" s="36">
        <f>IFERROR(INDEX(Katalog!$D$3:$D$12,MATCH(cadangan3[[#This Row],[Item B]],Katalog!$B$3:$B$12,0))*cadangan3[[#This Row],[Qty B]],0)</f>
        <v>1050000</v>
      </c>
      <c r="T253" s="36">
        <f>IFERROR(cadangan3[[#This Row],[Harga Asli B]]-(cadangan3[[#This Row],[Harga Asli B]]*cadangan3[[#This Row],[Diskon]]),cadangan3[[#This Row],[Harga Asli B]])</f>
        <v>945000</v>
      </c>
      <c r="U253" s="36">
        <f>IFERROR(INDEX(Katalog!$F$3:$F$12,MATCH(cadangan3[[#This Row],[ItemID B]],Katalog!$C$3:$C$12,0))*cadangan3[[#This Row],[Qty B]],0)</f>
        <v>390000</v>
      </c>
      <c r="V253" s="36">
        <f>IFERROR(cadangan3[[#This Row],[Profit B]]-(cadangan3[[#This Row],[Profit B]]*cadangan3[[#This Row],[Diskon]]),U253)</f>
        <v>351000</v>
      </c>
      <c r="W253" t="s">
        <v>66</v>
      </c>
      <c r="X253" t="str">
        <f>IFERROR(INDEX(Katalog!$A$3:$A$12,MATCH(cadangan3[[#This Row],[ItemID C]],Katalog!$C$3:$C$12,0)),"-")</f>
        <v>Sepatu Pria</v>
      </c>
      <c r="Y253" t="str">
        <f>IFERROR(INDEX(Katalog!$B$3:$B$12,MATCH(cadangan3[[#This Row],[ItemID C]],Katalog!$C$3:$C$12,0)),"-")</f>
        <v>Sandal Slip On</v>
      </c>
      <c r="Z253">
        <v>2</v>
      </c>
      <c r="AA253">
        <v>1</v>
      </c>
      <c r="AB253" s="36">
        <f>IFERROR(INDEX(Katalog!$D$3:$D$12,MATCH(cadangan3[[#This Row],[ItemID C]],Katalog!$C$3:$C$12,0))*cadangan3[[#This Row],[Qty C]],0)</f>
        <v>300000</v>
      </c>
      <c r="AC253" s="36">
        <f>IFERROR(INDEX(Katalog!$D$3:$D$12,MATCH(cadangan3[[#This Row],[Item C]],Katalog!$B$3:$B$12,0))*cadangan3[[#This Row],[Qty C]],0)</f>
        <v>300000</v>
      </c>
      <c r="AD253" s="36">
        <f>IFERROR(cadangan3[[#This Row],[Harga Asli C]]-(cadangan3[[#This Row],[Harga Asli C]]*cadangan3[[#This Row],[Diskon]]),cadangan3[[#This Row],[Harga Asli C]])</f>
        <v>270000</v>
      </c>
      <c r="AE253" s="36">
        <f>IFERROR(INDEX(Katalog!$F$3:$F$12,MATCH(cadangan3[[#This Row],[ItemID C]],Katalog!$C$3:$C$12,0))*cadangan3[[#This Row],[Qty C]],0)</f>
        <v>120000</v>
      </c>
      <c r="AF253" s="36">
        <f>IFERROR(cadangan3[[#This Row],[Profit C]]-(cadangan3[[#This Row],[Profit C]]*cadangan3[[#This Row],[Diskon]]),cadangan3[[#This Row],[Profit C]])</f>
        <v>108000</v>
      </c>
      <c r="AG253" s="21">
        <f>cadangan3[[#This Row],[Qty A]]+cadangan3[[#This Row],[Qty B]]+cadangan3[[#This Row],[Qty C]]</f>
        <v>7</v>
      </c>
      <c r="AH253" s="35">
        <f>cadangan3[[#This Row],[Harga A + Diskon]]+cadangan3[[#This Row],[Harga + Diskon B]]+cadangan3[[#This Row],[Harga + Diskon C]]</f>
        <v>1485000</v>
      </c>
      <c r="AI253" s="35">
        <f>(cadangan3[[#This Row],[Profit A]]+cadangan3[[#This Row],[Profit B]]+cadangan3[[#This Row],[Profit C]])</f>
        <v>630000</v>
      </c>
      <c r="AJ253" s="35">
        <f>cadangan3[[#This Row],[Provit A + Diskon]]+cadangan3[[#This Row],[Provit B + Diskon]]+cadangan3[[#This Row],[Provit C + Diskon]]</f>
        <v>567000</v>
      </c>
      <c r="AK253" s="23" t="s">
        <v>31</v>
      </c>
      <c r="AL253" s="37">
        <f>IFERROR(INDEX('Kode Diskon'!$D$3:$D$9,MATCH(cadangan3[[#This Row],[Kode diskon]],'Kode Diskon'!$C$3:$C$9,0)),"-")</f>
        <v>0.1</v>
      </c>
      <c r="AM253" s="23" t="s">
        <v>9</v>
      </c>
      <c r="AN253" s="23" t="s">
        <v>10</v>
      </c>
      <c r="AO253" s="23" t="s">
        <v>80</v>
      </c>
      <c r="AP253" s="24">
        <v>45033</v>
      </c>
      <c r="AQ253" s="23" t="str">
        <f>TEXT(cadangan3[[#This Row],[Tanggal terjual]],"dddd")</f>
        <v>Monday</v>
      </c>
    </row>
    <row r="254" spans="1:43" x14ac:dyDescent="0.2">
      <c r="A254" s="20">
        <v>253</v>
      </c>
      <c r="B254" s="21" t="str">
        <f>_xlfn.CONCAT("ORD-",INDEX(Helper!$B$2:$B$5,MATCH(cadangan3[[#This Row],[Marketplace]],Helper!$A$2:$A$5,0)),TEXT(cadangan3[[#This Row],[No]],"0000"),"-",TEXT(cadangan3[[#This Row],[Tanggal terjual]],"dd/mm/yy"))</f>
        <v>ORD-TK0253-24/04/23</v>
      </c>
      <c r="C254" t="s">
        <v>65</v>
      </c>
      <c r="D254" t="str">
        <f>IFERROR(INDEX(Katalog!$A$3:$A$12,MATCH(cadangan3[[#This Row],[ItemID A]],Katalog!$C$3:$C$12,0)),"-")</f>
        <v>Sepatu Pria</v>
      </c>
      <c r="E254" t="str">
        <f>IFERROR(INDEX(Katalog!$B$3:$B$12,MATCH(cadangan3[[#This Row],[ItemID A]],Katalog!$C$3:$C$12,0)),"-")</f>
        <v>Sneakers</v>
      </c>
      <c r="F254">
        <v>4</v>
      </c>
      <c r="G254">
        <v>1</v>
      </c>
      <c r="H254" s="36">
        <f>IFERROR(INDEX(Katalog!$D$3:$D$12,MATCH(cadangan3[[#This Row],[ItemID A]],Katalog!$C$3:$C$12,0))*cadangan3[[#This Row],[Qty A]],0)</f>
        <v>2000000</v>
      </c>
      <c r="I254" s="36">
        <f>IFERROR(INDEX(Katalog!$D$3:$D$12,MATCH(cadangan3[[#This Row],[Item A]],Katalog!$B$3:$B$12,0))*cadangan3[[#This Row],[Qty A]],0)</f>
        <v>2000000</v>
      </c>
      <c r="J254" s="36">
        <f>IFERROR(cadangan3[[#This Row],[Harga Asli A]]-(cadangan3[[#This Row],[Harga Asli A]]*cadangan3[[#This Row],[Diskon]]),cadangan3[[#This Row],[Harga Asli A]])</f>
        <v>1800000</v>
      </c>
      <c r="K254" s="36">
        <f>INDEX(Katalog!$F$3:$F$12,MATCH(cadangan3[[#This Row],[ItemID A]],Katalog!$C$3:$C$12,0))*cadangan3[[#This Row],[Qty A]]</f>
        <v>800000</v>
      </c>
      <c r="L254" s="36">
        <f>IFERROR(cadangan3[[#This Row],[Profit A]]-(cadangan3[[#This Row],[Profit A]]*cadangan3[[#This Row],[Diskon]]),K254)</f>
        <v>720000</v>
      </c>
      <c r="M254" t="s">
        <v>66</v>
      </c>
      <c r="N254" t="str">
        <f>IFERROR(INDEX(Katalog!$A$3:$A$12,MATCH(cadangan3[[#This Row],[ItemID B]],Katalog!$C$3:$C$12,0)),"-")</f>
        <v>Sepatu Pria</v>
      </c>
      <c r="O254" t="str">
        <f>IFERROR(INDEX(Katalog!$B$3:$B$12,MATCH(cadangan3[[#This Row],[ItemID B]],Katalog!$C$3:$C$12,0)),"-")</f>
        <v>Sandal Slip On</v>
      </c>
      <c r="P254">
        <v>2</v>
      </c>
      <c r="Q254">
        <v>5</v>
      </c>
      <c r="R254" s="36">
        <f>IFERROR(INDEX(Katalog!$D$3:$D$12,MATCH(cadangan3[[#This Row],[ItemID B]],Katalog!$C$3:$C$12,0))*cadangan3[[#This Row],[Qty B]],0)</f>
        <v>300000</v>
      </c>
      <c r="S254" s="36">
        <f>IFERROR(INDEX(Katalog!$D$3:$D$12,MATCH(cadangan3[[#This Row],[Item B]],Katalog!$B$3:$B$12,0))*cadangan3[[#This Row],[Qty B]],0)</f>
        <v>300000</v>
      </c>
      <c r="T254" s="36">
        <f>IFERROR(cadangan3[[#This Row],[Harga Asli B]]-(cadangan3[[#This Row],[Harga Asli B]]*cadangan3[[#This Row],[Diskon]]),cadangan3[[#This Row],[Harga Asli B]])</f>
        <v>270000</v>
      </c>
      <c r="U254" s="36">
        <f>IFERROR(INDEX(Katalog!$F$3:$F$12,MATCH(cadangan3[[#This Row],[ItemID B]],Katalog!$C$3:$C$12,0))*cadangan3[[#This Row],[Qty B]],0)</f>
        <v>120000</v>
      </c>
      <c r="V254" s="36">
        <f>IFERROR(cadangan3[[#This Row],[Profit B]]-(cadangan3[[#This Row],[Profit B]]*cadangan3[[#This Row],[Diskon]]),U254)</f>
        <v>108000</v>
      </c>
      <c r="X254" t="str">
        <f>IFERROR(INDEX(Katalog!$A$3:$A$12,MATCH(cadangan3[[#This Row],[ItemID C]],Katalog!$C$3:$C$12,0)),"-")</f>
        <v>-</v>
      </c>
      <c r="Y254" t="str">
        <f>IFERROR(INDEX(Katalog!$B$3:$B$12,MATCH(cadangan3[[#This Row],[ItemID C]],Katalog!$C$3:$C$12,0)),"-")</f>
        <v>-</v>
      </c>
      <c r="AB254" s="36">
        <f>IFERROR(INDEX(Katalog!$D$3:$D$12,MATCH(cadangan3[[#This Row],[ItemID C]],Katalog!$C$3:$C$12,0))*cadangan3[[#This Row],[Qty C]],0)</f>
        <v>0</v>
      </c>
      <c r="AC254" s="36">
        <f>IFERROR(INDEX(Katalog!$D$3:$D$12,MATCH(cadangan3[[#This Row],[Item C]],Katalog!$B$3:$B$12,0))*cadangan3[[#This Row],[Qty C]],0)</f>
        <v>0</v>
      </c>
      <c r="AD254" s="36">
        <f>IFERROR(cadangan3[[#This Row],[Harga Asli C]]-(cadangan3[[#This Row],[Harga Asli C]]*cadangan3[[#This Row],[Diskon]]),cadangan3[[#This Row],[Harga Asli C]])</f>
        <v>0</v>
      </c>
      <c r="AE254" s="36">
        <f>IFERROR(INDEX(Katalog!$F$3:$F$12,MATCH(cadangan3[[#This Row],[ItemID C]],Katalog!$C$3:$C$12,0))*cadangan3[[#This Row],[Qty C]],0)</f>
        <v>0</v>
      </c>
      <c r="AF254" s="36">
        <f>IFERROR(cadangan3[[#This Row],[Profit C]]-(cadangan3[[#This Row],[Profit C]]*cadangan3[[#This Row],[Diskon]]),cadangan3[[#This Row],[Profit C]])</f>
        <v>0</v>
      </c>
      <c r="AG254" s="21">
        <f>cadangan3[[#This Row],[Qty A]]+cadangan3[[#This Row],[Qty B]]+cadangan3[[#This Row],[Qty C]]</f>
        <v>6</v>
      </c>
      <c r="AH254" s="35">
        <f>cadangan3[[#This Row],[Harga A + Diskon]]+cadangan3[[#This Row],[Harga + Diskon B]]+cadangan3[[#This Row],[Harga + Diskon C]]</f>
        <v>2070000</v>
      </c>
      <c r="AI254" s="35">
        <f>(cadangan3[[#This Row],[Profit A]]+cadangan3[[#This Row],[Profit B]]+cadangan3[[#This Row],[Profit C]])</f>
        <v>920000</v>
      </c>
      <c r="AJ254" s="35">
        <f>cadangan3[[#This Row],[Provit A + Diskon]]+cadangan3[[#This Row],[Provit B + Diskon]]+cadangan3[[#This Row],[Provit C + Diskon]]</f>
        <v>828000</v>
      </c>
      <c r="AK254" s="23" t="s">
        <v>31</v>
      </c>
      <c r="AL254" s="37">
        <f>IFERROR(INDEX('Kode Diskon'!$D$3:$D$9,MATCH(cadangan3[[#This Row],[Kode diskon]],'Kode Diskon'!$C$3:$C$9,0)),"-")</f>
        <v>0.1</v>
      </c>
      <c r="AM254" s="23" t="s">
        <v>9</v>
      </c>
      <c r="AN254" s="23" t="s">
        <v>10</v>
      </c>
      <c r="AO254" s="23" t="s">
        <v>76</v>
      </c>
      <c r="AP254" s="24">
        <v>45040</v>
      </c>
      <c r="AQ254" s="23" t="str">
        <f>TEXT(cadangan3[[#This Row],[Tanggal terjual]],"dddd")</f>
        <v>Monday</v>
      </c>
    </row>
    <row r="255" spans="1:43" x14ac:dyDescent="0.2">
      <c r="A255" s="20">
        <v>254</v>
      </c>
      <c r="B255" s="21" t="str">
        <f>_xlfn.CONCAT("ORD-",INDEX(Helper!$B$2:$B$5,MATCH(cadangan3[[#This Row],[Marketplace]],Helper!$A$2:$A$5,0)),TEXT(cadangan3[[#This Row],[No]],"0000"),"-",TEXT(cadangan3[[#This Row],[Tanggal terjual]],"dd/mm/yy"))</f>
        <v>ORD-SP0254-02/04/23</v>
      </c>
      <c r="C255" t="s">
        <v>61</v>
      </c>
      <c r="D255" t="str">
        <f>IFERROR(INDEX(Katalog!$A$3:$A$12,MATCH(cadangan3[[#This Row],[ItemID A]],Katalog!$C$3:$C$12,0)),"-")</f>
        <v>Pakaian Pria</v>
      </c>
      <c r="E255" t="str">
        <f>IFERROR(INDEX(Katalog!$B$3:$B$12,MATCH(cadangan3[[#This Row],[ItemID A]],Katalog!$C$3:$C$12,0)),"-")</f>
        <v>Kaos Polo</v>
      </c>
      <c r="F255">
        <v>6</v>
      </c>
      <c r="G255">
        <v>4</v>
      </c>
      <c r="H255" s="36">
        <f>IFERROR(INDEX(Katalog!$D$3:$D$12,MATCH(cadangan3[[#This Row],[ItemID A]],Katalog!$C$3:$C$12,0))*cadangan3[[#This Row],[Qty A]],0)</f>
        <v>1200000</v>
      </c>
      <c r="I255" s="36">
        <f>IFERROR(INDEX(Katalog!$D$3:$D$12,MATCH(cadangan3[[#This Row],[Item A]],Katalog!$B$3:$B$12,0))*cadangan3[[#This Row],[Qty A]],0)</f>
        <v>1200000</v>
      </c>
      <c r="J255" s="36">
        <f>IFERROR(cadangan3[[#This Row],[Harga Asli A]]-(cadangan3[[#This Row],[Harga Asli A]]*cadangan3[[#This Row],[Diskon]]),cadangan3[[#This Row],[Harga Asli A]])</f>
        <v>1080000</v>
      </c>
      <c r="K255" s="36">
        <f>INDEX(Katalog!$F$3:$F$12,MATCH(cadangan3[[#This Row],[ItemID A]],Katalog!$C$3:$C$12,0))*cadangan3[[#This Row],[Qty A]]</f>
        <v>480000</v>
      </c>
      <c r="L255" s="36">
        <f>IFERROR(cadangan3[[#This Row],[Profit A]]-(cadangan3[[#This Row],[Profit A]]*cadangan3[[#This Row],[Diskon]]),K255)</f>
        <v>432000</v>
      </c>
      <c r="N255" t="str">
        <f>IFERROR(INDEX(Katalog!$A$3:$A$12,MATCH(cadangan3[[#This Row],[ItemID B]],Katalog!$C$3:$C$12,0)),"-")</f>
        <v>-</v>
      </c>
      <c r="O255" t="str">
        <f>IFERROR(INDEX(Katalog!$B$3:$B$12,MATCH(cadangan3[[#This Row],[ItemID B]],Katalog!$C$3:$C$12,0)),"-")</f>
        <v>-</v>
      </c>
      <c r="R255" s="36">
        <f>IFERROR(INDEX(Katalog!$D$3:$D$12,MATCH(cadangan3[[#This Row],[ItemID B]],Katalog!$C$3:$C$12,0))*cadangan3[[#This Row],[Qty B]],0)</f>
        <v>0</v>
      </c>
      <c r="S255" s="36">
        <f>IFERROR(INDEX(Katalog!$D$3:$D$12,MATCH(cadangan3[[#This Row],[Item B]],Katalog!$B$3:$B$12,0))*cadangan3[[#This Row],[Qty B]],0)</f>
        <v>0</v>
      </c>
      <c r="T255" s="36">
        <f>IFERROR(cadangan3[[#This Row],[Harga Asli B]]-(cadangan3[[#This Row],[Harga Asli B]]*cadangan3[[#This Row],[Diskon]]),cadangan3[[#This Row],[Harga Asli B]])</f>
        <v>0</v>
      </c>
      <c r="U255" s="36">
        <f>IFERROR(INDEX(Katalog!$F$3:$F$12,MATCH(cadangan3[[#This Row],[ItemID B]],Katalog!$C$3:$C$12,0))*cadangan3[[#This Row],[Qty B]],0)</f>
        <v>0</v>
      </c>
      <c r="V255" s="36">
        <f>IFERROR(cadangan3[[#This Row],[Profit B]]-(cadangan3[[#This Row],[Profit B]]*cadangan3[[#This Row],[Diskon]]),U255)</f>
        <v>0</v>
      </c>
      <c r="X255" t="str">
        <f>IFERROR(INDEX(Katalog!$A$3:$A$12,MATCH(cadangan3[[#This Row],[ItemID C]],Katalog!$C$3:$C$12,0)),"-")</f>
        <v>-</v>
      </c>
      <c r="Y255" t="str">
        <f>IFERROR(INDEX(Katalog!$B$3:$B$12,MATCH(cadangan3[[#This Row],[ItemID C]],Katalog!$C$3:$C$12,0)),"-")</f>
        <v>-</v>
      </c>
      <c r="AB255" s="36">
        <f>IFERROR(INDEX(Katalog!$D$3:$D$12,MATCH(cadangan3[[#This Row],[ItemID C]],Katalog!$C$3:$C$12,0))*cadangan3[[#This Row],[Qty C]],0)</f>
        <v>0</v>
      </c>
      <c r="AC255" s="36">
        <f>IFERROR(INDEX(Katalog!$D$3:$D$12,MATCH(cadangan3[[#This Row],[Item C]],Katalog!$B$3:$B$12,0))*cadangan3[[#This Row],[Qty C]],0)</f>
        <v>0</v>
      </c>
      <c r="AD255" s="36">
        <f>IFERROR(cadangan3[[#This Row],[Harga Asli C]]-(cadangan3[[#This Row],[Harga Asli C]]*cadangan3[[#This Row],[Diskon]]),cadangan3[[#This Row],[Harga Asli C]])</f>
        <v>0</v>
      </c>
      <c r="AE255" s="36">
        <f>IFERROR(INDEX(Katalog!$F$3:$F$12,MATCH(cadangan3[[#This Row],[ItemID C]],Katalog!$C$3:$C$12,0))*cadangan3[[#This Row],[Qty C]],0)</f>
        <v>0</v>
      </c>
      <c r="AF255" s="36">
        <f>IFERROR(cadangan3[[#This Row],[Profit C]]-(cadangan3[[#This Row],[Profit C]]*cadangan3[[#This Row],[Diskon]]),cadangan3[[#This Row],[Profit C]])</f>
        <v>0</v>
      </c>
      <c r="AG255" s="21">
        <f>cadangan3[[#This Row],[Qty A]]+cadangan3[[#This Row],[Qty B]]+cadangan3[[#This Row],[Qty C]]</f>
        <v>6</v>
      </c>
      <c r="AH255" s="35">
        <f>cadangan3[[#This Row],[Harga A + Diskon]]+cadangan3[[#This Row],[Harga + Diskon B]]+cadangan3[[#This Row],[Harga + Diskon C]]</f>
        <v>1080000</v>
      </c>
      <c r="AI255" s="35">
        <f>(cadangan3[[#This Row],[Profit A]]+cadangan3[[#This Row],[Profit B]]+cadangan3[[#This Row],[Profit C]])</f>
        <v>480000</v>
      </c>
      <c r="AJ255" s="35">
        <f>cadangan3[[#This Row],[Provit A + Diskon]]+cadangan3[[#This Row],[Provit B + Diskon]]+cadangan3[[#This Row],[Provit C + Diskon]]</f>
        <v>432000</v>
      </c>
      <c r="AK255" s="23" t="s">
        <v>6</v>
      </c>
      <c r="AL255" s="37">
        <f>IFERROR(INDEX('Kode Diskon'!$D$3:$D$9,MATCH(cadangan3[[#This Row],[Kode diskon]],'Kode Diskon'!$C$3:$C$9,0)),"-")</f>
        <v>0.1</v>
      </c>
      <c r="AM255" s="23" t="s">
        <v>29</v>
      </c>
      <c r="AN255" s="23" t="s">
        <v>7</v>
      </c>
      <c r="AO255" s="23" t="s">
        <v>78</v>
      </c>
      <c r="AP255" s="24">
        <v>45018</v>
      </c>
      <c r="AQ255" s="23" t="str">
        <f>TEXT(cadangan3[[#This Row],[Tanggal terjual]],"dddd")</f>
        <v>Sunday</v>
      </c>
    </row>
    <row r="256" spans="1:43" x14ac:dyDescent="0.2">
      <c r="A256" s="20">
        <v>255</v>
      </c>
      <c r="B256" s="21" t="str">
        <f>_xlfn.CONCAT("ORD-",INDEX(Helper!$B$2:$B$5,MATCH(cadangan3[[#This Row],[Marketplace]],Helper!$A$2:$A$5,0)),TEXT(cadangan3[[#This Row],[No]],"0000"),"-",TEXT(cadangan3[[#This Row],[Tanggal terjual]],"dd/mm/yy"))</f>
        <v>ORD-TK0255-21/04/23</v>
      </c>
      <c r="C256" t="s">
        <v>67</v>
      </c>
      <c r="D256" t="str">
        <f>IFERROR(INDEX(Katalog!$A$3:$A$12,MATCH(cadangan3[[#This Row],[ItemID A]],Katalog!$C$3:$C$12,0)),"-")</f>
        <v>Sepatu Wanita</v>
      </c>
      <c r="E256" t="str">
        <f>IFERROR(INDEX(Katalog!$B$3:$B$12,MATCH(cadangan3[[#This Row],[ItemID A]],Katalog!$C$3:$C$12,0)),"-")</f>
        <v>Flat Shoes</v>
      </c>
      <c r="F256">
        <v>3</v>
      </c>
      <c r="G256">
        <v>3</v>
      </c>
      <c r="H256" s="36">
        <f>IFERROR(INDEX(Katalog!$D$3:$D$12,MATCH(cadangan3[[#This Row],[ItemID A]],Katalog!$C$3:$C$12,0))*cadangan3[[#This Row],[Qty A]],0)</f>
        <v>750000</v>
      </c>
      <c r="I256" s="36">
        <f>IFERROR(INDEX(Katalog!$D$3:$D$12,MATCH(cadangan3[[#This Row],[Item A]],Katalog!$B$3:$B$12,0))*cadangan3[[#This Row],[Qty A]],0)</f>
        <v>750000</v>
      </c>
      <c r="J256" s="36">
        <f>IFERROR(cadangan3[[#This Row],[Harga Asli A]]-(cadangan3[[#This Row],[Harga Asli A]]*cadangan3[[#This Row],[Diskon]]),cadangan3[[#This Row],[Harga Asli A]])</f>
        <v>675000</v>
      </c>
      <c r="K256" s="36">
        <f>INDEX(Katalog!$F$3:$F$12,MATCH(cadangan3[[#This Row],[ItemID A]],Katalog!$C$3:$C$12,0))*cadangan3[[#This Row],[Qty A]]</f>
        <v>300000</v>
      </c>
      <c r="L256" s="36">
        <f>IFERROR(cadangan3[[#This Row],[Profit A]]-(cadangan3[[#This Row],[Profit A]]*cadangan3[[#This Row],[Diskon]]),K256)</f>
        <v>270000</v>
      </c>
      <c r="M256" t="s">
        <v>66</v>
      </c>
      <c r="N256" t="str">
        <f>IFERROR(INDEX(Katalog!$A$3:$A$12,MATCH(cadangan3[[#This Row],[ItemID B]],Katalog!$C$3:$C$12,0)),"-")</f>
        <v>Sepatu Pria</v>
      </c>
      <c r="O256" t="str">
        <f>IFERROR(INDEX(Katalog!$B$3:$B$12,MATCH(cadangan3[[#This Row],[ItemID B]],Katalog!$C$3:$C$12,0)),"-")</f>
        <v>Sandal Slip On</v>
      </c>
      <c r="P256">
        <v>1</v>
      </c>
      <c r="Q256">
        <v>3</v>
      </c>
      <c r="R256" s="36">
        <f>IFERROR(INDEX(Katalog!$D$3:$D$12,MATCH(cadangan3[[#This Row],[ItemID B]],Katalog!$C$3:$C$12,0))*cadangan3[[#This Row],[Qty B]],0)</f>
        <v>150000</v>
      </c>
      <c r="S256" s="36">
        <f>IFERROR(INDEX(Katalog!$D$3:$D$12,MATCH(cadangan3[[#This Row],[Item B]],Katalog!$B$3:$B$12,0))*cadangan3[[#This Row],[Qty B]],0)</f>
        <v>150000</v>
      </c>
      <c r="T256" s="36">
        <f>IFERROR(cadangan3[[#This Row],[Harga Asli B]]-(cadangan3[[#This Row],[Harga Asli B]]*cadangan3[[#This Row],[Diskon]]),cadangan3[[#This Row],[Harga Asli B]])</f>
        <v>135000</v>
      </c>
      <c r="U256" s="36">
        <f>IFERROR(INDEX(Katalog!$F$3:$F$12,MATCH(cadangan3[[#This Row],[ItemID B]],Katalog!$C$3:$C$12,0))*cadangan3[[#This Row],[Qty B]],0)</f>
        <v>60000</v>
      </c>
      <c r="V256" s="36">
        <f>IFERROR(cadangan3[[#This Row],[Profit B]]-(cadangan3[[#This Row],[Profit B]]*cadangan3[[#This Row],[Diskon]]),U256)</f>
        <v>54000</v>
      </c>
      <c r="W256" t="s">
        <v>64</v>
      </c>
      <c r="X256" t="str">
        <f>IFERROR(INDEX(Katalog!$A$3:$A$12,MATCH(cadangan3[[#This Row],[ItemID C]],Katalog!$C$3:$C$12,0)),"-")</f>
        <v>Pakaian Unisex</v>
      </c>
      <c r="Y256" t="str">
        <f>IFERROR(INDEX(Katalog!$B$3:$B$12,MATCH(cadangan3[[#This Row],[ItemID C]],Katalog!$C$3:$C$12,0)),"-")</f>
        <v>Jaket Hoodie</v>
      </c>
      <c r="Z256">
        <v>1</v>
      </c>
      <c r="AA256">
        <v>2</v>
      </c>
      <c r="AB256" s="36">
        <f>IFERROR(INDEX(Katalog!$D$3:$D$12,MATCH(cadangan3[[#This Row],[ItemID C]],Katalog!$C$3:$C$12,0))*cadangan3[[#This Row],[Qty C]],0)</f>
        <v>350000</v>
      </c>
      <c r="AC256" s="36">
        <f>IFERROR(INDEX(Katalog!$D$3:$D$12,MATCH(cadangan3[[#This Row],[Item C]],Katalog!$B$3:$B$12,0))*cadangan3[[#This Row],[Qty C]],0)</f>
        <v>350000</v>
      </c>
      <c r="AD256" s="36">
        <f>IFERROR(cadangan3[[#This Row],[Harga Asli C]]-(cadangan3[[#This Row],[Harga Asli C]]*cadangan3[[#This Row],[Diskon]]),cadangan3[[#This Row],[Harga Asli C]])</f>
        <v>315000</v>
      </c>
      <c r="AE256" s="36">
        <f>IFERROR(INDEX(Katalog!$F$3:$F$12,MATCH(cadangan3[[#This Row],[ItemID C]],Katalog!$C$3:$C$12,0))*cadangan3[[#This Row],[Qty C]],0)</f>
        <v>130000</v>
      </c>
      <c r="AF256" s="36">
        <f>IFERROR(cadangan3[[#This Row],[Profit C]]-(cadangan3[[#This Row],[Profit C]]*cadangan3[[#This Row],[Diskon]]),cadangan3[[#This Row],[Profit C]])</f>
        <v>117000</v>
      </c>
      <c r="AG256" s="21">
        <f>cadangan3[[#This Row],[Qty A]]+cadangan3[[#This Row],[Qty B]]+cadangan3[[#This Row],[Qty C]]</f>
        <v>5</v>
      </c>
      <c r="AH256" s="35">
        <f>cadangan3[[#This Row],[Harga A + Diskon]]+cadangan3[[#This Row],[Harga + Diskon B]]+cadangan3[[#This Row],[Harga + Diskon C]]</f>
        <v>1125000</v>
      </c>
      <c r="AI256" s="35">
        <f>(cadangan3[[#This Row],[Profit A]]+cadangan3[[#This Row],[Profit B]]+cadangan3[[#This Row],[Profit C]])</f>
        <v>490000</v>
      </c>
      <c r="AJ256" s="35">
        <f>cadangan3[[#This Row],[Provit A + Diskon]]+cadangan3[[#This Row],[Provit B + Diskon]]+cadangan3[[#This Row],[Provit C + Diskon]]</f>
        <v>441000</v>
      </c>
      <c r="AK256" s="23" t="s">
        <v>31</v>
      </c>
      <c r="AL256" s="37">
        <f>IFERROR(INDEX('Kode Diskon'!$D$3:$D$9,MATCH(cadangan3[[#This Row],[Kode diskon]],'Kode Diskon'!$C$3:$C$9,0)),"-")</f>
        <v>0.1</v>
      </c>
      <c r="AM256" s="23" t="s">
        <v>9</v>
      </c>
      <c r="AN256" s="23" t="s">
        <v>10</v>
      </c>
      <c r="AO256" s="23" t="s">
        <v>75</v>
      </c>
      <c r="AP256" s="24">
        <v>45037</v>
      </c>
      <c r="AQ256" s="23" t="str">
        <f>TEXT(cadangan3[[#This Row],[Tanggal terjual]],"dddd")</f>
        <v>Friday</v>
      </c>
    </row>
    <row r="257" spans="1:43" x14ac:dyDescent="0.2">
      <c r="A257" s="20">
        <v>256</v>
      </c>
      <c r="B257" s="21" t="str">
        <f>_xlfn.CONCAT("ORD-",INDEX(Helper!$B$2:$B$5,MATCH(cadangan3[[#This Row],[Marketplace]],Helper!$A$2:$A$5,0)),TEXT(cadangan3[[#This Row],[No]],"0000"),"-",TEXT(cadangan3[[#This Row],[Tanggal terjual]],"dd/mm/yy"))</f>
        <v>ORD-SP0256-01/04/23</v>
      </c>
      <c r="C257" t="s">
        <v>64</v>
      </c>
      <c r="D257" t="str">
        <f>IFERROR(INDEX(Katalog!$A$3:$A$12,MATCH(cadangan3[[#This Row],[ItemID A]],Katalog!$C$3:$C$12,0)),"-")</f>
        <v>Pakaian Unisex</v>
      </c>
      <c r="E257" t="str">
        <f>IFERROR(INDEX(Katalog!$B$3:$B$12,MATCH(cadangan3[[#This Row],[ItemID A]],Katalog!$C$3:$C$12,0)),"-")</f>
        <v>Jaket Hoodie</v>
      </c>
      <c r="F257">
        <v>3</v>
      </c>
      <c r="G257">
        <v>4</v>
      </c>
      <c r="H257" s="36">
        <f>IFERROR(INDEX(Katalog!$D$3:$D$12,MATCH(cadangan3[[#This Row],[ItemID A]],Katalog!$C$3:$C$12,0))*cadangan3[[#This Row],[Qty A]],0)</f>
        <v>1050000</v>
      </c>
      <c r="I257" s="36">
        <f>IFERROR(INDEX(Katalog!$D$3:$D$12,MATCH(cadangan3[[#This Row],[Item A]],Katalog!$B$3:$B$12,0))*cadangan3[[#This Row],[Qty A]],0)</f>
        <v>1050000</v>
      </c>
      <c r="J257" s="36">
        <f>IFERROR(cadangan3[[#This Row],[Harga Asli A]]-(cadangan3[[#This Row],[Harga Asli A]]*cadangan3[[#This Row],[Diskon]]),cadangan3[[#This Row],[Harga Asli A]])</f>
        <v>945000</v>
      </c>
      <c r="K257" s="36">
        <f>INDEX(Katalog!$F$3:$F$12,MATCH(cadangan3[[#This Row],[ItemID A]],Katalog!$C$3:$C$12,0))*cadangan3[[#This Row],[Qty A]]</f>
        <v>390000</v>
      </c>
      <c r="L257" s="36">
        <f>IFERROR(cadangan3[[#This Row],[Profit A]]-(cadangan3[[#This Row],[Profit A]]*cadangan3[[#This Row],[Diskon]]),K257)</f>
        <v>351000</v>
      </c>
      <c r="M257" t="s">
        <v>66</v>
      </c>
      <c r="N257" t="str">
        <f>IFERROR(INDEX(Katalog!$A$3:$A$12,MATCH(cadangan3[[#This Row],[ItemID B]],Katalog!$C$3:$C$12,0)),"-")</f>
        <v>Sepatu Pria</v>
      </c>
      <c r="O257" t="str">
        <f>IFERROR(INDEX(Katalog!$B$3:$B$12,MATCH(cadangan3[[#This Row],[ItemID B]],Katalog!$C$3:$C$12,0)),"-")</f>
        <v>Sandal Slip On</v>
      </c>
      <c r="P257">
        <v>1</v>
      </c>
      <c r="Q257">
        <v>5</v>
      </c>
      <c r="R257" s="36">
        <f>IFERROR(INDEX(Katalog!$D$3:$D$12,MATCH(cadangan3[[#This Row],[ItemID B]],Katalog!$C$3:$C$12,0))*cadangan3[[#This Row],[Qty B]],0)</f>
        <v>150000</v>
      </c>
      <c r="S257" s="36">
        <f>IFERROR(INDEX(Katalog!$D$3:$D$12,MATCH(cadangan3[[#This Row],[Item B]],Katalog!$B$3:$B$12,0))*cadangan3[[#This Row],[Qty B]],0)</f>
        <v>150000</v>
      </c>
      <c r="T257" s="36">
        <f>IFERROR(cadangan3[[#This Row],[Harga Asli B]]-(cadangan3[[#This Row],[Harga Asli B]]*cadangan3[[#This Row],[Diskon]]),cadangan3[[#This Row],[Harga Asli B]])</f>
        <v>135000</v>
      </c>
      <c r="U257" s="36">
        <f>IFERROR(INDEX(Katalog!$F$3:$F$12,MATCH(cadangan3[[#This Row],[ItemID B]],Katalog!$C$3:$C$12,0))*cadangan3[[#This Row],[Qty B]],0)</f>
        <v>60000</v>
      </c>
      <c r="V257" s="36">
        <f>IFERROR(cadangan3[[#This Row],[Profit B]]-(cadangan3[[#This Row],[Profit B]]*cadangan3[[#This Row],[Diskon]]),U257)</f>
        <v>54000</v>
      </c>
      <c r="W257" t="s">
        <v>66</v>
      </c>
      <c r="X257" t="str">
        <f>IFERROR(INDEX(Katalog!$A$3:$A$12,MATCH(cadangan3[[#This Row],[ItemID C]],Katalog!$C$3:$C$12,0)),"-")</f>
        <v>Sepatu Pria</v>
      </c>
      <c r="Y257" t="str">
        <f>IFERROR(INDEX(Katalog!$B$3:$B$12,MATCH(cadangan3[[#This Row],[ItemID C]],Katalog!$C$3:$C$12,0)),"-")</f>
        <v>Sandal Slip On</v>
      </c>
      <c r="Z257">
        <v>1</v>
      </c>
      <c r="AA257">
        <v>2</v>
      </c>
      <c r="AB257" s="36">
        <f>IFERROR(INDEX(Katalog!$D$3:$D$12,MATCH(cadangan3[[#This Row],[ItemID C]],Katalog!$C$3:$C$12,0))*cadangan3[[#This Row],[Qty C]],0)</f>
        <v>150000</v>
      </c>
      <c r="AC257" s="36">
        <f>IFERROR(INDEX(Katalog!$D$3:$D$12,MATCH(cadangan3[[#This Row],[Item C]],Katalog!$B$3:$B$12,0))*cadangan3[[#This Row],[Qty C]],0)</f>
        <v>150000</v>
      </c>
      <c r="AD257" s="36">
        <f>IFERROR(cadangan3[[#This Row],[Harga Asli C]]-(cadangan3[[#This Row],[Harga Asli C]]*cadangan3[[#This Row],[Diskon]]),cadangan3[[#This Row],[Harga Asli C]])</f>
        <v>135000</v>
      </c>
      <c r="AE257" s="36">
        <f>IFERROR(INDEX(Katalog!$F$3:$F$12,MATCH(cadangan3[[#This Row],[ItemID C]],Katalog!$C$3:$C$12,0))*cadangan3[[#This Row],[Qty C]],0)</f>
        <v>60000</v>
      </c>
      <c r="AF257" s="36">
        <f>IFERROR(cadangan3[[#This Row],[Profit C]]-(cadangan3[[#This Row],[Profit C]]*cadangan3[[#This Row],[Diskon]]),cadangan3[[#This Row],[Profit C]])</f>
        <v>54000</v>
      </c>
      <c r="AG257" s="21">
        <f>cadangan3[[#This Row],[Qty A]]+cadangan3[[#This Row],[Qty B]]+cadangan3[[#This Row],[Qty C]]</f>
        <v>5</v>
      </c>
      <c r="AH257" s="35">
        <f>cadangan3[[#This Row],[Harga A + Diskon]]+cadangan3[[#This Row],[Harga + Diskon B]]+cadangan3[[#This Row],[Harga + Diskon C]]</f>
        <v>1215000</v>
      </c>
      <c r="AI257" s="35">
        <f>(cadangan3[[#This Row],[Profit A]]+cadangan3[[#This Row],[Profit B]]+cadangan3[[#This Row],[Profit C]])</f>
        <v>510000</v>
      </c>
      <c r="AJ257" s="35">
        <f>cadangan3[[#This Row],[Provit A + Diskon]]+cadangan3[[#This Row],[Provit B + Diskon]]+cadangan3[[#This Row],[Provit C + Diskon]]</f>
        <v>459000</v>
      </c>
      <c r="AK257" s="23" t="s">
        <v>6</v>
      </c>
      <c r="AL257" s="37">
        <f>IFERROR(INDEX('Kode Diskon'!$D$3:$D$9,MATCH(cadangan3[[#This Row],[Kode diskon]],'Kode Diskon'!$C$3:$C$9,0)),"-")</f>
        <v>0.1</v>
      </c>
      <c r="AM257" s="23" t="s">
        <v>29</v>
      </c>
      <c r="AN257" s="23" t="s">
        <v>7</v>
      </c>
      <c r="AO257" s="23" t="s">
        <v>77</v>
      </c>
      <c r="AP257" s="24">
        <v>45017</v>
      </c>
      <c r="AQ257" s="23" t="str">
        <f>TEXT(cadangan3[[#This Row],[Tanggal terjual]],"dddd")</f>
        <v>Saturday</v>
      </c>
    </row>
    <row r="258" spans="1:43" x14ac:dyDescent="0.2">
      <c r="A258" s="20">
        <v>257</v>
      </c>
      <c r="B258" s="21" t="str">
        <f>_xlfn.CONCAT("ORD-",INDEX(Helper!$B$2:$B$5,MATCH(cadangan3[[#This Row],[Marketplace]],Helper!$A$2:$A$5,0)),TEXT(cadangan3[[#This Row],[No]],"0000"),"-",TEXT(cadangan3[[#This Row],[Tanggal terjual]],"dd/mm/yy"))</f>
        <v>ORD-BB0257-01/04/23</v>
      </c>
      <c r="C258" t="s">
        <v>65</v>
      </c>
      <c r="D258" t="str">
        <f>IFERROR(INDEX(Katalog!$A$3:$A$12,MATCH(cadangan3[[#This Row],[ItemID A]],Katalog!$C$3:$C$12,0)),"-")</f>
        <v>Sepatu Pria</v>
      </c>
      <c r="E258" t="str">
        <f>IFERROR(INDEX(Katalog!$B$3:$B$12,MATCH(cadangan3[[#This Row],[ItemID A]],Katalog!$C$3:$C$12,0)),"-")</f>
        <v>Sneakers</v>
      </c>
      <c r="F258">
        <v>3</v>
      </c>
      <c r="G258">
        <v>3</v>
      </c>
      <c r="H258" s="36">
        <f>IFERROR(INDEX(Katalog!$D$3:$D$12,MATCH(cadangan3[[#This Row],[ItemID A]],Katalog!$C$3:$C$12,0))*cadangan3[[#This Row],[Qty A]],0)</f>
        <v>1500000</v>
      </c>
      <c r="I258" s="36">
        <f>IFERROR(INDEX(Katalog!$D$3:$D$12,MATCH(cadangan3[[#This Row],[Item A]],Katalog!$B$3:$B$12,0))*cadangan3[[#This Row],[Qty A]],0)</f>
        <v>1500000</v>
      </c>
      <c r="J258" s="36">
        <f>IFERROR(cadangan3[[#This Row],[Harga Asli A]]-(cadangan3[[#This Row],[Harga Asli A]]*cadangan3[[#This Row],[Diskon]]),cadangan3[[#This Row],[Harga Asli A]])</f>
        <v>1275000</v>
      </c>
      <c r="K258" s="36">
        <f>INDEX(Katalog!$F$3:$F$12,MATCH(cadangan3[[#This Row],[ItemID A]],Katalog!$C$3:$C$12,0))*cadangan3[[#This Row],[Qty A]]</f>
        <v>600000</v>
      </c>
      <c r="L258" s="36">
        <f>IFERROR(cadangan3[[#This Row],[Profit A]]-(cadangan3[[#This Row],[Profit A]]*cadangan3[[#This Row],[Diskon]]),K258)</f>
        <v>510000</v>
      </c>
      <c r="N258" t="str">
        <f>IFERROR(INDEX(Katalog!$A$3:$A$12,MATCH(cadangan3[[#This Row],[ItemID B]],Katalog!$C$3:$C$12,0)),"-")</f>
        <v>-</v>
      </c>
      <c r="O258" t="str">
        <f>IFERROR(INDEX(Katalog!$B$3:$B$12,MATCH(cadangan3[[#This Row],[ItemID B]],Katalog!$C$3:$C$12,0)),"-")</f>
        <v>-</v>
      </c>
      <c r="R258" s="36">
        <f>IFERROR(INDEX(Katalog!$D$3:$D$12,MATCH(cadangan3[[#This Row],[ItemID B]],Katalog!$C$3:$C$12,0))*cadangan3[[#This Row],[Qty B]],0)</f>
        <v>0</v>
      </c>
      <c r="S258" s="36">
        <f>IFERROR(INDEX(Katalog!$D$3:$D$12,MATCH(cadangan3[[#This Row],[Item B]],Katalog!$B$3:$B$12,0))*cadangan3[[#This Row],[Qty B]],0)</f>
        <v>0</v>
      </c>
      <c r="T258" s="36">
        <f>IFERROR(cadangan3[[#This Row],[Harga Asli B]]-(cadangan3[[#This Row],[Harga Asli B]]*cadangan3[[#This Row],[Diskon]]),cadangan3[[#This Row],[Harga Asli B]])</f>
        <v>0</v>
      </c>
      <c r="U258" s="36">
        <f>IFERROR(INDEX(Katalog!$F$3:$F$12,MATCH(cadangan3[[#This Row],[ItemID B]],Katalog!$C$3:$C$12,0))*cadangan3[[#This Row],[Qty B]],0)</f>
        <v>0</v>
      </c>
      <c r="V258" s="36">
        <f>IFERROR(cadangan3[[#This Row],[Profit B]]-(cadangan3[[#This Row],[Profit B]]*cadangan3[[#This Row],[Diskon]]),U258)</f>
        <v>0</v>
      </c>
      <c r="X258" t="str">
        <f>IFERROR(INDEX(Katalog!$A$3:$A$12,MATCH(cadangan3[[#This Row],[ItemID C]],Katalog!$C$3:$C$12,0)),"-")</f>
        <v>-</v>
      </c>
      <c r="Y258" t="str">
        <f>IFERROR(INDEX(Katalog!$B$3:$B$12,MATCH(cadangan3[[#This Row],[ItemID C]],Katalog!$C$3:$C$12,0)),"-")</f>
        <v>-</v>
      </c>
      <c r="AB258" s="36">
        <f>IFERROR(INDEX(Katalog!$D$3:$D$12,MATCH(cadangan3[[#This Row],[ItemID C]],Katalog!$C$3:$C$12,0))*cadangan3[[#This Row],[Qty C]],0)</f>
        <v>0</v>
      </c>
      <c r="AC258" s="36">
        <f>IFERROR(INDEX(Katalog!$D$3:$D$12,MATCH(cadangan3[[#This Row],[Item C]],Katalog!$B$3:$B$12,0))*cadangan3[[#This Row],[Qty C]],0)</f>
        <v>0</v>
      </c>
      <c r="AD258" s="36">
        <f>IFERROR(cadangan3[[#This Row],[Harga Asli C]]-(cadangan3[[#This Row],[Harga Asli C]]*cadangan3[[#This Row],[Diskon]]),cadangan3[[#This Row],[Harga Asli C]])</f>
        <v>0</v>
      </c>
      <c r="AE258" s="36">
        <f>IFERROR(INDEX(Katalog!$F$3:$F$12,MATCH(cadangan3[[#This Row],[ItemID C]],Katalog!$C$3:$C$12,0))*cadangan3[[#This Row],[Qty C]],0)</f>
        <v>0</v>
      </c>
      <c r="AF258" s="36">
        <f>IFERROR(cadangan3[[#This Row],[Profit C]]-(cadangan3[[#This Row],[Profit C]]*cadangan3[[#This Row],[Diskon]]),cadangan3[[#This Row],[Profit C]])</f>
        <v>0</v>
      </c>
      <c r="AG258" s="21">
        <f>cadangan3[[#This Row],[Qty A]]+cadangan3[[#This Row],[Qty B]]+cadangan3[[#This Row],[Qty C]]</f>
        <v>3</v>
      </c>
      <c r="AH258" s="35">
        <f>cadangan3[[#This Row],[Harga A + Diskon]]+cadangan3[[#This Row],[Harga + Diskon B]]+cadangan3[[#This Row],[Harga + Diskon C]]</f>
        <v>1275000</v>
      </c>
      <c r="AI258" s="35">
        <f>(cadangan3[[#This Row],[Profit A]]+cadangan3[[#This Row],[Profit B]]+cadangan3[[#This Row],[Profit C]])</f>
        <v>600000</v>
      </c>
      <c r="AJ258" s="35">
        <f>cadangan3[[#This Row],[Provit A + Diskon]]+cadangan3[[#This Row],[Provit B + Diskon]]+cadangan3[[#This Row],[Provit C + Diskon]]</f>
        <v>510000</v>
      </c>
      <c r="AK258" s="23" t="s">
        <v>28</v>
      </c>
      <c r="AL258" s="37">
        <f>IFERROR(INDEX('Kode Diskon'!$D$3:$D$9,MATCH(cadangan3[[#This Row],[Kode diskon]],'Kode Diskon'!$C$3:$C$9,0)),"-")</f>
        <v>0.15</v>
      </c>
      <c r="AM258" s="23" t="s">
        <v>29</v>
      </c>
      <c r="AN258" s="23" t="s">
        <v>14</v>
      </c>
      <c r="AO258" s="23" t="s">
        <v>80</v>
      </c>
      <c r="AP258" s="24">
        <v>45017</v>
      </c>
      <c r="AQ258" s="23" t="str">
        <f>TEXT(cadangan3[[#This Row],[Tanggal terjual]],"dddd")</f>
        <v>Saturday</v>
      </c>
    </row>
    <row r="259" spans="1:43" x14ac:dyDescent="0.2">
      <c r="A259" s="20">
        <v>258</v>
      </c>
      <c r="B259" s="21" t="str">
        <f>_xlfn.CONCAT("ORD-",INDEX(Helper!$B$2:$B$5,MATCH(cadangan3[[#This Row],[Marketplace]],Helper!$A$2:$A$5,0)),TEXT(cadangan3[[#This Row],[No]],"0000"),"-",TEXT(cadangan3[[#This Row],[Tanggal terjual]],"dd/mm/yy"))</f>
        <v>ORD-SP0258-25/04/23</v>
      </c>
      <c r="C259" t="s">
        <v>67</v>
      </c>
      <c r="D259" t="str">
        <f>IFERROR(INDEX(Katalog!$A$3:$A$12,MATCH(cadangan3[[#This Row],[ItemID A]],Katalog!$C$3:$C$12,0)),"-")</f>
        <v>Sepatu Wanita</v>
      </c>
      <c r="E259" t="str">
        <f>IFERROR(INDEX(Katalog!$B$3:$B$12,MATCH(cadangan3[[#This Row],[ItemID A]],Katalog!$C$3:$C$12,0)),"-")</f>
        <v>Flat Shoes</v>
      </c>
      <c r="F259">
        <v>1</v>
      </c>
      <c r="G259">
        <v>1</v>
      </c>
      <c r="H259" s="36">
        <f>IFERROR(INDEX(Katalog!$D$3:$D$12,MATCH(cadangan3[[#This Row],[ItemID A]],Katalog!$C$3:$C$12,0))*cadangan3[[#This Row],[Qty A]],0)</f>
        <v>250000</v>
      </c>
      <c r="I259" s="36">
        <f>IFERROR(INDEX(Katalog!$D$3:$D$12,MATCH(cadangan3[[#This Row],[Item A]],Katalog!$B$3:$B$12,0))*cadangan3[[#This Row],[Qty A]],0)</f>
        <v>250000</v>
      </c>
      <c r="J259" s="36">
        <f>IFERROR(cadangan3[[#This Row],[Harga Asli A]]-(cadangan3[[#This Row],[Harga Asli A]]*cadangan3[[#This Row],[Diskon]]),cadangan3[[#This Row],[Harga Asli A]])</f>
        <v>200000</v>
      </c>
      <c r="K259" s="36">
        <f>INDEX(Katalog!$F$3:$F$12,MATCH(cadangan3[[#This Row],[ItemID A]],Katalog!$C$3:$C$12,0))*cadangan3[[#This Row],[Qty A]]</f>
        <v>100000</v>
      </c>
      <c r="L259" s="36">
        <f>IFERROR(cadangan3[[#This Row],[Profit A]]-(cadangan3[[#This Row],[Profit A]]*cadangan3[[#This Row],[Diskon]]),K259)</f>
        <v>80000</v>
      </c>
      <c r="N259" t="str">
        <f>IFERROR(INDEX(Katalog!$A$3:$A$12,MATCH(cadangan3[[#This Row],[ItemID B]],Katalog!$C$3:$C$12,0)),"-")</f>
        <v>-</v>
      </c>
      <c r="O259" t="str">
        <f>IFERROR(INDEX(Katalog!$B$3:$B$12,MATCH(cadangan3[[#This Row],[ItemID B]],Katalog!$C$3:$C$12,0)),"-")</f>
        <v>-</v>
      </c>
      <c r="R259" s="36">
        <f>IFERROR(INDEX(Katalog!$D$3:$D$12,MATCH(cadangan3[[#This Row],[ItemID B]],Katalog!$C$3:$C$12,0))*cadangan3[[#This Row],[Qty B]],0)</f>
        <v>0</v>
      </c>
      <c r="S259" s="36">
        <f>IFERROR(INDEX(Katalog!$D$3:$D$12,MATCH(cadangan3[[#This Row],[Item B]],Katalog!$B$3:$B$12,0))*cadangan3[[#This Row],[Qty B]],0)</f>
        <v>0</v>
      </c>
      <c r="T259" s="36">
        <f>IFERROR(cadangan3[[#This Row],[Harga Asli B]]-(cadangan3[[#This Row],[Harga Asli B]]*cadangan3[[#This Row],[Diskon]]),cadangan3[[#This Row],[Harga Asli B]])</f>
        <v>0</v>
      </c>
      <c r="U259" s="36">
        <f>IFERROR(INDEX(Katalog!$F$3:$F$12,MATCH(cadangan3[[#This Row],[ItemID B]],Katalog!$C$3:$C$12,0))*cadangan3[[#This Row],[Qty B]],0)</f>
        <v>0</v>
      </c>
      <c r="V259" s="36">
        <f>IFERROR(cadangan3[[#This Row],[Profit B]]-(cadangan3[[#This Row],[Profit B]]*cadangan3[[#This Row],[Diskon]]),U259)</f>
        <v>0</v>
      </c>
      <c r="X259" t="str">
        <f>IFERROR(INDEX(Katalog!$A$3:$A$12,MATCH(cadangan3[[#This Row],[ItemID C]],Katalog!$C$3:$C$12,0)),"-")</f>
        <v>-</v>
      </c>
      <c r="Y259" t="str">
        <f>IFERROR(INDEX(Katalog!$B$3:$B$12,MATCH(cadangan3[[#This Row],[ItemID C]],Katalog!$C$3:$C$12,0)),"-")</f>
        <v>-</v>
      </c>
      <c r="AB259" s="36">
        <f>IFERROR(INDEX(Katalog!$D$3:$D$12,MATCH(cadangan3[[#This Row],[ItemID C]],Katalog!$C$3:$C$12,0))*cadangan3[[#This Row],[Qty C]],0)</f>
        <v>0</v>
      </c>
      <c r="AC259" s="36">
        <f>IFERROR(INDEX(Katalog!$D$3:$D$12,MATCH(cadangan3[[#This Row],[Item C]],Katalog!$B$3:$B$12,0))*cadangan3[[#This Row],[Qty C]],0)</f>
        <v>0</v>
      </c>
      <c r="AD259" s="36">
        <f>IFERROR(cadangan3[[#This Row],[Harga Asli C]]-(cadangan3[[#This Row],[Harga Asli C]]*cadangan3[[#This Row],[Diskon]]),cadangan3[[#This Row],[Harga Asli C]])</f>
        <v>0</v>
      </c>
      <c r="AE259" s="36">
        <f>IFERROR(INDEX(Katalog!$F$3:$F$12,MATCH(cadangan3[[#This Row],[ItemID C]],Katalog!$C$3:$C$12,0))*cadangan3[[#This Row],[Qty C]],0)</f>
        <v>0</v>
      </c>
      <c r="AF259" s="36">
        <f>IFERROR(cadangan3[[#This Row],[Profit C]]-(cadangan3[[#This Row],[Profit C]]*cadangan3[[#This Row],[Diskon]]),cadangan3[[#This Row],[Profit C]])</f>
        <v>0</v>
      </c>
      <c r="AG259" s="21">
        <f>cadangan3[[#This Row],[Qty A]]+cadangan3[[#This Row],[Qty B]]+cadangan3[[#This Row],[Qty C]]</f>
        <v>1</v>
      </c>
      <c r="AH259" s="35">
        <f>cadangan3[[#This Row],[Harga A + Diskon]]+cadangan3[[#This Row],[Harga + Diskon B]]+cadangan3[[#This Row],[Harga + Diskon C]]</f>
        <v>200000</v>
      </c>
      <c r="AI259" s="35">
        <f>(cadangan3[[#This Row],[Profit A]]+cadangan3[[#This Row],[Profit B]]+cadangan3[[#This Row],[Profit C]])</f>
        <v>100000</v>
      </c>
      <c r="AJ259" s="35">
        <f>cadangan3[[#This Row],[Provit A + Diskon]]+cadangan3[[#This Row],[Provit B + Diskon]]+cadangan3[[#This Row],[Provit C + Diskon]]</f>
        <v>80000</v>
      </c>
      <c r="AK259" s="23" t="s">
        <v>8</v>
      </c>
      <c r="AL259" s="37">
        <f>IFERROR(INDEX('Kode Diskon'!$D$3:$D$9,MATCH(cadangan3[[#This Row],[Kode diskon]],'Kode Diskon'!$C$3:$C$9,0)),"-")</f>
        <v>0.2</v>
      </c>
      <c r="AM259" s="23" t="s">
        <v>9</v>
      </c>
      <c r="AN259" s="23" t="s">
        <v>7</v>
      </c>
      <c r="AO259" s="23" t="s">
        <v>76</v>
      </c>
      <c r="AP259" s="24">
        <v>45041</v>
      </c>
      <c r="AQ259" s="23" t="str">
        <f>TEXT(cadangan3[[#This Row],[Tanggal terjual]],"dddd")</f>
        <v>Tuesday</v>
      </c>
    </row>
    <row r="260" spans="1:43" x14ac:dyDescent="0.2">
      <c r="A260" s="20">
        <v>259</v>
      </c>
      <c r="B260" s="21" t="str">
        <f>_xlfn.CONCAT("ORD-",INDEX(Helper!$B$2:$B$5,MATCH(cadangan3[[#This Row],[Marketplace]],Helper!$A$2:$A$5,0)),TEXT(cadangan3[[#This Row],[No]],"0000"),"-",TEXT(cadangan3[[#This Row],[Tanggal terjual]],"dd/mm/yy"))</f>
        <v>ORD-SP0259-07/04/23</v>
      </c>
      <c r="C260" t="s">
        <v>64</v>
      </c>
      <c r="D260" t="str">
        <f>IFERROR(INDEX(Katalog!$A$3:$A$12,MATCH(cadangan3[[#This Row],[ItemID A]],Katalog!$C$3:$C$12,0)),"-")</f>
        <v>Pakaian Unisex</v>
      </c>
      <c r="E260" t="str">
        <f>IFERROR(INDEX(Katalog!$B$3:$B$12,MATCH(cadangan3[[#This Row],[ItemID A]],Katalog!$C$3:$C$12,0)),"-")</f>
        <v>Jaket Hoodie</v>
      </c>
      <c r="F260">
        <v>2</v>
      </c>
      <c r="G260">
        <v>2</v>
      </c>
      <c r="H260" s="36">
        <f>IFERROR(INDEX(Katalog!$D$3:$D$12,MATCH(cadangan3[[#This Row],[ItemID A]],Katalog!$C$3:$C$12,0))*cadangan3[[#This Row],[Qty A]],0)</f>
        <v>700000</v>
      </c>
      <c r="I260" s="36">
        <f>IFERROR(INDEX(Katalog!$D$3:$D$12,MATCH(cadangan3[[#This Row],[Item A]],Katalog!$B$3:$B$12,0))*cadangan3[[#This Row],[Qty A]],0)</f>
        <v>700000</v>
      </c>
      <c r="J260" s="36">
        <f>IFERROR(cadangan3[[#This Row],[Harga Asli A]]-(cadangan3[[#This Row],[Harga Asli A]]*cadangan3[[#This Row],[Diskon]]),cadangan3[[#This Row],[Harga Asli A]])</f>
        <v>700000</v>
      </c>
      <c r="K260" s="36">
        <f>INDEX(Katalog!$F$3:$F$12,MATCH(cadangan3[[#This Row],[ItemID A]],Katalog!$C$3:$C$12,0))*cadangan3[[#This Row],[Qty A]]</f>
        <v>260000</v>
      </c>
      <c r="L260" s="36">
        <f>IFERROR(cadangan3[[#This Row],[Profit A]]-(cadangan3[[#This Row],[Profit A]]*cadangan3[[#This Row],[Diskon]]),K260)</f>
        <v>260000</v>
      </c>
      <c r="N260" t="str">
        <f>IFERROR(INDEX(Katalog!$A$3:$A$12,MATCH(cadangan3[[#This Row],[ItemID B]],Katalog!$C$3:$C$12,0)),"-")</f>
        <v>-</v>
      </c>
      <c r="O260" t="str">
        <f>IFERROR(INDEX(Katalog!$B$3:$B$12,MATCH(cadangan3[[#This Row],[ItemID B]],Katalog!$C$3:$C$12,0)),"-")</f>
        <v>-</v>
      </c>
      <c r="R260" s="36">
        <f>IFERROR(INDEX(Katalog!$D$3:$D$12,MATCH(cadangan3[[#This Row],[ItemID B]],Katalog!$C$3:$C$12,0))*cadangan3[[#This Row],[Qty B]],0)</f>
        <v>0</v>
      </c>
      <c r="S260" s="36">
        <f>IFERROR(INDEX(Katalog!$D$3:$D$12,MATCH(cadangan3[[#This Row],[Item B]],Katalog!$B$3:$B$12,0))*cadangan3[[#This Row],[Qty B]],0)</f>
        <v>0</v>
      </c>
      <c r="T260" s="36">
        <f>IFERROR(cadangan3[[#This Row],[Harga Asli B]]-(cadangan3[[#This Row],[Harga Asli B]]*cadangan3[[#This Row],[Diskon]]),cadangan3[[#This Row],[Harga Asli B]])</f>
        <v>0</v>
      </c>
      <c r="U260" s="36">
        <f>IFERROR(INDEX(Katalog!$F$3:$F$12,MATCH(cadangan3[[#This Row],[ItemID B]],Katalog!$C$3:$C$12,0))*cadangan3[[#This Row],[Qty B]],0)</f>
        <v>0</v>
      </c>
      <c r="V260" s="36">
        <f>IFERROR(cadangan3[[#This Row],[Profit B]]-(cadangan3[[#This Row],[Profit B]]*cadangan3[[#This Row],[Diskon]]),U260)</f>
        <v>0</v>
      </c>
      <c r="X260" t="str">
        <f>IFERROR(INDEX(Katalog!$A$3:$A$12,MATCH(cadangan3[[#This Row],[ItemID C]],Katalog!$C$3:$C$12,0)),"-")</f>
        <v>-</v>
      </c>
      <c r="Y260" t="str">
        <f>IFERROR(INDEX(Katalog!$B$3:$B$12,MATCH(cadangan3[[#This Row],[ItemID C]],Katalog!$C$3:$C$12,0)),"-")</f>
        <v>-</v>
      </c>
      <c r="AB260" s="36">
        <f>IFERROR(INDEX(Katalog!$D$3:$D$12,MATCH(cadangan3[[#This Row],[ItemID C]],Katalog!$C$3:$C$12,0))*cadangan3[[#This Row],[Qty C]],0)</f>
        <v>0</v>
      </c>
      <c r="AC260" s="36">
        <f>IFERROR(INDEX(Katalog!$D$3:$D$12,MATCH(cadangan3[[#This Row],[Item C]],Katalog!$B$3:$B$12,0))*cadangan3[[#This Row],[Qty C]],0)</f>
        <v>0</v>
      </c>
      <c r="AD260" s="36">
        <f>IFERROR(cadangan3[[#This Row],[Harga Asli C]]-(cadangan3[[#This Row],[Harga Asli C]]*cadangan3[[#This Row],[Diskon]]),cadangan3[[#This Row],[Harga Asli C]])</f>
        <v>0</v>
      </c>
      <c r="AE260" s="36">
        <f>IFERROR(INDEX(Katalog!$F$3:$F$12,MATCH(cadangan3[[#This Row],[ItemID C]],Katalog!$C$3:$C$12,0))*cadangan3[[#This Row],[Qty C]],0)</f>
        <v>0</v>
      </c>
      <c r="AF260" s="36">
        <f>IFERROR(cadangan3[[#This Row],[Profit C]]-(cadangan3[[#This Row],[Profit C]]*cadangan3[[#This Row],[Diskon]]),cadangan3[[#This Row],[Profit C]])</f>
        <v>0</v>
      </c>
      <c r="AG260" s="21">
        <f>cadangan3[[#This Row],[Qty A]]+cadangan3[[#This Row],[Qty B]]+cadangan3[[#This Row],[Qty C]]</f>
        <v>2</v>
      </c>
      <c r="AH260" s="35">
        <f>cadangan3[[#This Row],[Harga A + Diskon]]+cadangan3[[#This Row],[Harga + Diskon B]]+cadangan3[[#This Row],[Harga + Diskon C]]</f>
        <v>700000</v>
      </c>
      <c r="AI260" s="35">
        <f>(cadangan3[[#This Row],[Profit A]]+cadangan3[[#This Row],[Profit B]]+cadangan3[[#This Row],[Profit C]])</f>
        <v>260000</v>
      </c>
      <c r="AJ260" s="35">
        <f>cadangan3[[#This Row],[Provit A + Diskon]]+cadangan3[[#This Row],[Provit B + Diskon]]+cadangan3[[#This Row],[Provit C + Diskon]]</f>
        <v>260000</v>
      </c>
      <c r="AK260" s="23" t="s">
        <v>11</v>
      </c>
      <c r="AL260" s="37" t="str">
        <f>IFERROR(INDEX('Kode Diskon'!$D$3:$D$9,MATCH(cadangan3[[#This Row],[Kode diskon]],'Kode Diskon'!$C$3:$C$9,0)),"-")</f>
        <v>-</v>
      </c>
      <c r="AM260" s="23" t="s">
        <v>11</v>
      </c>
      <c r="AN260" s="23" t="s">
        <v>7</v>
      </c>
      <c r="AO260" s="23" t="s">
        <v>78</v>
      </c>
      <c r="AP260" s="24">
        <v>45023</v>
      </c>
      <c r="AQ260" s="23" t="str">
        <f>TEXT(cadangan3[[#This Row],[Tanggal terjual]],"dddd")</f>
        <v>Friday</v>
      </c>
    </row>
    <row r="261" spans="1:43" x14ac:dyDescent="0.2">
      <c r="A261" s="20">
        <v>260</v>
      </c>
      <c r="B261" s="21" t="str">
        <f>_xlfn.CONCAT("ORD-",INDEX(Helper!$B$2:$B$5,MATCH(cadangan3[[#This Row],[Marketplace]],Helper!$A$2:$A$5,0)),TEXT(cadangan3[[#This Row],[No]],"0000"),"-",TEXT(cadangan3[[#This Row],[Tanggal terjual]],"dd/mm/yy"))</f>
        <v>ORD-TK0260-19/04/23</v>
      </c>
      <c r="C261" t="s">
        <v>59</v>
      </c>
      <c r="D261" t="str">
        <f>IFERROR(INDEX(Katalog!$A$3:$A$12,MATCH(cadangan3[[#This Row],[ItemID A]],Katalog!$C$3:$C$12,0)),"-")</f>
        <v>Pakaian Wanita</v>
      </c>
      <c r="E261" t="str">
        <f>IFERROR(INDEX(Katalog!$B$3:$B$12,MATCH(cadangan3[[#This Row],[ItemID A]],Katalog!$C$3:$C$12,0)),"-")</f>
        <v>Blouse</v>
      </c>
      <c r="F261">
        <v>2</v>
      </c>
      <c r="G261">
        <v>4</v>
      </c>
      <c r="H261" s="36">
        <f>IFERROR(INDEX(Katalog!$D$3:$D$12,MATCH(cadangan3[[#This Row],[ItemID A]],Katalog!$C$3:$C$12,0))*cadangan3[[#This Row],[Qty A]],0)</f>
        <v>300000</v>
      </c>
      <c r="I261" s="36">
        <f>IFERROR(INDEX(Katalog!$D$3:$D$12,MATCH(cadangan3[[#This Row],[Item A]],Katalog!$B$3:$B$12,0))*cadangan3[[#This Row],[Qty A]],0)</f>
        <v>300000</v>
      </c>
      <c r="J261" s="36">
        <f>IFERROR(cadangan3[[#This Row],[Harga Asli A]]-(cadangan3[[#This Row],[Harga Asli A]]*cadangan3[[#This Row],[Diskon]]),cadangan3[[#This Row],[Harga Asli A]])</f>
        <v>270000</v>
      </c>
      <c r="K261" s="36">
        <f>INDEX(Katalog!$F$3:$F$12,MATCH(cadangan3[[#This Row],[ItemID A]],Katalog!$C$3:$C$12,0))*cadangan3[[#This Row],[Qty A]]</f>
        <v>100000</v>
      </c>
      <c r="L261" s="36">
        <f>IFERROR(cadangan3[[#This Row],[Profit A]]-(cadangan3[[#This Row],[Profit A]]*cadangan3[[#This Row],[Diskon]]),K261)</f>
        <v>90000</v>
      </c>
      <c r="N261" t="str">
        <f>IFERROR(INDEX(Katalog!$A$3:$A$12,MATCH(cadangan3[[#This Row],[ItemID B]],Katalog!$C$3:$C$12,0)),"-")</f>
        <v>-</v>
      </c>
      <c r="O261" t="str">
        <f>IFERROR(INDEX(Katalog!$B$3:$B$12,MATCH(cadangan3[[#This Row],[ItemID B]],Katalog!$C$3:$C$12,0)),"-")</f>
        <v>-</v>
      </c>
      <c r="R261" s="36">
        <f>IFERROR(INDEX(Katalog!$D$3:$D$12,MATCH(cadangan3[[#This Row],[ItemID B]],Katalog!$C$3:$C$12,0))*cadangan3[[#This Row],[Qty B]],0)</f>
        <v>0</v>
      </c>
      <c r="S261" s="36">
        <f>IFERROR(INDEX(Katalog!$D$3:$D$12,MATCH(cadangan3[[#This Row],[Item B]],Katalog!$B$3:$B$12,0))*cadangan3[[#This Row],[Qty B]],0)</f>
        <v>0</v>
      </c>
      <c r="T261" s="36">
        <f>IFERROR(cadangan3[[#This Row],[Harga Asli B]]-(cadangan3[[#This Row],[Harga Asli B]]*cadangan3[[#This Row],[Diskon]]),cadangan3[[#This Row],[Harga Asli B]])</f>
        <v>0</v>
      </c>
      <c r="U261" s="36">
        <f>IFERROR(INDEX(Katalog!$F$3:$F$12,MATCH(cadangan3[[#This Row],[ItemID B]],Katalog!$C$3:$C$12,0))*cadangan3[[#This Row],[Qty B]],0)</f>
        <v>0</v>
      </c>
      <c r="V261" s="36">
        <f>IFERROR(cadangan3[[#This Row],[Profit B]]-(cadangan3[[#This Row],[Profit B]]*cadangan3[[#This Row],[Diskon]]),U261)</f>
        <v>0</v>
      </c>
      <c r="X261" t="str">
        <f>IFERROR(INDEX(Katalog!$A$3:$A$12,MATCH(cadangan3[[#This Row],[ItemID C]],Katalog!$C$3:$C$12,0)),"-")</f>
        <v>-</v>
      </c>
      <c r="Y261" t="str">
        <f>IFERROR(INDEX(Katalog!$B$3:$B$12,MATCH(cadangan3[[#This Row],[ItemID C]],Katalog!$C$3:$C$12,0)),"-")</f>
        <v>-</v>
      </c>
      <c r="AB261" s="36">
        <f>IFERROR(INDEX(Katalog!$D$3:$D$12,MATCH(cadangan3[[#This Row],[ItemID C]],Katalog!$C$3:$C$12,0))*cadangan3[[#This Row],[Qty C]],0)</f>
        <v>0</v>
      </c>
      <c r="AC261" s="36">
        <f>IFERROR(INDEX(Katalog!$D$3:$D$12,MATCH(cadangan3[[#This Row],[Item C]],Katalog!$B$3:$B$12,0))*cadangan3[[#This Row],[Qty C]],0)</f>
        <v>0</v>
      </c>
      <c r="AD261" s="36">
        <f>IFERROR(cadangan3[[#This Row],[Harga Asli C]]-(cadangan3[[#This Row],[Harga Asli C]]*cadangan3[[#This Row],[Diskon]]),cadangan3[[#This Row],[Harga Asli C]])</f>
        <v>0</v>
      </c>
      <c r="AE261" s="36">
        <f>IFERROR(INDEX(Katalog!$F$3:$F$12,MATCH(cadangan3[[#This Row],[ItemID C]],Katalog!$C$3:$C$12,0))*cadangan3[[#This Row],[Qty C]],0)</f>
        <v>0</v>
      </c>
      <c r="AF261" s="36">
        <f>IFERROR(cadangan3[[#This Row],[Profit C]]-(cadangan3[[#This Row],[Profit C]]*cadangan3[[#This Row],[Diskon]]),cadangan3[[#This Row],[Profit C]])</f>
        <v>0</v>
      </c>
      <c r="AG261" s="21">
        <f>cadangan3[[#This Row],[Qty A]]+cadangan3[[#This Row],[Qty B]]+cadangan3[[#This Row],[Qty C]]</f>
        <v>2</v>
      </c>
      <c r="AH261" s="35">
        <f>cadangan3[[#This Row],[Harga A + Diskon]]+cadangan3[[#This Row],[Harga + Diskon B]]+cadangan3[[#This Row],[Harga + Diskon C]]</f>
        <v>270000</v>
      </c>
      <c r="AI261" s="35">
        <f>(cadangan3[[#This Row],[Profit A]]+cadangan3[[#This Row],[Profit B]]+cadangan3[[#This Row],[Profit C]])</f>
        <v>100000</v>
      </c>
      <c r="AJ261" s="35">
        <f>cadangan3[[#This Row],[Provit A + Diskon]]+cadangan3[[#This Row],[Provit B + Diskon]]+cadangan3[[#This Row],[Provit C + Diskon]]</f>
        <v>90000</v>
      </c>
      <c r="AK261" s="23" t="s">
        <v>31</v>
      </c>
      <c r="AL261" s="37">
        <f>IFERROR(INDEX('Kode Diskon'!$D$3:$D$9,MATCH(cadangan3[[#This Row],[Kode diskon]],'Kode Diskon'!$C$3:$C$9,0)),"-")</f>
        <v>0.1</v>
      </c>
      <c r="AM261" s="23" t="s">
        <v>9</v>
      </c>
      <c r="AN261" s="23" t="s">
        <v>10</v>
      </c>
      <c r="AO261" s="23" t="s">
        <v>80</v>
      </c>
      <c r="AP261" s="24">
        <v>45035</v>
      </c>
      <c r="AQ261" s="23" t="str">
        <f>TEXT(cadangan3[[#This Row],[Tanggal terjual]],"dddd")</f>
        <v>Wednesday</v>
      </c>
    </row>
    <row r="262" spans="1:43" x14ac:dyDescent="0.2">
      <c r="A262" s="20">
        <v>261</v>
      </c>
      <c r="B262" s="21" t="str">
        <f>_xlfn.CONCAT("ORD-",INDEX(Helper!$B$2:$B$5,MATCH(cadangan3[[#This Row],[Marketplace]],Helper!$A$2:$A$5,0)),TEXT(cadangan3[[#This Row],[No]],"0000"),"-",TEXT(cadangan3[[#This Row],[Tanggal terjual]],"dd/mm/yy"))</f>
        <v>ORD-SP0261-06/04/23</v>
      </c>
      <c r="C262" t="s">
        <v>59</v>
      </c>
      <c r="D262" t="str">
        <f>IFERROR(INDEX(Katalog!$A$3:$A$12,MATCH(cadangan3[[#This Row],[ItemID A]],Katalog!$C$3:$C$12,0)),"-")</f>
        <v>Pakaian Wanita</v>
      </c>
      <c r="E262" t="str">
        <f>IFERROR(INDEX(Katalog!$B$3:$B$12,MATCH(cadangan3[[#This Row],[ItemID A]],Katalog!$C$3:$C$12,0)),"-")</f>
        <v>Blouse</v>
      </c>
      <c r="F262">
        <v>6</v>
      </c>
      <c r="G262">
        <v>3</v>
      </c>
      <c r="H262" s="36">
        <f>IFERROR(INDEX(Katalog!$D$3:$D$12,MATCH(cadangan3[[#This Row],[ItemID A]],Katalog!$C$3:$C$12,0))*cadangan3[[#This Row],[Qty A]],0)</f>
        <v>900000</v>
      </c>
      <c r="I262" s="36">
        <f>IFERROR(INDEX(Katalog!$D$3:$D$12,MATCH(cadangan3[[#This Row],[Item A]],Katalog!$B$3:$B$12,0))*cadangan3[[#This Row],[Qty A]],0)</f>
        <v>900000</v>
      </c>
      <c r="J262" s="36">
        <f>IFERROR(cadangan3[[#This Row],[Harga Asli A]]-(cadangan3[[#This Row],[Harga Asli A]]*cadangan3[[#This Row],[Diskon]]),cadangan3[[#This Row],[Harga Asli A]])</f>
        <v>765000</v>
      </c>
      <c r="K262" s="36">
        <f>INDEX(Katalog!$F$3:$F$12,MATCH(cadangan3[[#This Row],[ItemID A]],Katalog!$C$3:$C$12,0))*cadangan3[[#This Row],[Qty A]]</f>
        <v>300000</v>
      </c>
      <c r="L262" s="36">
        <f>IFERROR(cadangan3[[#This Row],[Profit A]]-(cadangan3[[#This Row],[Profit A]]*cadangan3[[#This Row],[Diskon]]),K262)</f>
        <v>255000</v>
      </c>
      <c r="M262" t="s">
        <v>63</v>
      </c>
      <c r="N262" t="str">
        <f>IFERROR(INDEX(Katalog!$A$3:$A$12,MATCH(cadangan3[[#This Row],[ItemID B]],Katalog!$C$3:$C$12,0)),"-")</f>
        <v>Pakaian Pria</v>
      </c>
      <c r="O262" t="str">
        <f>IFERROR(INDEX(Katalog!$B$3:$B$12,MATCH(cadangan3[[#This Row],[ItemID B]],Katalog!$C$3:$C$12,0)),"-")</f>
        <v>Jaket Jeans</v>
      </c>
      <c r="P262">
        <v>1</v>
      </c>
      <c r="Q262">
        <v>5</v>
      </c>
      <c r="R262" s="36">
        <f>IFERROR(INDEX(Katalog!$D$3:$D$12,MATCH(cadangan3[[#This Row],[ItemID B]],Katalog!$C$3:$C$12,0))*cadangan3[[#This Row],[Qty B]],0)</f>
        <v>400000</v>
      </c>
      <c r="S262" s="36">
        <f>IFERROR(INDEX(Katalog!$D$3:$D$12,MATCH(cadangan3[[#This Row],[Item B]],Katalog!$B$3:$B$12,0))*cadangan3[[#This Row],[Qty B]],0)</f>
        <v>400000</v>
      </c>
      <c r="T262" s="36">
        <f>IFERROR(cadangan3[[#This Row],[Harga Asli B]]-(cadangan3[[#This Row],[Harga Asli B]]*cadangan3[[#This Row],[Diskon]]),cadangan3[[#This Row],[Harga Asli B]])</f>
        <v>340000</v>
      </c>
      <c r="U262" s="36">
        <f>IFERROR(INDEX(Katalog!$F$3:$F$12,MATCH(cadangan3[[#This Row],[ItemID B]],Katalog!$C$3:$C$12,0))*cadangan3[[#This Row],[Qty B]],0)</f>
        <v>150000</v>
      </c>
      <c r="V262" s="36">
        <f>IFERROR(cadangan3[[#This Row],[Profit B]]-(cadangan3[[#This Row],[Profit B]]*cadangan3[[#This Row],[Diskon]]),U262)</f>
        <v>127500</v>
      </c>
      <c r="X262" t="str">
        <f>IFERROR(INDEX(Katalog!$A$3:$A$12,MATCH(cadangan3[[#This Row],[ItemID C]],Katalog!$C$3:$C$12,0)),"-")</f>
        <v>-</v>
      </c>
      <c r="Y262" t="str">
        <f>IFERROR(INDEX(Katalog!$B$3:$B$12,MATCH(cadangan3[[#This Row],[ItemID C]],Katalog!$C$3:$C$12,0)),"-")</f>
        <v>-</v>
      </c>
      <c r="AB262" s="36">
        <f>IFERROR(INDEX(Katalog!$D$3:$D$12,MATCH(cadangan3[[#This Row],[ItemID C]],Katalog!$C$3:$C$12,0))*cadangan3[[#This Row],[Qty C]],0)</f>
        <v>0</v>
      </c>
      <c r="AC262" s="36">
        <f>IFERROR(INDEX(Katalog!$D$3:$D$12,MATCH(cadangan3[[#This Row],[Item C]],Katalog!$B$3:$B$12,0))*cadangan3[[#This Row],[Qty C]],0)</f>
        <v>0</v>
      </c>
      <c r="AD262" s="36">
        <f>IFERROR(cadangan3[[#This Row],[Harga Asli C]]-(cadangan3[[#This Row],[Harga Asli C]]*cadangan3[[#This Row],[Diskon]]),cadangan3[[#This Row],[Harga Asli C]])</f>
        <v>0</v>
      </c>
      <c r="AE262" s="36">
        <f>IFERROR(INDEX(Katalog!$F$3:$F$12,MATCH(cadangan3[[#This Row],[ItemID C]],Katalog!$C$3:$C$12,0))*cadangan3[[#This Row],[Qty C]],0)</f>
        <v>0</v>
      </c>
      <c r="AF262" s="36">
        <f>IFERROR(cadangan3[[#This Row],[Profit C]]-(cadangan3[[#This Row],[Profit C]]*cadangan3[[#This Row],[Diskon]]),cadangan3[[#This Row],[Profit C]])</f>
        <v>0</v>
      </c>
      <c r="AG262" s="21">
        <f>cadangan3[[#This Row],[Qty A]]+cadangan3[[#This Row],[Qty B]]+cadangan3[[#This Row],[Qty C]]</f>
        <v>7</v>
      </c>
      <c r="AH262" s="35">
        <f>cadangan3[[#This Row],[Harga A + Diskon]]+cadangan3[[#This Row],[Harga + Diskon B]]+cadangan3[[#This Row],[Harga + Diskon C]]</f>
        <v>1105000</v>
      </c>
      <c r="AI262" s="35">
        <f>(cadangan3[[#This Row],[Profit A]]+cadangan3[[#This Row],[Profit B]]+cadangan3[[#This Row],[Profit C]])</f>
        <v>450000</v>
      </c>
      <c r="AJ262" s="35">
        <f>cadangan3[[#This Row],[Provit A + Diskon]]+cadangan3[[#This Row],[Provit B + Diskon]]+cadangan3[[#This Row],[Provit C + Diskon]]</f>
        <v>382500</v>
      </c>
      <c r="AK262" s="23" t="s">
        <v>13</v>
      </c>
      <c r="AL262" s="37">
        <f>IFERROR(INDEX('Kode Diskon'!$D$3:$D$9,MATCH(cadangan3[[#This Row],[Kode diskon]],'Kode Diskon'!$C$3:$C$9,0)),"-")</f>
        <v>0.15</v>
      </c>
      <c r="AM262" s="23" t="s">
        <v>29</v>
      </c>
      <c r="AN262" s="23" t="s">
        <v>7</v>
      </c>
      <c r="AO262" s="23" t="s">
        <v>77</v>
      </c>
      <c r="AP262" s="24">
        <v>45022</v>
      </c>
      <c r="AQ262" s="23" t="str">
        <f>TEXT(cadangan3[[#This Row],[Tanggal terjual]],"dddd")</f>
        <v>Thursday</v>
      </c>
    </row>
    <row r="263" spans="1:43" x14ac:dyDescent="0.2">
      <c r="A263" s="20">
        <v>262</v>
      </c>
      <c r="B263" s="21" t="str">
        <f>_xlfn.CONCAT("ORD-",INDEX(Helper!$B$2:$B$5,MATCH(cadangan3[[#This Row],[Marketplace]],Helper!$A$2:$A$5,0)),TEXT(cadangan3[[#This Row],[No]],"0000"),"-",TEXT(cadangan3[[#This Row],[Tanggal terjual]],"dd/mm/yy"))</f>
        <v>ORD-SP0262-04/04/23</v>
      </c>
      <c r="C263" t="s">
        <v>63</v>
      </c>
      <c r="D263" t="str">
        <f>IFERROR(INDEX(Katalog!$A$3:$A$12,MATCH(cadangan3[[#This Row],[ItemID A]],Katalog!$C$3:$C$12,0)),"-")</f>
        <v>Pakaian Pria</v>
      </c>
      <c r="E263" t="str">
        <f>IFERROR(INDEX(Katalog!$B$3:$B$12,MATCH(cadangan3[[#This Row],[ItemID A]],Katalog!$C$3:$C$12,0)),"-")</f>
        <v>Jaket Jeans</v>
      </c>
      <c r="F263">
        <v>3</v>
      </c>
      <c r="G263">
        <v>5</v>
      </c>
      <c r="H263" s="36">
        <f>IFERROR(INDEX(Katalog!$D$3:$D$12,MATCH(cadangan3[[#This Row],[ItemID A]],Katalog!$C$3:$C$12,0))*cadangan3[[#This Row],[Qty A]],0)</f>
        <v>1200000</v>
      </c>
      <c r="I263" s="36">
        <f>IFERROR(INDEX(Katalog!$D$3:$D$12,MATCH(cadangan3[[#This Row],[Item A]],Katalog!$B$3:$B$12,0))*cadangan3[[#This Row],[Qty A]],0)</f>
        <v>1200000</v>
      </c>
      <c r="J263" s="36">
        <f>IFERROR(cadangan3[[#This Row],[Harga Asli A]]-(cadangan3[[#This Row],[Harga Asli A]]*cadangan3[[#This Row],[Diskon]]),cadangan3[[#This Row],[Harga Asli A]])</f>
        <v>1080000</v>
      </c>
      <c r="K263" s="36">
        <f>INDEX(Katalog!$F$3:$F$12,MATCH(cadangan3[[#This Row],[ItemID A]],Katalog!$C$3:$C$12,0))*cadangan3[[#This Row],[Qty A]]</f>
        <v>450000</v>
      </c>
      <c r="L263" s="36">
        <f>IFERROR(cadangan3[[#This Row],[Profit A]]-(cadangan3[[#This Row],[Profit A]]*cadangan3[[#This Row],[Diskon]]),K263)</f>
        <v>405000</v>
      </c>
      <c r="M263" t="s">
        <v>58</v>
      </c>
      <c r="N263" t="str">
        <f>IFERROR(INDEX(Katalog!$A$3:$A$12,MATCH(cadangan3[[#This Row],[ItemID B]],Katalog!$C$3:$C$12,0)),"-")</f>
        <v>Pakaian Wanita</v>
      </c>
      <c r="O263" t="str">
        <f>IFERROR(INDEX(Katalog!$B$3:$B$12,MATCH(cadangan3[[#This Row],[ItemID B]],Katalog!$C$3:$C$12,0)),"-")</f>
        <v>Dress</v>
      </c>
      <c r="P263">
        <v>1</v>
      </c>
      <c r="Q263">
        <v>1</v>
      </c>
      <c r="R263" s="36">
        <f>IFERROR(INDEX(Katalog!$D$3:$D$12,MATCH(cadangan3[[#This Row],[ItemID B]],Katalog!$C$3:$C$12,0))*cadangan3[[#This Row],[Qty B]],0)</f>
        <v>300000</v>
      </c>
      <c r="S263" s="36">
        <f>IFERROR(INDEX(Katalog!$D$3:$D$12,MATCH(cadangan3[[#This Row],[Item B]],Katalog!$B$3:$B$12,0))*cadangan3[[#This Row],[Qty B]],0)</f>
        <v>300000</v>
      </c>
      <c r="T263" s="36">
        <f>IFERROR(cadangan3[[#This Row],[Harga Asli B]]-(cadangan3[[#This Row],[Harga Asli B]]*cadangan3[[#This Row],[Diskon]]),cadangan3[[#This Row],[Harga Asli B]])</f>
        <v>270000</v>
      </c>
      <c r="U263" s="36">
        <f>IFERROR(INDEX(Katalog!$F$3:$F$12,MATCH(cadangan3[[#This Row],[ItemID B]],Katalog!$C$3:$C$12,0))*cadangan3[[#This Row],[Qty B]],0)</f>
        <v>100000</v>
      </c>
      <c r="V263" s="36">
        <f>IFERROR(cadangan3[[#This Row],[Profit B]]-(cadangan3[[#This Row],[Profit B]]*cadangan3[[#This Row],[Diskon]]),U263)</f>
        <v>90000</v>
      </c>
      <c r="X263" t="str">
        <f>IFERROR(INDEX(Katalog!$A$3:$A$12,MATCH(cadangan3[[#This Row],[ItemID C]],Katalog!$C$3:$C$12,0)),"-")</f>
        <v>-</v>
      </c>
      <c r="Y263" t="str">
        <f>IFERROR(INDEX(Katalog!$B$3:$B$12,MATCH(cadangan3[[#This Row],[ItemID C]],Katalog!$C$3:$C$12,0)),"-")</f>
        <v>-</v>
      </c>
      <c r="AB263" s="36">
        <f>IFERROR(INDEX(Katalog!$D$3:$D$12,MATCH(cadangan3[[#This Row],[ItemID C]],Katalog!$C$3:$C$12,0))*cadangan3[[#This Row],[Qty C]],0)</f>
        <v>0</v>
      </c>
      <c r="AC263" s="36">
        <f>IFERROR(INDEX(Katalog!$D$3:$D$12,MATCH(cadangan3[[#This Row],[Item C]],Katalog!$B$3:$B$12,0))*cadangan3[[#This Row],[Qty C]],0)</f>
        <v>0</v>
      </c>
      <c r="AD263" s="36">
        <f>IFERROR(cadangan3[[#This Row],[Harga Asli C]]-(cadangan3[[#This Row],[Harga Asli C]]*cadangan3[[#This Row],[Diskon]]),cadangan3[[#This Row],[Harga Asli C]])</f>
        <v>0</v>
      </c>
      <c r="AE263" s="36">
        <f>IFERROR(INDEX(Katalog!$F$3:$F$12,MATCH(cadangan3[[#This Row],[ItemID C]],Katalog!$C$3:$C$12,0))*cadangan3[[#This Row],[Qty C]],0)</f>
        <v>0</v>
      </c>
      <c r="AF263" s="36">
        <f>IFERROR(cadangan3[[#This Row],[Profit C]]-(cadangan3[[#This Row],[Profit C]]*cadangan3[[#This Row],[Diskon]]),cadangan3[[#This Row],[Profit C]])</f>
        <v>0</v>
      </c>
      <c r="AG263" s="21">
        <f>cadangan3[[#This Row],[Qty A]]+cadangan3[[#This Row],[Qty B]]+cadangan3[[#This Row],[Qty C]]</f>
        <v>4</v>
      </c>
      <c r="AH263" s="35">
        <f>cadangan3[[#This Row],[Harga A + Diskon]]+cadangan3[[#This Row],[Harga + Diskon B]]+cadangan3[[#This Row],[Harga + Diskon C]]</f>
        <v>1350000</v>
      </c>
      <c r="AI263" s="35">
        <f>(cadangan3[[#This Row],[Profit A]]+cadangan3[[#This Row],[Profit B]]+cadangan3[[#This Row],[Profit C]])</f>
        <v>550000</v>
      </c>
      <c r="AJ263" s="35">
        <f>cadangan3[[#This Row],[Provit A + Diskon]]+cadangan3[[#This Row],[Provit B + Diskon]]+cadangan3[[#This Row],[Provit C + Diskon]]</f>
        <v>495000</v>
      </c>
      <c r="AK263" s="23" t="s">
        <v>6</v>
      </c>
      <c r="AL263" s="37">
        <f>IFERROR(INDEX('Kode Diskon'!$D$3:$D$9,MATCH(cadangan3[[#This Row],[Kode diskon]],'Kode Diskon'!$C$3:$C$9,0)),"-")</f>
        <v>0.1</v>
      </c>
      <c r="AM263" s="23" t="s">
        <v>29</v>
      </c>
      <c r="AN263" s="23" t="s">
        <v>7</v>
      </c>
      <c r="AO263" s="23" t="s">
        <v>76</v>
      </c>
      <c r="AP263" s="24">
        <v>45020</v>
      </c>
      <c r="AQ263" s="23" t="str">
        <f>TEXT(cadangan3[[#This Row],[Tanggal terjual]],"dddd")</f>
        <v>Tuesday</v>
      </c>
    </row>
    <row r="264" spans="1:43" x14ac:dyDescent="0.2">
      <c r="A264" s="20">
        <v>263</v>
      </c>
      <c r="B264" s="21" t="str">
        <f>_xlfn.CONCAT("ORD-",INDEX(Helper!$B$2:$B$5,MATCH(cadangan3[[#This Row],[Marketplace]],Helper!$A$2:$A$5,0)),TEXT(cadangan3[[#This Row],[No]],"0000"),"-",TEXT(cadangan3[[#This Row],[Tanggal terjual]],"dd/mm/yy"))</f>
        <v>ORD-TK0263-08/04/23</v>
      </c>
      <c r="C264" t="s">
        <v>63</v>
      </c>
      <c r="D264" t="str">
        <f>IFERROR(INDEX(Katalog!$A$3:$A$12,MATCH(cadangan3[[#This Row],[ItemID A]],Katalog!$C$3:$C$12,0)),"-")</f>
        <v>Pakaian Pria</v>
      </c>
      <c r="E264" t="str">
        <f>IFERROR(INDEX(Katalog!$B$3:$B$12,MATCH(cadangan3[[#This Row],[ItemID A]],Katalog!$C$3:$C$12,0)),"-")</f>
        <v>Jaket Jeans</v>
      </c>
      <c r="F264">
        <v>1</v>
      </c>
      <c r="G264">
        <v>3</v>
      </c>
      <c r="H264" s="36">
        <f>IFERROR(INDEX(Katalog!$D$3:$D$12,MATCH(cadangan3[[#This Row],[ItemID A]],Katalog!$C$3:$C$12,0))*cadangan3[[#This Row],[Qty A]],0)</f>
        <v>400000</v>
      </c>
      <c r="I264" s="36">
        <f>IFERROR(INDEX(Katalog!$D$3:$D$12,MATCH(cadangan3[[#This Row],[Item A]],Katalog!$B$3:$B$12,0))*cadangan3[[#This Row],[Qty A]],0)</f>
        <v>400000</v>
      </c>
      <c r="J264" s="36">
        <f>IFERROR(cadangan3[[#This Row],[Harga Asli A]]-(cadangan3[[#This Row],[Harga Asli A]]*cadangan3[[#This Row],[Diskon]]),cadangan3[[#This Row],[Harga Asli A]])</f>
        <v>400000</v>
      </c>
      <c r="K264" s="36">
        <f>INDEX(Katalog!$F$3:$F$12,MATCH(cadangan3[[#This Row],[ItemID A]],Katalog!$C$3:$C$12,0))*cadangan3[[#This Row],[Qty A]]</f>
        <v>150000</v>
      </c>
      <c r="L264" s="36">
        <f>IFERROR(cadangan3[[#This Row],[Profit A]]-(cadangan3[[#This Row],[Profit A]]*cadangan3[[#This Row],[Diskon]]),K264)</f>
        <v>150000</v>
      </c>
      <c r="M264" t="s">
        <v>67</v>
      </c>
      <c r="N264" t="str">
        <f>IFERROR(INDEX(Katalog!$A$3:$A$12,MATCH(cadangan3[[#This Row],[ItemID B]],Katalog!$C$3:$C$12,0)),"-")</f>
        <v>Sepatu Wanita</v>
      </c>
      <c r="O264" t="str">
        <f>IFERROR(INDEX(Katalog!$B$3:$B$12,MATCH(cadangan3[[#This Row],[ItemID B]],Katalog!$C$3:$C$12,0)),"-")</f>
        <v>Flat Shoes</v>
      </c>
      <c r="P264">
        <v>3</v>
      </c>
      <c r="Q264">
        <v>3</v>
      </c>
      <c r="R264" s="36">
        <f>IFERROR(INDEX(Katalog!$D$3:$D$12,MATCH(cadangan3[[#This Row],[ItemID B]],Katalog!$C$3:$C$12,0))*cadangan3[[#This Row],[Qty B]],0)</f>
        <v>750000</v>
      </c>
      <c r="S264" s="36">
        <f>IFERROR(INDEX(Katalog!$D$3:$D$12,MATCH(cadangan3[[#This Row],[Item B]],Katalog!$B$3:$B$12,0))*cadangan3[[#This Row],[Qty B]],0)</f>
        <v>750000</v>
      </c>
      <c r="T264" s="36">
        <f>IFERROR(cadangan3[[#This Row],[Harga Asli B]]-(cadangan3[[#This Row],[Harga Asli B]]*cadangan3[[#This Row],[Diskon]]),cadangan3[[#This Row],[Harga Asli B]])</f>
        <v>750000</v>
      </c>
      <c r="U264" s="36">
        <f>IFERROR(INDEX(Katalog!$F$3:$F$12,MATCH(cadangan3[[#This Row],[ItemID B]],Katalog!$C$3:$C$12,0))*cadangan3[[#This Row],[Qty B]],0)</f>
        <v>300000</v>
      </c>
      <c r="V264" s="36">
        <f>IFERROR(cadangan3[[#This Row],[Profit B]]-(cadangan3[[#This Row],[Profit B]]*cadangan3[[#This Row],[Diskon]]),U264)</f>
        <v>300000</v>
      </c>
      <c r="X264" t="str">
        <f>IFERROR(INDEX(Katalog!$A$3:$A$12,MATCH(cadangan3[[#This Row],[ItemID C]],Katalog!$C$3:$C$12,0)),"-")</f>
        <v>-</v>
      </c>
      <c r="Y264" t="str">
        <f>IFERROR(INDEX(Katalog!$B$3:$B$12,MATCH(cadangan3[[#This Row],[ItemID C]],Katalog!$C$3:$C$12,0)),"-")</f>
        <v>-</v>
      </c>
      <c r="AB264" s="36">
        <f>IFERROR(INDEX(Katalog!$D$3:$D$12,MATCH(cadangan3[[#This Row],[ItemID C]],Katalog!$C$3:$C$12,0))*cadangan3[[#This Row],[Qty C]],0)</f>
        <v>0</v>
      </c>
      <c r="AC264" s="36">
        <f>IFERROR(INDEX(Katalog!$D$3:$D$12,MATCH(cadangan3[[#This Row],[Item C]],Katalog!$B$3:$B$12,0))*cadangan3[[#This Row],[Qty C]],0)</f>
        <v>0</v>
      </c>
      <c r="AD264" s="36">
        <f>IFERROR(cadangan3[[#This Row],[Harga Asli C]]-(cadangan3[[#This Row],[Harga Asli C]]*cadangan3[[#This Row],[Diskon]]),cadangan3[[#This Row],[Harga Asli C]])</f>
        <v>0</v>
      </c>
      <c r="AE264" s="36">
        <f>IFERROR(INDEX(Katalog!$F$3:$F$12,MATCH(cadangan3[[#This Row],[ItemID C]],Katalog!$C$3:$C$12,0))*cadangan3[[#This Row],[Qty C]],0)</f>
        <v>0</v>
      </c>
      <c r="AF264" s="36">
        <f>IFERROR(cadangan3[[#This Row],[Profit C]]-(cadangan3[[#This Row],[Profit C]]*cadangan3[[#This Row],[Diskon]]),cadangan3[[#This Row],[Profit C]])</f>
        <v>0</v>
      </c>
      <c r="AG264" s="21">
        <f>cadangan3[[#This Row],[Qty A]]+cadangan3[[#This Row],[Qty B]]+cadangan3[[#This Row],[Qty C]]</f>
        <v>4</v>
      </c>
      <c r="AH264" s="35">
        <f>cadangan3[[#This Row],[Harga A + Diskon]]+cadangan3[[#This Row],[Harga + Diskon B]]+cadangan3[[#This Row],[Harga + Diskon C]]</f>
        <v>1150000</v>
      </c>
      <c r="AI264" s="35">
        <f>(cadangan3[[#This Row],[Profit A]]+cadangan3[[#This Row],[Profit B]]+cadangan3[[#This Row],[Profit C]])</f>
        <v>450000</v>
      </c>
      <c r="AJ264" s="35">
        <f>cadangan3[[#This Row],[Provit A + Diskon]]+cadangan3[[#This Row],[Provit B + Diskon]]+cadangan3[[#This Row],[Provit C + Diskon]]</f>
        <v>450000</v>
      </c>
      <c r="AK264" s="23" t="s">
        <v>11</v>
      </c>
      <c r="AL264" s="37" t="str">
        <f>IFERROR(INDEX('Kode Diskon'!$D$3:$D$9,MATCH(cadangan3[[#This Row],[Kode diskon]],'Kode Diskon'!$C$3:$C$9,0)),"-")</f>
        <v>-</v>
      </c>
      <c r="AM264" s="23" t="s">
        <v>11</v>
      </c>
      <c r="AN264" s="23" t="s">
        <v>10</v>
      </c>
      <c r="AO264" s="23" t="s">
        <v>75</v>
      </c>
      <c r="AP264" s="24">
        <v>45024</v>
      </c>
      <c r="AQ264" s="23" t="str">
        <f>TEXT(cadangan3[[#This Row],[Tanggal terjual]],"dddd")</f>
        <v>Saturday</v>
      </c>
    </row>
    <row r="265" spans="1:43" x14ac:dyDescent="0.2">
      <c r="A265" s="20">
        <v>264</v>
      </c>
      <c r="B265" s="21" t="str">
        <f>_xlfn.CONCAT("ORD-",INDEX(Helper!$B$2:$B$5,MATCH(cadangan3[[#This Row],[Marketplace]],Helper!$A$2:$A$5,0)),TEXT(cadangan3[[#This Row],[No]],"0000"),"-",TEXT(cadangan3[[#This Row],[Tanggal terjual]],"dd/mm/yy"))</f>
        <v>ORD-SP0264-19/04/23</v>
      </c>
      <c r="C265" t="s">
        <v>62</v>
      </c>
      <c r="D265" t="str">
        <f>IFERROR(INDEX(Katalog!$A$3:$A$12,MATCH(cadangan3[[#This Row],[ItemID A]],Katalog!$C$3:$C$12,0)),"-")</f>
        <v>Pakaian Pria</v>
      </c>
      <c r="E265" t="str">
        <f>IFERROR(INDEX(Katalog!$B$3:$B$12,MATCH(cadangan3[[#This Row],[ItemID A]],Katalog!$C$3:$C$12,0)),"-")</f>
        <v>Celana Pendek</v>
      </c>
      <c r="F265">
        <v>1</v>
      </c>
      <c r="G265">
        <v>2</v>
      </c>
      <c r="H265" s="36">
        <f>IFERROR(INDEX(Katalog!$D$3:$D$12,MATCH(cadangan3[[#This Row],[ItemID A]],Katalog!$C$3:$C$12,0))*cadangan3[[#This Row],[Qty A]],0)</f>
        <v>180000</v>
      </c>
      <c r="I265" s="36">
        <f>IFERROR(INDEX(Katalog!$D$3:$D$12,MATCH(cadangan3[[#This Row],[Item A]],Katalog!$B$3:$B$12,0))*cadangan3[[#This Row],[Qty A]],0)</f>
        <v>180000</v>
      </c>
      <c r="J265" s="36">
        <f>IFERROR(cadangan3[[#This Row],[Harga Asli A]]-(cadangan3[[#This Row],[Harga Asli A]]*cadangan3[[#This Row],[Diskon]]),cadangan3[[#This Row],[Harga Asli A]])</f>
        <v>144000</v>
      </c>
      <c r="K265" s="36">
        <f>INDEX(Katalog!$F$3:$F$12,MATCH(cadangan3[[#This Row],[ItemID A]],Katalog!$C$3:$C$12,0))*cadangan3[[#This Row],[Qty A]]</f>
        <v>70000</v>
      </c>
      <c r="L265" s="36">
        <f>IFERROR(cadangan3[[#This Row],[Profit A]]-(cadangan3[[#This Row],[Profit A]]*cadangan3[[#This Row],[Diskon]]),K265)</f>
        <v>56000</v>
      </c>
      <c r="N265" t="str">
        <f>IFERROR(INDEX(Katalog!$A$3:$A$12,MATCH(cadangan3[[#This Row],[ItemID B]],Katalog!$C$3:$C$12,0)),"-")</f>
        <v>-</v>
      </c>
      <c r="O265" t="str">
        <f>IFERROR(INDEX(Katalog!$B$3:$B$12,MATCH(cadangan3[[#This Row],[ItemID B]],Katalog!$C$3:$C$12,0)),"-")</f>
        <v>-</v>
      </c>
      <c r="R265" s="36">
        <f>IFERROR(INDEX(Katalog!$D$3:$D$12,MATCH(cadangan3[[#This Row],[ItemID B]],Katalog!$C$3:$C$12,0))*cadangan3[[#This Row],[Qty B]],0)</f>
        <v>0</v>
      </c>
      <c r="S265" s="36">
        <f>IFERROR(INDEX(Katalog!$D$3:$D$12,MATCH(cadangan3[[#This Row],[Item B]],Katalog!$B$3:$B$12,0))*cadangan3[[#This Row],[Qty B]],0)</f>
        <v>0</v>
      </c>
      <c r="T265" s="36">
        <f>IFERROR(cadangan3[[#This Row],[Harga Asli B]]-(cadangan3[[#This Row],[Harga Asli B]]*cadangan3[[#This Row],[Diskon]]),cadangan3[[#This Row],[Harga Asli B]])</f>
        <v>0</v>
      </c>
      <c r="U265" s="36">
        <f>IFERROR(INDEX(Katalog!$F$3:$F$12,MATCH(cadangan3[[#This Row],[ItemID B]],Katalog!$C$3:$C$12,0))*cadangan3[[#This Row],[Qty B]],0)</f>
        <v>0</v>
      </c>
      <c r="V265" s="36">
        <f>IFERROR(cadangan3[[#This Row],[Profit B]]-(cadangan3[[#This Row],[Profit B]]*cadangan3[[#This Row],[Diskon]]),U265)</f>
        <v>0</v>
      </c>
      <c r="X265" t="str">
        <f>IFERROR(INDEX(Katalog!$A$3:$A$12,MATCH(cadangan3[[#This Row],[ItemID C]],Katalog!$C$3:$C$12,0)),"-")</f>
        <v>-</v>
      </c>
      <c r="Y265" t="str">
        <f>IFERROR(INDEX(Katalog!$B$3:$B$12,MATCH(cadangan3[[#This Row],[ItemID C]],Katalog!$C$3:$C$12,0)),"-")</f>
        <v>-</v>
      </c>
      <c r="AB265" s="36">
        <f>IFERROR(INDEX(Katalog!$D$3:$D$12,MATCH(cadangan3[[#This Row],[ItemID C]],Katalog!$C$3:$C$12,0))*cadangan3[[#This Row],[Qty C]],0)</f>
        <v>0</v>
      </c>
      <c r="AC265" s="36">
        <f>IFERROR(INDEX(Katalog!$D$3:$D$12,MATCH(cadangan3[[#This Row],[Item C]],Katalog!$B$3:$B$12,0))*cadangan3[[#This Row],[Qty C]],0)</f>
        <v>0</v>
      </c>
      <c r="AD265" s="36">
        <f>IFERROR(cadangan3[[#This Row],[Harga Asli C]]-(cadangan3[[#This Row],[Harga Asli C]]*cadangan3[[#This Row],[Diskon]]),cadangan3[[#This Row],[Harga Asli C]])</f>
        <v>0</v>
      </c>
      <c r="AE265" s="36">
        <f>IFERROR(INDEX(Katalog!$F$3:$F$12,MATCH(cadangan3[[#This Row],[ItemID C]],Katalog!$C$3:$C$12,0))*cadangan3[[#This Row],[Qty C]],0)</f>
        <v>0</v>
      </c>
      <c r="AF265" s="36">
        <f>IFERROR(cadangan3[[#This Row],[Profit C]]-(cadangan3[[#This Row],[Profit C]]*cadangan3[[#This Row],[Diskon]]),cadangan3[[#This Row],[Profit C]])</f>
        <v>0</v>
      </c>
      <c r="AG265" s="21">
        <f>cadangan3[[#This Row],[Qty A]]+cadangan3[[#This Row],[Qty B]]+cadangan3[[#This Row],[Qty C]]</f>
        <v>1</v>
      </c>
      <c r="AH265" s="35">
        <f>cadangan3[[#This Row],[Harga A + Diskon]]+cadangan3[[#This Row],[Harga + Diskon B]]+cadangan3[[#This Row],[Harga + Diskon C]]</f>
        <v>144000</v>
      </c>
      <c r="AI265" s="35">
        <f>(cadangan3[[#This Row],[Profit A]]+cadangan3[[#This Row],[Profit B]]+cadangan3[[#This Row],[Profit C]])</f>
        <v>70000</v>
      </c>
      <c r="AJ265" s="35">
        <f>cadangan3[[#This Row],[Provit A + Diskon]]+cadangan3[[#This Row],[Provit B + Diskon]]+cadangan3[[#This Row],[Provit C + Diskon]]</f>
        <v>56000</v>
      </c>
      <c r="AK265" s="23" t="s">
        <v>8</v>
      </c>
      <c r="AL265" s="37">
        <f>IFERROR(INDEX('Kode Diskon'!$D$3:$D$9,MATCH(cadangan3[[#This Row],[Kode diskon]],'Kode Diskon'!$C$3:$C$9,0)),"-")</f>
        <v>0.2</v>
      </c>
      <c r="AM265" s="23" t="s">
        <v>9</v>
      </c>
      <c r="AN265" s="23" t="s">
        <v>7</v>
      </c>
      <c r="AO265" s="23" t="s">
        <v>80</v>
      </c>
      <c r="AP265" s="24">
        <v>45035</v>
      </c>
      <c r="AQ265" s="23" t="str">
        <f>TEXT(cadangan3[[#This Row],[Tanggal terjual]],"dddd")</f>
        <v>Wednesday</v>
      </c>
    </row>
    <row r="266" spans="1:43" x14ac:dyDescent="0.2">
      <c r="A266" s="20">
        <v>265</v>
      </c>
      <c r="B266" s="21" t="str">
        <f>_xlfn.CONCAT("ORD-",INDEX(Helper!$B$2:$B$5,MATCH(cadangan3[[#This Row],[Marketplace]],Helper!$A$2:$A$5,0)),TEXT(cadangan3[[#This Row],[No]],"0000"),"-",TEXT(cadangan3[[#This Row],[Tanggal terjual]],"dd/mm/yy"))</f>
        <v>ORD-BL0265-20/04/23</v>
      </c>
      <c r="C266" t="s">
        <v>61</v>
      </c>
      <c r="D266" t="str">
        <f>IFERROR(INDEX(Katalog!$A$3:$A$12,MATCH(cadangan3[[#This Row],[ItemID A]],Katalog!$C$3:$C$12,0)),"-")</f>
        <v>Pakaian Pria</v>
      </c>
      <c r="E266" t="str">
        <f>IFERROR(INDEX(Katalog!$B$3:$B$12,MATCH(cadangan3[[#This Row],[ItemID A]],Katalog!$C$3:$C$12,0)),"-")</f>
        <v>Kaos Polo</v>
      </c>
      <c r="F266">
        <v>3</v>
      </c>
      <c r="G266">
        <v>5</v>
      </c>
      <c r="H266" s="36">
        <f>IFERROR(INDEX(Katalog!$D$3:$D$12,MATCH(cadangan3[[#This Row],[ItemID A]],Katalog!$C$3:$C$12,0))*cadangan3[[#This Row],[Qty A]],0)</f>
        <v>600000</v>
      </c>
      <c r="I266" s="36">
        <f>IFERROR(INDEX(Katalog!$D$3:$D$12,MATCH(cadangan3[[#This Row],[Item A]],Katalog!$B$3:$B$12,0))*cadangan3[[#This Row],[Qty A]],0)</f>
        <v>600000</v>
      </c>
      <c r="J266" s="36">
        <f>IFERROR(cadangan3[[#This Row],[Harga Asli A]]-(cadangan3[[#This Row],[Harga Asli A]]*cadangan3[[#This Row],[Diskon]]),cadangan3[[#This Row],[Harga Asli A]])</f>
        <v>510000</v>
      </c>
      <c r="K266" s="36">
        <f>INDEX(Katalog!$F$3:$F$12,MATCH(cadangan3[[#This Row],[ItemID A]],Katalog!$C$3:$C$12,0))*cadangan3[[#This Row],[Qty A]]</f>
        <v>240000</v>
      </c>
      <c r="L266" s="36">
        <f>IFERROR(cadangan3[[#This Row],[Profit A]]-(cadangan3[[#This Row],[Profit A]]*cadangan3[[#This Row],[Diskon]]),K266)</f>
        <v>204000</v>
      </c>
      <c r="N266" t="str">
        <f>IFERROR(INDEX(Katalog!$A$3:$A$12,MATCH(cadangan3[[#This Row],[ItemID B]],Katalog!$C$3:$C$12,0)),"-")</f>
        <v>-</v>
      </c>
      <c r="O266" t="str">
        <f>IFERROR(INDEX(Katalog!$B$3:$B$12,MATCH(cadangan3[[#This Row],[ItemID B]],Katalog!$C$3:$C$12,0)),"-")</f>
        <v>-</v>
      </c>
      <c r="R266" s="36">
        <f>IFERROR(INDEX(Katalog!$D$3:$D$12,MATCH(cadangan3[[#This Row],[ItemID B]],Katalog!$C$3:$C$12,0))*cadangan3[[#This Row],[Qty B]],0)</f>
        <v>0</v>
      </c>
      <c r="S266" s="36">
        <f>IFERROR(INDEX(Katalog!$D$3:$D$12,MATCH(cadangan3[[#This Row],[Item B]],Katalog!$B$3:$B$12,0))*cadangan3[[#This Row],[Qty B]],0)</f>
        <v>0</v>
      </c>
      <c r="T266" s="36">
        <f>IFERROR(cadangan3[[#This Row],[Harga Asli B]]-(cadangan3[[#This Row],[Harga Asli B]]*cadangan3[[#This Row],[Diskon]]),cadangan3[[#This Row],[Harga Asli B]])</f>
        <v>0</v>
      </c>
      <c r="U266" s="36">
        <f>IFERROR(INDEX(Katalog!$F$3:$F$12,MATCH(cadangan3[[#This Row],[ItemID B]],Katalog!$C$3:$C$12,0))*cadangan3[[#This Row],[Qty B]],0)</f>
        <v>0</v>
      </c>
      <c r="V266" s="36">
        <f>IFERROR(cadangan3[[#This Row],[Profit B]]-(cadangan3[[#This Row],[Profit B]]*cadangan3[[#This Row],[Diskon]]),U266)</f>
        <v>0</v>
      </c>
      <c r="X266" t="str">
        <f>IFERROR(INDEX(Katalog!$A$3:$A$12,MATCH(cadangan3[[#This Row],[ItemID C]],Katalog!$C$3:$C$12,0)),"-")</f>
        <v>-</v>
      </c>
      <c r="Y266" t="str">
        <f>IFERROR(INDEX(Katalog!$B$3:$B$12,MATCH(cadangan3[[#This Row],[ItemID C]],Katalog!$C$3:$C$12,0)),"-")</f>
        <v>-</v>
      </c>
      <c r="AB266" s="36">
        <f>IFERROR(INDEX(Katalog!$D$3:$D$12,MATCH(cadangan3[[#This Row],[ItemID C]],Katalog!$C$3:$C$12,0))*cadangan3[[#This Row],[Qty C]],0)</f>
        <v>0</v>
      </c>
      <c r="AC266" s="36">
        <f>IFERROR(INDEX(Katalog!$D$3:$D$12,MATCH(cadangan3[[#This Row],[Item C]],Katalog!$B$3:$B$12,0))*cadangan3[[#This Row],[Qty C]],0)</f>
        <v>0</v>
      </c>
      <c r="AD266" s="36">
        <f>IFERROR(cadangan3[[#This Row],[Harga Asli C]]-(cadangan3[[#This Row],[Harga Asli C]]*cadangan3[[#This Row],[Diskon]]),cadangan3[[#This Row],[Harga Asli C]])</f>
        <v>0</v>
      </c>
      <c r="AE266" s="36">
        <f>IFERROR(INDEX(Katalog!$F$3:$F$12,MATCH(cadangan3[[#This Row],[ItemID C]],Katalog!$C$3:$C$12,0))*cadangan3[[#This Row],[Qty C]],0)</f>
        <v>0</v>
      </c>
      <c r="AF266" s="36">
        <f>IFERROR(cadangan3[[#This Row],[Profit C]]-(cadangan3[[#This Row],[Profit C]]*cadangan3[[#This Row],[Diskon]]),cadangan3[[#This Row],[Profit C]])</f>
        <v>0</v>
      </c>
      <c r="AG266" s="21">
        <f>cadangan3[[#This Row],[Qty A]]+cadangan3[[#This Row],[Qty B]]+cadangan3[[#This Row],[Qty C]]</f>
        <v>3</v>
      </c>
      <c r="AH266" s="35">
        <f>cadangan3[[#This Row],[Harga A + Diskon]]+cadangan3[[#This Row],[Harga + Diskon B]]+cadangan3[[#This Row],[Harga + Diskon C]]</f>
        <v>510000</v>
      </c>
      <c r="AI266" s="35">
        <f>(cadangan3[[#This Row],[Profit A]]+cadangan3[[#This Row],[Profit B]]+cadangan3[[#This Row],[Profit C]])</f>
        <v>240000</v>
      </c>
      <c r="AJ266" s="35">
        <f>cadangan3[[#This Row],[Provit A + Diskon]]+cadangan3[[#This Row],[Provit B + Diskon]]+cadangan3[[#This Row],[Provit C + Diskon]]</f>
        <v>204000</v>
      </c>
      <c r="AK266" s="23" t="s">
        <v>32</v>
      </c>
      <c r="AL266" s="37">
        <f>IFERROR(INDEX('Kode Diskon'!$D$3:$D$9,MATCH(cadangan3[[#This Row],[Kode diskon]],'Kode Diskon'!$C$3:$C$9,0)),"-")</f>
        <v>0.15</v>
      </c>
      <c r="AM266" s="23" t="s">
        <v>9</v>
      </c>
      <c r="AN266" s="23" t="s">
        <v>12</v>
      </c>
      <c r="AO266" s="23" t="s">
        <v>80</v>
      </c>
      <c r="AP266" s="24">
        <v>45036</v>
      </c>
      <c r="AQ266" s="23" t="str">
        <f>TEXT(cadangan3[[#This Row],[Tanggal terjual]],"dddd")</f>
        <v>Thursday</v>
      </c>
    </row>
    <row r="267" spans="1:43" x14ac:dyDescent="0.2">
      <c r="A267" s="20">
        <v>266</v>
      </c>
      <c r="B267" s="21" t="str">
        <f>_xlfn.CONCAT("ORD-",INDEX(Helper!$B$2:$B$5,MATCH(cadangan3[[#This Row],[Marketplace]],Helper!$A$2:$A$5,0)),TEXT(cadangan3[[#This Row],[No]],"0000"),"-",TEXT(cadangan3[[#This Row],[Tanggal terjual]],"dd/mm/yy"))</f>
        <v>ORD-SP0266-21/04/23</v>
      </c>
      <c r="C267" t="s">
        <v>65</v>
      </c>
      <c r="D267" t="str">
        <f>IFERROR(INDEX(Katalog!$A$3:$A$12,MATCH(cadangan3[[#This Row],[ItemID A]],Katalog!$C$3:$C$12,0)),"-")</f>
        <v>Sepatu Pria</v>
      </c>
      <c r="E267" t="str">
        <f>IFERROR(INDEX(Katalog!$B$3:$B$12,MATCH(cadangan3[[#This Row],[ItemID A]],Katalog!$C$3:$C$12,0)),"-")</f>
        <v>Sneakers</v>
      </c>
      <c r="F267">
        <v>2</v>
      </c>
      <c r="G267">
        <v>1</v>
      </c>
      <c r="H267" s="36">
        <f>IFERROR(INDEX(Katalog!$D$3:$D$12,MATCH(cadangan3[[#This Row],[ItemID A]],Katalog!$C$3:$C$12,0))*cadangan3[[#This Row],[Qty A]],0)</f>
        <v>1000000</v>
      </c>
      <c r="I267" s="36">
        <f>IFERROR(INDEX(Katalog!$D$3:$D$12,MATCH(cadangan3[[#This Row],[Item A]],Katalog!$B$3:$B$12,0))*cadangan3[[#This Row],[Qty A]],0)</f>
        <v>1000000</v>
      </c>
      <c r="J267" s="36">
        <f>IFERROR(cadangan3[[#This Row],[Harga Asli A]]-(cadangan3[[#This Row],[Harga Asli A]]*cadangan3[[#This Row],[Diskon]]),cadangan3[[#This Row],[Harga Asli A]])</f>
        <v>800000</v>
      </c>
      <c r="K267" s="36">
        <f>INDEX(Katalog!$F$3:$F$12,MATCH(cadangan3[[#This Row],[ItemID A]],Katalog!$C$3:$C$12,0))*cadangan3[[#This Row],[Qty A]]</f>
        <v>400000</v>
      </c>
      <c r="L267" s="36">
        <f>IFERROR(cadangan3[[#This Row],[Profit A]]-(cadangan3[[#This Row],[Profit A]]*cadangan3[[#This Row],[Diskon]]),K267)</f>
        <v>320000</v>
      </c>
      <c r="N267" t="str">
        <f>IFERROR(INDEX(Katalog!$A$3:$A$12,MATCH(cadangan3[[#This Row],[ItemID B]],Katalog!$C$3:$C$12,0)),"-")</f>
        <v>-</v>
      </c>
      <c r="O267" t="str">
        <f>IFERROR(INDEX(Katalog!$B$3:$B$12,MATCH(cadangan3[[#This Row],[ItemID B]],Katalog!$C$3:$C$12,0)),"-")</f>
        <v>-</v>
      </c>
      <c r="R267" s="36">
        <f>IFERROR(INDEX(Katalog!$D$3:$D$12,MATCH(cadangan3[[#This Row],[ItemID B]],Katalog!$C$3:$C$12,0))*cadangan3[[#This Row],[Qty B]],0)</f>
        <v>0</v>
      </c>
      <c r="S267" s="36">
        <f>IFERROR(INDEX(Katalog!$D$3:$D$12,MATCH(cadangan3[[#This Row],[Item B]],Katalog!$B$3:$B$12,0))*cadangan3[[#This Row],[Qty B]],0)</f>
        <v>0</v>
      </c>
      <c r="T267" s="36">
        <f>IFERROR(cadangan3[[#This Row],[Harga Asli B]]-(cadangan3[[#This Row],[Harga Asli B]]*cadangan3[[#This Row],[Diskon]]),cadangan3[[#This Row],[Harga Asli B]])</f>
        <v>0</v>
      </c>
      <c r="U267" s="36">
        <f>IFERROR(INDEX(Katalog!$F$3:$F$12,MATCH(cadangan3[[#This Row],[ItemID B]],Katalog!$C$3:$C$12,0))*cadangan3[[#This Row],[Qty B]],0)</f>
        <v>0</v>
      </c>
      <c r="V267" s="36">
        <f>IFERROR(cadangan3[[#This Row],[Profit B]]-(cadangan3[[#This Row],[Profit B]]*cadangan3[[#This Row],[Diskon]]),U267)</f>
        <v>0</v>
      </c>
      <c r="X267" t="str">
        <f>IFERROR(INDEX(Katalog!$A$3:$A$12,MATCH(cadangan3[[#This Row],[ItemID C]],Katalog!$C$3:$C$12,0)),"-")</f>
        <v>-</v>
      </c>
      <c r="Y267" t="str">
        <f>IFERROR(INDEX(Katalog!$B$3:$B$12,MATCH(cadangan3[[#This Row],[ItemID C]],Katalog!$C$3:$C$12,0)),"-")</f>
        <v>-</v>
      </c>
      <c r="AB267" s="36">
        <f>IFERROR(INDEX(Katalog!$D$3:$D$12,MATCH(cadangan3[[#This Row],[ItemID C]],Katalog!$C$3:$C$12,0))*cadangan3[[#This Row],[Qty C]],0)</f>
        <v>0</v>
      </c>
      <c r="AC267" s="36">
        <f>IFERROR(INDEX(Katalog!$D$3:$D$12,MATCH(cadangan3[[#This Row],[Item C]],Katalog!$B$3:$B$12,0))*cadangan3[[#This Row],[Qty C]],0)</f>
        <v>0</v>
      </c>
      <c r="AD267" s="36">
        <f>IFERROR(cadangan3[[#This Row],[Harga Asli C]]-(cadangan3[[#This Row],[Harga Asli C]]*cadangan3[[#This Row],[Diskon]]),cadangan3[[#This Row],[Harga Asli C]])</f>
        <v>0</v>
      </c>
      <c r="AE267" s="36">
        <f>IFERROR(INDEX(Katalog!$F$3:$F$12,MATCH(cadangan3[[#This Row],[ItemID C]],Katalog!$C$3:$C$12,0))*cadangan3[[#This Row],[Qty C]],0)</f>
        <v>0</v>
      </c>
      <c r="AF267" s="36">
        <f>IFERROR(cadangan3[[#This Row],[Profit C]]-(cadangan3[[#This Row],[Profit C]]*cadangan3[[#This Row],[Diskon]]),cadangan3[[#This Row],[Profit C]])</f>
        <v>0</v>
      </c>
      <c r="AG267" s="21">
        <f>cadangan3[[#This Row],[Qty A]]+cadangan3[[#This Row],[Qty B]]+cadangan3[[#This Row],[Qty C]]</f>
        <v>2</v>
      </c>
      <c r="AH267" s="35">
        <f>cadangan3[[#This Row],[Harga A + Diskon]]+cadangan3[[#This Row],[Harga + Diskon B]]+cadangan3[[#This Row],[Harga + Diskon C]]</f>
        <v>800000</v>
      </c>
      <c r="AI267" s="35">
        <f>(cadangan3[[#This Row],[Profit A]]+cadangan3[[#This Row],[Profit B]]+cadangan3[[#This Row],[Profit C]])</f>
        <v>400000</v>
      </c>
      <c r="AJ267" s="35">
        <f>cadangan3[[#This Row],[Provit A + Diskon]]+cadangan3[[#This Row],[Provit B + Diskon]]+cadangan3[[#This Row],[Provit C + Diskon]]</f>
        <v>320000</v>
      </c>
      <c r="AK267" s="23" t="s">
        <v>8</v>
      </c>
      <c r="AL267" s="37">
        <f>IFERROR(INDEX('Kode Diskon'!$D$3:$D$9,MATCH(cadangan3[[#This Row],[Kode diskon]],'Kode Diskon'!$C$3:$C$9,0)),"-")</f>
        <v>0.2</v>
      </c>
      <c r="AM267" s="23" t="s">
        <v>9</v>
      </c>
      <c r="AN267" s="23" t="s">
        <v>7</v>
      </c>
      <c r="AO267" s="23" t="s">
        <v>75</v>
      </c>
      <c r="AP267" s="24">
        <v>45037</v>
      </c>
      <c r="AQ267" s="23" t="str">
        <f>TEXT(cadangan3[[#This Row],[Tanggal terjual]],"dddd")</f>
        <v>Friday</v>
      </c>
    </row>
    <row r="268" spans="1:43" x14ac:dyDescent="0.2">
      <c r="A268" s="20">
        <v>267</v>
      </c>
      <c r="B268" s="21" t="str">
        <f>_xlfn.CONCAT("ORD-",INDEX(Helper!$B$2:$B$5,MATCH(cadangan3[[#This Row],[Marketplace]],Helper!$A$2:$A$5,0)),TEXT(cadangan3[[#This Row],[No]],"0000"),"-",TEXT(cadangan3[[#This Row],[Tanggal terjual]],"dd/mm/yy"))</f>
        <v>ORD-TK0267-04/04/23</v>
      </c>
      <c r="C268" t="s">
        <v>66</v>
      </c>
      <c r="D268" t="str">
        <f>IFERROR(INDEX(Katalog!$A$3:$A$12,MATCH(cadangan3[[#This Row],[ItemID A]],Katalog!$C$3:$C$12,0)),"-")</f>
        <v>Sepatu Pria</v>
      </c>
      <c r="E268" t="str">
        <f>IFERROR(INDEX(Katalog!$B$3:$B$12,MATCH(cadangan3[[#This Row],[ItemID A]],Katalog!$C$3:$C$12,0)),"-")</f>
        <v>Sandal Slip On</v>
      </c>
      <c r="F268">
        <v>6</v>
      </c>
      <c r="G268">
        <v>1</v>
      </c>
      <c r="H268" s="36">
        <f>IFERROR(INDEX(Katalog!$D$3:$D$12,MATCH(cadangan3[[#This Row],[ItemID A]],Katalog!$C$3:$C$12,0))*cadangan3[[#This Row],[Qty A]],0)</f>
        <v>900000</v>
      </c>
      <c r="I268" s="36">
        <f>IFERROR(INDEX(Katalog!$D$3:$D$12,MATCH(cadangan3[[#This Row],[Item A]],Katalog!$B$3:$B$12,0))*cadangan3[[#This Row],[Qty A]],0)</f>
        <v>900000</v>
      </c>
      <c r="J268" s="36">
        <f>IFERROR(cadangan3[[#This Row],[Harga Asli A]]-(cadangan3[[#This Row],[Harga Asli A]]*cadangan3[[#This Row],[Diskon]]),cadangan3[[#This Row],[Harga Asli A]])</f>
        <v>810000</v>
      </c>
      <c r="K268" s="36">
        <f>INDEX(Katalog!$F$3:$F$12,MATCH(cadangan3[[#This Row],[ItemID A]],Katalog!$C$3:$C$12,0))*cadangan3[[#This Row],[Qty A]]</f>
        <v>360000</v>
      </c>
      <c r="L268" s="36">
        <f>IFERROR(cadangan3[[#This Row],[Profit A]]-(cadangan3[[#This Row],[Profit A]]*cadangan3[[#This Row],[Diskon]]),K268)</f>
        <v>324000</v>
      </c>
      <c r="N268" t="str">
        <f>IFERROR(INDEX(Katalog!$A$3:$A$12,MATCH(cadangan3[[#This Row],[ItemID B]],Katalog!$C$3:$C$12,0)),"-")</f>
        <v>-</v>
      </c>
      <c r="O268" t="str">
        <f>IFERROR(INDEX(Katalog!$B$3:$B$12,MATCH(cadangan3[[#This Row],[ItemID B]],Katalog!$C$3:$C$12,0)),"-")</f>
        <v>-</v>
      </c>
      <c r="R268" s="36">
        <f>IFERROR(INDEX(Katalog!$D$3:$D$12,MATCH(cadangan3[[#This Row],[ItemID B]],Katalog!$C$3:$C$12,0))*cadangan3[[#This Row],[Qty B]],0)</f>
        <v>0</v>
      </c>
      <c r="S268" s="36">
        <f>IFERROR(INDEX(Katalog!$D$3:$D$12,MATCH(cadangan3[[#This Row],[Item B]],Katalog!$B$3:$B$12,0))*cadangan3[[#This Row],[Qty B]],0)</f>
        <v>0</v>
      </c>
      <c r="T268" s="36">
        <f>IFERROR(cadangan3[[#This Row],[Harga Asli B]]-(cadangan3[[#This Row],[Harga Asli B]]*cadangan3[[#This Row],[Diskon]]),cadangan3[[#This Row],[Harga Asli B]])</f>
        <v>0</v>
      </c>
      <c r="U268" s="36">
        <f>IFERROR(INDEX(Katalog!$F$3:$F$12,MATCH(cadangan3[[#This Row],[ItemID B]],Katalog!$C$3:$C$12,0))*cadangan3[[#This Row],[Qty B]],0)</f>
        <v>0</v>
      </c>
      <c r="V268" s="36">
        <f>IFERROR(cadangan3[[#This Row],[Profit B]]-(cadangan3[[#This Row],[Profit B]]*cadangan3[[#This Row],[Diskon]]),U268)</f>
        <v>0</v>
      </c>
      <c r="X268" t="str">
        <f>IFERROR(INDEX(Katalog!$A$3:$A$12,MATCH(cadangan3[[#This Row],[ItemID C]],Katalog!$C$3:$C$12,0)),"-")</f>
        <v>-</v>
      </c>
      <c r="Y268" t="str">
        <f>IFERROR(INDEX(Katalog!$B$3:$B$12,MATCH(cadangan3[[#This Row],[ItemID C]],Katalog!$C$3:$C$12,0)),"-")</f>
        <v>-</v>
      </c>
      <c r="AB268" s="36">
        <f>IFERROR(INDEX(Katalog!$D$3:$D$12,MATCH(cadangan3[[#This Row],[ItemID C]],Katalog!$C$3:$C$12,0))*cadangan3[[#This Row],[Qty C]],0)</f>
        <v>0</v>
      </c>
      <c r="AC268" s="36">
        <f>IFERROR(INDEX(Katalog!$D$3:$D$12,MATCH(cadangan3[[#This Row],[Item C]],Katalog!$B$3:$B$12,0))*cadangan3[[#This Row],[Qty C]],0)</f>
        <v>0</v>
      </c>
      <c r="AD268" s="36">
        <f>IFERROR(cadangan3[[#This Row],[Harga Asli C]]-(cadangan3[[#This Row],[Harga Asli C]]*cadangan3[[#This Row],[Diskon]]),cadangan3[[#This Row],[Harga Asli C]])</f>
        <v>0</v>
      </c>
      <c r="AE268" s="36">
        <f>IFERROR(INDEX(Katalog!$F$3:$F$12,MATCH(cadangan3[[#This Row],[ItemID C]],Katalog!$C$3:$C$12,0))*cadangan3[[#This Row],[Qty C]],0)</f>
        <v>0</v>
      </c>
      <c r="AF268" s="36">
        <f>IFERROR(cadangan3[[#This Row],[Profit C]]-(cadangan3[[#This Row],[Profit C]]*cadangan3[[#This Row],[Diskon]]),cadangan3[[#This Row],[Profit C]])</f>
        <v>0</v>
      </c>
      <c r="AG268" s="21">
        <f>cadangan3[[#This Row],[Qty A]]+cadangan3[[#This Row],[Qty B]]+cadangan3[[#This Row],[Qty C]]</f>
        <v>6</v>
      </c>
      <c r="AH268" s="35">
        <f>cadangan3[[#This Row],[Harga A + Diskon]]+cadangan3[[#This Row],[Harga + Diskon B]]+cadangan3[[#This Row],[Harga + Diskon C]]</f>
        <v>810000</v>
      </c>
      <c r="AI268" s="35">
        <f>(cadangan3[[#This Row],[Profit A]]+cadangan3[[#This Row],[Profit B]]+cadangan3[[#This Row],[Profit C]])</f>
        <v>360000</v>
      </c>
      <c r="AJ268" s="35">
        <f>cadangan3[[#This Row],[Provit A + Diskon]]+cadangan3[[#This Row],[Provit B + Diskon]]+cadangan3[[#This Row],[Provit C + Diskon]]</f>
        <v>324000</v>
      </c>
      <c r="AK268" s="23" t="s">
        <v>30</v>
      </c>
      <c r="AL268" s="37">
        <f>IFERROR(INDEX('Kode Diskon'!$D$3:$D$9,MATCH(cadangan3[[#This Row],[Kode diskon]],'Kode Diskon'!$C$3:$C$9,0)),"-")</f>
        <v>0.1</v>
      </c>
      <c r="AM268" s="23" t="s">
        <v>29</v>
      </c>
      <c r="AN268" s="23" t="s">
        <v>10</v>
      </c>
      <c r="AO268" s="23" t="s">
        <v>75</v>
      </c>
      <c r="AP268" s="24">
        <v>45020</v>
      </c>
      <c r="AQ268" s="23" t="str">
        <f>TEXT(cadangan3[[#This Row],[Tanggal terjual]],"dddd")</f>
        <v>Tuesday</v>
      </c>
    </row>
    <row r="269" spans="1:43" x14ac:dyDescent="0.2">
      <c r="A269" s="20">
        <v>268</v>
      </c>
      <c r="B269" s="21" t="str">
        <f>_xlfn.CONCAT("ORD-",INDEX(Helper!$B$2:$B$5,MATCH(cadangan3[[#This Row],[Marketplace]],Helper!$A$2:$A$5,0)),TEXT(cadangan3[[#This Row],[No]],"0000"),"-",TEXT(cadangan3[[#This Row],[Tanggal terjual]],"dd/mm/yy"))</f>
        <v>ORD-BL0268-25/04/23</v>
      </c>
      <c r="C269" t="s">
        <v>66</v>
      </c>
      <c r="D269" t="str">
        <f>IFERROR(INDEX(Katalog!$A$3:$A$12,MATCH(cadangan3[[#This Row],[ItemID A]],Katalog!$C$3:$C$12,0)),"-")</f>
        <v>Sepatu Pria</v>
      </c>
      <c r="E269" t="str">
        <f>IFERROR(INDEX(Katalog!$B$3:$B$12,MATCH(cadangan3[[#This Row],[ItemID A]],Katalog!$C$3:$C$12,0)),"-")</f>
        <v>Sandal Slip On</v>
      </c>
      <c r="F269">
        <v>2</v>
      </c>
      <c r="G269">
        <v>2</v>
      </c>
      <c r="H269" s="36">
        <f>IFERROR(INDEX(Katalog!$D$3:$D$12,MATCH(cadangan3[[#This Row],[ItemID A]],Katalog!$C$3:$C$12,0))*cadangan3[[#This Row],[Qty A]],0)</f>
        <v>300000</v>
      </c>
      <c r="I269" s="36">
        <f>IFERROR(INDEX(Katalog!$D$3:$D$12,MATCH(cadangan3[[#This Row],[Item A]],Katalog!$B$3:$B$12,0))*cadangan3[[#This Row],[Qty A]],0)</f>
        <v>300000</v>
      </c>
      <c r="J269" s="36">
        <f>IFERROR(cadangan3[[#This Row],[Harga Asli A]]-(cadangan3[[#This Row],[Harga Asli A]]*cadangan3[[#This Row],[Diskon]]),cadangan3[[#This Row],[Harga Asli A]])</f>
        <v>255000</v>
      </c>
      <c r="K269" s="36">
        <f>INDEX(Katalog!$F$3:$F$12,MATCH(cadangan3[[#This Row],[ItemID A]],Katalog!$C$3:$C$12,0))*cadangan3[[#This Row],[Qty A]]</f>
        <v>120000</v>
      </c>
      <c r="L269" s="36">
        <f>IFERROR(cadangan3[[#This Row],[Profit A]]-(cadangan3[[#This Row],[Profit A]]*cadangan3[[#This Row],[Diskon]]),K269)</f>
        <v>102000</v>
      </c>
      <c r="M269" t="s">
        <v>64</v>
      </c>
      <c r="N269" t="str">
        <f>IFERROR(INDEX(Katalog!$A$3:$A$12,MATCH(cadangan3[[#This Row],[ItemID B]],Katalog!$C$3:$C$12,0)),"-")</f>
        <v>Pakaian Unisex</v>
      </c>
      <c r="O269" t="str">
        <f>IFERROR(INDEX(Katalog!$B$3:$B$12,MATCH(cadangan3[[#This Row],[ItemID B]],Katalog!$C$3:$C$12,0)),"-")</f>
        <v>Jaket Hoodie</v>
      </c>
      <c r="P269">
        <v>1</v>
      </c>
      <c r="Q269">
        <v>5</v>
      </c>
      <c r="R269" s="36">
        <f>IFERROR(INDEX(Katalog!$D$3:$D$12,MATCH(cadangan3[[#This Row],[ItemID B]],Katalog!$C$3:$C$12,0))*cadangan3[[#This Row],[Qty B]],0)</f>
        <v>350000</v>
      </c>
      <c r="S269" s="36">
        <f>IFERROR(INDEX(Katalog!$D$3:$D$12,MATCH(cadangan3[[#This Row],[Item B]],Katalog!$B$3:$B$12,0))*cadangan3[[#This Row],[Qty B]],0)</f>
        <v>350000</v>
      </c>
      <c r="T269" s="36">
        <f>IFERROR(cadangan3[[#This Row],[Harga Asli B]]-(cadangan3[[#This Row],[Harga Asli B]]*cadangan3[[#This Row],[Diskon]]),cadangan3[[#This Row],[Harga Asli B]])</f>
        <v>297500</v>
      </c>
      <c r="U269" s="36">
        <f>IFERROR(INDEX(Katalog!$F$3:$F$12,MATCH(cadangan3[[#This Row],[ItemID B]],Katalog!$C$3:$C$12,0))*cadangan3[[#This Row],[Qty B]],0)</f>
        <v>130000</v>
      </c>
      <c r="V269" s="36">
        <f>IFERROR(cadangan3[[#This Row],[Profit B]]-(cadangan3[[#This Row],[Profit B]]*cadangan3[[#This Row],[Diskon]]),U269)</f>
        <v>110500</v>
      </c>
      <c r="W269" t="s">
        <v>65</v>
      </c>
      <c r="X269" t="str">
        <f>IFERROR(INDEX(Katalog!$A$3:$A$12,MATCH(cadangan3[[#This Row],[ItemID C]],Katalog!$C$3:$C$12,0)),"-")</f>
        <v>Sepatu Pria</v>
      </c>
      <c r="Y269" t="str">
        <f>IFERROR(INDEX(Katalog!$B$3:$B$12,MATCH(cadangan3[[#This Row],[ItemID C]],Katalog!$C$3:$C$12,0)),"-")</f>
        <v>Sneakers</v>
      </c>
      <c r="Z269">
        <v>4</v>
      </c>
      <c r="AA269">
        <v>1</v>
      </c>
      <c r="AB269" s="36">
        <f>IFERROR(INDEX(Katalog!$D$3:$D$12,MATCH(cadangan3[[#This Row],[ItemID C]],Katalog!$C$3:$C$12,0))*cadangan3[[#This Row],[Qty C]],0)</f>
        <v>2000000</v>
      </c>
      <c r="AC269" s="36">
        <f>IFERROR(INDEX(Katalog!$D$3:$D$12,MATCH(cadangan3[[#This Row],[Item C]],Katalog!$B$3:$B$12,0))*cadangan3[[#This Row],[Qty C]],0)</f>
        <v>2000000</v>
      </c>
      <c r="AD269" s="36">
        <f>IFERROR(cadangan3[[#This Row],[Harga Asli C]]-(cadangan3[[#This Row],[Harga Asli C]]*cadangan3[[#This Row],[Diskon]]),cadangan3[[#This Row],[Harga Asli C]])</f>
        <v>1700000</v>
      </c>
      <c r="AE269" s="36">
        <f>IFERROR(INDEX(Katalog!$F$3:$F$12,MATCH(cadangan3[[#This Row],[ItemID C]],Katalog!$C$3:$C$12,0))*cadangan3[[#This Row],[Qty C]],0)</f>
        <v>800000</v>
      </c>
      <c r="AF269" s="36">
        <f>IFERROR(cadangan3[[#This Row],[Profit C]]-(cadangan3[[#This Row],[Profit C]]*cadangan3[[#This Row],[Diskon]]),cadangan3[[#This Row],[Profit C]])</f>
        <v>680000</v>
      </c>
      <c r="AG269" s="21">
        <f>cadangan3[[#This Row],[Qty A]]+cadangan3[[#This Row],[Qty B]]+cadangan3[[#This Row],[Qty C]]</f>
        <v>7</v>
      </c>
      <c r="AH269" s="35">
        <f>cadangan3[[#This Row],[Harga A + Diskon]]+cadangan3[[#This Row],[Harga + Diskon B]]+cadangan3[[#This Row],[Harga + Diskon C]]</f>
        <v>2252500</v>
      </c>
      <c r="AI269" s="35">
        <f>(cadangan3[[#This Row],[Profit A]]+cadangan3[[#This Row],[Profit B]]+cadangan3[[#This Row],[Profit C]])</f>
        <v>1050000</v>
      </c>
      <c r="AJ269" s="35">
        <f>cadangan3[[#This Row],[Provit A + Diskon]]+cadangan3[[#This Row],[Provit B + Diskon]]+cadangan3[[#This Row],[Provit C + Diskon]]</f>
        <v>892500</v>
      </c>
      <c r="AK269" s="23" t="s">
        <v>32</v>
      </c>
      <c r="AL269" s="37">
        <f>IFERROR(INDEX('Kode Diskon'!$D$3:$D$9,MATCH(cadangan3[[#This Row],[Kode diskon]],'Kode Diskon'!$C$3:$C$9,0)),"-")</f>
        <v>0.15</v>
      </c>
      <c r="AM269" s="23" t="s">
        <v>9</v>
      </c>
      <c r="AN269" s="23" t="s">
        <v>12</v>
      </c>
      <c r="AO269" s="23" t="s">
        <v>80</v>
      </c>
      <c r="AP269" s="24">
        <v>45041</v>
      </c>
      <c r="AQ269" s="23" t="str">
        <f>TEXT(cadangan3[[#This Row],[Tanggal terjual]],"dddd")</f>
        <v>Tuesday</v>
      </c>
    </row>
    <row r="270" spans="1:43" x14ac:dyDescent="0.2">
      <c r="A270" s="20">
        <v>269</v>
      </c>
      <c r="B270" s="21" t="str">
        <f>_xlfn.CONCAT("ORD-",INDEX(Helper!$B$2:$B$5,MATCH(cadangan3[[#This Row],[Marketplace]],Helper!$A$2:$A$5,0)),TEXT(cadangan3[[#This Row],[No]],"0000"),"-",TEXT(cadangan3[[#This Row],[Tanggal terjual]],"dd/mm/yy"))</f>
        <v>ORD-TK0269-03/04/23</v>
      </c>
      <c r="C270" t="s">
        <v>66</v>
      </c>
      <c r="D270" t="str">
        <f>IFERROR(INDEX(Katalog!$A$3:$A$12,MATCH(cadangan3[[#This Row],[ItemID A]],Katalog!$C$3:$C$12,0)),"-")</f>
        <v>Sepatu Pria</v>
      </c>
      <c r="E270" t="str">
        <f>IFERROR(INDEX(Katalog!$B$3:$B$12,MATCH(cadangan3[[#This Row],[ItemID A]],Katalog!$C$3:$C$12,0)),"-")</f>
        <v>Sandal Slip On</v>
      </c>
      <c r="F270">
        <v>4</v>
      </c>
      <c r="G270">
        <v>2</v>
      </c>
      <c r="H270" s="36">
        <f>IFERROR(INDEX(Katalog!$D$3:$D$12,MATCH(cadangan3[[#This Row],[ItemID A]],Katalog!$C$3:$C$12,0))*cadangan3[[#This Row],[Qty A]],0)</f>
        <v>600000</v>
      </c>
      <c r="I270" s="36">
        <f>IFERROR(INDEX(Katalog!$D$3:$D$12,MATCH(cadangan3[[#This Row],[Item A]],Katalog!$B$3:$B$12,0))*cadangan3[[#This Row],[Qty A]],0)</f>
        <v>600000</v>
      </c>
      <c r="J270" s="36">
        <f>IFERROR(cadangan3[[#This Row],[Harga Asli A]]-(cadangan3[[#This Row],[Harga Asli A]]*cadangan3[[#This Row],[Diskon]]),cadangan3[[#This Row],[Harga Asli A]])</f>
        <v>540000</v>
      </c>
      <c r="K270" s="36">
        <f>INDEX(Katalog!$F$3:$F$12,MATCH(cadangan3[[#This Row],[ItemID A]],Katalog!$C$3:$C$12,0))*cadangan3[[#This Row],[Qty A]]</f>
        <v>240000</v>
      </c>
      <c r="L270" s="36">
        <f>IFERROR(cadangan3[[#This Row],[Profit A]]-(cadangan3[[#This Row],[Profit A]]*cadangan3[[#This Row],[Diskon]]),K270)</f>
        <v>216000</v>
      </c>
      <c r="M270" t="s">
        <v>59</v>
      </c>
      <c r="N270" t="str">
        <f>IFERROR(INDEX(Katalog!$A$3:$A$12,MATCH(cadangan3[[#This Row],[ItemID B]],Katalog!$C$3:$C$12,0)),"-")</f>
        <v>Pakaian Wanita</v>
      </c>
      <c r="O270" t="str">
        <f>IFERROR(INDEX(Katalog!$B$3:$B$12,MATCH(cadangan3[[#This Row],[ItemID B]],Katalog!$C$3:$C$12,0)),"-")</f>
        <v>Blouse</v>
      </c>
      <c r="P270">
        <v>3</v>
      </c>
      <c r="Q270">
        <v>4</v>
      </c>
      <c r="R270" s="36">
        <f>IFERROR(INDEX(Katalog!$D$3:$D$12,MATCH(cadangan3[[#This Row],[ItemID B]],Katalog!$C$3:$C$12,0))*cadangan3[[#This Row],[Qty B]],0)</f>
        <v>450000</v>
      </c>
      <c r="S270" s="36">
        <f>IFERROR(INDEX(Katalog!$D$3:$D$12,MATCH(cadangan3[[#This Row],[Item B]],Katalog!$B$3:$B$12,0))*cadangan3[[#This Row],[Qty B]],0)</f>
        <v>450000</v>
      </c>
      <c r="T270" s="36">
        <f>IFERROR(cadangan3[[#This Row],[Harga Asli B]]-(cadangan3[[#This Row],[Harga Asli B]]*cadangan3[[#This Row],[Diskon]]),cadangan3[[#This Row],[Harga Asli B]])</f>
        <v>405000</v>
      </c>
      <c r="U270" s="36">
        <f>IFERROR(INDEX(Katalog!$F$3:$F$12,MATCH(cadangan3[[#This Row],[ItemID B]],Katalog!$C$3:$C$12,0))*cadangan3[[#This Row],[Qty B]],0)</f>
        <v>150000</v>
      </c>
      <c r="V270" s="36">
        <f>IFERROR(cadangan3[[#This Row],[Profit B]]-(cadangan3[[#This Row],[Profit B]]*cadangan3[[#This Row],[Diskon]]),U270)</f>
        <v>135000</v>
      </c>
      <c r="X270" t="str">
        <f>IFERROR(INDEX(Katalog!$A$3:$A$12,MATCH(cadangan3[[#This Row],[ItemID C]],Katalog!$C$3:$C$12,0)),"-")</f>
        <v>-</v>
      </c>
      <c r="Y270" t="str">
        <f>IFERROR(INDEX(Katalog!$B$3:$B$12,MATCH(cadangan3[[#This Row],[ItemID C]],Katalog!$C$3:$C$12,0)),"-")</f>
        <v>-</v>
      </c>
      <c r="AB270" s="36">
        <f>IFERROR(INDEX(Katalog!$D$3:$D$12,MATCH(cadangan3[[#This Row],[ItemID C]],Katalog!$C$3:$C$12,0))*cadangan3[[#This Row],[Qty C]],0)</f>
        <v>0</v>
      </c>
      <c r="AC270" s="36">
        <f>IFERROR(INDEX(Katalog!$D$3:$D$12,MATCH(cadangan3[[#This Row],[Item C]],Katalog!$B$3:$B$12,0))*cadangan3[[#This Row],[Qty C]],0)</f>
        <v>0</v>
      </c>
      <c r="AD270" s="36">
        <f>IFERROR(cadangan3[[#This Row],[Harga Asli C]]-(cadangan3[[#This Row],[Harga Asli C]]*cadangan3[[#This Row],[Diskon]]),cadangan3[[#This Row],[Harga Asli C]])</f>
        <v>0</v>
      </c>
      <c r="AE270" s="36">
        <f>IFERROR(INDEX(Katalog!$F$3:$F$12,MATCH(cadangan3[[#This Row],[ItemID C]],Katalog!$C$3:$C$12,0))*cadangan3[[#This Row],[Qty C]],0)</f>
        <v>0</v>
      </c>
      <c r="AF270" s="36">
        <f>IFERROR(cadangan3[[#This Row],[Profit C]]-(cadangan3[[#This Row],[Profit C]]*cadangan3[[#This Row],[Diskon]]),cadangan3[[#This Row],[Profit C]])</f>
        <v>0</v>
      </c>
      <c r="AG270" s="21">
        <f>cadangan3[[#This Row],[Qty A]]+cadangan3[[#This Row],[Qty B]]+cadangan3[[#This Row],[Qty C]]</f>
        <v>7</v>
      </c>
      <c r="AH270" s="35">
        <f>cadangan3[[#This Row],[Harga A + Diskon]]+cadangan3[[#This Row],[Harga + Diskon B]]+cadangan3[[#This Row],[Harga + Diskon C]]</f>
        <v>945000</v>
      </c>
      <c r="AI270" s="35">
        <f>(cadangan3[[#This Row],[Profit A]]+cadangan3[[#This Row],[Profit B]]+cadangan3[[#This Row],[Profit C]])</f>
        <v>390000</v>
      </c>
      <c r="AJ270" s="35">
        <f>cadangan3[[#This Row],[Provit A + Diskon]]+cadangan3[[#This Row],[Provit B + Diskon]]+cadangan3[[#This Row],[Provit C + Diskon]]</f>
        <v>351000</v>
      </c>
      <c r="AK270" s="23" t="s">
        <v>30</v>
      </c>
      <c r="AL270" s="37">
        <f>IFERROR(INDEX('Kode Diskon'!$D$3:$D$9,MATCH(cadangan3[[#This Row],[Kode diskon]],'Kode Diskon'!$C$3:$C$9,0)),"-")</f>
        <v>0.1</v>
      </c>
      <c r="AM270" s="23" t="s">
        <v>29</v>
      </c>
      <c r="AN270" s="23" t="s">
        <v>10</v>
      </c>
      <c r="AO270" s="23" t="s">
        <v>80</v>
      </c>
      <c r="AP270" s="24">
        <v>45019</v>
      </c>
      <c r="AQ270" s="23" t="str">
        <f>TEXT(cadangan3[[#This Row],[Tanggal terjual]],"dddd")</f>
        <v>Monday</v>
      </c>
    </row>
    <row r="271" spans="1:43" x14ac:dyDescent="0.2">
      <c r="A271" s="20">
        <v>270</v>
      </c>
      <c r="B271" s="21" t="str">
        <f>_xlfn.CONCAT("ORD-",INDEX(Helper!$B$2:$B$5,MATCH(cadangan3[[#This Row],[Marketplace]],Helper!$A$2:$A$5,0)),TEXT(cadangan3[[#This Row],[No]],"0000"),"-",TEXT(cadangan3[[#This Row],[Tanggal terjual]],"dd/mm/yy"))</f>
        <v>ORD-BL0270-20/04/23</v>
      </c>
      <c r="C271" t="s">
        <v>64</v>
      </c>
      <c r="D271" t="str">
        <f>IFERROR(INDEX(Katalog!$A$3:$A$12,MATCH(cadangan3[[#This Row],[ItemID A]],Katalog!$C$3:$C$12,0)),"-")</f>
        <v>Pakaian Unisex</v>
      </c>
      <c r="E271" t="str">
        <f>IFERROR(INDEX(Katalog!$B$3:$B$12,MATCH(cadangan3[[#This Row],[ItemID A]],Katalog!$C$3:$C$12,0)),"-")</f>
        <v>Jaket Hoodie</v>
      </c>
      <c r="F271">
        <v>1</v>
      </c>
      <c r="G271">
        <v>5</v>
      </c>
      <c r="H271" s="36">
        <f>IFERROR(INDEX(Katalog!$D$3:$D$12,MATCH(cadangan3[[#This Row],[ItemID A]],Katalog!$C$3:$C$12,0))*cadangan3[[#This Row],[Qty A]],0)</f>
        <v>350000</v>
      </c>
      <c r="I271" s="36">
        <f>IFERROR(INDEX(Katalog!$D$3:$D$12,MATCH(cadangan3[[#This Row],[Item A]],Katalog!$B$3:$B$12,0))*cadangan3[[#This Row],[Qty A]],0)</f>
        <v>350000</v>
      </c>
      <c r="J271" s="36">
        <f>IFERROR(cadangan3[[#This Row],[Harga Asli A]]-(cadangan3[[#This Row],[Harga Asli A]]*cadangan3[[#This Row],[Diskon]]),cadangan3[[#This Row],[Harga Asli A]])</f>
        <v>297500</v>
      </c>
      <c r="K271" s="36">
        <f>INDEX(Katalog!$F$3:$F$12,MATCH(cadangan3[[#This Row],[ItemID A]],Katalog!$C$3:$C$12,0))*cadangan3[[#This Row],[Qty A]]</f>
        <v>130000</v>
      </c>
      <c r="L271" s="36">
        <f>IFERROR(cadangan3[[#This Row],[Profit A]]-(cadangan3[[#This Row],[Profit A]]*cadangan3[[#This Row],[Diskon]]),K271)</f>
        <v>110500</v>
      </c>
      <c r="M271" t="s">
        <v>61</v>
      </c>
      <c r="N271" t="str">
        <f>IFERROR(INDEX(Katalog!$A$3:$A$12,MATCH(cadangan3[[#This Row],[ItemID B]],Katalog!$C$3:$C$12,0)),"-")</f>
        <v>Pakaian Pria</v>
      </c>
      <c r="O271" t="str">
        <f>IFERROR(INDEX(Katalog!$B$3:$B$12,MATCH(cadangan3[[#This Row],[ItemID B]],Katalog!$C$3:$C$12,0)),"-")</f>
        <v>Kaos Polo</v>
      </c>
      <c r="P271">
        <v>1</v>
      </c>
      <c r="Q271">
        <v>1</v>
      </c>
      <c r="R271" s="36">
        <f>IFERROR(INDEX(Katalog!$D$3:$D$12,MATCH(cadangan3[[#This Row],[ItemID B]],Katalog!$C$3:$C$12,0))*cadangan3[[#This Row],[Qty B]],0)</f>
        <v>200000</v>
      </c>
      <c r="S271" s="36">
        <f>IFERROR(INDEX(Katalog!$D$3:$D$12,MATCH(cadangan3[[#This Row],[Item B]],Katalog!$B$3:$B$12,0))*cadangan3[[#This Row],[Qty B]],0)</f>
        <v>200000</v>
      </c>
      <c r="T271" s="36">
        <f>IFERROR(cadangan3[[#This Row],[Harga Asli B]]-(cadangan3[[#This Row],[Harga Asli B]]*cadangan3[[#This Row],[Diskon]]),cadangan3[[#This Row],[Harga Asli B]])</f>
        <v>170000</v>
      </c>
      <c r="U271" s="36">
        <f>IFERROR(INDEX(Katalog!$F$3:$F$12,MATCH(cadangan3[[#This Row],[ItemID B]],Katalog!$C$3:$C$12,0))*cadangan3[[#This Row],[Qty B]],0)</f>
        <v>80000</v>
      </c>
      <c r="V271" s="36">
        <f>IFERROR(cadangan3[[#This Row],[Profit B]]-(cadangan3[[#This Row],[Profit B]]*cadangan3[[#This Row],[Diskon]]),U271)</f>
        <v>68000</v>
      </c>
      <c r="X271" t="str">
        <f>IFERROR(INDEX(Katalog!$A$3:$A$12,MATCH(cadangan3[[#This Row],[ItemID C]],Katalog!$C$3:$C$12,0)),"-")</f>
        <v>-</v>
      </c>
      <c r="Y271" t="str">
        <f>IFERROR(INDEX(Katalog!$B$3:$B$12,MATCH(cadangan3[[#This Row],[ItemID C]],Katalog!$C$3:$C$12,0)),"-")</f>
        <v>-</v>
      </c>
      <c r="AB271" s="36">
        <f>IFERROR(INDEX(Katalog!$D$3:$D$12,MATCH(cadangan3[[#This Row],[ItemID C]],Katalog!$C$3:$C$12,0))*cadangan3[[#This Row],[Qty C]],0)</f>
        <v>0</v>
      </c>
      <c r="AC271" s="36">
        <f>IFERROR(INDEX(Katalog!$D$3:$D$12,MATCH(cadangan3[[#This Row],[Item C]],Katalog!$B$3:$B$12,0))*cadangan3[[#This Row],[Qty C]],0)</f>
        <v>0</v>
      </c>
      <c r="AD271" s="36">
        <f>IFERROR(cadangan3[[#This Row],[Harga Asli C]]-(cadangan3[[#This Row],[Harga Asli C]]*cadangan3[[#This Row],[Diskon]]),cadangan3[[#This Row],[Harga Asli C]])</f>
        <v>0</v>
      </c>
      <c r="AE271" s="36">
        <f>IFERROR(INDEX(Katalog!$F$3:$F$12,MATCH(cadangan3[[#This Row],[ItemID C]],Katalog!$C$3:$C$12,0))*cadangan3[[#This Row],[Qty C]],0)</f>
        <v>0</v>
      </c>
      <c r="AF271" s="36">
        <f>IFERROR(cadangan3[[#This Row],[Profit C]]-(cadangan3[[#This Row],[Profit C]]*cadangan3[[#This Row],[Diskon]]),cadangan3[[#This Row],[Profit C]])</f>
        <v>0</v>
      </c>
      <c r="AG271" s="21">
        <f>cadangan3[[#This Row],[Qty A]]+cadangan3[[#This Row],[Qty B]]+cadangan3[[#This Row],[Qty C]]</f>
        <v>2</v>
      </c>
      <c r="AH271" s="35">
        <f>cadangan3[[#This Row],[Harga A + Diskon]]+cadangan3[[#This Row],[Harga + Diskon B]]+cadangan3[[#This Row],[Harga + Diskon C]]</f>
        <v>467500</v>
      </c>
      <c r="AI271" s="35">
        <f>(cadangan3[[#This Row],[Profit A]]+cadangan3[[#This Row],[Profit B]]+cadangan3[[#This Row],[Profit C]])</f>
        <v>210000</v>
      </c>
      <c r="AJ271" s="35">
        <f>cadangan3[[#This Row],[Provit A + Diskon]]+cadangan3[[#This Row],[Provit B + Diskon]]+cadangan3[[#This Row],[Provit C + Diskon]]</f>
        <v>178500</v>
      </c>
      <c r="AK271" s="23" t="s">
        <v>32</v>
      </c>
      <c r="AL271" s="37">
        <f>IFERROR(INDEX('Kode Diskon'!$D$3:$D$9,MATCH(cadangan3[[#This Row],[Kode diskon]],'Kode Diskon'!$C$3:$C$9,0)),"-")</f>
        <v>0.15</v>
      </c>
      <c r="AM271" s="23" t="s">
        <v>9</v>
      </c>
      <c r="AN271" s="23" t="s">
        <v>12</v>
      </c>
      <c r="AO271" s="23" t="s">
        <v>80</v>
      </c>
      <c r="AP271" s="24">
        <v>45036</v>
      </c>
      <c r="AQ271" s="23" t="str">
        <f>TEXT(cadangan3[[#This Row],[Tanggal terjual]],"dddd")</f>
        <v>Thursday</v>
      </c>
    </row>
    <row r="272" spans="1:43" x14ac:dyDescent="0.2">
      <c r="A272" s="20">
        <v>271</v>
      </c>
      <c r="B272" s="21" t="str">
        <f>_xlfn.CONCAT("ORD-",INDEX(Helper!$B$2:$B$5,MATCH(cadangan3[[#This Row],[Marketplace]],Helper!$A$2:$A$5,0)),TEXT(cadangan3[[#This Row],[No]],"0000"),"-",TEXT(cadangan3[[#This Row],[Tanggal terjual]],"dd/mm/yy"))</f>
        <v>ORD-SP0271-14/04/23</v>
      </c>
      <c r="C272" t="s">
        <v>60</v>
      </c>
      <c r="D272" t="str">
        <f>IFERROR(INDEX(Katalog!$A$3:$A$12,MATCH(cadangan3[[#This Row],[ItemID A]],Katalog!$C$3:$C$12,0)),"-")</f>
        <v>Pakaian Wanita</v>
      </c>
      <c r="E272" t="str">
        <f>IFERROR(INDEX(Katalog!$B$3:$B$12,MATCH(cadangan3[[#This Row],[ItemID A]],Katalog!$C$3:$C$12,0)),"-")</f>
        <v>Kaftan</v>
      </c>
      <c r="F272">
        <v>5</v>
      </c>
      <c r="G272">
        <v>5</v>
      </c>
      <c r="H272" s="36">
        <f>IFERROR(INDEX(Katalog!$D$3:$D$12,MATCH(cadangan3[[#This Row],[ItemID A]],Katalog!$C$3:$C$12,0))*cadangan3[[#This Row],[Qty A]],0)</f>
        <v>1250000</v>
      </c>
      <c r="I272" s="36">
        <f>IFERROR(INDEX(Katalog!$D$3:$D$12,MATCH(cadangan3[[#This Row],[Item A]],Katalog!$B$3:$B$12,0))*cadangan3[[#This Row],[Qty A]],0)</f>
        <v>1250000</v>
      </c>
      <c r="J272" s="36">
        <f>IFERROR(cadangan3[[#This Row],[Harga Asli A]]-(cadangan3[[#This Row],[Harga Asli A]]*cadangan3[[#This Row],[Diskon]]),cadangan3[[#This Row],[Harga Asli A]])</f>
        <v>1250000</v>
      </c>
      <c r="K272" s="36">
        <f>INDEX(Katalog!$F$3:$F$12,MATCH(cadangan3[[#This Row],[ItemID A]],Katalog!$C$3:$C$12,0))*cadangan3[[#This Row],[Qty A]]</f>
        <v>500000</v>
      </c>
      <c r="L272" s="36">
        <f>IFERROR(cadangan3[[#This Row],[Profit A]]-(cadangan3[[#This Row],[Profit A]]*cadangan3[[#This Row],[Diskon]]),K272)</f>
        <v>500000</v>
      </c>
      <c r="N272" t="str">
        <f>IFERROR(INDEX(Katalog!$A$3:$A$12,MATCH(cadangan3[[#This Row],[ItemID B]],Katalog!$C$3:$C$12,0)),"-")</f>
        <v>-</v>
      </c>
      <c r="O272" t="str">
        <f>IFERROR(INDEX(Katalog!$B$3:$B$12,MATCH(cadangan3[[#This Row],[ItemID B]],Katalog!$C$3:$C$12,0)),"-")</f>
        <v>-</v>
      </c>
      <c r="R272" s="36">
        <f>IFERROR(INDEX(Katalog!$D$3:$D$12,MATCH(cadangan3[[#This Row],[ItemID B]],Katalog!$C$3:$C$12,0))*cadangan3[[#This Row],[Qty B]],0)</f>
        <v>0</v>
      </c>
      <c r="S272" s="36">
        <f>IFERROR(INDEX(Katalog!$D$3:$D$12,MATCH(cadangan3[[#This Row],[Item B]],Katalog!$B$3:$B$12,0))*cadangan3[[#This Row],[Qty B]],0)</f>
        <v>0</v>
      </c>
      <c r="T272" s="36">
        <f>IFERROR(cadangan3[[#This Row],[Harga Asli B]]-(cadangan3[[#This Row],[Harga Asli B]]*cadangan3[[#This Row],[Diskon]]),cadangan3[[#This Row],[Harga Asli B]])</f>
        <v>0</v>
      </c>
      <c r="U272" s="36">
        <f>IFERROR(INDEX(Katalog!$F$3:$F$12,MATCH(cadangan3[[#This Row],[ItemID B]],Katalog!$C$3:$C$12,0))*cadangan3[[#This Row],[Qty B]],0)</f>
        <v>0</v>
      </c>
      <c r="V272" s="36">
        <f>IFERROR(cadangan3[[#This Row],[Profit B]]-(cadangan3[[#This Row],[Profit B]]*cadangan3[[#This Row],[Diskon]]),U272)</f>
        <v>0</v>
      </c>
      <c r="X272" t="str">
        <f>IFERROR(INDEX(Katalog!$A$3:$A$12,MATCH(cadangan3[[#This Row],[ItemID C]],Katalog!$C$3:$C$12,0)),"-")</f>
        <v>-</v>
      </c>
      <c r="Y272" t="str">
        <f>IFERROR(INDEX(Katalog!$B$3:$B$12,MATCH(cadangan3[[#This Row],[ItemID C]],Katalog!$C$3:$C$12,0)),"-")</f>
        <v>-</v>
      </c>
      <c r="AB272" s="36">
        <f>IFERROR(INDEX(Katalog!$D$3:$D$12,MATCH(cadangan3[[#This Row],[ItemID C]],Katalog!$C$3:$C$12,0))*cadangan3[[#This Row],[Qty C]],0)</f>
        <v>0</v>
      </c>
      <c r="AC272" s="36">
        <f>IFERROR(INDEX(Katalog!$D$3:$D$12,MATCH(cadangan3[[#This Row],[Item C]],Katalog!$B$3:$B$12,0))*cadangan3[[#This Row],[Qty C]],0)</f>
        <v>0</v>
      </c>
      <c r="AD272" s="36">
        <f>IFERROR(cadangan3[[#This Row],[Harga Asli C]]-(cadangan3[[#This Row],[Harga Asli C]]*cadangan3[[#This Row],[Diskon]]),cadangan3[[#This Row],[Harga Asli C]])</f>
        <v>0</v>
      </c>
      <c r="AE272" s="36">
        <f>IFERROR(INDEX(Katalog!$F$3:$F$12,MATCH(cadangan3[[#This Row],[ItemID C]],Katalog!$C$3:$C$12,0))*cadangan3[[#This Row],[Qty C]],0)</f>
        <v>0</v>
      </c>
      <c r="AF272" s="36">
        <f>IFERROR(cadangan3[[#This Row],[Profit C]]-(cadangan3[[#This Row],[Profit C]]*cadangan3[[#This Row],[Diskon]]),cadangan3[[#This Row],[Profit C]])</f>
        <v>0</v>
      </c>
      <c r="AG272" s="21">
        <f>cadangan3[[#This Row],[Qty A]]+cadangan3[[#This Row],[Qty B]]+cadangan3[[#This Row],[Qty C]]</f>
        <v>5</v>
      </c>
      <c r="AH272" s="35">
        <f>cadangan3[[#This Row],[Harga A + Diskon]]+cadangan3[[#This Row],[Harga + Diskon B]]+cadangan3[[#This Row],[Harga + Diskon C]]</f>
        <v>1250000</v>
      </c>
      <c r="AI272" s="35">
        <f>(cadangan3[[#This Row],[Profit A]]+cadangan3[[#This Row],[Profit B]]+cadangan3[[#This Row],[Profit C]])</f>
        <v>500000</v>
      </c>
      <c r="AJ272" s="35">
        <f>cadangan3[[#This Row],[Provit A + Diskon]]+cadangan3[[#This Row],[Provit B + Diskon]]+cadangan3[[#This Row],[Provit C + Diskon]]</f>
        <v>500000</v>
      </c>
      <c r="AK272" s="23" t="s">
        <v>11</v>
      </c>
      <c r="AL272" s="37" t="str">
        <f>IFERROR(INDEX('Kode Diskon'!$D$3:$D$9,MATCH(cadangan3[[#This Row],[Kode diskon]],'Kode Diskon'!$C$3:$C$9,0)),"-")</f>
        <v>-</v>
      </c>
      <c r="AM272" s="23" t="s">
        <v>11</v>
      </c>
      <c r="AN272" s="23" t="s">
        <v>7</v>
      </c>
      <c r="AO272" s="23" t="s">
        <v>79</v>
      </c>
      <c r="AP272" s="24">
        <v>45030</v>
      </c>
      <c r="AQ272" s="23" t="str">
        <f>TEXT(cadangan3[[#This Row],[Tanggal terjual]],"dddd")</f>
        <v>Friday</v>
      </c>
    </row>
    <row r="273" spans="1:43" x14ac:dyDescent="0.2">
      <c r="A273" s="20">
        <v>272</v>
      </c>
      <c r="B273" s="21" t="str">
        <f>_xlfn.CONCAT("ORD-",INDEX(Helper!$B$2:$B$5,MATCH(cadangan3[[#This Row],[Marketplace]],Helper!$A$2:$A$5,0)),TEXT(cadangan3[[#This Row],[No]],"0000"),"-",TEXT(cadangan3[[#This Row],[Tanggal terjual]],"dd/mm/yy"))</f>
        <v>ORD-TK0272-21/04/23</v>
      </c>
      <c r="C273" t="s">
        <v>66</v>
      </c>
      <c r="D273" t="str">
        <f>IFERROR(INDEX(Katalog!$A$3:$A$12,MATCH(cadangan3[[#This Row],[ItemID A]],Katalog!$C$3:$C$12,0)),"-")</f>
        <v>Sepatu Pria</v>
      </c>
      <c r="E273" t="str">
        <f>IFERROR(INDEX(Katalog!$B$3:$B$12,MATCH(cadangan3[[#This Row],[ItemID A]],Katalog!$C$3:$C$12,0)),"-")</f>
        <v>Sandal Slip On</v>
      </c>
      <c r="F273">
        <v>5</v>
      </c>
      <c r="G273">
        <v>2</v>
      </c>
      <c r="H273" s="36">
        <f>IFERROR(INDEX(Katalog!$D$3:$D$12,MATCH(cadangan3[[#This Row],[ItemID A]],Katalog!$C$3:$C$12,0))*cadangan3[[#This Row],[Qty A]],0)</f>
        <v>750000</v>
      </c>
      <c r="I273" s="36">
        <f>IFERROR(INDEX(Katalog!$D$3:$D$12,MATCH(cadangan3[[#This Row],[Item A]],Katalog!$B$3:$B$12,0))*cadangan3[[#This Row],[Qty A]],0)</f>
        <v>750000</v>
      </c>
      <c r="J273" s="36">
        <f>IFERROR(cadangan3[[#This Row],[Harga Asli A]]-(cadangan3[[#This Row],[Harga Asli A]]*cadangan3[[#This Row],[Diskon]]),cadangan3[[#This Row],[Harga Asli A]])</f>
        <v>675000</v>
      </c>
      <c r="K273" s="36">
        <f>INDEX(Katalog!$F$3:$F$12,MATCH(cadangan3[[#This Row],[ItemID A]],Katalog!$C$3:$C$12,0))*cadangan3[[#This Row],[Qty A]]</f>
        <v>300000</v>
      </c>
      <c r="L273" s="36">
        <f>IFERROR(cadangan3[[#This Row],[Profit A]]-(cadangan3[[#This Row],[Profit A]]*cadangan3[[#This Row],[Diskon]]),K273)</f>
        <v>270000</v>
      </c>
      <c r="N273" t="str">
        <f>IFERROR(INDEX(Katalog!$A$3:$A$12,MATCH(cadangan3[[#This Row],[ItemID B]],Katalog!$C$3:$C$12,0)),"-")</f>
        <v>-</v>
      </c>
      <c r="O273" t="str">
        <f>IFERROR(INDEX(Katalog!$B$3:$B$12,MATCH(cadangan3[[#This Row],[ItemID B]],Katalog!$C$3:$C$12,0)),"-")</f>
        <v>-</v>
      </c>
      <c r="R273" s="36">
        <f>IFERROR(INDEX(Katalog!$D$3:$D$12,MATCH(cadangan3[[#This Row],[ItemID B]],Katalog!$C$3:$C$12,0))*cadangan3[[#This Row],[Qty B]],0)</f>
        <v>0</v>
      </c>
      <c r="S273" s="36">
        <f>IFERROR(INDEX(Katalog!$D$3:$D$12,MATCH(cadangan3[[#This Row],[Item B]],Katalog!$B$3:$B$12,0))*cadangan3[[#This Row],[Qty B]],0)</f>
        <v>0</v>
      </c>
      <c r="T273" s="36">
        <f>IFERROR(cadangan3[[#This Row],[Harga Asli B]]-(cadangan3[[#This Row],[Harga Asli B]]*cadangan3[[#This Row],[Diskon]]),cadangan3[[#This Row],[Harga Asli B]])</f>
        <v>0</v>
      </c>
      <c r="U273" s="36">
        <f>IFERROR(INDEX(Katalog!$F$3:$F$12,MATCH(cadangan3[[#This Row],[ItemID B]],Katalog!$C$3:$C$12,0))*cadangan3[[#This Row],[Qty B]],0)</f>
        <v>0</v>
      </c>
      <c r="V273" s="36">
        <f>IFERROR(cadangan3[[#This Row],[Profit B]]-(cadangan3[[#This Row],[Profit B]]*cadangan3[[#This Row],[Diskon]]),U273)</f>
        <v>0</v>
      </c>
      <c r="X273" t="str">
        <f>IFERROR(INDEX(Katalog!$A$3:$A$12,MATCH(cadangan3[[#This Row],[ItemID C]],Katalog!$C$3:$C$12,0)),"-")</f>
        <v>-</v>
      </c>
      <c r="Y273" t="str">
        <f>IFERROR(INDEX(Katalog!$B$3:$B$12,MATCH(cadangan3[[#This Row],[ItemID C]],Katalog!$C$3:$C$12,0)),"-")</f>
        <v>-</v>
      </c>
      <c r="AB273" s="36">
        <f>IFERROR(INDEX(Katalog!$D$3:$D$12,MATCH(cadangan3[[#This Row],[ItemID C]],Katalog!$C$3:$C$12,0))*cadangan3[[#This Row],[Qty C]],0)</f>
        <v>0</v>
      </c>
      <c r="AC273" s="36">
        <f>IFERROR(INDEX(Katalog!$D$3:$D$12,MATCH(cadangan3[[#This Row],[Item C]],Katalog!$B$3:$B$12,0))*cadangan3[[#This Row],[Qty C]],0)</f>
        <v>0</v>
      </c>
      <c r="AD273" s="36">
        <f>IFERROR(cadangan3[[#This Row],[Harga Asli C]]-(cadangan3[[#This Row],[Harga Asli C]]*cadangan3[[#This Row],[Diskon]]),cadangan3[[#This Row],[Harga Asli C]])</f>
        <v>0</v>
      </c>
      <c r="AE273" s="36">
        <f>IFERROR(INDEX(Katalog!$F$3:$F$12,MATCH(cadangan3[[#This Row],[ItemID C]],Katalog!$C$3:$C$12,0))*cadangan3[[#This Row],[Qty C]],0)</f>
        <v>0</v>
      </c>
      <c r="AF273" s="36">
        <f>IFERROR(cadangan3[[#This Row],[Profit C]]-(cadangan3[[#This Row],[Profit C]]*cadangan3[[#This Row],[Diskon]]),cadangan3[[#This Row],[Profit C]])</f>
        <v>0</v>
      </c>
      <c r="AG273" s="21">
        <f>cadangan3[[#This Row],[Qty A]]+cadangan3[[#This Row],[Qty B]]+cadangan3[[#This Row],[Qty C]]</f>
        <v>5</v>
      </c>
      <c r="AH273" s="35">
        <f>cadangan3[[#This Row],[Harga A + Diskon]]+cadangan3[[#This Row],[Harga + Diskon B]]+cadangan3[[#This Row],[Harga + Diskon C]]</f>
        <v>675000</v>
      </c>
      <c r="AI273" s="35">
        <f>(cadangan3[[#This Row],[Profit A]]+cadangan3[[#This Row],[Profit B]]+cadangan3[[#This Row],[Profit C]])</f>
        <v>300000</v>
      </c>
      <c r="AJ273" s="35">
        <f>cadangan3[[#This Row],[Provit A + Diskon]]+cadangan3[[#This Row],[Provit B + Diskon]]+cadangan3[[#This Row],[Provit C + Diskon]]</f>
        <v>270000</v>
      </c>
      <c r="AK273" s="23" t="s">
        <v>31</v>
      </c>
      <c r="AL273" s="37">
        <f>IFERROR(INDEX('Kode Diskon'!$D$3:$D$9,MATCH(cadangan3[[#This Row],[Kode diskon]],'Kode Diskon'!$C$3:$C$9,0)),"-")</f>
        <v>0.1</v>
      </c>
      <c r="AM273" s="23" t="s">
        <v>9</v>
      </c>
      <c r="AN273" s="23" t="s">
        <v>10</v>
      </c>
      <c r="AO273" s="23" t="s">
        <v>80</v>
      </c>
      <c r="AP273" s="24">
        <v>45037</v>
      </c>
      <c r="AQ273" s="23" t="str">
        <f>TEXT(cadangan3[[#This Row],[Tanggal terjual]],"dddd")</f>
        <v>Friday</v>
      </c>
    </row>
    <row r="274" spans="1:43" x14ac:dyDescent="0.2">
      <c r="A274" s="20">
        <v>273</v>
      </c>
      <c r="B274" s="21" t="str">
        <f>_xlfn.CONCAT("ORD-",INDEX(Helper!$B$2:$B$5,MATCH(cadangan3[[#This Row],[Marketplace]],Helper!$A$2:$A$5,0)),TEXT(cadangan3[[#This Row],[No]],"0000"),"-",TEXT(cadangan3[[#This Row],[Tanggal terjual]],"dd/mm/yy"))</f>
        <v>ORD-SP0273-04/04/23</v>
      </c>
      <c r="C274" t="s">
        <v>67</v>
      </c>
      <c r="D274" t="str">
        <f>IFERROR(INDEX(Katalog!$A$3:$A$12,MATCH(cadangan3[[#This Row],[ItemID A]],Katalog!$C$3:$C$12,0)),"-")</f>
        <v>Sepatu Wanita</v>
      </c>
      <c r="E274" t="str">
        <f>IFERROR(INDEX(Katalog!$B$3:$B$12,MATCH(cadangan3[[#This Row],[ItemID A]],Katalog!$C$3:$C$12,0)),"-")</f>
        <v>Flat Shoes</v>
      </c>
      <c r="F274">
        <v>2</v>
      </c>
      <c r="G274">
        <v>4</v>
      </c>
      <c r="H274" s="36">
        <f>IFERROR(INDEX(Katalog!$D$3:$D$12,MATCH(cadangan3[[#This Row],[ItemID A]],Katalog!$C$3:$C$12,0))*cadangan3[[#This Row],[Qty A]],0)</f>
        <v>500000</v>
      </c>
      <c r="I274" s="36">
        <f>IFERROR(INDEX(Katalog!$D$3:$D$12,MATCH(cadangan3[[#This Row],[Item A]],Katalog!$B$3:$B$12,0))*cadangan3[[#This Row],[Qty A]],0)</f>
        <v>500000</v>
      </c>
      <c r="J274" s="36">
        <f>IFERROR(cadangan3[[#This Row],[Harga Asli A]]-(cadangan3[[#This Row],[Harga Asli A]]*cadangan3[[#This Row],[Diskon]]),cadangan3[[#This Row],[Harga Asli A]])</f>
        <v>450000</v>
      </c>
      <c r="K274" s="36">
        <f>INDEX(Katalog!$F$3:$F$12,MATCH(cadangan3[[#This Row],[ItemID A]],Katalog!$C$3:$C$12,0))*cadangan3[[#This Row],[Qty A]]</f>
        <v>200000</v>
      </c>
      <c r="L274" s="36">
        <f>IFERROR(cadangan3[[#This Row],[Profit A]]-(cadangan3[[#This Row],[Profit A]]*cadangan3[[#This Row],[Diskon]]),K274)</f>
        <v>180000</v>
      </c>
      <c r="M274" t="s">
        <v>66</v>
      </c>
      <c r="N274" t="str">
        <f>IFERROR(INDEX(Katalog!$A$3:$A$12,MATCH(cadangan3[[#This Row],[ItemID B]],Katalog!$C$3:$C$12,0)),"-")</f>
        <v>Sepatu Pria</v>
      </c>
      <c r="O274" t="str">
        <f>IFERROR(INDEX(Katalog!$B$3:$B$12,MATCH(cadangan3[[#This Row],[ItemID B]],Katalog!$C$3:$C$12,0)),"-")</f>
        <v>Sandal Slip On</v>
      </c>
      <c r="P274">
        <v>4</v>
      </c>
      <c r="Q274">
        <v>4</v>
      </c>
      <c r="R274" s="36">
        <f>IFERROR(INDEX(Katalog!$D$3:$D$12,MATCH(cadangan3[[#This Row],[ItemID B]],Katalog!$C$3:$C$12,0))*cadangan3[[#This Row],[Qty B]],0)</f>
        <v>600000</v>
      </c>
      <c r="S274" s="36">
        <f>IFERROR(INDEX(Katalog!$D$3:$D$12,MATCH(cadangan3[[#This Row],[Item B]],Katalog!$B$3:$B$12,0))*cadangan3[[#This Row],[Qty B]],0)</f>
        <v>600000</v>
      </c>
      <c r="T274" s="36">
        <f>IFERROR(cadangan3[[#This Row],[Harga Asli B]]-(cadangan3[[#This Row],[Harga Asli B]]*cadangan3[[#This Row],[Diskon]]),cadangan3[[#This Row],[Harga Asli B]])</f>
        <v>540000</v>
      </c>
      <c r="U274" s="36">
        <f>IFERROR(INDEX(Katalog!$F$3:$F$12,MATCH(cadangan3[[#This Row],[ItemID B]],Katalog!$C$3:$C$12,0))*cadangan3[[#This Row],[Qty B]],0)</f>
        <v>240000</v>
      </c>
      <c r="V274" s="36">
        <f>IFERROR(cadangan3[[#This Row],[Profit B]]-(cadangan3[[#This Row],[Profit B]]*cadangan3[[#This Row],[Diskon]]),U274)</f>
        <v>216000</v>
      </c>
      <c r="W274" t="s">
        <v>67</v>
      </c>
      <c r="X274" t="str">
        <f>IFERROR(INDEX(Katalog!$A$3:$A$12,MATCH(cadangan3[[#This Row],[ItemID C]],Katalog!$C$3:$C$12,0)),"-")</f>
        <v>Sepatu Wanita</v>
      </c>
      <c r="Y274" t="str">
        <f>IFERROR(INDEX(Katalog!$B$3:$B$12,MATCH(cadangan3[[#This Row],[ItemID C]],Katalog!$C$3:$C$12,0)),"-")</f>
        <v>Flat Shoes</v>
      </c>
      <c r="Z274">
        <v>1</v>
      </c>
      <c r="AA274">
        <v>3</v>
      </c>
      <c r="AB274" s="36">
        <f>IFERROR(INDEX(Katalog!$D$3:$D$12,MATCH(cadangan3[[#This Row],[ItemID C]],Katalog!$C$3:$C$12,0))*cadangan3[[#This Row],[Qty C]],0)</f>
        <v>250000</v>
      </c>
      <c r="AC274" s="36">
        <f>IFERROR(INDEX(Katalog!$D$3:$D$12,MATCH(cadangan3[[#This Row],[Item C]],Katalog!$B$3:$B$12,0))*cadangan3[[#This Row],[Qty C]],0)</f>
        <v>250000</v>
      </c>
      <c r="AD274" s="36">
        <f>IFERROR(cadangan3[[#This Row],[Harga Asli C]]-(cadangan3[[#This Row],[Harga Asli C]]*cadangan3[[#This Row],[Diskon]]),cadangan3[[#This Row],[Harga Asli C]])</f>
        <v>225000</v>
      </c>
      <c r="AE274" s="36">
        <f>IFERROR(INDEX(Katalog!$F$3:$F$12,MATCH(cadangan3[[#This Row],[ItemID C]],Katalog!$C$3:$C$12,0))*cadangan3[[#This Row],[Qty C]],0)</f>
        <v>100000</v>
      </c>
      <c r="AF274" s="36">
        <f>IFERROR(cadangan3[[#This Row],[Profit C]]-(cadangan3[[#This Row],[Profit C]]*cadangan3[[#This Row],[Diskon]]),cadangan3[[#This Row],[Profit C]])</f>
        <v>90000</v>
      </c>
      <c r="AG274" s="21">
        <f>cadangan3[[#This Row],[Qty A]]+cadangan3[[#This Row],[Qty B]]+cadangan3[[#This Row],[Qty C]]</f>
        <v>7</v>
      </c>
      <c r="AH274" s="35">
        <f>cadangan3[[#This Row],[Harga A + Diskon]]+cadangan3[[#This Row],[Harga + Diskon B]]+cadangan3[[#This Row],[Harga + Diskon C]]</f>
        <v>1215000</v>
      </c>
      <c r="AI274" s="35">
        <f>(cadangan3[[#This Row],[Profit A]]+cadangan3[[#This Row],[Profit B]]+cadangan3[[#This Row],[Profit C]])</f>
        <v>540000</v>
      </c>
      <c r="AJ274" s="35">
        <f>cadangan3[[#This Row],[Provit A + Diskon]]+cadangan3[[#This Row],[Provit B + Diskon]]+cadangan3[[#This Row],[Provit C + Diskon]]</f>
        <v>486000</v>
      </c>
      <c r="AK274" s="23" t="s">
        <v>6</v>
      </c>
      <c r="AL274" s="37">
        <f>IFERROR(INDEX('Kode Diskon'!$D$3:$D$9,MATCH(cadangan3[[#This Row],[Kode diskon]],'Kode Diskon'!$C$3:$C$9,0)),"-")</f>
        <v>0.1</v>
      </c>
      <c r="AM274" s="23" t="s">
        <v>29</v>
      </c>
      <c r="AN274" s="23" t="s">
        <v>7</v>
      </c>
      <c r="AO274" s="23" t="s">
        <v>75</v>
      </c>
      <c r="AP274" s="24">
        <v>45020</v>
      </c>
      <c r="AQ274" s="23" t="str">
        <f>TEXT(cadangan3[[#This Row],[Tanggal terjual]],"dddd")</f>
        <v>Tuesday</v>
      </c>
    </row>
    <row r="275" spans="1:43" x14ac:dyDescent="0.2">
      <c r="A275" s="20">
        <v>274</v>
      </c>
      <c r="B275" s="21" t="str">
        <f>_xlfn.CONCAT("ORD-",INDEX(Helper!$B$2:$B$5,MATCH(cadangan3[[#This Row],[Marketplace]],Helper!$A$2:$A$5,0)),TEXT(cadangan3[[#This Row],[No]],"0000"),"-",TEXT(cadangan3[[#This Row],[Tanggal terjual]],"dd/mm/yy"))</f>
        <v>ORD-SP0274-20/04/23</v>
      </c>
      <c r="C275" t="s">
        <v>60</v>
      </c>
      <c r="D275" t="str">
        <f>IFERROR(INDEX(Katalog!$A$3:$A$12,MATCH(cadangan3[[#This Row],[ItemID A]],Katalog!$C$3:$C$12,0)),"-")</f>
        <v>Pakaian Wanita</v>
      </c>
      <c r="E275" t="str">
        <f>IFERROR(INDEX(Katalog!$B$3:$B$12,MATCH(cadangan3[[#This Row],[ItemID A]],Katalog!$C$3:$C$12,0)),"-")</f>
        <v>Kaftan</v>
      </c>
      <c r="F275">
        <v>4</v>
      </c>
      <c r="G275">
        <v>4</v>
      </c>
      <c r="H275" s="36">
        <f>IFERROR(INDEX(Katalog!$D$3:$D$12,MATCH(cadangan3[[#This Row],[ItemID A]],Katalog!$C$3:$C$12,0))*cadangan3[[#This Row],[Qty A]],0)</f>
        <v>1000000</v>
      </c>
      <c r="I275" s="36">
        <f>IFERROR(INDEX(Katalog!$D$3:$D$12,MATCH(cadangan3[[#This Row],[Item A]],Katalog!$B$3:$B$12,0))*cadangan3[[#This Row],[Qty A]],0)</f>
        <v>1000000</v>
      </c>
      <c r="J275" s="36">
        <f>IFERROR(cadangan3[[#This Row],[Harga Asli A]]-(cadangan3[[#This Row],[Harga Asli A]]*cadangan3[[#This Row],[Diskon]]),cadangan3[[#This Row],[Harga Asli A]])</f>
        <v>800000</v>
      </c>
      <c r="K275" s="36">
        <f>INDEX(Katalog!$F$3:$F$12,MATCH(cadangan3[[#This Row],[ItemID A]],Katalog!$C$3:$C$12,0))*cadangan3[[#This Row],[Qty A]]</f>
        <v>400000</v>
      </c>
      <c r="L275" s="36">
        <f>IFERROR(cadangan3[[#This Row],[Profit A]]-(cadangan3[[#This Row],[Profit A]]*cadangan3[[#This Row],[Diskon]]),K275)</f>
        <v>320000</v>
      </c>
      <c r="N275" t="str">
        <f>IFERROR(INDEX(Katalog!$A$3:$A$12,MATCH(cadangan3[[#This Row],[ItemID B]],Katalog!$C$3:$C$12,0)),"-")</f>
        <v>-</v>
      </c>
      <c r="O275" t="str">
        <f>IFERROR(INDEX(Katalog!$B$3:$B$12,MATCH(cadangan3[[#This Row],[ItemID B]],Katalog!$C$3:$C$12,0)),"-")</f>
        <v>-</v>
      </c>
      <c r="R275" s="36">
        <f>IFERROR(INDEX(Katalog!$D$3:$D$12,MATCH(cadangan3[[#This Row],[ItemID B]],Katalog!$C$3:$C$12,0))*cadangan3[[#This Row],[Qty B]],0)</f>
        <v>0</v>
      </c>
      <c r="S275" s="36">
        <f>IFERROR(INDEX(Katalog!$D$3:$D$12,MATCH(cadangan3[[#This Row],[Item B]],Katalog!$B$3:$B$12,0))*cadangan3[[#This Row],[Qty B]],0)</f>
        <v>0</v>
      </c>
      <c r="T275" s="36">
        <f>IFERROR(cadangan3[[#This Row],[Harga Asli B]]-(cadangan3[[#This Row],[Harga Asli B]]*cadangan3[[#This Row],[Diskon]]),cadangan3[[#This Row],[Harga Asli B]])</f>
        <v>0</v>
      </c>
      <c r="U275" s="36">
        <f>IFERROR(INDEX(Katalog!$F$3:$F$12,MATCH(cadangan3[[#This Row],[ItemID B]],Katalog!$C$3:$C$12,0))*cadangan3[[#This Row],[Qty B]],0)</f>
        <v>0</v>
      </c>
      <c r="V275" s="36">
        <f>IFERROR(cadangan3[[#This Row],[Profit B]]-(cadangan3[[#This Row],[Profit B]]*cadangan3[[#This Row],[Diskon]]),U275)</f>
        <v>0</v>
      </c>
      <c r="X275" t="str">
        <f>IFERROR(INDEX(Katalog!$A$3:$A$12,MATCH(cadangan3[[#This Row],[ItemID C]],Katalog!$C$3:$C$12,0)),"-")</f>
        <v>-</v>
      </c>
      <c r="Y275" t="str">
        <f>IFERROR(INDEX(Katalog!$B$3:$B$12,MATCH(cadangan3[[#This Row],[ItemID C]],Katalog!$C$3:$C$12,0)),"-")</f>
        <v>-</v>
      </c>
      <c r="AB275" s="36">
        <f>IFERROR(INDEX(Katalog!$D$3:$D$12,MATCH(cadangan3[[#This Row],[ItemID C]],Katalog!$C$3:$C$12,0))*cadangan3[[#This Row],[Qty C]],0)</f>
        <v>0</v>
      </c>
      <c r="AC275" s="36">
        <f>IFERROR(INDEX(Katalog!$D$3:$D$12,MATCH(cadangan3[[#This Row],[Item C]],Katalog!$B$3:$B$12,0))*cadangan3[[#This Row],[Qty C]],0)</f>
        <v>0</v>
      </c>
      <c r="AD275" s="36">
        <f>IFERROR(cadangan3[[#This Row],[Harga Asli C]]-(cadangan3[[#This Row],[Harga Asli C]]*cadangan3[[#This Row],[Diskon]]),cadangan3[[#This Row],[Harga Asli C]])</f>
        <v>0</v>
      </c>
      <c r="AE275" s="36">
        <f>IFERROR(INDEX(Katalog!$F$3:$F$12,MATCH(cadangan3[[#This Row],[ItemID C]],Katalog!$C$3:$C$12,0))*cadangan3[[#This Row],[Qty C]],0)</f>
        <v>0</v>
      </c>
      <c r="AF275" s="36">
        <f>IFERROR(cadangan3[[#This Row],[Profit C]]-(cadangan3[[#This Row],[Profit C]]*cadangan3[[#This Row],[Diskon]]),cadangan3[[#This Row],[Profit C]])</f>
        <v>0</v>
      </c>
      <c r="AG275" s="21">
        <f>cadangan3[[#This Row],[Qty A]]+cadangan3[[#This Row],[Qty B]]+cadangan3[[#This Row],[Qty C]]</f>
        <v>4</v>
      </c>
      <c r="AH275" s="35">
        <f>cadangan3[[#This Row],[Harga A + Diskon]]+cadangan3[[#This Row],[Harga + Diskon B]]+cadangan3[[#This Row],[Harga + Diskon C]]</f>
        <v>800000</v>
      </c>
      <c r="AI275" s="35">
        <f>(cadangan3[[#This Row],[Profit A]]+cadangan3[[#This Row],[Profit B]]+cadangan3[[#This Row],[Profit C]])</f>
        <v>400000</v>
      </c>
      <c r="AJ275" s="35">
        <f>cadangan3[[#This Row],[Provit A + Diskon]]+cadangan3[[#This Row],[Provit B + Diskon]]+cadangan3[[#This Row],[Provit C + Diskon]]</f>
        <v>320000</v>
      </c>
      <c r="AK275" s="23" t="s">
        <v>8</v>
      </c>
      <c r="AL275" s="37">
        <f>IFERROR(INDEX('Kode Diskon'!$D$3:$D$9,MATCH(cadangan3[[#This Row],[Kode diskon]],'Kode Diskon'!$C$3:$C$9,0)),"-")</f>
        <v>0.2</v>
      </c>
      <c r="AM275" s="23" t="s">
        <v>9</v>
      </c>
      <c r="AN275" s="23" t="s">
        <v>7</v>
      </c>
      <c r="AO275" s="23" t="s">
        <v>80</v>
      </c>
      <c r="AP275" s="24">
        <v>45036</v>
      </c>
      <c r="AQ275" s="23" t="str">
        <f>TEXT(cadangan3[[#This Row],[Tanggal terjual]],"dddd")</f>
        <v>Thursday</v>
      </c>
    </row>
    <row r="276" spans="1:43" x14ac:dyDescent="0.2">
      <c r="A276" s="20">
        <v>275</v>
      </c>
      <c r="B276" s="21" t="str">
        <f>_xlfn.CONCAT("ORD-",INDEX(Helper!$B$2:$B$5,MATCH(cadangan3[[#This Row],[Marketplace]],Helper!$A$2:$A$5,0)),TEXT(cadangan3[[#This Row],[No]],"0000"),"-",TEXT(cadangan3[[#This Row],[Tanggal terjual]],"dd/mm/yy"))</f>
        <v>ORD-SP0275-01/04/23</v>
      </c>
      <c r="C276" t="s">
        <v>67</v>
      </c>
      <c r="D276" t="str">
        <f>IFERROR(INDEX(Katalog!$A$3:$A$12,MATCH(cadangan3[[#This Row],[ItemID A]],Katalog!$C$3:$C$12,0)),"-")</f>
        <v>Sepatu Wanita</v>
      </c>
      <c r="E276" t="str">
        <f>IFERROR(INDEX(Katalog!$B$3:$B$12,MATCH(cadangan3[[#This Row],[ItemID A]],Katalog!$C$3:$C$12,0)),"-")</f>
        <v>Flat Shoes</v>
      </c>
      <c r="F276">
        <v>1</v>
      </c>
      <c r="G276">
        <v>1</v>
      </c>
      <c r="H276" s="36">
        <f>IFERROR(INDEX(Katalog!$D$3:$D$12,MATCH(cadangan3[[#This Row],[ItemID A]],Katalog!$C$3:$C$12,0))*cadangan3[[#This Row],[Qty A]],0)</f>
        <v>250000</v>
      </c>
      <c r="I276" s="36">
        <f>IFERROR(INDEX(Katalog!$D$3:$D$12,MATCH(cadangan3[[#This Row],[Item A]],Katalog!$B$3:$B$12,0))*cadangan3[[#This Row],[Qty A]],0)</f>
        <v>250000</v>
      </c>
      <c r="J276" s="36">
        <f>IFERROR(cadangan3[[#This Row],[Harga Asli A]]-(cadangan3[[#This Row],[Harga Asli A]]*cadangan3[[#This Row],[Diskon]]),cadangan3[[#This Row],[Harga Asli A]])</f>
        <v>212500</v>
      </c>
      <c r="K276" s="36">
        <f>INDEX(Katalog!$F$3:$F$12,MATCH(cadangan3[[#This Row],[ItemID A]],Katalog!$C$3:$C$12,0))*cadangan3[[#This Row],[Qty A]]</f>
        <v>100000</v>
      </c>
      <c r="L276" s="36">
        <f>IFERROR(cadangan3[[#This Row],[Profit A]]-(cadangan3[[#This Row],[Profit A]]*cadangan3[[#This Row],[Diskon]]),K276)</f>
        <v>85000</v>
      </c>
      <c r="N276" t="str">
        <f>IFERROR(INDEX(Katalog!$A$3:$A$12,MATCH(cadangan3[[#This Row],[ItemID B]],Katalog!$C$3:$C$12,0)),"-")</f>
        <v>-</v>
      </c>
      <c r="O276" t="str">
        <f>IFERROR(INDEX(Katalog!$B$3:$B$12,MATCH(cadangan3[[#This Row],[ItemID B]],Katalog!$C$3:$C$12,0)),"-")</f>
        <v>-</v>
      </c>
      <c r="R276" s="36">
        <f>IFERROR(INDEX(Katalog!$D$3:$D$12,MATCH(cadangan3[[#This Row],[ItemID B]],Katalog!$C$3:$C$12,0))*cadangan3[[#This Row],[Qty B]],0)</f>
        <v>0</v>
      </c>
      <c r="S276" s="36">
        <f>IFERROR(INDEX(Katalog!$D$3:$D$12,MATCH(cadangan3[[#This Row],[Item B]],Katalog!$B$3:$B$12,0))*cadangan3[[#This Row],[Qty B]],0)</f>
        <v>0</v>
      </c>
      <c r="T276" s="36">
        <f>IFERROR(cadangan3[[#This Row],[Harga Asli B]]-(cadangan3[[#This Row],[Harga Asli B]]*cadangan3[[#This Row],[Diskon]]),cadangan3[[#This Row],[Harga Asli B]])</f>
        <v>0</v>
      </c>
      <c r="U276" s="36">
        <f>IFERROR(INDEX(Katalog!$F$3:$F$12,MATCH(cadangan3[[#This Row],[ItemID B]],Katalog!$C$3:$C$12,0))*cadangan3[[#This Row],[Qty B]],0)</f>
        <v>0</v>
      </c>
      <c r="V276" s="36">
        <f>IFERROR(cadangan3[[#This Row],[Profit B]]-(cadangan3[[#This Row],[Profit B]]*cadangan3[[#This Row],[Diskon]]),U276)</f>
        <v>0</v>
      </c>
      <c r="X276" t="str">
        <f>IFERROR(INDEX(Katalog!$A$3:$A$12,MATCH(cadangan3[[#This Row],[ItemID C]],Katalog!$C$3:$C$12,0)),"-")</f>
        <v>-</v>
      </c>
      <c r="Y276" t="str">
        <f>IFERROR(INDEX(Katalog!$B$3:$B$12,MATCH(cadangan3[[#This Row],[ItemID C]],Katalog!$C$3:$C$12,0)),"-")</f>
        <v>-</v>
      </c>
      <c r="AB276" s="36">
        <f>IFERROR(INDEX(Katalog!$D$3:$D$12,MATCH(cadangan3[[#This Row],[ItemID C]],Katalog!$C$3:$C$12,0))*cadangan3[[#This Row],[Qty C]],0)</f>
        <v>0</v>
      </c>
      <c r="AC276" s="36">
        <f>IFERROR(INDEX(Katalog!$D$3:$D$12,MATCH(cadangan3[[#This Row],[Item C]],Katalog!$B$3:$B$12,0))*cadangan3[[#This Row],[Qty C]],0)</f>
        <v>0</v>
      </c>
      <c r="AD276" s="36">
        <f>IFERROR(cadangan3[[#This Row],[Harga Asli C]]-(cadangan3[[#This Row],[Harga Asli C]]*cadangan3[[#This Row],[Diskon]]),cadangan3[[#This Row],[Harga Asli C]])</f>
        <v>0</v>
      </c>
      <c r="AE276" s="36">
        <f>IFERROR(INDEX(Katalog!$F$3:$F$12,MATCH(cadangan3[[#This Row],[ItemID C]],Katalog!$C$3:$C$12,0))*cadangan3[[#This Row],[Qty C]],0)</f>
        <v>0</v>
      </c>
      <c r="AF276" s="36">
        <f>IFERROR(cadangan3[[#This Row],[Profit C]]-(cadangan3[[#This Row],[Profit C]]*cadangan3[[#This Row],[Diskon]]),cadangan3[[#This Row],[Profit C]])</f>
        <v>0</v>
      </c>
      <c r="AG276" s="21">
        <f>cadangan3[[#This Row],[Qty A]]+cadangan3[[#This Row],[Qty B]]+cadangan3[[#This Row],[Qty C]]</f>
        <v>1</v>
      </c>
      <c r="AH276" s="35">
        <f>cadangan3[[#This Row],[Harga A + Diskon]]+cadangan3[[#This Row],[Harga + Diskon B]]+cadangan3[[#This Row],[Harga + Diskon C]]</f>
        <v>212500</v>
      </c>
      <c r="AI276" s="35">
        <f>(cadangan3[[#This Row],[Profit A]]+cadangan3[[#This Row],[Profit B]]+cadangan3[[#This Row],[Profit C]])</f>
        <v>100000</v>
      </c>
      <c r="AJ276" s="35">
        <f>cadangan3[[#This Row],[Provit A + Diskon]]+cadangan3[[#This Row],[Provit B + Diskon]]+cadangan3[[#This Row],[Provit C + Diskon]]</f>
        <v>85000</v>
      </c>
      <c r="AK276" s="23" t="s">
        <v>13</v>
      </c>
      <c r="AL276" s="37">
        <f>IFERROR(INDEX('Kode Diskon'!$D$3:$D$9,MATCH(cadangan3[[#This Row],[Kode diskon]],'Kode Diskon'!$C$3:$C$9,0)),"-")</f>
        <v>0.15</v>
      </c>
      <c r="AM276" s="23" t="s">
        <v>29</v>
      </c>
      <c r="AN276" s="23" t="s">
        <v>7</v>
      </c>
      <c r="AO276" s="23" t="s">
        <v>79</v>
      </c>
      <c r="AP276" s="24">
        <v>45017</v>
      </c>
      <c r="AQ276" s="23" t="str">
        <f>TEXT(cadangan3[[#This Row],[Tanggal terjual]],"dddd")</f>
        <v>Saturday</v>
      </c>
    </row>
    <row r="277" spans="1:43" x14ac:dyDescent="0.2">
      <c r="A277" s="20">
        <v>276</v>
      </c>
      <c r="B277" s="21" t="str">
        <f>_xlfn.CONCAT("ORD-",INDEX(Helper!$B$2:$B$5,MATCH(cadangan3[[#This Row],[Marketplace]],Helper!$A$2:$A$5,0)),TEXT(cadangan3[[#This Row],[No]],"0000"),"-",TEXT(cadangan3[[#This Row],[Tanggal terjual]],"dd/mm/yy"))</f>
        <v>ORD-TK0276-06/04/23</v>
      </c>
      <c r="C277" t="s">
        <v>66</v>
      </c>
      <c r="D277" t="str">
        <f>IFERROR(INDEX(Katalog!$A$3:$A$12,MATCH(cadangan3[[#This Row],[ItemID A]],Katalog!$C$3:$C$12,0)),"-")</f>
        <v>Sepatu Pria</v>
      </c>
      <c r="E277" t="str">
        <f>IFERROR(INDEX(Katalog!$B$3:$B$12,MATCH(cadangan3[[#This Row],[ItemID A]],Katalog!$C$3:$C$12,0)),"-")</f>
        <v>Sandal Slip On</v>
      </c>
      <c r="F277">
        <v>1</v>
      </c>
      <c r="G277">
        <v>5</v>
      </c>
      <c r="H277" s="36">
        <f>IFERROR(INDEX(Katalog!$D$3:$D$12,MATCH(cadangan3[[#This Row],[ItemID A]],Katalog!$C$3:$C$12,0))*cadangan3[[#This Row],[Qty A]],0)</f>
        <v>150000</v>
      </c>
      <c r="I277" s="36">
        <f>IFERROR(INDEX(Katalog!$D$3:$D$12,MATCH(cadangan3[[#This Row],[Item A]],Katalog!$B$3:$B$12,0))*cadangan3[[#This Row],[Qty A]],0)</f>
        <v>150000</v>
      </c>
      <c r="J277" s="36">
        <f>IFERROR(cadangan3[[#This Row],[Harga Asli A]]-(cadangan3[[#This Row],[Harga Asli A]]*cadangan3[[#This Row],[Diskon]]),cadangan3[[#This Row],[Harga Asli A]])</f>
        <v>135000</v>
      </c>
      <c r="K277" s="36">
        <f>INDEX(Katalog!$F$3:$F$12,MATCH(cadangan3[[#This Row],[ItemID A]],Katalog!$C$3:$C$12,0))*cadangan3[[#This Row],[Qty A]]</f>
        <v>60000</v>
      </c>
      <c r="L277" s="36">
        <f>IFERROR(cadangan3[[#This Row],[Profit A]]-(cadangan3[[#This Row],[Profit A]]*cadangan3[[#This Row],[Diskon]]),K277)</f>
        <v>54000</v>
      </c>
      <c r="M277" t="s">
        <v>58</v>
      </c>
      <c r="N277" t="str">
        <f>IFERROR(INDEX(Katalog!$A$3:$A$12,MATCH(cadangan3[[#This Row],[ItemID B]],Katalog!$C$3:$C$12,0)),"-")</f>
        <v>Pakaian Wanita</v>
      </c>
      <c r="O277" t="str">
        <f>IFERROR(INDEX(Katalog!$B$3:$B$12,MATCH(cadangan3[[#This Row],[ItemID B]],Katalog!$C$3:$C$12,0)),"-")</f>
        <v>Dress</v>
      </c>
      <c r="P277">
        <v>1</v>
      </c>
      <c r="Q277">
        <v>2</v>
      </c>
      <c r="R277" s="36">
        <f>IFERROR(INDEX(Katalog!$D$3:$D$12,MATCH(cadangan3[[#This Row],[ItemID B]],Katalog!$C$3:$C$12,0))*cadangan3[[#This Row],[Qty B]],0)</f>
        <v>300000</v>
      </c>
      <c r="S277" s="36">
        <f>IFERROR(INDEX(Katalog!$D$3:$D$12,MATCH(cadangan3[[#This Row],[Item B]],Katalog!$B$3:$B$12,0))*cadangan3[[#This Row],[Qty B]],0)</f>
        <v>300000</v>
      </c>
      <c r="T277" s="36">
        <f>IFERROR(cadangan3[[#This Row],[Harga Asli B]]-(cadangan3[[#This Row],[Harga Asli B]]*cadangan3[[#This Row],[Diskon]]),cadangan3[[#This Row],[Harga Asli B]])</f>
        <v>270000</v>
      </c>
      <c r="U277" s="36">
        <f>IFERROR(INDEX(Katalog!$F$3:$F$12,MATCH(cadangan3[[#This Row],[ItemID B]],Katalog!$C$3:$C$12,0))*cadangan3[[#This Row],[Qty B]],0)</f>
        <v>100000</v>
      </c>
      <c r="V277" s="36">
        <f>IFERROR(cadangan3[[#This Row],[Profit B]]-(cadangan3[[#This Row],[Profit B]]*cadangan3[[#This Row],[Diskon]]),U277)</f>
        <v>90000</v>
      </c>
      <c r="X277" t="str">
        <f>IFERROR(INDEX(Katalog!$A$3:$A$12,MATCH(cadangan3[[#This Row],[ItemID C]],Katalog!$C$3:$C$12,0)),"-")</f>
        <v>-</v>
      </c>
      <c r="Y277" t="str">
        <f>IFERROR(INDEX(Katalog!$B$3:$B$12,MATCH(cadangan3[[#This Row],[ItemID C]],Katalog!$C$3:$C$12,0)),"-")</f>
        <v>-</v>
      </c>
      <c r="AB277" s="36">
        <f>IFERROR(INDEX(Katalog!$D$3:$D$12,MATCH(cadangan3[[#This Row],[ItemID C]],Katalog!$C$3:$C$12,0))*cadangan3[[#This Row],[Qty C]],0)</f>
        <v>0</v>
      </c>
      <c r="AC277" s="36">
        <f>IFERROR(INDEX(Katalog!$D$3:$D$12,MATCH(cadangan3[[#This Row],[Item C]],Katalog!$B$3:$B$12,0))*cadangan3[[#This Row],[Qty C]],0)</f>
        <v>0</v>
      </c>
      <c r="AD277" s="36">
        <f>IFERROR(cadangan3[[#This Row],[Harga Asli C]]-(cadangan3[[#This Row],[Harga Asli C]]*cadangan3[[#This Row],[Diskon]]),cadangan3[[#This Row],[Harga Asli C]])</f>
        <v>0</v>
      </c>
      <c r="AE277" s="36">
        <f>IFERROR(INDEX(Katalog!$F$3:$F$12,MATCH(cadangan3[[#This Row],[ItemID C]],Katalog!$C$3:$C$12,0))*cadangan3[[#This Row],[Qty C]],0)</f>
        <v>0</v>
      </c>
      <c r="AF277" s="36">
        <f>IFERROR(cadangan3[[#This Row],[Profit C]]-(cadangan3[[#This Row],[Profit C]]*cadangan3[[#This Row],[Diskon]]),cadangan3[[#This Row],[Profit C]])</f>
        <v>0</v>
      </c>
      <c r="AG277" s="21">
        <f>cadangan3[[#This Row],[Qty A]]+cadangan3[[#This Row],[Qty B]]+cadangan3[[#This Row],[Qty C]]</f>
        <v>2</v>
      </c>
      <c r="AH277" s="35">
        <f>cadangan3[[#This Row],[Harga A + Diskon]]+cadangan3[[#This Row],[Harga + Diskon B]]+cadangan3[[#This Row],[Harga + Diskon C]]</f>
        <v>405000</v>
      </c>
      <c r="AI277" s="35">
        <f>(cadangan3[[#This Row],[Profit A]]+cadangan3[[#This Row],[Profit B]]+cadangan3[[#This Row],[Profit C]])</f>
        <v>160000</v>
      </c>
      <c r="AJ277" s="35">
        <f>cadangan3[[#This Row],[Provit A + Diskon]]+cadangan3[[#This Row],[Provit B + Diskon]]+cadangan3[[#This Row],[Provit C + Diskon]]</f>
        <v>144000</v>
      </c>
      <c r="AK277" s="23" t="s">
        <v>30</v>
      </c>
      <c r="AL277" s="37">
        <f>IFERROR(INDEX('Kode Diskon'!$D$3:$D$9,MATCH(cadangan3[[#This Row],[Kode diskon]],'Kode Diskon'!$C$3:$C$9,0)),"-")</f>
        <v>0.1</v>
      </c>
      <c r="AM277" s="23" t="s">
        <v>29</v>
      </c>
      <c r="AN277" s="23" t="s">
        <v>10</v>
      </c>
      <c r="AO277" s="23" t="s">
        <v>75</v>
      </c>
      <c r="AP277" s="24">
        <v>45022</v>
      </c>
      <c r="AQ277" s="23" t="str">
        <f>TEXT(cadangan3[[#This Row],[Tanggal terjual]],"dddd")</f>
        <v>Thursday</v>
      </c>
    </row>
    <row r="278" spans="1:43" x14ac:dyDescent="0.2">
      <c r="A278" s="20">
        <v>277</v>
      </c>
      <c r="B278" s="21" t="str">
        <f>_xlfn.CONCAT("ORD-",INDEX(Helper!$B$2:$B$5,MATCH(cadangan3[[#This Row],[Marketplace]],Helper!$A$2:$A$5,0)),TEXT(cadangan3[[#This Row],[No]],"0000"),"-",TEXT(cadangan3[[#This Row],[Tanggal terjual]],"dd/mm/yy"))</f>
        <v>ORD-BL0277-21/04/23</v>
      </c>
      <c r="C278" t="s">
        <v>59</v>
      </c>
      <c r="D278" t="str">
        <f>IFERROR(INDEX(Katalog!$A$3:$A$12,MATCH(cadangan3[[#This Row],[ItemID A]],Katalog!$C$3:$C$12,0)),"-")</f>
        <v>Pakaian Wanita</v>
      </c>
      <c r="E278" t="str">
        <f>IFERROR(INDEX(Katalog!$B$3:$B$12,MATCH(cadangan3[[#This Row],[ItemID A]],Katalog!$C$3:$C$12,0)),"-")</f>
        <v>Blouse</v>
      </c>
      <c r="F278">
        <v>2</v>
      </c>
      <c r="G278">
        <v>5</v>
      </c>
      <c r="H278" s="36">
        <f>IFERROR(INDEX(Katalog!$D$3:$D$12,MATCH(cadangan3[[#This Row],[ItemID A]],Katalog!$C$3:$C$12,0))*cadangan3[[#This Row],[Qty A]],0)</f>
        <v>300000</v>
      </c>
      <c r="I278" s="36">
        <f>IFERROR(INDEX(Katalog!$D$3:$D$12,MATCH(cadangan3[[#This Row],[Item A]],Katalog!$B$3:$B$12,0))*cadangan3[[#This Row],[Qty A]],0)</f>
        <v>300000</v>
      </c>
      <c r="J278" s="36">
        <f>IFERROR(cadangan3[[#This Row],[Harga Asli A]]-(cadangan3[[#This Row],[Harga Asli A]]*cadangan3[[#This Row],[Diskon]]),cadangan3[[#This Row],[Harga Asli A]])</f>
        <v>255000</v>
      </c>
      <c r="K278" s="36">
        <f>INDEX(Katalog!$F$3:$F$12,MATCH(cadangan3[[#This Row],[ItemID A]],Katalog!$C$3:$C$12,0))*cadangan3[[#This Row],[Qty A]]</f>
        <v>100000</v>
      </c>
      <c r="L278" s="36">
        <f>IFERROR(cadangan3[[#This Row],[Profit A]]-(cadangan3[[#This Row],[Profit A]]*cadangan3[[#This Row],[Diskon]]),K278)</f>
        <v>85000</v>
      </c>
      <c r="N278" t="str">
        <f>IFERROR(INDEX(Katalog!$A$3:$A$12,MATCH(cadangan3[[#This Row],[ItemID B]],Katalog!$C$3:$C$12,0)),"-")</f>
        <v>-</v>
      </c>
      <c r="O278" t="str">
        <f>IFERROR(INDEX(Katalog!$B$3:$B$12,MATCH(cadangan3[[#This Row],[ItemID B]],Katalog!$C$3:$C$12,0)),"-")</f>
        <v>-</v>
      </c>
      <c r="R278" s="36">
        <f>IFERROR(INDEX(Katalog!$D$3:$D$12,MATCH(cadangan3[[#This Row],[ItemID B]],Katalog!$C$3:$C$12,0))*cadangan3[[#This Row],[Qty B]],0)</f>
        <v>0</v>
      </c>
      <c r="S278" s="36">
        <f>IFERROR(INDEX(Katalog!$D$3:$D$12,MATCH(cadangan3[[#This Row],[Item B]],Katalog!$B$3:$B$12,0))*cadangan3[[#This Row],[Qty B]],0)</f>
        <v>0</v>
      </c>
      <c r="T278" s="36">
        <f>IFERROR(cadangan3[[#This Row],[Harga Asli B]]-(cadangan3[[#This Row],[Harga Asli B]]*cadangan3[[#This Row],[Diskon]]),cadangan3[[#This Row],[Harga Asli B]])</f>
        <v>0</v>
      </c>
      <c r="U278" s="36">
        <f>IFERROR(INDEX(Katalog!$F$3:$F$12,MATCH(cadangan3[[#This Row],[ItemID B]],Katalog!$C$3:$C$12,0))*cadangan3[[#This Row],[Qty B]],0)</f>
        <v>0</v>
      </c>
      <c r="V278" s="36">
        <f>IFERROR(cadangan3[[#This Row],[Profit B]]-(cadangan3[[#This Row],[Profit B]]*cadangan3[[#This Row],[Diskon]]),U278)</f>
        <v>0</v>
      </c>
      <c r="X278" t="str">
        <f>IFERROR(INDEX(Katalog!$A$3:$A$12,MATCH(cadangan3[[#This Row],[ItemID C]],Katalog!$C$3:$C$12,0)),"-")</f>
        <v>-</v>
      </c>
      <c r="Y278" t="str">
        <f>IFERROR(INDEX(Katalog!$B$3:$B$12,MATCH(cadangan3[[#This Row],[ItemID C]],Katalog!$C$3:$C$12,0)),"-")</f>
        <v>-</v>
      </c>
      <c r="AB278" s="36">
        <f>IFERROR(INDEX(Katalog!$D$3:$D$12,MATCH(cadangan3[[#This Row],[ItemID C]],Katalog!$C$3:$C$12,0))*cadangan3[[#This Row],[Qty C]],0)</f>
        <v>0</v>
      </c>
      <c r="AC278" s="36">
        <f>IFERROR(INDEX(Katalog!$D$3:$D$12,MATCH(cadangan3[[#This Row],[Item C]],Katalog!$B$3:$B$12,0))*cadangan3[[#This Row],[Qty C]],0)</f>
        <v>0</v>
      </c>
      <c r="AD278" s="36">
        <f>IFERROR(cadangan3[[#This Row],[Harga Asli C]]-(cadangan3[[#This Row],[Harga Asli C]]*cadangan3[[#This Row],[Diskon]]),cadangan3[[#This Row],[Harga Asli C]])</f>
        <v>0</v>
      </c>
      <c r="AE278" s="36">
        <f>IFERROR(INDEX(Katalog!$F$3:$F$12,MATCH(cadangan3[[#This Row],[ItemID C]],Katalog!$C$3:$C$12,0))*cadangan3[[#This Row],[Qty C]],0)</f>
        <v>0</v>
      </c>
      <c r="AF278" s="36">
        <f>IFERROR(cadangan3[[#This Row],[Profit C]]-(cadangan3[[#This Row],[Profit C]]*cadangan3[[#This Row],[Diskon]]),cadangan3[[#This Row],[Profit C]])</f>
        <v>0</v>
      </c>
      <c r="AG278" s="21">
        <f>cadangan3[[#This Row],[Qty A]]+cadangan3[[#This Row],[Qty B]]+cadangan3[[#This Row],[Qty C]]</f>
        <v>2</v>
      </c>
      <c r="AH278" s="35">
        <f>cadangan3[[#This Row],[Harga A + Diskon]]+cadangan3[[#This Row],[Harga + Diskon B]]+cadangan3[[#This Row],[Harga + Diskon C]]</f>
        <v>255000</v>
      </c>
      <c r="AI278" s="35">
        <f>(cadangan3[[#This Row],[Profit A]]+cadangan3[[#This Row],[Profit B]]+cadangan3[[#This Row],[Profit C]])</f>
        <v>100000</v>
      </c>
      <c r="AJ278" s="35">
        <f>cadangan3[[#This Row],[Provit A + Diskon]]+cadangan3[[#This Row],[Provit B + Diskon]]+cadangan3[[#This Row],[Provit C + Diskon]]</f>
        <v>85000</v>
      </c>
      <c r="AK278" s="23" t="s">
        <v>32</v>
      </c>
      <c r="AL278" s="37">
        <f>IFERROR(INDEX('Kode Diskon'!$D$3:$D$9,MATCH(cadangan3[[#This Row],[Kode diskon]],'Kode Diskon'!$C$3:$C$9,0)),"-")</f>
        <v>0.15</v>
      </c>
      <c r="AM278" s="23" t="s">
        <v>9</v>
      </c>
      <c r="AN278" s="23" t="s">
        <v>12</v>
      </c>
      <c r="AO278" s="23" t="s">
        <v>80</v>
      </c>
      <c r="AP278" s="24">
        <v>45037</v>
      </c>
      <c r="AQ278" s="23" t="str">
        <f>TEXT(cadangan3[[#This Row],[Tanggal terjual]],"dddd")</f>
        <v>Friday</v>
      </c>
    </row>
    <row r="279" spans="1:43" x14ac:dyDescent="0.2">
      <c r="A279" s="20">
        <v>278</v>
      </c>
      <c r="B279" s="21" t="str">
        <f>_xlfn.CONCAT("ORD-",INDEX(Helper!$B$2:$B$5,MATCH(cadangan3[[#This Row],[Marketplace]],Helper!$A$2:$A$5,0)),TEXT(cadangan3[[#This Row],[No]],"0000"),"-",TEXT(cadangan3[[#This Row],[Tanggal terjual]],"dd/mm/yy"))</f>
        <v>ORD-BL0278-24/04/23</v>
      </c>
      <c r="C279" t="s">
        <v>62</v>
      </c>
      <c r="D279" t="str">
        <f>IFERROR(INDEX(Katalog!$A$3:$A$12,MATCH(cadangan3[[#This Row],[ItemID A]],Katalog!$C$3:$C$12,0)),"-")</f>
        <v>Pakaian Pria</v>
      </c>
      <c r="E279" t="str">
        <f>IFERROR(INDEX(Katalog!$B$3:$B$12,MATCH(cadangan3[[#This Row],[ItemID A]],Katalog!$C$3:$C$12,0)),"-")</f>
        <v>Celana Pendek</v>
      </c>
      <c r="F279">
        <v>5</v>
      </c>
      <c r="G279">
        <v>3</v>
      </c>
      <c r="H279" s="36">
        <f>IFERROR(INDEX(Katalog!$D$3:$D$12,MATCH(cadangan3[[#This Row],[ItemID A]],Katalog!$C$3:$C$12,0))*cadangan3[[#This Row],[Qty A]],0)</f>
        <v>900000</v>
      </c>
      <c r="I279" s="36">
        <f>IFERROR(INDEX(Katalog!$D$3:$D$12,MATCH(cadangan3[[#This Row],[Item A]],Katalog!$B$3:$B$12,0))*cadangan3[[#This Row],[Qty A]],0)</f>
        <v>900000</v>
      </c>
      <c r="J279" s="36">
        <f>IFERROR(cadangan3[[#This Row],[Harga Asli A]]-(cadangan3[[#This Row],[Harga Asli A]]*cadangan3[[#This Row],[Diskon]]),cadangan3[[#This Row],[Harga Asli A]])</f>
        <v>765000</v>
      </c>
      <c r="K279" s="36">
        <f>INDEX(Katalog!$F$3:$F$12,MATCH(cadangan3[[#This Row],[ItemID A]],Katalog!$C$3:$C$12,0))*cadangan3[[#This Row],[Qty A]]</f>
        <v>350000</v>
      </c>
      <c r="L279" s="36">
        <f>IFERROR(cadangan3[[#This Row],[Profit A]]-(cadangan3[[#This Row],[Profit A]]*cadangan3[[#This Row],[Diskon]]),K279)</f>
        <v>297500</v>
      </c>
      <c r="M279" t="s">
        <v>61</v>
      </c>
      <c r="N279" t="str">
        <f>IFERROR(INDEX(Katalog!$A$3:$A$12,MATCH(cadangan3[[#This Row],[ItemID B]],Katalog!$C$3:$C$12,0)),"-")</f>
        <v>Pakaian Pria</v>
      </c>
      <c r="O279" t="str">
        <f>IFERROR(INDEX(Katalog!$B$3:$B$12,MATCH(cadangan3[[#This Row],[ItemID B]],Katalog!$C$3:$C$12,0)),"-")</f>
        <v>Kaos Polo</v>
      </c>
      <c r="P279">
        <v>1</v>
      </c>
      <c r="Q279">
        <v>1</v>
      </c>
      <c r="R279" s="36">
        <f>IFERROR(INDEX(Katalog!$D$3:$D$12,MATCH(cadangan3[[#This Row],[ItemID B]],Katalog!$C$3:$C$12,0))*cadangan3[[#This Row],[Qty B]],0)</f>
        <v>200000</v>
      </c>
      <c r="S279" s="36">
        <f>IFERROR(INDEX(Katalog!$D$3:$D$12,MATCH(cadangan3[[#This Row],[Item B]],Katalog!$B$3:$B$12,0))*cadangan3[[#This Row],[Qty B]],0)</f>
        <v>200000</v>
      </c>
      <c r="T279" s="36">
        <f>IFERROR(cadangan3[[#This Row],[Harga Asli B]]-(cadangan3[[#This Row],[Harga Asli B]]*cadangan3[[#This Row],[Diskon]]),cadangan3[[#This Row],[Harga Asli B]])</f>
        <v>170000</v>
      </c>
      <c r="U279" s="36">
        <f>IFERROR(INDEX(Katalog!$F$3:$F$12,MATCH(cadangan3[[#This Row],[ItemID B]],Katalog!$C$3:$C$12,0))*cadangan3[[#This Row],[Qty B]],0)</f>
        <v>80000</v>
      </c>
      <c r="V279" s="36">
        <f>IFERROR(cadangan3[[#This Row],[Profit B]]-(cadangan3[[#This Row],[Profit B]]*cadangan3[[#This Row],[Diskon]]),U279)</f>
        <v>68000</v>
      </c>
      <c r="X279" t="str">
        <f>IFERROR(INDEX(Katalog!$A$3:$A$12,MATCH(cadangan3[[#This Row],[ItemID C]],Katalog!$C$3:$C$12,0)),"-")</f>
        <v>-</v>
      </c>
      <c r="Y279" t="str">
        <f>IFERROR(INDEX(Katalog!$B$3:$B$12,MATCH(cadangan3[[#This Row],[ItemID C]],Katalog!$C$3:$C$12,0)),"-")</f>
        <v>-</v>
      </c>
      <c r="AB279" s="36">
        <f>IFERROR(INDEX(Katalog!$D$3:$D$12,MATCH(cadangan3[[#This Row],[ItemID C]],Katalog!$C$3:$C$12,0))*cadangan3[[#This Row],[Qty C]],0)</f>
        <v>0</v>
      </c>
      <c r="AC279" s="36">
        <f>IFERROR(INDEX(Katalog!$D$3:$D$12,MATCH(cadangan3[[#This Row],[Item C]],Katalog!$B$3:$B$12,0))*cadangan3[[#This Row],[Qty C]],0)</f>
        <v>0</v>
      </c>
      <c r="AD279" s="36">
        <f>IFERROR(cadangan3[[#This Row],[Harga Asli C]]-(cadangan3[[#This Row],[Harga Asli C]]*cadangan3[[#This Row],[Diskon]]),cadangan3[[#This Row],[Harga Asli C]])</f>
        <v>0</v>
      </c>
      <c r="AE279" s="36">
        <f>IFERROR(INDEX(Katalog!$F$3:$F$12,MATCH(cadangan3[[#This Row],[ItemID C]],Katalog!$C$3:$C$12,0))*cadangan3[[#This Row],[Qty C]],0)</f>
        <v>0</v>
      </c>
      <c r="AF279" s="36">
        <f>IFERROR(cadangan3[[#This Row],[Profit C]]-(cadangan3[[#This Row],[Profit C]]*cadangan3[[#This Row],[Diskon]]),cadangan3[[#This Row],[Profit C]])</f>
        <v>0</v>
      </c>
      <c r="AG279" s="21">
        <f>cadangan3[[#This Row],[Qty A]]+cadangan3[[#This Row],[Qty B]]+cadangan3[[#This Row],[Qty C]]</f>
        <v>6</v>
      </c>
      <c r="AH279" s="35">
        <f>cadangan3[[#This Row],[Harga A + Diskon]]+cadangan3[[#This Row],[Harga + Diskon B]]+cadangan3[[#This Row],[Harga + Diskon C]]</f>
        <v>935000</v>
      </c>
      <c r="AI279" s="35">
        <f>(cadangan3[[#This Row],[Profit A]]+cadangan3[[#This Row],[Profit B]]+cadangan3[[#This Row],[Profit C]])</f>
        <v>430000</v>
      </c>
      <c r="AJ279" s="35">
        <f>cadangan3[[#This Row],[Provit A + Diskon]]+cadangan3[[#This Row],[Provit B + Diskon]]+cadangan3[[#This Row],[Provit C + Diskon]]</f>
        <v>365500</v>
      </c>
      <c r="AK279" s="23" t="s">
        <v>32</v>
      </c>
      <c r="AL279" s="37">
        <f>IFERROR(INDEX('Kode Diskon'!$D$3:$D$9,MATCH(cadangan3[[#This Row],[Kode diskon]],'Kode Diskon'!$C$3:$C$9,0)),"-")</f>
        <v>0.15</v>
      </c>
      <c r="AM279" s="23" t="s">
        <v>9</v>
      </c>
      <c r="AN279" s="23" t="s">
        <v>12</v>
      </c>
      <c r="AO279" s="23" t="s">
        <v>80</v>
      </c>
      <c r="AP279" s="24">
        <v>45040</v>
      </c>
      <c r="AQ279" s="23" t="str">
        <f>TEXT(cadangan3[[#This Row],[Tanggal terjual]],"dddd")</f>
        <v>Monday</v>
      </c>
    </row>
    <row r="280" spans="1:43" x14ac:dyDescent="0.2">
      <c r="A280" s="20">
        <v>279</v>
      </c>
      <c r="B280" s="21" t="str">
        <f>_xlfn.CONCAT("ORD-",INDEX(Helper!$B$2:$B$5,MATCH(cadangan3[[#This Row],[Marketplace]],Helper!$A$2:$A$5,0)),TEXT(cadangan3[[#This Row],[No]],"0000"),"-",TEXT(cadangan3[[#This Row],[Tanggal terjual]],"dd/mm/yy"))</f>
        <v>ORD-SP0279-01/04/23</v>
      </c>
      <c r="C280" t="s">
        <v>63</v>
      </c>
      <c r="D280" t="str">
        <f>IFERROR(INDEX(Katalog!$A$3:$A$12,MATCH(cadangan3[[#This Row],[ItemID A]],Katalog!$C$3:$C$12,0)),"-")</f>
        <v>Pakaian Pria</v>
      </c>
      <c r="E280" t="str">
        <f>IFERROR(INDEX(Katalog!$B$3:$B$12,MATCH(cadangan3[[#This Row],[ItemID A]],Katalog!$C$3:$C$12,0)),"-")</f>
        <v>Jaket Jeans</v>
      </c>
      <c r="F280">
        <v>1</v>
      </c>
      <c r="G280">
        <v>5</v>
      </c>
      <c r="H280" s="36">
        <f>IFERROR(INDEX(Katalog!$D$3:$D$12,MATCH(cadangan3[[#This Row],[ItemID A]],Katalog!$C$3:$C$12,0))*cadangan3[[#This Row],[Qty A]],0)</f>
        <v>400000</v>
      </c>
      <c r="I280" s="36">
        <f>IFERROR(INDEX(Katalog!$D$3:$D$12,MATCH(cadangan3[[#This Row],[Item A]],Katalog!$B$3:$B$12,0))*cadangan3[[#This Row],[Qty A]],0)</f>
        <v>400000</v>
      </c>
      <c r="J280" s="36">
        <f>IFERROR(cadangan3[[#This Row],[Harga Asli A]]-(cadangan3[[#This Row],[Harga Asli A]]*cadangan3[[#This Row],[Diskon]]),cadangan3[[#This Row],[Harga Asli A]])</f>
        <v>340000</v>
      </c>
      <c r="K280" s="36">
        <f>INDEX(Katalog!$F$3:$F$12,MATCH(cadangan3[[#This Row],[ItemID A]],Katalog!$C$3:$C$12,0))*cadangan3[[#This Row],[Qty A]]</f>
        <v>150000</v>
      </c>
      <c r="L280" s="36">
        <f>IFERROR(cadangan3[[#This Row],[Profit A]]-(cadangan3[[#This Row],[Profit A]]*cadangan3[[#This Row],[Diskon]]),K280)</f>
        <v>127500</v>
      </c>
      <c r="N280" t="str">
        <f>IFERROR(INDEX(Katalog!$A$3:$A$12,MATCH(cadangan3[[#This Row],[ItemID B]],Katalog!$C$3:$C$12,0)),"-")</f>
        <v>-</v>
      </c>
      <c r="O280" t="str">
        <f>IFERROR(INDEX(Katalog!$B$3:$B$12,MATCH(cadangan3[[#This Row],[ItemID B]],Katalog!$C$3:$C$12,0)),"-")</f>
        <v>-</v>
      </c>
      <c r="R280" s="36">
        <f>IFERROR(INDEX(Katalog!$D$3:$D$12,MATCH(cadangan3[[#This Row],[ItemID B]],Katalog!$C$3:$C$12,0))*cadangan3[[#This Row],[Qty B]],0)</f>
        <v>0</v>
      </c>
      <c r="S280" s="36">
        <f>IFERROR(INDEX(Katalog!$D$3:$D$12,MATCH(cadangan3[[#This Row],[Item B]],Katalog!$B$3:$B$12,0))*cadangan3[[#This Row],[Qty B]],0)</f>
        <v>0</v>
      </c>
      <c r="T280" s="36">
        <f>IFERROR(cadangan3[[#This Row],[Harga Asli B]]-(cadangan3[[#This Row],[Harga Asli B]]*cadangan3[[#This Row],[Diskon]]),cadangan3[[#This Row],[Harga Asli B]])</f>
        <v>0</v>
      </c>
      <c r="U280" s="36">
        <f>IFERROR(INDEX(Katalog!$F$3:$F$12,MATCH(cadangan3[[#This Row],[ItemID B]],Katalog!$C$3:$C$12,0))*cadangan3[[#This Row],[Qty B]],0)</f>
        <v>0</v>
      </c>
      <c r="V280" s="36">
        <f>IFERROR(cadangan3[[#This Row],[Profit B]]-(cadangan3[[#This Row],[Profit B]]*cadangan3[[#This Row],[Diskon]]),U280)</f>
        <v>0</v>
      </c>
      <c r="X280" t="str">
        <f>IFERROR(INDEX(Katalog!$A$3:$A$12,MATCH(cadangan3[[#This Row],[ItemID C]],Katalog!$C$3:$C$12,0)),"-")</f>
        <v>-</v>
      </c>
      <c r="Y280" t="str">
        <f>IFERROR(INDEX(Katalog!$B$3:$B$12,MATCH(cadangan3[[#This Row],[ItemID C]],Katalog!$C$3:$C$12,0)),"-")</f>
        <v>-</v>
      </c>
      <c r="AB280" s="36">
        <f>IFERROR(INDEX(Katalog!$D$3:$D$12,MATCH(cadangan3[[#This Row],[ItemID C]],Katalog!$C$3:$C$12,0))*cadangan3[[#This Row],[Qty C]],0)</f>
        <v>0</v>
      </c>
      <c r="AC280" s="36">
        <f>IFERROR(INDEX(Katalog!$D$3:$D$12,MATCH(cadangan3[[#This Row],[Item C]],Katalog!$B$3:$B$12,0))*cadangan3[[#This Row],[Qty C]],0)</f>
        <v>0</v>
      </c>
      <c r="AD280" s="36">
        <f>IFERROR(cadangan3[[#This Row],[Harga Asli C]]-(cadangan3[[#This Row],[Harga Asli C]]*cadangan3[[#This Row],[Diskon]]),cadangan3[[#This Row],[Harga Asli C]])</f>
        <v>0</v>
      </c>
      <c r="AE280" s="36">
        <f>IFERROR(INDEX(Katalog!$F$3:$F$12,MATCH(cadangan3[[#This Row],[ItemID C]],Katalog!$C$3:$C$12,0))*cadangan3[[#This Row],[Qty C]],0)</f>
        <v>0</v>
      </c>
      <c r="AF280" s="36">
        <f>IFERROR(cadangan3[[#This Row],[Profit C]]-(cadangan3[[#This Row],[Profit C]]*cadangan3[[#This Row],[Diskon]]),cadangan3[[#This Row],[Profit C]])</f>
        <v>0</v>
      </c>
      <c r="AG280" s="21">
        <f>cadangan3[[#This Row],[Qty A]]+cadangan3[[#This Row],[Qty B]]+cadangan3[[#This Row],[Qty C]]</f>
        <v>1</v>
      </c>
      <c r="AH280" s="35">
        <f>cadangan3[[#This Row],[Harga A + Diskon]]+cadangan3[[#This Row],[Harga + Diskon B]]+cadangan3[[#This Row],[Harga + Diskon C]]</f>
        <v>340000</v>
      </c>
      <c r="AI280" s="35">
        <f>(cadangan3[[#This Row],[Profit A]]+cadangan3[[#This Row],[Profit B]]+cadangan3[[#This Row],[Profit C]])</f>
        <v>150000</v>
      </c>
      <c r="AJ280" s="35">
        <f>cadangan3[[#This Row],[Provit A + Diskon]]+cadangan3[[#This Row],[Provit B + Diskon]]+cadangan3[[#This Row],[Provit C + Diskon]]</f>
        <v>127500</v>
      </c>
      <c r="AK280" s="23" t="s">
        <v>13</v>
      </c>
      <c r="AL280" s="37">
        <f>IFERROR(INDEX('Kode Diskon'!$D$3:$D$9,MATCH(cadangan3[[#This Row],[Kode diskon]],'Kode Diskon'!$C$3:$C$9,0)),"-")</f>
        <v>0.15</v>
      </c>
      <c r="AM280" s="23" t="s">
        <v>29</v>
      </c>
      <c r="AN280" s="23" t="s">
        <v>7</v>
      </c>
      <c r="AO280" s="23" t="s">
        <v>79</v>
      </c>
      <c r="AP280" s="24">
        <v>45017</v>
      </c>
      <c r="AQ280" s="23" t="str">
        <f>TEXT(cadangan3[[#This Row],[Tanggal terjual]],"dddd")</f>
        <v>Saturday</v>
      </c>
    </row>
    <row r="281" spans="1:43" x14ac:dyDescent="0.2">
      <c r="A281" s="20">
        <v>280</v>
      </c>
      <c r="B281" s="21" t="str">
        <f>_xlfn.CONCAT("ORD-",INDEX(Helper!$B$2:$B$5,MATCH(cadangan3[[#This Row],[Marketplace]],Helper!$A$2:$A$5,0)),TEXT(cadangan3[[#This Row],[No]],"0000"),"-",TEXT(cadangan3[[#This Row],[Tanggal terjual]],"dd/mm/yy"))</f>
        <v>ORD-SP0280-03/04/23</v>
      </c>
      <c r="C281" t="s">
        <v>63</v>
      </c>
      <c r="D281" t="str">
        <f>IFERROR(INDEX(Katalog!$A$3:$A$12,MATCH(cadangan3[[#This Row],[ItemID A]],Katalog!$C$3:$C$12,0)),"-")</f>
        <v>Pakaian Pria</v>
      </c>
      <c r="E281" t="str">
        <f>IFERROR(INDEX(Katalog!$B$3:$B$12,MATCH(cadangan3[[#This Row],[ItemID A]],Katalog!$C$3:$C$12,0)),"-")</f>
        <v>Jaket Jeans</v>
      </c>
      <c r="F281">
        <v>1</v>
      </c>
      <c r="G281">
        <v>5</v>
      </c>
      <c r="H281" s="36">
        <f>IFERROR(INDEX(Katalog!$D$3:$D$12,MATCH(cadangan3[[#This Row],[ItemID A]],Katalog!$C$3:$C$12,0))*cadangan3[[#This Row],[Qty A]],0)</f>
        <v>400000</v>
      </c>
      <c r="I281" s="36">
        <f>IFERROR(INDEX(Katalog!$D$3:$D$12,MATCH(cadangan3[[#This Row],[Item A]],Katalog!$B$3:$B$12,0))*cadangan3[[#This Row],[Qty A]],0)</f>
        <v>400000</v>
      </c>
      <c r="J281" s="36">
        <f>IFERROR(cadangan3[[#This Row],[Harga Asli A]]-(cadangan3[[#This Row],[Harga Asli A]]*cadangan3[[#This Row],[Diskon]]),cadangan3[[#This Row],[Harga Asli A]])</f>
        <v>340000</v>
      </c>
      <c r="K281" s="36">
        <f>INDEX(Katalog!$F$3:$F$12,MATCH(cadangan3[[#This Row],[ItemID A]],Katalog!$C$3:$C$12,0))*cadangan3[[#This Row],[Qty A]]</f>
        <v>150000</v>
      </c>
      <c r="L281" s="36">
        <f>IFERROR(cadangan3[[#This Row],[Profit A]]-(cadangan3[[#This Row],[Profit A]]*cadangan3[[#This Row],[Diskon]]),K281)</f>
        <v>127500</v>
      </c>
      <c r="N281" t="str">
        <f>IFERROR(INDEX(Katalog!$A$3:$A$12,MATCH(cadangan3[[#This Row],[ItemID B]],Katalog!$C$3:$C$12,0)),"-")</f>
        <v>-</v>
      </c>
      <c r="O281" t="str">
        <f>IFERROR(INDEX(Katalog!$B$3:$B$12,MATCH(cadangan3[[#This Row],[ItemID B]],Katalog!$C$3:$C$12,0)),"-")</f>
        <v>-</v>
      </c>
      <c r="R281" s="36">
        <f>IFERROR(INDEX(Katalog!$D$3:$D$12,MATCH(cadangan3[[#This Row],[ItemID B]],Katalog!$C$3:$C$12,0))*cadangan3[[#This Row],[Qty B]],0)</f>
        <v>0</v>
      </c>
      <c r="S281" s="36">
        <f>IFERROR(INDEX(Katalog!$D$3:$D$12,MATCH(cadangan3[[#This Row],[Item B]],Katalog!$B$3:$B$12,0))*cadangan3[[#This Row],[Qty B]],0)</f>
        <v>0</v>
      </c>
      <c r="T281" s="36">
        <f>IFERROR(cadangan3[[#This Row],[Harga Asli B]]-(cadangan3[[#This Row],[Harga Asli B]]*cadangan3[[#This Row],[Diskon]]),cadangan3[[#This Row],[Harga Asli B]])</f>
        <v>0</v>
      </c>
      <c r="U281" s="36">
        <f>IFERROR(INDEX(Katalog!$F$3:$F$12,MATCH(cadangan3[[#This Row],[ItemID B]],Katalog!$C$3:$C$12,0))*cadangan3[[#This Row],[Qty B]],0)</f>
        <v>0</v>
      </c>
      <c r="V281" s="36">
        <f>IFERROR(cadangan3[[#This Row],[Profit B]]-(cadangan3[[#This Row],[Profit B]]*cadangan3[[#This Row],[Diskon]]),U281)</f>
        <v>0</v>
      </c>
      <c r="X281" t="str">
        <f>IFERROR(INDEX(Katalog!$A$3:$A$12,MATCH(cadangan3[[#This Row],[ItemID C]],Katalog!$C$3:$C$12,0)),"-")</f>
        <v>-</v>
      </c>
      <c r="Y281" t="str">
        <f>IFERROR(INDEX(Katalog!$B$3:$B$12,MATCH(cadangan3[[#This Row],[ItemID C]],Katalog!$C$3:$C$12,0)),"-")</f>
        <v>-</v>
      </c>
      <c r="AB281" s="36">
        <f>IFERROR(INDEX(Katalog!$D$3:$D$12,MATCH(cadangan3[[#This Row],[ItemID C]],Katalog!$C$3:$C$12,0))*cadangan3[[#This Row],[Qty C]],0)</f>
        <v>0</v>
      </c>
      <c r="AC281" s="36">
        <f>IFERROR(INDEX(Katalog!$D$3:$D$12,MATCH(cadangan3[[#This Row],[Item C]],Katalog!$B$3:$B$12,0))*cadangan3[[#This Row],[Qty C]],0)</f>
        <v>0</v>
      </c>
      <c r="AD281" s="36">
        <f>IFERROR(cadangan3[[#This Row],[Harga Asli C]]-(cadangan3[[#This Row],[Harga Asli C]]*cadangan3[[#This Row],[Diskon]]),cadangan3[[#This Row],[Harga Asli C]])</f>
        <v>0</v>
      </c>
      <c r="AE281" s="36">
        <f>IFERROR(INDEX(Katalog!$F$3:$F$12,MATCH(cadangan3[[#This Row],[ItemID C]],Katalog!$C$3:$C$12,0))*cadangan3[[#This Row],[Qty C]],0)</f>
        <v>0</v>
      </c>
      <c r="AF281" s="36">
        <f>IFERROR(cadangan3[[#This Row],[Profit C]]-(cadangan3[[#This Row],[Profit C]]*cadangan3[[#This Row],[Diskon]]),cadangan3[[#This Row],[Profit C]])</f>
        <v>0</v>
      </c>
      <c r="AG281" s="21">
        <f>cadangan3[[#This Row],[Qty A]]+cadangan3[[#This Row],[Qty B]]+cadangan3[[#This Row],[Qty C]]</f>
        <v>1</v>
      </c>
      <c r="AH281" s="35">
        <f>cadangan3[[#This Row],[Harga A + Diskon]]+cadangan3[[#This Row],[Harga + Diskon B]]+cadangan3[[#This Row],[Harga + Diskon C]]</f>
        <v>340000</v>
      </c>
      <c r="AI281" s="35">
        <f>(cadangan3[[#This Row],[Profit A]]+cadangan3[[#This Row],[Profit B]]+cadangan3[[#This Row],[Profit C]])</f>
        <v>150000</v>
      </c>
      <c r="AJ281" s="35">
        <f>cadangan3[[#This Row],[Provit A + Diskon]]+cadangan3[[#This Row],[Provit B + Diskon]]+cadangan3[[#This Row],[Provit C + Diskon]]</f>
        <v>127500</v>
      </c>
      <c r="AK281" s="23" t="s">
        <v>13</v>
      </c>
      <c r="AL281" s="37">
        <f>IFERROR(INDEX('Kode Diskon'!$D$3:$D$9,MATCH(cadangan3[[#This Row],[Kode diskon]],'Kode Diskon'!$C$3:$C$9,0)),"-")</f>
        <v>0.15</v>
      </c>
      <c r="AM281" s="23" t="s">
        <v>29</v>
      </c>
      <c r="AN281" s="23" t="s">
        <v>7</v>
      </c>
      <c r="AO281" s="23" t="s">
        <v>79</v>
      </c>
      <c r="AP281" s="24">
        <v>45019</v>
      </c>
      <c r="AQ281" s="23" t="str">
        <f>TEXT(cadangan3[[#This Row],[Tanggal terjual]],"dddd")</f>
        <v>Monday</v>
      </c>
    </row>
    <row r="282" spans="1:43" x14ac:dyDescent="0.2">
      <c r="A282" s="20">
        <v>281</v>
      </c>
      <c r="B282" s="21" t="str">
        <f>_xlfn.CONCAT("ORD-",INDEX(Helper!$B$2:$B$5,MATCH(cadangan3[[#This Row],[Marketplace]],Helper!$A$2:$A$5,0)),TEXT(cadangan3[[#This Row],[No]],"0000"),"-",TEXT(cadangan3[[#This Row],[Tanggal terjual]],"dd/mm/yy"))</f>
        <v>ORD-SP0281-23/04/23</v>
      </c>
      <c r="C282" t="s">
        <v>63</v>
      </c>
      <c r="D282" t="str">
        <f>IFERROR(INDEX(Katalog!$A$3:$A$12,MATCH(cadangan3[[#This Row],[ItemID A]],Katalog!$C$3:$C$12,0)),"-")</f>
        <v>Pakaian Pria</v>
      </c>
      <c r="E282" t="str">
        <f>IFERROR(INDEX(Katalog!$B$3:$B$12,MATCH(cadangan3[[#This Row],[ItemID A]],Katalog!$C$3:$C$12,0)),"-")</f>
        <v>Jaket Jeans</v>
      </c>
      <c r="F282">
        <v>1</v>
      </c>
      <c r="G282">
        <v>5</v>
      </c>
      <c r="H282" s="36">
        <f>IFERROR(INDEX(Katalog!$D$3:$D$12,MATCH(cadangan3[[#This Row],[ItemID A]],Katalog!$C$3:$C$12,0))*cadangan3[[#This Row],[Qty A]],0)</f>
        <v>400000</v>
      </c>
      <c r="I282" s="36">
        <f>IFERROR(INDEX(Katalog!$D$3:$D$12,MATCH(cadangan3[[#This Row],[Item A]],Katalog!$B$3:$B$12,0))*cadangan3[[#This Row],[Qty A]],0)</f>
        <v>400000</v>
      </c>
      <c r="J282" s="36">
        <f>IFERROR(cadangan3[[#This Row],[Harga Asli A]]-(cadangan3[[#This Row],[Harga Asli A]]*cadangan3[[#This Row],[Diskon]]),cadangan3[[#This Row],[Harga Asli A]])</f>
        <v>320000</v>
      </c>
      <c r="K282" s="36">
        <f>INDEX(Katalog!$F$3:$F$12,MATCH(cadangan3[[#This Row],[ItemID A]],Katalog!$C$3:$C$12,0))*cadangan3[[#This Row],[Qty A]]</f>
        <v>150000</v>
      </c>
      <c r="L282" s="36">
        <f>IFERROR(cadangan3[[#This Row],[Profit A]]-(cadangan3[[#This Row],[Profit A]]*cadangan3[[#This Row],[Diskon]]),K282)</f>
        <v>120000</v>
      </c>
      <c r="N282" t="str">
        <f>IFERROR(INDEX(Katalog!$A$3:$A$12,MATCH(cadangan3[[#This Row],[ItemID B]],Katalog!$C$3:$C$12,0)),"-")</f>
        <v>-</v>
      </c>
      <c r="O282" t="str">
        <f>IFERROR(INDEX(Katalog!$B$3:$B$12,MATCH(cadangan3[[#This Row],[ItemID B]],Katalog!$C$3:$C$12,0)),"-")</f>
        <v>-</v>
      </c>
      <c r="R282" s="36">
        <f>IFERROR(INDEX(Katalog!$D$3:$D$12,MATCH(cadangan3[[#This Row],[ItemID B]],Katalog!$C$3:$C$12,0))*cadangan3[[#This Row],[Qty B]],0)</f>
        <v>0</v>
      </c>
      <c r="S282" s="36">
        <f>IFERROR(INDEX(Katalog!$D$3:$D$12,MATCH(cadangan3[[#This Row],[Item B]],Katalog!$B$3:$B$12,0))*cadangan3[[#This Row],[Qty B]],0)</f>
        <v>0</v>
      </c>
      <c r="T282" s="36">
        <f>IFERROR(cadangan3[[#This Row],[Harga Asli B]]-(cadangan3[[#This Row],[Harga Asli B]]*cadangan3[[#This Row],[Diskon]]),cadangan3[[#This Row],[Harga Asli B]])</f>
        <v>0</v>
      </c>
      <c r="U282" s="36">
        <f>IFERROR(INDEX(Katalog!$F$3:$F$12,MATCH(cadangan3[[#This Row],[ItemID B]],Katalog!$C$3:$C$12,0))*cadangan3[[#This Row],[Qty B]],0)</f>
        <v>0</v>
      </c>
      <c r="V282" s="36">
        <f>IFERROR(cadangan3[[#This Row],[Profit B]]-(cadangan3[[#This Row],[Profit B]]*cadangan3[[#This Row],[Diskon]]),U282)</f>
        <v>0</v>
      </c>
      <c r="X282" t="str">
        <f>IFERROR(INDEX(Katalog!$A$3:$A$12,MATCH(cadangan3[[#This Row],[ItemID C]],Katalog!$C$3:$C$12,0)),"-")</f>
        <v>-</v>
      </c>
      <c r="Y282" t="str">
        <f>IFERROR(INDEX(Katalog!$B$3:$B$12,MATCH(cadangan3[[#This Row],[ItemID C]],Katalog!$C$3:$C$12,0)),"-")</f>
        <v>-</v>
      </c>
      <c r="AB282" s="36">
        <f>IFERROR(INDEX(Katalog!$D$3:$D$12,MATCH(cadangan3[[#This Row],[ItemID C]],Katalog!$C$3:$C$12,0))*cadangan3[[#This Row],[Qty C]],0)</f>
        <v>0</v>
      </c>
      <c r="AC282" s="36">
        <f>IFERROR(INDEX(Katalog!$D$3:$D$12,MATCH(cadangan3[[#This Row],[Item C]],Katalog!$B$3:$B$12,0))*cadangan3[[#This Row],[Qty C]],0)</f>
        <v>0</v>
      </c>
      <c r="AD282" s="36">
        <f>IFERROR(cadangan3[[#This Row],[Harga Asli C]]-(cadangan3[[#This Row],[Harga Asli C]]*cadangan3[[#This Row],[Diskon]]),cadangan3[[#This Row],[Harga Asli C]])</f>
        <v>0</v>
      </c>
      <c r="AE282" s="36">
        <f>IFERROR(INDEX(Katalog!$F$3:$F$12,MATCH(cadangan3[[#This Row],[ItemID C]],Katalog!$C$3:$C$12,0))*cadangan3[[#This Row],[Qty C]],0)</f>
        <v>0</v>
      </c>
      <c r="AF282" s="36">
        <f>IFERROR(cadangan3[[#This Row],[Profit C]]-(cadangan3[[#This Row],[Profit C]]*cadangan3[[#This Row],[Diskon]]),cadangan3[[#This Row],[Profit C]])</f>
        <v>0</v>
      </c>
      <c r="AG282" s="21">
        <f>cadangan3[[#This Row],[Qty A]]+cadangan3[[#This Row],[Qty B]]+cadangan3[[#This Row],[Qty C]]</f>
        <v>1</v>
      </c>
      <c r="AH282" s="35">
        <f>cadangan3[[#This Row],[Harga A + Diskon]]+cadangan3[[#This Row],[Harga + Diskon B]]+cadangan3[[#This Row],[Harga + Diskon C]]</f>
        <v>320000</v>
      </c>
      <c r="AI282" s="35">
        <f>(cadangan3[[#This Row],[Profit A]]+cadangan3[[#This Row],[Profit B]]+cadangan3[[#This Row],[Profit C]])</f>
        <v>150000</v>
      </c>
      <c r="AJ282" s="35">
        <f>cadangan3[[#This Row],[Provit A + Diskon]]+cadangan3[[#This Row],[Provit B + Diskon]]+cadangan3[[#This Row],[Provit C + Diskon]]</f>
        <v>120000</v>
      </c>
      <c r="AK282" s="23" t="s">
        <v>8</v>
      </c>
      <c r="AL282" s="37">
        <f>IFERROR(INDEX('Kode Diskon'!$D$3:$D$9,MATCH(cadangan3[[#This Row],[Kode diskon]],'Kode Diskon'!$C$3:$C$9,0)),"-")</f>
        <v>0.2</v>
      </c>
      <c r="AM282" s="23" t="s">
        <v>9</v>
      </c>
      <c r="AN282" s="23" t="s">
        <v>7</v>
      </c>
      <c r="AO282" s="23" t="s">
        <v>80</v>
      </c>
      <c r="AP282" s="24">
        <v>45039</v>
      </c>
      <c r="AQ282" s="23" t="str">
        <f>TEXT(cadangan3[[#This Row],[Tanggal terjual]],"dddd")</f>
        <v>Sunday</v>
      </c>
    </row>
    <row r="283" spans="1:43" x14ac:dyDescent="0.2">
      <c r="A283" s="20">
        <v>282</v>
      </c>
      <c r="B283" s="21" t="str">
        <f>_xlfn.CONCAT("ORD-",INDEX(Helper!$B$2:$B$5,MATCH(cadangan3[[#This Row],[Marketplace]],Helper!$A$2:$A$5,0)),TEXT(cadangan3[[#This Row],[No]],"0000"),"-",TEXT(cadangan3[[#This Row],[Tanggal terjual]],"dd/mm/yy"))</f>
        <v>ORD-TK0282-03/04/23</v>
      </c>
      <c r="C283" t="s">
        <v>63</v>
      </c>
      <c r="D283" t="str">
        <f>IFERROR(INDEX(Katalog!$A$3:$A$12,MATCH(cadangan3[[#This Row],[ItemID A]],Katalog!$C$3:$C$12,0)),"-")</f>
        <v>Pakaian Pria</v>
      </c>
      <c r="E283" t="str">
        <f>IFERROR(INDEX(Katalog!$B$3:$B$12,MATCH(cadangan3[[#This Row],[ItemID A]],Katalog!$C$3:$C$12,0)),"-")</f>
        <v>Jaket Jeans</v>
      </c>
      <c r="F283">
        <v>2</v>
      </c>
      <c r="G283">
        <v>3</v>
      </c>
      <c r="H283" s="36">
        <f>IFERROR(INDEX(Katalog!$D$3:$D$12,MATCH(cadangan3[[#This Row],[ItemID A]],Katalog!$C$3:$C$12,0))*cadangan3[[#This Row],[Qty A]],0)</f>
        <v>800000</v>
      </c>
      <c r="I283" s="36">
        <f>IFERROR(INDEX(Katalog!$D$3:$D$12,MATCH(cadangan3[[#This Row],[Item A]],Katalog!$B$3:$B$12,0))*cadangan3[[#This Row],[Qty A]],0)</f>
        <v>800000</v>
      </c>
      <c r="J283" s="36">
        <f>IFERROR(cadangan3[[#This Row],[Harga Asli A]]-(cadangan3[[#This Row],[Harga Asli A]]*cadangan3[[#This Row],[Diskon]]),cadangan3[[#This Row],[Harga Asli A]])</f>
        <v>720000</v>
      </c>
      <c r="K283" s="36">
        <f>INDEX(Katalog!$F$3:$F$12,MATCH(cadangan3[[#This Row],[ItemID A]],Katalog!$C$3:$C$12,0))*cadangan3[[#This Row],[Qty A]]</f>
        <v>300000</v>
      </c>
      <c r="L283" s="36">
        <f>IFERROR(cadangan3[[#This Row],[Profit A]]-(cadangan3[[#This Row],[Profit A]]*cadangan3[[#This Row],[Diskon]]),K283)</f>
        <v>270000</v>
      </c>
      <c r="M283" t="s">
        <v>58</v>
      </c>
      <c r="N283" t="str">
        <f>IFERROR(INDEX(Katalog!$A$3:$A$12,MATCH(cadangan3[[#This Row],[ItemID B]],Katalog!$C$3:$C$12,0)),"-")</f>
        <v>Pakaian Wanita</v>
      </c>
      <c r="O283" t="str">
        <f>IFERROR(INDEX(Katalog!$B$3:$B$12,MATCH(cadangan3[[#This Row],[ItemID B]],Katalog!$C$3:$C$12,0)),"-")</f>
        <v>Dress</v>
      </c>
      <c r="P283">
        <v>1</v>
      </c>
      <c r="Q283">
        <v>2</v>
      </c>
      <c r="R283" s="36">
        <f>IFERROR(INDEX(Katalog!$D$3:$D$12,MATCH(cadangan3[[#This Row],[ItemID B]],Katalog!$C$3:$C$12,0))*cadangan3[[#This Row],[Qty B]],0)</f>
        <v>300000</v>
      </c>
      <c r="S283" s="36">
        <f>IFERROR(INDEX(Katalog!$D$3:$D$12,MATCH(cadangan3[[#This Row],[Item B]],Katalog!$B$3:$B$12,0))*cadangan3[[#This Row],[Qty B]],0)</f>
        <v>300000</v>
      </c>
      <c r="T283" s="36">
        <f>IFERROR(cadangan3[[#This Row],[Harga Asli B]]-(cadangan3[[#This Row],[Harga Asli B]]*cadangan3[[#This Row],[Diskon]]),cadangan3[[#This Row],[Harga Asli B]])</f>
        <v>270000</v>
      </c>
      <c r="U283" s="36">
        <f>IFERROR(INDEX(Katalog!$F$3:$F$12,MATCH(cadangan3[[#This Row],[ItemID B]],Katalog!$C$3:$C$12,0))*cadangan3[[#This Row],[Qty B]],0)</f>
        <v>100000</v>
      </c>
      <c r="V283" s="36">
        <f>IFERROR(cadangan3[[#This Row],[Profit B]]-(cadangan3[[#This Row],[Profit B]]*cadangan3[[#This Row],[Diskon]]),U283)</f>
        <v>90000</v>
      </c>
      <c r="W283" t="s">
        <v>63</v>
      </c>
      <c r="X283" t="str">
        <f>IFERROR(INDEX(Katalog!$A$3:$A$12,MATCH(cadangan3[[#This Row],[ItemID C]],Katalog!$C$3:$C$12,0)),"-")</f>
        <v>Pakaian Pria</v>
      </c>
      <c r="Y283" t="str">
        <f>IFERROR(INDEX(Katalog!$B$3:$B$12,MATCH(cadangan3[[#This Row],[ItemID C]],Katalog!$C$3:$C$12,0)),"-")</f>
        <v>Jaket Jeans</v>
      </c>
      <c r="Z283">
        <v>1</v>
      </c>
      <c r="AA283">
        <v>4</v>
      </c>
      <c r="AB283" s="36">
        <f>IFERROR(INDEX(Katalog!$D$3:$D$12,MATCH(cadangan3[[#This Row],[ItemID C]],Katalog!$C$3:$C$12,0))*cadangan3[[#This Row],[Qty C]],0)</f>
        <v>400000</v>
      </c>
      <c r="AC283" s="36">
        <f>IFERROR(INDEX(Katalog!$D$3:$D$12,MATCH(cadangan3[[#This Row],[Item C]],Katalog!$B$3:$B$12,0))*cadangan3[[#This Row],[Qty C]],0)</f>
        <v>400000</v>
      </c>
      <c r="AD283" s="36">
        <f>IFERROR(cadangan3[[#This Row],[Harga Asli C]]-(cadangan3[[#This Row],[Harga Asli C]]*cadangan3[[#This Row],[Diskon]]),cadangan3[[#This Row],[Harga Asli C]])</f>
        <v>360000</v>
      </c>
      <c r="AE283" s="36">
        <f>IFERROR(INDEX(Katalog!$F$3:$F$12,MATCH(cadangan3[[#This Row],[ItemID C]],Katalog!$C$3:$C$12,0))*cadangan3[[#This Row],[Qty C]],0)</f>
        <v>150000</v>
      </c>
      <c r="AF283" s="36">
        <f>IFERROR(cadangan3[[#This Row],[Profit C]]-(cadangan3[[#This Row],[Profit C]]*cadangan3[[#This Row],[Diskon]]),cadangan3[[#This Row],[Profit C]])</f>
        <v>135000</v>
      </c>
      <c r="AG283" s="21">
        <f>cadangan3[[#This Row],[Qty A]]+cadangan3[[#This Row],[Qty B]]+cadangan3[[#This Row],[Qty C]]</f>
        <v>4</v>
      </c>
      <c r="AH283" s="35">
        <f>cadangan3[[#This Row],[Harga A + Diskon]]+cadangan3[[#This Row],[Harga + Diskon B]]+cadangan3[[#This Row],[Harga + Diskon C]]</f>
        <v>1350000</v>
      </c>
      <c r="AI283" s="35">
        <f>(cadangan3[[#This Row],[Profit A]]+cadangan3[[#This Row],[Profit B]]+cadangan3[[#This Row],[Profit C]])</f>
        <v>550000</v>
      </c>
      <c r="AJ283" s="35">
        <f>cadangan3[[#This Row],[Provit A + Diskon]]+cadangan3[[#This Row],[Provit B + Diskon]]+cadangan3[[#This Row],[Provit C + Diskon]]</f>
        <v>495000</v>
      </c>
      <c r="AK283" s="23" t="s">
        <v>30</v>
      </c>
      <c r="AL283" s="37">
        <f>IFERROR(INDEX('Kode Diskon'!$D$3:$D$9,MATCH(cadangan3[[#This Row],[Kode diskon]],'Kode Diskon'!$C$3:$C$9,0)),"-")</f>
        <v>0.1</v>
      </c>
      <c r="AM283" s="23" t="s">
        <v>29</v>
      </c>
      <c r="AN283" s="23" t="s">
        <v>10</v>
      </c>
      <c r="AO283" s="23" t="s">
        <v>76</v>
      </c>
      <c r="AP283" s="24">
        <v>45019</v>
      </c>
      <c r="AQ283" s="23" t="str">
        <f>TEXT(cadangan3[[#This Row],[Tanggal terjual]],"dddd")</f>
        <v>Monday</v>
      </c>
    </row>
    <row r="284" spans="1:43" x14ac:dyDescent="0.2">
      <c r="A284" s="20">
        <v>283</v>
      </c>
      <c r="B284" s="21" t="str">
        <f>_xlfn.CONCAT("ORD-",INDEX(Helper!$B$2:$B$5,MATCH(cadangan3[[#This Row],[Marketplace]],Helper!$A$2:$A$5,0)),TEXT(cadangan3[[#This Row],[No]],"0000"),"-",TEXT(cadangan3[[#This Row],[Tanggal terjual]],"dd/mm/yy"))</f>
        <v>ORD-BL0283-16/04/23</v>
      </c>
      <c r="C284" t="s">
        <v>66</v>
      </c>
      <c r="D284" t="str">
        <f>IFERROR(INDEX(Katalog!$A$3:$A$12,MATCH(cadangan3[[#This Row],[ItemID A]],Katalog!$C$3:$C$12,0)),"-")</f>
        <v>Sepatu Pria</v>
      </c>
      <c r="E284" t="str">
        <f>IFERROR(INDEX(Katalog!$B$3:$B$12,MATCH(cadangan3[[#This Row],[ItemID A]],Katalog!$C$3:$C$12,0)),"-")</f>
        <v>Sandal Slip On</v>
      </c>
      <c r="F284">
        <v>1</v>
      </c>
      <c r="G284">
        <v>2</v>
      </c>
      <c r="H284" s="36">
        <f>IFERROR(INDEX(Katalog!$D$3:$D$12,MATCH(cadangan3[[#This Row],[ItemID A]],Katalog!$C$3:$C$12,0))*cadangan3[[#This Row],[Qty A]],0)</f>
        <v>150000</v>
      </c>
      <c r="I284" s="36">
        <f>IFERROR(INDEX(Katalog!$D$3:$D$12,MATCH(cadangan3[[#This Row],[Item A]],Katalog!$B$3:$B$12,0))*cadangan3[[#This Row],[Qty A]],0)</f>
        <v>150000</v>
      </c>
      <c r="J284" s="36">
        <f>IFERROR(cadangan3[[#This Row],[Harga Asli A]]-(cadangan3[[#This Row],[Harga Asli A]]*cadangan3[[#This Row],[Diskon]]),cadangan3[[#This Row],[Harga Asli A]])</f>
        <v>127500</v>
      </c>
      <c r="K284" s="36">
        <f>INDEX(Katalog!$F$3:$F$12,MATCH(cadangan3[[#This Row],[ItemID A]],Katalog!$C$3:$C$12,0))*cadangan3[[#This Row],[Qty A]]</f>
        <v>60000</v>
      </c>
      <c r="L284" s="36">
        <f>IFERROR(cadangan3[[#This Row],[Profit A]]-(cadangan3[[#This Row],[Profit A]]*cadangan3[[#This Row],[Diskon]]),K284)</f>
        <v>51000</v>
      </c>
      <c r="N284" t="str">
        <f>IFERROR(INDEX(Katalog!$A$3:$A$12,MATCH(cadangan3[[#This Row],[ItemID B]],Katalog!$C$3:$C$12,0)),"-")</f>
        <v>-</v>
      </c>
      <c r="O284" t="str">
        <f>IFERROR(INDEX(Katalog!$B$3:$B$12,MATCH(cadangan3[[#This Row],[ItemID B]],Katalog!$C$3:$C$12,0)),"-")</f>
        <v>-</v>
      </c>
      <c r="R284" s="36">
        <f>IFERROR(INDEX(Katalog!$D$3:$D$12,MATCH(cadangan3[[#This Row],[ItemID B]],Katalog!$C$3:$C$12,0))*cadangan3[[#This Row],[Qty B]],0)</f>
        <v>0</v>
      </c>
      <c r="S284" s="36">
        <f>IFERROR(INDEX(Katalog!$D$3:$D$12,MATCH(cadangan3[[#This Row],[Item B]],Katalog!$B$3:$B$12,0))*cadangan3[[#This Row],[Qty B]],0)</f>
        <v>0</v>
      </c>
      <c r="T284" s="36">
        <f>IFERROR(cadangan3[[#This Row],[Harga Asli B]]-(cadangan3[[#This Row],[Harga Asli B]]*cadangan3[[#This Row],[Diskon]]),cadangan3[[#This Row],[Harga Asli B]])</f>
        <v>0</v>
      </c>
      <c r="U284" s="36">
        <f>IFERROR(INDEX(Katalog!$F$3:$F$12,MATCH(cadangan3[[#This Row],[ItemID B]],Katalog!$C$3:$C$12,0))*cadangan3[[#This Row],[Qty B]],0)</f>
        <v>0</v>
      </c>
      <c r="V284" s="36">
        <f>IFERROR(cadangan3[[#This Row],[Profit B]]-(cadangan3[[#This Row],[Profit B]]*cadangan3[[#This Row],[Diskon]]),U284)</f>
        <v>0</v>
      </c>
      <c r="X284" t="str">
        <f>IFERROR(INDEX(Katalog!$A$3:$A$12,MATCH(cadangan3[[#This Row],[ItemID C]],Katalog!$C$3:$C$12,0)),"-")</f>
        <v>-</v>
      </c>
      <c r="Y284" t="str">
        <f>IFERROR(INDEX(Katalog!$B$3:$B$12,MATCH(cadangan3[[#This Row],[ItemID C]],Katalog!$C$3:$C$12,0)),"-")</f>
        <v>-</v>
      </c>
      <c r="AB284" s="36">
        <f>IFERROR(INDEX(Katalog!$D$3:$D$12,MATCH(cadangan3[[#This Row],[ItemID C]],Katalog!$C$3:$C$12,0))*cadangan3[[#This Row],[Qty C]],0)</f>
        <v>0</v>
      </c>
      <c r="AC284" s="36">
        <f>IFERROR(INDEX(Katalog!$D$3:$D$12,MATCH(cadangan3[[#This Row],[Item C]],Katalog!$B$3:$B$12,0))*cadangan3[[#This Row],[Qty C]],0)</f>
        <v>0</v>
      </c>
      <c r="AD284" s="36">
        <f>IFERROR(cadangan3[[#This Row],[Harga Asli C]]-(cadangan3[[#This Row],[Harga Asli C]]*cadangan3[[#This Row],[Diskon]]),cadangan3[[#This Row],[Harga Asli C]])</f>
        <v>0</v>
      </c>
      <c r="AE284" s="36">
        <f>IFERROR(INDEX(Katalog!$F$3:$F$12,MATCH(cadangan3[[#This Row],[ItemID C]],Katalog!$C$3:$C$12,0))*cadangan3[[#This Row],[Qty C]],0)</f>
        <v>0</v>
      </c>
      <c r="AF284" s="36">
        <f>IFERROR(cadangan3[[#This Row],[Profit C]]-(cadangan3[[#This Row],[Profit C]]*cadangan3[[#This Row],[Diskon]]),cadangan3[[#This Row],[Profit C]])</f>
        <v>0</v>
      </c>
      <c r="AG284" s="21">
        <f>cadangan3[[#This Row],[Qty A]]+cadangan3[[#This Row],[Qty B]]+cadangan3[[#This Row],[Qty C]]</f>
        <v>1</v>
      </c>
      <c r="AH284" s="35">
        <f>cadangan3[[#This Row],[Harga A + Diskon]]+cadangan3[[#This Row],[Harga + Diskon B]]+cadangan3[[#This Row],[Harga + Diskon C]]</f>
        <v>127500</v>
      </c>
      <c r="AI284" s="35">
        <f>(cadangan3[[#This Row],[Profit A]]+cadangan3[[#This Row],[Profit B]]+cadangan3[[#This Row],[Profit C]])</f>
        <v>60000</v>
      </c>
      <c r="AJ284" s="35">
        <f>cadangan3[[#This Row],[Provit A + Diskon]]+cadangan3[[#This Row],[Provit B + Diskon]]+cadangan3[[#This Row],[Provit C + Diskon]]</f>
        <v>51000</v>
      </c>
      <c r="AK284" s="23" t="s">
        <v>32</v>
      </c>
      <c r="AL284" s="37">
        <f>IFERROR(INDEX('Kode Diskon'!$D$3:$D$9,MATCH(cadangan3[[#This Row],[Kode diskon]],'Kode Diskon'!$C$3:$C$9,0)),"-")</f>
        <v>0.15</v>
      </c>
      <c r="AM284" s="23" t="s">
        <v>9</v>
      </c>
      <c r="AN284" s="23" t="s">
        <v>12</v>
      </c>
      <c r="AO284" s="23" t="s">
        <v>80</v>
      </c>
      <c r="AP284" s="24">
        <v>45032</v>
      </c>
      <c r="AQ284" s="23" t="str">
        <f>TEXT(cadangan3[[#This Row],[Tanggal terjual]],"dddd")</f>
        <v>Sunday</v>
      </c>
    </row>
    <row r="285" spans="1:43" x14ac:dyDescent="0.2">
      <c r="A285" s="20">
        <v>284</v>
      </c>
      <c r="B285" s="21" t="str">
        <f>_xlfn.CONCAT("ORD-",INDEX(Helper!$B$2:$B$5,MATCH(cadangan3[[#This Row],[Marketplace]],Helper!$A$2:$A$5,0)),TEXT(cadangan3[[#This Row],[No]],"0000"),"-",TEXT(cadangan3[[#This Row],[Tanggal terjual]],"dd/mm/yy"))</f>
        <v>ORD-SP0284-02/04/23</v>
      </c>
      <c r="C285" t="s">
        <v>61</v>
      </c>
      <c r="D285" t="str">
        <f>IFERROR(INDEX(Katalog!$A$3:$A$12,MATCH(cadangan3[[#This Row],[ItemID A]],Katalog!$C$3:$C$12,0)),"-")</f>
        <v>Pakaian Pria</v>
      </c>
      <c r="E285" t="str">
        <f>IFERROR(INDEX(Katalog!$B$3:$B$12,MATCH(cadangan3[[#This Row],[ItemID A]],Katalog!$C$3:$C$12,0)),"-")</f>
        <v>Kaos Polo</v>
      </c>
      <c r="F285">
        <v>7</v>
      </c>
      <c r="G285">
        <v>3</v>
      </c>
      <c r="H285" s="36">
        <f>IFERROR(INDEX(Katalog!$D$3:$D$12,MATCH(cadangan3[[#This Row],[ItemID A]],Katalog!$C$3:$C$12,0))*cadangan3[[#This Row],[Qty A]],0)</f>
        <v>1400000</v>
      </c>
      <c r="I285" s="36">
        <f>IFERROR(INDEX(Katalog!$D$3:$D$12,MATCH(cadangan3[[#This Row],[Item A]],Katalog!$B$3:$B$12,0))*cadangan3[[#This Row],[Qty A]],0)</f>
        <v>1400000</v>
      </c>
      <c r="J285" s="36">
        <f>IFERROR(cadangan3[[#This Row],[Harga Asli A]]-(cadangan3[[#This Row],[Harga Asli A]]*cadangan3[[#This Row],[Diskon]]),cadangan3[[#This Row],[Harga Asli A]])</f>
        <v>1260000</v>
      </c>
      <c r="K285" s="36">
        <f>INDEX(Katalog!$F$3:$F$12,MATCH(cadangan3[[#This Row],[ItemID A]],Katalog!$C$3:$C$12,0))*cadangan3[[#This Row],[Qty A]]</f>
        <v>560000</v>
      </c>
      <c r="L285" s="36">
        <f>IFERROR(cadangan3[[#This Row],[Profit A]]-(cadangan3[[#This Row],[Profit A]]*cadangan3[[#This Row],[Diskon]]),K285)</f>
        <v>504000</v>
      </c>
      <c r="N285" t="str">
        <f>IFERROR(INDEX(Katalog!$A$3:$A$12,MATCH(cadangan3[[#This Row],[ItemID B]],Katalog!$C$3:$C$12,0)),"-")</f>
        <v>-</v>
      </c>
      <c r="O285" t="str">
        <f>IFERROR(INDEX(Katalog!$B$3:$B$12,MATCH(cadangan3[[#This Row],[ItemID B]],Katalog!$C$3:$C$12,0)),"-")</f>
        <v>-</v>
      </c>
      <c r="R285" s="36">
        <f>IFERROR(INDEX(Katalog!$D$3:$D$12,MATCH(cadangan3[[#This Row],[ItemID B]],Katalog!$C$3:$C$12,0))*cadangan3[[#This Row],[Qty B]],0)</f>
        <v>0</v>
      </c>
      <c r="S285" s="36">
        <f>IFERROR(INDEX(Katalog!$D$3:$D$12,MATCH(cadangan3[[#This Row],[Item B]],Katalog!$B$3:$B$12,0))*cadangan3[[#This Row],[Qty B]],0)</f>
        <v>0</v>
      </c>
      <c r="T285" s="36">
        <f>IFERROR(cadangan3[[#This Row],[Harga Asli B]]-(cadangan3[[#This Row],[Harga Asli B]]*cadangan3[[#This Row],[Diskon]]),cadangan3[[#This Row],[Harga Asli B]])</f>
        <v>0</v>
      </c>
      <c r="U285" s="36">
        <f>IFERROR(INDEX(Katalog!$F$3:$F$12,MATCH(cadangan3[[#This Row],[ItemID B]],Katalog!$C$3:$C$12,0))*cadangan3[[#This Row],[Qty B]],0)</f>
        <v>0</v>
      </c>
      <c r="V285" s="36">
        <f>IFERROR(cadangan3[[#This Row],[Profit B]]-(cadangan3[[#This Row],[Profit B]]*cadangan3[[#This Row],[Diskon]]),U285)</f>
        <v>0</v>
      </c>
      <c r="X285" t="str">
        <f>IFERROR(INDEX(Katalog!$A$3:$A$12,MATCH(cadangan3[[#This Row],[ItemID C]],Katalog!$C$3:$C$12,0)),"-")</f>
        <v>-</v>
      </c>
      <c r="Y285" t="str">
        <f>IFERROR(INDEX(Katalog!$B$3:$B$12,MATCH(cadangan3[[#This Row],[ItemID C]],Katalog!$C$3:$C$12,0)),"-")</f>
        <v>-</v>
      </c>
      <c r="AB285" s="36">
        <f>IFERROR(INDEX(Katalog!$D$3:$D$12,MATCH(cadangan3[[#This Row],[ItemID C]],Katalog!$C$3:$C$12,0))*cadangan3[[#This Row],[Qty C]],0)</f>
        <v>0</v>
      </c>
      <c r="AC285" s="36">
        <f>IFERROR(INDEX(Katalog!$D$3:$D$12,MATCH(cadangan3[[#This Row],[Item C]],Katalog!$B$3:$B$12,0))*cadangan3[[#This Row],[Qty C]],0)</f>
        <v>0</v>
      </c>
      <c r="AD285" s="36">
        <f>IFERROR(cadangan3[[#This Row],[Harga Asli C]]-(cadangan3[[#This Row],[Harga Asli C]]*cadangan3[[#This Row],[Diskon]]),cadangan3[[#This Row],[Harga Asli C]])</f>
        <v>0</v>
      </c>
      <c r="AE285" s="36">
        <f>IFERROR(INDEX(Katalog!$F$3:$F$12,MATCH(cadangan3[[#This Row],[ItemID C]],Katalog!$C$3:$C$12,0))*cadangan3[[#This Row],[Qty C]],0)</f>
        <v>0</v>
      </c>
      <c r="AF285" s="36">
        <f>IFERROR(cadangan3[[#This Row],[Profit C]]-(cadangan3[[#This Row],[Profit C]]*cadangan3[[#This Row],[Diskon]]),cadangan3[[#This Row],[Profit C]])</f>
        <v>0</v>
      </c>
      <c r="AG285" s="21">
        <f>cadangan3[[#This Row],[Qty A]]+cadangan3[[#This Row],[Qty B]]+cadangan3[[#This Row],[Qty C]]</f>
        <v>7</v>
      </c>
      <c r="AH285" s="35">
        <f>cadangan3[[#This Row],[Harga A + Diskon]]+cadangan3[[#This Row],[Harga + Diskon B]]+cadangan3[[#This Row],[Harga + Diskon C]]</f>
        <v>1260000</v>
      </c>
      <c r="AI285" s="35">
        <f>(cadangan3[[#This Row],[Profit A]]+cadangan3[[#This Row],[Profit B]]+cadangan3[[#This Row],[Profit C]])</f>
        <v>560000</v>
      </c>
      <c r="AJ285" s="35">
        <f>cadangan3[[#This Row],[Provit A + Diskon]]+cadangan3[[#This Row],[Provit B + Diskon]]+cadangan3[[#This Row],[Provit C + Diskon]]</f>
        <v>504000</v>
      </c>
      <c r="AK285" s="23" t="s">
        <v>6</v>
      </c>
      <c r="AL285" s="37">
        <f>IFERROR(INDEX('Kode Diskon'!$D$3:$D$9,MATCH(cadangan3[[#This Row],[Kode diskon]],'Kode Diskon'!$C$3:$C$9,0)),"-")</f>
        <v>0.1</v>
      </c>
      <c r="AM285" s="23" t="s">
        <v>29</v>
      </c>
      <c r="AN285" s="23" t="s">
        <v>7</v>
      </c>
      <c r="AO285" s="23" t="s">
        <v>80</v>
      </c>
      <c r="AP285" s="24">
        <v>45018</v>
      </c>
      <c r="AQ285" s="23" t="str">
        <f>TEXT(cadangan3[[#This Row],[Tanggal terjual]],"dddd")</f>
        <v>Sunday</v>
      </c>
    </row>
    <row r="286" spans="1:43" x14ac:dyDescent="0.2">
      <c r="A286" s="20">
        <v>285</v>
      </c>
      <c r="B286" s="21" t="str">
        <f>_xlfn.CONCAT("ORD-",INDEX(Helper!$B$2:$B$5,MATCH(cadangan3[[#This Row],[Marketplace]],Helper!$A$2:$A$5,0)),TEXT(cadangan3[[#This Row],[No]],"0000"),"-",TEXT(cadangan3[[#This Row],[Tanggal terjual]],"dd/mm/yy"))</f>
        <v>ORD-SP0285-16/04/23</v>
      </c>
      <c r="C286" t="s">
        <v>60</v>
      </c>
      <c r="D286" t="str">
        <f>IFERROR(INDEX(Katalog!$A$3:$A$12,MATCH(cadangan3[[#This Row],[ItemID A]],Katalog!$C$3:$C$12,0)),"-")</f>
        <v>Pakaian Wanita</v>
      </c>
      <c r="E286" t="str">
        <f>IFERROR(INDEX(Katalog!$B$3:$B$12,MATCH(cadangan3[[#This Row],[ItemID A]],Katalog!$C$3:$C$12,0)),"-")</f>
        <v>Kaftan</v>
      </c>
      <c r="F286">
        <v>2</v>
      </c>
      <c r="G286">
        <v>3</v>
      </c>
      <c r="H286" s="36">
        <f>IFERROR(INDEX(Katalog!$D$3:$D$12,MATCH(cadangan3[[#This Row],[ItemID A]],Katalog!$C$3:$C$12,0))*cadangan3[[#This Row],[Qty A]],0)</f>
        <v>500000</v>
      </c>
      <c r="I286" s="36">
        <f>IFERROR(INDEX(Katalog!$D$3:$D$12,MATCH(cadangan3[[#This Row],[Item A]],Katalog!$B$3:$B$12,0))*cadangan3[[#This Row],[Qty A]],0)</f>
        <v>500000</v>
      </c>
      <c r="J286" s="36">
        <f>IFERROR(cadangan3[[#This Row],[Harga Asli A]]-(cadangan3[[#This Row],[Harga Asli A]]*cadangan3[[#This Row],[Diskon]]),cadangan3[[#This Row],[Harga Asli A]])</f>
        <v>400000</v>
      </c>
      <c r="K286" s="36">
        <f>INDEX(Katalog!$F$3:$F$12,MATCH(cadangan3[[#This Row],[ItemID A]],Katalog!$C$3:$C$12,0))*cadangan3[[#This Row],[Qty A]]</f>
        <v>200000</v>
      </c>
      <c r="L286" s="36">
        <f>IFERROR(cadangan3[[#This Row],[Profit A]]-(cadangan3[[#This Row],[Profit A]]*cadangan3[[#This Row],[Diskon]]),K286)</f>
        <v>160000</v>
      </c>
      <c r="M286" t="s">
        <v>67</v>
      </c>
      <c r="N286" t="str">
        <f>IFERROR(INDEX(Katalog!$A$3:$A$12,MATCH(cadangan3[[#This Row],[ItemID B]],Katalog!$C$3:$C$12,0)),"-")</f>
        <v>Sepatu Wanita</v>
      </c>
      <c r="O286" t="str">
        <f>IFERROR(INDEX(Katalog!$B$3:$B$12,MATCH(cadangan3[[#This Row],[ItemID B]],Katalog!$C$3:$C$12,0)),"-")</f>
        <v>Flat Shoes</v>
      </c>
      <c r="P286">
        <v>3</v>
      </c>
      <c r="Q286">
        <v>5</v>
      </c>
      <c r="R286" s="36">
        <f>IFERROR(INDEX(Katalog!$D$3:$D$12,MATCH(cadangan3[[#This Row],[ItemID B]],Katalog!$C$3:$C$12,0))*cadangan3[[#This Row],[Qty B]],0)</f>
        <v>750000</v>
      </c>
      <c r="S286" s="36">
        <f>IFERROR(INDEX(Katalog!$D$3:$D$12,MATCH(cadangan3[[#This Row],[Item B]],Katalog!$B$3:$B$12,0))*cadangan3[[#This Row],[Qty B]],0)</f>
        <v>750000</v>
      </c>
      <c r="T286" s="36">
        <f>IFERROR(cadangan3[[#This Row],[Harga Asli B]]-(cadangan3[[#This Row],[Harga Asli B]]*cadangan3[[#This Row],[Diskon]]),cadangan3[[#This Row],[Harga Asli B]])</f>
        <v>600000</v>
      </c>
      <c r="U286" s="36">
        <f>IFERROR(INDEX(Katalog!$F$3:$F$12,MATCH(cadangan3[[#This Row],[ItemID B]],Katalog!$C$3:$C$12,0))*cadangan3[[#This Row],[Qty B]],0)</f>
        <v>300000</v>
      </c>
      <c r="V286" s="36">
        <f>IFERROR(cadangan3[[#This Row],[Profit B]]-(cadangan3[[#This Row],[Profit B]]*cadangan3[[#This Row],[Diskon]]),U286)</f>
        <v>240000</v>
      </c>
      <c r="X286" t="str">
        <f>IFERROR(INDEX(Katalog!$A$3:$A$12,MATCH(cadangan3[[#This Row],[ItemID C]],Katalog!$C$3:$C$12,0)),"-")</f>
        <v>-</v>
      </c>
      <c r="Y286" t="str">
        <f>IFERROR(INDEX(Katalog!$B$3:$B$12,MATCH(cadangan3[[#This Row],[ItemID C]],Katalog!$C$3:$C$12,0)),"-")</f>
        <v>-</v>
      </c>
      <c r="AB286" s="36">
        <f>IFERROR(INDEX(Katalog!$D$3:$D$12,MATCH(cadangan3[[#This Row],[ItemID C]],Katalog!$C$3:$C$12,0))*cadangan3[[#This Row],[Qty C]],0)</f>
        <v>0</v>
      </c>
      <c r="AC286" s="36">
        <f>IFERROR(INDEX(Katalog!$D$3:$D$12,MATCH(cadangan3[[#This Row],[Item C]],Katalog!$B$3:$B$12,0))*cadangan3[[#This Row],[Qty C]],0)</f>
        <v>0</v>
      </c>
      <c r="AD286" s="36">
        <f>IFERROR(cadangan3[[#This Row],[Harga Asli C]]-(cadangan3[[#This Row],[Harga Asli C]]*cadangan3[[#This Row],[Diskon]]),cadangan3[[#This Row],[Harga Asli C]])</f>
        <v>0</v>
      </c>
      <c r="AE286" s="36">
        <f>IFERROR(INDEX(Katalog!$F$3:$F$12,MATCH(cadangan3[[#This Row],[ItemID C]],Katalog!$C$3:$C$12,0))*cadangan3[[#This Row],[Qty C]],0)</f>
        <v>0</v>
      </c>
      <c r="AF286" s="36">
        <f>IFERROR(cadangan3[[#This Row],[Profit C]]-(cadangan3[[#This Row],[Profit C]]*cadangan3[[#This Row],[Diskon]]),cadangan3[[#This Row],[Profit C]])</f>
        <v>0</v>
      </c>
      <c r="AG286" s="21">
        <f>cadangan3[[#This Row],[Qty A]]+cadangan3[[#This Row],[Qty B]]+cadangan3[[#This Row],[Qty C]]</f>
        <v>5</v>
      </c>
      <c r="AH286" s="35">
        <f>cadangan3[[#This Row],[Harga A + Diskon]]+cadangan3[[#This Row],[Harga + Diskon B]]+cadangan3[[#This Row],[Harga + Diskon C]]</f>
        <v>1000000</v>
      </c>
      <c r="AI286" s="35">
        <f>(cadangan3[[#This Row],[Profit A]]+cadangan3[[#This Row],[Profit B]]+cadangan3[[#This Row],[Profit C]])</f>
        <v>500000</v>
      </c>
      <c r="AJ286" s="35">
        <f>cadangan3[[#This Row],[Provit A + Diskon]]+cadangan3[[#This Row],[Provit B + Diskon]]+cadangan3[[#This Row],[Provit C + Diskon]]</f>
        <v>400000</v>
      </c>
      <c r="AK286" s="23" t="s">
        <v>8</v>
      </c>
      <c r="AL286" s="37">
        <f>IFERROR(INDEX('Kode Diskon'!$D$3:$D$9,MATCH(cadangan3[[#This Row],[Kode diskon]],'Kode Diskon'!$C$3:$C$9,0)),"-")</f>
        <v>0.2</v>
      </c>
      <c r="AM286" s="23" t="s">
        <v>9</v>
      </c>
      <c r="AN286" s="23" t="s">
        <v>7</v>
      </c>
      <c r="AO286" s="23" t="s">
        <v>75</v>
      </c>
      <c r="AP286" s="24">
        <v>45032</v>
      </c>
      <c r="AQ286" s="23" t="str">
        <f>TEXT(cadangan3[[#This Row],[Tanggal terjual]],"dddd")</f>
        <v>Sunday</v>
      </c>
    </row>
    <row r="287" spans="1:43" x14ac:dyDescent="0.2">
      <c r="A287" s="20">
        <v>286</v>
      </c>
      <c r="B287" s="21" t="str">
        <f>_xlfn.CONCAT("ORD-",INDEX(Helper!$B$2:$B$5,MATCH(cadangan3[[#This Row],[Marketplace]],Helper!$A$2:$A$5,0)),TEXT(cadangan3[[#This Row],[No]],"0000"),"-",TEXT(cadangan3[[#This Row],[Tanggal terjual]],"dd/mm/yy"))</f>
        <v>ORD-SP0286-03/04/23</v>
      </c>
      <c r="C287" t="s">
        <v>58</v>
      </c>
      <c r="D287" t="str">
        <f>IFERROR(INDEX(Katalog!$A$3:$A$12,MATCH(cadangan3[[#This Row],[ItemID A]],Katalog!$C$3:$C$12,0)),"-")</f>
        <v>Pakaian Wanita</v>
      </c>
      <c r="E287" t="str">
        <f>IFERROR(INDEX(Katalog!$B$3:$B$12,MATCH(cadangan3[[#This Row],[ItemID A]],Katalog!$C$3:$C$12,0)),"-")</f>
        <v>Dress</v>
      </c>
      <c r="F287">
        <v>2</v>
      </c>
      <c r="G287">
        <v>4</v>
      </c>
      <c r="H287" s="36">
        <f>IFERROR(INDEX(Katalog!$D$3:$D$12,MATCH(cadangan3[[#This Row],[ItemID A]],Katalog!$C$3:$C$12,0))*cadangan3[[#This Row],[Qty A]],0)</f>
        <v>600000</v>
      </c>
      <c r="I287" s="36">
        <f>IFERROR(INDEX(Katalog!$D$3:$D$12,MATCH(cadangan3[[#This Row],[Item A]],Katalog!$B$3:$B$12,0))*cadangan3[[#This Row],[Qty A]],0)</f>
        <v>600000</v>
      </c>
      <c r="J287" s="36">
        <f>IFERROR(cadangan3[[#This Row],[Harga Asli A]]-(cadangan3[[#This Row],[Harga Asli A]]*cadangan3[[#This Row],[Diskon]]),cadangan3[[#This Row],[Harga Asli A]])</f>
        <v>510000</v>
      </c>
      <c r="K287" s="36">
        <f>INDEX(Katalog!$F$3:$F$12,MATCH(cadangan3[[#This Row],[ItemID A]],Katalog!$C$3:$C$12,0))*cadangan3[[#This Row],[Qty A]]</f>
        <v>200000</v>
      </c>
      <c r="L287" s="36">
        <f>IFERROR(cadangan3[[#This Row],[Profit A]]-(cadangan3[[#This Row],[Profit A]]*cadangan3[[#This Row],[Diskon]]),K287)</f>
        <v>170000</v>
      </c>
      <c r="N287" t="str">
        <f>IFERROR(INDEX(Katalog!$A$3:$A$12,MATCH(cadangan3[[#This Row],[ItemID B]],Katalog!$C$3:$C$12,0)),"-")</f>
        <v>-</v>
      </c>
      <c r="O287" t="str">
        <f>IFERROR(INDEX(Katalog!$B$3:$B$12,MATCH(cadangan3[[#This Row],[ItemID B]],Katalog!$C$3:$C$12,0)),"-")</f>
        <v>-</v>
      </c>
      <c r="R287" s="36">
        <f>IFERROR(INDEX(Katalog!$D$3:$D$12,MATCH(cadangan3[[#This Row],[ItemID B]],Katalog!$C$3:$C$12,0))*cadangan3[[#This Row],[Qty B]],0)</f>
        <v>0</v>
      </c>
      <c r="S287" s="36">
        <f>IFERROR(INDEX(Katalog!$D$3:$D$12,MATCH(cadangan3[[#This Row],[Item B]],Katalog!$B$3:$B$12,0))*cadangan3[[#This Row],[Qty B]],0)</f>
        <v>0</v>
      </c>
      <c r="T287" s="36">
        <f>IFERROR(cadangan3[[#This Row],[Harga Asli B]]-(cadangan3[[#This Row],[Harga Asli B]]*cadangan3[[#This Row],[Diskon]]),cadangan3[[#This Row],[Harga Asli B]])</f>
        <v>0</v>
      </c>
      <c r="U287" s="36">
        <f>IFERROR(INDEX(Katalog!$F$3:$F$12,MATCH(cadangan3[[#This Row],[ItemID B]],Katalog!$C$3:$C$12,0))*cadangan3[[#This Row],[Qty B]],0)</f>
        <v>0</v>
      </c>
      <c r="V287" s="36">
        <f>IFERROR(cadangan3[[#This Row],[Profit B]]-(cadangan3[[#This Row],[Profit B]]*cadangan3[[#This Row],[Diskon]]),U287)</f>
        <v>0</v>
      </c>
      <c r="X287" t="str">
        <f>IFERROR(INDEX(Katalog!$A$3:$A$12,MATCH(cadangan3[[#This Row],[ItemID C]],Katalog!$C$3:$C$12,0)),"-")</f>
        <v>-</v>
      </c>
      <c r="Y287" t="str">
        <f>IFERROR(INDEX(Katalog!$B$3:$B$12,MATCH(cadangan3[[#This Row],[ItemID C]],Katalog!$C$3:$C$12,0)),"-")</f>
        <v>-</v>
      </c>
      <c r="AB287" s="36">
        <f>IFERROR(INDEX(Katalog!$D$3:$D$12,MATCH(cadangan3[[#This Row],[ItemID C]],Katalog!$C$3:$C$12,0))*cadangan3[[#This Row],[Qty C]],0)</f>
        <v>0</v>
      </c>
      <c r="AC287" s="36">
        <f>IFERROR(INDEX(Katalog!$D$3:$D$12,MATCH(cadangan3[[#This Row],[Item C]],Katalog!$B$3:$B$12,0))*cadangan3[[#This Row],[Qty C]],0)</f>
        <v>0</v>
      </c>
      <c r="AD287" s="36">
        <f>IFERROR(cadangan3[[#This Row],[Harga Asli C]]-(cadangan3[[#This Row],[Harga Asli C]]*cadangan3[[#This Row],[Diskon]]),cadangan3[[#This Row],[Harga Asli C]])</f>
        <v>0</v>
      </c>
      <c r="AE287" s="36">
        <f>IFERROR(INDEX(Katalog!$F$3:$F$12,MATCH(cadangan3[[#This Row],[ItemID C]],Katalog!$C$3:$C$12,0))*cadangan3[[#This Row],[Qty C]],0)</f>
        <v>0</v>
      </c>
      <c r="AF287" s="36">
        <f>IFERROR(cadangan3[[#This Row],[Profit C]]-(cadangan3[[#This Row],[Profit C]]*cadangan3[[#This Row],[Diskon]]),cadangan3[[#This Row],[Profit C]])</f>
        <v>0</v>
      </c>
      <c r="AG287" s="21">
        <f>cadangan3[[#This Row],[Qty A]]+cadangan3[[#This Row],[Qty B]]+cadangan3[[#This Row],[Qty C]]</f>
        <v>2</v>
      </c>
      <c r="AH287" s="35">
        <f>cadangan3[[#This Row],[Harga A + Diskon]]+cadangan3[[#This Row],[Harga + Diskon B]]+cadangan3[[#This Row],[Harga + Diskon C]]</f>
        <v>510000</v>
      </c>
      <c r="AI287" s="35">
        <f>(cadangan3[[#This Row],[Profit A]]+cadangan3[[#This Row],[Profit B]]+cadangan3[[#This Row],[Profit C]])</f>
        <v>200000</v>
      </c>
      <c r="AJ287" s="35">
        <f>cadangan3[[#This Row],[Provit A + Diskon]]+cadangan3[[#This Row],[Provit B + Diskon]]+cadangan3[[#This Row],[Provit C + Diskon]]</f>
        <v>170000</v>
      </c>
      <c r="AK287" s="23" t="s">
        <v>13</v>
      </c>
      <c r="AL287" s="37">
        <f>IFERROR(INDEX('Kode Diskon'!$D$3:$D$9,MATCH(cadangan3[[#This Row],[Kode diskon]],'Kode Diskon'!$C$3:$C$9,0)),"-")</f>
        <v>0.15</v>
      </c>
      <c r="AM287" s="23" t="s">
        <v>29</v>
      </c>
      <c r="AN287" s="23" t="s">
        <v>7</v>
      </c>
      <c r="AO287" s="23" t="s">
        <v>79</v>
      </c>
      <c r="AP287" s="24">
        <v>45019</v>
      </c>
      <c r="AQ287" s="23" t="str">
        <f>TEXT(cadangan3[[#This Row],[Tanggal terjual]],"dddd")</f>
        <v>Monday</v>
      </c>
    </row>
    <row r="288" spans="1:43" x14ac:dyDescent="0.2">
      <c r="A288" s="20">
        <v>287</v>
      </c>
      <c r="B288" s="21" t="str">
        <f>_xlfn.CONCAT("ORD-",INDEX(Helper!$B$2:$B$5,MATCH(cadangan3[[#This Row],[Marketplace]],Helper!$A$2:$A$5,0)),TEXT(cadangan3[[#This Row],[No]],"0000"),"-",TEXT(cadangan3[[#This Row],[Tanggal terjual]],"dd/mm/yy"))</f>
        <v>ORD-BB0287-03/04/23</v>
      </c>
      <c r="C288" t="s">
        <v>63</v>
      </c>
      <c r="D288" t="str">
        <f>IFERROR(INDEX(Katalog!$A$3:$A$12,MATCH(cadangan3[[#This Row],[ItemID A]],Katalog!$C$3:$C$12,0)),"-")</f>
        <v>Pakaian Pria</v>
      </c>
      <c r="E288" t="str">
        <f>IFERROR(INDEX(Katalog!$B$3:$B$12,MATCH(cadangan3[[#This Row],[ItemID A]],Katalog!$C$3:$C$12,0)),"-")</f>
        <v>Jaket Jeans</v>
      </c>
      <c r="F288">
        <v>1</v>
      </c>
      <c r="G288">
        <v>2</v>
      </c>
      <c r="H288" s="36">
        <f>IFERROR(INDEX(Katalog!$D$3:$D$12,MATCH(cadangan3[[#This Row],[ItemID A]],Katalog!$C$3:$C$12,0))*cadangan3[[#This Row],[Qty A]],0)</f>
        <v>400000</v>
      </c>
      <c r="I288" s="36">
        <f>IFERROR(INDEX(Katalog!$D$3:$D$12,MATCH(cadangan3[[#This Row],[Item A]],Katalog!$B$3:$B$12,0))*cadangan3[[#This Row],[Qty A]],0)</f>
        <v>400000</v>
      </c>
      <c r="J288" s="36">
        <f>IFERROR(cadangan3[[#This Row],[Harga Asli A]]-(cadangan3[[#This Row],[Harga Asli A]]*cadangan3[[#This Row],[Diskon]]),cadangan3[[#This Row],[Harga Asli A]])</f>
        <v>340000</v>
      </c>
      <c r="K288" s="36">
        <f>INDEX(Katalog!$F$3:$F$12,MATCH(cadangan3[[#This Row],[ItemID A]],Katalog!$C$3:$C$12,0))*cadangan3[[#This Row],[Qty A]]</f>
        <v>150000</v>
      </c>
      <c r="L288" s="36">
        <f>IFERROR(cadangan3[[#This Row],[Profit A]]-(cadangan3[[#This Row],[Profit A]]*cadangan3[[#This Row],[Diskon]]),K288)</f>
        <v>127500</v>
      </c>
      <c r="M288" t="s">
        <v>66</v>
      </c>
      <c r="N288" t="str">
        <f>IFERROR(INDEX(Katalog!$A$3:$A$12,MATCH(cadangan3[[#This Row],[ItemID B]],Katalog!$C$3:$C$12,0)),"-")</f>
        <v>Sepatu Pria</v>
      </c>
      <c r="O288" t="str">
        <f>IFERROR(INDEX(Katalog!$B$3:$B$12,MATCH(cadangan3[[#This Row],[ItemID B]],Katalog!$C$3:$C$12,0)),"-")</f>
        <v>Sandal Slip On</v>
      </c>
      <c r="P288">
        <v>2</v>
      </c>
      <c r="Q288">
        <v>1</v>
      </c>
      <c r="R288" s="36">
        <f>IFERROR(INDEX(Katalog!$D$3:$D$12,MATCH(cadangan3[[#This Row],[ItemID B]],Katalog!$C$3:$C$12,0))*cadangan3[[#This Row],[Qty B]],0)</f>
        <v>300000</v>
      </c>
      <c r="S288" s="36">
        <f>IFERROR(INDEX(Katalog!$D$3:$D$12,MATCH(cadangan3[[#This Row],[Item B]],Katalog!$B$3:$B$12,0))*cadangan3[[#This Row],[Qty B]],0)</f>
        <v>300000</v>
      </c>
      <c r="T288" s="36">
        <f>IFERROR(cadangan3[[#This Row],[Harga Asli B]]-(cadangan3[[#This Row],[Harga Asli B]]*cadangan3[[#This Row],[Diskon]]),cadangan3[[#This Row],[Harga Asli B]])</f>
        <v>255000</v>
      </c>
      <c r="U288" s="36">
        <f>IFERROR(INDEX(Katalog!$F$3:$F$12,MATCH(cadangan3[[#This Row],[ItemID B]],Katalog!$C$3:$C$12,0))*cadangan3[[#This Row],[Qty B]],0)</f>
        <v>120000</v>
      </c>
      <c r="V288" s="36">
        <f>IFERROR(cadangan3[[#This Row],[Profit B]]-(cadangan3[[#This Row],[Profit B]]*cadangan3[[#This Row],[Diskon]]),U288)</f>
        <v>102000</v>
      </c>
      <c r="W288" t="s">
        <v>62</v>
      </c>
      <c r="X288" t="str">
        <f>IFERROR(INDEX(Katalog!$A$3:$A$12,MATCH(cadangan3[[#This Row],[ItemID C]],Katalog!$C$3:$C$12,0)),"-")</f>
        <v>Pakaian Pria</v>
      </c>
      <c r="Y288" t="str">
        <f>IFERROR(INDEX(Katalog!$B$3:$B$12,MATCH(cadangan3[[#This Row],[ItemID C]],Katalog!$C$3:$C$12,0)),"-")</f>
        <v>Celana Pendek</v>
      </c>
      <c r="Z288">
        <v>4</v>
      </c>
      <c r="AA288">
        <v>2</v>
      </c>
      <c r="AB288" s="36">
        <f>IFERROR(INDEX(Katalog!$D$3:$D$12,MATCH(cadangan3[[#This Row],[ItemID C]],Katalog!$C$3:$C$12,0))*cadangan3[[#This Row],[Qty C]],0)</f>
        <v>720000</v>
      </c>
      <c r="AC288" s="36">
        <f>IFERROR(INDEX(Katalog!$D$3:$D$12,MATCH(cadangan3[[#This Row],[Item C]],Katalog!$B$3:$B$12,0))*cadangan3[[#This Row],[Qty C]],0)</f>
        <v>720000</v>
      </c>
      <c r="AD288" s="36">
        <f>IFERROR(cadangan3[[#This Row],[Harga Asli C]]-(cadangan3[[#This Row],[Harga Asli C]]*cadangan3[[#This Row],[Diskon]]),cadangan3[[#This Row],[Harga Asli C]])</f>
        <v>612000</v>
      </c>
      <c r="AE288" s="36">
        <f>IFERROR(INDEX(Katalog!$F$3:$F$12,MATCH(cadangan3[[#This Row],[ItemID C]],Katalog!$C$3:$C$12,0))*cadangan3[[#This Row],[Qty C]],0)</f>
        <v>280000</v>
      </c>
      <c r="AF288" s="36">
        <f>IFERROR(cadangan3[[#This Row],[Profit C]]-(cadangan3[[#This Row],[Profit C]]*cadangan3[[#This Row],[Diskon]]),cadangan3[[#This Row],[Profit C]])</f>
        <v>238000</v>
      </c>
      <c r="AG288" s="21">
        <f>cadangan3[[#This Row],[Qty A]]+cadangan3[[#This Row],[Qty B]]+cadangan3[[#This Row],[Qty C]]</f>
        <v>7</v>
      </c>
      <c r="AH288" s="35">
        <f>cadangan3[[#This Row],[Harga A + Diskon]]+cadangan3[[#This Row],[Harga + Diskon B]]+cadangan3[[#This Row],[Harga + Diskon C]]</f>
        <v>1207000</v>
      </c>
      <c r="AI288" s="35">
        <f>(cadangan3[[#This Row],[Profit A]]+cadangan3[[#This Row],[Profit B]]+cadangan3[[#This Row],[Profit C]])</f>
        <v>550000</v>
      </c>
      <c r="AJ288" s="35">
        <f>cadangan3[[#This Row],[Provit A + Diskon]]+cadangan3[[#This Row],[Provit B + Diskon]]+cadangan3[[#This Row],[Provit C + Diskon]]</f>
        <v>467500</v>
      </c>
      <c r="AK288" s="23" t="s">
        <v>28</v>
      </c>
      <c r="AL288" s="37">
        <f>IFERROR(INDEX('Kode Diskon'!$D$3:$D$9,MATCH(cadangan3[[#This Row],[Kode diskon]],'Kode Diskon'!$C$3:$C$9,0)),"-")</f>
        <v>0.15</v>
      </c>
      <c r="AM288" s="23" t="s">
        <v>29</v>
      </c>
      <c r="AN288" s="23" t="s">
        <v>14</v>
      </c>
      <c r="AO288" s="23" t="s">
        <v>80</v>
      </c>
      <c r="AP288" s="24">
        <v>45019</v>
      </c>
      <c r="AQ288" s="23" t="str">
        <f>TEXT(cadangan3[[#This Row],[Tanggal terjual]],"dddd")</f>
        <v>Monday</v>
      </c>
    </row>
    <row r="289" spans="1:43" x14ac:dyDescent="0.2">
      <c r="A289" s="20">
        <v>288</v>
      </c>
      <c r="B289" s="21" t="str">
        <f>_xlfn.CONCAT("ORD-",INDEX(Helper!$B$2:$B$5,MATCH(cadangan3[[#This Row],[Marketplace]],Helper!$A$2:$A$5,0)),TEXT(cadangan3[[#This Row],[No]],"0000"),"-",TEXT(cadangan3[[#This Row],[Tanggal terjual]],"dd/mm/yy"))</f>
        <v>ORD-SP0288-05/04/23</v>
      </c>
      <c r="C289" t="s">
        <v>60</v>
      </c>
      <c r="D289" t="str">
        <f>IFERROR(INDEX(Katalog!$A$3:$A$12,MATCH(cadangan3[[#This Row],[ItemID A]],Katalog!$C$3:$C$12,0)),"-")</f>
        <v>Pakaian Wanita</v>
      </c>
      <c r="E289" t="str">
        <f>IFERROR(INDEX(Katalog!$B$3:$B$12,MATCH(cadangan3[[#This Row],[ItemID A]],Katalog!$C$3:$C$12,0)),"-")</f>
        <v>Kaftan</v>
      </c>
      <c r="F289">
        <v>2</v>
      </c>
      <c r="G289">
        <v>2</v>
      </c>
      <c r="H289" s="36">
        <f>IFERROR(INDEX(Katalog!$D$3:$D$12,MATCH(cadangan3[[#This Row],[ItemID A]],Katalog!$C$3:$C$12,0))*cadangan3[[#This Row],[Qty A]],0)</f>
        <v>500000</v>
      </c>
      <c r="I289" s="36">
        <f>IFERROR(INDEX(Katalog!$D$3:$D$12,MATCH(cadangan3[[#This Row],[Item A]],Katalog!$B$3:$B$12,0))*cadangan3[[#This Row],[Qty A]],0)</f>
        <v>500000</v>
      </c>
      <c r="J289" s="36">
        <f>IFERROR(cadangan3[[#This Row],[Harga Asli A]]-(cadangan3[[#This Row],[Harga Asli A]]*cadangan3[[#This Row],[Diskon]]),cadangan3[[#This Row],[Harga Asli A]])</f>
        <v>450000</v>
      </c>
      <c r="K289" s="36">
        <f>INDEX(Katalog!$F$3:$F$12,MATCH(cadangan3[[#This Row],[ItemID A]],Katalog!$C$3:$C$12,0))*cadangan3[[#This Row],[Qty A]]</f>
        <v>200000</v>
      </c>
      <c r="L289" s="36">
        <f>IFERROR(cadangan3[[#This Row],[Profit A]]-(cadangan3[[#This Row],[Profit A]]*cadangan3[[#This Row],[Diskon]]),K289)</f>
        <v>180000</v>
      </c>
      <c r="M289" t="s">
        <v>63</v>
      </c>
      <c r="N289" t="str">
        <f>IFERROR(INDEX(Katalog!$A$3:$A$12,MATCH(cadangan3[[#This Row],[ItemID B]],Katalog!$C$3:$C$12,0)),"-")</f>
        <v>Pakaian Pria</v>
      </c>
      <c r="O289" t="str">
        <f>IFERROR(INDEX(Katalog!$B$3:$B$12,MATCH(cadangan3[[#This Row],[ItemID B]],Katalog!$C$3:$C$12,0)),"-")</f>
        <v>Jaket Jeans</v>
      </c>
      <c r="P289">
        <v>1</v>
      </c>
      <c r="Q289">
        <v>4</v>
      </c>
      <c r="R289" s="36">
        <f>IFERROR(INDEX(Katalog!$D$3:$D$12,MATCH(cadangan3[[#This Row],[ItemID B]],Katalog!$C$3:$C$12,0))*cadangan3[[#This Row],[Qty B]],0)</f>
        <v>400000</v>
      </c>
      <c r="S289" s="36">
        <f>IFERROR(INDEX(Katalog!$D$3:$D$12,MATCH(cadangan3[[#This Row],[Item B]],Katalog!$B$3:$B$12,0))*cadangan3[[#This Row],[Qty B]],0)</f>
        <v>400000</v>
      </c>
      <c r="T289" s="36">
        <f>IFERROR(cadangan3[[#This Row],[Harga Asli B]]-(cadangan3[[#This Row],[Harga Asli B]]*cadangan3[[#This Row],[Diskon]]),cadangan3[[#This Row],[Harga Asli B]])</f>
        <v>360000</v>
      </c>
      <c r="U289" s="36">
        <f>IFERROR(INDEX(Katalog!$F$3:$F$12,MATCH(cadangan3[[#This Row],[ItemID B]],Katalog!$C$3:$C$12,0))*cadangan3[[#This Row],[Qty B]],0)</f>
        <v>150000</v>
      </c>
      <c r="V289" s="36">
        <f>IFERROR(cadangan3[[#This Row],[Profit B]]-(cadangan3[[#This Row],[Profit B]]*cadangan3[[#This Row],[Diskon]]),U289)</f>
        <v>135000</v>
      </c>
      <c r="X289" t="str">
        <f>IFERROR(INDEX(Katalog!$A$3:$A$12,MATCH(cadangan3[[#This Row],[ItemID C]],Katalog!$C$3:$C$12,0)),"-")</f>
        <v>-</v>
      </c>
      <c r="Y289" t="str">
        <f>IFERROR(INDEX(Katalog!$B$3:$B$12,MATCH(cadangan3[[#This Row],[ItemID C]],Katalog!$C$3:$C$12,0)),"-")</f>
        <v>-</v>
      </c>
      <c r="AB289" s="36">
        <f>IFERROR(INDEX(Katalog!$D$3:$D$12,MATCH(cadangan3[[#This Row],[ItemID C]],Katalog!$C$3:$C$12,0))*cadangan3[[#This Row],[Qty C]],0)</f>
        <v>0</v>
      </c>
      <c r="AC289" s="36">
        <f>IFERROR(INDEX(Katalog!$D$3:$D$12,MATCH(cadangan3[[#This Row],[Item C]],Katalog!$B$3:$B$12,0))*cadangan3[[#This Row],[Qty C]],0)</f>
        <v>0</v>
      </c>
      <c r="AD289" s="36">
        <f>IFERROR(cadangan3[[#This Row],[Harga Asli C]]-(cadangan3[[#This Row],[Harga Asli C]]*cadangan3[[#This Row],[Diskon]]),cadangan3[[#This Row],[Harga Asli C]])</f>
        <v>0</v>
      </c>
      <c r="AE289" s="36">
        <f>IFERROR(INDEX(Katalog!$F$3:$F$12,MATCH(cadangan3[[#This Row],[ItemID C]],Katalog!$C$3:$C$12,0))*cadangan3[[#This Row],[Qty C]],0)</f>
        <v>0</v>
      </c>
      <c r="AF289" s="36">
        <f>IFERROR(cadangan3[[#This Row],[Profit C]]-(cadangan3[[#This Row],[Profit C]]*cadangan3[[#This Row],[Diskon]]),cadangan3[[#This Row],[Profit C]])</f>
        <v>0</v>
      </c>
      <c r="AG289" s="21">
        <f>cadangan3[[#This Row],[Qty A]]+cadangan3[[#This Row],[Qty B]]+cadangan3[[#This Row],[Qty C]]</f>
        <v>3</v>
      </c>
      <c r="AH289" s="35">
        <f>cadangan3[[#This Row],[Harga A + Diskon]]+cadangan3[[#This Row],[Harga + Diskon B]]+cadangan3[[#This Row],[Harga + Diskon C]]</f>
        <v>810000</v>
      </c>
      <c r="AI289" s="35">
        <f>(cadangan3[[#This Row],[Profit A]]+cadangan3[[#This Row],[Profit B]]+cadangan3[[#This Row],[Profit C]])</f>
        <v>350000</v>
      </c>
      <c r="AJ289" s="35">
        <f>cadangan3[[#This Row],[Provit A + Diskon]]+cadangan3[[#This Row],[Provit B + Diskon]]+cadangan3[[#This Row],[Provit C + Diskon]]</f>
        <v>315000</v>
      </c>
      <c r="AK289" s="23" t="s">
        <v>6</v>
      </c>
      <c r="AL289" s="37">
        <f>IFERROR(INDEX('Kode Diskon'!$D$3:$D$9,MATCH(cadangan3[[#This Row],[Kode diskon]],'Kode Diskon'!$C$3:$C$9,0)),"-")</f>
        <v>0.1</v>
      </c>
      <c r="AM289" s="23" t="s">
        <v>29</v>
      </c>
      <c r="AN289" s="23" t="s">
        <v>7</v>
      </c>
      <c r="AO289" s="23" t="s">
        <v>79</v>
      </c>
      <c r="AP289" s="24">
        <v>45021</v>
      </c>
      <c r="AQ289" s="23" t="str">
        <f>TEXT(cadangan3[[#This Row],[Tanggal terjual]],"dddd")</f>
        <v>Wednesday</v>
      </c>
    </row>
    <row r="290" spans="1:43" x14ac:dyDescent="0.2">
      <c r="A290" s="20">
        <v>289</v>
      </c>
      <c r="B290" s="21" t="str">
        <f>_xlfn.CONCAT("ORD-",INDEX(Helper!$B$2:$B$5,MATCH(cadangan3[[#This Row],[Marketplace]],Helper!$A$2:$A$5,0)),TEXT(cadangan3[[#This Row],[No]],"0000"),"-",TEXT(cadangan3[[#This Row],[Tanggal terjual]],"dd/mm/yy"))</f>
        <v>ORD-BB0289-03/04/23</v>
      </c>
      <c r="C290" t="s">
        <v>58</v>
      </c>
      <c r="D290" t="str">
        <f>IFERROR(INDEX(Katalog!$A$3:$A$12,MATCH(cadangan3[[#This Row],[ItemID A]],Katalog!$C$3:$C$12,0)),"-")</f>
        <v>Pakaian Wanita</v>
      </c>
      <c r="E290" t="str">
        <f>IFERROR(INDEX(Katalog!$B$3:$B$12,MATCH(cadangan3[[#This Row],[ItemID A]],Katalog!$C$3:$C$12,0)),"-")</f>
        <v>Dress</v>
      </c>
      <c r="F290">
        <v>4</v>
      </c>
      <c r="G290">
        <v>1</v>
      </c>
      <c r="H290" s="36">
        <f>IFERROR(INDEX(Katalog!$D$3:$D$12,MATCH(cadangan3[[#This Row],[ItemID A]],Katalog!$C$3:$C$12,0))*cadangan3[[#This Row],[Qty A]],0)</f>
        <v>1200000</v>
      </c>
      <c r="I290" s="36">
        <f>IFERROR(INDEX(Katalog!$D$3:$D$12,MATCH(cadangan3[[#This Row],[Item A]],Katalog!$B$3:$B$12,0))*cadangan3[[#This Row],[Qty A]],0)</f>
        <v>1200000</v>
      </c>
      <c r="J290" s="36">
        <f>IFERROR(cadangan3[[#This Row],[Harga Asli A]]-(cadangan3[[#This Row],[Harga Asli A]]*cadangan3[[#This Row],[Diskon]]),cadangan3[[#This Row],[Harga Asli A]])</f>
        <v>1020000</v>
      </c>
      <c r="K290" s="36">
        <f>INDEX(Katalog!$F$3:$F$12,MATCH(cadangan3[[#This Row],[ItemID A]],Katalog!$C$3:$C$12,0))*cadangan3[[#This Row],[Qty A]]</f>
        <v>400000</v>
      </c>
      <c r="L290" s="36">
        <f>IFERROR(cadangan3[[#This Row],[Profit A]]-(cadangan3[[#This Row],[Profit A]]*cadangan3[[#This Row],[Diskon]]),K290)</f>
        <v>340000</v>
      </c>
      <c r="M290" t="s">
        <v>60</v>
      </c>
      <c r="N290" t="str">
        <f>IFERROR(INDEX(Katalog!$A$3:$A$12,MATCH(cadangan3[[#This Row],[ItemID B]],Katalog!$C$3:$C$12,0)),"-")</f>
        <v>Pakaian Wanita</v>
      </c>
      <c r="O290" t="str">
        <f>IFERROR(INDEX(Katalog!$B$3:$B$12,MATCH(cadangan3[[#This Row],[ItemID B]],Katalog!$C$3:$C$12,0)),"-")</f>
        <v>Kaftan</v>
      </c>
      <c r="P290">
        <v>1</v>
      </c>
      <c r="Q290">
        <v>2</v>
      </c>
      <c r="R290" s="36">
        <f>IFERROR(INDEX(Katalog!$D$3:$D$12,MATCH(cadangan3[[#This Row],[ItemID B]],Katalog!$C$3:$C$12,0))*cadangan3[[#This Row],[Qty B]],0)</f>
        <v>250000</v>
      </c>
      <c r="S290" s="36">
        <f>IFERROR(INDEX(Katalog!$D$3:$D$12,MATCH(cadangan3[[#This Row],[Item B]],Katalog!$B$3:$B$12,0))*cadangan3[[#This Row],[Qty B]],0)</f>
        <v>250000</v>
      </c>
      <c r="T290" s="36">
        <f>IFERROR(cadangan3[[#This Row],[Harga Asli B]]-(cadangan3[[#This Row],[Harga Asli B]]*cadangan3[[#This Row],[Diskon]]),cadangan3[[#This Row],[Harga Asli B]])</f>
        <v>212500</v>
      </c>
      <c r="U290" s="36">
        <f>IFERROR(INDEX(Katalog!$F$3:$F$12,MATCH(cadangan3[[#This Row],[ItemID B]],Katalog!$C$3:$C$12,0))*cadangan3[[#This Row],[Qty B]],0)</f>
        <v>100000</v>
      </c>
      <c r="V290" s="36">
        <f>IFERROR(cadangan3[[#This Row],[Profit B]]-(cadangan3[[#This Row],[Profit B]]*cadangan3[[#This Row],[Diskon]]),U290)</f>
        <v>85000</v>
      </c>
      <c r="W290" t="s">
        <v>66</v>
      </c>
      <c r="X290" t="str">
        <f>IFERROR(INDEX(Katalog!$A$3:$A$12,MATCH(cadangan3[[#This Row],[ItemID C]],Katalog!$C$3:$C$12,0)),"-")</f>
        <v>Sepatu Pria</v>
      </c>
      <c r="Y290" t="str">
        <f>IFERROR(INDEX(Katalog!$B$3:$B$12,MATCH(cadangan3[[#This Row],[ItemID C]],Katalog!$C$3:$C$12,0)),"-")</f>
        <v>Sandal Slip On</v>
      </c>
      <c r="Z290">
        <v>1</v>
      </c>
      <c r="AA290">
        <v>2</v>
      </c>
      <c r="AB290" s="36">
        <f>IFERROR(INDEX(Katalog!$D$3:$D$12,MATCH(cadangan3[[#This Row],[ItemID C]],Katalog!$C$3:$C$12,0))*cadangan3[[#This Row],[Qty C]],0)</f>
        <v>150000</v>
      </c>
      <c r="AC290" s="36">
        <f>IFERROR(INDEX(Katalog!$D$3:$D$12,MATCH(cadangan3[[#This Row],[Item C]],Katalog!$B$3:$B$12,0))*cadangan3[[#This Row],[Qty C]],0)</f>
        <v>150000</v>
      </c>
      <c r="AD290" s="36">
        <f>IFERROR(cadangan3[[#This Row],[Harga Asli C]]-(cadangan3[[#This Row],[Harga Asli C]]*cadangan3[[#This Row],[Diskon]]),cadangan3[[#This Row],[Harga Asli C]])</f>
        <v>127500</v>
      </c>
      <c r="AE290" s="36">
        <f>IFERROR(INDEX(Katalog!$F$3:$F$12,MATCH(cadangan3[[#This Row],[ItemID C]],Katalog!$C$3:$C$12,0))*cadangan3[[#This Row],[Qty C]],0)</f>
        <v>60000</v>
      </c>
      <c r="AF290" s="36">
        <f>IFERROR(cadangan3[[#This Row],[Profit C]]-(cadangan3[[#This Row],[Profit C]]*cadangan3[[#This Row],[Diskon]]),cadangan3[[#This Row],[Profit C]])</f>
        <v>51000</v>
      </c>
      <c r="AG290" s="21">
        <f>cadangan3[[#This Row],[Qty A]]+cadangan3[[#This Row],[Qty B]]+cadangan3[[#This Row],[Qty C]]</f>
        <v>6</v>
      </c>
      <c r="AH290" s="35">
        <f>cadangan3[[#This Row],[Harga A + Diskon]]+cadangan3[[#This Row],[Harga + Diskon B]]+cadangan3[[#This Row],[Harga + Diskon C]]</f>
        <v>1360000</v>
      </c>
      <c r="AI290" s="35">
        <f>(cadangan3[[#This Row],[Profit A]]+cadangan3[[#This Row],[Profit B]]+cadangan3[[#This Row],[Profit C]])</f>
        <v>560000</v>
      </c>
      <c r="AJ290" s="35">
        <f>cadangan3[[#This Row],[Provit A + Diskon]]+cadangan3[[#This Row],[Provit B + Diskon]]+cadangan3[[#This Row],[Provit C + Diskon]]</f>
        <v>476000</v>
      </c>
      <c r="AK290" s="23" t="s">
        <v>28</v>
      </c>
      <c r="AL290" s="37">
        <f>IFERROR(INDEX('Kode Diskon'!$D$3:$D$9,MATCH(cadangan3[[#This Row],[Kode diskon]],'Kode Diskon'!$C$3:$C$9,0)),"-")</f>
        <v>0.15</v>
      </c>
      <c r="AM290" s="23" t="s">
        <v>29</v>
      </c>
      <c r="AN290" s="23" t="s">
        <v>14</v>
      </c>
      <c r="AO290" s="23" t="s">
        <v>77</v>
      </c>
      <c r="AP290" s="24">
        <v>45019</v>
      </c>
      <c r="AQ290" s="23" t="str">
        <f>TEXT(cadangan3[[#This Row],[Tanggal terjual]],"dddd")</f>
        <v>Monday</v>
      </c>
    </row>
    <row r="291" spans="1:43" x14ac:dyDescent="0.2">
      <c r="A291" s="20">
        <v>290</v>
      </c>
      <c r="B291" s="21" t="str">
        <f>_xlfn.CONCAT("ORD-",INDEX(Helper!$B$2:$B$5,MATCH(cadangan3[[#This Row],[Marketplace]],Helper!$A$2:$A$5,0)),TEXT(cadangan3[[#This Row],[No]],"0000"),"-",TEXT(cadangan3[[#This Row],[Tanggal terjual]],"dd/mm/yy"))</f>
        <v>ORD-TK0290-07/04/23</v>
      </c>
      <c r="C291" t="s">
        <v>63</v>
      </c>
      <c r="D291" t="str">
        <f>IFERROR(INDEX(Katalog!$A$3:$A$12,MATCH(cadangan3[[#This Row],[ItemID A]],Katalog!$C$3:$C$12,0)),"-")</f>
        <v>Pakaian Pria</v>
      </c>
      <c r="E291" t="str">
        <f>IFERROR(INDEX(Katalog!$B$3:$B$12,MATCH(cadangan3[[#This Row],[ItemID A]],Katalog!$C$3:$C$12,0)),"-")</f>
        <v>Jaket Jeans</v>
      </c>
      <c r="F291">
        <v>6</v>
      </c>
      <c r="G291">
        <v>2</v>
      </c>
      <c r="H291" s="36">
        <f>IFERROR(INDEX(Katalog!$D$3:$D$12,MATCH(cadangan3[[#This Row],[ItemID A]],Katalog!$C$3:$C$12,0))*cadangan3[[#This Row],[Qty A]],0)</f>
        <v>2400000</v>
      </c>
      <c r="I291" s="36">
        <f>IFERROR(INDEX(Katalog!$D$3:$D$12,MATCH(cadangan3[[#This Row],[Item A]],Katalog!$B$3:$B$12,0))*cadangan3[[#This Row],[Qty A]],0)</f>
        <v>2400000</v>
      </c>
      <c r="J291" s="36">
        <f>IFERROR(cadangan3[[#This Row],[Harga Asli A]]-(cadangan3[[#This Row],[Harga Asli A]]*cadangan3[[#This Row],[Diskon]]),cadangan3[[#This Row],[Harga Asli A]])</f>
        <v>2400000</v>
      </c>
      <c r="K291" s="36">
        <f>INDEX(Katalog!$F$3:$F$12,MATCH(cadangan3[[#This Row],[ItemID A]],Katalog!$C$3:$C$12,0))*cadangan3[[#This Row],[Qty A]]</f>
        <v>900000</v>
      </c>
      <c r="L291" s="36">
        <f>IFERROR(cadangan3[[#This Row],[Profit A]]-(cadangan3[[#This Row],[Profit A]]*cadangan3[[#This Row],[Diskon]]),K291)</f>
        <v>900000</v>
      </c>
      <c r="M291" t="s">
        <v>62</v>
      </c>
      <c r="N291" t="str">
        <f>IFERROR(INDEX(Katalog!$A$3:$A$12,MATCH(cadangan3[[#This Row],[ItemID B]],Katalog!$C$3:$C$12,0)),"-")</f>
        <v>Pakaian Pria</v>
      </c>
      <c r="O291" t="str">
        <f>IFERROR(INDEX(Katalog!$B$3:$B$12,MATCH(cadangan3[[#This Row],[ItemID B]],Katalog!$C$3:$C$12,0)),"-")</f>
        <v>Celana Pendek</v>
      </c>
      <c r="P291">
        <v>1</v>
      </c>
      <c r="Q291">
        <v>1</v>
      </c>
      <c r="R291" s="36">
        <f>IFERROR(INDEX(Katalog!$D$3:$D$12,MATCH(cadangan3[[#This Row],[ItemID B]],Katalog!$C$3:$C$12,0))*cadangan3[[#This Row],[Qty B]],0)</f>
        <v>180000</v>
      </c>
      <c r="S291" s="36">
        <f>IFERROR(INDEX(Katalog!$D$3:$D$12,MATCH(cadangan3[[#This Row],[Item B]],Katalog!$B$3:$B$12,0))*cadangan3[[#This Row],[Qty B]],0)</f>
        <v>180000</v>
      </c>
      <c r="T291" s="36">
        <f>IFERROR(cadangan3[[#This Row],[Harga Asli B]]-(cadangan3[[#This Row],[Harga Asli B]]*cadangan3[[#This Row],[Diskon]]),cadangan3[[#This Row],[Harga Asli B]])</f>
        <v>180000</v>
      </c>
      <c r="U291" s="36">
        <f>IFERROR(INDEX(Katalog!$F$3:$F$12,MATCH(cadangan3[[#This Row],[ItemID B]],Katalog!$C$3:$C$12,0))*cadangan3[[#This Row],[Qty B]],0)</f>
        <v>70000</v>
      </c>
      <c r="V291" s="36">
        <f>IFERROR(cadangan3[[#This Row],[Profit B]]-(cadangan3[[#This Row],[Profit B]]*cadangan3[[#This Row],[Diskon]]),U291)</f>
        <v>70000</v>
      </c>
      <c r="X291" t="str">
        <f>IFERROR(INDEX(Katalog!$A$3:$A$12,MATCH(cadangan3[[#This Row],[ItemID C]],Katalog!$C$3:$C$12,0)),"-")</f>
        <v>-</v>
      </c>
      <c r="Y291" t="str">
        <f>IFERROR(INDEX(Katalog!$B$3:$B$12,MATCH(cadangan3[[#This Row],[ItemID C]],Katalog!$C$3:$C$12,0)),"-")</f>
        <v>-</v>
      </c>
      <c r="AB291" s="36">
        <f>IFERROR(INDEX(Katalog!$D$3:$D$12,MATCH(cadangan3[[#This Row],[ItemID C]],Katalog!$C$3:$C$12,0))*cadangan3[[#This Row],[Qty C]],0)</f>
        <v>0</v>
      </c>
      <c r="AC291" s="36">
        <f>IFERROR(INDEX(Katalog!$D$3:$D$12,MATCH(cadangan3[[#This Row],[Item C]],Katalog!$B$3:$B$12,0))*cadangan3[[#This Row],[Qty C]],0)</f>
        <v>0</v>
      </c>
      <c r="AD291" s="36">
        <f>IFERROR(cadangan3[[#This Row],[Harga Asli C]]-(cadangan3[[#This Row],[Harga Asli C]]*cadangan3[[#This Row],[Diskon]]),cadangan3[[#This Row],[Harga Asli C]])</f>
        <v>0</v>
      </c>
      <c r="AE291" s="36">
        <f>IFERROR(INDEX(Katalog!$F$3:$F$12,MATCH(cadangan3[[#This Row],[ItemID C]],Katalog!$C$3:$C$12,0))*cadangan3[[#This Row],[Qty C]],0)</f>
        <v>0</v>
      </c>
      <c r="AF291" s="36">
        <f>IFERROR(cadangan3[[#This Row],[Profit C]]-(cadangan3[[#This Row],[Profit C]]*cadangan3[[#This Row],[Diskon]]),cadangan3[[#This Row],[Profit C]])</f>
        <v>0</v>
      </c>
      <c r="AG291" s="21">
        <f>cadangan3[[#This Row],[Qty A]]+cadangan3[[#This Row],[Qty B]]+cadangan3[[#This Row],[Qty C]]</f>
        <v>7</v>
      </c>
      <c r="AH291" s="35">
        <f>cadangan3[[#This Row],[Harga A + Diskon]]+cadangan3[[#This Row],[Harga + Diskon B]]+cadangan3[[#This Row],[Harga + Diskon C]]</f>
        <v>2580000</v>
      </c>
      <c r="AI291" s="35">
        <f>(cadangan3[[#This Row],[Profit A]]+cadangan3[[#This Row],[Profit B]]+cadangan3[[#This Row],[Profit C]])</f>
        <v>970000</v>
      </c>
      <c r="AJ291" s="35">
        <f>cadangan3[[#This Row],[Provit A + Diskon]]+cadangan3[[#This Row],[Provit B + Diskon]]+cadangan3[[#This Row],[Provit C + Diskon]]</f>
        <v>970000</v>
      </c>
      <c r="AK291" s="23" t="s">
        <v>11</v>
      </c>
      <c r="AL291" s="37" t="str">
        <f>IFERROR(INDEX('Kode Diskon'!$D$3:$D$9,MATCH(cadangan3[[#This Row],[Kode diskon]],'Kode Diskon'!$C$3:$C$9,0)),"-")</f>
        <v>-</v>
      </c>
      <c r="AM291" s="23" t="s">
        <v>11</v>
      </c>
      <c r="AN291" s="23" t="s">
        <v>10</v>
      </c>
      <c r="AO291" s="23" t="s">
        <v>75</v>
      </c>
      <c r="AP291" s="24">
        <v>45023</v>
      </c>
      <c r="AQ291" s="23" t="str">
        <f>TEXT(cadangan3[[#This Row],[Tanggal terjual]],"dddd")</f>
        <v>Friday</v>
      </c>
    </row>
    <row r="292" spans="1:43" x14ac:dyDescent="0.2">
      <c r="A292" s="20">
        <v>291</v>
      </c>
      <c r="B292" s="21" t="str">
        <f>_xlfn.CONCAT("ORD-",INDEX(Helper!$B$2:$B$5,MATCH(cadangan3[[#This Row],[Marketplace]],Helper!$A$2:$A$5,0)),TEXT(cadangan3[[#This Row],[No]],"0000"),"-",TEXT(cadangan3[[#This Row],[Tanggal terjual]],"dd/mm/yy"))</f>
        <v>ORD-SP0291-04/04/23</v>
      </c>
      <c r="C292" t="s">
        <v>66</v>
      </c>
      <c r="D292" t="str">
        <f>IFERROR(INDEX(Katalog!$A$3:$A$12,MATCH(cadangan3[[#This Row],[ItemID A]],Katalog!$C$3:$C$12,0)),"-")</f>
        <v>Sepatu Pria</v>
      </c>
      <c r="E292" t="str">
        <f>IFERROR(INDEX(Katalog!$B$3:$B$12,MATCH(cadangan3[[#This Row],[ItemID A]],Katalog!$C$3:$C$12,0)),"-")</f>
        <v>Sandal Slip On</v>
      </c>
      <c r="F292">
        <v>1</v>
      </c>
      <c r="G292">
        <v>4</v>
      </c>
      <c r="H292" s="36">
        <f>IFERROR(INDEX(Katalog!$D$3:$D$12,MATCH(cadangan3[[#This Row],[ItemID A]],Katalog!$C$3:$C$12,0))*cadangan3[[#This Row],[Qty A]],0)</f>
        <v>150000</v>
      </c>
      <c r="I292" s="36">
        <f>IFERROR(INDEX(Katalog!$D$3:$D$12,MATCH(cadangan3[[#This Row],[Item A]],Katalog!$B$3:$B$12,0))*cadangan3[[#This Row],[Qty A]],0)</f>
        <v>150000</v>
      </c>
      <c r="J292" s="36">
        <f>IFERROR(cadangan3[[#This Row],[Harga Asli A]]-(cadangan3[[#This Row],[Harga Asli A]]*cadangan3[[#This Row],[Diskon]]),cadangan3[[#This Row],[Harga Asli A]])</f>
        <v>127500</v>
      </c>
      <c r="K292" s="36">
        <f>INDEX(Katalog!$F$3:$F$12,MATCH(cadangan3[[#This Row],[ItemID A]],Katalog!$C$3:$C$12,0))*cadangan3[[#This Row],[Qty A]]</f>
        <v>60000</v>
      </c>
      <c r="L292" s="36">
        <f>IFERROR(cadangan3[[#This Row],[Profit A]]-(cadangan3[[#This Row],[Profit A]]*cadangan3[[#This Row],[Diskon]]),K292)</f>
        <v>51000</v>
      </c>
      <c r="M292" t="s">
        <v>65</v>
      </c>
      <c r="N292" t="str">
        <f>IFERROR(INDEX(Katalog!$A$3:$A$12,MATCH(cadangan3[[#This Row],[ItemID B]],Katalog!$C$3:$C$12,0)),"-")</f>
        <v>Sepatu Pria</v>
      </c>
      <c r="O292" t="str">
        <f>IFERROR(INDEX(Katalog!$B$3:$B$12,MATCH(cadangan3[[#This Row],[ItemID B]],Katalog!$C$3:$C$12,0)),"-")</f>
        <v>Sneakers</v>
      </c>
      <c r="P292">
        <v>1</v>
      </c>
      <c r="Q292">
        <v>4</v>
      </c>
      <c r="R292" s="36">
        <f>IFERROR(INDEX(Katalog!$D$3:$D$12,MATCH(cadangan3[[#This Row],[ItemID B]],Katalog!$C$3:$C$12,0))*cadangan3[[#This Row],[Qty B]],0)</f>
        <v>500000</v>
      </c>
      <c r="S292" s="36">
        <f>IFERROR(INDEX(Katalog!$D$3:$D$12,MATCH(cadangan3[[#This Row],[Item B]],Katalog!$B$3:$B$12,0))*cadangan3[[#This Row],[Qty B]],0)</f>
        <v>500000</v>
      </c>
      <c r="T292" s="36">
        <f>IFERROR(cadangan3[[#This Row],[Harga Asli B]]-(cadangan3[[#This Row],[Harga Asli B]]*cadangan3[[#This Row],[Diskon]]),cadangan3[[#This Row],[Harga Asli B]])</f>
        <v>425000</v>
      </c>
      <c r="U292" s="36">
        <f>IFERROR(INDEX(Katalog!$F$3:$F$12,MATCH(cadangan3[[#This Row],[ItemID B]],Katalog!$C$3:$C$12,0))*cadangan3[[#This Row],[Qty B]],0)</f>
        <v>200000</v>
      </c>
      <c r="V292" s="36">
        <f>IFERROR(cadangan3[[#This Row],[Profit B]]-(cadangan3[[#This Row],[Profit B]]*cadangan3[[#This Row],[Diskon]]),U292)</f>
        <v>170000</v>
      </c>
      <c r="X292" t="str">
        <f>IFERROR(INDEX(Katalog!$A$3:$A$12,MATCH(cadangan3[[#This Row],[ItemID C]],Katalog!$C$3:$C$12,0)),"-")</f>
        <v>-</v>
      </c>
      <c r="Y292" t="str">
        <f>IFERROR(INDEX(Katalog!$B$3:$B$12,MATCH(cadangan3[[#This Row],[ItemID C]],Katalog!$C$3:$C$12,0)),"-")</f>
        <v>-</v>
      </c>
      <c r="AB292" s="36">
        <f>IFERROR(INDEX(Katalog!$D$3:$D$12,MATCH(cadangan3[[#This Row],[ItemID C]],Katalog!$C$3:$C$12,0))*cadangan3[[#This Row],[Qty C]],0)</f>
        <v>0</v>
      </c>
      <c r="AC292" s="36">
        <f>IFERROR(INDEX(Katalog!$D$3:$D$12,MATCH(cadangan3[[#This Row],[Item C]],Katalog!$B$3:$B$12,0))*cadangan3[[#This Row],[Qty C]],0)</f>
        <v>0</v>
      </c>
      <c r="AD292" s="36">
        <f>IFERROR(cadangan3[[#This Row],[Harga Asli C]]-(cadangan3[[#This Row],[Harga Asli C]]*cadangan3[[#This Row],[Diskon]]),cadangan3[[#This Row],[Harga Asli C]])</f>
        <v>0</v>
      </c>
      <c r="AE292" s="36">
        <f>IFERROR(INDEX(Katalog!$F$3:$F$12,MATCH(cadangan3[[#This Row],[ItemID C]],Katalog!$C$3:$C$12,0))*cadangan3[[#This Row],[Qty C]],0)</f>
        <v>0</v>
      </c>
      <c r="AF292" s="36">
        <f>IFERROR(cadangan3[[#This Row],[Profit C]]-(cadangan3[[#This Row],[Profit C]]*cadangan3[[#This Row],[Diskon]]),cadangan3[[#This Row],[Profit C]])</f>
        <v>0</v>
      </c>
      <c r="AG292" s="21">
        <f>cadangan3[[#This Row],[Qty A]]+cadangan3[[#This Row],[Qty B]]+cadangan3[[#This Row],[Qty C]]</f>
        <v>2</v>
      </c>
      <c r="AH292" s="35">
        <f>cadangan3[[#This Row],[Harga A + Diskon]]+cadangan3[[#This Row],[Harga + Diskon B]]+cadangan3[[#This Row],[Harga + Diskon C]]</f>
        <v>552500</v>
      </c>
      <c r="AI292" s="35">
        <f>(cadangan3[[#This Row],[Profit A]]+cadangan3[[#This Row],[Profit B]]+cadangan3[[#This Row],[Profit C]])</f>
        <v>260000</v>
      </c>
      <c r="AJ292" s="35">
        <f>cadangan3[[#This Row],[Provit A + Diskon]]+cadangan3[[#This Row],[Provit B + Diskon]]+cadangan3[[#This Row],[Provit C + Diskon]]</f>
        <v>221000</v>
      </c>
      <c r="AK292" s="23" t="s">
        <v>13</v>
      </c>
      <c r="AL292" s="37">
        <f>IFERROR(INDEX('Kode Diskon'!$D$3:$D$9,MATCH(cadangan3[[#This Row],[Kode diskon]],'Kode Diskon'!$C$3:$C$9,0)),"-")</f>
        <v>0.15</v>
      </c>
      <c r="AM292" s="23" t="s">
        <v>29</v>
      </c>
      <c r="AN292" s="23" t="s">
        <v>7</v>
      </c>
      <c r="AO292" s="23" t="s">
        <v>80</v>
      </c>
      <c r="AP292" s="24">
        <v>45020</v>
      </c>
      <c r="AQ292" s="23" t="str">
        <f>TEXT(cadangan3[[#This Row],[Tanggal terjual]],"dddd")</f>
        <v>Tuesday</v>
      </c>
    </row>
    <row r="293" spans="1:43" x14ac:dyDescent="0.2">
      <c r="A293" s="20">
        <v>292</v>
      </c>
      <c r="B293" s="21" t="str">
        <f>_xlfn.CONCAT("ORD-",INDEX(Helper!$B$2:$B$5,MATCH(cadangan3[[#This Row],[Marketplace]],Helper!$A$2:$A$5,0)),TEXT(cadangan3[[#This Row],[No]],"0000"),"-",TEXT(cadangan3[[#This Row],[Tanggal terjual]],"dd/mm/yy"))</f>
        <v>ORD-BB0292-05/04/23</v>
      </c>
      <c r="C293" t="s">
        <v>67</v>
      </c>
      <c r="D293" t="str">
        <f>IFERROR(INDEX(Katalog!$A$3:$A$12,MATCH(cadangan3[[#This Row],[ItemID A]],Katalog!$C$3:$C$12,0)),"-")</f>
        <v>Sepatu Wanita</v>
      </c>
      <c r="E293" t="str">
        <f>IFERROR(INDEX(Katalog!$B$3:$B$12,MATCH(cadangan3[[#This Row],[ItemID A]],Katalog!$C$3:$C$12,0)),"-")</f>
        <v>Flat Shoes</v>
      </c>
      <c r="F293">
        <v>3</v>
      </c>
      <c r="G293">
        <v>2</v>
      </c>
      <c r="H293" s="36">
        <f>IFERROR(INDEX(Katalog!$D$3:$D$12,MATCH(cadangan3[[#This Row],[ItemID A]],Katalog!$C$3:$C$12,0))*cadangan3[[#This Row],[Qty A]],0)</f>
        <v>750000</v>
      </c>
      <c r="I293" s="36">
        <f>IFERROR(INDEX(Katalog!$D$3:$D$12,MATCH(cadangan3[[#This Row],[Item A]],Katalog!$B$3:$B$12,0))*cadangan3[[#This Row],[Qty A]],0)</f>
        <v>750000</v>
      </c>
      <c r="J293" s="36">
        <f>IFERROR(cadangan3[[#This Row],[Harga Asli A]]-(cadangan3[[#This Row],[Harga Asli A]]*cadangan3[[#This Row],[Diskon]]),cadangan3[[#This Row],[Harga Asli A]])</f>
        <v>637500</v>
      </c>
      <c r="K293" s="36">
        <f>INDEX(Katalog!$F$3:$F$12,MATCH(cadangan3[[#This Row],[ItemID A]],Katalog!$C$3:$C$12,0))*cadangan3[[#This Row],[Qty A]]</f>
        <v>300000</v>
      </c>
      <c r="L293" s="36">
        <f>IFERROR(cadangan3[[#This Row],[Profit A]]-(cadangan3[[#This Row],[Profit A]]*cadangan3[[#This Row],[Diskon]]),K293)</f>
        <v>255000</v>
      </c>
      <c r="N293" t="str">
        <f>IFERROR(INDEX(Katalog!$A$3:$A$12,MATCH(cadangan3[[#This Row],[ItemID B]],Katalog!$C$3:$C$12,0)),"-")</f>
        <v>-</v>
      </c>
      <c r="O293" t="str">
        <f>IFERROR(INDEX(Katalog!$B$3:$B$12,MATCH(cadangan3[[#This Row],[ItemID B]],Katalog!$C$3:$C$12,0)),"-")</f>
        <v>-</v>
      </c>
      <c r="R293" s="36">
        <f>IFERROR(INDEX(Katalog!$D$3:$D$12,MATCH(cadangan3[[#This Row],[ItemID B]],Katalog!$C$3:$C$12,0))*cadangan3[[#This Row],[Qty B]],0)</f>
        <v>0</v>
      </c>
      <c r="S293" s="36">
        <f>IFERROR(INDEX(Katalog!$D$3:$D$12,MATCH(cadangan3[[#This Row],[Item B]],Katalog!$B$3:$B$12,0))*cadangan3[[#This Row],[Qty B]],0)</f>
        <v>0</v>
      </c>
      <c r="T293" s="36">
        <f>IFERROR(cadangan3[[#This Row],[Harga Asli B]]-(cadangan3[[#This Row],[Harga Asli B]]*cadangan3[[#This Row],[Diskon]]),cadangan3[[#This Row],[Harga Asli B]])</f>
        <v>0</v>
      </c>
      <c r="U293" s="36">
        <f>IFERROR(INDEX(Katalog!$F$3:$F$12,MATCH(cadangan3[[#This Row],[ItemID B]],Katalog!$C$3:$C$12,0))*cadangan3[[#This Row],[Qty B]],0)</f>
        <v>0</v>
      </c>
      <c r="V293" s="36">
        <f>IFERROR(cadangan3[[#This Row],[Profit B]]-(cadangan3[[#This Row],[Profit B]]*cadangan3[[#This Row],[Diskon]]),U293)</f>
        <v>0</v>
      </c>
      <c r="X293" t="str">
        <f>IFERROR(INDEX(Katalog!$A$3:$A$12,MATCH(cadangan3[[#This Row],[ItemID C]],Katalog!$C$3:$C$12,0)),"-")</f>
        <v>-</v>
      </c>
      <c r="Y293" t="str">
        <f>IFERROR(INDEX(Katalog!$B$3:$B$12,MATCH(cadangan3[[#This Row],[ItemID C]],Katalog!$C$3:$C$12,0)),"-")</f>
        <v>-</v>
      </c>
      <c r="AB293" s="36">
        <f>IFERROR(INDEX(Katalog!$D$3:$D$12,MATCH(cadangan3[[#This Row],[ItemID C]],Katalog!$C$3:$C$12,0))*cadangan3[[#This Row],[Qty C]],0)</f>
        <v>0</v>
      </c>
      <c r="AC293" s="36">
        <f>IFERROR(INDEX(Katalog!$D$3:$D$12,MATCH(cadangan3[[#This Row],[Item C]],Katalog!$B$3:$B$12,0))*cadangan3[[#This Row],[Qty C]],0)</f>
        <v>0</v>
      </c>
      <c r="AD293" s="36">
        <f>IFERROR(cadangan3[[#This Row],[Harga Asli C]]-(cadangan3[[#This Row],[Harga Asli C]]*cadangan3[[#This Row],[Diskon]]),cadangan3[[#This Row],[Harga Asli C]])</f>
        <v>0</v>
      </c>
      <c r="AE293" s="36">
        <f>IFERROR(INDEX(Katalog!$F$3:$F$12,MATCH(cadangan3[[#This Row],[ItemID C]],Katalog!$C$3:$C$12,0))*cadangan3[[#This Row],[Qty C]],0)</f>
        <v>0</v>
      </c>
      <c r="AF293" s="36">
        <f>IFERROR(cadangan3[[#This Row],[Profit C]]-(cadangan3[[#This Row],[Profit C]]*cadangan3[[#This Row],[Diskon]]),cadangan3[[#This Row],[Profit C]])</f>
        <v>0</v>
      </c>
      <c r="AG293" s="21">
        <f>cadangan3[[#This Row],[Qty A]]+cadangan3[[#This Row],[Qty B]]+cadangan3[[#This Row],[Qty C]]</f>
        <v>3</v>
      </c>
      <c r="AH293" s="35">
        <f>cadangan3[[#This Row],[Harga A + Diskon]]+cadangan3[[#This Row],[Harga + Diskon B]]+cadangan3[[#This Row],[Harga + Diskon C]]</f>
        <v>637500</v>
      </c>
      <c r="AI293" s="35">
        <f>(cadangan3[[#This Row],[Profit A]]+cadangan3[[#This Row],[Profit B]]+cadangan3[[#This Row],[Profit C]])</f>
        <v>300000</v>
      </c>
      <c r="AJ293" s="35">
        <f>cadangan3[[#This Row],[Provit A + Diskon]]+cadangan3[[#This Row],[Provit B + Diskon]]+cadangan3[[#This Row],[Provit C + Diskon]]</f>
        <v>255000</v>
      </c>
      <c r="AK293" s="23" t="s">
        <v>28</v>
      </c>
      <c r="AL293" s="37">
        <f>IFERROR(INDEX('Kode Diskon'!$D$3:$D$9,MATCH(cadangan3[[#This Row],[Kode diskon]],'Kode Diskon'!$C$3:$C$9,0)),"-")</f>
        <v>0.15</v>
      </c>
      <c r="AM293" s="23" t="s">
        <v>29</v>
      </c>
      <c r="AN293" s="23" t="s">
        <v>14</v>
      </c>
      <c r="AO293" s="23" t="s">
        <v>80</v>
      </c>
      <c r="AP293" s="24">
        <v>45021</v>
      </c>
      <c r="AQ293" s="23" t="str">
        <f>TEXT(cadangan3[[#This Row],[Tanggal terjual]],"dddd")</f>
        <v>Wednesday</v>
      </c>
    </row>
    <row r="294" spans="1:43" x14ac:dyDescent="0.2">
      <c r="A294" s="20">
        <v>293</v>
      </c>
      <c r="B294" s="21" t="str">
        <f>_xlfn.CONCAT("ORD-",INDEX(Helper!$B$2:$B$5,MATCH(cadangan3[[#This Row],[Marketplace]],Helper!$A$2:$A$5,0)),TEXT(cadangan3[[#This Row],[No]],"0000"),"-",TEXT(cadangan3[[#This Row],[Tanggal terjual]],"dd/mm/yy"))</f>
        <v>ORD-SP0293-06/04/23</v>
      </c>
      <c r="C294" t="s">
        <v>63</v>
      </c>
      <c r="D294" t="str">
        <f>IFERROR(INDEX(Katalog!$A$3:$A$12,MATCH(cadangan3[[#This Row],[ItemID A]],Katalog!$C$3:$C$12,0)),"-")</f>
        <v>Pakaian Pria</v>
      </c>
      <c r="E294" t="str">
        <f>IFERROR(INDEX(Katalog!$B$3:$B$12,MATCH(cadangan3[[#This Row],[ItemID A]],Katalog!$C$3:$C$12,0)),"-")</f>
        <v>Jaket Jeans</v>
      </c>
      <c r="F294">
        <v>2</v>
      </c>
      <c r="G294">
        <v>2</v>
      </c>
      <c r="H294" s="36">
        <f>IFERROR(INDEX(Katalog!$D$3:$D$12,MATCH(cadangan3[[#This Row],[ItemID A]],Katalog!$C$3:$C$12,0))*cadangan3[[#This Row],[Qty A]],0)</f>
        <v>800000</v>
      </c>
      <c r="I294" s="36">
        <f>IFERROR(INDEX(Katalog!$D$3:$D$12,MATCH(cadangan3[[#This Row],[Item A]],Katalog!$B$3:$B$12,0))*cadangan3[[#This Row],[Qty A]],0)</f>
        <v>800000</v>
      </c>
      <c r="J294" s="36">
        <f>IFERROR(cadangan3[[#This Row],[Harga Asli A]]-(cadangan3[[#This Row],[Harga Asli A]]*cadangan3[[#This Row],[Diskon]]),cadangan3[[#This Row],[Harga Asli A]])</f>
        <v>680000</v>
      </c>
      <c r="K294" s="36">
        <f>INDEX(Katalog!$F$3:$F$12,MATCH(cadangan3[[#This Row],[ItemID A]],Katalog!$C$3:$C$12,0))*cadangan3[[#This Row],[Qty A]]</f>
        <v>300000</v>
      </c>
      <c r="L294" s="36">
        <f>IFERROR(cadangan3[[#This Row],[Profit A]]-(cadangan3[[#This Row],[Profit A]]*cadangan3[[#This Row],[Diskon]]),K294)</f>
        <v>255000</v>
      </c>
      <c r="M294" t="s">
        <v>60</v>
      </c>
      <c r="N294" t="str">
        <f>IFERROR(INDEX(Katalog!$A$3:$A$12,MATCH(cadangan3[[#This Row],[ItemID B]],Katalog!$C$3:$C$12,0)),"-")</f>
        <v>Pakaian Wanita</v>
      </c>
      <c r="O294" t="str">
        <f>IFERROR(INDEX(Katalog!$B$3:$B$12,MATCH(cadangan3[[#This Row],[ItemID B]],Katalog!$C$3:$C$12,0)),"-")</f>
        <v>Kaftan</v>
      </c>
      <c r="P294">
        <v>2</v>
      </c>
      <c r="Q294">
        <v>1</v>
      </c>
      <c r="R294" s="36">
        <f>IFERROR(INDEX(Katalog!$D$3:$D$12,MATCH(cadangan3[[#This Row],[ItemID B]],Katalog!$C$3:$C$12,0))*cadangan3[[#This Row],[Qty B]],0)</f>
        <v>500000</v>
      </c>
      <c r="S294" s="36">
        <f>IFERROR(INDEX(Katalog!$D$3:$D$12,MATCH(cadangan3[[#This Row],[Item B]],Katalog!$B$3:$B$12,0))*cadangan3[[#This Row],[Qty B]],0)</f>
        <v>500000</v>
      </c>
      <c r="T294" s="36">
        <f>IFERROR(cadangan3[[#This Row],[Harga Asli B]]-(cadangan3[[#This Row],[Harga Asli B]]*cadangan3[[#This Row],[Diskon]]),cadangan3[[#This Row],[Harga Asli B]])</f>
        <v>425000</v>
      </c>
      <c r="U294" s="36">
        <f>IFERROR(INDEX(Katalog!$F$3:$F$12,MATCH(cadangan3[[#This Row],[ItemID B]],Katalog!$C$3:$C$12,0))*cadangan3[[#This Row],[Qty B]],0)</f>
        <v>200000</v>
      </c>
      <c r="V294" s="36">
        <f>IFERROR(cadangan3[[#This Row],[Profit B]]-(cadangan3[[#This Row],[Profit B]]*cadangan3[[#This Row],[Diskon]]),U294)</f>
        <v>170000</v>
      </c>
      <c r="W294" t="s">
        <v>59</v>
      </c>
      <c r="X294" t="str">
        <f>IFERROR(INDEX(Katalog!$A$3:$A$12,MATCH(cadangan3[[#This Row],[ItemID C]],Katalog!$C$3:$C$12,0)),"-")</f>
        <v>Pakaian Wanita</v>
      </c>
      <c r="Y294" t="str">
        <f>IFERROR(INDEX(Katalog!$B$3:$B$12,MATCH(cadangan3[[#This Row],[ItemID C]],Katalog!$C$3:$C$12,0)),"-")</f>
        <v>Blouse</v>
      </c>
      <c r="Z294">
        <v>3</v>
      </c>
      <c r="AA294">
        <v>2</v>
      </c>
      <c r="AB294" s="36">
        <f>IFERROR(INDEX(Katalog!$D$3:$D$12,MATCH(cadangan3[[#This Row],[ItemID C]],Katalog!$C$3:$C$12,0))*cadangan3[[#This Row],[Qty C]],0)</f>
        <v>450000</v>
      </c>
      <c r="AC294" s="36">
        <f>IFERROR(INDEX(Katalog!$D$3:$D$12,MATCH(cadangan3[[#This Row],[Item C]],Katalog!$B$3:$B$12,0))*cadangan3[[#This Row],[Qty C]],0)</f>
        <v>450000</v>
      </c>
      <c r="AD294" s="36">
        <f>IFERROR(cadangan3[[#This Row],[Harga Asli C]]-(cadangan3[[#This Row],[Harga Asli C]]*cadangan3[[#This Row],[Diskon]]),cadangan3[[#This Row],[Harga Asli C]])</f>
        <v>382500</v>
      </c>
      <c r="AE294" s="36">
        <f>IFERROR(INDEX(Katalog!$F$3:$F$12,MATCH(cadangan3[[#This Row],[ItemID C]],Katalog!$C$3:$C$12,0))*cadangan3[[#This Row],[Qty C]],0)</f>
        <v>150000</v>
      </c>
      <c r="AF294" s="36">
        <f>IFERROR(cadangan3[[#This Row],[Profit C]]-(cadangan3[[#This Row],[Profit C]]*cadangan3[[#This Row],[Diskon]]),cadangan3[[#This Row],[Profit C]])</f>
        <v>127500</v>
      </c>
      <c r="AG294" s="21">
        <f>cadangan3[[#This Row],[Qty A]]+cadangan3[[#This Row],[Qty B]]+cadangan3[[#This Row],[Qty C]]</f>
        <v>7</v>
      </c>
      <c r="AH294" s="35">
        <f>cadangan3[[#This Row],[Harga A + Diskon]]+cadangan3[[#This Row],[Harga + Diskon B]]+cadangan3[[#This Row],[Harga + Diskon C]]</f>
        <v>1487500</v>
      </c>
      <c r="AI294" s="35">
        <f>(cadangan3[[#This Row],[Profit A]]+cadangan3[[#This Row],[Profit B]]+cadangan3[[#This Row],[Profit C]])</f>
        <v>650000</v>
      </c>
      <c r="AJ294" s="35">
        <f>cadangan3[[#This Row],[Provit A + Diskon]]+cadangan3[[#This Row],[Provit B + Diskon]]+cadangan3[[#This Row],[Provit C + Diskon]]</f>
        <v>552500</v>
      </c>
      <c r="AK294" s="23" t="s">
        <v>13</v>
      </c>
      <c r="AL294" s="37">
        <f>IFERROR(INDEX('Kode Diskon'!$D$3:$D$9,MATCH(cadangan3[[#This Row],[Kode diskon]],'Kode Diskon'!$C$3:$C$9,0)),"-")</f>
        <v>0.15</v>
      </c>
      <c r="AM294" s="23" t="s">
        <v>29</v>
      </c>
      <c r="AN294" s="23" t="s">
        <v>7</v>
      </c>
      <c r="AO294" s="23" t="s">
        <v>79</v>
      </c>
      <c r="AP294" s="24">
        <v>45022</v>
      </c>
      <c r="AQ294" s="23" t="str">
        <f>TEXT(cadangan3[[#This Row],[Tanggal terjual]],"dddd")</f>
        <v>Thursday</v>
      </c>
    </row>
    <row r="295" spans="1:43" x14ac:dyDescent="0.2">
      <c r="A295" s="20">
        <v>294</v>
      </c>
      <c r="B295" s="21" t="str">
        <f>_xlfn.CONCAT("ORD-",INDEX(Helper!$B$2:$B$5,MATCH(cadangan3[[#This Row],[Marketplace]],Helper!$A$2:$A$5,0)),TEXT(cadangan3[[#This Row],[No]],"0000"),"-",TEXT(cadangan3[[#This Row],[Tanggal terjual]],"dd/mm/yy"))</f>
        <v>ORD-SP0294-17/04/23</v>
      </c>
      <c r="C295" t="s">
        <v>59</v>
      </c>
      <c r="D295" t="str">
        <f>IFERROR(INDEX(Katalog!$A$3:$A$12,MATCH(cadangan3[[#This Row],[ItemID A]],Katalog!$C$3:$C$12,0)),"-")</f>
        <v>Pakaian Wanita</v>
      </c>
      <c r="E295" t="str">
        <f>IFERROR(INDEX(Katalog!$B$3:$B$12,MATCH(cadangan3[[#This Row],[ItemID A]],Katalog!$C$3:$C$12,0)),"-")</f>
        <v>Blouse</v>
      </c>
      <c r="F295">
        <v>1</v>
      </c>
      <c r="G295">
        <v>2</v>
      </c>
      <c r="H295" s="36">
        <f>IFERROR(INDEX(Katalog!$D$3:$D$12,MATCH(cadangan3[[#This Row],[ItemID A]],Katalog!$C$3:$C$12,0))*cadangan3[[#This Row],[Qty A]],0)</f>
        <v>150000</v>
      </c>
      <c r="I295" s="36">
        <f>IFERROR(INDEX(Katalog!$D$3:$D$12,MATCH(cadangan3[[#This Row],[Item A]],Katalog!$B$3:$B$12,0))*cadangan3[[#This Row],[Qty A]],0)</f>
        <v>150000</v>
      </c>
      <c r="J295" s="36">
        <f>IFERROR(cadangan3[[#This Row],[Harga Asli A]]-(cadangan3[[#This Row],[Harga Asli A]]*cadangan3[[#This Row],[Diskon]]),cadangan3[[#This Row],[Harga Asli A]])</f>
        <v>120000</v>
      </c>
      <c r="K295" s="36">
        <f>INDEX(Katalog!$F$3:$F$12,MATCH(cadangan3[[#This Row],[ItemID A]],Katalog!$C$3:$C$12,0))*cadangan3[[#This Row],[Qty A]]</f>
        <v>50000</v>
      </c>
      <c r="L295" s="36">
        <f>IFERROR(cadangan3[[#This Row],[Profit A]]-(cadangan3[[#This Row],[Profit A]]*cadangan3[[#This Row],[Diskon]]),K295)</f>
        <v>40000</v>
      </c>
      <c r="M295" t="s">
        <v>60</v>
      </c>
      <c r="N295" t="str">
        <f>IFERROR(INDEX(Katalog!$A$3:$A$12,MATCH(cadangan3[[#This Row],[ItemID B]],Katalog!$C$3:$C$12,0)),"-")</f>
        <v>Pakaian Wanita</v>
      </c>
      <c r="O295" t="str">
        <f>IFERROR(INDEX(Katalog!$B$3:$B$12,MATCH(cadangan3[[#This Row],[ItemID B]],Katalog!$C$3:$C$12,0)),"-")</f>
        <v>Kaftan</v>
      </c>
      <c r="P295">
        <v>1</v>
      </c>
      <c r="Q295">
        <v>3</v>
      </c>
      <c r="R295" s="36">
        <f>IFERROR(INDEX(Katalog!$D$3:$D$12,MATCH(cadangan3[[#This Row],[ItemID B]],Katalog!$C$3:$C$12,0))*cadangan3[[#This Row],[Qty B]],0)</f>
        <v>250000</v>
      </c>
      <c r="S295" s="36">
        <f>IFERROR(INDEX(Katalog!$D$3:$D$12,MATCH(cadangan3[[#This Row],[Item B]],Katalog!$B$3:$B$12,0))*cadangan3[[#This Row],[Qty B]],0)</f>
        <v>250000</v>
      </c>
      <c r="T295" s="36">
        <f>IFERROR(cadangan3[[#This Row],[Harga Asli B]]-(cadangan3[[#This Row],[Harga Asli B]]*cadangan3[[#This Row],[Diskon]]),cadangan3[[#This Row],[Harga Asli B]])</f>
        <v>200000</v>
      </c>
      <c r="U295" s="36">
        <f>IFERROR(INDEX(Katalog!$F$3:$F$12,MATCH(cadangan3[[#This Row],[ItemID B]],Katalog!$C$3:$C$12,0))*cadangan3[[#This Row],[Qty B]],0)</f>
        <v>100000</v>
      </c>
      <c r="V295" s="36">
        <f>IFERROR(cadangan3[[#This Row],[Profit B]]-(cadangan3[[#This Row],[Profit B]]*cadangan3[[#This Row],[Diskon]]),U295)</f>
        <v>80000</v>
      </c>
      <c r="X295" t="str">
        <f>IFERROR(INDEX(Katalog!$A$3:$A$12,MATCH(cadangan3[[#This Row],[ItemID C]],Katalog!$C$3:$C$12,0)),"-")</f>
        <v>-</v>
      </c>
      <c r="Y295" t="str">
        <f>IFERROR(INDEX(Katalog!$B$3:$B$12,MATCH(cadangan3[[#This Row],[ItemID C]],Katalog!$C$3:$C$12,0)),"-")</f>
        <v>-</v>
      </c>
      <c r="AB295" s="36">
        <f>IFERROR(INDEX(Katalog!$D$3:$D$12,MATCH(cadangan3[[#This Row],[ItemID C]],Katalog!$C$3:$C$12,0))*cadangan3[[#This Row],[Qty C]],0)</f>
        <v>0</v>
      </c>
      <c r="AC295" s="36">
        <f>IFERROR(INDEX(Katalog!$D$3:$D$12,MATCH(cadangan3[[#This Row],[Item C]],Katalog!$B$3:$B$12,0))*cadangan3[[#This Row],[Qty C]],0)</f>
        <v>0</v>
      </c>
      <c r="AD295" s="36">
        <f>IFERROR(cadangan3[[#This Row],[Harga Asli C]]-(cadangan3[[#This Row],[Harga Asli C]]*cadangan3[[#This Row],[Diskon]]),cadangan3[[#This Row],[Harga Asli C]])</f>
        <v>0</v>
      </c>
      <c r="AE295" s="36">
        <f>IFERROR(INDEX(Katalog!$F$3:$F$12,MATCH(cadangan3[[#This Row],[ItemID C]],Katalog!$C$3:$C$12,0))*cadangan3[[#This Row],[Qty C]],0)</f>
        <v>0</v>
      </c>
      <c r="AF295" s="36">
        <f>IFERROR(cadangan3[[#This Row],[Profit C]]-(cadangan3[[#This Row],[Profit C]]*cadangan3[[#This Row],[Diskon]]),cadangan3[[#This Row],[Profit C]])</f>
        <v>0</v>
      </c>
      <c r="AG295" s="21">
        <f>cadangan3[[#This Row],[Qty A]]+cadangan3[[#This Row],[Qty B]]+cadangan3[[#This Row],[Qty C]]</f>
        <v>2</v>
      </c>
      <c r="AH295" s="35">
        <f>cadangan3[[#This Row],[Harga A + Diskon]]+cadangan3[[#This Row],[Harga + Diskon B]]+cadangan3[[#This Row],[Harga + Diskon C]]</f>
        <v>320000</v>
      </c>
      <c r="AI295" s="35">
        <f>(cadangan3[[#This Row],[Profit A]]+cadangan3[[#This Row],[Profit B]]+cadangan3[[#This Row],[Profit C]])</f>
        <v>150000</v>
      </c>
      <c r="AJ295" s="35">
        <f>cadangan3[[#This Row],[Provit A + Diskon]]+cadangan3[[#This Row],[Provit B + Diskon]]+cadangan3[[#This Row],[Provit C + Diskon]]</f>
        <v>120000</v>
      </c>
      <c r="AK295" s="23" t="s">
        <v>8</v>
      </c>
      <c r="AL295" s="37">
        <f>IFERROR(INDEX('Kode Diskon'!$D$3:$D$9,MATCH(cadangan3[[#This Row],[Kode diskon]],'Kode Diskon'!$C$3:$C$9,0)),"-")</f>
        <v>0.2</v>
      </c>
      <c r="AM295" s="23" t="s">
        <v>9</v>
      </c>
      <c r="AN295" s="23" t="s">
        <v>7</v>
      </c>
      <c r="AO295" s="23" t="s">
        <v>77</v>
      </c>
      <c r="AP295" s="24">
        <v>45033</v>
      </c>
      <c r="AQ295" s="23" t="str">
        <f>TEXT(cadangan3[[#This Row],[Tanggal terjual]],"dddd")</f>
        <v>Monday</v>
      </c>
    </row>
    <row r="296" spans="1:43" x14ac:dyDescent="0.2">
      <c r="A296" s="20">
        <v>295</v>
      </c>
      <c r="B296" s="21" t="str">
        <f>_xlfn.CONCAT("ORD-",INDEX(Helper!$B$2:$B$5,MATCH(cadangan3[[#This Row],[Marketplace]],Helper!$A$2:$A$5,0)),TEXT(cadangan3[[#This Row],[No]],"0000"),"-",TEXT(cadangan3[[#This Row],[Tanggal terjual]],"dd/mm/yy"))</f>
        <v>ORD-SP0295-05/04/23</v>
      </c>
      <c r="C296" t="s">
        <v>59</v>
      </c>
      <c r="D296" t="str">
        <f>IFERROR(INDEX(Katalog!$A$3:$A$12,MATCH(cadangan3[[#This Row],[ItemID A]],Katalog!$C$3:$C$12,0)),"-")</f>
        <v>Pakaian Wanita</v>
      </c>
      <c r="E296" t="str">
        <f>IFERROR(INDEX(Katalog!$B$3:$B$12,MATCH(cadangan3[[#This Row],[ItemID A]],Katalog!$C$3:$C$12,0)),"-")</f>
        <v>Blouse</v>
      </c>
      <c r="F296">
        <v>6</v>
      </c>
      <c r="G296">
        <v>4</v>
      </c>
      <c r="H296" s="36">
        <f>IFERROR(INDEX(Katalog!$D$3:$D$12,MATCH(cadangan3[[#This Row],[ItemID A]],Katalog!$C$3:$C$12,0))*cadangan3[[#This Row],[Qty A]],0)</f>
        <v>900000</v>
      </c>
      <c r="I296" s="36">
        <f>IFERROR(INDEX(Katalog!$D$3:$D$12,MATCH(cadangan3[[#This Row],[Item A]],Katalog!$B$3:$B$12,0))*cadangan3[[#This Row],[Qty A]],0)</f>
        <v>900000</v>
      </c>
      <c r="J296" s="36">
        <f>IFERROR(cadangan3[[#This Row],[Harga Asli A]]-(cadangan3[[#This Row],[Harga Asli A]]*cadangan3[[#This Row],[Diskon]]),cadangan3[[#This Row],[Harga Asli A]])</f>
        <v>810000</v>
      </c>
      <c r="K296" s="36">
        <f>INDEX(Katalog!$F$3:$F$12,MATCH(cadangan3[[#This Row],[ItemID A]],Katalog!$C$3:$C$12,0))*cadangan3[[#This Row],[Qty A]]</f>
        <v>300000</v>
      </c>
      <c r="L296" s="36">
        <f>IFERROR(cadangan3[[#This Row],[Profit A]]-(cadangan3[[#This Row],[Profit A]]*cadangan3[[#This Row],[Diskon]]),K296)</f>
        <v>270000</v>
      </c>
      <c r="N296" t="str">
        <f>IFERROR(INDEX(Katalog!$A$3:$A$12,MATCH(cadangan3[[#This Row],[ItemID B]],Katalog!$C$3:$C$12,0)),"-")</f>
        <v>-</v>
      </c>
      <c r="O296" t="str">
        <f>IFERROR(INDEX(Katalog!$B$3:$B$12,MATCH(cadangan3[[#This Row],[ItemID B]],Katalog!$C$3:$C$12,0)),"-")</f>
        <v>-</v>
      </c>
      <c r="R296" s="36">
        <f>IFERROR(INDEX(Katalog!$D$3:$D$12,MATCH(cadangan3[[#This Row],[ItemID B]],Katalog!$C$3:$C$12,0))*cadangan3[[#This Row],[Qty B]],0)</f>
        <v>0</v>
      </c>
      <c r="S296" s="36">
        <f>IFERROR(INDEX(Katalog!$D$3:$D$12,MATCH(cadangan3[[#This Row],[Item B]],Katalog!$B$3:$B$12,0))*cadangan3[[#This Row],[Qty B]],0)</f>
        <v>0</v>
      </c>
      <c r="T296" s="36">
        <f>IFERROR(cadangan3[[#This Row],[Harga Asli B]]-(cadangan3[[#This Row],[Harga Asli B]]*cadangan3[[#This Row],[Diskon]]),cadangan3[[#This Row],[Harga Asli B]])</f>
        <v>0</v>
      </c>
      <c r="U296" s="36">
        <f>IFERROR(INDEX(Katalog!$F$3:$F$12,MATCH(cadangan3[[#This Row],[ItemID B]],Katalog!$C$3:$C$12,0))*cadangan3[[#This Row],[Qty B]],0)</f>
        <v>0</v>
      </c>
      <c r="V296" s="36">
        <f>IFERROR(cadangan3[[#This Row],[Profit B]]-(cadangan3[[#This Row],[Profit B]]*cadangan3[[#This Row],[Diskon]]),U296)</f>
        <v>0</v>
      </c>
      <c r="X296" t="str">
        <f>IFERROR(INDEX(Katalog!$A$3:$A$12,MATCH(cadangan3[[#This Row],[ItemID C]],Katalog!$C$3:$C$12,0)),"-")</f>
        <v>-</v>
      </c>
      <c r="Y296" t="str">
        <f>IFERROR(INDEX(Katalog!$B$3:$B$12,MATCH(cadangan3[[#This Row],[ItemID C]],Katalog!$C$3:$C$12,0)),"-")</f>
        <v>-</v>
      </c>
      <c r="AB296" s="36">
        <f>IFERROR(INDEX(Katalog!$D$3:$D$12,MATCH(cadangan3[[#This Row],[ItemID C]],Katalog!$C$3:$C$12,0))*cadangan3[[#This Row],[Qty C]],0)</f>
        <v>0</v>
      </c>
      <c r="AC296" s="36">
        <f>IFERROR(INDEX(Katalog!$D$3:$D$12,MATCH(cadangan3[[#This Row],[Item C]],Katalog!$B$3:$B$12,0))*cadangan3[[#This Row],[Qty C]],0)</f>
        <v>0</v>
      </c>
      <c r="AD296" s="36">
        <f>IFERROR(cadangan3[[#This Row],[Harga Asli C]]-(cadangan3[[#This Row],[Harga Asli C]]*cadangan3[[#This Row],[Diskon]]),cadangan3[[#This Row],[Harga Asli C]])</f>
        <v>0</v>
      </c>
      <c r="AE296" s="36">
        <f>IFERROR(INDEX(Katalog!$F$3:$F$12,MATCH(cadangan3[[#This Row],[ItemID C]],Katalog!$C$3:$C$12,0))*cadangan3[[#This Row],[Qty C]],0)</f>
        <v>0</v>
      </c>
      <c r="AF296" s="36">
        <f>IFERROR(cadangan3[[#This Row],[Profit C]]-(cadangan3[[#This Row],[Profit C]]*cadangan3[[#This Row],[Diskon]]),cadangan3[[#This Row],[Profit C]])</f>
        <v>0</v>
      </c>
      <c r="AG296" s="21">
        <f>cadangan3[[#This Row],[Qty A]]+cadangan3[[#This Row],[Qty B]]+cadangan3[[#This Row],[Qty C]]</f>
        <v>6</v>
      </c>
      <c r="AH296" s="35">
        <f>cadangan3[[#This Row],[Harga A + Diskon]]+cadangan3[[#This Row],[Harga + Diskon B]]+cadangan3[[#This Row],[Harga + Diskon C]]</f>
        <v>810000</v>
      </c>
      <c r="AI296" s="35">
        <f>(cadangan3[[#This Row],[Profit A]]+cadangan3[[#This Row],[Profit B]]+cadangan3[[#This Row],[Profit C]])</f>
        <v>300000</v>
      </c>
      <c r="AJ296" s="35">
        <f>cadangan3[[#This Row],[Provit A + Diskon]]+cadangan3[[#This Row],[Provit B + Diskon]]+cadangan3[[#This Row],[Provit C + Diskon]]</f>
        <v>270000</v>
      </c>
      <c r="AK296" s="23" t="s">
        <v>6</v>
      </c>
      <c r="AL296" s="37">
        <f>IFERROR(INDEX('Kode Diskon'!$D$3:$D$9,MATCH(cadangan3[[#This Row],[Kode diskon]],'Kode Diskon'!$C$3:$C$9,0)),"-")</f>
        <v>0.1</v>
      </c>
      <c r="AM296" s="23" t="s">
        <v>29</v>
      </c>
      <c r="AN296" s="23" t="s">
        <v>7</v>
      </c>
      <c r="AO296" s="23" t="s">
        <v>75</v>
      </c>
      <c r="AP296" s="24">
        <v>45021</v>
      </c>
      <c r="AQ296" s="23" t="str">
        <f>TEXT(cadangan3[[#This Row],[Tanggal terjual]],"dddd")</f>
        <v>Wednesday</v>
      </c>
    </row>
    <row r="297" spans="1:43" x14ac:dyDescent="0.2">
      <c r="A297" s="20">
        <v>296</v>
      </c>
      <c r="B297" s="21" t="str">
        <f>_xlfn.CONCAT("ORD-",INDEX(Helper!$B$2:$B$5,MATCH(cadangan3[[#This Row],[Marketplace]],Helper!$A$2:$A$5,0)),TEXT(cadangan3[[#This Row],[No]],"0000"),"-",TEXT(cadangan3[[#This Row],[Tanggal terjual]],"dd/mm/yy"))</f>
        <v>ORD-BB0296-02/04/23</v>
      </c>
      <c r="C297" t="s">
        <v>62</v>
      </c>
      <c r="D297" t="str">
        <f>IFERROR(INDEX(Katalog!$A$3:$A$12,MATCH(cadangan3[[#This Row],[ItemID A]],Katalog!$C$3:$C$12,0)),"-")</f>
        <v>Pakaian Pria</v>
      </c>
      <c r="E297" t="str">
        <f>IFERROR(INDEX(Katalog!$B$3:$B$12,MATCH(cadangan3[[#This Row],[ItemID A]],Katalog!$C$3:$C$12,0)),"-")</f>
        <v>Celana Pendek</v>
      </c>
      <c r="F297">
        <v>3</v>
      </c>
      <c r="G297">
        <v>5</v>
      </c>
      <c r="H297" s="36">
        <f>IFERROR(INDEX(Katalog!$D$3:$D$12,MATCH(cadangan3[[#This Row],[ItemID A]],Katalog!$C$3:$C$12,0))*cadangan3[[#This Row],[Qty A]],0)</f>
        <v>540000</v>
      </c>
      <c r="I297" s="36">
        <f>IFERROR(INDEX(Katalog!$D$3:$D$12,MATCH(cadangan3[[#This Row],[Item A]],Katalog!$B$3:$B$12,0))*cadangan3[[#This Row],[Qty A]],0)</f>
        <v>540000</v>
      </c>
      <c r="J297" s="36">
        <f>IFERROR(cadangan3[[#This Row],[Harga Asli A]]-(cadangan3[[#This Row],[Harga Asli A]]*cadangan3[[#This Row],[Diskon]]),cadangan3[[#This Row],[Harga Asli A]])</f>
        <v>459000</v>
      </c>
      <c r="K297" s="36">
        <f>INDEX(Katalog!$F$3:$F$12,MATCH(cadangan3[[#This Row],[ItemID A]],Katalog!$C$3:$C$12,0))*cadangan3[[#This Row],[Qty A]]</f>
        <v>210000</v>
      </c>
      <c r="L297" s="36">
        <f>IFERROR(cadangan3[[#This Row],[Profit A]]-(cadangan3[[#This Row],[Profit A]]*cadangan3[[#This Row],[Diskon]]),K297)</f>
        <v>178500</v>
      </c>
      <c r="M297" t="s">
        <v>61</v>
      </c>
      <c r="N297" t="str">
        <f>IFERROR(INDEX(Katalog!$A$3:$A$12,MATCH(cadangan3[[#This Row],[ItemID B]],Katalog!$C$3:$C$12,0)),"-")</f>
        <v>Pakaian Pria</v>
      </c>
      <c r="O297" t="str">
        <f>IFERROR(INDEX(Katalog!$B$3:$B$12,MATCH(cadangan3[[#This Row],[ItemID B]],Katalog!$C$3:$C$12,0)),"-")</f>
        <v>Kaos Polo</v>
      </c>
      <c r="P297">
        <v>1</v>
      </c>
      <c r="Q297">
        <v>3</v>
      </c>
      <c r="R297" s="36">
        <f>IFERROR(INDEX(Katalog!$D$3:$D$12,MATCH(cadangan3[[#This Row],[ItemID B]],Katalog!$C$3:$C$12,0))*cadangan3[[#This Row],[Qty B]],0)</f>
        <v>200000</v>
      </c>
      <c r="S297" s="36">
        <f>IFERROR(INDEX(Katalog!$D$3:$D$12,MATCH(cadangan3[[#This Row],[Item B]],Katalog!$B$3:$B$12,0))*cadangan3[[#This Row],[Qty B]],0)</f>
        <v>200000</v>
      </c>
      <c r="T297" s="36">
        <f>IFERROR(cadangan3[[#This Row],[Harga Asli B]]-(cadangan3[[#This Row],[Harga Asli B]]*cadangan3[[#This Row],[Diskon]]),cadangan3[[#This Row],[Harga Asli B]])</f>
        <v>170000</v>
      </c>
      <c r="U297" s="36">
        <f>IFERROR(INDEX(Katalog!$F$3:$F$12,MATCH(cadangan3[[#This Row],[ItemID B]],Katalog!$C$3:$C$12,0))*cadangan3[[#This Row],[Qty B]],0)</f>
        <v>80000</v>
      </c>
      <c r="V297" s="36">
        <f>IFERROR(cadangan3[[#This Row],[Profit B]]-(cadangan3[[#This Row],[Profit B]]*cadangan3[[#This Row],[Diskon]]),U297)</f>
        <v>68000</v>
      </c>
      <c r="X297" t="str">
        <f>IFERROR(INDEX(Katalog!$A$3:$A$12,MATCH(cadangan3[[#This Row],[ItemID C]],Katalog!$C$3:$C$12,0)),"-")</f>
        <v>-</v>
      </c>
      <c r="Y297" t="str">
        <f>IFERROR(INDEX(Katalog!$B$3:$B$12,MATCH(cadangan3[[#This Row],[ItemID C]],Katalog!$C$3:$C$12,0)),"-")</f>
        <v>-</v>
      </c>
      <c r="AB297" s="36">
        <f>IFERROR(INDEX(Katalog!$D$3:$D$12,MATCH(cadangan3[[#This Row],[ItemID C]],Katalog!$C$3:$C$12,0))*cadangan3[[#This Row],[Qty C]],0)</f>
        <v>0</v>
      </c>
      <c r="AC297" s="36">
        <f>IFERROR(INDEX(Katalog!$D$3:$D$12,MATCH(cadangan3[[#This Row],[Item C]],Katalog!$B$3:$B$12,0))*cadangan3[[#This Row],[Qty C]],0)</f>
        <v>0</v>
      </c>
      <c r="AD297" s="36">
        <f>IFERROR(cadangan3[[#This Row],[Harga Asli C]]-(cadangan3[[#This Row],[Harga Asli C]]*cadangan3[[#This Row],[Diskon]]),cadangan3[[#This Row],[Harga Asli C]])</f>
        <v>0</v>
      </c>
      <c r="AE297" s="36">
        <f>IFERROR(INDEX(Katalog!$F$3:$F$12,MATCH(cadangan3[[#This Row],[ItemID C]],Katalog!$C$3:$C$12,0))*cadangan3[[#This Row],[Qty C]],0)</f>
        <v>0</v>
      </c>
      <c r="AF297" s="36">
        <f>IFERROR(cadangan3[[#This Row],[Profit C]]-(cadangan3[[#This Row],[Profit C]]*cadangan3[[#This Row],[Diskon]]),cadangan3[[#This Row],[Profit C]])</f>
        <v>0</v>
      </c>
      <c r="AG297" s="21">
        <f>cadangan3[[#This Row],[Qty A]]+cadangan3[[#This Row],[Qty B]]+cadangan3[[#This Row],[Qty C]]</f>
        <v>4</v>
      </c>
      <c r="AH297" s="35">
        <f>cadangan3[[#This Row],[Harga A + Diskon]]+cadangan3[[#This Row],[Harga + Diskon B]]+cadangan3[[#This Row],[Harga + Diskon C]]</f>
        <v>629000</v>
      </c>
      <c r="AI297" s="35">
        <f>(cadangan3[[#This Row],[Profit A]]+cadangan3[[#This Row],[Profit B]]+cadangan3[[#This Row],[Profit C]])</f>
        <v>290000</v>
      </c>
      <c r="AJ297" s="35">
        <f>cadangan3[[#This Row],[Provit A + Diskon]]+cadangan3[[#This Row],[Provit B + Diskon]]+cadangan3[[#This Row],[Provit C + Diskon]]</f>
        <v>246500</v>
      </c>
      <c r="AK297" s="23" t="s">
        <v>28</v>
      </c>
      <c r="AL297" s="37">
        <f>IFERROR(INDEX('Kode Diskon'!$D$3:$D$9,MATCH(cadangan3[[#This Row],[Kode diskon]],'Kode Diskon'!$C$3:$C$9,0)),"-")</f>
        <v>0.15</v>
      </c>
      <c r="AM297" s="23" t="s">
        <v>29</v>
      </c>
      <c r="AN297" s="23" t="s">
        <v>14</v>
      </c>
      <c r="AO297" s="23" t="s">
        <v>80</v>
      </c>
      <c r="AP297" s="24">
        <v>45018</v>
      </c>
      <c r="AQ297" s="23" t="str">
        <f>TEXT(cadangan3[[#This Row],[Tanggal terjual]],"dddd")</f>
        <v>Sunday</v>
      </c>
    </row>
    <row r="298" spans="1:43" x14ac:dyDescent="0.2">
      <c r="A298" s="20">
        <v>297</v>
      </c>
      <c r="B298" s="21" t="str">
        <f>_xlfn.CONCAT("ORD-",INDEX(Helper!$B$2:$B$5,MATCH(cadangan3[[#This Row],[Marketplace]],Helper!$A$2:$A$5,0)),TEXT(cadangan3[[#This Row],[No]],"0000"),"-",TEXT(cadangan3[[#This Row],[Tanggal terjual]],"dd/mm/yy"))</f>
        <v>ORD-BB0297-13/04/23</v>
      </c>
      <c r="C298" t="s">
        <v>63</v>
      </c>
      <c r="D298" t="str">
        <f>IFERROR(INDEX(Katalog!$A$3:$A$12,MATCH(cadangan3[[#This Row],[ItemID A]],Katalog!$C$3:$C$12,0)),"-")</f>
        <v>Pakaian Pria</v>
      </c>
      <c r="E298" t="str">
        <f>IFERROR(INDEX(Katalog!$B$3:$B$12,MATCH(cadangan3[[#This Row],[ItemID A]],Katalog!$C$3:$C$12,0)),"-")</f>
        <v>Jaket Jeans</v>
      </c>
      <c r="F298">
        <v>6</v>
      </c>
      <c r="G298">
        <v>5</v>
      </c>
      <c r="H298" s="36">
        <f>IFERROR(INDEX(Katalog!$D$3:$D$12,MATCH(cadangan3[[#This Row],[ItemID A]],Katalog!$C$3:$C$12,0))*cadangan3[[#This Row],[Qty A]],0)</f>
        <v>2400000</v>
      </c>
      <c r="I298" s="36">
        <f>IFERROR(INDEX(Katalog!$D$3:$D$12,MATCH(cadangan3[[#This Row],[Item A]],Katalog!$B$3:$B$12,0))*cadangan3[[#This Row],[Qty A]],0)</f>
        <v>2400000</v>
      </c>
      <c r="J298" s="36">
        <f>IFERROR(cadangan3[[#This Row],[Harga Asli A]]-(cadangan3[[#This Row],[Harga Asli A]]*cadangan3[[#This Row],[Diskon]]),cadangan3[[#This Row],[Harga Asli A]])</f>
        <v>2400000</v>
      </c>
      <c r="K298" s="36">
        <f>INDEX(Katalog!$F$3:$F$12,MATCH(cadangan3[[#This Row],[ItemID A]],Katalog!$C$3:$C$12,0))*cadangan3[[#This Row],[Qty A]]</f>
        <v>900000</v>
      </c>
      <c r="L298" s="36">
        <f>IFERROR(cadangan3[[#This Row],[Profit A]]-(cadangan3[[#This Row],[Profit A]]*cadangan3[[#This Row],[Diskon]]),K298)</f>
        <v>900000</v>
      </c>
      <c r="N298" t="str">
        <f>IFERROR(INDEX(Katalog!$A$3:$A$12,MATCH(cadangan3[[#This Row],[ItemID B]],Katalog!$C$3:$C$12,0)),"-")</f>
        <v>-</v>
      </c>
      <c r="O298" t="str">
        <f>IFERROR(INDEX(Katalog!$B$3:$B$12,MATCH(cadangan3[[#This Row],[ItemID B]],Katalog!$C$3:$C$12,0)),"-")</f>
        <v>-</v>
      </c>
      <c r="R298" s="36">
        <f>IFERROR(INDEX(Katalog!$D$3:$D$12,MATCH(cadangan3[[#This Row],[ItemID B]],Katalog!$C$3:$C$12,0))*cadangan3[[#This Row],[Qty B]],0)</f>
        <v>0</v>
      </c>
      <c r="S298" s="36">
        <f>IFERROR(INDEX(Katalog!$D$3:$D$12,MATCH(cadangan3[[#This Row],[Item B]],Katalog!$B$3:$B$12,0))*cadangan3[[#This Row],[Qty B]],0)</f>
        <v>0</v>
      </c>
      <c r="T298" s="36">
        <f>IFERROR(cadangan3[[#This Row],[Harga Asli B]]-(cadangan3[[#This Row],[Harga Asli B]]*cadangan3[[#This Row],[Diskon]]),cadangan3[[#This Row],[Harga Asli B]])</f>
        <v>0</v>
      </c>
      <c r="U298" s="36">
        <f>IFERROR(INDEX(Katalog!$F$3:$F$12,MATCH(cadangan3[[#This Row],[ItemID B]],Katalog!$C$3:$C$12,0))*cadangan3[[#This Row],[Qty B]],0)</f>
        <v>0</v>
      </c>
      <c r="V298" s="36">
        <f>IFERROR(cadangan3[[#This Row],[Profit B]]-(cadangan3[[#This Row],[Profit B]]*cadangan3[[#This Row],[Diskon]]),U298)</f>
        <v>0</v>
      </c>
      <c r="X298" t="str">
        <f>IFERROR(INDEX(Katalog!$A$3:$A$12,MATCH(cadangan3[[#This Row],[ItemID C]],Katalog!$C$3:$C$12,0)),"-")</f>
        <v>-</v>
      </c>
      <c r="Y298" t="str">
        <f>IFERROR(INDEX(Katalog!$B$3:$B$12,MATCH(cadangan3[[#This Row],[ItemID C]],Katalog!$C$3:$C$12,0)),"-")</f>
        <v>-</v>
      </c>
      <c r="AB298" s="36">
        <f>IFERROR(INDEX(Katalog!$D$3:$D$12,MATCH(cadangan3[[#This Row],[ItemID C]],Katalog!$C$3:$C$12,0))*cadangan3[[#This Row],[Qty C]],0)</f>
        <v>0</v>
      </c>
      <c r="AC298" s="36">
        <f>IFERROR(INDEX(Katalog!$D$3:$D$12,MATCH(cadangan3[[#This Row],[Item C]],Katalog!$B$3:$B$12,0))*cadangan3[[#This Row],[Qty C]],0)</f>
        <v>0</v>
      </c>
      <c r="AD298" s="36">
        <f>IFERROR(cadangan3[[#This Row],[Harga Asli C]]-(cadangan3[[#This Row],[Harga Asli C]]*cadangan3[[#This Row],[Diskon]]),cadangan3[[#This Row],[Harga Asli C]])</f>
        <v>0</v>
      </c>
      <c r="AE298" s="36">
        <f>IFERROR(INDEX(Katalog!$F$3:$F$12,MATCH(cadangan3[[#This Row],[ItemID C]],Katalog!$C$3:$C$12,0))*cadangan3[[#This Row],[Qty C]],0)</f>
        <v>0</v>
      </c>
      <c r="AF298" s="36">
        <f>IFERROR(cadangan3[[#This Row],[Profit C]]-(cadangan3[[#This Row],[Profit C]]*cadangan3[[#This Row],[Diskon]]),cadangan3[[#This Row],[Profit C]])</f>
        <v>0</v>
      </c>
      <c r="AG298" s="21">
        <f>cadangan3[[#This Row],[Qty A]]+cadangan3[[#This Row],[Qty B]]+cadangan3[[#This Row],[Qty C]]</f>
        <v>6</v>
      </c>
      <c r="AH298" s="35">
        <f>cadangan3[[#This Row],[Harga A + Diskon]]+cadangan3[[#This Row],[Harga + Diskon B]]+cadangan3[[#This Row],[Harga + Diskon C]]</f>
        <v>2400000</v>
      </c>
      <c r="AI298" s="35">
        <f>(cadangan3[[#This Row],[Profit A]]+cadangan3[[#This Row],[Profit B]]+cadangan3[[#This Row],[Profit C]])</f>
        <v>900000</v>
      </c>
      <c r="AJ298" s="35">
        <f>cadangan3[[#This Row],[Provit A + Diskon]]+cadangan3[[#This Row],[Provit B + Diskon]]+cadangan3[[#This Row],[Provit C + Diskon]]</f>
        <v>900000</v>
      </c>
      <c r="AK298" s="23" t="s">
        <v>11</v>
      </c>
      <c r="AL298" s="37" t="str">
        <f>IFERROR(INDEX('Kode Diskon'!$D$3:$D$9,MATCH(cadangan3[[#This Row],[Kode diskon]],'Kode Diskon'!$C$3:$C$9,0)),"-")</f>
        <v>-</v>
      </c>
      <c r="AM298" s="23" t="s">
        <v>11</v>
      </c>
      <c r="AN298" s="23" t="s">
        <v>14</v>
      </c>
      <c r="AO298" s="23" t="s">
        <v>80</v>
      </c>
      <c r="AP298" s="24">
        <v>45029</v>
      </c>
      <c r="AQ298" s="23" t="str">
        <f>TEXT(cadangan3[[#This Row],[Tanggal terjual]],"dddd")</f>
        <v>Thursday</v>
      </c>
    </row>
    <row r="299" spans="1:43" x14ac:dyDescent="0.2">
      <c r="A299" s="20">
        <v>298</v>
      </c>
      <c r="B299" s="21" t="str">
        <f>_xlfn.CONCAT("ORD-",INDEX(Helper!$B$2:$B$5,MATCH(cadangan3[[#This Row],[Marketplace]],Helper!$A$2:$A$5,0)),TEXT(cadangan3[[#This Row],[No]],"0000"),"-",TEXT(cadangan3[[#This Row],[Tanggal terjual]],"dd/mm/yy"))</f>
        <v>ORD-SP0298-02/04/23</v>
      </c>
      <c r="C299" t="s">
        <v>58</v>
      </c>
      <c r="D299" t="str">
        <f>IFERROR(INDEX(Katalog!$A$3:$A$12,MATCH(cadangan3[[#This Row],[ItemID A]],Katalog!$C$3:$C$12,0)),"-")</f>
        <v>Pakaian Wanita</v>
      </c>
      <c r="E299" t="str">
        <f>IFERROR(INDEX(Katalog!$B$3:$B$12,MATCH(cadangan3[[#This Row],[ItemID A]],Katalog!$C$3:$C$12,0)),"-")</f>
        <v>Dress</v>
      </c>
      <c r="F299">
        <v>4</v>
      </c>
      <c r="G299">
        <v>1</v>
      </c>
      <c r="H299" s="36">
        <f>IFERROR(INDEX(Katalog!$D$3:$D$12,MATCH(cadangan3[[#This Row],[ItemID A]],Katalog!$C$3:$C$12,0))*cadangan3[[#This Row],[Qty A]],0)</f>
        <v>1200000</v>
      </c>
      <c r="I299" s="36">
        <f>IFERROR(INDEX(Katalog!$D$3:$D$12,MATCH(cadangan3[[#This Row],[Item A]],Katalog!$B$3:$B$12,0))*cadangan3[[#This Row],[Qty A]],0)</f>
        <v>1200000</v>
      </c>
      <c r="J299" s="36">
        <f>IFERROR(cadangan3[[#This Row],[Harga Asli A]]-(cadangan3[[#This Row],[Harga Asli A]]*cadangan3[[#This Row],[Diskon]]),cadangan3[[#This Row],[Harga Asli A]])</f>
        <v>1080000</v>
      </c>
      <c r="K299" s="36">
        <f>INDEX(Katalog!$F$3:$F$12,MATCH(cadangan3[[#This Row],[ItemID A]],Katalog!$C$3:$C$12,0))*cadangan3[[#This Row],[Qty A]]</f>
        <v>400000</v>
      </c>
      <c r="L299" s="36">
        <f>IFERROR(cadangan3[[#This Row],[Profit A]]-(cadangan3[[#This Row],[Profit A]]*cadangan3[[#This Row],[Diskon]]),K299)</f>
        <v>360000</v>
      </c>
      <c r="M299" t="s">
        <v>61</v>
      </c>
      <c r="N299" t="str">
        <f>IFERROR(INDEX(Katalog!$A$3:$A$12,MATCH(cadangan3[[#This Row],[ItemID B]],Katalog!$C$3:$C$12,0)),"-")</f>
        <v>Pakaian Pria</v>
      </c>
      <c r="O299" t="str">
        <f>IFERROR(INDEX(Katalog!$B$3:$B$12,MATCH(cadangan3[[#This Row],[ItemID B]],Katalog!$C$3:$C$12,0)),"-")</f>
        <v>Kaos Polo</v>
      </c>
      <c r="P299">
        <v>3</v>
      </c>
      <c r="Q299">
        <v>4</v>
      </c>
      <c r="R299" s="36">
        <f>IFERROR(INDEX(Katalog!$D$3:$D$12,MATCH(cadangan3[[#This Row],[ItemID B]],Katalog!$C$3:$C$12,0))*cadangan3[[#This Row],[Qty B]],0)</f>
        <v>600000</v>
      </c>
      <c r="S299" s="36">
        <f>IFERROR(INDEX(Katalog!$D$3:$D$12,MATCH(cadangan3[[#This Row],[Item B]],Katalog!$B$3:$B$12,0))*cadangan3[[#This Row],[Qty B]],0)</f>
        <v>600000</v>
      </c>
      <c r="T299" s="36">
        <f>IFERROR(cadangan3[[#This Row],[Harga Asli B]]-(cadangan3[[#This Row],[Harga Asli B]]*cadangan3[[#This Row],[Diskon]]),cadangan3[[#This Row],[Harga Asli B]])</f>
        <v>540000</v>
      </c>
      <c r="U299" s="36">
        <f>IFERROR(INDEX(Katalog!$F$3:$F$12,MATCH(cadangan3[[#This Row],[ItemID B]],Katalog!$C$3:$C$12,0))*cadangan3[[#This Row],[Qty B]],0)</f>
        <v>240000</v>
      </c>
      <c r="V299" s="36">
        <f>IFERROR(cadangan3[[#This Row],[Profit B]]-(cadangan3[[#This Row],[Profit B]]*cadangan3[[#This Row],[Diskon]]),U299)</f>
        <v>216000</v>
      </c>
      <c r="X299" t="str">
        <f>IFERROR(INDEX(Katalog!$A$3:$A$12,MATCH(cadangan3[[#This Row],[ItemID C]],Katalog!$C$3:$C$12,0)),"-")</f>
        <v>-</v>
      </c>
      <c r="Y299" t="str">
        <f>IFERROR(INDEX(Katalog!$B$3:$B$12,MATCH(cadangan3[[#This Row],[ItemID C]],Katalog!$C$3:$C$12,0)),"-")</f>
        <v>-</v>
      </c>
      <c r="AB299" s="36">
        <f>IFERROR(INDEX(Katalog!$D$3:$D$12,MATCH(cadangan3[[#This Row],[ItemID C]],Katalog!$C$3:$C$12,0))*cadangan3[[#This Row],[Qty C]],0)</f>
        <v>0</v>
      </c>
      <c r="AC299" s="36">
        <f>IFERROR(INDEX(Katalog!$D$3:$D$12,MATCH(cadangan3[[#This Row],[Item C]],Katalog!$B$3:$B$12,0))*cadangan3[[#This Row],[Qty C]],0)</f>
        <v>0</v>
      </c>
      <c r="AD299" s="36">
        <f>IFERROR(cadangan3[[#This Row],[Harga Asli C]]-(cadangan3[[#This Row],[Harga Asli C]]*cadangan3[[#This Row],[Diskon]]),cadangan3[[#This Row],[Harga Asli C]])</f>
        <v>0</v>
      </c>
      <c r="AE299" s="36">
        <f>IFERROR(INDEX(Katalog!$F$3:$F$12,MATCH(cadangan3[[#This Row],[ItemID C]],Katalog!$C$3:$C$12,0))*cadangan3[[#This Row],[Qty C]],0)</f>
        <v>0</v>
      </c>
      <c r="AF299" s="36">
        <f>IFERROR(cadangan3[[#This Row],[Profit C]]-(cadangan3[[#This Row],[Profit C]]*cadangan3[[#This Row],[Diskon]]),cadangan3[[#This Row],[Profit C]])</f>
        <v>0</v>
      </c>
      <c r="AG299" s="21">
        <f>cadangan3[[#This Row],[Qty A]]+cadangan3[[#This Row],[Qty B]]+cadangan3[[#This Row],[Qty C]]</f>
        <v>7</v>
      </c>
      <c r="AH299" s="35">
        <f>cadangan3[[#This Row],[Harga A + Diskon]]+cadangan3[[#This Row],[Harga + Diskon B]]+cadangan3[[#This Row],[Harga + Diskon C]]</f>
        <v>1620000</v>
      </c>
      <c r="AI299" s="35">
        <f>(cadangan3[[#This Row],[Profit A]]+cadangan3[[#This Row],[Profit B]]+cadangan3[[#This Row],[Profit C]])</f>
        <v>640000</v>
      </c>
      <c r="AJ299" s="35">
        <f>cadangan3[[#This Row],[Provit A + Diskon]]+cadangan3[[#This Row],[Provit B + Diskon]]+cadangan3[[#This Row],[Provit C + Diskon]]</f>
        <v>576000</v>
      </c>
      <c r="AK299" s="23" t="s">
        <v>6</v>
      </c>
      <c r="AL299" s="37">
        <f>IFERROR(INDEX('Kode Diskon'!$D$3:$D$9,MATCH(cadangan3[[#This Row],[Kode diskon]],'Kode Diskon'!$C$3:$C$9,0)),"-")</f>
        <v>0.1</v>
      </c>
      <c r="AM299" s="23" t="s">
        <v>29</v>
      </c>
      <c r="AN299" s="23" t="s">
        <v>7</v>
      </c>
      <c r="AO299" s="23" t="s">
        <v>75</v>
      </c>
      <c r="AP299" s="24">
        <v>45018</v>
      </c>
      <c r="AQ299" s="23" t="str">
        <f>TEXT(cadangan3[[#This Row],[Tanggal terjual]],"dddd")</f>
        <v>Sunday</v>
      </c>
    </row>
    <row r="300" spans="1:43" x14ac:dyDescent="0.2">
      <c r="A300" s="20">
        <v>299</v>
      </c>
      <c r="B300" s="21" t="str">
        <f>_xlfn.CONCAT("ORD-",INDEX(Helper!$B$2:$B$5,MATCH(cadangan3[[#This Row],[Marketplace]],Helper!$A$2:$A$5,0)),TEXT(cadangan3[[#This Row],[No]],"0000"),"-",TEXT(cadangan3[[#This Row],[Tanggal terjual]],"dd/mm/yy"))</f>
        <v>ORD-TK0299-21/04/23</v>
      </c>
      <c r="C300" t="s">
        <v>59</v>
      </c>
      <c r="D300" t="str">
        <f>IFERROR(INDEX(Katalog!$A$3:$A$12,MATCH(cadangan3[[#This Row],[ItemID A]],Katalog!$C$3:$C$12,0)),"-")</f>
        <v>Pakaian Wanita</v>
      </c>
      <c r="E300" t="str">
        <f>IFERROR(INDEX(Katalog!$B$3:$B$12,MATCH(cadangan3[[#This Row],[ItemID A]],Katalog!$C$3:$C$12,0)),"-")</f>
        <v>Blouse</v>
      </c>
      <c r="F300">
        <v>2</v>
      </c>
      <c r="G300">
        <v>4</v>
      </c>
      <c r="H300" s="36">
        <f>IFERROR(INDEX(Katalog!$D$3:$D$12,MATCH(cadangan3[[#This Row],[ItemID A]],Katalog!$C$3:$C$12,0))*cadangan3[[#This Row],[Qty A]],0)</f>
        <v>300000</v>
      </c>
      <c r="I300" s="36">
        <f>IFERROR(INDEX(Katalog!$D$3:$D$12,MATCH(cadangan3[[#This Row],[Item A]],Katalog!$B$3:$B$12,0))*cadangan3[[#This Row],[Qty A]],0)</f>
        <v>300000</v>
      </c>
      <c r="J300" s="36">
        <f>IFERROR(cadangan3[[#This Row],[Harga Asli A]]-(cadangan3[[#This Row],[Harga Asli A]]*cadangan3[[#This Row],[Diskon]]),cadangan3[[#This Row],[Harga Asli A]])</f>
        <v>270000</v>
      </c>
      <c r="K300" s="36">
        <f>INDEX(Katalog!$F$3:$F$12,MATCH(cadangan3[[#This Row],[ItemID A]],Katalog!$C$3:$C$12,0))*cadangan3[[#This Row],[Qty A]]</f>
        <v>100000</v>
      </c>
      <c r="L300" s="36">
        <f>IFERROR(cadangan3[[#This Row],[Profit A]]-(cadangan3[[#This Row],[Profit A]]*cadangan3[[#This Row],[Diskon]]),K300)</f>
        <v>90000</v>
      </c>
      <c r="M300" t="s">
        <v>61</v>
      </c>
      <c r="N300" t="str">
        <f>IFERROR(INDEX(Katalog!$A$3:$A$12,MATCH(cadangan3[[#This Row],[ItemID B]],Katalog!$C$3:$C$12,0)),"-")</f>
        <v>Pakaian Pria</v>
      </c>
      <c r="O300" t="str">
        <f>IFERROR(INDEX(Katalog!$B$3:$B$12,MATCH(cadangan3[[#This Row],[ItemID B]],Katalog!$C$3:$C$12,0)),"-")</f>
        <v>Kaos Polo</v>
      </c>
      <c r="P300">
        <v>4</v>
      </c>
      <c r="Q300">
        <v>3</v>
      </c>
      <c r="R300" s="36">
        <f>IFERROR(INDEX(Katalog!$D$3:$D$12,MATCH(cadangan3[[#This Row],[ItemID B]],Katalog!$C$3:$C$12,0))*cadangan3[[#This Row],[Qty B]],0)</f>
        <v>800000</v>
      </c>
      <c r="S300" s="36">
        <f>IFERROR(INDEX(Katalog!$D$3:$D$12,MATCH(cadangan3[[#This Row],[Item B]],Katalog!$B$3:$B$12,0))*cadangan3[[#This Row],[Qty B]],0)</f>
        <v>800000</v>
      </c>
      <c r="T300" s="36">
        <f>IFERROR(cadangan3[[#This Row],[Harga Asli B]]-(cadangan3[[#This Row],[Harga Asli B]]*cadangan3[[#This Row],[Diskon]]),cadangan3[[#This Row],[Harga Asli B]])</f>
        <v>720000</v>
      </c>
      <c r="U300" s="36">
        <f>IFERROR(INDEX(Katalog!$F$3:$F$12,MATCH(cadangan3[[#This Row],[ItemID B]],Katalog!$C$3:$C$12,0))*cadangan3[[#This Row],[Qty B]],0)</f>
        <v>320000</v>
      </c>
      <c r="V300" s="36">
        <f>IFERROR(cadangan3[[#This Row],[Profit B]]-(cadangan3[[#This Row],[Profit B]]*cadangan3[[#This Row],[Diskon]]),U300)</f>
        <v>288000</v>
      </c>
      <c r="X300" t="str">
        <f>IFERROR(INDEX(Katalog!$A$3:$A$12,MATCH(cadangan3[[#This Row],[ItemID C]],Katalog!$C$3:$C$12,0)),"-")</f>
        <v>-</v>
      </c>
      <c r="Y300" t="str">
        <f>IFERROR(INDEX(Katalog!$B$3:$B$12,MATCH(cadangan3[[#This Row],[ItemID C]],Katalog!$C$3:$C$12,0)),"-")</f>
        <v>-</v>
      </c>
      <c r="AB300" s="36">
        <f>IFERROR(INDEX(Katalog!$D$3:$D$12,MATCH(cadangan3[[#This Row],[ItemID C]],Katalog!$C$3:$C$12,0))*cadangan3[[#This Row],[Qty C]],0)</f>
        <v>0</v>
      </c>
      <c r="AC300" s="36">
        <f>IFERROR(INDEX(Katalog!$D$3:$D$12,MATCH(cadangan3[[#This Row],[Item C]],Katalog!$B$3:$B$12,0))*cadangan3[[#This Row],[Qty C]],0)</f>
        <v>0</v>
      </c>
      <c r="AD300" s="36">
        <f>IFERROR(cadangan3[[#This Row],[Harga Asli C]]-(cadangan3[[#This Row],[Harga Asli C]]*cadangan3[[#This Row],[Diskon]]),cadangan3[[#This Row],[Harga Asli C]])</f>
        <v>0</v>
      </c>
      <c r="AE300" s="36">
        <f>IFERROR(INDEX(Katalog!$F$3:$F$12,MATCH(cadangan3[[#This Row],[ItemID C]],Katalog!$C$3:$C$12,0))*cadangan3[[#This Row],[Qty C]],0)</f>
        <v>0</v>
      </c>
      <c r="AF300" s="36">
        <f>IFERROR(cadangan3[[#This Row],[Profit C]]-(cadangan3[[#This Row],[Profit C]]*cadangan3[[#This Row],[Diskon]]),cadangan3[[#This Row],[Profit C]])</f>
        <v>0</v>
      </c>
      <c r="AG300" s="21">
        <f>cadangan3[[#This Row],[Qty A]]+cadangan3[[#This Row],[Qty B]]+cadangan3[[#This Row],[Qty C]]</f>
        <v>6</v>
      </c>
      <c r="AH300" s="35">
        <f>cadangan3[[#This Row],[Harga A + Diskon]]+cadangan3[[#This Row],[Harga + Diskon B]]+cadangan3[[#This Row],[Harga + Diskon C]]</f>
        <v>990000</v>
      </c>
      <c r="AI300" s="35">
        <f>(cadangan3[[#This Row],[Profit A]]+cadangan3[[#This Row],[Profit B]]+cadangan3[[#This Row],[Profit C]])</f>
        <v>420000</v>
      </c>
      <c r="AJ300" s="35">
        <f>cadangan3[[#This Row],[Provit A + Diskon]]+cadangan3[[#This Row],[Provit B + Diskon]]+cadangan3[[#This Row],[Provit C + Diskon]]</f>
        <v>378000</v>
      </c>
      <c r="AK300" s="23" t="s">
        <v>31</v>
      </c>
      <c r="AL300" s="37">
        <f>IFERROR(INDEX('Kode Diskon'!$D$3:$D$9,MATCH(cadangan3[[#This Row],[Kode diskon]],'Kode Diskon'!$C$3:$C$9,0)),"-")</f>
        <v>0.1</v>
      </c>
      <c r="AM300" s="23" t="s">
        <v>9</v>
      </c>
      <c r="AN300" s="23" t="s">
        <v>10</v>
      </c>
      <c r="AO300" s="23" t="s">
        <v>79</v>
      </c>
      <c r="AP300" s="24">
        <v>45037</v>
      </c>
      <c r="AQ300" s="23" t="str">
        <f>TEXT(cadangan3[[#This Row],[Tanggal terjual]],"dddd")</f>
        <v>Friday</v>
      </c>
    </row>
    <row r="301" spans="1:43" x14ac:dyDescent="0.2">
      <c r="A301" s="20">
        <v>300</v>
      </c>
      <c r="B301" s="21" t="str">
        <f>_xlfn.CONCAT("ORD-",INDEX(Helper!$B$2:$B$5,MATCH(cadangan3[[#This Row],[Marketplace]],Helper!$A$2:$A$5,0)),TEXT(cadangan3[[#This Row],[No]],"0000"),"-",TEXT(cadangan3[[#This Row],[Tanggal terjual]],"dd/mm/yy"))</f>
        <v>ORD-SP0300-04/04/23</v>
      </c>
      <c r="C301" t="s">
        <v>58</v>
      </c>
      <c r="D301" t="str">
        <f>IFERROR(INDEX(Katalog!$A$3:$A$12,MATCH(cadangan3[[#This Row],[ItemID A]],Katalog!$C$3:$C$12,0)),"-")</f>
        <v>Pakaian Wanita</v>
      </c>
      <c r="E301" t="str">
        <f>IFERROR(INDEX(Katalog!$B$3:$B$12,MATCH(cadangan3[[#This Row],[ItemID A]],Katalog!$C$3:$C$12,0)),"-")</f>
        <v>Dress</v>
      </c>
      <c r="F301">
        <v>1</v>
      </c>
      <c r="G301">
        <v>3</v>
      </c>
      <c r="H301" s="36">
        <f>IFERROR(INDEX(Katalog!$D$3:$D$12,MATCH(cadangan3[[#This Row],[ItemID A]],Katalog!$C$3:$C$12,0))*cadangan3[[#This Row],[Qty A]],0)</f>
        <v>300000</v>
      </c>
      <c r="I301" s="36">
        <f>IFERROR(INDEX(Katalog!$D$3:$D$12,MATCH(cadangan3[[#This Row],[Item A]],Katalog!$B$3:$B$12,0))*cadangan3[[#This Row],[Qty A]],0)</f>
        <v>300000</v>
      </c>
      <c r="J301" s="36">
        <f>IFERROR(cadangan3[[#This Row],[Harga Asli A]]-(cadangan3[[#This Row],[Harga Asli A]]*cadangan3[[#This Row],[Diskon]]),cadangan3[[#This Row],[Harga Asli A]])</f>
        <v>255000</v>
      </c>
      <c r="K301" s="36">
        <f>INDEX(Katalog!$F$3:$F$12,MATCH(cadangan3[[#This Row],[ItemID A]],Katalog!$C$3:$C$12,0))*cadangan3[[#This Row],[Qty A]]</f>
        <v>100000</v>
      </c>
      <c r="L301" s="36">
        <f>IFERROR(cadangan3[[#This Row],[Profit A]]-(cadangan3[[#This Row],[Profit A]]*cadangan3[[#This Row],[Diskon]]),K301)</f>
        <v>85000</v>
      </c>
      <c r="M301" t="s">
        <v>66</v>
      </c>
      <c r="N301" t="str">
        <f>IFERROR(INDEX(Katalog!$A$3:$A$12,MATCH(cadangan3[[#This Row],[ItemID B]],Katalog!$C$3:$C$12,0)),"-")</f>
        <v>Sepatu Pria</v>
      </c>
      <c r="O301" t="str">
        <f>IFERROR(INDEX(Katalog!$B$3:$B$12,MATCH(cadangan3[[#This Row],[ItemID B]],Katalog!$C$3:$C$12,0)),"-")</f>
        <v>Sandal Slip On</v>
      </c>
      <c r="P301">
        <v>2</v>
      </c>
      <c r="Q301">
        <v>4</v>
      </c>
      <c r="R301" s="36">
        <f>IFERROR(INDEX(Katalog!$D$3:$D$12,MATCH(cadangan3[[#This Row],[ItemID B]],Katalog!$C$3:$C$12,0))*cadangan3[[#This Row],[Qty B]],0)</f>
        <v>300000</v>
      </c>
      <c r="S301" s="36">
        <f>IFERROR(INDEX(Katalog!$D$3:$D$12,MATCH(cadangan3[[#This Row],[Item B]],Katalog!$B$3:$B$12,0))*cadangan3[[#This Row],[Qty B]],0)</f>
        <v>300000</v>
      </c>
      <c r="T301" s="36">
        <f>IFERROR(cadangan3[[#This Row],[Harga Asli B]]-(cadangan3[[#This Row],[Harga Asli B]]*cadangan3[[#This Row],[Diskon]]),cadangan3[[#This Row],[Harga Asli B]])</f>
        <v>255000</v>
      </c>
      <c r="U301" s="36">
        <f>IFERROR(INDEX(Katalog!$F$3:$F$12,MATCH(cadangan3[[#This Row],[ItemID B]],Katalog!$C$3:$C$12,0))*cadangan3[[#This Row],[Qty B]],0)</f>
        <v>120000</v>
      </c>
      <c r="V301" s="36">
        <f>IFERROR(cadangan3[[#This Row],[Profit B]]-(cadangan3[[#This Row],[Profit B]]*cadangan3[[#This Row],[Diskon]]),U301)</f>
        <v>102000</v>
      </c>
      <c r="W301" t="s">
        <v>62</v>
      </c>
      <c r="X301" t="str">
        <f>IFERROR(INDEX(Katalog!$A$3:$A$12,MATCH(cadangan3[[#This Row],[ItemID C]],Katalog!$C$3:$C$12,0)),"-")</f>
        <v>Pakaian Pria</v>
      </c>
      <c r="Y301" t="str">
        <f>IFERROR(INDEX(Katalog!$B$3:$B$12,MATCH(cadangan3[[#This Row],[ItemID C]],Katalog!$C$3:$C$12,0)),"-")</f>
        <v>Celana Pendek</v>
      </c>
      <c r="Z301">
        <v>1</v>
      </c>
      <c r="AA301">
        <v>4</v>
      </c>
      <c r="AB301" s="36">
        <f>IFERROR(INDEX(Katalog!$D$3:$D$12,MATCH(cadangan3[[#This Row],[ItemID C]],Katalog!$C$3:$C$12,0))*cadangan3[[#This Row],[Qty C]],0)</f>
        <v>180000</v>
      </c>
      <c r="AC301" s="36">
        <f>IFERROR(INDEX(Katalog!$D$3:$D$12,MATCH(cadangan3[[#This Row],[Item C]],Katalog!$B$3:$B$12,0))*cadangan3[[#This Row],[Qty C]],0)</f>
        <v>180000</v>
      </c>
      <c r="AD301" s="36">
        <f>IFERROR(cadangan3[[#This Row],[Harga Asli C]]-(cadangan3[[#This Row],[Harga Asli C]]*cadangan3[[#This Row],[Diskon]]),cadangan3[[#This Row],[Harga Asli C]])</f>
        <v>153000</v>
      </c>
      <c r="AE301" s="36">
        <f>IFERROR(INDEX(Katalog!$F$3:$F$12,MATCH(cadangan3[[#This Row],[ItemID C]],Katalog!$C$3:$C$12,0))*cadangan3[[#This Row],[Qty C]],0)</f>
        <v>70000</v>
      </c>
      <c r="AF301" s="36">
        <f>IFERROR(cadangan3[[#This Row],[Profit C]]-(cadangan3[[#This Row],[Profit C]]*cadangan3[[#This Row],[Diskon]]),cadangan3[[#This Row],[Profit C]])</f>
        <v>59500</v>
      </c>
      <c r="AG301" s="21">
        <f>cadangan3[[#This Row],[Qty A]]+cadangan3[[#This Row],[Qty B]]+cadangan3[[#This Row],[Qty C]]</f>
        <v>4</v>
      </c>
      <c r="AH301" s="35">
        <f>cadangan3[[#This Row],[Harga A + Diskon]]+cadangan3[[#This Row],[Harga + Diskon B]]+cadangan3[[#This Row],[Harga + Diskon C]]</f>
        <v>663000</v>
      </c>
      <c r="AI301" s="35">
        <f>(cadangan3[[#This Row],[Profit A]]+cadangan3[[#This Row],[Profit B]]+cadangan3[[#This Row],[Profit C]])</f>
        <v>290000</v>
      </c>
      <c r="AJ301" s="35">
        <f>cadangan3[[#This Row],[Provit A + Diskon]]+cadangan3[[#This Row],[Provit B + Diskon]]+cadangan3[[#This Row],[Provit C + Diskon]]</f>
        <v>246500</v>
      </c>
      <c r="AK301" s="23" t="s">
        <v>13</v>
      </c>
      <c r="AL301" s="37">
        <f>IFERROR(INDEX('Kode Diskon'!$D$3:$D$9,MATCH(cadangan3[[#This Row],[Kode diskon]],'Kode Diskon'!$C$3:$C$9,0)),"-")</f>
        <v>0.15</v>
      </c>
      <c r="AM301" s="23" t="s">
        <v>29</v>
      </c>
      <c r="AN301" s="23" t="s">
        <v>7</v>
      </c>
      <c r="AO301" s="23" t="s">
        <v>80</v>
      </c>
      <c r="AP301" s="24">
        <v>45020</v>
      </c>
      <c r="AQ301" s="23" t="str">
        <f>TEXT(cadangan3[[#This Row],[Tanggal terjual]],"dddd")</f>
        <v>Tuesday</v>
      </c>
    </row>
    <row r="302" spans="1:43" x14ac:dyDescent="0.2">
      <c r="A302" s="20">
        <v>301</v>
      </c>
      <c r="B302" s="21" t="str">
        <f>_xlfn.CONCAT("ORD-",INDEX(Helper!$B$2:$B$5,MATCH(cadangan3[[#This Row],[Marketplace]],Helper!$A$2:$A$5,0)),TEXT(cadangan3[[#This Row],[No]],"0000"),"-",TEXT(cadangan3[[#This Row],[Tanggal terjual]],"dd/mm/yy"))</f>
        <v>ORD-SP0301-04/04/23</v>
      </c>
      <c r="C302" t="s">
        <v>63</v>
      </c>
      <c r="D302" t="str">
        <f>IFERROR(INDEX(Katalog!$A$3:$A$12,MATCH(cadangan3[[#This Row],[ItemID A]],Katalog!$C$3:$C$12,0)),"-")</f>
        <v>Pakaian Pria</v>
      </c>
      <c r="E302" t="str">
        <f>IFERROR(INDEX(Katalog!$B$3:$B$12,MATCH(cadangan3[[#This Row],[ItemID A]],Katalog!$C$3:$C$12,0)),"-")</f>
        <v>Jaket Jeans</v>
      </c>
      <c r="F302">
        <v>3</v>
      </c>
      <c r="G302">
        <v>4</v>
      </c>
      <c r="H302" s="36">
        <f>IFERROR(INDEX(Katalog!$D$3:$D$12,MATCH(cadangan3[[#This Row],[ItemID A]],Katalog!$C$3:$C$12,0))*cadangan3[[#This Row],[Qty A]],0)</f>
        <v>1200000</v>
      </c>
      <c r="I302" s="36">
        <f>IFERROR(INDEX(Katalog!$D$3:$D$12,MATCH(cadangan3[[#This Row],[Item A]],Katalog!$B$3:$B$12,0))*cadangan3[[#This Row],[Qty A]],0)</f>
        <v>1200000</v>
      </c>
      <c r="J302" s="36">
        <f>IFERROR(cadangan3[[#This Row],[Harga Asli A]]-(cadangan3[[#This Row],[Harga Asli A]]*cadangan3[[#This Row],[Diskon]]),cadangan3[[#This Row],[Harga Asli A]])</f>
        <v>1080000</v>
      </c>
      <c r="K302" s="36">
        <f>INDEX(Katalog!$F$3:$F$12,MATCH(cadangan3[[#This Row],[ItemID A]],Katalog!$C$3:$C$12,0))*cadangan3[[#This Row],[Qty A]]</f>
        <v>450000</v>
      </c>
      <c r="L302" s="36">
        <f>IFERROR(cadangan3[[#This Row],[Profit A]]-(cadangan3[[#This Row],[Profit A]]*cadangan3[[#This Row],[Diskon]]),K302)</f>
        <v>405000</v>
      </c>
      <c r="M302" t="s">
        <v>62</v>
      </c>
      <c r="N302" t="str">
        <f>IFERROR(INDEX(Katalog!$A$3:$A$12,MATCH(cadangan3[[#This Row],[ItemID B]],Katalog!$C$3:$C$12,0)),"-")</f>
        <v>Pakaian Pria</v>
      </c>
      <c r="O302" t="str">
        <f>IFERROR(INDEX(Katalog!$B$3:$B$12,MATCH(cadangan3[[#This Row],[ItemID B]],Katalog!$C$3:$C$12,0)),"-")</f>
        <v>Celana Pendek</v>
      </c>
      <c r="P302">
        <v>4</v>
      </c>
      <c r="Q302">
        <v>4</v>
      </c>
      <c r="R302" s="36">
        <f>IFERROR(INDEX(Katalog!$D$3:$D$12,MATCH(cadangan3[[#This Row],[ItemID B]],Katalog!$C$3:$C$12,0))*cadangan3[[#This Row],[Qty B]],0)</f>
        <v>720000</v>
      </c>
      <c r="S302" s="36">
        <f>IFERROR(INDEX(Katalog!$D$3:$D$12,MATCH(cadangan3[[#This Row],[Item B]],Katalog!$B$3:$B$12,0))*cadangan3[[#This Row],[Qty B]],0)</f>
        <v>720000</v>
      </c>
      <c r="T302" s="36">
        <f>IFERROR(cadangan3[[#This Row],[Harga Asli B]]-(cadangan3[[#This Row],[Harga Asli B]]*cadangan3[[#This Row],[Diskon]]),cadangan3[[#This Row],[Harga Asli B]])</f>
        <v>648000</v>
      </c>
      <c r="U302" s="36">
        <f>IFERROR(INDEX(Katalog!$F$3:$F$12,MATCH(cadangan3[[#This Row],[ItemID B]],Katalog!$C$3:$C$12,0))*cadangan3[[#This Row],[Qty B]],0)</f>
        <v>280000</v>
      </c>
      <c r="V302" s="36">
        <f>IFERROR(cadangan3[[#This Row],[Profit B]]-(cadangan3[[#This Row],[Profit B]]*cadangan3[[#This Row],[Diskon]]),U302)</f>
        <v>252000</v>
      </c>
      <c r="X302" t="str">
        <f>IFERROR(INDEX(Katalog!$A$3:$A$12,MATCH(cadangan3[[#This Row],[ItemID C]],Katalog!$C$3:$C$12,0)),"-")</f>
        <v>-</v>
      </c>
      <c r="Y302" t="str">
        <f>IFERROR(INDEX(Katalog!$B$3:$B$12,MATCH(cadangan3[[#This Row],[ItemID C]],Katalog!$C$3:$C$12,0)),"-")</f>
        <v>-</v>
      </c>
      <c r="AB302" s="36">
        <f>IFERROR(INDEX(Katalog!$D$3:$D$12,MATCH(cadangan3[[#This Row],[ItemID C]],Katalog!$C$3:$C$12,0))*cadangan3[[#This Row],[Qty C]],0)</f>
        <v>0</v>
      </c>
      <c r="AC302" s="36">
        <f>IFERROR(INDEX(Katalog!$D$3:$D$12,MATCH(cadangan3[[#This Row],[Item C]],Katalog!$B$3:$B$12,0))*cadangan3[[#This Row],[Qty C]],0)</f>
        <v>0</v>
      </c>
      <c r="AD302" s="36">
        <f>IFERROR(cadangan3[[#This Row],[Harga Asli C]]-(cadangan3[[#This Row],[Harga Asli C]]*cadangan3[[#This Row],[Diskon]]),cadangan3[[#This Row],[Harga Asli C]])</f>
        <v>0</v>
      </c>
      <c r="AE302" s="36">
        <f>IFERROR(INDEX(Katalog!$F$3:$F$12,MATCH(cadangan3[[#This Row],[ItemID C]],Katalog!$C$3:$C$12,0))*cadangan3[[#This Row],[Qty C]],0)</f>
        <v>0</v>
      </c>
      <c r="AF302" s="36">
        <f>IFERROR(cadangan3[[#This Row],[Profit C]]-(cadangan3[[#This Row],[Profit C]]*cadangan3[[#This Row],[Diskon]]),cadangan3[[#This Row],[Profit C]])</f>
        <v>0</v>
      </c>
      <c r="AG302" s="21">
        <f>cadangan3[[#This Row],[Qty A]]+cadangan3[[#This Row],[Qty B]]+cadangan3[[#This Row],[Qty C]]</f>
        <v>7</v>
      </c>
      <c r="AH302" s="35">
        <f>cadangan3[[#This Row],[Harga A + Diskon]]+cadangan3[[#This Row],[Harga + Diskon B]]+cadangan3[[#This Row],[Harga + Diskon C]]</f>
        <v>1728000</v>
      </c>
      <c r="AI302" s="35">
        <f>(cadangan3[[#This Row],[Profit A]]+cadangan3[[#This Row],[Profit B]]+cadangan3[[#This Row],[Profit C]])</f>
        <v>730000</v>
      </c>
      <c r="AJ302" s="35">
        <f>cadangan3[[#This Row],[Provit A + Diskon]]+cadangan3[[#This Row],[Provit B + Diskon]]+cadangan3[[#This Row],[Provit C + Diskon]]</f>
        <v>657000</v>
      </c>
      <c r="AK302" s="23" t="s">
        <v>6</v>
      </c>
      <c r="AL302" s="37">
        <f>IFERROR(INDEX('Kode Diskon'!$D$3:$D$9,MATCH(cadangan3[[#This Row],[Kode diskon]],'Kode Diskon'!$C$3:$C$9,0)),"-")</f>
        <v>0.1</v>
      </c>
      <c r="AM302" s="23" t="s">
        <v>29</v>
      </c>
      <c r="AN302" s="23" t="s">
        <v>7</v>
      </c>
      <c r="AO302" s="23" t="s">
        <v>78</v>
      </c>
      <c r="AP302" s="24">
        <v>45020</v>
      </c>
      <c r="AQ302" s="23" t="str">
        <f>TEXT(cadangan3[[#This Row],[Tanggal terjual]],"dddd")</f>
        <v>Tuesday</v>
      </c>
    </row>
    <row r="303" spans="1:43" x14ac:dyDescent="0.2">
      <c r="A303" s="20">
        <v>302</v>
      </c>
      <c r="B303" s="21" t="str">
        <f>_xlfn.CONCAT("ORD-",INDEX(Helper!$B$2:$B$5,MATCH(cadangan3[[#This Row],[Marketplace]],Helper!$A$2:$A$5,0)),TEXT(cadangan3[[#This Row],[No]],"0000"),"-",TEXT(cadangan3[[#This Row],[Tanggal terjual]],"dd/mm/yy"))</f>
        <v>ORD-BL0302-21/04/23</v>
      </c>
      <c r="C303" t="s">
        <v>62</v>
      </c>
      <c r="D303" t="str">
        <f>IFERROR(INDEX(Katalog!$A$3:$A$12,MATCH(cadangan3[[#This Row],[ItemID A]],Katalog!$C$3:$C$12,0)),"-")</f>
        <v>Pakaian Pria</v>
      </c>
      <c r="E303" t="str">
        <f>IFERROR(INDEX(Katalog!$B$3:$B$12,MATCH(cadangan3[[#This Row],[ItemID A]],Katalog!$C$3:$C$12,0)),"-")</f>
        <v>Celana Pendek</v>
      </c>
      <c r="F303">
        <v>1</v>
      </c>
      <c r="G303">
        <v>2</v>
      </c>
      <c r="H303" s="36">
        <f>IFERROR(INDEX(Katalog!$D$3:$D$12,MATCH(cadangan3[[#This Row],[ItemID A]],Katalog!$C$3:$C$12,0))*cadangan3[[#This Row],[Qty A]],0)</f>
        <v>180000</v>
      </c>
      <c r="I303" s="36">
        <f>IFERROR(INDEX(Katalog!$D$3:$D$12,MATCH(cadangan3[[#This Row],[Item A]],Katalog!$B$3:$B$12,0))*cadangan3[[#This Row],[Qty A]],0)</f>
        <v>180000</v>
      </c>
      <c r="J303" s="36">
        <f>IFERROR(cadangan3[[#This Row],[Harga Asli A]]-(cadangan3[[#This Row],[Harga Asli A]]*cadangan3[[#This Row],[Diskon]]),cadangan3[[#This Row],[Harga Asli A]])</f>
        <v>153000</v>
      </c>
      <c r="K303" s="36">
        <f>INDEX(Katalog!$F$3:$F$12,MATCH(cadangan3[[#This Row],[ItemID A]],Katalog!$C$3:$C$12,0))*cadangan3[[#This Row],[Qty A]]</f>
        <v>70000</v>
      </c>
      <c r="L303" s="36">
        <f>IFERROR(cadangan3[[#This Row],[Profit A]]-(cadangan3[[#This Row],[Profit A]]*cadangan3[[#This Row],[Diskon]]),K303)</f>
        <v>59500</v>
      </c>
      <c r="N303" t="str">
        <f>IFERROR(INDEX(Katalog!$A$3:$A$12,MATCH(cadangan3[[#This Row],[ItemID B]],Katalog!$C$3:$C$12,0)),"-")</f>
        <v>-</v>
      </c>
      <c r="O303" t="str">
        <f>IFERROR(INDEX(Katalog!$B$3:$B$12,MATCH(cadangan3[[#This Row],[ItemID B]],Katalog!$C$3:$C$12,0)),"-")</f>
        <v>-</v>
      </c>
      <c r="R303" s="36">
        <f>IFERROR(INDEX(Katalog!$D$3:$D$12,MATCH(cadangan3[[#This Row],[ItemID B]],Katalog!$C$3:$C$12,0))*cadangan3[[#This Row],[Qty B]],0)</f>
        <v>0</v>
      </c>
      <c r="S303" s="36">
        <f>IFERROR(INDEX(Katalog!$D$3:$D$12,MATCH(cadangan3[[#This Row],[Item B]],Katalog!$B$3:$B$12,0))*cadangan3[[#This Row],[Qty B]],0)</f>
        <v>0</v>
      </c>
      <c r="T303" s="36">
        <f>IFERROR(cadangan3[[#This Row],[Harga Asli B]]-(cadangan3[[#This Row],[Harga Asli B]]*cadangan3[[#This Row],[Diskon]]),cadangan3[[#This Row],[Harga Asli B]])</f>
        <v>0</v>
      </c>
      <c r="U303" s="36">
        <f>IFERROR(INDEX(Katalog!$F$3:$F$12,MATCH(cadangan3[[#This Row],[ItemID B]],Katalog!$C$3:$C$12,0))*cadangan3[[#This Row],[Qty B]],0)</f>
        <v>0</v>
      </c>
      <c r="V303" s="36">
        <f>IFERROR(cadangan3[[#This Row],[Profit B]]-(cadangan3[[#This Row],[Profit B]]*cadangan3[[#This Row],[Diskon]]),U303)</f>
        <v>0</v>
      </c>
      <c r="X303" t="str">
        <f>IFERROR(INDEX(Katalog!$A$3:$A$12,MATCH(cadangan3[[#This Row],[ItemID C]],Katalog!$C$3:$C$12,0)),"-")</f>
        <v>-</v>
      </c>
      <c r="Y303" t="str">
        <f>IFERROR(INDEX(Katalog!$B$3:$B$12,MATCH(cadangan3[[#This Row],[ItemID C]],Katalog!$C$3:$C$12,0)),"-")</f>
        <v>-</v>
      </c>
      <c r="AB303" s="36">
        <f>IFERROR(INDEX(Katalog!$D$3:$D$12,MATCH(cadangan3[[#This Row],[ItemID C]],Katalog!$C$3:$C$12,0))*cadangan3[[#This Row],[Qty C]],0)</f>
        <v>0</v>
      </c>
      <c r="AC303" s="36">
        <f>IFERROR(INDEX(Katalog!$D$3:$D$12,MATCH(cadangan3[[#This Row],[Item C]],Katalog!$B$3:$B$12,0))*cadangan3[[#This Row],[Qty C]],0)</f>
        <v>0</v>
      </c>
      <c r="AD303" s="36">
        <f>IFERROR(cadangan3[[#This Row],[Harga Asli C]]-(cadangan3[[#This Row],[Harga Asli C]]*cadangan3[[#This Row],[Diskon]]),cadangan3[[#This Row],[Harga Asli C]])</f>
        <v>0</v>
      </c>
      <c r="AE303" s="36">
        <f>IFERROR(INDEX(Katalog!$F$3:$F$12,MATCH(cadangan3[[#This Row],[ItemID C]],Katalog!$C$3:$C$12,0))*cadangan3[[#This Row],[Qty C]],0)</f>
        <v>0</v>
      </c>
      <c r="AF303" s="36">
        <f>IFERROR(cadangan3[[#This Row],[Profit C]]-(cadangan3[[#This Row],[Profit C]]*cadangan3[[#This Row],[Diskon]]),cadangan3[[#This Row],[Profit C]])</f>
        <v>0</v>
      </c>
      <c r="AG303" s="21">
        <f>cadangan3[[#This Row],[Qty A]]+cadangan3[[#This Row],[Qty B]]+cadangan3[[#This Row],[Qty C]]</f>
        <v>1</v>
      </c>
      <c r="AH303" s="35">
        <f>cadangan3[[#This Row],[Harga A + Diskon]]+cadangan3[[#This Row],[Harga + Diskon B]]+cadangan3[[#This Row],[Harga + Diskon C]]</f>
        <v>153000</v>
      </c>
      <c r="AI303" s="35">
        <f>(cadangan3[[#This Row],[Profit A]]+cadangan3[[#This Row],[Profit B]]+cadangan3[[#This Row],[Profit C]])</f>
        <v>70000</v>
      </c>
      <c r="AJ303" s="35">
        <f>cadangan3[[#This Row],[Provit A + Diskon]]+cadangan3[[#This Row],[Provit B + Diskon]]+cadangan3[[#This Row],[Provit C + Diskon]]</f>
        <v>59500</v>
      </c>
      <c r="AK303" s="23" t="s">
        <v>32</v>
      </c>
      <c r="AL303" s="37">
        <f>IFERROR(INDEX('Kode Diskon'!$D$3:$D$9,MATCH(cadangan3[[#This Row],[Kode diskon]],'Kode Diskon'!$C$3:$C$9,0)),"-")</f>
        <v>0.15</v>
      </c>
      <c r="AM303" s="23" t="s">
        <v>9</v>
      </c>
      <c r="AN303" s="23" t="s">
        <v>12</v>
      </c>
      <c r="AO303" s="23" t="s">
        <v>75</v>
      </c>
      <c r="AP303" s="24">
        <v>45037</v>
      </c>
      <c r="AQ303" s="23" t="str">
        <f>TEXT(cadangan3[[#This Row],[Tanggal terjual]],"dddd")</f>
        <v>Friday</v>
      </c>
    </row>
    <row r="304" spans="1:43" x14ac:dyDescent="0.2">
      <c r="A304" s="20">
        <v>303</v>
      </c>
      <c r="B304" s="21" t="str">
        <f>_xlfn.CONCAT("ORD-",INDEX(Helper!$B$2:$B$5,MATCH(cadangan3[[#This Row],[Marketplace]],Helper!$A$2:$A$5,0)),TEXT(cadangan3[[#This Row],[No]],"0000"),"-",TEXT(cadangan3[[#This Row],[Tanggal terjual]],"dd/mm/yy"))</f>
        <v>ORD-SP0303-01/04/23</v>
      </c>
      <c r="C304" t="s">
        <v>67</v>
      </c>
      <c r="D304" t="str">
        <f>IFERROR(INDEX(Katalog!$A$3:$A$12,MATCH(cadangan3[[#This Row],[ItemID A]],Katalog!$C$3:$C$12,0)),"-")</f>
        <v>Sepatu Wanita</v>
      </c>
      <c r="E304" t="str">
        <f>IFERROR(INDEX(Katalog!$B$3:$B$12,MATCH(cadangan3[[#This Row],[ItemID A]],Katalog!$C$3:$C$12,0)),"-")</f>
        <v>Flat Shoes</v>
      </c>
      <c r="F304">
        <v>6</v>
      </c>
      <c r="G304">
        <v>2</v>
      </c>
      <c r="H304" s="36">
        <f>IFERROR(INDEX(Katalog!$D$3:$D$12,MATCH(cadangan3[[#This Row],[ItemID A]],Katalog!$C$3:$C$12,0))*cadangan3[[#This Row],[Qty A]],0)</f>
        <v>1500000</v>
      </c>
      <c r="I304" s="36">
        <f>IFERROR(INDEX(Katalog!$D$3:$D$12,MATCH(cadangan3[[#This Row],[Item A]],Katalog!$B$3:$B$12,0))*cadangan3[[#This Row],[Qty A]],0)</f>
        <v>1500000</v>
      </c>
      <c r="J304" s="36">
        <f>IFERROR(cadangan3[[#This Row],[Harga Asli A]]-(cadangan3[[#This Row],[Harga Asli A]]*cadangan3[[#This Row],[Diskon]]),cadangan3[[#This Row],[Harga Asli A]])</f>
        <v>1350000</v>
      </c>
      <c r="K304" s="36">
        <f>INDEX(Katalog!$F$3:$F$12,MATCH(cadangan3[[#This Row],[ItemID A]],Katalog!$C$3:$C$12,0))*cadangan3[[#This Row],[Qty A]]</f>
        <v>600000</v>
      </c>
      <c r="L304" s="36">
        <f>IFERROR(cadangan3[[#This Row],[Profit A]]-(cadangan3[[#This Row],[Profit A]]*cadangan3[[#This Row],[Diskon]]),K304)</f>
        <v>540000</v>
      </c>
      <c r="M304" t="s">
        <v>64</v>
      </c>
      <c r="N304" t="str">
        <f>IFERROR(INDEX(Katalog!$A$3:$A$12,MATCH(cadangan3[[#This Row],[ItemID B]],Katalog!$C$3:$C$12,0)),"-")</f>
        <v>Pakaian Unisex</v>
      </c>
      <c r="O304" t="str">
        <f>IFERROR(INDEX(Katalog!$B$3:$B$12,MATCH(cadangan3[[#This Row],[ItemID B]],Katalog!$C$3:$C$12,0)),"-")</f>
        <v>Jaket Hoodie</v>
      </c>
      <c r="P304">
        <v>1</v>
      </c>
      <c r="Q304">
        <v>3</v>
      </c>
      <c r="R304" s="36">
        <f>IFERROR(INDEX(Katalog!$D$3:$D$12,MATCH(cadangan3[[#This Row],[ItemID B]],Katalog!$C$3:$C$12,0))*cadangan3[[#This Row],[Qty B]],0)</f>
        <v>350000</v>
      </c>
      <c r="S304" s="36">
        <f>IFERROR(INDEX(Katalog!$D$3:$D$12,MATCH(cadangan3[[#This Row],[Item B]],Katalog!$B$3:$B$12,0))*cadangan3[[#This Row],[Qty B]],0)</f>
        <v>350000</v>
      </c>
      <c r="T304" s="36">
        <f>IFERROR(cadangan3[[#This Row],[Harga Asli B]]-(cadangan3[[#This Row],[Harga Asli B]]*cadangan3[[#This Row],[Diskon]]),cadangan3[[#This Row],[Harga Asli B]])</f>
        <v>315000</v>
      </c>
      <c r="U304" s="36">
        <f>IFERROR(INDEX(Katalog!$F$3:$F$12,MATCH(cadangan3[[#This Row],[ItemID B]],Katalog!$C$3:$C$12,0))*cadangan3[[#This Row],[Qty B]],0)</f>
        <v>130000</v>
      </c>
      <c r="V304" s="36">
        <f>IFERROR(cadangan3[[#This Row],[Profit B]]-(cadangan3[[#This Row],[Profit B]]*cadangan3[[#This Row],[Diskon]]),U304)</f>
        <v>117000</v>
      </c>
      <c r="X304" t="str">
        <f>IFERROR(INDEX(Katalog!$A$3:$A$12,MATCH(cadangan3[[#This Row],[ItemID C]],Katalog!$C$3:$C$12,0)),"-")</f>
        <v>-</v>
      </c>
      <c r="Y304" t="str">
        <f>IFERROR(INDEX(Katalog!$B$3:$B$12,MATCH(cadangan3[[#This Row],[ItemID C]],Katalog!$C$3:$C$12,0)),"-")</f>
        <v>-</v>
      </c>
      <c r="AB304" s="36">
        <f>IFERROR(INDEX(Katalog!$D$3:$D$12,MATCH(cadangan3[[#This Row],[ItemID C]],Katalog!$C$3:$C$12,0))*cadangan3[[#This Row],[Qty C]],0)</f>
        <v>0</v>
      </c>
      <c r="AC304" s="36">
        <f>IFERROR(INDEX(Katalog!$D$3:$D$12,MATCH(cadangan3[[#This Row],[Item C]],Katalog!$B$3:$B$12,0))*cadangan3[[#This Row],[Qty C]],0)</f>
        <v>0</v>
      </c>
      <c r="AD304" s="36">
        <f>IFERROR(cadangan3[[#This Row],[Harga Asli C]]-(cadangan3[[#This Row],[Harga Asli C]]*cadangan3[[#This Row],[Diskon]]),cadangan3[[#This Row],[Harga Asli C]])</f>
        <v>0</v>
      </c>
      <c r="AE304" s="36">
        <f>IFERROR(INDEX(Katalog!$F$3:$F$12,MATCH(cadangan3[[#This Row],[ItemID C]],Katalog!$C$3:$C$12,0))*cadangan3[[#This Row],[Qty C]],0)</f>
        <v>0</v>
      </c>
      <c r="AF304" s="36">
        <f>IFERROR(cadangan3[[#This Row],[Profit C]]-(cadangan3[[#This Row],[Profit C]]*cadangan3[[#This Row],[Diskon]]),cadangan3[[#This Row],[Profit C]])</f>
        <v>0</v>
      </c>
      <c r="AG304" s="21">
        <f>cadangan3[[#This Row],[Qty A]]+cadangan3[[#This Row],[Qty B]]+cadangan3[[#This Row],[Qty C]]</f>
        <v>7</v>
      </c>
      <c r="AH304" s="35">
        <f>cadangan3[[#This Row],[Harga A + Diskon]]+cadangan3[[#This Row],[Harga + Diskon B]]+cadangan3[[#This Row],[Harga + Diskon C]]</f>
        <v>1665000</v>
      </c>
      <c r="AI304" s="35">
        <f>(cadangan3[[#This Row],[Profit A]]+cadangan3[[#This Row],[Profit B]]+cadangan3[[#This Row],[Profit C]])</f>
        <v>730000</v>
      </c>
      <c r="AJ304" s="35">
        <f>cadangan3[[#This Row],[Provit A + Diskon]]+cadangan3[[#This Row],[Provit B + Diskon]]+cadangan3[[#This Row],[Provit C + Diskon]]</f>
        <v>657000</v>
      </c>
      <c r="AK304" s="23" t="s">
        <v>6</v>
      </c>
      <c r="AL304" s="37">
        <f>IFERROR(INDEX('Kode Diskon'!$D$3:$D$9,MATCH(cadangan3[[#This Row],[Kode diskon]],'Kode Diskon'!$C$3:$C$9,0)),"-")</f>
        <v>0.1</v>
      </c>
      <c r="AM304" s="23" t="s">
        <v>29</v>
      </c>
      <c r="AN304" s="23" t="s">
        <v>7</v>
      </c>
      <c r="AO304" s="23" t="s">
        <v>75</v>
      </c>
      <c r="AP304" s="24">
        <v>45017</v>
      </c>
      <c r="AQ304" s="23" t="str">
        <f>TEXT(cadangan3[[#This Row],[Tanggal terjual]],"dddd")</f>
        <v>Saturday</v>
      </c>
    </row>
    <row r="305" spans="1:43" x14ac:dyDescent="0.2">
      <c r="A305" s="20">
        <v>304</v>
      </c>
      <c r="B305" s="21" t="str">
        <f>_xlfn.CONCAT("ORD-",INDEX(Helper!$B$2:$B$5,MATCH(cadangan3[[#This Row],[Marketplace]],Helper!$A$2:$A$5,0)),TEXT(cadangan3[[#This Row],[No]],"0000"),"-",TEXT(cadangan3[[#This Row],[Tanggal terjual]],"dd/mm/yy"))</f>
        <v>ORD-TK0304-27/04/23</v>
      </c>
      <c r="C305" t="s">
        <v>63</v>
      </c>
      <c r="D305" t="str">
        <f>IFERROR(INDEX(Katalog!$A$3:$A$12,MATCH(cadangan3[[#This Row],[ItemID A]],Katalog!$C$3:$C$12,0)),"-")</f>
        <v>Pakaian Pria</v>
      </c>
      <c r="E305" t="str">
        <f>IFERROR(INDEX(Katalog!$B$3:$B$12,MATCH(cadangan3[[#This Row],[ItemID A]],Katalog!$C$3:$C$12,0)),"-")</f>
        <v>Jaket Jeans</v>
      </c>
      <c r="F305">
        <v>2</v>
      </c>
      <c r="G305">
        <v>4</v>
      </c>
      <c r="H305" s="36">
        <f>IFERROR(INDEX(Katalog!$D$3:$D$12,MATCH(cadangan3[[#This Row],[ItemID A]],Katalog!$C$3:$C$12,0))*cadangan3[[#This Row],[Qty A]],0)</f>
        <v>800000</v>
      </c>
      <c r="I305" s="36">
        <f>IFERROR(INDEX(Katalog!$D$3:$D$12,MATCH(cadangan3[[#This Row],[Item A]],Katalog!$B$3:$B$12,0))*cadangan3[[#This Row],[Qty A]],0)</f>
        <v>800000</v>
      </c>
      <c r="J305" s="36">
        <f>IFERROR(cadangan3[[#This Row],[Harga Asli A]]-(cadangan3[[#This Row],[Harga Asli A]]*cadangan3[[#This Row],[Diskon]]),cadangan3[[#This Row],[Harga Asli A]])</f>
        <v>720000</v>
      </c>
      <c r="K305" s="36">
        <f>INDEX(Katalog!$F$3:$F$12,MATCH(cadangan3[[#This Row],[ItemID A]],Katalog!$C$3:$C$12,0))*cadangan3[[#This Row],[Qty A]]</f>
        <v>300000</v>
      </c>
      <c r="L305" s="36">
        <f>IFERROR(cadangan3[[#This Row],[Profit A]]-(cadangan3[[#This Row],[Profit A]]*cadangan3[[#This Row],[Diskon]]),K305)</f>
        <v>270000</v>
      </c>
      <c r="N305" t="str">
        <f>IFERROR(INDEX(Katalog!$A$3:$A$12,MATCH(cadangan3[[#This Row],[ItemID B]],Katalog!$C$3:$C$12,0)),"-")</f>
        <v>-</v>
      </c>
      <c r="O305" t="str">
        <f>IFERROR(INDEX(Katalog!$B$3:$B$12,MATCH(cadangan3[[#This Row],[ItemID B]],Katalog!$C$3:$C$12,0)),"-")</f>
        <v>-</v>
      </c>
      <c r="R305" s="36">
        <f>IFERROR(INDEX(Katalog!$D$3:$D$12,MATCH(cadangan3[[#This Row],[ItemID B]],Katalog!$C$3:$C$12,0))*cadangan3[[#This Row],[Qty B]],0)</f>
        <v>0</v>
      </c>
      <c r="S305" s="36">
        <f>IFERROR(INDEX(Katalog!$D$3:$D$12,MATCH(cadangan3[[#This Row],[Item B]],Katalog!$B$3:$B$12,0))*cadangan3[[#This Row],[Qty B]],0)</f>
        <v>0</v>
      </c>
      <c r="T305" s="36">
        <f>IFERROR(cadangan3[[#This Row],[Harga Asli B]]-(cadangan3[[#This Row],[Harga Asli B]]*cadangan3[[#This Row],[Diskon]]),cadangan3[[#This Row],[Harga Asli B]])</f>
        <v>0</v>
      </c>
      <c r="U305" s="36">
        <f>IFERROR(INDEX(Katalog!$F$3:$F$12,MATCH(cadangan3[[#This Row],[ItemID B]],Katalog!$C$3:$C$12,0))*cadangan3[[#This Row],[Qty B]],0)</f>
        <v>0</v>
      </c>
      <c r="V305" s="36">
        <f>IFERROR(cadangan3[[#This Row],[Profit B]]-(cadangan3[[#This Row],[Profit B]]*cadangan3[[#This Row],[Diskon]]),U305)</f>
        <v>0</v>
      </c>
      <c r="X305" t="str">
        <f>IFERROR(INDEX(Katalog!$A$3:$A$12,MATCH(cadangan3[[#This Row],[ItemID C]],Katalog!$C$3:$C$12,0)),"-")</f>
        <v>-</v>
      </c>
      <c r="Y305" t="str">
        <f>IFERROR(INDEX(Katalog!$B$3:$B$12,MATCH(cadangan3[[#This Row],[ItemID C]],Katalog!$C$3:$C$12,0)),"-")</f>
        <v>-</v>
      </c>
      <c r="AB305" s="36">
        <f>IFERROR(INDEX(Katalog!$D$3:$D$12,MATCH(cadangan3[[#This Row],[ItemID C]],Katalog!$C$3:$C$12,0))*cadangan3[[#This Row],[Qty C]],0)</f>
        <v>0</v>
      </c>
      <c r="AC305" s="36">
        <f>IFERROR(INDEX(Katalog!$D$3:$D$12,MATCH(cadangan3[[#This Row],[Item C]],Katalog!$B$3:$B$12,0))*cadangan3[[#This Row],[Qty C]],0)</f>
        <v>0</v>
      </c>
      <c r="AD305" s="36">
        <f>IFERROR(cadangan3[[#This Row],[Harga Asli C]]-(cadangan3[[#This Row],[Harga Asli C]]*cadangan3[[#This Row],[Diskon]]),cadangan3[[#This Row],[Harga Asli C]])</f>
        <v>0</v>
      </c>
      <c r="AE305" s="36">
        <f>IFERROR(INDEX(Katalog!$F$3:$F$12,MATCH(cadangan3[[#This Row],[ItemID C]],Katalog!$C$3:$C$12,0))*cadangan3[[#This Row],[Qty C]],0)</f>
        <v>0</v>
      </c>
      <c r="AF305" s="36">
        <f>IFERROR(cadangan3[[#This Row],[Profit C]]-(cadangan3[[#This Row],[Profit C]]*cadangan3[[#This Row],[Diskon]]),cadangan3[[#This Row],[Profit C]])</f>
        <v>0</v>
      </c>
      <c r="AG305" s="21">
        <f>cadangan3[[#This Row],[Qty A]]+cadangan3[[#This Row],[Qty B]]+cadangan3[[#This Row],[Qty C]]</f>
        <v>2</v>
      </c>
      <c r="AH305" s="35">
        <f>cadangan3[[#This Row],[Harga A + Diskon]]+cadangan3[[#This Row],[Harga + Diskon B]]+cadangan3[[#This Row],[Harga + Diskon C]]</f>
        <v>720000</v>
      </c>
      <c r="AI305" s="35">
        <f>(cadangan3[[#This Row],[Profit A]]+cadangan3[[#This Row],[Profit B]]+cadangan3[[#This Row],[Profit C]])</f>
        <v>300000</v>
      </c>
      <c r="AJ305" s="35">
        <f>cadangan3[[#This Row],[Provit A + Diskon]]+cadangan3[[#This Row],[Provit B + Diskon]]+cadangan3[[#This Row],[Provit C + Diskon]]</f>
        <v>270000</v>
      </c>
      <c r="AK305" s="23" t="s">
        <v>31</v>
      </c>
      <c r="AL305" s="37">
        <f>IFERROR(INDEX('Kode Diskon'!$D$3:$D$9,MATCH(cadangan3[[#This Row],[Kode diskon]],'Kode Diskon'!$C$3:$C$9,0)),"-")</f>
        <v>0.1</v>
      </c>
      <c r="AM305" s="23" t="s">
        <v>9</v>
      </c>
      <c r="AN305" s="23" t="s">
        <v>10</v>
      </c>
      <c r="AO305" s="23" t="s">
        <v>76</v>
      </c>
      <c r="AP305" s="24">
        <v>45043</v>
      </c>
      <c r="AQ305" s="23" t="str">
        <f>TEXT(cadangan3[[#This Row],[Tanggal terjual]],"dddd")</f>
        <v>Thursday</v>
      </c>
    </row>
    <row r="306" spans="1:43" x14ac:dyDescent="0.2">
      <c r="A306" s="20">
        <v>305</v>
      </c>
      <c r="B306" s="21" t="str">
        <f>_xlfn.CONCAT("ORD-",INDEX(Helper!$B$2:$B$5,MATCH(cadangan3[[#This Row],[Marketplace]],Helper!$A$2:$A$5,0)),TEXT(cadangan3[[#This Row],[No]],"0000"),"-",TEXT(cadangan3[[#This Row],[Tanggal terjual]],"dd/mm/yy"))</f>
        <v>ORD-SP0305-06/04/23</v>
      </c>
      <c r="C306" t="s">
        <v>62</v>
      </c>
      <c r="D306" t="str">
        <f>IFERROR(INDEX(Katalog!$A$3:$A$12,MATCH(cadangan3[[#This Row],[ItemID A]],Katalog!$C$3:$C$12,0)),"-")</f>
        <v>Pakaian Pria</v>
      </c>
      <c r="E306" t="str">
        <f>IFERROR(INDEX(Katalog!$B$3:$B$12,MATCH(cadangan3[[#This Row],[ItemID A]],Katalog!$C$3:$C$12,0)),"-")</f>
        <v>Celana Pendek</v>
      </c>
      <c r="F306">
        <v>1</v>
      </c>
      <c r="G306">
        <v>2</v>
      </c>
      <c r="H306" s="36">
        <f>IFERROR(INDEX(Katalog!$D$3:$D$12,MATCH(cadangan3[[#This Row],[ItemID A]],Katalog!$C$3:$C$12,0))*cadangan3[[#This Row],[Qty A]],0)</f>
        <v>180000</v>
      </c>
      <c r="I306" s="36">
        <f>IFERROR(INDEX(Katalog!$D$3:$D$12,MATCH(cadangan3[[#This Row],[Item A]],Katalog!$B$3:$B$12,0))*cadangan3[[#This Row],[Qty A]],0)</f>
        <v>180000</v>
      </c>
      <c r="J306" s="36">
        <f>IFERROR(cadangan3[[#This Row],[Harga Asli A]]-(cadangan3[[#This Row],[Harga Asli A]]*cadangan3[[#This Row],[Diskon]]),cadangan3[[#This Row],[Harga Asli A]])</f>
        <v>162000</v>
      </c>
      <c r="K306" s="36">
        <f>INDEX(Katalog!$F$3:$F$12,MATCH(cadangan3[[#This Row],[ItemID A]],Katalog!$C$3:$C$12,0))*cadangan3[[#This Row],[Qty A]]</f>
        <v>70000</v>
      </c>
      <c r="L306" s="36">
        <f>IFERROR(cadangan3[[#This Row],[Profit A]]-(cadangan3[[#This Row],[Profit A]]*cadangan3[[#This Row],[Diskon]]),K306)</f>
        <v>63000</v>
      </c>
      <c r="M306" t="s">
        <v>60</v>
      </c>
      <c r="N306" t="str">
        <f>IFERROR(INDEX(Katalog!$A$3:$A$12,MATCH(cadangan3[[#This Row],[ItemID B]],Katalog!$C$3:$C$12,0)),"-")</f>
        <v>Pakaian Wanita</v>
      </c>
      <c r="O306" t="str">
        <f>IFERROR(INDEX(Katalog!$B$3:$B$12,MATCH(cadangan3[[#This Row],[ItemID B]],Katalog!$C$3:$C$12,0)),"-")</f>
        <v>Kaftan</v>
      </c>
      <c r="P306">
        <v>4</v>
      </c>
      <c r="Q306">
        <v>3</v>
      </c>
      <c r="R306" s="36">
        <f>IFERROR(INDEX(Katalog!$D$3:$D$12,MATCH(cadangan3[[#This Row],[ItemID B]],Katalog!$C$3:$C$12,0))*cadangan3[[#This Row],[Qty B]],0)</f>
        <v>1000000</v>
      </c>
      <c r="S306" s="36">
        <f>IFERROR(INDEX(Katalog!$D$3:$D$12,MATCH(cadangan3[[#This Row],[Item B]],Katalog!$B$3:$B$12,0))*cadangan3[[#This Row],[Qty B]],0)</f>
        <v>1000000</v>
      </c>
      <c r="T306" s="36">
        <f>IFERROR(cadangan3[[#This Row],[Harga Asli B]]-(cadangan3[[#This Row],[Harga Asli B]]*cadangan3[[#This Row],[Diskon]]),cadangan3[[#This Row],[Harga Asli B]])</f>
        <v>900000</v>
      </c>
      <c r="U306" s="36">
        <f>IFERROR(INDEX(Katalog!$F$3:$F$12,MATCH(cadangan3[[#This Row],[ItemID B]],Katalog!$C$3:$C$12,0))*cadangan3[[#This Row],[Qty B]],0)</f>
        <v>400000</v>
      </c>
      <c r="V306" s="36">
        <f>IFERROR(cadangan3[[#This Row],[Profit B]]-(cadangan3[[#This Row],[Profit B]]*cadangan3[[#This Row],[Diskon]]),U306)</f>
        <v>360000</v>
      </c>
      <c r="X306" t="str">
        <f>IFERROR(INDEX(Katalog!$A$3:$A$12,MATCH(cadangan3[[#This Row],[ItemID C]],Katalog!$C$3:$C$12,0)),"-")</f>
        <v>-</v>
      </c>
      <c r="Y306" t="str">
        <f>IFERROR(INDEX(Katalog!$B$3:$B$12,MATCH(cadangan3[[#This Row],[ItemID C]],Katalog!$C$3:$C$12,0)),"-")</f>
        <v>-</v>
      </c>
      <c r="AB306" s="36">
        <f>IFERROR(INDEX(Katalog!$D$3:$D$12,MATCH(cadangan3[[#This Row],[ItemID C]],Katalog!$C$3:$C$12,0))*cadangan3[[#This Row],[Qty C]],0)</f>
        <v>0</v>
      </c>
      <c r="AC306" s="36">
        <f>IFERROR(INDEX(Katalog!$D$3:$D$12,MATCH(cadangan3[[#This Row],[Item C]],Katalog!$B$3:$B$12,0))*cadangan3[[#This Row],[Qty C]],0)</f>
        <v>0</v>
      </c>
      <c r="AD306" s="36">
        <f>IFERROR(cadangan3[[#This Row],[Harga Asli C]]-(cadangan3[[#This Row],[Harga Asli C]]*cadangan3[[#This Row],[Diskon]]),cadangan3[[#This Row],[Harga Asli C]])</f>
        <v>0</v>
      </c>
      <c r="AE306" s="36">
        <f>IFERROR(INDEX(Katalog!$F$3:$F$12,MATCH(cadangan3[[#This Row],[ItemID C]],Katalog!$C$3:$C$12,0))*cadangan3[[#This Row],[Qty C]],0)</f>
        <v>0</v>
      </c>
      <c r="AF306" s="36">
        <f>IFERROR(cadangan3[[#This Row],[Profit C]]-(cadangan3[[#This Row],[Profit C]]*cadangan3[[#This Row],[Diskon]]),cadangan3[[#This Row],[Profit C]])</f>
        <v>0</v>
      </c>
      <c r="AG306" s="21">
        <f>cadangan3[[#This Row],[Qty A]]+cadangan3[[#This Row],[Qty B]]+cadangan3[[#This Row],[Qty C]]</f>
        <v>5</v>
      </c>
      <c r="AH306" s="35">
        <f>cadangan3[[#This Row],[Harga A + Diskon]]+cadangan3[[#This Row],[Harga + Diskon B]]+cadangan3[[#This Row],[Harga + Diskon C]]</f>
        <v>1062000</v>
      </c>
      <c r="AI306" s="35">
        <f>(cadangan3[[#This Row],[Profit A]]+cadangan3[[#This Row],[Profit B]]+cadangan3[[#This Row],[Profit C]])</f>
        <v>470000</v>
      </c>
      <c r="AJ306" s="35">
        <f>cadangan3[[#This Row],[Provit A + Diskon]]+cadangan3[[#This Row],[Provit B + Diskon]]+cadangan3[[#This Row],[Provit C + Diskon]]</f>
        <v>423000</v>
      </c>
      <c r="AK306" s="23" t="s">
        <v>6</v>
      </c>
      <c r="AL306" s="37">
        <f>IFERROR(INDEX('Kode Diskon'!$D$3:$D$9,MATCH(cadangan3[[#This Row],[Kode diskon]],'Kode Diskon'!$C$3:$C$9,0)),"-")</f>
        <v>0.1</v>
      </c>
      <c r="AM306" s="23" t="s">
        <v>29</v>
      </c>
      <c r="AN306" s="23" t="s">
        <v>7</v>
      </c>
      <c r="AO306" s="23" t="s">
        <v>79</v>
      </c>
      <c r="AP306" s="24">
        <v>45022</v>
      </c>
      <c r="AQ306" s="23" t="str">
        <f>TEXT(cadangan3[[#This Row],[Tanggal terjual]],"dddd")</f>
        <v>Thursday</v>
      </c>
    </row>
    <row r="307" spans="1:43" x14ac:dyDescent="0.2">
      <c r="A307" s="20">
        <v>306</v>
      </c>
      <c r="B307" s="21" t="str">
        <f>_xlfn.CONCAT("ORD-",INDEX(Helper!$B$2:$B$5,MATCH(cadangan3[[#This Row],[Marketplace]],Helper!$A$2:$A$5,0)),TEXT(cadangan3[[#This Row],[No]],"0000"),"-",TEXT(cadangan3[[#This Row],[Tanggal terjual]],"dd/mm/yy"))</f>
        <v>ORD-BB0306-06/04/23</v>
      </c>
      <c r="C307" t="s">
        <v>63</v>
      </c>
      <c r="D307" t="str">
        <f>IFERROR(INDEX(Katalog!$A$3:$A$12,MATCH(cadangan3[[#This Row],[ItemID A]],Katalog!$C$3:$C$12,0)),"-")</f>
        <v>Pakaian Pria</v>
      </c>
      <c r="E307" t="str">
        <f>IFERROR(INDEX(Katalog!$B$3:$B$12,MATCH(cadangan3[[#This Row],[ItemID A]],Katalog!$C$3:$C$12,0)),"-")</f>
        <v>Jaket Jeans</v>
      </c>
      <c r="F307">
        <v>2</v>
      </c>
      <c r="G307">
        <v>4</v>
      </c>
      <c r="H307" s="36">
        <f>IFERROR(INDEX(Katalog!$D$3:$D$12,MATCH(cadangan3[[#This Row],[ItemID A]],Katalog!$C$3:$C$12,0))*cadangan3[[#This Row],[Qty A]],0)</f>
        <v>800000</v>
      </c>
      <c r="I307" s="36">
        <f>IFERROR(INDEX(Katalog!$D$3:$D$12,MATCH(cadangan3[[#This Row],[Item A]],Katalog!$B$3:$B$12,0))*cadangan3[[#This Row],[Qty A]],0)</f>
        <v>800000</v>
      </c>
      <c r="J307" s="36">
        <f>IFERROR(cadangan3[[#This Row],[Harga Asli A]]-(cadangan3[[#This Row],[Harga Asli A]]*cadangan3[[#This Row],[Diskon]]),cadangan3[[#This Row],[Harga Asli A]])</f>
        <v>680000</v>
      </c>
      <c r="K307" s="36">
        <f>INDEX(Katalog!$F$3:$F$12,MATCH(cadangan3[[#This Row],[ItemID A]],Katalog!$C$3:$C$12,0))*cadangan3[[#This Row],[Qty A]]</f>
        <v>300000</v>
      </c>
      <c r="L307" s="36">
        <f>IFERROR(cadangan3[[#This Row],[Profit A]]-(cadangan3[[#This Row],[Profit A]]*cadangan3[[#This Row],[Diskon]]),K307)</f>
        <v>255000</v>
      </c>
      <c r="M307" t="s">
        <v>59</v>
      </c>
      <c r="N307" t="str">
        <f>IFERROR(INDEX(Katalog!$A$3:$A$12,MATCH(cadangan3[[#This Row],[ItemID B]],Katalog!$C$3:$C$12,0)),"-")</f>
        <v>Pakaian Wanita</v>
      </c>
      <c r="O307" t="str">
        <f>IFERROR(INDEX(Katalog!$B$3:$B$12,MATCH(cadangan3[[#This Row],[ItemID B]],Katalog!$C$3:$C$12,0)),"-")</f>
        <v>Blouse</v>
      </c>
      <c r="P307">
        <v>2</v>
      </c>
      <c r="Q307">
        <v>4</v>
      </c>
      <c r="R307" s="36">
        <f>IFERROR(INDEX(Katalog!$D$3:$D$12,MATCH(cadangan3[[#This Row],[ItemID B]],Katalog!$C$3:$C$12,0))*cadangan3[[#This Row],[Qty B]],0)</f>
        <v>300000</v>
      </c>
      <c r="S307" s="36">
        <f>IFERROR(INDEX(Katalog!$D$3:$D$12,MATCH(cadangan3[[#This Row],[Item B]],Katalog!$B$3:$B$12,0))*cadangan3[[#This Row],[Qty B]],0)</f>
        <v>300000</v>
      </c>
      <c r="T307" s="36">
        <f>IFERROR(cadangan3[[#This Row],[Harga Asli B]]-(cadangan3[[#This Row],[Harga Asli B]]*cadangan3[[#This Row],[Diskon]]),cadangan3[[#This Row],[Harga Asli B]])</f>
        <v>255000</v>
      </c>
      <c r="U307" s="36">
        <f>IFERROR(INDEX(Katalog!$F$3:$F$12,MATCH(cadangan3[[#This Row],[ItemID B]],Katalog!$C$3:$C$12,0))*cadangan3[[#This Row],[Qty B]],0)</f>
        <v>100000</v>
      </c>
      <c r="V307" s="36">
        <f>IFERROR(cadangan3[[#This Row],[Profit B]]-(cadangan3[[#This Row],[Profit B]]*cadangan3[[#This Row],[Diskon]]),U307)</f>
        <v>85000</v>
      </c>
      <c r="X307" t="str">
        <f>IFERROR(INDEX(Katalog!$A$3:$A$12,MATCH(cadangan3[[#This Row],[ItemID C]],Katalog!$C$3:$C$12,0)),"-")</f>
        <v>-</v>
      </c>
      <c r="Y307" t="str">
        <f>IFERROR(INDEX(Katalog!$B$3:$B$12,MATCH(cadangan3[[#This Row],[ItemID C]],Katalog!$C$3:$C$12,0)),"-")</f>
        <v>-</v>
      </c>
      <c r="AB307" s="36">
        <f>IFERROR(INDEX(Katalog!$D$3:$D$12,MATCH(cadangan3[[#This Row],[ItemID C]],Katalog!$C$3:$C$12,0))*cadangan3[[#This Row],[Qty C]],0)</f>
        <v>0</v>
      </c>
      <c r="AC307" s="36">
        <f>IFERROR(INDEX(Katalog!$D$3:$D$12,MATCH(cadangan3[[#This Row],[Item C]],Katalog!$B$3:$B$12,0))*cadangan3[[#This Row],[Qty C]],0)</f>
        <v>0</v>
      </c>
      <c r="AD307" s="36">
        <f>IFERROR(cadangan3[[#This Row],[Harga Asli C]]-(cadangan3[[#This Row],[Harga Asli C]]*cadangan3[[#This Row],[Diskon]]),cadangan3[[#This Row],[Harga Asli C]])</f>
        <v>0</v>
      </c>
      <c r="AE307" s="36">
        <f>IFERROR(INDEX(Katalog!$F$3:$F$12,MATCH(cadangan3[[#This Row],[ItemID C]],Katalog!$C$3:$C$12,0))*cadangan3[[#This Row],[Qty C]],0)</f>
        <v>0</v>
      </c>
      <c r="AF307" s="36">
        <f>IFERROR(cadangan3[[#This Row],[Profit C]]-(cadangan3[[#This Row],[Profit C]]*cadangan3[[#This Row],[Diskon]]),cadangan3[[#This Row],[Profit C]])</f>
        <v>0</v>
      </c>
      <c r="AG307" s="21">
        <f>cadangan3[[#This Row],[Qty A]]+cadangan3[[#This Row],[Qty B]]+cadangan3[[#This Row],[Qty C]]</f>
        <v>4</v>
      </c>
      <c r="AH307" s="35">
        <f>cadangan3[[#This Row],[Harga A + Diskon]]+cadangan3[[#This Row],[Harga + Diskon B]]+cadangan3[[#This Row],[Harga + Diskon C]]</f>
        <v>935000</v>
      </c>
      <c r="AI307" s="35">
        <f>(cadangan3[[#This Row],[Profit A]]+cadangan3[[#This Row],[Profit B]]+cadangan3[[#This Row],[Profit C]])</f>
        <v>400000</v>
      </c>
      <c r="AJ307" s="35">
        <f>cadangan3[[#This Row],[Provit A + Diskon]]+cadangan3[[#This Row],[Provit B + Diskon]]+cadangan3[[#This Row],[Provit C + Diskon]]</f>
        <v>340000</v>
      </c>
      <c r="AK307" s="23" t="s">
        <v>28</v>
      </c>
      <c r="AL307" s="37">
        <f>IFERROR(INDEX('Kode Diskon'!$D$3:$D$9,MATCH(cadangan3[[#This Row],[Kode diskon]],'Kode Diskon'!$C$3:$C$9,0)),"-")</f>
        <v>0.15</v>
      </c>
      <c r="AM307" s="23" t="s">
        <v>29</v>
      </c>
      <c r="AN307" s="23" t="s">
        <v>14</v>
      </c>
      <c r="AO307" s="23" t="s">
        <v>75</v>
      </c>
      <c r="AP307" s="24">
        <v>45022</v>
      </c>
      <c r="AQ307" s="23" t="str">
        <f>TEXT(cadangan3[[#This Row],[Tanggal terjual]],"dddd")</f>
        <v>Thursday</v>
      </c>
    </row>
    <row r="308" spans="1:43" x14ac:dyDescent="0.2">
      <c r="A308" s="20">
        <v>307</v>
      </c>
      <c r="B308" s="21" t="str">
        <f>_xlfn.CONCAT("ORD-",INDEX(Helper!$B$2:$B$5,MATCH(cadangan3[[#This Row],[Marketplace]],Helper!$A$2:$A$5,0)),TEXT(cadangan3[[#This Row],[No]],"0000"),"-",TEXT(cadangan3[[#This Row],[Tanggal terjual]],"dd/mm/yy"))</f>
        <v>ORD-BB0307-06/04/23</v>
      </c>
      <c r="C308" t="s">
        <v>61</v>
      </c>
      <c r="D308" t="str">
        <f>IFERROR(INDEX(Katalog!$A$3:$A$12,MATCH(cadangan3[[#This Row],[ItemID A]],Katalog!$C$3:$C$12,0)),"-")</f>
        <v>Pakaian Pria</v>
      </c>
      <c r="E308" t="str">
        <f>IFERROR(INDEX(Katalog!$B$3:$B$12,MATCH(cadangan3[[#This Row],[ItemID A]],Katalog!$C$3:$C$12,0)),"-")</f>
        <v>Kaos Polo</v>
      </c>
      <c r="F308">
        <v>2</v>
      </c>
      <c r="G308">
        <v>5</v>
      </c>
      <c r="H308" s="36">
        <f>IFERROR(INDEX(Katalog!$D$3:$D$12,MATCH(cadangan3[[#This Row],[ItemID A]],Katalog!$C$3:$C$12,0))*cadangan3[[#This Row],[Qty A]],0)</f>
        <v>400000</v>
      </c>
      <c r="I308" s="36">
        <f>IFERROR(INDEX(Katalog!$D$3:$D$12,MATCH(cadangan3[[#This Row],[Item A]],Katalog!$B$3:$B$12,0))*cadangan3[[#This Row],[Qty A]],0)</f>
        <v>400000</v>
      </c>
      <c r="J308" s="36">
        <f>IFERROR(cadangan3[[#This Row],[Harga Asli A]]-(cadangan3[[#This Row],[Harga Asli A]]*cadangan3[[#This Row],[Diskon]]),cadangan3[[#This Row],[Harga Asli A]])</f>
        <v>340000</v>
      </c>
      <c r="K308" s="36">
        <f>INDEX(Katalog!$F$3:$F$12,MATCH(cadangan3[[#This Row],[ItemID A]],Katalog!$C$3:$C$12,0))*cadangan3[[#This Row],[Qty A]]</f>
        <v>160000</v>
      </c>
      <c r="L308" s="36">
        <f>IFERROR(cadangan3[[#This Row],[Profit A]]-(cadangan3[[#This Row],[Profit A]]*cadangan3[[#This Row],[Diskon]]),K308)</f>
        <v>136000</v>
      </c>
      <c r="M308" t="s">
        <v>64</v>
      </c>
      <c r="N308" t="str">
        <f>IFERROR(INDEX(Katalog!$A$3:$A$12,MATCH(cadangan3[[#This Row],[ItemID B]],Katalog!$C$3:$C$12,0)),"-")</f>
        <v>Pakaian Unisex</v>
      </c>
      <c r="O308" t="str">
        <f>IFERROR(INDEX(Katalog!$B$3:$B$12,MATCH(cadangan3[[#This Row],[ItemID B]],Katalog!$C$3:$C$12,0)),"-")</f>
        <v>Jaket Hoodie</v>
      </c>
      <c r="P308">
        <v>2</v>
      </c>
      <c r="Q308">
        <v>2</v>
      </c>
      <c r="R308" s="36">
        <f>IFERROR(INDEX(Katalog!$D$3:$D$12,MATCH(cadangan3[[#This Row],[ItemID B]],Katalog!$C$3:$C$12,0))*cadangan3[[#This Row],[Qty B]],0)</f>
        <v>700000</v>
      </c>
      <c r="S308" s="36">
        <f>IFERROR(INDEX(Katalog!$D$3:$D$12,MATCH(cadangan3[[#This Row],[Item B]],Katalog!$B$3:$B$12,0))*cadangan3[[#This Row],[Qty B]],0)</f>
        <v>700000</v>
      </c>
      <c r="T308" s="36">
        <f>IFERROR(cadangan3[[#This Row],[Harga Asli B]]-(cadangan3[[#This Row],[Harga Asli B]]*cadangan3[[#This Row],[Diskon]]),cadangan3[[#This Row],[Harga Asli B]])</f>
        <v>595000</v>
      </c>
      <c r="U308" s="36">
        <f>IFERROR(INDEX(Katalog!$F$3:$F$12,MATCH(cadangan3[[#This Row],[ItemID B]],Katalog!$C$3:$C$12,0))*cadangan3[[#This Row],[Qty B]],0)</f>
        <v>260000</v>
      </c>
      <c r="V308" s="36">
        <f>IFERROR(cadangan3[[#This Row],[Profit B]]-(cadangan3[[#This Row],[Profit B]]*cadangan3[[#This Row],[Diskon]]),U308)</f>
        <v>221000</v>
      </c>
      <c r="X308" t="str">
        <f>IFERROR(INDEX(Katalog!$A$3:$A$12,MATCH(cadangan3[[#This Row],[ItemID C]],Katalog!$C$3:$C$12,0)),"-")</f>
        <v>-</v>
      </c>
      <c r="Y308" t="str">
        <f>IFERROR(INDEX(Katalog!$B$3:$B$12,MATCH(cadangan3[[#This Row],[ItemID C]],Katalog!$C$3:$C$12,0)),"-")</f>
        <v>-</v>
      </c>
      <c r="AB308" s="36">
        <f>IFERROR(INDEX(Katalog!$D$3:$D$12,MATCH(cadangan3[[#This Row],[ItemID C]],Katalog!$C$3:$C$12,0))*cadangan3[[#This Row],[Qty C]],0)</f>
        <v>0</v>
      </c>
      <c r="AC308" s="36">
        <f>IFERROR(INDEX(Katalog!$D$3:$D$12,MATCH(cadangan3[[#This Row],[Item C]],Katalog!$B$3:$B$12,0))*cadangan3[[#This Row],[Qty C]],0)</f>
        <v>0</v>
      </c>
      <c r="AD308" s="36">
        <f>IFERROR(cadangan3[[#This Row],[Harga Asli C]]-(cadangan3[[#This Row],[Harga Asli C]]*cadangan3[[#This Row],[Diskon]]),cadangan3[[#This Row],[Harga Asli C]])</f>
        <v>0</v>
      </c>
      <c r="AE308" s="36">
        <f>IFERROR(INDEX(Katalog!$F$3:$F$12,MATCH(cadangan3[[#This Row],[ItemID C]],Katalog!$C$3:$C$12,0))*cadangan3[[#This Row],[Qty C]],0)</f>
        <v>0</v>
      </c>
      <c r="AF308" s="36">
        <f>IFERROR(cadangan3[[#This Row],[Profit C]]-(cadangan3[[#This Row],[Profit C]]*cadangan3[[#This Row],[Diskon]]),cadangan3[[#This Row],[Profit C]])</f>
        <v>0</v>
      </c>
      <c r="AG308" s="21">
        <f>cadangan3[[#This Row],[Qty A]]+cadangan3[[#This Row],[Qty B]]+cadangan3[[#This Row],[Qty C]]</f>
        <v>4</v>
      </c>
      <c r="AH308" s="35">
        <f>cadangan3[[#This Row],[Harga A + Diskon]]+cadangan3[[#This Row],[Harga + Diskon B]]+cadangan3[[#This Row],[Harga + Diskon C]]</f>
        <v>935000</v>
      </c>
      <c r="AI308" s="35">
        <f>(cadangan3[[#This Row],[Profit A]]+cadangan3[[#This Row],[Profit B]]+cadangan3[[#This Row],[Profit C]])</f>
        <v>420000</v>
      </c>
      <c r="AJ308" s="35">
        <f>cadangan3[[#This Row],[Provit A + Diskon]]+cadangan3[[#This Row],[Provit B + Diskon]]+cadangan3[[#This Row],[Provit C + Diskon]]</f>
        <v>357000</v>
      </c>
      <c r="AK308" s="23" t="s">
        <v>28</v>
      </c>
      <c r="AL308" s="37">
        <f>IFERROR(INDEX('Kode Diskon'!$D$3:$D$9,MATCH(cadangan3[[#This Row],[Kode diskon]],'Kode Diskon'!$C$3:$C$9,0)),"-")</f>
        <v>0.15</v>
      </c>
      <c r="AM308" s="23" t="s">
        <v>29</v>
      </c>
      <c r="AN308" s="23" t="s">
        <v>14</v>
      </c>
      <c r="AO308" s="23" t="s">
        <v>80</v>
      </c>
      <c r="AP308" s="24">
        <v>45022</v>
      </c>
      <c r="AQ308" s="23" t="str">
        <f>TEXT(cadangan3[[#This Row],[Tanggal terjual]],"dddd")</f>
        <v>Thursday</v>
      </c>
    </row>
    <row r="309" spans="1:43" x14ac:dyDescent="0.2">
      <c r="A309" s="20">
        <v>308</v>
      </c>
      <c r="B309" s="21" t="str">
        <f>_xlfn.CONCAT("ORD-",INDEX(Helper!$B$2:$B$5,MATCH(cadangan3[[#This Row],[Marketplace]],Helper!$A$2:$A$5,0)),TEXT(cadangan3[[#This Row],[No]],"0000"),"-",TEXT(cadangan3[[#This Row],[Tanggal terjual]],"dd/mm/yy"))</f>
        <v>ORD-TK0308-18/04/23</v>
      </c>
      <c r="C309" t="s">
        <v>61</v>
      </c>
      <c r="D309" t="str">
        <f>IFERROR(INDEX(Katalog!$A$3:$A$12,MATCH(cadangan3[[#This Row],[ItemID A]],Katalog!$C$3:$C$12,0)),"-")</f>
        <v>Pakaian Pria</v>
      </c>
      <c r="E309" t="str">
        <f>IFERROR(INDEX(Katalog!$B$3:$B$12,MATCH(cadangan3[[#This Row],[ItemID A]],Katalog!$C$3:$C$12,0)),"-")</f>
        <v>Kaos Polo</v>
      </c>
      <c r="F309">
        <v>5</v>
      </c>
      <c r="G309">
        <v>4</v>
      </c>
      <c r="H309" s="36">
        <f>IFERROR(INDEX(Katalog!$D$3:$D$12,MATCH(cadangan3[[#This Row],[ItemID A]],Katalog!$C$3:$C$12,0))*cadangan3[[#This Row],[Qty A]],0)</f>
        <v>1000000</v>
      </c>
      <c r="I309" s="36">
        <f>IFERROR(INDEX(Katalog!$D$3:$D$12,MATCH(cadangan3[[#This Row],[Item A]],Katalog!$B$3:$B$12,0))*cadangan3[[#This Row],[Qty A]],0)</f>
        <v>1000000</v>
      </c>
      <c r="J309" s="36">
        <f>IFERROR(cadangan3[[#This Row],[Harga Asli A]]-(cadangan3[[#This Row],[Harga Asli A]]*cadangan3[[#This Row],[Diskon]]),cadangan3[[#This Row],[Harga Asli A]])</f>
        <v>900000</v>
      </c>
      <c r="K309" s="36">
        <f>INDEX(Katalog!$F$3:$F$12,MATCH(cadangan3[[#This Row],[ItemID A]],Katalog!$C$3:$C$12,0))*cadangan3[[#This Row],[Qty A]]</f>
        <v>400000</v>
      </c>
      <c r="L309" s="36">
        <f>IFERROR(cadangan3[[#This Row],[Profit A]]-(cadangan3[[#This Row],[Profit A]]*cadangan3[[#This Row],[Diskon]]),K309)</f>
        <v>360000</v>
      </c>
      <c r="M309" t="s">
        <v>65</v>
      </c>
      <c r="N309" t="str">
        <f>IFERROR(INDEX(Katalog!$A$3:$A$12,MATCH(cadangan3[[#This Row],[ItemID B]],Katalog!$C$3:$C$12,0)),"-")</f>
        <v>Sepatu Pria</v>
      </c>
      <c r="O309" t="str">
        <f>IFERROR(INDEX(Katalog!$B$3:$B$12,MATCH(cadangan3[[#This Row],[ItemID B]],Katalog!$C$3:$C$12,0)),"-")</f>
        <v>Sneakers</v>
      </c>
      <c r="P309">
        <v>2</v>
      </c>
      <c r="Q309">
        <v>3</v>
      </c>
      <c r="R309" s="36">
        <f>IFERROR(INDEX(Katalog!$D$3:$D$12,MATCH(cadangan3[[#This Row],[ItemID B]],Katalog!$C$3:$C$12,0))*cadangan3[[#This Row],[Qty B]],0)</f>
        <v>1000000</v>
      </c>
      <c r="S309" s="36">
        <f>IFERROR(INDEX(Katalog!$D$3:$D$12,MATCH(cadangan3[[#This Row],[Item B]],Katalog!$B$3:$B$12,0))*cadangan3[[#This Row],[Qty B]],0)</f>
        <v>1000000</v>
      </c>
      <c r="T309" s="36">
        <f>IFERROR(cadangan3[[#This Row],[Harga Asli B]]-(cadangan3[[#This Row],[Harga Asli B]]*cadangan3[[#This Row],[Diskon]]),cadangan3[[#This Row],[Harga Asli B]])</f>
        <v>900000</v>
      </c>
      <c r="U309" s="36">
        <f>IFERROR(INDEX(Katalog!$F$3:$F$12,MATCH(cadangan3[[#This Row],[ItemID B]],Katalog!$C$3:$C$12,0))*cadangan3[[#This Row],[Qty B]],0)</f>
        <v>400000</v>
      </c>
      <c r="V309" s="36">
        <f>IFERROR(cadangan3[[#This Row],[Profit B]]-(cadangan3[[#This Row],[Profit B]]*cadangan3[[#This Row],[Diskon]]),U309)</f>
        <v>360000</v>
      </c>
      <c r="X309" t="str">
        <f>IFERROR(INDEX(Katalog!$A$3:$A$12,MATCH(cadangan3[[#This Row],[ItemID C]],Katalog!$C$3:$C$12,0)),"-")</f>
        <v>-</v>
      </c>
      <c r="Y309" t="str">
        <f>IFERROR(INDEX(Katalog!$B$3:$B$12,MATCH(cadangan3[[#This Row],[ItemID C]],Katalog!$C$3:$C$12,0)),"-")</f>
        <v>-</v>
      </c>
      <c r="AB309" s="36">
        <f>IFERROR(INDEX(Katalog!$D$3:$D$12,MATCH(cadangan3[[#This Row],[ItemID C]],Katalog!$C$3:$C$12,0))*cadangan3[[#This Row],[Qty C]],0)</f>
        <v>0</v>
      </c>
      <c r="AC309" s="36">
        <f>IFERROR(INDEX(Katalog!$D$3:$D$12,MATCH(cadangan3[[#This Row],[Item C]],Katalog!$B$3:$B$12,0))*cadangan3[[#This Row],[Qty C]],0)</f>
        <v>0</v>
      </c>
      <c r="AD309" s="36">
        <f>IFERROR(cadangan3[[#This Row],[Harga Asli C]]-(cadangan3[[#This Row],[Harga Asli C]]*cadangan3[[#This Row],[Diskon]]),cadangan3[[#This Row],[Harga Asli C]])</f>
        <v>0</v>
      </c>
      <c r="AE309" s="36">
        <f>IFERROR(INDEX(Katalog!$F$3:$F$12,MATCH(cadangan3[[#This Row],[ItemID C]],Katalog!$C$3:$C$12,0))*cadangan3[[#This Row],[Qty C]],0)</f>
        <v>0</v>
      </c>
      <c r="AF309" s="36">
        <f>IFERROR(cadangan3[[#This Row],[Profit C]]-(cadangan3[[#This Row],[Profit C]]*cadangan3[[#This Row],[Diskon]]),cadangan3[[#This Row],[Profit C]])</f>
        <v>0</v>
      </c>
      <c r="AG309" s="21">
        <f>cadangan3[[#This Row],[Qty A]]+cadangan3[[#This Row],[Qty B]]+cadangan3[[#This Row],[Qty C]]</f>
        <v>7</v>
      </c>
      <c r="AH309" s="35">
        <f>cadangan3[[#This Row],[Harga A + Diskon]]+cadangan3[[#This Row],[Harga + Diskon B]]+cadangan3[[#This Row],[Harga + Diskon C]]</f>
        <v>1800000</v>
      </c>
      <c r="AI309" s="35">
        <f>(cadangan3[[#This Row],[Profit A]]+cadangan3[[#This Row],[Profit B]]+cadangan3[[#This Row],[Profit C]])</f>
        <v>800000</v>
      </c>
      <c r="AJ309" s="35">
        <f>cadangan3[[#This Row],[Provit A + Diskon]]+cadangan3[[#This Row],[Provit B + Diskon]]+cadangan3[[#This Row],[Provit C + Diskon]]</f>
        <v>720000</v>
      </c>
      <c r="AK309" s="23" t="s">
        <v>31</v>
      </c>
      <c r="AL309" s="37">
        <f>IFERROR(INDEX('Kode Diskon'!$D$3:$D$9,MATCH(cadangan3[[#This Row],[Kode diskon]],'Kode Diskon'!$C$3:$C$9,0)),"-")</f>
        <v>0.1</v>
      </c>
      <c r="AM309" s="23" t="s">
        <v>9</v>
      </c>
      <c r="AN309" s="23" t="s">
        <v>10</v>
      </c>
      <c r="AO309" s="23" t="s">
        <v>78</v>
      </c>
      <c r="AP309" s="24">
        <v>45034</v>
      </c>
      <c r="AQ309" s="23" t="str">
        <f>TEXT(cadangan3[[#This Row],[Tanggal terjual]],"dddd")</f>
        <v>Tuesday</v>
      </c>
    </row>
    <row r="310" spans="1:43" x14ac:dyDescent="0.2">
      <c r="A310" s="20">
        <v>309</v>
      </c>
      <c r="B310" s="21" t="str">
        <f>_xlfn.CONCAT("ORD-",INDEX(Helper!$B$2:$B$5,MATCH(cadangan3[[#This Row],[Marketplace]],Helper!$A$2:$A$5,0)),TEXT(cadangan3[[#This Row],[No]],"0000"),"-",TEXT(cadangan3[[#This Row],[Tanggal terjual]],"dd/mm/yy"))</f>
        <v>ORD-BB0309-02/04/23</v>
      </c>
      <c r="C310" t="s">
        <v>59</v>
      </c>
      <c r="D310" t="str">
        <f>IFERROR(INDEX(Katalog!$A$3:$A$12,MATCH(cadangan3[[#This Row],[ItemID A]],Katalog!$C$3:$C$12,0)),"-")</f>
        <v>Pakaian Wanita</v>
      </c>
      <c r="E310" t="str">
        <f>IFERROR(INDEX(Katalog!$B$3:$B$12,MATCH(cadangan3[[#This Row],[ItemID A]],Katalog!$C$3:$C$12,0)),"-")</f>
        <v>Blouse</v>
      </c>
      <c r="F310">
        <v>2</v>
      </c>
      <c r="G310">
        <v>5</v>
      </c>
      <c r="H310" s="36">
        <f>IFERROR(INDEX(Katalog!$D$3:$D$12,MATCH(cadangan3[[#This Row],[ItemID A]],Katalog!$C$3:$C$12,0))*cadangan3[[#This Row],[Qty A]],0)</f>
        <v>300000</v>
      </c>
      <c r="I310" s="36">
        <f>IFERROR(INDEX(Katalog!$D$3:$D$12,MATCH(cadangan3[[#This Row],[Item A]],Katalog!$B$3:$B$12,0))*cadangan3[[#This Row],[Qty A]],0)</f>
        <v>300000</v>
      </c>
      <c r="J310" s="36">
        <f>IFERROR(cadangan3[[#This Row],[Harga Asli A]]-(cadangan3[[#This Row],[Harga Asli A]]*cadangan3[[#This Row],[Diskon]]),cadangan3[[#This Row],[Harga Asli A]])</f>
        <v>255000</v>
      </c>
      <c r="K310" s="36">
        <f>INDEX(Katalog!$F$3:$F$12,MATCH(cadangan3[[#This Row],[ItemID A]],Katalog!$C$3:$C$12,0))*cadangan3[[#This Row],[Qty A]]</f>
        <v>100000</v>
      </c>
      <c r="L310" s="36">
        <f>IFERROR(cadangan3[[#This Row],[Profit A]]-(cadangan3[[#This Row],[Profit A]]*cadangan3[[#This Row],[Diskon]]),K310)</f>
        <v>85000</v>
      </c>
      <c r="M310" t="s">
        <v>61</v>
      </c>
      <c r="N310" t="str">
        <f>IFERROR(INDEX(Katalog!$A$3:$A$12,MATCH(cadangan3[[#This Row],[ItemID B]],Katalog!$C$3:$C$12,0)),"-")</f>
        <v>Pakaian Pria</v>
      </c>
      <c r="O310" t="str">
        <f>IFERROR(INDEX(Katalog!$B$3:$B$12,MATCH(cadangan3[[#This Row],[ItemID B]],Katalog!$C$3:$C$12,0)),"-")</f>
        <v>Kaos Polo</v>
      </c>
      <c r="P310">
        <v>4</v>
      </c>
      <c r="Q310">
        <v>5</v>
      </c>
      <c r="R310" s="36">
        <f>IFERROR(INDEX(Katalog!$D$3:$D$12,MATCH(cadangan3[[#This Row],[ItemID B]],Katalog!$C$3:$C$12,0))*cadangan3[[#This Row],[Qty B]],0)</f>
        <v>800000</v>
      </c>
      <c r="S310" s="36">
        <f>IFERROR(INDEX(Katalog!$D$3:$D$12,MATCH(cadangan3[[#This Row],[Item B]],Katalog!$B$3:$B$12,0))*cadangan3[[#This Row],[Qty B]],0)</f>
        <v>800000</v>
      </c>
      <c r="T310" s="36">
        <f>IFERROR(cadangan3[[#This Row],[Harga Asli B]]-(cadangan3[[#This Row],[Harga Asli B]]*cadangan3[[#This Row],[Diskon]]),cadangan3[[#This Row],[Harga Asli B]])</f>
        <v>680000</v>
      </c>
      <c r="U310" s="36">
        <f>IFERROR(INDEX(Katalog!$F$3:$F$12,MATCH(cadangan3[[#This Row],[ItemID B]],Katalog!$C$3:$C$12,0))*cadangan3[[#This Row],[Qty B]],0)</f>
        <v>320000</v>
      </c>
      <c r="V310" s="36">
        <f>IFERROR(cadangan3[[#This Row],[Profit B]]-(cadangan3[[#This Row],[Profit B]]*cadangan3[[#This Row],[Diskon]]),U310)</f>
        <v>272000</v>
      </c>
      <c r="X310" t="str">
        <f>IFERROR(INDEX(Katalog!$A$3:$A$12,MATCH(cadangan3[[#This Row],[ItemID C]],Katalog!$C$3:$C$12,0)),"-")</f>
        <v>-</v>
      </c>
      <c r="Y310" t="str">
        <f>IFERROR(INDEX(Katalog!$B$3:$B$12,MATCH(cadangan3[[#This Row],[ItemID C]],Katalog!$C$3:$C$12,0)),"-")</f>
        <v>-</v>
      </c>
      <c r="AB310" s="36">
        <f>IFERROR(INDEX(Katalog!$D$3:$D$12,MATCH(cadangan3[[#This Row],[ItemID C]],Katalog!$C$3:$C$12,0))*cadangan3[[#This Row],[Qty C]],0)</f>
        <v>0</v>
      </c>
      <c r="AC310" s="36">
        <f>IFERROR(INDEX(Katalog!$D$3:$D$12,MATCH(cadangan3[[#This Row],[Item C]],Katalog!$B$3:$B$12,0))*cadangan3[[#This Row],[Qty C]],0)</f>
        <v>0</v>
      </c>
      <c r="AD310" s="36">
        <f>IFERROR(cadangan3[[#This Row],[Harga Asli C]]-(cadangan3[[#This Row],[Harga Asli C]]*cadangan3[[#This Row],[Diskon]]),cadangan3[[#This Row],[Harga Asli C]])</f>
        <v>0</v>
      </c>
      <c r="AE310" s="36">
        <f>IFERROR(INDEX(Katalog!$F$3:$F$12,MATCH(cadangan3[[#This Row],[ItemID C]],Katalog!$C$3:$C$12,0))*cadangan3[[#This Row],[Qty C]],0)</f>
        <v>0</v>
      </c>
      <c r="AF310" s="36">
        <f>IFERROR(cadangan3[[#This Row],[Profit C]]-(cadangan3[[#This Row],[Profit C]]*cadangan3[[#This Row],[Diskon]]),cadangan3[[#This Row],[Profit C]])</f>
        <v>0</v>
      </c>
      <c r="AG310" s="21">
        <f>cadangan3[[#This Row],[Qty A]]+cadangan3[[#This Row],[Qty B]]+cadangan3[[#This Row],[Qty C]]</f>
        <v>6</v>
      </c>
      <c r="AH310" s="35">
        <f>cadangan3[[#This Row],[Harga A + Diskon]]+cadangan3[[#This Row],[Harga + Diskon B]]+cadangan3[[#This Row],[Harga + Diskon C]]</f>
        <v>935000</v>
      </c>
      <c r="AI310" s="35">
        <f>(cadangan3[[#This Row],[Profit A]]+cadangan3[[#This Row],[Profit B]]+cadangan3[[#This Row],[Profit C]])</f>
        <v>420000</v>
      </c>
      <c r="AJ310" s="35">
        <f>cadangan3[[#This Row],[Provit A + Diskon]]+cadangan3[[#This Row],[Provit B + Diskon]]+cadangan3[[#This Row],[Provit C + Diskon]]</f>
        <v>357000</v>
      </c>
      <c r="AK310" s="23" t="s">
        <v>28</v>
      </c>
      <c r="AL310" s="37">
        <f>IFERROR(INDEX('Kode Diskon'!$D$3:$D$9,MATCH(cadangan3[[#This Row],[Kode diskon]],'Kode Diskon'!$C$3:$C$9,0)),"-")</f>
        <v>0.15</v>
      </c>
      <c r="AM310" s="23" t="s">
        <v>29</v>
      </c>
      <c r="AN310" s="23" t="s">
        <v>14</v>
      </c>
      <c r="AO310" s="23" t="s">
        <v>80</v>
      </c>
      <c r="AP310" s="24">
        <v>45018</v>
      </c>
      <c r="AQ310" s="23" t="str">
        <f>TEXT(cadangan3[[#This Row],[Tanggal terjual]],"dddd")</f>
        <v>Sunday</v>
      </c>
    </row>
    <row r="311" spans="1:43" x14ac:dyDescent="0.2">
      <c r="A311" s="20">
        <v>310</v>
      </c>
      <c r="B311" s="21" t="str">
        <f>_xlfn.CONCAT("ORD-",INDEX(Helper!$B$2:$B$5,MATCH(cadangan3[[#This Row],[Marketplace]],Helper!$A$2:$A$5,0)),TEXT(cadangan3[[#This Row],[No]],"0000"),"-",TEXT(cadangan3[[#This Row],[Tanggal terjual]],"dd/mm/yy"))</f>
        <v>ORD-BL0310-20/04/23</v>
      </c>
      <c r="C311" t="s">
        <v>59</v>
      </c>
      <c r="D311" t="str">
        <f>IFERROR(INDEX(Katalog!$A$3:$A$12,MATCH(cadangan3[[#This Row],[ItemID A]],Katalog!$C$3:$C$12,0)),"-")</f>
        <v>Pakaian Wanita</v>
      </c>
      <c r="E311" t="str">
        <f>IFERROR(INDEX(Katalog!$B$3:$B$12,MATCH(cadangan3[[#This Row],[ItemID A]],Katalog!$C$3:$C$12,0)),"-")</f>
        <v>Blouse</v>
      </c>
      <c r="F311">
        <v>3</v>
      </c>
      <c r="G311">
        <v>1</v>
      </c>
      <c r="H311" s="36">
        <f>IFERROR(INDEX(Katalog!$D$3:$D$12,MATCH(cadangan3[[#This Row],[ItemID A]],Katalog!$C$3:$C$12,0))*cadangan3[[#This Row],[Qty A]],0)</f>
        <v>450000</v>
      </c>
      <c r="I311" s="36">
        <f>IFERROR(INDEX(Katalog!$D$3:$D$12,MATCH(cadangan3[[#This Row],[Item A]],Katalog!$B$3:$B$12,0))*cadangan3[[#This Row],[Qty A]],0)</f>
        <v>450000</v>
      </c>
      <c r="J311" s="36">
        <f>IFERROR(cadangan3[[#This Row],[Harga Asli A]]-(cadangan3[[#This Row],[Harga Asli A]]*cadangan3[[#This Row],[Diskon]]),cadangan3[[#This Row],[Harga Asli A]])</f>
        <v>382500</v>
      </c>
      <c r="K311" s="36">
        <f>INDEX(Katalog!$F$3:$F$12,MATCH(cadangan3[[#This Row],[ItemID A]],Katalog!$C$3:$C$12,0))*cadangan3[[#This Row],[Qty A]]</f>
        <v>150000</v>
      </c>
      <c r="L311" s="36">
        <f>IFERROR(cadangan3[[#This Row],[Profit A]]-(cadangan3[[#This Row],[Profit A]]*cadangan3[[#This Row],[Diskon]]),K311)</f>
        <v>127500</v>
      </c>
      <c r="M311" t="s">
        <v>62</v>
      </c>
      <c r="N311" t="str">
        <f>IFERROR(INDEX(Katalog!$A$3:$A$12,MATCH(cadangan3[[#This Row],[ItemID B]],Katalog!$C$3:$C$12,0)),"-")</f>
        <v>Pakaian Pria</v>
      </c>
      <c r="O311" t="str">
        <f>IFERROR(INDEX(Katalog!$B$3:$B$12,MATCH(cadangan3[[#This Row],[ItemID B]],Katalog!$C$3:$C$12,0)),"-")</f>
        <v>Celana Pendek</v>
      </c>
      <c r="P311">
        <v>2</v>
      </c>
      <c r="Q311">
        <v>4</v>
      </c>
      <c r="R311" s="36">
        <f>IFERROR(INDEX(Katalog!$D$3:$D$12,MATCH(cadangan3[[#This Row],[ItemID B]],Katalog!$C$3:$C$12,0))*cadangan3[[#This Row],[Qty B]],0)</f>
        <v>360000</v>
      </c>
      <c r="S311" s="36">
        <f>IFERROR(INDEX(Katalog!$D$3:$D$12,MATCH(cadangan3[[#This Row],[Item B]],Katalog!$B$3:$B$12,0))*cadangan3[[#This Row],[Qty B]],0)</f>
        <v>360000</v>
      </c>
      <c r="T311" s="36">
        <f>IFERROR(cadangan3[[#This Row],[Harga Asli B]]-(cadangan3[[#This Row],[Harga Asli B]]*cadangan3[[#This Row],[Diskon]]),cadangan3[[#This Row],[Harga Asli B]])</f>
        <v>306000</v>
      </c>
      <c r="U311" s="36">
        <f>IFERROR(INDEX(Katalog!$F$3:$F$12,MATCH(cadangan3[[#This Row],[ItemID B]],Katalog!$C$3:$C$12,0))*cadangan3[[#This Row],[Qty B]],0)</f>
        <v>140000</v>
      </c>
      <c r="V311" s="36">
        <f>IFERROR(cadangan3[[#This Row],[Profit B]]-(cadangan3[[#This Row],[Profit B]]*cadangan3[[#This Row],[Diskon]]),U311)</f>
        <v>119000</v>
      </c>
      <c r="X311" t="str">
        <f>IFERROR(INDEX(Katalog!$A$3:$A$12,MATCH(cadangan3[[#This Row],[ItemID C]],Katalog!$C$3:$C$12,0)),"-")</f>
        <v>-</v>
      </c>
      <c r="Y311" t="str">
        <f>IFERROR(INDEX(Katalog!$B$3:$B$12,MATCH(cadangan3[[#This Row],[ItemID C]],Katalog!$C$3:$C$12,0)),"-")</f>
        <v>-</v>
      </c>
      <c r="AB311" s="36">
        <f>IFERROR(INDEX(Katalog!$D$3:$D$12,MATCH(cadangan3[[#This Row],[ItemID C]],Katalog!$C$3:$C$12,0))*cadangan3[[#This Row],[Qty C]],0)</f>
        <v>0</v>
      </c>
      <c r="AC311" s="36">
        <f>IFERROR(INDEX(Katalog!$D$3:$D$12,MATCH(cadangan3[[#This Row],[Item C]],Katalog!$B$3:$B$12,0))*cadangan3[[#This Row],[Qty C]],0)</f>
        <v>0</v>
      </c>
      <c r="AD311" s="36">
        <f>IFERROR(cadangan3[[#This Row],[Harga Asli C]]-(cadangan3[[#This Row],[Harga Asli C]]*cadangan3[[#This Row],[Diskon]]),cadangan3[[#This Row],[Harga Asli C]])</f>
        <v>0</v>
      </c>
      <c r="AE311" s="36">
        <f>IFERROR(INDEX(Katalog!$F$3:$F$12,MATCH(cadangan3[[#This Row],[ItemID C]],Katalog!$C$3:$C$12,0))*cadangan3[[#This Row],[Qty C]],0)</f>
        <v>0</v>
      </c>
      <c r="AF311" s="36">
        <f>IFERROR(cadangan3[[#This Row],[Profit C]]-(cadangan3[[#This Row],[Profit C]]*cadangan3[[#This Row],[Diskon]]),cadangan3[[#This Row],[Profit C]])</f>
        <v>0</v>
      </c>
      <c r="AG311" s="21">
        <f>cadangan3[[#This Row],[Qty A]]+cadangan3[[#This Row],[Qty B]]+cadangan3[[#This Row],[Qty C]]</f>
        <v>5</v>
      </c>
      <c r="AH311" s="35">
        <f>cadangan3[[#This Row],[Harga A + Diskon]]+cadangan3[[#This Row],[Harga + Diskon B]]+cadangan3[[#This Row],[Harga + Diskon C]]</f>
        <v>688500</v>
      </c>
      <c r="AI311" s="35">
        <f>(cadangan3[[#This Row],[Profit A]]+cadangan3[[#This Row],[Profit B]]+cadangan3[[#This Row],[Profit C]])</f>
        <v>290000</v>
      </c>
      <c r="AJ311" s="35">
        <f>cadangan3[[#This Row],[Provit A + Diskon]]+cadangan3[[#This Row],[Provit B + Diskon]]+cadangan3[[#This Row],[Provit C + Diskon]]</f>
        <v>246500</v>
      </c>
      <c r="AK311" s="23" t="s">
        <v>32</v>
      </c>
      <c r="AL311" s="37">
        <f>IFERROR(INDEX('Kode Diskon'!$D$3:$D$9,MATCH(cadangan3[[#This Row],[Kode diskon]],'Kode Diskon'!$C$3:$C$9,0)),"-")</f>
        <v>0.15</v>
      </c>
      <c r="AM311" s="23" t="s">
        <v>9</v>
      </c>
      <c r="AN311" s="23" t="s">
        <v>12</v>
      </c>
      <c r="AO311" s="23" t="s">
        <v>80</v>
      </c>
      <c r="AP311" s="24">
        <v>45036</v>
      </c>
      <c r="AQ311" s="23" t="str">
        <f>TEXT(cadangan3[[#This Row],[Tanggal terjual]],"dddd")</f>
        <v>Thursday</v>
      </c>
    </row>
    <row r="312" spans="1:43" x14ac:dyDescent="0.2">
      <c r="A312" s="20">
        <v>311</v>
      </c>
      <c r="B312" s="21" t="str">
        <f>_xlfn.CONCAT("ORD-",INDEX(Helper!$B$2:$B$5,MATCH(cadangan3[[#This Row],[Marketplace]],Helper!$A$2:$A$5,0)),TEXT(cadangan3[[#This Row],[No]],"0000"),"-",TEXT(cadangan3[[#This Row],[Tanggal terjual]],"dd/mm/yy"))</f>
        <v>ORD-SP0311-01/04/23</v>
      </c>
      <c r="C312" t="s">
        <v>62</v>
      </c>
      <c r="D312" t="str">
        <f>IFERROR(INDEX(Katalog!$A$3:$A$12,MATCH(cadangan3[[#This Row],[ItemID A]],Katalog!$C$3:$C$12,0)),"-")</f>
        <v>Pakaian Pria</v>
      </c>
      <c r="E312" t="str">
        <f>IFERROR(INDEX(Katalog!$B$3:$B$12,MATCH(cadangan3[[#This Row],[ItemID A]],Katalog!$C$3:$C$12,0)),"-")</f>
        <v>Celana Pendek</v>
      </c>
      <c r="F312">
        <v>3</v>
      </c>
      <c r="G312">
        <v>2</v>
      </c>
      <c r="H312" s="36">
        <f>IFERROR(INDEX(Katalog!$D$3:$D$12,MATCH(cadangan3[[#This Row],[ItemID A]],Katalog!$C$3:$C$12,0))*cadangan3[[#This Row],[Qty A]],0)</f>
        <v>540000</v>
      </c>
      <c r="I312" s="36">
        <f>IFERROR(INDEX(Katalog!$D$3:$D$12,MATCH(cadangan3[[#This Row],[Item A]],Katalog!$B$3:$B$12,0))*cadangan3[[#This Row],[Qty A]],0)</f>
        <v>540000</v>
      </c>
      <c r="J312" s="36">
        <f>IFERROR(cadangan3[[#This Row],[Harga Asli A]]-(cadangan3[[#This Row],[Harga Asli A]]*cadangan3[[#This Row],[Diskon]]),cadangan3[[#This Row],[Harga Asli A]])</f>
        <v>486000</v>
      </c>
      <c r="K312" s="36">
        <f>INDEX(Katalog!$F$3:$F$12,MATCH(cadangan3[[#This Row],[ItemID A]],Katalog!$C$3:$C$12,0))*cadangan3[[#This Row],[Qty A]]</f>
        <v>210000</v>
      </c>
      <c r="L312" s="36">
        <f>IFERROR(cadangan3[[#This Row],[Profit A]]-(cadangan3[[#This Row],[Profit A]]*cadangan3[[#This Row],[Diskon]]),K312)</f>
        <v>189000</v>
      </c>
      <c r="M312" t="s">
        <v>66</v>
      </c>
      <c r="N312" t="str">
        <f>IFERROR(INDEX(Katalog!$A$3:$A$12,MATCH(cadangan3[[#This Row],[ItemID B]],Katalog!$C$3:$C$12,0)),"-")</f>
        <v>Sepatu Pria</v>
      </c>
      <c r="O312" t="str">
        <f>IFERROR(INDEX(Katalog!$B$3:$B$12,MATCH(cadangan3[[#This Row],[ItemID B]],Katalog!$C$3:$C$12,0)),"-")</f>
        <v>Sandal Slip On</v>
      </c>
      <c r="P312">
        <v>2</v>
      </c>
      <c r="Q312">
        <v>1</v>
      </c>
      <c r="R312" s="36">
        <f>IFERROR(INDEX(Katalog!$D$3:$D$12,MATCH(cadangan3[[#This Row],[ItemID B]],Katalog!$C$3:$C$12,0))*cadangan3[[#This Row],[Qty B]],0)</f>
        <v>300000</v>
      </c>
      <c r="S312" s="36">
        <f>IFERROR(INDEX(Katalog!$D$3:$D$12,MATCH(cadangan3[[#This Row],[Item B]],Katalog!$B$3:$B$12,0))*cadangan3[[#This Row],[Qty B]],0)</f>
        <v>300000</v>
      </c>
      <c r="T312" s="36">
        <f>IFERROR(cadangan3[[#This Row],[Harga Asli B]]-(cadangan3[[#This Row],[Harga Asli B]]*cadangan3[[#This Row],[Diskon]]),cadangan3[[#This Row],[Harga Asli B]])</f>
        <v>270000</v>
      </c>
      <c r="U312" s="36">
        <f>IFERROR(INDEX(Katalog!$F$3:$F$12,MATCH(cadangan3[[#This Row],[ItemID B]],Katalog!$C$3:$C$12,0))*cadangan3[[#This Row],[Qty B]],0)</f>
        <v>120000</v>
      </c>
      <c r="V312" s="36">
        <f>IFERROR(cadangan3[[#This Row],[Profit B]]-(cadangan3[[#This Row],[Profit B]]*cadangan3[[#This Row],[Diskon]]),U312)</f>
        <v>108000</v>
      </c>
      <c r="W312" t="s">
        <v>58</v>
      </c>
      <c r="X312" t="str">
        <f>IFERROR(INDEX(Katalog!$A$3:$A$12,MATCH(cadangan3[[#This Row],[ItemID C]],Katalog!$C$3:$C$12,0)),"-")</f>
        <v>Pakaian Wanita</v>
      </c>
      <c r="Y312" t="str">
        <f>IFERROR(INDEX(Katalog!$B$3:$B$12,MATCH(cadangan3[[#This Row],[ItemID C]],Katalog!$C$3:$C$12,0)),"-")</f>
        <v>Dress</v>
      </c>
      <c r="Z312">
        <v>2</v>
      </c>
      <c r="AA312">
        <v>4</v>
      </c>
      <c r="AB312" s="36">
        <f>IFERROR(INDEX(Katalog!$D$3:$D$12,MATCH(cadangan3[[#This Row],[ItemID C]],Katalog!$C$3:$C$12,0))*cadangan3[[#This Row],[Qty C]],0)</f>
        <v>600000</v>
      </c>
      <c r="AC312" s="36">
        <f>IFERROR(INDEX(Katalog!$D$3:$D$12,MATCH(cadangan3[[#This Row],[Item C]],Katalog!$B$3:$B$12,0))*cadangan3[[#This Row],[Qty C]],0)</f>
        <v>600000</v>
      </c>
      <c r="AD312" s="36">
        <f>IFERROR(cadangan3[[#This Row],[Harga Asli C]]-(cadangan3[[#This Row],[Harga Asli C]]*cadangan3[[#This Row],[Diskon]]),cadangan3[[#This Row],[Harga Asli C]])</f>
        <v>540000</v>
      </c>
      <c r="AE312" s="36">
        <f>IFERROR(INDEX(Katalog!$F$3:$F$12,MATCH(cadangan3[[#This Row],[ItemID C]],Katalog!$C$3:$C$12,0))*cadangan3[[#This Row],[Qty C]],0)</f>
        <v>200000</v>
      </c>
      <c r="AF312" s="36">
        <f>IFERROR(cadangan3[[#This Row],[Profit C]]-(cadangan3[[#This Row],[Profit C]]*cadangan3[[#This Row],[Diskon]]),cadangan3[[#This Row],[Profit C]])</f>
        <v>180000</v>
      </c>
      <c r="AG312" s="21">
        <f>cadangan3[[#This Row],[Qty A]]+cadangan3[[#This Row],[Qty B]]+cadangan3[[#This Row],[Qty C]]</f>
        <v>7</v>
      </c>
      <c r="AH312" s="35">
        <f>cadangan3[[#This Row],[Harga A + Diskon]]+cadangan3[[#This Row],[Harga + Diskon B]]+cadangan3[[#This Row],[Harga + Diskon C]]</f>
        <v>1296000</v>
      </c>
      <c r="AI312" s="35">
        <f>(cadangan3[[#This Row],[Profit A]]+cadangan3[[#This Row],[Profit B]]+cadangan3[[#This Row],[Profit C]])</f>
        <v>530000</v>
      </c>
      <c r="AJ312" s="35">
        <f>cadangan3[[#This Row],[Provit A + Diskon]]+cadangan3[[#This Row],[Provit B + Diskon]]+cadangan3[[#This Row],[Provit C + Diskon]]</f>
        <v>477000</v>
      </c>
      <c r="AK312" s="23" t="s">
        <v>6</v>
      </c>
      <c r="AL312" s="37">
        <f>IFERROR(INDEX('Kode Diskon'!$D$3:$D$9,MATCH(cadangan3[[#This Row],[Kode diskon]],'Kode Diskon'!$C$3:$C$9,0)),"-")</f>
        <v>0.1</v>
      </c>
      <c r="AM312" s="23" t="s">
        <v>29</v>
      </c>
      <c r="AN312" s="23" t="s">
        <v>7</v>
      </c>
      <c r="AO312" s="23" t="s">
        <v>75</v>
      </c>
      <c r="AP312" s="24">
        <v>45017</v>
      </c>
      <c r="AQ312" s="23" t="str">
        <f>TEXT(cadangan3[[#This Row],[Tanggal terjual]],"dddd")</f>
        <v>Saturday</v>
      </c>
    </row>
    <row r="313" spans="1:43" x14ac:dyDescent="0.2">
      <c r="A313" s="20">
        <v>312</v>
      </c>
      <c r="B313" s="21" t="str">
        <f>_xlfn.CONCAT("ORD-",INDEX(Helper!$B$2:$B$5,MATCH(cadangan3[[#This Row],[Marketplace]],Helper!$A$2:$A$5,0)),TEXT(cadangan3[[#This Row],[No]],"0000"),"-",TEXT(cadangan3[[#This Row],[Tanggal terjual]],"dd/mm/yy"))</f>
        <v>ORD-TK0312-26/04/23</v>
      </c>
      <c r="C313" t="s">
        <v>65</v>
      </c>
      <c r="D313" t="str">
        <f>IFERROR(INDEX(Katalog!$A$3:$A$12,MATCH(cadangan3[[#This Row],[ItemID A]],Katalog!$C$3:$C$12,0)),"-")</f>
        <v>Sepatu Pria</v>
      </c>
      <c r="E313" t="str">
        <f>IFERROR(INDEX(Katalog!$B$3:$B$12,MATCH(cadangan3[[#This Row],[ItemID A]],Katalog!$C$3:$C$12,0)),"-")</f>
        <v>Sneakers</v>
      </c>
      <c r="F313">
        <v>2</v>
      </c>
      <c r="G313">
        <v>5</v>
      </c>
      <c r="H313" s="36">
        <f>IFERROR(INDEX(Katalog!$D$3:$D$12,MATCH(cadangan3[[#This Row],[ItemID A]],Katalog!$C$3:$C$12,0))*cadangan3[[#This Row],[Qty A]],0)</f>
        <v>1000000</v>
      </c>
      <c r="I313" s="36">
        <f>IFERROR(INDEX(Katalog!$D$3:$D$12,MATCH(cadangan3[[#This Row],[Item A]],Katalog!$B$3:$B$12,0))*cadangan3[[#This Row],[Qty A]],0)</f>
        <v>1000000</v>
      </c>
      <c r="J313" s="36">
        <f>IFERROR(cadangan3[[#This Row],[Harga Asli A]]-(cadangan3[[#This Row],[Harga Asli A]]*cadangan3[[#This Row],[Diskon]]),cadangan3[[#This Row],[Harga Asli A]])</f>
        <v>900000</v>
      </c>
      <c r="K313" s="36">
        <f>INDEX(Katalog!$F$3:$F$12,MATCH(cadangan3[[#This Row],[ItemID A]],Katalog!$C$3:$C$12,0))*cadangan3[[#This Row],[Qty A]]</f>
        <v>400000</v>
      </c>
      <c r="L313" s="36">
        <f>IFERROR(cadangan3[[#This Row],[Profit A]]-(cadangan3[[#This Row],[Profit A]]*cadangan3[[#This Row],[Diskon]]),K313)</f>
        <v>360000</v>
      </c>
      <c r="M313" t="s">
        <v>60</v>
      </c>
      <c r="N313" t="str">
        <f>IFERROR(INDEX(Katalog!$A$3:$A$12,MATCH(cadangan3[[#This Row],[ItemID B]],Katalog!$C$3:$C$12,0)),"-")</f>
        <v>Pakaian Wanita</v>
      </c>
      <c r="O313" t="str">
        <f>IFERROR(INDEX(Katalog!$B$3:$B$12,MATCH(cadangan3[[#This Row],[ItemID B]],Katalog!$C$3:$C$12,0)),"-")</f>
        <v>Kaftan</v>
      </c>
      <c r="P313">
        <v>1</v>
      </c>
      <c r="Q313">
        <v>3</v>
      </c>
      <c r="R313" s="36">
        <f>IFERROR(INDEX(Katalog!$D$3:$D$12,MATCH(cadangan3[[#This Row],[ItemID B]],Katalog!$C$3:$C$12,0))*cadangan3[[#This Row],[Qty B]],0)</f>
        <v>250000</v>
      </c>
      <c r="S313" s="36">
        <f>IFERROR(INDEX(Katalog!$D$3:$D$12,MATCH(cadangan3[[#This Row],[Item B]],Katalog!$B$3:$B$12,0))*cadangan3[[#This Row],[Qty B]],0)</f>
        <v>250000</v>
      </c>
      <c r="T313" s="36">
        <f>IFERROR(cadangan3[[#This Row],[Harga Asli B]]-(cadangan3[[#This Row],[Harga Asli B]]*cadangan3[[#This Row],[Diskon]]),cadangan3[[#This Row],[Harga Asli B]])</f>
        <v>225000</v>
      </c>
      <c r="U313" s="36">
        <f>IFERROR(INDEX(Katalog!$F$3:$F$12,MATCH(cadangan3[[#This Row],[ItemID B]],Katalog!$C$3:$C$12,0))*cadangan3[[#This Row],[Qty B]],0)</f>
        <v>100000</v>
      </c>
      <c r="V313" s="36">
        <f>IFERROR(cadangan3[[#This Row],[Profit B]]-(cadangan3[[#This Row],[Profit B]]*cadangan3[[#This Row],[Diskon]]),U313)</f>
        <v>90000</v>
      </c>
      <c r="W313" t="s">
        <v>66</v>
      </c>
      <c r="X313" t="str">
        <f>IFERROR(INDEX(Katalog!$A$3:$A$12,MATCH(cadangan3[[#This Row],[ItemID C]],Katalog!$C$3:$C$12,0)),"-")</f>
        <v>Sepatu Pria</v>
      </c>
      <c r="Y313" t="str">
        <f>IFERROR(INDEX(Katalog!$B$3:$B$12,MATCH(cadangan3[[#This Row],[ItemID C]],Katalog!$C$3:$C$12,0)),"-")</f>
        <v>Sandal Slip On</v>
      </c>
      <c r="Z313">
        <v>1</v>
      </c>
      <c r="AA313">
        <v>2</v>
      </c>
      <c r="AB313" s="36">
        <f>IFERROR(INDEX(Katalog!$D$3:$D$12,MATCH(cadangan3[[#This Row],[ItemID C]],Katalog!$C$3:$C$12,0))*cadangan3[[#This Row],[Qty C]],0)</f>
        <v>150000</v>
      </c>
      <c r="AC313" s="36">
        <f>IFERROR(INDEX(Katalog!$D$3:$D$12,MATCH(cadangan3[[#This Row],[Item C]],Katalog!$B$3:$B$12,0))*cadangan3[[#This Row],[Qty C]],0)</f>
        <v>150000</v>
      </c>
      <c r="AD313" s="36">
        <f>IFERROR(cadangan3[[#This Row],[Harga Asli C]]-(cadangan3[[#This Row],[Harga Asli C]]*cadangan3[[#This Row],[Diskon]]),cadangan3[[#This Row],[Harga Asli C]])</f>
        <v>135000</v>
      </c>
      <c r="AE313" s="36">
        <f>IFERROR(INDEX(Katalog!$F$3:$F$12,MATCH(cadangan3[[#This Row],[ItemID C]],Katalog!$C$3:$C$12,0))*cadangan3[[#This Row],[Qty C]],0)</f>
        <v>60000</v>
      </c>
      <c r="AF313" s="36">
        <f>IFERROR(cadangan3[[#This Row],[Profit C]]-(cadangan3[[#This Row],[Profit C]]*cadangan3[[#This Row],[Diskon]]),cadangan3[[#This Row],[Profit C]])</f>
        <v>54000</v>
      </c>
      <c r="AG313" s="21">
        <f>cadangan3[[#This Row],[Qty A]]+cadangan3[[#This Row],[Qty B]]+cadangan3[[#This Row],[Qty C]]</f>
        <v>4</v>
      </c>
      <c r="AH313" s="35">
        <f>cadangan3[[#This Row],[Harga A + Diskon]]+cadangan3[[#This Row],[Harga + Diskon B]]+cadangan3[[#This Row],[Harga + Diskon C]]</f>
        <v>1260000</v>
      </c>
      <c r="AI313" s="35">
        <f>(cadangan3[[#This Row],[Profit A]]+cadangan3[[#This Row],[Profit B]]+cadangan3[[#This Row],[Profit C]])</f>
        <v>560000</v>
      </c>
      <c r="AJ313" s="35">
        <f>cadangan3[[#This Row],[Provit A + Diskon]]+cadangan3[[#This Row],[Provit B + Diskon]]+cadangan3[[#This Row],[Provit C + Diskon]]</f>
        <v>504000</v>
      </c>
      <c r="AK313" s="23" t="s">
        <v>31</v>
      </c>
      <c r="AL313" s="37">
        <f>IFERROR(INDEX('Kode Diskon'!$D$3:$D$9,MATCH(cadangan3[[#This Row],[Kode diskon]],'Kode Diskon'!$C$3:$C$9,0)),"-")</f>
        <v>0.1</v>
      </c>
      <c r="AM313" s="23" t="s">
        <v>9</v>
      </c>
      <c r="AN313" s="23" t="s">
        <v>10</v>
      </c>
      <c r="AO313" s="23" t="s">
        <v>75</v>
      </c>
      <c r="AP313" s="24">
        <v>45042</v>
      </c>
      <c r="AQ313" s="23" t="str">
        <f>TEXT(cadangan3[[#This Row],[Tanggal terjual]],"dddd")</f>
        <v>Wednesday</v>
      </c>
    </row>
    <row r="314" spans="1:43" x14ac:dyDescent="0.2">
      <c r="A314" s="20">
        <v>313</v>
      </c>
      <c r="B314" s="21" t="str">
        <f>_xlfn.CONCAT("ORD-",INDEX(Helper!$B$2:$B$5,MATCH(cadangan3[[#This Row],[Marketplace]],Helper!$A$2:$A$5,0)),TEXT(cadangan3[[#This Row],[No]],"0000"),"-",TEXT(cadangan3[[#This Row],[Tanggal terjual]],"dd/mm/yy"))</f>
        <v>ORD-TK0313-19/04/23</v>
      </c>
      <c r="C314" t="s">
        <v>66</v>
      </c>
      <c r="D314" t="str">
        <f>IFERROR(INDEX(Katalog!$A$3:$A$12,MATCH(cadangan3[[#This Row],[ItemID A]],Katalog!$C$3:$C$12,0)),"-")</f>
        <v>Sepatu Pria</v>
      </c>
      <c r="E314" t="str">
        <f>IFERROR(INDEX(Katalog!$B$3:$B$12,MATCH(cadangan3[[#This Row],[ItemID A]],Katalog!$C$3:$C$12,0)),"-")</f>
        <v>Sandal Slip On</v>
      </c>
      <c r="F314">
        <v>4</v>
      </c>
      <c r="G314">
        <v>5</v>
      </c>
      <c r="H314" s="36">
        <f>IFERROR(INDEX(Katalog!$D$3:$D$12,MATCH(cadangan3[[#This Row],[ItemID A]],Katalog!$C$3:$C$12,0))*cadangan3[[#This Row],[Qty A]],0)</f>
        <v>600000</v>
      </c>
      <c r="I314" s="36">
        <f>IFERROR(INDEX(Katalog!$D$3:$D$12,MATCH(cadangan3[[#This Row],[Item A]],Katalog!$B$3:$B$12,0))*cadangan3[[#This Row],[Qty A]],0)</f>
        <v>600000</v>
      </c>
      <c r="J314" s="36">
        <f>IFERROR(cadangan3[[#This Row],[Harga Asli A]]-(cadangan3[[#This Row],[Harga Asli A]]*cadangan3[[#This Row],[Diskon]]),cadangan3[[#This Row],[Harga Asli A]])</f>
        <v>540000</v>
      </c>
      <c r="K314" s="36">
        <f>INDEX(Katalog!$F$3:$F$12,MATCH(cadangan3[[#This Row],[ItemID A]],Katalog!$C$3:$C$12,0))*cadangan3[[#This Row],[Qty A]]</f>
        <v>240000</v>
      </c>
      <c r="L314" s="36">
        <f>IFERROR(cadangan3[[#This Row],[Profit A]]-(cadangan3[[#This Row],[Profit A]]*cadangan3[[#This Row],[Diskon]]),K314)</f>
        <v>216000</v>
      </c>
      <c r="N314" t="str">
        <f>IFERROR(INDEX(Katalog!$A$3:$A$12,MATCH(cadangan3[[#This Row],[ItemID B]],Katalog!$C$3:$C$12,0)),"-")</f>
        <v>-</v>
      </c>
      <c r="O314" t="str">
        <f>IFERROR(INDEX(Katalog!$B$3:$B$12,MATCH(cadangan3[[#This Row],[ItemID B]],Katalog!$C$3:$C$12,0)),"-")</f>
        <v>-</v>
      </c>
      <c r="R314" s="36">
        <f>IFERROR(INDEX(Katalog!$D$3:$D$12,MATCH(cadangan3[[#This Row],[ItemID B]],Katalog!$C$3:$C$12,0))*cadangan3[[#This Row],[Qty B]],0)</f>
        <v>0</v>
      </c>
      <c r="S314" s="36">
        <f>IFERROR(INDEX(Katalog!$D$3:$D$12,MATCH(cadangan3[[#This Row],[Item B]],Katalog!$B$3:$B$12,0))*cadangan3[[#This Row],[Qty B]],0)</f>
        <v>0</v>
      </c>
      <c r="T314" s="36">
        <f>IFERROR(cadangan3[[#This Row],[Harga Asli B]]-(cadangan3[[#This Row],[Harga Asli B]]*cadangan3[[#This Row],[Diskon]]),cadangan3[[#This Row],[Harga Asli B]])</f>
        <v>0</v>
      </c>
      <c r="U314" s="36">
        <f>IFERROR(INDEX(Katalog!$F$3:$F$12,MATCH(cadangan3[[#This Row],[ItemID B]],Katalog!$C$3:$C$12,0))*cadangan3[[#This Row],[Qty B]],0)</f>
        <v>0</v>
      </c>
      <c r="V314" s="36">
        <f>IFERROR(cadangan3[[#This Row],[Profit B]]-(cadangan3[[#This Row],[Profit B]]*cadangan3[[#This Row],[Diskon]]),U314)</f>
        <v>0</v>
      </c>
      <c r="X314" t="str">
        <f>IFERROR(INDEX(Katalog!$A$3:$A$12,MATCH(cadangan3[[#This Row],[ItemID C]],Katalog!$C$3:$C$12,0)),"-")</f>
        <v>-</v>
      </c>
      <c r="Y314" t="str">
        <f>IFERROR(INDEX(Katalog!$B$3:$B$12,MATCH(cadangan3[[#This Row],[ItemID C]],Katalog!$C$3:$C$12,0)),"-")</f>
        <v>-</v>
      </c>
      <c r="AB314" s="36">
        <f>IFERROR(INDEX(Katalog!$D$3:$D$12,MATCH(cadangan3[[#This Row],[ItemID C]],Katalog!$C$3:$C$12,0))*cadangan3[[#This Row],[Qty C]],0)</f>
        <v>0</v>
      </c>
      <c r="AC314" s="36">
        <f>IFERROR(INDEX(Katalog!$D$3:$D$12,MATCH(cadangan3[[#This Row],[Item C]],Katalog!$B$3:$B$12,0))*cadangan3[[#This Row],[Qty C]],0)</f>
        <v>0</v>
      </c>
      <c r="AD314" s="36">
        <f>IFERROR(cadangan3[[#This Row],[Harga Asli C]]-(cadangan3[[#This Row],[Harga Asli C]]*cadangan3[[#This Row],[Diskon]]),cadangan3[[#This Row],[Harga Asli C]])</f>
        <v>0</v>
      </c>
      <c r="AE314" s="36">
        <f>IFERROR(INDEX(Katalog!$F$3:$F$12,MATCH(cadangan3[[#This Row],[ItemID C]],Katalog!$C$3:$C$12,0))*cadangan3[[#This Row],[Qty C]],0)</f>
        <v>0</v>
      </c>
      <c r="AF314" s="36">
        <f>IFERROR(cadangan3[[#This Row],[Profit C]]-(cadangan3[[#This Row],[Profit C]]*cadangan3[[#This Row],[Diskon]]),cadangan3[[#This Row],[Profit C]])</f>
        <v>0</v>
      </c>
      <c r="AG314" s="21">
        <f>cadangan3[[#This Row],[Qty A]]+cadangan3[[#This Row],[Qty B]]+cadangan3[[#This Row],[Qty C]]</f>
        <v>4</v>
      </c>
      <c r="AH314" s="35">
        <f>cadangan3[[#This Row],[Harga A + Diskon]]+cadangan3[[#This Row],[Harga + Diskon B]]+cadangan3[[#This Row],[Harga + Diskon C]]</f>
        <v>540000</v>
      </c>
      <c r="AI314" s="35">
        <f>(cadangan3[[#This Row],[Profit A]]+cadangan3[[#This Row],[Profit B]]+cadangan3[[#This Row],[Profit C]])</f>
        <v>240000</v>
      </c>
      <c r="AJ314" s="35">
        <f>cadangan3[[#This Row],[Provit A + Diskon]]+cadangan3[[#This Row],[Provit B + Diskon]]+cadangan3[[#This Row],[Provit C + Diskon]]</f>
        <v>216000</v>
      </c>
      <c r="AK314" s="23" t="s">
        <v>31</v>
      </c>
      <c r="AL314" s="37">
        <f>IFERROR(INDEX('Kode Diskon'!$D$3:$D$9,MATCH(cadangan3[[#This Row],[Kode diskon]],'Kode Diskon'!$C$3:$C$9,0)),"-")</f>
        <v>0.1</v>
      </c>
      <c r="AM314" s="23" t="s">
        <v>9</v>
      </c>
      <c r="AN314" s="23" t="s">
        <v>10</v>
      </c>
      <c r="AO314" s="23" t="s">
        <v>79</v>
      </c>
      <c r="AP314" s="24">
        <v>45035</v>
      </c>
      <c r="AQ314" s="23" t="str">
        <f>TEXT(cadangan3[[#This Row],[Tanggal terjual]],"dddd")</f>
        <v>Wednesday</v>
      </c>
    </row>
    <row r="315" spans="1:43" x14ac:dyDescent="0.2">
      <c r="A315" s="20">
        <v>314</v>
      </c>
      <c r="B315" s="21" t="str">
        <f>_xlfn.CONCAT("ORD-",INDEX(Helper!$B$2:$B$5,MATCH(cadangan3[[#This Row],[Marketplace]],Helper!$A$2:$A$5,0)),TEXT(cadangan3[[#This Row],[No]],"0000"),"-",TEXT(cadangan3[[#This Row],[Tanggal terjual]],"dd/mm/yy"))</f>
        <v>ORD-SP0314-06/04/23</v>
      </c>
      <c r="C315" t="s">
        <v>59</v>
      </c>
      <c r="D315" t="str">
        <f>IFERROR(INDEX(Katalog!$A$3:$A$12,MATCH(cadangan3[[#This Row],[ItemID A]],Katalog!$C$3:$C$12,0)),"-")</f>
        <v>Pakaian Wanita</v>
      </c>
      <c r="E315" t="str">
        <f>IFERROR(INDEX(Katalog!$B$3:$B$12,MATCH(cadangan3[[#This Row],[ItemID A]],Katalog!$C$3:$C$12,0)),"-")</f>
        <v>Blouse</v>
      </c>
      <c r="F315">
        <v>3</v>
      </c>
      <c r="G315">
        <v>2</v>
      </c>
      <c r="H315" s="36">
        <f>IFERROR(INDEX(Katalog!$D$3:$D$12,MATCH(cadangan3[[#This Row],[ItemID A]],Katalog!$C$3:$C$12,0))*cadangan3[[#This Row],[Qty A]],0)</f>
        <v>450000</v>
      </c>
      <c r="I315" s="36">
        <f>IFERROR(INDEX(Katalog!$D$3:$D$12,MATCH(cadangan3[[#This Row],[Item A]],Katalog!$B$3:$B$12,0))*cadangan3[[#This Row],[Qty A]],0)</f>
        <v>450000</v>
      </c>
      <c r="J315" s="36">
        <f>IFERROR(cadangan3[[#This Row],[Harga Asli A]]-(cadangan3[[#This Row],[Harga Asli A]]*cadangan3[[#This Row],[Diskon]]),cadangan3[[#This Row],[Harga Asli A]])</f>
        <v>405000</v>
      </c>
      <c r="K315" s="36">
        <f>INDEX(Katalog!$F$3:$F$12,MATCH(cadangan3[[#This Row],[ItemID A]],Katalog!$C$3:$C$12,0))*cadangan3[[#This Row],[Qty A]]</f>
        <v>150000</v>
      </c>
      <c r="L315" s="36">
        <f>IFERROR(cadangan3[[#This Row],[Profit A]]-(cadangan3[[#This Row],[Profit A]]*cadangan3[[#This Row],[Diskon]]),K315)</f>
        <v>135000</v>
      </c>
      <c r="N315" t="str">
        <f>IFERROR(INDEX(Katalog!$A$3:$A$12,MATCH(cadangan3[[#This Row],[ItemID B]],Katalog!$C$3:$C$12,0)),"-")</f>
        <v>-</v>
      </c>
      <c r="O315" t="str">
        <f>IFERROR(INDEX(Katalog!$B$3:$B$12,MATCH(cadangan3[[#This Row],[ItemID B]],Katalog!$C$3:$C$12,0)),"-")</f>
        <v>-</v>
      </c>
      <c r="R315" s="36">
        <f>IFERROR(INDEX(Katalog!$D$3:$D$12,MATCH(cadangan3[[#This Row],[ItemID B]],Katalog!$C$3:$C$12,0))*cadangan3[[#This Row],[Qty B]],0)</f>
        <v>0</v>
      </c>
      <c r="S315" s="36">
        <f>IFERROR(INDEX(Katalog!$D$3:$D$12,MATCH(cadangan3[[#This Row],[Item B]],Katalog!$B$3:$B$12,0))*cadangan3[[#This Row],[Qty B]],0)</f>
        <v>0</v>
      </c>
      <c r="T315" s="36">
        <f>IFERROR(cadangan3[[#This Row],[Harga Asli B]]-(cadangan3[[#This Row],[Harga Asli B]]*cadangan3[[#This Row],[Diskon]]),cadangan3[[#This Row],[Harga Asli B]])</f>
        <v>0</v>
      </c>
      <c r="U315" s="36">
        <f>IFERROR(INDEX(Katalog!$F$3:$F$12,MATCH(cadangan3[[#This Row],[ItemID B]],Katalog!$C$3:$C$12,0))*cadangan3[[#This Row],[Qty B]],0)</f>
        <v>0</v>
      </c>
      <c r="V315" s="36">
        <f>IFERROR(cadangan3[[#This Row],[Profit B]]-(cadangan3[[#This Row],[Profit B]]*cadangan3[[#This Row],[Diskon]]),U315)</f>
        <v>0</v>
      </c>
      <c r="X315" t="str">
        <f>IFERROR(INDEX(Katalog!$A$3:$A$12,MATCH(cadangan3[[#This Row],[ItemID C]],Katalog!$C$3:$C$12,0)),"-")</f>
        <v>-</v>
      </c>
      <c r="Y315" t="str">
        <f>IFERROR(INDEX(Katalog!$B$3:$B$12,MATCH(cadangan3[[#This Row],[ItemID C]],Katalog!$C$3:$C$12,0)),"-")</f>
        <v>-</v>
      </c>
      <c r="AB315" s="36">
        <f>IFERROR(INDEX(Katalog!$D$3:$D$12,MATCH(cadangan3[[#This Row],[ItemID C]],Katalog!$C$3:$C$12,0))*cadangan3[[#This Row],[Qty C]],0)</f>
        <v>0</v>
      </c>
      <c r="AC315" s="36">
        <f>IFERROR(INDEX(Katalog!$D$3:$D$12,MATCH(cadangan3[[#This Row],[Item C]],Katalog!$B$3:$B$12,0))*cadangan3[[#This Row],[Qty C]],0)</f>
        <v>0</v>
      </c>
      <c r="AD315" s="36">
        <f>IFERROR(cadangan3[[#This Row],[Harga Asli C]]-(cadangan3[[#This Row],[Harga Asli C]]*cadangan3[[#This Row],[Diskon]]),cadangan3[[#This Row],[Harga Asli C]])</f>
        <v>0</v>
      </c>
      <c r="AE315" s="36">
        <f>IFERROR(INDEX(Katalog!$F$3:$F$12,MATCH(cadangan3[[#This Row],[ItemID C]],Katalog!$C$3:$C$12,0))*cadangan3[[#This Row],[Qty C]],0)</f>
        <v>0</v>
      </c>
      <c r="AF315" s="36">
        <f>IFERROR(cadangan3[[#This Row],[Profit C]]-(cadangan3[[#This Row],[Profit C]]*cadangan3[[#This Row],[Diskon]]),cadangan3[[#This Row],[Profit C]])</f>
        <v>0</v>
      </c>
      <c r="AG315" s="21">
        <f>cadangan3[[#This Row],[Qty A]]+cadangan3[[#This Row],[Qty B]]+cadangan3[[#This Row],[Qty C]]</f>
        <v>3</v>
      </c>
      <c r="AH315" s="35">
        <f>cadangan3[[#This Row],[Harga A + Diskon]]+cadangan3[[#This Row],[Harga + Diskon B]]+cadangan3[[#This Row],[Harga + Diskon C]]</f>
        <v>405000</v>
      </c>
      <c r="AI315" s="35">
        <f>(cadangan3[[#This Row],[Profit A]]+cadangan3[[#This Row],[Profit B]]+cadangan3[[#This Row],[Profit C]])</f>
        <v>150000</v>
      </c>
      <c r="AJ315" s="35">
        <f>cadangan3[[#This Row],[Provit A + Diskon]]+cadangan3[[#This Row],[Provit B + Diskon]]+cadangan3[[#This Row],[Provit C + Diskon]]</f>
        <v>135000</v>
      </c>
      <c r="AK315" s="23" t="s">
        <v>6</v>
      </c>
      <c r="AL315" s="37">
        <f>IFERROR(INDEX('Kode Diskon'!$D$3:$D$9,MATCH(cadangan3[[#This Row],[Kode diskon]],'Kode Diskon'!$C$3:$C$9,0)),"-")</f>
        <v>0.1</v>
      </c>
      <c r="AM315" s="23" t="s">
        <v>29</v>
      </c>
      <c r="AN315" s="23" t="s">
        <v>7</v>
      </c>
      <c r="AO315" s="23" t="s">
        <v>80</v>
      </c>
      <c r="AP315" s="24">
        <v>45022</v>
      </c>
      <c r="AQ315" s="23" t="str">
        <f>TEXT(cadangan3[[#This Row],[Tanggal terjual]],"dddd")</f>
        <v>Thursday</v>
      </c>
    </row>
    <row r="316" spans="1:43" x14ac:dyDescent="0.2">
      <c r="A316" s="20">
        <v>315</v>
      </c>
      <c r="B316" s="21" t="str">
        <f>_xlfn.CONCAT("ORD-",INDEX(Helper!$B$2:$B$5,MATCH(cadangan3[[#This Row],[Marketplace]],Helper!$A$2:$A$5,0)),TEXT(cadangan3[[#This Row],[No]],"0000"),"-",TEXT(cadangan3[[#This Row],[Tanggal terjual]],"dd/mm/yy"))</f>
        <v>ORD-BB0315-01/04/23</v>
      </c>
      <c r="C316" t="s">
        <v>66</v>
      </c>
      <c r="D316" t="str">
        <f>IFERROR(INDEX(Katalog!$A$3:$A$12,MATCH(cadangan3[[#This Row],[ItemID A]],Katalog!$C$3:$C$12,0)),"-")</f>
        <v>Sepatu Pria</v>
      </c>
      <c r="E316" t="str">
        <f>IFERROR(INDEX(Katalog!$B$3:$B$12,MATCH(cadangan3[[#This Row],[ItemID A]],Katalog!$C$3:$C$12,0)),"-")</f>
        <v>Sandal Slip On</v>
      </c>
      <c r="F316">
        <v>1</v>
      </c>
      <c r="G316">
        <v>5</v>
      </c>
      <c r="H316" s="36">
        <f>IFERROR(INDEX(Katalog!$D$3:$D$12,MATCH(cadangan3[[#This Row],[ItemID A]],Katalog!$C$3:$C$12,0))*cadangan3[[#This Row],[Qty A]],0)</f>
        <v>150000</v>
      </c>
      <c r="I316" s="36">
        <f>IFERROR(INDEX(Katalog!$D$3:$D$12,MATCH(cadangan3[[#This Row],[Item A]],Katalog!$B$3:$B$12,0))*cadangan3[[#This Row],[Qty A]],0)</f>
        <v>150000</v>
      </c>
      <c r="J316" s="36">
        <f>IFERROR(cadangan3[[#This Row],[Harga Asli A]]-(cadangan3[[#This Row],[Harga Asli A]]*cadangan3[[#This Row],[Diskon]]),cadangan3[[#This Row],[Harga Asli A]])</f>
        <v>127500</v>
      </c>
      <c r="K316" s="36">
        <f>INDEX(Katalog!$F$3:$F$12,MATCH(cadangan3[[#This Row],[ItemID A]],Katalog!$C$3:$C$12,0))*cadangan3[[#This Row],[Qty A]]</f>
        <v>60000</v>
      </c>
      <c r="L316" s="36">
        <f>IFERROR(cadangan3[[#This Row],[Profit A]]-(cadangan3[[#This Row],[Profit A]]*cadangan3[[#This Row],[Diskon]]),K316)</f>
        <v>51000</v>
      </c>
      <c r="M316" t="s">
        <v>61</v>
      </c>
      <c r="N316" t="str">
        <f>IFERROR(INDEX(Katalog!$A$3:$A$12,MATCH(cadangan3[[#This Row],[ItemID B]],Katalog!$C$3:$C$12,0)),"-")</f>
        <v>Pakaian Pria</v>
      </c>
      <c r="O316" t="str">
        <f>IFERROR(INDEX(Katalog!$B$3:$B$12,MATCH(cadangan3[[#This Row],[ItemID B]],Katalog!$C$3:$C$12,0)),"-")</f>
        <v>Kaos Polo</v>
      </c>
      <c r="P316">
        <v>1</v>
      </c>
      <c r="Q316">
        <v>1</v>
      </c>
      <c r="R316" s="36">
        <f>IFERROR(INDEX(Katalog!$D$3:$D$12,MATCH(cadangan3[[#This Row],[ItemID B]],Katalog!$C$3:$C$12,0))*cadangan3[[#This Row],[Qty B]],0)</f>
        <v>200000</v>
      </c>
      <c r="S316" s="36">
        <f>IFERROR(INDEX(Katalog!$D$3:$D$12,MATCH(cadangan3[[#This Row],[Item B]],Katalog!$B$3:$B$12,0))*cadangan3[[#This Row],[Qty B]],0)</f>
        <v>200000</v>
      </c>
      <c r="T316" s="36">
        <f>IFERROR(cadangan3[[#This Row],[Harga Asli B]]-(cadangan3[[#This Row],[Harga Asli B]]*cadangan3[[#This Row],[Diskon]]),cadangan3[[#This Row],[Harga Asli B]])</f>
        <v>170000</v>
      </c>
      <c r="U316" s="36">
        <f>IFERROR(INDEX(Katalog!$F$3:$F$12,MATCH(cadangan3[[#This Row],[ItemID B]],Katalog!$C$3:$C$12,0))*cadangan3[[#This Row],[Qty B]],0)</f>
        <v>80000</v>
      </c>
      <c r="V316" s="36">
        <f>IFERROR(cadangan3[[#This Row],[Profit B]]-(cadangan3[[#This Row],[Profit B]]*cadangan3[[#This Row],[Diskon]]),U316)</f>
        <v>68000</v>
      </c>
      <c r="W316" t="s">
        <v>58</v>
      </c>
      <c r="X316" t="str">
        <f>IFERROR(INDEX(Katalog!$A$3:$A$12,MATCH(cadangan3[[#This Row],[ItemID C]],Katalog!$C$3:$C$12,0)),"-")</f>
        <v>Pakaian Wanita</v>
      </c>
      <c r="Y316" t="str">
        <f>IFERROR(INDEX(Katalog!$B$3:$B$12,MATCH(cadangan3[[#This Row],[ItemID C]],Katalog!$C$3:$C$12,0)),"-")</f>
        <v>Dress</v>
      </c>
      <c r="Z316">
        <v>1</v>
      </c>
      <c r="AA316">
        <v>1</v>
      </c>
      <c r="AB316" s="36">
        <f>IFERROR(INDEX(Katalog!$D$3:$D$12,MATCH(cadangan3[[#This Row],[ItemID C]],Katalog!$C$3:$C$12,0))*cadangan3[[#This Row],[Qty C]],0)</f>
        <v>300000</v>
      </c>
      <c r="AC316" s="36">
        <f>IFERROR(INDEX(Katalog!$D$3:$D$12,MATCH(cadangan3[[#This Row],[Item C]],Katalog!$B$3:$B$12,0))*cadangan3[[#This Row],[Qty C]],0)</f>
        <v>300000</v>
      </c>
      <c r="AD316" s="36">
        <f>IFERROR(cadangan3[[#This Row],[Harga Asli C]]-(cadangan3[[#This Row],[Harga Asli C]]*cadangan3[[#This Row],[Diskon]]),cadangan3[[#This Row],[Harga Asli C]])</f>
        <v>255000</v>
      </c>
      <c r="AE316" s="36">
        <f>IFERROR(INDEX(Katalog!$F$3:$F$12,MATCH(cadangan3[[#This Row],[ItemID C]],Katalog!$C$3:$C$12,0))*cadangan3[[#This Row],[Qty C]],0)</f>
        <v>100000</v>
      </c>
      <c r="AF316" s="36">
        <f>IFERROR(cadangan3[[#This Row],[Profit C]]-(cadangan3[[#This Row],[Profit C]]*cadangan3[[#This Row],[Diskon]]),cadangan3[[#This Row],[Profit C]])</f>
        <v>85000</v>
      </c>
      <c r="AG316" s="21">
        <f>cadangan3[[#This Row],[Qty A]]+cadangan3[[#This Row],[Qty B]]+cadangan3[[#This Row],[Qty C]]</f>
        <v>3</v>
      </c>
      <c r="AH316" s="35">
        <f>cadangan3[[#This Row],[Harga A + Diskon]]+cadangan3[[#This Row],[Harga + Diskon B]]+cadangan3[[#This Row],[Harga + Diskon C]]</f>
        <v>552500</v>
      </c>
      <c r="AI316" s="35">
        <f>(cadangan3[[#This Row],[Profit A]]+cadangan3[[#This Row],[Profit B]]+cadangan3[[#This Row],[Profit C]])</f>
        <v>240000</v>
      </c>
      <c r="AJ316" s="35">
        <f>cadangan3[[#This Row],[Provit A + Diskon]]+cadangan3[[#This Row],[Provit B + Diskon]]+cadangan3[[#This Row],[Provit C + Diskon]]</f>
        <v>204000</v>
      </c>
      <c r="AK316" s="23" t="s">
        <v>28</v>
      </c>
      <c r="AL316" s="37">
        <f>IFERROR(INDEX('Kode Diskon'!$D$3:$D$9,MATCH(cadangan3[[#This Row],[Kode diskon]],'Kode Diskon'!$C$3:$C$9,0)),"-")</f>
        <v>0.15</v>
      </c>
      <c r="AM316" s="23" t="s">
        <v>29</v>
      </c>
      <c r="AN316" s="23" t="s">
        <v>14</v>
      </c>
      <c r="AO316" s="23" t="s">
        <v>77</v>
      </c>
      <c r="AP316" s="24">
        <v>45017</v>
      </c>
      <c r="AQ316" s="23" t="str">
        <f>TEXT(cadangan3[[#This Row],[Tanggal terjual]],"dddd")</f>
        <v>Saturday</v>
      </c>
    </row>
    <row r="317" spans="1:43" x14ac:dyDescent="0.2">
      <c r="A317" s="20">
        <v>316</v>
      </c>
      <c r="B317" s="21" t="str">
        <f>_xlfn.CONCAT("ORD-",INDEX(Helper!$B$2:$B$5,MATCH(cadangan3[[#This Row],[Marketplace]],Helper!$A$2:$A$5,0)),TEXT(cadangan3[[#This Row],[No]],"0000"),"-",TEXT(cadangan3[[#This Row],[Tanggal terjual]],"dd/mm/yy"))</f>
        <v>ORD-BB0316-06/04/23</v>
      </c>
      <c r="C317" t="s">
        <v>59</v>
      </c>
      <c r="D317" t="str">
        <f>IFERROR(INDEX(Katalog!$A$3:$A$12,MATCH(cadangan3[[#This Row],[ItemID A]],Katalog!$C$3:$C$12,0)),"-")</f>
        <v>Pakaian Wanita</v>
      </c>
      <c r="E317" t="str">
        <f>IFERROR(INDEX(Katalog!$B$3:$B$12,MATCH(cadangan3[[#This Row],[ItemID A]],Katalog!$C$3:$C$12,0)),"-")</f>
        <v>Blouse</v>
      </c>
      <c r="F317">
        <v>1</v>
      </c>
      <c r="G317">
        <v>1</v>
      </c>
      <c r="H317" s="36">
        <f>IFERROR(INDEX(Katalog!$D$3:$D$12,MATCH(cadangan3[[#This Row],[ItemID A]],Katalog!$C$3:$C$12,0))*cadangan3[[#This Row],[Qty A]],0)</f>
        <v>150000</v>
      </c>
      <c r="I317" s="36">
        <f>IFERROR(INDEX(Katalog!$D$3:$D$12,MATCH(cadangan3[[#This Row],[Item A]],Katalog!$B$3:$B$12,0))*cadangan3[[#This Row],[Qty A]],0)</f>
        <v>150000</v>
      </c>
      <c r="J317" s="36">
        <f>IFERROR(cadangan3[[#This Row],[Harga Asli A]]-(cadangan3[[#This Row],[Harga Asli A]]*cadangan3[[#This Row],[Diskon]]),cadangan3[[#This Row],[Harga Asli A]])</f>
        <v>127500</v>
      </c>
      <c r="K317" s="36">
        <f>INDEX(Katalog!$F$3:$F$12,MATCH(cadangan3[[#This Row],[ItemID A]],Katalog!$C$3:$C$12,0))*cadangan3[[#This Row],[Qty A]]</f>
        <v>50000</v>
      </c>
      <c r="L317" s="36">
        <f>IFERROR(cadangan3[[#This Row],[Profit A]]-(cadangan3[[#This Row],[Profit A]]*cadangan3[[#This Row],[Diskon]]),K317)</f>
        <v>42500</v>
      </c>
      <c r="M317" t="s">
        <v>66</v>
      </c>
      <c r="N317" t="str">
        <f>IFERROR(INDEX(Katalog!$A$3:$A$12,MATCH(cadangan3[[#This Row],[ItemID B]],Katalog!$C$3:$C$12,0)),"-")</f>
        <v>Sepatu Pria</v>
      </c>
      <c r="O317" t="str">
        <f>IFERROR(INDEX(Katalog!$B$3:$B$12,MATCH(cadangan3[[#This Row],[ItemID B]],Katalog!$C$3:$C$12,0)),"-")</f>
        <v>Sandal Slip On</v>
      </c>
      <c r="P317">
        <v>1</v>
      </c>
      <c r="Q317">
        <v>5</v>
      </c>
      <c r="R317" s="36">
        <f>IFERROR(INDEX(Katalog!$D$3:$D$12,MATCH(cadangan3[[#This Row],[ItemID B]],Katalog!$C$3:$C$12,0))*cadangan3[[#This Row],[Qty B]],0)</f>
        <v>150000</v>
      </c>
      <c r="S317" s="36">
        <f>IFERROR(INDEX(Katalog!$D$3:$D$12,MATCH(cadangan3[[#This Row],[Item B]],Katalog!$B$3:$B$12,0))*cadangan3[[#This Row],[Qty B]],0)</f>
        <v>150000</v>
      </c>
      <c r="T317" s="36">
        <f>IFERROR(cadangan3[[#This Row],[Harga Asli B]]-(cadangan3[[#This Row],[Harga Asli B]]*cadangan3[[#This Row],[Diskon]]),cadangan3[[#This Row],[Harga Asli B]])</f>
        <v>127500</v>
      </c>
      <c r="U317" s="36">
        <f>IFERROR(INDEX(Katalog!$F$3:$F$12,MATCH(cadangan3[[#This Row],[ItemID B]],Katalog!$C$3:$C$12,0))*cadangan3[[#This Row],[Qty B]],0)</f>
        <v>60000</v>
      </c>
      <c r="V317" s="36">
        <f>IFERROR(cadangan3[[#This Row],[Profit B]]-(cadangan3[[#This Row],[Profit B]]*cadangan3[[#This Row],[Diskon]]),U317)</f>
        <v>51000</v>
      </c>
      <c r="W317" t="s">
        <v>61</v>
      </c>
      <c r="X317" t="str">
        <f>IFERROR(INDEX(Katalog!$A$3:$A$12,MATCH(cadangan3[[#This Row],[ItemID C]],Katalog!$C$3:$C$12,0)),"-")</f>
        <v>Pakaian Pria</v>
      </c>
      <c r="Y317" t="str">
        <f>IFERROR(INDEX(Katalog!$B$3:$B$12,MATCH(cadangan3[[#This Row],[ItemID C]],Katalog!$C$3:$C$12,0)),"-")</f>
        <v>Kaos Polo</v>
      </c>
      <c r="Z317">
        <v>1</v>
      </c>
      <c r="AA317">
        <v>3</v>
      </c>
      <c r="AB317" s="36">
        <f>IFERROR(INDEX(Katalog!$D$3:$D$12,MATCH(cadangan3[[#This Row],[ItemID C]],Katalog!$C$3:$C$12,0))*cadangan3[[#This Row],[Qty C]],0)</f>
        <v>200000</v>
      </c>
      <c r="AC317" s="36">
        <f>IFERROR(INDEX(Katalog!$D$3:$D$12,MATCH(cadangan3[[#This Row],[Item C]],Katalog!$B$3:$B$12,0))*cadangan3[[#This Row],[Qty C]],0)</f>
        <v>200000</v>
      </c>
      <c r="AD317" s="36">
        <f>IFERROR(cadangan3[[#This Row],[Harga Asli C]]-(cadangan3[[#This Row],[Harga Asli C]]*cadangan3[[#This Row],[Diskon]]),cadangan3[[#This Row],[Harga Asli C]])</f>
        <v>170000</v>
      </c>
      <c r="AE317" s="36">
        <f>IFERROR(INDEX(Katalog!$F$3:$F$12,MATCH(cadangan3[[#This Row],[ItemID C]],Katalog!$C$3:$C$12,0))*cadangan3[[#This Row],[Qty C]],0)</f>
        <v>80000</v>
      </c>
      <c r="AF317" s="36">
        <f>IFERROR(cadangan3[[#This Row],[Profit C]]-(cadangan3[[#This Row],[Profit C]]*cadangan3[[#This Row],[Diskon]]),cadangan3[[#This Row],[Profit C]])</f>
        <v>68000</v>
      </c>
      <c r="AG317" s="21">
        <f>cadangan3[[#This Row],[Qty A]]+cadangan3[[#This Row],[Qty B]]+cadangan3[[#This Row],[Qty C]]</f>
        <v>3</v>
      </c>
      <c r="AH317" s="35">
        <f>cadangan3[[#This Row],[Harga A + Diskon]]+cadangan3[[#This Row],[Harga + Diskon B]]+cadangan3[[#This Row],[Harga + Diskon C]]</f>
        <v>425000</v>
      </c>
      <c r="AI317" s="35">
        <f>(cadangan3[[#This Row],[Profit A]]+cadangan3[[#This Row],[Profit B]]+cadangan3[[#This Row],[Profit C]])</f>
        <v>190000</v>
      </c>
      <c r="AJ317" s="35">
        <f>cadangan3[[#This Row],[Provit A + Diskon]]+cadangan3[[#This Row],[Provit B + Diskon]]+cadangan3[[#This Row],[Provit C + Diskon]]</f>
        <v>161500</v>
      </c>
      <c r="AK317" s="23" t="s">
        <v>28</v>
      </c>
      <c r="AL317" s="37">
        <f>IFERROR(INDEX('Kode Diskon'!$D$3:$D$9,MATCH(cadangan3[[#This Row],[Kode diskon]],'Kode Diskon'!$C$3:$C$9,0)),"-")</f>
        <v>0.15</v>
      </c>
      <c r="AM317" s="23" t="s">
        <v>29</v>
      </c>
      <c r="AN317" s="23" t="s">
        <v>14</v>
      </c>
      <c r="AO317" s="23" t="s">
        <v>80</v>
      </c>
      <c r="AP317" s="24">
        <v>45022</v>
      </c>
      <c r="AQ317" s="23" t="str">
        <f>TEXT(cadangan3[[#This Row],[Tanggal terjual]],"dddd")</f>
        <v>Thursday</v>
      </c>
    </row>
    <row r="318" spans="1:43" x14ac:dyDescent="0.2">
      <c r="A318" s="20">
        <v>317</v>
      </c>
      <c r="B318" s="21" t="str">
        <f>_xlfn.CONCAT("ORD-",INDEX(Helper!$B$2:$B$5,MATCH(cadangan3[[#This Row],[Marketplace]],Helper!$A$2:$A$5,0)),TEXT(cadangan3[[#This Row],[No]],"0000"),"-",TEXT(cadangan3[[#This Row],[Tanggal terjual]],"dd/mm/yy"))</f>
        <v>ORD-SP0317-16/04/23</v>
      </c>
      <c r="C318" t="s">
        <v>61</v>
      </c>
      <c r="D318" t="str">
        <f>IFERROR(INDEX(Katalog!$A$3:$A$12,MATCH(cadangan3[[#This Row],[ItemID A]],Katalog!$C$3:$C$12,0)),"-")</f>
        <v>Pakaian Pria</v>
      </c>
      <c r="E318" t="str">
        <f>IFERROR(INDEX(Katalog!$B$3:$B$12,MATCH(cadangan3[[#This Row],[ItemID A]],Katalog!$C$3:$C$12,0)),"-")</f>
        <v>Kaos Polo</v>
      </c>
      <c r="F318">
        <v>6</v>
      </c>
      <c r="G318">
        <v>1</v>
      </c>
      <c r="H318" s="36">
        <f>IFERROR(INDEX(Katalog!$D$3:$D$12,MATCH(cadangan3[[#This Row],[ItemID A]],Katalog!$C$3:$C$12,0))*cadangan3[[#This Row],[Qty A]],0)</f>
        <v>1200000</v>
      </c>
      <c r="I318" s="36">
        <f>IFERROR(INDEX(Katalog!$D$3:$D$12,MATCH(cadangan3[[#This Row],[Item A]],Katalog!$B$3:$B$12,0))*cadangan3[[#This Row],[Qty A]],0)</f>
        <v>1200000</v>
      </c>
      <c r="J318" s="36">
        <f>IFERROR(cadangan3[[#This Row],[Harga Asli A]]-(cadangan3[[#This Row],[Harga Asli A]]*cadangan3[[#This Row],[Diskon]]),cadangan3[[#This Row],[Harga Asli A]])</f>
        <v>960000</v>
      </c>
      <c r="K318" s="36">
        <f>INDEX(Katalog!$F$3:$F$12,MATCH(cadangan3[[#This Row],[ItemID A]],Katalog!$C$3:$C$12,0))*cadangan3[[#This Row],[Qty A]]</f>
        <v>480000</v>
      </c>
      <c r="L318" s="36">
        <f>IFERROR(cadangan3[[#This Row],[Profit A]]-(cadangan3[[#This Row],[Profit A]]*cadangan3[[#This Row],[Diskon]]),K318)</f>
        <v>384000</v>
      </c>
      <c r="N318" t="str">
        <f>IFERROR(INDEX(Katalog!$A$3:$A$12,MATCH(cadangan3[[#This Row],[ItemID B]],Katalog!$C$3:$C$12,0)),"-")</f>
        <v>-</v>
      </c>
      <c r="O318" t="str">
        <f>IFERROR(INDEX(Katalog!$B$3:$B$12,MATCH(cadangan3[[#This Row],[ItemID B]],Katalog!$C$3:$C$12,0)),"-")</f>
        <v>-</v>
      </c>
      <c r="R318" s="36">
        <f>IFERROR(INDEX(Katalog!$D$3:$D$12,MATCH(cadangan3[[#This Row],[ItemID B]],Katalog!$C$3:$C$12,0))*cadangan3[[#This Row],[Qty B]],0)</f>
        <v>0</v>
      </c>
      <c r="S318" s="36">
        <f>IFERROR(INDEX(Katalog!$D$3:$D$12,MATCH(cadangan3[[#This Row],[Item B]],Katalog!$B$3:$B$12,0))*cadangan3[[#This Row],[Qty B]],0)</f>
        <v>0</v>
      </c>
      <c r="T318" s="36">
        <f>IFERROR(cadangan3[[#This Row],[Harga Asli B]]-(cadangan3[[#This Row],[Harga Asli B]]*cadangan3[[#This Row],[Diskon]]),cadangan3[[#This Row],[Harga Asli B]])</f>
        <v>0</v>
      </c>
      <c r="U318" s="36">
        <f>IFERROR(INDEX(Katalog!$F$3:$F$12,MATCH(cadangan3[[#This Row],[ItemID B]],Katalog!$C$3:$C$12,0))*cadangan3[[#This Row],[Qty B]],0)</f>
        <v>0</v>
      </c>
      <c r="V318" s="36">
        <f>IFERROR(cadangan3[[#This Row],[Profit B]]-(cadangan3[[#This Row],[Profit B]]*cadangan3[[#This Row],[Diskon]]),U318)</f>
        <v>0</v>
      </c>
      <c r="X318" t="str">
        <f>IFERROR(INDEX(Katalog!$A$3:$A$12,MATCH(cadangan3[[#This Row],[ItemID C]],Katalog!$C$3:$C$12,0)),"-")</f>
        <v>-</v>
      </c>
      <c r="Y318" t="str">
        <f>IFERROR(INDEX(Katalog!$B$3:$B$12,MATCH(cadangan3[[#This Row],[ItemID C]],Katalog!$C$3:$C$12,0)),"-")</f>
        <v>-</v>
      </c>
      <c r="AB318" s="36">
        <f>IFERROR(INDEX(Katalog!$D$3:$D$12,MATCH(cadangan3[[#This Row],[ItemID C]],Katalog!$C$3:$C$12,0))*cadangan3[[#This Row],[Qty C]],0)</f>
        <v>0</v>
      </c>
      <c r="AC318" s="36">
        <f>IFERROR(INDEX(Katalog!$D$3:$D$12,MATCH(cadangan3[[#This Row],[Item C]],Katalog!$B$3:$B$12,0))*cadangan3[[#This Row],[Qty C]],0)</f>
        <v>0</v>
      </c>
      <c r="AD318" s="36">
        <f>IFERROR(cadangan3[[#This Row],[Harga Asli C]]-(cadangan3[[#This Row],[Harga Asli C]]*cadangan3[[#This Row],[Diskon]]),cadangan3[[#This Row],[Harga Asli C]])</f>
        <v>0</v>
      </c>
      <c r="AE318" s="36">
        <f>IFERROR(INDEX(Katalog!$F$3:$F$12,MATCH(cadangan3[[#This Row],[ItemID C]],Katalog!$C$3:$C$12,0))*cadangan3[[#This Row],[Qty C]],0)</f>
        <v>0</v>
      </c>
      <c r="AF318" s="36">
        <f>IFERROR(cadangan3[[#This Row],[Profit C]]-(cadangan3[[#This Row],[Profit C]]*cadangan3[[#This Row],[Diskon]]),cadangan3[[#This Row],[Profit C]])</f>
        <v>0</v>
      </c>
      <c r="AG318" s="21">
        <f>cadangan3[[#This Row],[Qty A]]+cadangan3[[#This Row],[Qty B]]+cadangan3[[#This Row],[Qty C]]</f>
        <v>6</v>
      </c>
      <c r="AH318" s="35">
        <f>cadangan3[[#This Row],[Harga A + Diskon]]+cadangan3[[#This Row],[Harga + Diskon B]]+cadangan3[[#This Row],[Harga + Diskon C]]</f>
        <v>960000</v>
      </c>
      <c r="AI318" s="35">
        <f>(cadangan3[[#This Row],[Profit A]]+cadangan3[[#This Row],[Profit B]]+cadangan3[[#This Row],[Profit C]])</f>
        <v>480000</v>
      </c>
      <c r="AJ318" s="35">
        <f>cadangan3[[#This Row],[Provit A + Diskon]]+cadangan3[[#This Row],[Provit B + Diskon]]+cadangan3[[#This Row],[Provit C + Diskon]]</f>
        <v>384000</v>
      </c>
      <c r="AK318" s="23" t="s">
        <v>8</v>
      </c>
      <c r="AL318" s="37">
        <f>IFERROR(INDEX('Kode Diskon'!$D$3:$D$9,MATCH(cadangan3[[#This Row],[Kode diskon]],'Kode Diskon'!$C$3:$C$9,0)),"-")</f>
        <v>0.2</v>
      </c>
      <c r="AM318" s="23" t="s">
        <v>9</v>
      </c>
      <c r="AN318" s="23" t="s">
        <v>7</v>
      </c>
      <c r="AO318" s="23" t="s">
        <v>79</v>
      </c>
      <c r="AP318" s="24">
        <v>45032</v>
      </c>
      <c r="AQ318" s="23" t="str">
        <f>TEXT(cadangan3[[#This Row],[Tanggal terjual]],"dddd")</f>
        <v>Sunday</v>
      </c>
    </row>
    <row r="319" spans="1:43" x14ac:dyDescent="0.2">
      <c r="A319" s="20">
        <v>318</v>
      </c>
      <c r="B319" s="21" t="str">
        <f>_xlfn.CONCAT("ORD-",INDEX(Helper!$B$2:$B$5,MATCH(cadangan3[[#This Row],[Marketplace]],Helper!$A$2:$A$5,0)),TEXT(cadangan3[[#This Row],[No]],"0000"),"-",TEXT(cadangan3[[#This Row],[Tanggal terjual]],"dd/mm/yy"))</f>
        <v>ORD-BB0318-06/04/23</v>
      </c>
      <c r="C319" t="s">
        <v>63</v>
      </c>
      <c r="D319" t="str">
        <f>IFERROR(INDEX(Katalog!$A$3:$A$12,MATCH(cadangan3[[#This Row],[ItemID A]],Katalog!$C$3:$C$12,0)),"-")</f>
        <v>Pakaian Pria</v>
      </c>
      <c r="E319" t="str">
        <f>IFERROR(INDEX(Katalog!$B$3:$B$12,MATCH(cadangan3[[#This Row],[ItemID A]],Katalog!$C$3:$C$12,0)),"-")</f>
        <v>Jaket Jeans</v>
      </c>
      <c r="F319">
        <v>3</v>
      </c>
      <c r="G319">
        <v>3</v>
      </c>
      <c r="H319" s="36">
        <f>IFERROR(INDEX(Katalog!$D$3:$D$12,MATCH(cadangan3[[#This Row],[ItemID A]],Katalog!$C$3:$C$12,0))*cadangan3[[#This Row],[Qty A]],0)</f>
        <v>1200000</v>
      </c>
      <c r="I319" s="36">
        <f>IFERROR(INDEX(Katalog!$D$3:$D$12,MATCH(cadangan3[[#This Row],[Item A]],Katalog!$B$3:$B$12,0))*cadangan3[[#This Row],[Qty A]],0)</f>
        <v>1200000</v>
      </c>
      <c r="J319" s="36">
        <f>IFERROR(cadangan3[[#This Row],[Harga Asli A]]-(cadangan3[[#This Row],[Harga Asli A]]*cadangan3[[#This Row],[Diskon]]),cadangan3[[#This Row],[Harga Asli A]])</f>
        <v>1020000</v>
      </c>
      <c r="K319" s="36">
        <f>INDEX(Katalog!$F$3:$F$12,MATCH(cadangan3[[#This Row],[ItemID A]],Katalog!$C$3:$C$12,0))*cadangan3[[#This Row],[Qty A]]</f>
        <v>450000</v>
      </c>
      <c r="L319" s="36">
        <f>IFERROR(cadangan3[[#This Row],[Profit A]]-(cadangan3[[#This Row],[Profit A]]*cadangan3[[#This Row],[Diskon]]),K319)</f>
        <v>382500</v>
      </c>
      <c r="M319" t="s">
        <v>67</v>
      </c>
      <c r="N319" t="str">
        <f>IFERROR(INDEX(Katalog!$A$3:$A$12,MATCH(cadangan3[[#This Row],[ItemID B]],Katalog!$C$3:$C$12,0)),"-")</f>
        <v>Sepatu Wanita</v>
      </c>
      <c r="O319" t="str">
        <f>IFERROR(INDEX(Katalog!$B$3:$B$12,MATCH(cadangan3[[#This Row],[ItemID B]],Katalog!$C$3:$C$12,0)),"-")</f>
        <v>Flat Shoes</v>
      </c>
      <c r="P319">
        <v>2</v>
      </c>
      <c r="Q319">
        <v>3</v>
      </c>
      <c r="R319" s="36">
        <f>IFERROR(INDEX(Katalog!$D$3:$D$12,MATCH(cadangan3[[#This Row],[ItemID B]],Katalog!$C$3:$C$12,0))*cadangan3[[#This Row],[Qty B]],0)</f>
        <v>500000</v>
      </c>
      <c r="S319" s="36">
        <f>IFERROR(INDEX(Katalog!$D$3:$D$12,MATCH(cadangan3[[#This Row],[Item B]],Katalog!$B$3:$B$12,0))*cadangan3[[#This Row],[Qty B]],0)</f>
        <v>500000</v>
      </c>
      <c r="T319" s="36">
        <f>IFERROR(cadangan3[[#This Row],[Harga Asli B]]-(cadangan3[[#This Row],[Harga Asli B]]*cadangan3[[#This Row],[Diskon]]),cadangan3[[#This Row],[Harga Asli B]])</f>
        <v>425000</v>
      </c>
      <c r="U319" s="36">
        <f>IFERROR(INDEX(Katalog!$F$3:$F$12,MATCH(cadangan3[[#This Row],[ItemID B]],Katalog!$C$3:$C$12,0))*cadangan3[[#This Row],[Qty B]],0)</f>
        <v>200000</v>
      </c>
      <c r="V319" s="36">
        <f>IFERROR(cadangan3[[#This Row],[Profit B]]-(cadangan3[[#This Row],[Profit B]]*cadangan3[[#This Row],[Diskon]]),U319)</f>
        <v>170000</v>
      </c>
      <c r="W319" t="s">
        <v>61</v>
      </c>
      <c r="X319" t="str">
        <f>IFERROR(INDEX(Katalog!$A$3:$A$12,MATCH(cadangan3[[#This Row],[ItemID C]],Katalog!$C$3:$C$12,0)),"-")</f>
        <v>Pakaian Pria</v>
      </c>
      <c r="Y319" t="str">
        <f>IFERROR(INDEX(Katalog!$B$3:$B$12,MATCH(cadangan3[[#This Row],[ItemID C]],Katalog!$C$3:$C$12,0)),"-")</f>
        <v>Kaos Polo</v>
      </c>
      <c r="Z319">
        <v>1</v>
      </c>
      <c r="AA319">
        <v>5</v>
      </c>
      <c r="AB319" s="36">
        <f>IFERROR(INDEX(Katalog!$D$3:$D$12,MATCH(cadangan3[[#This Row],[ItemID C]],Katalog!$C$3:$C$12,0))*cadangan3[[#This Row],[Qty C]],0)</f>
        <v>200000</v>
      </c>
      <c r="AC319" s="36">
        <f>IFERROR(INDEX(Katalog!$D$3:$D$12,MATCH(cadangan3[[#This Row],[Item C]],Katalog!$B$3:$B$12,0))*cadangan3[[#This Row],[Qty C]],0)</f>
        <v>200000</v>
      </c>
      <c r="AD319" s="36">
        <f>IFERROR(cadangan3[[#This Row],[Harga Asli C]]-(cadangan3[[#This Row],[Harga Asli C]]*cadangan3[[#This Row],[Diskon]]),cadangan3[[#This Row],[Harga Asli C]])</f>
        <v>170000</v>
      </c>
      <c r="AE319" s="36">
        <f>IFERROR(INDEX(Katalog!$F$3:$F$12,MATCH(cadangan3[[#This Row],[ItemID C]],Katalog!$C$3:$C$12,0))*cadangan3[[#This Row],[Qty C]],0)</f>
        <v>80000</v>
      </c>
      <c r="AF319" s="36">
        <f>IFERROR(cadangan3[[#This Row],[Profit C]]-(cadangan3[[#This Row],[Profit C]]*cadangan3[[#This Row],[Diskon]]),cadangan3[[#This Row],[Profit C]])</f>
        <v>68000</v>
      </c>
      <c r="AG319" s="21">
        <f>cadangan3[[#This Row],[Qty A]]+cadangan3[[#This Row],[Qty B]]+cadangan3[[#This Row],[Qty C]]</f>
        <v>6</v>
      </c>
      <c r="AH319" s="35">
        <f>cadangan3[[#This Row],[Harga A + Diskon]]+cadangan3[[#This Row],[Harga + Diskon B]]+cadangan3[[#This Row],[Harga + Diskon C]]</f>
        <v>1615000</v>
      </c>
      <c r="AI319" s="35">
        <f>(cadangan3[[#This Row],[Profit A]]+cadangan3[[#This Row],[Profit B]]+cadangan3[[#This Row],[Profit C]])</f>
        <v>730000</v>
      </c>
      <c r="AJ319" s="35">
        <f>cadangan3[[#This Row],[Provit A + Diskon]]+cadangan3[[#This Row],[Provit B + Diskon]]+cadangan3[[#This Row],[Provit C + Diskon]]</f>
        <v>620500</v>
      </c>
      <c r="AK319" s="23" t="s">
        <v>28</v>
      </c>
      <c r="AL319" s="37">
        <f>IFERROR(INDEX('Kode Diskon'!$D$3:$D$9,MATCH(cadangan3[[#This Row],[Kode diskon]],'Kode Diskon'!$C$3:$C$9,0)),"-")</f>
        <v>0.15</v>
      </c>
      <c r="AM319" s="23" t="s">
        <v>29</v>
      </c>
      <c r="AN319" s="23" t="s">
        <v>14</v>
      </c>
      <c r="AO319" s="23" t="s">
        <v>79</v>
      </c>
      <c r="AP319" s="24">
        <v>45022</v>
      </c>
      <c r="AQ319" s="23" t="str">
        <f>TEXT(cadangan3[[#This Row],[Tanggal terjual]],"dddd")</f>
        <v>Thursday</v>
      </c>
    </row>
    <row r="320" spans="1:43" x14ac:dyDescent="0.2">
      <c r="A320" s="20">
        <v>319</v>
      </c>
      <c r="B320" s="21" t="str">
        <f>_xlfn.CONCAT("ORD-",INDEX(Helper!$B$2:$B$5,MATCH(cadangan3[[#This Row],[Marketplace]],Helper!$A$2:$A$5,0)),TEXT(cadangan3[[#This Row],[No]],"0000"),"-",TEXT(cadangan3[[#This Row],[Tanggal terjual]],"dd/mm/yy"))</f>
        <v>ORD-TK0319-06/04/23</v>
      </c>
      <c r="C320" t="s">
        <v>59</v>
      </c>
      <c r="D320" t="str">
        <f>IFERROR(INDEX(Katalog!$A$3:$A$12,MATCH(cadangan3[[#This Row],[ItemID A]],Katalog!$C$3:$C$12,0)),"-")</f>
        <v>Pakaian Wanita</v>
      </c>
      <c r="E320" t="str">
        <f>IFERROR(INDEX(Katalog!$B$3:$B$12,MATCH(cadangan3[[#This Row],[ItemID A]],Katalog!$C$3:$C$12,0)),"-")</f>
        <v>Blouse</v>
      </c>
      <c r="F320">
        <v>3</v>
      </c>
      <c r="G320">
        <v>4</v>
      </c>
      <c r="H320" s="36">
        <f>IFERROR(INDEX(Katalog!$D$3:$D$12,MATCH(cadangan3[[#This Row],[ItemID A]],Katalog!$C$3:$C$12,0))*cadangan3[[#This Row],[Qty A]],0)</f>
        <v>450000</v>
      </c>
      <c r="I320" s="36">
        <f>IFERROR(INDEX(Katalog!$D$3:$D$12,MATCH(cadangan3[[#This Row],[Item A]],Katalog!$B$3:$B$12,0))*cadangan3[[#This Row],[Qty A]],0)</f>
        <v>450000</v>
      </c>
      <c r="J320" s="36">
        <f>IFERROR(cadangan3[[#This Row],[Harga Asli A]]-(cadangan3[[#This Row],[Harga Asli A]]*cadangan3[[#This Row],[Diskon]]),cadangan3[[#This Row],[Harga Asli A]])</f>
        <v>405000</v>
      </c>
      <c r="K320" s="36">
        <f>INDEX(Katalog!$F$3:$F$12,MATCH(cadangan3[[#This Row],[ItemID A]],Katalog!$C$3:$C$12,0))*cadangan3[[#This Row],[Qty A]]</f>
        <v>150000</v>
      </c>
      <c r="L320" s="36">
        <f>IFERROR(cadangan3[[#This Row],[Profit A]]-(cadangan3[[#This Row],[Profit A]]*cadangan3[[#This Row],[Diskon]]),K320)</f>
        <v>135000</v>
      </c>
      <c r="M320" t="s">
        <v>64</v>
      </c>
      <c r="N320" t="str">
        <f>IFERROR(INDEX(Katalog!$A$3:$A$12,MATCH(cadangan3[[#This Row],[ItemID B]],Katalog!$C$3:$C$12,0)),"-")</f>
        <v>Pakaian Unisex</v>
      </c>
      <c r="O320" t="str">
        <f>IFERROR(INDEX(Katalog!$B$3:$B$12,MATCH(cadangan3[[#This Row],[ItemID B]],Katalog!$C$3:$C$12,0)),"-")</f>
        <v>Jaket Hoodie</v>
      </c>
      <c r="P320">
        <v>2</v>
      </c>
      <c r="Q320">
        <v>3</v>
      </c>
      <c r="R320" s="36">
        <f>IFERROR(INDEX(Katalog!$D$3:$D$12,MATCH(cadangan3[[#This Row],[ItemID B]],Katalog!$C$3:$C$12,0))*cadangan3[[#This Row],[Qty B]],0)</f>
        <v>700000</v>
      </c>
      <c r="S320" s="36">
        <f>IFERROR(INDEX(Katalog!$D$3:$D$12,MATCH(cadangan3[[#This Row],[Item B]],Katalog!$B$3:$B$12,0))*cadangan3[[#This Row],[Qty B]],0)</f>
        <v>700000</v>
      </c>
      <c r="T320" s="36">
        <f>IFERROR(cadangan3[[#This Row],[Harga Asli B]]-(cadangan3[[#This Row],[Harga Asli B]]*cadangan3[[#This Row],[Diskon]]),cadangan3[[#This Row],[Harga Asli B]])</f>
        <v>630000</v>
      </c>
      <c r="U320" s="36">
        <f>IFERROR(INDEX(Katalog!$F$3:$F$12,MATCH(cadangan3[[#This Row],[ItemID B]],Katalog!$C$3:$C$12,0))*cadangan3[[#This Row],[Qty B]],0)</f>
        <v>260000</v>
      </c>
      <c r="V320" s="36">
        <f>IFERROR(cadangan3[[#This Row],[Profit B]]-(cadangan3[[#This Row],[Profit B]]*cadangan3[[#This Row],[Diskon]]),U320)</f>
        <v>234000</v>
      </c>
      <c r="X320" t="str">
        <f>IFERROR(INDEX(Katalog!$A$3:$A$12,MATCH(cadangan3[[#This Row],[ItemID C]],Katalog!$C$3:$C$12,0)),"-")</f>
        <v>-</v>
      </c>
      <c r="Y320" t="str">
        <f>IFERROR(INDEX(Katalog!$B$3:$B$12,MATCH(cadangan3[[#This Row],[ItemID C]],Katalog!$C$3:$C$12,0)),"-")</f>
        <v>-</v>
      </c>
      <c r="AB320" s="36">
        <f>IFERROR(INDEX(Katalog!$D$3:$D$12,MATCH(cadangan3[[#This Row],[ItemID C]],Katalog!$C$3:$C$12,0))*cadangan3[[#This Row],[Qty C]],0)</f>
        <v>0</v>
      </c>
      <c r="AC320" s="36">
        <f>IFERROR(INDEX(Katalog!$D$3:$D$12,MATCH(cadangan3[[#This Row],[Item C]],Katalog!$B$3:$B$12,0))*cadangan3[[#This Row],[Qty C]],0)</f>
        <v>0</v>
      </c>
      <c r="AD320" s="36">
        <f>IFERROR(cadangan3[[#This Row],[Harga Asli C]]-(cadangan3[[#This Row],[Harga Asli C]]*cadangan3[[#This Row],[Diskon]]),cadangan3[[#This Row],[Harga Asli C]])</f>
        <v>0</v>
      </c>
      <c r="AE320" s="36">
        <f>IFERROR(INDEX(Katalog!$F$3:$F$12,MATCH(cadangan3[[#This Row],[ItemID C]],Katalog!$C$3:$C$12,0))*cadangan3[[#This Row],[Qty C]],0)</f>
        <v>0</v>
      </c>
      <c r="AF320" s="36">
        <f>IFERROR(cadangan3[[#This Row],[Profit C]]-(cadangan3[[#This Row],[Profit C]]*cadangan3[[#This Row],[Diskon]]),cadangan3[[#This Row],[Profit C]])</f>
        <v>0</v>
      </c>
      <c r="AG320" s="21">
        <f>cadangan3[[#This Row],[Qty A]]+cadangan3[[#This Row],[Qty B]]+cadangan3[[#This Row],[Qty C]]</f>
        <v>5</v>
      </c>
      <c r="AH320" s="35">
        <f>cadangan3[[#This Row],[Harga A + Diskon]]+cadangan3[[#This Row],[Harga + Diskon B]]+cadangan3[[#This Row],[Harga + Diskon C]]</f>
        <v>1035000</v>
      </c>
      <c r="AI320" s="35">
        <f>(cadangan3[[#This Row],[Profit A]]+cadangan3[[#This Row],[Profit B]]+cadangan3[[#This Row],[Profit C]])</f>
        <v>410000</v>
      </c>
      <c r="AJ320" s="35">
        <f>cadangan3[[#This Row],[Provit A + Diskon]]+cadangan3[[#This Row],[Provit B + Diskon]]+cadangan3[[#This Row],[Provit C + Diskon]]</f>
        <v>369000</v>
      </c>
      <c r="AK320" s="23" t="s">
        <v>30</v>
      </c>
      <c r="AL320" s="37">
        <f>IFERROR(INDEX('Kode Diskon'!$D$3:$D$9,MATCH(cadangan3[[#This Row],[Kode diskon]],'Kode Diskon'!$C$3:$C$9,0)),"-")</f>
        <v>0.1</v>
      </c>
      <c r="AM320" s="23" t="s">
        <v>29</v>
      </c>
      <c r="AN320" s="23" t="s">
        <v>10</v>
      </c>
      <c r="AO320" s="23" t="s">
        <v>76</v>
      </c>
      <c r="AP320" s="24">
        <v>45022</v>
      </c>
      <c r="AQ320" s="23" t="str">
        <f>TEXT(cadangan3[[#This Row],[Tanggal terjual]],"dddd")</f>
        <v>Thursday</v>
      </c>
    </row>
    <row r="321" spans="1:43" x14ac:dyDescent="0.2">
      <c r="A321" s="20">
        <v>320</v>
      </c>
      <c r="B321" s="21" t="str">
        <f>_xlfn.CONCAT("ORD-",INDEX(Helper!$B$2:$B$5,MATCH(cadangan3[[#This Row],[Marketplace]],Helper!$A$2:$A$5,0)),TEXT(cadangan3[[#This Row],[No]],"0000"),"-",TEXT(cadangan3[[#This Row],[Tanggal terjual]],"dd/mm/yy"))</f>
        <v>ORD-BL0320-30/04/23</v>
      </c>
      <c r="C321" t="s">
        <v>66</v>
      </c>
      <c r="D321" t="str">
        <f>IFERROR(INDEX(Katalog!$A$3:$A$12,MATCH(cadangan3[[#This Row],[ItemID A]],Katalog!$C$3:$C$12,0)),"-")</f>
        <v>Sepatu Pria</v>
      </c>
      <c r="E321" t="str">
        <f>IFERROR(INDEX(Katalog!$B$3:$B$12,MATCH(cadangan3[[#This Row],[ItemID A]],Katalog!$C$3:$C$12,0)),"-")</f>
        <v>Sandal Slip On</v>
      </c>
      <c r="F321">
        <v>1</v>
      </c>
      <c r="G321">
        <v>4</v>
      </c>
      <c r="H321" s="36">
        <f>IFERROR(INDEX(Katalog!$D$3:$D$12,MATCH(cadangan3[[#This Row],[ItemID A]],Katalog!$C$3:$C$12,0))*cadangan3[[#This Row],[Qty A]],0)</f>
        <v>150000</v>
      </c>
      <c r="I321" s="36">
        <f>IFERROR(INDEX(Katalog!$D$3:$D$12,MATCH(cadangan3[[#This Row],[Item A]],Katalog!$B$3:$B$12,0))*cadangan3[[#This Row],[Qty A]],0)</f>
        <v>150000</v>
      </c>
      <c r="J321" s="36">
        <f>IFERROR(cadangan3[[#This Row],[Harga Asli A]]-(cadangan3[[#This Row],[Harga Asli A]]*cadangan3[[#This Row],[Diskon]]),cadangan3[[#This Row],[Harga Asli A]])</f>
        <v>127500</v>
      </c>
      <c r="K321" s="36">
        <f>INDEX(Katalog!$F$3:$F$12,MATCH(cadangan3[[#This Row],[ItemID A]],Katalog!$C$3:$C$12,0))*cadangan3[[#This Row],[Qty A]]</f>
        <v>60000</v>
      </c>
      <c r="L321" s="36">
        <f>IFERROR(cadangan3[[#This Row],[Profit A]]-(cadangan3[[#This Row],[Profit A]]*cadangan3[[#This Row],[Diskon]]),K321)</f>
        <v>51000</v>
      </c>
      <c r="M321" t="s">
        <v>58</v>
      </c>
      <c r="N321" t="str">
        <f>IFERROR(INDEX(Katalog!$A$3:$A$12,MATCH(cadangan3[[#This Row],[ItemID B]],Katalog!$C$3:$C$12,0)),"-")</f>
        <v>Pakaian Wanita</v>
      </c>
      <c r="O321" t="str">
        <f>IFERROR(INDEX(Katalog!$B$3:$B$12,MATCH(cadangan3[[#This Row],[ItemID B]],Katalog!$C$3:$C$12,0)),"-")</f>
        <v>Dress</v>
      </c>
      <c r="P321">
        <v>1</v>
      </c>
      <c r="Q321">
        <v>1</v>
      </c>
      <c r="R321" s="36">
        <f>IFERROR(INDEX(Katalog!$D$3:$D$12,MATCH(cadangan3[[#This Row],[ItemID B]],Katalog!$C$3:$C$12,0))*cadangan3[[#This Row],[Qty B]],0)</f>
        <v>300000</v>
      </c>
      <c r="S321" s="36">
        <f>IFERROR(INDEX(Katalog!$D$3:$D$12,MATCH(cadangan3[[#This Row],[Item B]],Katalog!$B$3:$B$12,0))*cadangan3[[#This Row],[Qty B]],0)</f>
        <v>300000</v>
      </c>
      <c r="T321" s="36">
        <f>IFERROR(cadangan3[[#This Row],[Harga Asli B]]-(cadangan3[[#This Row],[Harga Asli B]]*cadangan3[[#This Row],[Diskon]]),cadangan3[[#This Row],[Harga Asli B]])</f>
        <v>255000</v>
      </c>
      <c r="U321" s="36">
        <f>IFERROR(INDEX(Katalog!$F$3:$F$12,MATCH(cadangan3[[#This Row],[ItemID B]],Katalog!$C$3:$C$12,0))*cadangan3[[#This Row],[Qty B]],0)</f>
        <v>100000</v>
      </c>
      <c r="V321" s="36">
        <f>IFERROR(cadangan3[[#This Row],[Profit B]]-(cadangan3[[#This Row],[Profit B]]*cadangan3[[#This Row],[Diskon]]),U321)</f>
        <v>85000</v>
      </c>
      <c r="X321" t="str">
        <f>IFERROR(INDEX(Katalog!$A$3:$A$12,MATCH(cadangan3[[#This Row],[ItemID C]],Katalog!$C$3:$C$12,0)),"-")</f>
        <v>-</v>
      </c>
      <c r="Y321" t="str">
        <f>IFERROR(INDEX(Katalog!$B$3:$B$12,MATCH(cadangan3[[#This Row],[ItemID C]],Katalog!$C$3:$C$12,0)),"-")</f>
        <v>-</v>
      </c>
      <c r="AB321" s="36">
        <f>IFERROR(INDEX(Katalog!$D$3:$D$12,MATCH(cadangan3[[#This Row],[ItemID C]],Katalog!$C$3:$C$12,0))*cadangan3[[#This Row],[Qty C]],0)</f>
        <v>0</v>
      </c>
      <c r="AC321" s="36">
        <f>IFERROR(INDEX(Katalog!$D$3:$D$12,MATCH(cadangan3[[#This Row],[Item C]],Katalog!$B$3:$B$12,0))*cadangan3[[#This Row],[Qty C]],0)</f>
        <v>0</v>
      </c>
      <c r="AD321" s="36">
        <f>IFERROR(cadangan3[[#This Row],[Harga Asli C]]-(cadangan3[[#This Row],[Harga Asli C]]*cadangan3[[#This Row],[Diskon]]),cadangan3[[#This Row],[Harga Asli C]])</f>
        <v>0</v>
      </c>
      <c r="AE321" s="36">
        <f>IFERROR(INDEX(Katalog!$F$3:$F$12,MATCH(cadangan3[[#This Row],[ItemID C]],Katalog!$C$3:$C$12,0))*cadangan3[[#This Row],[Qty C]],0)</f>
        <v>0</v>
      </c>
      <c r="AF321" s="36">
        <f>IFERROR(cadangan3[[#This Row],[Profit C]]-(cadangan3[[#This Row],[Profit C]]*cadangan3[[#This Row],[Diskon]]),cadangan3[[#This Row],[Profit C]])</f>
        <v>0</v>
      </c>
      <c r="AG321" s="21">
        <f>cadangan3[[#This Row],[Qty A]]+cadangan3[[#This Row],[Qty B]]+cadangan3[[#This Row],[Qty C]]</f>
        <v>2</v>
      </c>
      <c r="AH321" s="35">
        <f>cadangan3[[#This Row],[Harga A + Diskon]]+cadangan3[[#This Row],[Harga + Diskon B]]+cadangan3[[#This Row],[Harga + Diskon C]]</f>
        <v>382500</v>
      </c>
      <c r="AI321" s="35">
        <f>(cadangan3[[#This Row],[Profit A]]+cadangan3[[#This Row],[Profit B]]+cadangan3[[#This Row],[Profit C]])</f>
        <v>160000</v>
      </c>
      <c r="AJ321" s="35">
        <f>cadangan3[[#This Row],[Provit A + Diskon]]+cadangan3[[#This Row],[Provit B + Diskon]]+cadangan3[[#This Row],[Provit C + Diskon]]</f>
        <v>136000</v>
      </c>
      <c r="AK321" s="23" t="s">
        <v>32</v>
      </c>
      <c r="AL321" s="37">
        <f>IFERROR(INDEX('Kode Diskon'!$D$3:$D$9,MATCH(cadangan3[[#This Row],[Kode diskon]],'Kode Diskon'!$C$3:$C$9,0)),"-")</f>
        <v>0.15</v>
      </c>
      <c r="AM321" s="23" t="s">
        <v>9</v>
      </c>
      <c r="AN321" s="23" t="s">
        <v>12</v>
      </c>
      <c r="AO321" s="23" t="s">
        <v>75</v>
      </c>
      <c r="AP321" s="24">
        <v>45046</v>
      </c>
      <c r="AQ321" s="23" t="str">
        <f>TEXT(cadangan3[[#This Row],[Tanggal terjual]],"dddd")</f>
        <v>Sunday</v>
      </c>
    </row>
    <row r="322" spans="1:43" x14ac:dyDescent="0.2">
      <c r="A322" s="20">
        <v>321</v>
      </c>
      <c r="B322" s="21" t="str">
        <f>_xlfn.CONCAT("ORD-",INDEX(Helper!$B$2:$B$5,MATCH(cadangan3[[#This Row],[Marketplace]],Helper!$A$2:$A$5,0)),TEXT(cadangan3[[#This Row],[No]],"0000"),"-",TEXT(cadangan3[[#This Row],[Tanggal terjual]],"dd/mm/yy"))</f>
        <v>ORD-BB0321-04/04/23</v>
      </c>
      <c r="C322" t="s">
        <v>61</v>
      </c>
      <c r="D322" t="str">
        <f>IFERROR(INDEX(Katalog!$A$3:$A$12,MATCH(cadangan3[[#This Row],[ItemID A]],Katalog!$C$3:$C$12,0)),"-")</f>
        <v>Pakaian Pria</v>
      </c>
      <c r="E322" t="str">
        <f>IFERROR(INDEX(Katalog!$B$3:$B$12,MATCH(cadangan3[[#This Row],[ItemID A]],Katalog!$C$3:$C$12,0)),"-")</f>
        <v>Kaos Polo</v>
      </c>
      <c r="F322">
        <v>2</v>
      </c>
      <c r="G322">
        <v>5</v>
      </c>
      <c r="H322" s="36">
        <f>IFERROR(INDEX(Katalog!$D$3:$D$12,MATCH(cadangan3[[#This Row],[ItemID A]],Katalog!$C$3:$C$12,0))*cadangan3[[#This Row],[Qty A]],0)</f>
        <v>400000</v>
      </c>
      <c r="I322" s="36">
        <f>IFERROR(INDEX(Katalog!$D$3:$D$12,MATCH(cadangan3[[#This Row],[Item A]],Katalog!$B$3:$B$12,0))*cadangan3[[#This Row],[Qty A]],0)</f>
        <v>400000</v>
      </c>
      <c r="J322" s="36">
        <f>IFERROR(cadangan3[[#This Row],[Harga Asli A]]-(cadangan3[[#This Row],[Harga Asli A]]*cadangan3[[#This Row],[Diskon]]),cadangan3[[#This Row],[Harga Asli A]])</f>
        <v>340000</v>
      </c>
      <c r="K322" s="36">
        <f>INDEX(Katalog!$F$3:$F$12,MATCH(cadangan3[[#This Row],[ItemID A]],Katalog!$C$3:$C$12,0))*cadangan3[[#This Row],[Qty A]]</f>
        <v>160000</v>
      </c>
      <c r="L322" s="36">
        <f>IFERROR(cadangan3[[#This Row],[Profit A]]-(cadangan3[[#This Row],[Profit A]]*cadangan3[[#This Row],[Diskon]]),K322)</f>
        <v>136000</v>
      </c>
      <c r="M322" t="s">
        <v>62</v>
      </c>
      <c r="N322" t="str">
        <f>IFERROR(INDEX(Katalog!$A$3:$A$12,MATCH(cadangan3[[#This Row],[ItemID B]],Katalog!$C$3:$C$12,0)),"-")</f>
        <v>Pakaian Pria</v>
      </c>
      <c r="O322" t="str">
        <f>IFERROR(INDEX(Katalog!$B$3:$B$12,MATCH(cadangan3[[#This Row],[ItemID B]],Katalog!$C$3:$C$12,0)),"-")</f>
        <v>Celana Pendek</v>
      </c>
      <c r="P322">
        <v>2</v>
      </c>
      <c r="Q322">
        <v>1</v>
      </c>
      <c r="R322" s="36">
        <f>IFERROR(INDEX(Katalog!$D$3:$D$12,MATCH(cadangan3[[#This Row],[ItemID B]],Katalog!$C$3:$C$12,0))*cadangan3[[#This Row],[Qty B]],0)</f>
        <v>360000</v>
      </c>
      <c r="S322" s="36">
        <f>IFERROR(INDEX(Katalog!$D$3:$D$12,MATCH(cadangan3[[#This Row],[Item B]],Katalog!$B$3:$B$12,0))*cadangan3[[#This Row],[Qty B]],0)</f>
        <v>360000</v>
      </c>
      <c r="T322" s="36">
        <f>IFERROR(cadangan3[[#This Row],[Harga Asli B]]-(cadangan3[[#This Row],[Harga Asli B]]*cadangan3[[#This Row],[Diskon]]),cadangan3[[#This Row],[Harga Asli B]])</f>
        <v>306000</v>
      </c>
      <c r="U322" s="36">
        <f>IFERROR(INDEX(Katalog!$F$3:$F$12,MATCH(cadangan3[[#This Row],[ItemID B]],Katalog!$C$3:$C$12,0))*cadangan3[[#This Row],[Qty B]],0)</f>
        <v>140000</v>
      </c>
      <c r="V322" s="36">
        <f>IFERROR(cadangan3[[#This Row],[Profit B]]-(cadangan3[[#This Row],[Profit B]]*cadangan3[[#This Row],[Diskon]]),U322)</f>
        <v>119000</v>
      </c>
      <c r="W322" t="s">
        <v>66</v>
      </c>
      <c r="X322" t="str">
        <f>IFERROR(INDEX(Katalog!$A$3:$A$12,MATCH(cadangan3[[#This Row],[ItemID C]],Katalog!$C$3:$C$12,0)),"-")</f>
        <v>Sepatu Pria</v>
      </c>
      <c r="Y322" t="str">
        <f>IFERROR(INDEX(Katalog!$B$3:$B$12,MATCH(cadangan3[[#This Row],[ItemID C]],Katalog!$C$3:$C$12,0)),"-")</f>
        <v>Sandal Slip On</v>
      </c>
      <c r="Z322">
        <v>2</v>
      </c>
      <c r="AA322">
        <v>3</v>
      </c>
      <c r="AB322" s="36">
        <f>IFERROR(INDEX(Katalog!$D$3:$D$12,MATCH(cadangan3[[#This Row],[ItemID C]],Katalog!$C$3:$C$12,0))*cadangan3[[#This Row],[Qty C]],0)</f>
        <v>300000</v>
      </c>
      <c r="AC322" s="36">
        <f>IFERROR(INDEX(Katalog!$D$3:$D$12,MATCH(cadangan3[[#This Row],[Item C]],Katalog!$B$3:$B$12,0))*cadangan3[[#This Row],[Qty C]],0)</f>
        <v>300000</v>
      </c>
      <c r="AD322" s="36">
        <f>IFERROR(cadangan3[[#This Row],[Harga Asli C]]-(cadangan3[[#This Row],[Harga Asli C]]*cadangan3[[#This Row],[Diskon]]),cadangan3[[#This Row],[Harga Asli C]])</f>
        <v>255000</v>
      </c>
      <c r="AE322" s="36">
        <f>IFERROR(INDEX(Katalog!$F$3:$F$12,MATCH(cadangan3[[#This Row],[ItemID C]],Katalog!$C$3:$C$12,0))*cadangan3[[#This Row],[Qty C]],0)</f>
        <v>120000</v>
      </c>
      <c r="AF322" s="36">
        <f>IFERROR(cadangan3[[#This Row],[Profit C]]-(cadangan3[[#This Row],[Profit C]]*cadangan3[[#This Row],[Diskon]]),cadangan3[[#This Row],[Profit C]])</f>
        <v>102000</v>
      </c>
      <c r="AG322" s="21">
        <f>cadangan3[[#This Row],[Qty A]]+cadangan3[[#This Row],[Qty B]]+cadangan3[[#This Row],[Qty C]]</f>
        <v>6</v>
      </c>
      <c r="AH322" s="35">
        <f>cadangan3[[#This Row],[Harga A + Diskon]]+cadangan3[[#This Row],[Harga + Diskon B]]+cadangan3[[#This Row],[Harga + Diskon C]]</f>
        <v>901000</v>
      </c>
      <c r="AI322" s="35">
        <f>(cadangan3[[#This Row],[Profit A]]+cadangan3[[#This Row],[Profit B]]+cadangan3[[#This Row],[Profit C]])</f>
        <v>420000</v>
      </c>
      <c r="AJ322" s="35">
        <f>cadangan3[[#This Row],[Provit A + Diskon]]+cadangan3[[#This Row],[Provit B + Diskon]]+cadangan3[[#This Row],[Provit C + Diskon]]</f>
        <v>357000</v>
      </c>
      <c r="AK322" s="23" t="s">
        <v>28</v>
      </c>
      <c r="AL322" s="37">
        <f>IFERROR(INDEX('Kode Diskon'!$D$3:$D$9,MATCH(cadangan3[[#This Row],[Kode diskon]],'Kode Diskon'!$C$3:$C$9,0)),"-")</f>
        <v>0.15</v>
      </c>
      <c r="AM322" s="23" t="s">
        <v>29</v>
      </c>
      <c r="AN322" s="23" t="s">
        <v>14</v>
      </c>
      <c r="AO322" s="23" t="s">
        <v>76</v>
      </c>
      <c r="AP322" s="24">
        <v>45020</v>
      </c>
      <c r="AQ322" s="23" t="str">
        <f>TEXT(cadangan3[[#This Row],[Tanggal terjual]],"dddd")</f>
        <v>Tuesday</v>
      </c>
    </row>
    <row r="323" spans="1:43" x14ac:dyDescent="0.2">
      <c r="A323" s="20">
        <v>322</v>
      </c>
      <c r="B323" s="21" t="str">
        <f>_xlfn.CONCAT("ORD-",INDEX(Helper!$B$2:$B$5,MATCH(cadangan3[[#This Row],[Marketplace]],Helper!$A$2:$A$5,0)),TEXT(cadangan3[[#This Row],[No]],"0000"),"-",TEXT(cadangan3[[#This Row],[Tanggal terjual]],"dd/mm/yy"))</f>
        <v>ORD-SP0322-02/04/23</v>
      </c>
      <c r="C323" t="s">
        <v>65</v>
      </c>
      <c r="D323" t="str">
        <f>IFERROR(INDEX(Katalog!$A$3:$A$12,MATCH(cadangan3[[#This Row],[ItemID A]],Katalog!$C$3:$C$12,0)),"-")</f>
        <v>Sepatu Pria</v>
      </c>
      <c r="E323" t="str">
        <f>IFERROR(INDEX(Katalog!$B$3:$B$12,MATCH(cadangan3[[#This Row],[ItemID A]],Katalog!$C$3:$C$12,0)),"-")</f>
        <v>Sneakers</v>
      </c>
      <c r="F323">
        <v>2</v>
      </c>
      <c r="G323">
        <v>1</v>
      </c>
      <c r="H323" s="36">
        <f>IFERROR(INDEX(Katalog!$D$3:$D$12,MATCH(cadangan3[[#This Row],[ItemID A]],Katalog!$C$3:$C$12,0))*cadangan3[[#This Row],[Qty A]],0)</f>
        <v>1000000</v>
      </c>
      <c r="I323" s="36">
        <f>IFERROR(INDEX(Katalog!$D$3:$D$12,MATCH(cadangan3[[#This Row],[Item A]],Katalog!$B$3:$B$12,0))*cadangan3[[#This Row],[Qty A]],0)</f>
        <v>1000000</v>
      </c>
      <c r="J323" s="36">
        <f>IFERROR(cadangan3[[#This Row],[Harga Asli A]]-(cadangan3[[#This Row],[Harga Asli A]]*cadangan3[[#This Row],[Diskon]]),cadangan3[[#This Row],[Harga Asli A]])</f>
        <v>850000</v>
      </c>
      <c r="K323" s="36">
        <f>INDEX(Katalog!$F$3:$F$12,MATCH(cadangan3[[#This Row],[ItemID A]],Katalog!$C$3:$C$12,0))*cadangan3[[#This Row],[Qty A]]</f>
        <v>400000</v>
      </c>
      <c r="L323" s="36">
        <f>IFERROR(cadangan3[[#This Row],[Profit A]]-(cadangan3[[#This Row],[Profit A]]*cadangan3[[#This Row],[Diskon]]),K323)</f>
        <v>340000</v>
      </c>
      <c r="N323" t="str">
        <f>IFERROR(INDEX(Katalog!$A$3:$A$12,MATCH(cadangan3[[#This Row],[ItemID B]],Katalog!$C$3:$C$12,0)),"-")</f>
        <v>-</v>
      </c>
      <c r="O323" t="str">
        <f>IFERROR(INDEX(Katalog!$B$3:$B$12,MATCH(cadangan3[[#This Row],[ItemID B]],Katalog!$C$3:$C$12,0)),"-")</f>
        <v>-</v>
      </c>
      <c r="R323" s="36">
        <f>IFERROR(INDEX(Katalog!$D$3:$D$12,MATCH(cadangan3[[#This Row],[ItemID B]],Katalog!$C$3:$C$12,0))*cadangan3[[#This Row],[Qty B]],0)</f>
        <v>0</v>
      </c>
      <c r="S323" s="36">
        <f>IFERROR(INDEX(Katalog!$D$3:$D$12,MATCH(cadangan3[[#This Row],[Item B]],Katalog!$B$3:$B$12,0))*cadangan3[[#This Row],[Qty B]],0)</f>
        <v>0</v>
      </c>
      <c r="T323" s="36">
        <f>IFERROR(cadangan3[[#This Row],[Harga Asli B]]-(cadangan3[[#This Row],[Harga Asli B]]*cadangan3[[#This Row],[Diskon]]),cadangan3[[#This Row],[Harga Asli B]])</f>
        <v>0</v>
      </c>
      <c r="U323" s="36">
        <f>IFERROR(INDEX(Katalog!$F$3:$F$12,MATCH(cadangan3[[#This Row],[ItemID B]],Katalog!$C$3:$C$12,0))*cadangan3[[#This Row],[Qty B]],0)</f>
        <v>0</v>
      </c>
      <c r="V323" s="36">
        <f>IFERROR(cadangan3[[#This Row],[Profit B]]-(cadangan3[[#This Row],[Profit B]]*cadangan3[[#This Row],[Diskon]]),U323)</f>
        <v>0</v>
      </c>
      <c r="X323" t="str">
        <f>IFERROR(INDEX(Katalog!$A$3:$A$12,MATCH(cadangan3[[#This Row],[ItemID C]],Katalog!$C$3:$C$12,0)),"-")</f>
        <v>-</v>
      </c>
      <c r="Y323" t="str">
        <f>IFERROR(INDEX(Katalog!$B$3:$B$12,MATCH(cadangan3[[#This Row],[ItemID C]],Katalog!$C$3:$C$12,0)),"-")</f>
        <v>-</v>
      </c>
      <c r="AB323" s="36">
        <f>IFERROR(INDEX(Katalog!$D$3:$D$12,MATCH(cadangan3[[#This Row],[ItemID C]],Katalog!$C$3:$C$12,0))*cadangan3[[#This Row],[Qty C]],0)</f>
        <v>0</v>
      </c>
      <c r="AC323" s="36">
        <f>IFERROR(INDEX(Katalog!$D$3:$D$12,MATCH(cadangan3[[#This Row],[Item C]],Katalog!$B$3:$B$12,0))*cadangan3[[#This Row],[Qty C]],0)</f>
        <v>0</v>
      </c>
      <c r="AD323" s="36">
        <f>IFERROR(cadangan3[[#This Row],[Harga Asli C]]-(cadangan3[[#This Row],[Harga Asli C]]*cadangan3[[#This Row],[Diskon]]),cadangan3[[#This Row],[Harga Asli C]])</f>
        <v>0</v>
      </c>
      <c r="AE323" s="36">
        <f>IFERROR(INDEX(Katalog!$F$3:$F$12,MATCH(cadangan3[[#This Row],[ItemID C]],Katalog!$C$3:$C$12,0))*cadangan3[[#This Row],[Qty C]],0)</f>
        <v>0</v>
      </c>
      <c r="AF323" s="36">
        <f>IFERROR(cadangan3[[#This Row],[Profit C]]-(cadangan3[[#This Row],[Profit C]]*cadangan3[[#This Row],[Diskon]]),cadangan3[[#This Row],[Profit C]])</f>
        <v>0</v>
      </c>
      <c r="AG323" s="21">
        <f>cadangan3[[#This Row],[Qty A]]+cadangan3[[#This Row],[Qty B]]+cadangan3[[#This Row],[Qty C]]</f>
        <v>2</v>
      </c>
      <c r="AH323" s="35">
        <f>cadangan3[[#This Row],[Harga A + Diskon]]+cadangan3[[#This Row],[Harga + Diskon B]]+cadangan3[[#This Row],[Harga + Diskon C]]</f>
        <v>850000</v>
      </c>
      <c r="AI323" s="35">
        <f>(cadangan3[[#This Row],[Profit A]]+cadangan3[[#This Row],[Profit B]]+cadangan3[[#This Row],[Profit C]])</f>
        <v>400000</v>
      </c>
      <c r="AJ323" s="35">
        <f>cadangan3[[#This Row],[Provit A + Diskon]]+cadangan3[[#This Row],[Provit B + Diskon]]+cadangan3[[#This Row],[Provit C + Diskon]]</f>
        <v>340000</v>
      </c>
      <c r="AK323" s="23" t="s">
        <v>13</v>
      </c>
      <c r="AL323" s="37">
        <f>IFERROR(INDEX('Kode Diskon'!$D$3:$D$9,MATCH(cadangan3[[#This Row],[Kode diskon]],'Kode Diskon'!$C$3:$C$9,0)),"-")</f>
        <v>0.15</v>
      </c>
      <c r="AM323" s="23" t="s">
        <v>29</v>
      </c>
      <c r="AN323" s="23" t="s">
        <v>7</v>
      </c>
      <c r="AO323" s="23" t="s">
        <v>80</v>
      </c>
      <c r="AP323" s="24">
        <v>45018</v>
      </c>
      <c r="AQ323" s="23" t="str">
        <f>TEXT(cadangan3[[#This Row],[Tanggal terjual]],"dddd")</f>
        <v>Sunday</v>
      </c>
    </row>
    <row r="324" spans="1:43" x14ac:dyDescent="0.2">
      <c r="A324" s="20">
        <v>323</v>
      </c>
      <c r="B324" s="21" t="str">
        <f>_xlfn.CONCAT("ORD-",INDEX(Helper!$B$2:$B$5,MATCH(cadangan3[[#This Row],[Marketplace]],Helper!$A$2:$A$5,0)),TEXT(cadangan3[[#This Row],[No]],"0000"),"-",TEXT(cadangan3[[#This Row],[Tanggal terjual]],"dd/mm/yy"))</f>
        <v>ORD-TK0323-26/04/23</v>
      </c>
      <c r="C324" t="s">
        <v>64</v>
      </c>
      <c r="D324" t="str">
        <f>IFERROR(INDEX(Katalog!$A$3:$A$12,MATCH(cadangan3[[#This Row],[ItemID A]],Katalog!$C$3:$C$12,0)),"-")</f>
        <v>Pakaian Unisex</v>
      </c>
      <c r="E324" t="str">
        <f>IFERROR(INDEX(Katalog!$B$3:$B$12,MATCH(cadangan3[[#This Row],[ItemID A]],Katalog!$C$3:$C$12,0)),"-")</f>
        <v>Jaket Hoodie</v>
      </c>
      <c r="F324">
        <v>3</v>
      </c>
      <c r="G324">
        <v>1</v>
      </c>
      <c r="H324" s="36">
        <f>IFERROR(INDEX(Katalog!$D$3:$D$12,MATCH(cadangan3[[#This Row],[ItemID A]],Katalog!$C$3:$C$12,0))*cadangan3[[#This Row],[Qty A]],0)</f>
        <v>1050000</v>
      </c>
      <c r="I324" s="36">
        <f>IFERROR(INDEX(Katalog!$D$3:$D$12,MATCH(cadangan3[[#This Row],[Item A]],Katalog!$B$3:$B$12,0))*cadangan3[[#This Row],[Qty A]],0)</f>
        <v>1050000</v>
      </c>
      <c r="J324" s="36">
        <f>IFERROR(cadangan3[[#This Row],[Harga Asli A]]-(cadangan3[[#This Row],[Harga Asli A]]*cadangan3[[#This Row],[Diskon]]),cadangan3[[#This Row],[Harga Asli A]])</f>
        <v>945000</v>
      </c>
      <c r="K324" s="36">
        <f>INDEX(Katalog!$F$3:$F$12,MATCH(cadangan3[[#This Row],[ItemID A]],Katalog!$C$3:$C$12,0))*cadangan3[[#This Row],[Qty A]]</f>
        <v>390000</v>
      </c>
      <c r="L324" s="36">
        <f>IFERROR(cadangan3[[#This Row],[Profit A]]-(cadangan3[[#This Row],[Profit A]]*cadangan3[[#This Row],[Diskon]]),K324)</f>
        <v>351000</v>
      </c>
      <c r="N324" t="str">
        <f>IFERROR(INDEX(Katalog!$A$3:$A$12,MATCH(cadangan3[[#This Row],[ItemID B]],Katalog!$C$3:$C$12,0)),"-")</f>
        <v>-</v>
      </c>
      <c r="O324" t="str">
        <f>IFERROR(INDEX(Katalog!$B$3:$B$12,MATCH(cadangan3[[#This Row],[ItemID B]],Katalog!$C$3:$C$12,0)),"-")</f>
        <v>-</v>
      </c>
      <c r="R324" s="36">
        <f>IFERROR(INDEX(Katalog!$D$3:$D$12,MATCH(cadangan3[[#This Row],[ItemID B]],Katalog!$C$3:$C$12,0))*cadangan3[[#This Row],[Qty B]],0)</f>
        <v>0</v>
      </c>
      <c r="S324" s="36">
        <f>IFERROR(INDEX(Katalog!$D$3:$D$12,MATCH(cadangan3[[#This Row],[Item B]],Katalog!$B$3:$B$12,0))*cadangan3[[#This Row],[Qty B]],0)</f>
        <v>0</v>
      </c>
      <c r="T324" s="36">
        <f>IFERROR(cadangan3[[#This Row],[Harga Asli B]]-(cadangan3[[#This Row],[Harga Asli B]]*cadangan3[[#This Row],[Diskon]]),cadangan3[[#This Row],[Harga Asli B]])</f>
        <v>0</v>
      </c>
      <c r="U324" s="36">
        <f>IFERROR(INDEX(Katalog!$F$3:$F$12,MATCH(cadangan3[[#This Row],[ItemID B]],Katalog!$C$3:$C$12,0))*cadangan3[[#This Row],[Qty B]],0)</f>
        <v>0</v>
      </c>
      <c r="V324" s="36">
        <f>IFERROR(cadangan3[[#This Row],[Profit B]]-(cadangan3[[#This Row],[Profit B]]*cadangan3[[#This Row],[Diskon]]),U324)</f>
        <v>0</v>
      </c>
      <c r="X324" t="str">
        <f>IFERROR(INDEX(Katalog!$A$3:$A$12,MATCH(cadangan3[[#This Row],[ItemID C]],Katalog!$C$3:$C$12,0)),"-")</f>
        <v>-</v>
      </c>
      <c r="Y324" t="str">
        <f>IFERROR(INDEX(Katalog!$B$3:$B$12,MATCH(cadangan3[[#This Row],[ItemID C]],Katalog!$C$3:$C$12,0)),"-")</f>
        <v>-</v>
      </c>
      <c r="AB324" s="36">
        <f>IFERROR(INDEX(Katalog!$D$3:$D$12,MATCH(cadangan3[[#This Row],[ItemID C]],Katalog!$C$3:$C$12,0))*cadangan3[[#This Row],[Qty C]],0)</f>
        <v>0</v>
      </c>
      <c r="AC324" s="36">
        <f>IFERROR(INDEX(Katalog!$D$3:$D$12,MATCH(cadangan3[[#This Row],[Item C]],Katalog!$B$3:$B$12,0))*cadangan3[[#This Row],[Qty C]],0)</f>
        <v>0</v>
      </c>
      <c r="AD324" s="36">
        <f>IFERROR(cadangan3[[#This Row],[Harga Asli C]]-(cadangan3[[#This Row],[Harga Asli C]]*cadangan3[[#This Row],[Diskon]]),cadangan3[[#This Row],[Harga Asli C]])</f>
        <v>0</v>
      </c>
      <c r="AE324" s="36">
        <f>IFERROR(INDEX(Katalog!$F$3:$F$12,MATCH(cadangan3[[#This Row],[ItemID C]],Katalog!$C$3:$C$12,0))*cadangan3[[#This Row],[Qty C]],0)</f>
        <v>0</v>
      </c>
      <c r="AF324" s="36">
        <f>IFERROR(cadangan3[[#This Row],[Profit C]]-(cadangan3[[#This Row],[Profit C]]*cadangan3[[#This Row],[Diskon]]),cadangan3[[#This Row],[Profit C]])</f>
        <v>0</v>
      </c>
      <c r="AG324" s="21">
        <f>cadangan3[[#This Row],[Qty A]]+cadangan3[[#This Row],[Qty B]]+cadangan3[[#This Row],[Qty C]]</f>
        <v>3</v>
      </c>
      <c r="AH324" s="35">
        <f>cadangan3[[#This Row],[Harga A + Diskon]]+cadangan3[[#This Row],[Harga + Diskon B]]+cadangan3[[#This Row],[Harga + Diskon C]]</f>
        <v>945000</v>
      </c>
      <c r="AI324" s="35">
        <f>(cadangan3[[#This Row],[Profit A]]+cadangan3[[#This Row],[Profit B]]+cadangan3[[#This Row],[Profit C]])</f>
        <v>390000</v>
      </c>
      <c r="AJ324" s="35">
        <f>cadangan3[[#This Row],[Provit A + Diskon]]+cadangan3[[#This Row],[Provit B + Diskon]]+cadangan3[[#This Row],[Provit C + Diskon]]</f>
        <v>351000</v>
      </c>
      <c r="AK324" s="23" t="s">
        <v>31</v>
      </c>
      <c r="AL324" s="37">
        <f>IFERROR(INDEX('Kode Diskon'!$D$3:$D$9,MATCH(cadangan3[[#This Row],[Kode diskon]],'Kode Diskon'!$C$3:$C$9,0)),"-")</f>
        <v>0.1</v>
      </c>
      <c r="AM324" s="23" t="s">
        <v>9</v>
      </c>
      <c r="AN324" s="23" t="s">
        <v>10</v>
      </c>
      <c r="AO324" s="23" t="s">
        <v>80</v>
      </c>
      <c r="AP324" s="24">
        <v>45042</v>
      </c>
      <c r="AQ324" s="23" t="str">
        <f>TEXT(cadangan3[[#This Row],[Tanggal terjual]],"dddd")</f>
        <v>Wednesday</v>
      </c>
    </row>
    <row r="325" spans="1:43" x14ac:dyDescent="0.2">
      <c r="A325" s="20">
        <v>324</v>
      </c>
      <c r="B325" s="21" t="str">
        <f>_xlfn.CONCAT("ORD-",INDEX(Helper!$B$2:$B$5,MATCH(cadangan3[[#This Row],[Marketplace]],Helper!$A$2:$A$5,0)),TEXT(cadangan3[[#This Row],[No]],"0000"),"-",TEXT(cadangan3[[#This Row],[Tanggal terjual]],"dd/mm/yy"))</f>
        <v>ORD-SP0324-01/04/23</v>
      </c>
      <c r="C325" t="s">
        <v>63</v>
      </c>
      <c r="D325" t="str">
        <f>IFERROR(INDEX(Katalog!$A$3:$A$12,MATCH(cadangan3[[#This Row],[ItemID A]],Katalog!$C$3:$C$12,0)),"-")</f>
        <v>Pakaian Pria</v>
      </c>
      <c r="E325" t="str">
        <f>IFERROR(INDEX(Katalog!$B$3:$B$12,MATCH(cadangan3[[#This Row],[ItemID A]],Katalog!$C$3:$C$12,0)),"-")</f>
        <v>Jaket Jeans</v>
      </c>
      <c r="F325">
        <v>4</v>
      </c>
      <c r="G325">
        <v>4</v>
      </c>
      <c r="H325" s="36">
        <f>IFERROR(INDEX(Katalog!$D$3:$D$12,MATCH(cadangan3[[#This Row],[ItemID A]],Katalog!$C$3:$C$12,0))*cadangan3[[#This Row],[Qty A]],0)</f>
        <v>1600000</v>
      </c>
      <c r="I325" s="36">
        <f>IFERROR(INDEX(Katalog!$D$3:$D$12,MATCH(cadangan3[[#This Row],[Item A]],Katalog!$B$3:$B$12,0))*cadangan3[[#This Row],[Qty A]],0)</f>
        <v>1600000</v>
      </c>
      <c r="J325" s="36">
        <f>IFERROR(cadangan3[[#This Row],[Harga Asli A]]-(cadangan3[[#This Row],[Harga Asli A]]*cadangan3[[#This Row],[Diskon]]),cadangan3[[#This Row],[Harga Asli A]])</f>
        <v>1440000</v>
      </c>
      <c r="K325" s="36">
        <f>INDEX(Katalog!$F$3:$F$12,MATCH(cadangan3[[#This Row],[ItemID A]],Katalog!$C$3:$C$12,0))*cadangan3[[#This Row],[Qty A]]</f>
        <v>600000</v>
      </c>
      <c r="L325" s="36">
        <f>IFERROR(cadangan3[[#This Row],[Profit A]]-(cadangan3[[#This Row],[Profit A]]*cadangan3[[#This Row],[Diskon]]),K325)</f>
        <v>540000</v>
      </c>
      <c r="M325" t="s">
        <v>58</v>
      </c>
      <c r="N325" t="str">
        <f>IFERROR(INDEX(Katalog!$A$3:$A$12,MATCH(cadangan3[[#This Row],[ItemID B]],Katalog!$C$3:$C$12,0)),"-")</f>
        <v>Pakaian Wanita</v>
      </c>
      <c r="O325" t="str">
        <f>IFERROR(INDEX(Katalog!$B$3:$B$12,MATCH(cadangan3[[#This Row],[ItemID B]],Katalog!$C$3:$C$12,0)),"-")</f>
        <v>Dress</v>
      </c>
      <c r="P325">
        <v>1</v>
      </c>
      <c r="Q325">
        <v>3</v>
      </c>
      <c r="R325" s="36">
        <f>IFERROR(INDEX(Katalog!$D$3:$D$12,MATCH(cadangan3[[#This Row],[ItemID B]],Katalog!$C$3:$C$12,0))*cadangan3[[#This Row],[Qty B]],0)</f>
        <v>300000</v>
      </c>
      <c r="S325" s="36">
        <f>IFERROR(INDEX(Katalog!$D$3:$D$12,MATCH(cadangan3[[#This Row],[Item B]],Katalog!$B$3:$B$12,0))*cadangan3[[#This Row],[Qty B]],0)</f>
        <v>300000</v>
      </c>
      <c r="T325" s="36">
        <f>IFERROR(cadangan3[[#This Row],[Harga Asli B]]-(cadangan3[[#This Row],[Harga Asli B]]*cadangan3[[#This Row],[Diskon]]),cadangan3[[#This Row],[Harga Asli B]])</f>
        <v>270000</v>
      </c>
      <c r="U325" s="36">
        <f>IFERROR(INDEX(Katalog!$F$3:$F$12,MATCH(cadangan3[[#This Row],[ItemID B]],Katalog!$C$3:$C$12,0))*cadangan3[[#This Row],[Qty B]],0)</f>
        <v>100000</v>
      </c>
      <c r="V325" s="36">
        <f>IFERROR(cadangan3[[#This Row],[Profit B]]-(cadangan3[[#This Row],[Profit B]]*cadangan3[[#This Row],[Diskon]]),U325)</f>
        <v>90000</v>
      </c>
      <c r="W325" t="s">
        <v>66</v>
      </c>
      <c r="X325" t="str">
        <f>IFERROR(INDEX(Katalog!$A$3:$A$12,MATCH(cadangan3[[#This Row],[ItemID C]],Katalog!$C$3:$C$12,0)),"-")</f>
        <v>Sepatu Pria</v>
      </c>
      <c r="Y325" t="str">
        <f>IFERROR(INDEX(Katalog!$B$3:$B$12,MATCH(cadangan3[[#This Row],[ItemID C]],Katalog!$C$3:$C$12,0)),"-")</f>
        <v>Sandal Slip On</v>
      </c>
      <c r="Z325">
        <v>2</v>
      </c>
      <c r="AA325">
        <v>4</v>
      </c>
      <c r="AB325" s="36">
        <f>IFERROR(INDEX(Katalog!$D$3:$D$12,MATCH(cadangan3[[#This Row],[ItemID C]],Katalog!$C$3:$C$12,0))*cadangan3[[#This Row],[Qty C]],0)</f>
        <v>300000</v>
      </c>
      <c r="AC325" s="36">
        <f>IFERROR(INDEX(Katalog!$D$3:$D$12,MATCH(cadangan3[[#This Row],[Item C]],Katalog!$B$3:$B$12,0))*cadangan3[[#This Row],[Qty C]],0)</f>
        <v>300000</v>
      </c>
      <c r="AD325" s="36">
        <f>IFERROR(cadangan3[[#This Row],[Harga Asli C]]-(cadangan3[[#This Row],[Harga Asli C]]*cadangan3[[#This Row],[Diskon]]),cadangan3[[#This Row],[Harga Asli C]])</f>
        <v>270000</v>
      </c>
      <c r="AE325" s="36">
        <f>IFERROR(INDEX(Katalog!$F$3:$F$12,MATCH(cadangan3[[#This Row],[ItemID C]],Katalog!$C$3:$C$12,0))*cadangan3[[#This Row],[Qty C]],0)</f>
        <v>120000</v>
      </c>
      <c r="AF325" s="36">
        <f>IFERROR(cadangan3[[#This Row],[Profit C]]-(cadangan3[[#This Row],[Profit C]]*cadangan3[[#This Row],[Diskon]]),cadangan3[[#This Row],[Profit C]])</f>
        <v>108000</v>
      </c>
      <c r="AG325" s="21">
        <f>cadangan3[[#This Row],[Qty A]]+cadangan3[[#This Row],[Qty B]]+cadangan3[[#This Row],[Qty C]]</f>
        <v>7</v>
      </c>
      <c r="AH325" s="35">
        <f>cadangan3[[#This Row],[Harga A + Diskon]]+cadangan3[[#This Row],[Harga + Diskon B]]+cadangan3[[#This Row],[Harga + Diskon C]]</f>
        <v>1980000</v>
      </c>
      <c r="AI325" s="35">
        <f>(cadangan3[[#This Row],[Profit A]]+cadangan3[[#This Row],[Profit B]]+cadangan3[[#This Row],[Profit C]])</f>
        <v>820000</v>
      </c>
      <c r="AJ325" s="35">
        <f>cadangan3[[#This Row],[Provit A + Diskon]]+cadangan3[[#This Row],[Provit B + Diskon]]+cadangan3[[#This Row],[Provit C + Diskon]]</f>
        <v>738000</v>
      </c>
      <c r="AK325" s="23" t="s">
        <v>6</v>
      </c>
      <c r="AL325" s="37">
        <f>IFERROR(INDEX('Kode Diskon'!$D$3:$D$9,MATCH(cadangan3[[#This Row],[Kode diskon]],'Kode Diskon'!$C$3:$C$9,0)),"-")</f>
        <v>0.1</v>
      </c>
      <c r="AM325" s="23" t="s">
        <v>29</v>
      </c>
      <c r="AN325" s="23" t="s">
        <v>7</v>
      </c>
      <c r="AO325" s="23" t="s">
        <v>80</v>
      </c>
      <c r="AP325" s="24">
        <v>45017</v>
      </c>
      <c r="AQ325" s="23" t="str">
        <f>TEXT(cadangan3[[#This Row],[Tanggal terjual]],"dddd")</f>
        <v>Saturday</v>
      </c>
    </row>
    <row r="326" spans="1:43" x14ac:dyDescent="0.2">
      <c r="A326" s="20">
        <v>325</v>
      </c>
      <c r="B326" s="21" t="str">
        <f>_xlfn.CONCAT("ORD-",INDEX(Helper!$B$2:$B$5,MATCH(cadangan3[[#This Row],[Marketplace]],Helper!$A$2:$A$5,0)),TEXT(cadangan3[[#This Row],[No]],"0000"),"-",TEXT(cadangan3[[#This Row],[Tanggal terjual]],"dd/mm/yy"))</f>
        <v>ORD-SP0325-05/04/23</v>
      </c>
      <c r="C326" t="s">
        <v>66</v>
      </c>
      <c r="D326" t="str">
        <f>IFERROR(INDEX(Katalog!$A$3:$A$12,MATCH(cadangan3[[#This Row],[ItemID A]],Katalog!$C$3:$C$12,0)),"-")</f>
        <v>Sepatu Pria</v>
      </c>
      <c r="E326" t="str">
        <f>IFERROR(INDEX(Katalog!$B$3:$B$12,MATCH(cadangan3[[#This Row],[ItemID A]],Katalog!$C$3:$C$12,0)),"-")</f>
        <v>Sandal Slip On</v>
      </c>
      <c r="F326">
        <v>3</v>
      </c>
      <c r="G326">
        <v>4</v>
      </c>
      <c r="H326" s="36">
        <f>IFERROR(INDEX(Katalog!$D$3:$D$12,MATCH(cadangan3[[#This Row],[ItemID A]],Katalog!$C$3:$C$12,0))*cadangan3[[#This Row],[Qty A]],0)</f>
        <v>450000</v>
      </c>
      <c r="I326" s="36">
        <f>IFERROR(INDEX(Katalog!$D$3:$D$12,MATCH(cadangan3[[#This Row],[Item A]],Katalog!$B$3:$B$12,0))*cadangan3[[#This Row],[Qty A]],0)</f>
        <v>450000</v>
      </c>
      <c r="J326" s="36">
        <f>IFERROR(cadangan3[[#This Row],[Harga Asli A]]-(cadangan3[[#This Row],[Harga Asli A]]*cadangan3[[#This Row],[Diskon]]),cadangan3[[#This Row],[Harga Asli A]])</f>
        <v>405000</v>
      </c>
      <c r="K326" s="36">
        <f>INDEX(Katalog!$F$3:$F$12,MATCH(cadangan3[[#This Row],[ItemID A]],Katalog!$C$3:$C$12,0))*cadangan3[[#This Row],[Qty A]]</f>
        <v>180000</v>
      </c>
      <c r="L326" s="36">
        <f>IFERROR(cadangan3[[#This Row],[Profit A]]-(cadangan3[[#This Row],[Profit A]]*cadangan3[[#This Row],[Diskon]]),K326)</f>
        <v>162000</v>
      </c>
      <c r="M326" t="s">
        <v>59</v>
      </c>
      <c r="N326" t="str">
        <f>IFERROR(INDEX(Katalog!$A$3:$A$12,MATCH(cadangan3[[#This Row],[ItemID B]],Katalog!$C$3:$C$12,0)),"-")</f>
        <v>Pakaian Wanita</v>
      </c>
      <c r="O326" t="str">
        <f>IFERROR(INDEX(Katalog!$B$3:$B$12,MATCH(cadangan3[[#This Row],[ItemID B]],Katalog!$C$3:$C$12,0)),"-")</f>
        <v>Blouse</v>
      </c>
      <c r="P326">
        <v>2</v>
      </c>
      <c r="Q326">
        <v>5</v>
      </c>
      <c r="R326" s="36">
        <f>IFERROR(INDEX(Katalog!$D$3:$D$12,MATCH(cadangan3[[#This Row],[ItemID B]],Katalog!$C$3:$C$12,0))*cadangan3[[#This Row],[Qty B]],0)</f>
        <v>300000</v>
      </c>
      <c r="S326" s="36">
        <f>IFERROR(INDEX(Katalog!$D$3:$D$12,MATCH(cadangan3[[#This Row],[Item B]],Katalog!$B$3:$B$12,0))*cadangan3[[#This Row],[Qty B]],0)</f>
        <v>300000</v>
      </c>
      <c r="T326" s="36">
        <f>IFERROR(cadangan3[[#This Row],[Harga Asli B]]-(cadangan3[[#This Row],[Harga Asli B]]*cadangan3[[#This Row],[Diskon]]),cadangan3[[#This Row],[Harga Asli B]])</f>
        <v>270000</v>
      </c>
      <c r="U326" s="36">
        <f>IFERROR(INDEX(Katalog!$F$3:$F$12,MATCH(cadangan3[[#This Row],[ItemID B]],Katalog!$C$3:$C$12,0))*cadangan3[[#This Row],[Qty B]],0)</f>
        <v>100000</v>
      </c>
      <c r="V326" s="36">
        <f>IFERROR(cadangan3[[#This Row],[Profit B]]-(cadangan3[[#This Row],[Profit B]]*cadangan3[[#This Row],[Diskon]]),U326)</f>
        <v>90000</v>
      </c>
      <c r="W326" t="s">
        <v>61</v>
      </c>
      <c r="X326" t="str">
        <f>IFERROR(INDEX(Katalog!$A$3:$A$12,MATCH(cadangan3[[#This Row],[ItemID C]],Katalog!$C$3:$C$12,0)),"-")</f>
        <v>Pakaian Pria</v>
      </c>
      <c r="Y326" t="str">
        <f>IFERROR(INDEX(Katalog!$B$3:$B$12,MATCH(cadangan3[[#This Row],[ItemID C]],Katalog!$C$3:$C$12,0)),"-")</f>
        <v>Kaos Polo</v>
      </c>
      <c r="Z326">
        <v>1</v>
      </c>
      <c r="AA326">
        <v>3</v>
      </c>
      <c r="AB326" s="36">
        <f>IFERROR(INDEX(Katalog!$D$3:$D$12,MATCH(cadangan3[[#This Row],[ItemID C]],Katalog!$C$3:$C$12,0))*cadangan3[[#This Row],[Qty C]],0)</f>
        <v>200000</v>
      </c>
      <c r="AC326" s="36">
        <f>IFERROR(INDEX(Katalog!$D$3:$D$12,MATCH(cadangan3[[#This Row],[Item C]],Katalog!$B$3:$B$12,0))*cadangan3[[#This Row],[Qty C]],0)</f>
        <v>200000</v>
      </c>
      <c r="AD326" s="36">
        <f>IFERROR(cadangan3[[#This Row],[Harga Asli C]]-(cadangan3[[#This Row],[Harga Asli C]]*cadangan3[[#This Row],[Diskon]]),cadangan3[[#This Row],[Harga Asli C]])</f>
        <v>180000</v>
      </c>
      <c r="AE326" s="36">
        <f>IFERROR(INDEX(Katalog!$F$3:$F$12,MATCH(cadangan3[[#This Row],[ItemID C]],Katalog!$C$3:$C$12,0))*cadangan3[[#This Row],[Qty C]],0)</f>
        <v>80000</v>
      </c>
      <c r="AF326" s="36">
        <f>IFERROR(cadangan3[[#This Row],[Profit C]]-(cadangan3[[#This Row],[Profit C]]*cadangan3[[#This Row],[Diskon]]),cadangan3[[#This Row],[Profit C]])</f>
        <v>72000</v>
      </c>
      <c r="AG326" s="21">
        <f>cadangan3[[#This Row],[Qty A]]+cadangan3[[#This Row],[Qty B]]+cadangan3[[#This Row],[Qty C]]</f>
        <v>6</v>
      </c>
      <c r="AH326" s="35">
        <f>cadangan3[[#This Row],[Harga A + Diskon]]+cadangan3[[#This Row],[Harga + Diskon B]]+cadangan3[[#This Row],[Harga + Diskon C]]</f>
        <v>855000</v>
      </c>
      <c r="AI326" s="35">
        <f>(cadangan3[[#This Row],[Profit A]]+cadangan3[[#This Row],[Profit B]]+cadangan3[[#This Row],[Profit C]])</f>
        <v>360000</v>
      </c>
      <c r="AJ326" s="35">
        <f>cadangan3[[#This Row],[Provit A + Diskon]]+cadangan3[[#This Row],[Provit B + Diskon]]+cadangan3[[#This Row],[Provit C + Diskon]]</f>
        <v>324000</v>
      </c>
      <c r="AK326" s="23" t="s">
        <v>6</v>
      </c>
      <c r="AL326" s="37">
        <f>IFERROR(INDEX('Kode Diskon'!$D$3:$D$9,MATCH(cadangan3[[#This Row],[Kode diskon]],'Kode Diskon'!$C$3:$C$9,0)),"-")</f>
        <v>0.1</v>
      </c>
      <c r="AM326" s="23" t="s">
        <v>29</v>
      </c>
      <c r="AN326" s="23" t="s">
        <v>7</v>
      </c>
      <c r="AO326" s="23" t="s">
        <v>79</v>
      </c>
      <c r="AP326" s="24">
        <v>45021</v>
      </c>
      <c r="AQ326" s="23" t="str">
        <f>TEXT(cadangan3[[#This Row],[Tanggal terjual]],"dddd")</f>
        <v>Wednesday</v>
      </c>
    </row>
    <row r="327" spans="1:43" x14ac:dyDescent="0.2">
      <c r="A327" s="20">
        <v>326</v>
      </c>
      <c r="B327" s="21" t="str">
        <f>_xlfn.CONCAT("ORD-",INDEX(Helper!$B$2:$B$5,MATCH(cadangan3[[#This Row],[Marketplace]],Helper!$A$2:$A$5,0)),TEXT(cadangan3[[#This Row],[No]],"0000"),"-",TEXT(cadangan3[[#This Row],[Tanggal terjual]],"dd/mm/yy"))</f>
        <v>ORD-TK0326-10/04/23</v>
      </c>
      <c r="C327" t="s">
        <v>65</v>
      </c>
      <c r="D327" t="str">
        <f>IFERROR(INDEX(Katalog!$A$3:$A$12,MATCH(cadangan3[[#This Row],[ItemID A]],Katalog!$C$3:$C$12,0)),"-")</f>
        <v>Sepatu Pria</v>
      </c>
      <c r="E327" t="str">
        <f>IFERROR(INDEX(Katalog!$B$3:$B$12,MATCH(cadangan3[[#This Row],[ItemID A]],Katalog!$C$3:$C$12,0)),"-")</f>
        <v>Sneakers</v>
      </c>
      <c r="F327">
        <v>1</v>
      </c>
      <c r="G327">
        <v>5</v>
      </c>
      <c r="H327" s="36">
        <f>IFERROR(INDEX(Katalog!$D$3:$D$12,MATCH(cadangan3[[#This Row],[ItemID A]],Katalog!$C$3:$C$12,0))*cadangan3[[#This Row],[Qty A]],0)</f>
        <v>500000</v>
      </c>
      <c r="I327" s="36">
        <f>IFERROR(INDEX(Katalog!$D$3:$D$12,MATCH(cadangan3[[#This Row],[Item A]],Katalog!$B$3:$B$12,0))*cadangan3[[#This Row],[Qty A]],0)</f>
        <v>500000</v>
      </c>
      <c r="J327" s="36">
        <f>IFERROR(cadangan3[[#This Row],[Harga Asli A]]-(cadangan3[[#This Row],[Harga Asli A]]*cadangan3[[#This Row],[Diskon]]),cadangan3[[#This Row],[Harga Asli A]])</f>
        <v>500000</v>
      </c>
      <c r="K327" s="36">
        <f>INDEX(Katalog!$F$3:$F$12,MATCH(cadangan3[[#This Row],[ItemID A]],Katalog!$C$3:$C$12,0))*cadangan3[[#This Row],[Qty A]]</f>
        <v>200000</v>
      </c>
      <c r="L327" s="36">
        <f>IFERROR(cadangan3[[#This Row],[Profit A]]-(cadangan3[[#This Row],[Profit A]]*cadangan3[[#This Row],[Diskon]]),K327)</f>
        <v>200000</v>
      </c>
      <c r="N327" t="str">
        <f>IFERROR(INDEX(Katalog!$A$3:$A$12,MATCH(cadangan3[[#This Row],[ItemID B]],Katalog!$C$3:$C$12,0)),"-")</f>
        <v>-</v>
      </c>
      <c r="O327" t="str">
        <f>IFERROR(INDEX(Katalog!$B$3:$B$12,MATCH(cadangan3[[#This Row],[ItemID B]],Katalog!$C$3:$C$12,0)),"-")</f>
        <v>-</v>
      </c>
      <c r="R327" s="36">
        <f>IFERROR(INDEX(Katalog!$D$3:$D$12,MATCH(cadangan3[[#This Row],[ItemID B]],Katalog!$C$3:$C$12,0))*cadangan3[[#This Row],[Qty B]],0)</f>
        <v>0</v>
      </c>
      <c r="S327" s="36">
        <f>IFERROR(INDEX(Katalog!$D$3:$D$12,MATCH(cadangan3[[#This Row],[Item B]],Katalog!$B$3:$B$12,0))*cadangan3[[#This Row],[Qty B]],0)</f>
        <v>0</v>
      </c>
      <c r="T327" s="36">
        <f>IFERROR(cadangan3[[#This Row],[Harga Asli B]]-(cadangan3[[#This Row],[Harga Asli B]]*cadangan3[[#This Row],[Diskon]]),cadangan3[[#This Row],[Harga Asli B]])</f>
        <v>0</v>
      </c>
      <c r="U327" s="36">
        <f>IFERROR(INDEX(Katalog!$F$3:$F$12,MATCH(cadangan3[[#This Row],[ItemID B]],Katalog!$C$3:$C$12,0))*cadangan3[[#This Row],[Qty B]],0)</f>
        <v>0</v>
      </c>
      <c r="V327" s="36">
        <f>IFERROR(cadangan3[[#This Row],[Profit B]]-(cadangan3[[#This Row],[Profit B]]*cadangan3[[#This Row],[Diskon]]),U327)</f>
        <v>0</v>
      </c>
      <c r="X327" t="str">
        <f>IFERROR(INDEX(Katalog!$A$3:$A$12,MATCH(cadangan3[[#This Row],[ItemID C]],Katalog!$C$3:$C$12,0)),"-")</f>
        <v>-</v>
      </c>
      <c r="Y327" t="str">
        <f>IFERROR(INDEX(Katalog!$B$3:$B$12,MATCH(cadangan3[[#This Row],[ItemID C]],Katalog!$C$3:$C$12,0)),"-")</f>
        <v>-</v>
      </c>
      <c r="AB327" s="36">
        <f>IFERROR(INDEX(Katalog!$D$3:$D$12,MATCH(cadangan3[[#This Row],[ItemID C]],Katalog!$C$3:$C$12,0))*cadangan3[[#This Row],[Qty C]],0)</f>
        <v>0</v>
      </c>
      <c r="AC327" s="36">
        <f>IFERROR(INDEX(Katalog!$D$3:$D$12,MATCH(cadangan3[[#This Row],[Item C]],Katalog!$B$3:$B$12,0))*cadangan3[[#This Row],[Qty C]],0)</f>
        <v>0</v>
      </c>
      <c r="AD327" s="36">
        <f>IFERROR(cadangan3[[#This Row],[Harga Asli C]]-(cadangan3[[#This Row],[Harga Asli C]]*cadangan3[[#This Row],[Diskon]]),cadangan3[[#This Row],[Harga Asli C]])</f>
        <v>0</v>
      </c>
      <c r="AE327" s="36">
        <f>IFERROR(INDEX(Katalog!$F$3:$F$12,MATCH(cadangan3[[#This Row],[ItemID C]],Katalog!$C$3:$C$12,0))*cadangan3[[#This Row],[Qty C]],0)</f>
        <v>0</v>
      </c>
      <c r="AF327" s="36">
        <f>IFERROR(cadangan3[[#This Row],[Profit C]]-(cadangan3[[#This Row],[Profit C]]*cadangan3[[#This Row],[Diskon]]),cadangan3[[#This Row],[Profit C]])</f>
        <v>0</v>
      </c>
      <c r="AG327" s="21">
        <f>cadangan3[[#This Row],[Qty A]]+cadangan3[[#This Row],[Qty B]]+cadangan3[[#This Row],[Qty C]]</f>
        <v>1</v>
      </c>
      <c r="AH327" s="35">
        <f>cadangan3[[#This Row],[Harga A + Diskon]]+cadangan3[[#This Row],[Harga + Diskon B]]+cadangan3[[#This Row],[Harga + Diskon C]]</f>
        <v>500000</v>
      </c>
      <c r="AI327" s="35">
        <f>(cadangan3[[#This Row],[Profit A]]+cadangan3[[#This Row],[Profit B]]+cadangan3[[#This Row],[Profit C]])</f>
        <v>200000</v>
      </c>
      <c r="AJ327" s="35">
        <f>cadangan3[[#This Row],[Provit A + Diskon]]+cadangan3[[#This Row],[Provit B + Diskon]]+cadangan3[[#This Row],[Provit C + Diskon]]</f>
        <v>200000</v>
      </c>
      <c r="AK327" s="23" t="s">
        <v>11</v>
      </c>
      <c r="AL327" s="37" t="str">
        <f>IFERROR(INDEX('Kode Diskon'!$D$3:$D$9,MATCH(cadangan3[[#This Row],[Kode diskon]],'Kode Diskon'!$C$3:$C$9,0)),"-")</f>
        <v>-</v>
      </c>
      <c r="AM327" s="23" t="s">
        <v>11</v>
      </c>
      <c r="AN327" s="23" t="s">
        <v>10</v>
      </c>
      <c r="AO327" s="23" t="s">
        <v>75</v>
      </c>
      <c r="AP327" s="24">
        <v>45026</v>
      </c>
      <c r="AQ327" s="23" t="str">
        <f>TEXT(cadangan3[[#This Row],[Tanggal terjual]],"dddd")</f>
        <v>Monday</v>
      </c>
    </row>
    <row r="328" spans="1:43" x14ac:dyDescent="0.2">
      <c r="A328" s="20">
        <v>327</v>
      </c>
      <c r="B328" s="21" t="str">
        <f>_xlfn.CONCAT("ORD-",INDEX(Helper!$B$2:$B$5,MATCH(cadangan3[[#This Row],[Marketplace]],Helper!$A$2:$A$5,0)),TEXT(cadangan3[[#This Row],[No]],"0000"),"-",TEXT(cadangan3[[#This Row],[Tanggal terjual]],"dd/mm/yy"))</f>
        <v>ORD-TK0327-03/04/23</v>
      </c>
      <c r="C328" t="s">
        <v>62</v>
      </c>
      <c r="D328" t="str">
        <f>IFERROR(INDEX(Katalog!$A$3:$A$12,MATCH(cadangan3[[#This Row],[ItemID A]],Katalog!$C$3:$C$12,0)),"-")</f>
        <v>Pakaian Pria</v>
      </c>
      <c r="E328" t="str">
        <f>IFERROR(INDEX(Katalog!$B$3:$B$12,MATCH(cadangan3[[#This Row],[ItemID A]],Katalog!$C$3:$C$12,0)),"-")</f>
        <v>Celana Pendek</v>
      </c>
      <c r="F328">
        <v>2</v>
      </c>
      <c r="G328">
        <v>5</v>
      </c>
      <c r="H328" s="36">
        <f>IFERROR(INDEX(Katalog!$D$3:$D$12,MATCH(cadangan3[[#This Row],[ItemID A]],Katalog!$C$3:$C$12,0))*cadangan3[[#This Row],[Qty A]],0)</f>
        <v>360000</v>
      </c>
      <c r="I328" s="36">
        <f>IFERROR(INDEX(Katalog!$D$3:$D$12,MATCH(cadangan3[[#This Row],[Item A]],Katalog!$B$3:$B$12,0))*cadangan3[[#This Row],[Qty A]],0)</f>
        <v>360000</v>
      </c>
      <c r="J328" s="36">
        <f>IFERROR(cadangan3[[#This Row],[Harga Asli A]]-(cadangan3[[#This Row],[Harga Asli A]]*cadangan3[[#This Row],[Diskon]]),cadangan3[[#This Row],[Harga Asli A]])</f>
        <v>324000</v>
      </c>
      <c r="K328" s="36">
        <f>INDEX(Katalog!$F$3:$F$12,MATCH(cadangan3[[#This Row],[ItemID A]],Katalog!$C$3:$C$12,0))*cadangan3[[#This Row],[Qty A]]</f>
        <v>140000</v>
      </c>
      <c r="L328" s="36">
        <f>IFERROR(cadangan3[[#This Row],[Profit A]]-(cadangan3[[#This Row],[Profit A]]*cadangan3[[#This Row],[Diskon]]),K328)</f>
        <v>126000</v>
      </c>
      <c r="M328" t="s">
        <v>58</v>
      </c>
      <c r="N328" t="str">
        <f>IFERROR(INDEX(Katalog!$A$3:$A$12,MATCH(cadangan3[[#This Row],[ItemID B]],Katalog!$C$3:$C$12,0)),"-")</f>
        <v>Pakaian Wanita</v>
      </c>
      <c r="O328" t="str">
        <f>IFERROR(INDEX(Katalog!$B$3:$B$12,MATCH(cadangan3[[#This Row],[ItemID B]],Katalog!$C$3:$C$12,0)),"-")</f>
        <v>Dress</v>
      </c>
      <c r="P328">
        <v>2</v>
      </c>
      <c r="Q328">
        <v>3</v>
      </c>
      <c r="R328" s="36">
        <f>IFERROR(INDEX(Katalog!$D$3:$D$12,MATCH(cadangan3[[#This Row],[ItemID B]],Katalog!$C$3:$C$12,0))*cadangan3[[#This Row],[Qty B]],0)</f>
        <v>600000</v>
      </c>
      <c r="S328" s="36">
        <f>IFERROR(INDEX(Katalog!$D$3:$D$12,MATCH(cadangan3[[#This Row],[Item B]],Katalog!$B$3:$B$12,0))*cadangan3[[#This Row],[Qty B]],0)</f>
        <v>600000</v>
      </c>
      <c r="T328" s="36">
        <f>IFERROR(cadangan3[[#This Row],[Harga Asli B]]-(cadangan3[[#This Row],[Harga Asli B]]*cadangan3[[#This Row],[Diskon]]),cadangan3[[#This Row],[Harga Asli B]])</f>
        <v>540000</v>
      </c>
      <c r="U328" s="36">
        <f>IFERROR(INDEX(Katalog!$F$3:$F$12,MATCH(cadangan3[[#This Row],[ItemID B]],Katalog!$C$3:$C$12,0))*cadangan3[[#This Row],[Qty B]],0)</f>
        <v>200000</v>
      </c>
      <c r="V328" s="36">
        <f>IFERROR(cadangan3[[#This Row],[Profit B]]-(cadangan3[[#This Row],[Profit B]]*cadangan3[[#This Row],[Diskon]]),U328)</f>
        <v>180000</v>
      </c>
      <c r="W328" t="s">
        <v>60</v>
      </c>
      <c r="X328" t="str">
        <f>IFERROR(INDEX(Katalog!$A$3:$A$12,MATCH(cadangan3[[#This Row],[ItemID C]],Katalog!$C$3:$C$12,0)),"-")</f>
        <v>Pakaian Wanita</v>
      </c>
      <c r="Y328" t="str">
        <f>IFERROR(INDEX(Katalog!$B$3:$B$12,MATCH(cadangan3[[#This Row],[ItemID C]],Katalog!$C$3:$C$12,0)),"-")</f>
        <v>Kaftan</v>
      </c>
      <c r="Z328">
        <v>1</v>
      </c>
      <c r="AA328">
        <v>5</v>
      </c>
      <c r="AB328" s="36">
        <f>IFERROR(INDEX(Katalog!$D$3:$D$12,MATCH(cadangan3[[#This Row],[ItemID C]],Katalog!$C$3:$C$12,0))*cadangan3[[#This Row],[Qty C]],0)</f>
        <v>250000</v>
      </c>
      <c r="AC328" s="36">
        <f>IFERROR(INDEX(Katalog!$D$3:$D$12,MATCH(cadangan3[[#This Row],[Item C]],Katalog!$B$3:$B$12,0))*cadangan3[[#This Row],[Qty C]],0)</f>
        <v>250000</v>
      </c>
      <c r="AD328" s="36">
        <f>IFERROR(cadangan3[[#This Row],[Harga Asli C]]-(cadangan3[[#This Row],[Harga Asli C]]*cadangan3[[#This Row],[Diskon]]),cadangan3[[#This Row],[Harga Asli C]])</f>
        <v>225000</v>
      </c>
      <c r="AE328" s="36">
        <f>IFERROR(INDEX(Katalog!$F$3:$F$12,MATCH(cadangan3[[#This Row],[ItemID C]],Katalog!$C$3:$C$12,0))*cadangan3[[#This Row],[Qty C]],0)</f>
        <v>100000</v>
      </c>
      <c r="AF328" s="36">
        <f>IFERROR(cadangan3[[#This Row],[Profit C]]-(cadangan3[[#This Row],[Profit C]]*cadangan3[[#This Row],[Diskon]]),cadangan3[[#This Row],[Profit C]])</f>
        <v>90000</v>
      </c>
      <c r="AG328" s="21">
        <f>cadangan3[[#This Row],[Qty A]]+cadangan3[[#This Row],[Qty B]]+cadangan3[[#This Row],[Qty C]]</f>
        <v>5</v>
      </c>
      <c r="AH328" s="35">
        <f>cadangan3[[#This Row],[Harga A + Diskon]]+cadangan3[[#This Row],[Harga + Diskon B]]+cadangan3[[#This Row],[Harga + Diskon C]]</f>
        <v>1089000</v>
      </c>
      <c r="AI328" s="35">
        <f>(cadangan3[[#This Row],[Profit A]]+cadangan3[[#This Row],[Profit B]]+cadangan3[[#This Row],[Profit C]])</f>
        <v>440000</v>
      </c>
      <c r="AJ328" s="35">
        <f>cadangan3[[#This Row],[Provit A + Diskon]]+cadangan3[[#This Row],[Provit B + Diskon]]+cadangan3[[#This Row],[Provit C + Diskon]]</f>
        <v>396000</v>
      </c>
      <c r="AK328" s="23" t="s">
        <v>30</v>
      </c>
      <c r="AL328" s="37">
        <f>IFERROR(INDEX('Kode Diskon'!$D$3:$D$9,MATCH(cadangan3[[#This Row],[Kode diskon]],'Kode Diskon'!$C$3:$C$9,0)),"-")</f>
        <v>0.1</v>
      </c>
      <c r="AM328" s="23" t="s">
        <v>29</v>
      </c>
      <c r="AN328" s="23" t="s">
        <v>10</v>
      </c>
      <c r="AO328" s="23" t="s">
        <v>75</v>
      </c>
      <c r="AP328" s="24">
        <v>45019</v>
      </c>
      <c r="AQ328" s="23" t="str">
        <f>TEXT(cadangan3[[#This Row],[Tanggal terjual]],"dddd")</f>
        <v>Monday</v>
      </c>
    </row>
    <row r="329" spans="1:43" x14ac:dyDescent="0.2">
      <c r="A329" s="20">
        <v>328</v>
      </c>
      <c r="B329" s="21" t="str">
        <f>_xlfn.CONCAT("ORD-",INDEX(Helper!$B$2:$B$5,MATCH(cadangan3[[#This Row],[Marketplace]],Helper!$A$2:$A$5,0)),TEXT(cadangan3[[#This Row],[No]],"0000"),"-",TEXT(cadangan3[[#This Row],[Tanggal terjual]],"dd/mm/yy"))</f>
        <v>ORD-BB0328-05/04/23</v>
      </c>
      <c r="C329" t="s">
        <v>64</v>
      </c>
      <c r="D329" t="str">
        <f>IFERROR(INDEX(Katalog!$A$3:$A$12,MATCH(cadangan3[[#This Row],[ItemID A]],Katalog!$C$3:$C$12,0)),"-")</f>
        <v>Pakaian Unisex</v>
      </c>
      <c r="E329" t="str">
        <f>IFERROR(INDEX(Katalog!$B$3:$B$12,MATCH(cadangan3[[#This Row],[ItemID A]],Katalog!$C$3:$C$12,0)),"-")</f>
        <v>Jaket Hoodie</v>
      </c>
      <c r="F329">
        <v>1</v>
      </c>
      <c r="G329">
        <v>1</v>
      </c>
      <c r="H329" s="36">
        <f>IFERROR(INDEX(Katalog!$D$3:$D$12,MATCH(cadangan3[[#This Row],[ItemID A]],Katalog!$C$3:$C$12,0))*cadangan3[[#This Row],[Qty A]],0)</f>
        <v>350000</v>
      </c>
      <c r="I329" s="36">
        <f>IFERROR(INDEX(Katalog!$D$3:$D$12,MATCH(cadangan3[[#This Row],[Item A]],Katalog!$B$3:$B$12,0))*cadangan3[[#This Row],[Qty A]],0)</f>
        <v>350000</v>
      </c>
      <c r="J329" s="36">
        <f>IFERROR(cadangan3[[#This Row],[Harga Asli A]]-(cadangan3[[#This Row],[Harga Asli A]]*cadangan3[[#This Row],[Diskon]]),cadangan3[[#This Row],[Harga Asli A]])</f>
        <v>297500</v>
      </c>
      <c r="K329" s="36">
        <f>INDEX(Katalog!$F$3:$F$12,MATCH(cadangan3[[#This Row],[ItemID A]],Katalog!$C$3:$C$12,0))*cadangan3[[#This Row],[Qty A]]</f>
        <v>130000</v>
      </c>
      <c r="L329" s="36">
        <f>IFERROR(cadangan3[[#This Row],[Profit A]]-(cadangan3[[#This Row],[Profit A]]*cadangan3[[#This Row],[Diskon]]),K329)</f>
        <v>110500</v>
      </c>
      <c r="N329" t="str">
        <f>IFERROR(INDEX(Katalog!$A$3:$A$12,MATCH(cadangan3[[#This Row],[ItemID B]],Katalog!$C$3:$C$12,0)),"-")</f>
        <v>-</v>
      </c>
      <c r="O329" t="str">
        <f>IFERROR(INDEX(Katalog!$B$3:$B$12,MATCH(cadangan3[[#This Row],[ItemID B]],Katalog!$C$3:$C$12,0)),"-")</f>
        <v>-</v>
      </c>
      <c r="R329" s="36">
        <f>IFERROR(INDEX(Katalog!$D$3:$D$12,MATCH(cadangan3[[#This Row],[ItemID B]],Katalog!$C$3:$C$12,0))*cadangan3[[#This Row],[Qty B]],0)</f>
        <v>0</v>
      </c>
      <c r="S329" s="36">
        <f>IFERROR(INDEX(Katalog!$D$3:$D$12,MATCH(cadangan3[[#This Row],[Item B]],Katalog!$B$3:$B$12,0))*cadangan3[[#This Row],[Qty B]],0)</f>
        <v>0</v>
      </c>
      <c r="T329" s="36">
        <f>IFERROR(cadangan3[[#This Row],[Harga Asli B]]-(cadangan3[[#This Row],[Harga Asli B]]*cadangan3[[#This Row],[Diskon]]),cadangan3[[#This Row],[Harga Asli B]])</f>
        <v>0</v>
      </c>
      <c r="U329" s="36">
        <f>IFERROR(INDEX(Katalog!$F$3:$F$12,MATCH(cadangan3[[#This Row],[ItemID B]],Katalog!$C$3:$C$12,0))*cadangan3[[#This Row],[Qty B]],0)</f>
        <v>0</v>
      </c>
      <c r="V329" s="36">
        <f>IFERROR(cadangan3[[#This Row],[Profit B]]-(cadangan3[[#This Row],[Profit B]]*cadangan3[[#This Row],[Diskon]]),U329)</f>
        <v>0</v>
      </c>
      <c r="X329" t="str">
        <f>IFERROR(INDEX(Katalog!$A$3:$A$12,MATCH(cadangan3[[#This Row],[ItemID C]],Katalog!$C$3:$C$12,0)),"-")</f>
        <v>-</v>
      </c>
      <c r="Y329" t="str">
        <f>IFERROR(INDEX(Katalog!$B$3:$B$12,MATCH(cadangan3[[#This Row],[ItemID C]],Katalog!$C$3:$C$12,0)),"-")</f>
        <v>-</v>
      </c>
      <c r="AB329" s="36">
        <f>IFERROR(INDEX(Katalog!$D$3:$D$12,MATCH(cadangan3[[#This Row],[ItemID C]],Katalog!$C$3:$C$12,0))*cadangan3[[#This Row],[Qty C]],0)</f>
        <v>0</v>
      </c>
      <c r="AC329" s="36">
        <f>IFERROR(INDEX(Katalog!$D$3:$D$12,MATCH(cadangan3[[#This Row],[Item C]],Katalog!$B$3:$B$12,0))*cadangan3[[#This Row],[Qty C]],0)</f>
        <v>0</v>
      </c>
      <c r="AD329" s="36">
        <f>IFERROR(cadangan3[[#This Row],[Harga Asli C]]-(cadangan3[[#This Row],[Harga Asli C]]*cadangan3[[#This Row],[Diskon]]),cadangan3[[#This Row],[Harga Asli C]])</f>
        <v>0</v>
      </c>
      <c r="AE329" s="36">
        <f>IFERROR(INDEX(Katalog!$F$3:$F$12,MATCH(cadangan3[[#This Row],[ItemID C]],Katalog!$C$3:$C$12,0))*cadangan3[[#This Row],[Qty C]],0)</f>
        <v>0</v>
      </c>
      <c r="AF329" s="36">
        <f>IFERROR(cadangan3[[#This Row],[Profit C]]-(cadangan3[[#This Row],[Profit C]]*cadangan3[[#This Row],[Diskon]]),cadangan3[[#This Row],[Profit C]])</f>
        <v>0</v>
      </c>
      <c r="AG329" s="21">
        <f>cadangan3[[#This Row],[Qty A]]+cadangan3[[#This Row],[Qty B]]+cadangan3[[#This Row],[Qty C]]</f>
        <v>1</v>
      </c>
      <c r="AH329" s="35">
        <f>cadangan3[[#This Row],[Harga A + Diskon]]+cadangan3[[#This Row],[Harga + Diskon B]]+cadangan3[[#This Row],[Harga + Diskon C]]</f>
        <v>297500</v>
      </c>
      <c r="AI329" s="35">
        <f>(cadangan3[[#This Row],[Profit A]]+cadangan3[[#This Row],[Profit B]]+cadangan3[[#This Row],[Profit C]])</f>
        <v>130000</v>
      </c>
      <c r="AJ329" s="35">
        <f>cadangan3[[#This Row],[Provit A + Diskon]]+cadangan3[[#This Row],[Provit B + Diskon]]+cadangan3[[#This Row],[Provit C + Diskon]]</f>
        <v>110500</v>
      </c>
      <c r="AK329" s="23" t="s">
        <v>28</v>
      </c>
      <c r="AL329" s="37">
        <f>IFERROR(INDEX('Kode Diskon'!$D$3:$D$9,MATCH(cadangan3[[#This Row],[Kode diskon]],'Kode Diskon'!$C$3:$C$9,0)),"-")</f>
        <v>0.15</v>
      </c>
      <c r="AM329" s="23" t="s">
        <v>29</v>
      </c>
      <c r="AN329" s="23" t="s">
        <v>14</v>
      </c>
      <c r="AO329" s="23" t="s">
        <v>80</v>
      </c>
      <c r="AP329" s="24">
        <v>45021</v>
      </c>
      <c r="AQ329" s="23" t="str">
        <f>TEXT(cadangan3[[#This Row],[Tanggal terjual]],"dddd")</f>
        <v>Wednesday</v>
      </c>
    </row>
    <row r="330" spans="1:43" x14ac:dyDescent="0.2">
      <c r="A330" s="20">
        <v>329</v>
      </c>
      <c r="B330" s="21" t="str">
        <f>_xlfn.CONCAT("ORD-",INDEX(Helper!$B$2:$B$5,MATCH(cadangan3[[#This Row],[Marketplace]],Helper!$A$2:$A$5,0)),TEXT(cadangan3[[#This Row],[No]],"0000"),"-",TEXT(cadangan3[[#This Row],[Tanggal terjual]],"dd/mm/yy"))</f>
        <v>ORD-SP0329-02/04/23</v>
      </c>
      <c r="C330" t="s">
        <v>59</v>
      </c>
      <c r="D330" t="str">
        <f>IFERROR(INDEX(Katalog!$A$3:$A$12,MATCH(cadangan3[[#This Row],[ItemID A]],Katalog!$C$3:$C$12,0)),"-")</f>
        <v>Pakaian Wanita</v>
      </c>
      <c r="E330" t="str">
        <f>IFERROR(INDEX(Katalog!$B$3:$B$12,MATCH(cadangan3[[#This Row],[ItemID A]],Katalog!$C$3:$C$12,0)),"-")</f>
        <v>Blouse</v>
      </c>
      <c r="F330">
        <v>2</v>
      </c>
      <c r="G330">
        <v>2</v>
      </c>
      <c r="H330" s="36">
        <f>IFERROR(INDEX(Katalog!$D$3:$D$12,MATCH(cadangan3[[#This Row],[ItemID A]],Katalog!$C$3:$C$12,0))*cadangan3[[#This Row],[Qty A]],0)</f>
        <v>300000</v>
      </c>
      <c r="I330" s="36">
        <f>IFERROR(INDEX(Katalog!$D$3:$D$12,MATCH(cadangan3[[#This Row],[Item A]],Katalog!$B$3:$B$12,0))*cadangan3[[#This Row],[Qty A]],0)</f>
        <v>300000</v>
      </c>
      <c r="J330" s="36">
        <f>IFERROR(cadangan3[[#This Row],[Harga Asli A]]-(cadangan3[[#This Row],[Harga Asli A]]*cadangan3[[#This Row],[Diskon]]),cadangan3[[#This Row],[Harga Asli A]])</f>
        <v>270000</v>
      </c>
      <c r="K330" s="36">
        <f>INDEX(Katalog!$F$3:$F$12,MATCH(cadangan3[[#This Row],[ItemID A]],Katalog!$C$3:$C$12,0))*cadangan3[[#This Row],[Qty A]]</f>
        <v>100000</v>
      </c>
      <c r="L330" s="36">
        <f>IFERROR(cadangan3[[#This Row],[Profit A]]-(cadangan3[[#This Row],[Profit A]]*cadangan3[[#This Row],[Diskon]]),K330)</f>
        <v>90000</v>
      </c>
      <c r="M330" t="s">
        <v>64</v>
      </c>
      <c r="N330" t="str">
        <f>IFERROR(INDEX(Katalog!$A$3:$A$12,MATCH(cadangan3[[#This Row],[ItemID B]],Katalog!$C$3:$C$12,0)),"-")</f>
        <v>Pakaian Unisex</v>
      </c>
      <c r="O330" t="str">
        <f>IFERROR(INDEX(Katalog!$B$3:$B$12,MATCH(cadangan3[[#This Row],[ItemID B]],Katalog!$C$3:$C$12,0)),"-")</f>
        <v>Jaket Hoodie</v>
      </c>
      <c r="P330">
        <v>1</v>
      </c>
      <c r="Q330">
        <v>3</v>
      </c>
      <c r="R330" s="36">
        <f>IFERROR(INDEX(Katalog!$D$3:$D$12,MATCH(cadangan3[[#This Row],[ItemID B]],Katalog!$C$3:$C$12,0))*cadangan3[[#This Row],[Qty B]],0)</f>
        <v>350000</v>
      </c>
      <c r="S330" s="36">
        <f>IFERROR(INDEX(Katalog!$D$3:$D$12,MATCH(cadangan3[[#This Row],[Item B]],Katalog!$B$3:$B$12,0))*cadangan3[[#This Row],[Qty B]],0)</f>
        <v>350000</v>
      </c>
      <c r="T330" s="36">
        <f>IFERROR(cadangan3[[#This Row],[Harga Asli B]]-(cadangan3[[#This Row],[Harga Asli B]]*cadangan3[[#This Row],[Diskon]]),cadangan3[[#This Row],[Harga Asli B]])</f>
        <v>315000</v>
      </c>
      <c r="U330" s="36">
        <f>IFERROR(INDEX(Katalog!$F$3:$F$12,MATCH(cadangan3[[#This Row],[ItemID B]],Katalog!$C$3:$C$12,0))*cadangan3[[#This Row],[Qty B]],0)</f>
        <v>130000</v>
      </c>
      <c r="V330" s="36">
        <f>IFERROR(cadangan3[[#This Row],[Profit B]]-(cadangan3[[#This Row],[Profit B]]*cadangan3[[#This Row],[Diskon]]),U330)</f>
        <v>117000</v>
      </c>
      <c r="W330" t="s">
        <v>61</v>
      </c>
      <c r="X330" t="str">
        <f>IFERROR(INDEX(Katalog!$A$3:$A$12,MATCH(cadangan3[[#This Row],[ItemID C]],Katalog!$C$3:$C$12,0)),"-")</f>
        <v>Pakaian Pria</v>
      </c>
      <c r="Y330" t="str">
        <f>IFERROR(INDEX(Katalog!$B$3:$B$12,MATCH(cadangan3[[#This Row],[ItemID C]],Katalog!$C$3:$C$12,0)),"-")</f>
        <v>Kaos Polo</v>
      </c>
      <c r="Z330">
        <v>1</v>
      </c>
      <c r="AA330">
        <v>5</v>
      </c>
      <c r="AB330" s="36">
        <f>IFERROR(INDEX(Katalog!$D$3:$D$12,MATCH(cadangan3[[#This Row],[ItemID C]],Katalog!$C$3:$C$12,0))*cadangan3[[#This Row],[Qty C]],0)</f>
        <v>200000</v>
      </c>
      <c r="AC330" s="36">
        <f>IFERROR(INDEX(Katalog!$D$3:$D$12,MATCH(cadangan3[[#This Row],[Item C]],Katalog!$B$3:$B$12,0))*cadangan3[[#This Row],[Qty C]],0)</f>
        <v>200000</v>
      </c>
      <c r="AD330" s="36">
        <f>IFERROR(cadangan3[[#This Row],[Harga Asli C]]-(cadangan3[[#This Row],[Harga Asli C]]*cadangan3[[#This Row],[Diskon]]),cadangan3[[#This Row],[Harga Asli C]])</f>
        <v>180000</v>
      </c>
      <c r="AE330" s="36">
        <f>IFERROR(INDEX(Katalog!$F$3:$F$12,MATCH(cadangan3[[#This Row],[ItemID C]],Katalog!$C$3:$C$12,0))*cadangan3[[#This Row],[Qty C]],0)</f>
        <v>80000</v>
      </c>
      <c r="AF330" s="36">
        <f>IFERROR(cadangan3[[#This Row],[Profit C]]-(cadangan3[[#This Row],[Profit C]]*cadangan3[[#This Row],[Diskon]]),cadangan3[[#This Row],[Profit C]])</f>
        <v>72000</v>
      </c>
      <c r="AG330" s="21">
        <f>cadangan3[[#This Row],[Qty A]]+cadangan3[[#This Row],[Qty B]]+cadangan3[[#This Row],[Qty C]]</f>
        <v>4</v>
      </c>
      <c r="AH330" s="35">
        <f>cadangan3[[#This Row],[Harga A + Diskon]]+cadangan3[[#This Row],[Harga + Diskon B]]+cadangan3[[#This Row],[Harga + Diskon C]]</f>
        <v>765000</v>
      </c>
      <c r="AI330" s="35">
        <f>(cadangan3[[#This Row],[Profit A]]+cadangan3[[#This Row],[Profit B]]+cadangan3[[#This Row],[Profit C]])</f>
        <v>310000</v>
      </c>
      <c r="AJ330" s="35">
        <f>cadangan3[[#This Row],[Provit A + Diskon]]+cadangan3[[#This Row],[Provit B + Diskon]]+cadangan3[[#This Row],[Provit C + Diskon]]</f>
        <v>279000</v>
      </c>
      <c r="AK330" s="23" t="s">
        <v>6</v>
      </c>
      <c r="AL330" s="37">
        <f>IFERROR(INDEX('Kode Diskon'!$D$3:$D$9,MATCH(cadangan3[[#This Row],[Kode diskon]],'Kode Diskon'!$C$3:$C$9,0)),"-")</f>
        <v>0.1</v>
      </c>
      <c r="AM330" s="23" t="s">
        <v>29</v>
      </c>
      <c r="AN330" s="23" t="s">
        <v>7</v>
      </c>
      <c r="AO330" s="23" t="s">
        <v>79</v>
      </c>
      <c r="AP330" s="24">
        <v>45018</v>
      </c>
      <c r="AQ330" s="23" t="str">
        <f>TEXT(cadangan3[[#This Row],[Tanggal terjual]],"dddd")</f>
        <v>Sunday</v>
      </c>
    </row>
    <row r="331" spans="1:43" x14ac:dyDescent="0.2">
      <c r="A331" s="20">
        <v>330</v>
      </c>
      <c r="B331" s="21" t="str">
        <f>_xlfn.CONCAT("ORD-",INDEX(Helper!$B$2:$B$5,MATCH(cadangan3[[#This Row],[Marketplace]],Helper!$A$2:$A$5,0)),TEXT(cadangan3[[#This Row],[No]],"0000"),"-",TEXT(cadangan3[[#This Row],[Tanggal terjual]],"dd/mm/yy"))</f>
        <v>ORD-SP0330-02/04/23</v>
      </c>
      <c r="C331" t="s">
        <v>59</v>
      </c>
      <c r="D331" t="str">
        <f>IFERROR(INDEX(Katalog!$A$3:$A$12,MATCH(cadangan3[[#This Row],[ItemID A]],Katalog!$C$3:$C$12,0)),"-")</f>
        <v>Pakaian Wanita</v>
      </c>
      <c r="E331" t="str">
        <f>IFERROR(INDEX(Katalog!$B$3:$B$12,MATCH(cadangan3[[#This Row],[ItemID A]],Katalog!$C$3:$C$12,0)),"-")</f>
        <v>Blouse</v>
      </c>
      <c r="F331">
        <v>1</v>
      </c>
      <c r="G331">
        <v>1</v>
      </c>
      <c r="H331" s="36">
        <f>IFERROR(INDEX(Katalog!$D$3:$D$12,MATCH(cadangan3[[#This Row],[ItemID A]],Katalog!$C$3:$C$12,0))*cadangan3[[#This Row],[Qty A]],0)</f>
        <v>150000</v>
      </c>
      <c r="I331" s="36">
        <f>IFERROR(INDEX(Katalog!$D$3:$D$12,MATCH(cadangan3[[#This Row],[Item A]],Katalog!$B$3:$B$12,0))*cadangan3[[#This Row],[Qty A]],0)</f>
        <v>150000</v>
      </c>
      <c r="J331" s="36">
        <f>IFERROR(cadangan3[[#This Row],[Harga Asli A]]-(cadangan3[[#This Row],[Harga Asli A]]*cadangan3[[#This Row],[Diskon]]),cadangan3[[#This Row],[Harga Asli A]])</f>
        <v>135000</v>
      </c>
      <c r="K331" s="36">
        <f>INDEX(Katalog!$F$3:$F$12,MATCH(cadangan3[[#This Row],[ItemID A]],Katalog!$C$3:$C$12,0))*cadangan3[[#This Row],[Qty A]]</f>
        <v>50000</v>
      </c>
      <c r="L331" s="36">
        <f>IFERROR(cadangan3[[#This Row],[Profit A]]-(cadangan3[[#This Row],[Profit A]]*cadangan3[[#This Row],[Diskon]]),K331)</f>
        <v>45000</v>
      </c>
      <c r="N331" t="str">
        <f>IFERROR(INDEX(Katalog!$A$3:$A$12,MATCH(cadangan3[[#This Row],[ItemID B]],Katalog!$C$3:$C$12,0)),"-")</f>
        <v>-</v>
      </c>
      <c r="O331" t="str">
        <f>IFERROR(INDEX(Katalog!$B$3:$B$12,MATCH(cadangan3[[#This Row],[ItemID B]],Katalog!$C$3:$C$12,0)),"-")</f>
        <v>-</v>
      </c>
      <c r="R331" s="36">
        <f>IFERROR(INDEX(Katalog!$D$3:$D$12,MATCH(cadangan3[[#This Row],[ItemID B]],Katalog!$C$3:$C$12,0))*cadangan3[[#This Row],[Qty B]],0)</f>
        <v>0</v>
      </c>
      <c r="S331" s="36">
        <f>IFERROR(INDEX(Katalog!$D$3:$D$12,MATCH(cadangan3[[#This Row],[Item B]],Katalog!$B$3:$B$12,0))*cadangan3[[#This Row],[Qty B]],0)</f>
        <v>0</v>
      </c>
      <c r="T331" s="36">
        <f>IFERROR(cadangan3[[#This Row],[Harga Asli B]]-(cadangan3[[#This Row],[Harga Asli B]]*cadangan3[[#This Row],[Diskon]]),cadangan3[[#This Row],[Harga Asli B]])</f>
        <v>0</v>
      </c>
      <c r="U331" s="36">
        <f>IFERROR(INDEX(Katalog!$F$3:$F$12,MATCH(cadangan3[[#This Row],[ItemID B]],Katalog!$C$3:$C$12,0))*cadangan3[[#This Row],[Qty B]],0)</f>
        <v>0</v>
      </c>
      <c r="V331" s="36">
        <f>IFERROR(cadangan3[[#This Row],[Profit B]]-(cadangan3[[#This Row],[Profit B]]*cadangan3[[#This Row],[Diskon]]),U331)</f>
        <v>0</v>
      </c>
      <c r="X331" t="str">
        <f>IFERROR(INDEX(Katalog!$A$3:$A$12,MATCH(cadangan3[[#This Row],[ItemID C]],Katalog!$C$3:$C$12,0)),"-")</f>
        <v>-</v>
      </c>
      <c r="Y331" t="str">
        <f>IFERROR(INDEX(Katalog!$B$3:$B$12,MATCH(cadangan3[[#This Row],[ItemID C]],Katalog!$C$3:$C$12,0)),"-")</f>
        <v>-</v>
      </c>
      <c r="AB331" s="36">
        <f>IFERROR(INDEX(Katalog!$D$3:$D$12,MATCH(cadangan3[[#This Row],[ItemID C]],Katalog!$C$3:$C$12,0))*cadangan3[[#This Row],[Qty C]],0)</f>
        <v>0</v>
      </c>
      <c r="AC331" s="36">
        <f>IFERROR(INDEX(Katalog!$D$3:$D$12,MATCH(cadangan3[[#This Row],[Item C]],Katalog!$B$3:$B$12,0))*cadangan3[[#This Row],[Qty C]],0)</f>
        <v>0</v>
      </c>
      <c r="AD331" s="36">
        <f>IFERROR(cadangan3[[#This Row],[Harga Asli C]]-(cadangan3[[#This Row],[Harga Asli C]]*cadangan3[[#This Row],[Diskon]]),cadangan3[[#This Row],[Harga Asli C]])</f>
        <v>0</v>
      </c>
      <c r="AE331" s="36">
        <f>IFERROR(INDEX(Katalog!$F$3:$F$12,MATCH(cadangan3[[#This Row],[ItemID C]],Katalog!$C$3:$C$12,0))*cadangan3[[#This Row],[Qty C]],0)</f>
        <v>0</v>
      </c>
      <c r="AF331" s="36">
        <f>IFERROR(cadangan3[[#This Row],[Profit C]]-(cadangan3[[#This Row],[Profit C]]*cadangan3[[#This Row],[Diskon]]),cadangan3[[#This Row],[Profit C]])</f>
        <v>0</v>
      </c>
      <c r="AG331" s="21">
        <f>cadangan3[[#This Row],[Qty A]]+cadangan3[[#This Row],[Qty B]]+cadangan3[[#This Row],[Qty C]]</f>
        <v>1</v>
      </c>
      <c r="AH331" s="35">
        <f>cadangan3[[#This Row],[Harga A + Diskon]]+cadangan3[[#This Row],[Harga + Diskon B]]+cadangan3[[#This Row],[Harga + Diskon C]]</f>
        <v>135000</v>
      </c>
      <c r="AI331" s="35">
        <f>(cadangan3[[#This Row],[Profit A]]+cadangan3[[#This Row],[Profit B]]+cadangan3[[#This Row],[Profit C]])</f>
        <v>50000</v>
      </c>
      <c r="AJ331" s="35">
        <f>cadangan3[[#This Row],[Provit A + Diskon]]+cadangan3[[#This Row],[Provit B + Diskon]]+cadangan3[[#This Row],[Provit C + Diskon]]</f>
        <v>45000</v>
      </c>
      <c r="AK331" s="23" t="s">
        <v>6</v>
      </c>
      <c r="AL331" s="37">
        <f>IFERROR(INDEX('Kode Diskon'!$D$3:$D$9,MATCH(cadangan3[[#This Row],[Kode diskon]],'Kode Diskon'!$C$3:$C$9,0)),"-")</f>
        <v>0.1</v>
      </c>
      <c r="AM331" s="23" t="s">
        <v>29</v>
      </c>
      <c r="AN331" s="23" t="s">
        <v>7</v>
      </c>
      <c r="AO331" s="23" t="s">
        <v>78</v>
      </c>
      <c r="AP331" s="24">
        <v>45018</v>
      </c>
      <c r="AQ331" s="23" t="str">
        <f>TEXT(cadangan3[[#This Row],[Tanggal terjual]],"dddd")</f>
        <v>Sunday</v>
      </c>
    </row>
    <row r="332" spans="1:43" x14ac:dyDescent="0.2">
      <c r="A332" s="20">
        <v>331</v>
      </c>
      <c r="B332" s="21" t="str">
        <f>_xlfn.CONCAT("ORD-",INDEX(Helper!$B$2:$B$5,MATCH(cadangan3[[#This Row],[Marketplace]],Helper!$A$2:$A$5,0)),TEXT(cadangan3[[#This Row],[No]],"0000"),"-",TEXT(cadangan3[[#This Row],[Tanggal terjual]],"dd/mm/yy"))</f>
        <v>ORD-SP0331-12/04/23</v>
      </c>
      <c r="C332" t="s">
        <v>59</v>
      </c>
      <c r="D332" t="str">
        <f>IFERROR(INDEX(Katalog!$A$3:$A$12,MATCH(cadangan3[[#This Row],[ItemID A]],Katalog!$C$3:$C$12,0)),"-")</f>
        <v>Pakaian Wanita</v>
      </c>
      <c r="E332" t="str">
        <f>IFERROR(INDEX(Katalog!$B$3:$B$12,MATCH(cadangan3[[#This Row],[ItemID A]],Katalog!$C$3:$C$12,0)),"-")</f>
        <v>Blouse</v>
      </c>
      <c r="F332">
        <v>1</v>
      </c>
      <c r="G332">
        <v>4</v>
      </c>
      <c r="H332" s="36">
        <f>IFERROR(INDEX(Katalog!$D$3:$D$12,MATCH(cadangan3[[#This Row],[ItemID A]],Katalog!$C$3:$C$12,0))*cadangan3[[#This Row],[Qty A]],0)</f>
        <v>150000</v>
      </c>
      <c r="I332" s="36">
        <f>IFERROR(INDEX(Katalog!$D$3:$D$12,MATCH(cadangan3[[#This Row],[Item A]],Katalog!$B$3:$B$12,0))*cadangan3[[#This Row],[Qty A]],0)</f>
        <v>150000</v>
      </c>
      <c r="J332" s="36">
        <f>IFERROR(cadangan3[[#This Row],[Harga Asli A]]-(cadangan3[[#This Row],[Harga Asli A]]*cadangan3[[#This Row],[Diskon]]),cadangan3[[#This Row],[Harga Asli A]])</f>
        <v>150000</v>
      </c>
      <c r="K332" s="36">
        <f>INDEX(Katalog!$F$3:$F$12,MATCH(cadangan3[[#This Row],[ItemID A]],Katalog!$C$3:$C$12,0))*cadangan3[[#This Row],[Qty A]]</f>
        <v>50000</v>
      </c>
      <c r="L332" s="36">
        <f>IFERROR(cadangan3[[#This Row],[Profit A]]-(cadangan3[[#This Row],[Profit A]]*cadangan3[[#This Row],[Diskon]]),K332)</f>
        <v>50000</v>
      </c>
      <c r="M332" t="s">
        <v>66</v>
      </c>
      <c r="N332" t="str">
        <f>IFERROR(INDEX(Katalog!$A$3:$A$12,MATCH(cadangan3[[#This Row],[ItemID B]],Katalog!$C$3:$C$12,0)),"-")</f>
        <v>Sepatu Pria</v>
      </c>
      <c r="O332" t="str">
        <f>IFERROR(INDEX(Katalog!$B$3:$B$12,MATCH(cadangan3[[#This Row],[ItemID B]],Katalog!$C$3:$C$12,0)),"-")</f>
        <v>Sandal Slip On</v>
      </c>
      <c r="P332">
        <v>1</v>
      </c>
      <c r="Q332">
        <v>1</v>
      </c>
      <c r="R332" s="36">
        <f>IFERROR(INDEX(Katalog!$D$3:$D$12,MATCH(cadangan3[[#This Row],[ItemID B]],Katalog!$C$3:$C$12,0))*cadangan3[[#This Row],[Qty B]],0)</f>
        <v>150000</v>
      </c>
      <c r="S332" s="36">
        <f>IFERROR(INDEX(Katalog!$D$3:$D$12,MATCH(cadangan3[[#This Row],[Item B]],Katalog!$B$3:$B$12,0))*cadangan3[[#This Row],[Qty B]],0)</f>
        <v>150000</v>
      </c>
      <c r="T332" s="36">
        <f>IFERROR(cadangan3[[#This Row],[Harga Asli B]]-(cadangan3[[#This Row],[Harga Asli B]]*cadangan3[[#This Row],[Diskon]]),cadangan3[[#This Row],[Harga Asli B]])</f>
        <v>150000</v>
      </c>
      <c r="U332" s="36">
        <f>IFERROR(INDEX(Katalog!$F$3:$F$12,MATCH(cadangan3[[#This Row],[ItemID B]],Katalog!$C$3:$C$12,0))*cadangan3[[#This Row],[Qty B]],0)</f>
        <v>60000</v>
      </c>
      <c r="V332" s="36">
        <f>IFERROR(cadangan3[[#This Row],[Profit B]]-(cadangan3[[#This Row],[Profit B]]*cadangan3[[#This Row],[Diskon]]),U332)</f>
        <v>60000</v>
      </c>
      <c r="W332" t="s">
        <v>67</v>
      </c>
      <c r="X332" t="str">
        <f>IFERROR(INDEX(Katalog!$A$3:$A$12,MATCH(cadangan3[[#This Row],[ItemID C]],Katalog!$C$3:$C$12,0)),"-")</f>
        <v>Sepatu Wanita</v>
      </c>
      <c r="Y332" t="str">
        <f>IFERROR(INDEX(Katalog!$B$3:$B$12,MATCH(cadangan3[[#This Row],[ItemID C]],Katalog!$C$3:$C$12,0)),"-")</f>
        <v>Flat Shoes</v>
      </c>
      <c r="Z332">
        <v>2</v>
      </c>
      <c r="AA332">
        <v>2</v>
      </c>
      <c r="AB332" s="36">
        <f>IFERROR(INDEX(Katalog!$D$3:$D$12,MATCH(cadangan3[[#This Row],[ItemID C]],Katalog!$C$3:$C$12,0))*cadangan3[[#This Row],[Qty C]],0)</f>
        <v>500000</v>
      </c>
      <c r="AC332" s="36">
        <f>IFERROR(INDEX(Katalog!$D$3:$D$12,MATCH(cadangan3[[#This Row],[Item C]],Katalog!$B$3:$B$12,0))*cadangan3[[#This Row],[Qty C]],0)</f>
        <v>500000</v>
      </c>
      <c r="AD332" s="36">
        <f>IFERROR(cadangan3[[#This Row],[Harga Asli C]]-(cadangan3[[#This Row],[Harga Asli C]]*cadangan3[[#This Row],[Diskon]]),cadangan3[[#This Row],[Harga Asli C]])</f>
        <v>500000</v>
      </c>
      <c r="AE332" s="36">
        <f>IFERROR(INDEX(Katalog!$F$3:$F$12,MATCH(cadangan3[[#This Row],[ItemID C]],Katalog!$C$3:$C$12,0))*cadangan3[[#This Row],[Qty C]],0)</f>
        <v>200000</v>
      </c>
      <c r="AF332" s="36">
        <f>IFERROR(cadangan3[[#This Row],[Profit C]]-(cadangan3[[#This Row],[Profit C]]*cadangan3[[#This Row],[Diskon]]),cadangan3[[#This Row],[Profit C]])</f>
        <v>200000</v>
      </c>
      <c r="AG332" s="21">
        <f>cadangan3[[#This Row],[Qty A]]+cadangan3[[#This Row],[Qty B]]+cadangan3[[#This Row],[Qty C]]</f>
        <v>4</v>
      </c>
      <c r="AH332" s="35">
        <f>cadangan3[[#This Row],[Harga A + Diskon]]+cadangan3[[#This Row],[Harga + Diskon B]]+cadangan3[[#This Row],[Harga + Diskon C]]</f>
        <v>800000</v>
      </c>
      <c r="AI332" s="35">
        <f>(cadangan3[[#This Row],[Profit A]]+cadangan3[[#This Row],[Profit B]]+cadangan3[[#This Row],[Profit C]])</f>
        <v>310000</v>
      </c>
      <c r="AJ332" s="35">
        <f>cadangan3[[#This Row],[Provit A + Diskon]]+cadangan3[[#This Row],[Provit B + Diskon]]+cadangan3[[#This Row],[Provit C + Diskon]]</f>
        <v>310000</v>
      </c>
      <c r="AK332" s="23" t="s">
        <v>11</v>
      </c>
      <c r="AL332" s="37" t="str">
        <f>IFERROR(INDEX('Kode Diskon'!$D$3:$D$9,MATCH(cadangan3[[#This Row],[Kode diskon]],'Kode Diskon'!$C$3:$C$9,0)),"-")</f>
        <v>-</v>
      </c>
      <c r="AM332" s="23" t="s">
        <v>11</v>
      </c>
      <c r="AN332" s="23" t="s">
        <v>7</v>
      </c>
      <c r="AO332" s="23" t="s">
        <v>75</v>
      </c>
      <c r="AP332" s="24">
        <v>45028</v>
      </c>
      <c r="AQ332" s="23" t="str">
        <f>TEXT(cadangan3[[#This Row],[Tanggal terjual]],"dddd")</f>
        <v>Wednesday</v>
      </c>
    </row>
    <row r="333" spans="1:43" x14ac:dyDescent="0.2">
      <c r="A333" s="20">
        <v>332</v>
      </c>
      <c r="B333" s="21" t="str">
        <f>_xlfn.CONCAT("ORD-",INDEX(Helper!$B$2:$B$5,MATCH(cadangan3[[#This Row],[Marketplace]],Helper!$A$2:$A$5,0)),TEXT(cadangan3[[#This Row],[No]],"0000"),"-",TEXT(cadangan3[[#This Row],[Tanggal terjual]],"dd/mm/yy"))</f>
        <v>ORD-SP0332-01/04/23</v>
      </c>
      <c r="C333" t="s">
        <v>63</v>
      </c>
      <c r="D333" t="str">
        <f>IFERROR(INDEX(Katalog!$A$3:$A$12,MATCH(cadangan3[[#This Row],[ItemID A]],Katalog!$C$3:$C$12,0)),"-")</f>
        <v>Pakaian Pria</v>
      </c>
      <c r="E333" t="str">
        <f>IFERROR(INDEX(Katalog!$B$3:$B$12,MATCH(cadangan3[[#This Row],[ItemID A]],Katalog!$C$3:$C$12,0)),"-")</f>
        <v>Jaket Jeans</v>
      </c>
      <c r="F333">
        <v>2</v>
      </c>
      <c r="G333">
        <v>4</v>
      </c>
      <c r="H333" s="36">
        <f>IFERROR(INDEX(Katalog!$D$3:$D$12,MATCH(cadangan3[[#This Row],[ItemID A]],Katalog!$C$3:$C$12,0))*cadangan3[[#This Row],[Qty A]],0)</f>
        <v>800000</v>
      </c>
      <c r="I333" s="36">
        <f>IFERROR(INDEX(Katalog!$D$3:$D$12,MATCH(cadangan3[[#This Row],[Item A]],Katalog!$B$3:$B$12,0))*cadangan3[[#This Row],[Qty A]],0)</f>
        <v>800000</v>
      </c>
      <c r="J333" s="36">
        <f>IFERROR(cadangan3[[#This Row],[Harga Asli A]]-(cadangan3[[#This Row],[Harga Asli A]]*cadangan3[[#This Row],[Diskon]]),cadangan3[[#This Row],[Harga Asli A]])</f>
        <v>680000</v>
      </c>
      <c r="K333" s="36">
        <f>INDEX(Katalog!$F$3:$F$12,MATCH(cadangan3[[#This Row],[ItemID A]],Katalog!$C$3:$C$12,0))*cadangan3[[#This Row],[Qty A]]</f>
        <v>300000</v>
      </c>
      <c r="L333" s="36">
        <f>IFERROR(cadangan3[[#This Row],[Profit A]]-(cadangan3[[#This Row],[Profit A]]*cadangan3[[#This Row],[Diskon]]),K333)</f>
        <v>255000</v>
      </c>
      <c r="M333" t="s">
        <v>62</v>
      </c>
      <c r="N333" t="str">
        <f>IFERROR(INDEX(Katalog!$A$3:$A$12,MATCH(cadangan3[[#This Row],[ItemID B]],Katalog!$C$3:$C$12,0)),"-")</f>
        <v>Pakaian Pria</v>
      </c>
      <c r="O333" t="str">
        <f>IFERROR(INDEX(Katalog!$B$3:$B$12,MATCH(cadangan3[[#This Row],[ItemID B]],Katalog!$C$3:$C$12,0)),"-")</f>
        <v>Celana Pendek</v>
      </c>
      <c r="P333">
        <v>1</v>
      </c>
      <c r="Q333">
        <v>5</v>
      </c>
      <c r="R333" s="36">
        <f>IFERROR(INDEX(Katalog!$D$3:$D$12,MATCH(cadangan3[[#This Row],[ItemID B]],Katalog!$C$3:$C$12,0))*cadangan3[[#This Row],[Qty B]],0)</f>
        <v>180000</v>
      </c>
      <c r="S333" s="36">
        <f>IFERROR(INDEX(Katalog!$D$3:$D$12,MATCH(cadangan3[[#This Row],[Item B]],Katalog!$B$3:$B$12,0))*cadangan3[[#This Row],[Qty B]],0)</f>
        <v>180000</v>
      </c>
      <c r="T333" s="36">
        <f>IFERROR(cadangan3[[#This Row],[Harga Asli B]]-(cadangan3[[#This Row],[Harga Asli B]]*cadangan3[[#This Row],[Diskon]]),cadangan3[[#This Row],[Harga Asli B]])</f>
        <v>153000</v>
      </c>
      <c r="U333" s="36">
        <f>IFERROR(INDEX(Katalog!$F$3:$F$12,MATCH(cadangan3[[#This Row],[ItemID B]],Katalog!$C$3:$C$12,0))*cadangan3[[#This Row],[Qty B]],0)</f>
        <v>70000</v>
      </c>
      <c r="V333" s="36">
        <f>IFERROR(cadangan3[[#This Row],[Profit B]]-(cadangan3[[#This Row],[Profit B]]*cadangan3[[#This Row],[Diskon]]),U333)</f>
        <v>59500</v>
      </c>
      <c r="W333" t="s">
        <v>62</v>
      </c>
      <c r="X333" t="str">
        <f>IFERROR(INDEX(Katalog!$A$3:$A$12,MATCH(cadangan3[[#This Row],[ItemID C]],Katalog!$C$3:$C$12,0)),"-")</f>
        <v>Pakaian Pria</v>
      </c>
      <c r="Y333" t="str">
        <f>IFERROR(INDEX(Katalog!$B$3:$B$12,MATCH(cadangan3[[#This Row],[ItemID C]],Katalog!$C$3:$C$12,0)),"-")</f>
        <v>Celana Pendek</v>
      </c>
      <c r="Z333">
        <v>2</v>
      </c>
      <c r="AA333">
        <v>1</v>
      </c>
      <c r="AB333" s="36">
        <f>IFERROR(INDEX(Katalog!$D$3:$D$12,MATCH(cadangan3[[#This Row],[ItemID C]],Katalog!$C$3:$C$12,0))*cadangan3[[#This Row],[Qty C]],0)</f>
        <v>360000</v>
      </c>
      <c r="AC333" s="36">
        <f>IFERROR(INDEX(Katalog!$D$3:$D$12,MATCH(cadangan3[[#This Row],[Item C]],Katalog!$B$3:$B$12,0))*cadangan3[[#This Row],[Qty C]],0)</f>
        <v>360000</v>
      </c>
      <c r="AD333" s="36">
        <f>IFERROR(cadangan3[[#This Row],[Harga Asli C]]-(cadangan3[[#This Row],[Harga Asli C]]*cadangan3[[#This Row],[Diskon]]),cadangan3[[#This Row],[Harga Asli C]])</f>
        <v>306000</v>
      </c>
      <c r="AE333" s="36">
        <f>IFERROR(INDEX(Katalog!$F$3:$F$12,MATCH(cadangan3[[#This Row],[ItemID C]],Katalog!$C$3:$C$12,0))*cadangan3[[#This Row],[Qty C]],0)</f>
        <v>140000</v>
      </c>
      <c r="AF333" s="36">
        <f>IFERROR(cadangan3[[#This Row],[Profit C]]-(cadangan3[[#This Row],[Profit C]]*cadangan3[[#This Row],[Diskon]]),cadangan3[[#This Row],[Profit C]])</f>
        <v>119000</v>
      </c>
      <c r="AG333" s="21">
        <f>cadangan3[[#This Row],[Qty A]]+cadangan3[[#This Row],[Qty B]]+cadangan3[[#This Row],[Qty C]]</f>
        <v>5</v>
      </c>
      <c r="AH333" s="35">
        <f>cadangan3[[#This Row],[Harga A + Diskon]]+cadangan3[[#This Row],[Harga + Diskon B]]+cadangan3[[#This Row],[Harga + Diskon C]]</f>
        <v>1139000</v>
      </c>
      <c r="AI333" s="35">
        <f>(cadangan3[[#This Row],[Profit A]]+cadangan3[[#This Row],[Profit B]]+cadangan3[[#This Row],[Profit C]])</f>
        <v>510000</v>
      </c>
      <c r="AJ333" s="35">
        <f>cadangan3[[#This Row],[Provit A + Diskon]]+cadangan3[[#This Row],[Provit B + Diskon]]+cadangan3[[#This Row],[Provit C + Diskon]]</f>
        <v>433500</v>
      </c>
      <c r="AK333" s="23" t="s">
        <v>13</v>
      </c>
      <c r="AL333" s="37">
        <f>IFERROR(INDEX('Kode Diskon'!$D$3:$D$9,MATCH(cadangan3[[#This Row],[Kode diskon]],'Kode Diskon'!$C$3:$C$9,0)),"-")</f>
        <v>0.15</v>
      </c>
      <c r="AM333" s="23" t="s">
        <v>29</v>
      </c>
      <c r="AN333" s="23" t="s">
        <v>7</v>
      </c>
      <c r="AO333" s="23" t="s">
        <v>80</v>
      </c>
      <c r="AP333" s="24">
        <v>45017</v>
      </c>
      <c r="AQ333" s="23" t="str">
        <f>TEXT(cadangan3[[#This Row],[Tanggal terjual]],"dddd")</f>
        <v>Saturday</v>
      </c>
    </row>
    <row r="334" spans="1:43" x14ac:dyDescent="0.2">
      <c r="A334" s="20">
        <v>333</v>
      </c>
      <c r="B334" s="21" t="str">
        <f>_xlfn.CONCAT("ORD-",INDEX(Helper!$B$2:$B$5,MATCH(cadangan3[[#This Row],[Marketplace]],Helper!$A$2:$A$5,0)),TEXT(cadangan3[[#This Row],[No]],"0000"),"-",TEXT(cadangan3[[#This Row],[Tanggal terjual]],"dd/mm/yy"))</f>
        <v>ORD-BL0333-25/04/23</v>
      </c>
      <c r="C334" t="s">
        <v>66</v>
      </c>
      <c r="D334" t="str">
        <f>IFERROR(INDEX(Katalog!$A$3:$A$12,MATCH(cadangan3[[#This Row],[ItemID A]],Katalog!$C$3:$C$12,0)),"-")</f>
        <v>Sepatu Pria</v>
      </c>
      <c r="E334" t="str">
        <f>IFERROR(INDEX(Katalog!$B$3:$B$12,MATCH(cadangan3[[#This Row],[ItemID A]],Katalog!$C$3:$C$12,0)),"-")</f>
        <v>Sandal Slip On</v>
      </c>
      <c r="F334">
        <v>1</v>
      </c>
      <c r="G334">
        <v>2</v>
      </c>
      <c r="H334" s="36">
        <f>IFERROR(INDEX(Katalog!$D$3:$D$12,MATCH(cadangan3[[#This Row],[ItemID A]],Katalog!$C$3:$C$12,0))*cadangan3[[#This Row],[Qty A]],0)</f>
        <v>150000</v>
      </c>
      <c r="I334" s="36">
        <f>IFERROR(INDEX(Katalog!$D$3:$D$12,MATCH(cadangan3[[#This Row],[Item A]],Katalog!$B$3:$B$12,0))*cadangan3[[#This Row],[Qty A]],0)</f>
        <v>150000</v>
      </c>
      <c r="J334" s="36">
        <f>IFERROR(cadangan3[[#This Row],[Harga Asli A]]-(cadangan3[[#This Row],[Harga Asli A]]*cadangan3[[#This Row],[Diskon]]),cadangan3[[#This Row],[Harga Asli A]])</f>
        <v>127500</v>
      </c>
      <c r="K334" s="36">
        <f>INDEX(Katalog!$F$3:$F$12,MATCH(cadangan3[[#This Row],[ItemID A]],Katalog!$C$3:$C$12,0))*cadangan3[[#This Row],[Qty A]]</f>
        <v>60000</v>
      </c>
      <c r="L334" s="36">
        <f>IFERROR(cadangan3[[#This Row],[Profit A]]-(cadangan3[[#This Row],[Profit A]]*cadangan3[[#This Row],[Diskon]]),K334)</f>
        <v>51000</v>
      </c>
      <c r="M334" t="s">
        <v>67</v>
      </c>
      <c r="N334" t="str">
        <f>IFERROR(INDEX(Katalog!$A$3:$A$12,MATCH(cadangan3[[#This Row],[ItemID B]],Katalog!$C$3:$C$12,0)),"-")</f>
        <v>Sepatu Wanita</v>
      </c>
      <c r="O334" t="str">
        <f>IFERROR(INDEX(Katalog!$B$3:$B$12,MATCH(cadangan3[[#This Row],[ItemID B]],Katalog!$C$3:$C$12,0)),"-")</f>
        <v>Flat Shoes</v>
      </c>
      <c r="P334">
        <v>3</v>
      </c>
      <c r="Q334">
        <v>1</v>
      </c>
      <c r="R334" s="36">
        <f>IFERROR(INDEX(Katalog!$D$3:$D$12,MATCH(cadangan3[[#This Row],[ItemID B]],Katalog!$C$3:$C$12,0))*cadangan3[[#This Row],[Qty B]],0)</f>
        <v>750000</v>
      </c>
      <c r="S334" s="36">
        <f>IFERROR(INDEX(Katalog!$D$3:$D$12,MATCH(cadangan3[[#This Row],[Item B]],Katalog!$B$3:$B$12,0))*cadangan3[[#This Row],[Qty B]],0)</f>
        <v>750000</v>
      </c>
      <c r="T334" s="36">
        <f>IFERROR(cadangan3[[#This Row],[Harga Asli B]]-(cadangan3[[#This Row],[Harga Asli B]]*cadangan3[[#This Row],[Diskon]]),cadangan3[[#This Row],[Harga Asli B]])</f>
        <v>637500</v>
      </c>
      <c r="U334" s="36">
        <f>IFERROR(INDEX(Katalog!$F$3:$F$12,MATCH(cadangan3[[#This Row],[ItemID B]],Katalog!$C$3:$C$12,0))*cadangan3[[#This Row],[Qty B]],0)</f>
        <v>300000</v>
      </c>
      <c r="V334" s="36">
        <f>IFERROR(cadangan3[[#This Row],[Profit B]]-(cadangan3[[#This Row],[Profit B]]*cadangan3[[#This Row],[Diskon]]),U334)</f>
        <v>255000</v>
      </c>
      <c r="X334" t="str">
        <f>IFERROR(INDEX(Katalog!$A$3:$A$12,MATCH(cadangan3[[#This Row],[ItemID C]],Katalog!$C$3:$C$12,0)),"-")</f>
        <v>-</v>
      </c>
      <c r="Y334" t="str">
        <f>IFERROR(INDEX(Katalog!$B$3:$B$12,MATCH(cadangan3[[#This Row],[ItemID C]],Katalog!$C$3:$C$12,0)),"-")</f>
        <v>-</v>
      </c>
      <c r="AB334" s="36">
        <f>IFERROR(INDEX(Katalog!$D$3:$D$12,MATCH(cadangan3[[#This Row],[ItemID C]],Katalog!$C$3:$C$12,0))*cadangan3[[#This Row],[Qty C]],0)</f>
        <v>0</v>
      </c>
      <c r="AC334" s="36">
        <f>IFERROR(INDEX(Katalog!$D$3:$D$12,MATCH(cadangan3[[#This Row],[Item C]],Katalog!$B$3:$B$12,0))*cadangan3[[#This Row],[Qty C]],0)</f>
        <v>0</v>
      </c>
      <c r="AD334" s="36">
        <f>IFERROR(cadangan3[[#This Row],[Harga Asli C]]-(cadangan3[[#This Row],[Harga Asli C]]*cadangan3[[#This Row],[Diskon]]),cadangan3[[#This Row],[Harga Asli C]])</f>
        <v>0</v>
      </c>
      <c r="AE334" s="36">
        <f>IFERROR(INDEX(Katalog!$F$3:$F$12,MATCH(cadangan3[[#This Row],[ItemID C]],Katalog!$C$3:$C$12,0))*cadangan3[[#This Row],[Qty C]],0)</f>
        <v>0</v>
      </c>
      <c r="AF334" s="36">
        <f>IFERROR(cadangan3[[#This Row],[Profit C]]-(cadangan3[[#This Row],[Profit C]]*cadangan3[[#This Row],[Diskon]]),cadangan3[[#This Row],[Profit C]])</f>
        <v>0</v>
      </c>
      <c r="AG334" s="21">
        <f>cadangan3[[#This Row],[Qty A]]+cadangan3[[#This Row],[Qty B]]+cadangan3[[#This Row],[Qty C]]</f>
        <v>4</v>
      </c>
      <c r="AH334" s="35">
        <f>cadangan3[[#This Row],[Harga A + Diskon]]+cadangan3[[#This Row],[Harga + Diskon B]]+cadangan3[[#This Row],[Harga + Diskon C]]</f>
        <v>765000</v>
      </c>
      <c r="AI334" s="35">
        <f>(cadangan3[[#This Row],[Profit A]]+cadangan3[[#This Row],[Profit B]]+cadangan3[[#This Row],[Profit C]])</f>
        <v>360000</v>
      </c>
      <c r="AJ334" s="35">
        <f>cadangan3[[#This Row],[Provit A + Diskon]]+cadangan3[[#This Row],[Provit B + Diskon]]+cadangan3[[#This Row],[Provit C + Diskon]]</f>
        <v>306000</v>
      </c>
      <c r="AK334" s="23" t="s">
        <v>32</v>
      </c>
      <c r="AL334" s="37">
        <f>IFERROR(INDEX('Kode Diskon'!$D$3:$D$9,MATCH(cadangan3[[#This Row],[Kode diskon]],'Kode Diskon'!$C$3:$C$9,0)),"-")</f>
        <v>0.15</v>
      </c>
      <c r="AM334" s="23" t="s">
        <v>9</v>
      </c>
      <c r="AN334" s="23" t="s">
        <v>12</v>
      </c>
      <c r="AO334" s="23" t="s">
        <v>80</v>
      </c>
      <c r="AP334" s="24">
        <v>45041</v>
      </c>
      <c r="AQ334" s="23" t="str">
        <f>TEXT(cadangan3[[#This Row],[Tanggal terjual]],"dddd")</f>
        <v>Tuesday</v>
      </c>
    </row>
    <row r="335" spans="1:43" x14ac:dyDescent="0.2">
      <c r="A335" s="20">
        <v>334</v>
      </c>
      <c r="B335" s="21" t="str">
        <f>_xlfn.CONCAT("ORD-",INDEX(Helper!$B$2:$B$5,MATCH(cadangan3[[#This Row],[Marketplace]],Helper!$A$2:$A$5,0)),TEXT(cadangan3[[#This Row],[No]],"0000"),"-",TEXT(cadangan3[[#This Row],[Tanggal terjual]],"dd/mm/yy"))</f>
        <v>ORD-TK0334-01/04/23</v>
      </c>
      <c r="C335" t="s">
        <v>65</v>
      </c>
      <c r="D335" t="str">
        <f>IFERROR(INDEX(Katalog!$A$3:$A$12,MATCH(cadangan3[[#This Row],[ItemID A]],Katalog!$C$3:$C$12,0)),"-")</f>
        <v>Sepatu Pria</v>
      </c>
      <c r="E335" t="str">
        <f>IFERROR(INDEX(Katalog!$B$3:$B$12,MATCH(cadangan3[[#This Row],[ItemID A]],Katalog!$C$3:$C$12,0)),"-")</f>
        <v>Sneakers</v>
      </c>
      <c r="F335">
        <v>6</v>
      </c>
      <c r="G335">
        <v>4</v>
      </c>
      <c r="H335" s="36">
        <f>IFERROR(INDEX(Katalog!$D$3:$D$12,MATCH(cadangan3[[#This Row],[ItemID A]],Katalog!$C$3:$C$12,0))*cadangan3[[#This Row],[Qty A]],0)</f>
        <v>3000000</v>
      </c>
      <c r="I335" s="36">
        <f>IFERROR(INDEX(Katalog!$D$3:$D$12,MATCH(cadangan3[[#This Row],[Item A]],Katalog!$B$3:$B$12,0))*cadangan3[[#This Row],[Qty A]],0)</f>
        <v>3000000</v>
      </c>
      <c r="J335" s="36">
        <f>IFERROR(cadangan3[[#This Row],[Harga Asli A]]-(cadangan3[[#This Row],[Harga Asli A]]*cadangan3[[#This Row],[Diskon]]),cadangan3[[#This Row],[Harga Asli A]])</f>
        <v>2700000</v>
      </c>
      <c r="K335" s="36">
        <f>INDEX(Katalog!$F$3:$F$12,MATCH(cadangan3[[#This Row],[ItemID A]],Katalog!$C$3:$C$12,0))*cadangan3[[#This Row],[Qty A]]</f>
        <v>1200000</v>
      </c>
      <c r="L335" s="36">
        <f>IFERROR(cadangan3[[#This Row],[Profit A]]-(cadangan3[[#This Row],[Profit A]]*cadangan3[[#This Row],[Diskon]]),K335)</f>
        <v>1080000</v>
      </c>
      <c r="M335" t="s">
        <v>64</v>
      </c>
      <c r="N335" t="str">
        <f>IFERROR(INDEX(Katalog!$A$3:$A$12,MATCH(cadangan3[[#This Row],[ItemID B]],Katalog!$C$3:$C$12,0)),"-")</f>
        <v>Pakaian Unisex</v>
      </c>
      <c r="O335" t="str">
        <f>IFERROR(INDEX(Katalog!$B$3:$B$12,MATCH(cadangan3[[#This Row],[ItemID B]],Katalog!$C$3:$C$12,0)),"-")</f>
        <v>Jaket Hoodie</v>
      </c>
      <c r="P335">
        <v>1</v>
      </c>
      <c r="Q335">
        <v>4</v>
      </c>
      <c r="R335" s="36">
        <f>IFERROR(INDEX(Katalog!$D$3:$D$12,MATCH(cadangan3[[#This Row],[ItemID B]],Katalog!$C$3:$C$12,0))*cadangan3[[#This Row],[Qty B]],0)</f>
        <v>350000</v>
      </c>
      <c r="S335" s="36">
        <f>IFERROR(INDEX(Katalog!$D$3:$D$12,MATCH(cadangan3[[#This Row],[Item B]],Katalog!$B$3:$B$12,0))*cadangan3[[#This Row],[Qty B]],0)</f>
        <v>350000</v>
      </c>
      <c r="T335" s="36">
        <f>IFERROR(cadangan3[[#This Row],[Harga Asli B]]-(cadangan3[[#This Row],[Harga Asli B]]*cadangan3[[#This Row],[Diskon]]),cadangan3[[#This Row],[Harga Asli B]])</f>
        <v>315000</v>
      </c>
      <c r="U335" s="36">
        <f>IFERROR(INDEX(Katalog!$F$3:$F$12,MATCH(cadangan3[[#This Row],[ItemID B]],Katalog!$C$3:$C$12,0))*cadangan3[[#This Row],[Qty B]],0)</f>
        <v>130000</v>
      </c>
      <c r="V335" s="36">
        <f>IFERROR(cadangan3[[#This Row],[Profit B]]-(cadangan3[[#This Row],[Profit B]]*cadangan3[[#This Row],[Diskon]]),U335)</f>
        <v>117000</v>
      </c>
      <c r="X335" t="str">
        <f>IFERROR(INDEX(Katalog!$A$3:$A$12,MATCH(cadangan3[[#This Row],[ItemID C]],Katalog!$C$3:$C$12,0)),"-")</f>
        <v>-</v>
      </c>
      <c r="Y335" t="str">
        <f>IFERROR(INDEX(Katalog!$B$3:$B$12,MATCH(cadangan3[[#This Row],[ItemID C]],Katalog!$C$3:$C$12,0)),"-")</f>
        <v>-</v>
      </c>
      <c r="AB335" s="36">
        <f>IFERROR(INDEX(Katalog!$D$3:$D$12,MATCH(cadangan3[[#This Row],[ItemID C]],Katalog!$C$3:$C$12,0))*cadangan3[[#This Row],[Qty C]],0)</f>
        <v>0</v>
      </c>
      <c r="AC335" s="36">
        <f>IFERROR(INDEX(Katalog!$D$3:$D$12,MATCH(cadangan3[[#This Row],[Item C]],Katalog!$B$3:$B$12,0))*cadangan3[[#This Row],[Qty C]],0)</f>
        <v>0</v>
      </c>
      <c r="AD335" s="36">
        <f>IFERROR(cadangan3[[#This Row],[Harga Asli C]]-(cadangan3[[#This Row],[Harga Asli C]]*cadangan3[[#This Row],[Diskon]]),cadangan3[[#This Row],[Harga Asli C]])</f>
        <v>0</v>
      </c>
      <c r="AE335" s="36">
        <f>IFERROR(INDEX(Katalog!$F$3:$F$12,MATCH(cadangan3[[#This Row],[ItemID C]],Katalog!$C$3:$C$12,0))*cadangan3[[#This Row],[Qty C]],0)</f>
        <v>0</v>
      </c>
      <c r="AF335" s="36">
        <f>IFERROR(cadangan3[[#This Row],[Profit C]]-(cadangan3[[#This Row],[Profit C]]*cadangan3[[#This Row],[Diskon]]),cadangan3[[#This Row],[Profit C]])</f>
        <v>0</v>
      </c>
      <c r="AG335" s="21">
        <f>cadangan3[[#This Row],[Qty A]]+cadangan3[[#This Row],[Qty B]]+cadangan3[[#This Row],[Qty C]]</f>
        <v>7</v>
      </c>
      <c r="AH335" s="35">
        <f>cadangan3[[#This Row],[Harga A + Diskon]]+cadangan3[[#This Row],[Harga + Diskon B]]+cadangan3[[#This Row],[Harga + Diskon C]]</f>
        <v>3015000</v>
      </c>
      <c r="AI335" s="35">
        <f>(cadangan3[[#This Row],[Profit A]]+cadangan3[[#This Row],[Profit B]]+cadangan3[[#This Row],[Profit C]])</f>
        <v>1330000</v>
      </c>
      <c r="AJ335" s="35">
        <f>cadangan3[[#This Row],[Provit A + Diskon]]+cadangan3[[#This Row],[Provit B + Diskon]]+cadangan3[[#This Row],[Provit C + Diskon]]</f>
        <v>1197000</v>
      </c>
      <c r="AK335" s="23" t="s">
        <v>30</v>
      </c>
      <c r="AL335" s="37">
        <f>IFERROR(INDEX('Kode Diskon'!$D$3:$D$9,MATCH(cadangan3[[#This Row],[Kode diskon]],'Kode Diskon'!$C$3:$C$9,0)),"-")</f>
        <v>0.1</v>
      </c>
      <c r="AM335" s="23" t="s">
        <v>29</v>
      </c>
      <c r="AN335" s="23" t="s">
        <v>10</v>
      </c>
      <c r="AO335" s="23" t="s">
        <v>80</v>
      </c>
      <c r="AP335" s="24">
        <v>45017</v>
      </c>
      <c r="AQ335" s="23" t="str">
        <f>TEXT(cadangan3[[#This Row],[Tanggal terjual]],"dddd")</f>
        <v>Saturday</v>
      </c>
    </row>
    <row r="336" spans="1:43" x14ac:dyDescent="0.2">
      <c r="A336" s="20">
        <v>335</v>
      </c>
      <c r="B336" s="21" t="str">
        <f>_xlfn.CONCAT("ORD-",INDEX(Helper!$B$2:$B$5,MATCH(cadangan3[[#This Row],[Marketplace]],Helper!$A$2:$A$5,0)),TEXT(cadangan3[[#This Row],[No]],"0000"),"-",TEXT(cadangan3[[#This Row],[Tanggal terjual]],"dd/mm/yy"))</f>
        <v>ORD-SP0335-27/04/23</v>
      </c>
      <c r="C336" t="s">
        <v>63</v>
      </c>
      <c r="D336" t="str">
        <f>IFERROR(INDEX(Katalog!$A$3:$A$12,MATCH(cadangan3[[#This Row],[ItemID A]],Katalog!$C$3:$C$12,0)),"-")</f>
        <v>Pakaian Pria</v>
      </c>
      <c r="E336" t="str">
        <f>IFERROR(INDEX(Katalog!$B$3:$B$12,MATCH(cadangan3[[#This Row],[ItemID A]],Katalog!$C$3:$C$12,0)),"-")</f>
        <v>Jaket Jeans</v>
      </c>
      <c r="F336">
        <v>2</v>
      </c>
      <c r="G336">
        <v>2</v>
      </c>
      <c r="H336" s="36">
        <f>IFERROR(INDEX(Katalog!$D$3:$D$12,MATCH(cadangan3[[#This Row],[ItemID A]],Katalog!$C$3:$C$12,0))*cadangan3[[#This Row],[Qty A]],0)</f>
        <v>800000</v>
      </c>
      <c r="I336" s="36">
        <f>IFERROR(INDEX(Katalog!$D$3:$D$12,MATCH(cadangan3[[#This Row],[Item A]],Katalog!$B$3:$B$12,0))*cadangan3[[#This Row],[Qty A]],0)</f>
        <v>800000</v>
      </c>
      <c r="J336" s="36">
        <f>IFERROR(cadangan3[[#This Row],[Harga Asli A]]-(cadangan3[[#This Row],[Harga Asli A]]*cadangan3[[#This Row],[Diskon]]),cadangan3[[#This Row],[Harga Asli A]])</f>
        <v>640000</v>
      </c>
      <c r="K336" s="36">
        <f>INDEX(Katalog!$F$3:$F$12,MATCH(cadangan3[[#This Row],[ItemID A]],Katalog!$C$3:$C$12,0))*cadangan3[[#This Row],[Qty A]]</f>
        <v>300000</v>
      </c>
      <c r="L336" s="36">
        <f>IFERROR(cadangan3[[#This Row],[Profit A]]-(cadangan3[[#This Row],[Profit A]]*cadangan3[[#This Row],[Diskon]]),K336)</f>
        <v>240000</v>
      </c>
      <c r="M336" t="s">
        <v>59</v>
      </c>
      <c r="N336" t="str">
        <f>IFERROR(INDEX(Katalog!$A$3:$A$12,MATCH(cadangan3[[#This Row],[ItemID B]],Katalog!$C$3:$C$12,0)),"-")</f>
        <v>Pakaian Wanita</v>
      </c>
      <c r="O336" t="str">
        <f>IFERROR(INDEX(Katalog!$B$3:$B$12,MATCH(cadangan3[[#This Row],[ItemID B]],Katalog!$C$3:$C$12,0)),"-")</f>
        <v>Blouse</v>
      </c>
      <c r="P336">
        <v>1</v>
      </c>
      <c r="Q336">
        <v>2</v>
      </c>
      <c r="R336" s="36">
        <f>IFERROR(INDEX(Katalog!$D$3:$D$12,MATCH(cadangan3[[#This Row],[ItemID B]],Katalog!$C$3:$C$12,0))*cadangan3[[#This Row],[Qty B]],0)</f>
        <v>150000</v>
      </c>
      <c r="S336" s="36">
        <f>IFERROR(INDEX(Katalog!$D$3:$D$12,MATCH(cadangan3[[#This Row],[Item B]],Katalog!$B$3:$B$12,0))*cadangan3[[#This Row],[Qty B]],0)</f>
        <v>150000</v>
      </c>
      <c r="T336" s="36">
        <f>IFERROR(cadangan3[[#This Row],[Harga Asli B]]-(cadangan3[[#This Row],[Harga Asli B]]*cadangan3[[#This Row],[Diskon]]),cadangan3[[#This Row],[Harga Asli B]])</f>
        <v>120000</v>
      </c>
      <c r="U336" s="36">
        <f>IFERROR(INDEX(Katalog!$F$3:$F$12,MATCH(cadangan3[[#This Row],[ItemID B]],Katalog!$C$3:$C$12,0))*cadangan3[[#This Row],[Qty B]],0)</f>
        <v>50000</v>
      </c>
      <c r="V336" s="36">
        <f>IFERROR(cadangan3[[#This Row],[Profit B]]-(cadangan3[[#This Row],[Profit B]]*cadangan3[[#This Row],[Diskon]]),U336)</f>
        <v>40000</v>
      </c>
      <c r="X336" t="str">
        <f>IFERROR(INDEX(Katalog!$A$3:$A$12,MATCH(cadangan3[[#This Row],[ItemID C]],Katalog!$C$3:$C$12,0)),"-")</f>
        <v>-</v>
      </c>
      <c r="Y336" t="str">
        <f>IFERROR(INDEX(Katalog!$B$3:$B$12,MATCH(cadangan3[[#This Row],[ItemID C]],Katalog!$C$3:$C$12,0)),"-")</f>
        <v>-</v>
      </c>
      <c r="AB336" s="36">
        <f>IFERROR(INDEX(Katalog!$D$3:$D$12,MATCH(cadangan3[[#This Row],[ItemID C]],Katalog!$C$3:$C$12,0))*cadangan3[[#This Row],[Qty C]],0)</f>
        <v>0</v>
      </c>
      <c r="AC336" s="36">
        <f>IFERROR(INDEX(Katalog!$D$3:$D$12,MATCH(cadangan3[[#This Row],[Item C]],Katalog!$B$3:$B$12,0))*cadangan3[[#This Row],[Qty C]],0)</f>
        <v>0</v>
      </c>
      <c r="AD336" s="36">
        <f>IFERROR(cadangan3[[#This Row],[Harga Asli C]]-(cadangan3[[#This Row],[Harga Asli C]]*cadangan3[[#This Row],[Diskon]]),cadangan3[[#This Row],[Harga Asli C]])</f>
        <v>0</v>
      </c>
      <c r="AE336" s="36">
        <f>IFERROR(INDEX(Katalog!$F$3:$F$12,MATCH(cadangan3[[#This Row],[ItemID C]],Katalog!$C$3:$C$12,0))*cadangan3[[#This Row],[Qty C]],0)</f>
        <v>0</v>
      </c>
      <c r="AF336" s="36">
        <f>IFERROR(cadangan3[[#This Row],[Profit C]]-(cadangan3[[#This Row],[Profit C]]*cadangan3[[#This Row],[Diskon]]),cadangan3[[#This Row],[Profit C]])</f>
        <v>0</v>
      </c>
      <c r="AG336" s="21">
        <f>cadangan3[[#This Row],[Qty A]]+cadangan3[[#This Row],[Qty B]]+cadangan3[[#This Row],[Qty C]]</f>
        <v>3</v>
      </c>
      <c r="AH336" s="35">
        <f>cadangan3[[#This Row],[Harga A + Diskon]]+cadangan3[[#This Row],[Harga + Diskon B]]+cadangan3[[#This Row],[Harga + Diskon C]]</f>
        <v>760000</v>
      </c>
      <c r="AI336" s="35">
        <f>(cadangan3[[#This Row],[Profit A]]+cadangan3[[#This Row],[Profit B]]+cadangan3[[#This Row],[Profit C]])</f>
        <v>350000</v>
      </c>
      <c r="AJ336" s="35">
        <f>cadangan3[[#This Row],[Provit A + Diskon]]+cadangan3[[#This Row],[Provit B + Diskon]]+cadangan3[[#This Row],[Provit C + Diskon]]</f>
        <v>280000</v>
      </c>
      <c r="AK336" s="23" t="s">
        <v>8</v>
      </c>
      <c r="AL336" s="37">
        <f>IFERROR(INDEX('Kode Diskon'!$D$3:$D$9,MATCH(cadangan3[[#This Row],[Kode diskon]],'Kode Diskon'!$C$3:$C$9,0)),"-")</f>
        <v>0.2</v>
      </c>
      <c r="AM336" s="23" t="s">
        <v>9</v>
      </c>
      <c r="AN336" s="23" t="s">
        <v>7</v>
      </c>
      <c r="AO336" s="23" t="s">
        <v>79</v>
      </c>
      <c r="AP336" s="24">
        <v>45043</v>
      </c>
      <c r="AQ336" s="23" t="str">
        <f>TEXT(cadangan3[[#This Row],[Tanggal terjual]],"dddd")</f>
        <v>Thursday</v>
      </c>
    </row>
    <row r="337" spans="1:43" x14ac:dyDescent="0.2">
      <c r="A337" s="20">
        <v>336</v>
      </c>
      <c r="B337" s="21" t="str">
        <f>_xlfn.CONCAT("ORD-",INDEX(Helper!$B$2:$B$5,MATCH(cadangan3[[#This Row],[Marketplace]],Helper!$A$2:$A$5,0)),TEXT(cadangan3[[#This Row],[No]],"0000"),"-",TEXT(cadangan3[[#This Row],[Tanggal terjual]],"dd/mm/yy"))</f>
        <v>ORD-BB0336-10/04/23</v>
      </c>
      <c r="C337" t="s">
        <v>66</v>
      </c>
      <c r="D337" t="str">
        <f>IFERROR(INDEX(Katalog!$A$3:$A$12,MATCH(cadangan3[[#This Row],[ItemID A]],Katalog!$C$3:$C$12,0)),"-")</f>
        <v>Sepatu Pria</v>
      </c>
      <c r="E337" t="str">
        <f>IFERROR(INDEX(Katalog!$B$3:$B$12,MATCH(cadangan3[[#This Row],[ItemID A]],Katalog!$C$3:$C$12,0)),"-")</f>
        <v>Sandal Slip On</v>
      </c>
      <c r="F337">
        <v>1</v>
      </c>
      <c r="G337">
        <v>4</v>
      </c>
      <c r="H337" s="36">
        <f>IFERROR(INDEX(Katalog!$D$3:$D$12,MATCH(cadangan3[[#This Row],[ItemID A]],Katalog!$C$3:$C$12,0))*cadangan3[[#This Row],[Qty A]],0)</f>
        <v>150000</v>
      </c>
      <c r="I337" s="36">
        <f>IFERROR(INDEX(Katalog!$D$3:$D$12,MATCH(cadangan3[[#This Row],[Item A]],Katalog!$B$3:$B$12,0))*cadangan3[[#This Row],[Qty A]],0)</f>
        <v>150000</v>
      </c>
      <c r="J337" s="36">
        <f>IFERROR(cadangan3[[#This Row],[Harga Asli A]]-(cadangan3[[#This Row],[Harga Asli A]]*cadangan3[[#This Row],[Diskon]]),cadangan3[[#This Row],[Harga Asli A]])</f>
        <v>150000</v>
      </c>
      <c r="K337" s="36">
        <f>INDEX(Katalog!$F$3:$F$12,MATCH(cadangan3[[#This Row],[ItemID A]],Katalog!$C$3:$C$12,0))*cadangan3[[#This Row],[Qty A]]</f>
        <v>60000</v>
      </c>
      <c r="L337" s="36">
        <f>IFERROR(cadangan3[[#This Row],[Profit A]]-(cadangan3[[#This Row],[Profit A]]*cadangan3[[#This Row],[Diskon]]),K337)</f>
        <v>60000</v>
      </c>
      <c r="M337" t="s">
        <v>63</v>
      </c>
      <c r="N337" t="str">
        <f>IFERROR(INDEX(Katalog!$A$3:$A$12,MATCH(cadangan3[[#This Row],[ItemID B]],Katalog!$C$3:$C$12,0)),"-")</f>
        <v>Pakaian Pria</v>
      </c>
      <c r="O337" t="str">
        <f>IFERROR(INDEX(Katalog!$B$3:$B$12,MATCH(cadangan3[[#This Row],[ItemID B]],Katalog!$C$3:$C$12,0)),"-")</f>
        <v>Jaket Jeans</v>
      </c>
      <c r="P337">
        <v>1</v>
      </c>
      <c r="Q337">
        <v>1</v>
      </c>
      <c r="R337" s="36">
        <f>IFERROR(INDEX(Katalog!$D$3:$D$12,MATCH(cadangan3[[#This Row],[ItemID B]],Katalog!$C$3:$C$12,0))*cadangan3[[#This Row],[Qty B]],0)</f>
        <v>400000</v>
      </c>
      <c r="S337" s="36">
        <f>IFERROR(INDEX(Katalog!$D$3:$D$12,MATCH(cadangan3[[#This Row],[Item B]],Katalog!$B$3:$B$12,0))*cadangan3[[#This Row],[Qty B]],0)</f>
        <v>400000</v>
      </c>
      <c r="T337" s="36">
        <f>IFERROR(cadangan3[[#This Row],[Harga Asli B]]-(cadangan3[[#This Row],[Harga Asli B]]*cadangan3[[#This Row],[Diskon]]),cadangan3[[#This Row],[Harga Asli B]])</f>
        <v>400000</v>
      </c>
      <c r="U337" s="36">
        <f>IFERROR(INDEX(Katalog!$F$3:$F$12,MATCH(cadangan3[[#This Row],[ItemID B]],Katalog!$C$3:$C$12,0))*cadangan3[[#This Row],[Qty B]],0)</f>
        <v>150000</v>
      </c>
      <c r="V337" s="36">
        <f>IFERROR(cadangan3[[#This Row],[Profit B]]-(cadangan3[[#This Row],[Profit B]]*cadangan3[[#This Row],[Diskon]]),U337)</f>
        <v>150000</v>
      </c>
      <c r="W337" t="s">
        <v>59</v>
      </c>
      <c r="X337" t="str">
        <f>IFERROR(INDEX(Katalog!$A$3:$A$12,MATCH(cadangan3[[#This Row],[ItemID C]],Katalog!$C$3:$C$12,0)),"-")</f>
        <v>Pakaian Wanita</v>
      </c>
      <c r="Y337" t="str">
        <f>IFERROR(INDEX(Katalog!$B$3:$B$12,MATCH(cadangan3[[#This Row],[ItemID C]],Katalog!$C$3:$C$12,0)),"-")</f>
        <v>Blouse</v>
      </c>
      <c r="Z337">
        <v>1</v>
      </c>
      <c r="AA337">
        <v>4</v>
      </c>
      <c r="AB337" s="36">
        <f>IFERROR(INDEX(Katalog!$D$3:$D$12,MATCH(cadangan3[[#This Row],[ItemID C]],Katalog!$C$3:$C$12,0))*cadangan3[[#This Row],[Qty C]],0)</f>
        <v>150000</v>
      </c>
      <c r="AC337" s="36">
        <f>IFERROR(INDEX(Katalog!$D$3:$D$12,MATCH(cadangan3[[#This Row],[Item C]],Katalog!$B$3:$B$12,0))*cadangan3[[#This Row],[Qty C]],0)</f>
        <v>150000</v>
      </c>
      <c r="AD337" s="36">
        <f>IFERROR(cadangan3[[#This Row],[Harga Asli C]]-(cadangan3[[#This Row],[Harga Asli C]]*cadangan3[[#This Row],[Diskon]]),cadangan3[[#This Row],[Harga Asli C]])</f>
        <v>150000</v>
      </c>
      <c r="AE337" s="36">
        <f>IFERROR(INDEX(Katalog!$F$3:$F$12,MATCH(cadangan3[[#This Row],[ItemID C]],Katalog!$C$3:$C$12,0))*cadangan3[[#This Row],[Qty C]],0)</f>
        <v>50000</v>
      </c>
      <c r="AF337" s="36">
        <f>IFERROR(cadangan3[[#This Row],[Profit C]]-(cadangan3[[#This Row],[Profit C]]*cadangan3[[#This Row],[Diskon]]),cadangan3[[#This Row],[Profit C]])</f>
        <v>50000</v>
      </c>
      <c r="AG337" s="21">
        <f>cadangan3[[#This Row],[Qty A]]+cadangan3[[#This Row],[Qty B]]+cadangan3[[#This Row],[Qty C]]</f>
        <v>3</v>
      </c>
      <c r="AH337" s="35">
        <f>cadangan3[[#This Row],[Harga A + Diskon]]+cadangan3[[#This Row],[Harga + Diskon B]]+cadangan3[[#This Row],[Harga + Diskon C]]</f>
        <v>700000</v>
      </c>
      <c r="AI337" s="35">
        <f>(cadangan3[[#This Row],[Profit A]]+cadangan3[[#This Row],[Profit B]]+cadangan3[[#This Row],[Profit C]])</f>
        <v>260000</v>
      </c>
      <c r="AJ337" s="35">
        <f>cadangan3[[#This Row],[Provit A + Diskon]]+cadangan3[[#This Row],[Provit B + Diskon]]+cadangan3[[#This Row],[Provit C + Diskon]]</f>
        <v>260000</v>
      </c>
      <c r="AK337" s="23" t="s">
        <v>11</v>
      </c>
      <c r="AL337" s="37" t="str">
        <f>IFERROR(INDEX('Kode Diskon'!$D$3:$D$9,MATCH(cadangan3[[#This Row],[Kode diskon]],'Kode Diskon'!$C$3:$C$9,0)),"-")</f>
        <v>-</v>
      </c>
      <c r="AM337" s="23" t="s">
        <v>11</v>
      </c>
      <c r="AN337" s="23" t="s">
        <v>14</v>
      </c>
      <c r="AO337" s="23" t="s">
        <v>76</v>
      </c>
      <c r="AP337" s="24">
        <v>45026</v>
      </c>
      <c r="AQ337" s="23" t="str">
        <f>TEXT(cadangan3[[#This Row],[Tanggal terjual]],"dddd")</f>
        <v>Monday</v>
      </c>
    </row>
    <row r="338" spans="1:43" x14ac:dyDescent="0.2">
      <c r="A338" s="20">
        <v>337</v>
      </c>
      <c r="B338" s="21" t="str">
        <f>_xlfn.CONCAT("ORD-",INDEX(Helper!$B$2:$B$5,MATCH(cadangan3[[#This Row],[Marketplace]],Helper!$A$2:$A$5,0)),TEXT(cadangan3[[#This Row],[No]],"0000"),"-",TEXT(cadangan3[[#This Row],[Tanggal terjual]],"dd/mm/yy"))</f>
        <v>ORD-SP0337-01/04/23</v>
      </c>
      <c r="C338" t="s">
        <v>59</v>
      </c>
      <c r="D338" t="str">
        <f>IFERROR(INDEX(Katalog!$A$3:$A$12,MATCH(cadangan3[[#This Row],[ItemID A]],Katalog!$C$3:$C$12,0)),"-")</f>
        <v>Pakaian Wanita</v>
      </c>
      <c r="E338" t="str">
        <f>IFERROR(INDEX(Katalog!$B$3:$B$12,MATCH(cadangan3[[#This Row],[ItemID A]],Katalog!$C$3:$C$12,0)),"-")</f>
        <v>Blouse</v>
      </c>
      <c r="F338">
        <v>1</v>
      </c>
      <c r="G338">
        <v>3</v>
      </c>
      <c r="H338" s="36">
        <f>IFERROR(INDEX(Katalog!$D$3:$D$12,MATCH(cadangan3[[#This Row],[ItemID A]],Katalog!$C$3:$C$12,0))*cadangan3[[#This Row],[Qty A]],0)</f>
        <v>150000</v>
      </c>
      <c r="I338" s="36">
        <f>IFERROR(INDEX(Katalog!$D$3:$D$12,MATCH(cadangan3[[#This Row],[Item A]],Katalog!$B$3:$B$12,0))*cadangan3[[#This Row],[Qty A]],0)</f>
        <v>150000</v>
      </c>
      <c r="J338" s="36">
        <f>IFERROR(cadangan3[[#This Row],[Harga Asli A]]-(cadangan3[[#This Row],[Harga Asli A]]*cadangan3[[#This Row],[Diskon]]),cadangan3[[#This Row],[Harga Asli A]])</f>
        <v>135000</v>
      </c>
      <c r="K338" s="36">
        <f>INDEX(Katalog!$F$3:$F$12,MATCH(cadangan3[[#This Row],[ItemID A]],Katalog!$C$3:$C$12,0))*cadangan3[[#This Row],[Qty A]]</f>
        <v>50000</v>
      </c>
      <c r="L338" s="36">
        <f>IFERROR(cadangan3[[#This Row],[Profit A]]-(cadangan3[[#This Row],[Profit A]]*cadangan3[[#This Row],[Diskon]]),K338)</f>
        <v>45000</v>
      </c>
      <c r="N338" t="str">
        <f>IFERROR(INDEX(Katalog!$A$3:$A$12,MATCH(cadangan3[[#This Row],[ItemID B]],Katalog!$C$3:$C$12,0)),"-")</f>
        <v>-</v>
      </c>
      <c r="O338" t="str">
        <f>IFERROR(INDEX(Katalog!$B$3:$B$12,MATCH(cadangan3[[#This Row],[ItemID B]],Katalog!$C$3:$C$12,0)),"-")</f>
        <v>-</v>
      </c>
      <c r="R338" s="36">
        <f>IFERROR(INDEX(Katalog!$D$3:$D$12,MATCH(cadangan3[[#This Row],[ItemID B]],Katalog!$C$3:$C$12,0))*cadangan3[[#This Row],[Qty B]],0)</f>
        <v>0</v>
      </c>
      <c r="S338" s="36">
        <f>IFERROR(INDEX(Katalog!$D$3:$D$12,MATCH(cadangan3[[#This Row],[Item B]],Katalog!$B$3:$B$12,0))*cadangan3[[#This Row],[Qty B]],0)</f>
        <v>0</v>
      </c>
      <c r="T338" s="36">
        <f>IFERROR(cadangan3[[#This Row],[Harga Asli B]]-(cadangan3[[#This Row],[Harga Asli B]]*cadangan3[[#This Row],[Diskon]]),cadangan3[[#This Row],[Harga Asli B]])</f>
        <v>0</v>
      </c>
      <c r="U338" s="36">
        <f>IFERROR(INDEX(Katalog!$F$3:$F$12,MATCH(cadangan3[[#This Row],[ItemID B]],Katalog!$C$3:$C$12,0))*cadangan3[[#This Row],[Qty B]],0)</f>
        <v>0</v>
      </c>
      <c r="V338" s="36">
        <f>IFERROR(cadangan3[[#This Row],[Profit B]]-(cadangan3[[#This Row],[Profit B]]*cadangan3[[#This Row],[Diskon]]),U338)</f>
        <v>0</v>
      </c>
      <c r="X338" t="str">
        <f>IFERROR(INDEX(Katalog!$A$3:$A$12,MATCH(cadangan3[[#This Row],[ItemID C]],Katalog!$C$3:$C$12,0)),"-")</f>
        <v>-</v>
      </c>
      <c r="Y338" t="str">
        <f>IFERROR(INDEX(Katalog!$B$3:$B$12,MATCH(cadangan3[[#This Row],[ItemID C]],Katalog!$C$3:$C$12,0)),"-")</f>
        <v>-</v>
      </c>
      <c r="AB338" s="36">
        <f>IFERROR(INDEX(Katalog!$D$3:$D$12,MATCH(cadangan3[[#This Row],[ItemID C]],Katalog!$C$3:$C$12,0))*cadangan3[[#This Row],[Qty C]],0)</f>
        <v>0</v>
      </c>
      <c r="AC338" s="36">
        <f>IFERROR(INDEX(Katalog!$D$3:$D$12,MATCH(cadangan3[[#This Row],[Item C]],Katalog!$B$3:$B$12,0))*cadangan3[[#This Row],[Qty C]],0)</f>
        <v>0</v>
      </c>
      <c r="AD338" s="36">
        <f>IFERROR(cadangan3[[#This Row],[Harga Asli C]]-(cadangan3[[#This Row],[Harga Asli C]]*cadangan3[[#This Row],[Diskon]]),cadangan3[[#This Row],[Harga Asli C]])</f>
        <v>0</v>
      </c>
      <c r="AE338" s="36">
        <f>IFERROR(INDEX(Katalog!$F$3:$F$12,MATCH(cadangan3[[#This Row],[ItemID C]],Katalog!$C$3:$C$12,0))*cadangan3[[#This Row],[Qty C]],0)</f>
        <v>0</v>
      </c>
      <c r="AF338" s="36">
        <f>IFERROR(cadangan3[[#This Row],[Profit C]]-(cadangan3[[#This Row],[Profit C]]*cadangan3[[#This Row],[Diskon]]),cadangan3[[#This Row],[Profit C]])</f>
        <v>0</v>
      </c>
      <c r="AG338" s="21">
        <f>cadangan3[[#This Row],[Qty A]]+cadangan3[[#This Row],[Qty B]]+cadangan3[[#This Row],[Qty C]]</f>
        <v>1</v>
      </c>
      <c r="AH338" s="35">
        <f>cadangan3[[#This Row],[Harga A + Diskon]]+cadangan3[[#This Row],[Harga + Diskon B]]+cadangan3[[#This Row],[Harga + Diskon C]]</f>
        <v>135000</v>
      </c>
      <c r="AI338" s="35">
        <f>(cadangan3[[#This Row],[Profit A]]+cadangan3[[#This Row],[Profit B]]+cadangan3[[#This Row],[Profit C]])</f>
        <v>50000</v>
      </c>
      <c r="AJ338" s="35">
        <f>cadangan3[[#This Row],[Provit A + Diskon]]+cadangan3[[#This Row],[Provit B + Diskon]]+cadangan3[[#This Row],[Provit C + Diskon]]</f>
        <v>45000</v>
      </c>
      <c r="AK338" s="23" t="s">
        <v>6</v>
      </c>
      <c r="AL338" s="37">
        <f>IFERROR(INDEX('Kode Diskon'!$D$3:$D$9,MATCH(cadangan3[[#This Row],[Kode diskon]],'Kode Diskon'!$C$3:$C$9,0)),"-")</f>
        <v>0.1</v>
      </c>
      <c r="AM338" s="23" t="s">
        <v>29</v>
      </c>
      <c r="AN338" s="23" t="s">
        <v>7</v>
      </c>
      <c r="AO338" s="23" t="s">
        <v>77</v>
      </c>
      <c r="AP338" s="24">
        <v>45017</v>
      </c>
      <c r="AQ338" s="23" t="str">
        <f>TEXT(cadangan3[[#This Row],[Tanggal terjual]],"dddd")</f>
        <v>Saturday</v>
      </c>
    </row>
    <row r="339" spans="1:43" x14ac:dyDescent="0.2">
      <c r="A339" s="20">
        <v>338</v>
      </c>
      <c r="B339" s="21" t="str">
        <f>_xlfn.CONCAT("ORD-",INDEX(Helper!$B$2:$B$5,MATCH(cadangan3[[#This Row],[Marketplace]],Helper!$A$2:$A$5,0)),TEXT(cadangan3[[#This Row],[No]],"0000"),"-",TEXT(cadangan3[[#This Row],[Tanggal terjual]],"dd/mm/yy"))</f>
        <v>ORD-TK0338-29/04/23</v>
      </c>
      <c r="C339" t="s">
        <v>67</v>
      </c>
      <c r="D339" t="str">
        <f>IFERROR(INDEX(Katalog!$A$3:$A$12,MATCH(cadangan3[[#This Row],[ItemID A]],Katalog!$C$3:$C$12,0)),"-")</f>
        <v>Sepatu Wanita</v>
      </c>
      <c r="E339" t="str">
        <f>IFERROR(INDEX(Katalog!$B$3:$B$12,MATCH(cadangan3[[#This Row],[ItemID A]],Katalog!$C$3:$C$12,0)),"-")</f>
        <v>Flat Shoes</v>
      </c>
      <c r="F339">
        <v>1</v>
      </c>
      <c r="G339">
        <v>3</v>
      </c>
      <c r="H339" s="36">
        <f>IFERROR(INDEX(Katalog!$D$3:$D$12,MATCH(cadangan3[[#This Row],[ItemID A]],Katalog!$C$3:$C$12,0))*cadangan3[[#This Row],[Qty A]],0)</f>
        <v>250000</v>
      </c>
      <c r="I339" s="36">
        <f>IFERROR(INDEX(Katalog!$D$3:$D$12,MATCH(cadangan3[[#This Row],[Item A]],Katalog!$B$3:$B$12,0))*cadangan3[[#This Row],[Qty A]],0)</f>
        <v>250000</v>
      </c>
      <c r="J339" s="36">
        <f>IFERROR(cadangan3[[#This Row],[Harga Asli A]]-(cadangan3[[#This Row],[Harga Asli A]]*cadangan3[[#This Row],[Diskon]]),cadangan3[[#This Row],[Harga Asli A]])</f>
        <v>225000</v>
      </c>
      <c r="K339" s="36">
        <f>INDEX(Katalog!$F$3:$F$12,MATCH(cadangan3[[#This Row],[ItemID A]],Katalog!$C$3:$C$12,0))*cadangan3[[#This Row],[Qty A]]</f>
        <v>100000</v>
      </c>
      <c r="L339" s="36">
        <f>IFERROR(cadangan3[[#This Row],[Profit A]]-(cadangan3[[#This Row],[Profit A]]*cadangan3[[#This Row],[Diskon]]),K339)</f>
        <v>90000</v>
      </c>
      <c r="N339" t="str">
        <f>IFERROR(INDEX(Katalog!$A$3:$A$12,MATCH(cadangan3[[#This Row],[ItemID B]],Katalog!$C$3:$C$12,0)),"-")</f>
        <v>-</v>
      </c>
      <c r="O339" t="str">
        <f>IFERROR(INDEX(Katalog!$B$3:$B$12,MATCH(cadangan3[[#This Row],[ItemID B]],Katalog!$C$3:$C$12,0)),"-")</f>
        <v>-</v>
      </c>
      <c r="R339" s="36">
        <f>IFERROR(INDEX(Katalog!$D$3:$D$12,MATCH(cadangan3[[#This Row],[ItemID B]],Katalog!$C$3:$C$12,0))*cadangan3[[#This Row],[Qty B]],0)</f>
        <v>0</v>
      </c>
      <c r="S339" s="36">
        <f>IFERROR(INDEX(Katalog!$D$3:$D$12,MATCH(cadangan3[[#This Row],[Item B]],Katalog!$B$3:$B$12,0))*cadangan3[[#This Row],[Qty B]],0)</f>
        <v>0</v>
      </c>
      <c r="T339" s="36">
        <f>IFERROR(cadangan3[[#This Row],[Harga Asli B]]-(cadangan3[[#This Row],[Harga Asli B]]*cadangan3[[#This Row],[Diskon]]),cadangan3[[#This Row],[Harga Asli B]])</f>
        <v>0</v>
      </c>
      <c r="U339" s="36">
        <f>IFERROR(INDEX(Katalog!$F$3:$F$12,MATCH(cadangan3[[#This Row],[ItemID B]],Katalog!$C$3:$C$12,0))*cadangan3[[#This Row],[Qty B]],0)</f>
        <v>0</v>
      </c>
      <c r="V339" s="36">
        <f>IFERROR(cadangan3[[#This Row],[Profit B]]-(cadangan3[[#This Row],[Profit B]]*cadangan3[[#This Row],[Diskon]]),U339)</f>
        <v>0</v>
      </c>
      <c r="X339" t="str">
        <f>IFERROR(INDEX(Katalog!$A$3:$A$12,MATCH(cadangan3[[#This Row],[ItemID C]],Katalog!$C$3:$C$12,0)),"-")</f>
        <v>-</v>
      </c>
      <c r="Y339" t="str">
        <f>IFERROR(INDEX(Katalog!$B$3:$B$12,MATCH(cadangan3[[#This Row],[ItemID C]],Katalog!$C$3:$C$12,0)),"-")</f>
        <v>-</v>
      </c>
      <c r="AB339" s="36">
        <f>IFERROR(INDEX(Katalog!$D$3:$D$12,MATCH(cadangan3[[#This Row],[ItemID C]],Katalog!$C$3:$C$12,0))*cadangan3[[#This Row],[Qty C]],0)</f>
        <v>0</v>
      </c>
      <c r="AC339" s="36">
        <f>IFERROR(INDEX(Katalog!$D$3:$D$12,MATCH(cadangan3[[#This Row],[Item C]],Katalog!$B$3:$B$12,0))*cadangan3[[#This Row],[Qty C]],0)</f>
        <v>0</v>
      </c>
      <c r="AD339" s="36">
        <f>IFERROR(cadangan3[[#This Row],[Harga Asli C]]-(cadangan3[[#This Row],[Harga Asli C]]*cadangan3[[#This Row],[Diskon]]),cadangan3[[#This Row],[Harga Asli C]])</f>
        <v>0</v>
      </c>
      <c r="AE339" s="36">
        <f>IFERROR(INDEX(Katalog!$F$3:$F$12,MATCH(cadangan3[[#This Row],[ItemID C]],Katalog!$C$3:$C$12,0))*cadangan3[[#This Row],[Qty C]],0)</f>
        <v>0</v>
      </c>
      <c r="AF339" s="36">
        <f>IFERROR(cadangan3[[#This Row],[Profit C]]-(cadangan3[[#This Row],[Profit C]]*cadangan3[[#This Row],[Diskon]]),cadangan3[[#This Row],[Profit C]])</f>
        <v>0</v>
      </c>
      <c r="AG339" s="21">
        <f>cadangan3[[#This Row],[Qty A]]+cadangan3[[#This Row],[Qty B]]+cadangan3[[#This Row],[Qty C]]</f>
        <v>1</v>
      </c>
      <c r="AH339" s="35">
        <f>cadangan3[[#This Row],[Harga A + Diskon]]+cadangan3[[#This Row],[Harga + Diskon B]]+cadangan3[[#This Row],[Harga + Diskon C]]</f>
        <v>225000</v>
      </c>
      <c r="AI339" s="35">
        <f>(cadangan3[[#This Row],[Profit A]]+cadangan3[[#This Row],[Profit B]]+cadangan3[[#This Row],[Profit C]])</f>
        <v>100000</v>
      </c>
      <c r="AJ339" s="35">
        <f>cadangan3[[#This Row],[Provit A + Diskon]]+cadangan3[[#This Row],[Provit B + Diskon]]+cadangan3[[#This Row],[Provit C + Diskon]]</f>
        <v>90000</v>
      </c>
      <c r="AK339" s="23" t="s">
        <v>31</v>
      </c>
      <c r="AL339" s="37">
        <f>IFERROR(INDEX('Kode Diskon'!$D$3:$D$9,MATCH(cadangan3[[#This Row],[Kode diskon]],'Kode Diskon'!$C$3:$C$9,0)),"-")</f>
        <v>0.1</v>
      </c>
      <c r="AM339" s="23" t="s">
        <v>9</v>
      </c>
      <c r="AN339" s="23" t="s">
        <v>10</v>
      </c>
      <c r="AO339" s="23" t="s">
        <v>79</v>
      </c>
      <c r="AP339" s="24">
        <v>45045</v>
      </c>
      <c r="AQ339" s="23" t="str">
        <f>TEXT(cadangan3[[#This Row],[Tanggal terjual]],"dddd")</f>
        <v>Saturday</v>
      </c>
    </row>
    <row r="340" spans="1:43" x14ac:dyDescent="0.2">
      <c r="A340" s="20">
        <v>339</v>
      </c>
      <c r="B340" s="21" t="str">
        <f>_xlfn.CONCAT("ORD-",INDEX(Helper!$B$2:$B$5,MATCH(cadangan3[[#This Row],[Marketplace]],Helper!$A$2:$A$5,0)),TEXT(cadangan3[[#This Row],[No]],"0000"),"-",TEXT(cadangan3[[#This Row],[Tanggal terjual]],"dd/mm/yy"))</f>
        <v>ORD-SP0339-06/04/23</v>
      </c>
      <c r="C340" t="s">
        <v>62</v>
      </c>
      <c r="D340" t="str">
        <f>IFERROR(INDEX(Katalog!$A$3:$A$12,MATCH(cadangan3[[#This Row],[ItemID A]],Katalog!$C$3:$C$12,0)),"-")</f>
        <v>Pakaian Pria</v>
      </c>
      <c r="E340" t="str">
        <f>IFERROR(INDEX(Katalog!$B$3:$B$12,MATCH(cadangan3[[#This Row],[ItemID A]],Katalog!$C$3:$C$12,0)),"-")</f>
        <v>Celana Pendek</v>
      </c>
      <c r="F340">
        <v>2</v>
      </c>
      <c r="G340">
        <v>5</v>
      </c>
      <c r="H340" s="36">
        <f>IFERROR(INDEX(Katalog!$D$3:$D$12,MATCH(cadangan3[[#This Row],[ItemID A]],Katalog!$C$3:$C$12,0))*cadangan3[[#This Row],[Qty A]],0)</f>
        <v>360000</v>
      </c>
      <c r="I340" s="36">
        <f>IFERROR(INDEX(Katalog!$D$3:$D$12,MATCH(cadangan3[[#This Row],[Item A]],Katalog!$B$3:$B$12,0))*cadangan3[[#This Row],[Qty A]],0)</f>
        <v>360000</v>
      </c>
      <c r="J340" s="36">
        <f>IFERROR(cadangan3[[#This Row],[Harga Asli A]]-(cadangan3[[#This Row],[Harga Asli A]]*cadangan3[[#This Row],[Diskon]]),cadangan3[[#This Row],[Harga Asli A]])</f>
        <v>324000</v>
      </c>
      <c r="K340" s="36">
        <f>INDEX(Katalog!$F$3:$F$12,MATCH(cadangan3[[#This Row],[ItemID A]],Katalog!$C$3:$C$12,0))*cadangan3[[#This Row],[Qty A]]</f>
        <v>140000</v>
      </c>
      <c r="L340" s="36">
        <f>IFERROR(cadangan3[[#This Row],[Profit A]]-(cadangan3[[#This Row],[Profit A]]*cadangan3[[#This Row],[Diskon]]),K340)</f>
        <v>126000</v>
      </c>
      <c r="N340" t="str">
        <f>IFERROR(INDEX(Katalog!$A$3:$A$12,MATCH(cadangan3[[#This Row],[ItemID B]],Katalog!$C$3:$C$12,0)),"-")</f>
        <v>-</v>
      </c>
      <c r="O340" t="str">
        <f>IFERROR(INDEX(Katalog!$B$3:$B$12,MATCH(cadangan3[[#This Row],[ItemID B]],Katalog!$C$3:$C$12,0)),"-")</f>
        <v>-</v>
      </c>
      <c r="R340" s="36">
        <f>IFERROR(INDEX(Katalog!$D$3:$D$12,MATCH(cadangan3[[#This Row],[ItemID B]],Katalog!$C$3:$C$12,0))*cadangan3[[#This Row],[Qty B]],0)</f>
        <v>0</v>
      </c>
      <c r="S340" s="36">
        <f>IFERROR(INDEX(Katalog!$D$3:$D$12,MATCH(cadangan3[[#This Row],[Item B]],Katalog!$B$3:$B$12,0))*cadangan3[[#This Row],[Qty B]],0)</f>
        <v>0</v>
      </c>
      <c r="T340" s="36">
        <f>IFERROR(cadangan3[[#This Row],[Harga Asli B]]-(cadangan3[[#This Row],[Harga Asli B]]*cadangan3[[#This Row],[Diskon]]),cadangan3[[#This Row],[Harga Asli B]])</f>
        <v>0</v>
      </c>
      <c r="U340" s="36">
        <f>IFERROR(INDEX(Katalog!$F$3:$F$12,MATCH(cadangan3[[#This Row],[ItemID B]],Katalog!$C$3:$C$12,0))*cadangan3[[#This Row],[Qty B]],0)</f>
        <v>0</v>
      </c>
      <c r="V340" s="36">
        <f>IFERROR(cadangan3[[#This Row],[Profit B]]-(cadangan3[[#This Row],[Profit B]]*cadangan3[[#This Row],[Diskon]]),U340)</f>
        <v>0</v>
      </c>
      <c r="X340" t="str">
        <f>IFERROR(INDEX(Katalog!$A$3:$A$12,MATCH(cadangan3[[#This Row],[ItemID C]],Katalog!$C$3:$C$12,0)),"-")</f>
        <v>-</v>
      </c>
      <c r="Y340" t="str">
        <f>IFERROR(INDEX(Katalog!$B$3:$B$12,MATCH(cadangan3[[#This Row],[ItemID C]],Katalog!$C$3:$C$12,0)),"-")</f>
        <v>-</v>
      </c>
      <c r="AB340" s="36">
        <f>IFERROR(INDEX(Katalog!$D$3:$D$12,MATCH(cadangan3[[#This Row],[ItemID C]],Katalog!$C$3:$C$12,0))*cadangan3[[#This Row],[Qty C]],0)</f>
        <v>0</v>
      </c>
      <c r="AC340" s="36">
        <f>IFERROR(INDEX(Katalog!$D$3:$D$12,MATCH(cadangan3[[#This Row],[Item C]],Katalog!$B$3:$B$12,0))*cadangan3[[#This Row],[Qty C]],0)</f>
        <v>0</v>
      </c>
      <c r="AD340" s="36">
        <f>IFERROR(cadangan3[[#This Row],[Harga Asli C]]-(cadangan3[[#This Row],[Harga Asli C]]*cadangan3[[#This Row],[Diskon]]),cadangan3[[#This Row],[Harga Asli C]])</f>
        <v>0</v>
      </c>
      <c r="AE340" s="36">
        <f>IFERROR(INDEX(Katalog!$F$3:$F$12,MATCH(cadangan3[[#This Row],[ItemID C]],Katalog!$C$3:$C$12,0))*cadangan3[[#This Row],[Qty C]],0)</f>
        <v>0</v>
      </c>
      <c r="AF340" s="36">
        <f>IFERROR(cadangan3[[#This Row],[Profit C]]-(cadangan3[[#This Row],[Profit C]]*cadangan3[[#This Row],[Diskon]]),cadangan3[[#This Row],[Profit C]])</f>
        <v>0</v>
      </c>
      <c r="AG340" s="21">
        <f>cadangan3[[#This Row],[Qty A]]+cadangan3[[#This Row],[Qty B]]+cadangan3[[#This Row],[Qty C]]</f>
        <v>2</v>
      </c>
      <c r="AH340" s="35">
        <f>cadangan3[[#This Row],[Harga A + Diskon]]+cadangan3[[#This Row],[Harga + Diskon B]]+cadangan3[[#This Row],[Harga + Diskon C]]</f>
        <v>324000</v>
      </c>
      <c r="AI340" s="35">
        <f>(cadangan3[[#This Row],[Profit A]]+cadangan3[[#This Row],[Profit B]]+cadangan3[[#This Row],[Profit C]])</f>
        <v>140000</v>
      </c>
      <c r="AJ340" s="35">
        <f>cadangan3[[#This Row],[Provit A + Diskon]]+cadangan3[[#This Row],[Provit B + Diskon]]+cadangan3[[#This Row],[Provit C + Diskon]]</f>
        <v>126000</v>
      </c>
      <c r="AK340" s="23" t="s">
        <v>6</v>
      </c>
      <c r="AL340" s="37">
        <f>IFERROR(INDEX('Kode Diskon'!$D$3:$D$9,MATCH(cadangan3[[#This Row],[Kode diskon]],'Kode Diskon'!$C$3:$C$9,0)),"-")</f>
        <v>0.1</v>
      </c>
      <c r="AM340" s="23" t="s">
        <v>29</v>
      </c>
      <c r="AN340" s="23" t="s">
        <v>7</v>
      </c>
      <c r="AO340" s="23" t="s">
        <v>76</v>
      </c>
      <c r="AP340" s="24">
        <v>45022</v>
      </c>
      <c r="AQ340" s="23" t="str">
        <f>TEXT(cadangan3[[#This Row],[Tanggal terjual]],"dddd")</f>
        <v>Thursday</v>
      </c>
    </row>
    <row r="341" spans="1:43" x14ac:dyDescent="0.2">
      <c r="A341" s="20">
        <v>340</v>
      </c>
      <c r="B341" s="21" t="str">
        <f>_xlfn.CONCAT("ORD-",INDEX(Helper!$B$2:$B$5,MATCH(cadangan3[[#This Row],[Marketplace]],Helper!$A$2:$A$5,0)),TEXT(cadangan3[[#This Row],[No]],"0000"),"-",TEXT(cadangan3[[#This Row],[Tanggal terjual]],"dd/mm/yy"))</f>
        <v>ORD-SP0340-01/04/23</v>
      </c>
      <c r="C341" t="s">
        <v>67</v>
      </c>
      <c r="D341" t="str">
        <f>IFERROR(INDEX(Katalog!$A$3:$A$12,MATCH(cadangan3[[#This Row],[ItemID A]],Katalog!$C$3:$C$12,0)),"-")</f>
        <v>Sepatu Wanita</v>
      </c>
      <c r="E341" t="str">
        <f>IFERROR(INDEX(Katalog!$B$3:$B$12,MATCH(cadangan3[[#This Row],[ItemID A]],Katalog!$C$3:$C$12,0)),"-")</f>
        <v>Flat Shoes</v>
      </c>
      <c r="F341">
        <v>1</v>
      </c>
      <c r="G341">
        <v>5</v>
      </c>
      <c r="H341" s="36">
        <f>IFERROR(INDEX(Katalog!$D$3:$D$12,MATCH(cadangan3[[#This Row],[ItemID A]],Katalog!$C$3:$C$12,0))*cadangan3[[#This Row],[Qty A]],0)</f>
        <v>250000</v>
      </c>
      <c r="I341" s="36">
        <f>IFERROR(INDEX(Katalog!$D$3:$D$12,MATCH(cadangan3[[#This Row],[Item A]],Katalog!$B$3:$B$12,0))*cadangan3[[#This Row],[Qty A]],0)</f>
        <v>250000</v>
      </c>
      <c r="J341" s="36">
        <f>IFERROR(cadangan3[[#This Row],[Harga Asli A]]-(cadangan3[[#This Row],[Harga Asli A]]*cadangan3[[#This Row],[Diskon]]),cadangan3[[#This Row],[Harga Asli A]])</f>
        <v>225000</v>
      </c>
      <c r="K341" s="36">
        <f>INDEX(Katalog!$F$3:$F$12,MATCH(cadangan3[[#This Row],[ItemID A]],Katalog!$C$3:$C$12,0))*cadangan3[[#This Row],[Qty A]]</f>
        <v>100000</v>
      </c>
      <c r="L341" s="36">
        <f>IFERROR(cadangan3[[#This Row],[Profit A]]-(cadangan3[[#This Row],[Profit A]]*cadangan3[[#This Row],[Diskon]]),K341)</f>
        <v>90000</v>
      </c>
      <c r="M341" t="s">
        <v>61</v>
      </c>
      <c r="N341" t="str">
        <f>IFERROR(INDEX(Katalog!$A$3:$A$12,MATCH(cadangan3[[#This Row],[ItemID B]],Katalog!$C$3:$C$12,0)),"-")</f>
        <v>Pakaian Pria</v>
      </c>
      <c r="O341" t="str">
        <f>IFERROR(INDEX(Katalog!$B$3:$B$12,MATCH(cadangan3[[#This Row],[ItemID B]],Katalog!$C$3:$C$12,0)),"-")</f>
        <v>Kaos Polo</v>
      </c>
      <c r="P341">
        <v>1</v>
      </c>
      <c r="Q341">
        <v>1</v>
      </c>
      <c r="R341" s="36">
        <f>IFERROR(INDEX(Katalog!$D$3:$D$12,MATCH(cadangan3[[#This Row],[ItemID B]],Katalog!$C$3:$C$12,0))*cadangan3[[#This Row],[Qty B]],0)</f>
        <v>200000</v>
      </c>
      <c r="S341" s="36">
        <f>IFERROR(INDEX(Katalog!$D$3:$D$12,MATCH(cadangan3[[#This Row],[Item B]],Katalog!$B$3:$B$12,0))*cadangan3[[#This Row],[Qty B]],0)</f>
        <v>200000</v>
      </c>
      <c r="T341" s="36">
        <f>IFERROR(cadangan3[[#This Row],[Harga Asli B]]-(cadangan3[[#This Row],[Harga Asli B]]*cadangan3[[#This Row],[Diskon]]),cadangan3[[#This Row],[Harga Asli B]])</f>
        <v>180000</v>
      </c>
      <c r="U341" s="36">
        <f>IFERROR(INDEX(Katalog!$F$3:$F$12,MATCH(cadangan3[[#This Row],[ItemID B]],Katalog!$C$3:$C$12,0))*cadangan3[[#This Row],[Qty B]],0)</f>
        <v>80000</v>
      </c>
      <c r="V341" s="36">
        <f>IFERROR(cadangan3[[#This Row],[Profit B]]-(cadangan3[[#This Row],[Profit B]]*cadangan3[[#This Row],[Diskon]]),U341)</f>
        <v>72000</v>
      </c>
      <c r="X341" t="str">
        <f>IFERROR(INDEX(Katalog!$A$3:$A$12,MATCH(cadangan3[[#This Row],[ItemID C]],Katalog!$C$3:$C$12,0)),"-")</f>
        <v>-</v>
      </c>
      <c r="Y341" t="str">
        <f>IFERROR(INDEX(Katalog!$B$3:$B$12,MATCH(cadangan3[[#This Row],[ItemID C]],Katalog!$C$3:$C$12,0)),"-")</f>
        <v>-</v>
      </c>
      <c r="AB341" s="36">
        <f>IFERROR(INDEX(Katalog!$D$3:$D$12,MATCH(cadangan3[[#This Row],[ItemID C]],Katalog!$C$3:$C$12,0))*cadangan3[[#This Row],[Qty C]],0)</f>
        <v>0</v>
      </c>
      <c r="AC341" s="36">
        <f>IFERROR(INDEX(Katalog!$D$3:$D$12,MATCH(cadangan3[[#This Row],[Item C]],Katalog!$B$3:$B$12,0))*cadangan3[[#This Row],[Qty C]],0)</f>
        <v>0</v>
      </c>
      <c r="AD341" s="36">
        <f>IFERROR(cadangan3[[#This Row],[Harga Asli C]]-(cadangan3[[#This Row],[Harga Asli C]]*cadangan3[[#This Row],[Diskon]]),cadangan3[[#This Row],[Harga Asli C]])</f>
        <v>0</v>
      </c>
      <c r="AE341" s="36">
        <f>IFERROR(INDEX(Katalog!$F$3:$F$12,MATCH(cadangan3[[#This Row],[ItemID C]],Katalog!$C$3:$C$12,0))*cadangan3[[#This Row],[Qty C]],0)</f>
        <v>0</v>
      </c>
      <c r="AF341" s="36">
        <f>IFERROR(cadangan3[[#This Row],[Profit C]]-(cadangan3[[#This Row],[Profit C]]*cadangan3[[#This Row],[Diskon]]),cadangan3[[#This Row],[Profit C]])</f>
        <v>0</v>
      </c>
      <c r="AG341" s="21">
        <f>cadangan3[[#This Row],[Qty A]]+cadangan3[[#This Row],[Qty B]]+cadangan3[[#This Row],[Qty C]]</f>
        <v>2</v>
      </c>
      <c r="AH341" s="35">
        <f>cadangan3[[#This Row],[Harga A + Diskon]]+cadangan3[[#This Row],[Harga + Diskon B]]+cadangan3[[#This Row],[Harga + Diskon C]]</f>
        <v>405000</v>
      </c>
      <c r="AI341" s="35">
        <f>(cadangan3[[#This Row],[Profit A]]+cadangan3[[#This Row],[Profit B]]+cadangan3[[#This Row],[Profit C]])</f>
        <v>180000</v>
      </c>
      <c r="AJ341" s="35">
        <f>cadangan3[[#This Row],[Provit A + Diskon]]+cadangan3[[#This Row],[Provit B + Diskon]]+cadangan3[[#This Row],[Provit C + Diskon]]</f>
        <v>162000</v>
      </c>
      <c r="AK341" s="23" t="s">
        <v>6</v>
      </c>
      <c r="AL341" s="37">
        <f>IFERROR(INDEX('Kode Diskon'!$D$3:$D$9,MATCH(cadangan3[[#This Row],[Kode diskon]],'Kode Diskon'!$C$3:$C$9,0)),"-")</f>
        <v>0.1</v>
      </c>
      <c r="AM341" s="23" t="s">
        <v>29</v>
      </c>
      <c r="AN341" s="23" t="s">
        <v>7</v>
      </c>
      <c r="AO341" s="23" t="s">
        <v>80</v>
      </c>
      <c r="AP341" s="24">
        <v>45017</v>
      </c>
      <c r="AQ341" s="23" t="str">
        <f>TEXT(cadangan3[[#This Row],[Tanggal terjual]],"dddd")</f>
        <v>Saturday</v>
      </c>
    </row>
    <row r="342" spans="1:43" x14ac:dyDescent="0.2">
      <c r="A342" s="20">
        <v>341</v>
      </c>
      <c r="B342" s="21" t="str">
        <f>_xlfn.CONCAT("ORD-",INDEX(Helper!$B$2:$B$5,MATCH(cadangan3[[#This Row],[Marketplace]],Helper!$A$2:$A$5,0)),TEXT(cadangan3[[#This Row],[No]],"0000"),"-",TEXT(cadangan3[[#This Row],[Tanggal terjual]],"dd/mm/yy"))</f>
        <v>ORD-SP0341-18/04/23</v>
      </c>
      <c r="C342" t="s">
        <v>59</v>
      </c>
      <c r="D342" t="str">
        <f>IFERROR(INDEX(Katalog!$A$3:$A$12,MATCH(cadangan3[[#This Row],[ItemID A]],Katalog!$C$3:$C$12,0)),"-")</f>
        <v>Pakaian Wanita</v>
      </c>
      <c r="E342" t="str">
        <f>IFERROR(INDEX(Katalog!$B$3:$B$12,MATCH(cadangan3[[#This Row],[ItemID A]],Katalog!$C$3:$C$12,0)),"-")</f>
        <v>Blouse</v>
      </c>
      <c r="F342">
        <v>3</v>
      </c>
      <c r="G342">
        <v>3</v>
      </c>
      <c r="H342" s="36">
        <f>IFERROR(INDEX(Katalog!$D$3:$D$12,MATCH(cadangan3[[#This Row],[ItemID A]],Katalog!$C$3:$C$12,0))*cadangan3[[#This Row],[Qty A]],0)</f>
        <v>450000</v>
      </c>
      <c r="I342" s="36">
        <f>IFERROR(INDEX(Katalog!$D$3:$D$12,MATCH(cadangan3[[#This Row],[Item A]],Katalog!$B$3:$B$12,0))*cadangan3[[#This Row],[Qty A]],0)</f>
        <v>450000</v>
      </c>
      <c r="J342" s="36">
        <f>IFERROR(cadangan3[[#This Row],[Harga Asli A]]-(cadangan3[[#This Row],[Harga Asli A]]*cadangan3[[#This Row],[Diskon]]),cadangan3[[#This Row],[Harga Asli A]])</f>
        <v>360000</v>
      </c>
      <c r="K342" s="36">
        <f>INDEX(Katalog!$F$3:$F$12,MATCH(cadangan3[[#This Row],[ItemID A]],Katalog!$C$3:$C$12,0))*cadangan3[[#This Row],[Qty A]]</f>
        <v>150000</v>
      </c>
      <c r="L342" s="36">
        <f>IFERROR(cadangan3[[#This Row],[Profit A]]-(cadangan3[[#This Row],[Profit A]]*cadangan3[[#This Row],[Diskon]]),K342)</f>
        <v>120000</v>
      </c>
      <c r="N342" t="str">
        <f>IFERROR(INDEX(Katalog!$A$3:$A$12,MATCH(cadangan3[[#This Row],[ItemID B]],Katalog!$C$3:$C$12,0)),"-")</f>
        <v>-</v>
      </c>
      <c r="O342" t="str">
        <f>IFERROR(INDEX(Katalog!$B$3:$B$12,MATCH(cadangan3[[#This Row],[ItemID B]],Katalog!$C$3:$C$12,0)),"-")</f>
        <v>-</v>
      </c>
      <c r="R342" s="36">
        <f>IFERROR(INDEX(Katalog!$D$3:$D$12,MATCH(cadangan3[[#This Row],[ItemID B]],Katalog!$C$3:$C$12,0))*cadangan3[[#This Row],[Qty B]],0)</f>
        <v>0</v>
      </c>
      <c r="S342" s="36">
        <f>IFERROR(INDEX(Katalog!$D$3:$D$12,MATCH(cadangan3[[#This Row],[Item B]],Katalog!$B$3:$B$12,0))*cadangan3[[#This Row],[Qty B]],0)</f>
        <v>0</v>
      </c>
      <c r="T342" s="36">
        <f>IFERROR(cadangan3[[#This Row],[Harga Asli B]]-(cadangan3[[#This Row],[Harga Asli B]]*cadangan3[[#This Row],[Diskon]]),cadangan3[[#This Row],[Harga Asli B]])</f>
        <v>0</v>
      </c>
      <c r="U342" s="36">
        <f>IFERROR(INDEX(Katalog!$F$3:$F$12,MATCH(cadangan3[[#This Row],[ItemID B]],Katalog!$C$3:$C$12,0))*cadangan3[[#This Row],[Qty B]],0)</f>
        <v>0</v>
      </c>
      <c r="V342" s="36">
        <f>IFERROR(cadangan3[[#This Row],[Profit B]]-(cadangan3[[#This Row],[Profit B]]*cadangan3[[#This Row],[Diskon]]),U342)</f>
        <v>0</v>
      </c>
      <c r="X342" t="str">
        <f>IFERROR(INDEX(Katalog!$A$3:$A$12,MATCH(cadangan3[[#This Row],[ItemID C]],Katalog!$C$3:$C$12,0)),"-")</f>
        <v>-</v>
      </c>
      <c r="Y342" t="str">
        <f>IFERROR(INDEX(Katalog!$B$3:$B$12,MATCH(cadangan3[[#This Row],[ItemID C]],Katalog!$C$3:$C$12,0)),"-")</f>
        <v>-</v>
      </c>
      <c r="AB342" s="36">
        <f>IFERROR(INDEX(Katalog!$D$3:$D$12,MATCH(cadangan3[[#This Row],[ItemID C]],Katalog!$C$3:$C$12,0))*cadangan3[[#This Row],[Qty C]],0)</f>
        <v>0</v>
      </c>
      <c r="AC342" s="36">
        <f>IFERROR(INDEX(Katalog!$D$3:$D$12,MATCH(cadangan3[[#This Row],[Item C]],Katalog!$B$3:$B$12,0))*cadangan3[[#This Row],[Qty C]],0)</f>
        <v>0</v>
      </c>
      <c r="AD342" s="36">
        <f>IFERROR(cadangan3[[#This Row],[Harga Asli C]]-(cadangan3[[#This Row],[Harga Asli C]]*cadangan3[[#This Row],[Diskon]]),cadangan3[[#This Row],[Harga Asli C]])</f>
        <v>0</v>
      </c>
      <c r="AE342" s="36">
        <f>IFERROR(INDEX(Katalog!$F$3:$F$12,MATCH(cadangan3[[#This Row],[ItemID C]],Katalog!$C$3:$C$12,0))*cadangan3[[#This Row],[Qty C]],0)</f>
        <v>0</v>
      </c>
      <c r="AF342" s="36">
        <f>IFERROR(cadangan3[[#This Row],[Profit C]]-(cadangan3[[#This Row],[Profit C]]*cadangan3[[#This Row],[Diskon]]),cadangan3[[#This Row],[Profit C]])</f>
        <v>0</v>
      </c>
      <c r="AG342" s="21">
        <f>cadangan3[[#This Row],[Qty A]]+cadangan3[[#This Row],[Qty B]]+cadangan3[[#This Row],[Qty C]]</f>
        <v>3</v>
      </c>
      <c r="AH342" s="35">
        <f>cadangan3[[#This Row],[Harga A + Diskon]]+cadangan3[[#This Row],[Harga + Diskon B]]+cadangan3[[#This Row],[Harga + Diskon C]]</f>
        <v>360000</v>
      </c>
      <c r="AI342" s="35">
        <f>(cadangan3[[#This Row],[Profit A]]+cadangan3[[#This Row],[Profit B]]+cadangan3[[#This Row],[Profit C]])</f>
        <v>150000</v>
      </c>
      <c r="AJ342" s="35">
        <f>cadangan3[[#This Row],[Provit A + Diskon]]+cadangan3[[#This Row],[Provit B + Diskon]]+cadangan3[[#This Row],[Provit C + Diskon]]</f>
        <v>120000</v>
      </c>
      <c r="AK342" s="23" t="s">
        <v>8</v>
      </c>
      <c r="AL342" s="37">
        <f>IFERROR(INDEX('Kode Diskon'!$D$3:$D$9,MATCH(cadangan3[[#This Row],[Kode diskon]],'Kode Diskon'!$C$3:$C$9,0)),"-")</f>
        <v>0.2</v>
      </c>
      <c r="AM342" s="23" t="s">
        <v>9</v>
      </c>
      <c r="AN342" s="23" t="s">
        <v>7</v>
      </c>
      <c r="AO342" s="23" t="s">
        <v>79</v>
      </c>
      <c r="AP342" s="24">
        <v>45034</v>
      </c>
      <c r="AQ342" s="23" t="str">
        <f>TEXT(cadangan3[[#This Row],[Tanggal terjual]],"dddd")</f>
        <v>Tuesday</v>
      </c>
    </row>
    <row r="343" spans="1:43" x14ac:dyDescent="0.2">
      <c r="A343" s="20">
        <v>342</v>
      </c>
      <c r="B343" s="21" t="str">
        <f>_xlfn.CONCAT("ORD-",INDEX(Helper!$B$2:$B$5,MATCH(cadangan3[[#This Row],[Marketplace]],Helper!$A$2:$A$5,0)),TEXT(cadangan3[[#This Row],[No]],"0000"),"-",TEXT(cadangan3[[#This Row],[Tanggal terjual]],"dd/mm/yy"))</f>
        <v>ORD-TK0342-02/04/23</v>
      </c>
      <c r="C343" t="s">
        <v>59</v>
      </c>
      <c r="D343" t="str">
        <f>IFERROR(INDEX(Katalog!$A$3:$A$12,MATCH(cadangan3[[#This Row],[ItemID A]],Katalog!$C$3:$C$12,0)),"-")</f>
        <v>Pakaian Wanita</v>
      </c>
      <c r="E343" t="str">
        <f>IFERROR(INDEX(Katalog!$B$3:$B$12,MATCH(cadangan3[[#This Row],[ItemID A]],Katalog!$C$3:$C$12,0)),"-")</f>
        <v>Blouse</v>
      </c>
      <c r="F343">
        <v>3</v>
      </c>
      <c r="G343">
        <v>4</v>
      </c>
      <c r="H343" s="36">
        <f>IFERROR(INDEX(Katalog!$D$3:$D$12,MATCH(cadangan3[[#This Row],[ItemID A]],Katalog!$C$3:$C$12,0))*cadangan3[[#This Row],[Qty A]],0)</f>
        <v>450000</v>
      </c>
      <c r="I343" s="36">
        <f>IFERROR(INDEX(Katalog!$D$3:$D$12,MATCH(cadangan3[[#This Row],[Item A]],Katalog!$B$3:$B$12,0))*cadangan3[[#This Row],[Qty A]],0)</f>
        <v>450000</v>
      </c>
      <c r="J343" s="36">
        <f>IFERROR(cadangan3[[#This Row],[Harga Asli A]]-(cadangan3[[#This Row],[Harga Asli A]]*cadangan3[[#This Row],[Diskon]]),cadangan3[[#This Row],[Harga Asli A]])</f>
        <v>405000</v>
      </c>
      <c r="K343" s="36">
        <f>INDEX(Katalog!$F$3:$F$12,MATCH(cadangan3[[#This Row],[ItemID A]],Katalog!$C$3:$C$12,0))*cadangan3[[#This Row],[Qty A]]</f>
        <v>150000</v>
      </c>
      <c r="L343" s="36">
        <f>IFERROR(cadangan3[[#This Row],[Profit A]]-(cadangan3[[#This Row],[Profit A]]*cadangan3[[#This Row],[Diskon]]),K343)</f>
        <v>135000</v>
      </c>
      <c r="M343" t="s">
        <v>58</v>
      </c>
      <c r="N343" t="str">
        <f>IFERROR(INDEX(Katalog!$A$3:$A$12,MATCH(cadangan3[[#This Row],[ItemID B]],Katalog!$C$3:$C$12,0)),"-")</f>
        <v>Pakaian Wanita</v>
      </c>
      <c r="O343" t="str">
        <f>IFERROR(INDEX(Katalog!$B$3:$B$12,MATCH(cadangan3[[#This Row],[ItemID B]],Katalog!$C$3:$C$12,0)),"-")</f>
        <v>Dress</v>
      </c>
      <c r="P343">
        <v>1</v>
      </c>
      <c r="Q343">
        <v>4</v>
      </c>
      <c r="R343" s="36">
        <f>IFERROR(INDEX(Katalog!$D$3:$D$12,MATCH(cadangan3[[#This Row],[ItemID B]],Katalog!$C$3:$C$12,0))*cadangan3[[#This Row],[Qty B]],0)</f>
        <v>300000</v>
      </c>
      <c r="S343" s="36">
        <f>IFERROR(INDEX(Katalog!$D$3:$D$12,MATCH(cadangan3[[#This Row],[Item B]],Katalog!$B$3:$B$12,0))*cadangan3[[#This Row],[Qty B]],0)</f>
        <v>300000</v>
      </c>
      <c r="T343" s="36">
        <f>IFERROR(cadangan3[[#This Row],[Harga Asli B]]-(cadangan3[[#This Row],[Harga Asli B]]*cadangan3[[#This Row],[Diskon]]),cadangan3[[#This Row],[Harga Asli B]])</f>
        <v>270000</v>
      </c>
      <c r="U343" s="36">
        <f>IFERROR(INDEX(Katalog!$F$3:$F$12,MATCH(cadangan3[[#This Row],[ItemID B]],Katalog!$C$3:$C$12,0))*cadangan3[[#This Row],[Qty B]],0)</f>
        <v>100000</v>
      </c>
      <c r="V343" s="36">
        <f>IFERROR(cadangan3[[#This Row],[Profit B]]-(cadangan3[[#This Row],[Profit B]]*cadangan3[[#This Row],[Diskon]]),U343)</f>
        <v>90000</v>
      </c>
      <c r="X343" t="str">
        <f>IFERROR(INDEX(Katalog!$A$3:$A$12,MATCH(cadangan3[[#This Row],[ItemID C]],Katalog!$C$3:$C$12,0)),"-")</f>
        <v>-</v>
      </c>
      <c r="Y343" t="str">
        <f>IFERROR(INDEX(Katalog!$B$3:$B$12,MATCH(cadangan3[[#This Row],[ItemID C]],Katalog!$C$3:$C$12,0)),"-")</f>
        <v>-</v>
      </c>
      <c r="AB343" s="36">
        <f>IFERROR(INDEX(Katalog!$D$3:$D$12,MATCH(cadangan3[[#This Row],[ItemID C]],Katalog!$C$3:$C$12,0))*cadangan3[[#This Row],[Qty C]],0)</f>
        <v>0</v>
      </c>
      <c r="AC343" s="36">
        <f>IFERROR(INDEX(Katalog!$D$3:$D$12,MATCH(cadangan3[[#This Row],[Item C]],Katalog!$B$3:$B$12,0))*cadangan3[[#This Row],[Qty C]],0)</f>
        <v>0</v>
      </c>
      <c r="AD343" s="36">
        <f>IFERROR(cadangan3[[#This Row],[Harga Asli C]]-(cadangan3[[#This Row],[Harga Asli C]]*cadangan3[[#This Row],[Diskon]]),cadangan3[[#This Row],[Harga Asli C]])</f>
        <v>0</v>
      </c>
      <c r="AE343" s="36">
        <f>IFERROR(INDEX(Katalog!$F$3:$F$12,MATCH(cadangan3[[#This Row],[ItemID C]],Katalog!$C$3:$C$12,0))*cadangan3[[#This Row],[Qty C]],0)</f>
        <v>0</v>
      </c>
      <c r="AF343" s="36">
        <f>IFERROR(cadangan3[[#This Row],[Profit C]]-(cadangan3[[#This Row],[Profit C]]*cadangan3[[#This Row],[Diskon]]),cadangan3[[#This Row],[Profit C]])</f>
        <v>0</v>
      </c>
      <c r="AG343" s="21">
        <f>cadangan3[[#This Row],[Qty A]]+cadangan3[[#This Row],[Qty B]]+cadangan3[[#This Row],[Qty C]]</f>
        <v>4</v>
      </c>
      <c r="AH343" s="35">
        <f>cadangan3[[#This Row],[Harga A + Diskon]]+cadangan3[[#This Row],[Harga + Diskon B]]+cadangan3[[#This Row],[Harga + Diskon C]]</f>
        <v>675000</v>
      </c>
      <c r="AI343" s="35">
        <f>(cadangan3[[#This Row],[Profit A]]+cadangan3[[#This Row],[Profit B]]+cadangan3[[#This Row],[Profit C]])</f>
        <v>250000</v>
      </c>
      <c r="AJ343" s="35">
        <f>cadangan3[[#This Row],[Provit A + Diskon]]+cadangan3[[#This Row],[Provit B + Diskon]]+cadangan3[[#This Row],[Provit C + Diskon]]</f>
        <v>225000</v>
      </c>
      <c r="AK343" s="23" t="s">
        <v>30</v>
      </c>
      <c r="AL343" s="37">
        <f>IFERROR(INDEX('Kode Diskon'!$D$3:$D$9,MATCH(cadangan3[[#This Row],[Kode diskon]],'Kode Diskon'!$C$3:$C$9,0)),"-")</f>
        <v>0.1</v>
      </c>
      <c r="AM343" s="23" t="s">
        <v>29</v>
      </c>
      <c r="AN343" s="23" t="s">
        <v>10</v>
      </c>
      <c r="AO343" s="23" t="s">
        <v>80</v>
      </c>
      <c r="AP343" s="24">
        <v>45018</v>
      </c>
      <c r="AQ343" s="23" t="str">
        <f>TEXT(cadangan3[[#This Row],[Tanggal terjual]],"dddd")</f>
        <v>Sunday</v>
      </c>
    </row>
    <row r="344" spans="1:43" x14ac:dyDescent="0.2">
      <c r="A344" s="20">
        <v>343</v>
      </c>
      <c r="B344" s="21" t="str">
        <f>_xlfn.CONCAT("ORD-",INDEX(Helper!$B$2:$B$5,MATCH(cadangan3[[#This Row],[Marketplace]],Helper!$A$2:$A$5,0)),TEXT(cadangan3[[#This Row],[No]],"0000"),"-",TEXT(cadangan3[[#This Row],[Tanggal terjual]],"dd/mm/yy"))</f>
        <v>ORD-TK0343-08/04/23</v>
      </c>
      <c r="C344" t="s">
        <v>58</v>
      </c>
      <c r="D344" t="str">
        <f>IFERROR(INDEX(Katalog!$A$3:$A$12,MATCH(cadangan3[[#This Row],[ItemID A]],Katalog!$C$3:$C$12,0)),"-")</f>
        <v>Pakaian Wanita</v>
      </c>
      <c r="E344" t="str">
        <f>IFERROR(INDEX(Katalog!$B$3:$B$12,MATCH(cadangan3[[#This Row],[ItemID A]],Katalog!$C$3:$C$12,0)),"-")</f>
        <v>Dress</v>
      </c>
      <c r="F344">
        <v>4</v>
      </c>
      <c r="G344">
        <v>5</v>
      </c>
      <c r="H344" s="36">
        <f>IFERROR(INDEX(Katalog!$D$3:$D$12,MATCH(cadangan3[[#This Row],[ItemID A]],Katalog!$C$3:$C$12,0))*cadangan3[[#This Row],[Qty A]],0)</f>
        <v>1200000</v>
      </c>
      <c r="I344" s="36">
        <f>IFERROR(INDEX(Katalog!$D$3:$D$12,MATCH(cadangan3[[#This Row],[Item A]],Katalog!$B$3:$B$12,0))*cadangan3[[#This Row],[Qty A]],0)</f>
        <v>1200000</v>
      </c>
      <c r="J344" s="36">
        <f>IFERROR(cadangan3[[#This Row],[Harga Asli A]]-(cadangan3[[#This Row],[Harga Asli A]]*cadangan3[[#This Row],[Diskon]]),cadangan3[[#This Row],[Harga Asli A]])</f>
        <v>1200000</v>
      </c>
      <c r="K344" s="36">
        <f>INDEX(Katalog!$F$3:$F$12,MATCH(cadangan3[[#This Row],[ItemID A]],Katalog!$C$3:$C$12,0))*cadangan3[[#This Row],[Qty A]]</f>
        <v>400000</v>
      </c>
      <c r="L344" s="36">
        <f>IFERROR(cadangan3[[#This Row],[Profit A]]-(cadangan3[[#This Row],[Profit A]]*cadangan3[[#This Row],[Diskon]]),K344)</f>
        <v>400000</v>
      </c>
      <c r="M344" t="s">
        <v>60</v>
      </c>
      <c r="N344" t="str">
        <f>IFERROR(INDEX(Katalog!$A$3:$A$12,MATCH(cadangan3[[#This Row],[ItemID B]],Katalog!$C$3:$C$12,0)),"-")</f>
        <v>Pakaian Wanita</v>
      </c>
      <c r="O344" t="str">
        <f>IFERROR(INDEX(Katalog!$B$3:$B$12,MATCH(cadangan3[[#This Row],[ItemID B]],Katalog!$C$3:$C$12,0)),"-")</f>
        <v>Kaftan</v>
      </c>
      <c r="P344">
        <v>3</v>
      </c>
      <c r="Q344">
        <v>2</v>
      </c>
      <c r="R344" s="36">
        <f>IFERROR(INDEX(Katalog!$D$3:$D$12,MATCH(cadangan3[[#This Row],[ItemID B]],Katalog!$C$3:$C$12,0))*cadangan3[[#This Row],[Qty B]],0)</f>
        <v>750000</v>
      </c>
      <c r="S344" s="36">
        <f>IFERROR(INDEX(Katalog!$D$3:$D$12,MATCH(cadangan3[[#This Row],[Item B]],Katalog!$B$3:$B$12,0))*cadangan3[[#This Row],[Qty B]],0)</f>
        <v>750000</v>
      </c>
      <c r="T344" s="36">
        <f>IFERROR(cadangan3[[#This Row],[Harga Asli B]]-(cadangan3[[#This Row],[Harga Asli B]]*cadangan3[[#This Row],[Diskon]]),cadangan3[[#This Row],[Harga Asli B]])</f>
        <v>750000</v>
      </c>
      <c r="U344" s="36">
        <f>IFERROR(INDEX(Katalog!$F$3:$F$12,MATCH(cadangan3[[#This Row],[ItemID B]],Katalog!$C$3:$C$12,0))*cadangan3[[#This Row],[Qty B]],0)</f>
        <v>300000</v>
      </c>
      <c r="V344" s="36">
        <f>IFERROR(cadangan3[[#This Row],[Profit B]]-(cadangan3[[#This Row],[Profit B]]*cadangan3[[#This Row],[Diskon]]),U344)</f>
        <v>300000</v>
      </c>
      <c r="X344" t="str">
        <f>IFERROR(INDEX(Katalog!$A$3:$A$12,MATCH(cadangan3[[#This Row],[ItemID C]],Katalog!$C$3:$C$12,0)),"-")</f>
        <v>-</v>
      </c>
      <c r="Y344" t="str">
        <f>IFERROR(INDEX(Katalog!$B$3:$B$12,MATCH(cadangan3[[#This Row],[ItemID C]],Katalog!$C$3:$C$12,0)),"-")</f>
        <v>-</v>
      </c>
      <c r="AB344" s="36">
        <f>IFERROR(INDEX(Katalog!$D$3:$D$12,MATCH(cadangan3[[#This Row],[ItemID C]],Katalog!$C$3:$C$12,0))*cadangan3[[#This Row],[Qty C]],0)</f>
        <v>0</v>
      </c>
      <c r="AC344" s="36">
        <f>IFERROR(INDEX(Katalog!$D$3:$D$12,MATCH(cadangan3[[#This Row],[Item C]],Katalog!$B$3:$B$12,0))*cadangan3[[#This Row],[Qty C]],0)</f>
        <v>0</v>
      </c>
      <c r="AD344" s="36">
        <f>IFERROR(cadangan3[[#This Row],[Harga Asli C]]-(cadangan3[[#This Row],[Harga Asli C]]*cadangan3[[#This Row],[Diskon]]),cadangan3[[#This Row],[Harga Asli C]])</f>
        <v>0</v>
      </c>
      <c r="AE344" s="36">
        <f>IFERROR(INDEX(Katalog!$F$3:$F$12,MATCH(cadangan3[[#This Row],[ItemID C]],Katalog!$C$3:$C$12,0))*cadangan3[[#This Row],[Qty C]],0)</f>
        <v>0</v>
      </c>
      <c r="AF344" s="36">
        <f>IFERROR(cadangan3[[#This Row],[Profit C]]-(cadangan3[[#This Row],[Profit C]]*cadangan3[[#This Row],[Diskon]]),cadangan3[[#This Row],[Profit C]])</f>
        <v>0</v>
      </c>
      <c r="AG344" s="21">
        <f>cadangan3[[#This Row],[Qty A]]+cadangan3[[#This Row],[Qty B]]+cadangan3[[#This Row],[Qty C]]</f>
        <v>7</v>
      </c>
      <c r="AH344" s="35">
        <f>cadangan3[[#This Row],[Harga A + Diskon]]+cadangan3[[#This Row],[Harga + Diskon B]]+cadangan3[[#This Row],[Harga + Diskon C]]</f>
        <v>1950000</v>
      </c>
      <c r="AI344" s="35">
        <f>(cadangan3[[#This Row],[Profit A]]+cadangan3[[#This Row],[Profit B]]+cadangan3[[#This Row],[Profit C]])</f>
        <v>700000</v>
      </c>
      <c r="AJ344" s="35">
        <f>cadangan3[[#This Row],[Provit A + Diskon]]+cadangan3[[#This Row],[Provit B + Diskon]]+cadangan3[[#This Row],[Provit C + Diskon]]</f>
        <v>700000</v>
      </c>
      <c r="AK344" s="23" t="s">
        <v>11</v>
      </c>
      <c r="AL344" s="37" t="str">
        <f>IFERROR(INDEX('Kode Diskon'!$D$3:$D$9,MATCH(cadangan3[[#This Row],[Kode diskon]],'Kode Diskon'!$C$3:$C$9,0)),"-")</f>
        <v>-</v>
      </c>
      <c r="AM344" s="23" t="s">
        <v>11</v>
      </c>
      <c r="AN344" s="23" t="s">
        <v>10</v>
      </c>
      <c r="AO344" s="23" t="s">
        <v>78</v>
      </c>
      <c r="AP344" s="24">
        <v>45024</v>
      </c>
      <c r="AQ344" s="23" t="str">
        <f>TEXT(cadangan3[[#This Row],[Tanggal terjual]],"dddd")</f>
        <v>Saturday</v>
      </c>
    </row>
    <row r="345" spans="1:43" x14ac:dyDescent="0.2">
      <c r="A345" s="20">
        <v>344</v>
      </c>
      <c r="B345" s="21" t="str">
        <f>_xlfn.CONCAT("ORD-",INDEX(Helper!$B$2:$B$5,MATCH(cadangan3[[#This Row],[Marketplace]],Helper!$A$2:$A$5,0)),TEXT(cadangan3[[#This Row],[No]],"0000"),"-",TEXT(cadangan3[[#This Row],[Tanggal terjual]],"dd/mm/yy"))</f>
        <v>ORD-SP0344-07/04/23</v>
      </c>
      <c r="C345" t="s">
        <v>61</v>
      </c>
      <c r="D345" t="str">
        <f>IFERROR(INDEX(Katalog!$A$3:$A$12,MATCH(cadangan3[[#This Row],[ItemID A]],Katalog!$C$3:$C$12,0)),"-")</f>
        <v>Pakaian Pria</v>
      </c>
      <c r="E345" t="str">
        <f>IFERROR(INDEX(Katalog!$B$3:$B$12,MATCH(cadangan3[[#This Row],[ItemID A]],Katalog!$C$3:$C$12,0)),"-")</f>
        <v>Kaos Polo</v>
      </c>
      <c r="F345">
        <v>1</v>
      </c>
      <c r="G345">
        <v>2</v>
      </c>
      <c r="H345" s="36">
        <f>IFERROR(INDEX(Katalog!$D$3:$D$12,MATCH(cadangan3[[#This Row],[ItemID A]],Katalog!$C$3:$C$12,0))*cadangan3[[#This Row],[Qty A]],0)</f>
        <v>200000</v>
      </c>
      <c r="I345" s="36">
        <f>IFERROR(INDEX(Katalog!$D$3:$D$12,MATCH(cadangan3[[#This Row],[Item A]],Katalog!$B$3:$B$12,0))*cadangan3[[#This Row],[Qty A]],0)</f>
        <v>200000</v>
      </c>
      <c r="J345" s="36">
        <f>IFERROR(cadangan3[[#This Row],[Harga Asli A]]-(cadangan3[[#This Row],[Harga Asli A]]*cadangan3[[#This Row],[Diskon]]),cadangan3[[#This Row],[Harga Asli A]])</f>
        <v>200000</v>
      </c>
      <c r="K345" s="36">
        <f>INDEX(Katalog!$F$3:$F$12,MATCH(cadangan3[[#This Row],[ItemID A]],Katalog!$C$3:$C$12,0))*cadangan3[[#This Row],[Qty A]]</f>
        <v>80000</v>
      </c>
      <c r="L345" s="36">
        <f>IFERROR(cadangan3[[#This Row],[Profit A]]-(cadangan3[[#This Row],[Profit A]]*cadangan3[[#This Row],[Diskon]]),K345)</f>
        <v>80000</v>
      </c>
      <c r="M345" t="s">
        <v>66</v>
      </c>
      <c r="N345" t="str">
        <f>IFERROR(INDEX(Katalog!$A$3:$A$12,MATCH(cadangan3[[#This Row],[ItemID B]],Katalog!$C$3:$C$12,0)),"-")</f>
        <v>Sepatu Pria</v>
      </c>
      <c r="O345" t="str">
        <f>IFERROR(INDEX(Katalog!$B$3:$B$12,MATCH(cadangan3[[#This Row],[ItemID B]],Katalog!$C$3:$C$12,0)),"-")</f>
        <v>Sandal Slip On</v>
      </c>
      <c r="P345">
        <v>1</v>
      </c>
      <c r="Q345">
        <v>3</v>
      </c>
      <c r="R345" s="36">
        <f>IFERROR(INDEX(Katalog!$D$3:$D$12,MATCH(cadangan3[[#This Row],[ItemID B]],Katalog!$C$3:$C$12,0))*cadangan3[[#This Row],[Qty B]],0)</f>
        <v>150000</v>
      </c>
      <c r="S345" s="36">
        <f>IFERROR(INDEX(Katalog!$D$3:$D$12,MATCH(cadangan3[[#This Row],[Item B]],Katalog!$B$3:$B$12,0))*cadangan3[[#This Row],[Qty B]],0)</f>
        <v>150000</v>
      </c>
      <c r="T345" s="36">
        <f>IFERROR(cadangan3[[#This Row],[Harga Asli B]]-(cadangan3[[#This Row],[Harga Asli B]]*cadangan3[[#This Row],[Diskon]]),cadangan3[[#This Row],[Harga Asli B]])</f>
        <v>150000</v>
      </c>
      <c r="U345" s="36">
        <f>IFERROR(INDEX(Katalog!$F$3:$F$12,MATCH(cadangan3[[#This Row],[ItemID B]],Katalog!$C$3:$C$12,0))*cadangan3[[#This Row],[Qty B]],0)</f>
        <v>60000</v>
      </c>
      <c r="V345" s="36">
        <f>IFERROR(cadangan3[[#This Row],[Profit B]]-(cadangan3[[#This Row],[Profit B]]*cadangan3[[#This Row],[Diskon]]),U345)</f>
        <v>60000</v>
      </c>
      <c r="W345" t="s">
        <v>60</v>
      </c>
      <c r="X345" t="str">
        <f>IFERROR(INDEX(Katalog!$A$3:$A$12,MATCH(cadangan3[[#This Row],[ItemID C]],Katalog!$C$3:$C$12,0)),"-")</f>
        <v>Pakaian Wanita</v>
      </c>
      <c r="Y345" t="str">
        <f>IFERROR(INDEX(Katalog!$B$3:$B$12,MATCH(cadangan3[[#This Row],[ItemID C]],Katalog!$C$3:$C$12,0)),"-")</f>
        <v>Kaftan</v>
      </c>
      <c r="Z345">
        <v>2</v>
      </c>
      <c r="AA345">
        <v>1</v>
      </c>
      <c r="AB345" s="36">
        <f>IFERROR(INDEX(Katalog!$D$3:$D$12,MATCH(cadangan3[[#This Row],[ItemID C]],Katalog!$C$3:$C$12,0))*cadangan3[[#This Row],[Qty C]],0)</f>
        <v>500000</v>
      </c>
      <c r="AC345" s="36">
        <f>IFERROR(INDEX(Katalog!$D$3:$D$12,MATCH(cadangan3[[#This Row],[Item C]],Katalog!$B$3:$B$12,0))*cadangan3[[#This Row],[Qty C]],0)</f>
        <v>500000</v>
      </c>
      <c r="AD345" s="36">
        <f>IFERROR(cadangan3[[#This Row],[Harga Asli C]]-(cadangan3[[#This Row],[Harga Asli C]]*cadangan3[[#This Row],[Diskon]]),cadangan3[[#This Row],[Harga Asli C]])</f>
        <v>500000</v>
      </c>
      <c r="AE345" s="36">
        <f>IFERROR(INDEX(Katalog!$F$3:$F$12,MATCH(cadangan3[[#This Row],[ItemID C]],Katalog!$C$3:$C$12,0))*cadangan3[[#This Row],[Qty C]],0)</f>
        <v>200000</v>
      </c>
      <c r="AF345" s="36">
        <f>IFERROR(cadangan3[[#This Row],[Profit C]]-(cadangan3[[#This Row],[Profit C]]*cadangan3[[#This Row],[Diskon]]),cadangan3[[#This Row],[Profit C]])</f>
        <v>200000</v>
      </c>
      <c r="AG345" s="21">
        <f>cadangan3[[#This Row],[Qty A]]+cadangan3[[#This Row],[Qty B]]+cadangan3[[#This Row],[Qty C]]</f>
        <v>4</v>
      </c>
      <c r="AH345" s="35">
        <f>cadangan3[[#This Row],[Harga A + Diskon]]+cadangan3[[#This Row],[Harga + Diskon B]]+cadangan3[[#This Row],[Harga + Diskon C]]</f>
        <v>850000</v>
      </c>
      <c r="AI345" s="35">
        <f>(cadangan3[[#This Row],[Profit A]]+cadangan3[[#This Row],[Profit B]]+cadangan3[[#This Row],[Profit C]])</f>
        <v>340000</v>
      </c>
      <c r="AJ345" s="35">
        <f>cadangan3[[#This Row],[Provit A + Diskon]]+cadangan3[[#This Row],[Provit B + Diskon]]+cadangan3[[#This Row],[Provit C + Diskon]]</f>
        <v>340000</v>
      </c>
      <c r="AK345" s="23" t="s">
        <v>11</v>
      </c>
      <c r="AL345" s="37" t="str">
        <f>IFERROR(INDEX('Kode Diskon'!$D$3:$D$9,MATCH(cadangan3[[#This Row],[Kode diskon]],'Kode Diskon'!$C$3:$C$9,0)),"-")</f>
        <v>-</v>
      </c>
      <c r="AM345" s="23" t="s">
        <v>11</v>
      </c>
      <c r="AN345" s="23" t="s">
        <v>7</v>
      </c>
      <c r="AO345" s="23" t="s">
        <v>79</v>
      </c>
      <c r="AP345" s="24">
        <v>45023</v>
      </c>
      <c r="AQ345" s="23" t="str">
        <f>TEXT(cadangan3[[#This Row],[Tanggal terjual]],"dddd")</f>
        <v>Friday</v>
      </c>
    </row>
    <row r="346" spans="1:43" x14ac:dyDescent="0.2">
      <c r="A346" s="20">
        <v>345</v>
      </c>
      <c r="B346" s="21" t="str">
        <f>_xlfn.CONCAT("ORD-",INDEX(Helper!$B$2:$B$5,MATCH(cadangan3[[#This Row],[Marketplace]],Helper!$A$2:$A$5,0)),TEXT(cadangan3[[#This Row],[No]],"0000"),"-",TEXT(cadangan3[[#This Row],[Tanggal terjual]],"dd/mm/yy"))</f>
        <v>ORD-TK0345-17/04/23</v>
      </c>
      <c r="C346" t="s">
        <v>58</v>
      </c>
      <c r="D346" t="str">
        <f>IFERROR(INDEX(Katalog!$A$3:$A$12,MATCH(cadangan3[[#This Row],[ItemID A]],Katalog!$C$3:$C$12,0)),"-")</f>
        <v>Pakaian Wanita</v>
      </c>
      <c r="E346" t="str">
        <f>IFERROR(INDEX(Katalog!$B$3:$B$12,MATCH(cadangan3[[#This Row],[ItemID A]],Katalog!$C$3:$C$12,0)),"-")</f>
        <v>Dress</v>
      </c>
      <c r="F346">
        <v>4</v>
      </c>
      <c r="G346">
        <v>5</v>
      </c>
      <c r="H346" s="36">
        <f>IFERROR(INDEX(Katalog!$D$3:$D$12,MATCH(cadangan3[[#This Row],[ItemID A]],Katalog!$C$3:$C$12,0))*cadangan3[[#This Row],[Qty A]],0)</f>
        <v>1200000</v>
      </c>
      <c r="I346" s="36">
        <f>IFERROR(INDEX(Katalog!$D$3:$D$12,MATCH(cadangan3[[#This Row],[Item A]],Katalog!$B$3:$B$12,0))*cadangan3[[#This Row],[Qty A]],0)</f>
        <v>1200000</v>
      </c>
      <c r="J346" s="36">
        <f>IFERROR(cadangan3[[#This Row],[Harga Asli A]]-(cadangan3[[#This Row],[Harga Asli A]]*cadangan3[[#This Row],[Diskon]]),cadangan3[[#This Row],[Harga Asli A]])</f>
        <v>1080000</v>
      </c>
      <c r="K346" s="36">
        <f>INDEX(Katalog!$F$3:$F$12,MATCH(cadangan3[[#This Row],[ItemID A]],Katalog!$C$3:$C$12,0))*cadangan3[[#This Row],[Qty A]]</f>
        <v>400000</v>
      </c>
      <c r="L346" s="36">
        <f>IFERROR(cadangan3[[#This Row],[Profit A]]-(cadangan3[[#This Row],[Profit A]]*cadangan3[[#This Row],[Diskon]]),K346)</f>
        <v>360000</v>
      </c>
      <c r="M346" t="s">
        <v>65</v>
      </c>
      <c r="N346" t="str">
        <f>IFERROR(INDEX(Katalog!$A$3:$A$12,MATCH(cadangan3[[#This Row],[ItemID B]],Katalog!$C$3:$C$12,0)),"-")</f>
        <v>Sepatu Pria</v>
      </c>
      <c r="O346" t="str">
        <f>IFERROR(INDEX(Katalog!$B$3:$B$12,MATCH(cadangan3[[#This Row],[ItemID B]],Katalog!$C$3:$C$12,0)),"-")</f>
        <v>Sneakers</v>
      </c>
      <c r="P346">
        <v>1</v>
      </c>
      <c r="Q346">
        <v>5</v>
      </c>
      <c r="R346" s="36">
        <f>IFERROR(INDEX(Katalog!$D$3:$D$12,MATCH(cadangan3[[#This Row],[ItemID B]],Katalog!$C$3:$C$12,0))*cadangan3[[#This Row],[Qty B]],0)</f>
        <v>500000</v>
      </c>
      <c r="S346" s="36">
        <f>IFERROR(INDEX(Katalog!$D$3:$D$12,MATCH(cadangan3[[#This Row],[Item B]],Katalog!$B$3:$B$12,0))*cadangan3[[#This Row],[Qty B]],0)</f>
        <v>500000</v>
      </c>
      <c r="T346" s="36">
        <f>IFERROR(cadangan3[[#This Row],[Harga Asli B]]-(cadangan3[[#This Row],[Harga Asli B]]*cadangan3[[#This Row],[Diskon]]),cadangan3[[#This Row],[Harga Asli B]])</f>
        <v>450000</v>
      </c>
      <c r="U346" s="36">
        <f>IFERROR(INDEX(Katalog!$F$3:$F$12,MATCH(cadangan3[[#This Row],[ItemID B]],Katalog!$C$3:$C$12,0))*cadangan3[[#This Row],[Qty B]],0)</f>
        <v>200000</v>
      </c>
      <c r="V346" s="36">
        <f>IFERROR(cadangan3[[#This Row],[Profit B]]-(cadangan3[[#This Row],[Profit B]]*cadangan3[[#This Row],[Diskon]]),U346)</f>
        <v>180000</v>
      </c>
      <c r="W346" t="s">
        <v>58</v>
      </c>
      <c r="X346" t="str">
        <f>IFERROR(INDEX(Katalog!$A$3:$A$12,MATCH(cadangan3[[#This Row],[ItemID C]],Katalog!$C$3:$C$12,0)),"-")</f>
        <v>Pakaian Wanita</v>
      </c>
      <c r="Y346" t="str">
        <f>IFERROR(INDEX(Katalog!$B$3:$B$12,MATCH(cadangan3[[#This Row],[ItemID C]],Katalog!$C$3:$C$12,0)),"-")</f>
        <v>Dress</v>
      </c>
      <c r="Z346">
        <v>1</v>
      </c>
      <c r="AA346">
        <v>2</v>
      </c>
      <c r="AB346" s="36">
        <f>IFERROR(INDEX(Katalog!$D$3:$D$12,MATCH(cadangan3[[#This Row],[ItemID C]],Katalog!$C$3:$C$12,0))*cadangan3[[#This Row],[Qty C]],0)</f>
        <v>300000</v>
      </c>
      <c r="AC346" s="36">
        <f>IFERROR(INDEX(Katalog!$D$3:$D$12,MATCH(cadangan3[[#This Row],[Item C]],Katalog!$B$3:$B$12,0))*cadangan3[[#This Row],[Qty C]],0)</f>
        <v>300000</v>
      </c>
      <c r="AD346" s="36">
        <f>IFERROR(cadangan3[[#This Row],[Harga Asli C]]-(cadangan3[[#This Row],[Harga Asli C]]*cadangan3[[#This Row],[Diskon]]),cadangan3[[#This Row],[Harga Asli C]])</f>
        <v>270000</v>
      </c>
      <c r="AE346" s="36">
        <f>IFERROR(INDEX(Katalog!$F$3:$F$12,MATCH(cadangan3[[#This Row],[ItemID C]],Katalog!$C$3:$C$12,0))*cadangan3[[#This Row],[Qty C]],0)</f>
        <v>100000</v>
      </c>
      <c r="AF346" s="36">
        <f>IFERROR(cadangan3[[#This Row],[Profit C]]-(cadangan3[[#This Row],[Profit C]]*cadangan3[[#This Row],[Diskon]]),cadangan3[[#This Row],[Profit C]])</f>
        <v>90000</v>
      </c>
      <c r="AG346" s="21">
        <f>cadangan3[[#This Row],[Qty A]]+cadangan3[[#This Row],[Qty B]]+cadangan3[[#This Row],[Qty C]]</f>
        <v>6</v>
      </c>
      <c r="AH346" s="35">
        <f>cadangan3[[#This Row],[Harga A + Diskon]]+cadangan3[[#This Row],[Harga + Diskon B]]+cadangan3[[#This Row],[Harga + Diskon C]]</f>
        <v>1800000</v>
      </c>
      <c r="AI346" s="35">
        <f>(cadangan3[[#This Row],[Profit A]]+cadangan3[[#This Row],[Profit B]]+cadangan3[[#This Row],[Profit C]])</f>
        <v>700000</v>
      </c>
      <c r="AJ346" s="35">
        <f>cadangan3[[#This Row],[Provit A + Diskon]]+cadangan3[[#This Row],[Provit B + Diskon]]+cadangan3[[#This Row],[Provit C + Diskon]]</f>
        <v>630000</v>
      </c>
      <c r="AK346" s="23" t="s">
        <v>31</v>
      </c>
      <c r="AL346" s="37">
        <f>IFERROR(INDEX('Kode Diskon'!$D$3:$D$9,MATCH(cadangan3[[#This Row],[Kode diskon]],'Kode Diskon'!$C$3:$C$9,0)),"-")</f>
        <v>0.1</v>
      </c>
      <c r="AM346" s="23" t="s">
        <v>9</v>
      </c>
      <c r="AN346" s="23" t="s">
        <v>10</v>
      </c>
      <c r="AO346" s="23" t="s">
        <v>79</v>
      </c>
      <c r="AP346" s="24">
        <v>45033</v>
      </c>
      <c r="AQ346" s="23" t="str">
        <f>TEXT(cadangan3[[#This Row],[Tanggal terjual]],"dddd")</f>
        <v>Monday</v>
      </c>
    </row>
    <row r="347" spans="1:43" x14ac:dyDescent="0.2">
      <c r="A347" s="20">
        <v>346</v>
      </c>
      <c r="B347" s="21" t="str">
        <f>_xlfn.CONCAT("ORD-",INDEX(Helper!$B$2:$B$5,MATCH(cadangan3[[#This Row],[Marketplace]],Helper!$A$2:$A$5,0)),TEXT(cadangan3[[#This Row],[No]],"0000"),"-",TEXT(cadangan3[[#This Row],[Tanggal terjual]],"dd/mm/yy"))</f>
        <v>ORD-SP0346-02/04/23</v>
      </c>
      <c r="C347" t="s">
        <v>65</v>
      </c>
      <c r="D347" t="str">
        <f>IFERROR(INDEX(Katalog!$A$3:$A$12,MATCH(cadangan3[[#This Row],[ItemID A]],Katalog!$C$3:$C$12,0)),"-")</f>
        <v>Sepatu Pria</v>
      </c>
      <c r="E347" t="str">
        <f>IFERROR(INDEX(Katalog!$B$3:$B$12,MATCH(cadangan3[[#This Row],[ItemID A]],Katalog!$C$3:$C$12,0)),"-")</f>
        <v>Sneakers</v>
      </c>
      <c r="F347">
        <v>3</v>
      </c>
      <c r="G347">
        <v>2</v>
      </c>
      <c r="H347" s="36">
        <f>IFERROR(INDEX(Katalog!$D$3:$D$12,MATCH(cadangan3[[#This Row],[ItemID A]],Katalog!$C$3:$C$12,0))*cadangan3[[#This Row],[Qty A]],0)</f>
        <v>1500000</v>
      </c>
      <c r="I347" s="36">
        <f>IFERROR(INDEX(Katalog!$D$3:$D$12,MATCH(cadangan3[[#This Row],[Item A]],Katalog!$B$3:$B$12,0))*cadangan3[[#This Row],[Qty A]],0)</f>
        <v>1500000</v>
      </c>
      <c r="J347" s="36">
        <f>IFERROR(cadangan3[[#This Row],[Harga Asli A]]-(cadangan3[[#This Row],[Harga Asli A]]*cadangan3[[#This Row],[Diskon]]),cadangan3[[#This Row],[Harga Asli A]])</f>
        <v>1275000</v>
      </c>
      <c r="K347" s="36">
        <f>INDEX(Katalog!$F$3:$F$12,MATCH(cadangan3[[#This Row],[ItemID A]],Katalog!$C$3:$C$12,0))*cadangan3[[#This Row],[Qty A]]</f>
        <v>600000</v>
      </c>
      <c r="L347" s="36">
        <f>IFERROR(cadangan3[[#This Row],[Profit A]]-(cadangan3[[#This Row],[Profit A]]*cadangan3[[#This Row],[Diskon]]),K347)</f>
        <v>510000</v>
      </c>
      <c r="M347" t="s">
        <v>64</v>
      </c>
      <c r="N347" t="str">
        <f>IFERROR(INDEX(Katalog!$A$3:$A$12,MATCH(cadangan3[[#This Row],[ItemID B]],Katalog!$C$3:$C$12,0)),"-")</f>
        <v>Pakaian Unisex</v>
      </c>
      <c r="O347" t="str">
        <f>IFERROR(INDEX(Katalog!$B$3:$B$12,MATCH(cadangan3[[#This Row],[ItemID B]],Katalog!$C$3:$C$12,0)),"-")</f>
        <v>Jaket Hoodie</v>
      </c>
      <c r="P347">
        <v>1</v>
      </c>
      <c r="Q347">
        <v>2</v>
      </c>
      <c r="R347" s="36">
        <f>IFERROR(INDEX(Katalog!$D$3:$D$12,MATCH(cadangan3[[#This Row],[ItemID B]],Katalog!$C$3:$C$12,0))*cadangan3[[#This Row],[Qty B]],0)</f>
        <v>350000</v>
      </c>
      <c r="S347" s="36">
        <f>IFERROR(INDEX(Katalog!$D$3:$D$12,MATCH(cadangan3[[#This Row],[Item B]],Katalog!$B$3:$B$12,0))*cadangan3[[#This Row],[Qty B]],0)</f>
        <v>350000</v>
      </c>
      <c r="T347" s="36">
        <f>IFERROR(cadangan3[[#This Row],[Harga Asli B]]-(cadangan3[[#This Row],[Harga Asli B]]*cadangan3[[#This Row],[Diskon]]),cadangan3[[#This Row],[Harga Asli B]])</f>
        <v>297500</v>
      </c>
      <c r="U347" s="36">
        <f>IFERROR(INDEX(Katalog!$F$3:$F$12,MATCH(cadangan3[[#This Row],[ItemID B]],Katalog!$C$3:$C$12,0))*cadangan3[[#This Row],[Qty B]],0)</f>
        <v>130000</v>
      </c>
      <c r="V347" s="36">
        <f>IFERROR(cadangan3[[#This Row],[Profit B]]-(cadangan3[[#This Row],[Profit B]]*cadangan3[[#This Row],[Diskon]]),U347)</f>
        <v>110500</v>
      </c>
      <c r="X347" t="str">
        <f>IFERROR(INDEX(Katalog!$A$3:$A$12,MATCH(cadangan3[[#This Row],[ItemID C]],Katalog!$C$3:$C$12,0)),"-")</f>
        <v>-</v>
      </c>
      <c r="Y347" t="str">
        <f>IFERROR(INDEX(Katalog!$B$3:$B$12,MATCH(cadangan3[[#This Row],[ItemID C]],Katalog!$C$3:$C$12,0)),"-")</f>
        <v>-</v>
      </c>
      <c r="AB347" s="36">
        <f>IFERROR(INDEX(Katalog!$D$3:$D$12,MATCH(cadangan3[[#This Row],[ItemID C]],Katalog!$C$3:$C$12,0))*cadangan3[[#This Row],[Qty C]],0)</f>
        <v>0</v>
      </c>
      <c r="AC347" s="36">
        <f>IFERROR(INDEX(Katalog!$D$3:$D$12,MATCH(cadangan3[[#This Row],[Item C]],Katalog!$B$3:$B$12,0))*cadangan3[[#This Row],[Qty C]],0)</f>
        <v>0</v>
      </c>
      <c r="AD347" s="36">
        <f>IFERROR(cadangan3[[#This Row],[Harga Asli C]]-(cadangan3[[#This Row],[Harga Asli C]]*cadangan3[[#This Row],[Diskon]]),cadangan3[[#This Row],[Harga Asli C]])</f>
        <v>0</v>
      </c>
      <c r="AE347" s="36">
        <f>IFERROR(INDEX(Katalog!$F$3:$F$12,MATCH(cadangan3[[#This Row],[ItemID C]],Katalog!$C$3:$C$12,0))*cadangan3[[#This Row],[Qty C]],0)</f>
        <v>0</v>
      </c>
      <c r="AF347" s="36">
        <f>IFERROR(cadangan3[[#This Row],[Profit C]]-(cadangan3[[#This Row],[Profit C]]*cadangan3[[#This Row],[Diskon]]),cadangan3[[#This Row],[Profit C]])</f>
        <v>0</v>
      </c>
      <c r="AG347" s="21">
        <f>cadangan3[[#This Row],[Qty A]]+cadangan3[[#This Row],[Qty B]]+cadangan3[[#This Row],[Qty C]]</f>
        <v>4</v>
      </c>
      <c r="AH347" s="35">
        <f>cadangan3[[#This Row],[Harga A + Diskon]]+cadangan3[[#This Row],[Harga + Diskon B]]+cadangan3[[#This Row],[Harga + Diskon C]]</f>
        <v>1572500</v>
      </c>
      <c r="AI347" s="35">
        <f>(cadangan3[[#This Row],[Profit A]]+cadangan3[[#This Row],[Profit B]]+cadangan3[[#This Row],[Profit C]])</f>
        <v>730000</v>
      </c>
      <c r="AJ347" s="35">
        <f>cadangan3[[#This Row],[Provit A + Diskon]]+cadangan3[[#This Row],[Provit B + Diskon]]+cadangan3[[#This Row],[Provit C + Diskon]]</f>
        <v>620500</v>
      </c>
      <c r="AK347" s="23" t="s">
        <v>13</v>
      </c>
      <c r="AL347" s="37">
        <f>IFERROR(INDEX('Kode Diskon'!$D$3:$D$9,MATCH(cadangan3[[#This Row],[Kode diskon]],'Kode Diskon'!$C$3:$C$9,0)),"-")</f>
        <v>0.15</v>
      </c>
      <c r="AM347" s="23" t="s">
        <v>29</v>
      </c>
      <c r="AN347" s="23" t="s">
        <v>7</v>
      </c>
      <c r="AO347" s="23" t="s">
        <v>80</v>
      </c>
      <c r="AP347" s="24">
        <v>45018</v>
      </c>
      <c r="AQ347" s="23" t="str">
        <f>TEXT(cadangan3[[#This Row],[Tanggal terjual]],"dddd")</f>
        <v>Sunday</v>
      </c>
    </row>
    <row r="348" spans="1:43" x14ac:dyDescent="0.2">
      <c r="A348" s="20">
        <v>347</v>
      </c>
      <c r="B348" s="21" t="str">
        <f>_xlfn.CONCAT("ORD-",INDEX(Helper!$B$2:$B$5,MATCH(cadangan3[[#This Row],[Marketplace]],Helper!$A$2:$A$5,0)),TEXT(cadangan3[[#This Row],[No]],"0000"),"-",TEXT(cadangan3[[#This Row],[Tanggal terjual]],"dd/mm/yy"))</f>
        <v>ORD-TK0347-05/04/23</v>
      </c>
      <c r="C348" t="s">
        <v>59</v>
      </c>
      <c r="D348" t="str">
        <f>IFERROR(INDEX(Katalog!$A$3:$A$12,MATCH(cadangan3[[#This Row],[ItemID A]],Katalog!$C$3:$C$12,0)),"-")</f>
        <v>Pakaian Wanita</v>
      </c>
      <c r="E348" t="str">
        <f>IFERROR(INDEX(Katalog!$B$3:$B$12,MATCH(cadangan3[[#This Row],[ItemID A]],Katalog!$C$3:$C$12,0)),"-")</f>
        <v>Blouse</v>
      </c>
      <c r="F348">
        <v>1</v>
      </c>
      <c r="G348">
        <v>2</v>
      </c>
      <c r="H348" s="36">
        <f>IFERROR(INDEX(Katalog!$D$3:$D$12,MATCH(cadangan3[[#This Row],[ItemID A]],Katalog!$C$3:$C$12,0))*cadangan3[[#This Row],[Qty A]],0)</f>
        <v>150000</v>
      </c>
      <c r="I348" s="36">
        <f>IFERROR(INDEX(Katalog!$D$3:$D$12,MATCH(cadangan3[[#This Row],[Item A]],Katalog!$B$3:$B$12,0))*cadangan3[[#This Row],[Qty A]],0)</f>
        <v>150000</v>
      </c>
      <c r="J348" s="36">
        <f>IFERROR(cadangan3[[#This Row],[Harga Asli A]]-(cadangan3[[#This Row],[Harga Asli A]]*cadangan3[[#This Row],[Diskon]]),cadangan3[[#This Row],[Harga Asli A]])</f>
        <v>135000</v>
      </c>
      <c r="K348" s="36">
        <f>INDEX(Katalog!$F$3:$F$12,MATCH(cadangan3[[#This Row],[ItemID A]],Katalog!$C$3:$C$12,0))*cadangan3[[#This Row],[Qty A]]</f>
        <v>50000</v>
      </c>
      <c r="L348" s="36">
        <f>IFERROR(cadangan3[[#This Row],[Profit A]]-(cadangan3[[#This Row],[Profit A]]*cadangan3[[#This Row],[Diskon]]),K348)</f>
        <v>45000</v>
      </c>
      <c r="N348" t="str">
        <f>IFERROR(INDEX(Katalog!$A$3:$A$12,MATCH(cadangan3[[#This Row],[ItemID B]],Katalog!$C$3:$C$12,0)),"-")</f>
        <v>-</v>
      </c>
      <c r="O348" t="str">
        <f>IFERROR(INDEX(Katalog!$B$3:$B$12,MATCH(cadangan3[[#This Row],[ItemID B]],Katalog!$C$3:$C$12,0)),"-")</f>
        <v>-</v>
      </c>
      <c r="R348" s="36">
        <f>IFERROR(INDEX(Katalog!$D$3:$D$12,MATCH(cadangan3[[#This Row],[ItemID B]],Katalog!$C$3:$C$12,0))*cadangan3[[#This Row],[Qty B]],0)</f>
        <v>0</v>
      </c>
      <c r="S348" s="36">
        <f>IFERROR(INDEX(Katalog!$D$3:$D$12,MATCH(cadangan3[[#This Row],[Item B]],Katalog!$B$3:$B$12,0))*cadangan3[[#This Row],[Qty B]],0)</f>
        <v>0</v>
      </c>
      <c r="T348" s="36">
        <f>IFERROR(cadangan3[[#This Row],[Harga Asli B]]-(cadangan3[[#This Row],[Harga Asli B]]*cadangan3[[#This Row],[Diskon]]),cadangan3[[#This Row],[Harga Asli B]])</f>
        <v>0</v>
      </c>
      <c r="U348" s="36">
        <f>IFERROR(INDEX(Katalog!$F$3:$F$12,MATCH(cadangan3[[#This Row],[ItemID B]],Katalog!$C$3:$C$12,0))*cadangan3[[#This Row],[Qty B]],0)</f>
        <v>0</v>
      </c>
      <c r="V348" s="36">
        <f>IFERROR(cadangan3[[#This Row],[Profit B]]-(cadangan3[[#This Row],[Profit B]]*cadangan3[[#This Row],[Diskon]]),U348)</f>
        <v>0</v>
      </c>
      <c r="X348" t="str">
        <f>IFERROR(INDEX(Katalog!$A$3:$A$12,MATCH(cadangan3[[#This Row],[ItemID C]],Katalog!$C$3:$C$12,0)),"-")</f>
        <v>-</v>
      </c>
      <c r="Y348" t="str">
        <f>IFERROR(INDEX(Katalog!$B$3:$B$12,MATCH(cadangan3[[#This Row],[ItemID C]],Katalog!$C$3:$C$12,0)),"-")</f>
        <v>-</v>
      </c>
      <c r="AB348" s="36">
        <f>IFERROR(INDEX(Katalog!$D$3:$D$12,MATCH(cadangan3[[#This Row],[ItemID C]],Katalog!$C$3:$C$12,0))*cadangan3[[#This Row],[Qty C]],0)</f>
        <v>0</v>
      </c>
      <c r="AC348" s="36">
        <f>IFERROR(INDEX(Katalog!$D$3:$D$12,MATCH(cadangan3[[#This Row],[Item C]],Katalog!$B$3:$B$12,0))*cadangan3[[#This Row],[Qty C]],0)</f>
        <v>0</v>
      </c>
      <c r="AD348" s="36">
        <f>IFERROR(cadangan3[[#This Row],[Harga Asli C]]-(cadangan3[[#This Row],[Harga Asli C]]*cadangan3[[#This Row],[Diskon]]),cadangan3[[#This Row],[Harga Asli C]])</f>
        <v>0</v>
      </c>
      <c r="AE348" s="36">
        <f>IFERROR(INDEX(Katalog!$F$3:$F$12,MATCH(cadangan3[[#This Row],[ItemID C]],Katalog!$C$3:$C$12,0))*cadangan3[[#This Row],[Qty C]],0)</f>
        <v>0</v>
      </c>
      <c r="AF348" s="36">
        <f>IFERROR(cadangan3[[#This Row],[Profit C]]-(cadangan3[[#This Row],[Profit C]]*cadangan3[[#This Row],[Diskon]]),cadangan3[[#This Row],[Profit C]])</f>
        <v>0</v>
      </c>
      <c r="AG348" s="21">
        <f>cadangan3[[#This Row],[Qty A]]+cadangan3[[#This Row],[Qty B]]+cadangan3[[#This Row],[Qty C]]</f>
        <v>1</v>
      </c>
      <c r="AH348" s="35">
        <f>cadangan3[[#This Row],[Harga A + Diskon]]+cadangan3[[#This Row],[Harga + Diskon B]]+cadangan3[[#This Row],[Harga + Diskon C]]</f>
        <v>135000</v>
      </c>
      <c r="AI348" s="35">
        <f>(cadangan3[[#This Row],[Profit A]]+cadangan3[[#This Row],[Profit B]]+cadangan3[[#This Row],[Profit C]])</f>
        <v>50000</v>
      </c>
      <c r="AJ348" s="35">
        <f>cadangan3[[#This Row],[Provit A + Diskon]]+cadangan3[[#This Row],[Provit B + Diskon]]+cadangan3[[#This Row],[Provit C + Diskon]]</f>
        <v>45000</v>
      </c>
      <c r="AK348" s="23" t="s">
        <v>30</v>
      </c>
      <c r="AL348" s="37">
        <f>IFERROR(INDEX('Kode Diskon'!$D$3:$D$9,MATCH(cadangan3[[#This Row],[Kode diskon]],'Kode Diskon'!$C$3:$C$9,0)),"-")</f>
        <v>0.1</v>
      </c>
      <c r="AM348" s="23" t="s">
        <v>29</v>
      </c>
      <c r="AN348" s="23" t="s">
        <v>10</v>
      </c>
      <c r="AO348" s="23" t="s">
        <v>80</v>
      </c>
      <c r="AP348" s="24">
        <v>45021</v>
      </c>
      <c r="AQ348" s="23" t="str">
        <f>TEXT(cadangan3[[#This Row],[Tanggal terjual]],"dddd")</f>
        <v>Wednesday</v>
      </c>
    </row>
    <row r="349" spans="1:43" x14ac:dyDescent="0.2">
      <c r="A349" s="20">
        <v>348</v>
      </c>
      <c r="B349" s="21" t="str">
        <f>_xlfn.CONCAT("ORD-",INDEX(Helper!$B$2:$B$5,MATCH(cadangan3[[#This Row],[Marketplace]],Helper!$A$2:$A$5,0)),TEXT(cadangan3[[#This Row],[No]],"0000"),"-",TEXT(cadangan3[[#This Row],[Tanggal terjual]],"dd/mm/yy"))</f>
        <v>ORD-SP0348-02/04/23</v>
      </c>
      <c r="C349" t="s">
        <v>65</v>
      </c>
      <c r="D349" t="str">
        <f>IFERROR(INDEX(Katalog!$A$3:$A$12,MATCH(cadangan3[[#This Row],[ItemID A]],Katalog!$C$3:$C$12,0)),"-")</f>
        <v>Sepatu Pria</v>
      </c>
      <c r="E349" t="str">
        <f>IFERROR(INDEX(Katalog!$B$3:$B$12,MATCH(cadangan3[[#This Row],[ItemID A]],Katalog!$C$3:$C$12,0)),"-")</f>
        <v>Sneakers</v>
      </c>
      <c r="F349">
        <v>2</v>
      </c>
      <c r="G349">
        <v>5</v>
      </c>
      <c r="H349" s="36">
        <f>IFERROR(INDEX(Katalog!$D$3:$D$12,MATCH(cadangan3[[#This Row],[ItemID A]],Katalog!$C$3:$C$12,0))*cadangan3[[#This Row],[Qty A]],0)</f>
        <v>1000000</v>
      </c>
      <c r="I349" s="36">
        <f>IFERROR(INDEX(Katalog!$D$3:$D$12,MATCH(cadangan3[[#This Row],[Item A]],Katalog!$B$3:$B$12,0))*cadangan3[[#This Row],[Qty A]],0)</f>
        <v>1000000</v>
      </c>
      <c r="J349" s="36">
        <f>IFERROR(cadangan3[[#This Row],[Harga Asli A]]-(cadangan3[[#This Row],[Harga Asli A]]*cadangan3[[#This Row],[Diskon]]),cadangan3[[#This Row],[Harga Asli A]])</f>
        <v>900000</v>
      </c>
      <c r="K349" s="36">
        <f>INDEX(Katalog!$F$3:$F$12,MATCH(cadangan3[[#This Row],[ItemID A]],Katalog!$C$3:$C$12,0))*cadangan3[[#This Row],[Qty A]]</f>
        <v>400000</v>
      </c>
      <c r="L349" s="36">
        <f>IFERROR(cadangan3[[#This Row],[Profit A]]-(cadangan3[[#This Row],[Profit A]]*cadangan3[[#This Row],[Diskon]]),K349)</f>
        <v>360000</v>
      </c>
      <c r="M349" t="s">
        <v>66</v>
      </c>
      <c r="N349" t="str">
        <f>IFERROR(INDEX(Katalog!$A$3:$A$12,MATCH(cadangan3[[#This Row],[ItemID B]],Katalog!$C$3:$C$12,0)),"-")</f>
        <v>Sepatu Pria</v>
      </c>
      <c r="O349" t="str">
        <f>IFERROR(INDEX(Katalog!$B$3:$B$12,MATCH(cadangan3[[#This Row],[ItemID B]],Katalog!$C$3:$C$12,0)),"-")</f>
        <v>Sandal Slip On</v>
      </c>
      <c r="P349">
        <v>1</v>
      </c>
      <c r="Q349">
        <v>4</v>
      </c>
      <c r="R349" s="36">
        <f>IFERROR(INDEX(Katalog!$D$3:$D$12,MATCH(cadangan3[[#This Row],[ItemID B]],Katalog!$C$3:$C$12,0))*cadangan3[[#This Row],[Qty B]],0)</f>
        <v>150000</v>
      </c>
      <c r="S349" s="36">
        <f>IFERROR(INDEX(Katalog!$D$3:$D$12,MATCH(cadangan3[[#This Row],[Item B]],Katalog!$B$3:$B$12,0))*cadangan3[[#This Row],[Qty B]],0)</f>
        <v>150000</v>
      </c>
      <c r="T349" s="36">
        <f>IFERROR(cadangan3[[#This Row],[Harga Asli B]]-(cadangan3[[#This Row],[Harga Asli B]]*cadangan3[[#This Row],[Diskon]]),cadangan3[[#This Row],[Harga Asli B]])</f>
        <v>135000</v>
      </c>
      <c r="U349" s="36">
        <f>IFERROR(INDEX(Katalog!$F$3:$F$12,MATCH(cadangan3[[#This Row],[ItemID B]],Katalog!$C$3:$C$12,0))*cadangan3[[#This Row],[Qty B]],0)</f>
        <v>60000</v>
      </c>
      <c r="V349" s="36">
        <f>IFERROR(cadangan3[[#This Row],[Profit B]]-(cadangan3[[#This Row],[Profit B]]*cadangan3[[#This Row],[Diskon]]),U349)</f>
        <v>54000</v>
      </c>
      <c r="X349" t="str">
        <f>IFERROR(INDEX(Katalog!$A$3:$A$12,MATCH(cadangan3[[#This Row],[ItemID C]],Katalog!$C$3:$C$12,0)),"-")</f>
        <v>-</v>
      </c>
      <c r="Y349" t="str">
        <f>IFERROR(INDEX(Katalog!$B$3:$B$12,MATCH(cadangan3[[#This Row],[ItemID C]],Katalog!$C$3:$C$12,0)),"-")</f>
        <v>-</v>
      </c>
      <c r="AB349" s="36">
        <f>IFERROR(INDEX(Katalog!$D$3:$D$12,MATCH(cadangan3[[#This Row],[ItemID C]],Katalog!$C$3:$C$12,0))*cadangan3[[#This Row],[Qty C]],0)</f>
        <v>0</v>
      </c>
      <c r="AC349" s="36">
        <f>IFERROR(INDEX(Katalog!$D$3:$D$12,MATCH(cadangan3[[#This Row],[Item C]],Katalog!$B$3:$B$12,0))*cadangan3[[#This Row],[Qty C]],0)</f>
        <v>0</v>
      </c>
      <c r="AD349" s="36">
        <f>IFERROR(cadangan3[[#This Row],[Harga Asli C]]-(cadangan3[[#This Row],[Harga Asli C]]*cadangan3[[#This Row],[Diskon]]),cadangan3[[#This Row],[Harga Asli C]])</f>
        <v>0</v>
      </c>
      <c r="AE349" s="36">
        <f>IFERROR(INDEX(Katalog!$F$3:$F$12,MATCH(cadangan3[[#This Row],[ItemID C]],Katalog!$C$3:$C$12,0))*cadangan3[[#This Row],[Qty C]],0)</f>
        <v>0</v>
      </c>
      <c r="AF349" s="36">
        <f>IFERROR(cadangan3[[#This Row],[Profit C]]-(cadangan3[[#This Row],[Profit C]]*cadangan3[[#This Row],[Diskon]]),cadangan3[[#This Row],[Profit C]])</f>
        <v>0</v>
      </c>
      <c r="AG349" s="21">
        <f>cadangan3[[#This Row],[Qty A]]+cadangan3[[#This Row],[Qty B]]+cadangan3[[#This Row],[Qty C]]</f>
        <v>3</v>
      </c>
      <c r="AH349" s="35">
        <f>cadangan3[[#This Row],[Harga A + Diskon]]+cadangan3[[#This Row],[Harga + Diskon B]]+cadangan3[[#This Row],[Harga + Diskon C]]</f>
        <v>1035000</v>
      </c>
      <c r="AI349" s="35">
        <f>(cadangan3[[#This Row],[Profit A]]+cadangan3[[#This Row],[Profit B]]+cadangan3[[#This Row],[Profit C]])</f>
        <v>460000</v>
      </c>
      <c r="AJ349" s="35">
        <f>cadangan3[[#This Row],[Provit A + Diskon]]+cadangan3[[#This Row],[Provit B + Diskon]]+cadangan3[[#This Row],[Provit C + Diskon]]</f>
        <v>414000</v>
      </c>
      <c r="AK349" s="23" t="s">
        <v>6</v>
      </c>
      <c r="AL349" s="37">
        <f>IFERROR(INDEX('Kode Diskon'!$D$3:$D$9,MATCH(cadangan3[[#This Row],[Kode diskon]],'Kode Diskon'!$C$3:$C$9,0)),"-")</f>
        <v>0.1</v>
      </c>
      <c r="AM349" s="23" t="s">
        <v>29</v>
      </c>
      <c r="AN349" s="23" t="s">
        <v>7</v>
      </c>
      <c r="AO349" s="23" t="s">
        <v>80</v>
      </c>
      <c r="AP349" s="24">
        <v>45018</v>
      </c>
      <c r="AQ349" s="23" t="str">
        <f>TEXT(cadangan3[[#This Row],[Tanggal terjual]],"dddd")</f>
        <v>Sunday</v>
      </c>
    </row>
    <row r="350" spans="1:43" x14ac:dyDescent="0.2">
      <c r="A350" s="20">
        <v>349</v>
      </c>
      <c r="B350" s="21" t="str">
        <f>_xlfn.CONCAT("ORD-",INDEX(Helper!$B$2:$B$5,MATCH(cadangan3[[#This Row],[Marketplace]],Helper!$A$2:$A$5,0)),TEXT(cadangan3[[#This Row],[No]],"0000"),"-",TEXT(cadangan3[[#This Row],[Tanggal terjual]],"dd/mm/yy"))</f>
        <v>ORD-SP0349-13/04/23</v>
      </c>
      <c r="C350" t="s">
        <v>63</v>
      </c>
      <c r="D350" t="str">
        <f>IFERROR(INDEX(Katalog!$A$3:$A$12,MATCH(cadangan3[[#This Row],[ItemID A]],Katalog!$C$3:$C$12,0)),"-")</f>
        <v>Pakaian Pria</v>
      </c>
      <c r="E350" t="str">
        <f>IFERROR(INDEX(Katalog!$B$3:$B$12,MATCH(cadangan3[[#This Row],[ItemID A]],Katalog!$C$3:$C$12,0)),"-")</f>
        <v>Jaket Jeans</v>
      </c>
      <c r="F350">
        <v>2</v>
      </c>
      <c r="G350">
        <v>2</v>
      </c>
      <c r="H350" s="36">
        <f>IFERROR(INDEX(Katalog!$D$3:$D$12,MATCH(cadangan3[[#This Row],[ItemID A]],Katalog!$C$3:$C$12,0))*cadangan3[[#This Row],[Qty A]],0)</f>
        <v>800000</v>
      </c>
      <c r="I350" s="36">
        <f>IFERROR(INDEX(Katalog!$D$3:$D$12,MATCH(cadangan3[[#This Row],[Item A]],Katalog!$B$3:$B$12,0))*cadangan3[[#This Row],[Qty A]],0)</f>
        <v>800000</v>
      </c>
      <c r="J350" s="36">
        <f>IFERROR(cadangan3[[#This Row],[Harga Asli A]]-(cadangan3[[#This Row],[Harga Asli A]]*cadangan3[[#This Row],[Diskon]]),cadangan3[[#This Row],[Harga Asli A]])</f>
        <v>800000</v>
      </c>
      <c r="K350" s="36">
        <f>INDEX(Katalog!$F$3:$F$12,MATCH(cadangan3[[#This Row],[ItemID A]],Katalog!$C$3:$C$12,0))*cadangan3[[#This Row],[Qty A]]</f>
        <v>300000</v>
      </c>
      <c r="L350" s="36">
        <f>IFERROR(cadangan3[[#This Row],[Profit A]]-(cadangan3[[#This Row],[Profit A]]*cadangan3[[#This Row],[Diskon]]),K350)</f>
        <v>300000</v>
      </c>
      <c r="M350" t="s">
        <v>60</v>
      </c>
      <c r="N350" t="str">
        <f>IFERROR(INDEX(Katalog!$A$3:$A$12,MATCH(cadangan3[[#This Row],[ItemID B]],Katalog!$C$3:$C$12,0)),"-")</f>
        <v>Pakaian Wanita</v>
      </c>
      <c r="O350" t="str">
        <f>IFERROR(INDEX(Katalog!$B$3:$B$12,MATCH(cadangan3[[#This Row],[ItemID B]],Katalog!$C$3:$C$12,0)),"-")</f>
        <v>Kaftan</v>
      </c>
      <c r="P350">
        <v>3</v>
      </c>
      <c r="Q350">
        <v>4</v>
      </c>
      <c r="R350" s="36">
        <f>IFERROR(INDEX(Katalog!$D$3:$D$12,MATCH(cadangan3[[#This Row],[ItemID B]],Katalog!$C$3:$C$12,0))*cadangan3[[#This Row],[Qty B]],0)</f>
        <v>750000</v>
      </c>
      <c r="S350" s="36">
        <f>IFERROR(INDEX(Katalog!$D$3:$D$12,MATCH(cadangan3[[#This Row],[Item B]],Katalog!$B$3:$B$12,0))*cadangan3[[#This Row],[Qty B]],0)</f>
        <v>750000</v>
      </c>
      <c r="T350" s="36">
        <f>IFERROR(cadangan3[[#This Row],[Harga Asli B]]-(cadangan3[[#This Row],[Harga Asli B]]*cadangan3[[#This Row],[Diskon]]),cadangan3[[#This Row],[Harga Asli B]])</f>
        <v>750000</v>
      </c>
      <c r="U350" s="36">
        <f>IFERROR(INDEX(Katalog!$F$3:$F$12,MATCH(cadangan3[[#This Row],[ItemID B]],Katalog!$C$3:$C$12,0))*cadangan3[[#This Row],[Qty B]],0)</f>
        <v>300000</v>
      </c>
      <c r="V350" s="36">
        <f>IFERROR(cadangan3[[#This Row],[Profit B]]-(cadangan3[[#This Row],[Profit B]]*cadangan3[[#This Row],[Diskon]]),U350)</f>
        <v>300000</v>
      </c>
      <c r="X350" t="str">
        <f>IFERROR(INDEX(Katalog!$A$3:$A$12,MATCH(cadangan3[[#This Row],[ItemID C]],Katalog!$C$3:$C$12,0)),"-")</f>
        <v>-</v>
      </c>
      <c r="Y350" t="str">
        <f>IFERROR(INDEX(Katalog!$B$3:$B$12,MATCH(cadangan3[[#This Row],[ItemID C]],Katalog!$C$3:$C$12,0)),"-")</f>
        <v>-</v>
      </c>
      <c r="AB350" s="36">
        <f>IFERROR(INDEX(Katalog!$D$3:$D$12,MATCH(cadangan3[[#This Row],[ItemID C]],Katalog!$C$3:$C$12,0))*cadangan3[[#This Row],[Qty C]],0)</f>
        <v>0</v>
      </c>
      <c r="AC350" s="36">
        <f>IFERROR(INDEX(Katalog!$D$3:$D$12,MATCH(cadangan3[[#This Row],[Item C]],Katalog!$B$3:$B$12,0))*cadangan3[[#This Row],[Qty C]],0)</f>
        <v>0</v>
      </c>
      <c r="AD350" s="36">
        <f>IFERROR(cadangan3[[#This Row],[Harga Asli C]]-(cadangan3[[#This Row],[Harga Asli C]]*cadangan3[[#This Row],[Diskon]]),cadangan3[[#This Row],[Harga Asli C]])</f>
        <v>0</v>
      </c>
      <c r="AE350" s="36">
        <f>IFERROR(INDEX(Katalog!$F$3:$F$12,MATCH(cadangan3[[#This Row],[ItemID C]],Katalog!$C$3:$C$12,0))*cadangan3[[#This Row],[Qty C]],0)</f>
        <v>0</v>
      </c>
      <c r="AF350" s="36">
        <f>IFERROR(cadangan3[[#This Row],[Profit C]]-(cadangan3[[#This Row],[Profit C]]*cadangan3[[#This Row],[Diskon]]),cadangan3[[#This Row],[Profit C]])</f>
        <v>0</v>
      </c>
      <c r="AG350" s="21">
        <f>cadangan3[[#This Row],[Qty A]]+cadangan3[[#This Row],[Qty B]]+cadangan3[[#This Row],[Qty C]]</f>
        <v>5</v>
      </c>
      <c r="AH350" s="35">
        <f>cadangan3[[#This Row],[Harga A + Diskon]]+cadangan3[[#This Row],[Harga + Diskon B]]+cadangan3[[#This Row],[Harga + Diskon C]]</f>
        <v>1550000</v>
      </c>
      <c r="AI350" s="35">
        <f>(cadangan3[[#This Row],[Profit A]]+cadangan3[[#This Row],[Profit B]]+cadangan3[[#This Row],[Profit C]])</f>
        <v>600000</v>
      </c>
      <c r="AJ350" s="35">
        <f>cadangan3[[#This Row],[Provit A + Diskon]]+cadangan3[[#This Row],[Provit B + Diskon]]+cadangan3[[#This Row],[Provit C + Diskon]]</f>
        <v>600000</v>
      </c>
      <c r="AK350" s="23" t="s">
        <v>11</v>
      </c>
      <c r="AL350" s="37" t="str">
        <f>IFERROR(INDEX('Kode Diskon'!$D$3:$D$9,MATCH(cadangan3[[#This Row],[Kode diskon]],'Kode Diskon'!$C$3:$C$9,0)),"-")</f>
        <v>-</v>
      </c>
      <c r="AM350" s="23" t="s">
        <v>11</v>
      </c>
      <c r="AN350" s="23" t="s">
        <v>7</v>
      </c>
      <c r="AO350" s="23" t="s">
        <v>78</v>
      </c>
      <c r="AP350" s="24">
        <v>45029</v>
      </c>
      <c r="AQ350" s="23" t="str">
        <f>TEXT(cadangan3[[#This Row],[Tanggal terjual]],"dddd")</f>
        <v>Thursday</v>
      </c>
    </row>
    <row r="351" spans="1:43" x14ac:dyDescent="0.2">
      <c r="A351" s="20">
        <v>350</v>
      </c>
      <c r="B351" s="21" t="str">
        <f>_xlfn.CONCAT("ORD-",INDEX(Helper!$B$2:$B$5,MATCH(cadangan3[[#This Row],[Marketplace]],Helper!$A$2:$A$5,0)),TEXT(cadangan3[[#This Row],[No]],"0000"),"-",TEXT(cadangan3[[#This Row],[Tanggal terjual]],"dd/mm/yy"))</f>
        <v>ORD-BL0350-29/04/23</v>
      </c>
      <c r="C351" t="s">
        <v>67</v>
      </c>
      <c r="D351" t="str">
        <f>IFERROR(INDEX(Katalog!$A$3:$A$12,MATCH(cadangan3[[#This Row],[ItemID A]],Katalog!$C$3:$C$12,0)),"-")</f>
        <v>Sepatu Wanita</v>
      </c>
      <c r="E351" t="str">
        <f>IFERROR(INDEX(Katalog!$B$3:$B$12,MATCH(cadangan3[[#This Row],[ItemID A]],Katalog!$C$3:$C$12,0)),"-")</f>
        <v>Flat Shoes</v>
      </c>
      <c r="F351">
        <v>1</v>
      </c>
      <c r="G351">
        <v>3</v>
      </c>
      <c r="H351" s="36">
        <f>IFERROR(INDEX(Katalog!$D$3:$D$12,MATCH(cadangan3[[#This Row],[ItemID A]],Katalog!$C$3:$C$12,0))*cadangan3[[#This Row],[Qty A]],0)</f>
        <v>250000</v>
      </c>
      <c r="I351" s="36">
        <f>IFERROR(INDEX(Katalog!$D$3:$D$12,MATCH(cadangan3[[#This Row],[Item A]],Katalog!$B$3:$B$12,0))*cadangan3[[#This Row],[Qty A]],0)</f>
        <v>250000</v>
      </c>
      <c r="J351" s="36">
        <f>IFERROR(cadangan3[[#This Row],[Harga Asli A]]-(cadangan3[[#This Row],[Harga Asli A]]*cadangan3[[#This Row],[Diskon]]),cadangan3[[#This Row],[Harga Asli A]])</f>
        <v>212500</v>
      </c>
      <c r="K351" s="36">
        <f>INDEX(Katalog!$F$3:$F$12,MATCH(cadangan3[[#This Row],[ItemID A]],Katalog!$C$3:$C$12,0))*cadangan3[[#This Row],[Qty A]]</f>
        <v>100000</v>
      </c>
      <c r="L351" s="36">
        <f>IFERROR(cadangan3[[#This Row],[Profit A]]-(cadangan3[[#This Row],[Profit A]]*cadangan3[[#This Row],[Diskon]]),K351)</f>
        <v>85000</v>
      </c>
      <c r="N351" t="str">
        <f>IFERROR(INDEX(Katalog!$A$3:$A$12,MATCH(cadangan3[[#This Row],[ItemID B]],Katalog!$C$3:$C$12,0)),"-")</f>
        <v>-</v>
      </c>
      <c r="O351" t="str">
        <f>IFERROR(INDEX(Katalog!$B$3:$B$12,MATCH(cadangan3[[#This Row],[ItemID B]],Katalog!$C$3:$C$12,0)),"-")</f>
        <v>-</v>
      </c>
      <c r="R351" s="36">
        <f>IFERROR(INDEX(Katalog!$D$3:$D$12,MATCH(cadangan3[[#This Row],[ItemID B]],Katalog!$C$3:$C$12,0))*cadangan3[[#This Row],[Qty B]],0)</f>
        <v>0</v>
      </c>
      <c r="S351" s="36">
        <f>IFERROR(INDEX(Katalog!$D$3:$D$12,MATCH(cadangan3[[#This Row],[Item B]],Katalog!$B$3:$B$12,0))*cadangan3[[#This Row],[Qty B]],0)</f>
        <v>0</v>
      </c>
      <c r="T351" s="36">
        <f>IFERROR(cadangan3[[#This Row],[Harga Asli B]]-(cadangan3[[#This Row],[Harga Asli B]]*cadangan3[[#This Row],[Diskon]]),cadangan3[[#This Row],[Harga Asli B]])</f>
        <v>0</v>
      </c>
      <c r="U351" s="36">
        <f>IFERROR(INDEX(Katalog!$F$3:$F$12,MATCH(cadangan3[[#This Row],[ItemID B]],Katalog!$C$3:$C$12,0))*cadangan3[[#This Row],[Qty B]],0)</f>
        <v>0</v>
      </c>
      <c r="V351" s="36">
        <f>IFERROR(cadangan3[[#This Row],[Profit B]]-(cadangan3[[#This Row],[Profit B]]*cadangan3[[#This Row],[Diskon]]),U351)</f>
        <v>0</v>
      </c>
      <c r="X351" t="str">
        <f>IFERROR(INDEX(Katalog!$A$3:$A$12,MATCH(cadangan3[[#This Row],[ItemID C]],Katalog!$C$3:$C$12,0)),"-")</f>
        <v>-</v>
      </c>
      <c r="Y351" t="str">
        <f>IFERROR(INDEX(Katalog!$B$3:$B$12,MATCH(cadangan3[[#This Row],[ItemID C]],Katalog!$C$3:$C$12,0)),"-")</f>
        <v>-</v>
      </c>
      <c r="AB351" s="36">
        <f>IFERROR(INDEX(Katalog!$D$3:$D$12,MATCH(cadangan3[[#This Row],[ItemID C]],Katalog!$C$3:$C$12,0))*cadangan3[[#This Row],[Qty C]],0)</f>
        <v>0</v>
      </c>
      <c r="AC351" s="36">
        <f>IFERROR(INDEX(Katalog!$D$3:$D$12,MATCH(cadangan3[[#This Row],[Item C]],Katalog!$B$3:$B$12,0))*cadangan3[[#This Row],[Qty C]],0)</f>
        <v>0</v>
      </c>
      <c r="AD351" s="36">
        <f>IFERROR(cadangan3[[#This Row],[Harga Asli C]]-(cadangan3[[#This Row],[Harga Asli C]]*cadangan3[[#This Row],[Diskon]]),cadangan3[[#This Row],[Harga Asli C]])</f>
        <v>0</v>
      </c>
      <c r="AE351" s="36">
        <f>IFERROR(INDEX(Katalog!$F$3:$F$12,MATCH(cadangan3[[#This Row],[ItemID C]],Katalog!$C$3:$C$12,0))*cadangan3[[#This Row],[Qty C]],0)</f>
        <v>0</v>
      </c>
      <c r="AF351" s="36">
        <f>IFERROR(cadangan3[[#This Row],[Profit C]]-(cadangan3[[#This Row],[Profit C]]*cadangan3[[#This Row],[Diskon]]),cadangan3[[#This Row],[Profit C]])</f>
        <v>0</v>
      </c>
      <c r="AG351" s="21">
        <f>cadangan3[[#This Row],[Qty A]]+cadangan3[[#This Row],[Qty B]]+cadangan3[[#This Row],[Qty C]]</f>
        <v>1</v>
      </c>
      <c r="AH351" s="35">
        <f>cadangan3[[#This Row],[Harga A + Diskon]]+cadangan3[[#This Row],[Harga + Diskon B]]+cadangan3[[#This Row],[Harga + Diskon C]]</f>
        <v>212500</v>
      </c>
      <c r="AI351" s="35">
        <f>(cadangan3[[#This Row],[Profit A]]+cadangan3[[#This Row],[Profit B]]+cadangan3[[#This Row],[Profit C]])</f>
        <v>100000</v>
      </c>
      <c r="AJ351" s="35">
        <f>cadangan3[[#This Row],[Provit A + Diskon]]+cadangan3[[#This Row],[Provit B + Diskon]]+cadangan3[[#This Row],[Provit C + Diskon]]</f>
        <v>85000</v>
      </c>
      <c r="AK351" s="23" t="s">
        <v>32</v>
      </c>
      <c r="AL351" s="37">
        <f>IFERROR(INDEX('Kode Diskon'!$D$3:$D$9,MATCH(cadangan3[[#This Row],[Kode diskon]],'Kode Diskon'!$C$3:$C$9,0)),"-")</f>
        <v>0.15</v>
      </c>
      <c r="AM351" s="23" t="s">
        <v>9</v>
      </c>
      <c r="AN351" s="23" t="s">
        <v>12</v>
      </c>
      <c r="AO351" s="23" t="s">
        <v>75</v>
      </c>
      <c r="AP351" s="24">
        <v>45045</v>
      </c>
      <c r="AQ351" s="23" t="str">
        <f>TEXT(cadangan3[[#This Row],[Tanggal terjual]],"dddd")</f>
        <v>Saturday</v>
      </c>
    </row>
    <row r="352" spans="1:43" x14ac:dyDescent="0.2">
      <c r="A352" s="20">
        <v>351</v>
      </c>
      <c r="B352" s="21" t="str">
        <f>_xlfn.CONCAT("ORD-",INDEX(Helper!$B$2:$B$5,MATCH(cadangan3[[#This Row],[Marketplace]],Helper!$A$2:$A$5,0)),TEXT(cadangan3[[#This Row],[No]],"0000"),"-",TEXT(cadangan3[[#This Row],[Tanggal terjual]],"dd/mm/yy"))</f>
        <v>ORD-SP0351-11/04/23</v>
      </c>
      <c r="C352" t="s">
        <v>58</v>
      </c>
      <c r="D352" t="str">
        <f>IFERROR(INDEX(Katalog!$A$3:$A$12,MATCH(cadangan3[[#This Row],[ItemID A]],Katalog!$C$3:$C$12,0)),"-")</f>
        <v>Pakaian Wanita</v>
      </c>
      <c r="E352" t="str">
        <f>IFERROR(INDEX(Katalog!$B$3:$B$12,MATCH(cadangan3[[#This Row],[ItemID A]],Katalog!$C$3:$C$12,0)),"-")</f>
        <v>Dress</v>
      </c>
      <c r="F352">
        <v>6</v>
      </c>
      <c r="G352">
        <v>5</v>
      </c>
      <c r="H352" s="36">
        <f>IFERROR(INDEX(Katalog!$D$3:$D$12,MATCH(cadangan3[[#This Row],[ItemID A]],Katalog!$C$3:$C$12,0))*cadangan3[[#This Row],[Qty A]],0)</f>
        <v>1800000</v>
      </c>
      <c r="I352" s="36">
        <f>IFERROR(INDEX(Katalog!$D$3:$D$12,MATCH(cadangan3[[#This Row],[Item A]],Katalog!$B$3:$B$12,0))*cadangan3[[#This Row],[Qty A]],0)</f>
        <v>1800000</v>
      </c>
      <c r="J352" s="36">
        <f>IFERROR(cadangan3[[#This Row],[Harga Asli A]]-(cadangan3[[#This Row],[Harga Asli A]]*cadangan3[[#This Row],[Diskon]]),cadangan3[[#This Row],[Harga Asli A]])</f>
        <v>1800000</v>
      </c>
      <c r="K352" s="36">
        <f>INDEX(Katalog!$F$3:$F$12,MATCH(cadangan3[[#This Row],[ItemID A]],Katalog!$C$3:$C$12,0))*cadangan3[[#This Row],[Qty A]]</f>
        <v>600000</v>
      </c>
      <c r="L352" s="36">
        <f>IFERROR(cadangan3[[#This Row],[Profit A]]-(cadangan3[[#This Row],[Profit A]]*cadangan3[[#This Row],[Diskon]]),K352)</f>
        <v>600000</v>
      </c>
      <c r="M352" t="s">
        <v>66</v>
      </c>
      <c r="N352" t="str">
        <f>IFERROR(INDEX(Katalog!$A$3:$A$12,MATCH(cadangan3[[#This Row],[ItemID B]],Katalog!$C$3:$C$12,0)),"-")</f>
        <v>Sepatu Pria</v>
      </c>
      <c r="O352" t="str">
        <f>IFERROR(INDEX(Katalog!$B$3:$B$12,MATCH(cadangan3[[#This Row],[ItemID B]],Katalog!$C$3:$C$12,0)),"-")</f>
        <v>Sandal Slip On</v>
      </c>
      <c r="P352">
        <v>1</v>
      </c>
      <c r="Q352">
        <v>1</v>
      </c>
      <c r="R352" s="36">
        <f>IFERROR(INDEX(Katalog!$D$3:$D$12,MATCH(cadangan3[[#This Row],[ItemID B]],Katalog!$C$3:$C$12,0))*cadangan3[[#This Row],[Qty B]],0)</f>
        <v>150000</v>
      </c>
      <c r="S352" s="36">
        <f>IFERROR(INDEX(Katalog!$D$3:$D$12,MATCH(cadangan3[[#This Row],[Item B]],Katalog!$B$3:$B$12,0))*cadangan3[[#This Row],[Qty B]],0)</f>
        <v>150000</v>
      </c>
      <c r="T352" s="36">
        <f>IFERROR(cadangan3[[#This Row],[Harga Asli B]]-(cadangan3[[#This Row],[Harga Asli B]]*cadangan3[[#This Row],[Diskon]]),cadangan3[[#This Row],[Harga Asli B]])</f>
        <v>150000</v>
      </c>
      <c r="U352" s="36">
        <f>IFERROR(INDEX(Katalog!$F$3:$F$12,MATCH(cadangan3[[#This Row],[ItemID B]],Katalog!$C$3:$C$12,0))*cadangan3[[#This Row],[Qty B]],0)</f>
        <v>60000</v>
      </c>
      <c r="V352" s="36">
        <f>IFERROR(cadangan3[[#This Row],[Profit B]]-(cadangan3[[#This Row],[Profit B]]*cadangan3[[#This Row],[Diskon]]),U352)</f>
        <v>60000</v>
      </c>
      <c r="X352" t="str">
        <f>IFERROR(INDEX(Katalog!$A$3:$A$12,MATCH(cadangan3[[#This Row],[ItemID C]],Katalog!$C$3:$C$12,0)),"-")</f>
        <v>-</v>
      </c>
      <c r="Y352" t="str">
        <f>IFERROR(INDEX(Katalog!$B$3:$B$12,MATCH(cadangan3[[#This Row],[ItemID C]],Katalog!$C$3:$C$12,0)),"-")</f>
        <v>-</v>
      </c>
      <c r="AB352" s="36">
        <f>IFERROR(INDEX(Katalog!$D$3:$D$12,MATCH(cadangan3[[#This Row],[ItemID C]],Katalog!$C$3:$C$12,0))*cadangan3[[#This Row],[Qty C]],0)</f>
        <v>0</v>
      </c>
      <c r="AC352" s="36">
        <f>IFERROR(INDEX(Katalog!$D$3:$D$12,MATCH(cadangan3[[#This Row],[Item C]],Katalog!$B$3:$B$12,0))*cadangan3[[#This Row],[Qty C]],0)</f>
        <v>0</v>
      </c>
      <c r="AD352" s="36">
        <f>IFERROR(cadangan3[[#This Row],[Harga Asli C]]-(cadangan3[[#This Row],[Harga Asli C]]*cadangan3[[#This Row],[Diskon]]),cadangan3[[#This Row],[Harga Asli C]])</f>
        <v>0</v>
      </c>
      <c r="AE352" s="36">
        <f>IFERROR(INDEX(Katalog!$F$3:$F$12,MATCH(cadangan3[[#This Row],[ItemID C]],Katalog!$C$3:$C$12,0))*cadangan3[[#This Row],[Qty C]],0)</f>
        <v>0</v>
      </c>
      <c r="AF352" s="36">
        <f>IFERROR(cadangan3[[#This Row],[Profit C]]-(cadangan3[[#This Row],[Profit C]]*cadangan3[[#This Row],[Diskon]]),cadangan3[[#This Row],[Profit C]])</f>
        <v>0</v>
      </c>
      <c r="AG352" s="21">
        <f>cadangan3[[#This Row],[Qty A]]+cadangan3[[#This Row],[Qty B]]+cadangan3[[#This Row],[Qty C]]</f>
        <v>7</v>
      </c>
      <c r="AH352" s="35">
        <f>cadangan3[[#This Row],[Harga A + Diskon]]+cadangan3[[#This Row],[Harga + Diskon B]]+cadangan3[[#This Row],[Harga + Diskon C]]</f>
        <v>1950000</v>
      </c>
      <c r="AI352" s="35">
        <f>(cadangan3[[#This Row],[Profit A]]+cadangan3[[#This Row],[Profit B]]+cadangan3[[#This Row],[Profit C]])</f>
        <v>660000</v>
      </c>
      <c r="AJ352" s="35">
        <f>cadangan3[[#This Row],[Provit A + Diskon]]+cadangan3[[#This Row],[Provit B + Diskon]]+cadangan3[[#This Row],[Provit C + Diskon]]</f>
        <v>660000</v>
      </c>
      <c r="AK352" s="23" t="s">
        <v>11</v>
      </c>
      <c r="AL352" s="37" t="str">
        <f>IFERROR(INDEX('Kode Diskon'!$D$3:$D$9,MATCH(cadangan3[[#This Row],[Kode diskon]],'Kode Diskon'!$C$3:$C$9,0)),"-")</f>
        <v>-</v>
      </c>
      <c r="AM352" s="23" t="s">
        <v>11</v>
      </c>
      <c r="AN352" s="23" t="s">
        <v>7</v>
      </c>
      <c r="AO352" s="23" t="s">
        <v>80</v>
      </c>
      <c r="AP352" s="24">
        <v>45027</v>
      </c>
      <c r="AQ352" s="23" t="str">
        <f>TEXT(cadangan3[[#This Row],[Tanggal terjual]],"dddd")</f>
        <v>Tuesday</v>
      </c>
    </row>
    <row r="353" spans="1:43" x14ac:dyDescent="0.2">
      <c r="A353" s="20">
        <v>352</v>
      </c>
      <c r="B353" s="21" t="str">
        <f>_xlfn.CONCAT("ORD-",INDEX(Helper!$B$2:$B$5,MATCH(cadangan3[[#This Row],[Marketplace]],Helper!$A$2:$A$5,0)),TEXT(cadangan3[[#This Row],[No]],"0000"),"-",TEXT(cadangan3[[#This Row],[Tanggal terjual]],"dd/mm/yy"))</f>
        <v>ORD-TK0352-06/04/23</v>
      </c>
      <c r="C353" t="s">
        <v>61</v>
      </c>
      <c r="D353" t="str">
        <f>IFERROR(INDEX(Katalog!$A$3:$A$12,MATCH(cadangan3[[#This Row],[ItemID A]],Katalog!$C$3:$C$12,0)),"-")</f>
        <v>Pakaian Pria</v>
      </c>
      <c r="E353" t="str">
        <f>IFERROR(INDEX(Katalog!$B$3:$B$12,MATCH(cadangan3[[#This Row],[ItemID A]],Katalog!$C$3:$C$12,0)),"-")</f>
        <v>Kaos Polo</v>
      </c>
      <c r="F353">
        <v>3</v>
      </c>
      <c r="G353">
        <v>3</v>
      </c>
      <c r="H353" s="36">
        <f>IFERROR(INDEX(Katalog!$D$3:$D$12,MATCH(cadangan3[[#This Row],[ItemID A]],Katalog!$C$3:$C$12,0))*cadangan3[[#This Row],[Qty A]],0)</f>
        <v>600000</v>
      </c>
      <c r="I353" s="36">
        <f>IFERROR(INDEX(Katalog!$D$3:$D$12,MATCH(cadangan3[[#This Row],[Item A]],Katalog!$B$3:$B$12,0))*cadangan3[[#This Row],[Qty A]],0)</f>
        <v>600000</v>
      </c>
      <c r="J353" s="36">
        <f>IFERROR(cadangan3[[#This Row],[Harga Asli A]]-(cadangan3[[#This Row],[Harga Asli A]]*cadangan3[[#This Row],[Diskon]]),cadangan3[[#This Row],[Harga Asli A]])</f>
        <v>540000</v>
      </c>
      <c r="K353" s="36">
        <f>INDEX(Katalog!$F$3:$F$12,MATCH(cadangan3[[#This Row],[ItemID A]],Katalog!$C$3:$C$12,0))*cadangan3[[#This Row],[Qty A]]</f>
        <v>240000</v>
      </c>
      <c r="L353" s="36">
        <f>IFERROR(cadangan3[[#This Row],[Profit A]]-(cadangan3[[#This Row],[Profit A]]*cadangan3[[#This Row],[Diskon]]),K353)</f>
        <v>216000</v>
      </c>
      <c r="N353" t="str">
        <f>IFERROR(INDEX(Katalog!$A$3:$A$12,MATCH(cadangan3[[#This Row],[ItemID B]],Katalog!$C$3:$C$12,0)),"-")</f>
        <v>-</v>
      </c>
      <c r="O353" t="str">
        <f>IFERROR(INDEX(Katalog!$B$3:$B$12,MATCH(cadangan3[[#This Row],[ItemID B]],Katalog!$C$3:$C$12,0)),"-")</f>
        <v>-</v>
      </c>
      <c r="R353" s="36">
        <f>IFERROR(INDEX(Katalog!$D$3:$D$12,MATCH(cadangan3[[#This Row],[ItemID B]],Katalog!$C$3:$C$12,0))*cadangan3[[#This Row],[Qty B]],0)</f>
        <v>0</v>
      </c>
      <c r="S353" s="36">
        <f>IFERROR(INDEX(Katalog!$D$3:$D$12,MATCH(cadangan3[[#This Row],[Item B]],Katalog!$B$3:$B$12,0))*cadangan3[[#This Row],[Qty B]],0)</f>
        <v>0</v>
      </c>
      <c r="T353" s="36">
        <f>IFERROR(cadangan3[[#This Row],[Harga Asli B]]-(cadangan3[[#This Row],[Harga Asli B]]*cadangan3[[#This Row],[Diskon]]),cadangan3[[#This Row],[Harga Asli B]])</f>
        <v>0</v>
      </c>
      <c r="U353" s="36">
        <f>IFERROR(INDEX(Katalog!$F$3:$F$12,MATCH(cadangan3[[#This Row],[ItemID B]],Katalog!$C$3:$C$12,0))*cadangan3[[#This Row],[Qty B]],0)</f>
        <v>0</v>
      </c>
      <c r="V353" s="36">
        <f>IFERROR(cadangan3[[#This Row],[Profit B]]-(cadangan3[[#This Row],[Profit B]]*cadangan3[[#This Row],[Diskon]]),U353)</f>
        <v>0</v>
      </c>
      <c r="X353" t="str">
        <f>IFERROR(INDEX(Katalog!$A$3:$A$12,MATCH(cadangan3[[#This Row],[ItemID C]],Katalog!$C$3:$C$12,0)),"-")</f>
        <v>-</v>
      </c>
      <c r="Y353" t="str">
        <f>IFERROR(INDEX(Katalog!$B$3:$B$12,MATCH(cadangan3[[#This Row],[ItemID C]],Katalog!$C$3:$C$12,0)),"-")</f>
        <v>-</v>
      </c>
      <c r="AB353" s="36">
        <f>IFERROR(INDEX(Katalog!$D$3:$D$12,MATCH(cadangan3[[#This Row],[ItemID C]],Katalog!$C$3:$C$12,0))*cadangan3[[#This Row],[Qty C]],0)</f>
        <v>0</v>
      </c>
      <c r="AC353" s="36">
        <f>IFERROR(INDEX(Katalog!$D$3:$D$12,MATCH(cadangan3[[#This Row],[Item C]],Katalog!$B$3:$B$12,0))*cadangan3[[#This Row],[Qty C]],0)</f>
        <v>0</v>
      </c>
      <c r="AD353" s="36">
        <f>IFERROR(cadangan3[[#This Row],[Harga Asli C]]-(cadangan3[[#This Row],[Harga Asli C]]*cadangan3[[#This Row],[Diskon]]),cadangan3[[#This Row],[Harga Asli C]])</f>
        <v>0</v>
      </c>
      <c r="AE353" s="36">
        <f>IFERROR(INDEX(Katalog!$F$3:$F$12,MATCH(cadangan3[[#This Row],[ItemID C]],Katalog!$C$3:$C$12,0))*cadangan3[[#This Row],[Qty C]],0)</f>
        <v>0</v>
      </c>
      <c r="AF353" s="36">
        <f>IFERROR(cadangan3[[#This Row],[Profit C]]-(cadangan3[[#This Row],[Profit C]]*cadangan3[[#This Row],[Diskon]]),cadangan3[[#This Row],[Profit C]])</f>
        <v>0</v>
      </c>
      <c r="AG353" s="21">
        <f>cadangan3[[#This Row],[Qty A]]+cadangan3[[#This Row],[Qty B]]+cadangan3[[#This Row],[Qty C]]</f>
        <v>3</v>
      </c>
      <c r="AH353" s="35">
        <f>cadangan3[[#This Row],[Harga A + Diskon]]+cadangan3[[#This Row],[Harga + Diskon B]]+cadangan3[[#This Row],[Harga + Diskon C]]</f>
        <v>540000</v>
      </c>
      <c r="AI353" s="35">
        <f>(cadangan3[[#This Row],[Profit A]]+cadangan3[[#This Row],[Profit B]]+cadangan3[[#This Row],[Profit C]])</f>
        <v>240000</v>
      </c>
      <c r="AJ353" s="35">
        <f>cadangan3[[#This Row],[Provit A + Diskon]]+cadangan3[[#This Row],[Provit B + Diskon]]+cadangan3[[#This Row],[Provit C + Diskon]]</f>
        <v>216000</v>
      </c>
      <c r="AK353" s="23" t="s">
        <v>30</v>
      </c>
      <c r="AL353" s="37">
        <f>IFERROR(INDEX('Kode Diskon'!$D$3:$D$9,MATCH(cadangan3[[#This Row],[Kode diskon]],'Kode Diskon'!$C$3:$C$9,0)),"-")</f>
        <v>0.1</v>
      </c>
      <c r="AM353" s="23" t="s">
        <v>29</v>
      </c>
      <c r="AN353" s="23" t="s">
        <v>10</v>
      </c>
      <c r="AO353" s="23" t="s">
        <v>75</v>
      </c>
      <c r="AP353" s="24">
        <v>45022</v>
      </c>
      <c r="AQ353" s="23" t="str">
        <f>TEXT(cadangan3[[#This Row],[Tanggal terjual]],"dddd")</f>
        <v>Thursday</v>
      </c>
    </row>
    <row r="354" spans="1:43" x14ac:dyDescent="0.2">
      <c r="A354" s="20">
        <v>353</v>
      </c>
      <c r="B354" s="21" t="str">
        <f>_xlfn.CONCAT("ORD-",INDEX(Helper!$B$2:$B$5,MATCH(cadangan3[[#This Row],[Marketplace]],Helper!$A$2:$A$5,0)),TEXT(cadangan3[[#This Row],[No]],"0000"),"-",TEXT(cadangan3[[#This Row],[Tanggal terjual]],"dd/mm/yy"))</f>
        <v>ORD-BL0353-17/04/23</v>
      </c>
      <c r="C354" t="s">
        <v>64</v>
      </c>
      <c r="D354" t="str">
        <f>IFERROR(INDEX(Katalog!$A$3:$A$12,MATCH(cadangan3[[#This Row],[ItemID A]],Katalog!$C$3:$C$12,0)),"-")</f>
        <v>Pakaian Unisex</v>
      </c>
      <c r="E354" t="str">
        <f>IFERROR(INDEX(Katalog!$B$3:$B$12,MATCH(cadangan3[[#This Row],[ItemID A]],Katalog!$C$3:$C$12,0)),"-")</f>
        <v>Jaket Hoodie</v>
      </c>
      <c r="F354">
        <v>1</v>
      </c>
      <c r="G354">
        <v>3</v>
      </c>
      <c r="H354" s="36">
        <f>IFERROR(INDEX(Katalog!$D$3:$D$12,MATCH(cadangan3[[#This Row],[ItemID A]],Katalog!$C$3:$C$12,0))*cadangan3[[#This Row],[Qty A]],0)</f>
        <v>350000</v>
      </c>
      <c r="I354" s="36">
        <f>IFERROR(INDEX(Katalog!$D$3:$D$12,MATCH(cadangan3[[#This Row],[Item A]],Katalog!$B$3:$B$12,0))*cadangan3[[#This Row],[Qty A]],0)</f>
        <v>350000</v>
      </c>
      <c r="J354" s="36">
        <f>IFERROR(cadangan3[[#This Row],[Harga Asli A]]-(cadangan3[[#This Row],[Harga Asli A]]*cadangan3[[#This Row],[Diskon]]),cadangan3[[#This Row],[Harga Asli A]])</f>
        <v>297500</v>
      </c>
      <c r="K354" s="36">
        <f>INDEX(Katalog!$F$3:$F$12,MATCH(cadangan3[[#This Row],[ItemID A]],Katalog!$C$3:$C$12,0))*cadangan3[[#This Row],[Qty A]]</f>
        <v>130000</v>
      </c>
      <c r="L354" s="36">
        <f>IFERROR(cadangan3[[#This Row],[Profit A]]-(cadangan3[[#This Row],[Profit A]]*cadangan3[[#This Row],[Diskon]]),K354)</f>
        <v>110500</v>
      </c>
      <c r="M354" t="s">
        <v>66</v>
      </c>
      <c r="N354" t="str">
        <f>IFERROR(INDEX(Katalog!$A$3:$A$12,MATCH(cadangan3[[#This Row],[ItemID B]],Katalog!$C$3:$C$12,0)),"-")</f>
        <v>Sepatu Pria</v>
      </c>
      <c r="O354" t="str">
        <f>IFERROR(INDEX(Katalog!$B$3:$B$12,MATCH(cadangan3[[#This Row],[ItemID B]],Katalog!$C$3:$C$12,0)),"-")</f>
        <v>Sandal Slip On</v>
      </c>
      <c r="P354">
        <v>1</v>
      </c>
      <c r="Q354">
        <v>1</v>
      </c>
      <c r="R354" s="36">
        <f>IFERROR(INDEX(Katalog!$D$3:$D$12,MATCH(cadangan3[[#This Row],[ItemID B]],Katalog!$C$3:$C$12,0))*cadangan3[[#This Row],[Qty B]],0)</f>
        <v>150000</v>
      </c>
      <c r="S354" s="36">
        <f>IFERROR(INDEX(Katalog!$D$3:$D$12,MATCH(cadangan3[[#This Row],[Item B]],Katalog!$B$3:$B$12,0))*cadangan3[[#This Row],[Qty B]],0)</f>
        <v>150000</v>
      </c>
      <c r="T354" s="36">
        <f>IFERROR(cadangan3[[#This Row],[Harga Asli B]]-(cadangan3[[#This Row],[Harga Asli B]]*cadangan3[[#This Row],[Diskon]]),cadangan3[[#This Row],[Harga Asli B]])</f>
        <v>127500</v>
      </c>
      <c r="U354" s="36">
        <f>IFERROR(INDEX(Katalog!$F$3:$F$12,MATCH(cadangan3[[#This Row],[ItemID B]],Katalog!$C$3:$C$12,0))*cadangan3[[#This Row],[Qty B]],0)</f>
        <v>60000</v>
      </c>
      <c r="V354" s="36">
        <f>IFERROR(cadangan3[[#This Row],[Profit B]]-(cadangan3[[#This Row],[Profit B]]*cadangan3[[#This Row],[Diskon]]),U354)</f>
        <v>51000</v>
      </c>
      <c r="X354" t="str">
        <f>IFERROR(INDEX(Katalog!$A$3:$A$12,MATCH(cadangan3[[#This Row],[ItemID C]],Katalog!$C$3:$C$12,0)),"-")</f>
        <v>-</v>
      </c>
      <c r="Y354" t="str">
        <f>IFERROR(INDEX(Katalog!$B$3:$B$12,MATCH(cadangan3[[#This Row],[ItemID C]],Katalog!$C$3:$C$12,0)),"-")</f>
        <v>-</v>
      </c>
      <c r="AB354" s="36">
        <f>IFERROR(INDEX(Katalog!$D$3:$D$12,MATCH(cadangan3[[#This Row],[ItemID C]],Katalog!$C$3:$C$12,0))*cadangan3[[#This Row],[Qty C]],0)</f>
        <v>0</v>
      </c>
      <c r="AC354" s="36">
        <f>IFERROR(INDEX(Katalog!$D$3:$D$12,MATCH(cadangan3[[#This Row],[Item C]],Katalog!$B$3:$B$12,0))*cadangan3[[#This Row],[Qty C]],0)</f>
        <v>0</v>
      </c>
      <c r="AD354" s="36">
        <f>IFERROR(cadangan3[[#This Row],[Harga Asli C]]-(cadangan3[[#This Row],[Harga Asli C]]*cadangan3[[#This Row],[Diskon]]),cadangan3[[#This Row],[Harga Asli C]])</f>
        <v>0</v>
      </c>
      <c r="AE354" s="36">
        <f>IFERROR(INDEX(Katalog!$F$3:$F$12,MATCH(cadangan3[[#This Row],[ItemID C]],Katalog!$C$3:$C$12,0))*cadangan3[[#This Row],[Qty C]],0)</f>
        <v>0</v>
      </c>
      <c r="AF354" s="36">
        <f>IFERROR(cadangan3[[#This Row],[Profit C]]-(cadangan3[[#This Row],[Profit C]]*cadangan3[[#This Row],[Diskon]]),cadangan3[[#This Row],[Profit C]])</f>
        <v>0</v>
      </c>
      <c r="AG354" s="21">
        <f>cadangan3[[#This Row],[Qty A]]+cadangan3[[#This Row],[Qty B]]+cadangan3[[#This Row],[Qty C]]</f>
        <v>2</v>
      </c>
      <c r="AH354" s="35">
        <f>cadangan3[[#This Row],[Harga A + Diskon]]+cadangan3[[#This Row],[Harga + Diskon B]]+cadangan3[[#This Row],[Harga + Diskon C]]</f>
        <v>425000</v>
      </c>
      <c r="AI354" s="35">
        <f>(cadangan3[[#This Row],[Profit A]]+cadangan3[[#This Row],[Profit B]]+cadangan3[[#This Row],[Profit C]])</f>
        <v>190000</v>
      </c>
      <c r="AJ354" s="35">
        <f>cadangan3[[#This Row],[Provit A + Diskon]]+cadangan3[[#This Row],[Provit B + Diskon]]+cadangan3[[#This Row],[Provit C + Diskon]]</f>
        <v>161500</v>
      </c>
      <c r="AK354" s="23" t="s">
        <v>32</v>
      </c>
      <c r="AL354" s="37">
        <f>IFERROR(INDEX('Kode Diskon'!$D$3:$D$9,MATCH(cadangan3[[#This Row],[Kode diskon]],'Kode Diskon'!$C$3:$C$9,0)),"-")</f>
        <v>0.15</v>
      </c>
      <c r="AM354" s="23" t="s">
        <v>9</v>
      </c>
      <c r="AN354" s="23" t="s">
        <v>12</v>
      </c>
      <c r="AO354" s="23" t="s">
        <v>80</v>
      </c>
      <c r="AP354" s="24">
        <v>45033</v>
      </c>
      <c r="AQ354" s="23" t="str">
        <f>TEXT(cadangan3[[#This Row],[Tanggal terjual]],"dddd")</f>
        <v>Monday</v>
      </c>
    </row>
    <row r="355" spans="1:43" x14ac:dyDescent="0.2">
      <c r="A355" s="20">
        <v>354</v>
      </c>
      <c r="B355" s="21" t="str">
        <f>_xlfn.CONCAT("ORD-",INDEX(Helper!$B$2:$B$5,MATCH(cadangan3[[#This Row],[Marketplace]],Helper!$A$2:$A$5,0)),TEXT(cadangan3[[#This Row],[No]],"0000"),"-",TEXT(cadangan3[[#This Row],[Tanggal terjual]],"dd/mm/yy"))</f>
        <v>ORD-TK0354-02/04/23</v>
      </c>
      <c r="C355" t="s">
        <v>65</v>
      </c>
      <c r="D355" t="str">
        <f>IFERROR(INDEX(Katalog!$A$3:$A$12,MATCH(cadangan3[[#This Row],[ItemID A]],Katalog!$C$3:$C$12,0)),"-")</f>
        <v>Sepatu Pria</v>
      </c>
      <c r="E355" t="str">
        <f>IFERROR(INDEX(Katalog!$B$3:$B$12,MATCH(cadangan3[[#This Row],[ItemID A]],Katalog!$C$3:$C$12,0)),"-")</f>
        <v>Sneakers</v>
      </c>
      <c r="F355">
        <v>3</v>
      </c>
      <c r="G355">
        <v>3</v>
      </c>
      <c r="H355" s="36">
        <f>IFERROR(INDEX(Katalog!$D$3:$D$12,MATCH(cadangan3[[#This Row],[ItemID A]],Katalog!$C$3:$C$12,0))*cadangan3[[#This Row],[Qty A]],0)</f>
        <v>1500000</v>
      </c>
      <c r="I355" s="36">
        <f>IFERROR(INDEX(Katalog!$D$3:$D$12,MATCH(cadangan3[[#This Row],[Item A]],Katalog!$B$3:$B$12,0))*cadangan3[[#This Row],[Qty A]],0)</f>
        <v>1500000</v>
      </c>
      <c r="J355" s="36">
        <f>IFERROR(cadangan3[[#This Row],[Harga Asli A]]-(cadangan3[[#This Row],[Harga Asli A]]*cadangan3[[#This Row],[Diskon]]),cadangan3[[#This Row],[Harga Asli A]])</f>
        <v>1350000</v>
      </c>
      <c r="K355" s="36">
        <f>INDEX(Katalog!$F$3:$F$12,MATCH(cadangan3[[#This Row],[ItemID A]],Katalog!$C$3:$C$12,0))*cadangan3[[#This Row],[Qty A]]</f>
        <v>600000</v>
      </c>
      <c r="L355" s="36">
        <f>IFERROR(cadangan3[[#This Row],[Profit A]]-(cadangan3[[#This Row],[Profit A]]*cadangan3[[#This Row],[Diskon]]),K355)</f>
        <v>540000</v>
      </c>
      <c r="M355" t="s">
        <v>58</v>
      </c>
      <c r="N355" t="str">
        <f>IFERROR(INDEX(Katalog!$A$3:$A$12,MATCH(cadangan3[[#This Row],[ItemID B]],Katalog!$C$3:$C$12,0)),"-")</f>
        <v>Pakaian Wanita</v>
      </c>
      <c r="O355" t="str">
        <f>IFERROR(INDEX(Katalog!$B$3:$B$12,MATCH(cadangan3[[#This Row],[ItemID B]],Katalog!$C$3:$C$12,0)),"-")</f>
        <v>Dress</v>
      </c>
      <c r="P355">
        <v>1</v>
      </c>
      <c r="Q355">
        <v>1</v>
      </c>
      <c r="R355" s="36">
        <f>IFERROR(INDEX(Katalog!$D$3:$D$12,MATCH(cadangan3[[#This Row],[ItemID B]],Katalog!$C$3:$C$12,0))*cadangan3[[#This Row],[Qty B]],0)</f>
        <v>300000</v>
      </c>
      <c r="S355" s="36">
        <f>IFERROR(INDEX(Katalog!$D$3:$D$12,MATCH(cadangan3[[#This Row],[Item B]],Katalog!$B$3:$B$12,0))*cadangan3[[#This Row],[Qty B]],0)</f>
        <v>300000</v>
      </c>
      <c r="T355" s="36">
        <f>IFERROR(cadangan3[[#This Row],[Harga Asli B]]-(cadangan3[[#This Row],[Harga Asli B]]*cadangan3[[#This Row],[Diskon]]),cadangan3[[#This Row],[Harga Asli B]])</f>
        <v>270000</v>
      </c>
      <c r="U355" s="36">
        <f>IFERROR(INDEX(Katalog!$F$3:$F$12,MATCH(cadangan3[[#This Row],[ItemID B]],Katalog!$C$3:$C$12,0))*cadangan3[[#This Row],[Qty B]],0)</f>
        <v>100000</v>
      </c>
      <c r="V355" s="36">
        <f>IFERROR(cadangan3[[#This Row],[Profit B]]-(cadangan3[[#This Row],[Profit B]]*cadangan3[[#This Row],[Diskon]]),U355)</f>
        <v>90000</v>
      </c>
      <c r="W355" t="s">
        <v>67</v>
      </c>
      <c r="X355" t="str">
        <f>IFERROR(INDEX(Katalog!$A$3:$A$12,MATCH(cadangan3[[#This Row],[ItemID C]],Katalog!$C$3:$C$12,0)),"-")</f>
        <v>Sepatu Wanita</v>
      </c>
      <c r="Y355" t="str">
        <f>IFERROR(INDEX(Katalog!$B$3:$B$12,MATCH(cadangan3[[#This Row],[ItemID C]],Katalog!$C$3:$C$12,0)),"-")</f>
        <v>Flat Shoes</v>
      </c>
      <c r="Z355">
        <v>1</v>
      </c>
      <c r="AA355">
        <v>1</v>
      </c>
      <c r="AB355" s="36">
        <f>IFERROR(INDEX(Katalog!$D$3:$D$12,MATCH(cadangan3[[#This Row],[ItemID C]],Katalog!$C$3:$C$12,0))*cadangan3[[#This Row],[Qty C]],0)</f>
        <v>250000</v>
      </c>
      <c r="AC355" s="36">
        <f>IFERROR(INDEX(Katalog!$D$3:$D$12,MATCH(cadangan3[[#This Row],[Item C]],Katalog!$B$3:$B$12,0))*cadangan3[[#This Row],[Qty C]],0)</f>
        <v>250000</v>
      </c>
      <c r="AD355" s="36">
        <f>IFERROR(cadangan3[[#This Row],[Harga Asli C]]-(cadangan3[[#This Row],[Harga Asli C]]*cadangan3[[#This Row],[Diskon]]),cadangan3[[#This Row],[Harga Asli C]])</f>
        <v>225000</v>
      </c>
      <c r="AE355" s="36">
        <f>IFERROR(INDEX(Katalog!$F$3:$F$12,MATCH(cadangan3[[#This Row],[ItemID C]],Katalog!$C$3:$C$12,0))*cadangan3[[#This Row],[Qty C]],0)</f>
        <v>100000</v>
      </c>
      <c r="AF355" s="36">
        <f>IFERROR(cadangan3[[#This Row],[Profit C]]-(cadangan3[[#This Row],[Profit C]]*cadangan3[[#This Row],[Diskon]]),cadangan3[[#This Row],[Profit C]])</f>
        <v>90000</v>
      </c>
      <c r="AG355" s="21">
        <f>cadangan3[[#This Row],[Qty A]]+cadangan3[[#This Row],[Qty B]]+cadangan3[[#This Row],[Qty C]]</f>
        <v>5</v>
      </c>
      <c r="AH355" s="35">
        <f>cadangan3[[#This Row],[Harga A + Diskon]]+cadangan3[[#This Row],[Harga + Diskon B]]+cadangan3[[#This Row],[Harga + Diskon C]]</f>
        <v>1845000</v>
      </c>
      <c r="AI355" s="35">
        <f>(cadangan3[[#This Row],[Profit A]]+cadangan3[[#This Row],[Profit B]]+cadangan3[[#This Row],[Profit C]])</f>
        <v>800000</v>
      </c>
      <c r="AJ355" s="35">
        <f>cadangan3[[#This Row],[Provit A + Diskon]]+cadangan3[[#This Row],[Provit B + Diskon]]+cadangan3[[#This Row],[Provit C + Diskon]]</f>
        <v>720000</v>
      </c>
      <c r="AK355" s="23" t="s">
        <v>30</v>
      </c>
      <c r="AL355" s="37">
        <f>IFERROR(INDEX('Kode Diskon'!$D$3:$D$9,MATCH(cadangan3[[#This Row],[Kode diskon]],'Kode Diskon'!$C$3:$C$9,0)),"-")</f>
        <v>0.1</v>
      </c>
      <c r="AM355" s="23" t="s">
        <v>29</v>
      </c>
      <c r="AN355" s="23" t="s">
        <v>10</v>
      </c>
      <c r="AO355" s="23" t="s">
        <v>80</v>
      </c>
      <c r="AP355" s="24">
        <v>45018</v>
      </c>
      <c r="AQ355" s="23" t="str">
        <f>TEXT(cadangan3[[#This Row],[Tanggal terjual]],"dddd")</f>
        <v>Sunday</v>
      </c>
    </row>
    <row r="356" spans="1:43" x14ac:dyDescent="0.2">
      <c r="A356" s="20">
        <v>355</v>
      </c>
      <c r="B356" s="21" t="str">
        <f>_xlfn.CONCAT("ORD-",INDEX(Helper!$B$2:$B$5,MATCH(cadangan3[[#This Row],[Marketplace]],Helper!$A$2:$A$5,0)),TEXT(cadangan3[[#This Row],[No]],"0000"),"-",TEXT(cadangan3[[#This Row],[Tanggal terjual]],"dd/mm/yy"))</f>
        <v>ORD-SP0355-19/04/23</v>
      </c>
      <c r="C356" t="s">
        <v>64</v>
      </c>
      <c r="D356" t="str">
        <f>IFERROR(INDEX(Katalog!$A$3:$A$12,MATCH(cadangan3[[#This Row],[ItemID A]],Katalog!$C$3:$C$12,0)),"-")</f>
        <v>Pakaian Unisex</v>
      </c>
      <c r="E356" t="str">
        <f>IFERROR(INDEX(Katalog!$B$3:$B$12,MATCH(cadangan3[[#This Row],[ItemID A]],Katalog!$C$3:$C$12,0)),"-")</f>
        <v>Jaket Hoodie</v>
      </c>
      <c r="F356">
        <v>4</v>
      </c>
      <c r="G356">
        <v>1</v>
      </c>
      <c r="H356" s="36">
        <f>IFERROR(INDEX(Katalog!$D$3:$D$12,MATCH(cadangan3[[#This Row],[ItemID A]],Katalog!$C$3:$C$12,0))*cadangan3[[#This Row],[Qty A]],0)</f>
        <v>1400000</v>
      </c>
      <c r="I356" s="36">
        <f>IFERROR(INDEX(Katalog!$D$3:$D$12,MATCH(cadangan3[[#This Row],[Item A]],Katalog!$B$3:$B$12,0))*cadangan3[[#This Row],[Qty A]],0)</f>
        <v>1400000</v>
      </c>
      <c r="J356" s="36">
        <f>IFERROR(cadangan3[[#This Row],[Harga Asli A]]-(cadangan3[[#This Row],[Harga Asli A]]*cadangan3[[#This Row],[Diskon]]),cadangan3[[#This Row],[Harga Asli A]])</f>
        <v>1120000</v>
      </c>
      <c r="K356" s="36">
        <f>INDEX(Katalog!$F$3:$F$12,MATCH(cadangan3[[#This Row],[ItemID A]],Katalog!$C$3:$C$12,0))*cadangan3[[#This Row],[Qty A]]</f>
        <v>520000</v>
      </c>
      <c r="L356" s="36">
        <f>IFERROR(cadangan3[[#This Row],[Profit A]]-(cadangan3[[#This Row],[Profit A]]*cadangan3[[#This Row],[Diskon]]),K356)</f>
        <v>416000</v>
      </c>
      <c r="M356" t="s">
        <v>59</v>
      </c>
      <c r="N356" t="str">
        <f>IFERROR(INDEX(Katalog!$A$3:$A$12,MATCH(cadangan3[[#This Row],[ItemID B]],Katalog!$C$3:$C$12,0)),"-")</f>
        <v>Pakaian Wanita</v>
      </c>
      <c r="O356" t="str">
        <f>IFERROR(INDEX(Katalog!$B$3:$B$12,MATCH(cadangan3[[#This Row],[ItemID B]],Katalog!$C$3:$C$12,0)),"-")</f>
        <v>Blouse</v>
      </c>
      <c r="P356">
        <v>1</v>
      </c>
      <c r="Q356">
        <v>2</v>
      </c>
      <c r="R356" s="36">
        <f>IFERROR(INDEX(Katalog!$D$3:$D$12,MATCH(cadangan3[[#This Row],[ItemID B]],Katalog!$C$3:$C$12,0))*cadangan3[[#This Row],[Qty B]],0)</f>
        <v>150000</v>
      </c>
      <c r="S356" s="36">
        <f>IFERROR(INDEX(Katalog!$D$3:$D$12,MATCH(cadangan3[[#This Row],[Item B]],Katalog!$B$3:$B$12,0))*cadangan3[[#This Row],[Qty B]],0)</f>
        <v>150000</v>
      </c>
      <c r="T356" s="36">
        <f>IFERROR(cadangan3[[#This Row],[Harga Asli B]]-(cadangan3[[#This Row],[Harga Asli B]]*cadangan3[[#This Row],[Diskon]]),cadangan3[[#This Row],[Harga Asli B]])</f>
        <v>120000</v>
      </c>
      <c r="U356" s="36">
        <f>IFERROR(INDEX(Katalog!$F$3:$F$12,MATCH(cadangan3[[#This Row],[ItemID B]],Katalog!$C$3:$C$12,0))*cadangan3[[#This Row],[Qty B]],0)</f>
        <v>50000</v>
      </c>
      <c r="V356" s="36">
        <f>IFERROR(cadangan3[[#This Row],[Profit B]]-(cadangan3[[#This Row],[Profit B]]*cadangan3[[#This Row],[Diskon]]),U356)</f>
        <v>40000</v>
      </c>
      <c r="W356" t="s">
        <v>58</v>
      </c>
      <c r="X356" t="str">
        <f>IFERROR(INDEX(Katalog!$A$3:$A$12,MATCH(cadangan3[[#This Row],[ItemID C]],Katalog!$C$3:$C$12,0)),"-")</f>
        <v>Pakaian Wanita</v>
      </c>
      <c r="Y356" t="str">
        <f>IFERROR(INDEX(Katalog!$B$3:$B$12,MATCH(cadangan3[[#This Row],[ItemID C]],Katalog!$C$3:$C$12,0)),"-")</f>
        <v>Dress</v>
      </c>
      <c r="Z356">
        <v>1</v>
      </c>
      <c r="AA356">
        <v>2</v>
      </c>
      <c r="AB356" s="36">
        <f>IFERROR(INDEX(Katalog!$D$3:$D$12,MATCH(cadangan3[[#This Row],[ItemID C]],Katalog!$C$3:$C$12,0))*cadangan3[[#This Row],[Qty C]],0)</f>
        <v>300000</v>
      </c>
      <c r="AC356" s="36">
        <f>IFERROR(INDEX(Katalog!$D$3:$D$12,MATCH(cadangan3[[#This Row],[Item C]],Katalog!$B$3:$B$12,0))*cadangan3[[#This Row],[Qty C]],0)</f>
        <v>300000</v>
      </c>
      <c r="AD356" s="36">
        <f>IFERROR(cadangan3[[#This Row],[Harga Asli C]]-(cadangan3[[#This Row],[Harga Asli C]]*cadangan3[[#This Row],[Diskon]]),cadangan3[[#This Row],[Harga Asli C]])</f>
        <v>240000</v>
      </c>
      <c r="AE356" s="36">
        <f>IFERROR(INDEX(Katalog!$F$3:$F$12,MATCH(cadangan3[[#This Row],[ItemID C]],Katalog!$C$3:$C$12,0))*cadangan3[[#This Row],[Qty C]],0)</f>
        <v>100000</v>
      </c>
      <c r="AF356" s="36">
        <f>IFERROR(cadangan3[[#This Row],[Profit C]]-(cadangan3[[#This Row],[Profit C]]*cadangan3[[#This Row],[Diskon]]),cadangan3[[#This Row],[Profit C]])</f>
        <v>80000</v>
      </c>
      <c r="AG356" s="21">
        <f>cadangan3[[#This Row],[Qty A]]+cadangan3[[#This Row],[Qty B]]+cadangan3[[#This Row],[Qty C]]</f>
        <v>6</v>
      </c>
      <c r="AH356" s="35">
        <f>cadangan3[[#This Row],[Harga A + Diskon]]+cadangan3[[#This Row],[Harga + Diskon B]]+cadangan3[[#This Row],[Harga + Diskon C]]</f>
        <v>1480000</v>
      </c>
      <c r="AI356" s="35">
        <f>(cadangan3[[#This Row],[Profit A]]+cadangan3[[#This Row],[Profit B]]+cadangan3[[#This Row],[Profit C]])</f>
        <v>670000</v>
      </c>
      <c r="AJ356" s="35">
        <f>cadangan3[[#This Row],[Provit A + Diskon]]+cadangan3[[#This Row],[Provit B + Diskon]]+cadangan3[[#This Row],[Provit C + Diskon]]</f>
        <v>536000</v>
      </c>
      <c r="AK356" s="23" t="s">
        <v>8</v>
      </c>
      <c r="AL356" s="37">
        <f>IFERROR(INDEX('Kode Diskon'!$D$3:$D$9,MATCH(cadangan3[[#This Row],[Kode diskon]],'Kode Diskon'!$C$3:$C$9,0)),"-")</f>
        <v>0.2</v>
      </c>
      <c r="AM356" s="23" t="s">
        <v>9</v>
      </c>
      <c r="AN356" s="23" t="s">
        <v>7</v>
      </c>
      <c r="AO356" s="23" t="s">
        <v>75</v>
      </c>
      <c r="AP356" s="24">
        <v>45035</v>
      </c>
      <c r="AQ356" s="23" t="str">
        <f>TEXT(cadangan3[[#This Row],[Tanggal terjual]],"dddd")</f>
        <v>Wednesday</v>
      </c>
    </row>
    <row r="357" spans="1:43" x14ac:dyDescent="0.2">
      <c r="A357" s="20">
        <v>356</v>
      </c>
      <c r="B357" s="21" t="str">
        <f>_xlfn.CONCAT("ORD-",INDEX(Helper!$B$2:$B$5,MATCH(cadangan3[[#This Row],[Marketplace]],Helper!$A$2:$A$5,0)),TEXT(cadangan3[[#This Row],[No]],"0000"),"-",TEXT(cadangan3[[#This Row],[Tanggal terjual]],"dd/mm/yy"))</f>
        <v>ORD-SP0356-26/04/23</v>
      </c>
      <c r="C357" t="s">
        <v>62</v>
      </c>
      <c r="D357" t="str">
        <f>IFERROR(INDEX(Katalog!$A$3:$A$12,MATCH(cadangan3[[#This Row],[ItemID A]],Katalog!$C$3:$C$12,0)),"-")</f>
        <v>Pakaian Pria</v>
      </c>
      <c r="E357" t="str">
        <f>IFERROR(INDEX(Katalog!$B$3:$B$12,MATCH(cadangan3[[#This Row],[ItemID A]],Katalog!$C$3:$C$12,0)),"-")</f>
        <v>Celana Pendek</v>
      </c>
      <c r="F357">
        <v>1</v>
      </c>
      <c r="G357">
        <v>1</v>
      </c>
      <c r="H357" s="36">
        <f>IFERROR(INDEX(Katalog!$D$3:$D$12,MATCH(cadangan3[[#This Row],[ItemID A]],Katalog!$C$3:$C$12,0))*cadangan3[[#This Row],[Qty A]],0)</f>
        <v>180000</v>
      </c>
      <c r="I357" s="36">
        <f>IFERROR(INDEX(Katalog!$D$3:$D$12,MATCH(cadangan3[[#This Row],[Item A]],Katalog!$B$3:$B$12,0))*cadangan3[[#This Row],[Qty A]],0)</f>
        <v>180000</v>
      </c>
      <c r="J357" s="36">
        <f>IFERROR(cadangan3[[#This Row],[Harga Asli A]]-(cadangan3[[#This Row],[Harga Asli A]]*cadangan3[[#This Row],[Diskon]]),cadangan3[[#This Row],[Harga Asli A]])</f>
        <v>144000</v>
      </c>
      <c r="K357" s="36">
        <f>INDEX(Katalog!$F$3:$F$12,MATCH(cadangan3[[#This Row],[ItemID A]],Katalog!$C$3:$C$12,0))*cadangan3[[#This Row],[Qty A]]</f>
        <v>70000</v>
      </c>
      <c r="L357" s="36">
        <f>IFERROR(cadangan3[[#This Row],[Profit A]]-(cadangan3[[#This Row],[Profit A]]*cadangan3[[#This Row],[Diskon]]),K357)</f>
        <v>56000</v>
      </c>
      <c r="M357" t="s">
        <v>66</v>
      </c>
      <c r="N357" t="str">
        <f>IFERROR(INDEX(Katalog!$A$3:$A$12,MATCH(cadangan3[[#This Row],[ItemID B]],Katalog!$C$3:$C$12,0)),"-")</f>
        <v>Sepatu Pria</v>
      </c>
      <c r="O357" t="str">
        <f>IFERROR(INDEX(Katalog!$B$3:$B$12,MATCH(cadangan3[[#This Row],[ItemID B]],Katalog!$C$3:$C$12,0)),"-")</f>
        <v>Sandal Slip On</v>
      </c>
      <c r="P357">
        <v>1</v>
      </c>
      <c r="Q357">
        <v>1</v>
      </c>
      <c r="R357" s="36">
        <f>IFERROR(INDEX(Katalog!$D$3:$D$12,MATCH(cadangan3[[#This Row],[ItemID B]],Katalog!$C$3:$C$12,0))*cadangan3[[#This Row],[Qty B]],0)</f>
        <v>150000</v>
      </c>
      <c r="S357" s="36">
        <f>IFERROR(INDEX(Katalog!$D$3:$D$12,MATCH(cadangan3[[#This Row],[Item B]],Katalog!$B$3:$B$12,0))*cadangan3[[#This Row],[Qty B]],0)</f>
        <v>150000</v>
      </c>
      <c r="T357" s="36">
        <f>IFERROR(cadangan3[[#This Row],[Harga Asli B]]-(cadangan3[[#This Row],[Harga Asli B]]*cadangan3[[#This Row],[Diskon]]),cadangan3[[#This Row],[Harga Asli B]])</f>
        <v>120000</v>
      </c>
      <c r="U357" s="36">
        <f>IFERROR(INDEX(Katalog!$F$3:$F$12,MATCH(cadangan3[[#This Row],[ItemID B]],Katalog!$C$3:$C$12,0))*cadangan3[[#This Row],[Qty B]],0)</f>
        <v>60000</v>
      </c>
      <c r="V357" s="36">
        <f>IFERROR(cadangan3[[#This Row],[Profit B]]-(cadangan3[[#This Row],[Profit B]]*cadangan3[[#This Row],[Diskon]]),U357)</f>
        <v>48000</v>
      </c>
      <c r="W357" t="s">
        <v>64</v>
      </c>
      <c r="X357" t="str">
        <f>IFERROR(INDEX(Katalog!$A$3:$A$12,MATCH(cadangan3[[#This Row],[ItemID C]],Katalog!$C$3:$C$12,0)),"-")</f>
        <v>Pakaian Unisex</v>
      </c>
      <c r="Y357" t="str">
        <f>IFERROR(INDEX(Katalog!$B$3:$B$12,MATCH(cadangan3[[#This Row],[ItemID C]],Katalog!$C$3:$C$12,0)),"-")</f>
        <v>Jaket Hoodie</v>
      </c>
      <c r="Z357">
        <v>1</v>
      </c>
      <c r="AA357">
        <v>4</v>
      </c>
      <c r="AB357" s="36">
        <f>IFERROR(INDEX(Katalog!$D$3:$D$12,MATCH(cadangan3[[#This Row],[ItemID C]],Katalog!$C$3:$C$12,0))*cadangan3[[#This Row],[Qty C]],0)</f>
        <v>350000</v>
      </c>
      <c r="AC357" s="36">
        <f>IFERROR(INDEX(Katalog!$D$3:$D$12,MATCH(cadangan3[[#This Row],[Item C]],Katalog!$B$3:$B$12,0))*cadangan3[[#This Row],[Qty C]],0)</f>
        <v>350000</v>
      </c>
      <c r="AD357" s="36">
        <f>IFERROR(cadangan3[[#This Row],[Harga Asli C]]-(cadangan3[[#This Row],[Harga Asli C]]*cadangan3[[#This Row],[Diskon]]),cadangan3[[#This Row],[Harga Asli C]])</f>
        <v>280000</v>
      </c>
      <c r="AE357" s="36">
        <f>IFERROR(INDEX(Katalog!$F$3:$F$12,MATCH(cadangan3[[#This Row],[ItemID C]],Katalog!$C$3:$C$12,0))*cadangan3[[#This Row],[Qty C]],0)</f>
        <v>130000</v>
      </c>
      <c r="AF357" s="36">
        <f>IFERROR(cadangan3[[#This Row],[Profit C]]-(cadangan3[[#This Row],[Profit C]]*cadangan3[[#This Row],[Diskon]]),cadangan3[[#This Row],[Profit C]])</f>
        <v>104000</v>
      </c>
      <c r="AG357" s="21">
        <f>cadangan3[[#This Row],[Qty A]]+cadangan3[[#This Row],[Qty B]]+cadangan3[[#This Row],[Qty C]]</f>
        <v>3</v>
      </c>
      <c r="AH357" s="35">
        <f>cadangan3[[#This Row],[Harga A + Diskon]]+cadangan3[[#This Row],[Harga + Diskon B]]+cadangan3[[#This Row],[Harga + Diskon C]]</f>
        <v>544000</v>
      </c>
      <c r="AI357" s="35">
        <f>(cadangan3[[#This Row],[Profit A]]+cadangan3[[#This Row],[Profit B]]+cadangan3[[#This Row],[Profit C]])</f>
        <v>260000</v>
      </c>
      <c r="AJ357" s="35">
        <f>cadangan3[[#This Row],[Provit A + Diskon]]+cadangan3[[#This Row],[Provit B + Diskon]]+cadangan3[[#This Row],[Provit C + Diskon]]</f>
        <v>208000</v>
      </c>
      <c r="AK357" s="23" t="s">
        <v>8</v>
      </c>
      <c r="AL357" s="37">
        <f>IFERROR(INDEX('Kode Diskon'!$D$3:$D$9,MATCH(cadangan3[[#This Row],[Kode diskon]],'Kode Diskon'!$C$3:$C$9,0)),"-")</f>
        <v>0.2</v>
      </c>
      <c r="AM357" s="23" t="s">
        <v>9</v>
      </c>
      <c r="AN357" s="23" t="s">
        <v>7</v>
      </c>
      <c r="AO357" s="23" t="s">
        <v>80</v>
      </c>
      <c r="AP357" s="24">
        <v>45042</v>
      </c>
      <c r="AQ357" s="23" t="str">
        <f>TEXT(cadangan3[[#This Row],[Tanggal terjual]],"dddd")</f>
        <v>Wednesday</v>
      </c>
    </row>
    <row r="358" spans="1:43" x14ac:dyDescent="0.2">
      <c r="A358" s="20">
        <v>357</v>
      </c>
      <c r="B358" s="21" t="str">
        <f>_xlfn.CONCAT("ORD-",INDEX(Helper!$B$2:$B$5,MATCH(cadangan3[[#This Row],[Marketplace]],Helper!$A$2:$A$5,0)),TEXT(cadangan3[[#This Row],[No]],"0000"),"-",TEXT(cadangan3[[#This Row],[Tanggal terjual]],"dd/mm/yy"))</f>
        <v>ORD-TK0357-03/04/23</v>
      </c>
      <c r="C358" t="s">
        <v>65</v>
      </c>
      <c r="D358" t="str">
        <f>IFERROR(INDEX(Katalog!$A$3:$A$12,MATCH(cadangan3[[#This Row],[ItemID A]],Katalog!$C$3:$C$12,0)),"-")</f>
        <v>Sepatu Pria</v>
      </c>
      <c r="E358" t="str">
        <f>IFERROR(INDEX(Katalog!$B$3:$B$12,MATCH(cadangan3[[#This Row],[ItemID A]],Katalog!$C$3:$C$12,0)),"-")</f>
        <v>Sneakers</v>
      </c>
      <c r="F358">
        <v>5</v>
      </c>
      <c r="G358">
        <v>1</v>
      </c>
      <c r="H358" s="36">
        <f>IFERROR(INDEX(Katalog!$D$3:$D$12,MATCH(cadangan3[[#This Row],[ItemID A]],Katalog!$C$3:$C$12,0))*cadangan3[[#This Row],[Qty A]],0)</f>
        <v>2500000</v>
      </c>
      <c r="I358" s="36">
        <f>IFERROR(INDEX(Katalog!$D$3:$D$12,MATCH(cadangan3[[#This Row],[Item A]],Katalog!$B$3:$B$12,0))*cadangan3[[#This Row],[Qty A]],0)</f>
        <v>2500000</v>
      </c>
      <c r="J358" s="36">
        <f>IFERROR(cadangan3[[#This Row],[Harga Asli A]]-(cadangan3[[#This Row],[Harga Asli A]]*cadangan3[[#This Row],[Diskon]]),cadangan3[[#This Row],[Harga Asli A]])</f>
        <v>2250000</v>
      </c>
      <c r="K358" s="36">
        <f>INDEX(Katalog!$F$3:$F$12,MATCH(cadangan3[[#This Row],[ItemID A]],Katalog!$C$3:$C$12,0))*cadangan3[[#This Row],[Qty A]]</f>
        <v>1000000</v>
      </c>
      <c r="L358" s="36">
        <f>IFERROR(cadangan3[[#This Row],[Profit A]]-(cadangan3[[#This Row],[Profit A]]*cadangan3[[#This Row],[Diskon]]),K358)</f>
        <v>900000</v>
      </c>
      <c r="M358" t="s">
        <v>58</v>
      </c>
      <c r="N358" t="str">
        <f>IFERROR(INDEX(Katalog!$A$3:$A$12,MATCH(cadangan3[[#This Row],[ItemID B]],Katalog!$C$3:$C$12,0)),"-")</f>
        <v>Pakaian Wanita</v>
      </c>
      <c r="O358" t="str">
        <f>IFERROR(INDEX(Katalog!$B$3:$B$12,MATCH(cadangan3[[#This Row],[ItemID B]],Katalog!$C$3:$C$12,0)),"-")</f>
        <v>Dress</v>
      </c>
      <c r="P358">
        <v>1</v>
      </c>
      <c r="Q358">
        <v>1</v>
      </c>
      <c r="R358" s="36">
        <f>IFERROR(INDEX(Katalog!$D$3:$D$12,MATCH(cadangan3[[#This Row],[ItemID B]],Katalog!$C$3:$C$12,0))*cadangan3[[#This Row],[Qty B]],0)</f>
        <v>300000</v>
      </c>
      <c r="S358" s="36">
        <f>IFERROR(INDEX(Katalog!$D$3:$D$12,MATCH(cadangan3[[#This Row],[Item B]],Katalog!$B$3:$B$12,0))*cadangan3[[#This Row],[Qty B]],0)</f>
        <v>300000</v>
      </c>
      <c r="T358" s="36">
        <f>IFERROR(cadangan3[[#This Row],[Harga Asli B]]-(cadangan3[[#This Row],[Harga Asli B]]*cadangan3[[#This Row],[Diskon]]),cadangan3[[#This Row],[Harga Asli B]])</f>
        <v>270000</v>
      </c>
      <c r="U358" s="36">
        <f>IFERROR(INDEX(Katalog!$F$3:$F$12,MATCH(cadangan3[[#This Row],[ItemID B]],Katalog!$C$3:$C$12,0))*cadangan3[[#This Row],[Qty B]],0)</f>
        <v>100000</v>
      </c>
      <c r="V358" s="36">
        <f>IFERROR(cadangan3[[#This Row],[Profit B]]-(cadangan3[[#This Row],[Profit B]]*cadangan3[[#This Row],[Diskon]]),U358)</f>
        <v>90000</v>
      </c>
      <c r="X358" t="str">
        <f>IFERROR(INDEX(Katalog!$A$3:$A$12,MATCH(cadangan3[[#This Row],[ItemID C]],Katalog!$C$3:$C$12,0)),"-")</f>
        <v>-</v>
      </c>
      <c r="Y358" t="str">
        <f>IFERROR(INDEX(Katalog!$B$3:$B$12,MATCH(cadangan3[[#This Row],[ItemID C]],Katalog!$C$3:$C$12,0)),"-")</f>
        <v>-</v>
      </c>
      <c r="AB358" s="36">
        <f>IFERROR(INDEX(Katalog!$D$3:$D$12,MATCH(cadangan3[[#This Row],[ItemID C]],Katalog!$C$3:$C$12,0))*cadangan3[[#This Row],[Qty C]],0)</f>
        <v>0</v>
      </c>
      <c r="AC358" s="36">
        <f>IFERROR(INDEX(Katalog!$D$3:$D$12,MATCH(cadangan3[[#This Row],[Item C]],Katalog!$B$3:$B$12,0))*cadangan3[[#This Row],[Qty C]],0)</f>
        <v>0</v>
      </c>
      <c r="AD358" s="36">
        <f>IFERROR(cadangan3[[#This Row],[Harga Asli C]]-(cadangan3[[#This Row],[Harga Asli C]]*cadangan3[[#This Row],[Diskon]]),cadangan3[[#This Row],[Harga Asli C]])</f>
        <v>0</v>
      </c>
      <c r="AE358" s="36">
        <f>IFERROR(INDEX(Katalog!$F$3:$F$12,MATCH(cadangan3[[#This Row],[ItemID C]],Katalog!$C$3:$C$12,0))*cadangan3[[#This Row],[Qty C]],0)</f>
        <v>0</v>
      </c>
      <c r="AF358" s="36">
        <f>IFERROR(cadangan3[[#This Row],[Profit C]]-(cadangan3[[#This Row],[Profit C]]*cadangan3[[#This Row],[Diskon]]),cadangan3[[#This Row],[Profit C]])</f>
        <v>0</v>
      </c>
      <c r="AG358" s="21">
        <f>cadangan3[[#This Row],[Qty A]]+cadangan3[[#This Row],[Qty B]]+cadangan3[[#This Row],[Qty C]]</f>
        <v>6</v>
      </c>
      <c r="AH358" s="35">
        <f>cadangan3[[#This Row],[Harga A + Diskon]]+cadangan3[[#This Row],[Harga + Diskon B]]+cadangan3[[#This Row],[Harga + Diskon C]]</f>
        <v>2520000</v>
      </c>
      <c r="AI358" s="35">
        <f>(cadangan3[[#This Row],[Profit A]]+cadangan3[[#This Row],[Profit B]]+cadangan3[[#This Row],[Profit C]])</f>
        <v>1100000</v>
      </c>
      <c r="AJ358" s="35">
        <f>cadangan3[[#This Row],[Provit A + Diskon]]+cadangan3[[#This Row],[Provit B + Diskon]]+cadangan3[[#This Row],[Provit C + Diskon]]</f>
        <v>990000</v>
      </c>
      <c r="AK358" s="23" t="s">
        <v>30</v>
      </c>
      <c r="AL358" s="37">
        <f>IFERROR(INDEX('Kode Diskon'!$D$3:$D$9,MATCH(cadangan3[[#This Row],[Kode diskon]],'Kode Diskon'!$C$3:$C$9,0)),"-")</f>
        <v>0.1</v>
      </c>
      <c r="AM358" s="23" t="s">
        <v>29</v>
      </c>
      <c r="AN358" s="23" t="s">
        <v>10</v>
      </c>
      <c r="AO358" s="23" t="s">
        <v>75</v>
      </c>
      <c r="AP358" s="24">
        <v>45019</v>
      </c>
      <c r="AQ358" s="23" t="str">
        <f>TEXT(cadangan3[[#This Row],[Tanggal terjual]],"dddd")</f>
        <v>Monday</v>
      </c>
    </row>
    <row r="359" spans="1:43" x14ac:dyDescent="0.2">
      <c r="A359" s="20">
        <v>358</v>
      </c>
      <c r="B359" s="21" t="str">
        <f>_xlfn.CONCAT("ORD-",INDEX(Helper!$B$2:$B$5,MATCH(cadangan3[[#This Row],[Marketplace]],Helper!$A$2:$A$5,0)),TEXT(cadangan3[[#This Row],[No]],"0000"),"-",TEXT(cadangan3[[#This Row],[Tanggal terjual]],"dd/mm/yy"))</f>
        <v>ORD-BB0358-01/04/23</v>
      </c>
      <c r="C359" t="s">
        <v>67</v>
      </c>
      <c r="D359" t="str">
        <f>IFERROR(INDEX(Katalog!$A$3:$A$12,MATCH(cadangan3[[#This Row],[ItemID A]],Katalog!$C$3:$C$12,0)),"-")</f>
        <v>Sepatu Wanita</v>
      </c>
      <c r="E359" t="str">
        <f>IFERROR(INDEX(Katalog!$B$3:$B$12,MATCH(cadangan3[[#This Row],[ItemID A]],Katalog!$C$3:$C$12,0)),"-")</f>
        <v>Flat Shoes</v>
      </c>
      <c r="F359">
        <v>1</v>
      </c>
      <c r="G359">
        <v>2</v>
      </c>
      <c r="H359" s="36">
        <f>IFERROR(INDEX(Katalog!$D$3:$D$12,MATCH(cadangan3[[#This Row],[ItemID A]],Katalog!$C$3:$C$12,0))*cadangan3[[#This Row],[Qty A]],0)</f>
        <v>250000</v>
      </c>
      <c r="I359" s="36">
        <f>IFERROR(INDEX(Katalog!$D$3:$D$12,MATCH(cadangan3[[#This Row],[Item A]],Katalog!$B$3:$B$12,0))*cadangan3[[#This Row],[Qty A]],0)</f>
        <v>250000</v>
      </c>
      <c r="J359" s="36">
        <f>IFERROR(cadangan3[[#This Row],[Harga Asli A]]-(cadangan3[[#This Row],[Harga Asli A]]*cadangan3[[#This Row],[Diskon]]),cadangan3[[#This Row],[Harga Asli A]])</f>
        <v>212500</v>
      </c>
      <c r="K359" s="36">
        <f>INDEX(Katalog!$F$3:$F$12,MATCH(cadangan3[[#This Row],[ItemID A]],Katalog!$C$3:$C$12,0))*cadangan3[[#This Row],[Qty A]]</f>
        <v>100000</v>
      </c>
      <c r="L359" s="36">
        <f>IFERROR(cadangan3[[#This Row],[Profit A]]-(cadangan3[[#This Row],[Profit A]]*cadangan3[[#This Row],[Diskon]]),K359)</f>
        <v>85000</v>
      </c>
      <c r="M359" t="s">
        <v>58</v>
      </c>
      <c r="N359" t="str">
        <f>IFERROR(INDEX(Katalog!$A$3:$A$12,MATCH(cadangan3[[#This Row],[ItemID B]],Katalog!$C$3:$C$12,0)),"-")</f>
        <v>Pakaian Wanita</v>
      </c>
      <c r="O359" t="str">
        <f>IFERROR(INDEX(Katalog!$B$3:$B$12,MATCH(cadangan3[[#This Row],[ItemID B]],Katalog!$C$3:$C$12,0)),"-")</f>
        <v>Dress</v>
      </c>
      <c r="P359">
        <v>1</v>
      </c>
      <c r="Q359">
        <v>1</v>
      </c>
      <c r="R359" s="36">
        <f>IFERROR(INDEX(Katalog!$D$3:$D$12,MATCH(cadangan3[[#This Row],[ItemID B]],Katalog!$C$3:$C$12,0))*cadangan3[[#This Row],[Qty B]],0)</f>
        <v>300000</v>
      </c>
      <c r="S359" s="36">
        <f>IFERROR(INDEX(Katalog!$D$3:$D$12,MATCH(cadangan3[[#This Row],[Item B]],Katalog!$B$3:$B$12,0))*cadangan3[[#This Row],[Qty B]],0)</f>
        <v>300000</v>
      </c>
      <c r="T359" s="36">
        <f>IFERROR(cadangan3[[#This Row],[Harga Asli B]]-(cadangan3[[#This Row],[Harga Asli B]]*cadangan3[[#This Row],[Diskon]]),cadangan3[[#This Row],[Harga Asli B]])</f>
        <v>255000</v>
      </c>
      <c r="U359" s="36">
        <f>IFERROR(INDEX(Katalog!$F$3:$F$12,MATCH(cadangan3[[#This Row],[ItemID B]],Katalog!$C$3:$C$12,0))*cadangan3[[#This Row],[Qty B]],0)</f>
        <v>100000</v>
      </c>
      <c r="V359" s="36">
        <f>IFERROR(cadangan3[[#This Row],[Profit B]]-(cadangan3[[#This Row],[Profit B]]*cadangan3[[#This Row],[Diskon]]),U359)</f>
        <v>85000</v>
      </c>
      <c r="W359" t="s">
        <v>60</v>
      </c>
      <c r="X359" t="str">
        <f>IFERROR(INDEX(Katalog!$A$3:$A$12,MATCH(cadangan3[[#This Row],[ItemID C]],Katalog!$C$3:$C$12,0)),"-")</f>
        <v>Pakaian Wanita</v>
      </c>
      <c r="Y359" t="str">
        <f>IFERROR(INDEX(Katalog!$B$3:$B$12,MATCH(cadangan3[[#This Row],[ItemID C]],Katalog!$C$3:$C$12,0)),"-")</f>
        <v>Kaftan</v>
      </c>
      <c r="Z359">
        <v>2</v>
      </c>
      <c r="AA359">
        <v>3</v>
      </c>
      <c r="AB359" s="36">
        <f>IFERROR(INDEX(Katalog!$D$3:$D$12,MATCH(cadangan3[[#This Row],[ItemID C]],Katalog!$C$3:$C$12,0))*cadangan3[[#This Row],[Qty C]],0)</f>
        <v>500000</v>
      </c>
      <c r="AC359" s="36">
        <f>IFERROR(INDEX(Katalog!$D$3:$D$12,MATCH(cadangan3[[#This Row],[Item C]],Katalog!$B$3:$B$12,0))*cadangan3[[#This Row],[Qty C]],0)</f>
        <v>500000</v>
      </c>
      <c r="AD359" s="36">
        <f>IFERROR(cadangan3[[#This Row],[Harga Asli C]]-(cadangan3[[#This Row],[Harga Asli C]]*cadangan3[[#This Row],[Diskon]]),cadangan3[[#This Row],[Harga Asli C]])</f>
        <v>425000</v>
      </c>
      <c r="AE359" s="36">
        <f>IFERROR(INDEX(Katalog!$F$3:$F$12,MATCH(cadangan3[[#This Row],[ItemID C]],Katalog!$C$3:$C$12,0))*cadangan3[[#This Row],[Qty C]],0)</f>
        <v>200000</v>
      </c>
      <c r="AF359" s="36">
        <f>IFERROR(cadangan3[[#This Row],[Profit C]]-(cadangan3[[#This Row],[Profit C]]*cadangan3[[#This Row],[Diskon]]),cadangan3[[#This Row],[Profit C]])</f>
        <v>170000</v>
      </c>
      <c r="AG359" s="21">
        <f>cadangan3[[#This Row],[Qty A]]+cadangan3[[#This Row],[Qty B]]+cadangan3[[#This Row],[Qty C]]</f>
        <v>4</v>
      </c>
      <c r="AH359" s="35">
        <f>cadangan3[[#This Row],[Harga A + Diskon]]+cadangan3[[#This Row],[Harga + Diskon B]]+cadangan3[[#This Row],[Harga + Diskon C]]</f>
        <v>892500</v>
      </c>
      <c r="AI359" s="35">
        <f>(cadangan3[[#This Row],[Profit A]]+cadangan3[[#This Row],[Profit B]]+cadangan3[[#This Row],[Profit C]])</f>
        <v>400000</v>
      </c>
      <c r="AJ359" s="35">
        <f>cadangan3[[#This Row],[Provit A + Diskon]]+cadangan3[[#This Row],[Provit B + Diskon]]+cadangan3[[#This Row],[Provit C + Diskon]]</f>
        <v>340000</v>
      </c>
      <c r="AK359" s="23" t="s">
        <v>28</v>
      </c>
      <c r="AL359" s="37">
        <f>IFERROR(INDEX('Kode Diskon'!$D$3:$D$9,MATCH(cadangan3[[#This Row],[Kode diskon]],'Kode Diskon'!$C$3:$C$9,0)),"-")</f>
        <v>0.15</v>
      </c>
      <c r="AM359" s="23" t="s">
        <v>29</v>
      </c>
      <c r="AN359" s="23" t="s">
        <v>14</v>
      </c>
      <c r="AO359" s="23" t="s">
        <v>76</v>
      </c>
      <c r="AP359" s="24">
        <v>45017</v>
      </c>
      <c r="AQ359" s="23" t="str">
        <f>TEXT(cadangan3[[#This Row],[Tanggal terjual]],"dddd")</f>
        <v>Saturday</v>
      </c>
    </row>
    <row r="360" spans="1:43" x14ac:dyDescent="0.2">
      <c r="A360" s="20">
        <v>359</v>
      </c>
      <c r="B360" s="21" t="str">
        <f>_xlfn.CONCAT("ORD-",INDEX(Helper!$B$2:$B$5,MATCH(cadangan3[[#This Row],[Marketplace]],Helper!$A$2:$A$5,0)),TEXT(cadangan3[[#This Row],[No]],"0000"),"-",TEXT(cadangan3[[#This Row],[Tanggal terjual]],"dd/mm/yy"))</f>
        <v>ORD-BB0359-02/04/23</v>
      </c>
      <c r="C360" t="s">
        <v>61</v>
      </c>
      <c r="D360" t="str">
        <f>IFERROR(INDEX(Katalog!$A$3:$A$12,MATCH(cadangan3[[#This Row],[ItemID A]],Katalog!$C$3:$C$12,0)),"-")</f>
        <v>Pakaian Pria</v>
      </c>
      <c r="E360" t="str">
        <f>IFERROR(INDEX(Katalog!$B$3:$B$12,MATCH(cadangan3[[#This Row],[ItemID A]],Katalog!$C$3:$C$12,0)),"-")</f>
        <v>Kaos Polo</v>
      </c>
      <c r="F360">
        <v>1</v>
      </c>
      <c r="G360">
        <v>3</v>
      </c>
      <c r="H360" s="36">
        <f>IFERROR(INDEX(Katalog!$D$3:$D$12,MATCH(cadangan3[[#This Row],[ItemID A]],Katalog!$C$3:$C$12,0))*cadangan3[[#This Row],[Qty A]],0)</f>
        <v>200000</v>
      </c>
      <c r="I360" s="36">
        <f>IFERROR(INDEX(Katalog!$D$3:$D$12,MATCH(cadangan3[[#This Row],[Item A]],Katalog!$B$3:$B$12,0))*cadangan3[[#This Row],[Qty A]],0)</f>
        <v>200000</v>
      </c>
      <c r="J360" s="36">
        <f>IFERROR(cadangan3[[#This Row],[Harga Asli A]]-(cadangan3[[#This Row],[Harga Asli A]]*cadangan3[[#This Row],[Diskon]]),cadangan3[[#This Row],[Harga Asli A]])</f>
        <v>170000</v>
      </c>
      <c r="K360" s="36">
        <f>INDEX(Katalog!$F$3:$F$12,MATCH(cadangan3[[#This Row],[ItemID A]],Katalog!$C$3:$C$12,0))*cadangan3[[#This Row],[Qty A]]</f>
        <v>80000</v>
      </c>
      <c r="L360" s="36">
        <f>IFERROR(cadangan3[[#This Row],[Profit A]]-(cadangan3[[#This Row],[Profit A]]*cadangan3[[#This Row],[Diskon]]),K360)</f>
        <v>68000</v>
      </c>
      <c r="N360" t="str">
        <f>IFERROR(INDEX(Katalog!$A$3:$A$12,MATCH(cadangan3[[#This Row],[ItemID B]],Katalog!$C$3:$C$12,0)),"-")</f>
        <v>-</v>
      </c>
      <c r="O360" t="str">
        <f>IFERROR(INDEX(Katalog!$B$3:$B$12,MATCH(cadangan3[[#This Row],[ItemID B]],Katalog!$C$3:$C$12,0)),"-")</f>
        <v>-</v>
      </c>
      <c r="R360" s="36">
        <f>IFERROR(INDEX(Katalog!$D$3:$D$12,MATCH(cadangan3[[#This Row],[ItemID B]],Katalog!$C$3:$C$12,0))*cadangan3[[#This Row],[Qty B]],0)</f>
        <v>0</v>
      </c>
      <c r="S360" s="36">
        <f>IFERROR(INDEX(Katalog!$D$3:$D$12,MATCH(cadangan3[[#This Row],[Item B]],Katalog!$B$3:$B$12,0))*cadangan3[[#This Row],[Qty B]],0)</f>
        <v>0</v>
      </c>
      <c r="T360" s="36">
        <f>IFERROR(cadangan3[[#This Row],[Harga Asli B]]-(cadangan3[[#This Row],[Harga Asli B]]*cadangan3[[#This Row],[Diskon]]),cadangan3[[#This Row],[Harga Asli B]])</f>
        <v>0</v>
      </c>
      <c r="U360" s="36">
        <f>IFERROR(INDEX(Katalog!$F$3:$F$12,MATCH(cadangan3[[#This Row],[ItemID B]],Katalog!$C$3:$C$12,0))*cadangan3[[#This Row],[Qty B]],0)</f>
        <v>0</v>
      </c>
      <c r="V360" s="36">
        <f>IFERROR(cadangan3[[#This Row],[Profit B]]-(cadangan3[[#This Row],[Profit B]]*cadangan3[[#This Row],[Diskon]]),U360)</f>
        <v>0</v>
      </c>
      <c r="X360" t="str">
        <f>IFERROR(INDEX(Katalog!$A$3:$A$12,MATCH(cadangan3[[#This Row],[ItemID C]],Katalog!$C$3:$C$12,0)),"-")</f>
        <v>-</v>
      </c>
      <c r="Y360" t="str">
        <f>IFERROR(INDEX(Katalog!$B$3:$B$12,MATCH(cadangan3[[#This Row],[ItemID C]],Katalog!$C$3:$C$12,0)),"-")</f>
        <v>-</v>
      </c>
      <c r="AB360" s="36">
        <f>IFERROR(INDEX(Katalog!$D$3:$D$12,MATCH(cadangan3[[#This Row],[ItemID C]],Katalog!$C$3:$C$12,0))*cadangan3[[#This Row],[Qty C]],0)</f>
        <v>0</v>
      </c>
      <c r="AC360" s="36">
        <f>IFERROR(INDEX(Katalog!$D$3:$D$12,MATCH(cadangan3[[#This Row],[Item C]],Katalog!$B$3:$B$12,0))*cadangan3[[#This Row],[Qty C]],0)</f>
        <v>0</v>
      </c>
      <c r="AD360" s="36">
        <f>IFERROR(cadangan3[[#This Row],[Harga Asli C]]-(cadangan3[[#This Row],[Harga Asli C]]*cadangan3[[#This Row],[Diskon]]),cadangan3[[#This Row],[Harga Asli C]])</f>
        <v>0</v>
      </c>
      <c r="AE360" s="36">
        <f>IFERROR(INDEX(Katalog!$F$3:$F$12,MATCH(cadangan3[[#This Row],[ItemID C]],Katalog!$C$3:$C$12,0))*cadangan3[[#This Row],[Qty C]],0)</f>
        <v>0</v>
      </c>
      <c r="AF360" s="36">
        <f>IFERROR(cadangan3[[#This Row],[Profit C]]-(cadangan3[[#This Row],[Profit C]]*cadangan3[[#This Row],[Diskon]]),cadangan3[[#This Row],[Profit C]])</f>
        <v>0</v>
      </c>
      <c r="AG360" s="21">
        <f>cadangan3[[#This Row],[Qty A]]+cadangan3[[#This Row],[Qty B]]+cadangan3[[#This Row],[Qty C]]</f>
        <v>1</v>
      </c>
      <c r="AH360" s="35">
        <f>cadangan3[[#This Row],[Harga A + Diskon]]+cadangan3[[#This Row],[Harga + Diskon B]]+cadangan3[[#This Row],[Harga + Diskon C]]</f>
        <v>170000</v>
      </c>
      <c r="AI360" s="35">
        <f>(cadangan3[[#This Row],[Profit A]]+cadangan3[[#This Row],[Profit B]]+cadangan3[[#This Row],[Profit C]])</f>
        <v>80000</v>
      </c>
      <c r="AJ360" s="35">
        <f>cadangan3[[#This Row],[Provit A + Diskon]]+cadangan3[[#This Row],[Provit B + Diskon]]+cadangan3[[#This Row],[Provit C + Diskon]]</f>
        <v>68000</v>
      </c>
      <c r="AK360" s="23" t="s">
        <v>28</v>
      </c>
      <c r="AL360" s="37">
        <f>IFERROR(INDEX('Kode Diskon'!$D$3:$D$9,MATCH(cadangan3[[#This Row],[Kode diskon]],'Kode Diskon'!$C$3:$C$9,0)),"-")</f>
        <v>0.15</v>
      </c>
      <c r="AM360" s="23" t="s">
        <v>29</v>
      </c>
      <c r="AN360" s="23" t="s">
        <v>14</v>
      </c>
      <c r="AO360" s="23" t="s">
        <v>78</v>
      </c>
      <c r="AP360" s="24">
        <v>45018</v>
      </c>
      <c r="AQ360" s="23" t="str">
        <f>TEXT(cadangan3[[#This Row],[Tanggal terjual]],"dddd")</f>
        <v>Sunday</v>
      </c>
    </row>
    <row r="361" spans="1:43" x14ac:dyDescent="0.2">
      <c r="A361" s="20">
        <v>360</v>
      </c>
      <c r="B361" s="21" t="str">
        <f>_xlfn.CONCAT("ORD-",INDEX(Helper!$B$2:$B$5,MATCH(cadangan3[[#This Row],[Marketplace]],Helper!$A$2:$A$5,0)),TEXT(cadangan3[[#This Row],[No]],"0000"),"-",TEXT(cadangan3[[#This Row],[Tanggal terjual]],"dd/mm/yy"))</f>
        <v>ORD-SP0360-05/04/23</v>
      </c>
      <c r="C361" t="s">
        <v>67</v>
      </c>
      <c r="D361" t="str">
        <f>IFERROR(INDEX(Katalog!$A$3:$A$12,MATCH(cadangan3[[#This Row],[ItemID A]],Katalog!$C$3:$C$12,0)),"-")</f>
        <v>Sepatu Wanita</v>
      </c>
      <c r="E361" t="str">
        <f>IFERROR(INDEX(Katalog!$B$3:$B$12,MATCH(cadangan3[[#This Row],[ItemID A]],Katalog!$C$3:$C$12,0)),"-")</f>
        <v>Flat Shoes</v>
      </c>
      <c r="F361">
        <v>4</v>
      </c>
      <c r="G361">
        <v>5</v>
      </c>
      <c r="H361" s="36">
        <f>IFERROR(INDEX(Katalog!$D$3:$D$12,MATCH(cadangan3[[#This Row],[ItemID A]],Katalog!$C$3:$C$12,0))*cadangan3[[#This Row],[Qty A]],0)</f>
        <v>1000000</v>
      </c>
      <c r="I361" s="36">
        <f>IFERROR(INDEX(Katalog!$D$3:$D$12,MATCH(cadangan3[[#This Row],[Item A]],Katalog!$B$3:$B$12,0))*cadangan3[[#This Row],[Qty A]],0)</f>
        <v>1000000</v>
      </c>
      <c r="J361" s="36">
        <f>IFERROR(cadangan3[[#This Row],[Harga Asli A]]-(cadangan3[[#This Row],[Harga Asli A]]*cadangan3[[#This Row],[Diskon]]),cadangan3[[#This Row],[Harga Asli A]])</f>
        <v>900000</v>
      </c>
      <c r="K361" s="36">
        <f>INDEX(Katalog!$F$3:$F$12,MATCH(cadangan3[[#This Row],[ItemID A]],Katalog!$C$3:$C$12,0))*cadangan3[[#This Row],[Qty A]]</f>
        <v>400000</v>
      </c>
      <c r="L361" s="36">
        <f>IFERROR(cadangan3[[#This Row],[Profit A]]-(cadangan3[[#This Row],[Profit A]]*cadangan3[[#This Row],[Diskon]]),K361)</f>
        <v>360000</v>
      </c>
      <c r="N361" t="str">
        <f>IFERROR(INDEX(Katalog!$A$3:$A$12,MATCH(cadangan3[[#This Row],[ItemID B]],Katalog!$C$3:$C$12,0)),"-")</f>
        <v>-</v>
      </c>
      <c r="O361" t="str">
        <f>IFERROR(INDEX(Katalog!$B$3:$B$12,MATCH(cadangan3[[#This Row],[ItemID B]],Katalog!$C$3:$C$12,0)),"-")</f>
        <v>-</v>
      </c>
      <c r="R361" s="36">
        <f>IFERROR(INDEX(Katalog!$D$3:$D$12,MATCH(cadangan3[[#This Row],[ItemID B]],Katalog!$C$3:$C$12,0))*cadangan3[[#This Row],[Qty B]],0)</f>
        <v>0</v>
      </c>
      <c r="S361" s="36">
        <f>IFERROR(INDEX(Katalog!$D$3:$D$12,MATCH(cadangan3[[#This Row],[Item B]],Katalog!$B$3:$B$12,0))*cadangan3[[#This Row],[Qty B]],0)</f>
        <v>0</v>
      </c>
      <c r="T361" s="36">
        <f>IFERROR(cadangan3[[#This Row],[Harga Asli B]]-(cadangan3[[#This Row],[Harga Asli B]]*cadangan3[[#This Row],[Diskon]]),cadangan3[[#This Row],[Harga Asli B]])</f>
        <v>0</v>
      </c>
      <c r="U361" s="36">
        <f>IFERROR(INDEX(Katalog!$F$3:$F$12,MATCH(cadangan3[[#This Row],[ItemID B]],Katalog!$C$3:$C$12,0))*cadangan3[[#This Row],[Qty B]],0)</f>
        <v>0</v>
      </c>
      <c r="V361" s="36">
        <f>IFERROR(cadangan3[[#This Row],[Profit B]]-(cadangan3[[#This Row],[Profit B]]*cadangan3[[#This Row],[Diskon]]),U361)</f>
        <v>0</v>
      </c>
      <c r="X361" t="str">
        <f>IFERROR(INDEX(Katalog!$A$3:$A$12,MATCH(cadangan3[[#This Row],[ItemID C]],Katalog!$C$3:$C$12,0)),"-")</f>
        <v>-</v>
      </c>
      <c r="Y361" t="str">
        <f>IFERROR(INDEX(Katalog!$B$3:$B$12,MATCH(cadangan3[[#This Row],[ItemID C]],Katalog!$C$3:$C$12,0)),"-")</f>
        <v>-</v>
      </c>
      <c r="AB361" s="36">
        <f>IFERROR(INDEX(Katalog!$D$3:$D$12,MATCH(cadangan3[[#This Row],[ItemID C]],Katalog!$C$3:$C$12,0))*cadangan3[[#This Row],[Qty C]],0)</f>
        <v>0</v>
      </c>
      <c r="AC361" s="36">
        <f>IFERROR(INDEX(Katalog!$D$3:$D$12,MATCH(cadangan3[[#This Row],[Item C]],Katalog!$B$3:$B$12,0))*cadangan3[[#This Row],[Qty C]],0)</f>
        <v>0</v>
      </c>
      <c r="AD361" s="36">
        <f>IFERROR(cadangan3[[#This Row],[Harga Asli C]]-(cadangan3[[#This Row],[Harga Asli C]]*cadangan3[[#This Row],[Diskon]]),cadangan3[[#This Row],[Harga Asli C]])</f>
        <v>0</v>
      </c>
      <c r="AE361" s="36">
        <f>IFERROR(INDEX(Katalog!$F$3:$F$12,MATCH(cadangan3[[#This Row],[ItemID C]],Katalog!$C$3:$C$12,0))*cadangan3[[#This Row],[Qty C]],0)</f>
        <v>0</v>
      </c>
      <c r="AF361" s="36">
        <f>IFERROR(cadangan3[[#This Row],[Profit C]]-(cadangan3[[#This Row],[Profit C]]*cadangan3[[#This Row],[Diskon]]),cadangan3[[#This Row],[Profit C]])</f>
        <v>0</v>
      </c>
      <c r="AG361" s="21">
        <f>cadangan3[[#This Row],[Qty A]]+cadangan3[[#This Row],[Qty B]]+cadangan3[[#This Row],[Qty C]]</f>
        <v>4</v>
      </c>
      <c r="AH361" s="35">
        <f>cadangan3[[#This Row],[Harga A + Diskon]]+cadangan3[[#This Row],[Harga + Diskon B]]+cadangan3[[#This Row],[Harga + Diskon C]]</f>
        <v>900000</v>
      </c>
      <c r="AI361" s="35">
        <f>(cadangan3[[#This Row],[Profit A]]+cadangan3[[#This Row],[Profit B]]+cadangan3[[#This Row],[Profit C]])</f>
        <v>400000</v>
      </c>
      <c r="AJ361" s="35">
        <f>cadangan3[[#This Row],[Provit A + Diskon]]+cadangan3[[#This Row],[Provit B + Diskon]]+cadangan3[[#This Row],[Provit C + Diskon]]</f>
        <v>360000</v>
      </c>
      <c r="AK361" s="23" t="s">
        <v>6</v>
      </c>
      <c r="AL361" s="37">
        <f>IFERROR(INDEX('Kode Diskon'!$D$3:$D$9,MATCH(cadangan3[[#This Row],[Kode diskon]],'Kode Diskon'!$C$3:$C$9,0)),"-")</f>
        <v>0.1</v>
      </c>
      <c r="AM361" s="23" t="s">
        <v>29</v>
      </c>
      <c r="AN361" s="23" t="s">
        <v>7</v>
      </c>
      <c r="AO361" s="23" t="s">
        <v>75</v>
      </c>
      <c r="AP361" s="24">
        <v>45021</v>
      </c>
      <c r="AQ361" s="23" t="str">
        <f>TEXT(cadangan3[[#This Row],[Tanggal terjual]],"dddd")</f>
        <v>Wednesday</v>
      </c>
    </row>
    <row r="362" spans="1:43" x14ac:dyDescent="0.2">
      <c r="A362" s="20">
        <v>361</v>
      </c>
      <c r="B362" s="21" t="str">
        <f>_xlfn.CONCAT("ORD-",INDEX(Helper!$B$2:$B$5,MATCH(cadangan3[[#This Row],[Marketplace]],Helper!$A$2:$A$5,0)),TEXT(cadangan3[[#This Row],[No]],"0000"),"-",TEXT(cadangan3[[#This Row],[Tanggal terjual]],"dd/mm/yy"))</f>
        <v>ORD-TK0361-23/04/23</v>
      </c>
      <c r="C362" t="s">
        <v>58</v>
      </c>
      <c r="D362" t="str">
        <f>IFERROR(INDEX(Katalog!$A$3:$A$12,MATCH(cadangan3[[#This Row],[ItemID A]],Katalog!$C$3:$C$12,0)),"-")</f>
        <v>Pakaian Wanita</v>
      </c>
      <c r="E362" t="str">
        <f>IFERROR(INDEX(Katalog!$B$3:$B$12,MATCH(cadangan3[[#This Row],[ItemID A]],Katalog!$C$3:$C$12,0)),"-")</f>
        <v>Dress</v>
      </c>
      <c r="F362">
        <v>2</v>
      </c>
      <c r="G362">
        <v>2</v>
      </c>
      <c r="H362" s="36">
        <f>IFERROR(INDEX(Katalog!$D$3:$D$12,MATCH(cadangan3[[#This Row],[ItemID A]],Katalog!$C$3:$C$12,0))*cadangan3[[#This Row],[Qty A]],0)</f>
        <v>600000</v>
      </c>
      <c r="I362" s="36">
        <f>IFERROR(INDEX(Katalog!$D$3:$D$12,MATCH(cadangan3[[#This Row],[Item A]],Katalog!$B$3:$B$12,0))*cadangan3[[#This Row],[Qty A]],0)</f>
        <v>600000</v>
      </c>
      <c r="J362" s="36">
        <f>IFERROR(cadangan3[[#This Row],[Harga Asli A]]-(cadangan3[[#This Row],[Harga Asli A]]*cadangan3[[#This Row],[Diskon]]),cadangan3[[#This Row],[Harga Asli A]])</f>
        <v>540000</v>
      </c>
      <c r="K362" s="36">
        <f>INDEX(Katalog!$F$3:$F$12,MATCH(cadangan3[[#This Row],[ItemID A]],Katalog!$C$3:$C$12,0))*cadangan3[[#This Row],[Qty A]]</f>
        <v>200000</v>
      </c>
      <c r="L362" s="36">
        <f>IFERROR(cadangan3[[#This Row],[Profit A]]-(cadangan3[[#This Row],[Profit A]]*cadangan3[[#This Row],[Diskon]]),K362)</f>
        <v>180000</v>
      </c>
      <c r="M362" t="s">
        <v>63</v>
      </c>
      <c r="N362" t="str">
        <f>IFERROR(INDEX(Katalog!$A$3:$A$12,MATCH(cadangan3[[#This Row],[ItemID B]],Katalog!$C$3:$C$12,0)),"-")</f>
        <v>Pakaian Pria</v>
      </c>
      <c r="O362" t="str">
        <f>IFERROR(INDEX(Katalog!$B$3:$B$12,MATCH(cadangan3[[#This Row],[ItemID B]],Katalog!$C$3:$C$12,0)),"-")</f>
        <v>Jaket Jeans</v>
      </c>
      <c r="P362">
        <v>3</v>
      </c>
      <c r="Q362">
        <v>2</v>
      </c>
      <c r="R362" s="36">
        <f>IFERROR(INDEX(Katalog!$D$3:$D$12,MATCH(cadangan3[[#This Row],[ItemID B]],Katalog!$C$3:$C$12,0))*cadangan3[[#This Row],[Qty B]],0)</f>
        <v>1200000</v>
      </c>
      <c r="S362" s="36">
        <f>IFERROR(INDEX(Katalog!$D$3:$D$12,MATCH(cadangan3[[#This Row],[Item B]],Katalog!$B$3:$B$12,0))*cadangan3[[#This Row],[Qty B]],0)</f>
        <v>1200000</v>
      </c>
      <c r="T362" s="36">
        <f>IFERROR(cadangan3[[#This Row],[Harga Asli B]]-(cadangan3[[#This Row],[Harga Asli B]]*cadangan3[[#This Row],[Diskon]]),cadangan3[[#This Row],[Harga Asli B]])</f>
        <v>1080000</v>
      </c>
      <c r="U362" s="36">
        <f>IFERROR(INDEX(Katalog!$F$3:$F$12,MATCH(cadangan3[[#This Row],[ItemID B]],Katalog!$C$3:$C$12,0))*cadangan3[[#This Row],[Qty B]],0)</f>
        <v>450000</v>
      </c>
      <c r="V362" s="36">
        <f>IFERROR(cadangan3[[#This Row],[Profit B]]-(cadangan3[[#This Row],[Profit B]]*cadangan3[[#This Row],[Diskon]]),U362)</f>
        <v>405000</v>
      </c>
      <c r="X362" t="str">
        <f>IFERROR(INDEX(Katalog!$A$3:$A$12,MATCH(cadangan3[[#This Row],[ItemID C]],Katalog!$C$3:$C$12,0)),"-")</f>
        <v>-</v>
      </c>
      <c r="Y362" t="str">
        <f>IFERROR(INDEX(Katalog!$B$3:$B$12,MATCH(cadangan3[[#This Row],[ItemID C]],Katalog!$C$3:$C$12,0)),"-")</f>
        <v>-</v>
      </c>
      <c r="AB362" s="36">
        <f>IFERROR(INDEX(Katalog!$D$3:$D$12,MATCH(cadangan3[[#This Row],[ItemID C]],Katalog!$C$3:$C$12,0))*cadangan3[[#This Row],[Qty C]],0)</f>
        <v>0</v>
      </c>
      <c r="AC362" s="36">
        <f>IFERROR(INDEX(Katalog!$D$3:$D$12,MATCH(cadangan3[[#This Row],[Item C]],Katalog!$B$3:$B$12,0))*cadangan3[[#This Row],[Qty C]],0)</f>
        <v>0</v>
      </c>
      <c r="AD362" s="36">
        <f>IFERROR(cadangan3[[#This Row],[Harga Asli C]]-(cadangan3[[#This Row],[Harga Asli C]]*cadangan3[[#This Row],[Diskon]]),cadangan3[[#This Row],[Harga Asli C]])</f>
        <v>0</v>
      </c>
      <c r="AE362" s="36">
        <f>IFERROR(INDEX(Katalog!$F$3:$F$12,MATCH(cadangan3[[#This Row],[ItemID C]],Katalog!$C$3:$C$12,0))*cadangan3[[#This Row],[Qty C]],0)</f>
        <v>0</v>
      </c>
      <c r="AF362" s="36">
        <f>IFERROR(cadangan3[[#This Row],[Profit C]]-(cadangan3[[#This Row],[Profit C]]*cadangan3[[#This Row],[Diskon]]),cadangan3[[#This Row],[Profit C]])</f>
        <v>0</v>
      </c>
      <c r="AG362" s="21">
        <f>cadangan3[[#This Row],[Qty A]]+cadangan3[[#This Row],[Qty B]]+cadangan3[[#This Row],[Qty C]]</f>
        <v>5</v>
      </c>
      <c r="AH362" s="35">
        <f>cadangan3[[#This Row],[Harga A + Diskon]]+cadangan3[[#This Row],[Harga + Diskon B]]+cadangan3[[#This Row],[Harga + Diskon C]]</f>
        <v>1620000</v>
      </c>
      <c r="AI362" s="35">
        <f>(cadangan3[[#This Row],[Profit A]]+cadangan3[[#This Row],[Profit B]]+cadangan3[[#This Row],[Profit C]])</f>
        <v>650000</v>
      </c>
      <c r="AJ362" s="35">
        <f>cadangan3[[#This Row],[Provit A + Diskon]]+cadangan3[[#This Row],[Provit B + Diskon]]+cadangan3[[#This Row],[Provit C + Diskon]]</f>
        <v>585000</v>
      </c>
      <c r="AK362" s="23" t="s">
        <v>31</v>
      </c>
      <c r="AL362" s="37">
        <f>IFERROR(INDEX('Kode Diskon'!$D$3:$D$9,MATCH(cadangan3[[#This Row],[Kode diskon]],'Kode Diskon'!$C$3:$C$9,0)),"-")</f>
        <v>0.1</v>
      </c>
      <c r="AM362" s="23" t="s">
        <v>9</v>
      </c>
      <c r="AN362" s="23" t="s">
        <v>10</v>
      </c>
      <c r="AO362" s="23" t="s">
        <v>80</v>
      </c>
      <c r="AP362" s="24">
        <v>45039</v>
      </c>
      <c r="AQ362" s="23" t="str">
        <f>TEXT(cadangan3[[#This Row],[Tanggal terjual]],"dddd")</f>
        <v>Sunday</v>
      </c>
    </row>
    <row r="363" spans="1:43" x14ac:dyDescent="0.2">
      <c r="A363" s="20">
        <v>362</v>
      </c>
      <c r="B363" s="21" t="str">
        <f>_xlfn.CONCAT("ORD-",INDEX(Helper!$B$2:$B$5,MATCH(cadangan3[[#This Row],[Marketplace]],Helper!$A$2:$A$5,0)),TEXT(cadangan3[[#This Row],[No]],"0000"),"-",TEXT(cadangan3[[#This Row],[Tanggal terjual]],"dd/mm/yy"))</f>
        <v>ORD-BL0362-17/04/23</v>
      </c>
      <c r="C363" t="s">
        <v>66</v>
      </c>
      <c r="D363" t="str">
        <f>IFERROR(INDEX(Katalog!$A$3:$A$12,MATCH(cadangan3[[#This Row],[ItemID A]],Katalog!$C$3:$C$12,0)),"-")</f>
        <v>Sepatu Pria</v>
      </c>
      <c r="E363" t="str">
        <f>IFERROR(INDEX(Katalog!$B$3:$B$12,MATCH(cadangan3[[#This Row],[ItemID A]],Katalog!$C$3:$C$12,0)),"-")</f>
        <v>Sandal Slip On</v>
      </c>
      <c r="F363">
        <v>3</v>
      </c>
      <c r="G363">
        <v>5</v>
      </c>
      <c r="H363" s="36">
        <f>IFERROR(INDEX(Katalog!$D$3:$D$12,MATCH(cadangan3[[#This Row],[ItemID A]],Katalog!$C$3:$C$12,0))*cadangan3[[#This Row],[Qty A]],0)</f>
        <v>450000</v>
      </c>
      <c r="I363" s="36">
        <f>IFERROR(INDEX(Katalog!$D$3:$D$12,MATCH(cadangan3[[#This Row],[Item A]],Katalog!$B$3:$B$12,0))*cadangan3[[#This Row],[Qty A]],0)</f>
        <v>450000</v>
      </c>
      <c r="J363" s="36">
        <f>IFERROR(cadangan3[[#This Row],[Harga Asli A]]-(cadangan3[[#This Row],[Harga Asli A]]*cadangan3[[#This Row],[Diskon]]),cadangan3[[#This Row],[Harga Asli A]])</f>
        <v>382500</v>
      </c>
      <c r="K363" s="36">
        <f>INDEX(Katalog!$F$3:$F$12,MATCH(cadangan3[[#This Row],[ItemID A]],Katalog!$C$3:$C$12,0))*cadangan3[[#This Row],[Qty A]]</f>
        <v>180000</v>
      </c>
      <c r="L363" s="36">
        <f>IFERROR(cadangan3[[#This Row],[Profit A]]-(cadangan3[[#This Row],[Profit A]]*cadangan3[[#This Row],[Diskon]]),K363)</f>
        <v>153000</v>
      </c>
      <c r="M363" t="s">
        <v>60</v>
      </c>
      <c r="N363" t="str">
        <f>IFERROR(INDEX(Katalog!$A$3:$A$12,MATCH(cadangan3[[#This Row],[ItemID B]],Katalog!$C$3:$C$12,0)),"-")</f>
        <v>Pakaian Wanita</v>
      </c>
      <c r="O363" t="str">
        <f>IFERROR(INDEX(Katalog!$B$3:$B$12,MATCH(cadangan3[[#This Row],[ItemID B]],Katalog!$C$3:$C$12,0)),"-")</f>
        <v>Kaftan</v>
      </c>
      <c r="P363">
        <v>1</v>
      </c>
      <c r="Q363">
        <v>5</v>
      </c>
      <c r="R363" s="36">
        <f>IFERROR(INDEX(Katalog!$D$3:$D$12,MATCH(cadangan3[[#This Row],[ItemID B]],Katalog!$C$3:$C$12,0))*cadangan3[[#This Row],[Qty B]],0)</f>
        <v>250000</v>
      </c>
      <c r="S363" s="36">
        <f>IFERROR(INDEX(Katalog!$D$3:$D$12,MATCH(cadangan3[[#This Row],[Item B]],Katalog!$B$3:$B$12,0))*cadangan3[[#This Row],[Qty B]],0)</f>
        <v>250000</v>
      </c>
      <c r="T363" s="36">
        <f>IFERROR(cadangan3[[#This Row],[Harga Asli B]]-(cadangan3[[#This Row],[Harga Asli B]]*cadangan3[[#This Row],[Diskon]]),cadangan3[[#This Row],[Harga Asli B]])</f>
        <v>212500</v>
      </c>
      <c r="U363" s="36">
        <f>IFERROR(INDEX(Katalog!$F$3:$F$12,MATCH(cadangan3[[#This Row],[ItemID B]],Katalog!$C$3:$C$12,0))*cadangan3[[#This Row],[Qty B]],0)</f>
        <v>100000</v>
      </c>
      <c r="V363" s="36">
        <f>IFERROR(cadangan3[[#This Row],[Profit B]]-(cadangan3[[#This Row],[Profit B]]*cadangan3[[#This Row],[Diskon]]),U363)</f>
        <v>85000</v>
      </c>
      <c r="X363" t="str">
        <f>IFERROR(INDEX(Katalog!$A$3:$A$12,MATCH(cadangan3[[#This Row],[ItemID C]],Katalog!$C$3:$C$12,0)),"-")</f>
        <v>-</v>
      </c>
      <c r="Y363" t="str">
        <f>IFERROR(INDEX(Katalog!$B$3:$B$12,MATCH(cadangan3[[#This Row],[ItemID C]],Katalog!$C$3:$C$12,0)),"-")</f>
        <v>-</v>
      </c>
      <c r="AB363" s="36">
        <f>IFERROR(INDEX(Katalog!$D$3:$D$12,MATCH(cadangan3[[#This Row],[ItemID C]],Katalog!$C$3:$C$12,0))*cadangan3[[#This Row],[Qty C]],0)</f>
        <v>0</v>
      </c>
      <c r="AC363" s="36">
        <f>IFERROR(INDEX(Katalog!$D$3:$D$12,MATCH(cadangan3[[#This Row],[Item C]],Katalog!$B$3:$B$12,0))*cadangan3[[#This Row],[Qty C]],0)</f>
        <v>0</v>
      </c>
      <c r="AD363" s="36">
        <f>IFERROR(cadangan3[[#This Row],[Harga Asli C]]-(cadangan3[[#This Row],[Harga Asli C]]*cadangan3[[#This Row],[Diskon]]),cadangan3[[#This Row],[Harga Asli C]])</f>
        <v>0</v>
      </c>
      <c r="AE363" s="36">
        <f>IFERROR(INDEX(Katalog!$F$3:$F$12,MATCH(cadangan3[[#This Row],[ItemID C]],Katalog!$C$3:$C$12,0))*cadangan3[[#This Row],[Qty C]],0)</f>
        <v>0</v>
      </c>
      <c r="AF363" s="36">
        <f>IFERROR(cadangan3[[#This Row],[Profit C]]-(cadangan3[[#This Row],[Profit C]]*cadangan3[[#This Row],[Diskon]]),cadangan3[[#This Row],[Profit C]])</f>
        <v>0</v>
      </c>
      <c r="AG363" s="21">
        <f>cadangan3[[#This Row],[Qty A]]+cadangan3[[#This Row],[Qty B]]+cadangan3[[#This Row],[Qty C]]</f>
        <v>4</v>
      </c>
      <c r="AH363" s="35">
        <f>cadangan3[[#This Row],[Harga A + Diskon]]+cadangan3[[#This Row],[Harga + Diskon B]]+cadangan3[[#This Row],[Harga + Diskon C]]</f>
        <v>595000</v>
      </c>
      <c r="AI363" s="35">
        <f>(cadangan3[[#This Row],[Profit A]]+cadangan3[[#This Row],[Profit B]]+cadangan3[[#This Row],[Profit C]])</f>
        <v>280000</v>
      </c>
      <c r="AJ363" s="35">
        <f>cadangan3[[#This Row],[Provit A + Diskon]]+cadangan3[[#This Row],[Provit B + Diskon]]+cadangan3[[#This Row],[Provit C + Diskon]]</f>
        <v>238000</v>
      </c>
      <c r="AK363" s="23" t="s">
        <v>32</v>
      </c>
      <c r="AL363" s="37">
        <f>IFERROR(INDEX('Kode Diskon'!$D$3:$D$9,MATCH(cadangan3[[#This Row],[Kode diskon]],'Kode Diskon'!$C$3:$C$9,0)),"-")</f>
        <v>0.15</v>
      </c>
      <c r="AM363" s="23" t="s">
        <v>9</v>
      </c>
      <c r="AN363" s="23" t="s">
        <v>12</v>
      </c>
      <c r="AO363" s="23" t="s">
        <v>79</v>
      </c>
      <c r="AP363" s="24">
        <v>45033</v>
      </c>
      <c r="AQ363" s="23" t="str">
        <f>TEXT(cadangan3[[#This Row],[Tanggal terjual]],"dddd")</f>
        <v>Monday</v>
      </c>
    </row>
    <row r="364" spans="1:43" x14ac:dyDescent="0.2">
      <c r="A364" s="20">
        <v>363</v>
      </c>
      <c r="B364" s="21" t="str">
        <f>_xlfn.CONCAT("ORD-",INDEX(Helper!$B$2:$B$5,MATCH(cadangan3[[#This Row],[Marketplace]],Helper!$A$2:$A$5,0)),TEXT(cadangan3[[#This Row],[No]],"0000"),"-",TEXT(cadangan3[[#This Row],[Tanggal terjual]],"dd/mm/yy"))</f>
        <v>ORD-TK0363-07/04/23</v>
      </c>
      <c r="C364" t="s">
        <v>62</v>
      </c>
      <c r="D364" t="str">
        <f>IFERROR(INDEX(Katalog!$A$3:$A$12,MATCH(cadangan3[[#This Row],[ItemID A]],Katalog!$C$3:$C$12,0)),"-")</f>
        <v>Pakaian Pria</v>
      </c>
      <c r="E364" t="str">
        <f>IFERROR(INDEX(Katalog!$B$3:$B$12,MATCH(cadangan3[[#This Row],[ItemID A]],Katalog!$C$3:$C$12,0)),"-")</f>
        <v>Celana Pendek</v>
      </c>
      <c r="F364">
        <v>1</v>
      </c>
      <c r="G364">
        <v>5</v>
      </c>
      <c r="H364" s="36">
        <f>IFERROR(INDEX(Katalog!$D$3:$D$12,MATCH(cadangan3[[#This Row],[ItemID A]],Katalog!$C$3:$C$12,0))*cadangan3[[#This Row],[Qty A]],0)</f>
        <v>180000</v>
      </c>
      <c r="I364" s="36">
        <f>IFERROR(INDEX(Katalog!$D$3:$D$12,MATCH(cadangan3[[#This Row],[Item A]],Katalog!$B$3:$B$12,0))*cadangan3[[#This Row],[Qty A]],0)</f>
        <v>180000</v>
      </c>
      <c r="J364" s="36">
        <f>IFERROR(cadangan3[[#This Row],[Harga Asli A]]-(cadangan3[[#This Row],[Harga Asli A]]*cadangan3[[#This Row],[Diskon]]),cadangan3[[#This Row],[Harga Asli A]])</f>
        <v>180000</v>
      </c>
      <c r="K364" s="36">
        <f>INDEX(Katalog!$F$3:$F$12,MATCH(cadangan3[[#This Row],[ItemID A]],Katalog!$C$3:$C$12,0))*cadangan3[[#This Row],[Qty A]]</f>
        <v>70000</v>
      </c>
      <c r="L364" s="36">
        <f>IFERROR(cadangan3[[#This Row],[Profit A]]-(cadangan3[[#This Row],[Profit A]]*cadangan3[[#This Row],[Diskon]]),K364)</f>
        <v>70000</v>
      </c>
      <c r="M364" t="s">
        <v>58</v>
      </c>
      <c r="N364" t="str">
        <f>IFERROR(INDEX(Katalog!$A$3:$A$12,MATCH(cadangan3[[#This Row],[ItemID B]],Katalog!$C$3:$C$12,0)),"-")</f>
        <v>Pakaian Wanita</v>
      </c>
      <c r="O364" t="str">
        <f>IFERROR(INDEX(Katalog!$B$3:$B$12,MATCH(cadangan3[[#This Row],[ItemID B]],Katalog!$C$3:$C$12,0)),"-")</f>
        <v>Dress</v>
      </c>
      <c r="P364">
        <v>2</v>
      </c>
      <c r="Q364">
        <v>5</v>
      </c>
      <c r="R364" s="36">
        <f>IFERROR(INDEX(Katalog!$D$3:$D$12,MATCH(cadangan3[[#This Row],[ItemID B]],Katalog!$C$3:$C$12,0))*cadangan3[[#This Row],[Qty B]],0)</f>
        <v>600000</v>
      </c>
      <c r="S364" s="36">
        <f>IFERROR(INDEX(Katalog!$D$3:$D$12,MATCH(cadangan3[[#This Row],[Item B]],Katalog!$B$3:$B$12,0))*cadangan3[[#This Row],[Qty B]],0)</f>
        <v>600000</v>
      </c>
      <c r="T364" s="36">
        <f>IFERROR(cadangan3[[#This Row],[Harga Asli B]]-(cadangan3[[#This Row],[Harga Asli B]]*cadangan3[[#This Row],[Diskon]]),cadangan3[[#This Row],[Harga Asli B]])</f>
        <v>600000</v>
      </c>
      <c r="U364" s="36">
        <f>IFERROR(INDEX(Katalog!$F$3:$F$12,MATCH(cadangan3[[#This Row],[ItemID B]],Katalog!$C$3:$C$12,0))*cadangan3[[#This Row],[Qty B]],0)</f>
        <v>200000</v>
      </c>
      <c r="V364" s="36">
        <f>IFERROR(cadangan3[[#This Row],[Profit B]]-(cadangan3[[#This Row],[Profit B]]*cadangan3[[#This Row],[Diskon]]),U364)</f>
        <v>200000</v>
      </c>
      <c r="X364" t="str">
        <f>IFERROR(INDEX(Katalog!$A$3:$A$12,MATCH(cadangan3[[#This Row],[ItemID C]],Katalog!$C$3:$C$12,0)),"-")</f>
        <v>-</v>
      </c>
      <c r="Y364" t="str">
        <f>IFERROR(INDEX(Katalog!$B$3:$B$12,MATCH(cadangan3[[#This Row],[ItemID C]],Katalog!$C$3:$C$12,0)),"-")</f>
        <v>-</v>
      </c>
      <c r="AB364" s="36">
        <f>IFERROR(INDEX(Katalog!$D$3:$D$12,MATCH(cadangan3[[#This Row],[ItemID C]],Katalog!$C$3:$C$12,0))*cadangan3[[#This Row],[Qty C]],0)</f>
        <v>0</v>
      </c>
      <c r="AC364" s="36">
        <f>IFERROR(INDEX(Katalog!$D$3:$D$12,MATCH(cadangan3[[#This Row],[Item C]],Katalog!$B$3:$B$12,0))*cadangan3[[#This Row],[Qty C]],0)</f>
        <v>0</v>
      </c>
      <c r="AD364" s="36">
        <f>IFERROR(cadangan3[[#This Row],[Harga Asli C]]-(cadangan3[[#This Row],[Harga Asli C]]*cadangan3[[#This Row],[Diskon]]),cadangan3[[#This Row],[Harga Asli C]])</f>
        <v>0</v>
      </c>
      <c r="AE364" s="36">
        <f>IFERROR(INDEX(Katalog!$F$3:$F$12,MATCH(cadangan3[[#This Row],[ItemID C]],Katalog!$C$3:$C$12,0))*cadangan3[[#This Row],[Qty C]],0)</f>
        <v>0</v>
      </c>
      <c r="AF364" s="36">
        <f>IFERROR(cadangan3[[#This Row],[Profit C]]-(cadangan3[[#This Row],[Profit C]]*cadangan3[[#This Row],[Diskon]]),cadangan3[[#This Row],[Profit C]])</f>
        <v>0</v>
      </c>
      <c r="AG364" s="21">
        <f>cadangan3[[#This Row],[Qty A]]+cadangan3[[#This Row],[Qty B]]+cadangan3[[#This Row],[Qty C]]</f>
        <v>3</v>
      </c>
      <c r="AH364" s="35">
        <f>cadangan3[[#This Row],[Harga A + Diskon]]+cadangan3[[#This Row],[Harga + Diskon B]]+cadangan3[[#This Row],[Harga + Diskon C]]</f>
        <v>780000</v>
      </c>
      <c r="AI364" s="35">
        <f>(cadangan3[[#This Row],[Profit A]]+cadangan3[[#This Row],[Profit B]]+cadangan3[[#This Row],[Profit C]])</f>
        <v>270000</v>
      </c>
      <c r="AJ364" s="35">
        <f>cadangan3[[#This Row],[Provit A + Diskon]]+cadangan3[[#This Row],[Provit B + Diskon]]+cadangan3[[#This Row],[Provit C + Diskon]]</f>
        <v>270000</v>
      </c>
      <c r="AK364" s="23" t="s">
        <v>11</v>
      </c>
      <c r="AL364" s="37" t="str">
        <f>IFERROR(INDEX('Kode Diskon'!$D$3:$D$9,MATCH(cadangan3[[#This Row],[Kode diskon]],'Kode Diskon'!$C$3:$C$9,0)),"-")</f>
        <v>-</v>
      </c>
      <c r="AM364" s="23" t="s">
        <v>11</v>
      </c>
      <c r="AN364" s="23" t="s">
        <v>10</v>
      </c>
      <c r="AO364" s="23" t="s">
        <v>77</v>
      </c>
      <c r="AP364" s="24">
        <v>45023</v>
      </c>
      <c r="AQ364" s="23" t="str">
        <f>TEXT(cadangan3[[#This Row],[Tanggal terjual]],"dddd")</f>
        <v>Friday</v>
      </c>
    </row>
    <row r="365" spans="1:43" x14ac:dyDescent="0.2">
      <c r="A365" s="20">
        <v>364</v>
      </c>
      <c r="B365" s="21" t="str">
        <f>_xlfn.CONCAT("ORD-",INDEX(Helper!$B$2:$B$5,MATCH(cadangan3[[#This Row],[Marketplace]],Helper!$A$2:$A$5,0)),TEXT(cadangan3[[#This Row],[No]],"0000"),"-",TEXT(cadangan3[[#This Row],[Tanggal terjual]],"dd/mm/yy"))</f>
        <v>ORD-SP0364-30/04/23</v>
      </c>
      <c r="C365" t="s">
        <v>61</v>
      </c>
      <c r="D365" t="str">
        <f>IFERROR(INDEX(Katalog!$A$3:$A$12,MATCH(cadangan3[[#This Row],[ItemID A]],Katalog!$C$3:$C$12,0)),"-")</f>
        <v>Pakaian Pria</v>
      </c>
      <c r="E365" t="str">
        <f>IFERROR(INDEX(Katalog!$B$3:$B$12,MATCH(cadangan3[[#This Row],[ItemID A]],Katalog!$C$3:$C$12,0)),"-")</f>
        <v>Kaos Polo</v>
      </c>
      <c r="F365">
        <v>3</v>
      </c>
      <c r="G365">
        <v>4</v>
      </c>
      <c r="H365" s="36">
        <f>IFERROR(INDEX(Katalog!$D$3:$D$12,MATCH(cadangan3[[#This Row],[ItemID A]],Katalog!$C$3:$C$12,0))*cadangan3[[#This Row],[Qty A]],0)</f>
        <v>600000</v>
      </c>
      <c r="I365" s="36">
        <f>IFERROR(INDEX(Katalog!$D$3:$D$12,MATCH(cadangan3[[#This Row],[Item A]],Katalog!$B$3:$B$12,0))*cadangan3[[#This Row],[Qty A]],0)</f>
        <v>600000</v>
      </c>
      <c r="J365" s="36">
        <f>IFERROR(cadangan3[[#This Row],[Harga Asli A]]-(cadangan3[[#This Row],[Harga Asli A]]*cadangan3[[#This Row],[Diskon]]),cadangan3[[#This Row],[Harga Asli A]])</f>
        <v>480000</v>
      </c>
      <c r="K365" s="36">
        <f>INDEX(Katalog!$F$3:$F$12,MATCH(cadangan3[[#This Row],[ItemID A]],Katalog!$C$3:$C$12,0))*cadangan3[[#This Row],[Qty A]]</f>
        <v>240000</v>
      </c>
      <c r="L365" s="36">
        <f>IFERROR(cadangan3[[#This Row],[Profit A]]-(cadangan3[[#This Row],[Profit A]]*cadangan3[[#This Row],[Diskon]]),K365)</f>
        <v>192000</v>
      </c>
      <c r="N365" t="str">
        <f>IFERROR(INDEX(Katalog!$A$3:$A$12,MATCH(cadangan3[[#This Row],[ItemID B]],Katalog!$C$3:$C$12,0)),"-")</f>
        <v>-</v>
      </c>
      <c r="O365" t="str">
        <f>IFERROR(INDEX(Katalog!$B$3:$B$12,MATCH(cadangan3[[#This Row],[ItemID B]],Katalog!$C$3:$C$12,0)),"-")</f>
        <v>-</v>
      </c>
      <c r="R365" s="36">
        <f>IFERROR(INDEX(Katalog!$D$3:$D$12,MATCH(cadangan3[[#This Row],[ItemID B]],Katalog!$C$3:$C$12,0))*cadangan3[[#This Row],[Qty B]],0)</f>
        <v>0</v>
      </c>
      <c r="S365" s="36">
        <f>IFERROR(INDEX(Katalog!$D$3:$D$12,MATCH(cadangan3[[#This Row],[Item B]],Katalog!$B$3:$B$12,0))*cadangan3[[#This Row],[Qty B]],0)</f>
        <v>0</v>
      </c>
      <c r="T365" s="36">
        <f>IFERROR(cadangan3[[#This Row],[Harga Asli B]]-(cadangan3[[#This Row],[Harga Asli B]]*cadangan3[[#This Row],[Diskon]]),cadangan3[[#This Row],[Harga Asli B]])</f>
        <v>0</v>
      </c>
      <c r="U365" s="36">
        <f>IFERROR(INDEX(Katalog!$F$3:$F$12,MATCH(cadangan3[[#This Row],[ItemID B]],Katalog!$C$3:$C$12,0))*cadangan3[[#This Row],[Qty B]],0)</f>
        <v>0</v>
      </c>
      <c r="V365" s="36">
        <f>IFERROR(cadangan3[[#This Row],[Profit B]]-(cadangan3[[#This Row],[Profit B]]*cadangan3[[#This Row],[Diskon]]),U365)</f>
        <v>0</v>
      </c>
      <c r="X365" t="str">
        <f>IFERROR(INDEX(Katalog!$A$3:$A$12,MATCH(cadangan3[[#This Row],[ItemID C]],Katalog!$C$3:$C$12,0)),"-")</f>
        <v>-</v>
      </c>
      <c r="Y365" t="str">
        <f>IFERROR(INDEX(Katalog!$B$3:$B$12,MATCH(cadangan3[[#This Row],[ItemID C]],Katalog!$C$3:$C$12,0)),"-")</f>
        <v>-</v>
      </c>
      <c r="AB365" s="36">
        <f>IFERROR(INDEX(Katalog!$D$3:$D$12,MATCH(cadangan3[[#This Row],[ItemID C]],Katalog!$C$3:$C$12,0))*cadangan3[[#This Row],[Qty C]],0)</f>
        <v>0</v>
      </c>
      <c r="AC365" s="36">
        <f>IFERROR(INDEX(Katalog!$D$3:$D$12,MATCH(cadangan3[[#This Row],[Item C]],Katalog!$B$3:$B$12,0))*cadangan3[[#This Row],[Qty C]],0)</f>
        <v>0</v>
      </c>
      <c r="AD365" s="36">
        <f>IFERROR(cadangan3[[#This Row],[Harga Asli C]]-(cadangan3[[#This Row],[Harga Asli C]]*cadangan3[[#This Row],[Diskon]]),cadangan3[[#This Row],[Harga Asli C]])</f>
        <v>0</v>
      </c>
      <c r="AE365" s="36">
        <f>IFERROR(INDEX(Katalog!$F$3:$F$12,MATCH(cadangan3[[#This Row],[ItemID C]],Katalog!$C$3:$C$12,0))*cadangan3[[#This Row],[Qty C]],0)</f>
        <v>0</v>
      </c>
      <c r="AF365" s="36">
        <f>IFERROR(cadangan3[[#This Row],[Profit C]]-(cadangan3[[#This Row],[Profit C]]*cadangan3[[#This Row],[Diskon]]),cadangan3[[#This Row],[Profit C]])</f>
        <v>0</v>
      </c>
      <c r="AG365" s="21">
        <f>cadangan3[[#This Row],[Qty A]]+cadangan3[[#This Row],[Qty B]]+cadangan3[[#This Row],[Qty C]]</f>
        <v>3</v>
      </c>
      <c r="AH365" s="35">
        <f>cadangan3[[#This Row],[Harga A + Diskon]]+cadangan3[[#This Row],[Harga + Diskon B]]+cadangan3[[#This Row],[Harga + Diskon C]]</f>
        <v>480000</v>
      </c>
      <c r="AI365" s="35">
        <f>(cadangan3[[#This Row],[Profit A]]+cadangan3[[#This Row],[Profit B]]+cadangan3[[#This Row],[Profit C]])</f>
        <v>240000</v>
      </c>
      <c r="AJ365" s="35">
        <f>cadangan3[[#This Row],[Provit A + Diskon]]+cadangan3[[#This Row],[Provit B + Diskon]]+cadangan3[[#This Row],[Provit C + Diskon]]</f>
        <v>192000</v>
      </c>
      <c r="AK365" s="23" t="s">
        <v>8</v>
      </c>
      <c r="AL365" s="37">
        <f>IFERROR(INDEX('Kode Diskon'!$D$3:$D$9,MATCH(cadangan3[[#This Row],[Kode diskon]],'Kode Diskon'!$C$3:$C$9,0)),"-")</f>
        <v>0.2</v>
      </c>
      <c r="AM365" s="23" t="s">
        <v>9</v>
      </c>
      <c r="AN365" s="23" t="s">
        <v>7</v>
      </c>
      <c r="AO365" s="23" t="s">
        <v>76</v>
      </c>
      <c r="AP365" s="24">
        <v>45046</v>
      </c>
      <c r="AQ365" s="23" t="str">
        <f>TEXT(cadangan3[[#This Row],[Tanggal terjual]],"dddd")</f>
        <v>Sunday</v>
      </c>
    </row>
    <row r="366" spans="1:43" x14ac:dyDescent="0.2">
      <c r="A366" s="20">
        <v>365</v>
      </c>
      <c r="B366" s="21" t="str">
        <f>_xlfn.CONCAT("ORD-",INDEX(Helper!$B$2:$B$5,MATCH(cadangan3[[#This Row],[Marketplace]],Helper!$A$2:$A$5,0)),TEXT(cadangan3[[#This Row],[No]],"0000"),"-",TEXT(cadangan3[[#This Row],[Tanggal terjual]],"dd/mm/yy"))</f>
        <v>ORD-SP0365-08/04/23</v>
      </c>
      <c r="C366" t="s">
        <v>59</v>
      </c>
      <c r="D366" t="str">
        <f>IFERROR(INDEX(Katalog!$A$3:$A$12,MATCH(cadangan3[[#This Row],[ItemID A]],Katalog!$C$3:$C$12,0)),"-")</f>
        <v>Pakaian Wanita</v>
      </c>
      <c r="E366" t="str">
        <f>IFERROR(INDEX(Katalog!$B$3:$B$12,MATCH(cadangan3[[#This Row],[ItemID A]],Katalog!$C$3:$C$12,0)),"-")</f>
        <v>Blouse</v>
      </c>
      <c r="F366">
        <v>2</v>
      </c>
      <c r="G366">
        <v>2</v>
      </c>
      <c r="H366" s="36">
        <f>IFERROR(INDEX(Katalog!$D$3:$D$12,MATCH(cadangan3[[#This Row],[ItemID A]],Katalog!$C$3:$C$12,0))*cadangan3[[#This Row],[Qty A]],0)</f>
        <v>300000</v>
      </c>
      <c r="I366" s="36">
        <f>IFERROR(INDEX(Katalog!$D$3:$D$12,MATCH(cadangan3[[#This Row],[Item A]],Katalog!$B$3:$B$12,0))*cadangan3[[#This Row],[Qty A]],0)</f>
        <v>300000</v>
      </c>
      <c r="J366" s="36">
        <f>IFERROR(cadangan3[[#This Row],[Harga Asli A]]-(cadangan3[[#This Row],[Harga Asli A]]*cadangan3[[#This Row],[Diskon]]),cadangan3[[#This Row],[Harga Asli A]])</f>
        <v>300000</v>
      </c>
      <c r="K366" s="36">
        <f>INDEX(Katalog!$F$3:$F$12,MATCH(cadangan3[[#This Row],[ItemID A]],Katalog!$C$3:$C$12,0))*cadangan3[[#This Row],[Qty A]]</f>
        <v>100000</v>
      </c>
      <c r="L366" s="36">
        <f>IFERROR(cadangan3[[#This Row],[Profit A]]-(cadangan3[[#This Row],[Profit A]]*cadangan3[[#This Row],[Diskon]]),K366)</f>
        <v>100000</v>
      </c>
      <c r="M366" t="s">
        <v>58</v>
      </c>
      <c r="N366" t="str">
        <f>IFERROR(INDEX(Katalog!$A$3:$A$12,MATCH(cadangan3[[#This Row],[ItemID B]],Katalog!$C$3:$C$12,0)),"-")</f>
        <v>Pakaian Wanita</v>
      </c>
      <c r="O366" t="str">
        <f>IFERROR(INDEX(Katalog!$B$3:$B$12,MATCH(cadangan3[[#This Row],[ItemID B]],Katalog!$C$3:$C$12,0)),"-")</f>
        <v>Dress</v>
      </c>
      <c r="P366">
        <v>1</v>
      </c>
      <c r="Q366">
        <v>1</v>
      </c>
      <c r="R366" s="36">
        <f>IFERROR(INDEX(Katalog!$D$3:$D$12,MATCH(cadangan3[[#This Row],[ItemID B]],Katalog!$C$3:$C$12,0))*cadangan3[[#This Row],[Qty B]],0)</f>
        <v>300000</v>
      </c>
      <c r="S366" s="36">
        <f>IFERROR(INDEX(Katalog!$D$3:$D$12,MATCH(cadangan3[[#This Row],[Item B]],Katalog!$B$3:$B$12,0))*cadangan3[[#This Row],[Qty B]],0)</f>
        <v>300000</v>
      </c>
      <c r="T366" s="36">
        <f>IFERROR(cadangan3[[#This Row],[Harga Asli B]]-(cadangan3[[#This Row],[Harga Asli B]]*cadangan3[[#This Row],[Diskon]]),cadangan3[[#This Row],[Harga Asli B]])</f>
        <v>300000</v>
      </c>
      <c r="U366" s="36">
        <f>IFERROR(INDEX(Katalog!$F$3:$F$12,MATCH(cadangan3[[#This Row],[ItemID B]],Katalog!$C$3:$C$12,0))*cadangan3[[#This Row],[Qty B]],0)</f>
        <v>100000</v>
      </c>
      <c r="V366" s="36">
        <f>IFERROR(cadangan3[[#This Row],[Profit B]]-(cadangan3[[#This Row],[Profit B]]*cadangan3[[#This Row],[Diskon]]),U366)</f>
        <v>100000</v>
      </c>
      <c r="X366" t="str">
        <f>IFERROR(INDEX(Katalog!$A$3:$A$12,MATCH(cadangan3[[#This Row],[ItemID C]],Katalog!$C$3:$C$12,0)),"-")</f>
        <v>-</v>
      </c>
      <c r="Y366" t="str">
        <f>IFERROR(INDEX(Katalog!$B$3:$B$12,MATCH(cadangan3[[#This Row],[ItemID C]],Katalog!$C$3:$C$12,0)),"-")</f>
        <v>-</v>
      </c>
      <c r="AB366" s="36">
        <f>IFERROR(INDEX(Katalog!$D$3:$D$12,MATCH(cadangan3[[#This Row],[ItemID C]],Katalog!$C$3:$C$12,0))*cadangan3[[#This Row],[Qty C]],0)</f>
        <v>0</v>
      </c>
      <c r="AC366" s="36">
        <f>IFERROR(INDEX(Katalog!$D$3:$D$12,MATCH(cadangan3[[#This Row],[Item C]],Katalog!$B$3:$B$12,0))*cadangan3[[#This Row],[Qty C]],0)</f>
        <v>0</v>
      </c>
      <c r="AD366" s="36">
        <f>IFERROR(cadangan3[[#This Row],[Harga Asli C]]-(cadangan3[[#This Row],[Harga Asli C]]*cadangan3[[#This Row],[Diskon]]),cadangan3[[#This Row],[Harga Asli C]])</f>
        <v>0</v>
      </c>
      <c r="AE366" s="36">
        <f>IFERROR(INDEX(Katalog!$F$3:$F$12,MATCH(cadangan3[[#This Row],[ItemID C]],Katalog!$C$3:$C$12,0))*cadangan3[[#This Row],[Qty C]],0)</f>
        <v>0</v>
      </c>
      <c r="AF366" s="36">
        <f>IFERROR(cadangan3[[#This Row],[Profit C]]-(cadangan3[[#This Row],[Profit C]]*cadangan3[[#This Row],[Diskon]]),cadangan3[[#This Row],[Profit C]])</f>
        <v>0</v>
      </c>
      <c r="AG366" s="21">
        <f>cadangan3[[#This Row],[Qty A]]+cadangan3[[#This Row],[Qty B]]+cadangan3[[#This Row],[Qty C]]</f>
        <v>3</v>
      </c>
      <c r="AH366" s="35">
        <f>cadangan3[[#This Row],[Harga A + Diskon]]+cadangan3[[#This Row],[Harga + Diskon B]]+cadangan3[[#This Row],[Harga + Diskon C]]</f>
        <v>600000</v>
      </c>
      <c r="AI366" s="35">
        <f>(cadangan3[[#This Row],[Profit A]]+cadangan3[[#This Row],[Profit B]]+cadangan3[[#This Row],[Profit C]])</f>
        <v>200000</v>
      </c>
      <c r="AJ366" s="35">
        <f>cadangan3[[#This Row],[Provit A + Diskon]]+cadangan3[[#This Row],[Provit B + Diskon]]+cadangan3[[#This Row],[Provit C + Diskon]]</f>
        <v>200000</v>
      </c>
      <c r="AK366" s="23" t="s">
        <v>11</v>
      </c>
      <c r="AL366" s="37" t="str">
        <f>IFERROR(INDEX('Kode Diskon'!$D$3:$D$9,MATCH(cadangan3[[#This Row],[Kode diskon]],'Kode Diskon'!$C$3:$C$9,0)),"-")</f>
        <v>-</v>
      </c>
      <c r="AM366" s="23" t="s">
        <v>11</v>
      </c>
      <c r="AN366" s="23" t="s">
        <v>7</v>
      </c>
      <c r="AO366" s="23" t="s">
        <v>77</v>
      </c>
      <c r="AP366" s="24">
        <v>45024</v>
      </c>
      <c r="AQ366" s="23" t="str">
        <f>TEXT(cadangan3[[#This Row],[Tanggal terjual]],"dddd")</f>
        <v>Saturday</v>
      </c>
    </row>
    <row r="367" spans="1:43" x14ac:dyDescent="0.2">
      <c r="A367" s="20">
        <v>366</v>
      </c>
      <c r="B367" s="21" t="str">
        <f>_xlfn.CONCAT("ORD-",INDEX(Helper!$B$2:$B$5,MATCH(cadangan3[[#This Row],[Marketplace]],Helper!$A$2:$A$5,0)),TEXT(cadangan3[[#This Row],[No]],"0000"),"-",TEXT(cadangan3[[#This Row],[Tanggal terjual]],"dd/mm/yy"))</f>
        <v>ORD-BL0366-16/04/23</v>
      </c>
      <c r="C367" t="s">
        <v>58</v>
      </c>
      <c r="D367" t="str">
        <f>IFERROR(INDEX(Katalog!$A$3:$A$12,MATCH(cadangan3[[#This Row],[ItemID A]],Katalog!$C$3:$C$12,0)),"-")</f>
        <v>Pakaian Wanita</v>
      </c>
      <c r="E367" t="str">
        <f>IFERROR(INDEX(Katalog!$B$3:$B$12,MATCH(cadangan3[[#This Row],[ItemID A]],Katalog!$C$3:$C$12,0)),"-")</f>
        <v>Dress</v>
      </c>
      <c r="F367">
        <v>1</v>
      </c>
      <c r="G367">
        <v>5</v>
      </c>
      <c r="H367" s="36">
        <f>IFERROR(INDEX(Katalog!$D$3:$D$12,MATCH(cadangan3[[#This Row],[ItemID A]],Katalog!$C$3:$C$12,0))*cadangan3[[#This Row],[Qty A]],0)</f>
        <v>300000</v>
      </c>
      <c r="I367" s="36">
        <f>IFERROR(INDEX(Katalog!$D$3:$D$12,MATCH(cadangan3[[#This Row],[Item A]],Katalog!$B$3:$B$12,0))*cadangan3[[#This Row],[Qty A]],0)</f>
        <v>300000</v>
      </c>
      <c r="J367" s="36">
        <f>IFERROR(cadangan3[[#This Row],[Harga Asli A]]-(cadangan3[[#This Row],[Harga Asli A]]*cadangan3[[#This Row],[Diskon]]),cadangan3[[#This Row],[Harga Asli A]])</f>
        <v>255000</v>
      </c>
      <c r="K367" s="36">
        <f>INDEX(Katalog!$F$3:$F$12,MATCH(cadangan3[[#This Row],[ItemID A]],Katalog!$C$3:$C$12,0))*cadangan3[[#This Row],[Qty A]]</f>
        <v>100000</v>
      </c>
      <c r="L367" s="36">
        <f>IFERROR(cadangan3[[#This Row],[Profit A]]-(cadangan3[[#This Row],[Profit A]]*cadangan3[[#This Row],[Diskon]]),K367)</f>
        <v>85000</v>
      </c>
      <c r="M367" t="s">
        <v>62</v>
      </c>
      <c r="N367" t="str">
        <f>IFERROR(INDEX(Katalog!$A$3:$A$12,MATCH(cadangan3[[#This Row],[ItemID B]],Katalog!$C$3:$C$12,0)),"-")</f>
        <v>Pakaian Pria</v>
      </c>
      <c r="O367" t="str">
        <f>IFERROR(INDEX(Katalog!$B$3:$B$12,MATCH(cadangan3[[#This Row],[ItemID B]],Katalog!$C$3:$C$12,0)),"-")</f>
        <v>Celana Pendek</v>
      </c>
      <c r="P367">
        <v>4</v>
      </c>
      <c r="Q367">
        <v>5</v>
      </c>
      <c r="R367" s="36">
        <f>IFERROR(INDEX(Katalog!$D$3:$D$12,MATCH(cadangan3[[#This Row],[ItemID B]],Katalog!$C$3:$C$12,0))*cadangan3[[#This Row],[Qty B]],0)</f>
        <v>720000</v>
      </c>
      <c r="S367" s="36">
        <f>IFERROR(INDEX(Katalog!$D$3:$D$12,MATCH(cadangan3[[#This Row],[Item B]],Katalog!$B$3:$B$12,0))*cadangan3[[#This Row],[Qty B]],0)</f>
        <v>720000</v>
      </c>
      <c r="T367" s="36">
        <f>IFERROR(cadangan3[[#This Row],[Harga Asli B]]-(cadangan3[[#This Row],[Harga Asli B]]*cadangan3[[#This Row],[Diskon]]),cadangan3[[#This Row],[Harga Asli B]])</f>
        <v>612000</v>
      </c>
      <c r="U367" s="36">
        <f>IFERROR(INDEX(Katalog!$F$3:$F$12,MATCH(cadangan3[[#This Row],[ItemID B]],Katalog!$C$3:$C$12,0))*cadangan3[[#This Row],[Qty B]],0)</f>
        <v>280000</v>
      </c>
      <c r="V367" s="36">
        <f>IFERROR(cadangan3[[#This Row],[Profit B]]-(cadangan3[[#This Row],[Profit B]]*cadangan3[[#This Row],[Diskon]]),U367)</f>
        <v>238000</v>
      </c>
      <c r="X367" t="str">
        <f>IFERROR(INDEX(Katalog!$A$3:$A$12,MATCH(cadangan3[[#This Row],[ItemID C]],Katalog!$C$3:$C$12,0)),"-")</f>
        <v>-</v>
      </c>
      <c r="Y367" t="str">
        <f>IFERROR(INDEX(Katalog!$B$3:$B$12,MATCH(cadangan3[[#This Row],[ItemID C]],Katalog!$C$3:$C$12,0)),"-")</f>
        <v>-</v>
      </c>
      <c r="AB367" s="36">
        <f>IFERROR(INDEX(Katalog!$D$3:$D$12,MATCH(cadangan3[[#This Row],[ItemID C]],Katalog!$C$3:$C$12,0))*cadangan3[[#This Row],[Qty C]],0)</f>
        <v>0</v>
      </c>
      <c r="AC367" s="36">
        <f>IFERROR(INDEX(Katalog!$D$3:$D$12,MATCH(cadangan3[[#This Row],[Item C]],Katalog!$B$3:$B$12,0))*cadangan3[[#This Row],[Qty C]],0)</f>
        <v>0</v>
      </c>
      <c r="AD367" s="36">
        <f>IFERROR(cadangan3[[#This Row],[Harga Asli C]]-(cadangan3[[#This Row],[Harga Asli C]]*cadangan3[[#This Row],[Diskon]]),cadangan3[[#This Row],[Harga Asli C]])</f>
        <v>0</v>
      </c>
      <c r="AE367" s="36">
        <f>IFERROR(INDEX(Katalog!$F$3:$F$12,MATCH(cadangan3[[#This Row],[ItemID C]],Katalog!$C$3:$C$12,0))*cadangan3[[#This Row],[Qty C]],0)</f>
        <v>0</v>
      </c>
      <c r="AF367" s="36">
        <f>IFERROR(cadangan3[[#This Row],[Profit C]]-(cadangan3[[#This Row],[Profit C]]*cadangan3[[#This Row],[Diskon]]),cadangan3[[#This Row],[Profit C]])</f>
        <v>0</v>
      </c>
      <c r="AG367" s="21">
        <f>cadangan3[[#This Row],[Qty A]]+cadangan3[[#This Row],[Qty B]]+cadangan3[[#This Row],[Qty C]]</f>
        <v>5</v>
      </c>
      <c r="AH367" s="35">
        <f>cadangan3[[#This Row],[Harga A + Diskon]]+cadangan3[[#This Row],[Harga + Diskon B]]+cadangan3[[#This Row],[Harga + Diskon C]]</f>
        <v>867000</v>
      </c>
      <c r="AI367" s="35">
        <f>(cadangan3[[#This Row],[Profit A]]+cadangan3[[#This Row],[Profit B]]+cadangan3[[#This Row],[Profit C]])</f>
        <v>380000</v>
      </c>
      <c r="AJ367" s="35">
        <f>cadangan3[[#This Row],[Provit A + Diskon]]+cadangan3[[#This Row],[Provit B + Diskon]]+cadangan3[[#This Row],[Provit C + Diskon]]</f>
        <v>323000</v>
      </c>
      <c r="AK367" s="23" t="s">
        <v>32</v>
      </c>
      <c r="AL367" s="37">
        <f>IFERROR(INDEX('Kode Diskon'!$D$3:$D$9,MATCH(cadangan3[[#This Row],[Kode diskon]],'Kode Diskon'!$C$3:$C$9,0)),"-")</f>
        <v>0.15</v>
      </c>
      <c r="AM367" s="23" t="s">
        <v>9</v>
      </c>
      <c r="AN367" s="23" t="s">
        <v>12</v>
      </c>
      <c r="AO367" s="23" t="s">
        <v>80</v>
      </c>
      <c r="AP367" s="24">
        <v>45032</v>
      </c>
      <c r="AQ367" s="23" t="str">
        <f>TEXT(cadangan3[[#This Row],[Tanggal terjual]],"dddd")</f>
        <v>Sunday</v>
      </c>
    </row>
    <row r="368" spans="1:43" x14ac:dyDescent="0.2">
      <c r="A368" s="20">
        <v>367</v>
      </c>
      <c r="B368" s="21" t="str">
        <f>_xlfn.CONCAT("ORD-",INDEX(Helper!$B$2:$B$5,MATCH(cadangan3[[#This Row],[Marketplace]],Helper!$A$2:$A$5,0)),TEXT(cadangan3[[#This Row],[No]],"0000"),"-",TEXT(cadangan3[[#This Row],[Tanggal terjual]],"dd/mm/yy"))</f>
        <v>ORD-TK0367-12/04/23</v>
      </c>
      <c r="C368" t="s">
        <v>63</v>
      </c>
      <c r="D368" t="str">
        <f>IFERROR(INDEX(Katalog!$A$3:$A$12,MATCH(cadangan3[[#This Row],[ItemID A]],Katalog!$C$3:$C$12,0)),"-")</f>
        <v>Pakaian Pria</v>
      </c>
      <c r="E368" t="str">
        <f>IFERROR(INDEX(Katalog!$B$3:$B$12,MATCH(cadangan3[[#This Row],[ItemID A]],Katalog!$C$3:$C$12,0)),"-")</f>
        <v>Jaket Jeans</v>
      </c>
      <c r="F368">
        <v>4</v>
      </c>
      <c r="G368">
        <v>5</v>
      </c>
      <c r="H368" s="36">
        <f>IFERROR(INDEX(Katalog!$D$3:$D$12,MATCH(cadangan3[[#This Row],[ItemID A]],Katalog!$C$3:$C$12,0))*cadangan3[[#This Row],[Qty A]],0)</f>
        <v>1600000</v>
      </c>
      <c r="I368" s="36">
        <f>IFERROR(INDEX(Katalog!$D$3:$D$12,MATCH(cadangan3[[#This Row],[Item A]],Katalog!$B$3:$B$12,0))*cadangan3[[#This Row],[Qty A]],0)</f>
        <v>1600000</v>
      </c>
      <c r="J368" s="36">
        <f>IFERROR(cadangan3[[#This Row],[Harga Asli A]]-(cadangan3[[#This Row],[Harga Asli A]]*cadangan3[[#This Row],[Diskon]]),cadangan3[[#This Row],[Harga Asli A]])</f>
        <v>1600000</v>
      </c>
      <c r="K368" s="36">
        <f>INDEX(Katalog!$F$3:$F$12,MATCH(cadangan3[[#This Row],[ItemID A]],Katalog!$C$3:$C$12,0))*cadangan3[[#This Row],[Qty A]]</f>
        <v>600000</v>
      </c>
      <c r="L368" s="36">
        <f>IFERROR(cadangan3[[#This Row],[Profit A]]-(cadangan3[[#This Row],[Profit A]]*cadangan3[[#This Row],[Diskon]]),K368)</f>
        <v>600000</v>
      </c>
      <c r="M368" t="s">
        <v>66</v>
      </c>
      <c r="N368" t="str">
        <f>IFERROR(INDEX(Katalog!$A$3:$A$12,MATCH(cadangan3[[#This Row],[ItemID B]],Katalog!$C$3:$C$12,0)),"-")</f>
        <v>Sepatu Pria</v>
      </c>
      <c r="O368" t="str">
        <f>IFERROR(INDEX(Katalog!$B$3:$B$12,MATCH(cadangan3[[#This Row],[ItemID B]],Katalog!$C$3:$C$12,0)),"-")</f>
        <v>Sandal Slip On</v>
      </c>
      <c r="P368">
        <v>2</v>
      </c>
      <c r="Q368">
        <v>4</v>
      </c>
      <c r="R368" s="36">
        <f>IFERROR(INDEX(Katalog!$D$3:$D$12,MATCH(cadangan3[[#This Row],[ItemID B]],Katalog!$C$3:$C$12,0))*cadangan3[[#This Row],[Qty B]],0)</f>
        <v>300000</v>
      </c>
      <c r="S368" s="36">
        <f>IFERROR(INDEX(Katalog!$D$3:$D$12,MATCH(cadangan3[[#This Row],[Item B]],Katalog!$B$3:$B$12,0))*cadangan3[[#This Row],[Qty B]],0)</f>
        <v>300000</v>
      </c>
      <c r="T368" s="36">
        <f>IFERROR(cadangan3[[#This Row],[Harga Asli B]]-(cadangan3[[#This Row],[Harga Asli B]]*cadangan3[[#This Row],[Diskon]]),cadangan3[[#This Row],[Harga Asli B]])</f>
        <v>300000</v>
      </c>
      <c r="U368" s="36">
        <f>IFERROR(INDEX(Katalog!$F$3:$F$12,MATCH(cadangan3[[#This Row],[ItemID B]],Katalog!$C$3:$C$12,0))*cadangan3[[#This Row],[Qty B]],0)</f>
        <v>120000</v>
      </c>
      <c r="V368" s="36">
        <f>IFERROR(cadangan3[[#This Row],[Profit B]]-(cadangan3[[#This Row],[Profit B]]*cadangan3[[#This Row],[Diskon]]),U368)</f>
        <v>120000</v>
      </c>
      <c r="X368" t="str">
        <f>IFERROR(INDEX(Katalog!$A$3:$A$12,MATCH(cadangan3[[#This Row],[ItemID C]],Katalog!$C$3:$C$12,0)),"-")</f>
        <v>-</v>
      </c>
      <c r="Y368" t="str">
        <f>IFERROR(INDEX(Katalog!$B$3:$B$12,MATCH(cadangan3[[#This Row],[ItemID C]],Katalog!$C$3:$C$12,0)),"-")</f>
        <v>-</v>
      </c>
      <c r="AB368" s="36">
        <f>IFERROR(INDEX(Katalog!$D$3:$D$12,MATCH(cadangan3[[#This Row],[ItemID C]],Katalog!$C$3:$C$12,0))*cadangan3[[#This Row],[Qty C]],0)</f>
        <v>0</v>
      </c>
      <c r="AC368" s="36">
        <f>IFERROR(INDEX(Katalog!$D$3:$D$12,MATCH(cadangan3[[#This Row],[Item C]],Katalog!$B$3:$B$12,0))*cadangan3[[#This Row],[Qty C]],0)</f>
        <v>0</v>
      </c>
      <c r="AD368" s="36">
        <f>IFERROR(cadangan3[[#This Row],[Harga Asli C]]-(cadangan3[[#This Row],[Harga Asli C]]*cadangan3[[#This Row],[Diskon]]),cadangan3[[#This Row],[Harga Asli C]])</f>
        <v>0</v>
      </c>
      <c r="AE368" s="36">
        <f>IFERROR(INDEX(Katalog!$F$3:$F$12,MATCH(cadangan3[[#This Row],[ItemID C]],Katalog!$C$3:$C$12,0))*cadangan3[[#This Row],[Qty C]],0)</f>
        <v>0</v>
      </c>
      <c r="AF368" s="36">
        <f>IFERROR(cadangan3[[#This Row],[Profit C]]-(cadangan3[[#This Row],[Profit C]]*cadangan3[[#This Row],[Diskon]]),cadangan3[[#This Row],[Profit C]])</f>
        <v>0</v>
      </c>
      <c r="AG368" s="21">
        <f>cadangan3[[#This Row],[Qty A]]+cadangan3[[#This Row],[Qty B]]+cadangan3[[#This Row],[Qty C]]</f>
        <v>6</v>
      </c>
      <c r="AH368" s="35">
        <f>cadangan3[[#This Row],[Harga A + Diskon]]+cadangan3[[#This Row],[Harga + Diskon B]]+cadangan3[[#This Row],[Harga + Diskon C]]</f>
        <v>1900000</v>
      </c>
      <c r="AI368" s="35">
        <f>(cadangan3[[#This Row],[Profit A]]+cadangan3[[#This Row],[Profit B]]+cadangan3[[#This Row],[Profit C]])</f>
        <v>720000</v>
      </c>
      <c r="AJ368" s="35">
        <f>cadangan3[[#This Row],[Provit A + Diskon]]+cadangan3[[#This Row],[Provit B + Diskon]]+cadangan3[[#This Row],[Provit C + Diskon]]</f>
        <v>720000</v>
      </c>
      <c r="AK368" s="23" t="s">
        <v>11</v>
      </c>
      <c r="AL368" s="37" t="str">
        <f>IFERROR(INDEX('Kode Diskon'!$D$3:$D$9,MATCH(cadangan3[[#This Row],[Kode diskon]],'Kode Diskon'!$C$3:$C$9,0)),"-")</f>
        <v>-</v>
      </c>
      <c r="AM368" s="23" t="s">
        <v>11</v>
      </c>
      <c r="AN368" s="23" t="s">
        <v>10</v>
      </c>
      <c r="AO368" s="23" t="s">
        <v>80</v>
      </c>
      <c r="AP368" s="24">
        <v>45028</v>
      </c>
      <c r="AQ368" s="23" t="str">
        <f>TEXT(cadangan3[[#This Row],[Tanggal terjual]],"dddd")</f>
        <v>Wednesday</v>
      </c>
    </row>
    <row r="369" spans="1:43" x14ac:dyDescent="0.2">
      <c r="A369" s="20">
        <v>368</v>
      </c>
      <c r="B369" s="21" t="str">
        <f>_xlfn.CONCAT("ORD-",INDEX(Helper!$B$2:$B$5,MATCH(cadangan3[[#This Row],[Marketplace]],Helper!$A$2:$A$5,0)),TEXT(cadangan3[[#This Row],[No]],"0000"),"-",TEXT(cadangan3[[#This Row],[Tanggal terjual]],"dd/mm/yy"))</f>
        <v>ORD-SP0368-06/04/23</v>
      </c>
      <c r="C369" t="s">
        <v>64</v>
      </c>
      <c r="D369" t="str">
        <f>IFERROR(INDEX(Katalog!$A$3:$A$12,MATCH(cadangan3[[#This Row],[ItemID A]],Katalog!$C$3:$C$12,0)),"-")</f>
        <v>Pakaian Unisex</v>
      </c>
      <c r="E369" t="str">
        <f>IFERROR(INDEX(Katalog!$B$3:$B$12,MATCH(cadangan3[[#This Row],[ItemID A]],Katalog!$C$3:$C$12,0)),"-")</f>
        <v>Jaket Hoodie</v>
      </c>
      <c r="F369">
        <v>1</v>
      </c>
      <c r="G369">
        <v>3</v>
      </c>
      <c r="H369" s="36">
        <f>IFERROR(INDEX(Katalog!$D$3:$D$12,MATCH(cadangan3[[#This Row],[ItemID A]],Katalog!$C$3:$C$12,0))*cadangan3[[#This Row],[Qty A]],0)</f>
        <v>350000</v>
      </c>
      <c r="I369" s="36">
        <f>IFERROR(INDEX(Katalog!$D$3:$D$12,MATCH(cadangan3[[#This Row],[Item A]],Katalog!$B$3:$B$12,0))*cadangan3[[#This Row],[Qty A]],0)</f>
        <v>350000</v>
      </c>
      <c r="J369" s="36">
        <f>IFERROR(cadangan3[[#This Row],[Harga Asli A]]-(cadangan3[[#This Row],[Harga Asli A]]*cadangan3[[#This Row],[Diskon]]),cadangan3[[#This Row],[Harga Asli A]])</f>
        <v>315000</v>
      </c>
      <c r="K369" s="36">
        <f>INDEX(Katalog!$F$3:$F$12,MATCH(cadangan3[[#This Row],[ItemID A]],Katalog!$C$3:$C$12,0))*cadangan3[[#This Row],[Qty A]]</f>
        <v>130000</v>
      </c>
      <c r="L369" s="36">
        <f>IFERROR(cadangan3[[#This Row],[Profit A]]-(cadangan3[[#This Row],[Profit A]]*cadangan3[[#This Row],[Diskon]]),K369)</f>
        <v>117000</v>
      </c>
      <c r="N369" t="str">
        <f>IFERROR(INDEX(Katalog!$A$3:$A$12,MATCH(cadangan3[[#This Row],[ItemID B]],Katalog!$C$3:$C$12,0)),"-")</f>
        <v>-</v>
      </c>
      <c r="O369" t="str">
        <f>IFERROR(INDEX(Katalog!$B$3:$B$12,MATCH(cadangan3[[#This Row],[ItemID B]],Katalog!$C$3:$C$12,0)),"-")</f>
        <v>-</v>
      </c>
      <c r="R369" s="36">
        <f>IFERROR(INDEX(Katalog!$D$3:$D$12,MATCH(cadangan3[[#This Row],[ItemID B]],Katalog!$C$3:$C$12,0))*cadangan3[[#This Row],[Qty B]],0)</f>
        <v>0</v>
      </c>
      <c r="S369" s="36">
        <f>IFERROR(INDEX(Katalog!$D$3:$D$12,MATCH(cadangan3[[#This Row],[Item B]],Katalog!$B$3:$B$12,0))*cadangan3[[#This Row],[Qty B]],0)</f>
        <v>0</v>
      </c>
      <c r="T369" s="36">
        <f>IFERROR(cadangan3[[#This Row],[Harga Asli B]]-(cadangan3[[#This Row],[Harga Asli B]]*cadangan3[[#This Row],[Diskon]]),cadangan3[[#This Row],[Harga Asli B]])</f>
        <v>0</v>
      </c>
      <c r="U369" s="36">
        <f>IFERROR(INDEX(Katalog!$F$3:$F$12,MATCH(cadangan3[[#This Row],[ItemID B]],Katalog!$C$3:$C$12,0))*cadangan3[[#This Row],[Qty B]],0)</f>
        <v>0</v>
      </c>
      <c r="V369" s="36">
        <f>IFERROR(cadangan3[[#This Row],[Profit B]]-(cadangan3[[#This Row],[Profit B]]*cadangan3[[#This Row],[Diskon]]),U369)</f>
        <v>0</v>
      </c>
      <c r="X369" t="str">
        <f>IFERROR(INDEX(Katalog!$A$3:$A$12,MATCH(cadangan3[[#This Row],[ItemID C]],Katalog!$C$3:$C$12,0)),"-")</f>
        <v>-</v>
      </c>
      <c r="Y369" t="str">
        <f>IFERROR(INDEX(Katalog!$B$3:$B$12,MATCH(cadangan3[[#This Row],[ItemID C]],Katalog!$C$3:$C$12,0)),"-")</f>
        <v>-</v>
      </c>
      <c r="AB369" s="36">
        <f>IFERROR(INDEX(Katalog!$D$3:$D$12,MATCH(cadangan3[[#This Row],[ItemID C]],Katalog!$C$3:$C$12,0))*cadangan3[[#This Row],[Qty C]],0)</f>
        <v>0</v>
      </c>
      <c r="AC369" s="36">
        <f>IFERROR(INDEX(Katalog!$D$3:$D$12,MATCH(cadangan3[[#This Row],[Item C]],Katalog!$B$3:$B$12,0))*cadangan3[[#This Row],[Qty C]],0)</f>
        <v>0</v>
      </c>
      <c r="AD369" s="36">
        <f>IFERROR(cadangan3[[#This Row],[Harga Asli C]]-(cadangan3[[#This Row],[Harga Asli C]]*cadangan3[[#This Row],[Diskon]]),cadangan3[[#This Row],[Harga Asli C]])</f>
        <v>0</v>
      </c>
      <c r="AE369" s="36">
        <f>IFERROR(INDEX(Katalog!$F$3:$F$12,MATCH(cadangan3[[#This Row],[ItemID C]],Katalog!$C$3:$C$12,0))*cadangan3[[#This Row],[Qty C]],0)</f>
        <v>0</v>
      </c>
      <c r="AF369" s="36">
        <f>IFERROR(cadangan3[[#This Row],[Profit C]]-(cadangan3[[#This Row],[Profit C]]*cadangan3[[#This Row],[Diskon]]),cadangan3[[#This Row],[Profit C]])</f>
        <v>0</v>
      </c>
      <c r="AG369" s="21">
        <f>cadangan3[[#This Row],[Qty A]]+cadangan3[[#This Row],[Qty B]]+cadangan3[[#This Row],[Qty C]]</f>
        <v>1</v>
      </c>
      <c r="AH369" s="35">
        <f>cadangan3[[#This Row],[Harga A + Diskon]]+cadangan3[[#This Row],[Harga + Diskon B]]+cadangan3[[#This Row],[Harga + Diskon C]]</f>
        <v>315000</v>
      </c>
      <c r="AI369" s="35">
        <f>(cadangan3[[#This Row],[Profit A]]+cadangan3[[#This Row],[Profit B]]+cadangan3[[#This Row],[Profit C]])</f>
        <v>130000</v>
      </c>
      <c r="AJ369" s="35">
        <f>cadangan3[[#This Row],[Provit A + Diskon]]+cadangan3[[#This Row],[Provit B + Diskon]]+cadangan3[[#This Row],[Provit C + Diskon]]</f>
        <v>117000</v>
      </c>
      <c r="AK369" s="23" t="s">
        <v>6</v>
      </c>
      <c r="AL369" s="37">
        <f>IFERROR(INDEX('Kode Diskon'!$D$3:$D$9,MATCH(cadangan3[[#This Row],[Kode diskon]],'Kode Diskon'!$C$3:$C$9,0)),"-")</f>
        <v>0.1</v>
      </c>
      <c r="AM369" s="23" t="s">
        <v>29</v>
      </c>
      <c r="AN369" s="23" t="s">
        <v>7</v>
      </c>
      <c r="AO369" s="23" t="s">
        <v>79</v>
      </c>
      <c r="AP369" s="24">
        <v>45022</v>
      </c>
      <c r="AQ369" s="23" t="str">
        <f>TEXT(cadangan3[[#This Row],[Tanggal terjual]],"dddd")</f>
        <v>Thursday</v>
      </c>
    </row>
    <row r="370" spans="1:43" x14ac:dyDescent="0.2">
      <c r="A370" s="20">
        <v>369</v>
      </c>
      <c r="B370" s="21" t="str">
        <f>_xlfn.CONCAT("ORD-",INDEX(Helper!$B$2:$B$5,MATCH(cadangan3[[#This Row],[Marketplace]],Helper!$A$2:$A$5,0)),TEXT(cadangan3[[#This Row],[No]],"0000"),"-",TEXT(cadangan3[[#This Row],[Tanggal terjual]],"dd/mm/yy"))</f>
        <v>ORD-SP0369-15/04/23</v>
      </c>
      <c r="C370" t="s">
        <v>58</v>
      </c>
      <c r="D370" t="str">
        <f>IFERROR(INDEX(Katalog!$A$3:$A$12,MATCH(cadangan3[[#This Row],[ItemID A]],Katalog!$C$3:$C$12,0)),"-")</f>
        <v>Pakaian Wanita</v>
      </c>
      <c r="E370" t="str">
        <f>IFERROR(INDEX(Katalog!$B$3:$B$12,MATCH(cadangan3[[#This Row],[ItemID A]],Katalog!$C$3:$C$12,0)),"-")</f>
        <v>Dress</v>
      </c>
      <c r="F370">
        <v>1</v>
      </c>
      <c r="G370">
        <v>1</v>
      </c>
      <c r="H370" s="36">
        <f>IFERROR(INDEX(Katalog!$D$3:$D$12,MATCH(cadangan3[[#This Row],[ItemID A]],Katalog!$C$3:$C$12,0))*cadangan3[[#This Row],[Qty A]],0)</f>
        <v>300000</v>
      </c>
      <c r="I370" s="36">
        <f>IFERROR(INDEX(Katalog!$D$3:$D$12,MATCH(cadangan3[[#This Row],[Item A]],Katalog!$B$3:$B$12,0))*cadangan3[[#This Row],[Qty A]],0)</f>
        <v>300000</v>
      </c>
      <c r="J370" s="36">
        <f>IFERROR(cadangan3[[#This Row],[Harga Asli A]]-(cadangan3[[#This Row],[Harga Asli A]]*cadangan3[[#This Row],[Diskon]]),cadangan3[[#This Row],[Harga Asli A]])</f>
        <v>300000</v>
      </c>
      <c r="K370" s="36">
        <f>INDEX(Katalog!$F$3:$F$12,MATCH(cadangan3[[#This Row],[ItemID A]],Katalog!$C$3:$C$12,0))*cadangan3[[#This Row],[Qty A]]</f>
        <v>100000</v>
      </c>
      <c r="L370" s="36">
        <f>IFERROR(cadangan3[[#This Row],[Profit A]]-(cadangan3[[#This Row],[Profit A]]*cadangan3[[#This Row],[Diskon]]),K370)</f>
        <v>100000</v>
      </c>
      <c r="N370" t="str">
        <f>IFERROR(INDEX(Katalog!$A$3:$A$12,MATCH(cadangan3[[#This Row],[ItemID B]],Katalog!$C$3:$C$12,0)),"-")</f>
        <v>-</v>
      </c>
      <c r="O370" t="str">
        <f>IFERROR(INDEX(Katalog!$B$3:$B$12,MATCH(cadangan3[[#This Row],[ItemID B]],Katalog!$C$3:$C$12,0)),"-")</f>
        <v>-</v>
      </c>
      <c r="R370" s="36">
        <f>IFERROR(INDEX(Katalog!$D$3:$D$12,MATCH(cadangan3[[#This Row],[ItemID B]],Katalog!$C$3:$C$12,0))*cadangan3[[#This Row],[Qty B]],0)</f>
        <v>0</v>
      </c>
      <c r="S370" s="36">
        <f>IFERROR(INDEX(Katalog!$D$3:$D$12,MATCH(cadangan3[[#This Row],[Item B]],Katalog!$B$3:$B$12,0))*cadangan3[[#This Row],[Qty B]],0)</f>
        <v>0</v>
      </c>
      <c r="T370" s="36">
        <f>IFERROR(cadangan3[[#This Row],[Harga Asli B]]-(cadangan3[[#This Row],[Harga Asli B]]*cadangan3[[#This Row],[Diskon]]),cadangan3[[#This Row],[Harga Asli B]])</f>
        <v>0</v>
      </c>
      <c r="U370" s="36">
        <f>IFERROR(INDEX(Katalog!$F$3:$F$12,MATCH(cadangan3[[#This Row],[ItemID B]],Katalog!$C$3:$C$12,0))*cadangan3[[#This Row],[Qty B]],0)</f>
        <v>0</v>
      </c>
      <c r="V370" s="36">
        <f>IFERROR(cadangan3[[#This Row],[Profit B]]-(cadangan3[[#This Row],[Profit B]]*cadangan3[[#This Row],[Diskon]]),U370)</f>
        <v>0</v>
      </c>
      <c r="X370" t="str">
        <f>IFERROR(INDEX(Katalog!$A$3:$A$12,MATCH(cadangan3[[#This Row],[ItemID C]],Katalog!$C$3:$C$12,0)),"-")</f>
        <v>-</v>
      </c>
      <c r="Y370" t="str">
        <f>IFERROR(INDEX(Katalog!$B$3:$B$12,MATCH(cadangan3[[#This Row],[ItemID C]],Katalog!$C$3:$C$12,0)),"-")</f>
        <v>-</v>
      </c>
      <c r="AB370" s="36">
        <f>IFERROR(INDEX(Katalog!$D$3:$D$12,MATCH(cadangan3[[#This Row],[ItemID C]],Katalog!$C$3:$C$12,0))*cadangan3[[#This Row],[Qty C]],0)</f>
        <v>0</v>
      </c>
      <c r="AC370" s="36">
        <f>IFERROR(INDEX(Katalog!$D$3:$D$12,MATCH(cadangan3[[#This Row],[Item C]],Katalog!$B$3:$B$12,0))*cadangan3[[#This Row],[Qty C]],0)</f>
        <v>0</v>
      </c>
      <c r="AD370" s="36">
        <f>IFERROR(cadangan3[[#This Row],[Harga Asli C]]-(cadangan3[[#This Row],[Harga Asli C]]*cadangan3[[#This Row],[Diskon]]),cadangan3[[#This Row],[Harga Asli C]])</f>
        <v>0</v>
      </c>
      <c r="AE370" s="36">
        <f>IFERROR(INDEX(Katalog!$F$3:$F$12,MATCH(cadangan3[[#This Row],[ItemID C]],Katalog!$C$3:$C$12,0))*cadangan3[[#This Row],[Qty C]],0)</f>
        <v>0</v>
      </c>
      <c r="AF370" s="36">
        <f>IFERROR(cadangan3[[#This Row],[Profit C]]-(cadangan3[[#This Row],[Profit C]]*cadangan3[[#This Row],[Diskon]]),cadangan3[[#This Row],[Profit C]])</f>
        <v>0</v>
      </c>
      <c r="AG370" s="21">
        <f>cadangan3[[#This Row],[Qty A]]+cadangan3[[#This Row],[Qty B]]+cadangan3[[#This Row],[Qty C]]</f>
        <v>1</v>
      </c>
      <c r="AH370" s="35">
        <f>cadangan3[[#This Row],[Harga A + Diskon]]+cadangan3[[#This Row],[Harga + Diskon B]]+cadangan3[[#This Row],[Harga + Diskon C]]</f>
        <v>300000</v>
      </c>
      <c r="AI370" s="35">
        <f>(cadangan3[[#This Row],[Profit A]]+cadangan3[[#This Row],[Profit B]]+cadangan3[[#This Row],[Profit C]])</f>
        <v>100000</v>
      </c>
      <c r="AJ370" s="35">
        <f>cadangan3[[#This Row],[Provit A + Diskon]]+cadangan3[[#This Row],[Provit B + Diskon]]+cadangan3[[#This Row],[Provit C + Diskon]]</f>
        <v>100000</v>
      </c>
      <c r="AK370" s="23" t="s">
        <v>11</v>
      </c>
      <c r="AL370" s="37" t="str">
        <f>IFERROR(INDEX('Kode Diskon'!$D$3:$D$9,MATCH(cadangan3[[#This Row],[Kode diskon]],'Kode Diskon'!$C$3:$C$9,0)),"-")</f>
        <v>-</v>
      </c>
      <c r="AM370" s="23" t="s">
        <v>11</v>
      </c>
      <c r="AN370" s="23" t="s">
        <v>7</v>
      </c>
      <c r="AO370" s="23" t="s">
        <v>76</v>
      </c>
      <c r="AP370" s="24">
        <v>45031</v>
      </c>
      <c r="AQ370" s="23" t="str">
        <f>TEXT(cadangan3[[#This Row],[Tanggal terjual]],"dddd")</f>
        <v>Saturday</v>
      </c>
    </row>
    <row r="371" spans="1:43" x14ac:dyDescent="0.2">
      <c r="A371" s="20">
        <v>370</v>
      </c>
      <c r="B371" s="21" t="str">
        <f>_xlfn.CONCAT("ORD-",INDEX(Helper!$B$2:$B$5,MATCH(cadangan3[[#This Row],[Marketplace]],Helper!$A$2:$A$5,0)),TEXT(cadangan3[[#This Row],[No]],"0000"),"-",TEXT(cadangan3[[#This Row],[Tanggal terjual]],"dd/mm/yy"))</f>
        <v>ORD-BL0370-30/04/23</v>
      </c>
      <c r="C371" t="s">
        <v>62</v>
      </c>
      <c r="D371" t="str">
        <f>IFERROR(INDEX(Katalog!$A$3:$A$12,MATCH(cadangan3[[#This Row],[ItemID A]],Katalog!$C$3:$C$12,0)),"-")</f>
        <v>Pakaian Pria</v>
      </c>
      <c r="E371" t="str">
        <f>IFERROR(INDEX(Katalog!$B$3:$B$12,MATCH(cadangan3[[#This Row],[ItemID A]],Katalog!$C$3:$C$12,0)),"-")</f>
        <v>Celana Pendek</v>
      </c>
      <c r="F371">
        <v>1</v>
      </c>
      <c r="G371">
        <v>5</v>
      </c>
      <c r="H371" s="36">
        <f>IFERROR(INDEX(Katalog!$D$3:$D$12,MATCH(cadangan3[[#This Row],[ItemID A]],Katalog!$C$3:$C$12,0))*cadangan3[[#This Row],[Qty A]],0)</f>
        <v>180000</v>
      </c>
      <c r="I371" s="36">
        <f>IFERROR(INDEX(Katalog!$D$3:$D$12,MATCH(cadangan3[[#This Row],[Item A]],Katalog!$B$3:$B$12,0))*cadangan3[[#This Row],[Qty A]],0)</f>
        <v>180000</v>
      </c>
      <c r="J371" s="36">
        <f>IFERROR(cadangan3[[#This Row],[Harga Asli A]]-(cadangan3[[#This Row],[Harga Asli A]]*cadangan3[[#This Row],[Diskon]]),cadangan3[[#This Row],[Harga Asli A]])</f>
        <v>153000</v>
      </c>
      <c r="K371" s="36">
        <f>INDEX(Katalog!$F$3:$F$12,MATCH(cadangan3[[#This Row],[ItemID A]],Katalog!$C$3:$C$12,0))*cadangan3[[#This Row],[Qty A]]</f>
        <v>70000</v>
      </c>
      <c r="L371" s="36">
        <f>IFERROR(cadangan3[[#This Row],[Profit A]]-(cadangan3[[#This Row],[Profit A]]*cadangan3[[#This Row],[Diskon]]),K371)</f>
        <v>59500</v>
      </c>
      <c r="M371" t="s">
        <v>65</v>
      </c>
      <c r="N371" t="str">
        <f>IFERROR(INDEX(Katalog!$A$3:$A$12,MATCH(cadangan3[[#This Row],[ItemID B]],Katalog!$C$3:$C$12,0)),"-")</f>
        <v>Sepatu Pria</v>
      </c>
      <c r="O371" t="str">
        <f>IFERROR(INDEX(Katalog!$B$3:$B$12,MATCH(cadangan3[[#This Row],[ItemID B]],Katalog!$C$3:$C$12,0)),"-")</f>
        <v>Sneakers</v>
      </c>
      <c r="P371">
        <v>1</v>
      </c>
      <c r="Q371">
        <v>3</v>
      </c>
      <c r="R371" s="36">
        <f>IFERROR(INDEX(Katalog!$D$3:$D$12,MATCH(cadangan3[[#This Row],[ItemID B]],Katalog!$C$3:$C$12,0))*cadangan3[[#This Row],[Qty B]],0)</f>
        <v>500000</v>
      </c>
      <c r="S371" s="36">
        <f>IFERROR(INDEX(Katalog!$D$3:$D$12,MATCH(cadangan3[[#This Row],[Item B]],Katalog!$B$3:$B$12,0))*cadangan3[[#This Row],[Qty B]],0)</f>
        <v>500000</v>
      </c>
      <c r="T371" s="36">
        <f>IFERROR(cadangan3[[#This Row],[Harga Asli B]]-(cadangan3[[#This Row],[Harga Asli B]]*cadangan3[[#This Row],[Diskon]]),cadangan3[[#This Row],[Harga Asli B]])</f>
        <v>425000</v>
      </c>
      <c r="U371" s="36">
        <f>IFERROR(INDEX(Katalog!$F$3:$F$12,MATCH(cadangan3[[#This Row],[ItemID B]],Katalog!$C$3:$C$12,0))*cadangan3[[#This Row],[Qty B]],0)</f>
        <v>200000</v>
      </c>
      <c r="V371" s="36">
        <f>IFERROR(cadangan3[[#This Row],[Profit B]]-(cadangan3[[#This Row],[Profit B]]*cadangan3[[#This Row],[Diskon]]),U371)</f>
        <v>170000</v>
      </c>
      <c r="X371" t="str">
        <f>IFERROR(INDEX(Katalog!$A$3:$A$12,MATCH(cadangan3[[#This Row],[ItemID C]],Katalog!$C$3:$C$12,0)),"-")</f>
        <v>-</v>
      </c>
      <c r="Y371" t="str">
        <f>IFERROR(INDEX(Katalog!$B$3:$B$12,MATCH(cadangan3[[#This Row],[ItemID C]],Katalog!$C$3:$C$12,0)),"-")</f>
        <v>-</v>
      </c>
      <c r="AB371" s="36">
        <f>IFERROR(INDEX(Katalog!$D$3:$D$12,MATCH(cadangan3[[#This Row],[ItemID C]],Katalog!$C$3:$C$12,0))*cadangan3[[#This Row],[Qty C]],0)</f>
        <v>0</v>
      </c>
      <c r="AC371" s="36">
        <f>IFERROR(INDEX(Katalog!$D$3:$D$12,MATCH(cadangan3[[#This Row],[Item C]],Katalog!$B$3:$B$12,0))*cadangan3[[#This Row],[Qty C]],0)</f>
        <v>0</v>
      </c>
      <c r="AD371" s="36">
        <f>IFERROR(cadangan3[[#This Row],[Harga Asli C]]-(cadangan3[[#This Row],[Harga Asli C]]*cadangan3[[#This Row],[Diskon]]),cadangan3[[#This Row],[Harga Asli C]])</f>
        <v>0</v>
      </c>
      <c r="AE371" s="36">
        <f>IFERROR(INDEX(Katalog!$F$3:$F$12,MATCH(cadangan3[[#This Row],[ItemID C]],Katalog!$C$3:$C$12,0))*cadangan3[[#This Row],[Qty C]],0)</f>
        <v>0</v>
      </c>
      <c r="AF371" s="36">
        <f>IFERROR(cadangan3[[#This Row],[Profit C]]-(cadangan3[[#This Row],[Profit C]]*cadangan3[[#This Row],[Diskon]]),cadangan3[[#This Row],[Profit C]])</f>
        <v>0</v>
      </c>
      <c r="AG371" s="21">
        <f>cadangan3[[#This Row],[Qty A]]+cadangan3[[#This Row],[Qty B]]+cadangan3[[#This Row],[Qty C]]</f>
        <v>2</v>
      </c>
      <c r="AH371" s="35">
        <f>cadangan3[[#This Row],[Harga A + Diskon]]+cadangan3[[#This Row],[Harga + Diskon B]]+cadangan3[[#This Row],[Harga + Diskon C]]</f>
        <v>578000</v>
      </c>
      <c r="AI371" s="35">
        <f>(cadangan3[[#This Row],[Profit A]]+cadangan3[[#This Row],[Profit B]]+cadangan3[[#This Row],[Profit C]])</f>
        <v>270000</v>
      </c>
      <c r="AJ371" s="35">
        <f>cadangan3[[#This Row],[Provit A + Diskon]]+cadangan3[[#This Row],[Provit B + Diskon]]+cadangan3[[#This Row],[Provit C + Diskon]]</f>
        <v>229500</v>
      </c>
      <c r="AK371" s="23" t="s">
        <v>32</v>
      </c>
      <c r="AL371" s="37">
        <f>IFERROR(INDEX('Kode Diskon'!$D$3:$D$9,MATCH(cadangan3[[#This Row],[Kode diskon]],'Kode Diskon'!$C$3:$C$9,0)),"-")</f>
        <v>0.15</v>
      </c>
      <c r="AM371" s="23" t="s">
        <v>9</v>
      </c>
      <c r="AN371" s="23" t="s">
        <v>12</v>
      </c>
      <c r="AO371" s="23" t="s">
        <v>80</v>
      </c>
      <c r="AP371" s="24">
        <v>45046</v>
      </c>
      <c r="AQ371" s="23" t="str">
        <f>TEXT(cadangan3[[#This Row],[Tanggal terjual]],"dddd")</f>
        <v>Sunday</v>
      </c>
    </row>
    <row r="372" spans="1:43" x14ac:dyDescent="0.2">
      <c r="A372" s="20">
        <v>371</v>
      </c>
      <c r="B372" s="21" t="str">
        <f>_xlfn.CONCAT("ORD-",INDEX(Helper!$B$2:$B$5,MATCH(cadangan3[[#This Row],[Marketplace]],Helper!$A$2:$A$5,0)),TEXT(cadangan3[[#This Row],[No]],"0000"),"-",TEXT(cadangan3[[#This Row],[Tanggal terjual]],"dd/mm/yy"))</f>
        <v>ORD-BB0371-09/04/23</v>
      </c>
      <c r="C372" t="s">
        <v>58</v>
      </c>
      <c r="D372" t="str">
        <f>IFERROR(INDEX(Katalog!$A$3:$A$12,MATCH(cadangan3[[#This Row],[ItemID A]],Katalog!$C$3:$C$12,0)),"-")</f>
        <v>Pakaian Wanita</v>
      </c>
      <c r="E372" t="str">
        <f>IFERROR(INDEX(Katalog!$B$3:$B$12,MATCH(cadangan3[[#This Row],[ItemID A]],Katalog!$C$3:$C$12,0)),"-")</f>
        <v>Dress</v>
      </c>
      <c r="F372">
        <v>3</v>
      </c>
      <c r="G372">
        <v>3</v>
      </c>
      <c r="H372" s="36">
        <f>IFERROR(INDEX(Katalog!$D$3:$D$12,MATCH(cadangan3[[#This Row],[ItemID A]],Katalog!$C$3:$C$12,0))*cadangan3[[#This Row],[Qty A]],0)</f>
        <v>900000</v>
      </c>
      <c r="I372" s="36">
        <f>IFERROR(INDEX(Katalog!$D$3:$D$12,MATCH(cadangan3[[#This Row],[Item A]],Katalog!$B$3:$B$12,0))*cadangan3[[#This Row],[Qty A]],0)</f>
        <v>900000</v>
      </c>
      <c r="J372" s="36">
        <f>IFERROR(cadangan3[[#This Row],[Harga Asli A]]-(cadangan3[[#This Row],[Harga Asli A]]*cadangan3[[#This Row],[Diskon]]),cadangan3[[#This Row],[Harga Asli A]])</f>
        <v>900000</v>
      </c>
      <c r="K372" s="36">
        <f>INDEX(Katalog!$F$3:$F$12,MATCH(cadangan3[[#This Row],[ItemID A]],Katalog!$C$3:$C$12,0))*cadangan3[[#This Row],[Qty A]]</f>
        <v>300000</v>
      </c>
      <c r="L372" s="36">
        <f>IFERROR(cadangan3[[#This Row],[Profit A]]-(cadangan3[[#This Row],[Profit A]]*cadangan3[[#This Row],[Diskon]]),K372)</f>
        <v>300000</v>
      </c>
      <c r="M372" t="s">
        <v>62</v>
      </c>
      <c r="N372" t="str">
        <f>IFERROR(INDEX(Katalog!$A$3:$A$12,MATCH(cadangan3[[#This Row],[ItemID B]],Katalog!$C$3:$C$12,0)),"-")</f>
        <v>Pakaian Pria</v>
      </c>
      <c r="O372" t="str">
        <f>IFERROR(INDEX(Katalog!$B$3:$B$12,MATCH(cadangan3[[#This Row],[ItemID B]],Katalog!$C$3:$C$12,0)),"-")</f>
        <v>Celana Pendek</v>
      </c>
      <c r="P372">
        <v>2</v>
      </c>
      <c r="Q372">
        <v>3</v>
      </c>
      <c r="R372" s="36">
        <f>IFERROR(INDEX(Katalog!$D$3:$D$12,MATCH(cadangan3[[#This Row],[ItemID B]],Katalog!$C$3:$C$12,0))*cadangan3[[#This Row],[Qty B]],0)</f>
        <v>360000</v>
      </c>
      <c r="S372" s="36">
        <f>IFERROR(INDEX(Katalog!$D$3:$D$12,MATCH(cadangan3[[#This Row],[Item B]],Katalog!$B$3:$B$12,0))*cadangan3[[#This Row],[Qty B]],0)</f>
        <v>360000</v>
      </c>
      <c r="T372" s="36">
        <f>IFERROR(cadangan3[[#This Row],[Harga Asli B]]-(cadangan3[[#This Row],[Harga Asli B]]*cadangan3[[#This Row],[Diskon]]),cadangan3[[#This Row],[Harga Asli B]])</f>
        <v>360000</v>
      </c>
      <c r="U372" s="36">
        <f>IFERROR(INDEX(Katalog!$F$3:$F$12,MATCH(cadangan3[[#This Row],[ItemID B]],Katalog!$C$3:$C$12,0))*cadangan3[[#This Row],[Qty B]],0)</f>
        <v>140000</v>
      </c>
      <c r="V372" s="36">
        <f>IFERROR(cadangan3[[#This Row],[Profit B]]-(cadangan3[[#This Row],[Profit B]]*cadangan3[[#This Row],[Diskon]]),U372)</f>
        <v>140000</v>
      </c>
      <c r="W372" t="s">
        <v>67</v>
      </c>
      <c r="X372" t="str">
        <f>IFERROR(INDEX(Katalog!$A$3:$A$12,MATCH(cadangan3[[#This Row],[ItemID C]],Katalog!$C$3:$C$12,0)),"-")</f>
        <v>Sepatu Wanita</v>
      </c>
      <c r="Y372" t="str">
        <f>IFERROR(INDEX(Katalog!$B$3:$B$12,MATCH(cadangan3[[#This Row],[ItemID C]],Katalog!$C$3:$C$12,0)),"-")</f>
        <v>Flat Shoes</v>
      </c>
      <c r="Z372">
        <v>1</v>
      </c>
      <c r="AA372">
        <v>2</v>
      </c>
      <c r="AB372" s="36">
        <f>IFERROR(INDEX(Katalog!$D$3:$D$12,MATCH(cadangan3[[#This Row],[ItemID C]],Katalog!$C$3:$C$12,0))*cadangan3[[#This Row],[Qty C]],0)</f>
        <v>250000</v>
      </c>
      <c r="AC372" s="36">
        <f>IFERROR(INDEX(Katalog!$D$3:$D$12,MATCH(cadangan3[[#This Row],[Item C]],Katalog!$B$3:$B$12,0))*cadangan3[[#This Row],[Qty C]],0)</f>
        <v>250000</v>
      </c>
      <c r="AD372" s="36">
        <f>IFERROR(cadangan3[[#This Row],[Harga Asli C]]-(cadangan3[[#This Row],[Harga Asli C]]*cadangan3[[#This Row],[Diskon]]),cadangan3[[#This Row],[Harga Asli C]])</f>
        <v>250000</v>
      </c>
      <c r="AE372" s="36">
        <f>IFERROR(INDEX(Katalog!$F$3:$F$12,MATCH(cadangan3[[#This Row],[ItemID C]],Katalog!$C$3:$C$12,0))*cadangan3[[#This Row],[Qty C]],0)</f>
        <v>100000</v>
      </c>
      <c r="AF372" s="36">
        <f>IFERROR(cadangan3[[#This Row],[Profit C]]-(cadangan3[[#This Row],[Profit C]]*cadangan3[[#This Row],[Diskon]]),cadangan3[[#This Row],[Profit C]])</f>
        <v>100000</v>
      </c>
      <c r="AG372" s="21">
        <f>cadangan3[[#This Row],[Qty A]]+cadangan3[[#This Row],[Qty B]]+cadangan3[[#This Row],[Qty C]]</f>
        <v>6</v>
      </c>
      <c r="AH372" s="35">
        <f>cadangan3[[#This Row],[Harga A + Diskon]]+cadangan3[[#This Row],[Harga + Diskon B]]+cadangan3[[#This Row],[Harga + Diskon C]]</f>
        <v>1510000</v>
      </c>
      <c r="AI372" s="35">
        <f>(cadangan3[[#This Row],[Profit A]]+cadangan3[[#This Row],[Profit B]]+cadangan3[[#This Row],[Profit C]])</f>
        <v>540000</v>
      </c>
      <c r="AJ372" s="35">
        <f>cadangan3[[#This Row],[Provit A + Diskon]]+cadangan3[[#This Row],[Provit B + Diskon]]+cadangan3[[#This Row],[Provit C + Diskon]]</f>
        <v>540000</v>
      </c>
      <c r="AK372" s="23" t="s">
        <v>11</v>
      </c>
      <c r="AL372" s="37" t="str">
        <f>IFERROR(INDEX('Kode Diskon'!$D$3:$D$9,MATCH(cadangan3[[#This Row],[Kode diskon]],'Kode Diskon'!$C$3:$C$9,0)),"-")</f>
        <v>-</v>
      </c>
      <c r="AM372" s="23" t="s">
        <v>11</v>
      </c>
      <c r="AN372" s="23" t="s">
        <v>14</v>
      </c>
      <c r="AO372" s="23" t="s">
        <v>75</v>
      </c>
      <c r="AP372" s="24">
        <v>45025</v>
      </c>
      <c r="AQ372" s="23" t="str">
        <f>TEXT(cadangan3[[#This Row],[Tanggal terjual]],"dddd")</f>
        <v>Sunday</v>
      </c>
    </row>
    <row r="373" spans="1:43" x14ac:dyDescent="0.2">
      <c r="A373" s="20">
        <v>372</v>
      </c>
      <c r="B373" s="21" t="str">
        <f>_xlfn.CONCAT("ORD-",INDEX(Helper!$B$2:$B$5,MATCH(cadangan3[[#This Row],[Marketplace]],Helper!$A$2:$A$5,0)),TEXT(cadangan3[[#This Row],[No]],"0000"),"-",TEXT(cadangan3[[#This Row],[Tanggal terjual]],"dd/mm/yy"))</f>
        <v>ORD-BB0372-02/04/23</v>
      </c>
      <c r="C373" t="s">
        <v>66</v>
      </c>
      <c r="D373" t="str">
        <f>IFERROR(INDEX(Katalog!$A$3:$A$12,MATCH(cadangan3[[#This Row],[ItemID A]],Katalog!$C$3:$C$12,0)),"-")</f>
        <v>Sepatu Pria</v>
      </c>
      <c r="E373" t="str">
        <f>IFERROR(INDEX(Katalog!$B$3:$B$12,MATCH(cadangan3[[#This Row],[ItemID A]],Katalog!$C$3:$C$12,0)),"-")</f>
        <v>Sandal Slip On</v>
      </c>
      <c r="F373">
        <v>2</v>
      </c>
      <c r="G373">
        <v>3</v>
      </c>
      <c r="H373" s="36">
        <f>IFERROR(INDEX(Katalog!$D$3:$D$12,MATCH(cadangan3[[#This Row],[ItemID A]],Katalog!$C$3:$C$12,0))*cadangan3[[#This Row],[Qty A]],0)</f>
        <v>300000</v>
      </c>
      <c r="I373" s="36">
        <f>IFERROR(INDEX(Katalog!$D$3:$D$12,MATCH(cadangan3[[#This Row],[Item A]],Katalog!$B$3:$B$12,0))*cadangan3[[#This Row],[Qty A]],0)</f>
        <v>300000</v>
      </c>
      <c r="J373" s="36">
        <f>IFERROR(cadangan3[[#This Row],[Harga Asli A]]-(cadangan3[[#This Row],[Harga Asli A]]*cadangan3[[#This Row],[Diskon]]),cadangan3[[#This Row],[Harga Asli A]])</f>
        <v>255000</v>
      </c>
      <c r="K373" s="36">
        <f>INDEX(Katalog!$F$3:$F$12,MATCH(cadangan3[[#This Row],[ItemID A]],Katalog!$C$3:$C$12,0))*cadangan3[[#This Row],[Qty A]]</f>
        <v>120000</v>
      </c>
      <c r="L373" s="36">
        <f>IFERROR(cadangan3[[#This Row],[Profit A]]-(cadangan3[[#This Row],[Profit A]]*cadangan3[[#This Row],[Diskon]]),K373)</f>
        <v>102000</v>
      </c>
      <c r="M373" t="s">
        <v>59</v>
      </c>
      <c r="N373" t="str">
        <f>IFERROR(INDEX(Katalog!$A$3:$A$12,MATCH(cadangan3[[#This Row],[ItemID B]],Katalog!$C$3:$C$12,0)),"-")</f>
        <v>Pakaian Wanita</v>
      </c>
      <c r="O373" t="str">
        <f>IFERROR(INDEX(Katalog!$B$3:$B$12,MATCH(cadangan3[[#This Row],[ItemID B]],Katalog!$C$3:$C$12,0)),"-")</f>
        <v>Blouse</v>
      </c>
      <c r="P373">
        <v>1</v>
      </c>
      <c r="Q373">
        <v>4</v>
      </c>
      <c r="R373" s="36">
        <f>IFERROR(INDEX(Katalog!$D$3:$D$12,MATCH(cadangan3[[#This Row],[ItemID B]],Katalog!$C$3:$C$12,0))*cadangan3[[#This Row],[Qty B]],0)</f>
        <v>150000</v>
      </c>
      <c r="S373" s="36">
        <f>IFERROR(INDEX(Katalog!$D$3:$D$12,MATCH(cadangan3[[#This Row],[Item B]],Katalog!$B$3:$B$12,0))*cadangan3[[#This Row],[Qty B]],0)</f>
        <v>150000</v>
      </c>
      <c r="T373" s="36">
        <f>IFERROR(cadangan3[[#This Row],[Harga Asli B]]-(cadangan3[[#This Row],[Harga Asli B]]*cadangan3[[#This Row],[Diskon]]),cadangan3[[#This Row],[Harga Asli B]])</f>
        <v>127500</v>
      </c>
      <c r="U373" s="36">
        <f>IFERROR(INDEX(Katalog!$F$3:$F$12,MATCH(cadangan3[[#This Row],[ItemID B]],Katalog!$C$3:$C$12,0))*cadangan3[[#This Row],[Qty B]],0)</f>
        <v>50000</v>
      </c>
      <c r="V373" s="36">
        <f>IFERROR(cadangan3[[#This Row],[Profit B]]-(cadangan3[[#This Row],[Profit B]]*cadangan3[[#This Row],[Diskon]]),U373)</f>
        <v>42500</v>
      </c>
      <c r="W373" t="s">
        <v>58</v>
      </c>
      <c r="X373" t="str">
        <f>IFERROR(INDEX(Katalog!$A$3:$A$12,MATCH(cadangan3[[#This Row],[ItemID C]],Katalog!$C$3:$C$12,0)),"-")</f>
        <v>Pakaian Wanita</v>
      </c>
      <c r="Y373" t="str">
        <f>IFERROR(INDEX(Katalog!$B$3:$B$12,MATCH(cadangan3[[#This Row],[ItemID C]],Katalog!$C$3:$C$12,0)),"-")</f>
        <v>Dress</v>
      </c>
      <c r="Z373">
        <v>1</v>
      </c>
      <c r="AA373">
        <v>3</v>
      </c>
      <c r="AB373" s="36">
        <f>IFERROR(INDEX(Katalog!$D$3:$D$12,MATCH(cadangan3[[#This Row],[ItemID C]],Katalog!$C$3:$C$12,0))*cadangan3[[#This Row],[Qty C]],0)</f>
        <v>300000</v>
      </c>
      <c r="AC373" s="36">
        <f>IFERROR(INDEX(Katalog!$D$3:$D$12,MATCH(cadangan3[[#This Row],[Item C]],Katalog!$B$3:$B$12,0))*cadangan3[[#This Row],[Qty C]],0)</f>
        <v>300000</v>
      </c>
      <c r="AD373" s="36">
        <f>IFERROR(cadangan3[[#This Row],[Harga Asli C]]-(cadangan3[[#This Row],[Harga Asli C]]*cadangan3[[#This Row],[Diskon]]),cadangan3[[#This Row],[Harga Asli C]])</f>
        <v>255000</v>
      </c>
      <c r="AE373" s="36">
        <f>IFERROR(INDEX(Katalog!$F$3:$F$12,MATCH(cadangan3[[#This Row],[ItemID C]],Katalog!$C$3:$C$12,0))*cadangan3[[#This Row],[Qty C]],0)</f>
        <v>100000</v>
      </c>
      <c r="AF373" s="36">
        <f>IFERROR(cadangan3[[#This Row],[Profit C]]-(cadangan3[[#This Row],[Profit C]]*cadangan3[[#This Row],[Diskon]]),cadangan3[[#This Row],[Profit C]])</f>
        <v>85000</v>
      </c>
      <c r="AG373" s="21">
        <f>cadangan3[[#This Row],[Qty A]]+cadangan3[[#This Row],[Qty B]]+cadangan3[[#This Row],[Qty C]]</f>
        <v>4</v>
      </c>
      <c r="AH373" s="35">
        <f>cadangan3[[#This Row],[Harga A + Diskon]]+cadangan3[[#This Row],[Harga + Diskon B]]+cadangan3[[#This Row],[Harga + Diskon C]]</f>
        <v>637500</v>
      </c>
      <c r="AI373" s="35">
        <f>(cadangan3[[#This Row],[Profit A]]+cadangan3[[#This Row],[Profit B]]+cadangan3[[#This Row],[Profit C]])</f>
        <v>270000</v>
      </c>
      <c r="AJ373" s="35">
        <f>cadangan3[[#This Row],[Provit A + Diskon]]+cadangan3[[#This Row],[Provit B + Diskon]]+cadangan3[[#This Row],[Provit C + Diskon]]</f>
        <v>229500</v>
      </c>
      <c r="AK373" s="23" t="s">
        <v>28</v>
      </c>
      <c r="AL373" s="37">
        <f>IFERROR(INDEX('Kode Diskon'!$D$3:$D$9,MATCH(cadangan3[[#This Row],[Kode diskon]],'Kode Diskon'!$C$3:$C$9,0)),"-")</f>
        <v>0.15</v>
      </c>
      <c r="AM373" s="23" t="s">
        <v>29</v>
      </c>
      <c r="AN373" s="23" t="s">
        <v>14</v>
      </c>
      <c r="AO373" s="23" t="s">
        <v>76</v>
      </c>
      <c r="AP373" s="24">
        <v>45018</v>
      </c>
      <c r="AQ373" s="23" t="str">
        <f>TEXT(cadangan3[[#This Row],[Tanggal terjual]],"dddd")</f>
        <v>Sunday</v>
      </c>
    </row>
    <row r="374" spans="1:43" x14ac:dyDescent="0.2">
      <c r="A374" s="20">
        <v>373</v>
      </c>
      <c r="B374" s="21" t="str">
        <f>_xlfn.CONCAT("ORD-",INDEX(Helper!$B$2:$B$5,MATCH(cadangan3[[#This Row],[Marketplace]],Helper!$A$2:$A$5,0)),TEXT(cadangan3[[#This Row],[No]],"0000"),"-",TEXT(cadangan3[[#This Row],[Tanggal terjual]],"dd/mm/yy"))</f>
        <v>ORD-TK0373-07/04/23</v>
      </c>
      <c r="C374" t="s">
        <v>59</v>
      </c>
      <c r="D374" t="str">
        <f>IFERROR(INDEX(Katalog!$A$3:$A$12,MATCH(cadangan3[[#This Row],[ItemID A]],Katalog!$C$3:$C$12,0)),"-")</f>
        <v>Pakaian Wanita</v>
      </c>
      <c r="E374" t="str">
        <f>IFERROR(INDEX(Katalog!$B$3:$B$12,MATCH(cadangan3[[#This Row],[ItemID A]],Katalog!$C$3:$C$12,0)),"-")</f>
        <v>Blouse</v>
      </c>
      <c r="F374">
        <v>1</v>
      </c>
      <c r="G374">
        <v>4</v>
      </c>
      <c r="H374" s="36">
        <f>IFERROR(INDEX(Katalog!$D$3:$D$12,MATCH(cadangan3[[#This Row],[ItemID A]],Katalog!$C$3:$C$12,0))*cadangan3[[#This Row],[Qty A]],0)</f>
        <v>150000</v>
      </c>
      <c r="I374" s="36">
        <f>IFERROR(INDEX(Katalog!$D$3:$D$12,MATCH(cadangan3[[#This Row],[Item A]],Katalog!$B$3:$B$12,0))*cadangan3[[#This Row],[Qty A]],0)</f>
        <v>150000</v>
      </c>
      <c r="J374" s="36">
        <f>IFERROR(cadangan3[[#This Row],[Harga Asli A]]-(cadangan3[[#This Row],[Harga Asli A]]*cadangan3[[#This Row],[Diskon]]),cadangan3[[#This Row],[Harga Asli A]])</f>
        <v>150000</v>
      </c>
      <c r="K374" s="36">
        <f>INDEX(Katalog!$F$3:$F$12,MATCH(cadangan3[[#This Row],[ItemID A]],Katalog!$C$3:$C$12,0))*cadangan3[[#This Row],[Qty A]]</f>
        <v>50000</v>
      </c>
      <c r="L374" s="36">
        <f>IFERROR(cadangan3[[#This Row],[Profit A]]-(cadangan3[[#This Row],[Profit A]]*cadangan3[[#This Row],[Diskon]]),K374)</f>
        <v>50000</v>
      </c>
      <c r="M374" t="s">
        <v>64</v>
      </c>
      <c r="N374" t="str">
        <f>IFERROR(INDEX(Katalog!$A$3:$A$12,MATCH(cadangan3[[#This Row],[ItemID B]],Katalog!$C$3:$C$12,0)),"-")</f>
        <v>Pakaian Unisex</v>
      </c>
      <c r="O374" t="str">
        <f>IFERROR(INDEX(Katalog!$B$3:$B$12,MATCH(cadangan3[[#This Row],[ItemID B]],Katalog!$C$3:$C$12,0)),"-")</f>
        <v>Jaket Hoodie</v>
      </c>
      <c r="P374">
        <v>2</v>
      </c>
      <c r="Q374">
        <v>3</v>
      </c>
      <c r="R374" s="36">
        <f>IFERROR(INDEX(Katalog!$D$3:$D$12,MATCH(cadangan3[[#This Row],[ItemID B]],Katalog!$C$3:$C$12,0))*cadangan3[[#This Row],[Qty B]],0)</f>
        <v>700000</v>
      </c>
      <c r="S374" s="36">
        <f>IFERROR(INDEX(Katalog!$D$3:$D$12,MATCH(cadangan3[[#This Row],[Item B]],Katalog!$B$3:$B$12,0))*cadangan3[[#This Row],[Qty B]],0)</f>
        <v>700000</v>
      </c>
      <c r="T374" s="36">
        <f>IFERROR(cadangan3[[#This Row],[Harga Asli B]]-(cadangan3[[#This Row],[Harga Asli B]]*cadangan3[[#This Row],[Diskon]]),cadangan3[[#This Row],[Harga Asli B]])</f>
        <v>700000</v>
      </c>
      <c r="U374" s="36">
        <f>IFERROR(INDEX(Katalog!$F$3:$F$12,MATCH(cadangan3[[#This Row],[ItemID B]],Katalog!$C$3:$C$12,0))*cadangan3[[#This Row],[Qty B]],0)</f>
        <v>260000</v>
      </c>
      <c r="V374" s="36">
        <f>IFERROR(cadangan3[[#This Row],[Profit B]]-(cadangan3[[#This Row],[Profit B]]*cadangan3[[#This Row],[Diskon]]),U374)</f>
        <v>260000</v>
      </c>
      <c r="X374" t="str">
        <f>IFERROR(INDEX(Katalog!$A$3:$A$12,MATCH(cadangan3[[#This Row],[ItemID C]],Katalog!$C$3:$C$12,0)),"-")</f>
        <v>-</v>
      </c>
      <c r="Y374" t="str">
        <f>IFERROR(INDEX(Katalog!$B$3:$B$12,MATCH(cadangan3[[#This Row],[ItemID C]],Katalog!$C$3:$C$12,0)),"-")</f>
        <v>-</v>
      </c>
      <c r="AB374" s="36">
        <f>IFERROR(INDEX(Katalog!$D$3:$D$12,MATCH(cadangan3[[#This Row],[ItemID C]],Katalog!$C$3:$C$12,0))*cadangan3[[#This Row],[Qty C]],0)</f>
        <v>0</v>
      </c>
      <c r="AC374" s="36">
        <f>IFERROR(INDEX(Katalog!$D$3:$D$12,MATCH(cadangan3[[#This Row],[Item C]],Katalog!$B$3:$B$12,0))*cadangan3[[#This Row],[Qty C]],0)</f>
        <v>0</v>
      </c>
      <c r="AD374" s="36">
        <f>IFERROR(cadangan3[[#This Row],[Harga Asli C]]-(cadangan3[[#This Row],[Harga Asli C]]*cadangan3[[#This Row],[Diskon]]),cadangan3[[#This Row],[Harga Asli C]])</f>
        <v>0</v>
      </c>
      <c r="AE374" s="36">
        <f>IFERROR(INDEX(Katalog!$F$3:$F$12,MATCH(cadangan3[[#This Row],[ItemID C]],Katalog!$C$3:$C$12,0))*cadangan3[[#This Row],[Qty C]],0)</f>
        <v>0</v>
      </c>
      <c r="AF374" s="36">
        <f>IFERROR(cadangan3[[#This Row],[Profit C]]-(cadangan3[[#This Row],[Profit C]]*cadangan3[[#This Row],[Diskon]]),cadangan3[[#This Row],[Profit C]])</f>
        <v>0</v>
      </c>
      <c r="AG374" s="21">
        <f>cadangan3[[#This Row],[Qty A]]+cadangan3[[#This Row],[Qty B]]+cadangan3[[#This Row],[Qty C]]</f>
        <v>3</v>
      </c>
      <c r="AH374" s="35">
        <f>cadangan3[[#This Row],[Harga A + Diskon]]+cadangan3[[#This Row],[Harga + Diskon B]]+cadangan3[[#This Row],[Harga + Diskon C]]</f>
        <v>850000</v>
      </c>
      <c r="AI374" s="35">
        <f>(cadangan3[[#This Row],[Profit A]]+cadangan3[[#This Row],[Profit B]]+cadangan3[[#This Row],[Profit C]])</f>
        <v>310000</v>
      </c>
      <c r="AJ374" s="35">
        <f>cadangan3[[#This Row],[Provit A + Diskon]]+cadangan3[[#This Row],[Provit B + Diskon]]+cadangan3[[#This Row],[Provit C + Diskon]]</f>
        <v>310000</v>
      </c>
      <c r="AK374" s="23" t="s">
        <v>11</v>
      </c>
      <c r="AL374" s="37" t="str">
        <f>IFERROR(INDEX('Kode Diskon'!$D$3:$D$9,MATCH(cadangan3[[#This Row],[Kode diskon]],'Kode Diskon'!$C$3:$C$9,0)),"-")</f>
        <v>-</v>
      </c>
      <c r="AM374" s="23" t="s">
        <v>11</v>
      </c>
      <c r="AN374" s="23" t="s">
        <v>10</v>
      </c>
      <c r="AO374" s="23" t="s">
        <v>80</v>
      </c>
      <c r="AP374" s="24">
        <v>45023</v>
      </c>
      <c r="AQ374" s="23" t="str">
        <f>TEXT(cadangan3[[#This Row],[Tanggal terjual]],"dddd")</f>
        <v>Friday</v>
      </c>
    </row>
    <row r="375" spans="1:43" x14ac:dyDescent="0.2">
      <c r="A375" s="20">
        <v>374</v>
      </c>
      <c r="B375" s="21" t="str">
        <f>_xlfn.CONCAT("ORD-",INDEX(Helper!$B$2:$B$5,MATCH(cadangan3[[#This Row],[Marketplace]],Helper!$A$2:$A$5,0)),TEXT(cadangan3[[#This Row],[No]],"0000"),"-",TEXT(cadangan3[[#This Row],[Tanggal terjual]],"dd/mm/yy"))</f>
        <v>ORD-TK0374-28/04/23</v>
      </c>
      <c r="C375" t="s">
        <v>64</v>
      </c>
      <c r="D375" t="str">
        <f>IFERROR(INDEX(Katalog!$A$3:$A$12,MATCH(cadangan3[[#This Row],[ItemID A]],Katalog!$C$3:$C$12,0)),"-")</f>
        <v>Pakaian Unisex</v>
      </c>
      <c r="E375" t="str">
        <f>IFERROR(INDEX(Katalog!$B$3:$B$12,MATCH(cadangan3[[#This Row],[ItemID A]],Katalog!$C$3:$C$12,0)),"-")</f>
        <v>Jaket Hoodie</v>
      </c>
      <c r="F375">
        <v>5</v>
      </c>
      <c r="G375">
        <v>2</v>
      </c>
      <c r="H375" s="36">
        <f>IFERROR(INDEX(Katalog!$D$3:$D$12,MATCH(cadangan3[[#This Row],[ItemID A]],Katalog!$C$3:$C$12,0))*cadangan3[[#This Row],[Qty A]],0)</f>
        <v>1750000</v>
      </c>
      <c r="I375" s="36">
        <f>IFERROR(INDEX(Katalog!$D$3:$D$12,MATCH(cadangan3[[#This Row],[Item A]],Katalog!$B$3:$B$12,0))*cadangan3[[#This Row],[Qty A]],0)</f>
        <v>1750000</v>
      </c>
      <c r="J375" s="36">
        <f>IFERROR(cadangan3[[#This Row],[Harga Asli A]]-(cadangan3[[#This Row],[Harga Asli A]]*cadangan3[[#This Row],[Diskon]]),cadangan3[[#This Row],[Harga Asli A]])</f>
        <v>1575000</v>
      </c>
      <c r="K375" s="36">
        <f>INDEX(Katalog!$F$3:$F$12,MATCH(cadangan3[[#This Row],[ItemID A]],Katalog!$C$3:$C$12,0))*cadangan3[[#This Row],[Qty A]]</f>
        <v>650000</v>
      </c>
      <c r="L375" s="36">
        <f>IFERROR(cadangan3[[#This Row],[Profit A]]-(cadangan3[[#This Row],[Profit A]]*cadangan3[[#This Row],[Diskon]]),K375)</f>
        <v>585000</v>
      </c>
      <c r="N375" t="str">
        <f>IFERROR(INDEX(Katalog!$A$3:$A$12,MATCH(cadangan3[[#This Row],[ItemID B]],Katalog!$C$3:$C$12,0)),"-")</f>
        <v>-</v>
      </c>
      <c r="O375" t="str">
        <f>IFERROR(INDEX(Katalog!$B$3:$B$12,MATCH(cadangan3[[#This Row],[ItemID B]],Katalog!$C$3:$C$12,0)),"-")</f>
        <v>-</v>
      </c>
      <c r="R375" s="36">
        <f>IFERROR(INDEX(Katalog!$D$3:$D$12,MATCH(cadangan3[[#This Row],[ItemID B]],Katalog!$C$3:$C$12,0))*cadangan3[[#This Row],[Qty B]],0)</f>
        <v>0</v>
      </c>
      <c r="S375" s="36">
        <f>IFERROR(INDEX(Katalog!$D$3:$D$12,MATCH(cadangan3[[#This Row],[Item B]],Katalog!$B$3:$B$12,0))*cadangan3[[#This Row],[Qty B]],0)</f>
        <v>0</v>
      </c>
      <c r="T375" s="36">
        <f>IFERROR(cadangan3[[#This Row],[Harga Asli B]]-(cadangan3[[#This Row],[Harga Asli B]]*cadangan3[[#This Row],[Diskon]]),cadangan3[[#This Row],[Harga Asli B]])</f>
        <v>0</v>
      </c>
      <c r="U375" s="36">
        <f>IFERROR(INDEX(Katalog!$F$3:$F$12,MATCH(cadangan3[[#This Row],[ItemID B]],Katalog!$C$3:$C$12,0))*cadangan3[[#This Row],[Qty B]],0)</f>
        <v>0</v>
      </c>
      <c r="V375" s="36">
        <f>IFERROR(cadangan3[[#This Row],[Profit B]]-(cadangan3[[#This Row],[Profit B]]*cadangan3[[#This Row],[Diskon]]),U375)</f>
        <v>0</v>
      </c>
      <c r="X375" t="str">
        <f>IFERROR(INDEX(Katalog!$A$3:$A$12,MATCH(cadangan3[[#This Row],[ItemID C]],Katalog!$C$3:$C$12,0)),"-")</f>
        <v>-</v>
      </c>
      <c r="Y375" t="str">
        <f>IFERROR(INDEX(Katalog!$B$3:$B$12,MATCH(cadangan3[[#This Row],[ItemID C]],Katalog!$C$3:$C$12,0)),"-")</f>
        <v>-</v>
      </c>
      <c r="AB375" s="36">
        <f>IFERROR(INDEX(Katalog!$D$3:$D$12,MATCH(cadangan3[[#This Row],[ItemID C]],Katalog!$C$3:$C$12,0))*cadangan3[[#This Row],[Qty C]],0)</f>
        <v>0</v>
      </c>
      <c r="AC375" s="36">
        <f>IFERROR(INDEX(Katalog!$D$3:$D$12,MATCH(cadangan3[[#This Row],[Item C]],Katalog!$B$3:$B$12,0))*cadangan3[[#This Row],[Qty C]],0)</f>
        <v>0</v>
      </c>
      <c r="AD375" s="36">
        <f>IFERROR(cadangan3[[#This Row],[Harga Asli C]]-(cadangan3[[#This Row],[Harga Asli C]]*cadangan3[[#This Row],[Diskon]]),cadangan3[[#This Row],[Harga Asli C]])</f>
        <v>0</v>
      </c>
      <c r="AE375" s="36">
        <f>IFERROR(INDEX(Katalog!$F$3:$F$12,MATCH(cadangan3[[#This Row],[ItemID C]],Katalog!$C$3:$C$12,0))*cadangan3[[#This Row],[Qty C]],0)</f>
        <v>0</v>
      </c>
      <c r="AF375" s="36">
        <f>IFERROR(cadangan3[[#This Row],[Profit C]]-(cadangan3[[#This Row],[Profit C]]*cadangan3[[#This Row],[Diskon]]),cadangan3[[#This Row],[Profit C]])</f>
        <v>0</v>
      </c>
      <c r="AG375" s="21">
        <f>cadangan3[[#This Row],[Qty A]]+cadangan3[[#This Row],[Qty B]]+cadangan3[[#This Row],[Qty C]]</f>
        <v>5</v>
      </c>
      <c r="AH375" s="35">
        <f>cadangan3[[#This Row],[Harga A + Diskon]]+cadangan3[[#This Row],[Harga + Diskon B]]+cadangan3[[#This Row],[Harga + Diskon C]]</f>
        <v>1575000</v>
      </c>
      <c r="AI375" s="35">
        <f>(cadangan3[[#This Row],[Profit A]]+cadangan3[[#This Row],[Profit B]]+cadangan3[[#This Row],[Profit C]])</f>
        <v>650000</v>
      </c>
      <c r="AJ375" s="35">
        <f>cadangan3[[#This Row],[Provit A + Diskon]]+cadangan3[[#This Row],[Provit B + Diskon]]+cadangan3[[#This Row],[Provit C + Diskon]]</f>
        <v>585000</v>
      </c>
      <c r="AK375" s="23" t="s">
        <v>31</v>
      </c>
      <c r="AL375" s="37">
        <f>IFERROR(INDEX('Kode Diskon'!$D$3:$D$9,MATCH(cadangan3[[#This Row],[Kode diskon]],'Kode Diskon'!$C$3:$C$9,0)),"-")</f>
        <v>0.1</v>
      </c>
      <c r="AM375" s="23" t="s">
        <v>9</v>
      </c>
      <c r="AN375" s="23" t="s">
        <v>10</v>
      </c>
      <c r="AO375" s="23" t="s">
        <v>75</v>
      </c>
      <c r="AP375" s="24">
        <v>45044</v>
      </c>
      <c r="AQ375" s="23" t="str">
        <f>TEXT(cadangan3[[#This Row],[Tanggal terjual]],"dddd")</f>
        <v>Friday</v>
      </c>
    </row>
    <row r="376" spans="1:43" x14ac:dyDescent="0.2">
      <c r="A376" s="20">
        <v>375</v>
      </c>
      <c r="B376" s="21" t="str">
        <f>_xlfn.CONCAT("ORD-",INDEX(Helper!$B$2:$B$5,MATCH(cadangan3[[#This Row],[Marketplace]],Helper!$A$2:$A$5,0)),TEXT(cadangan3[[#This Row],[No]],"0000"),"-",TEXT(cadangan3[[#This Row],[Tanggal terjual]],"dd/mm/yy"))</f>
        <v>ORD-BB0375-01/04/23</v>
      </c>
      <c r="C376" t="s">
        <v>61</v>
      </c>
      <c r="D376" t="str">
        <f>IFERROR(INDEX(Katalog!$A$3:$A$12,MATCH(cadangan3[[#This Row],[ItemID A]],Katalog!$C$3:$C$12,0)),"-")</f>
        <v>Pakaian Pria</v>
      </c>
      <c r="E376" t="str">
        <f>IFERROR(INDEX(Katalog!$B$3:$B$12,MATCH(cadangan3[[#This Row],[ItemID A]],Katalog!$C$3:$C$12,0)),"-")</f>
        <v>Kaos Polo</v>
      </c>
      <c r="F376">
        <v>4</v>
      </c>
      <c r="G376">
        <v>3</v>
      </c>
      <c r="H376" s="36">
        <f>IFERROR(INDEX(Katalog!$D$3:$D$12,MATCH(cadangan3[[#This Row],[ItemID A]],Katalog!$C$3:$C$12,0))*cadangan3[[#This Row],[Qty A]],0)</f>
        <v>800000</v>
      </c>
      <c r="I376" s="36">
        <f>IFERROR(INDEX(Katalog!$D$3:$D$12,MATCH(cadangan3[[#This Row],[Item A]],Katalog!$B$3:$B$12,0))*cadangan3[[#This Row],[Qty A]],0)</f>
        <v>800000</v>
      </c>
      <c r="J376" s="36">
        <f>IFERROR(cadangan3[[#This Row],[Harga Asli A]]-(cadangan3[[#This Row],[Harga Asli A]]*cadangan3[[#This Row],[Diskon]]),cadangan3[[#This Row],[Harga Asli A]])</f>
        <v>680000</v>
      </c>
      <c r="K376" s="36">
        <f>INDEX(Katalog!$F$3:$F$12,MATCH(cadangan3[[#This Row],[ItemID A]],Katalog!$C$3:$C$12,0))*cadangan3[[#This Row],[Qty A]]</f>
        <v>320000</v>
      </c>
      <c r="L376" s="36">
        <f>IFERROR(cadangan3[[#This Row],[Profit A]]-(cadangan3[[#This Row],[Profit A]]*cadangan3[[#This Row],[Diskon]]),K376)</f>
        <v>272000</v>
      </c>
      <c r="N376" t="str">
        <f>IFERROR(INDEX(Katalog!$A$3:$A$12,MATCH(cadangan3[[#This Row],[ItemID B]],Katalog!$C$3:$C$12,0)),"-")</f>
        <v>-</v>
      </c>
      <c r="O376" t="str">
        <f>IFERROR(INDEX(Katalog!$B$3:$B$12,MATCH(cadangan3[[#This Row],[ItemID B]],Katalog!$C$3:$C$12,0)),"-")</f>
        <v>-</v>
      </c>
      <c r="R376" s="36">
        <f>IFERROR(INDEX(Katalog!$D$3:$D$12,MATCH(cadangan3[[#This Row],[ItemID B]],Katalog!$C$3:$C$12,0))*cadangan3[[#This Row],[Qty B]],0)</f>
        <v>0</v>
      </c>
      <c r="S376" s="36">
        <f>IFERROR(INDEX(Katalog!$D$3:$D$12,MATCH(cadangan3[[#This Row],[Item B]],Katalog!$B$3:$B$12,0))*cadangan3[[#This Row],[Qty B]],0)</f>
        <v>0</v>
      </c>
      <c r="T376" s="36">
        <f>IFERROR(cadangan3[[#This Row],[Harga Asli B]]-(cadangan3[[#This Row],[Harga Asli B]]*cadangan3[[#This Row],[Diskon]]),cadangan3[[#This Row],[Harga Asli B]])</f>
        <v>0</v>
      </c>
      <c r="U376" s="36">
        <f>IFERROR(INDEX(Katalog!$F$3:$F$12,MATCH(cadangan3[[#This Row],[ItemID B]],Katalog!$C$3:$C$12,0))*cadangan3[[#This Row],[Qty B]],0)</f>
        <v>0</v>
      </c>
      <c r="V376" s="36">
        <f>IFERROR(cadangan3[[#This Row],[Profit B]]-(cadangan3[[#This Row],[Profit B]]*cadangan3[[#This Row],[Diskon]]),U376)</f>
        <v>0</v>
      </c>
      <c r="X376" t="str">
        <f>IFERROR(INDEX(Katalog!$A$3:$A$12,MATCH(cadangan3[[#This Row],[ItemID C]],Katalog!$C$3:$C$12,0)),"-")</f>
        <v>-</v>
      </c>
      <c r="Y376" t="str">
        <f>IFERROR(INDEX(Katalog!$B$3:$B$12,MATCH(cadangan3[[#This Row],[ItemID C]],Katalog!$C$3:$C$12,0)),"-")</f>
        <v>-</v>
      </c>
      <c r="AB376" s="36">
        <f>IFERROR(INDEX(Katalog!$D$3:$D$12,MATCH(cadangan3[[#This Row],[ItemID C]],Katalog!$C$3:$C$12,0))*cadangan3[[#This Row],[Qty C]],0)</f>
        <v>0</v>
      </c>
      <c r="AC376" s="36">
        <f>IFERROR(INDEX(Katalog!$D$3:$D$12,MATCH(cadangan3[[#This Row],[Item C]],Katalog!$B$3:$B$12,0))*cadangan3[[#This Row],[Qty C]],0)</f>
        <v>0</v>
      </c>
      <c r="AD376" s="36">
        <f>IFERROR(cadangan3[[#This Row],[Harga Asli C]]-(cadangan3[[#This Row],[Harga Asli C]]*cadangan3[[#This Row],[Diskon]]),cadangan3[[#This Row],[Harga Asli C]])</f>
        <v>0</v>
      </c>
      <c r="AE376" s="36">
        <f>IFERROR(INDEX(Katalog!$F$3:$F$12,MATCH(cadangan3[[#This Row],[ItemID C]],Katalog!$C$3:$C$12,0))*cadangan3[[#This Row],[Qty C]],0)</f>
        <v>0</v>
      </c>
      <c r="AF376" s="36">
        <f>IFERROR(cadangan3[[#This Row],[Profit C]]-(cadangan3[[#This Row],[Profit C]]*cadangan3[[#This Row],[Diskon]]),cadangan3[[#This Row],[Profit C]])</f>
        <v>0</v>
      </c>
      <c r="AG376" s="21">
        <f>cadangan3[[#This Row],[Qty A]]+cadangan3[[#This Row],[Qty B]]+cadangan3[[#This Row],[Qty C]]</f>
        <v>4</v>
      </c>
      <c r="AH376" s="35">
        <f>cadangan3[[#This Row],[Harga A + Diskon]]+cadangan3[[#This Row],[Harga + Diskon B]]+cadangan3[[#This Row],[Harga + Diskon C]]</f>
        <v>680000</v>
      </c>
      <c r="AI376" s="35">
        <f>(cadangan3[[#This Row],[Profit A]]+cadangan3[[#This Row],[Profit B]]+cadangan3[[#This Row],[Profit C]])</f>
        <v>320000</v>
      </c>
      <c r="AJ376" s="35">
        <f>cadangan3[[#This Row],[Provit A + Diskon]]+cadangan3[[#This Row],[Provit B + Diskon]]+cadangan3[[#This Row],[Provit C + Diskon]]</f>
        <v>272000</v>
      </c>
      <c r="AK376" s="23" t="s">
        <v>28</v>
      </c>
      <c r="AL376" s="37">
        <f>IFERROR(INDEX('Kode Diskon'!$D$3:$D$9,MATCH(cadangan3[[#This Row],[Kode diskon]],'Kode Diskon'!$C$3:$C$9,0)),"-")</f>
        <v>0.15</v>
      </c>
      <c r="AM376" s="23" t="s">
        <v>29</v>
      </c>
      <c r="AN376" s="23" t="s">
        <v>14</v>
      </c>
      <c r="AO376" s="23" t="s">
        <v>78</v>
      </c>
      <c r="AP376" s="24">
        <v>45017</v>
      </c>
      <c r="AQ376" s="23" t="str">
        <f>TEXT(cadangan3[[#This Row],[Tanggal terjual]],"dddd")</f>
        <v>Saturday</v>
      </c>
    </row>
    <row r="377" spans="1:43" x14ac:dyDescent="0.2">
      <c r="A377" s="20">
        <v>376</v>
      </c>
      <c r="B377" s="21" t="str">
        <f>_xlfn.CONCAT("ORD-",INDEX(Helper!$B$2:$B$5,MATCH(cadangan3[[#This Row],[Marketplace]],Helper!$A$2:$A$5,0)),TEXT(cadangan3[[#This Row],[No]],"0000"),"-",TEXT(cadangan3[[#This Row],[Tanggal terjual]],"dd/mm/yy"))</f>
        <v>ORD-BL0376-20/04/23</v>
      </c>
      <c r="C377" t="s">
        <v>67</v>
      </c>
      <c r="D377" t="str">
        <f>IFERROR(INDEX(Katalog!$A$3:$A$12,MATCH(cadangan3[[#This Row],[ItemID A]],Katalog!$C$3:$C$12,0)),"-")</f>
        <v>Sepatu Wanita</v>
      </c>
      <c r="E377" t="str">
        <f>IFERROR(INDEX(Katalog!$B$3:$B$12,MATCH(cadangan3[[#This Row],[ItemID A]],Katalog!$C$3:$C$12,0)),"-")</f>
        <v>Flat Shoes</v>
      </c>
      <c r="F377">
        <v>1</v>
      </c>
      <c r="G377">
        <v>1</v>
      </c>
      <c r="H377" s="36">
        <f>IFERROR(INDEX(Katalog!$D$3:$D$12,MATCH(cadangan3[[#This Row],[ItemID A]],Katalog!$C$3:$C$12,0))*cadangan3[[#This Row],[Qty A]],0)</f>
        <v>250000</v>
      </c>
      <c r="I377" s="36">
        <f>IFERROR(INDEX(Katalog!$D$3:$D$12,MATCH(cadangan3[[#This Row],[Item A]],Katalog!$B$3:$B$12,0))*cadangan3[[#This Row],[Qty A]],0)</f>
        <v>250000</v>
      </c>
      <c r="J377" s="36">
        <f>IFERROR(cadangan3[[#This Row],[Harga Asli A]]-(cadangan3[[#This Row],[Harga Asli A]]*cadangan3[[#This Row],[Diskon]]),cadangan3[[#This Row],[Harga Asli A]])</f>
        <v>212500</v>
      </c>
      <c r="K377" s="36">
        <f>INDEX(Katalog!$F$3:$F$12,MATCH(cadangan3[[#This Row],[ItemID A]],Katalog!$C$3:$C$12,0))*cadangan3[[#This Row],[Qty A]]</f>
        <v>100000</v>
      </c>
      <c r="L377" s="36">
        <f>IFERROR(cadangan3[[#This Row],[Profit A]]-(cadangan3[[#This Row],[Profit A]]*cadangan3[[#This Row],[Diskon]]),K377)</f>
        <v>85000</v>
      </c>
      <c r="N377" t="str">
        <f>IFERROR(INDEX(Katalog!$A$3:$A$12,MATCH(cadangan3[[#This Row],[ItemID B]],Katalog!$C$3:$C$12,0)),"-")</f>
        <v>-</v>
      </c>
      <c r="O377" t="str">
        <f>IFERROR(INDEX(Katalog!$B$3:$B$12,MATCH(cadangan3[[#This Row],[ItemID B]],Katalog!$C$3:$C$12,0)),"-")</f>
        <v>-</v>
      </c>
      <c r="R377" s="36">
        <f>IFERROR(INDEX(Katalog!$D$3:$D$12,MATCH(cadangan3[[#This Row],[ItemID B]],Katalog!$C$3:$C$12,0))*cadangan3[[#This Row],[Qty B]],0)</f>
        <v>0</v>
      </c>
      <c r="S377" s="36">
        <f>IFERROR(INDEX(Katalog!$D$3:$D$12,MATCH(cadangan3[[#This Row],[Item B]],Katalog!$B$3:$B$12,0))*cadangan3[[#This Row],[Qty B]],0)</f>
        <v>0</v>
      </c>
      <c r="T377" s="36">
        <f>IFERROR(cadangan3[[#This Row],[Harga Asli B]]-(cadangan3[[#This Row],[Harga Asli B]]*cadangan3[[#This Row],[Diskon]]),cadangan3[[#This Row],[Harga Asli B]])</f>
        <v>0</v>
      </c>
      <c r="U377" s="36">
        <f>IFERROR(INDEX(Katalog!$F$3:$F$12,MATCH(cadangan3[[#This Row],[ItemID B]],Katalog!$C$3:$C$12,0))*cadangan3[[#This Row],[Qty B]],0)</f>
        <v>0</v>
      </c>
      <c r="V377" s="36">
        <f>IFERROR(cadangan3[[#This Row],[Profit B]]-(cadangan3[[#This Row],[Profit B]]*cadangan3[[#This Row],[Diskon]]),U377)</f>
        <v>0</v>
      </c>
      <c r="X377" t="str">
        <f>IFERROR(INDEX(Katalog!$A$3:$A$12,MATCH(cadangan3[[#This Row],[ItemID C]],Katalog!$C$3:$C$12,0)),"-")</f>
        <v>-</v>
      </c>
      <c r="Y377" t="str">
        <f>IFERROR(INDEX(Katalog!$B$3:$B$12,MATCH(cadangan3[[#This Row],[ItemID C]],Katalog!$C$3:$C$12,0)),"-")</f>
        <v>-</v>
      </c>
      <c r="AB377" s="36">
        <f>IFERROR(INDEX(Katalog!$D$3:$D$12,MATCH(cadangan3[[#This Row],[ItemID C]],Katalog!$C$3:$C$12,0))*cadangan3[[#This Row],[Qty C]],0)</f>
        <v>0</v>
      </c>
      <c r="AC377" s="36">
        <f>IFERROR(INDEX(Katalog!$D$3:$D$12,MATCH(cadangan3[[#This Row],[Item C]],Katalog!$B$3:$B$12,0))*cadangan3[[#This Row],[Qty C]],0)</f>
        <v>0</v>
      </c>
      <c r="AD377" s="36">
        <f>IFERROR(cadangan3[[#This Row],[Harga Asli C]]-(cadangan3[[#This Row],[Harga Asli C]]*cadangan3[[#This Row],[Diskon]]),cadangan3[[#This Row],[Harga Asli C]])</f>
        <v>0</v>
      </c>
      <c r="AE377" s="36">
        <f>IFERROR(INDEX(Katalog!$F$3:$F$12,MATCH(cadangan3[[#This Row],[ItemID C]],Katalog!$C$3:$C$12,0))*cadangan3[[#This Row],[Qty C]],0)</f>
        <v>0</v>
      </c>
      <c r="AF377" s="36">
        <f>IFERROR(cadangan3[[#This Row],[Profit C]]-(cadangan3[[#This Row],[Profit C]]*cadangan3[[#This Row],[Diskon]]),cadangan3[[#This Row],[Profit C]])</f>
        <v>0</v>
      </c>
      <c r="AG377" s="21">
        <f>cadangan3[[#This Row],[Qty A]]+cadangan3[[#This Row],[Qty B]]+cadangan3[[#This Row],[Qty C]]</f>
        <v>1</v>
      </c>
      <c r="AH377" s="35">
        <f>cadangan3[[#This Row],[Harga A + Diskon]]+cadangan3[[#This Row],[Harga + Diskon B]]+cadangan3[[#This Row],[Harga + Diskon C]]</f>
        <v>212500</v>
      </c>
      <c r="AI377" s="35">
        <f>(cadangan3[[#This Row],[Profit A]]+cadangan3[[#This Row],[Profit B]]+cadangan3[[#This Row],[Profit C]])</f>
        <v>100000</v>
      </c>
      <c r="AJ377" s="35">
        <f>cadangan3[[#This Row],[Provit A + Diskon]]+cadangan3[[#This Row],[Provit B + Diskon]]+cadangan3[[#This Row],[Provit C + Diskon]]</f>
        <v>85000</v>
      </c>
      <c r="AK377" s="23" t="s">
        <v>32</v>
      </c>
      <c r="AL377" s="37">
        <f>IFERROR(INDEX('Kode Diskon'!$D$3:$D$9,MATCH(cadangan3[[#This Row],[Kode diskon]],'Kode Diskon'!$C$3:$C$9,0)),"-")</f>
        <v>0.15</v>
      </c>
      <c r="AM377" s="23" t="s">
        <v>9</v>
      </c>
      <c r="AN377" s="23" t="s">
        <v>12</v>
      </c>
      <c r="AO377" s="23" t="s">
        <v>80</v>
      </c>
      <c r="AP377" s="24">
        <v>45036</v>
      </c>
      <c r="AQ377" s="23" t="str">
        <f>TEXT(cadangan3[[#This Row],[Tanggal terjual]],"dddd")</f>
        <v>Thursday</v>
      </c>
    </row>
    <row r="378" spans="1:43" x14ac:dyDescent="0.2">
      <c r="A378" s="20">
        <v>377</v>
      </c>
      <c r="B378" s="21" t="str">
        <f>_xlfn.CONCAT("ORD-",INDEX(Helper!$B$2:$B$5,MATCH(cadangan3[[#This Row],[Marketplace]],Helper!$A$2:$A$5,0)),TEXT(cadangan3[[#This Row],[No]],"0000"),"-",TEXT(cadangan3[[#This Row],[Tanggal terjual]],"dd/mm/yy"))</f>
        <v>ORD-SP0377-26/04/23</v>
      </c>
      <c r="C378" t="s">
        <v>58</v>
      </c>
      <c r="D378" t="str">
        <f>IFERROR(INDEX(Katalog!$A$3:$A$12,MATCH(cadangan3[[#This Row],[ItemID A]],Katalog!$C$3:$C$12,0)),"-")</f>
        <v>Pakaian Wanita</v>
      </c>
      <c r="E378" t="str">
        <f>IFERROR(INDEX(Katalog!$B$3:$B$12,MATCH(cadangan3[[#This Row],[ItemID A]],Katalog!$C$3:$C$12,0)),"-")</f>
        <v>Dress</v>
      </c>
      <c r="F378">
        <v>2</v>
      </c>
      <c r="G378">
        <v>1</v>
      </c>
      <c r="H378" s="36">
        <f>IFERROR(INDEX(Katalog!$D$3:$D$12,MATCH(cadangan3[[#This Row],[ItemID A]],Katalog!$C$3:$C$12,0))*cadangan3[[#This Row],[Qty A]],0)</f>
        <v>600000</v>
      </c>
      <c r="I378" s="36">
        <f>IFERROR(INDEX(Katalog!$D$3:$D$12,MATCH(cadangan3[[#This Row],[Item A]],Katalog!$B$3:$B$12,0))*cadangan3[[#This Row],[Qty A]],0)</f>
        <v>600000</v>
      </c>
      <c r="J378" s="36">
        <f>IFERROR(cadangan3[[#This Row],[Harga Asli A]]-(cadangan3[[#This Row],[Harga Asli A]]*cadangan3[[#This Row],[Diskon]]),cadangan3[[#This Row],[Harga Asli A]])</f>
        <v>480000</v>
      </c>
      <c r="K378" s="36">
        <f>INDEX(Katalog!$F$3:$F$12,MATCH(cadangan3[[#This Row],[ItemID A]],Katalog!$C$3:$C$12,0))*cadangan3[[#This Row],[Qty A]]</f>
        <v>200000</v>
      </c>
      <c r="L378" s="36">
        <f>IFERROR(cadangan3[[#This Row],[Profit A]]-(cadangan3[[#This Row],[Profit A]]*cadangan3[[#This Row],[Diskon]]),K378)</f>
        <v>160000</v>
      </c>
      <c r="M378" t="s">
        <v>65</v>
      </c>
      <c r="N378" t="str">
        <f>IFERROR(INDEX(Katalog!$A$3:$A$12,MATCH(cadangan3[[#This Row],[ItemID B]],Katalog!$C$3:$C$12,0)),"-")</f>
        <v>Sepatu Pria</v>
      </c>
      <c r="O378" t="str">
        <f>IFERROR(INDEX(Katalog!$B$3:$B$12,MATCH(cadangan3[[#This Row],[ItemID B]],Katalog!$C$3:$C$12,0)),"-")</f>
        <v>Sneakers</v>
      </c>
      <c r="P378">
        <v>4</v>
      </c>
      <c r="Q378">
        <v>3</v>
      </c>
      <c r="R378" s="36">
        <f>IFERROR(INDEX(Katalog!$D$3:$D$12,MATCH(cadangan3[[#This Row],[ItemID B]],Katalog!$C$3:$C$12,0))*cadangan3[[#This Row],[Qty B]],0)</f>
        <v>2000000</v>
      </c>
      <c r="S378" s="36">
        <f>IFERROR(INDEX(Katalog!$D$3:$D$12,MATCH(cadangan3[[#This Row],[Item B]],Katalog!$B$3:$B$12,0))*cadangan3[[#This Row],[Qty B]],0)</f>
        <v>2000000</v>
      </c>
      <c r="T378" s="36">
        <f>IFERROR(cadangan3[[#This Row],[Harga Asli B]]-(cadangan3[[#This Row],[Harga Asli B]]*cadangan3[[#This Row],[Diskon]]),cadangan3[[#This Row],[Harga Asli B]])</f>
        <v>1600000</v>
      </c>
      <c r="U378" s="36">
        <f>IFERROR(INDEX(Katalog!$F$3:$F$12,MATCH(cadangan3[[#This Row],[ItemID B]],Katalog!$C$3:$C$12,0))*cadangan3[[#This Row],[Qty B]],0)</f>
        <v>800000</v>
      </c>
      <c r="V378" s="36">
        <f>IFERROR(cadangan3[[#This Row],[Profit B]]-(cadangan3[[#This Row],[Profit B]]*cadangan3[[#This Row],[Diskon]]),U378)</f>
        <v>640000</v>
      </c>
      <c r="X378" t="str">
        <f>IFERROR(INDEX(Katalog!$A$3:$A$12,MATCH(cadangan3[[#This Row],[ItemID C]],Katalog!$C$3:$C$12,0)),"-")</f>
        <v>-</v>
      </c>
      <c r="Y378" t="str">
        <f>IFERROR(INDEX(Katalog!$B$3:$B$12,MATCH(cadangan3[[#This Row],[ItemID C]],Katalog!$C$3:$C$12,0)),"-")</f>
        <v>-</v>
      </c>
      <c r="AB378" s="36">
        <f>IFERROR(INDEX(Katalog!$D$3:$D$12,MATCH(cadangan3[[#This Row],[ItemID C]],Katalog!$C$3:$C$12,0))*cadangan3[[#This Row],[Qty C]],0)</f>
        <v>0</v>
      </c>
      <c r="AC378" s="36">
        <f>IFERROR(INDEX(Katalog!$D$3:$D$12,MATCH(cadangan3[[#This Row],[Item C]],Katalog!$B$3:$B$12,0))*cadangan3[[#This Row],[Qty C]],0)</f>
        <v>0</v>
      </c>
      <c r="AD378" s="36">
        <f>IFERROR(cadangan3[[#This Row],[Harga Asli C]]-(cadangan3[[#This Row],[Harga Asli C]]*cadangan3[[#This Row],[Diskon]]),cadangan3[[#This Row],[Harga Asli C]])</f>
        <v>0</v>
      </c>
      <c r="AE378" s="36">
        <f>IFERROR(INDEX(Katalog!$F$3:$F$12,MATCH(cadangan3[[#This Row],[ItemID C]],Katalog!$C$3:$C$12,0))*cadangan3[[#This Row],[Qty C]],0)</f>
        <v>0</v>
      </c>
      <c r="AF378" s="36">
        <f>IFERROR(cadangan3[[#This Row],[Profit C]]-(cadangan3[[#This Row],[Profit C]]*cadangan3[[#This Row],[Diskon]]),cadangan3[[#This Row],[Profit C]])</f>
        <v>0</v>
      </c>
      <c r="AG378" s="21">
        <f>cadangan3[[#This Row],[Qty A]]+cadangan3[[#This Row],[Qty B]]+cadangan3[[#This Row],[Qty C]]</f>
        <v>6</v>
      </c>
      <c r="AH378" s="35">
        <f>cadangan3[[#This Row],[Harga A + Diskon]]+cadangan3[[#This Row],[Harga + Diskon B]]+cadangan3[[#This Row],[Harga + Diskon C]]</f>
        <v>2080000</v>
      </c>
      <c r="AI378" s="35">
        <f>(cadangan3[[#This Row],[Profit A]]+cadangan3[[#This Row],[Profit B]]+cadangan3[[#This Row],[Profit C]])</f>
        <v>1000000</v>
      </c>
      <c r="AJ378" s="35">
        <f>cadangan3[[#This Row],[Provit A + Diskon]]+cadangan3[[#This Row],[Provit B + Diskon]]+cadangan3[[#This Row],[Provit C + Diskon]]</f>
        <v>800000</v>
      </c>
      <c r="AK378" s="23" t="s">
        <v>8</v>
      </c>
      <c r="AL378" s="37">
        <f>IFERROR(INDEX('Kode Diskon'!$D$3:$D$9,MATCH(cadangan3[[#This Row],[Kode diskon]],'Kode Diskon'!$C$3:$C$9,0)),"-")</f>
        <v>0.2</v>
      </c>
      <c r="AM378" s="23" t="s">
        <v>9</v>
      </c>
      <c r="AN378" s="23" t="s">
        <v>7</v>
      </c>
      <c r="AO378" s="23" t="s">
        <v>80</v>
      </c>
      <c r="AP378" s="24">
        <v>45042</v>
      </c>
      <c r="AQ378" s="23" t="str">
        <f>TEXT(cadangan3[[#This Row],[Tanggal terjual]],"dddd")</f>
        <v>Wednesday</v>
      </c>
    </row>
    <row r="379" spans="1:43" x14ac:dyDescent="0.2">
      <c r="A379" s="20">
        <v>378</v>
      </c>
      <c r="B379" s="21" t="str">
        <f>_xlfn.CONCAT("ORD-",INDEX(Helper!$B$2:$B$5,MATCH(cadangan3[[#This Row],[Marketplace]],Helper!$A$2:$A$5,0)),TEXT(cadangan3[[#This Row],[No]],"0000"),"-",TEXT(cadangan3[[#This Row],[Tanggal terjual]],"dd/mm/yy"))</f>
        <v>ORD-TK0378-25/04/23</v>
      </c>
      <c r="C379" t="s">
        <v>67</v>
      </c>
      <c r="D379" t="str">
        <f>IFERROR(INDEX(Katalog!$A$3:$A$12,MATCH(cadangan3[[#This Row],[ItemID A]],Katalog!$C$3:$C$12,0)),"-")</f>
        <v>Sepatu Wanita</v>
      </c>
      <c r="E379" t="str">
        <f>IFERROR(INDEX(Katalog!$B$3:$B$12,MATCH(cadangan3[[#This Row],[ItemID A]],Katalog!$C$3:$C$12,0)),"-")</f>
        <v>Flat Shoes</v>
      </c>
      <c r="F379">
        <v>3</v>
      </c>
      <c r="G379">
        <v>4</v>
      </c>
      <c r="H379" s="36">
        <f>IFERROR(INDEX(Katalog!$D$3:$D$12,MATCH(cadangan3[[#This Row],[ItemID A]],Katalog!$C$3:$C$12,0))*cadangan3[[#This Row],[Qty A]],0)</f>
        <v>750000</v>
      </c>
      <c r="I379" s="36">
        <f>IFERROR(INDEX(Katalog!$D$3:$D$12,MATCH(cadangan3[[#This Row],[Item A]],Katalog!$B$3:$B$12,0))*cadangan3[[#This Row],[Qty A]],0)</f>
        <v>750000</v>
      </c>
      <c r="J379" s="36">
        <f>IFERROR(cadangan3[[#This Row],[Harga Asli A]]-(cadangan3[[#This Row],[Harga Asli A]]*cadangan3[[#This Row],[Diskon]]),cadangan3[[#This Row],[Harga Asli A]])</f>
        <v>675000</v>
      </c>
      <c r="K379" s="36">
        <f>INDEX(Katalog!$F$3:$F$12,MATCH(cadangan3[[#This Row],[ItemID A]],Katalog!$C$3:$C$12,0))*cadangan3[[#This Row],[Qty A]]</f>
        <v>300000</v>
      </c>
      <c r="L379" s="36">
        <f>IFERROR(cadangan3[[#This Row],[Profit A]]-(cadangan3[[#This Row],[Profit A]]*cadangan3[[#This Row],[Diskon]]),K379)</f>
        <v>270000</v>
      </c>
      <c r="M379" t="s">
        <v>63</v>
      </c>
      <c r="N379" t="str">
        <f>IFERROR(INDEX(Katalog!$A$3:$A$12,MATCH(cadangan3[[#This Row],[ItemID B]],Katalog!$C$3:$C$12,0)),"-")</f>
        <v>Pakaian Pria</v>
      </c>
      <c r="O379" t="str">
        <f>IFERROR(INDEX(Katalog!$B$3:$B$12,MATCH(cadangan3[[#This Row],[ItemID B]],Katalog!$C$3:$C$12,0)),"-")</f>
        <v>Jaket Jeans</v>
      </c>
      <c r="P379">
        <v>2</v>
      </c>
      <c r="Q379">
        <v>5</v>
      </c>
      <c r="R379" s="36">
        <f>IFERROR(INDEX(Katalog!$D$3:$D$12,MATCH(cadangan3[[#This Row],[ItemID B]],Katalog!$C$3:$C$12,0))*cadangan3[[#This Row],[Qty B]],0)</f>
        <v>800000</v>
      </c>
      <c r="S379" s="36">
        <f>IFERROR(INDEX(Katalog!$D$3:$D$12,MATCH(cadangan3[[#This Row],[Item B]],Katalog!$B$3:$B$12,0))*cadangan3[[#This Row],[Qty B]],0)</f>
        <v>800000</v>
      </c>
      <c r="T379" s="36">
        <f>IFERROR(cadangan3[[#This Row],[Harga Asli B]]-(cadangan3[[#This Row],[Harga Asli B]]*cadangan3[[#This Row],[Diskon]]),cadangan3[[#This Row],[Harga Asli B]])</f>
        <v>720000</v>
      </c>
      <c r="U379" s="36">
        <f>IFERROR(INDEX(Katalog!$F$3:$F$12,MATCH(cadangan3[[#This Row],[ItemID B]],Katalog!$C$3:$C$12,0))*cadangan3[[#This Row],[Qty B]],0)</f>
        <v>300000</v>
      </c>
      <c r="V379" s="36">
        <f>IFERROR(cadangan3[[#This Row],[Profit B]]-(cadangan3[[#This Row],[Profit B]]*cadangan3[[#This Row],[Diskon]]),U379)</f>
        <v>270000</v>
      </c>
      <c r="X379" t="str">
        <f>IFERROR(INDEX(Katalog!$A$3:$A$12,MATCH(cadangan3[[#This Row],[ItemID C]],Katalog!$C$3:$C$12,0)),"-")</f>
        <v>-</v>
      </c>
      <c r="Y379" t="str">
        <f>IFERROR(INDEX(Katalog!$B$3:$B$12,MATCH(cadangan3[[#This Row],[ItemID C]],Katalog!$C$3:$C$12,0)),"-")</f>
        <v>-</v>
      </c>
      <c r="AB379" s="36">
        <f>IFERROR(INDEX(Katalog!$D$3:$D$12,MATCH(cadangan3[[#This Row],[ItemID C]],Katalog!$C$3:$C$12,0))*cadangan3[[#This Row],[Qty C]],0)</f>
        <v>0</v>
      </c>
      <c r="AC379" s="36">
        <f>IFERROR(INDEX(Katalog!$D$3:$D$12,MATCH(cadangan3[[#This Row],[Item C]],Katalog!$B$3:$B$12,0))*cadangan3[[#This Row],[Qty C]],0)</f>
        <v>0</v>
      </c>
      <c r="AD379" s="36">
        <f>IFERROR(cadangan3[[#This Row],[Harga Asli C]]-(cadangan3[[#This Row],[Harga Asli C]]*cadangan3[[#This Row],[Diskon]]),cadangan3[[#This Row],[Harga Asli C]])</f>
        <v>0</v>
      </c>
      <c r="AE379" s="36">
        <f>IFERROR(INDEX(Katalog!$F$3:$F$12,MATCH(cadangan3[[#This Row],[ItemID C]],Katalog!$C$3:$C$12,0))*cadangan3[[#This Row],[Qty C]],0)</f>
        <v>0</v>
      </c>
      <c r="AF379" s="36">
        <f>IFERROR(cadangan3[[#This Row],[Profit C]]-(cadangan3[[#This Row],[Profit C]]*cadangan3[[#This Row],[Diskon]]),cadangan3[[#This Row],[Profit C]])</f>
        <v>0</v>
      </c>
      <c r="AG379" s="21">
        <f>cadangan3[[#This Row],[Qty A]]+cadangan3[[#This Row],[Qty B]]+cadangan3[[#This Row],[Qty C]]</f>
        <v>5</v>
      </c>
      <c r="AH379" s="35">
        <f>cadangan3[[#This Row],[Harga A + Diskon]]+cadangan3[[#This Row],[Harga + Diskon B]]+cadangan3[[#This Row],[Harga + Diskon C]]</f>
        <v>1395000</v>
      </c>
      <c r="AI379" s="35">
        <f>(cadangan3[[#This Row],[Profit A]]+cadangan3[[#This Row],[Profit B]]+cadangan3[[#This Row],[Profit C]])</f>
        <v>600000</v>
      </c>
      <c r="AJ379" s="35">
        <f>cadangan3[[#This Row],[Provit A + Diskon]]+cadangan3[[#This Row],[Provit B + Diskon]]+cadangan3[[#This Row],[Provit C + Diskon]]</f>
        <v>540000</v>
      </c>
      <c r="AK379" s="23" t="s">
        <v>31</v>
      </c>
      <c r="AL379" s="37">
        <f>IFERROR(INDEX('Kode Diskon'!$D$3:$D$9,MATCH(cadangan3[[#This Row],[Kode diskon]],'Kode Diskon'!$C$3:$C$9,0)),"-")</f>
        <v>0.1</v>
      </c>
      <c r="AM379" s="23" t="s">
        <v>9</v>
      </c>
      <c r="AN379" s="23" t="s">
        <v>10</v>
      </c>
      <c r="AO379" s="23" t="s">
        <v>79</v>
      </c>
      <c r="AP379" s="24">
        <v>45041</v>
      </c>
      <c r="AQ379" s="23" t="str">
        <f>TEXT(cadangan3[[#This Row],[Tanggal terjual]],"dddd")</f>
        <v>Tuesday</v>
      </c>
    </row>
    <row r="380" spans="1:43" x14ac:dyDescent="0.2">
      <c r="A380" s="20">
        <v>379</v>
      </c>
      <c r="B380" s="21" t="str">
        <f>_xlfn.CONCAT("ORD-",INDEX(Helper!$B$2:$B$5,MATCH(cadangan3[[#This Row],[Marketplace]],Helper!$A$2:$A$5,0)),TEXT(cadangan3[[#This Row],[No]],"0000"),"-",TEXT(cadangan3[[#This Row],[Tanggal terjual]],"dd/mm/yy"))</f>
        <v>ORD-SP0379-16/04/23</v>
      </c>
      <c r="C380" t="s">
        <v>67</v>
      </c>
      <c r="D380" t="str">
        <f>IFERROR(INDEX(Katalog!$A$3:$A$12,MATCH(cadangan3[[#This Row],[ItemID A]],Katalog!$C$3:$C$12,0)),"-")</f>
        <v>Sepatu Wanita</v>
      </c>
      <c r="E380" t="str">
        <f>IFERROR(INDEX(Katalog!$B$3:$B$12,MATCH(cadangan3[[#This Row],[ItemID A]],Katalog!$C$3:$C$12,0)),"-")</f>
        <v>Flat Shoes</v>
      </c>
      <c r="F380">
        <v>1</v>
      </c>
      <c r="G380">
        <v>3</v>
      </c>
      <c r="H380" s="36">
        <f>IFERROR(INDEX(Katalog!$D$3:$D$12,MATCH(cadangan3[[#This Row],[ItemID A]],Katalog!$C$3:$C$12,0))*cadangan3[[#This Row],[Qty A]],0)</f>
        <v>250000</v>
      </c>
      <c r="I380" s="36">
        <f>IFERROR(INDEX(Katalog!$D$3:$D$12,MATCH(cadangan3[[#This Row],[Item A]],Katalog!$B$3:$B$12,0))*cadangan3[[#This Row],[Qty A]],0)</f>
        <v>250000</v>
      </c>
      <c r="J380" s="36">
        <f>IFERROR(cadangan3[[#This Row],[Harga Asli A]]-(cadangan3[[#This Row],[Harga Asli A]]*cadangan3[[#This Row],[Diskon]]),cadangan3[[#This Row],[Harga Asli A]])</f>
        <v>200000</v>
      </c>
      <c r="K380" s="36">
        <f>INDEX(Katalog!$F$3:$F$12,MATCH(cadangan3[[#This Row],[ItemID A]],Katalog!$C$3:$C$12,0))*cadangan3[[#This Row],[Qty A]]</f>
        <v>100000</v>
      </c>
      <c r="L380" s="36">
        <f>IFERROR(cadangan3[[#This Row],[Profit A]]-(cadangan3[[#This Row],[Profit A]]*cadangan3[[#This Row],[Diskon]]),K380)</f>
        <v>80000</v>
      </c>
      <c r="M380" t="s">
        <v>62</v>
      </c>
      <c r="N380" t="str">
        <f>IFERROR(INDEX(Katalog!$A$3:$A$12,MATCH(cadangan3[[#This Row],[ItemID B]],Katalog!$C$3:$C$12,0)),"-")</f>
        <v>Pakaian Pria</v>
      </c>
      <c r="O380" t="str">
        <f>IFERROR(INDEX(Katalog!$B$3:$B$12,MATCH(cadangan3[[#This Row],[ItemID B]],Katalog!$C$3:$C$12,0)),"-")</f>
        <v>Celana Pendek</v>
      </c>
      <c r="P380">
        <v>2</v>
      </c>
      <c r="Q380">
        <v>1</v>
      </c>
      <c r="R380" s="36">
        <f>IFERROR(INDEX(Katalog!$D$3:$D$12,MATCH(cadangan3[[#This Row],[ItemID B]],Katalog!$C$3:$C$12,0))*cadangan3[[#This Row],[Qty B]],0)</f>
        <v>360000</v>
      </c>
      <c r="S380" s="36">
        <f>IFERROR(INDEX(Katalog!$D$3:$D$12,MATCH(cadangan3[[#This Row],[Item B]],Katalog!$B$3:$B$12,0))*cadangan3[[#This Row],[Qty B]],0)</f>
        <v>360000</v>
      </c>
      <c r="T380" s="36">
        <f>IFERROR(cadangan3[[#This Row],[Harga Asli B]]-(cadangan3[[#This Row],[Harga Asli B]]*cadangan3[[#This Row],[Diskon]]),cadangan3[[#This Row],[Harga Asli B]])</f>
        <v>288000</v>
      </c>
      <c r="U380" s="36">
        <f>IFERROR(INDEX(Katalog!$F$3:$F$12,MATCH(cadangan3[[#This Row],[ItemID B]],Katalog!$C$3:$C$12,0))*cadangan3[[#This Row],[Qty B]],0)</f>
        <v>140000</v>
      </c>
      <c r="V380" s="36">
        <f>IFERROR(cadangan3[[#This Row],[Profit B]]-(cadangan3[[#This Row],[Profit B]]*cadangan3[[#This Row],[Diskon]]),U380)</f>
        <v>112000</v>
      </c>
      <c r="W380" t="s">
        <v>59</v>
      </c>
      <c r="X380" t="str">
        <f>IFERROR(INDEX(Katalog!$A$3:$A$12,MATCH(cadangan3[[#This Row],[ItemID C]],Katalog!$C$3:$C$12,0)),"-")</f>
        <v>Pakaian Wanita</v>
      </c>
      <c r="Y380" t="str">
        <f>IFERROR(INDEX(Katalog!$B$3:$B$12,MATCH(cadangan3[[#This Row],[ItemID C]],Katalog!$C$3:$C$12,0)),"-")</f>
        <v>Blouse</v>
      </c>
      <c r="Z380">
        <v>4</v>
      </c>
      <c r="AA380">
        <v>4</v>
      </c>
      <c r="AB380" s="36">
        <f>IFERROR(INDEX(Katalog!$D$3:$D$12,MATCH(cadangan3[[#This Row],[ItemID C]],Katalog!$C$3:$C$12,0))*cadangan3[[#This Row],[Qty C]],0)</f>
        <v>600000</v>
      </c>
      <c r="AC380" s="36">
        <f>IFERROR(INDEX(Katalog!$D$3:$D$12,MATCH(cadangan3[[#This Row],[Item C]],Katalog!$B$3:$B$12,0))*cadangan3[[#This Row],[Qty C]],0)</f>
        <v>600000</v>
      </c>
      <c r="AD380" s="36">
        <f>IFERROR(cadangan3[[#This Row],[Harga Asli C]]-(cadangan3[[#This Row],[Harga Asli C]]*cadangan3[[#This Row],[Diskon]]),cadangan3[[#This Row],[Harga Asli C]])</f>
        <v>480000</v>
      </c>
      <c r="AE380" s="36">
        <f>IFERROR(INDEX(Katalog!$F$3:$F$12,MATCH(cadangan3[[#This Row],[ItemID C]],Katalog!$C$3:$C$12,0))*cadangan3[[#This Row],[Qty C]],0)</f>
        <v>200000</v>
      </c>
      <c r="AF380" s="36">
        <f>IFERROR(cadangan3[[#This Row],[Profit C]]-(cadangan3[[#This Row],[Profit C]]*cadangan3[[#This Row],[Diskon]]),cadangan3[[#This Row],[Profit C]])</f>
        <v>160000</v>
      </c>
      <c r="AG380" s="21">
        <f>cadangan3[[#This Row],[Qty A]]+cadangan3[[#This Row],[Qty B]]+cadangan3[[#This Row],[Qty C]]</f>
        <v>7</v>
      </c>
      <c r="AH380" s="35">
        <f>cadangan3[[#This Row],[Harga A + Diskon]]+cadangan3[[#This Row],[Harga + Diskon B]]+cadangan3[[#This Row],[Harga + Diskon C]]</f>
        <v>968000</v>
      </c>
      <c r="AI380" s="35">
        <f>(cadangan3[[#This Row],[Profit A]]+cadangan3[[#This Row],[Profit B]]+cadangan3[[#This Row],[Profit C]])</f>
        <v>440000</v>
      </c>
      <c r="AJ380" s="35">
        <f>cadangan3[[#This Row],[Provit A + Diskon]]+cadangan3[[#This Row],[Provit B + Diskon]]+cadangan3[[#This Row],[Provit C + Diskon]]</f>
        <v>352000</v>
      </c>
      <c r="AK380" s="23" t="s">
        <v>8</v>
      </c>
      <c r="AL380" s="37">
        <f>IFERROR(INDEX('Kode Diskon'!$D$3:$D$9,MATCH(cadangan3[[#This Row],[Kode diskon]],'Kode Diskon'!$C$3:$C$9,0)),"-")</f>
        <v>0.2</v>
      </c>
      <c r="AM380" s="23" t="s">
        <v>9</v>
      </c>
      <c r="AN380" s="23" t="s">
        <v>7</v>
      </c>
      <c r="AO380" s="23" t="s">
        <v>76</v>
      </c>
      <c r="AP380" s="24">
        <v>45032</v>
      </c>
      <c r="AQ380" s="23" t="str">
        <f>TEXT(cadangan3[[#This Row],[Tanggal terjual]],"dddd")</f>
        <v>Sunday</v>
      </c>
    </row>
    <row r="381" spans="1:43" x14ac:dyDescent="0.2">
      <c r="A381" s="20">
        <v>380</v>
      </c>
      <c r="B381" s="21" t="str">
        <f>_xlfn.CONCAT("ORD-",INDEX(Helper!$B$2:$B$5,MATCH(cadangan3[[#This Row],[Marketplace]],Helper!$A$2:$A$5,0)),TEXT(cadangan3[[#This Row],[No]],"0000"),"-",TEXT(cadangan3[[#This Row],[Tanggal terjual]],"dd/mm/yy"))</f>
        <v>ORD-SP0380-22/04/23</v>
      </c>
      <c r="C381" t="s">
        <v>65</v>
      </c>
      <c r="D381" t="str">
        <f>IFERROR(INDEX(Katalog!$A$3:$A$12,MATCH(cadangan3[[#This Row],[ItemID A]],Katalog!$C$3:$C$12,0)),"-")</f>
        <v>Sepatu Pria</v>
      </c>
      <c r="E381" t="str">
        <f>IFERROR(INDEX(Katalog!$B$3:$B$12,MATCH(cadangan3[[#This Row],[ItemID A]],Katalog!$C$3:$C$12,0)),"-")</f>
        <v>Sneakers</v>
      </c>
      <c r="F381">
        <v>1</v>
      </c>
      <c r="G381">
        <v>2</v>
      </c>
      <c r="H381" s="36">
        <f>IFERROR(INDEX(Katalog!$D$3:$D$12,MATCH(cadangan3[[#This Row],[ItemID A]],Katalog!$C$3:$C$12,0))*cadangan3[[#This Row],[Qty A]],0)</f>
        <v>500000</v>
      </c>
      <c r="I381" s="36">
        <f>IFERROR(INDEX(Katalog!$D$3:$D$12,MATCH(cadangan3[[#This Row],[Item A]],Katalog!$B$3:$B$12,0))*cadangan3[[#This Row],[Qty A]],0)</f>
        <v>500000</v>
      </c>
      <c r="J381" s="36">
        <f>IFERROR(cadangan3[[#This Row],[Harga Asli A]]-(cadangan3[[#This Row],[Harga Asli A]]*cadangan3[[#This Row],[Diskon]]),cadangan3[[#This Row],[Harga Asli A]])</f>
        <v>400000</v>
      </c>
      <c r="K381" s="36">
        <f>INDEX(Katalog!$F$3:$F$12,MATCH(cadangan3[[#This Row],[ItemID A]],Katalog!$C$3:$C$12,0))*cadangan3[[#This Row],[Qty A]]</f>
        <v>200000</v>
      </c>
      <c r="L381" s="36">
        <f>IFERROR(cadangan3[[#This Row],[Profit A]]-(cadangan3[[#This Row],[Profit A]]*cadangan3[[#This Row],[Diskon]]),K381)</f>
        <v>160000</v>
      </c>
      <c r="M381" t="s">
        <v>63</v>
      </c>
      <c r="N381" t="str">
        <f>IFERROR(INDEX(Katalog!$A$3:$A$12,MATCH(cadangan3[[#This Row],[ItemID B]],Katalog!$C$3:$C$12,0)),"-")</f>
        <v>Pakaian Pria</v>
      </c>
      <c r="O381" t="str">
        <f>IFERROR(INDEX(Katalog!$B$3:$B$12,MATCH(cadangan3[[#This Row],[ItemID B]],Katalog!$C$3:$C$12,0)),"-")</f>
        <v>Jaket Jeans</v>
      </c>
      <c r="P381">
        <v>2</v>
      </c>
      <c r="Q381">
        <v>2</v>
      </c>
      <c r="R381" s="36">
        <f>IFERROR(INDEX(Katalog!$D$3:$D$12,MATCH(cadangan3[[#This Row],[ItemID B]],Katalog!$C$3:$C$12,0))*cadangan3[[#This Row],[Qty B]],0)</f>
        <v>800000</v>
      </c>
      <c r="S381" s="36">
        <f>IFERROR(INDEX(Katalog!$D$3:$D$12,MATCH(cadangan3[[#This Row],[Item B]],Katalog!$B$3:$B$12,0))*cadangan3[[#This Row],[Qty B]],0)</f>
        <v>800000</v>
      </c>
      <c r="T381" s="36">
        <f>IFERROR(cadangan3[[#This Row],[Harga Asli B]]-(cadangan3[[#This Row],[Harga Asli B]]*cadangan3[[#This Row],[Diskon]]),cadangan3[[#This Row],[Harga Asli B]])</f>
        <v>640000</v>
      </c>
      <c r="U381" s="36">
        <f>IFERROR(INDEX(Katalog!$F$3:$F$12,MATCH(cadangan3[[#This Row],[ItemID B]],Katalog!$C$3:$C$12,0))*cadangan3[[#This Row],[Qty B]],0)</f>
        <v>300000</v>
      </c>
      <c r="V381" s="36">
        <f>IFERROR(cadangan3[[#This Row],[Profit B]]-(cadangan3[[#This Row],[Profit B]]*cadangan3[[#This Row],[Diskon]]),U381)</f>
        <v>240000</v>
      </c>
      <c r="W381" t="s">
        <v>60</v>
      </c>
      <c r="X381" t="str">
        <f>IFERROR(INDEX(Katalog!$A$3:$A$12,MATCH(cadangan3[[#This Row],[ItemID C]],Katalog!$C$3:$C$12,0)),"-")</f>
        <v>Pakaian Wanita</v>
      </c>
      <c r="Y381" t="str">
        <f>IFERROR(INDEX(Katalog!$B$3:$B$12,MATCH(cadangan3[[#This Row],[ItemID C]],Katalog!$C$3:$C$12,0)),"-")</f>
        <v>Kaftan</v>
      </c>
      <c r="Z381">
        <v>1</v>
      </c>
      <c r="AA381">
        <v>1</v>
      </c>
      <c r="AB381" s="36">
        <f>IFERROR(INDEX(Katalog!$D$3:$D$12,MATCH(cadangan3[[#This Row],[ItemID C]],Katalog!$C$3:$C$12,0))*cadangan3[[#This Row],[Qty C]],0)</f>
        <v>250000</v>
      </c>
      <c r="AC381" s="36">
        <f>IFERROR(INDEX(Katalog!$D$3:$D$12,MATCH(cadangan3[[#This Row],[Item C]],Katalog!$B$3:$B$12,0))*cadangan3[[#This Row],[Qty C]],0)</f>
        <v>250000</v>
      </c>
      <c r="AD381" s="36">
        <f>IFERROR(cadangan3[[#This Row],[Harga Asli C]]-(cadangan3[[#This Row],[Harga Asli C]]*cadangan3[[#This Row],[Diskon]]),cadangan3[[#This Row],[Harga Asli C]])</f>
        <v>200000</v>
      </c>
      <c r="AE381" s="36">
        <f>IFERROR(INDEX(Katalog!$F$3:$F$12,MATCH(cadangan3[[#This Row],[ItemID C]],Katalog!$C$3:$C$12,0))*cadangan3[[#This Row],[Qty C]],0)</f>
        <v>100000</v>
      </c>
      <c r="AF381" s="36">
        <f>IFERROR(cadangan3[[#This Row],[Profit C]]-(cadangan3[[#This Row],[Profit C]]*cadangan3[[#This Row],[Diskon]]),cadangan3[[#This Row],[Profit C]])</f>
        <v>80000</v>
      </c>
      <c r="AG381" s="21">
        <f>cadangan3[[#This Row],[Qty A]]+cadangan3[[#This Row],[Qty B]]+cadangan3[[#This Row],[Qty C]]</f>
        <v>4</v>
      </c>
      <c r="AH381" s="35">
        <f>cadangan3[[#This Row],[Harga A + Diskon]]+cadangan3[[#This Row],[Harga + Diskon B]]+cadangan3[[#This Row],[Harga + Diskon C]]</f>
        <v>1240000</v>
      </c>
      <c r="AI381" s="35">
        <f>(cadangan3[[#This Row],[Profit A]]+cadangan3[[#This Row],[Profit B]]+cadangan3[[#This Row],[Profit C]])</f>
        <v>600000</v>
      </c>
      <c r="AJ381" s="35">
        <f>cadangan3[[#This Row],[Provit A + Diskon]]+cadangan3[[#This Row],[Provit B + Diskon]]+cadangan3[[#This Row],[Provit C + Diskon]]</f>
        <v>480000</v>
      </c>
      <c r="AK381" s="23" t="s">
        <v>8</v>
      </c>
      <c r="AL381" s="37">
        <f>IFERROR(INDEX('Kode Diskon'!$D$3:$D$9,MATCH(cadangan3[[#This Row],[Kode diskon]],'Kode Diskon'!$C$3:$C$9,0)),"-")</f>
        <v>0.2</v>
      </c>
      <c r="AM381" s="23" t="s">
        <v>9</v>
      </c>
      <c r="AN381" s="23" t="s">
        <v>7</v>
      </c>
      <c r="AO381" s="23" t="s">
        <v>80</v>
      </c>
      <c r="AP381" s="24">
        <v>45038</v>
      </c>
      <c r="AQ381" s="23" t="str">
        <f>TEXT(cadangan3[[#This Row],[Tanggal terjual]],"dddd")</f>
        <v>Saturday</v>
      </c>
    </row>
    <row r="382" spans="1:43" x14ac:dyDescent="0.2">
      <c r="A382" s="20">
        <v>381</v>
      </c>
      <c r="B382" s="21" t="str">
        <f>_xlfn.CONCAT("ORD-",INDEX(Helper!$B$2:$B$5,MATCH(cadangan3[[#This Row],[Marketplace]],Helper!$A$2:$A$5,0)),TEXT(cadangan3[[#This Row],[No]],"0000"),"-",TEXT(cadangan3[[#This Row],[Tanggal terjual]],"dd/mm/yy"))</f>
        <v>ORD-TK0381-11/04/23</v>
      </c>
      <c r="C382" t="s">
        <v>67</v>
      </c>
      <c r="D382" t="str">
        <f>IFERROR(INDEX(Katalog!$A$3:$A$12,MATCH(cadangan3[[#This Row],[ItemID A]],Katalog!$C$3:$C$12,0)),"-")</f>
        <v>Sepatu Wanita</v>
      </c>
      <c r="E382" t="str">
        <f>IFERROR(INDEX(Katalog!$B$3:$B$12,MATCH(cadangan3[[#This Row],[ItemID A]],Katalog!$C$3:$C$12,0)),"-")</f>
        <v>Flat Shoes</v>
      </c>
      <c r="F382">
        <v>1</v>
      </c>
      <c r="G382">
        <v>3</v>
      </c>
      <c r="H382" s="36">
        <f>IFERROR(INDEX(Katalog!$D$3:$D$12,MATCH(cadangan3[[#This Row],[ItemID A]],Katalog!$C$3:$C$12,0))*cadangan3[[#This Row],[Qty A]],0)</f>
        <v>250000</v>
      </c>
      <c r="I382" s="36">
        <f>IFERROR(INDEX(Katalog!$D$3:$D$12,MATCH(cadangan3[[#This Row],[Item A]],Katalog!$B$3:$B$12,0))*cadangan3[[#This Row],[Qty A]],0)</f>
        <v>250000</v>
      </c>
      <c r="J382" s="36">
        <f>IFERROR(cadangan3[[#This Row],[Harga Asli A]]-(cadangan3[[#This Row],[Harga Asli A]]*cadangan3[[#This Row],[Diskon]]),cadangan3[[#This Row],[Harga Asli A]])</f>
        <v>250000</v>
      </c>
      <c r="K382" s="36">
        <f>INDEX(Katalog!$F$3:$F$12,MATCH(cadangan3[[#This Row],[ItemID A]],Katalog!$C$3:$C$12,0))*cadangan3[[#This Row],[Qty A]]</f>
        <v>100000</v>
      </c>
      <c r="L382" s="36">
        <f>IFERROR(cadangan3[[#This Row],[Profit A]]-(cadangan3[[#This Row],[Profit A]]*cadangan3[[#This Row],[Diskon]]),K382)</f>
        <v>100000</v>
      </c>
      <c r="M382" t="s">
        <v>62</v>
      </c>
      <c r="N382" t="str">
        <f>IFERROR(INDEX(Katalog!$A$3:$A$12,MATCH(cadangan3[[#This Row],[ItemID B]],Katalog!$C$3:$C$12,0)),"-")</f>
        <v>Pakaian Pria</v>
      </c>
      <c r="O382" t="str">
        <f>IFERROR(INDEX(Katalog!$B$3:$B$12,MATCH(cadangan3[[#This Row],[ItemID B]],Katalog!$C$3:$C$12,0)),"-")</f>
        <v>Celana Pendek</v>
      </c>
      <c r="P382">
        <v>2</v>
      </c>
      <c r="Q382">
        <v>3</v>
      </c>
      <c r="R382" s="36">
        <f>IFERROR(INDEX(Katalog!$D$3:$D$12,MATCH(cadangan3[[#This Row],[ItemID B]],Katalog!$C$3:$C$12,0))*cadangan3[[#This Row],[Qty B]],0)</f>
        <v>360000</v>
      </c>
      <c r="S382" s="36">
        <f>IFERROR(INDEX(Katalog!$D$3:$D$12,MATCH(cadangan3[[#This Row],[Item B]],Katalog!$B$3:$B$12,0))*cadangan3[[#This Row],[Qty B]],0)</f>
        <v>360000</v>
      </c>
      <c r="T382" s="36">
        <f>IFERROR(cadangan3[[#This Row],[Harga Asli B]]-(cadangan3[[#This Row],[Harga Asli B]]*cadangan3[[#This Row],[Diskon]]),cadangan3[[#This Row],[Harga Asli B]])</f>
        <v>360000</v>
      </c>
      <c r="U382" s="36">
        <f>IFERROR(INDEX(Katalog!$F$3:$F$12,MATCH(cadangan3[[#This Row],[ItemID B]],Katalog!$C$3:$C$12,0))*cadangan3[[#This Row],[Qty B]],0)</f>
        <v>140000</v>
      </c>
      <c r="V382" s="36">
        <f>IFERROR(cadangan3[[#This Row],[Profit B]]-(cadangan3[[#This Row],[Profit B]]*cadangan3[[#This Row],[Diskon]]),U382)</f>
        <v>140000</v>
      </c>
      <c r="X382" t="str">
        <f>IFERROR(INDEX(Katalog!$A$3:$A$12,MATCH(cadangan3[[#This Row],[ItemID C]],Katalog!$C$3:$C$12,0)),"-")</f>
        <v>-</v>
      </c>
      <c r="Y382" t="str">
        <f>IFERROR(INDEX(Katalog!$B$3:$B$12,MATCH(cadangan3[[#This Row],[ItemID C]],Katalog!$C$3:$C$12,0)),"-")</f>
        <v>-</v>
      </c>
      <c r="AB382" s="36">
        <f>IFERROR(INDEX(Katalog!$D$3:$D$12,MATCH(cadangan3[[#This Row],[ItemID C]],Katalog!$C$3:$C$12,0))*cadangan3[[#This Row],[Qty C]],0)</f>
        <v>0</v>
      </c>
      <c r="AC382" s="36">
        <f>IFERROR(INDEX(Katalog!$D$3:$D$12,MATCH(cadangan3[[#This Row],[Item C]],Katalog!$B$3:$B$12,0))*cadangan3[[#This Row],[Qty C]],0)</f>
        <v>0</v>
      </c>
      <c r="AD382" s="36">
        <f>IFERROR(cadangan3[[#This Row],[Harga Asli C]]-(cadangan3[[#This Row],[Harga Asli C]]*cadangan3[[#This Row],[Diskon]]),cadangan3[[#This Row],[Harga Asli C]])</f>
        <v>0</v>
      </c>
      <c r="AE382" s="36">
        <f>IFERROR(INDEX(Katalog!$F$3:$F$12,MATCH(cadangan3[[#This Row],[ItemID C]],Katalog!$C$3:$C$12,0))*cadangan3[[#This Row],[Qty C]],0)</f>
        <v>0</v>
      </c>
      <c r="AF382" s="36">
        <f>IFERROR(cadangan3[[#This Row],[Profit C]]-(cadangan3[[#This Row],[Profit C]]*cadangan3[[#This Row],[Diskon]]),cadangan3[[#This Row],[Profit C]])</f>
        <v>0</v>
      </c>
      <c r="AG382" s="21">
        <f>cadangan3[[#This Row],[Qty A]]+cadangan3[[#This Row],[Qty B]]+cadangan3[[#This Row],[Qty C]]</f>
        <v>3</v>
      </c>
      <c r="AH382" s="35">
        <f>cadangan3[[#This Row],[Harga A + Diskon]]+cadangan3[[#This Row],[Harga + Diskon B]]+cadangan3[[#This Row],[Harga + Diskon C]]</f>
        <v>610000</v>
      </c>
      <c r="AI382" s="35">
        <f>(cadangan3[[#This Row],[Profit A]]+cadangan3[[#This Row],[Profit B]]+cadangan3[[#This Row],[Profit C]])</f>
        <v>240000</v>
      </c>
      <c r="AJ382" s="35">
        <f>cadangan3[[#This Row],[Provit A + Diskon]]+cadangan3[[#This Row],[Provit B + Diskon]]+cadangan3[[#This Row],[Provit C + Diskon]]</f>
        <v>240000</v>
      </c>
      <c r="AK382" s="23" t="s">
        <v>11</v>
      </c>
      <c r="AL382" s="37" t="str">
        <f>IFERROR(INDEX('Kode Diskon'!$D$3:$D$9,MATCH(cadangan3[[#This Row],[Kode diskon]],'Kode Diskon'!$C$3:$C$9,0)),"-")</f>
        <v>-</v>
      </c>
      <c r="AM382" s="23" t="s">
        <v>11</v>
      </c>
      <c r="AN382" s="23" t="s">
        <v>10</v>
      </c>
      <c r="AO382" s="23" t="s">
        <v>79</v>
      </c>
      <c r="AP382" s="24">
        <v>45027</v>
      </c>
      <c r="AQ382" s="23" t="str">
        <f>TEXT(cadangan3[[#This Row],[Tanggal terjual]],"dddd")</f>
        <v>Tuesday</v>
      </c>
    </row>
    <row r="383" spans="1:43" x14ac:dyDescent="0.2">
      <c r="A383" s="20">
        <v>382</v>
      </c>
      <c r="B383" s="21" t="str">
        <f>_xlfn.CONCAT("ORD-",INDEX(Helper!$B$2:$B$5,MATCH(cadangan3[[#This Row],[Marketplace]],Helper!$A$2:$A$5,0)),TEXT(cadangan3[[#This Row],[No]],"0000"),"-",TEXT(cadangan3[[#This Row],[Tanggal terjual]],"dd/mm/yy"))</f>
        <v>ORD-TK0382-08/04/23</v>
      </c>
      <c r="C383" t="s">
        <v>65</v>
      </c>
      <c r="D383" t="str">
        <f>IFERROR(INDEX(Katalog!$A$3:$A$12,MATCH(cadangan3[[#This Row],[ItemID A]],Katalog!$C$3:$C$12,0)),"-")</f>
        <v>Sepatu Pria</v>
      </c>
      <c r="E383" t="str">
        <f>IFERROR(INDEX(Katalog!$B$3:$B$12,MATCH(cadangan3[[#This Row],[ItemID A]],Katalog!$C$3:$C$12,0)),"-")</f>
        <v>Sneakers</v>
      </c>
      <c r="F383">
        <v>4</v>
      </c>
      <c r="G383">
        <v>2</v>
      </c>
      <c r="H383" s="36">
        <f>IFERROR(INDEX(Katalog!$D$3:$D$12,MATCH(cadangan3[[#This Row],[ItemID A]],Katalog!$C$3:$C$12,0))*cadangan3[[#This Row],[Qty A]],0)</f>
        <v>2000000</v>
      </c>
      <c r="I383" s="36">
        <f>IFERROR(INDEX(Katalog!$D$3:$D$12,MATCH(cadangan3[[#This Row],[Item A]],Katalog!$B$3:$B$12,0))*cadangan3[[#This Row],[Qty A]],0)</f>
        <v>2000000</v>
      </c>
      <c r="J383" s="36">
        <f>IFERROR(cadangan3[[#This Row],[Harga Asli A]]-(cadangan3[[#This Row],[Harga Asli A]]*cadangan3[[#This Row],[Diskon]]),cadangan3[[#This Row],[Harga Asli A]])</f>
        <v>2000000</v>
      </c>
      <c r="K383" s="36">
        <f>INDEX(Katalog!$F$3:$F$12,MATCH(cadangan3[[#This Row],[ItemID A]],Katalog!$C$3:$C$12,0))*cadangan3[[#This Row],[Qty A]]</f>
        <v>800000</v>
      </c>
      <c r="L383" s="36">
        <f>IFERROR(cadangan3[[#This Row],[Profit A]]-(cadangan3[[#This Row],[Profit A]]*cadangan3[[#This Row],[Diskon]]),K383)</f>
        <v>800000</v>
      </c>
      <c r="M383" t="s">
        <v>63</v>
      </c>
      <c r="N383" t="str">
        <f>IFERROR(INDEX(Katalog!$A$3:$A$12,MATCH(cadangan3[[#This Row],[ItemID B]],Katalog!$C$3:$C$12,0)),"-")</f>
        <v>Pakaian Pria</v>
      </c>
      <c r="O383" t="str">
        <f>IFERROR(INDEX(Katalog!$B$3:$B$12,MATCH(cadangan3[[#This Row],[ItemID B]],Katalog!$C$3:$C$12,0)),"-")</f>
        <v>Jaket Jeans</v>
      </c>
      <c r="P383">
        <v>2</v>
      </c>
      <c r="Q383">
        <v>5</v>
      </c>
      <c r="R383" s="36">
        <f>IFERROR(INDEX(Katalog!$D$3:$D$12,MATCH(cadangan3[[#This Row],[ItemID B]],Katalog!$C$3:$C$12,0))*cadangan3[[#This Row],[Qty B]],0)</f>
        <v>800000</v>
      </c>
      <c r="S383" s="36">
        <f>IFERROR(INDEX(Katalog!$D$3:$D$12,MATCH(cadangan3[[#This Row],[Item B]],Katalog!$B$3:$B$12,0))*cadangan3[[#This Row],[Qty B]],0)</f>
        <v>800000</v>
      </c>
      <c r="T383" s="36">
        <f>IFERROR(cadangan3[[#This Row],[Harga Asli B]]-(cadangan3[[#This Row],[Harga Asli B]]*cadangan3[[#This Row],[Diskon]]),cadangan3[[#This Row],[Harga Asli B]])</f>
        <v>800000</v>
      </c>
      <c r="U383" s="36">
        <f>IFERROR(INDEX(Katalog!$F$3:$F$12,MATCH(cadangan3[[#This Row],[ItemID B]],Katalog!$C$3:$C$12,0))*cadangan3[[#This Row],[Qty B]],0)</f>
        <v>300000</v>
      </c>
      <c r="V383" s="36">
        <f>IFERROR(cadangan3[[#This Row],[Profit B]]-(cadangan3[[#This Row],[Profit B]]*cadangan3[[#This Row],[Diskon]]),U383)</f>
        <v>300000</v>
      </c>
      <c r="X383" t="str">
        <f>IFERROR(INDEX(Katalog!$A$3:$A$12,MATCH(cadangan3[[#This Row],[ItemID C]],Katalog!$C$3:$C$12,0)),"-")</f>
        <v>-</v>
      </c>
      <c r="Y383" t="str">
        <f>IFERROR(INDEX(Katalog!$B$3:$B$12,MATCH(cadangan3[[#This Row],[ItemID C]],Katalog!$C$3:$C$12,0)),"-")</f>
        <v>-</v>
      </c>
      <c r="AB383" s="36">
        <f>IFERROR(INDEX(Katalog!$D$3:$D$12,MATCH(cadangan3[[#This Row],[ItemID C]],Katalog!$C$3:$C$12,0))*cadangan3[[#This Row],[Qty C]],0)</f>
        <v>0</v>
      </c>
      <c r="AC383" s="36">
        <f>IFERROR(INDEX(Katalog!$D$3:$D$12,MATCH(cadangan3[[#This Row],[Item C]],Katalog!$B$3:$B$12,0))*cadangan3[[#This Row],[Qty C]],0)</f>
        <v>0</v>
      </c>
      <c r="AD383" s="36">
        <f>IFERROR(cadangan3[[#This Row],[Harga Asli C]]-(cadangan3[[#This Row],[Harga Asli C]]*cadangan3[[#This Row],[Diskon]]),cadangan3[[#This Row],[Harga Asli C]])</f>
        <v>0</v>
      </c>
      <c r="AE383" s="36">
        <f>IFERROR(INDEX(Katalog!$F$3:$F$12,MATCH(cadangan3[[#This Row],[ItemID C]],Katalog!$C$3:$C$12,0))*cadangan3[[#This Row],[Qty C]],0)</f>
        <v>0</v>
      </c>
      <c r="AF383" s="36">
        <f>IFERROR(cadangan3[[#This Row],[Profit C]]-(cadangan3[[#This Row],[Profit C]]*cadangan3[[#This Row],[Diskon]]),cadangan3[[#This Row],[Profit C]])</f>
        <v>0</v>
      </c>
      <c r="AG383" s="21">
        <f>cadangan3[[#This Row],[Qty A]]+cadangan3[[#This Row],[Qty B]]+cadangan3[[#This Row],[Qty C]]</f>
        <v>6</v>
      </c>
      <c r="AH383" s="35">
        <f>cadangan3[[#This Row],[Harga A + Diskon]]+cadangan3[[#This Row],[Harga + Diskon B]]+cadangan3[[#This Row],[Harga + Diskon C]]</f>
        <v>2800000</v>
      </c>
      <c r="AI383" s="35">
        <f>(cadangan3[[#This Row],[Profit A]]+cadangan3[[#This Row],[Profit B]]+cadangan3[[#This Row],[Profit C]])</f>
        <v>1100000</v>
      </c>
      <c r="AJ383" s="35">
        <f>cadangan3[[#This Row],[Provit A + Diskon]]+cadangan3[[#This Row],[Provit B + Diskon]]+cadangan3[[#This Row],[Provit C + Diskon]]</f>
        <v>1100000</v>
      </c>
      <c r="AK383" s="23" t="s">
        <v>11</v>
      </c>
      <c r="AL383" s="37" t="str">
        <f>IFERROR(INDEX('Kode Diskon'!$D$3:$D$9,MATCH(cadangan3[[#This Row],[Kode diskon]],'Kode Diskon'!$C$3:$C$9,0)),"-")</f>
        <v>-</v>
      </c>
      <c r="AM383" s="23" t="s">
        <v>11</v>
      </c>
      <c r="AN383" s="23" t="s">
        <v>10</v>
      </c>
      <c r="AO383" s="23" t="s">
        <v>80</v>
      </c>
      <c r="AP383" s="24">
        <v>45024</v>
      </c>
      <c r="AQ383" s="23" t="str">
        <f>TEXT(cadangan3[[#This Row],[Tanggal terjual]],"dddd")</f>
        <v>Saturday</v>
      </c>
    </row>
    <row r="384" spans="1:43" x14ac:dyDescent="0.2">
      <c r="A384" s="20">
        <v>383</v>
      </c>
      <c r="B384" s="21" t="str">
        <f>_xlfn.CONCAT("ORD-",INDEX(Helper!$B$2:$B$5,MATCH(cadangan3[[#This Row],[Marketplace]],Helper!$A$2:$A$5,0)),TEXT(cadangan3[[#This Row],[No]],"0000"),"-",TEXT(cadangan3[[#This Row],[Tanggal terjual]],"dd/mm/yy"))</f>
        <v>ORD-SP0383-04/04/23</v>
      </c>
      <c r="C384" t="s">
        <v>63</v>
      </c>
      <c r="D384" t="str">
        <f>IFERROR(INDEX(Katalog!$A$3:$A$12,MATCH(cadangan3[[#This Row],[ItemID A]],Katalog!$C$3:$C$12,0)),"-")</f>
        <v>Pakaian Pria</v>
      </c>
      <c r="E384" t="str">
        <f>IFERROR(INDEX(Katalog!$B$3:$B$12,MATCH(cadangan3[[#This Row],[ItemID A]],Katalog!$C$3:$C$12,0)),"-")</f>
        <v>Jaket Jeans</v>
      </c>
      <c r="F384">
        <v>4</v>
      </c>
      <c r="G384">
        <v>4</v>
      </c>
      <c r="H384" s="36">
        <f>IFERROR(INDEX(Katalog!$D$3:$D$12,MATCH(cadangan3[[#This Row],[ItemID A]],Katalog!$C$3:$C$12,0))*cadangan3[[#This Row],[Qty A]],0)</f>
        <v>1600000</v>
      </c>
      <c r="I384" s="36">
        <f>IFERROR(INDEX(Katalog!$D$3:$D$12,MATCH(cadangan3[[#This Row],[Item A]],Katalog!$B$3:$B$12,0))*cadangan3[[#This Row],[Qty A]],0)</f>
        <v>1600000</v>
      </c>
      <c r="J384" s="36">
        <f>IFERROR(cadangan3[[#This Row],[Harga Asli A]]-(cadangan3[[#This Row],[Harga Asli A]]*cadangan3[[#This Row],[Diskon]]),cadangan3[[#This Row],[Harga Asli A]])</f>
        <v>1360000</v>
      </c>
      <c r="K384" s="36">
        <f>INDEX(Katalog!$F$3:$F$12,MATCH(cadangan3[[#This Row],[ItemID A]],Katalog!$C$3:$C$12,0))*cadangan3[[#This Row],[Qty A]]</f>
        <v>600000</v>
      </c>
      <c r="L384" s="36">
        <f>IFERROR(cadangan3[[#This Row],[Profit A]]-(cadangan3[[#This Row],[Profit A]]*cadangan3[[#This Row],[Diskon]]),K384)</f>
        <v>510000</v>
      </c>
      <c r="M384" t="s">
        <v>64</v>
      </c>
      <c r="N384" t="str">
        <f>IFERROR(INDEX(Katalog!$A$3:$A$12,MATCH(cadangan3[[#This Row],[ItemID B]],Katalog!$C$3:$C$12,0)),"-")</f>
        <v>Pakaian Unisex</v>
      </c>
      <c r="O384" t="str">
        <f>IFERROR(INDEX(Katalog!$B$3:$B$12,MATCH(cadangan3[[#This Row],[ItemID B]],Katalog!$C$3:$C$12,0)),"-")</f>
        <v>Jaket Hoodie</v>
      </c>
      <c r="P384">
        <v>1</v>
      </c>
      <c r="Q384">
        <v>4</v>
      </c>
      <c r="R384" s="36">
        <f>IFERROR(INDEX(Katalog!$D$3:$D$12,MATCH(cadangan3[[#This Row],[ItemID B]],Katalog!$C$3:$C$12,0))*cadangan3[[#This Row],[Qty B]],0)</f>
        <v>350000</v>
      </c>
      <c r="S384" s="36">
        <f>IFERROR(INDEX(Katalog!$D$3:$D$12,MATCH(cadangan3[[#This Row],[Item B]],Katalog!$B$3:$B$12,0))*cadangan3[[#This Row],[Qty B]],0)</f>
        <v>350000</v>
      </c>
      <c r="T384" s="36">
        <f>IFERROR(cadangan3[[#This Row],[Harga Asli B]]-(cadangan3[[#This Row],[Harga Asli B]]*cadangan3[[#This Row],[Diskon]]),cadangan3[[#This Row],[Harga Asli B]])</f>
        <v>297500</v>
      </c>
      <c r="U384" s="36">
        <f>IFERROR(INDEX(Katalog!$F$3:$F$12,MATCH(cadangan3[[#This Row],[ItemID B]],Katalog!$C$3:$C$12,0))*cadangan3[[#This Row],[Qty B]],0)</f>
        <v>130000</v>
      </c>
      <c r="V384" s="36">
        <f>IFERROR(cadangan3[[#This Row],[Profit B]]-(cadangan3[[#This Row],[Profit B]]*cadangan3[[#This Row],[Diskon]]),U384)</f>
        <v>110500</v>
      </c>
      <c r="W384" t="s">
        <v>63</v>
      </c>
      <c r="X384" t="str">
        <f>IFERROR(INDEX(Katalog!$A$3:$A$12,MATCH(cadangan3[[#This Row],[ItemID C]],Katalog!$C$3:$C$12,0)),"-")</f>
        <v>Pakaian Pria</v>
      </c>
      <c r="Y384" t="str">
        <f>IFERROR(INDEX(Katalog!$B$3:$B$12,MATCH(cadangan3[[#This Row],[ItemID C]],Katalog!$C$3:$C$12,0)),"-")</f>
        <v>Jaket Jeans</v>
      </c>
      <c r="Z384">
        <v>2</v>
      </c>
      <c r="AA384">
        <v>4</v>
      </c>
      <c r="AB384" s="36">
        <f>IFERROR(INDEX(Katalog!$D$3:$D$12,MATCH(cadangan3[[#This Row],[ItemID C]],Katalog!$C$3:$C$12,0))*cadangan3[[#This Row],[Qty C]],0)</f>
        <v>800000</v>
      </c>
      <c r="AC384" s="36">
        <f>IFERROR(INDEX(Katalog!$D$3:$D$12,MATCH(cadangan3[[#This Row],[Item C]],Katalog!$B$3:$B$12,0))*cadangan3[[#This Row],[Qty C]],0)</f>
        <v>800000</v>
      </c>
      <c r="AD384" s="36">
        <f>IFERROR(cadangan3[[#This Row],[Harga Asli C]]-(cadangan3[[#This Row],[Harga Asli C]]*cadangan3[[#This Row],[Diskon]]),cadangan3[[#This Row],[Harga Asli C]])</f>
        <v>680000</v>
      </c>
      <c r="AE384" s="36">
        <f>IFERROR(INDEX(Katalog!$F$3:$F$12,MATCH(cadangan3[[#This Row],[ItemID C]],Katalog!$C$3:$C$12,0))*cadangan3[[#This Row],[Qty C]],0)</f>
        <v>300000</v>
      </c>
      <c r="AF384" s="36">
        <f>IFERROR(cadangan3[[#This Row],[Profit C]]-(cadangan3[[#This Row],[Profit C]]*cadangan3[[#This Row],[Diskon]]),cadangan3[[#This Row],[Profit C]])</f>
        <v>255000</v>
      </c>
      <c r="AG384" s="21">
        <f>cadangan3[[#This Row],[Qty A]]+cadangan3[[#This Row],[Qty B]]+cadangan3[[#This Row],[Qty C]]</f>
        <v>7</v>
      </c>
      <c r="AH384" s="35">
        <f>cadangan3[[#This Row],[Harga A + Diskon]]+cadangan3[[#This Row],[Harga + Diskon B]]+cadangan3[[#This Row],[Harga + Diskon C]]</f>
        <v>2337500</v>
      </c>
      <c r="AI384" s="35">
        <f>(cadangan3[[#This Row],[Profit A]]+cadangan3[[#This Row],[Profit B]]+cadangan3[[#This Row],[Profit C]])</f>
        <v>1030000</v>
      </c>
      <c r="AJ384" s="35">
        <f>cadangan3[[#This Row],[Provit A + Diskon]]+cadangan3[[#This Row],[Provit B + Diskon]]+cadangan3[[#This Row],[Provit C + Diskon]]</f>
        <v>875500</v>
      </c>
      <c r="AK384" s="23" t="s">
        <v>13</v>
      </c>
      <c r="AL384" s="37">
        <f>IFERROR(INDEX('Kode Diskon'!$D$3:$D$9,MATCH(cadangan3[[#This Row],[Kode diskon]],'Kode Diskon'!$C$3:$C$9,0)),"-")</f>
        <v>0.15</v>
      </c>
      <c r="AM384" s="23" t="s">
        <v>29</v>
      </c>
      <c r="AN384" s="23" t="s">
        <v>7</v>
      </c>
      <c r="AO384" s="23" t="s">
        <v>78</v>
      </c>
      <c r="AP384" s="24">
        <v>45020</v>
      </c>
      <c r="AQ384" s="23" t="str">
        <f>TEXT(cadangan3[[#This Row],[Tanggal terjual]],"dddd")</f>
        <v>Tuesday</v>
      </c>
    </row>
    <row r="385" spans="1:43" x14ac:dyDescent="0.2">
      <c r="A385" s="20">
        <v>384</v>
      </c>
      <c r="B385" s="21" t="str">
        <f>_xlfn.CONCAT("ORD-",INDEX(Helper!$B$2:$B$5,MATCH(cadangan3[[#This Row],[Marketplace]],Helper!$A$2:$A$5,0)),TEXT(cadangan3[[#This Row],[No]],"0000"),"-",TEXT(cadangan3[[#This Row],[Tanggal terjual]],"dd/mm/yy"))</f>
        <v>ORD-SP0384-06/04/23</v>
      </c>
      <c r="C385" t="s">
        <v>65</v>
      </c>
      <c r="D385" t="str">
        <f>IFERROR(INDEX(Katalog!$A$3:$A$12,MATCH(cadangan3[[#This Row],[ItemID A]],Katalog!$C$3:$C$12,0)),"-")</f>
        <v>Sepatu Pria</v>
      </c>
      <c r="E385" t="str">
        <f>IFERROR(INDEX(Katalog!$B$3:$B$12,MATCH(cadangan3[[#This Row],[ItemID A]],Katalog!$C$3:$C$12,0)),"-")</f>
        <v>Sneakers</v>
      </c>
      <c r="F385">
        <v>2</v>
      </c>
      <c r="G385">
        <v>3</v>
      </c>
      <c r="H385" s="36">
        <f>IFERROR(INDEX(Katalog!$D$3:$D$12,MATCH(cadangan3[[#This Row],[ItemID A]],Katalog!$C$3:$C$12,0))*cadangan3[[#This Row],[Qty A]],0)</f>
        <v>1000000</v>
      </c>
      <c r="I385" s="36">
        <f>IFERROR(INDEX(Katalog!$D$3:$D$12,MATCH(cadangan3[[#This Row],[Item A]],Katalog!$B$3:$B$12,0))*cadangan3[[#This Row],[Qty A]],0)</f>
        <v>1000000</v>
      </c>
      <c r="J385" s="36">
        <f>IFERROR(cadangan3[[#This Row],[Harga Asli A]]-(cadangan3[[#This Row],[Harga Asli A]]*cadangan3[[#This Row],[Diskon]]),cadangan3[[#This Row],[Harga Asli A]])</f>
        <v>850000</v>
      </c>
      <c r="K385" s="36">
        <f>INDEX(Katalog!$F$3:$F$12,MATCH(cadangan3[[#This Row],[ItemID A]],Katalog!$C$3:$C$12,0))*cadangan3[[#This Row],[Qty A]]</f>
        <v>400000</v>
      </c>
      <c r="L385" s="36">
        <f>IFERROR(cadangan3[[#This Row],[Profit A]]-(cadangan3[[#This Row],[Profit A]]*cadangan3[[#This Row],[Diskon]]),K385)</f>
        <v>340000</v>
      </c>
      <c r="M385" t="s">
        <v>63</v>
      </c>
      <c r="N385" t="str">
        <f>IFERROR(INDEX(Katalog!$A$3:$A$12,MATCH(cadangan3[[#This Row],[ItemID B]],Katalog!$C$3:$C$12,0)),"-")</f>
        <v>Pakaian Pria</v>
      </c>
      <c r="O385" t="str">
        <f>IFERROR(INDEX(Katalog!$B$3:$B$12,MATCH(cadangan3[[#This Row],[ItemID B]],Katalog!$C$3:$C$12,0)),"-")</f>
        <v>Jaket Jeans</v>
      </c>
      <c r="P385">
        <v>1</v>
      </c>
      <c r="Q385">
        <v>4</v>
      </c>
      <c r="R385" s="36">
        <f>IFERROR(INDEX(Katalog!$D$3:$D$12,MATCH(cadangan3[[#This Row],[ItemID B]],Katalog!$C$3:$C$12,0))*cadangan3[[#This Row],[Qty B]],0)</f>
        <v>400000</v>
      </c>
      <c r="S385" s="36">
        <f>IFERROR(INDEX(Katalog!$D$3:$D$12,MATCH(cadangan3[[#This Row],[Item B]],Katalog!$B$3:$B$12,0))*cadangan3[[#This Row],[Qty B]],0)</f>
        <v>400000</v>
      </c>
      <c r="T385" s="36">
        <f>IFERROR(cadangan3[[#This Row],[Harga Asli B]]-(cadangan3[[#This Row],[Harga Asli B]]*cadangan3[[#This Row],[Diskon]]),cadangan3[[#This Row],[Harga Asli B]])</f>
        <v>340000</v>
      </c>
      <c r="U385" s="36">
        <f>IFERROR(INDEX(Katalog!$F$3:$F$12,MATCH(cadangan3[[#This Row],[ItemID B]],Katalog!$C$3:$C$12,0))*cadangan3[[#This Row],[Qty B]],0)</f>
        <v>150000</v>
      </c>
      <c r="V385" s="36">
        <f>IFERROR(cadangan3[[#This Row],[Profit B]]-(cadangan3[[#This Row],[Profit B]]*cadangan3[[#This Row],[Diskon]]),U385)</f>
        <v>127500</v>
      </c>
      <c r="X385" t="str">
        <f>IFERROR(INDEX(Katalog!$A$3:$A$12,MATCH(cadangan3[[#This Row],[ItemID C]],Katalog!$C$3:$C$12,0)),"-")</f>
        <v>-</v>
      </c>
      <c r="Y385" t="str">
        <f>IFERROR(INDEX(Katalog!$B$3:$B$12,MATCH(cadangan3[[#This Row],[ItemID C]],Katalog!$C$3:$C$12,0)),"-")</f>
        <v>-</v>
      </c>
      <c r="AB385" s="36">
        <f>IFERROR(INDEX(Katalog!$D$3:$D$12,MATCH(cadangan3[[#This Row],[ItemID C]],Katalog!$C$3:$C$12,0))*cadangan3[[#This Row],[Qty C]],0)</f>
        <v>0</v>
      </c>
      <c r="AC385" s="36">
        <f>IFERROR(INDEX(Katalog!$D$3:$D$12,MATCH(cadangan3[[#This Row],[Item C]],Katalog!$B$3:$B$12,0))*cadangan3[[#This Row],[Qty C]],0)</f>
        <v>0</v>
      </c>
      <c r="AD385" s="36">
        <f>IFERROR(cadangan3[[#This Row],[Harga Asli C]]-(cadangan3[[#This Row],[Harga Asli C]]*cadangan3[[#This Row],[Diskon]]),cadangan3[[#This Row],[Harga Asli C]])</f>
        <v>0</v>
      </c>
      <c r="AE385" s="36">
        <f>IFERROR(INDEX(Katalog!$F$3:$F$12,MATCH(cadangan3[[#This Row],[ItemID C]],Katalog!$C$3:$C$12,0))*cadangan3[[#This Row],[Qty C]],0)</f>
        <v>0</v>
      </c>
      <c r="AF385" s="36">
        <f>IFERROR(cadangan3[[#This Row],[Profit C]]-(cadangan3[[#This Row],[Profit C]]*cadangan3[[#This Row],[Diskon]]),cadangan3[[#This Row],[Profit C]])</f>
        <v>0</v>
      </c>
      <c r="AG385" s="21">
        <f>cadangan3[[#This Row],[Qty A]]+cadangan3[[#This Row],[Qty B]]+cadangan3[[#This Row],[Qty C]]</f>
        <v>3</v>
      </c>
      <c r="AH385" s="35">
        <f>cadangan3[[#This Row],[Harga A + Diskon]]+cadangan3[[#This Row],[Harga + Diskon B]]+cadangan3[[#This Row],[Harga + Diskon C]]</f>
        <v>1190000</v>
      </c>
      <c r="AI385" s="35">
        <f>(cadangan3[[#This Row],[Profit A]]+cadangan3[[#This Row],[Profit B]]+cadangan3[[#This Row],[Profit C]])</f>
        <v>550000</v>
      </c>
      <c r="AJ385" s="35">
        <f>cadangan3[[#This Row],[Provit A + Diskon]]+cadangan3[[#This Row],[Provit B + Diskon]]+cadangan3[[#This Row],[Provit C + Diskon]]</f>
        <v>467500</v>
      </c>
      <c r="AK385" s="23" t="s">
        <v>13</v>
      </c>
      <c r="AL385" s="37">
        <f>IFERROR(INDEX('Kode Diskon'!$D$3:$D$9,MATCH(cadangan3[[#This Row],[Kode diskon]],'Kode Diskon'!$C$3:$C$9,0)),"-")</f>
        <v>0.15</v>
      </c>
      <c r="AM385" s="23" t="s">
        <v>29</v>
      </c>
      <c r="AN385" s="23" t="s">
        <v>7</v>
      </c>
      <c r="AO385" s="23" t="s">
        <v>76</v>
      </c>
      <c r="AP385" s="24">
        <v>45022</v>
      </c>
      <c r="AQ385" s="23" t="str">
        <f>TEXT(cadangan3[[#This Row],[Tanggal terjual]],"dddd")</f>
        <v>Thursday</v>
      </c>
    </row>
    <row r="386" spans="1:43" x14ac:dyDescent="0.2">
      <c r="A386" s="20">
        <v>385</v>
      </c>
      <c r="B386" s="21" t="str">
        <f>_xlfn.CONCAT("ORD-",INDEX(Helper!$B$2:$B$5,MATCH(cadangan3[[#This Row],[Marketplace]],Helper!$A$2:$A$5,0)),TEXT(cadangan3[[#This Row],[No]],"0000"),"-",TEXT(cadangan3[[#This Row],[Tanggal terjual]],"dd/mm/yy"))</f>
        <v>ORD-SP0385-07/04/23</v>
      </c>
      <c r="C386" t="s">
        <v>62</v>
      </c>
      <c r="D386" t="str">
        <f>IFERROR(INDEX(Katalog!$A$3:$A$12,MATCH(cadangan3[[#This Row],[ItemID A]],Katalog!$C$3:$C$12,0)),"-")</f>
        <v>Pakaian Pria</v>
      </c>
      <c r="E386" t="str">
        <f>IFERROR(INDEX(Katalog!$B$3:$B$12,MATCH(cadangan3[[#This Row],[ItemID A]],Katalog!$C$3:$C$12,0)),"-")</f>
        <v>Celana Pendek</v>
      </c>
      <c r="F386">
        <v>2</v>
      </c>
      <c r="G386">
        <v>1</v>
      </c>
      <c r="H386" s="36">
        <f>IFERROR(INDEX(Katalog!$D$3:$D$12,MATCH(cadangan3[[#This Row],[ItemID A]],Katalog!$C$3:$C$12,0))*cadangan3[[#This Row],[Qty A]],0)</f>
        <v>360000</v>
      </c>
      <c r="I386" s="36">
        <f>IFERROR(INDEX(Katalog!$D$3:$D$12,MATCH(cadangan3[[#This Row],[Item A]],Katalog!$B$3:$B$12,0))*cadangan3[[#This Row],[Qty A]],0)</f>
        <v>360000</v>
      </c>
      <c r="J386" s="36">
        <f>IFERROR(cadangan3[[#This Row],[Harga Asli A]]-(cadangan3[[#This Row],[Harga Asli A]]*cadangan3[[#This Row],[Diskon]]),cadangan3[[#This Row],[Harga Asli A]])</f>
        <v>360000</v>
      </c>
      <c r="K386" s="36">
        <f>INDEX(Katalog!$F$3:$F$12,MATCH(cadangan3[[#This Row],[ItemID A]],Katalog!$C$3:$C$12,0))*cadangan3[[#This Row],[Qty A]]</f>
        <v>140000</v>
      </c>
      <c r="L386" s="36">
        <f>IFERROR(cadangan3[[#This Row],[Profit A]]-(cadangan3[[#This Row],[Profit A]]*cadangan3[[#This Row],[Diskon]]),K386)</f>
        <v>140000</v>
      </c>
      <c r="N386" t="str">
        <f>IFERROR(INDEX(Katalog!$A$3:$A$12,MATCH(cadangan3[[#This Row],[ItemID B]],Katalog!$C$3:$C$12,0)),"-")</f>
        <v>-</v>
      </c>
      <c r="O386" t="str">
        <f>IFERROR(INDEX(Katalog!$B$3:$B$12,MATCH(cadangan3[[#This Row],[ItemID B]],Katalog!$C$3:$C$12,0)),"-")</f>
        <v>-</v>
      </c>
      <c r="R386" s="36">
        <f>IFERROR(INDEX(Katalog!$D$3:$D$12,MATCH(cadangan3[[#This Row],[ItemID B]],Katalog!$C$3:$C$12,0))*cadangan3[[#This Row],[Qty B]],0)</f>
        <v>0</v>
      </c>
      <c r="S386" s="36">
        <f>IFERROR(INDEX(Katalog!$D$3:$D$12,MATCH(cadangan3[[#This Row],[Item B]],Katalog!$B$3:$B$12,0))*cadangan3[[#This Row],[Qty B]],0)</f>
        <v>0</v>
      </c>
      <c r="T386" s="36">
        <f>IFERROR(cadangan3[[#This Row],[Harga Asli B]]-(cadangan3[[#This Row],[Harga Asli B]]*cadangan3[[#This Row],[Diskon]]),cadangan3[[#This Row],[Harga Asli B]])</f>
        <v>0</v>
      </c>
      <c r="U386" s="36">
        <f>IFERROR(INDEX(Katalog!$F$3:$F$12,MATCH(cadangan3[[#This Row],[ItemID B]],Katalog!$C$3:$C$12,0))*cadangan3[[#This Row],[Qty B]],0)</f>
        <v>0</v>
      </c>
      <c r="V386" s="36">
        <f>IFERROR(cadangan3[[#This Row],[Profit B]]-(cadangan3[[#This Row],[Profit B]]*cadangan3[[#This Row],[Diskon]]),U386)</f>
        <v>0</v>
      </c>
      <c r="X386" t="str">
        <f>IFERROR(INDEX(Katalog!$A$3:$A$12,MATCH(cadangan3[[#This Row],[ItemID C]],Katalog!$C$3:$C$12,0)),"-")</f>
        <v>-</v>
      </c>
      <c r="Y386" t="str">
        <f>IFERROR(INDEX(Katalog!$B$3:$B$12,MATCH(cadangan3[[#This Row],[ItemID C]],Katalog!$C$3:$C$12,0)),"-")</f>
        <v>-</v>
      </c>
      <c r="AB386" s="36">
        <f>IFERROR(INDEX(Katalog!$D$3:$D$12,MATCH(cadangan3[[#This Row],[ItemID C]],Katalog!$C$3:$C$12,0))*cadangan3[[#This Row],[Qty C]],0)</f>
        <v>0</v>
      </c>
      <c r="AC386" s="36">
        <f>IFERROR(INDEX(Katalog!$D$3:$D$12,MATCH(cadangan3[[#This Row],[Item C]],Katalog!$B$3:$B$12,0))*cadangan3[[#This Row],[Qty C]],0)</f>
        <v>0</v>
      </c>
      <c r="AD386" s="36">
        <f>IFERROR(cadangan3[[#This Row],[Harga Asli C]]-(cadangan3[[#This Row],[Harga Asli C]]*cadangan3[[#This Row],[Diskon]]),cadangan3[[#This Row],[Harga Asli C]])</f>
        <v>0</v>
      </c>
      <c r="AE386" s="36">
        <f>IFERROR(INDEX(Katalog!$F$3:$F$12,MATCH(cadangan3[[#This Row],[ItemID C]],Katalog!$C$3:$C$12,0))*cadangan3[[#This Row],[Qty C]],0)</f>
        <v>0</v>
      </c>
      <c r="AF386" s="36">
        <f>IFERROR(cadangan3[[#This Row],[Profit C]]-(cadangan3[[#This Row],[Profit C]]*cadangan3[[#This Row],[Diskon]]),cadangan3[[#This Row],[Profit C]])</f>
        <v>0</v>
      </c>
      <c r="AG386" s="21">
        <f>cadangan3[[#This Row],[Qty A]]+cadangan3[[#This Row],[Qty B]]+cadangan3[[#This Row],[Qty C]]</f>
        <v>2</v>
      </c>
      <c r="AH386" s="35">
        <f>cadangan3[[#This Row],[Harga A + Diskon]]+cadangan3[[#This Row],[Harga + Diskon B]]+cadangan3[[#This Row],[Harga + Diskon C]]</f>
        <v>360000</v>
      </c>
      <c r="AI386" s="35">
        <f>(cadangan3[[#This Row],[Profit A]]+cadangan3[[#This Row],[Profit B]]+cadangan3[[#This Row],[Profit C]])</f>
        <v>140000</v>
      </c>
      <c r="AJ386" s="35">
        <f>cadangan3[[#This Row],[Provit A + Diskon]]+cadangan3[[#This Row],[Provit B + Diskon]]+cadangan3[[#This Row],[Provit C + Diskon]]</f>
        <v>140000</v>
      </c>
      <c r="AK386" s="23" t="s">
        <v>11</v>
      </c>
      <c r="AL386" s="37" t="str">
        <f>IFERROR(INDEX('Kode Diskon'!$D$3:$D$9,MATCH(cadangan3[[#This Row],[Kode diskon]],'Kode Diskon'!$C$3:$C$9,0)),"-")</f>
        <v>-</v>
      </c>
      <c r="AM386" s="23" t="s">
        <v>11</v>
      </c>
      <c r="AN386" s="23" t="s">
        <v>7</v>
      </c>
      <c r="AO386" s="23" t="s">
        <v>78</v>
      </c>
      <c r="AP386" s="24">
        <v>45023</v>
      </c>
      <c r="AQ386" s="23" t="str">
        <f>TEXT(cadangan3[[#This Row],[Tanggal terjual]],"dddd")</f>
        <v>Friday</v>
      </c>
    </row>
    <row r="387" spans="1:43" x14ac:dyDescent="0.2">
      <c r="A387" s="20">
        <v>386</v>
      </c>
      <c r="B387" s="21" t="str">
        <f>_xlfn.CONCAT("ORD-",INDEX(Helper!$B$2:$B$5,MATCH(cadangan3[[#This Row],[Marketplace]],Helper!$A$2:$A$5,0)),TEXT(cadangan3[[#This Row],[No]],"0000"),"-",TEXT(cadangan3[[#This Row],[Tanggal terjual]],"dd/mm/yy"))</f>
        <v>ORD-SP0386-02/04/23</v>
      </c>
      <c r="C387" t="s">
        <v>63</v>
      </c>
      <c r="D387" t="str">
        <f>IFERROR(INDEX(Katalog!$A$3:$A$12,MATCH(cadangan3[[#This Row],[ItemID A]],Katalog!$C$3:$C$12,0)),"-")</f>
        <v>Pakaian Pria</v>
      </c>
      <c r="E387" t="str">
        <f>IFERROR(INDEX(Katalog!$B$3:$B$12,MATCH(cadangan3[[#This Row],[ItemID A]],Katalog!$C$3:$C$12,0)),"-")</f>
        <v>Jaket Jeans</v>
      </c>
      <c r="F387">
        <v>4</v>
      </c>
      <c r="G387">
        <v>2</v>
      </c>
      <c r="H387" s="36">
        <f>IFERROR(INDEX(Katalog!$D$3:$D$12,MATCH(cadangan3[[#This Row],[ItemID A]],Katalog!$C$3:$C$12,0))*cadangan3[[#This Row],[Qty A]],0)</f>
        <v>1600000</v>
      </c>
      <c r="I387" s="36">
        <f>IFERROR(INDEX(Katalog!$D$3:$D$12,MATCH(cadangan3[[#This Row],[Item A]],Katalog!$B$3:$B$12,0))*cadangan3[[#This Row],[Qty A]],0)</f>
        <v>1600000</v>
      </c>
      <c r="J387" s="36">
        <f>IFERROR(cadangan3[[#This Row],[Harga Asli A]]-(cadangan3[[#This Row],[Harga Asli A]]*cadangan3[[#This Row],[Diskon]]),cadangan3[[#This Row],[Harga Asli A]])</f>
        <v>1440000</v>
      </c>
      <c r="K387" s="36">
        <f>INDEX(Katalog!$F$3:$F$12,MATCH(cadangan3[[#This Row],[ItemID A]],Katalog!$C$3:$C$12,0))*cadangan3[[#This Row],[Qty A]]</f>
        <v>600000</v>
      </c>
      <c r="L387" s="36">
        <f>IFERROR(cadangan3[[#This Row],[Profit A]]-(cadangan3[[#This Row],[Profit A]]*cadangan3[[#This Row],[Diskon]]),K387)</f>
        <v>540000</v>
      </c>
      <c r="N387" t="str">
        <f>IFERROR(INDEX(Katalog!$A$3:$A$12,MATCH(cadangan3[[#This Row],[ItemID B]],Katalog!$C$3:$C$12,0)),"-")</f>
        <v>-</v>
      </c>
      <c r="O387" t="str">
        <f>IFERROR(INDEX(Katalog!$B$3:$B$12,MATCH(cadangan3[[#This Row],[ItemID B]],Katalog!$C$3:$C$12,0)),"-")</f>
        <v>-</v>
      </c>
      <c r="R387" s="36">
        <f>IFERROR(INDEX(Katalog!$D$3:$D$12,MATCH(cadangan3[[#This Row],[ItemID B]],Katalog!$C$3:$C$12,0))*cadangan3[[#This Row],[Qty B]],0)</f>
        <v>0</v>
      </c>
      <c r="S387" s="36">
        <f>IFERROR(INDEX(Katalog!$D$3:$D$12,MATCH(cadangan3[[#This Row],[Item B]],Katalog!$B$3:$B$12,0))*cadangan3[[#This Row],[Qty B]],0)</f>
        <v>0</v>
      </c>
      <c r="T387" s="36">
        <f>IFERROR(cadangan3[[#This Row],[Harga Asli B]]-(cadangan3[[#This Row],[Harga Asli B]]*cadangan3[[#This Row],[Diskon]]),cadangan3[[#This Row],[Harga Asli B]])</f>
        <v>0</v>
      </c>
      <c r="U387" s="36">
        <f>IFERROR(INDEX(Katalog!$F$3:$F$12,MATCH(cadangan3[[#This Row],[ItemID B]],Katalog!$C$3:$C$12,0))*cadangan3[[#This Row],[Qty B]],0)</f>
        <v>0</v>
      </c>
      <c r="V387" s="36">
        <f>IFERROR(cadangan3[[#This Row],[Profit B]]-(cadangan3[[#This Row],[Profit B]]*cadangan3[[#This Row],[Diskon]]),U387)</f>
        <v>0</v>
      </c>
      <c r="X387" t="str">
        <f>IFERROR(INDEX(Katalog!$A$3:$A$12,MATCH(cadangan3[[#This Row],[ItemID C]],Katalog!$C$3:$C$12,0)),"-")</f>
        <v>-</v>
      </c>
      <c r="Y387" t="str">
        <f>IFERROR(INDEX(Katalog!$B$3:$B$12,MATCH(cadangan3[[#This Row],[ItemID C]],Katalog!$C$3:$C$12,0)),"-")</f>
        <v>-</v>
      </c>
      <c r="AB387" s="36">
        <f>IFERROR(INDEX(Katalog!$D$3:$D$12,MATCH(cadangan3[[#This Row],[ItemID C]],Katalog!$C$3:$C$12,0))*cadangan3[[#This Row],[Qty C]],0)</f>
        <v>0</v>
      </c>
      <c r="AC387" s="36">
        <f>IFERROR(INDEX(Katalog!$D$3:$D$12,MATCH(cadangan3[[#This Row],[Item C]],Katalog!$B$3:$B$12,0))*cadangan3[[#This Row],[Qty C]],0)</f>
        <v>0</v>
      </c>
      <c r="AD387" s="36">
        <f>IFERROR(cadangan3[[#This Row],[Harga Asli C]]-(cadangan3[[#This Row],[Harga Asli C]]*cadangan3[[#This Row],[Diskon]]),cadangan3[[#This Row],[Harga Asli C]])</f>
        <v>0</v>
      </c>
      <c r="AE387" s="36">
        <f>IFERROR(INDEX(Katalog!$F$3:$F$12,MATCH(cadangan3[[#This Row],[ItemID C]],Katalog!$C$3:$C$12,0))*cadangan3[[#This Row],[Qty C]],0)</f>
        <v>0</v>
      </c>
      <c r="AF387" s="36">
        <f>IFERROR(cadangan3[[#This Row],[Profit C]]-(cadangan3[[#This Row],[Profit C]]*cadangan3[[#This Row],[Diskon]]),cadangan3[[#This Row],[Profit C]])</f>
        <v>0</v>
      </c>
      <c r="AG387" s="21">
        <f>cadangan3[[#This Row],[Qty A]]+cadangan3[[#This Row],[Qty B]]+cadangan3[[#This Row],[Qty C]]</f>
        <v>4</v>
      </c>
      <c r="AH387" s="35">
        <f>cadangan3[[#This Row],[Harga A + Diskon]]+cadangan3[[#This Row],[Harga + Diskon B]]+cadangan3[[#This Row],[Harga + Diskon C]]</f>
        <v>1440000</v>
      </c>
      <c r="AI387" s="35">
        <f>(cadangan3[[#This Row],[Profit A]]+cadangan3[[#This Row],[Profit B]]+cadangan3[[#This Row],[Profit C]])</f>
        <v>600000</v>
      </c>
      <c r="AJ387" s="35">
        <f>cadangan3[[#This Row],[Provit A + Diskon]]+cadangan3[[#This Row],[Provit B + Diskon]]+cadangan3[[#This Row],[Provit C + Diskon]]</f>
        <v>540000</v>
      </c>
      <c r="AK387" s="23" t="s">
        <v>6</v>
      </c>
      <c r="AL387" s="37">
        <f>IFERROR(INDEX('Kode Diskon'!$D$3:$D$9,MATCH(cadangan3[[#This Row],[Kode diskon]],'Kode Diskon'!$C$3:$C$9,0)),"-")</f>
        <v>0.1</v>
      </c>
      <c r="AM387" s="23" t="s">
        <v>29</v>
      </c>
      <c r="AN387" s="23" t="s">
        <v>7</v>
      </c>
      <c r="AO387" s="23" t="s">
        <v>80</v>
      </c>
      <c r="AP387" s="24">
        <v>45018</v>
      </c>
      <c r="AQ387" s="23" t="str">
        <f>TEXT(cadangan3[[#This Row],[Tanggal terjual]],"dddd")</f>
        <v>Sunday</v>
      </c>
    </row>
    <row r="388" spans="1:43" x14ac:dyDescent="0.2">
      <c r="A388" s="20">
        <v>387</v>
      </c>
      <c r="B388" s="21" t="str">
        <f>_xlfn.CONCAT("ORD-",INDEX(Helper!$B$2:$B$5,MATCH(cadangan3[[#This Row],[Marketplace]],Helper!$A$2:$A$5,0)),TEXT(cadangan3[[#This Row],[No]],"0000"),"-",TEXT(cadangan3[[#This Row],[Tanggal terjual]],"dd/mm/yy"))</f>
        <v>ORD-SP0387-01/04/23</v>
      </c>
      <c r="C388" t="s">
        <v>62</v>
      </c>
      <c r="D388" t="str">
        <f>IFERROR(INDEX(Katalog!$A$3:$A$12,MATCH(cadangan3[[#This Row],[ItemID A]],Katalog!$C$3:$C$12,0)),"-")</f>
        <v>Pakaian Pria</v>
      </c>
      <c r="E388" t="str">
        <f>IFERROR(INDEX(Katalog!$B$3:$B$12,MATCH(cadangan3[[#This Row],[ItemID A]],Katalog!$C$3:$C$12,0)),"-")</f>
        <v>Celana Pendek</v>
      </c>
      <c r="F388">
        <v>4</v>
      </c>
      <c r="G388">
        <v>3</v>
      </c>
      <c r="H388" s="36">
        <f>IFERROR(INDEX(Katalog!$D$3:$D$12,MATCH(cadangan3[[#This Row],[ItemID A]],Katalog!$C$3:$C$12,0))*cadangan3[[#This Row],[Qty A]],0)</f>
        <v>720000</v>
      </c>
      <c r="I388" s="36">
        <f>IFERROR(INDEX(Katalog!$D$3:$D$12,MATCH(cadangan3[[#This Row],[Item A]],Katalog!$B$3:$B$12,0))*cadangan3[[#This Row],[Qty A]],0)</f>
        <v>720000</v>
      </c>
      <c r="J388" s="36">
        <f>IFERROR(cadangan3[[#This Row],[Harga Asli A]]-(cadangan3[[#This Row],[Harga Asli A]]*cadangan3[[#This Row],[Diskon]]),cadangan3[[#This Row],[Harga Asli A]])</f>
        <v>612000</v>
      </c>
      <c r="K388" s="36">
        <f>INDEX(Katalog!$F$3:$F$12,MATCH(cadangan3[[#This Row],[ItemID A]],Katalog!$C$3:$C$12,0))*cadangan3[[#This Row],[Qty A]]</f>
        <v>280000</v>
      </c>
      <c r="L388" s="36">
        <f>IFERROR(cadangan3[[#This Row],[Profit A]]-(cadangan3[[#This Row],[Profit A]]*cadangan3[[#This Row],[Diskon]]),K388)</f>
        <v>238000</v>
      </c>
      <c r="M388" t="s">
        <v>64</v>
      </c>
      <c r="N388" t="str">
        <f>IFERROR(INDEX(Katalog!$A$3:$A$12,MATCH(cadangan3[[#This Row],[ItemID B]],Katalog!$C$3:$C$12,0)),"-")</f>
        <v>Pakaian Unisex</v>
      </c>
      <c r="O388" t="str">
        <f>IFERROR(INDEX(Katalog!$B$3:$B$12,MATCH(cadangan3[[#This Row],[ItemID B]],Katalog!$C$3:$C$12,0)),"-")</f>
        <v>Jaket Hoodie</v>
      </c>
      <c r="P388">
        <v>1</v>
      </c>
      <c r="Q388">
        <v>2</v>
      </c>
      <c r="R388" s="36">
        <f>IFERROR(INDEX(Katalog!$D$3:$D$12,MATCH(cadangan3[[#This Row],[ItemID B]],Katalog!$C$3:$C$12,0))*cadangan3[[#This Row],[Qty B]],0)</f>
        <v>350000</v>
      </c>
      <c r="S388" s="36">
        <f>IFERROR(INDEX(Katalog!$D$3:$D$12,MATCH(cadangan3[[#This Row],[Item B]],Katalog!$B$3:$B$12,0))*cadangan3[[#This Row],[Qty B]],0)</f>
        <v>350000</v>
      </c>
      <c r="T388" s="36">
        <f>IFERROR(cadangan3[[#This Row],[Harga Asli B]]-(cadangan3[[#This Row],[Harga Asli B]]*cadangan3[[#This Row],[Diskon]]),cadangan3[[#This Row],[Harga Asli B]])</f>
        <v>297500</v>
      </c>
      <c r="U388" s="36">
        <f>IFERROR(INDEX(Katalog!$F$3:$F$12,MATCH(cadangan3[[#This Row],[ItemID B]],Katalog!$C$3:$C$12,0))*cadangan3[[#This Row],[Qty B]],0)</f>
        <v>130000</v>
      </c>
      <c r="V388" s="36">
        <f>IFERROR(cadangan3[[#This Row],[Profit B]]-(cadangan3[[#This Row],[Profit B]]*cadangan3[[#This Row],[Diskon]]),U388)</f>
        <v>110500</v>
      </c>
      <c r="W388" t="s">
        <v>65</v>
      </c>
      <c r="X388" t="str">
        <f>IFERROR(INDEX(Katalog!$A$3:$A$12,MATCH(cadangan3[[#This Row],[ItemID C]],Katalog!$C$3:$C$12,0)),"-")</f>
        <v>Sepatu Pria</v>
      </c>
      <c r="Y388" t="str">
        <f>IFERROR(INDEX(Katalog!$B$3:$B$12,MATCH(cadangan3[[#This Row],[ItemID C]],Katalog!$C$3:$C$12,0)),"-")</f>
        <v>Sneakers</v>
      </c>
      <c r="Z388">
        <v>2</v>
      </c>
      <c r="AA388">
        <v>4</v>
      </c>
      <c r="AB388" s="36">
        <f>IFERROR(INDEX(Katalog!$D$3:$D$12,MATCH(cadangan3[[#This Row],[ItemID C]],Katalog!$C$3:$C$12,0))*cadangan3[[#This Row],[Qty C]],0)</f>
        <v>1000000</v>
      </c>
      <c r="AC388" s="36">
        <f>IFERROR(INDEX(Katalog!$D$3:$D$12,MATCH(cadangan3[[#This Row],[Item C]],Katalog!$B$3:$B$12,0))*cadangan3[[#This Row],[Qty C]],0)</f>
        <v>1000000</v>
      </c>
      <c r="AD388" s="36">
        <f>IFERROR(cadangan3[[#This Row],[Harga Asli C]]-(cadangan3[[#This Row],[Harga Asli C]]*cadangan3[[#This Row],[Diskon]]),cadangan3[[#This Row],[Harga Asli C]])</f>
        <v>850000</v>
      </c>
      <c r="AE388" s="36">
        <f>IFERROR(INDEX(Katalog!$F$3:$F$12,MATCH(cadangan3[[#This Row],[ItemID C]],Katalog!$C$3:$C$12,0))*cadangan3[[#This Row],[Qty C]],0)</f>
        <v>400000</v>
      </c>
      <c r="AF388" s="36">
        <f>IFERROR(cadangan3[[#This Row],[Profit C]]-(cadangan3[[#This Row],[Profit C]]*cadangan3[[#This Row],[Diskon]]),cadangan3[[#This Row],[Profit C]])</f>
        <v>340000</v>
      </c>
      <c r="AG388" s="21">
        <f>cadangan3[[#This Row],[Qty A]]+cadangan3[[#This Row],[Qty B]]+cadangan3[[#This Row],[Qty C]]</f>
        <v>7</v>
      </c>
      <c r="AH388" s="35">
        <f>cadangan3[[#This Row],[Harga A + Diskon]]+cadangan3[[#This Row],[Harga + Diskon B]]+cadangan3[[#This Row],[Harga + Diskon C]]</f>
        <v>1759500</v>
      </c>
      <c r="AI388" s="35">
        <f>(cadangan3[[#This Row],[Profit A]]+cadangan3[[#This Row],[Profit B]]+cadangan3[[#This Row],[Profit C]])</f>
        <v>810000</v>
      </c>
      <c r="AJ388" s="35">
        <f>cadangan3[[#This Row],[Provit A + Diskon]]+cadangan3[[#This Row],[Provit B + Diskon]]+cadangan3[[#This Row],[Provit C + Diskon]]</f>
        <v>688500</v>
      </c>
      <c r="AK388" s="23" t="s">
        <v>13</v>
      </c>
      <c r="AL388" s="37">
        <f>IFERROR(INDEX('Kode Diskon'!$D$3:$D$9,MATCH(cadangan3[[#This Row],[Kode diskon]],'Kode Diskon'!$C$3:$C$9,0)),"-")</f>
        <v>0.15</v>
      </c>
      <c r="AM388" s="23" t="s">
        <v>29</v>
      </c>
      <c r="AN388" s="23" t="s">
        <v>7</v>
      </c>
      <c r="AO388" s="23" t="s">
        <v>80</v>
      </c>
      <c r="AP388" s="24">
        <v>45017</v>
      </c>
      <c r="AQ388" s="23" t="str">
        <f>TEXT(cadangan3[[#This Row],[Tanggal terjual]],"dddd")</f>
        <v>Saturday</v>
      </c>
    </row>
    <row r="389" spans="1:43" x14ac:dyDescent="0.2">
      <c r="A389" s="20">
        <v>388</v>
      </c>
      <c r="B389" s="21" t="str">
        <f>_xlfn.CONCAT("ORD-",INDEX(Helper!$B$2:$B$5,MATCH(cadangan3[[#This Row],[Marketplace]],Helper!$A$2:$A$5,0)),TEXT(cadangan3[[#This Row],[No]],"0000"),"-",TEXT(cadangan3[[#This Row],[Tanggal terjual]],"dd/mm/yy"))</f>
        <v>ORD-TK0388-20/04/23</v>
      </c>
      <c r="C389" t="s">
        <v>59</v>
      </c>
      <c r="D389" t="str">
        <f>IFERROR(INDEX(Katalog!$A$3:$A$12,MATCH(cadangan3[[#This Row],[ItemID A]],Katalog!$C$3:$C$12,0)),"-")</f>
        <v>Pakaian Wanita</v>
      </c>
      <c r="E389" t="str">
        <f>IFERROR(INDEX(Katalog!$B$3:$B$12,MATCH(cadangan3[[#This Row],[ItemID A]],Katalog!$C$3:$C$12,0)),"-")</f>
        <v>Blouse</v>
      </c>
      <c r="F389">
        <v>3</v>
      </c>
      <c r="G389">
        <v>5</v>
      </c>
      <c r="H389" s="36">
        <f>IFERROR(INDEX(Katalog!$D$3:$D$12,MATCH(cadangan3[[#This Row],[ItemID A]],Katalog!$C$3:$C$12,0))*cadangan3[[#This Row],[Qty A]],0)</f>
        <v>450000</v>
      </c>
      <c r="I389" s="36">
        <f>IFERROR(INDEX(Katalog!$D$3:$D$12,MATCH(cadangan3[[#This Row],[Item A]],Katalog!$B$3:$B$12,0))*cadangan3[[#This Row],[Qty A]],0)</f>
        <v>450000</v>
      </c>
      <c r="J389" s="36">
        <f>IFERROR(cadangan3[[#This Row],[Harga Asli A]]-(cadangan3[[#This Row],[Harga Asli A]]*cadangan3[[#This Row],[Diskon]]),cadangan3[[#This Row],[Harga Asli A]])</f>
        <v>405000</v>
      </c>
      <c r="K389" s="36">
        <f>INDEX(Katalog!$F$3:$F$12,MATCH(cadangan3[[#This Row],[ItemID A]],Katalog!$C$3:$C$12,0))*cadangan3[[#This Row],[Qty A]]</f>
        <v>150000</v>
      </c>
      <c r="L389" s="36">
        <f>IFERROR(cadangan3[[#This Row],[Profit A]]-(cadangan3[[#This Row],[Profit A]]*cadangan3[[#This Row],[Diskon]]),K389)</f>
        <v>135000</v>
      </c>
      <c r="N389" t="str">
        <f>IFERROR(INDEX(Katalog!$A$3:$A$12,MATCH(cadangan3[[#This Row],[ItemID B]],Katalog!$C$3:$C$12,0)),"-")</f>
        <v>-</v>
      </c>
      <c r="O389" t="str">
        <f>IFERROR(INDEX(Katalog!$B$3:$B$12,MATCH(cadangan3[[#This Row],[ItemID B]],Katalog!$C$3:$C$12,0)),"-")</f>
        <v>-</v>
      </c>
      <c r="R389" s="36">
        <f>IFERROR(INDEX(Katalog!$D$3:$D$12,MATCH(cadangan3[[#This Row],[ItemID B]],Katalog!$C$3:$C$12,0))*cadangan3[[#This Row],[Qty B]],0)</f>
        <v>0</v>
      </c>
      <c r="S389" s="36">
        <f>IFERROR(INDEX(Katalog!$D$3:$D$12,MATCH(cadangan3[[#This Row],[Item B]],Katalog!$B$3:$B$12,0))*cadangan3[[#This Row],[Qty B]],0)</f>
        <v>0</v>
      </c>
      <c r="T389" s="36">
        <f>IFERROR(cadangan3[[#This Row],[Harga Asli B]]-(cadangan3[[#This Row],[Harga Asli B]]*cadangan3[[#This Row],[Diskon]]),cadangan3[[#This Row],[Harga Asli B]])</f>
        <v>0</v>
      </c>
      <c r="U389" s="36">
        <f>IFERROR(INDEX(Katalog!$F$3:$F$12,MATCH(cadangan3[[#This Row],[ItemID B]],Katalog!$C$3:$C$12,0))*cadangan3[[#This Row],[Qty B]],0)</f>
        <v>0</v>
      </c>
      <c r="V389" s="36">
        <f>IFERROR(cadangan3[[#This Row],[Profit B]]-(cadangan3[[#This Row],[Profit B]]*cadangan3[[#This Row],[Diskon]]),U389)</f>
        <v>0</v>
      </c>
      <c r="X389" t="str">
        <f>IFERROR(INDEX(Katalog!$A$3:$A$12,MATCH(cadangan3[[#This Row],[ItemID C]],Katalog!$C$3:$C$12,0)),"-")</f>
        <v>-</v>
      </c>
      <c r="Y389" t="str">
        <f>IFERROR(INDEX(Katalog!$B$3:$B$12,MATCH(cadangan3[[#This Row],[ItemID C]],Katalog!$C$3:$C$12,0)),"-")</f>
        <v>-</v>
      </c>
      <c r="AB389" s="36">
        <f>IFERROR(INDEX(Katalog!$D$3:$D$12,MATCH(cadangan3[[#This Row],[ItemID C]],Katalog!$C$3:$C$12,0))*cadangan3[[#This Row],[Qty C]],0)</f>
        <v>0</v>
      </c>
      <c r="AC389" s="36">
        <f>IFERROR(INDEX(Katalog!$D$3:$D$12,MATCH(cadangan3[[#This Row],[Item C]],Katalog!$B$3:$B$12,0))*cadangan3[[#This Row],[Qty C]],0)</f>
        <v>0</v>
      </c>
      <c r="AD389" s="36">
        <f>IFERROR(cadangan3[[#This Row],[Harga Asli C]]-(cadangan3[[#This Row],[Harga Asli C]]*cadangan3[[#This Row],[Diskon]]),cadangan3[[#This Row],[Harga Asli C]])</f>
        <v>0</v>
      </c>
      <c r="AE389" s="36">
        <f>IFERROR(INDEX(Katalog!$F$3:$F$12,MATCH(cadangan3[[#This Row],[ItemID C]],Katalog!$C$3:$C$12,0))*cadangan3[[#This Row],[Qty C]],0)</f>
        <v>0</v>
      </c>
      <c r="AF389" s="36">
        <f>IFERROR(cadangan3[[#This Row],[Profit C]]-(cadangan3[[#This Row],[Profit C]]*cadangan3[[#This Row],[Diskon]]),cadangan3[[#This Row],[Profit C]])</f>
        <v>0</v>
      </c>
      <c r="AG389" s="21">
        <f>cadangan3[[#This Row],[Qty A]]+cadangan3[[#This Row],[Qty B]]+cadangan3[[#This Row],[Qty C]]</f>
        <v>3</v>
      </c>
      <c r="AH389" s="35">
        <f>cadangan3[[#This Row],[Harga A + Diskon]]+cadangan3[[#This Row],[Harga + Diskon B]]+cadangan3[[#This Row],[Harga + Diskon C]]</f>
        <v>405000</v>
      </c>
      <c r="AI389" s="35">
        <f>(cadangan3[[#This Row],[Profit A]]+cadangan3[[#This Row],[Profit B]]+cadangan3[[#This Row],[Profit C]])</f>
        <v>150000</v>
      </c>
      <c r="AJ389" s="35">
        <f>cadangan3[[#This Row],[Provit A + Diskon]]+cadangan3[[#This Row],[Provit B + Diskon]]+cadangan3[[#This Row],[Provit C + Diskon]]</f>
        <v>135000</v>
      </c>
      <c r="AK389" s="23" t="s">
        <v>31</v>
      </c>
      <c r="AL389" s="37">
        <f>IFERROR(INDEX('Kode Diskon'!$D$3:$D$9,MATCH(cadangan3[[#This Row],[Kode diskon]],'Kode Diskon'!$C$3:$C$9,0)),"-")</f>
        <v>0.1</v>
      </c>
      <c r="AM389" s="23" t="s">
        <v>9</v>
      </c>
      <c r="AN389" s="23" t="s">
        <v>10</v>
      </c>
      <c r="AO389" s="23" t="s">
        <v>77</v>
      </c>
      <c r="AP389" s="24">
        <v>45036</v>
      </c>
      <c r="AQ389" s="23" t="str">
        <f>TEXT(cadangan3[[#This Row],[Tanggal terjual]],"dddd")</f>
        <v>Thursday</v>
      </c>
    </row>
    <row r="390" spans="1:43" x14ac:dyDescent="0.2">
      <c r="A390" s="20">
        <v>389</v>
      </c>
      <c r="B390" s="21" t="str">
        <f>_xlfn.CONCAT("ORD-",INDEX(Helper!$B$2:$B$5,MATCH(cadangan3[[#This Row],[Marketplace]],Helper!$A$2:$A$5,0)),TEXT(cadangan3[[#This Row],[No]],"0000"),"-",TEXT(cadangan3[[#This Row],[Tanggal terjual]],"dd/mm/yy"))</f>
        <v>ORD-BL0389-10/04/23</v>
      </c>
      <c r="C390" t="s">
        <v>66</v>
      </c>
      <c r="D390" t="str">
        <f>IFERROR(INDEX(Katalog!$A$3:$A$12,MATCH(cadangan3[[#This Row],[ItemID A]],Katalog!$C$3:$C$12,0)),"-")</f>
        <v>Sepatu Pria</v>
      </c>
      <c r="E390" t="str">
        <f>IFERROR(INDEX(Katalog!$B$3:$B$12,MATCH(cadangan3[[#This Row],[ItemID A]],Katalog!$C$3:$C$12,0)),"-")</f>
        <v>Sandal Slip On</v>
      </c>
      <c r="F390">
        <v>3</v>
      </c>
      <c r="G390">
        <v>2</v>
      </c>
      <c r="H390" s="36">
        <f>IFERROR(INDEX(Katalog!$D$3:$D$12,MATCH(cadangan3[[#This Row],[ItemID A]],Katalog!$C$3:$C$12,0))*cadangan3[[#This Row],[Qty A]],0)</f>
        <v>450000</v>
      </c>
      <c r="I390" s="36">
        <f>IFERROR(INDEX(Katalog!$D$3:$D$12,MATCH(cadangan3[[#This Row],[Item A]],Katalog!$B$3:$B$12,0))*cadangan3[[#This Row],[Qty A]],0)</f>
        <v>450000</v>
      </c>
      <c r="J390" s="36">
        <f>IFERROR(cadangan3[[#This Row],[Harga Asli A]]-(cadangan3[[#This Row],[Harga Asli A]]*cadangan3[[#This Row],[Diskon]]),cadangan3[[#This Row],[Harga Asli A]])</f>
        <v>450000</v>
      </c>
      <c r="K390" s="36">
        <f>INDEX(Katalog!$F$3:$F$12,MATCH(cadangan3[[#This Row],[ItemID A]],Katalog!$C$3:$C$12,0))*cadangan3[[#This Row],[Qty A]]</f>
        <v>180000</v>
      </c>
      <c r="L390" s="36">
        <f>IFERROR(cadangan3[[#This Row],[Profit A]]-(cadangan3[[#This Row],[Profit A]]*cadangan3[[#This Row],[Diskon]]),K390)</f>
        <v>180000</v>
      </c>
      <c r="N390" t="str">
        <f>IFERROR(INDEX(Katalog!$A$3:$A$12,MATCH(cadangan3[[#This Row],[ItemID B]],Katalog!$C$3:$C$12,0)),"-")</f>
        <v>-</v>
      </c>
      <c r="O390" t="str">
        <f>IFERROR(INDEX(Katalog!$B$3:$B$12,MATCH(cadangan3[[#This Row],[ItemID B]],Katalog!$C$3:$C$12,0)),"-")</f>
        <v>-</v>
      </c>
      <c r="R390" s="36">
        <f>IFERROR(INDEX(Katalog!$D$3:$D$12,MATCH(cadangan3[[#This Row],[ItemID B]],Katalog!$C$3:$C$12,0))*cadangan3[[#This Row],[Qty B]],0)</f>
        <v>0</v>
      </c>
      <c r="S390" s="36">
        <f>IFERROR(INDEX(Katalog!$D$3:$D$12,MATCH(cadangan3[[#This Row],[Item B]],Katalog!$B$3:$B$12,0))*cadangan3[[#This Row],[Qty B]],0)</f>
        <v>0</v>
      </c>
      <c r="T390" s="36">
        <f>IFERROR(cadangan3[[#This Row],[Harga Asli B]]-(cadangan3[[#This Row],[Harga Asli B]]*cadangan3[[#This Row],[Diskon]]),cadangan3[[#This Row],[Harga Asli B]])</f>
        <v>0</v>
      </c>
      <c r="U390" s="36">
        <f>IFERROR(INDEX(Katalog!$F$3:$F$12,MATCH(cadangan3[[#This Row],[ItemID B]],Katalog!$C$3:$C$12,0))*cadangan3[[#This Row],[Qty B]],0)</f>
        <v>0</v>
      </c>
      <c r="V390" s="36">
        <f>IFERROR(cadangan3[[#This Row],[Profit B]]-(cadangan3[[#This Row],[Profit B]]*cadangan3[[#This Row],[Diskon]]),U390)</f>
        <v>0</v>
      </c>
      <c r="X390" t="str">
        <f>IFERROR(INDEX(Katalog!$A$3:$A$12,MATCH(cadangan3[[#This Row],[ItemID C]],Katalog!$C$3:$C$12,0)),"-")</f>
        <v>-</v>
      </c>
      <c r="Y390" t="str">
        <f>IFERROR(INDEX(Katalog!$B$3:$B$12,MATCH(cadangan3[[#This Row],[ItemID C]],Katalog!$C$3:$C$12,0)),"-")</f>
        <v>-</v>
      </c>
      <c r="AB390" s="36">
        <f>IFERROR(INDEX(Katalog!$D$3:$D$12,MATCH(cadangan3[[#This Row],[ItemID C]],Katalog!$C$3:$C$12,0))*cadangan3[[#This Row],[Qty C]],0)</f>
        <v>0</v>
      </c>
      <c r="AC390" s="36">
        <f>IFERROR(INDEX(Katalog!$D$3:$D$12,MATCH(cadangan3[[#This Row],[Item C]],Katalog!$B$3:$B$12,0))*cadangan3[[#This Row],[Qty C]],0)</f>
        <v>0</v>
      </c>
      <c r="AD390" s="36">
        <f>IFERROR(cadangan3[[#This Row],[Harga Asli C]]-(cadangan3[[#This Row],[Harga Asli C]]*cadangan3[[#This Row],[Diskon]]),cadangan3[[#This Row],[Harga Asli C]])</f>
        <v>0</v>
      </c>
      <c r="AE390" s="36">
        <f>IFERROR(INDEX(Katalog!$F$3:$F$12,MATCH(cadangan3[[#This Row],[ItemID C]],Katalog!$C$3:$C$12,0))*cadangan3[[#This Row],[Qty C]],0)</f>
        <v>0</v>
      </c>
      <c r="AF390" s="36">
        <f>IFERROR(cadangan3[[#This Row],[Profit C]]-(cadangan3[[#This Row],[Profit C]]*cadangan3[[#This Row],[Diskon]]),cadangan3[[#This Row],[Profit C]])</f>
        <v>0</v>
      </c>
      <c r="AG390" s="21">
        <f>cadangan3[[#This Row],[Qty A]]+cadangan3[[#This Row],[Qty B]]+cadangan3[[#This Row],[Qty C]]</f>
        <v>3</v>
      </c>
      <c r="AH390" s="35">
        <f>cadangan3[[#This Row],[Harga A + Diskon]]+cadangan3[[#This Row],[Harga + Diskon B]]+cadangan3[[#This Row],[Harga + Diskon C]]</f>
        <v>450000</v>
      </c>
      <c r="AI390" s="35">
        <f>(cadangan3[[#This Row],[Profit A]]+cadangan3[[#This Row],[Profit B]]+cadangan3[[#This Row],[Profit C]])</f>
        <v>180000</v>
      </c>
      <c r="AJ390" s="35">
        <f>cadangan3[[#This Row],[Provit A + Diskon]]+cadangan3[[#This Row],[Provit B + Diskon]]+cadangan3[[#This Row],[Provit C + Diskon]]</f>
        <v>180000</v>
      </c>
      <c r="AK390" s="23" t="s">
        <v>11</v>
      </c>
      <c r="AL390" s="37" t="str">
        <f>IFERROR(INDEX('Kode Diskon'!$D$3:$D$9,MATCH(cadangan3[[#This Row],[Kode diskon]],'Kode Diskon'!$C$3:$C$9,0)),"-")</f>
        <v>-</v>
      </c>
      <c r="AM390" s="23" t="s">
        <v>11</v>
      </c>
      <c r="AN390" s="23" t="s">
        <v>12</v>
      </c>
      <c r="AO390" s="23" t="s">
        <v>80</v>
      </c>
      <c r="AP390" s="24">
        <v>45026</v>
      </c>
      <c r="AQ390" s="23" t="str">
        <f>TEXT(cadangan3[[#This Row],[Tanggal terjual]],"dddd")</f>
        <v>Monday</v>
      </c>
    </row>
    <row r="391" spans="1:43" x14ac:dyDescent="0.2">
      <c r="A391" s="20">
        <v>390</v>
      </c>
      <c r="B391" s="21" t="str">
        <f>_xlfn.CONCAT("ORD-",INDEX(Helper!$B$2:$B$5,MATCH(cadangan3[[#This Row],[Marketplace]],Helper!$A$2:$A$5,0)),TEXT(cadangan3[[#This Row],[No]],"0000"),"-",TEXT(cadangan3[[#This Row],[Tanggal terjual]],"dd/mm/yy"))</f>
        <v>ORD-SP0390-02/04/23</v>
      </c>
      <c r="C391" t="s">
        <v>60</v>
      </c>
      <c r="D391" t="str">
        <f>IFERROR(INDEX(Katalog!$A$3:$A$12,MATCH(cadangan3[[#This Row],[ItemID A]],Katalog!$C$3:$C$12,0)),"-")</f>
        <v>Pakaian Wanita</v>
      </c>
      <c r="E391" t="str">
        <f>IFERROR(INDEX(Katalog!$B$3:$B$12,MATCH(cadangan3[[#This Row],[ItemID A]],Katalog!$C$3:$C$12,0)),"-")</f>
        <v>Kaftan</v>
      </c>
      <c r="F391">
        <v>2</v>
      </c>
      <c r="G391">
        <v>1</v>
      </c>
      <c r="H391" s="36">
        <f>IFERROR(INDEX(Katalog!$D$3:$D$12,MATCH(cadangan3[[#This Row],[ItemID A]],Katalog!$C$3:$C$12,0))*cadangan3[[#This Row],[Qty A]],0)</f>
        <v>500000</v>
      </c>
      <c r="I391" s="36">
        <f>IFERROR(INDEX(Katalog!$D$3:$D$12,MATCH(cadangan3[[#This Row],[Item A]],Katalog!$B$3:$B$12,0))*cadangan3[[#This Row],[Qty A]],0)</f>
        <v>500000</v>
      </c>
      <c r="J391" s="36">
        <f>IFERROR(cadangan3[[#This Row],[Harga Asli A]]-(cadangan3[[#This Row],[Harga Asli A]]*cadangan3[[#This Row],[Diskon]]),cadangan3[[#This Row],[Harga Asli A]])</f>
        <v>425000</v>
      </c>
      <c r="K391" s="36">
        <f>INDEX(Katalog!$F$3:$F$12,MATCH(cadangan3[[#This Row],[ItemID A]],Katalog!$C$3:$C$12,0))*cadangan3[[#This Row],[Qty A]]</f>
        <v>200000</v>
      </c>
      <c r="L391" s="36">
        <f>IFERROR(cadangan3[[#This Row],[Profit A]]-(cadangan3[[#This Row],[Profit A]]*cadangan3[[#This Row],[Diskon]]),K391)</f>
        <v>170000</v>
      </c>
      <c r="N391" t="str">
        <f>IFERROR(INDEX(Katalog!$A$3:$A$12,MATCH(cadangan3[[#This Row],[ItemID B]],Katalog!$C$3:$C$12,0)),"-")</f>
        <v>-</v>
      </c>
      <c r="O391" t="str">
        <f>IFERROR(INDEX(Katalog!$B$3:$B$12,MATCH(cadangan3[[#This Row],[ItemID B]],Katalog!$C$3:$C$12,0)),"-")</f>
        <v>-</v>
      </c>
      <c r="R391" s="36">
        <f>IFERROR(INDEX(Katalog!$D$3:$D$12,MATCH(cadangan3[[#This Row],[ItemID B]],Katalog!$C$3:$C$12,0))*cadangan3[[#This Row],[Qty B]],0)</f>
        <v>0</v>
      </c>
      <c r="S391" s="36">
        <f>IFERROR(INDEX(Katalog!$D$3:$D$12,MATCH(cadangan3[[#This Row],[Item B]],Katalog!$B$3:$B$12,0))*cadangan3[[#This Row],[Qty B]],0)</f>
        <v>0</v>
      </c>
      <c r="T391" s="36">
        <f>IFERROR(cadangan3[[#This Row],[Harga Asli B]]-(cadangan3[[#This Row],[Harga Asli B]]*cadangan3[[#This Row],[Diskon]]),cadangan3[[#This Row],[Harga Asli B]])</f>
        <v>0</v>
      </c>
      <c r="U391" s="36">
        <f>IFERROR(INDEX(Katalog!$F$3:$F$12,MATCH(cadangan3[[#This Row],[ItemID B]],Katalog!$C$3:$C$12,0))*cadangan3[[#This Row],[Qty B]],0)</f>
        <v>0</v>
      </c>
      <c r="V391" s="36">
        <f>IFERROR(cadangan3[[#This Row],[Profit B]]-(cadangan3[[#This Row],[Profit B]]*cadangan3[[#This Row],[Diskon]]),U391)</f>
        <v>0</v>
      </c>
      <c r="X391" t="str">
        <f>IFERROR(INDEX(Katalog!$A$3:$A$12,MATCH(cadangan3[[#This Row],[ItemID C]],Katalog!$C$3:$C$12,0)),"-")</f>
        <v>-</v>
      </c>
      <c r="Y391" t="str">
        <f>IFERROR(INDEX(Katalog!$B$3:$B$12,MATCH(cadangan3[[#This Row],[ItemID C]],Katalog!$C$3:$C$12,0)),"-")</f>
        <v>-</v>
      </c>
      <c r="AB391" s="36">
        <f>IFERROR(INDEX(Katalog!$D$3:$D$12,MATCH(cadangan3[[#This Row],[ItemID C]],Katalog!$C$3:$C$12,0))*cadangan3[[#This Row],[Qty C]],0)</f>
        <v>0</v>
      </c>
      <c r="AC391" s="36">
        <f>IFERROR(INDEX(Katalog!$D$3:$D$12,MATCH(cadangan3[[#This Row],[Item C]],Katalog!$B$3:$B$12,0))*cadangan3[[#This Row],[Qty C]],0)</f>
        <v>0</v>
      </c>
      <c r="AD391" s="36">
        <f>IFERROR(cadangan3[[#This Row],[Harga Asli C]]-(cadangan3[[#This Row],[Harga Asli C]]*cadangan3[[#This Row],[Diskon]]),cadangan3[[#This Row],[Harga Asli C]])</f>
        <v>0</v>
      </c>
      <c r="AE391" s="36">
        <f>IFERROR(INDEX(Katalog!$F$3:$F$12,MATCH(cadangan3[[#This Row],[ItemID C]],Katalog!$C$3:$C$12,0))*cadangan3[[#This Row],[Qty C]],0)</f>
        <v>0</v>
      </c>
      <c r="AF391" s="36">
        <f>IFERROR(cadangan3[[#This Row],[Profit C]]-(cadangan3[[#This Row],[Profit C]]*cadangan3[[#This Row],[Diskon]]),cadangan3[[#This Row],[Profit C]])</f>
        <v>0</v>
      </c>
      <c r="AG391" s="21">
        <f>cadangan3[[#This Row],[Qty A]]+cadangan3[[#This Row],[Qty B]]+cadangan3[[#This Row],[Qty C]]</f>
        <v>2</v>
      </c>
      <c r="AH391" s="35">
        <f>cadangan3[[#This Row],[Harga A + Diskon]]+cadangan3[[#This Row],[Harga + Diskon B]]+cadangan3[[#This Row],[Harga + Diskon C]]</f>
        <v>425000</v>
      </c>
      <c r="AI391" s="35">
        <f>(cadangan3[[#This Row],[Profit A]]+cadangan3[[#This Row],[Profit B]]+cadangan3[[#This Row],[Profit C]])</f>
        <v>200000</v>
      </c>
      <c r="AJ391" s="35">
        <f>cadangan3[[#This Row],[Provit A + Diskon]]+cadangan3[[#This Row],[Provit B + Diskon]]+cadangan3[[#This Row],[Provit C + Diskon]]</f>
        <v>170000</v>
      </c>
      <c r="AK391" s="23" t="s">
        <v>13</v>
      </c>
      <c r="AL391" s="37">
        <f>IFERROR(INDEX('Kode Diskon'!$D$3:$D$9,MATCH(cadangan3[[#This Row],[Kode diskon]],'Kode Diskon'!$C$3:$C$9,0)),"-")</f>
        <v>0.15</v>
      </c>
      <c r="AM391" s="23" t="s">
        <v>29</v>
      </c>
      <c r="AN391" s="23" t="s">
        <v>7</v>
      </c>
      <c r="AO391" s="23" t="s">
        <v>80</v>
      </c>
      <c r="AP391" s="24">
        <v>45018</v>
      </c>
      <c r="AQ391" s="23" t="str">
        <f>TEXT(cadangan3[[#This Row],[Tanggal terjual]],"dddd")</f>
        <v>Sunday</v>
      </c>
    </row>
    <row r="392" spans="1:43" x14ac:dyDescent="0.2">
      <c r="A392" s="20">
        <v>391</v>
      </c>
      <c r="B392" s="21" t="str">
        <f>_xlfn.CONCAT("ORD-",INDEX(Helper!$B$2:$B$5,MATCH(cadangan3[[#This Row],[Marketplace]],Helper!$A$2:$A$5,0)),TEXT(cadangan3[[#This Row],[No]],"0000"),"-",TEXT(cadangan3[[#This Row],[Tanggal terjual]],"dd/mm/yy"))</f>
        <v>ORD-BB0391-14/04/23</v>
      </c>
      <c r="C392" t="s">
        <v>60</v>
      </c>
      <c r="D392" t="str">
        <f>IFERROR(INDEX(Katalog!$A$3:$A$12,MATCH(cadangan3[[#This Row],[ItemID A]],Katalog!$C$3:$C$12,0)),"-")</f>
        <v>Pakaian Wanita</v>
      </c>
      <c r="E392" t="str">
        <f>IFERROR(INDEX(Katalog!$B$3:$B$12,MATCH(cadangan3[[#This Row],[ItemID A]],Katalog!$C$3:$C$12,0)),"-")</f>
        <v>Kaftan</v>
      </c>
      <c r="F392">
        <v>2</v>
      </c>
      <c r="G392">
        <v>1</v>
      </c>
      <c r="H392" s="36">
        <f>IFERROR(INDEX(Katalog!$D$3:$D$12,MATCH(cadangan3[[#This Row],[ItemID A]],Katalog!$C$3:$C$12,0))*cadangan3[[#This Row],[Qty A]],0)</f>
        <v>500000</v>
      </c>
      <c r="I392" s="36">
        <f>IFERROR(INDEX(Katalog!$D$3:$D$12,MATCH(cadangan3[[#This Row],[Item A]],Katalog!$B$3:$B$12,0))*cadangan3[[#This Row],[Qty A]],0)</f>
        <v>500000</v>
      </c>
      <c r="J392" s="36">
        <f>IFERROR(cadangan3[[#This Row],[Harga Asli A]]-(cadangan3[[#This Row],[Harga Asli A]]*cadangan3[[#This Row],[Diskon]]),cadangan3[[#This Row],[Harga Asli A]])</f>
        <v>500000</v>
      </c>
      <c r="K392" s="36">
        <f>INDEX(Katalog!$F$3:$F$12,MATCH(cadangan3[[#This Row],[ItemID A]],Katalog!$C$3:$C$12,0))*cadangan3[[#This Row],[Qty A]]</f>
        <v>200000</v>
      </c>
      <c r="L392" s="36">
        <f>IFERROR(cadangan3[[#This Row],[Profit A]]-(cadangan3[[#This Row],[Profit A]]*cadangan3[[#This Row],[Diskon]]),K392)</f>
        <v>200000</v>
      </c>
      <c r="M392" t="s">
        <v>59</v>
      </c>
      <c r="N392" t="str">
        <f>IFERROR(INDEX(Katalog!$A$3:$A$12,MATCH(cadangan3[[#This Row],[ItemID B]],Katalog!$C$3:$C$12,0)),"-")</f>
        <v>Pakaian Wanita</v>
      </c>
      <c r="O392" t="str">
        <f>IFERROR(INDEX(Katalog!$B$3:$B$12,MATCH(cadangan3[[#This Row],[ItemID B]],Katalog!$C$3:$C$12,0)),"-")</f>
        <v>Blouse</v>
      </c>
      <c r="P392">
        <v>1</v>
      </c>
      <c r="Q392">
        <v>5</v>
      </c>
      <c r="R392" s="36">
        <f>IFERROR(INDEX(Katalog!$D$3:$D$12,MATCH(cadangan3[[#This Row],[ItemID B]],Katalog!$C$3:$C$12,0))*cadangan3[[#This Row],[Qty B]],0)</f>
        <v>150000</v>
      </c>
      <c r="S392" s="36">
        <f>IFERROR(INDEX(Katalog!$D$3:$D$12,MATCH(cadangan3[[#This Row],[Item B]],Katalog!$B$3:$B$12,0))*cadangan3[[#This Row],[Qty B]],0)</f>
        <v>150000</v>
      </c>
      <c r="T392" s="36">
        <f>IFERROR(cadangan3[[#This Row],[Harga Asli B]]-(cadangan3[[#This Row],[Harga Asli B]]*cadangan3[[#This Row],[Diskon]]),cadangan3[[#This Row],[Harga Asli B]])</f>
        <v>150000</v>
      </c>
      <c r="U392" s="36">
        <f>IFERROR(INDEX(Katalog!$F$3:$F$12,MATCH(cadangan3[[#This Row],[ItemID B]],Katalog!$C$3:$C$12,0))*cadangan3[[#This Row],[Qty B]],0)</f>
        <v>50000</v>
      </c>
      <c r="V392" s="36">
        <f>IFERROR(cadangan3[[#This Row],[Profit B]]-(cadangan3[[#This Row],[Profit B]]*cadangan3[[#This Row],[Diskon]]),U392)</f>
        <v>50000</v>
      </c>
      <c r="W392" t="s">
        <v>58</v>
      </c>
      <c r="X392" t="str">
        <f>IFERROR(INDEX(Katalog!$A$3:$A$12,MATCH(cadangan3[[#This Row],[ItemID C]],Katalog!$C$3:$C$12,0)),"-")</f>
        <v>Pakaian Wanita</v>
      </c>
      <c r="Y392" t="str">
        <f>IFERROR(INDEX(Katalog!$B$3:$B$12,MATCH(cadangan3[[#This Row],[ItemID C]],Katalog!$C$3:$C$12,0)),"-")</f>
        <v>Dress</v>
      </c>
      <c r="Z392">
        <v>2</v>
      </c>
      <c r="AA392">
        <v>3</v>
      </c>
      <c r="AB392" s="36">
        <f>IFERROR(INDEX(Katalog!$D$3:$D$12,MATCH(cadangan3[[#This Row],[ItemID C]],Katalog!$C$3:$C$12,0))*cadangan3[[#This Row],[Qty C]],0)</f>
        <v>600000</v>
      </c>
      <c r="AC392" s="36">
        <f>IFERROR(INDEX(Katalog!$D$3:$D$12,MATCH(cadangan3[[#This Row],[Item C]],Katalog!$B$3:$B$12,0))*cadangan3[[#This Row],[Qty C]],0)</f>
        <v>600000</v>
      </c>
      <c r="AD392" s="36">
        <f>IFERROR(cadangan3[[#This Row],[Harga Asli C]]-(cadangan3[[#This Row],[Harga Asli C]]*cadangan3[[#This Row],[Diskon]]),cadangan3[[#This Row],[Harga Asli C]])</f>
        <v>600000</v>
      </c>
      <c r="AE392" s="36">
        <f>IFERROR(INDEX(Katalog!$F$3:$F$12,MATCH(cadangan3[[#This Row],[ItemID C]],Katalog!$C$3:$C$12,0))*cadangan3[[#This Row],[Qty C]],0)</f>
        <v>200000</v>
      </c>
      <c r="AF392" s="36">
        <f>IFERROR(cadangan3[[#This Row],[Profit C]]-(cadangan3[[#This Row],[Profit C]]*cadangan3[[#This Row],[Diskon]]),cadangan3[[#This Row],[Profit C]])</f>
        <v>200000</v>
      </c>
      <c r="AG392" s="21">
        <f>cadangan3[[#This Row],[Qty A]]+cadangan3[[#This Row],[Qty B]]+cadangan3[[#This Row],[Qty C]]</f>
        <v>5</v>
      </c>
      <c r="AH392" s="35">
        <f>cadangan3[[#This Row],[Harga A + Diskon]]+cadangan3[[#This Row],[Harga + Diskon B]]+cadangan3[[#This Row],[Harga + Diskon C]]</f>
        <v>1250000</v>
      </c>
      <c r="AI392" s="35">
        <f>(cadangan3[[#This Row],[Profit A]]+cadangan3[[#This Row],[Profit B]]+cadangan3[[#This Row],[Profit C]])</f>
        <v>450000</v>
      </c>
      <c r="AJ392" s="35">
        <f>cadangan3[[#This Row],[Provit A + Diskon]]+cadangan3[[#This Row],[Provit B + Diskon]]+cadangan3[[#This Row],[Provit C + Diskon]]</f>
        <v>450000</v>
      </c>
      <c r="AK392" s="23" t="s">
        <v>11</v>
      </c>
      <c r="AL392" s="37" t="str">
        <f>IFERROR(INDEX('Kode Diskon'!$D$3:$D$9,MATCH(cadangan3[[#This Row],[Kode diskon]],'Kode Diskon'!$C$3:$C$9,0)),"-")</f>
        <v>-</v>
      </c>
      <c r="AM392" s="23" t="s">
        <v>11</v>
      </c>
      <c r="AN392" s="23" t="s">
        <v>14</v>
      </c>
      <c r="AO392" s="23" t="s">
        <v>80</v>
      </c>
      <c r="AP392" s="24">
        <v>45030</v>
      </c>
      <c r="AQ392" s="23" t="str">
        <f>TEXT(cadangan3[[#This Row],[Tanggal terjual]],"dddd")</f>
        <v>Friday</v>
      </c>
    </row>
    <row r="393" spans="1:43" x14ac:dyDescent="0.2">
      <c r="A393" s="20">
        <v>392</v>
      </c>
      <c r="B393" s="21" t="str">
        <f>_xlfn.CONCAT("ORD-",INDEX(Helper!$B$2:$B$5,MATCH(cadangan3[[#This Row],[Marketplace]],Helper!$A$2:$A$5,0)),TEXT(cadangan3[[#This Row],[No]],"0000"),"-",TEXT(cadangan3[[#This Row],[Tanggal terjual]],"dd/mm/yy"))</f>
        <v>ORD-SP0392-22/04/23</v>
      </c>
      <c r="C393" t="s">
        <v>62</v>
      </c>
      <c r="D393" t="str">
        <f>IFERROR(INDEX(Katalog!$A$3:$A$12,MATCH(cadangan3[[#This Row],[ItemID A]],Katalog!$C$3:$C$12,0)),"-")</f>
        <v>Pakaian Pria</v>
      </c>
      <c r="E393" t="str">
        <f>IFERROR(INDEX(Katalog!$B$3:$B$12,MATCH(cadangan3[[#This Row],[ItemID A]],Katalog!$C$3:$C$12,0)),"-")</f>
        <v>Celana Pendek</v>
      </c>
      <c r="F393">
        <v>1</v>
      </c>
      <c r="G393">
        <v>4</v>
      </c>
      <c r="H393" s="36">
        <f>IFERROR(INDEX(Katalog!$D$3:$D$12,MATCH(cadangan3[[#This Row],[ItemID A]],Katalog!$C$3:$C$12,0))*cadangan3[[#This Row],[Qty A]],0)</f>
        <v>180000</v>
      </c>
      <c r="I393" s="36">
        <f>IFERROR(INDEX(Katalog!$D$3:$D$12,MATCH(cadangan3[[#This Row],[Item A]],Katalog!$B$3:$B$12,0))*cadangan3[[#This Row],[Qty A]],0)</f>
        <v>180000</v>
      </c>
      <c r="J393" s="36">
        <f>IFERROR(cadangan3[[#This Row],[Harga Asli A]]-(cadangan3[[#This Row],[Harga Asli A]]*cadangan3[[#This Row],[Diskon]]),cadangan3[[#This Row],[Harga Asli A]])</f>
        <v>144000</v>
      </c>
      <c r="K393" s="36">
        <f>INDEX(Katalog!$F$3:$F$12,MATCH(cadangan3[[#This Row],[ItemID A]],Katalog!$C$3:$C$12,0))*cadangan3[[#This Row],[Qty A]]</f>
        <v>70000</v>
      </c>
      <c r="L393" s="36">
        <f>IFERROR(cadangan3[[#This Row],[Profit A]]-(cadangan3[[#This Row],[Profit A]]*cadangan3[[#This Row],[Diskon]]),K393)</f>
        <v>56000</v>
      </c>
      <c r="N393" t="str">
        <f>IFERROR(INDEX(Katalog!$A$3:$A$12,MATCH(cadangan3[[#This Row],[ItemID B]],Katalog!$C$3:$C$12,0)),"-")</f>
        <v>-</v>
      </c>
      <c r="O393" t="str">
        <f>IFERROR(INDEX(Katalog!$B$3:$B$12,MATCH(cadangan3[[#This Row],[ItemID B]],Katalog!$C$3:$C$12,0)),"-")</f>
        <v>-</v>
      </c>
      <c r="R393" s="36">
        <f>IFERROR(INDEX(Katalog!$D$3:$D$12,MATCH(cadangan3[[#This Row],[ItemID B]],Katalog!$C$3:$C$12,0))*cadangan3[[#This Row],[Qty B]],0)</f>
        <v>0</v>
      </c>
      <c r="S393" s="36">
        <f>IFERROR(INDEX(Katalog!$D$3:$D$12,MATCH(cadangan3[[#This Row],[Item B]],Katalog!$B$3:$B$12,0))*cadangan3[[#This Row],[Qty B]],0)</f>
        <v>0</v>
      </c>
      <c r="T393" s="36">
        <f>IFERROR(cadangan3[[#This Row],[Harga Asli B]]-(cadangan3[[#This Row],[Harga Asli B]]*cadangan3[[#This Row],[Diskon]]),cadangan3[[#This Row],[Harga Asli B]])</f>
        <v>0</v>
      </c>
      <c r="U393" s="36">
        <f>IFERROR(INDEX(Katalog!$F$3:$F$12,MATCH(cadangan3[[#This Row],[ItemID B]],Katalog!$C$3:$C$12,0))*cadangan3[[#This Row],[Qty B]],0)</f>
        <v>0</v>
      </c>
      <c r="V393" s="36">
        <f>IFERROR(cadangan3[[#This Row],[Profit B]]-(cadangan3[[#This Row],[Profit B]]*cadangan3[[#This Row],[Diskon]]),U393)</f>
        <v>0</v>
      </c>
      <c r="X393" t="str">
        <f>IFERROR(INDEX(Katalog!$A$3:$A$12,MATCH(cadangan3[[#This Row],[ItemID C]],Katalog!$C$3:$C$12,0)),"-")</f>
        <v>-</v>
      </c>
      <c r="Y393" t="str">
        <f>IFERROR(INDEX(Katalog!$B$3:$B$12,MATCH(cadangan3[[#This Row],[ItemID C]],Katalog!$C$3:$C$12,0)),"-")</f>
        <v>-</v>
      </c>
      <c r="AB393" s="36">
        <f>IFERROR(INDEX(Katalog!$D$3:$D$12,MATCH(cadangan3[[#This Row],[ItemID C]],Katalog!$C$3:$C$12,0))*cadangan3[[#This Row],[Qty C]],0)</f>
        <v>0</v>
      </c>
      <c r="AC393" s="36">
        <f>IFERROR(INDEX(Katalog!$D$3:$D$12,MATCH(cadangan3[[#This Row],[Item C]],Katalog!$B$3:$B$12,0))*cadangan3[[#This Row],[Qty C]],0)</f>
        <v>0</v>
      </c>
      <c r="AD393" s="36">
        <f>IFERROR(cadangan3[[#This Row],[Harga Asli C]]-(cadangan3[[#This Row],[Harga Asli C]]*cadangan3[[#This Row],[Diskon]]),cadangan3[[#This Row],[Harga Asli C]])</f>
        <v>0</v>
      </c>
      <c r="AE393" s="36">
        <f>IFERROR(INDEX(Katalog!$F$3:$F$12,MATCH(cadangan3[[#This Row],[ItemID C]],Katalog!$C$3:$C$12,0))*cadangan3[[#This Row],[Qty C]],0)</f>
        <v>0</v>
      </c>
      <c r="AF393" s="36">
        <f>IFERROR(cadangan3[[#This Row],[Profit C]]-(cadangan3[[#This Row],[Profit C]]*cadangan3[[#This Row],[Diskon]]),cadangan3[[#This Row],[Profit C]])</f>
        <v>0</v>
      </c>
      <c r="AG393" s="21">
        <f>cadangan3[[#This Row],[Qty A]]+cadangan3[[#This Row],[Qty B]]+cadangan3[[#This Row],[Qty C]]</f>
        <v>1</v>
      </c>
      <c r="AH393" s="35">
        <f>cadangan3[[#This Row],[Harga A + Diskon]]+cadangan3[[#This Row],[Harga + Diskon B]]+cadangan3[[#This Row],[Harga + Diskon C]]</f>
        <v>144000</v>
      </c>
      <c r="AI393" s="35">
        <f>(cadangan3[[#This Row],[Profit A]]+cadangan3[[#This Row],[Profit B]]+cadangan3[[#This Row],[Profit C]])</f>
        <v>70000</v>
      </c>
      <c r="AJ393" s="35">
        <f>cadangan3[[#This Row],[Provit A + Diskon]]+cadangan3[[#This Row],[Provit B + Diskon]]+cadangan3[[#This Row],[Provit C + Diskon]]</f>
        <v>56000</v>
      </c>
      <c r="AK393" s="23" t="s">
        <v>8</v>
      </c>
      <c r="AL393" s="37">
        <f>IFERROR(INDEX('Kode Diskon'!$D$3:$D$9,MATCH(cadangan3[[#This Row],[Kode diskon]],'Kode Diskon'!$C$3:$C$9,0)),"-")</f>
        <v>0.2</v>
      </c>
      <c r="AM393" s="23" t="s">
        <v>9</v>
      </c>
      <c r="AN393" s="23" t="s">
        <v>7</v>
      </c>
      <c r="AO393" s="23" t="s">
        <v>75</v>
      </c>
      <c r="AP393" s="24">
        <v>45038</v>
      </c>
      <c r="AQ393" s="23" t="str">
        <f>TEXT(cadangan3[[#This Row],[Tanggal terjual]],"dddd")</f>
        <v>Saturday</v>
      </c>
    </row>
    <row r="394" spans="1:43" x14ac:dyDescent="0.2">
      <c r="A394" s="20">
        <v>393</v>
      </c>
      <c r="B394" s="21" t="str">
        <f>_xlfn.CONCAT("ORD-",INDEX(Helper!$B$2:$B$5,MATCH(cadangan3[[#This Row],[Marketplace]],Helper!$A$2:$A$5,0)),TEXT(cadangan3[[#This Row],[No]],"0000"),"-",TEXT(cadangan3[[#This Row],[Tanggal terjual]],"dd/mm/yy"))</f>
        <v>ORD-BL0393-22/04/23</v>
      </c>
      <c r="C394" t="s">
        <v>64</v>
      </c>
      <c r="D394" t="str">
        <f>IFERROR(INDEX(Katalog!$A$3:$A$12,MATCH(cadangan3[[#This Row],[ItemID A]],Katalog!$C$3:$C$12,0)),"-")</f>
        <v>Pakaian Unisex</v>
      </c>
      <c r="E394" t="str">
        <f>IFERROR(INDEX(Katalog!$B$3:$B$12,MATCH(cadangan3[[#This Row],[ItemID A]],Katalog!$C$3:$C$12,0)),"-")</f>
        <v>Jaket Hoodie</v>
      </c>
      <c r="F394">
        <v>4</v>
      </c>
      <c r="G394">
        <v>2</v>
      </c>
      <c r="H394" s="36">
        <f>IFERROR(INDEX(Katalog!$D$3:$D$12,MATCH(cadangan3[[#This Row],[ItemID A]],Katalog!$C$3:$C$12,0))*cadangan3[[#This Row],[Qty A]],0)</f>
        <v>1400000</v>
      </c>
      <c r="I394" s="36">
        <f>IFERROR(INDEX(Katalog!$D$3:$D$12,MATCH(cadangan3[[#This Row],[Item A]],Katalog!$B$3:$B$12,0))*cadangan3[[#This Row],[Qty A]],0)</f>
        <v>1400000</v>
      </c>
      <c r="J394" s="36">
        <f>IFERROR(cadangan3[[#This Row],[Harga Asli A]]-(cadangan3[[#This Row],[Harga Asli A]]*cadangan3[[#This Row],[Diskon]]),cadangan3[[#This Row],[Harga Asli A]])</f>
        <v>1190000</v>
      </c>
      <c r="K394" s="36">
        <f>INDEX(Katalog!$F$3:$F$12,MATCH(cadangan3[[#This Row],[ItemID A]],Katalog!$C$3:$C$12,0))*cadangan3[[#This Row],[Qty A]]</f>
        <v>520000</v>
      </c>
      <c r="L394" s="36">
        <f>IFERROR(cadangan3[[#This Row],[Profit A]]-(cadangan3[[#This Row],[Profit A]]*cadangan3[[#This Row],[Diskon]]),K394)</f>
        <v>442000</v>
      </c>
      <c r="M394" t="s">
        <v>63</v>
      </c>
      <c r="N394" t="str">
        <f>IFERROR(INDEX(Katalog!$A$3:$A$12,MATCH(cadangan3[[#This Row],[ItemID B]],Katalog!$C$3:$C$12,0)),"-")</f>
        <v>Pakaian Pria</v>
      </c>
      <c r="O394" t="str">
        <f>IFERROR(INDEX(Katalog!$B$3:$B$12,MATCH(cadangan3[[#This Row],[ItemID B]],Katalog!$C$3:$C$12,0)),"-")</f>
        <v>Jaket Jeans</v>
      </c>
      <c r="P394">
        <v>2</v>
      </c>
      <c r="Q394">
        <v>4</v>
      </c>
      <c r="R394" s="36">
        <f>IFERROR(INDEX(Katalog!$D$3:$D$12,MATCH(cadangan3[[#This Row],[ItemID B]],Katalog!$C$3:$C$12,0))*cadangan3[[#This Row],[Qty B]],0)</f>
        <v>800000</v>
      </c>
      <c r="S394" s="36">
        <f>IFERROR(INDEX(Katalog!$D$3:$D$12,MATCH(cadangan3[[#This Row],[Item B]],Katalog!$B$3:$B$12,0))*cadangan3[[#This Row],[Qty B]],0)</f>
        <v>800000</v>
      </c>
      <c r="T394" s="36">
        <f>IFERROR(cadangan3[[#This Row],[Harga Asli B]]-(cadangan3[[#This Row],[Harga Asli B]]*cadangan3[[#This Row],[Diskon]]),cadangan3[[#This Row],[Harga Asli B]])</f>
        <v>680000</v>
      </c>
      <c r="U394" s="36">
        <f>IFERROR(INDEX(Katalog!$F$3:$F$12,MATCH(cadangan3[[#This Row],[ItemID B]],Katalog!$C$3:$C$12,0))*cadangan3[[#This Row],[Qty B]],0)</f>
        <v>300000</v>
      </c>
      <c r="V394" s="36">
        <f>IFERROR(cadangan3[[#This Row],[Profit B]]-(cadangan3[[#This Row],[Profit B]]*cadangan3[[#This Row],[Diskon]]),U394)</f>
        <v>255000</v>
      </c>
      <c r="W394" t="s">
        <v>64</v>
      </c>
      <c r="X394" t="str">
        <f>IFERROR(INDEX(Katalog!$A$3:$A$12,MATCH(cadangan3[[#This Row],[ItemID C]],Katalog!$C$3:$C$12,0)),"-")</f>
        <v>Pakaian Unisex</v>
      </c>
      <c r="Y394" t="str">
        <f>IFERROR(INDEX(Katalog!$B$3:$B$12,MATCH(cadangan3[[#This Row],[ItemID C]],Katalog!$C$3:$C$12,0)),"-")</f>
        <v>Jaket Hoodie</v>
      </c>
      <c r="Z394">
        <v>1</v>
      </c>
      <c r="AA394">
        <v>5</v>
      </c>
      <c r="AB394" s="36">
        <f>IFERROR(INDEX(Katalog!$D$3:$D$12,MATCH(cadangan3[[#This Row],[ItemID C]],Katalog!$C$3:$C$12,0))*cadangan3[[#This Row],[Qty C]],0)</f>
        <v>350000</v>
      </c>
      <c r="AC394" s="36">
        <f>IFERROR(INDEX(Katalog!$D$3:$D$12,MATCH(cadangan3[[#This Row],[Item C]],Katalog!$B$3:$B$12,0))*cadangan3[[#This Row],[Qty C]],0)</f>
        <v>350000</v>
      </c>
      <c r="AD394" s="36">
        <f>IFERROR(cadangan3[[#This Row],[Harga Asli C]]-(cadangan3[[#This Row],[Harga Asli C]]*cadangan3[[#This Row],[Diskon]]),cadangan3[[#This Row],[Harga Asli C]])</f>
        <v>297500</v>
      </c>
      <c r="AE394" s="36">
        <f>IFERROR(INDEX(Katalog!$F$3:$F$12,MATCH(cadangan3[[#This Row],[ItemID C]],Katalog!$C$3:$C$12,0))*cadangan3[[#This Row],[Qty C]],0)</f>
        <v>130000</v>
      </c>
      <c r="AF394" s="36">
        <f>IFERROR(cadangan3[[#This Row],[Profit C]]-(cadangan3[[#This Row],[Profit C]]*cadangan3[[#This Row],[Diskon]]),cadangan3[[#This Row],[Profit C]])</f>
        <v>110500</v>
      </c>
      <c r="AG394" s="21">
        <f>cadangan3[[#This Row],[Qty A]]+cadangan3[[#This Row],[Qty B]]+cadangan3[[#This Row],[Qty C]]</f>
        <v>7</v>
      </c>
      <c r="AH394" s="35">
        <f>cadangan3[[#This Row],[Harga A + Diskon]]+cadangan3[[#This Row],[Harga + Diskon B]]+cadangan3[[#This Row],[Harga + Diskon C]]</f>
        <v>2167500</v>
      </c>
      <c r="AI394" s="35">
        <f>(cadangan3[[#This Row],[Profit A]]+cadangan3[[#This Row],[Profit B]]+cadangan3[[#This Row],[Profit C]])</f>
        <v>950000</v>
      </c>
      <c r="AJ394" s="35">
        <f>cadangan3[[#This Row],[Provit A + Diskon]]+cadangan3[[#This Row],[Provit B + Diskon]]+cadangan3[[#This Row],[Provit C + Diskon]]</f>
        <v>807500</v>
      </c>
      <c r="AK394" s="23" t="s">
        <v>32</v>
      </c>
      <c r="AL394" s="37">
        <f>IFERROR(INDEX('Kode Diskon'!$D$3:$D$9,MATCH(cadangan3[[#This Row],[Kode diskon]],'Kode Diskon'!$C$3:$C$9,0)),"-")</f>
        <v>0.15</v>
      </c>
      <c r="AM394" s="23" t="s">
        <v>9</v>
      </c>
      <c r="AN394" s="23" t="s">
        <v>12</v>
      </c>
      <c r="AO394" s="23" t="s">
        <v>76</v>
      </c>
      <c r="AP394" s="24">
        <v>45038</v>
      </c>
      <c r="AQ394" s="23" t="str">
        <f>TEXT(cadangan3[[#This Row],[Tanggal terjual]],"dddd")</f>
        <v>Saturday</v>
      </c>
    </row>
    <row r="395" spans="1:43" x14ac:dyDescent="0.2">
      <c r="A395" s="20">
        <v>394</v>
      </c>
      <c r="B395" s="21" t="str">
        <f>_xlfn.CONCAT("ORD-",INDEX(Helper!$B$2:$B$5,MATCH(cadangan3[[#This Row],[Marketplace]],Helper!$A$2:$A$5,0)),TEXT(cadangan3[[#This Row],[No]],"0000"),"-",TEXT(cadangan3[[#This Row],[Tanggal terjual]],"dd/mm/yy"))</f>
        <v>ORD-TK0394-03/04/23</v>
      </c>
      <c r="C395" t="s">
        <v>62</v>
      </c>
      <c r="D395" t="str">
        <f>IFERROR(INDEX(Katalog!$A$3:$A$12,MATCH(cadangan3[[#This Row],[ItemID A]],Katalog!$C$3:$C$12,0)),"-")</f>
        <v>Pakaian Pria</v>
      </c>
      <c r="E395" t="str">
        <f>IFERROR(INDEX(Katalog!$B$3:$B$12,MATCH(cadangan3[[#This Row],[ItemID A]],Katalog!$C$3:$C$12,0)),"-")</f>
        <v>Celana Pendek</v>
      </c>
      <c r="F395">
        <v>1</v>
      </c>
      <c r="G395">
        <v>2</v>
      </c>
      <c r="H395" s="36">
        <f>IFERROR(INDEX(Katalog!$D$3:$D$12,MATCH(cadangan3[[#This Row],[ItemID A]],Katalog!$C$3:$C$12,0))*cadangan3[[#This Row],[Qty A]],0)</f>
        <v>180000</v>
      </c>
      <c r="I395" s="36">
        <f>IFERROR(INDEX(Katalog!$D$3:$D$12,MATCH(cadangan3[[#This Row],[Item A]],Katalog!$B$3:$B$12,0))*cadangan3[[#This Row],[Qty A]],0)</f>
        <v>180000</v>
      </c>
      <c r="J395" s="36">
        <f>IFERROR(cadangan3[[#This Row],[Harga Asli A]]-(cadangan3[[#This Row],[Harga Asli A]]*cadangan3[[#This Row],[Diskon]]),cadangan3[[#This Row],[Harga Asli A]])</f>
        <v>162000</v>
      </c>
      <c r="K395" s="36">
        <f>INDEX(Katalog!$F$3:$F$12,MATCH(cadangan3[[#This Row],[ItemID A]],Katalog!$C$3:$C$12,0))*cadangan3[[#This Row],[Qty A]]</f>
        <v>70000</v>
      </c>
      <c r="L395" s="36">
        <f>IFERROR(cadangan3[[#This Row],[Profit A]]-(cadangan3[[#This Row],[Profit A]]*cadangan3[[#This Row],[Diskon]]),K395)</f>
        <v>63000</v>
      </c>
      <c r="M395" t="s">
        <v>65</v>
      </c>
      <c r="N395" t="str">
        <f>IFERROR(INDEX(Katalog!$A$3:$A$12,MATCH(cadangan3[[#This Row],[ItemID B]],Katalog!$C$3:$C$12,0)),"-")</f>
        <v>Sepatu Pria</v>
      </c>
      <c r="O395" t="str">
        <f>IFERROR(INDEX(Katalog!$B$3:$B$12,MATCH(cadangan3[[#This Row],[ItemID B]],Katalog!$C$3:$C$12,0)),"-")</f>
        <v>Sneakers</v>
      </c>
      <c r="P395">
        <v>1</v>
      </c>
      <c r="Q395">
        <v>1</v>
      </c>
      <c r="R395" s="36">
        <f>IFERROR(INDEX(Katalog!$D$3:$D$12,MATCH(cadangan3[[#This Row],[ItemID B]],Katalog!$C$3:$C$12,0))*cadangan3[[#This Row],[Qty B]],0)</f>
        <v>500000</v>
      </c>
      <c r="S395" s="36">
        <f>IFERROR(INDEX(Katalog!$D$3:$D$12,MATCH(cadangan3[[#This Row],[Item B]],Katalog!$B$3:$B$12,0))*cadangan3[[#This Row],[Qty B]],0)</f>
        <v>500000</v>
      </c>
      <c r="T395" s="36">
        <f>IFERROR(cadangan3[[#This Row],[Harga Asli B]]-(cadangan3[[#This Row],[Harga Asli B]]*cadangan3[[#This Row],[Diskon]]),cadangan3[[#This Row],[Harga Asli B]])</f>
        <v>450000</v>
      </c>
      <c r="U395" s="36">
        <f>IFERROR(INDEX(Katalog!$F$3:$F$12,MATCH(cadangan3[[#This Row],[ItemID B]],Katalog!$C$3:$C$12,0))*cadangan3[[#This Row],[Qty B]],0)</f>
        <v>200000</v>
      </c>
      <c r="V395" s="36">
        <f>IFERROR(cadangan3[[#This Row],[Profit B]]-(cadangan3[[#This Row],[Profit B]]*cadangan3[[#This Row],[Diskon]]),U395)</f>
        <v>180000</v>
      </c>
      <c r="W395" t="s">
        <v>64</v>
      </c>
      <c r="X395" t="str">
        <f>IFERROR(INDEX(Katalog!$A$3:$A$12,MATCH(cadangan3[[#This Row],[ItemID C]],Katalog!$C$3:$C$12,0)),"-")</f>
        <v>Pakaian Unisex</v>
      </c>
      <c r="Y395" t="str">
        <f>IFERROR(INDEX(Katalog!$B$3:$B$12,MATCH(cadangan3[[#This Row],[ItemID C]],Katalog!$C$3:$C$12,0)),"-")</f>
        <v>Jaket Hoodie</v>
      </c>
      <c r="Z395">
        <v>1</v>
      </c>
      <c r="AA395">
        <v>2</v>
      </c>
      <c r="AB395" s="36">
        <f>IFERROR(INDEX(Katalog!$D$3:$D$12,MATCH(cadangan3[[#This Row],[ItemID C]],Katalog!$C$3:$C$12,0))*cadangan3[[#This Row],[Qty C]],0)</f>
        <v>350000</v>
      </c>
      <c r="AC395" s="36">
        <f>IFERROR(INDEX(Katalog!$D$3:$D$12,MATCH(cadangan3[[#This Row],[Item C]],Katalog!$B$3:$B$12,0))*cadangan3[[#This Row],[Qty C]],0)</f>
        <v>350000</v>
      </c>
      <c r="AD395" s="36">
        <f>IFERROR(cadangan3[[#This Row],[Harga Asli C]]-(cadangan3[[#This Row],[Harga Asli C]]*cadangan3[[#This Row],[Diskon]]),cadangan3[[#This Row],[Harga Asli C]])</f>
        <v>315000</v>
      </c>
      <c r="AE395" s="36">
        <f>IFERROR(INDEX(Katalog!$F$3:$F$12,MATCH(cadangan3[[#This Row],[ItemID C]],Katalog!$C$3:$C$12,0))*cadangan3[[#This Row],[Qty C]],0)</f>
        <v>130000</v>
      </c>
      <c r="AF395" s="36">
        <f>IFERROR(cadangan3[[#This Row],[Profit C]]-(cadangan3[[#This Row],[Profit C]]*cadangan3[[#This Row],[Diskon]]),cadangan3[[#This Row],[Profit C]])</f>
        <v>117000</v>
      </c>
      <c r="AG395" s="21">
        <f>cadangan3[[#This Row],[Qty A]]+cadangan3[[#This Row],[Qty B]]+cadangan3[[#This Row],[Qty C]]</f>
        <v>3</v>
      </c>
      <c r="AH395" s="35">
        <f>cadangan3[[#This Row],[Harga A + Diskon]]+cadangan3[[#This Row],[Harga + Diskon B]]+cadangan3[[#This Row],[Harga + Diskon C]]</f>
        <v>927000</v>
      </c>
      <c r="AI395" s="35">
        <f>(cadangan3[[#This Row],[Profit A]]+cadangan3[[#This Row],[Profit B]]+cadangan3[[#This Row],[Profit C]])</f>
        <v>400000</v>
      </c>
      <c r="AJ395" s="35">
        <f>cadangan3[[#This Row],[Provit A + Diskon]]+cadangan3[[#This Row],[Provit B + Diskon]]+cadangan3[[#This Row],[Provit C + Diskon]]</f>
        <v>360000</v>
      </c>
      <c r="AK395" s="23" t="s">
        <v>30</v>
      </c>
      <c r="AL395" s="37">
        <f>IFERROR(INDEX('Kode Diskon'!$D$3:$D$9,MATCH(cadangan3[[#This Row],[Kode diskon]],'Kode Diskon'!$C$3:$C$9,0)),"-")</f>
        <v>0.1</v>
      </c>
      <c r="AM395" s="23" t="s">
        <v>29</v>
      </c>
      <c r="AN395" s="23" t="s">
        <v>10</v>
      </c>
      <c r="AO395" s="23" t="s">
        <v>78</v>
      </c>
      <c r="AP395" s="24">
        <v>45019</v>
      </c>
      <c r="AQ395" s="23" t="str">
        <f>TEXT(cadangan3[[#This Row],[Tanggal terjual]],"dddd")</f>
        <v>Monday</v>
      </c>
    </row>
    <row r="396" spans="1:43" x14ac:dyDescent="0.2">
      <c r="A396" s="20">
        <v>395</v>
      </c>
      <c r="B396" s="21" t="str">
        <f>_xlfn.CONCAT("ORD-",INDEX(Helper!$B$2:$B$5,MATCH(cadangan3[[#This Row],[Marketplace]],Helper!$A$2:$A$5,0)),TEXT(cadangan3[[#This Row],[No]],"0000"),"-",TEXT(cadangan3[[#This Row],[Tanggal terjual]],"dd/mm/yy"))</f>
        <v>ORD-TK0395-27/04/23</v>
      </c>
      <c r="C396" t="s">
        <v>65</v>
      </c>
      <c r="D396" t="str">
        <f>IFERROR(INDEX(Katalog!$A$3:$A$12,MATCH(cadangan3[[#This Row],[ItemID A]],Katalog!$C$3:$C$12,0)),"-")</f>
        <v>Sepatu Pria</v>
      </c>
      <c r="E396" t="str">
        <f>IFERROR(INDEX(Katalog!$B$3:$B$12,MATCH(cadangan3[[#This Row],[ItemID A]],Katalog!$C$3:$C$12,0)),"-")</f>
        <v>Sneakers</v>
      </c>
      <c r="F396">
        <v>1</v>
      </c>
      <c r="G396">
        <v>3</v>
      </c>
      <c r="H396" s="36">
        <f>IFERROR(INDEX(Katalog!$D$3:$D$12,MATCH(cadangan3[[#This Row],[ItemID A]],Katalog!$C$3:$C$12,0))*cadangan3[[#This Row],[Qty A]],0)</f>
        <v>500000</v>
      </c>
      <c r="I396" s="36">
        <f>IFERROR(INDEX(Katalog!$D$3:$D$12,MATCH(cadangan3[[#This Row],[Item A]],Katalog!$B$3:$B$12,0))*cadangan3[[#This Row],[Qty A]],0)</f>
        <v>500000</v>
      </c>
      <c r="J396" s="36">
        <f>IFERROR(cadangan3[[#This Row],[Harga Asli A]]-(cadangan3[[#This Row],[Harga Asli A]]*cadangan3[[#This Row],[Diskon]]),cadangan3[[#This Row],[Harga Asli A]])</f>
        <v>450000</v>
      </c>
      <c r="K396" s="36">
        <f>INDEX(Katalog!$F$3:$F$12,MATCH(cadangan3[[#This Row],[ItemID A]],Katalog!$C$3:$C$12,0))*cadangan3[[#This Row],[Qty A]]</f>
        <v>200000</v>
      </c>
      <c r="L396" s="36">
        <f>IFERROR(cadangan3[[#This Row],[Profit A]]-(cadangan3[[#This Row],[Profit A]]*cadangan3[[#This Row],[Diskon]]),K396)</f>
        <v>180000</v>
      </c>
      <c r="N396" t="str">
        <f>IFERROR(INDEX(Katalog!$A$3:$A$12,MATCH(cadangan3[[#This Row],[ItemID B]],Katalog!$C$3:$C$12,0)),"-")</f>
        <v>-</v>
      </c>
      <c r="O396" t="str">
        <f>IFERROR(INDEX(Katalog!$B$3:$B$12,MATCH(cadangan3[[#This Row],[ItemID B]],Katalog!$C$3:$C$12,0)),"-")</f>
        <v>-</v>
      </c>
      <c r="R396" s="36">
        <f>IFERROR(INDEX(Katalog!$D$3:$D$12,MATCH(cadangan3[[#This Row],[ItemID B]],Katalog!$C$3:$C$12,0))*cadangan3[[#This Row],[Qty B]],0)</f>
        <v>0</v>
      </c>
      <c r="S396" s="36">
        <f>IFERROR(INDEX(Katalog!$D$3:$D$12,MATCH(cadangan3[[#This Row],[Item B]],Katalog!$B$3:$B$12,0))*cadangan3[[#This Row],[Qty B]],0)</f>
        <v>0</v>
      </c>
      <c r="T396" s="36">
        <f>IFERROR(cadangan3[[#This Row],[Harga Asli B]]-(cadangan3[[#This Row],[Harga Asli B]]*cadangan3[[#This Row],[Diskon]]),cadangan3[[#This Row],[Harga Asli B]])</f>
        <v>0</v>
      </c>
      <c r="U396" s="36">
        <f>IFERROR(INDEX(Katalog!$F$3:$F$12,MATCH(cadangan3[[#This Row],[ItemID B]],Katalog!$C$3:$C$12,0))*cadangan3[[#This Row],[Qty B]],0)</f>
        <v>0</v>
      </c>
      <c r="V396" s="36">
        <f>IFERROR(cadangan3[[#This Row],[Profit B]]-(cadangan3[[#This Row],[Profit B]]*cadangan3[[#This Row],[Diskon]]),U396)</f>
        <v>0</v>
      </c>
      <c r="X396" t="str">
        <f>IFERROR(INDEX(Katalog!$A$3:$A$12,MATCH(cadangan3[[#This Row],[ItemID C]],Katalog!$C$3:$C$12,0)),"-")</f>
        <v>-</v>
      </c>
      <c r="Y396" t="str">
        <f>IFERROR(INDEX(Katalog!$B$3:$B$12,MATCH(cadangan3[[#This Row],[ItemID C]],Katalog!$C$3:$C$12,0)),"-")</f>
        <v>-</v>
      </c>
      <c r="AB396" s="36">
        <f>IFERROR(INDEX(Katalog!$D$3:$D$12,MATCH(cadangan3[[#This Row],[ItemID C]],Katalog!$C$3:$C$12,0))*cadangan3[[#This Row],[Qty C]],0)</f>
        <v>0</v>
      </c>
      <c r="AC396" s="36">
        <f>IFERROR(INDEX(Katalog!$D$3:$D$12,MATCH(cadangan3[[#This Row],[Item C]],Katalog!$B$3:$B$12,0))*cadangan3[[#This Row],[Qty C]],0)</f>
        <v>0</v>
      </c>
      <c r="AD396" s="36">
        <f>IFERROR(cadangan3[[#This Row],[Harga Asli C]]-(cadangan3[[#This Row],[Harga Asli C]]*cadangan3[[#This Row],[Diskon]]),cadangan3[[#This Row],[Harga Asli C]])</f>
        <v>0</v>
      </c>
      <c r="AE396" s="36">
        <f>IFERROR(INDEX(Katalog!$F$3:$F$12,MATCH(cadangan3[[#This Row],[ItemID C]],Katalog!$C$3:$C$12,0))*cadangan3[[#This Row],[Qty C]],0)</f>
        <v>0</v>
      </c>
      <c r="AF396" s="36">
        <f>IFERROR(cadangan3[[#This Row],[Profit C]]-(cadangan3[[#This Row],[Profit C]]*cadangan3[[#This Row],[Diskon]]),cadangan3[[#This Row],[Profit C]])</f>
        <v>0</v>
      </c>
      <c r="AG396" s="21">
        <f>cadangan3[[#This Row],[Qty A]]+cadangan3[[#This Row],[Qty B]]+cadangan3[[#This Row],[Qty C]]</f>
        <v>1</v>
      </c>
      <c r="AH396" s="35">
        <f>cadangan3[[#This Row],[Harga A + Diskon]]+cadangan3[[#This Row],[Harga + Diskon B]]+cadangan3[[#This Row],[Harga + Diskon C]]</f>
        <v>450000</v>
      </c>
      <c r="AI396" s="35">
        <f>(cadangan3[[#This Row],[Profit A]]+cadangan3[[#This Row],[Profit B]]+cadangan3[[#This Row],[Profit C]])</f>
        <v>200000</v>
      </c>
      <c r="AJ396" s="35">
        <f>cadangan3[[#This Row],[Provit A + Diskon]]+cadangan3[[#This Row],[Provit B + Diskon]]+cadangan3[[#This Row],[Provit C + Diskon]]</f>
        <v>180000</v>
      </c>
      <c r="AK396" s="23" t="s">
        <v>31</v>
      </c>
      <c r="AL396" s="37">
        <f>IFERROR(INDEX('Kode Diskon'!$D$3:$D$9,MATCH(cadangan3[[#This Row],[Kode diskon]],'Kode Diskon'!$C$3:$C$9,0)),"-")</f>
        <v>0.1</v>
      </c>
      <c r="AM396" s="23" t="s">
        <v>9</v>
      </c>
      <c r="AN396" s="23" t="s">
        <v>10</v>
      </c>
      <c r="AO396" s="23" t="s">
        <v>77</v>
      </c>
      <c r="AP396" s="24">
        <v>45043</v>
      </c>
      <c r="AQ396" s="23" t="str">
        <f>TEXT(cadangan3[[#This Row],[Tanggal terjual]],"dddd")</f>
        <v>Thursday</v>
      </c>
    </row>
    <row r="397" spans="1:43" x14ac:dyDescent="0.2">
      <c r="A397" s="20">
        <v>396</v>
      </c>
      <c r="B397" s="21" t="str">
        <f>_xlfn.CONCAT("ORD-",INDEX(Helper!$B$2:$B$5,MATCH(cadangan3[[#This Row],[Marketplace]],Helper!$A$2:$A$5,0)),TEXT(cadangan3[[#This Row],[No]],"0000"),"-",TEXT(cadangan3[[#This Row],[Tanggal terjual]],"dd/mm/yy"))</f>
        <v>ORD-SP0396-04/04/23</v>
      </c>
      <c r="C397" t="s">
        <v>58</v>
      </c>
      <c r="D397" t="str">
        <f>IFERROR(INDEX(Katalog!$A$3:$A$12,MATCH(cadangan3[[#This Row],[ItemID A]],Katalog!$C$3:$C$12,0)),"-")</f>
        <v>Pakaian Wanita</v>
      </c>
      <c r="E397" t="str">
        <f>IFERROR(INDEX(Katalog!$B$3:$B$12,MATCH(cadangan3[[#This Row],[ItemID A]],Katalog!$C$3:$C$12,0)),"-")</f>
        <v>Dress</v>
      </c>
      <c r="F397">
        <v>1</v>
      </c>
      <c r="G397">
        <v>3</v>
      </c>
      <c r="H397" s="36">
        <f>IFERROR(INDEX(Katalog!$D$3:$D$12,MATCH(cadangan3[[#This Row],[ItemID A]],Katalog!$C$3:$C$12,0))*cadangan3[[#This Row],[Qty A]],0)</f>
        <v>300000</v>
      </c>
      <c r="I397" s="36">
        <f>IFERROR(INDEX(Katalog!$D$3:$D$12,MATCH(cadangan3[[#This Row],[Item A]],Katalog!$B$3:$B$12,0))*cadangan3[[#This Row],[Qty A]],0)</f>
        <v>300000</v>
      </c>
      <c r="J397" s="36">
        <f>IFERROR(cadangan3[[#This Row],[Harga Asli A]]-(cadangan3[[#This Row],[Harga Asli A]]*cadangan3[[#This Row],[Diskon]]),cadangan3[[#This Row],[Harga Asli A]])</f>
        <v>255000</v>
      </c>
      <c r="K397" s="36">
        <f>INDEX(Katalog!$F$3:$F$12,MATCH(cadangan3[[#This Row],[ItemID A]],Katalog!$C$3:$C$12,0))*cadangan3[[#This Row],[Qty A]]</f>
        <v>100000</v>
      </c>
      <c r="L397" s="36">
        <f>IFERROR(cadangan3[[#This Row],[Profit A]]-(cadangan3[[#This Row],[Profit A]]*cadangan3[[#This Row],[Diskon]]),K397)</f>
        <v>85000</v>
      </c>
      <c r="M397" t="s">
        <v>59</v>
      </c>
      <c r="N397" t="str">
        <f>IFERROR(INDEX(Katalog!$A$3:$A$12,MATCH(cadangan3[[#This Row],[ItemID B]],Katalog!$C$3:$C$12,0)),"-")</f>
        <v>Pakaian Wanita</v>
      </c>
      <c r="O397" t="str">
        <f>IFERROR(INDEX(Katalog!$B$3:$B$12,MATCH(cadangan3[[#This Row],[ItemID B]],Katalog!$C$3:$C$12,0)),"-")</f>
        <v>Blouse</v>
      </c>
      <c r="P397">
        <v>1</v>
      </c>
      <c r="Q397">
        <v>3</v>
      </c>
      <c r="R397" s="36">
        <f>IFERROR(INDEX(Katalog!$D$3:$D$12,MATCH(cadangan3[[#This Row],[ItemID B]],Katalog!$C$3:$C$12,0))*cadangan3[[#This Row],[Qty B]],0)</f>
        <v>150000</v>
      </c>
      <c r="S397" s="36">
        <f>IFERROR(INDEX(Katalog!$D$3:$D$12,MATCH(cadangan3[[#This Row],[Item B]],Katalog!$B$3:$B$12,0))*cadangan3[[#This Row],[Qty B]],0)</f>
        <v>150000</v>
      </c>
      <c r="T397" s="36">
        <f>IFERROR(cadangan3[[#This Row],[Harga Asli B]]-(cadangan3[[#This Row],[Harga Asli B]]*cadangan3[[#This Row],[Diskon]]),cadangan3[[#This Row],[Harga Asli B]])</f>
        <v>127500</v>
      </c>
      <c r="U397" s="36">
        <f>IFERROR(INDEX(Katalog!$F$3:$F$12,MATCH(cadangan3[[#This Row],[ItemID B]],Katalog!$C$3:$C$12,0))*cadangan3[[#This Row],[Qty B]],0)</f>
        <v>50000</v>
      </c>
      <c r="V397" s="36">
        <f>IFERROR(cadangan3[[#This Row],[Profit B]]-(cadangan3[[#This Row],[Profit B]]*cadangan3[[#This Row],[Diskon]]),U397)</f>
        <v>42500</v>
      </c>
      <c r="W397" t="s">
        <v>64</v>
      </c>
      <c r="X397" t="str">
        <f>IFERROR(INDEX(Katalog!$A$3:$A$12,MATCH(cadangan3[[#This Row],[ItemID C]],Katalog!$C$3:$C$12,0)),"-")</f>
        <v>Pakaian Unisex</v>
      </c>
      <c r="Y397" t="str">
        <f>IFERROR(INDEX(Katalog!$B$3:$B$12,MATCH(cadangan3[[#This Row],[ItemID C]],Katalog!$C$3:$C$12,0)),"-")</f>
        <v>Jaket Hoodie</v>
      </c>
      <c r="Z397">
        <v>3</v>
      </c>
      <c r="AA397">
        <v>3</v>
      </c>
      <c r="AB397" s="36">
        <f>IFERROR(INDEX(Katalog!$D$3:$D$12,MATCH(cadangan3[[#This Row],[ItemID C]],Katalog!$C$3:$C$12,0))*cadangan3[[#This Row],[Qty C]],0)</f>
        <v>1050000</v>
      </c>
      <c r="AC397" s="36">
        <f>IFERROR(INDEX(Katalog!$D$3:$D$12,MATCH(cadangan3[[#This Row],[Item C]],Katalog!$B$3:$B$12,0))*cadangan3[[#This Row],[Qty C]],0)</f>
        <v>1050000</v>
      </c>
      <c r="AD397" s="36">
        <f>IFERROR(cadangan3[[#This Row],[Harga Asli C]]-(cadangan3[[#This Row],[Harga Asli C]]*cadangan3[[#This Row],[Diskon]]),cadangan3[[#This Row],[Harga Asli C]])</f>
        <v>892500</v>
      </c>
      <c r="AE397" s="36">
        <f>IFERROR(INDEX(Katalog!$F$3:$F$12,MATCH(cadangan3[[#This Row],[ItemID C]],Katalog!$C$3:$C$12,0))*cadangan3[[#This Row],[Qty C]],0)</f>
        <v>390000</v>
      </c>
      <c r="AF397" s="36">
        <f>IFERROR(cadangan3[[#This Row],[Profit C]]-(cadangan3[[#This Row],[Profit C]]*cadangan3[[#This Row],[Diskon]]),cadangan3[[#This Row],[Profit C]])</f>
        <v>331500</v>
      </c>
      <c r="AG397" s="21">
        <f>cadangan3[[#This Row],[Qty A]]+cadangan3[[#This Row],[Qty B]]+cadangan3[[#This Row],[Qty C]]</f>
        <v>5</v>
      </c>
      <c r="AH397" s="35">
        <f>cadangan3[[#This Row],[Harga A + Diskon]]+cadangan3[[#This Row],[Harga + Diskon B]]+cadangan3[[#This Row],[Harga + Diskon C]]</f>
        <v>1275000</v>
      </c>
      <c r="AI397" s="35">
        <f>(cadangan3[[#This Row],[Profit A]]+cadangan3[[#This Row],[Profit B]]+cadangan3[[#This Row],[Profit C]])</f>
        <v>540000</v>
      </c>
      <c r="AJ397" s="35">
        <f>cadangan3[[#This Row],[Provit A + Diskon]]+cadangan3[[#This Row],[Provit B + Diskon]]+cadangan3[[#This Row],[Provit C + Diskon]]</f>
        <v>459000</v>
      </c>
      <c r="AK397" s="23" t="s">
        <v>13</v>
      </c>
      <c r="AL397" s="37">
        <f>IFERROR(INDEX('Kode Diskon'!$D$3:$D$9,MATCH(cadangan3[[#This Row],[Kode diskon]],'Kode Diskon'!$C$3:$C$9,0)),"-")</f>
        <v>0.15</v>
      </c>
      <c r="AM397" s="23" t="s">
        <v>29</v>
      </c>
      <c r="AN397" s="23" t="s">
        <v>7</v>
      </c>
      <c r="AO397" s="23" t="s">
        <v>77</v>
      </c>
      <c r="AP397" s="24">
        <v>45020</v>
      </c>
      <c r="AQ397" s="23" t="str">
        <f>TEXT(cadangan3[[#This Row],[Tanggal terjual]],"dddd")</f>
        <v>Tuesday</v>
      </c>
    </row>
    <row r="398" spans="1:43" x14ac:dyDescent="0.2">
      <c r="A398" s="20">
        <v>397</v>
      </c>
      <c r="B398" s="21" t="str">
        <f>_xlfn.CONCAT("ORD-",INDEX(Helper!$B$2:$B$5,MATCH(cadangan3[[#This Row],[Marketplace]],Helper!$A$2:$A$5,0)),TEXT(cadangan3[[#This Row],[No]],"0000"),"-",TEXT(cadangan3[[#This Row],[Tanggal terjual]],"dd/mm/yy"))</f>
        <v>ORD-SP0397-03/04/23</v>
      </c>
      <c r="C398" t="s">
        <v>66</v>
      </c>
      <c r="D398" t="str">
        <f>IFERROR(INDEX(Katalog!$A$3:$A$12,MATCH(cadangan3[[#This Row],[ItemID A]],Katalog!$C$3:$C$12,0)),"-")</f>
        <v>Sepatu Pria</v>
      </c>
      <c r="E398" t="str">
        <f>IFERROR(INDEX(Katalog!$B$3:$B$12,MATCH(cadangan3[[#This Row],[ItemID A]],Katalog!$C$3:$C$12,0)),"-")</f>
        <v>Sandal Slip On</v>
      </c>
      <c r="F398">
        <v>3</v>
      </c>
      <c r="G398">
        <v>2</v>
      </c>
      <c r="H398" s="36">
        <f>IFERROR(INDEX(Katalog!$D$3:$D$12,MATCH(cadangan3[[#This Row],[ItemID A]],Katalog!$C$3:$C$12,0))*cadangan3[[#This Row],[Qty A]],0)</f>
        <v>450000</v>
      </c>
      <c r="I398" s="36">
        <f>IFERROR(INDEX(Katalog!$D$3:$D$12,MATCH(cadangan3[[#This Row],[Item A]],Katalog!$B$3:$B$12,0))*cadangan3[[#This Row],[Qty A]],0)</f>
        <v>450000</v>
      </c>
      <c r="J398" s="36">
        <f>IFERROR(cadangan3[[#This Row],[Harga Asli A]]-(cadangan3[[#This Row],[Harga Asli A]]*cadangan3[[#This Row],[Diskon]]),cadangan3[[#This Row],[Harga Asli A]])</f>
        <v>382500</v>
      </c>
      <c r="K398" s="36">
        <f>INDEX(Katalog!$F$3:$F$12,MATCH(cadangan3[[#This Row],[ItemID A]],Katalog!$C$3:$C$12,0))*cadangan3[[#This Row],[Qty A]]</f>
        <v>180000</v>
      </c>
      <c r="L398" s="36">
        <f>IFERROR(cadangan3[[#This Row],[Profit A]]-(cadangan3[[#This Row],[Profit A]]*cadangan3[[#This Row],[Diskon]]),K398)</f>
        <v>153000</v>
      </c>
      <c r="M398" t="s">
        <v>63</v>
      </c>
      <c r="N398" t="str">
        <f>IFERROR(INDEX(Katalog!$A$3:$A$12,MATCH(cadangan3[[#This Row],[ItemID B]],Katalog!$C$3:$C$12,0)),"-")</f>
        <v>Pakaian Pria</v>
      </c>
      <c r="O398" t="str">
        <f>IFERROR(INDEX(Katalog!$B$3:$B$12,MATCH(cadangan3[[#This Row],[ItemID B]],Katalog!$C$3:$C$12,0)),"-")</f>
        <v>Jaket Jeans</v>
      </c>
      <c r="P398">
        <v>3</v>
      </c>
      <c r="Q398">
        <v>3</v>
      </c>
      <c r="R398" s="36">
        <f>IFERROR(INDEX(Katalog!$D$3:$D$12,MATCH(cadangan3[[#This Row],[ItemID B]],Katalog!$C$3:$C$12,0))*cadangan3[[#This Row],[Qty B]],0)</f>
        <v>1200000</v>
      </c>
      <c r="S398" s="36">
        <f>IFERROR(INDEX(Katalog!$D$3:$D$12,MATCH(cadangan3[[#This Row],[Item B]],Katalog!$B$3:$B$12,0))*cadangan3[[#This Row],[Qty B]],0)</f>
        <v>1200000</v>
      </c>
      <c r="T398" s="36">
        <f>IFERROR(cadangan3[[#This Row],[Harga Asli B]]-(cadangan3[[#This Row],[Harga Asli B]]*cadangan3[[#This Row],[Diskon]]),cadangan3[[#This Row],[Harga Asli B]])</f>
        <v>1020000</v>
      </c>
      <c r="U398" s="36">
        <f>IFERROR(INDEX(Katalog!$F$3:$F$12,MATCH(cadangan3[[#This Row],[ItemID B]],Katalog!$C$3:$C$12,0))*cadangan3[[#This Row],[Qty B]],0)</f>
        <v>450000</v>
      </c>
      <c r="V398" s="36">
        <f>IFERROR(cadangan3[[#This Row],[Profit B]]-(cadangan3[[#This Row],[Profit B]]*cadangan3[[#This Row],[Diskon]]),U398)</f>
        <v>382500</v>
      </c>
      <c r="X398" t="str">
        <f>IFERROR(INDEX(Katalog!$A$3:$A$12,MATCH(cadangan3[[#This Row],[ItemID C]],Katalog!$C$3:$C$12,0)),"-")</f>
        <v>-</v>
      </c>
      <c r="Y398" t="str">
        <f>IFERROR(INDEX(Katalog!$B$3:$B$12,MATCH(cadangan3[[#This Row],[ItemID C]],Katalog!$C$3:$C$12,0)),"-")</f>
        <v>-</v>
      </c>
      <c r="AB398" s="36">
        <f>IFERROR(INDEX(Katalog!$D$3:$D$12,MATCH(cadangan3[[#This Row],[ItemID C]],Katalog!$C$3:$C$12,0))*cadangan3[[#This Row],[Qty C]],0)</f>
        <v>0</v>
      </c>
      <c r="AC398" s="36">
        <f>IFERROR(INDEX(Katalog!$D$3:$D$12,MATCH(cadangan3[[#This Row],[Item C]],Katalog!$B$3:$B$12,0))*cadangan3[[#This Row],[Qty C]],0)</f>
        <v>0</v>
      </c>
      <c r="AD398" s="36">
        <f>IFERROR(cadangan3[[#This Row],[Harga Asli C]]-(cadangan3[[#This Row],[Harga Asli C]]*cadangan3[[#This Row],[Diskon]]),cadangan3[[#This Row],[Harga Asli C]])</f>
        <v>0</v>
      </c>
      <c r="AE398" s="36">
        <f>IFERROR(INDEX(Katalog!$F$3:$F$12,MATCH(cadangan3[[#This Row],[ItemID C]],Katalog!$C$3:$C$12,0))*cadangan3[[#This Row],[Qty C]],0)</f>
        <v>0</v>
      </c>
      <c r="AF398" s="36">
        <f>IFERROR(cadangan3[[#This Row],[Profit C]]-(cadangan3[[#This Row],[Profit C]]*cadangan3[[#This Row],[Diskon]]),cadangan3[[#This Row],[Profit C]])</f>
        <v>0</v>
      </c>
      <c r="AG398" s="21">
        <f>cadangan3[[#This Row],[Qty A]]+cadangan3[[#This Row],[Qty B]]+cadangan3[[#This Row],[Qty C]]</f>
        <v>6</v>
      </c>
      <c r="AH398" s="35">
        <f>cadangan3[[#This Row],[Harga A + Diskon]]+cadangan3[[#This Row],[Harga + Diskon B]]+cadangan3[[#This Row],[Harga + Diskon C]]</f>
        <v>1402500</v>
      </c>
      <c r="AI398" s="35">
        <f>(cadangan3[[#This Row],[Profit A]]+cadangan3[[#This Row],[Profit B]]+cadangan3[[#This Row],[Profit C]])</f>
        <v>630000</v>
      </c>
      <c r="AJ398" s="35">
        <f>cadangan3[[#This Row],[Provit A + Diskon]]+cadangan3[[#This Row],[Provit B + Diskon]]+cadangan3[[#This Row],[Provit C + Diskon]]</f>
        <v>535500</v>
      </c>
      <c r="AK398" s="23" t="s">
        <v>13</v>
      </c>
      <c r="AL398" s="37">
        <f>IFERROR(INDEX('Kode Diskon'!$D$3:$D$9,MATCH(cadangan3[[#This Row],[Kode diskon]],'Kode Diskon'!$C$3:$C$9,0)),"-")</f>
        <v>0.15</v>
      </c>
      <c r="AM398" s="23" t="s">
        <v>29</v>
      </c>
      <c r="AN398" s="23" t="s">
        <v>7</v>
      </c>
      <c r="AO398" s="23" t="s">
        <v>75</v>
      </c>
      <c r="AP398" s="24">
        <v>45019</v>
      </c>
      <c r="AQ398" s="23" t="str">
        <f>TEXT(cadangan3[[#This Row],[Tanggal terjual]],"dddd")</f>
        <v>Monday</v>
      </c>
    </row>
    <row r="399" spans="1:43" x14ac:dyDescent="0.2">
      <c r="A399" s="20">
        <v>398</v>
      </c>
      <c r="B399" s="21" t="str">
        <f>_xlfn.CONCAT("ORD-",INDEX(Helper!$B$2:$B$5,MATCH(cadangan3[[#This Row],[Marketplace]],Helper!$A$2:$A$5,0)),TEXT(cadangan3[[#This Row],[No]],"0000"),"-",TEXT(cadangan3[[#This Row],[Tanggal terjual]],"dd/mm/yy"))</f>
        <v>ORD-SP0398-04/04/23</v>
      </c>
      <c r="C399" t="s">
        <v>61</v>
      </c>
      <c r="D399" t="str">
        <f>IFERROR(INDEX(Katalog!$A$3:$A$12,MATCH(cadangan3[[#This Row],[ItemID A]],Katalog!$C$3:$C$12,0)),"-")</f>
        <v>Pakaian Pria</v>
      </c>
      <c r="E399" t="str">
        <f>IFERROR(INDEX(Katalog!$B$3:$B$12,MATCH(cadangan3[[#This Row],[ItemID A]],Katalog!$C$3:$C$12,0)),"-")</f>
        <v>Kaos Polo</v>
      </c>
      <c r="F399">
        <v>2</v>
      </c>
      <c r="G399">
        <v>3</v>
      </c>
      <c r="H399" s="36">
        <f>IFERROR(INDEX(Katalog!$D$3:$D$12,MATCH(cadangan3[[#This Row],[ItemID A]],Katalog!$C$3:$C$12,0))*cadangan3[[#This Row],[Qty A]],0)</f>
        <v>400000</v>
      </c>
      <c r="I399" s="36">
        <f>IFERROR(INDEX(Katalog!$D$3:$D$12,MATCH(cadangan3[[#This Row],[Item A]],Katalog!$B$3:$B$12,0))*cadangan3[[#This Row],[Qty A]],0)</f>
        <v>400000</v>
      </c>
      <c r="J399" s="36">
        <f>IFERROR(cadangan3[[#This Row],[Harga Asli A]]-(cadangan3[[#This Row],[Harga Asli A]]*cadangan3[[#This Row],[Diskon]]),cadangan3[[#This Row],[Harga Asli A]])</f>
        <v>360000</v>
      </c>
      <c r="K399" s="36">
        <f>INDEX(Katalog!$F$3:$F$12,MATCH(cadangan3[[#This Row],[ItemID A]],Katalog!$C$3:$C$12,0))*cadangan3[[#This Row],[Qty A]]</f>
        <v>160000</v>
      </c>
      <c r="L399" s="36">
        <f>IFERROR(cadangan3[[#This Row],[Profit A]]-(cadangan3[[#This Row],[Profit A]]*cadangan3[[#This Row],[Diskon]]),K399)</f>
        <v>144000</v>
      </c>
      <c r="M399" t="s">
        <v>62</v>
      </c>
      <c r="N399" t="str">
        <f>IFERROR(INDEX(Katalog!$A$3:$A$12,MATCH(cadangan3[[#This Row],[ItemID B]],Katalog!$C$3:$C$12,0)),"-")</f>
        <v>Pakaian Pria</v>
      </c>
      <c r="O399" t="str">
        <f>IFERROR(INDEX(Katalog!$B$3:$B$12,MATCH(cadangan3[[#This Row],[ItemID B]],Katalog!$C$3:$C$12,0)),"-")</f>
        <v>Celana Pendek</v>
      </c>
      <c r="P399">
        <v>1</v>
      </c>
      <c r="Q399">
        <v>2</v>
      </c>
      <c r="R399" s="36">
        <f>IFERROR(INDEX(Katalog!$D$3:$D$12,MATCH(cadangan3[[#This Row],[ItemID B]],Katalog!$C$3:$C$12,0))*cadangan3[[#This Row],[Qty B]],0)</f>
        <v>180000</v>
      </c>
      <c r="S399" s="36">
        <f>IFERROR(INDEX(Katalog!$D$3:$D$12,MATCH(cadangan3[[#This Row],[Item B]],Katalog!$B$3:$B$12,0))*cadangan3[[#This Row],[Qty B]],0)</f>
        <v>180000</v>
      </c>
      <c r="T399" s="36">
        <f>IFERROR(cadangan3[[#This Row],[Harga Asli B]]-(cadangan3[[#This Row],[Harga Asli B]]*cadangan3[[#This Row],[Diskon]]),cadangan3[[#This Row],[Harga Asli B]])</f>
        <v>162000</v>
      </c>
      <c r="U399" s="36">
        <f>IFERROR(INDEX(Katalog!$F$3:$F$12,MATCH(cadangan3[[#This Row],[ItemID B]],Katalog!$C$3:$C$12,0))*cadangan3[[#This Row],[Qty B]],0)</f>
        <v>70000</v>
      </c>
      <c r="V399" s="36">
        <f>IFERROR(cadangan3[[#This Row],[Profit B]]-(cadangan3[[#This Row],[Profit B]]*cadangan3[[#This Row],[Diskon]]),U399)</f>
        <v>63000</v>
      </c>
      <c r="X399" t="str">
        <f>IFERROR(INDEX(Katalog!$A$3:$A$12,MATCH(cadangan3[[#This Row],[ItemID C]],Katalog!$C$3:$C$12,0)),"-")</f>
        <v>-</v>
      </c>
      <c r="Y399" t="str">
        <f>IFERROR(INDEX(Katalog!$B$3:$B$12,MATCH(cadangan3[[#This Row],[ItemID C]],Katalog!$C$3:$C$12,0)),"-")</f>
        <v>-</v>
      </c>
      <c r="AB399" s="36">
        <f>IFERROR(INDEX(Katalog!$D$3:$D$12,MATCH(cadangan3[[#This Row],[ItemID C]],Katalog!$C$3:$C$12,0))*cadangan3[[#This Row],[Qty C]],0)</f>
        <v>0</v>
      </c>
      <c r="AC399" s="36">
        <f>IFERROR(INDEX(Katalog!$D$3:$D$12,MATCH(cadangan3[[#This Row],[Item C]],Katalog!$B$3:$B$12,0))*cadangan3[[#This Row],[Qty C]],0)</f>
        <v>0</v>
      </c>
      <c r="AD399" s="36">
        <f>IFERROR(cadangan3[[#This Row],[Harga Asli C]]-(cadangan3[[#This Row],[Harga Asli C]]*cadangan3[[#This Row],[Diskon]]),cadangan3[[#This Row],[Harga Asli C]])</f>
        <v>0</v>
      </c>
      <c r="AE399" s="36">
        <f>IFERROR(INDEX(Katalog!$F$3:$F$12,MATCH(cadangan3[[#This Row],[ItemID C]],Katalog!$C$3:$C$12,0))*cadangan3[[#This Row],[Qty C]],0)</f>
        <v>0</v>
      </c>
      <c r="AF399" s="36">
        <f>IFERROR(cadangan3[[#This Row],[Profit C]]-(cadangan3[[#This Row],[Profit C]]*cadangan3[[#This Row],[Diskon]]),cadangan3[[#This Row],[Profit C]])</f>
        <v>0</v>
      </c>
      <c r="AG399" s="21">
        <f>cadangan3[[#This Row],[Qty A]]+cadangan3[[#This Row],[Qty B]]+cadangan3[[#This Row],[Qty C]]</f>
        <v>3</v>
      </c>
      <c r="AH399" s="35">
        <f>cadangan3[[#This Row],[Harga A + Diskon]]+cadangan3[[#This Row],[Harga + Diskon B]]+cadangan3[[#This Row],[Harga + Diskon C]]</f>
        <v>522000</v>
      </c>
      <c r="AI399" s="35">
        <f>(cadangan3[[#This Row],[Profit A]]+cadangan3[[#This Row],[Profit B]]+cadangan3[[#This Row],[Profit C]])</f>
        <v>230000</v>
      </c>
      <c r="AJ399" s="35">
        <f>cadangan3[[#This Row],[Provit A + Diskon]]+cadangan3[[#This Row],[Provit B + Diskon]]+cadangan3[[#This Row],[Provit C + Diskon]]</f>
        <v>207000</v>
      </c>
      <c r="AK399" s="23" t="s">
        <v>6</v>
      </c>
      <c r="AL399" s="37">
        <f>IFERROR(INDEX('Kode Diskon'!$D$3:$D$9,MATCH(cadangan3[[#This Row],[Kode diskon]],'Kode Diskon'!$C$3:$C$9,0)),"-")</f>
        <v>0.1</v>
      </c>
      <c r="AM399" s="23" t="s">
        <v>29</v>
      </c>
      <c r="AN399" s="23" t="s">
        <v>7</v>
      </c>
      <c r="AO399" s="23" t="s">
        <v>75</v>
      </c>
      <c r="AP399" s="24">
        <v>45020</v>
      </c>
      <c r="AQ399" s="23" t="str">
        <f>TEXT(cadangan3[[#This Row],[Tanggal terjual]],"dddd")</f>
        <v>Tuesday</v>
      </c>
    </row>
    <row r="400" spans="1:43" x14ac:dyDescent="0.2">
      <c r="A400" s="20">
        <v>399</v>
      </c>
      <c r="B400" s="21" t="str">
        <f>_xlfn.CONCAT("ORD-",INDEX(Helper!$B$2:$B$5,MATCH(cadangan3[[#This Row],[Marketplace]],Helper!$A$2:$A$5,0)),TEXT(cadangan3[[#This Row],[No]],"0000"),"-",TEXT(cadangan3[[#This Row],[Tanggal terjual]],"dd/mm/yy"))</f>
        <v>ORD-BL0399-18/04/23</v>
      </c>
      <c r="C400" t="s">
        <v>66</v>
      </c>
      <c r="D400" t="str">
        <f>IFERROR(INDEX(Katalog!$A$3:$A$12,MATCH(cadangan3[[#This Row],[ItemID A]],Katalog!$C$3:$C$12,0)),"-")</f>
        <v>Sepatu Pria</v>
      </c>
      <c r="E400" t="str">
        <f>IFERROR(INDEX(Katalog!$B$3:$B$12,MATCH(cadangan3[[#This Row],[ItemID A]],Katalog!$C$3:$C$12,0)),"-")</f>
        <v>Sandal Slip On</v>
      </c>
      <c r="F400">
        <v>1</v>
      </c>
      <c r="G400">
        <v>2</v>
      </c>
      <c r="H400" s="36">
        <f>IFERROR(INDEX(Katalog!$D$3:$D$12,MATCH(cadangan3[[#This Row],[ItemID A]],Katalog!$C$3:$C$12,0))*cadangan3[[#This Row],[Qty A]],0)</f>
        <v>150000</v>
      </c>
      <c r="I400" s="36">
        <f>IFERROR(INDEX(Katalog!$D$3:$D$12,MATCH(cadangan3[[#This Row],[Item A]],Katalog!$B$3:$B$12,0))*cadangan3[[#This Row],[Qty A]],0)</f>
        <v>150000</v>
      </c>
      <c r="J400" s="36">
        <f>IFERROR(cadangan3[[#This Row],[Harga Asli A]]-(cadangan3[[#This Row],[Harga Asli A]]*cadangan3[[#This Row],[Diskon]]),cadangan3[[#This Row],[Harga Asli A]])</f>
        <v>127500</v>
      </c>
      <c r="K400" s="36">
        <f>INDEX(Katalog!$F$3:$F$12,MATCH(cadangan3[[#This Row],[ItemID A]],Katalog!$C$3:$C$12,0))*cadangan3[[#This Row],[Qty A]]</f>
        <v>60000</v>
      </c>
      <c r="L400" s="36">
        <f>IFERROR(cadangan3[[#This Row],[Profit A]]-(cadangan3[[#This Row],[Profit A]]*cadangan3[[#This Row],[Diskon]]),K400)</f>
        <v>51000</v>
      </c>
      <c r="N400" t="str">
        <f>IFERROR(INDEX(Katalog!$A$3:$A$12,MATCH(cadangan3[[#This Row],[ItemID B]],Katalog!$C$3:$C$12,0)),"-")</f>
        <v>-</v>
      </c>
      <c r="O400" t="str">
        <f>IFERROR(INDEX(Katalog!$B$3:$B$12,MATCH(cadangan3[[#This Row],[ItemID B]],Katalog!$C$3:$C$12,0)),"-")</f>
        <v>-</v>
      </c>
      <c r="R400" s="36">
        <f>IFERROR(INDEX(Katalog!$D$3:$D$12,MATCH(cadangan3[[#This Row],[ItemID B]],Katalog!$C$3:$C$12,0))*cadangan3[[#This Row],[Qty B]],0)</f>
        <v>0</v>
      </c>
      <c r="S400" s="36">
        <f>IFERROR(INDEX(Katalog!$D$3:$D$12,MATCH(cadangan3[[#This Row],[Item B]],Katalog!$B$3:$B$12,0))*cadangan3[[#This Row],[Qty B]],0)</f>
        <v>0</v>
      </c>
      <c r="T400" s="36">
        <f>IFERROR(cadangan3[[#This Row],[Harga Asli B]]-(cadangan3[[#This Row],[Harga Asli B]]*cadangan3[[#This Row],[Diskon]]),cadangan3[[#This Row],[Harga Asli B]])</f>
        <v>0</v>
      </c>
      <c r="U400" s="36">
        <f>IFERROR(INDEX(Katalog!$F$3:$F$12,MATCH(cadangan3[[#This Row],[ItemID B]],Katalog!$C$3:$C$12,0))*cadangan3[[#This Row],[Qty B]],0)</f>
        <v>0</v>
      </c>
      <c r="V400" s="36">
        <f>IFERROR(cadangan3[[#This Row],[Profit B]]-(cadangan3[[#This Row],[Profit B]]*cadangan3[[#This Row],[Diskon]]),U400)</f>
        <v>0</v>
      </c>
      <c r="X400" t="str">
        <f>IFERROR(INDEX(Katalog!$A$3:$A$12,MATCH(cadangan3[[#This Row],[ItemID C]],Katalog!$C$3:$C$12,0)),"-")</f>
        <v>-</v>
      </c>
      <c r="Y400" t="str">
        <f>IFERROR(INDEX(Katalog!$B$3:$B$12,MATCH(cadangan3[[#This Row],[ItemID C]],Katalog!$C$3:$C$12,0)),"-")</f>
        <v>-</v>
      </c>
      <c r="AB400" s="36">
        <f>IFERROR(INDEX(Katalog!$D$3:$D$12,MATCH(cadangan3[[#This Row],[ItemID C]],Katalog!$C$3:$C$12,0))*cadangan3[[#This Row],[Qty C]],0)</f>
        <v>0</v>
      </c>
      <c r="AC400" s="36">
        <f>IFERROR(INDEX(Katalog!$D$3:$D$12,MATCH(cadangan3[[#This Row],[Item C]],Katalog!$B$3:$B$12,0))*cadangan3[[#This Row],[Qty C]],0)</f>
        <v>0</v>
      </c>
      <c r="AD400" s="36">
        <f>IFERROR(cadangan3[[#This Row],[Harga Asli C]]-(cadangan3[[#This Row],[Harga Asli C]]*cadangan3[[#This Row],[Diskon]]),cadangan3[[#This Row],[Harga Asli C]])</f>
        <v>0</v>
      </c>
      <c r="AE400" s="36">
        <f>IFERROR(INDEX(Katalog!$F$3:$F$12,MATCH(cadangan3[[#This Row],[ItemID C]],Katalog!$C$3:$C$12,0))*cadangan3[[#This Row],[Qty C]],0)</f>
        <v>0</v>
      </c>
      <c r="AF400" s="36">
        <f>IFERROR(cadangan3[[#This Row],[Profit C]]-(cadangan3[[#This Row],[Profit C]]*cadangan3[[#This Row],[Diskon]]),cadangan3[[#This Row],[Profit C]])</f>
        <v>0</v>
      </c>
      <c r="AG400" s="21">
        <f>cadangan3[[#This Row],[Qty A]]+cadangan3[[#This Row],[Qty B]]+cadangan3[[#This Row],[Qty C]]</f>
        <v>1</v>
      </c>
      <c r="AH400" s="35">
        <f>cadangan3[[#This Row],[Harga A + Diskon]]+cadangan3[[#This Row],[Harga + Diskon B]]+cadangan3[[#This Row],[Harga + Diskon C]]</f>
        <v>127500</v>
      </c>
      <c r="AI400" s="35">
        <f>(cadangan3[[#This Row],[Profit A]]+cadangan3[[#This Row],[Profit B]]+cadangan3[[#This Row],[Profit C]])</f>
        <v>60000</v>
      </c>
      <c r="AJ400" s="35">
        <f>cadangan3[[#This Row],[Provit A + Diskon]]+cadangan3[[#This Row],[Provit B + Diskon]]+cadangan3[[#This Row],[Provit C + Diskon]]</f>
        <v>51000</v>
      </c>
      <c r="AK400" s="23" t="s">
        <v>32</v>
      </c>
      <c r="AL400" s="37">
        <f>IFERROR(INDEX('Kode Diskon'!$D$3:$D$9,MATCH(cadangan3[[#This Row],[Kode diskon]],'Kode Diskon'!$C$3:$C$9,0)),"-")</f>
        <v>0.15</v>
      </c>
      <c r="AM400" s="23" t="s">
        <v>9</v>
      </c>
      <c r="AN400" s="23" t="s">
        <v>12</v>
      </c>
      <c r="AO400" s="23" t="s">
        <v>75</v>
      </c>
      <c r="AP400" s="24">
        <v>45034</v>
      </c>
      <c r="AQ400" s="23" t="str">
        <f>TEXT(cadangan3[[#This Row],[Tanggal terjual]],"dddd")</f>
        <v>Tuesday</v>
      </c>
    </row>
    <row r="401" spans="1:43" x14ac:dyDescent="0.2">
      <c r="A401" s="20">
        <v>400</v>
      </c>
      <c r="B401" s="21" t="str">
        <f>_xlfn.CONCAT("ORD-",INDEX(Helper!$B$2:$B$5,MATCH(cadangan3[[#This Row],[Marketplace]],Helper!$A$2:$A$5,0)),TEXT(cadangan3[[#This Row],[No]],"0000"),"-",TEXT(cadangan3[[#This Row],[Tanggal terjual]],"dd/mm/yy"))</f>
        <v>ORD-SP0400-24/04/23</v>
      </c>
      <c r="C401" t="s">
        <v>66</v>
      </c>
      <c r="D401" t="str">
        <f>IFERROR(INDEX(Katalog!$A$3:$A$12,MATCH(cadangan3[[#This Row],[ItemID A]],Katalog!$C$3:$C$12,0)),"-")</f>
        <v>Sepatu Pria</v>
      </c>
      <c r="E401" t="str">
        <f>IFERROR(INDEX(Katalog!$B$3:$B$12,MATCH(cadangan3[[#This Row],[ItemID A]],Katalog!$C$3:$C$12,0)),"-")</f>
        <v>Sandal Slip On</v>
      </c>
      <c r="F401">
        <v>3</v>
      </c>
      <c r="G401">
        <v>3</v>
      </c>
      <c r="H401" s="36">
        <f>IFERROR(INDEX(Katalog!$D$3:$D$12,MATCH(cadangan3[[#This Row],[ItemID A]],Katalog!$C$3:$C$12,0))*cadangan3[[#This Row],[Qty A]],0)</f>
        <v>450000</v>
      </c>
      <c r="I401" s="36">
        <f>IFERROR(INDEX(Katalog!$D$3:$D$12,MATCH(cadangan3[[#This Row],[Item A]],Katalog!$B$3:$B$12,0))*cadangan3[[#This Row],[Qty A]],0)</f>
        <v>450000</v>
      </c>
      <c r="J401" s="36">
        <f>IFERROR(cadangan3[[#This Row],[Harga Asli A]]-(cadangan3[[#This Row],[Harga Asli A]]*cadangan3[[#This Row],[Diskon]]),cadangan3[[#This Row],[Harga Asli A]])</f>
        <v>360000</v>
      </c>
      <c r="K401" s="36">
        <f>INDEX(Katalog!$F$3:$F$12,MATCH(cadangan3[[#This Row],[ItemID A]],Katalog!$C$3:$C$12,0))*cadangan3[[#This Row],[Qty A]]</f>
        <v>180000</v>
      </c>
      <c r="L401" s="36">
        <f>IFERROR(cadangan3[[#This Row],[Profit A]]-(cadangan3[[#This Row],[Profit A]]*cadangan3[[#This Row],[Diskon]]),K401)</f>
        <v>144000</v>
      </c>
      <c r="M401" t="s">
        <v>60</v>
      </c>
      <c r="N401" t="str">
        <f>IFERROR(INDEX(Katalog!$A$3:$A$12,MATCH(cadangan3[[#This Row],[ItemID B]],Katalog!$C$3:$C$12,0)),"-")</f>
        <v>Pakaian Wanita</v>
      </c>
      <c r="O401" t="str">
        <f>IFERROR(INDEX(Katalog!$B$3:$B$12,MATCH(cadangan3[[#This Row],[ItemID B]],Katalog!$C$3:$C$12,0)),"-")</f>
        <v>Kaftan</v>
      </c>
      <c r="P401">
        <v>1</v>
      </c>
      <c r="Q401">
        <v>2</v>
      </c>
      <c r="R401" s="36">
        <f>IFERROR(INDEX(Katalog!$D$3:$D$12,MATCH(cadangan3[[#This Row],[ItemID B]],Katalog!$C$3:$C$12,0))*cadangan3[[#This Row],[Qty B]],0)</f>
        <v>250000</v>
      </c>
      <c r="S401" s="36">
        <f>IFERROR(INDEX(Katalog!$D$3:$D$12,MATCH(cadangan3[[#This Row],[Item B]],Katalog!$B$3:$B$12,0))*cadangan3[[#This Row],[Qty B]],0)</f>
        <v>250000</v>
      </c>
      <c r="T401" s="36">
        <f>IFERROR(cadangan3[[#This Row],[Harga Asli B]]-(cadangan3[[#This Row],[Harga Asli B]]*cadangan3[[#This Row],[Diskon]]),cadangan3[[#This Row],[Harga Asli B]])</f>
        <v>200000</v>
      </c>
      <c r="U401" s="36">
        <f>IFERROR(INDEX(Katalog!$F$3:$F$12,MATCH(cadangan3[[#This Row],[ItemID B]],Katalog!$C$3:$C$12,0))*cadangan3[[#This Row],[Qty B]],0)</f>
        <v>100000</v>
      </c>
      <c r="V401" s="36">
        <f>IFERROR(cadangan3[[#This Row],[Profit B]]-(cadangan3[[#This Row],[Profit B]]*cadangan3[[#This Row],[Diskon]]),U401)</f>
        <v>80000</v>
      </c>
      <c r="X401" t="str">
        <f>IFERROR(INDEX(Katalog!$A$3:$A$12,MATCH(cadangan3[[#This Row],[ItemID C]],Katalog!$C$3:$C$12,0)),"-")</f>
        <v>-</v>
      </c>
      <c r="Y401" t="str">
        <f>IFERROR(INDEX(Katalog!$B$3:$B$12,MATCH(cadangan3[[#This Row],[ItemID C]],Katalog!$C$3:$C$12,0)),"-")</f>
        <v>-</v>
      </c>
      <c r="AB401" s="36">
        <f>IFERROR(INDEX(Katalog!$D$3:$D$12,MATCH(cadangan3[[#This Row],[ItemID C]],Katalog!$C$3:$C$12,0))*cadangan3[[#This Row],[Qty C]],0)</f>
        <v>0</v>
      </c>
      <c r="AC401" s="36">
        <f>IFERROR(INDEX(Katalog!$D$3:$D$12,MATCH(cadangan3[[#This Row],[Item C]],Katalog!$B$3:$B$12,0))*cadangan3[[#This Row],[Qty C]],0)</f>
        <v>0</v>
      </c>
      <c r="AD401" s="36">
        <f>IFERROR(cadangan3[[#This Row],[Harga Asli C]]-(cadangan3[[#This Row],[Harga Asli C]]*cadangan3[[#This Row],[Diskon]]),cadangan3[[#This Row],[Harga Asli C]])</f>
        <v>0</v>
      </c>
      <c r="AE401" s="36">
        <f>IFERROR(INDEX(Katalog!$F$3:$F$12,MATCH(cadangan3[[#This Row],[ItemID C]],Katalog!$C$3:$C$12,0))*cadangan3[[#This Row],[Qty C]],0)</f>
        <v>0</v>
      </c>
      <c r="AF401" s="36">
        <f>IFERROR(cadangan3[[#This Row],[Profit C]]-(cadangan3[[#This Row],[Profit C]]*cadangan3[[#This Row],[Diskon]]),cadangan3[[#This Row],[Profit C]])</f>
        <v>0</v>
      </c>
      <c r="AG401" s="21">
        <f>cadangan3[[#This Row],[Qty A]]+cadangan3[[#This Row],[Qty B]]+cadangan3[[#This Row],[Qty C]]</f>
        <v>4</v>
      </c>
      <c r="AH401" s="35">
        <f>cadangan3[[#This Row],[Harga A + Diskon]]+cadangan3[[#This Row],[Harga + Diskon B]]+cadangan3[[#This Row],[Harga + Diskon C]]</f>
        <v>560000</v>
      </c>
      <c r="AI401" s="35">
        <f>(cadangan3[[#This Row],[Profit A]]+cadangan3[[#This Row],[Profit B]]+cadangan3[[#This Row],[Profit C]])</f>
        <v>280000</v>
      </c>
      <c r="AJ401" s="35">
        <f>cadangan3[[#This Row],[Provit A + Diskon]]+cadangan3[[#This Row],[Provit B + Diskon]]+cadangan3[[#This Row],[Provit C + Diskon]]</f>
        <v>224000</v>
      </c>
      <c r="AK401" s="23" t="s">
        <v>8</v>
      </c>
      <c r="AL401" s="37">
        <f>IFERROR(INDEX('Kode Diskon'!$D$3:$D$9,MATCH(cadangan3[[#This Row],[Kode diskon]],'Kode Diskon'!$C$3:$C$9,0)),"-")</f>
        <v>0.2</v>
      </c>
      <c r="AM401" s="23" t="s">
        <v>9</v>
      </c>
      <c r="AN401" s="23" t="s">
        <v>7</v>
      </c>
      <c r="AO401" s="23" t="s">
        <v>80</v>
      </c>
      <c r="AP401" s="24">
        <v>45040</v>
      </c>
      <c r="AQ401" s="23" t="str">
        <f>TEXT(cadangan3[[#This Row],[Tanggal terjual]],"dddd")</f>
        <v>Monday</v>
      </c>
    </row>
    <row r="402" spans="1:43" x14ac:dyDescent="0.2">
      <c r="A402" s="20">
        <v>401</v>
      </c>
      <c r="B402" s="21" t="str">
        <f>_xlfn.CONCAT("ORD-",INDEX(Helper!$B$2:$B$5,MATCH(cadangan3[[#This Row],[Marketplace]],Helper!$A$2:$A$5,0)),TEXT(cadangan3[[#This Row],[No]],"0000"),"-",TEXT(cadangan3[[#This Row],[Tanggal terjual]],"dd/mm/yy"))</f>
        <v>ORD-SP0401-03/04/23</v>
      </c>
      <c r="C402" t="s">
        <v>63</v>
      </c>
      <c r="D402" t="str">
        <f>IFERROR(INDEX(Katalog!$A$3:$A$12,MATCH(cadangan3[[#This Row],[ItemID A]],Katalog!$C$3:$C$12,0)),"-")</f>
        <v>Pakaian Pria</v>
      </c>
      <c r="E402" t="str">
        <f>IFERROR(INDEX(Katalog!$B$3:$B$12,MATCH(cadangan3[[#This Row],[ItemID A]],Katalog!$C$3:$C$12,0)),"-")</f>
        <v>Jaket Jeans</v>
      </c>
      <c r="F402">
        <v>1</v>
      </c>
      <c r="G402">
        <v>2</v>
      </c>
      <c r="H402" s="36">
        <f>IFERROR(INDEX(Katalog!$D$3:$D$12,MATCH(cadangan3[[#This Row],[ItemID A]],Katalog!$C$3:$C$12,0))*cadangan3[[#This Row],[Qty A]],0)</f>
        <v>400000</v>
      </c>
      <c r="I402" s="36">
        <f>IFERROR(INDEX(Katalog!$D$3:$D$12,MATCH(cadangan3[[#This Row],[Item A]],Katalog!$B$3:$B$12,0))*cadangan3[[#This Row],[Qty A]],0)</f>
        <v>400000</v>
      </c>
      <c r="J402" s="36">
        <f>IFERROR(cadangan3[[#This Row],[Harga Asli A]]-(cadangan3[[#This Row],[Harga Asli A]]*cadangan3[[#This Row],[Diskon]]),cadangan3[[#This Row],[Harga Asli A]])</f>
        <v>360000</v>
      </c>
      <c r="K402" s="36">
        <f>INDEX(Katalog!$F$3:$F$12,MATCH(cadangan3[[#This Row],[ItemID A]],Katalog!$C$3:$C$12,0))*cadangan3[[#This Row],[Qty A]]</f>
        <v>150000</v>
      </c>
      <c r="L402" s="36">
        <f>IFERROR(cadangan3[[#This Row],[Profit A]]-(cadangan3[[#This Row],[Profit A]]*cadangan3[[#This Row],[Diskon]]),K402)</f>
        <v>135000</v>
      </c>
      <c r="N402" t="str">
        <f>IFERROR(INDEX(Katalog!$A$3:$A$12,MATCH(cadangan3[[#This Row],[ItemID B]],Katalog!$C$3:$C$12,0)),"-")</f>
        <v>-</v>
      </c>
      <c r="O402" t="str">
        <f>IFERROR(INDEX(Katalog!$B$3:$B$12,MATCH(cadangan3[[#This Row],[ItemID B]],Katalog!$C$3:$C$12,0)),"-")</f>
        <v>-</v>
      </c>
      <c r="R402" s="36">
        <f>IFERROR(INDEX(Katalog!$D$3:$D$12,MATCH(cadangan3[[#This Row],[ItemID B]],Katalog!$C$3:$C$12,0))*cadangan3[[#This Row],[Qty B]],0)</f>
        <v>0</v>
      </c>
      <c r="S402" s="36">
        <f>IFERROR(INDEX(Katalog!$D$3:$D$12,MATCH(cadangan3[[#This Row],[Item B]],Katalog!$B$3:$B$12,0))*cadangan3[[#This Row],[Qty B]],0)</f>
        <v>0</v>
      </c>
      <c r="T402" s="36">
        <f>IFERROR(cadangan3[[#This Row],[Harga Asli B]]-(cadangan3[[#This Row],[Harga Asli B]]*cadangan3[[#This Row],[Diskon]]),cadangan3[[#This Row],[Harga Asli B]])</f>
        <v>0</v>
      </c>
      <c r="U402" s="36">
        <f>IFERROR(INDEX(Katalog!$F$3:$F$12,MATCH(cadangan3[[#This Row],[ItemID B]],Katalog!$C$3:$C$12,0))*cadangan3[[#This Row],[Qty B]],0)</f>
        <v>0</v>
      </c>
      <c r="V402" s="36">
        <f>IFERROR(cadangan3[[#This Row],[Profit B]]-(cadangan3[[#This Row],[Profit B]]*cadangan3[[#This Row],[Diskon]]),U402)</f>
        <v>0</v>
      </c>
      <c r="X402" t="str">
        <f>IFERROR(INDEX(Katalog!$A$3:$A$12,MATCH(cadangan3[[#This Row],[ItemID C]],Katalog!$C$3:$C$12,0)),"-")</f>
        <v>-</v>
      </c>
      <c r="Y402" t="str">
        <f>IFERROR(INDEX(Katalog!$B$3:$B$12,MATCH(cadangan3[[#This Row],[ItemID C]],Katalog!$C$3:$C$12,0)),"-")</f>
        <v>-</v>
      </c>
      <c r="AB402" s="36">
        <f>IFERROR(INDEX(Katalog!$D$3:$D$12,MATCH(cadangan3[[#This Row],[ItemID C]],Katalog!$C$3:$C$12,0))*cadangan3[[#This Row],[Qty C]],0)</f>
        <v>0</v>
      </c>
      <c r="AC402" s="36">
        <f>IFERROR(INDEX(Katalog!$D$3:$D$12,MATCH(cadangan3[[#This Row],[Item C]],Katalog!$B$3:$B$12,0))*cadangan3[[#This Row],[Qty C]],0)</f>
        <v>0</v>
      </c>
      <c r="AD402" s="36">
        <f>IFERROR(cadangan3[[#This Row],[Harga Asli C]]-(cadangan3[[#This Row],[Harga Asli C]]*cadangan3[[#This Row],[Diskon]]),cadangan3[[#This Row],[Harga Asli C]])</f>
        <v>0</v>
      </c>
      <c r="AE402" s="36">
        <f>IFERROR(INDEX(Katalog!$F$3:$F$12,MATCH(cadangan3[[#This Row],[ItemID C]],Katalog!$C$3:$C$12,0))*cadangan3[[#This Row],[Qty C]],0)</f>
        <v>0</v>
      </c>
      <c r="AF402" s="36">
        <f>IFERROR(cadangan3[[#This Row],[Profit C]]-(cadangan3[[#This Row],[Profit C]]*cadangan3[[#This Row],[Diskon]]),cadangan3[[#This Row],[Profit C]])</f>
        <v>0</v>
      </c>
      <c r="AG402" s="21">
        <f>cadangan3[[#This Row],[Qty A]]+cadangan3[[#This Row],[Qty B]]+cadangan3[[#This Row],[Qty C]]</f>
        <v>1</v>
      </c>
      <c r="AH402" s="35">
        <f>cadangan3[[#This Row],[Harga A + Diskon]]+cadangan3[[#This Row],[Harga + Diskon B]]+cadangan3[[#This Row],[Harga + Diskon C]]</f>
        <v>360000</v>
      </c>
      <c r="AI402" s="35">
        <f>(cadangan3[[#This Row],[Profit A]]+cadangan3[[#This Row],[Profit B]]+cadangan3[[#This Row],[Profit C]])</f>
        <v>150000</v>
      </c>
      <c r="AJ402" s="35">
        <f>cadangan3[[#This Row],[Provit A + Diskon]]+cadangan3[[#This Row],[Provit B + Diskon]]+cadangan3[[#This Row],[Provit C + Diskon]]</f>
        <v>135000</v>
      </c>
      <c r="AK402" s="23" t="s">
        <v>6</v>
      </c>
      <c r="AL402" s="37">
        <f>IFERROR(INDEX('Kode Diskon'!$D$3:$D$9,MATCH(cadangan3[[#This Row],[Kode diskon]],'Kode Diskon'!$C$3:$C$9,0)),"-")</f>
        <v>0.1</v>
      </c>
      <c r="AM402" s="23" t="s">
        <v>29</v>
      </c>
      <c r="AN402" s="23" t="s">
        <v>7</v>
      </c>
      <c r="AO402" s="23" t="s">
        <v>76</v>
      </c>
      <c r="AP402" s="24">
        <v>45019</v>
      </c>
      <c r="AQ402" s="23" t="str">
        <f>TEXT(cadangan3[[#This Row],[Tanggal terjual]],"dddd")</f>
        <v>Monday</v>
      </c>
    </row>
    <row r="403" spans="1:43" x14ac:dyDescent="0.2">
      <c r="A403" s="20">
        <v>402</v>
      </c>
      <c r="B403" s="21" t="str">
        <f>_xlfn.CONCAT("ORD-",INDEX(Helper!$B$2:$B$5,MATCH(cadangan3[[#This Row],[Marketplace]],Helper!$A$2:$A$5,0)),TEXT(cadangan3[[#This Row],[No]],"0000"),"-",TEXT(cadangan3[[#This Row],[Tanggal terjual]],"dd/mm/yy"))</f>
        <v>ORD-SP0402-01/04/23</v>
      </c>
      <c r="C403" t="s">
        <v>63</v>
      </c>
      <c r="D403" t="str">
        <f>IFERROR(INDEX(Katalog!$A$3:$A$12,MATCH(cadangan3[[#This Row],[ItemID A]],Katalog!$C$3:$C$12,0)),"-")</f>
        <v>Pakaian Pria</v>
      </c>
      <c r="E403" t="str">
        <f>IFERROR(INDEX(Katalog!$B$3:$B$12,MATCH(cadangan3[[#This Row],[ItemID A]],Katalog!$C$3:$C$12,0)),"-")</f>
        <v>Jaket Jeans</v>
      </c>
      <c r="F403">
        <v>6</v>
      </c>
      <c r="G403">
        <v>4</v>
      </c>
      <c r="H403" s="36">
        <f>IFERROR(INDEX(Katalog!$D$3:$D$12,MATCH(cadangan3[[#This Row],[ItemID A]],Katalog!$C$3:$C$12,0))*cadangan3[[#This Row],[Qty A]],0)</f>
        <v>2400000</v>
      </c>
      <c r="I403" s="36">
        <f>IFERROR(INDEX(Katalog!$D$3:$D$12,MATCH(cadangan3[[#This Row],[Item A]],Katalog!$B$3:$B$12,0))*cadangan3[[#This Row],[Qty A]],0)</f>
        <v>2400000</v>
      </c>
      <c r="J403" s="36">
        <f>IFERROR(cadangan3[[#This Row],[Harga Asli A]]-(cadangan3[[#This Row],[Harga Asli A]]*cadangan3[[#This Row],[Diskon]]),cadangan3[[#This Row],[Harga Asli A]])</f>
        <v>2160000</v>
      </c>
      <c r="K403" s="36">
        <f>INDEX(Katalog!$F$3:$F$12,MATCH(cadangan3[[#This Row],[ItemID A]],Katalog!$C$3:$C$12,0))*cadangan3[[#This Row],[Qty A]]</f>
        <v>900000</v>
      </c>
      <c r="L403" s="36">
        <f>IFERROR(cadangan3[[#This Row],[Profit A]]-(cadangan3[[#This Row],[Profit A]]*cadangan3[[#This Row],[Diskon]]),K403)</f>
        <v>810000</v>
      </c>
      <c r="N403" t="str">
        <f>IFERROR(INDEX(Katalog!$A$3:$A$12,MATCH(cadangan3[[#This Row],[ItemID B]],Katalog!$C$3:$C$12,0)),"-")</f>
        <v>-</v>
      </c>
      <c r="O403" t="str">
        <f>IFERROR(INDEX(Katalog!$B$3:$B$12,MATCH(cadangan3[[#This Row],[ItemID B]],Katalog!$C$3:$C$12,0)),"-")</f>
        <v>-</v>
      </c>
      <c r="R403" s="36">
        <f>IFERROR(INDEX(Katalog!$D$3:$D$12,MATCH(cadangan3[[#This Row],[ItemID B]],Katalog!$C$3:$C$12,0))*cadangan3[[#This Row],[Qty B]],0)</f>
        <v>0</v>
      </c>
      <c r="S403" s="36">
        <f>IFERROR(INDEX(Katalog!$D$3:$D$12,MATCH(cadangan3[[#This Row],[Item B]],Katalog!$B$3:$B$12,0))*cadangan3[[#This Row],[Qty B]],0)</f>
        <v>0</v>
      </c>
      <c r="T403" s="36">
        <f>IFERROR(cadangan3[[#This Row],[Harga Asli B]]-(cadangan3[[#This Row],[Harga Asli B]]*cadangan3[[#This Row],[Diskon]]),cadangan3[[#This Row],[Harga Asli B]])</f>
        <v>0</v>
      </c>
      <c r="U403" s="36">
        <f>IFERROR(INDEX(Katalog!$F$3:$F$12,MATCH(cadangan3[[#This Row],[ItemID B]],Katalog!$C$3:$C$12,0))*cadangan3[[#This Row],[Qty B]],0)</f>
        <v>0</v>
      </c>
      <c r="V403" s="36">
        <f>IFERROR(cadangan3[[#This Row],[Profit B]]-(cadangan3[[#This Row],[Profit B]]*cadangan3[[#This Row],[Diskon]]),U403)</f>
        <v>0</v>
      </c>
      <c r="X403" t="str">
        <f>IFERROR(INDEX(Katalog!$A$3:$A$12,MATCH(cadangan3[[#This Row],[ItemID C]],Katalog!$C$3:$C$12,0)),"-")</f>
        <v>-</v>
      </c>
      <c r="Y403" t="str">
        <f>IFERROR(INDEX(Katalog!$B$3:$B$12,MATCH(cadangan3[[#This Row],[ItemID C]],Katalog!$C$3:$C$12,0)),"-")</f>
        <v>-</v>
      </c>
      <c r="AB403" s="36">
        <f>IFERROR(INDEX(Katalog!$D$3:$D$12,MATCH(cadangan3[[#This Row],[ItemID C]],Katalog!$C$3:$C$12,0))*cadangan3[[#This Row],[Qty C]],0)</f>
        <v>0</v>
      </c>
      <c r="AC403" s="36">
        <f>IFERROR(INDEX(Katalog!$D$3:$D$12,MATCH(cadangan3[[#This Row],[Item C]],Katalog!$B$3:$B$12,0))*cadangan3[[#This Row],[Qty C]],0)</f>
        <v>0</v>
      </c>
      <c r="AD403" s="36">
        <f>IFERROR(cadangan3[[#This Row],[Harga Asli C]]-(cadangan3[[#This Row],[Harga Asli C]]*cadangan3[[#This Row],[Diskon]]),cadangan3[[#This Row],[Harga Asli C]])</f>
        <v>0</v>
      </c>
      <c r="AE403" s="36">
        <f>IFERROR(INDEX(Katalog!$F$3:$F$12,MATCH(cadangan3[[#This Row],[ItemID C]],Katalog!$C$3:$C$12,0))*cadangan3[[#This Row],[Qty C]],0)</f>
        <v>0</v>
      </c>
      <c r="AF403" s="36">
        <f>IFERROR(cadangan3[[#This Row],[Profit C]]-(cadangan3[[#This Row],[Profit C]]*cadangan3[[#This Row],[Diskon]]),cadangan3[[#This Row],[Profit C]])</f>
        <v>0</v>
      </c>
      <c r="AG403" s="21">
        <f>cadangan3[[#This Row],[Qty A]]+cadangan3[[#This Row],[Qty B]]+cadangan3[[#This Row],[Qty C]]</f>
        <v>6</v>
      </c>
      <c r="AH403" s="35">
        <f>cadangan3[[#This Row],[Harga A + Diskon]]+cadangan3[[#This Row],[Harga + Diskon B]]+cadangan3[[#This Row],[Harga + Diskon C]]</f>
        <v>2160000</v>
      </c>
      <c r="AI403" s="35">
        <f>(cadangan3[[#This Row],[Profit A]]+cadangan3[[#This Row],[Profit B]]+cadangan3[[#This Row],[Profit C]])</f>
        <v>900000</v>
      </c>
      <c r="AJ403" s="35">
        <f>cadangan3[[#This Row],[Provit A + Diskon]]+cadangan3[[#This Row],[Provit B + Diskon]]+cadangan3[[#This Row],[Provit C + Diskon]]</f>
        <v>810000</v>
      </c>
      <c r="AK403" s="23" t="s">
        <v>6</v>
      </c>
      <c r="AL403" s="37">
        <f>IFERROR(INDEX('Kode Diskon'!$D$3:$D$9,MATCH(cadangan3[[#This Row],[Kode diskon]],'Kode Diskon'!$C$3:$C$9,0)),"-")</f>
        <v>0.1</v>
      </c>
      <c r="AM403" s="23" t="s">
        <v>29</v>
      </c>
      <c r="AN403" s="23" t="s">
        <v>7</v>
      </c>
      <c r="AO403" s="23" t="s">
        <v>79</v>
      </c>
      <c r="AP403" s="24">
        <v>45017</v>
      </c>
      <c r="AQ403" s="23" t="str">
        <f>TEXT(cadangan3[[#This Row],[Tanggal terjual]],"dddd")</f>
        <v>Saturday</v>
      </c>
    </row>
    <row r="404" spans="1:43" x14ac:dyDescent="0.2">
      <c r="A404" s="20">
        <v>403</v>
      </c>
      <c r="B404" s="21" t="str">
        <f>_xlfn.CONCAT("ORD-",INDEX(Helper!$B$2:$B$5,MATCH(cadangan3[[#This Row],[Marketplace]],Helper!$A$2:$A$5,0)),TEXT(cadangan3[[#This Row],[No]],"0000"),"-",TEXT(cadangan3[[#This Row],[Tanggal terjual]],"dd/mm/yy"))</f>
        <v>ORD-SP0403-04/04/23</v>
      </c>
      <c r="C404" t="s">
        <v>60</v>
      </c>
      <c r="D404" t="str">
        <f>IFERROR(INDEX(Katalog!$A$3:$A$12,MATCH(cadangan3[[#This Row],[ItemID A]],Katalog!$C$3:$C$12,0)),"-")</f>
        <v>Pakaian Wanita</v>
      </c>
      <c r="E404" t="str">
        <f>IFERROR(INDEX(Katalog!$B$3:$B$12,MATCH(cadangan3[[#This Row],[ItemID A]],Katalog!$C$3:$C$12,0)),"-")</f>
        <v>Kaftan</v>
      </c>
      <c r="F404">
        <v>3</v>
      </c>
      <c r="G404">
        <v>3</v>
      </c>
      <c r="H404" s="36">
        <f>IFERROR(INDEX(Katalog!$D$3:$D$12,MATCH(cadangan3[[#This Row],[ItemID A]],Katalog!$C$3:$C$12,0))*cadangan3[[#This Row],[Qty A]],0)</f>
        <v>750000</v>
      </c>
      <c r="I404" s="36">
        <f>IFERROR(INDEX(Katalog!$D$3:$D$12,MATCH(cadangan3[[#This Row],[Item A]],Katalog!$B$3:$B$12,0))*cadangan3[[#This Row],[Qty A]],0)</f>
        <v>750000</v>
      </c>
      <c r="J404" s="36">
        <f>IFERROR(cadangan3[[#This Row],[Harga Asli A]]-(cadangan3[[#This Row],[Harga Asli A]]*cadangan3[[#This Row],[Diskon]]),cadangan3[[#This Row],[Harga Asli A]])</f>
        <v>637500</v>
      </c>
      <c r="K404" s="36">
        <f>INDEX(Katalog!$F$3:$F$12,MATCH(cadangan3[[#This Row],[ItemID A]],Katalog!$C$3:$C$12,0))*cadangan3[[#This Row],[Qty A]]</f>
        <v>300000</v>
      </c>
      <c r="L404" s="36">
        <f>IFERROR(cadangan3[[#This Row],[Profit A]]-(cadangan3[[#This Row],[Profit A]]*cadangan3[[#This Row],[Diskon]]),K404)</f>
        <v>255000</v>
      </c>
      <c r="M404" t="s">
        <v>58</v>
      </c>
      <c r="N404" t="str">
        <f>IFERROR(INDEX(Katalog!$A$3:$A$12,MATCH(cadangan3[[#This Row],[ItemID B]],Katalog!$C$3:$C$12,0)),"-")</f>
        <v>Pakaian Wanita</v>
      </c>
      <c r="O404" t="str">
        <f>IFERROR(INDEX(Katalog!$B$3:$B$12,MATCH(cadangan3[[#This Row],[ItemID B]],Katalog!$C$3:$C$12,0)),"-")</f>
        <v>Dress</v>
      </c>
      <c r="P404">
        <v>3</v>
      </c>
      <c r="Q404">
        <v>2</v>
      </c>
      <c r="R404" s="36">
        <f>IFERROR(INDEX(Katalog!$D$3:$D$12,MATCH(cadangan3[[#This Row],[ItemID B]],Katalog!$C$3:$C$12,0))*cadangan3[[#This Row],[Qty B]],0)</f>
        <v>900000</v>
      </c>
      <c r="S404" s="36">
        <f>IFERROR(INDEX(Katalog!$D$3:$D$12,MATCH(cadangan3[[#This Row],[Item B]],Katalog!$B$3:$B$12,0))*cadangan3[[#This Row],[Qty B]],0)</f>
        <v>900000</v>
      </c>
      <c r="T404" s="36">
        <f>IFERROR(cadangan3[[#This Row],[Harga Asli B]]-(cadangan3[[#This Row],[Harga Asli B]]*cadangan3[[#This Row],[Diskon]]),cadangan3[[#This Row],[Harga Asli B]])</f>
        <v>765000</v>
      </c>
      <c r="U404" s="36">
        <f>IFERROR(INDEX(Katalog!$F$3:$F$12,MATCH(cadangan3[[#This Row],[ItemID B]],Katalog!$C$3:$C$12,0))*cadangan3[[#This Row],[Qty B]],0)</f>
        <v>300000</v>
      </c>
      <c r="V404" s="36">
        <f>IFERROR(cadangan3[[#This Row],[Profit B]]-(cadangan3[[#This Row],[Profit B]]*cadangan3[[#This Row],[Diskon]]),U404)</f>
        <v>255000</v>
      </c>
      <c r="X404" t="str">
        <f>IFERROR(INDEX(Katalog!$A$3:$A$12,MATCH(cadangan3[[#This Row],[ItemID C]],Katalog!$C$3:$C$12,0)),"-")</f>
        <v>-</v>
      </c>
      <c r="Y404" t="str">
        <f>IFERROR(INDEX(Katalog!$B$3:$B$12,MATCH(cadangan3[[#This Row],[ItemID C]],Katalog!$C$3:$C$12,0)),"-")</f>
        <v>-</v>
      </c>
      <c r="AB404" s="36">
        <f>IFERROR(INDEX(Katalog!$D$3:$D$12,MATCH(cadangan3[[#This Row],[ItemID C]],Katalog!$C$3:$C$12,0))*cadangan3[[#This Row],[Qty C]],0)</f>
        <v>0</v>
      </c>
      <c r="AC404" s="36">
        <f>IFERROR(INDEX(Katalog!$D$3:$D$12,MATCH(cadangan3[[#This Row],[Item C]],Katalog!$B$3:$B$12,0))*cadangan3[[#This Row],[Qty C]],0)</f>
        <v>0</v>
      </c>
      <c r="AD404" s="36">
        <f>IFERROR(cadangan3[[#This Row],[Harga Asli C]]-(cadangan3[[#This Row],[Harga Asli C]]*cadangan3[[#This Row],[Diskon]]),cadangan3[[#This Row],[Harga Asli C]])</f>
        <v>0</v>
      </c>
      <c r="AE404" s="36">
        <f>IFERROR(INDEX(Katalog!$F$3:$F$12,MATCH(cadangan3[[#This Row],[ItemID C]],Katalog!$C$3:$C$12,0))*cadangan3[[#This Row],[Qty C]],0)</f>
        <v>0</v>
      </c>
      <c r="AF404" s="36">
        <f>IFERROR(cadangan3[[#This Row],[Profit C]]-(cadangan3[[#This Row],[Profit C]]*cadangan3[[#This Row],[Diskon]]),cadangan3[[#This Row],[Profit C]])</f>
        <v>0</v>
      </c>
      <c r="AG404" s="21">
        <f>cadangan3[[#This Row],[Qty A]]+cadangan3[[#This Row],[Qty B]]+cadangan3[[#This Row],[Qty C]]</f>
        <v>6</v>
      </c>
      <c r="AH404" s="35">
        <f>cadangan3[[#This Row],[Harga A + Diskon]]+cadangan3[[#This Row],[Harga + Diskon B]]+cadangan3[[#This Row],[Harga + Diskon C]]</f>
        <v>1402500</v>
      </c>
      <c r="AI404" s="35">
        <f>(cadangan3[[#This Row],[Profit A]]+cadangan3[[#This Row],[Profit B]]+cadangan3[[#This Row],[Profit C]])</f>
        <v>600000</v>
      </c>
      <c r="AJ404" s="35">
        <f>cadangan3[[#This Row],[Provit A + Diskon]]+cadangan3[[#This Row],[Provit B + Diskon]]+cadangan3[[#This Row],[Provit C + Diskon]]</f>
        <v>510000</v>
      </c>
      <c r="AK404" s="23" t="s">
        <v>13</v>
      </c>
      <c r="AL404" s="37">
        <f>IFERROR(INDEX('Kode Diskon'!$D$3:$D$9,MATCH(cadangan3[[#This Row],[Kode diskon]],'Kode Diskon'!$C$3:$C$9,0)),"-")</f>
        <v>0.15</v>
      </c>
      <c r="AM404" s="23" t="s">
        <v>29</v>
      </c>
      <c r="AN404" s="23" t="s">
        <v>7</v>
      </c>
      <c r="AO404" s="23" t="s">
        <v>80</v>
      </c>
      <c r="AP404" s="24">
        <v>45020</v>
      </c>
      <c r="AQ404" s="23" t="str">
        <f>TEXT(cadangan3[[#This Row],[Tanggal terjual]],"dddd")</f>
        <v>Tuesday</v>
      </c>
    </row>
    <row r="405" spans="1:43" x14ac:dyDescent="0.2">
      <c r="A405" s="20">
        <v>404</v>
      </c>
      <c r="B405" s="21" t="str">
        <f>_xlfn.CONCAT("ORD-",INDEX(Helper!$B$2:$B$5,MATCH(cadangan3[[#This Row],[Marketplace]],Helper!$A$2:$A$5,0)),TEXT(cadangan3[[#This Row],[No]],"0000"),"-",TEXT(cadangan3[[#This Row],[Tanggal terjual]],"dd/mm/yy"))</f>
        <v>ORD-BB0404-01/04/23</v>
      </c>
      <c r="C405" t="s">
        <v>67</v>
      </c>
      <c r="D405" t="str">
        <f>IFERROR(INDEX(Katalog!$A$3:$A$12,MATCH(cadangan3[[#This Row],[ItemID A]],Katalog!$C$3:$C$12,0)),"-")</f>
        <v>Sepatu Wanita</v>
      </c>
      <c r="E405" t="str">
        <f>IFERROR(INDEX(Katalog!$B$3:$B$12,MATCH(cadangan3[[#This Row],[ItemID A]],Katalog!$C$3:$C$12,0)),"-")</f>
        <v>Flat Shoes</v>
      </c>
      <c r="F405">
        <v>1</v>
      </c>
      <c r="G405">
        <v>3</v>
      </c>
      <c r="H405" s="36">
        <f>IFERROR(INDEX(Katalog!$D$3:$D$12,MATCH(cadangan3[[#This Row],[ItemID A]],Katalog!$C$3:$C$12,0))*cadangan3[[#This Row],[Qty A]],0)</f>
        <v>250000</v>
      </c>
      <c r="I405" s="36">
        <f>IFERROR(INDEX(Katalog!$D$3:$D$12,MATCH(cadangan3[[#This Row],[Item A]],Katalog!$B$3:$B$12,0))*cadangan3[[#This Row],[Qty A]],0)</f>
        <v>250000</v>
      </c>
      <c r="J405" s="36">
        <f>IFERROR(cadangan3[[#This Row],[Harga Asli A]]-(cadangan3[[#This Row],[Harga Asli A]]*cadangan3[[#This Row],[Diskon]]),cadangan3[[#This Row],[Harga Asli A]])</f>
        <v>212500</v>
      </c>
      <c r="K405" s="36">
        <f>INDEX(Katalog!$F$3:$F$12,MATCH(cadangan3[[#This Row],[ItemID A]],Katalog!$C$3:$C$12,0))*cadangan3[[#This Row],[Qty A]]</f>
        <v>100000</v>
      </c>
      <c r="L405" s="36">
        <f>IFERROR(cadangan3[[#This Row],[Profit A]]-(cadangan3[[#This Row],[Profit A]]*cadangan3[[#This Row],[Diskon]]),K405)</f>
        <v>85000</v>
      </c>
      <c r="N405" t="str">
        <f>IFERROR(INDEX(Katalog!$A$3:$A$12,MATCH(cadangan3[[#This Row],[ItemID B]],Katalog!$C$3:$C$12,0)),"-")</f>
        <v>-</v>
      </c>
      <c r="O405" t="str">
        <f>IFERROR(INDEX(Katalog!$B$3:$B$12,MATCH(cadangan3[[#This Row],[ItemID B]],Katalog!$C$3:$C$12,0)),"-")</f>
        <v>-</v>
      </c>
      <c r="R405" s="36">
        <f>IFERROR(INDEX(Katalog!$D$3:$D$12,MATCH(cadangan3[[#This Row],[ItemID B]],Katalog!$C$3:$C$12,0))*cadangan3[[#This Row],[Qty B]],0)</f>
        <v>0</v>
      </c>
      <c r="S405" s="36">
        <f>IFERROR(INDEX(Katalog!$D$3:$D$12,MATCH(cadangan3[[#This Row],[Item B]],Katalog!$B$3:$B$12,0))*cadangan3[[#This Row],[Qty B]],0)</f>
        <v>0</v>
      </c>
      <c r="T405" s="36">
        <f>IFERROR(cadangan3[[#This Row],[Harga Asli B]]-(cadangan3[[#This Row],[Harga Asli B]]*cadangan3[[#This Row],[Diskon]]),cadangan3[[#This Row],[Harga Asli B]])</f>
        <v>0</v>
      </c>
      <c r="U405" s="36">
        <f>IFERROR(INDEX(Katalog!$F$3:$F$12,MATCH(cadangan3[[#This Row],[ItemID B]],Katalog!$C$3:$C$12,0))*cadangan3[[#This Row],[Qty B]],0)</f>
        <v>0</v>
      </c>
      <c r="V405" s="36">
        <f>IFERROR(cadangan3[[#This Row],[Profit B]]-(cadangan3[[#This Row],[Profit B]]*cadangan3[[#This Row],[Diskon]]),U405)</f>
        <v>0</v>
      </c>
      <c r="X405" t="str">
        <f>IFERROR(INDEX(Katalog!$A$3:$A$12,MATCH(cadangan3[[#This Row],[ItemID C]],Katalog!$C$3:$C$12,0)),"-")</f>
        <v>-</v>
      </c>
      <c r="Y405" t="str">
        <f>IFERROR(INDEX(Katalog!$B$3:$B$12,MATCH(cadangan3[[#This Row],[ItemID C]],Katalog!$C$3:$C$12,0)),"-")</f>
        <v>-</v>
      </c>
      <c r="AB405" s="36">
        <f>IFERROR(INDEX(Katalog!$D$3:$D$12,MATCH(cadangan3[[#This Row],[ItemID C]],Katalog!$C$3:$C$12,0))*cadangan3[[#This Row],[Qty C]],0)</f>
        <v>0</v>
      </c>
      <c r="AC405" s="36">
        <f>IFERROR(INDEX(Katalog!$D$3:$D$12,MATCH(cadangan3[[#This Row],[Item C]],Katalog!$B$3:$B$12,0))*cadangan3[[#This Row],[Qty C]],0)</f>
        <v>0</v>
      </c>
      <c r="AD405" s="36">
        <f>IFERROR(cadangan3[[#This Row],[Harga Asli C]]-(cadangan3[[#This Row],[Harga Asli C]]*cadangan3[[#This Row],[Diskon]]),cadangan3[[#This Row],[Harga Asli C]])</f>
        <v>0</v>
      </c>
      <c r="AE405" s="36">
        <f>IFERROR(INDEX(Katalog!$F$3:$F$12,MATCH(cadangan3[[#This Row],[ItemID C]],Katalog!$C$3:$C$12,0))*cadangan3[[#This Row],[Qty C]],0)</f>
        <v>0</v>
      </c>
      <c r="AF405" s="36">
        <f>IFERROR(cadangan3[[#This Row],[Profit C]]-(cadangan3[[#This Row],[Profit C]]*cadangan3[[#This Row],[Diskon]]),cadangan3[[#This Row],[Profit C]])</f>
        <v>0</v>
      </c>
      <c r="AG405" s="21">
        <f>cadangan3[[#This Row],[Qty A]]+cadangan3[[#This Row],[Qty B]]+cadangan3[[#This Row],[Qty C]]</f>
        <v>1</v>
      </c>
      <c r="AH405" s="35">
        <f>cadangan3[[#This Row],[Harga A + Diskon]]+cadangan3[[#This Row],[Harga + Diskon B]]+cadangan3[[#This Row],[Harga + Diskon C]]</f>
        <v>212500</v>
      </c>
      <c r="AI405" s="35">
        <f>(cadangan3[[#This Row],[Profit A]]+cadangan3[[#This Row],[Profit B]]+cadangan3[[#This Row],[Profit C]])</f>
        <v>100000</v>
      </c>
      <c r="AJ405" s="35">
        <f>cadangan3[[#This Row],[Provit A + Diskon]]+cadangan3[[#This Row],[Provit B + Diskon]]+cadangan3[[#This Row],[Provit C + Diskon]]</f>
        <v>85000</v>
      </c>
      <c r="AK405" s="23" t="s">
        <v>28</v>
      </c>
      <c r="AL405" s="37">
        <f>IFERROR(INDEX('Kode Diskon'!$D$3:$D$9,MATCH(cadangan3[[#This Row],[Kode diskon]],'Kode Diskon'!$C$3:$C$9,0)),"-")</f>
        <v>0.15</v>
      </c>
      <c r="AM405" s="23" t="s">
        <v>29</v>
      </c>
      <c r="AN405" s="23" t="s">
        <v>14</v>
      </c>
      <c r="AO405" s="23" t="s">
        <v>79</v>
      </c>
      <c r="AP405" s="24">
        <v>45017</v>
      </c>
      <c r="AQ405" s="23" t="str">
        <f>TEXT(cadangan3[[#This Row],[Tanggal terjual]],"dddd")</f>
        <v>Saturday</v>
      </c>
    </row>
    <row r="406" spans="1:43" x14ac:dyDescent="0.2">
      <c r="A406" s="20">
        <v>405</v>
      </c>
      <c r="B406" s="21" t="str">
        <f>_xlfn.CONCAT("ORD-",INDEX(Helper!$B$2:$B$5,MATCH(cadangan3[[#This Row],[Marketplace]],Helper!$A$2:$A$5,0)),TEXT(cadangan3[[#This Row],[No]],"0000"),"-",TEXT(cadangan3[[#This Row],[Tanggal terjual]],"dd/mm/yy"))</f>
        <v>ORD-SP0405-20/04/23</v>
      </c>
      <c r="C406" t="s">
        <v>61</v>
      </c>
      <c r="D406" t="str">
        <f>IFERROR(INDEX(Katalog!$A$3:$A$12,MATCH(cadangan3[[#This Row],[ItemID A]],Katalog!$C$3:$C$12,0)),"-")</f>
        <v>Pakaian Pria</v>
      </c>
      <c r="E406" t="str">
        <f>IFERROR(INDEX(Katalog!$B$3:$B$12,MATCH(cadangan3[[#This Row],[ItemID A]],Katalog!$C$3:$C$12,0)),"-")</f>
        <v>Kaos Polo</v>
      </c>
      <c r="F406">
        <v>4</v>
      </c>
      <c r="G406">
        <v>5</v>
      </c>
      <c r="H406" s="36">
        <f>IFERROR(INDEX(Katalog!$D$3:$D$12,MATCH(cadangan3[[#This Row],[ItemID A]],Katalog!$C$3:$C$12,0))*cadangan3[[#This Row],[Qty A]],0)</f>
        <v>800000</v>
      </c>
      <c r="I406" s="36">
        <f>IFERROR(INDEX(Katalog!$D$3:$D$12,MATCH(cadangan3[[#This Row],[Item A]],Katalog!$B$3:$B$12,0))*cadangan3[[#This Row],[Qty A]],0)</f>
        <v>800000</v>
      </c>
      <c r="J406" s="36">
        <f>IFERROR(cadangan3[[#This Row],[Harga Asli A]]-(cadangan3[[#This Row],[Harga Asli A]]*cadangan3[[#This Row],[Diskon]]),cadangan3[[#This Row],[Harga Asli A]])</f>
        <v>640000</v>
      </c>
      <c r="K406" s="36">
        <f>INDEX(Katalog!$F$3:$F$12,MATCH(cadangan3[[#This Row],[ItemID A]],Katalog!$C$3:$C$12,0))*cadangan3[[#This Row],[Qty A]]</f>
        <v>320000</v>
      </c>
      <c r="L406" s="36">
        <f>IFERROR(cadangan3[[#This Row],[Profit A]]-(cadangan3[[#This Row],[Profit A]]*cadangan3[[#This Row],[Diskon]]),K406)</f>
        <v>256000</v>
      </c>
      <c r="M406" t="s">
        <v>60</v>
      </c>
      <c r="N406" t="str">
        <f>IFERROR(INDEX(Katalog!$A$3:$A$12,MATCH(cadangan3[[#This Row],[ItemID B]],Katalog!$C$3:$C$12,0)),"-")</f>
        <v>Pakaian Wanita</v>
      </c>
      <c r="O406" t="str">
        <f>IFERROR(INDEX(Katalog!$B$3:$B$12,MATCH(cadangan3[[#This Row],[ItemID B]],Katalog!$C$3:$C$12,0)),"-")</f>
        <v>Kaftan</v>
      </c>
      <c r="P406">
        <v>1</v>
      </c>
      <c r="Q406">
        <v>2</v>
      </c>
      <c r="R406" s="36">
        <f>IFERROR(INDEX(Katalog!$D$3:$D$12,MATCH(cadangan3[[#This Row],[ItemID B]],Katalog!$C$3:$C$12,0))*cadangan3[[#This Row],[Qty B]],0)</f>
        <v>250000</v>
      </c>
      <c r="S406" s="36">
        <f>IFERROR(INDEX(Katalog!$D$3:$D$12,MATCH(cadangan3[[#This Row],[Item B]],Katalog!$B$3:$B$12,0))*cadangan3[[#This Row],[Qty B]],0)</f>
        <v>250000</v>
      </c>
      <c r="T406" s="36">
        <f>IFERROR(cadangan3[[#This Row],[Harga Asli B]]-(cadangan3[[#This Row],[Harga Asli B]]*cadangan3[[#This Row],[Diskon]]),cadangan3[[#This Row],[Harga Asli B]])</f>
        <v>200000</v>
      </c>
      <c r="U406" s="36">
        <f>IFERROR(INDEX(Katalog!$F$3:$F$12,MATCH(cadangan3[[#This Row],[ItemID B]],Katalog!$C$3:$C$12,0))*cadangan3[[#This Row],[Qty B]],0)</f>
        <v>100000</v>
      </c>
      <c r="V406" s="36">
        <f>IFERROR(cadangan3[[#This Row],[Profit B]]-(cadangan3[[#This Row],[Profit B]]*cadangan3[[#This Row],[Diskon]]),U406)</f>
        <v>80000</v>
      </c>
      <c r="W406" t="s">
        <v>59</v>
      </c>
      <c r="X406" t="str">
        <f>IFERROR(INDEX(Katalog!$A$3:$A$12,MATCH(cadangan3[[#This Row],[ItemID C]],Katalog!$C$3:$C$12,0)),"-")</f>
        <v>Pakaian Wanita</v>
      </c>
      <c r="Y406" t="str">
        <f>IFERROR(INDEX(Katalog!$B$3:$B$12,MATCH(cadangan3[[#This Row],[ItemID C]],Katalog!$C$3:$C$12,0)),"-")</f>
        <v>Blouse</v>
      </c>
      <c r="Z406">
        <v>2</v>
      </c>
      <c r="AA406">
        <v>1</v>
      </c>
      <c r="AB406" s="36">
        <f>IFERROR(INDEX(Katalog!$D$3:$D$12,MATCH(cadangan3[[#This Row],[ItemID C]],Katalog!$C$3:$C$12,0))*cadangan3[[#This Row],[Qty C]],0)</f>
        <v>300000</v>
      </c>
      <c r="AC406" s="36">
        <f>IFERROR(INDEX(Katalog!$D$3:$D$12,MATCH(cadangan3[[#This Row],[Item C]],Katalog!$B$3:$B$12,0))*cadangan3[[#This Row],[Qty C]],0)</f>
        <v>300000</v>
      </c>
      <c r="AD406" s="36">
        <f>IFERROR(cadangan3[[#This Row],[Harga Asli C]]-(cadangan3[[#This Row],[Harga Asli C]]*cadangan3[[#This Row],[Diskon]]),cadangan3[[#This Row],[Harga Asli C]])</f>
        <v>240000</v>
      </c>
      <c r="AE406" s="36">
        <f>IFERROR(INDEX(Katalog!$F$3:$F$12,MATCH(cadangan3[[#This Row],[ItemID C]],Katalog!$C$3:$C$12,0))*cadangan3[[#This Row],[Qty C]],0)</f>
        <v>100000</v>
      </c>
      <c r="AF406" s="36">
        <f>IFERROR(cadangan3[[#This Row],[Profit C]]-(cadangan3[[#This Row],[Profit C]]*cadangan3[[#This Row],[Diskon]]),cadangan3[[#This Row],[Profit C]])</f>
        <v>80000</v>
      </c>
      <c r="AG406" s="21">
        <f>cadangan3[[#This Row],[Qty A]]+cadangan3[[#This Row],[Qty B]]+cadangan3[[#This Row],[Qty C]]</f>
        <v>7</v>
      </c>
      <c r="AH406" s="35">
        <f>cadangan3[[#This Row],[Harga A + Diskon]]+cadangan3[[#This Row],[Harga + Diskon B]]+cadangan3[[#This Row],[Harga + Diskon C]]</f>
        <v>1080000</v>
      </c>
      <c r="AI406" s="35">
        <f>(cadangan3[[#This Row],[Profit A]]+cadangan3[[#This Row],[Profit B]]+cadangan3[[#This Row],[Profit C]])</f>
        <v>520000</v>
      </c>
      <c r="AJ406" s="35">
        <f>cadangan3[[#This Row],[Provit A + Diskon]]+cadangan3[[#This Row],[Provit B + Diskon]]+cadangan3[[#This Row],[Provit C + Diskon]]</f>
        <v>416000</v>
      </c>
      <c r="AK406" s="23" t="s">
        <v>8</v>
      </c>
      <c r="AL406" s="37">
        <f>IFERROR(INDEX('Kode Diskon'!$D$3:$D$9,MATCH(cadangan3[[#This Row],[Kode diskon]],'Kode Diskon'!$C$3:$C$9,0)),"-")</f>
        <v>0.2</v>
      </c>
      <c r="AM406" s="23" t="s">
        <v>9</v>
      </c>
      <c r="AN406" s="23" t="s">
        <v>7</v>
      </c>
      <c r="AO406" s="23" t="s">
        <v>76</v>
      </c>
      <c r="AP406" s="24">
        <v>45036</v>
      </c>
      <c r="AQ406" s="23" t="str">
        <f>TEXT(cadangan3[[#This Row],[Tanggal terjual]],"dddd")</f>
        <v>Thursday</v>
      </c>
    </row>
    <row r="407" spans="1:43" x14ac:dyDescent="0.2">
      <c r="A407" s="20">
        <v>406</v>
      </c>
      <c r="B407" s="21" t="str">
        <f>_xlfn.CONCAT("ORD-",INDEX(Helper!$B$2:$B$5,MATCH(cadangan3[[#This Row],[Marketplace]],Helper!$A$2:$A$5,0)),TEXT(cadangan3[[#This Row],[No]],"0000"),"-",TEXT(cadangan3[[#This Row],[Tanggal terjual]],"dd/mm/yy"))</f>
        <v>ORD-SP0406-02/04/23</v>
      </c>
      <c r="C407" t="s">
        <v>66</v>
      </c>
      <c r="D407" t="str">
        <f>IFERROR(INDEX(Katalog!$A$3:$A$12,MATCH(cadangan3[[#This Row],[ItemID A]],Katalog!$C$3:$C$12,0)),"-")</f>
        <v>Sepatu Pria</v>
      </c>
      <c r="E407" t="str">
        <f>IFERROR(INDEX(Katalog!$B$3:$B$12,MATCH(cadangan3[[#This Row],[ItemID A]],Katalog!$C$3:$C$12,0)),"-")</f>
        <v>Sandal Slip On</v>
      </c>
      <c r="F407">
        <v>1</v>
      </c>
      <c r="G407">
        <v>4</v>
      </c>
      <c r="H407" s="36">
        <f>IFERROR(INDEX(Katalog!$D$3:$D$12,MATCH(cadangan3[[#This Row],[ItemID A]],Katalog!$C$3:$C$12,0))*cadangan3[[#This Row],[Qty A]],0)</f>
        <v>150000</v>
      </c>
      <c r="I407" s="36">
        <f>IFERROR(INDEX(Katalog!$D$3:$D$12,MATCH(cadangan3[[#This Row],[Item A]],Katalog!$B$3:$B$12,0))*cadangan3[[#This Row],[Qty A]],0)</f>
        <v>150000</v>
      </c>
      <c r="J407" s="36">
        <f>IFERROR(cadangan3[[#This Row],[Harga Asli A]]-(cadangan3[[#This Row],[Harga Asli A]]*cadangan3[[#This Row],[Diskon]]),cadangan3[[#This Row],[Harga Asli A]])</f>
        <v>127500</v>
      </c>
      <c r="K407" s="36">
        <f>INDEX(Katalog!$F$3:$F$12,MATCH(cadangan3[[#This Row],[ItemID A]],Katalog!$C$3:$C$12,0))*cadangan3[[#This Row],[Qty A]]</f>
        <v>60000</v>
      </c>
      <c r="L407" s="36">
        <f>IFERROR(cadangan3[[#This Row],[Profit A]]-(cadangan3[[#This Row],[Profit A]]*cadangan3[[#This Row],[Diskon]]),K407)</f>
        <v>51000</v>
      </c>
      <c r="M407" t="s">
        <v>62</v>
      </c>
      <c r="N407" t="str">
        <f>IFERROR(INDEX(Katalog!$A$3:$A$12,MATCH(cadangan3[[#This Row],[ItemID B]],Katalog!$C$3:$C$12,0)),"-")</f>
        <v>Pakaian Pria</v>
      </c>
      <c r="O407" t="str">
        <f>IFERROR(INDEX(Katalog!$B$3:$B$12,MATCH(cadangan3[[#This Row],[ItemID B]],Katalog!$C$3:$C$12,0)),"-")</f>
        <v>Celana Pendek</v>
      </c>
      <c r="P407">
        <v>1</v>
      </c>
      <c r="Q407">
        <v>5</v>
      </c>
      <c r="R407" s="36">
        <f>IFERROR(INDEX(Katalog!$D$3:$D$12,MATCH(cadangan3[[#This Row],[ItemID B]],Katalog!$C$3:$C$12,0))*cadangan3[[#This Row],[Qty B]],0)</f>
        <v>180000</v>
      </c>
      <c r="S407" s="36">
        <f>IFERROR(INDEX(Katalog!$D$3:$D$12,MATCH(cadangan3[[#This Row],[Item B]],Katalog!$B$3:$B$12,0))*cadangan3[[#This Row],[Qty B]],0)</f>
        <v>180000</v>
      </c>
      <c r="T407" s="36">
        <f>IFERROR(cadangan3[[#This Row],[Harga Asli B]]-(cadangan3[[#This Row],[Harga Asli B]]*cadangan3[[#This Row],[Diskon]]),cadangan3[[#This Row],[Harga Asli B]])</f>
        <v>153000</v>
      </c>
      <c r="U407" s="36">
        <f>IFERROR(INDEX(Katalog!$F$3:$F$12,MATCH(cadangan3[[#This Row],[ItemID B]],Katalog!$C$3:$C$12,0))*cadangan3[[#This Row],[Qty B]],0)</f>
        <v>70000</v>
      </c>
      <c r="V407" s="36">
        <f>IFERROR(cadangan3[[#This Row],[Profit B]]-(cadangan3[[#This Row],[Profit B]]*cadangan3[[#This Row],[Diskon]]),U407)</f>
        <v>59500</v>
      </c>
      <c r="X407" t="str">
        <f>IFERROR(INDEX(Katalog!$A$3:$A$12,MATCH(cadangan3[[#This Row],[ItemID C]],Katalog!$C$3:$C$12,0)),"-")</f>
        <v>-</v>
      </c>
      <c r="Y407" t="str">
        <f>IFERROR(INDEX(Katalog!$B$3:$B$12,MATCH(cadangan3[[#This Row],[ItemID C]],Katalog!$C$3:$C$12,0)),"-")</f>
        <v>-</v>
      </c>
      <c r="AB407" s="36">
        <f>IFERROR(INDEX(Katalog!$D$3:$D$12,MATCH(cadangan3[[#This Row],[ItemID C]],Katalog!$C$3:$C$12,0))*cadangan3[[#This Row],[Qty C]],0)</f>
        <v>0</v>
      </c>
      <c r="AC407" s="36">
        <f>IFERROR(INDEX(Katalog!$D$3:$D$12,MATCH(cadangan3[[#This Row],[Item C]],Katalog!$B$3:$B$12,0))*cadangan3[[#This Row],[Qty C]],0)</f>
        <v>0</v>
      </c>
      <c r="AD407" s="36">
        <f>IFERROR(cadangan3[[#This Row],[Harga Asli C]]-(cadangan3[[#This Row],[Harga Asli C]]*cadangan3[[#This Row],[Diskon]]),cadangan3[[#This Row],[Harga Asli C]])</f>
        <v>0</v>
      </c>
      <c r="AE407" s="36">
        <f>IFERROR(INDEX(Katalog!$F$3:$F$12,MATCH(cadangan3[[#This Row],[ItemID C]],Katalog!$C$3:$C$12,0))*cadangan3[[#This Row],[Qty C]],0)</f>
        <v>0</v>
      </c>
      <c r="AF407" s="36">
        <f>IFERROR(cadangan3[[#This Row],[Profit C]]-(cadangan3[[#This Row],[Profit C]]*cadangan3[[#This Row],[Diskon]]),cadangan3[[#This Row],[Profit C]])</f>
        <v>0</v>
      </c>
      <c r="AG407" s="21">
        <f>cadangan3[[#This Row],[Qty A]]+cadangan3[[#This Row],[Qty B]]+cadangan3[[#This Row],[Qty C]]</f>
        <v>2</v>
      </c>
      <c r="AH407" s="35">
        <f>cadangan3[[#This Row],[Harga A + Diskon]]+cadangan3[[#This Row],[Harga + Diskon B]]+cadangan3[[#This Row],[Harga + Diskon C]]</f>
        <v>280500</v>
      </c>
      <c r="AI407" s="35">
        <f>(cadangan3[[#This Row],[Profit A]]+cadangan3[[#This Row],[Profit B]]+cadangan3[[#This Row],[Profit C]])</f>
        <v>130000</v>
      </c>
      <c r="AJ407" s="35">
        <f>cadangan3[[#This Row],[Provit A + Diskon]]+cadangan3[[#This Row],[Provit B + Diskon]]+cadangan3[[#This Row],[Provit C + Diskon]]</f>
        <v>110500</v>
      </c>
      <c r="AK407" s="23" t="s">
        <v>13</v>
      </c>
      <c r="AL407" s="37">
        <f>IFERROR(INDEX('Kode Diskon'!$D$3:$D$9,MATCH(cadangan3[[#This Row],[Kode diskon]],'Kode Diskon'!$C$3:$C$9,0)),"-")</f>
        <v>0.15</v>
      </c>
      <c r="AM407" s="23" t="s">
        <v>29</v>
      </c>
      <c r="AN407" s="23" t="s">
        <v>7</v>
      </c>
      <c r="AO407" s="23" t="s">
        <v>80</v>
      </c>
      <c r="AP407" s="24">
        <v>45018</v>
      </c>
      <c r="AQ407" s="23" t="str">
        <f>TEXT(cadangan3[[#This Row],[Tanggal terjual]],"dddd")</f>
        <v>Sunday</v>
      </c>
    </row>
    <row r="408" spans="1:43" x14ac:dyDescent="0.2">
      <c r="A408" s="20">
        <v>407</v>
      </c>
      <c r="B408" s="21" t="str">
        <f>_xlfn.CONCAT("ORD-",INDEX(Helper!$B$2:$B$5,MATCH(cadangan3[[#This Row],[Marketplace]],Helper!$A$2:$A$5,0)),TEXT(cadangan3[[#This Row],[No]],"0000"),"-",TEXT(cadangan3[[#This Row],[Tanggal terjual]],"dd/mm/yy"))</f>
        <v>ORD-SP0407-01/04/23</v>
      </c>
      <c r="C408" t="s">
        <v>65</v>
      </c>
      <c r="D408" t="str">
        <f>IFERROR(INDEX(Katalog!$A$3:$A$12,MATCH(cadangan3[[#This Row],[ItemID A]],Katalog!$C$3:$C$12,0)),"-")</f>
        <v>Sepatu Pria</v>
      </c>
      <c r="E408" t="str">
        <f>IFERROR(INDEX(Katalog!$B$3:$B$12,MATCH(cadangan3[[#This Row],[ItemID A]],Katalog!$C$3:$C$12,0)),"-")</f>
        <v>Sneakers</v>
      </c>
      <c r="F408">
        <v>2</v>
      </c>
      <c r="G408">
        <v>5</v>
      </c>
      <c r="H408" s="36">
        <f>IFERROR(INDEX(Katalog!$D$3:$D$12,MATCH(cadangan3[[#This Row],[ItemID A]],Katalog!$C$3:$C$12,0))*cadangan3[[#This Row],[Qty A]],0)</f>
        <v>1000000</v>
      </c>
      <c r="I408" s="36">
        <f>IFERROR(INDEX(Katalog!$D$3:$D$12,MATCH(cadangan3[[#This Row],[Item A]],Katalog!$B$3:$B$12,0))*cadangan3[[#This Row],[Qty A]],0)</f>
        <v>1000000</v>
      </c>
      <c r="J408" s="36">
        <f>IFERROR(cadangan3[[#This Row],[Harga Asli A]]-(cadangan3[[#This Row],[Harga Asli A]]*cadangan3[[#This Row],[Diskon]]),cadangan3[[#This Row],[Harga Asli A]])</f>
        <v>900000</v>
      </c>
      <c r="K408" s="36">
        <f>INDEX(Katalog!$F$3:$F$12,MATCH(cadangan3[[#This Row],[ItemID A]],Katalog!$C$3:$C$12,0))*cadangan3[[#This Row],[Qty A]]</f>
        <v>400000</v>
      </c>
      <c r="L408" s="36">
        <f>IFERROR(cadangan3[[#This Row],[Profit A]]-(cadangan3[[#This Row],[Profit A]]*cadangan3[[#This Row],[Diskon]]),K408)</f>
        <v>360000</v>
      </c>
      <c r="M408" t="s">
        <v>60</v>
      </c>
      <c r="N408" t="str">
        <f>IFERROR(INDEX(Katalog!$A$3:$A$12,MATCH(cadangan3[[#This Row],[ItemID B]],Katalog!$C$3:$C$12,0)),"-")</f>
        <v>Pakaian Wanita</v>
      </c>
      <c r="O408" t="str">
        <f>IFERROR(INDEX(Katalog!$B$3:$B$12,MATCH(cadangan3[[#This Row],[ItemID B]],Katalog!$C$3:$C$12,0)),"-")</f>
        <v>Kaftan</v>
      </c>
      <c r="P408">
        <v>2</v>
      </c>
      <c r="Q408">
        <v>5</v>
      </c>
      <c r="R408" s="36">
        <f>IFERROR(INDEX(Katalog!$D$3:$D$12,MATCH(cadangan3[[#This Row],[ItemID B]],Katalog!$C$3:$C$12,0))*cadangan3[[#This Row],[Qty B]],0)</f>
        <v>500000</v>
      </c>
      <c r="S408" s="36">
        <f>IFERROR(INDEX(Katalog!$D$3:$D$12,MATCH(cadangan3[[#This Row],[Item B]],Katalog!$B$3:$B$12,0))*cadangan3[[#This Row],[Qty B]],0)</f>
        <v>500000</v>
      </c>
      <c r="T408" s="36">
        <f>IFERROR(cadangan3[[#This Row],[Harga Asli B]]-(cadangan3[[#This Row],[Harga Asli B]]*cadangan3[[#This Row],[Diskon]]),cadangan3[[#This Row],[Harga Asli B]])</f>
        <v>450000</v>
      </c>
      <c r="U408" s="36">
        <f>IFERROR(INDEX(Katalog!$F$3:$F$12,MATCH(cadangan3[[#This Row],[ItemID B]],Katalog!$C$3:$C$12,0))*cadangan3[[#This Row],[Qty B]],0)</f>
        <v>200000</v>
      </c>
      <c r="V408" s="36">
        <f>IFERROR(cadangan3[[#This Row],[Profit B]]-(cadangan3[[#This Row],[Profit B]]*cadangan3[[#This Row],[Diskon]]),U408)</f>
        <v>180000</v>
      </c>
      <c r="W408" t="s">
        <v>59</v>
      </c>
      <c r="X408" t="str">
        <f>IFERROR(INDEX(Katalog!$A$3:$A$12,MATCH(cadangan3[[#This Row],[ItemID C]],Katalog!$C$3:$C$12,0)),"-")</f>
        <v>Pakaian Wanita</v>
      </c>
      <c r="Y408" t="str">
        <f>IFERROR(INDEX(Katalog!$B$3:$B$12,MATCH(cadangan3[[#This Row],[ItemID C]],Katalog!$C$3:$C$12,0)),"-")</f>
        <v>Blouse</v>
      </c>
      <c r="Z408">
        <v>3</v>
      </c>
      <c r="AA408">
        <v>4</v>
      </c>
      <c r="AB408" s="36">
        <f>IFERROR(INDEX(Katalog!$D$3:$D$12,MATCH(cadangan3[[#This Row],[ItemID C]],Katalog!$C$3:$C$12,0))*cadangan3[[#This Row],[Qty C]],0)</f>
        <v>450000</v>
      </c>
      <c r="AC408" s="36">
        <f>IFERROR(INDEX(Katalog!$D$3:$D$12,MATCH(cadangan3[[#This Row],[Item C]],Katalog!$B$3:$B$12,0))*cadangan3[[#This Row],[Qty C]],0)</f>
        <v>450000</v>
      </c>
      <c r="AD408" s="36">
        <f>IFERROR(cadangan3[[#This Row],[Harga Asli C]]-(cadangan3[[#This Row],[Harga Asli C]]*cadangan3[[#This Row],[Diskon]]),cadangan3[[#This Row],[Harga Asli C]])</f>
        <v>405000</v>
      </c>
      <c r="AE408" s="36">
        <f>IFERROR(INDEX(Katalog!$F$3:$F$12,MATCH(cadangan3[[#This Row],[ItemID C]],Katalog!$C$3:$C$12,0))*cadangan3[[#This Row],[Qty C]],0)</f>
        <v>150000</v>
      </c>
      <c r="AF408" s="36">
        <f>IFERROR(cadangan3[[#This Row],[Profit C]]-(cadangan3[[#This Row],[Profit C]]*cadangan3[[#This Row],[Diskon]]),cadangan3[[#This Row],[Profit C]])</f>
        <v>135000</v>
      </c>
      <c r="AG408" s="21">
        <f>cadangan3[[#This Row],[Qty A]]+cadangan3[[#This Row],[Qty B]]+cadangan3[[#This Row],[Qty C]]</f>
        <v>7</v>
      </c>
      <c r="AH408" s="35">
        <f>cadangan3[[#This Row],[Harga A + Diskon]]+cadangan3[[#This Row],[Harga + Diskon B]]+cadangan3[[#This Row],[Harga + Diskon C]]</f>
        <v>1755000</v>
      </c>
      <c r="AI408" s="35">
        <f>(cadangan3[[#This Row],[Profit A]]+cadangan3[[#This Row],[Profit B]]+cadangan3[[#This Row],[Profit C]])</f>
        <v>750000</v>
      </c>
      <c r="AJ408" s="35">
        <f>cadangan3[[#This Row],[Provit A + Diskon]]+cadangan3[[#This Row],[Provit B + Diskon]]+cadangan3[[#This Row],[Provit C + Diskon]]</f>
        <v>675000</v>
      </c>
      <c r="AK408" s="23" t="s">
        <v>6</v>
      </c>
      <c r="AL408" s="37">
        <f>IFERROR(INDEX('Kode Diskon'!$D$3:$D$9,MATCH(cadangan3[[#This Row],[Kode diskon]],'Kode Diskon'!$C$3:$C$9,0)),"-")</f>
        <v>0.1</v>
      </c>
      <c r="AM408" s="23" t="s">
        <v>29</v>
      </c>
      <c r="AN408" s="23" t="s">
        <v>7</v>
      </c>
      <c r="AO408" s="23" t="s">
        <v>80</v>
      </c>
      <c r="AP408" s="24">
        <v>45017</v>
      </c>
      <c r="AQ408" s="23" t="str">
        <f>TEXT(cadangan3[[#This Row],[Tanggal terjual]],"dddd")</f>
        <v>Saturday</v>
      </c>
    </row>
    <row r="409" spans="1:43" x14ac:dyDescent="0.2">
      <c r="A409" s="20">
        <v>408</v>
      </c>
      <c r="B409" s="21" t="str">
        <f>_xlfn.CONCAT("ORD-",INDEX(Helper!$B$2:$B$5,MATCH(cadangan3[[#This Row],[Marketplace]],Helper!$A$2:$A$5,0)),TEXT(cadangan3[[#This Row],[No]],"0000"),"-",TEXT(cadangan3[[#This Row],[Tanggal terjual]],"dd/mm/yy"))</f>
        <v>ORD-TK0408-09/04/23</v>
      </c>
      <c r="C409" t="s">
        <v>63</v>
      </c>
      <c r="D409" t="str">
        <f>IFERROR(INDEX(Katalog!$A$3:$A$12,MATCH(cadangan3[[#This Row],[ItemID A]],Katalog!$C$3:$C$12,0)),"-")</f>
        <v>Pakaian Pria</v>
      </c>
      <c r="E409" t="str">
        <f>IFERROR(INDEX(Katalog!$B$3:$B$12,MATCH(cadangan3[[#This Row],[ItemID A]],Katalog!$C$3:$C$12,0)),"-")</f>
        <v>Jaket Jeans</v>
      </c>
      <c r="F409">
        <v>1</v>
      </c>
      <c r="G409">
        <v>2</v>
      </c>
      <c r="H409" s="36">
        <f>IFERROR(INDEX(Katalog!$D$3:$D$12,MATCH(cadangan3[[#This Row],[ItemID A]],Katalog!$C$3:$C$12,0))*cadangan3[[#This Row],[Qty A]],0)</f>
        <v>400000</v>
      </c>
      <c r="I409" s="36">
        <f>IFERROR(INDEX(Katalog!$D$3:$D$12,MATCH(cadangan3[[#This Row],[Item A]],Katalog!$B$3:$B$12,0))*cadangan3[[#This Row],[Qty A]],0)</f>
        <v>400000</v>
      </c>
      <c r="J409" s="36">
        <f>IFERROR(cadangan3[[#This Row],[Harga Asli A]]-(cadangan3[[#This Row],[Harga Asli A]]*cadangan3[[#This Row],[Diskon]]),cadangan3[[#This Row],[Harga Asli A]])</f>
        <v>400000</v>
      </c>
      <c r="K409" s="36">
        <f>INDEX(Katalog!$F$3:$F$12,MATCH(cadangan3[[#This Row],[ItemID A]],Katalog!$C$3:$C$12,0))*cadangan3[[#This Row],[Qty A]]</f>
        <v>150000</v>
      </c>
      <c r="L409" s="36">
        <f>IFERROR(cadangan3[[#This Row],[Profit A]]-(cadangan3[[#This Row],[Profit A]]*cadangan3[[#This Row],[Diskon]]),K409)</f>
        <v>150000</v>
      </c>
      <c r="M409" t="s">
        <v>61</v>
      </c>
      <c r="N409" t="str">
        <f>IFERROR(INDEX(Katalog!$A$3:$A$12,MATCH(cadangan3[[#This Row],[ItemID B]],Katalog!$C$3:$C$12,0)),"-")</f>
        <v>Pakaian Pria</v>
      </c>
      <c r="O409" t="str">
        <f>IFERROR(INDEX(Katalog!$B$3:$B$12,MATCH(cadangan3[[#This Row],[ItemID B]],Katalog!$C$3:$C$12,0)),"-")</f>
        <v>Kaos Polo</v>
      </c>
      <c r="P409">
        <v>1</v>
      </c>
      <c r="Q409">
        <v>2</v>
      </c>
      <c r="R409" s="36">
        <f>IFERROR(INDEX(Katalog!$D$3:$D$12,MATCH(cadangan3[[#This Row],[ItemID B]],Katalog!$C$3:$C$12,0))*cadangan3[[#This Row],[Qty B]],0)</f>
        <v>200000</v>
      </c>
      <c r="S409" s="36">
        <f>IFERROR(INDEX(Katalog!$D$3:$D$12,MATCH(cadangan3[[#This Row],[Item B]],Katalog!$B$3:$B$12,0))*cadangan3[[#This Row],[Qty B]],0)</f>
        <v>200000</v>
      </c>
      <c r="T409" s="36">
        <f>IFERROR(cadangan3[[#This Row],[Harga Asli B]]-(cadangan3[[#This Row],[Harga Asli B]]*cadangan3[[#This Row],[Diskon]]),cadangan3[[#This Row],[Harga Asli B]])</f>
        <v>200000</v>
      </c>
      <c r="U409" s="36">
        <f>IFERROR(INDEX(Katalog!$F$3:$F$12,MATCH(cadangan3[[#This Row],[ItemID B]],Katalog!$C$3:$C$12,0))*cadangan3[[#This Row],[Qty B]],0)</f>
        <v>80000</v>
      </c>
      <c r="V409" s="36">
        <f>IFERROR(cadangan3[[#This Row],[Profit B]]-(cadangan3[[#This Row],[Profit B]]*cadangan3[[#This Row],[Diskon]]),U409)</f>
        <v>80000</v>
      </c>
      <c r="W409" t="s">
        <v>65</v>
      </c>
      <c r="X409" t="str">
        <f>IFERROR(INDEX(Katalog!$A$3:$A$12,MATCH(cadangan3[[#This Row],[ItemID C]],Katalog!$C$3:$C$12,0)),"-")</f>
        <v>Sepatu Pria</v>
      </c>
      <c r="Y409" t="str">
        <f>IFERROR(INDEX(Katalog!$B$3:$B$12,MATCH(cadangan3[[#This Row],[ItemID C]],Katalog!$C$3:$C$12,0)),"-")</f>
        <v>Sneakers</v>
      </c>
      <c r="Z409">
        <v>3</v>
      </c>
      <c r="AA409">
        <v>4</v>
      </c>
      <c r="AB409" s="36">
        <f>IFERROR(INDEX(Katalog!$D$3:$D$12,MATCH(cadangan3[[#This Row],[ItemID C]],Katalog!$C$3:$C$12,0))*cadangan3[[#This Row],[Qty C]],0)</f>
        <v>1500000</v>
      </c>
      <c r="AC409" s="36">
        <f>IFERROR(INDEX(Katalog!$D$3:$D$12,MATCH(cadangan3[[#This Row],[Item C]],Katalog!$B$3:$B$12,0))*cadangan3[[#This Row],[Qty C]],0)</f>
        <v>1500000</v>
      </c>
      <c r="AD409" s="36">
        <f>IFERROR(cadangan3[[#This Row],[Harga Asli C]]-(cadangan3[[#This Row],[Harga Asli C]]*cadangan3[[#This Row],[Diskon]]),cadangan3[[#This Row],[Harga Asli C]])</f>
        <v>1500000</v>
      </c>
      <c r="AE409" s="36">
        <f>IFERROR(INDEX(Katalog!$F$3:$F$12,MATCH(cadangan3[[#This Row],[ItemID C]],Katalog!$C$3:$C$12,0))*cadangan3[[#This Row],[Qty C]],0)</f>
        <v>600000</v>
      </c>
      <c r="AF409" s="36">
        <f>IFERROR(cadangan3[[#This Row],[Profit C]]-(cadangan3[[#This Row],[Profit C]]*cadangan3[[#This Row],[Diskon]]),cadangan3[[#This Row],[Profit C]])</f>
        <v>600000</v>
      </c>
      <c r="AG409" s="21">
        <f>cadangan3[[#This Row],[Qty A]]+cadangan3[[#This Row],[Qty B]]+cadangan3[[#This Row],[Qty C]]</f>
        <v>5</v>
      </c>
      <c r="AH409" s="35">
        <f>cadangan3[[#This Row],[Harga A + Diskon]]+cadangan3[[#This Row],[Harga + Diskon B]]+cadangan3[[#This Row],[Harga + Diskon C]]</f>
        <v>2100000</v>
      </c>
      <c r="AI409" s="35">
        <f>(cadangan3[[#This Row],[Profit A]]+cadangan3[[#This Row],[Profit B]]+cadangan3[[#This Row],[Profit C]])</f>
        <v>830000</v>
      </c>
      <c r="AJ409" s="35">
        <f>cadangan3[[#This Row],[Provit A + Diskon]]+cadangan3[[#This Row],[Provit B + Diskon]]+cadangan3[[#This Row],[Provit C + Diskon]]</f>
        <v>830000</v>
      </c>
      <c r="AK409" s="23" t="s">
        <v>11</v>
      </c>
      <c r="AL409" s="37" t="str">
        <f>IFERROR(INDEX('Kode Diskon'!$D$3:$D$9,MATCH(cadangan3[[#This Row],[Kode diskon]],'Kode Diskon'!$C$3:$C$9,0)),"-")</f>
        <v>-</v>
      </c>
      <c r="AM409" s="23" t="s">
        <v>11</v>
      </c>
      <c r="AN409" s="23" t="s">
        <v>10</v>
      </c>
      <c r="AO409" s="23" t="s">
        <v>80</v>
      </c>
      <c r="AP409" s="24">
        <v>45025</v>
      </c>
      <c r="AQ409" s="23" t="str">
        <f>TEXT(cadangan3[[#This Row],[Tanggal terjual]],"dddd")</f>
        <v>Sunday</v>
      </c>
    </row>
    <row r="410" spans="1:43" x14ac:dyDescent="0.2">
      <c r="A410" s="20">
        <v>409</v>
      </c>
      <c r="B410" s="21" t="str">
        <f>_xlfn.CONCAT("ORD-",INDEX(Helper!$B$2:$B$5,MATCH(cadangan3[[#This Row],[Marketplace]],Helper!$A$2:$A$5,0)),TEXT(cadangan3[[#This Row],[No]],"0000"),"-",TEXT(cadangan3[[#This Row],[Tanggal terjual]],"dd/mm/yy"))</f>
        <v>ORD-SP0409-26/04/23</v>
      </c>
      <c r="C410" t="s">
        <v>67</v>
      </c>
      <c r="D410" t="str">
        <f>IFERROR(INDEX(Katalog!$A$3:$A$12,MATCH(cadangan3[[#This Row],[ItemID A]],Katalog!$C$3:$C$12,0)),"-")</f>
        <v>Sepatu Wanita</v>
      </c>
      <c r="E410" t="str">
        <f>IFERROR(INDEX(Katalog!$B$3:$B$12,MATCH(cadangan3[[#This Row],[ItemID A]],Katalog!$C$3:$C$12,0)),"-")</f>
        <v>Flat Shoes</v>
      </c>
      <c r="F410">
        <v>3</v>
      </c>
      <c r="G410">
        <v>5</v>
      </c>
      <c r="H410" s="36">
        <f>IFERROR(INDEX(Katalog!$D$3:$D$12,MATCH(cadangan3[[#This Row],[ItemID A]],Katalog!$C$3:$C$12,0))*cadangan3[[#This Row],[Qty A]],0)</f>
        <v>750000</v>
      </c>
      <c r="I410" s="36">
        <f>IFERROR(INDEX(Katalog!$D$3:$D$12,MATCH(cadangan3[[#This Row],[Item A]],Katalog!$B$3:$B$12,0))*cadangan3[[#This Row],[Qty A]],0)</f>
        <v>750000</v>
      </c>
      <c r="J410" s="36">
        <f>IFERROR(cadangan3[[#This Row],[Harga Asli A]]-(cadangan3[[#This Row],[Harga Asli A]]*cadangan3[[#This Row],[Diskon]]),cadangan3[[#This Row],[Harga Asli A]])</f>
        <v>600000</v>
      </c>
      <c r="K410" s="36">
        <f>INDEX(Katalog!$F$3:$F$12,MATCH(cadangan3[[#This Row],[ItemID A]],Katalog!$C$3:$C$12,0))*cadangan3[[#This Row],[Qty A]]</f>
        <v>300000</v>
      </c>
      <c r="L410" s="36">
        <f>IFERROR(cadangan3[[#This Row],[Profit A]]-(cadangan3[[#This Row],[Profit A]]*cadangan3[[#This Row],[Diskon]]),K410)</f>
        <v>240000</v>
      </c>
      <c r="M410" t="s">
        <v>60</v>
      </c>
      <c r="N410" t="str">
        <f>IFERROR(INDEX(Katalog!$A$3:$A$12,MATCH(cadangan3[[#This Row],[ItemID B]],Katalog!$C$3:$C$12,0)),"-")</f>
        <v>Pakaian Wanita</v>
      </c>
      <c r="O410" t="str">
        <f>IFERROR(INDEX(Katalog!$B$3:$B$12,MATCH(cadangan3[[#This Row],[ItemID B]],Katalog!$C$3:$C$12,0)),"-")</f>
        <v>Kaftan</v>
      </c>
      <c r="P410">
        <v>1</v>
      </c>
      <c r="Q410">
        <v>2</v>
      </c>
      <c r="R410" s="36">
        <f>IFERROR(INDEX(Katalog!$D$3:$D$12,MATCH(cadangan3[[#This Row],[ItemID B]],Katalog!$C$3:$C$12,0))*cadangan3[[#This Row],[Qty B]],0)</f>
        <v>250000</v>
      </c>
      <c r="S410" s="36">
        <f>IFERROR(INDEX(Katalog!$D$3:$D$12,MATCH(cadangan3[[#This Row],[Item B]],Katalog!$B$3:$B$12,0))*cadangan3[[#This Row],[Qty B]],0)</f>
        <v>250000</v>
      </c>
      <c r="T410" s="36">
        <f>IFERROR(cadangan3[[#This Row],[Harga Asli B]]-(cadangan3[[#This Row],[Harga Asli B]]*cadangan3[[#This Row],[Diskon]]),cadangan3[[#This Row],[Harga Asli B]])</f>
        <v>200000</v>
      </c>
      <c r="U410" s="36">
        <f>IFERROR(INDEX(Katalog!$F$3:$F$12,MATCH(cadangan3[[#This Row],[ItemID B]],Katalog!$C$3:$C$12,0))*cadangan3[[#This Row],[Qty B]],0)</f>
        <v>100000</v>
      </c>
      <c r="V410" s="36">
        <f>IFERROR(cadangan3[[#This Row],[Profit B]]-(cadangan3[[#This Row],[Profit B]]*cadangan3[[#This Row],[Diskon]]),U410)</f>
        <v>80000</v>
      </c>
      <c r="X410" t="str">
        <f>IFERROR(INDEX(Katalog!$A$3:$A$12,MATCH(cadangan3[[#This Row],[ItemID C]],Katalog!$C$3:$C$12,0)),"-")</f>
        <v>-</v>
      </c>
      <c r="Y410" t="str">
        <f>IFERROR(INDEX(Katalog!$B$3:$B$12,MATCH(cadangan3[[#This Row],[ItemID C]],Katalog!$C$3:$C$12,0)),"-")</f>
        <v>-</v>
      </c>
      <c r="AB410" s="36">
        <f>IFERROR(INDEX(Katalog!$D$3:$D$12,MATCH(cadangan3[[#This Row],[ItemID C]],Katalog!$C$3:$C$12,0))*cadangan3[[#This Row],[Qty C]],0)</f>
        <v>0</v>
      </c>
      <c r="AC410" s="36">
        <f>IFERROR(INDEX(Katalog!$D$3:$D$12,MATCH(cadangan3[[#This Row],[Item C]],Katalog!$B$3:$B$12,0))*cadangan3[[#This Row],[Qty C]],0)</f>
        <v>0</v>
      </c>
      <c r="AD410" s="36">
        <f>IFERROR(cadangan3[[#This Row],[Harga Asli C]]-(cadangan3[[#This Row],[Harga Asli C]]*cadangan3[[#This Row],[Diskon]]),cadangan3[[#This Row],[Harga Asli C]])</f>
        <v>0</v>
      </c>
      <c r="AE410" s="36">
        <f>IFERROR(INDEX(Katalog!$F$3:$F$12,MATCH(cadangan3[[#This Row],[ItemID C]],Katalog!$C$3:$C$12,0))*cadangan3[[#This Row],[Qty C]],0)</f>
        <v>0</v>
      </c>
      <c r="AF410" s="36">
        <f>IFERROR(cadangan3[[#This Row],[Profit C]]-(cadangan3[[#This Row],[Profit C]]*cadangan3[[#This Row],[Diskon]]),cadangan3[[#This Row],[Profit C]])</f>
        <v>0</v>
      </c>
      <c r="AG410" s="21">
        <f>cadangan3[[#This Row],[Qty A]]+cadangan3[[#This Row],[Qty B]]+cadangan3[[#This Row],[Qty C]]</f>
        <v>4</v>
      </c>
      <c r="AH410" s="35">
        <f>cadangan3[[#This Row],[Harga A + Diskon]]+cadangan3[[#This Row],[Harga + Diskon B]]+cadangan3[[#This Row],[Harga + Diskon C]]</f>
        <v>800000</v>
      </c>
      <c r="AI410" s="35">
        <f>(cadangan3[[#This Row],[Profit A]]+cadangan3[[#This Row],[Profit B]]+cadangan3[[#This Row],[Profit C]])</f>
        <v>400000</v>
      </c>
      <c r="AJ410" s="35">
        <f>cadangan3[[#This Row],[Provit A + Diskon]]+cadangan3[[#This Row],[Provit B + Diskon]]+cadangan3[[#This Row],[Provit C + Diskon]]</f>
        <v>320000</v>
      </c>
      <c r="AK410" s="23" t="s">
        <v>8</v>
      </c>
      <c r="AL410" s="37">
        <f>IFERROR(INDEX('Kode Diskon'!$D$3:$D$9,MATCH(cadangan3[[#This Row],[Kode diskon]],'Kode Diskon'!$C$3:$C$9,0)),"-")</f>
        <v>0.2</v>
      </c>
      <c r="AM410" s="23" t="s">
        <v>9</v>
      </c>
      <c r="AN410" s="23" t="s">
        <v>7</v>
      </c>
      <c r="AO410" s="23" t="s">
        <v>79</v>
      </c>
      <c r="AP410" s="24">
        <v>45042</v>
      </c>
      <c r="AQ410" s="23" t="str">
        <f>TEXT(cadangan3[[#This Row],[Tanggal terjual]],"dddd")</f>
        <v>Wednesday</v>
      </c>
    </row>
    <row r="411" spans="1:43" x14ac:dyDescent="0.2">
      <c r="A411" s="20">
        <v>410</v>
      </c>
      <c r="B411" s="21" t="str">
        <f>_xlfn.CONCAT("ORD-",INDEX(Helper!$B$2:$B$5,MATCH(cadangan3[[#This Row],[Marketplace]],Helper!$A$2:$A$5,0)),TEXT(cadangan3[[#This Row],[No]],"0000"),"-",TEXT(cadangan3[[#This Row],[Tanggal terjual]],"dd/mm/yy"))</f>
        <v>ORD-SP0410-16/04/23</v>
      </c>
      <c r="C411" t="s">
        <v>67</v>
      </c>
      <c r="D411" t="str">
        <f>IFERROR(INDEX(Katalog!$A$3:$A$12,MATCH(cadangan3[[#This Row],[ItemID A]],Katalog!$C$3:$C$12,0)),"-")</f>
        <v>Sepatu Wanita</v>
      </c>
      <c r="E411" t="str">
        <f>IFERROR(INDEX(Katalog!$B$3:$B$12,MATCH(cadangan3[[#This Row],[ItemID A]],Katalog!$C$3:$C$12,0)),"-")</f>
        <v>Flat Shoes</v>
      </c>
      <c r="F411">
        <v>1</v>
      </c>
      <c r="G411">
        <v>1</v>
      </c>
      <c r="H411" s="36">
        <f>IFERROR(INDEX(Katalog!$D$3:$D$12,MATCH(cadangan3[[#This Row],[ItemID A]],Katalog!$C$3:$C$12,0))*cadangan3[[#This Row],[Qty A]],0)</f>
        <v>250000</v>
      </c>
      <c r="I411" s="36">
        <f>IFERROR(INDEX(Katalog!$D$3:$D$12,MATCH(cadangan3[[#This Row],[Item A]],Katalog!$B$3:$B$12,0))*cadangan3[[#This Row],[Qty A]],0)</f>
        <v>250000</v>
      </c>
      <c r="J411" s="36">
        <f>IFERROR(cadangan3[[#This Row],[Harga Asli A]]-(cadangan3[[#This Row],[Harga Asli A]]*cadangan3[[#This Row],[Diskon]]),cadangan3[[#This Row],[Harga Asli A]])</f>
        <v>200000</v>
      </c>
      <c r="K411" s="36">
        <f>INDEX(Katalog!$F$3:$F$12,MATCH(cadangan3[[#This Row],[ItemID A]],Katalog!$C$3:$C$12,0))*cadangan3[[#This Row],[Qty A]]</f>
        <v>100000</v>
      </c>
      <c r="L411" s="36">
        <f>IFERROR(cadangan3[[#This Row],[Profit A]]-(cadangan3[[#This Row],[Profit A]]*cadangan3[[#This Row],[Diskon]]),K411)</f>
        <v>80000</v>
      </c>
      <c r="N411" t="str">
        <f>IFERROR(INDEX(Katalog!$A$3:$A$12,MATCH(cadangan3[[#This Row],[ItemID B]],Katalog!$C$3:$C$12,0)),"-")</f>
        <v>-</v>
      </c>
      <c r="O411" t="str">
        <f>IFERROR(INDEX(Katalog!$B$3:$B$12,MATCH(cadangan3[[#This Row],[ItemID B]],Katalog!$C$3:$C$12,0)),"-")</f>
        <v>-</v>
      </c>
      <c r="R411" s="36">
        <f>IFERROR(INDEX(Katalog!$D$3:$D$12,MATCH(cadangan3[[#This Row],[ItemID B]],Katalog!$C$3:$C$12,0))*cadangan3[[#This Row],[Qty B]],0)</f>
        <v>0</v>
      </c>
      <c r="S411" s="36">
        <f>IFERROR(INDEX(Katalog!$D$3:$D$12,MATCH(cadangan3[[#This Row],[Item B]],Katalog!$B$3:$B$12,0))*cadangan3[[#This Row],[Qty B]],0)</f>
        <v>0</v>
      </c>
      <c r="T411" s="36">
        <f>IFERROR(cadangan3[[#This Row],[Harga Asli B]]-(cadangan3[[#This Row],[Harga Asli B]]*cadangan3[[#This Row],[Diskon]]),cadangan3[[#This Row],[Harga Asli B]])</f>
        <v>0</v>
      </c>
      <c r="U411" s="36">
        <f>IFERROR(INDEX(Katalog!$F$3:$F$12,MATCH(cadangan3[[#This Row],[ItemID B]],Katalog!$C$3:$C$12,0))*cadangan3[[#This Row],[Qty B]],0)</f>
        <v>0</v>
      </c>
      <c r="V411" s="36">
        <f>IFERROR(cadangan3[[#This Row],[Profit B]]-(cadangan3[[#This Row],[Profit B]]*cadangan3[[#This Row],[Diskon]]),U411)</f>
        <v>0</v>
      </c>
      <c r="X411" t="str">
        <f>IFERROR(INDEX(Katalog!$A$3:$A$12,MATCH(cadangan3[[#This Row],[ItemID C]],Katalog!$C$3:$C$12,0)),"-")</f>
        <v>-</v>
      </c>
      <c r="Y411" t="str">
        <f>IFERROR(INDEX(Katalog!$B$3:$B$12,MATCH(cadangan3[[#This Row],[ItemID C]],Katalog!$C$3:$C$12,0)),"-")</f>
        <v>-</v>
      </c>
      <c r="AB411" s="36">
        <f>IFERROR(INDEX(Katalog!$D$3:$D$12,MATCH(cadangan3[[#This Row],[ItemID C]],Katalog!$C$3:$C$12,0))*cadangan3[[#This Row],[Qty C]],0)</f>
        <v>0</v>
      </c>
      <c r="AC411" s="36">
        <f>IFERROR(INDEX(Katalog!$D$3:$D$12,MATCH(cadangan3[[#This Row],[Item C]],Katalog!$B$3:$B$12,0))*cadangan3[[#This Row],[Qty C]],0)</f>
        <v>0</v>
      </c>
      <c r="AD411" s="36">
        <f>IFERROR(cadangan3[[#This Row],[Harga Asli C]]-(cadangan3[[#This Row],[Harga Asli C]]*cadangan3[[#This Row],[Diskon]]),cadangan3[[#This Row],[Harga Asli C]])</f>
        <v>0</v>
      </c>
      <c r="AE411" s="36">
        <f>IFERROR(INDEX(Katalog!$F$3:$F$12,MATCH(cadangan3[[#This Row],[ItemID C]],Katalog!$C$3:$C$12,0))*cadangan3[[#This Row],[Qty C]],0)</f>
        <v>0</v>
      </c>
      <c r="AF411" s="36">
        <f>IFERROR(cadangan3[[#This Row],[Profit C]]-(cadangan3[[#This Row],[Profit C]]*cadangan3[[#This Row],[Diskon]]),cadangan3[[#This Row],[Profit C]])</f>
        <v>0</v>
      </c>
      <c r="AG411" s="21">
        <f>cadangan3[[#This Row],[Qty A]]+cadangan3[[#This Row],[Qty B]]+cadangan3[[#This Row],[Qty C]]</f>
        <v>1</v>
      </c>
      <c r="AH411" s="35">
        <f>cadangan3[[#This Row],[Harga A + Diskon]]+cadangan3[[#This Row],[Harga + Diskon B]]+cadangan3[[#This Row],[Harga + Diskon C]]</f>
        <v>200000</v>
      </c>
      <c r="AI411" s="35">
        <f>(cadangan3[[#This Row],[Profit A]]+cadangan3[[#This Row],[Profit B]]+cadangan3[[#This Row],[Profit C]])</f>
        <v>100000</v>
      </c>
      <c r="AJ411" s="35">
        <f>cadangan3[[#This Row],[Provit A + Diskon]]+cadangan3[[#This Row],[Provit B + Diskon]]+cadangan3[[#This Row],[Provit C + Diskon]]</f>
        <v>80000</v>
      </c>
      <c r="AK411" s="23" t="s">
        <v>8</v>
      </c>
      <c r="AL411" s="37">
        <f>IFERROR(INDEX('Kode Diskon'!$D$3:$D$9,MATCH(cadangan3[[#This Row],[Kode diskon]],'Kode Diskon'!$C$3:$C$9,0)),"-")</f>
        <v>0.2</v>
      </c>
      <c r="AM411" s="23" t="s">
        <v>9</v>
      </c>
      <c r="AN411" s="23" t="s">
        <v>7</v>
      </c>
      <c r="AO411" s="23" t="s">
        <v>76</v>
      </c>
      <c r="AP411" s="24">
        <v>45032</v>
      </c>
      <c r="AQ411" s="23" t="str">
        <f>TEXT(cadangan3[[#This Row],[Tanggal terjual]],"dddd")</f>
        <v>Sunday</v>
      </c>
    </row>
    <row r="412" spans="1:43" x14ac:dyDescent="0.2">
      <c r="A412" s="20">
        <v>411</v>
      </c>
      <c r="B412" s="21" t="str">
        <f>_xlfn.CONCAT("ORD-",INDEX(Helper!$B$2:$B$5,MATCH(cadangan3[[#This Row],[Marketplace]],Helper!$A$2:$A$5,0)),TEXT(cadangan3[[#This Row],[No]],"0000"),"-",TEXT(cadangan3[[#This Row],[Tanggal terjual]],"dd/mm/yy"))</f>
        <v>ORD-TK0411-01/04/23</v>
      </c>
      <c r="C412" t="s">
        <v>58</v>
      </c>
      <c r="D412" t="str">
        <f>IFERROR(INDEX(Katalog!$A$3:$A$12,MATCH(cadangan3[[#This Row],[ItemID A]],Katalog!$C$3:$C$12,0)),"-")</f>
        <v>Pakaian Wanita</v>
      </c>
      <c r="E412" t="str">
        <f>IFERROR(INDEX(Katalog!$B$3:$B$12,MATCH(cadangan3[[#This Row],[ItemID A]],Katalog!$C$3:$C$12,0)),"-")</f>
        <v>Dress</v>
      </c>
      <c r="F412">
        <v>1</v>
      </c>
      <c r="G412">
        <v>5</v>
      </c>
      <c r="H412" s="36">
        <f>IFERROR(INDEX(Katalog!$D$3:$D$12,MATCH(cadangan3[[#This Row],[ItemID A]],Katalog!$C$3:$C$12,0))*cadangan3[[#This Row],[Qty A]],0)</f>
        <v>300000</v>
      </c>
      <c r="I412" s="36">
        <f>IFERROR(INDEX(Katalog!$D$3:$D$12,MATCH(cadangan3[[#This Row],[Item A]],Katalog!$B$3:$B$12,0))*cadangan3[[#This Row],[Qty A]],0)</f>
        <v>300000</v>
      </c>
      <c r="J412" s="36">
        <f>IFERROR(cadangan3[[#This Row],[Harga Asli A]]-(cadangan3[[#This Row],[Harga Asli A]]*cadangan3[[#This Row],[Diskon]]),cadangan3[[#This Row],[Harga Asli A]])</f>
        <v>270000</v>
      </c>
      <c r="K412" s="36">
        <f>INDEX(Katalog!$F$3:$F$12,MATCH(cadangan3[[#This Row],[ItemID A]],Katalog!$C$3:$C$12,0))*cadangan3[[#This Row],[Qty A]]</f>
        <v>100000</v>
      </c>
      <c r="L412" s="36">
        <f>IFERROR(cadangan3[[#This Row],[Profit A]]-(cadangan3[[#This Row],[Profit A]]*cadangan3[[#This Row],[Diskon]]),K412)</f>
        <v>90000</v>
      </c>
      <c r="N412" t="str">
        <f>IFERROR(INDEX(Katalog!$A$3:$A$12,MATCH(cadangan3[[#This Row],[ItemID B]],Katalog!$C$3:$C$12,0)),"-")</f>
        <v>-</v>
      </c>
      <c r="O412" t="str">
        <f>IFERROR(INDEX(Katalog!$B$3:$B$12,MATCH(cadangan3[[#This Row],[ItemID B]],Katalog!$C$3:$C$12,0)),"-")</f>
        <v>-</v>
      </c>
      <c r="R412" s="36">
        <f>IFERROR(INDEX(Katalog!$D$3:$D$12,MATCH(cadangan3[[#This Row],[ItemID B]],Katalog!$C$3:$C$12,0))*cadangan3[[#This Row],[Qty B]],0)</f>
        <v>0</v>
      </c>
      <c r="S412" s="36">
        <f>IFERROR(INDEX(Katalog!$D$3:$D$12,MATCH(cadangan3[[#This Row],[Item B]],Katalog!$B$3:$B$12,0))*cadangan3[[#This Row],[Qty B]],0)</f>
        <v>0</v>
      </c>
      <c r="T412" s="36">
        <f>IFERROR(cadangan3[[#This Row],[Harga Asli B]]-(cadangan3[[#This Row],[Harga Asli B]]*cadangan3[[#This Row],[Diskon]]),cadangan3[[#This Row],[Harga Asli B]])</f>
        <v>0</v>
      </c>
      <c r="U412" s="36">
        <f>IFERROR(INDEX(Katalog!$F$3:$F$12,MATCH(cadangan3[[#This Row],[ItemID B]],Katalog!$C$3:$C$12,0))*cadangan3[[#This Row],[Qty B]],0)</f>
        <v>0</v>
      </c>
      <c r="V412" s="36">
        <f>IFERROR(cadangan3[[#This Row],[Profit B]]-(cadangan3[[#This Row],[Profit B]]*cadangan3[[#This Row],[Diskon]]),U412)</f>
        <v>0</v>
      </c>
      <c r="X412" t="str">
        <f>IFERROR(INDEX(Katalog!$A$3:$A$12,MATCH(cadangan3[[#This Row],[ItemID C]],Katalog!$C$3:$C$12,0)),"-")</f>
        <v>-</v>
      </c>
      <c r="Y412" t="str">
        <f>IFERROR(INDEX(Katalog!$B$3:$B$12,MATCH(cadangan3[[#This Row],[ItemID C]],Katalog!$C$3:$C$12,0)),"-")</f>
        <v>-</v>
      </c>
      <c r="AB412" s="36">
        <f>IFERROR(INDEX(Katalog!$D$3:$D$12,MATCH(cadangan3[[#This Row],[ItemID C]],Katalog!$C$3:$C$12,0))*cadangan3[[#This Row],[Qty C]],0)</f>
        <v>0</v>
      </c>
      <c r="AC412" s="36">
        <f>IFERROR(INDEX(Katalog!$D$3:$D$12,MATCH(cadangan3[[#This Row],[Item C]],Katalog!$B$3:$B$12,0))*cadangan3[[#This Row],[Qty C]],0)</f>
        <v>0</v>
      </c>
      <c r="AD412" s="36">
        <f>IFERROR(cadangan3[[#This Row],[Harga Asli C]]-(cadangan3[[#This Row],[Harga Asli C]]*cadangan3[[#This Row],[Diskon]]),cadangan3[[#This Row],[Harga Asli C]])</f>
        <v>0</v>
      </c>
      <c r="AE412" s="36">
        <f>IFERROR(INDEX(Katalog!$F$3:$F$12,MATCH(cadangan3[[#This Row],[ItemID C]],Katalog!$C$3:$C$12,0))*cadangan3[[#This Row],[Qty C]],0)</f>
        <v>0</v>
      </c>
      <c r="AF412" s="36">
        <f>IFERROR(cadangan3[[#This Row],[Profit C]]-(cadangan3[[#This Row],[Profit C]]*cadangan3[[#This Row],[Diskon]]),cadangan3[[#This Row],[Profit C]])</f>
        <v>0</v>
      </c>
      <c r="AG412" s="21">
        <f>cadangan3[[#This Row],[Qty A]]+cadangan3[[#This Row],[Qty B]]+cadangan3[[#This Row],[Qty C]]</f>
        <v>1</v>
      </c>
      <c r="AH412" s="35">
        <f>cadangan3[[#This Row],[Harga A + Diskon]]+cadangan3[[#This Row],[Harga + Diskon B]]+cadangan3[[#This Row],[Harga + Diskon C]]</f>
        <v>270000</v>
      </c>
      <c r="AI412" s="35">
        <f>(cadangan3[[#This Row],[Profit A]]+cadangan3[[#This Row],[Profit B]]+cadangan3[[#This Row],[Profit C]])</f>
        <v>100000</v>
      </c>
      <c r="AJ412" s="35">
        <f>cadangan3[[#This Row],[Provit A + Diskon]]+cadangan3[[#This Row],[Provit B + Diskon]]+cadangan3[[#This Row],[Provit C + Diskon]]</f>
        <v>90000</v>
      </c>
      <c r="AK412" s="23" t="s">
        <v>30</v>
      </c>
      <c r="AL412" s="37">
        <f>IFERROR(INDEX('Kode Diskon'!$D$3:$D$9,MATCH(cadangan3[[#This Row],[Kode diskon]],'Kode Diskon'!$C$3:$C$9,0)),"-")</f>
        <v>0.1</v>
      </c>
      <c r="AM412" s="23" t="s">
        <v>29</v>
      </c>
      <c r="AN412" s="23" t="s">
        <v>10</v>
      </c>
      <c r="AO412" s="23" t="s">
        <v>76</v>
      </c>
      <c r="AP412" s="24">
        <v>45017</v>
      </c>
      <c r="AQ412" s="23" t="str">
        <f>TEXT(cadangan3[[#This Row],[Tanggal terjual]],"dddd")</f>
        <v>Saturday</v>
      </c>
    </row>
    <row r="413" spans="1:43" x14ac:dyDescent="0.2">
      <c r="A413" s="20">
        <v>412</v>
      </c>
      <c r="B413" s="21" t="str">
        <f>_xlfn.CONCAT("ORD-",INDEX(Helper!$B$2:$B$5,MATCH(cadangan3[[#This Row],[Marketplace]],Helper!$A$2:$A$5,0)),TEXT(cadangan3[[#This Row],[No]],"0000"),"-",TEXT(cadangan3[[#This Row],[Tanggal terjual]],"dd/mm/yy"))</f>
        <v>ORD-TK0412-25/04/23</v>
      </c>
      <c r="C413" t="s">
        <v>62</v>
      </c>
      <c r="D413" t="str">
        <f>IFERROR(INDEX(Katalog!$A$3:$A$12,MATCH(cadangan3[[#This Row],[ItemID A]],Katalog!$C$3:$C$12,0)),"-")</f>
        <v>Pakaian Pria</v>
      </c>
      <c r="E413" t="str">
        <f>IFERROR(INDEX(Katalog!$B$3:$B$12,MATCH(cadangan3[[#This Row],[ItemID A]],Katalog!$C$3:$C$12,0)),"-")</f>
        <v>Celana Pendek</v>
      </c>
      <c r="F413">
        <v>4</v>
      </c>
      <c r="G413">
        <v>4</v>
      </c>
      <c r="H413" s="36">
        <f>IFERROR(INDEX(Katalog!$D$3:$D$12,MATCH(cadangan3[[#This Row],[ItemID A]],Katalog!$C$3:$C$12,0))*cadangan3[[#This Row],[Qty A]],0)</f>
        <v>720000</v>
      </c>
      <c r="I413" s="36">
        <f>IFERROR(INDEX(Katalog!$D$3:$D$12,MATCH(cadangan3[[#This Row],[Item A]],Katalog!$B$3:$B$12,0))*cadangan3[[#This Row],[Qty A]],0)</f>
        <v>720000</v>
      </c>
      <c r="J413" s="36">
        <f>IFERROR(cadangan3[[#This Row],[Harga Asli A]]-(cadangan3[[#This Row],[Harga Asli A]]*cadangan3[[#This Row],[Diskon]]),cadangan3[[#This Row],[Harga Asli A]])</f>
        <v>648000</v>
      </c>
      <c r="K413" s="36">
        <f>INDEX(Katalog!$F$3:$F$12,MATCH(cadangan3[[#This Row],[ItemID A]],Katalog!$C$3:$C$12,0))*cadangan3[[#This Row],[Qty A]]</f>
        <v>280000</v>
      </c>
      <c r="L413" s="36">
        <f>IFERROR(cadangan3[[#This Row],[Profit A]]-(cadangan3[[#This Row],[Profit A]]*cadangan3[[#This Row],[Diskon]]),K413)</f>
        <v>252000</v>
      </c>
      <c r="M413" t="s">
        <v>61</v>
      </c>
      <c r="N413" t="str">
        <f>IFERROR(INDEX(Katalog!$A$3:$A$12,MATCH(cadangan3[[#This Row],[ItemID B]],Katalog!$C$3:$C$12,0)),"-")</f>
        <v>Pakaian Pria</v>
      </c>
      <c r="O413" t="str">
        <f>IFERROR(INDEX(Katalog!$B$3:$B$12,MATCH(cadangan3[[#This Row],[ItemID B]],Katalog!$C$3:$C$12,0)),"-")</f>
        <v>Kaos Polo</v>
      </c>
      <c r="P413">
        <v>1</v>
      </c>
      <c r="Q413">
        <v>4</v>
      </c>
      <c r="R413" s="36">
        <f>IFERROR(INDEX(Katalog!$D$3:$D$12,MATCH(cadangan3[[#This Row],[ItemID B]],Katalog!$C$3:$C$12,0))*cadangan3[[#This Row],[Qty B]],0)</f>
        <v>200000</v>
      </c>
      <c r="S413" s="36">
        <f>IFERROR(INDEX(Katalog!$D$3:$D$12,MATCH(cadangan3[[#This Row],[Item B]],Katalog!$B$3:$B$12,0))*cadangan3[[#This Row],[Qty B]],0)</f>
        <v>200000</v>
      </c>
      <c r="T413" s="36">
        <f>IFERROR(cadangan3[[#This Row],[Harga Asli B]]-(cadangan3[[#This Row],[Harga Asli B]]*cadangan3[[#This Row],[Diskon]]),cadangan3[[#This Row],[Harga Asli B]])</f>
        <v>180000</v>
      </c>
      <c r="U413" s="36">
        <f>IFERROR(INDEX(Katalog!$F$3:$F$12,MATCH(cadangan3[[#This Row],[ItemID B]],Katalog!$C$3:$C$12,0))*cadangan3[[#This Row],[Qty B]],0)</f>
        <v>80000</v>
      </c>
      <c r="V413" s="36">
        <f>IFERROR(cadangan3[[#This Row],[Profit B]]-(cadangan3[[#This Row],[Profit B]]*cadangan3[[#This Row],[Diskon]]),U413)</f>
        <v>72000</v>
      </c>
      <c r="X413" t="str">
        <f>IFERROR(INDEX(Katalog!$A$3:$A$12,MATCH(cadangan3[[#This Row],[ItemID C]],Katalog!$C$3:$C$12,0)),"-")</f>
        <v>-</v>
      </c>
      <c r="Y413" t="str">
        <f>IFERROR(INDEX(Katalog!$B$3:$B$12,MATCH(cadangan3[[#This Row],[ItemID C]],Katalog!$C$3:$C$12,0)),"-")</f>
        <v>-</v>
      </c>
      <c r="AB413" s="36">
        <f>IFERROR(INDEX(Katalog!$D$3:$D$12,MATCH(cadangan3[[#This Row],[ItemID C]],Katalog!$C$3:$C$12,0))*cadangan3[[#This Row],[Qty C]],0)</f>
        <v>0</v>
      </c>
      <c r="AC413" s="36">
        <f>IFERROR(INDEX(Katalog!$D$3:$D$12,MATCH(cadangan3[[#This Row],[Item C]],Katalog!$B$3:$B$12,0))*cadangan3[[#This Row],[Qty C]],0)</f>
        <v>0</v>
      </c>
      <c r="AD413" s="36">
        <f>IFERROR(cadangan3[[#This Row],[Harga Asli C]]-(cadangan3[[#This Row],[Harga Asli C]]*cadangan3[[#This Row],[Diskon]]),cadangan3[[#This Row],[Harga Asli C]])</f>
        <v>0</v>
      </c>
      <c r="AE413" s="36">
        <f>IFERROR(INDEX(Katalog!$F$3:$F$12,MATCH(cadangan3[[#This Row],[ItemID C]],Katalog!$C$3:$C$12,0))*cadangan3[[#This Row],[Qty C]],0)</f>
        <v>0</v>
      </c>
      <c r="AF413" s="36">
        <f>IFERROR(cadangan3[[#This Row],[Profit C]]-(cadangan3[[#This Row],[Profit C]]*cadangan3[[#This Row],[Diskon]]),cadangan3[[#This Row],[Profit C]])</f>
        <v>0</v>
      </c>
      <c r="AG413" s="21">
        <f>cadangan3[[#This Row],[Qty A]]+cadangan3[[#This Row],[Qty B]]+cadangan3[[#This Row],[Qty C]]</f>
        <v>5</v>
      </c>
      <c r="AH413" s="35">
        <f>cadangan3[[#This Row],[Harga A + Diskon]]+cadangan3[[#This Row],[Harga + Diskon B]]+cadangan3[[#This Row],[Harga + Diskon C]]</f>
        <v>828000</v>
      </c>
      <c r="AI413" s="35">
        <f>(cadangan3[[#This Row],[Profit A]]+cadangan3[[#This Row],[Profit B]]+cadangan3[[#This Row],[Profit C]])</f>
        <v>360000</v>
      </c>
      <c r="AJ413" s="35">
        <f>cadangan3[[#This Row],[Provit A + Diskon]]+cadangan3[[#This Row],[Provit B + Diskon]]+cadangan3[[#This Row],[Provit C + Diskon]]</f>
        <v>324000</v>
      </c>
      <c r="AK413" s="23" t="s">
        <v>31</v>
      </c>
      <c r="AL413" s="37">
        <f>IFERROR(INDEX('Kode Diskon'!$D$3:$D$9,MATCH(cadangan3[[#This Row],[Kode diskon]],'Kode Diskon'!$C$3:$C$9,0)),"-")</f>
        <v>0.1</v>
      </c>
      <c r="AM413" s="23" t="s">
        <v>9</v>
      </c>
      <c r="AN413" s="23" t="s">
        <v>10</v>
      </c>
      <c r="AO413" s="23" t="s">
        <v>76</v>
      </c>
      <c r="AP413" s="24">
        <v>45041</v>
      </c>
      <c r="AQ413" s="23" t="str">
        <f>TEXT(cadangan3[[#This Row],[Tanggal terjual]],"dddd")</f>
        <v>Tuesday</v>
      </c>
    </row>
    <row r="414" spans="1:43" x14ac:dyDescent="0.2">
      <c r="A414" s="20">
        <v>413</v>
      </c>
      <c r="B414" s="21" t="str">
        <f>_xlfn.CONCAT("ORD-",INDEX(Helper!$B$2:$B$5,MATCH(cadangan3[[#This Row],[Marketplace]],Helper!$A$2:$A$5,0)),TEXT(cadangan3[[#This Row],[No]],"0000"),"-",TEXT(cadangan3[[#This Row],[Tanggal terjual]],"dd/mm/yy"))</f>
        <v>ORD-SP0413-05/04/23</v>
      </c>
      <c r="C414" t="s">
        <v>65</v>
      </c>
      <c r="D414" t="str">
        <f>IFERROR(INDEX(Katalog!$A$3:$A$12,MATCH(cadangan3[[#This Row],[ItemID A]],Katalog!$C$3:$C$12,0)),"-")</f>
        <v>Sepatu Pria</v>
      </c>
      <c r="E414" t="str">
        <f>IFERROR(INDEX(Katalog!$B$3:$B$12,MATCH(cadangan3[[#This Row],[ItemID A]],Katalog!$C$3:$C$12,0)),"-")</f>
        <v>Sneakers</v>
      </c>
      <c r="F414">
        <v>5</v>
      </c>
      <c r="G414">
        <v>1</v>
      </c>
      <c r="H414" s="36">
        <f>IFERROR(INDEX(Katalog!$D$3:$D$12,MATCH(cadangan3[[#This Row],[ItemID A]],Katalog!$C$3:$C$12,0))*cadangan3[[#This Row],[Qty A]],0)</f>
        <v>2500000</v>
      </c>
      <c r="I414" s="36">
        <f>IFERROR(INDEX(Katalog!$D$3:$D$12,MATCH(cadangan3[[#This Row],[Item A]],Katalog!$B$3:$B$12,0))*cadangan3[[#This Row],[Qty A]],0)</f>
        <v>2500000</v>
      </c>
      <c r="J414" s="36">
        <f>IFERROR(cadangan3[[#This Row],[Harga Asli A]]-(cadangan3[[#This Row],[Harga Asli A]]*cadangan3[[#This Row],[Diskon]]),cadangan3[[#This Row],[Harga Asli A]])</f>
        <v>2250000</v>
      </c>
      <c r="K414" s="36">
        <f>INDEX(Katalog!$F$3:$F$12,MATCH(cadangan3[[#This Row],[ItemID A]],Katalog!$C$3:$C$12,0))*cadangan3[[#This Row],[Qty A]]</f>
        <v>1000000</v>
      </c>
      <c r="L414" s="36">
        <f>IFERROR(cadangan3[[#This Row],[Profit A]]-(cadangan3[[#This Row],[Profit A]]*cadangan3[[#This Row],[Diskon]]),K414)</f>
        <v>900000</v>
      </c>
      <c r="N414" t="str">
        <f>IFERROR(INDEX(Katalog!$A$3:$A$12,MATCH(cadangan3[[#This Row],[ItemID B]],Katalog!$C$3:$C$12,0)),"-")</f>
        <v>-</v>
      </c>
      <c r="O414" t="str">
        <f>IFERROR(INDEX(Katalog!$B$3:$B$12,MATCH(cadangan3[[#This Row],[ItemID B]],Katalog!$C$3:$C$12,0)),"-")</f>
        <v>-</v>
      </c>
      <c r="R414" s="36">
        <f>IFERROR(INDEX(Katalog!$D$3:$D$12,MATCH(cadangan3[[#This Row],[ItemID B]],Katalog!$C$3:$C$12,0))*cadangan3[[#This Row],[Qty B]],0)</f>
        <v>0</v>
      </c>
      <c r="S414" s="36">
        <f>IFERROR(INDEX(Katalog!$D$3:$D$12,MATCH(cadangan3[[#This Row],[Item B]],Katalog!$B$3:$B$12,0))*cadangan3[[#This Row],[Qty B]],0)</f>
        <v>0</v>
      </c>
      <c r="T414" s="36">
        <f>IFERROR(cadangan3[[#This Row],[Harga Asli B]]-(cadangan3[[#This Row],[Harga Asli B]]*cadangan3[[#This Row],[Diskon]]),cadangan3[[#This Row],[Harga Asli B]])</f>
        <v>0</v>
      </c>
      <c r="U414" s="36">
        <f>IFERROR(INDEX(Katalog!$F$3:$F$12,MATCH(cadangan3[[#This Row],[ItemID B]],Katalog!$C$3:$C$12,0))*cadangan3[[#This Row],[Qty B]],0)</f>
        <v>0</v>
      </c>
      <c r="V414" s="36">
        <f>IFERROR(cadangan3[[#This Row],[Profit B]]-(cadangan3[[#This Row],[Profit B]]*cadangan3[[#This Row],[Diskon]]),U414)</f>
        <v>0</v>
      </c>
      <c r="X414" t="str">
        <f>IFERROR(INDEX(Katalog!$A$3:$A$12,MATCH(cadangan3[[#This Row],[ItemID C]],Katalog!$C$3:$C$12,0)),"-")</f>
        <v>-</v>
      </c>
      <c r="Y414" t="str">
        <f>IFERROR(INDEX(Katalog!$B$3:$B$12,MATCH(cadangan3[[#This Row],[ItemID C]],Katalog!$C$3:$C$12,0)),"-")</f>
        <v>-</v>
      </c>
      <c r="AB414" s="36">
        <f>IFERROR(INDEX(Katalog!$D$3:$D$12,MATCH(cadangan3[[#This Row],[ItemID C]],Katalog!$C$3:$C$12,0))*cadangan3[[#This Row],[Qty C]],0)</f>
        <v>0</v>
      </c>
      <c r="AC414" s="36">
        <f>IFERROR(INDEX(Katalog!$D$3:$D$12,MATCH(cadangan3[[#This Row],[Item C]],Katalog!$B$3:$B$12,0))*cadangan3[[#This Row],[Qty C]],0)</f>
        <v>0</v>
      </c>
      <c r="AD414" s="36">
        <f>IFERROR(cadangan3[[#This Row],[Harga Asli C]]-(cadangan3[[#This Row],[Harga Asli C]]*cadangan3[[#This Row],[Diskon]]),cadangan3[[#This Row],[Harga Asli C]])</f>
        <v>0</v>
      </c>
      <c r="AE414" s="36">
        <f>IFERROR(INDEX(Katalog!$F$3:$F$12,MATCH(cadangan3[[#This Row],[ItemID C]],Katalog!$C$3:$C$12,0))*cadangan3[[#This Row],[Qty C]],0)</f>
        <v>0</v>
      </c>
      <c r="AF414" s="36">
        <f>IFERROR(cadangan3[[#This Row],[Profit C]]-(cadangan3[[#This Row],[Profit C]]*cadangan3[[#This Row],[Diskon]]),cadangan3[[#This Row],[Profit C]])</f>
        <v>0</v>
      </c>
      <c r="AG414" s="21">
        <f>cadangan3[[#This Row],[Qty A]]+cadangan3[[#This Row],[Qty B]]+cadangan3[[#This Row],[Qty C]]</f>
        <v>5</v>
      </c>
      <c r="AH414" s="35">
        <f>cadangan3[[#This Row],[Harga A + Diskon]]+cadangan3[[#This Row],[Harga + Diskon B]]+cadangan3[[#This Row],[Harga + Diskon C]]</f>
        <v>2250000</v>
      </c>
      <c r="AI414" s="35">
        <f>(cadangan3[[#This Row],[Profit A]]+cadangan3[[#This Row],[Profit B]]+cadangan3[[#This Row],[Profit C]])</f>
        <v>1000000</v>
      </c>
      <c r="AJ414" s="35">
        <f>cadangan3[[#This Row],[Provit A + Diskon]]+cadangan3[[#This Row],[Provit B + Diskon]]+cadangan3[[#This Row],[Provit C + Diskon]]</f>
        <v>900000</v>
      </c>
      <c r="AK414" s="23" t="s">
        <v>6</v>
      </c>
      <c r="AL414" s="37">
        <f>IFERROR(INDEX('Kode Diskon'!$D$3:$D$9,MATCH(cadangan3[[#This Row],[Kode diskon]],'Kode Diskon'!$C$3:$C$9,0)),"-")</f>
        <v>0.1</v>
      </c>
      <c r="AM414" s="23" t="s">
        <v>29</v>
      </c>
      <c r="AN414" s="23" t="s">
        <v>7</v>
      </c>
      <c r="AO414" s="23" t="s">
        <v>79</v>
      </c>
      <c r="AP414" s="24">
        <v>45021</v>
      </c>
      <c r="AQ414" s="23" t="str">
        <f>TEXT(cadangan3[[#This Row],[Tanggal terjual]],"dddd")</f>
        <v>Wednesday</v>
      </c>
    </row>
    <row r="415" spans="1:43" x14ac:dyDescent="0.2">
      <c r="A415" s="20">
        <v>414</v>
      </c>
      <c r="B415" s="21" t="str">
        <f>_xlfn.CONCAT("ORD-",INDEX(Helper!$B$2:$B$5,MATCH(cadangan3[[#This Row],[Marketplace]],Helper!$A$2:$A$5,0)),TEXT(cadangan3[[#This Row],[No]],"0000"),"-",TEXT(cadangan3[[#This Row],[Tanggal terjual]],"dd/mm/yy"))</f>
        <v>ORD-BL0414-26/04/23</v>
      </c>
      <c r="C415" t="s">
        <v>64</v>
      </c>
      <c r="D415" t="str">
        <f>IFERROR(INDEX(Katalog!$A$3:$A$12,MATCH(cadangan3[[#This Row],[ItemID A]],Katalog!$C$3:$C$12,0)),"-")</f>
        <v>Pakaian Unisex</v>
      </c>
      <c r="E415" t="str">
        <f>IFERROR(INDEX(Katalog!$B$3:$B$12,MATCH(cadangan3[[#This Row],[ItemID A]],Katalog!$C$3:$C$12,0)),"-")</f>
        <v>Jaket Hoodie</v>
      </c>
      <c r="F415">
        <v>2</v>
      </c>
      <c r="G415">
        <v>4</v>
      </c>
      <c r="H415" s="36">
        <f>IFERROR(INDEX(Katalog!$D$3:$D$12,MATCH(cadangan3[[#This Row],[ItemID A]],Katalog!$C$3:$C$12,0))*cadangan3[[#This Row],[Qty A]],0)</f>
        <v>700000</v>
      </c>
      <c r="I415" s="36">
        <f>IFERROR(INDEX(Katalog!$D$3:$D$12,MATCH(cadangan3[[#This Row],[Item A]],Katalog!$B$3:$B$12,0))*cadangan3[[#This Row],[Qty A]],0)</f>
        <v>700000</v>
      </c>
      <c r="J415" s="36">
        <f>IFERROR(cadangan3[[#This Row],[Harga Asli A]]-(cadangan3[[#This Row],[Harga Asli A]]*cadangan3[[#This Row],[Diskon]]),cadangan3[[#This Row],[Harga Asli A]])</f>
        <v>595000</v>
      </c>
      <c r="K415" s="36">
        <f>INDEX(Katalog!$F$3:$F$12,MATCH(cadangan3[[#This Row],[ItemID A]],Katalog!$C$3:$C$12,0))*cadangan3[[#This Row],[Qty A]]</f>
        <v>260000</v>
      </c>
      <c r="L415" s="36">
        <f>IFERROR(cadangan3[[#This Row],[Profit A]]-(cadangan3[[#This Row],[Profit A]]*cadangan3[[#This Row],[Diskon]]),K415)</f>
        <v>221000</v>
      </c>
      <c r="M415" t="s">
        <v>61</v>
      </c>
      <c r="N415" t="str">
        <f>IFERROR(INDEX(Katalog!$A$3:$A$12,MATCH(cadangan3[[#This Row],[ItemID B]],Katalog!$C$3:$C$12,0)),"-")</f>
        <v>Pakaian Pria</v>
      </c>
      <c r="O415" t="str">
        <f>IFERROR(INDEX(Katalog!$B$3:$B$12,MATCH(cadangan3[[#This Row],[ItemID B]],Katalog!$C$3:$C$12,0)),"-")</f>
        <v>Kaos Polo</v>
      </c>
      <c r="P415">
        <v>1</v>
      </c>
      <c r="Q415">
        <v>1</v>
      </c>
      <c r="R415" s="36">
        <f>IFERROR(INDEX(Katalog!$D$3:$D$12,MATCH(cadangan3[[#This Row],[ItemID B]],Katalog!$C$3:$C$12,0))*cadangan3[[#This Row],[Qty B]],0)</f>
        <v>200000</v>
      </c>
      <c r="S415" s="36">
        <f>IFERROR(INDEX(Katalog!$D$3:$D$12,MATCH(cadangan3[[#This Row],[Item B]],Katalog!$B$3:$B$12,0))*cadangan3[[#This Row],[Qty B]],0)</f>
        <v>200000</v>
      </c>
      <c r="T415" s="36">
        <f>IFERROR(cadangan3[[#This Row],[Harga Asli B]]-(cadangan3[[#This Row],[Harga Asli B]]*cadangan3[[#This Row],[Diskon]]),cadangan3[[#This Row],[Harga Asli B]])</f>
        <v>170000</v>
      </c>
      <c r="U415" s="36">
        <f>IFERROR(INDEX(Katalog!$F$3:$F$12,MATCH(cadangan3[[#This Row],[ItemID B]],Katalog!$C$3:$C$12,0))*cadangan3[[#This Row],[Qty B]],0)</f>
        <v>80000</v>
      </c>
      <c r="V415" s="36">
        <f>IFERROR(cadangan3[[#This Row],[Profit B]]-(cadangan3[[#This Row],[Profit B]]*cadangan3[[#This Row],[Diskon]]),U415)</f>
        <v>68000</v>
      </c>
      <c r="X415" t="str">
        <f>IFERROR(INDEX(Katalog!$A$3:$A$12,MATCH(cadangan3[[#This Row],[ItemID C]],Katalog!$C$3:$C$12,0)),"-")</f>
        <v>-</v>
      </c>
      <c r="Y415" t="str">
        <f>IFERROR(INDEX(Katalog!$B$3:$B$12,MATCH(cadangan3[[#This Row],[ItemID C]],Katalog!$C$3:$C$12,0)),"-")</f>
        <v>-</v>
      </c>
      <c r="AB415" s="36">
        <f>IFERROR(INDEX(Katalog!$D$3:$D$12,MATCH(cadangan3[[#This Row],[ItemID C]],Katalog!$C$3:$C$12,0))*cadangan3[[#This Row],[Qty C]],0)</f>
        <v>0</v>
      </c>
      <c r="AC415" s="36">
        <f>IFERROR(INDEX(Katalog!$D$3:$D$12,MATCH(cadangan3[[#This Row],[Item C]],Katalog!$B$3:$B$12,0))*cadangan3[[#This Row],[Qty C]],0)</f>
        <v>0</v>
      </c>
      <c r="AD415" s="36">
        <f>IFERROR(cadangan3[[#This Row],[Harga Asli C]]-(cadangan3[[#This Row],[Harga Asli C]]*cadangan3[[#This Row],[Diskon]]),cadangan3[[#This Row],[Harga Asli C]])</f>
        <v>0</v>
      </c>
      <c r="AE415" s="36">
        <f>IFERROR(INDEX(Katalog!$F$3:$F$12,MATCH(cadangan3[[#This Row],[ItemID C]],Katalog!$C$3:$C$12,0))*cadangan3[[#This Row],[Qty C]],0)</f>
        <v>0</v>
      </c>
      <c r="AF415" s="36">
        <f>IFERROR(cadangan3[[#This Row],[Profit C]]-(cadangan3[[#This Row],[Profit C]]*cadangan3[[#This Row],[Diskon]]),cadangan3[[#This Row],[Profit C]])</f>
        <v>0</v>
      </c>
      <c r="AG415" s="21">
        <f>cadangan3[[#This Row],[Qty A]]+cadangan3[[#This Row],[Qty B]]+cadangan3[[#This Row],[Qty C]]</f>
        <v>3</v>
      </c>
      <c r="AH415" s="35">
        <f>cadangan3[[#This Row],[Harga A + Diskon]]+cadangan3[[#This Row],[Harga + Diskon B]]+cadangan3[[#This Row],[Harga + Diskon C]]</f>
        <v>765000</v>
      </c>
      <c r="AI415" s="35">
        <f>(cadangan3[[#This Row],[Profit A]]+cadangan3[[#This Row],[Profit B]]+cadangan3[[#This Row],[Profit C]])</f>
        <v>340000</v>
      </c>
      <c r="AJ415" s="35">
        <f>cadangan3[[#This Row],[Provit A + Diskon]]+cadangan3[[#This Row],[Provit B + Diskon]]+cadangan3[[#This Row],[Provit C + Diskon]]</f>
        <v>289000</v>
      </c>
      <c r="AK415" s="23" t="s">
        <v>32</v>
      </c>
      <c r="AL415" s="37">
        <f>IFERROR(INDEX('Kode Diskon'!$D$3:$D$9,MATCH(cadangan3[[#This Row],[Kode diskon]],'Kode Diskon'!$C$3:$C$9,0)),"-")</f>
        <v>0.15</v>
      </c>
      <c r="AM415" s="23" t="s">
        <v>9</v>
      </c>
      <c r="AN415" s="23" t="s">
        <v>12</v>
      </c>
      <c r="AO415" s="23" t="s">
        <v>79</v>
      </c>
      <c r="AP415" s="24">
        <v>45042</v>
      </c>
      <c r="AQ415" s="23" t="str">
        <f>TEXT(cadangan3[[#This Row],[Tanggal terjual]],"dddd")</f>
        <v>Wednesday</v>
      </c>
    </row>
    <row r="416" spans="1:43" x14ac:dyDescent="0.2">
      <c r="A416" s="20">
        <v>415</v>
      </c>
      <c r="B416" s="21" t="str">
        <f>_xlfn.CONCAT("ORD-",INDEX(Helper!$B$2:$B$5,MATCH(cadangan3[[#This Row],[Marketplace]],Helper!$A$2:$A$5,0)),TEXT(cadangan3[[#This Row],[No]],"0000"),"-",TEXT(cadangan3[[#This Row],[Tanggal terjual]],"dd/mm/yy"))</f>
        <v>ORD-TK0415-03/04/23</v>
      </c>
      <c r="C416" t="s">
        <v>62</v>
      </c>
      <c r="D416" t="str">
        <f>IFERROR(INDEX(Katalog!$A$3:$A$12,MATCH(cadangan3[[#This Row],[ItemID A]],Katalog!$C$3:$C$12,0)),"-")</f>
        <v>Pakaian Pria</v>
      </c>
      <c r="E416" t="str">
        <f>IFERROR(INDEX(Katalog!$B$3:$B$12,MATCH(cadangan3[[#This Row],[ItemID A]],Katalog!$C$3:$C$12,0)),"-")</f>
        <v>Celana Pendek</v>
      </c>
      <c r="F416">
        <v>2</v>
      </c>
      <c r="G416">
        <v>5</v>
      </c>
      <c r="H416" s="36">
        <f>IFERROR(INDEX(Katalog!$D$3:$D$12,MATCH(cadangan3[[#This Row],[ItemID A]],Katalog!$C$3:$C$12,0))*cadangan3[[#This Row],[Qty A]],0)</f>
        <v>360000</v>
      </c>
      <c r="I416" s="36">
        <f>IFERROR(INDEX(Katalog!$D$3:$D$12,MATCH(cadangan3[[#This Row],[Item A]],Katalog!$B$3:$B$12,0))*cadangan3[[#This Row],[Qty A]],0)</f>
        <v>360000</v>
      </c>
      <c r="J416" s="36">
        <f>IFERROR(cadangan3[[#This Row],[Harga Asli A]]-(cadangan3[[#This Row],[Harga Asli A]]*cadangan3[[#This Row],[Diskon]]),cadangan3[[#This Row],[Harga Asli A]])</f>
        <v>324000</v>
      </c>
      <c r="K416" s="36">
        <f>INDEX(Katalog!$F$3:$F$12,MATCH(cadangan3[[#This Row],[ItemID A]],Katalog!$C$3:$C$12,0))*cadangan3[[#This Row],[Qty A]]</f>
        <v>140000</v>
      </c>
      <c r="L416" s="36">
        <f>IFERROR(cadangan3[[#This Row],[Profit A]]-(cadangan3[[#This Row],[Profit A]]*cadangan3[[#This Row],[Diskon]]),K416)</f>
        <v>126000</v>
      </c>
      <c r="M416" t="s">
        <v>66</v>
      </c>
      <c r="N416" t="str">
        <f>IFERROR(INDEX(Katalog!$A$3:$A$12,MATCH(cadangan3[[#This Row],[ItemID B]],Katalog!$C$3:$C$12,0)),"-")</f>
        <v>Sepatu Pria</v>
      </c>
      <c r="O416" t="str">
        <f>IFERROR(INDEX(Katalog!$B$3:$B$12,MATCH(cadangan3[[#This Row],[ItemID B]],Katalog!$C$3:$C$12,0)),"-")</f>
        <v>Sandal Slip On</v>
      </c>
      <c r="P416">
        <v>1</v>
      </c>
      <c r="Q416">
        <v>5</v>
      </c>
      <c r="R416" s="36">
        <f>IFERROR(INDEX(Katalog!$D$3:$D$12,MATCH(cadangan3[[#This Row],[ItemID B]],Katalog!$C$3:$C$12,0))*cadangan3[[#This Row],[Qty B]],0)</f>
        <v>150000</v>
      </c>
      <c r="S416" s="36">
        <f>IFERROR(INDEX(Katalog!$D$3:$D$12,MATCH(cadangan3[[#This Row],[Item B]],Katalog!$B$3:$B$12,0))*cadangan3[[#This Row],[Qty B]],0)</f>
        <v>150000</v>
      </c>
      <c r="T416" s="36">
        <f>IFERROR(cadangan3[[#This Row],[Harga Asli B]]-(cadangan3[[#This Row],[Harga Asli B]]*cadangan3[[#This Row],[Diskon]]),cadangan3[[#This Row],[Harga Asli B]])</f>
        <v>135000</v>
      </c>
      <c r="U416" s="36">
        <f>IFERROR(INDEX(Katalog!$F$3:$F$12,MATCH(cadangan3[[#This Row],[ItemID B]],Katalog!$C$3:$C$12,0))*cadangan3[[#This Row],[Qty B]],0)</f>
        <v>60000</v>
      </c>
      <c r="V416" s="36">
        <f>IFERROR(cadangan3[[#This Row],[Profit B]]-(cadangan3[[#This Row],[Profit B]]*cadangan3[[#This Row],[Diskon]]),U416)</f>
        <v>54000</v>
      </c>
      <c r="X416" t="str">
        <f>IFERROR(INDEX(Katalog!$A$3:$A$12,MATCH(cadangan3[[#This Row],[ItemID C]],Katalog!$C$3:$C$12,0)),"-")</f>
        <v>-</v>
      </c>
      <c r="Y416" t="str">
        <f>IFERROR(INDEX(Katalog!$B$3:$B$12,MATCH(cadangan3[[#This Row],[ItemID C]],Katalog!$C$3:$C$12,0)),"-")</f>
        <v>-</v>
      </c>
      <c r="AB416" s="36">
        <f>IFERROR(INDEX(Katalog!$D$3:$D$12,MATCH(cadangan3[[#This Row],[ItemID C]],Katalog!$C$3:$C$12,0))*cadangan3[[#This Row],[Qty C]],0)</f>
        <v>0</v>
      </c>
      <c r="AC416" s="36">
        <f>IFERROR(INDEX(Katalog!$D$3:$D$12,MATCH(cadangan3[[#This Row],[Item C]],Katalog!$B$3:$B$12,0))*cadangan3[[#This Row],[Qty C]],0)</f>
        <v>0</v>
      </c>
      <c r="AD416" s="36">
        <f>IFERROR(cadangan3[[#This Row],[Harga Asli C]]-(cadangan3[[#This Row],[Harga Asli C]]*cadangan3[[#This Row],[Diskon]]),cadangan3[[#This Row],[Harga Asli C]])</f>
        <v>0</v>
      </c>
      <c r="AE416" s="36">
        <f>IFERROR(INDEX(Katalog!$F$3:$F$12,MATCH(cadangan3[[#This Row],[ItemID C]],Katalog!$C$3:$C$12,0))*cadangan3[[#This Row],[Qty C]],0)</f>
        <v>0</v>
      </c>
      <c r="AF416" s="36">
        <f>IFERROR(cadangan3[[#This Row],[Profit C]]-(cadangan3[[#This Row],[Profit C]]*cadangan3[[#This Row],[Diskon]]),cadangan3[[#This Row],[Profit C]])</f>
        <v>0</v>
      </c>
      <c r="AG416" s="21">
        <f>cadangan3[[#This Row],[Qty A]]+cadangan3[[#This Row],[Qty B]]+cadangan3[[#This Row],[Qty C]]</f>
        <v>3</v>
      </c>
      <c r="AH416" s="35">
        <f>cadangan3[[#This Row],[Harga A + Diskon]]+cadangan3[[#This Row],[Harga + Diskon B]]+cadangan3[[#This Row],[Harga + Diskon C]]</f>
        <v>459000</v>
      </c>
      <c r="AI416" s="35">
        <f>(cadangan3[[#This Row],[Profit A]]+cadangan3[[#This Row],[Profit B]]+cadangan3[[#This Row],[Profit C]])</f>
        <v>200000</v>
      </c>
      <c r="AJ416" s="35">
        <f>cadangan3[[#This Row],[Provit A + Diskon]]+cadangan3[[#This Row],[Provit B + Diskon]]+cadangan3[[#This Row],[Provit C + Diskon]]</f>
        <v>180000</v>
      </c>
      <c r="AK416" s="23" t="s">
        <v>30</v>
      </c>
      <c r="AL416" s="37">
        <f>IFERROR(INDEX('Kode Diskon'!$D$3:$D$9,MATCH(cadangan3[[#This Row],[Kode diskon]],'Kode Diskon'!$C$3:$C$9,0)),"-")</f>
        <v>0.1</v>
      </c>
      <c r="AM416" s="23" t="s">
        <v>29</v>
      </c>
      <c r="AN416" s="23" t="s">
        <v>10</v>
      </c>
      <c r="AO416" s="23" t="s">
        <v>80</v>
      </c>
      <c r="AP416" s="24">
        <v>45019</v>
      </c>
      <c r="AQ416" s="23" t="str">
        <f>TEXT(cadangan3[[#This Row],[Tanggal terjual]],"dddd")</f>
        <v>Monday</v>
      </c>
    </row>
    <row r="417" spans="1:43" x14ac:dyDescent="0.2">
      <c r="A417" s="20">
        <v>416</v>
      </c>
      <c r="B417" s="21" t="str">
        <f>_xlfn.CONCAT("ORD-",INDEX(Helper!$B$2:$B$5,MATCH(cadangan3[[#This Row],[Marketplace]],Helper!$A$2:$A$5,0)),TEXT(cadangan3[[#This Row],[No]],"0000"),"-",TEXT(cadangan3[[#This Row],[Tanggal terjual]],"dd/mm/yy"))</f>
        <v>ORD-BB0416-06/04/23</v>
      </c>
      <c r="C417" t="s">
        <v>64</v>
      </c>
      <c r="D417" t="str">
        <f>IFERROR(INDEX(Katalog!$A$3:$A$12,MATCH(cadangan3[[#This Row],[ItemID A]],Katalog!$C$3:$C$12,0)),"-")</f>
        <v>Pakaian Unisex</v>
      </c>
      <c r="E417" t="str">
        <f>IFERROR(INDEX(Katalog!$B$3:$B$12,MATCH(cadangan3[[#This Row],[ItemID A]],Katalog!$C$3:$C$12,0)),"-")</f>
        <v>Jaket Hoodie</v>
      </c>
      <c r="F417">
        <v>6</v>
      </c>
      <c r="G417">
        <v>5</v>
      </c>
      <c r="H417" s="36">
        <f>IFERROR(INDEX(Katalog!$D$3:$D$12,MATCH(cadangan3[[#This Row],[ItemID A]],Katalog!$C$3:$C$12,0))*cadangan3[[#This Row],[Qty A]],0)</f>
        <v>2100000</v>
      </c>
      <c r="I417" s="36">
        <f>IFERROR(INDEX(Katalog!$D$3:$D$12,MATCH(cadangan3[[#This Row],[Item A]],Katalog!$B$3:$B$12,0))*cadangan3[[#This Row],[Qty A]],0)</f>
        <v>2100000</v>
      </c>
      <c r="J417" s="36">
        <f>IFERROR(cadangan3[[#This Row],[Harga Asli A]]-(cadangan3[[#This Row],[Harga Asli A]]*cadangan3[[#This Row],[Diskon]]),cadangan3[[#This Row],[Harga Asli A]])</f>
        <v>1785000</v>
      </c>
      <c r="K417" s="36">
        <f>INDEX(Katalog!$F$3:$F$12,MATCH(cadangan3[[#This Row],[ItemID A]],Katalog!$C$3:$C$12,0))*cadangan3[[#This Row],[Qty A]]</f>
        <v>780000</v>
      </c>
      <c r="L417" s="36">
        <f>IFERROR(cadangan3[[#This Row],[Profit A]]-(cadangan3[[#This Row],[Profit A]]*cadangan3[[#This Row],[Diskon]]),K417)</f>
        <v>663000</v>
      </c>
      <c r="N417" t="str">
        <f>IFERROR(INDEX(Katalog!$A$3:$A$12,MATCH(cadangan3[[#This Row],[ItemID B]],Katalog!$C$3:$C$12,0)),"-")</f>
        <v>-</v>
      </c>
      <c r="O417" t="str">
        <f>IFERROR(INDEX(Katalog!$B$3:$B$12,MATCH(cadangan3[[#This Row],[ItemID B]],Katalog!$C$3:$C$12,0)),"-")</f>
        <v>-</v>
      </c>
      <c r="R417" s="36">
        <f>IFERROR(INDEX(Katalog!$D$3:$D$12,MATCH(cadangan3[[#This Row],[ItemID B]],Katalog!$C$3:$C$12,0))*cadangan3[[#This Row],[Qty B]],0)</f>
        <v>0</v>
      </c>
      <c r="S417" s="36">
        <f>IFERROR(INDEX(Katalog!$D$3:$D$12,MATCH(cadangan3[[#This Row],[Item B]],Katalog!$B$3:$B$12,0))*cadangan3[[#This Row],[Qty B]],0)</f>
        <v>0</v>
      </c>
      <c r="T417" s="36">
        <f>IFERROR(cadangan3[[#This Row],[Harga Asli B]]-(cadangan3[[#This Row],[Harga Asli B]]*cadangan3[[#This Row],[Diskon]]),cadangan3[[#This Row],[Harga Asli B]])</f>
        <v>0</v>
      </c>
      <c r="U417" s="36">
        <f>IFERROR(INDEX(Katalog!$F$3:$F$12,MATCH(cadangan3[[#This Row],[ItemID B]],Katalog!$C$3:$C$12,0))*cadangan3[[#This Row],[Qty B]],0)</f>
        <v>0</v>
      </c>
      <c r="V417" s="36">
        <f>IFERROR(cadangan3[[#This Row],[Profit B]]-(cadangan3[[#This Row],[Profit B]]*cadangan3[[#This Row],[Diskon]]),U417)</f>
        <v>0</v>
      </c>
      <c r="X417" t="str">
        <f>IFERROR(INDEX(Katalog!$A$3:$A$12,MATCH(cadangan3[[#This Row],[ItemID C]],Katalog!$C$3:$C$12,0)),"-")</f>
        <v>-</v>
      </c>
      <c r="Y417" t="str">
        <f>IFERROR(INDEX(Katalog!$B$3:$B$12,MATCH(cadangan3[[#This Row],[ItemID C]],Katalog!$C$3:$C$12,0)),"-")</f>
        <v>-</v>
      </c>
      <c r="AB417" s="36">
        <f>IFERROR(INDEX(Katalog!$D$3:$D$12,MATCH(cadangan3[[#This Row],[ItemID C]],Katalog!$C$3:$C$12,0))*cadangan3[[#This Row],[Qty C]],0)</f>
        <v>0</v>
      </c>
      <c r="AC417" s="36">
        <f>IFERROR(INDEX(Katalog!$D$3:$D$12,MATCH(cadangan3[[#This Row],[Item C]],Katalog!$B$3:$B$12,0))*cadangan3[[#This Row],[Qty C]],0)</f>
        <v>0</v>
      </c>
      <c r="AD417" s="36">
        <f>IFERROR(cadangan3[[#This Row],[Harga Asli C]]-(cadangan3[[#This Row],[Harga Asli C]]*cadangan3[[#This Row],[Diskon]]),cadangan3[[#This Row],[Harga Asli C]])</f>
        <v>0</v>
      </c>
      <c r="AE417" s="36">
        <f>IFERROR(INDEX(Katalog!$F$3:$F$12,MATCH(cadangan3[[#This Row],[ItemID C]],Katalog!$C$3:$C$12,0))*cadangan3[[#This Row],[Qty C]],0)</f>
        <v>0</v>
      </c>
      <c r="AF417" s="36">
        <f>IFERROR(cadangan3[[#This Row],[Profit C]]-(cadangan3[[#This Row],[Profit C]]*cadangan3[[#This Row],[Diskon]]),cadangan3[[#This Row],[Profit C]])</f>
        <v>0</v>
      </c>
      <c r="AG417" s="21">
        <f>cadangan3[[#This Row],[Qty A]]+cadangan3[[#This Row],[Qty B]]+cadangan3[[#This Row],[Qty C]]</f>
        <v>6</v>
      </c>
      <c r="AH417" s="35">
        <f>cadangan3[[#This Row],[Harga A + Diskon]]+cadangan3[[#This Row],[Harga + Diskon B]]+cadangan3[[#This Row],[Harga + Diskon C]]</f>
        <v>1785000</v>
      </c>
      <c r="AI417" s="35">
        <f>(cadangan3[[#This Row],[Profit A]]+cadangan3[[#This Row],[Profit B]]+cadangan3[[#This Row],[Profit C]])</f>
        <v>780000</v>
      </c>
      <c r="AJ417" s="35">
        <f>cadangan3[[#This Row],[Provit A + Diskon]]+cadangan3[[#This Row],[Provit B + Diskon]]+cadangan3[[#This Row],[Provit C + Diskon]]</f>
        <v>663000</v>
      </c>
      <c r="AK417" s="23" t="s">
        <v>28</v>
      </c>
      <c r="AL417" s="37">
        <f>IFERROR(INDEX('Kode Diskon'!$D$3:$D$9,MATCH(cadangan3[[#This Row],[Kode diskon]],'Kode Diskon'!$C$3:$C$9,0)),"-")</f>
        <v>0.15</v>
      </c>
      <c r="AM417" s="23" t="s">
        <v>29</v>
      </c>
      <c r="AN417" s="23" t="s">
        <v>14</v>
      </c>
      <c r="AO417" s="23" t="s">
        <v>76</v>
      </c>
      <c r="AP417" s="24">
        <v>45022</v>
      </c>
      <c r="AQ417" s="23" t="str">
        <f>TEXT(cadangan3[[#This Row],[Tanggal terjual]],"dddd")</f>
        <v>Thursday</v>
      </c>
    </row>
    <row r="418" spans="1:43" x14ac:dyDescent="0.2">
      <c r="A418" s="20">
        <v>417</v>
      </c>
      <c r="B418" s="21" t="str">
        <f>_xlfn.CONCAT("ORD-",INDEX(Helper!$B$2:$B$5,MATCH(cadangan3[[#This Row],[Marketplace]],Helper!$A$2:$A$5,0)),TEXT(cadangan3[[#This Row],[No]],"0000"),"-",TEXT(cadangan3[[#This Row],[Tanggal terjual]],"dd/mm/yy"))</f>
        <v>ORD-TK0417-30/04/23</v>
      </c>
      <c r="C418" t="s">
        <v>61</v>
      </c>
      <c r="D418" t="str">
        <f>IFERROR(INDEX(Katalog!$A$3:$A$12,MATCH(cadangan3[[#This Row],[ItemID A]],Katalog!$C$3:$C$12,0)),"-")</f>
        <v>Pakaian Pria</v>
      </c>
      <c r="E418" t="str">
        <f>IFERROR(INDEX(Katalog!$B$3:$B$12,MATCH(cadangan3[[#This Row],[ItemID A]],Katalog!$C$3:$C$12,0)),"-")</f>
        <v>Kaos Polo</v>
      </c>
      <c r="F418">
        <v>5</v>
      </c>
      <c r="G418">
        <v>4</v>
      </c>
      <c r="H418" s="36">
        <f>IFERROR(INDEX(Katalog!$D$3:$D$12,MATCH(cadangan3[[#This Row],[ItemID A]],Katalog!$C$3:$C$12,0))*cadangan3[[#This Row],[Qty A]],0)</f>
        <v>1000000</v>
      </c>
      <c r="I418" s="36">
        <f>IFERROR(INDEX(Katalog!$D$3:$D$12,MATCH(cadangan3[[#This Row],[Item A]],Katalog!$B$3:$B$12,0))*cadangan3[[#This Row],[Qty A]],0)</f>
        <v>1000000</v>
      </c>
      <c r="J418" s="36">
        <f>IFERROR(cadangan3[[#This Row],[Harga Asli A]]-(cadangan3[[#This Row],[Harga Asli A]]*cadangan3[[#This Row],[Diskon]]),cadangan3[[#This Row],[Harga Asli A]])</f>
        <v>900000</v>
      </c>
      <c r="K418" s="36">
        <f>INDEX(Katalog!$F$3:$F$12,MATCH(cadangan3[[#This Row],[ItemID A]],Katalog!$C$3:$C$12,0))*cadangan3[[#This Row],[Qty A]]</f>
        <v>400000</v>
      </c>
      <c r="L418" s="36">
        <f>IFERROR(cadangan3[[#This Row],[Profit A]]-(cadangan3[[#This Row],[Profit A]]*cadangan3[[#This Row],[Diskon]]),K418)</f>
        <v>360000</v>
      </c>
      <c r="M418" t="s">
        <v>62</v>
      </c>
      <c r="N418" t="str">
        <f>IFERROR(INDEX(Katalog!$A$3:$A$12,MATCH(cadangan3[[#This Row],[ItemID B]],Katalog!$C$3:$C$12,0)),"-")</f>
        <v>Pakaian Pria</v>
      </c>
      <c r="O418" t="str">
        <f>IFERROR(INDEX(Katalog!$B$3:$B$12,MATCH(cadangan3[[#This Row],[ItemID B]],Katalog!$C$3:$C$12,0)),"-")</f>
        <v>Celana Pendek</v>
      </c>
      <c r="P418">
        <v>1</v>
      </c>
      <c r="Q418">
        <v>3</v>
      </c>
      <c r="R418" s="36">
        <f>IFERROR(INDEX(Katalog!$D$3:$D$12,MATCH(cadangan3[[#This Row],[ItemID B]],Katalog!$C$3:$C$12,0))*cadangan3[[#This Row],[Qty B]],0)</f>
        <v>180000</v>
      </c>
      <c r="S418" s="36">
        <f>IFERROR(INDEX(Katalog!$D$3:$D$12,MATCH(cadangan3[[#This Row],[Item B]],Katalog!$B$3:$B$12,0))*cadangan3[[#This Row],[Qty B]],0)</f>
        <v>180000</v>
      </c>
      <c r="T418" s="36">
        <f>IFERROR(cadangan3[[#This Row],[Harga Asli B]]-(cadangan3[[#This Row],[Harga Asli B]]*cadangan3[[#This Row],[Diskon]]),cadangan3[[#This Row],[Harga Asli B]])</f>
        <v>162000</v>
      </c>
      <c r="U418" s="36">
        <f>IFERROR(INDEX(Katalog!$F$3:$F$12,MATCH(cadangan3[[#This Row],[ItemID B]],Katalog!$C$3:$C$12,0))*cadangan3[[#This Row],[Qty B]],0)</f>
        <v>70000</v>
      </c>
      <c r="V418" s="36">
        <f>IFERROR(cadangan3[[#This Row],[Profit B]]-(cadangan3[[#This Row],[Profit B]]*cadangan3[[#This Row],[Diskon]]),U418)</f>
        <v>63000</v>
      </c>
      <c r="X418" t="str">
        <f>IFERROR(INDEX(Katalog!$A$3:$A$12,MATCH(cadangan3[[#This Row],[ItemID C]],Katalog!$C$3:$C$12,0)),"-")</f>
        <v>-</v>
      </c>
      <c r="Y418" t="str">
        <f>IFERROR(INDEX(Katalog!$B$3:$B$12,MATCH(cadangan3[[#This Row],[ItemID C]],Katalog!$C$3:$C$12,0)),"-")</f>
        <v>-</v>
      </c>
      <c r="AB418" s="36">
        <f>IFERROR(INDEX(Katalog!$D$3:$D$12,MATCH(cadangan3[[#This Row],[ItemID C]],Katalog!$C$3:$C$12,0))*cadangan3[[#This Row],[Qty C]],0)</f>
        <v>0</v>
      </c>
      <c r="AC418" s="36">
        <f>IFERROR(INDEX(Katalog!$D$3:$D$12,MATCH(cadangan3[[#This Row],[Item C]],Katalog!$B$3:$B$12,0))*cadangan3[[#This Row],[Qty C]],0)</f>
        <v>0</v>
      </c>
      <c r="AD418" s="36">
        <f>IFERROR(cadangan3[[#This Row],[Harga Asli C]]-(cadangan3[[#This Row],[Harga Asli C]]*cadangan3[[#This Row],[Diskon]]),cadangan3[[#This Row],[Harga Asli C]])</f>
        <v>0</v>
      </c>
      <c r="AE418" s="36">
        <f>IFERROR(INDEX(Katalog!$F$3:$F$12,MATCH(cadangan3[[#This Row],[ItemID C]],Katalog!$C$3:$C$12,0))*cadangan3[[#This Row],[Qty C]],0)</f>
        <v>0</v>
      </c>
      <c r="AF418" s="36">
        <f>IFERROR(cadangan3[[#This Row],[Profit C]]-(cadangan3[[#This Row],[Profit C]]*cadangan3[[#This Row],[Diskon]]),cadangan3[[#This Row],[Profit C]])</f>
        <v>0</v>
      </c>
      <c r="AG418" s="21">
        <f>cadangan3[[#This Row],[Qty A]]+cadangan3[[#This Row],[Qty B]]+cadangan3[[#This Row],[Qty C]]</f>
        <v>6</v>
      </c>
      <c r="AH418" s="35">
        <f>cadangan3[[#This Row],[Harga A + Diskon]]+cadangan3[[#This Row],[Harga + Diskon B]]+cadangan3[[#This Row],[Harga + Diskon C]]</f>
        <v>1062000</v>
      </c>
      <c r="AI418" s="35">
        <f>(cadangan3[[#This Row],[Profit A]]+cadangan3[[#This Row],[Profit B]]+cadangan3[[#This Row],[Profit C]])</f>
        <v>470000</v>
      </c>
      <c r="AJ418" s="35">
        <f>cadangan3[[#This Row],[Provit A + Diskon]]+cadangan3[[#This Row],[Provit B + Diskon]]+cadangan3[[#This Row],[Provit C + Diskon]]</f>
        <v>423000</v>
      </c>
      <c r="AK418" s="23" t="s">
        <v>31</v>
      </c>
      <c r="AL418" s="37">
        <f>IFERROR(INDEX('Kode Diskon'!$D$3:$D$9,MATCH(cadangan3[[#This Row],[Kode diskon]],'Kode Diskon'!$C$3:$C$9,0)),"-")</f>
        <v>0.1</v>
      </c>
      <c r="AM418" s="23" t="s">
        <v>9</v>
      </c>
      <c r="AN418" s="23" t="s">
        <v>10</v>
      </c>
      <c r="AO418" s="23" t="s">
        <v>80</v>
      </c>
      <c r="AP418" s="24">
        <v>45046</v>
      </c>
      <c r="AQ418" s="23" t="str">
        <f>TEXT(cadangan3[[#This Row],[Tanggal terjual]],"dddd")</f>
        <v>Sunday</v>
      </c>
    </row>
    <row r="419" spans="1:43" x14ac:dyDescent="0.2">
      <c r="A419" s="20">
        <v>418</v>
      </c>
      <c r="B419" s="21" t="str">
        <f>_xlfn.CONCAT("ORD-",INDEX(Helper!$B$2:$B$5,MATCH(cadangan3[[#This Row],[Marketplace]],Helper!$A$2:$A$5,0)),TEXT(cadangan3[[#This Row],[No]],"0000"),"-",TEXT(cadangan3[[#This Row],[Tanggal terjual]],"dd/mm/yy"))</f>
        <v>ORD-BB0418-01/04/23</v>
      </c>
      <c r="C419" t="s">
        <v>58</v>
      </c>
      <c r="D419" t="str">
        <f>IFERROR(INDEX(Katalog!$A$3:$A$12,MATCH(cadangan3[[#This Row],[ItemID A]],Katalog!$C$3:$C$12,0)),"-")</f>
        <v>Pakaian Wanita</v>
      </c>
      <c r="E419" t="str">
        <f>IFERROR(INDEX(Katalog!$B$3:$B$12,MATCH(cadangan3[[#This Row],[ItemID A]],Katalog!$C$3:$C$12,0)),"-")</f>
        <v>Dress</v>
      </c>
      <c r="F419">
        <v>2</v>
      </c>
      <c r="G419">
        <v>5</v>
      </c>
      <c r="H419" s="36">
        <f>IFERROR(INDEX(Katalog!$D$3:$D$12,MATCH(cadangan3[[#This Row],[ItemID A]],Katalog!$C$3:$C$12,0))*cadangan3[[#This Row],[Qty A]],0)</f>
        <v>600000</v>
      </c>
      <c r="I419" s="36">
        <f>IFERROR(INDEX(Katalog!$D$3:$D$12,MATCH(cadangan3[[#This Row],[Item A]],Katalog!$B$3:$B$12,0))*cadangan3[[#This Row],[Qty A]],0)</f>
        <v>600000</v>
      </c>
      <c r="J419" s="36">
        <f>IFERROR(cadangan3[[#This Row],[Harga Asli A]]-(cadangan3[[#This Row],[Harga Asli A]]*cadangan3[[#This Row],[Diskon]]),cadangan3[[#This Row],[Harga Asli A]])</f>
        <v>510000</v>
      </c>
      <c r="K419" s="36">
        <f>INDEX(Katalog!$F$3:$F$12,MATCH(cadangan3[[#This Row],[ItemID A]],Katalog!$C$3:$C$12,0))*cadangan3[[#This Row],[Qty A]]</f>
        <v>200000</v>
      </c>
      <c r="L419" s="36">
        <f>IFERROR(cadangan3[[#This Row],[Profit A]]-(cadangan3[[#This Row],[Profit A]]*cadangan3[[#This Row],[Diskon]]),K419)</f>
        <v>170000</v>
      </c>
      <c r="M419" t="s">
        <v>67</v>
      </c>
      <c r="N419" t="str">
        <f>IFERROR(INDEX(Katalog!$A$3:$A$12,MATCH(cadangan3[[#This Row],[ItemID B]],Katalog!$C$3:$C$12,0)),"-")</f>
        <v>Sepatu Wanita</v>
      </c>
      <c r="O419" t="str">
        <f>IFERROR(INDEX(Katalog!$B$3:$B$12,MATCH(cadangan3[[#This Row],[ItemID B]],Katalog!$C$3:$C$12,0)),"-")</f>
        <v>Flat Shoes</v>
      </c>
      <c r="P419">
        <v>1</v>
      </c>
      <c r="Q419">
        <v>5</v>
      </c>
      <c r="R419" s="36">
        <f>IFERROR(INDEX(Katalog!$D$3:$D$12,MATCH(cadangan3[[#This Row],[ItemID B]],Katalog!$C$3:$C$12,0))*cadangan3[[#This Row],[Qty B]],0)</f>
        <v>250000</v>
      </c>
      <c r="S419" s="36">
        <f>IFERROR(INDEX(Katalog!$D$3:$D$12,MATCH(cadangan3[[#This Row],[Item B]],Katalog!$B$3:$B$12,0))*cadangan3[[#This Row],[Qty B]],0)</f>
        <v>250000</v>
      </c>
      <c r="T419" s="36">
        <f>IFERROR(cadangan3[[#This Row],[Harga Asli B]]-(cadangan3[[#This Row],[Harga Asli B]]*cadangan3[[#This Row],[Diskon]]),cadangan3[[#This Row],[Harga Asli B]])</f>
        <v>212500</v>
      </c>
      <c r="U419" s="36">
        <f>IFERROR(INDEX(Katalog!$F$3:$F$12,MATCH(cadangan3[[#This Row],[ItemID B]],Katalog!$C$3:$C$12,0))*cadangan3[[#This Row],[Qty B]],0)</f>
        <v>100000</v>
      </c>
      <c r="V419" s="36">
        <f>IFERROR(cadangan3[[#This Row],[Profit B]]-(cadangan3[[#This Row],[Profit B]]*cadangan3[[#This Row],[Diskon]]),U419)</f>
        <v>85000</v>
      </c>
      <c r="W419" t="s">
        <v>65</v>
      </c>
      <c r="X419" t="str">
        <f>IFERROR(INDEX(Katalog!$A$3:$A$12,MATCH(cadangan3[[#This Row],[ItemID C]],Katalog!$C$3:$C$12,0)),"-")</f>
        <v>Sepatu Pria</v>
      </c>
      <c r="Y419" t="str">
        <f>IFERROR(INDEX(Katalog!$B$3:$B$12,MATCH(cadangan3[[#This Row],[ItemID C]],Katalog!$C$3:$C$12,0)),"-")</f>
        <v>Sneakers</v>
      </c>
      <c r="Z419">
        <v>1</v>
      </c>
      <c r="AA419">
        <v>3</v>
      </c>
      <c r="AB419" s="36">
        <f>IFERROR(INDEX(Katalog!$D$3:$D$12,MATCH(cadangan3[[#This Row],[ItemID C]],Katalog!$C$3:$C$12,0))*cadangan3[[#This Row],[Qty C]],0)</f>
        <v>500000</v>
      </c>
      <c r="AC419" s="36">
        <f>IFERROR(INDEX(Katalog!$D$3:$D$12,MATCH(cadangan3[[#This Row],[Item C]],Katalog!$B$3:$B$12,0))*cadangan3[[#This Row],[Qty C]],0)</f>
        <v>500000</v>
      </c>
      <c r="AD419" s="36">
        <f>IFERROR(cadangan3[[#This Row],[Harga Asli C]]-(cadangan3[[#This Row],[Harga Asli C]]*cadangan3[[#This Row],[Diskon]]),cadangan3[[#This Row],[Harga Asli C]])</f>
        <v>425000</v>
      </c>
      <c r="AE419" s="36">
        <f>IFERROR(INDEX(Katalog!$F$3:$F$12,MATCH(cadangan3[[#This Row],[ItemID C]],Katalog!$C$3:$C$12,0))*cadangan3[[#This Row],[Qty C]],0)</f>
        <v>200000</v>
      </c>
      <c r="AF419" s="36">
        <f>IFERROR(cadangan3[[#This Row],[Profit C]]-(cadangan3[[#This Row],[Profit C]]*cadangan3[[#This Row],[Diskon]]),cadangan3[[#This Row],[Profit C]])</f>
        <v>170000</v>
      </c>
      <c r="AG419" s="21">
        <f>cadangan3[[#This Row],[Qty A]]+cadangan3[[#This Row],[Qty B]]+cadangan3[[#This Row],[Qty C]]</f>
        <v>4</v>
      </c>
      <c r="AH419" s="35">
        <f>cadangan3[[#This Row],[Harga A + Diskon]]+cadangan3[[#This Row],[Harga + Diskon B]]+cadangan3[[#This Row],[Harga + Diskon C]]</f>
        <v>1147500</v>
      </c>
      <c r="AI419" s="35">
        <f>(cadangan3[[#This Row],[Profit A]]+cadangan3[[#This Row],[Profit B]]+cadangan3[[#This Row],[Profit C]])</f>
        <v>500000</v>
      </c>
      <c r="AJ419" s="35">
        <f>cadangan3[[#This Row],[Provit A + Diskon]]+cadangan3[[#This Row],[Provit B + Diskon]]+cadangan3[[#This Row],[Provit C + Diskon]]</f>
        <v>425000</v>
      </c>
      <c r="AK419" s="23" t="s">
        <v>28</v>
      </c>
      <c r="AL419" s="37">
        <f>IFERROR(INDEX('Kode Diskon'!$D$3:$D$9,MATCH(cadangan3[[#This Row],[Kode diskon]],'Kode Diskon'!$C$3:$C$9,0)),"-")</f>
        <v>0.15</v>
      </c>
      <c r="AM419" s="23" t="s">
        <v>29</v>
      </c>
      <c r="AN419" s="23" t="s">
        <v>14</v>
      </c>
      <c r="AO419" s="23" t="s">
        <v>79</v>
      </c>
      <c r="AP419" s="24">
        <v>45017</v>
      </c>
      <c r="AQ419" s="23" t="str">
        <f>TEXT(cadangan3[[#This Row],[Tanggal terjual]],"dddd")</f>
        <v>Saturday</v>
      </c>
    </row>
    <row r="420" spans="1:43" x14ac:dyDescent="0.2">
      <c r="A420" s="20">
        <v>419</v>
      </c>
      <c r="B420" s="21" t="str">
        <f>_xlfn.CONCAT("ORD-",INDEX(Helper!$B$2:$B$5,MATCH(cadangan3[[#This Row],[Marketplace]],Helper!$A$2:$A$5,0)),TEXT(cadangan3[[#This Row],[No]],"0000"),"-",TEXT(cadangan3[[#This Row],[Tanggal terjual]],"dd/mm/yy"))</f>
        <v>ORD-BL0419-24/04/23</v>
      </c>
      <c r="C420" t="s">
        <v>59</v>
      </c>
      <c r="D420" t="str">
        <f>IFERROR(INDEX(Katalog!$A$3:$A$12,MATCH(cadangan3[[#This Row],[ItemID A]],Katalog!$C$3:$C$12,0)),"-")</f>
        <v>Pakaian Wanita</v>
      </c>
      <c r="E420" t="str">
        <f>IFERROR(INDEX(Katalog!$B$3:$B$12,MATCH(cadangan3[[#This Row],[ItemID A]],Katalog!$C$3:$C$12,0)),"-")</f>
        <v>Blouse</v>
      </c>
      <c r="F420">
        <v>1</v>
      </c>
      <c r="G420">
        <v>1</v>
      </c>
      <c r="H420" s="36">
        <f>IFERROR(INDEX(Katalog!$D$3:$D$12,MATCH(cadangan3[[#This Row],[ItemID A]],Katalog!$C$3:$C$12,0))*cadangan3[[#This Row],[Qty A]],0)</f>
        <v>150000</v>
      </c>
      <c r="I420" s="36">
        <f>IFERROR(INDEX(Katalog!$D$3:$D$12,MATCH(cadangan3[[#This Row],[Item A]],Katalog!$B$3:$B$12,0))*cadangan3[[#This Row],[Qty A]],0)</f>
        <v>150000</v>
      </c>
      <c r="J420" s="36">
        <f>IFERROR(cadangan3[[#This Row],[Harga Asli A]]-(cadangan3[[#This Row],[Harga Asli A]]*cadangan3[[#This Row],[Diskon]]),cadangan3[[#This Row],[Harga Asli A]])</f>
        <v>127500</v>
      </c>
      <c r="K420" s="36">
        <f>INDEX(Katalog!$F$3:$F$12,MATCH(cadangan3[[#This Row],[ItemID A]],Katalog!$C$3:$C$12,0))*cadangan3[[#This Row],[Qty A]]</f>
        <v>50000</v>
      </c>
      <c r="L420" s="36">
        <f>IFERROR(cadangan3[[#This Row],[Profit A]]-(cadangan3[[#This Row],[Profit A]]*cadangan3[[#This Row],[Diskon]]),K420)</f>
        <v>42500</v>
      </c>
      <c r="N420" t="str">
        <f>IFERROR(INDEX(Katalog!$A$3:$A$12,MATCH(cadangan3[[#This Row],[ItemID B]],Katalog!$C$3:$C$12,0)),"-")</f>
        <v>-</v>
      </c>
      <c r="O420" t="str">
        <f>IFERROR(INDEX(Katalog!$B$3:$B$12,MATCH(cadangan3[[#This Row],[ItemID B]],Katalog!$C$3:$C$12,0)),"-")</f>
        <v>-</v>
      </c>
      <c r="R420" s="36">
        <f>IFERROR(INDEX(Katalog!$D$3:$D$12,MATCH(cadangan3[[#This Row],[ItemID B]],Katalog!$C$3:$C$12,0))*cadangan3[[#This Row],[Qty B]],0)</f>
        <v>0</v>
      </c>
      <c r="S420" s="36">
        <f>IFERROR(INDEX(Katalog!$D$3:$D$12,MATCH(cadangan3[[#This Row],[Item B]],Katalog!$B$3:$B$12,0))*cadangan3[[#This Row],[Qty B]],0)</f>
        <v>0</v>
      </c>
      <c r="T420" s="36">
        <f>IFERROR(cadangan3[[#This Row],[Harga Asli B]]-(cadangan3[[#This Row],[Harga Asli B]]*cadangan3[[#This Row],[Diskon]]),cadangan3[[#This Row],[Harga Asli B]])</f>
        <v>0</v>
      </c>
      <c r="U420" s="36">
        <f>IFERROR(INDEX(Katalog!$F$3:$F$12,MATCH(cadangan3[[#This Row],[ItemID B]],Katalog!$C$3:$C$12,0))*cadangan3[[#This Row],[Qty B]],0)</f>
        <v>0</v>
      </c>
      <c r="V420" s="36">
        <f>IFERROR(cadangan3[[#This Row],[Profit B]]-(cadangan3[[#This Row],[Profit B]]*cadangan3[[#This Row],[Diskon]]),U420)</f>
        <v>0</v>
      </c>
      <c r="X420" t="str">
        <f>IFERROR(INDEX(Katalog!$A$3:$A$12,MATCH(cadangan3[[#This Row],[ItemID C]],Katalog!$C$3:$C$12,0)),"-")</f>
        <v>-</v>
      </c>
      <c r="Y420" t="str">
        <f>IFERROR(INDEX(Katalog!$B$3:$B$12,MATCH(cadangan3[[#This Row],[ItemID C]],Katalog!$C$3:$C$12,0)),"-")</f>
        <v>-</v>
      </c>
      <c r="AB420" s="36">
        <f>IFERROR(INDEX(Katalog!$D$3:$D$12,MATCH(cadangan3[[#This Row],[ItemID C]],Katalog!$C$3:$C$12,0))*cadangan3[[#This Row],[Qty C]],0)</f>
        <v>0</v>
      </c>
      <c r="AC420" s="36">
        <f>IFERROR(INDEX(Katalog!$D$3:$D$12,MATCH(cadangan3[[#This Row],[Item C]],Katalog!$B$3:$B$12,0))*cadangan3[[#This Row],[Qty C]],0)</f>
        <v>0</v>
      </c>
      <c r="AD420" s="36">
        <f>IFERROR(cadangan3[[#This Row],[Harga Asli C]]-(cadangan3[[#This Row],[Harga Asli C]]*cadangan3[[#This Row],[Diskon]]),cadangan3[[#This Row],[Harga Asli C]])</f>
        <v>0</v>
      </c>
      <c r="AE420" s="36">
        <f>IFERROR(INDEX(Katalog!$F$3:$F$12,MATCH(cadangan3[[#This Row],[ItemID C]],Katalog!$C$3:$C$12,0))*cadangan3[[#This Row],[Qty C]],0)</f>
        <v>0</v>
      </c>
      <c r="AF420" s="36">
        <f>IFERROR(cadangan3[[#This Row],[Profit C]]-(cadangan3[[#This Row],[Profit C]]*cadangan3[[#This Row],[Diskon]]),cadangan3[[#This Row],[Profit C]])</f>
        <v>0</v>
      </c>
      <c r="AG420" s="21">
        <f>cadangan3[[#This Row],[Qty A]]+cadangan3[[#This Row],[Qty B]]+cadangan3[[#This Row],[Qty C]]</f>
        <v>1</v>
      </c>
      <c r="AH420" s="35">
        <f>cadangan3[[#This Row],[Harga A + Diskon]]+cadangan3[[#This Row],[Harga + Diskon B]]+cadangan3[[#This Row],[Harga + Diskon C]]</f>
        <v>127500</v>
      </c>
      <c r="AI420" s="35">
        <f>(cadangan3[[#This Row],[Profit A]]+cadangan3[[#This Row],[Profit B]]+cadangan3[[#This Row],[Profit C]])</f>
        <v>50000</v>
      </c>
      <c r="AJ420" s="35">
        <f>cadangan3[[#This Row],[Provit A + Diskon]]+cadangan3[[#This Row],[Provit B + Diskon]]+cadangan3[[#This Row],[Provit C + Diskon]]</f>
        <v>42500</v>
      </c>
      <c r="AK420" s="23" t="s">
        <v>32</v>
      </c>
      <c r="AL420" s="37">
        <f>IFERROR(INDEX('Kode Diskon'!$D$3:$D$9,MATCH(cadangan3[[#This Row],[Kode diskon]],'Kode Diskon'!$C$3:$C$9,0)),"-")</f>
        <v>0.15</v>
      </c>
      <c r="AM420" s="23" t="s">
        <v>9</v>
      </c>
      <c r="AN420" s="23" t="s">
        <v>12</v>
      </c>
      <c r="AO420" s="23" t="s">
        <v>80</v>
      </c>
      <c r="AP420" s="24">
        <v>45040</v>
      </c>
      <c r="AQ420" s="23" t="str">
        <f>TEXT(cadangan3[[#This Row],[Tanggal terjual]],"dddd")</f>
        <v>Monday</v>
      </c>
    </row>
    <row r="421" spans="1:43" x14ac:dyDescent="0.2">
      <c r="A421" s="20">
        <v>420</v>
      </c>
      <c r="B421" s="21" t="str">
        <f>_xlfn.CONCAT("ORD-",INDEX(Helper!$B$2:$B$5,MATCH(cadangan3[[#This Row],[Marketplace]],Helper!$A$2:$A$5,0)),TEXT(cadangan3[[#This Row],[No]],"0000"),"-",TEXT(cadangan3[[#This Row],[Tanggal terjual]],"dd/mm/yy"))</f>
        <v>ORD-BB0420-05/04/23</v>
      </c>
      <c r="C421" t="s">
        <v>64</v>
      </c>
      <c r="D421" t="str">
        <f>IFERROR(INDEX(Katalog!$A$3:$A$12,MATCH(cadangan3[[#This Row],[ItemID A]],Katalog!$C$3:$C$12,0)),"-")</f>
        <v>Pakaian Unisex</v>
      </c>
      <c r="E421" t="str">
        <f>IFERROR(INDEX(Katalog!$B$3:$B$12,MATCH(cadangan3[[#This Row],[ItemID A]],Katalog!$C$3:$C$12,0)),"-")</f>
        <v>Jaket Hoodie</v>
      </c>
      <c r="F421">
        <v>3</v>
      </c>
      <c r="G421">
        <v>4</v>
      </c>
      <c r="H421" s="36">
        <f>IFERROR(INDEX(Katalog!$D$3:$D$12,MATCH(cadangan3[[#This Row],[ItemID A]],Katalog!$C$3:$C$12,0))*cadangan3[[#This Row],[Qty A]],0)</f>
        <v>1050000</v>
      </c>
      <c r="I421" s="36">
        <f>IFERROR(INDEX(Katalog!$D$3:$D$12,MATCH(cadangan3[[#This Row],[Item A]],Katalog!$B$3:$B$12,0))*cadangan3[[#This Row],[Qty A]],0)</f>
        <v>1050000</v>
      </c>
      <c r="J421" s="36">
        <f>IFERROR(cadangan3[[#This Row],[Harga Asli A]]-(cadangan3[[#This Row],[Harga Asli A]]*cadangan3[[#This Row],[Diskon]]),cadangan3[[#This Row],[Harga Asli A]])</f>
        <v>892500</v>
      </c>
      <c r="K421" s="36">
        <f>INDEX(Katalog!$F$3:$F$12,MATCH(cadangan3[[#This Row],[ItemID A]],Katalog!$C$3:$C$12,0))*cadangan3[[#This Row],[Qty A]]</f>
        <v>390000</v>
      </c>
      <c r="L421" s="36">
        <f>IFERROR(cadangan3[[#This Row],[Profit A]]-(cadangan3[[#This Row],[Profit A]]*cadangan3[[#This Row],[Diskon]]),K421)</f>
        <v>331500</v>
      </c>
      <c r="M421" t="s">
        <v>63</v>
      </c>
      <c r="N421" t="str">
        <f>IFERROR(INDEX(Katalog!$A$3:$A$12,MATCH(cadangan3[[#This Row],[ItemID B]],Katalog!$C$3:$C$12,0)),"-")</f>
        <v>Pakaian Pria</v>
      </c>
      <c r="O421" t="str">
        <f>IFERROR(INDEX(Katalog!$B$3:$B$12,MATCH(cadangan3[[#This Row],[ItemID B]],Katalog!$C$3:$C$12,0)),"-")</f>
        <v>Jaket Jeans</v>
      </c>
      <c r="P421">
        <v>1</v>
      </c>
      <c r="Q421">
        <v>5</v>
      </c>
      <c r="R421" s="36">
        <f>IFERROR(INDEX(Katalog!$D$3:$D$12,MATCH(cadangan3[[#This Row],[ItemID B]],Katalog!$C$3:$C$12,0))*cadangan3[[#This Row],[Qty B]],0)</f>
        <v>400000</v>
      </c>
      <c r="S421" s="36">
        <f>IFERROR(INDEX(Katalog!$D$3:$D$12,MATCH(cadangan3[[#This Row],[Item B]],Katalog!$B$3:$B$12,0))*cadangan3[[#This Row],[Qty B]],0)</f>
        <v>400000</v>
      </c>
      <c r="T421" s="36">
        <f>IFERROR(cadangan3[[#This Row],[Harga Asli B]]-(cadangan3[[#This Row],[Harga Asli B]]*cadangan3[[#This Row],[Diskon]]),cadangan3[[#This Row],[Harga Asli B]])</f>
        <v>340000</v>
      </c>
      <c r="U421" s="36">
        <f>IFERROR(INDEX(Katalog!$F$3:$F$12,MATCH(cadangan3[[#This Row],[ItemID B]],Katalog!$C$3:$C$12,0))*cadangan3[[#This Row],[Qty B]],0)</f>
        <v>150000</v>
      </c>
      <c r="V421" s="36">
        <f>IFERROR(cadangan3[[#This Row],[Profit B]]-(cadangan3[[#This Row],[Profit B]]*cadangan3[[#This Row],[Diskon]]),U421)</f>
        <v>127500</v>
      </c>
      <c r="W421" t="s">
        <v>59</v>
      </c>
      <c r="X421" t="str">
        <f>IFERROR(INDEX(Katalog!$A$3:$A$12,MATCH(cadangan3[[#This Row],[ItemID C]],Katalog!$C$3:$C$12,0)),"-")</f>
        <v>Pakaian Wanita</v>
      </c>
      <c r="Y421" t="str">
        <f>IFERROR(INDEX(Katalog!$B$3:$B$12,MATCH(cadangan3[[#This Row],[ItemID C]],Katalog!$C$3:$C$12,0)),"-")</f>
        <v>Blouse</v>
      </c>
      <c r="Z421">
        <v>2</v>
      </c>
      <c r="AA421">
        <v>4</v>
      </c>
      <c r="AB421" s="36">
        <f>IFERROR(INDEX(Katalog!$D$3:$D$12,MATCH(cadangan3[[#This Row],[ItemID C]],Katalog!$C$3:$C$12,0))*cadangan3[[#This Row],[Qty C]],0)</f>
        <v>300000</v>
      </c>
      <c r="AC421" s="36">
        <f>IFERROR(INDEX(Katalog!$D$3:$D$12,MATCH(cadangan3[[#This Row],[Item C]],Katalog!$B$3:$B$12,0))*cadangan3[[#This Row],[Qty C]],0)</f>
        <v>300000</v>
      </c>
      <c r="AD421" s="36">
        <f>IFERROR(cadangan3[[#This Row],[Harga Asli C]]-(cadangan3[[#This Row],[Harga Asli C]]*cadangan3[[#This Row],[Diskon]]),cadangan3[[#This Row],[Harga Asli C]])</f>
        <v>255000</v>
      </c>
      <c r="AE421" s="36">
        <f>IFERROR(INDEX(Katalog!$F$3:$F$12,MATCH(cadangan3[[#This Row],[ItemID C]],Katalog!$C$3:$C$12,0))*cadangan3[[#This Row],[Qty C]],0)</f>
        <v>100000</v>
      </c>
      <c r="AF421" s="36">
        <f>IFERROR(cadangan3[[#This Row],[Profit C]]-(cadangan3[[#This Row],[Profit C]]*cadangan3[[#This Row],[Diskon]]),cadangan3[[#This Row],[Profit C]])</f>
        <v>85000</v>
      </c>
      <c r="AG421" s="21">
        <f>cadangan3[[#This Row],[Qty A]]+cadangan3[[#This Row],[Qty B]]+cadangan3[[#This Row],[Qty C]]</f>
        <v>6</v>
      </c>
      <c r="AH421" s="35">
        <f>cadangan3[[#This Row],[Harga A + Diskon]]+cadangan3[[#This Row],[Harga + Diskon B]]+cadangan3[[#This Row],[Harga + Diskon C]]</f>
        <v>1487500</v>
      </c>
      <c r="AI421" s="35">
        <f>(cadangan3[[#This Row],[Profit A]]+cadangan3[[#This Row],[Profit B]]+cadangan3[[#This Row],[Profit C]])</f>
        <v>640000</v>
      </c>
      <c r="AJ421" s="35">
        <f>cadangan3[[#This Row],[Provit A + Diskon]]+cadangan3[[#This Row],[Provit B + Diskon]]+cadangan3[[#This Row],[Provit C + Diskon]]</f>
        <v>544000</v>
      </c>
      <c r="AK421" s="23" t="s">
        <v>28</v>
      </c>
      <c r="AL421" s="37">
        <f>IFERROR(INDEX('Kode Diskon'!$D$3:$D$9,MATCH(cadangan3[[#This Row],[Kode diskon]],'Kode Diskon'!$C$3:$C$9,0)),"-")</f>
        <v>0.15</v>
      </c>
      <c r="AM421" s="23" t="s">
        <v>29</v>
      </c>
      <c r="AN421" s="23" t="s">
        <v>14</v>
      </c>
      <c r="AO421" s="23" t="s">
        <v>76</v>
      </c>
      <c r="AP421" s="24">
        <v>45021</v>
      </c>
      <c r="AQ421" s="23" t="str">
        <f>TEXT(cadangan3[[#This Row],[Tanggal terjual]],"dddd")</f>
        <v>Wednesday</v>
      </c>
    </row>
    <row r="422" spans="1:43" x14ac:dyDescent="0.2">
      <c r="A422" s="20">
        <v>421</v>
      </c>
      <c r="B422" s="21" t="str">
        <f>_xlfn.CONCAT("ORD-",INDEX(Helper!$B$2:$B$5,MATCH(cadangan3[[#This Row],[Marketplace]],Helper!$A$2:$A$5,0)),TEXT(cadangan3[[#This Row],[No]],"0000"),"-",TEXT(cadangan3[[#This Row],[Tanggal terjual]],"dd/mm/yy"))</f>
        <v>ORD-TK0421-16/04/23</v>
      </c>
      <c r="C422" t="s">
        <v>60</v>
      </c>
      <c r="D422" t="str">
        <f>IFERROR(INDEX(Katalog!$A$3:$A$12,MATCH(cadangan3[[#This Row],[ItemID A]],Katalog!$C$3:$C$12,0)),"-")</f>
        <v>Pakaian Wanita</v>
      </c>
      <c r="E422" t="str">
        <f>IFERROR(INDEX(Katalog!$B$3:$B$12,MATCH(cadangan3[[#This Row],[ItemID A]],Katalog!$C$3:$C$12,0)),"-")</f>
        <v>Kaftan</v>
      </c>
      <c r="F422">
        <v>1</v>
      </c>
      <c r="G422">
        <v>4</v>
      </c>
      <c r="H422" s="36">
        <f>IFERROR(INDEX(Katalog!$D$3:$D$12,MATCH(cadangan3[[#This Row],[ItemID A]],Katalog!$C$3:$C$12,0))*cadangan3[[#This Row],[Qty A]],0)</f>
        <v>250000</v>
      </c>
      <c r="I422" s="36">
        <f>IFERROR(INDEX(Katalog!$D$3:$D$12,MATCH(cadangan3[[#This Row],[Item A]],Katalog!$B$3:$B$12,0))*cadangan3[[#This Row],[Qty A]],0)</f>
        <v>250000</v>
      </c>
      <c r="J422" s="36">
        <f>IFERROR(cadangan3[[#This Row],[Harga Asli A]]-(cadangan3[[#This Row],[Harga Asli A]]*cadangan3[[#This Row],[Diskon]]),cadangan3[[#This Row],[Harga Asli A]])</f>
        <v>225000</v>
      </c>
      <c r="K422" s="36">
        <f>INDEX(Katalog!$F$3:$F$12,MATCH(cadangan3[[#This Row],[ItemID A]],Katalog!$C$3:$C$12,0))*cadangan3[[#This Row],[Qty A]]</f>
        <v>100000</v>
      </c>
      <c r="L422" s="36">
        <f>IFERROR(cadangan3[[#This Row],[Profit A]]-(cadangan3[[#This Row],[Profit A]]*cadangan3[[#This Row],[Diskon]]),K422)</f>
        <v>90000</v>
      </c>
      <c r="N422" t="str">
        <f>IFERROR(INDEX(Katalog!$A$3:$A$12,MATCH(cadangan3[[#This Row],[ItemID B]],Katalog!$C$3:$C$12,0)),"-")</f>
        <v>-</v>
      </c>
      <c r="O422" t="str">
        <f>IFERROR(INDEX(Katalog!$B$3:$B$12,MATCH(cadangan3[[#This Row],[ItemID B]],Katalog!$C$3:$C$12,0)),"-")</f>
        <v>-</v>
      </c>
      <c r="R422" s="36">
        <f>IFERROR(INDEX(Katalog!$D$3:$D$12,MATCH(cadangan3[[#This Row],[ItemID B]],Katalog!$C$3:$C$12,0))*cadangan3[[#This Row],[Qty B]],0)</f>
        <v>0</v>
      </c>
      <c r="S422" s="36">
        <f>IFERROR(INDEX(Katalog!$D$3:$D$12,MATCH(cadangan3[[#This Row],[Item B]],Katalog!$B$3:$B$12,0))*cadangan3[[#This Row],[Qty B]],0)</f>
        <v>0</v>
      </c>
      <c r="T422" s="36">
        <f>IFERROR(cadangan3[[#This Row],[Harga Asli B]]-(cadangan3[[#This Row],[Harga Asli B]]*cadangan3[[#This Row],[Diskon]]),cadangan3[[#This Row],[Harga Asli B]])</f>
        <v>0</v>
      </c>
      <c r="U422" s="36">
        <f>IFERROR(INDEX(Katalog!$F$3:$F$12,MATCH(cadangan3[[#This Row],[ItemID B]],Katalog!$C$3:$C$12,0))*cadangan3[[#This Row],[Qty B]],0)</f>
        <v>0</v>
      </c>
      <c r="V422" s="36">
        <f>IFERROR(cadangan3[[#This Row],[Profit B]]-(cadangan3[[#This Row],[Profit B]]*cadangan3[[#This Row],[Diskon]]),U422)</f>
        <v>0</v>
      </c>
      <c r="X422" t="str">
        <f>IFERROR(INDEX(Katalog!$A$3:$A$12,MATCH(cadangan3[[#This Row],[ItemID C]],Katalog!$C$3:$C$12,0)),"-")</f>
        <v>-</v>
      </c>
      <c r="Y422" t="str">
        <f>IFERROR(INDEX(Katalog!$B$3:$B$12,MATCH(cadangan3[[#This Row],[ItemID C]],Katalog!$C$3:$C$12,0)),"-")</f>
        <v>-</v>
      </c>
      <c r="AB422" s="36">
        <f>IFERROR(INDEX(Katalog!$D$3:$D$12,MATCH(cadangan3[[#This Row],[ItemID C]],Katalog!$C$3:$C$12,0))*cadangan3[[#This Row],[Qty C]],0)</f>
        <v>0</v>
      </c>
      <c r="AC422" s="36">
        <f>IFERROR(INDEX(Katalog!$D$3:$D$12,MATCH(cadangan3[[#This Row],[Item C]],Katalog!$B$3:$B$12,0))*cadangan3[[#This Row],[Qty C]],0)</f>
        <v>0</v>
      </c>
      <c r="AD422" s="36">
        <f>IFERROR(cadangan3[[#This Row],[Harga Asli C]]-(cadangan3[[#This Row],[Harga Asli C]]*cadangan3[[#This Row],[Diskon]]),cadangan3[[#This Row],[Harga Asli C]])</f>
        <v>0</v>
      </c>
      <c r="AE422" s="36">
        <f>IFERROR(INDEX(Katalog!$F$3:$F$12,MATCH(cadangan3[[#This Row],[ItemID C]],Katalog!$C$3:$C$12,0))*cadangan3[[#This Row],[Qty C]],0)</f>
        <v>0</v>
      </c>
      <c r="AF422" s="36">
        <f>IFERROR(cadangan3[[#This Row],[Profit C]]-(cadangan3[[#This Row],[Profit C]]*cadangan3[[#This Row],[Diskon]]),cadangan3[[#This Row],[Profit C]])</f>
        <v>0</v>
      </c>
      <c r="AG422" s="21">
        <f>cadangan3[[#This Row],[Qty A]]+cadangan3[[#This Row],[Qty B]]+cadangan3[[#This Row],[Qty C]]</f>
        <v>1</v>
      </c>
      <c r="AH422" s="35">
        <f>cadangan3[[#This Row],[Harga A + Diskon]]+cadangan3[[#This Row],[Harga + Diskon B]]+cadangan3[[#This Row],[Harga + Diskon C]]</f>
        <v>225000</v>
      </c>
      <c r="AI422" s="35">
        <f>(cadangan3[[#This Row],[Profit A]]+cadangan3[[#This Row],[Profit B]]+cadangan3[[#This Row],[Profit C]])</f>
        <v>100000</v>
      </c>
      <c r="AJ422" s="35">
        <f>cadangan3[[#This Row],[Provit A + Diskon]]+cadangan3[[#This Row],[Provit B + Diskon]]+cadangan3[[#This Row],[Provit C + Diskon]]</f>
        <v>90000</v>
      </c>
      <c r="AK422" s="23" t="s">
        <v>31</v>
      </c>
      <c r="AL422" s="37">
        <f>IFERROR(INDEX('Kode Diskon'!$D$3:$D$9,MATCH(cadangan3[[#This Row],[Kode diskon]],'Kode Diskon'!$C$3:$C$9,0)),"-")</f>
        <v>0.1</v>
      </c>
      <c r="AM422" s="23" t="s">
        <v>9</v>
      </c>
      <c r="AN422" s="23" t="s">
        <v>10</v>
      </c>
      <c r="AO422" s="23" t="s">
        <v>75</v>
      </c>
      <c r="AP422" s="24">
        <v>45032</v>
      </c>
      <c r="AQ422" s="23" t="str">
        <f>TEXT(cadangan3[[#This Row],[Tanggal terjual]],"dddd")</f>
        <v>Sunday</v>
      </c>
    </row>
    <row r="423" spans="1:43" x14ac:dyDescent="0.2">
      <c r="A423" s="20">
        <v>422</v>
      </c>
      <c r="B423" s="21" t="str">
        <f>_xlfn.CONCAT("ORD-",INDEX(Helper!$B$2:$B$5,MATCH(cadangan3[[#This Row],[Marketplace]],Helper!$A$2:$A$5,0)),TEXT(cadangan3[[#This Row],[No]],"0000"),"-",TEXT(cadangan3[[#This Row],[Tanggal terjual]],"dd/mm/yy"))</f>
        <v>ORD-SP0422-11/04/23</v>
      </c>
      <c r="C423" t="s">
        <v>63</v>
      </c>
      <c r="D423" t="str">
        <f>IFERROR(INDEX(Katalog!$A$3:$A$12,MATCH(cadangan3[[#This Row],[ItemID A]],Katalog!$C$3:$C$12,0)),"-")</f>
        <v>Pakaian Pria</v>
      </c>
      <c r="E423" t="str">
        <f>IFERROR(INDEX(Katalog!$B$3:$B$12,MATCH(cadangan3[[#This Row],[ItemID A]],Katalog!$C$3:$C$12,0)),"-")</f>
        <v>Jaket Jeans</v>
      </c>
      <c r="F423">
        <v>1</v>
      </c>
      <c r="G423">
        <v>3</v>
      </c>
      <c r="H423" s="36">
        <f>IFERROR(INDEX(Katalog!$D$3:$D$12,MATCH(cadangan3[[#This Row],[ItemID A]],Katalog!$C$3:$C$12,0))*cadangan3[[#This Row],[Qty A]],0)</f>
        <v>400000</v>
      </c>
      <c r="I423" s="36">
        <f>IFERROR(INDEX(Katalog!$D$3:$D$12,MATCH(cadangan3[[#This Row],[Item A]],Katalog!$B$3:$B$12,0))*cadangan3[[#This Row],[Qty A]],0)</f>
        <v>400000</v>
      </c>
      <c r="J423" s="36">
        <f>IFERROR(cadangan3[[#This Row],[Harga Asli A]]-(cadangan3[[#This Row],[Harga Asli A]]*cadangan3[[#This Row],[Diskon]]),cadangan3[[#This Row],[Harga Asli A]])</f>
        <v>400000</v>
      </c>
      <c r="K423" s="36">
        <f>INDEX(Katalog!$F$3:$F$12,MATCH(cadangan3[[#This Row],[ItemID A]],Katalog!$C$3:$C$12,0))*cadangan3[[#This Row],[Qty A]]</f>
        <v>150000</v>
      </c>
      <c r="L423" s="36">
        <f>IFERROR(cadangan3[[#This Row],[Profit A]]-(cadangan3[[#This Row],[Profit A]]*cadangan3[[#This Row],[Diskon]]),K423)</f>
        <v>150000</v>
      </c>
      <c r="M423" t="s">
        <v>62</v>
      </c>
      <c r="N423" t="str">
        <f>IFERROR(INDEX(Katalog!$A$3:$A$12,MATCH(cadangan3[[#This Row],[ItemID B]],Katalog!$C$3:$C$12,0)),"-")</f>
        <v>Pakaian Pria</v>
      </c>
      <c r="O423" t="str">
        <f>IFERROR(INDEX(Katalog!$B$3:$B$12,MATCH(cadangan3[[#This Row],[ItemID B]],Katalog!$C$3:$C$12,0)),"-")</f>
        <v>Celana Pendek</v>
      </c>
      <c r="P423">
        <v>5</v>
      </c>
      <c r="Q423">
        <v>2</v>
      </c>
      <c r="R423" s="36">
        <f>IFERROR(INDEX(Katalog!$D$3:$D$12,MATCH(cadangan3[[#This Row],[ItemID B]],Katalog!$C$3:$C$12,0))*cadangan3[[#This Row],[Qty B]],0)</f>
        <v>900000</v>
      </c>
      <c r="S423" s="36">
        <f>IFERROR(INDEX(Katalog!$D$3:$D$12,MATCH(cadangan3[[#This Row],[Item B]],Katalog!$B$3:$B$12,0))*cadangan3[[#This Row],[Qty B]],0)</f>
        <v>900000</v>
      </c>
      <c r="T423" s="36">
        <f>IFERROR(cadangan3[[#This Row],[Harga Asli B]]-(cadangan3[[#This Row],[Harga Asli B]]*cadangan3[[#This Row],[Diskon]]),cadangan3[[#This Row],[Harga Asli B]])</f>
        <v>900000</v>
      </c>
      <c r="U423" s="36">
        <f>IFERROR(INDEX(Katalog!$F$3:$F$12,MATCH(cadangan3[[#This Row],[ItemID B]],Katalog!$C$3:$C$12,0))*cadangan3[[#This Row],[Qty B]],0)</f>
        <v>350000</v>
      </c>
      <c r="V423" s="36">
        <f>IFERROR(cadangan3[[#This Row],[Profit B]]-(cadangan3[[#This Row],[Profit B]]*cadangan3[[#This Row],[Diskon]]),U423)</f>
        <v>350000</v>
      </c>
      <c r="X423" t="str">
        <f>IFERROR(INDEX(Katalog!$A$3:$A$12,MATCH(cadangan3[[#This Row],[ItemID C]],Katalog!$C$3:$C$12,0)),"-")</f>
        <v>-</v>
      </c>
      <c r="Y423" t="str">
        <f>IFERROR(INDEX(Katalog!$B$3:$B$12,MATCH(cadangan3[[#This Row],[ItemID C]],Katalog!$C$3:$C$12,0)),"-")</f>
        <v>-</v>
      </c>
      <c r="AB423" s="36">
        <f>IFERROR(INDEX(Katalog!$D$3:$D$12,MATCH(cadangan3[[#This Row],[ItemID C]],Katalog!$C$3:$C$12,0))*cadangan3[[#This Row],[Qty C]],0)</f>
        <v>0</v>
      </c>
      <c r="AC423" s="36">
        <f>IFERROR(INDEX(Katalog!$D$3:$D$12,MATCH(cadangan3[[#This Row],[Item C]],Katalog!$B$3:$B$12,0))*cadangan3[[#This Row],[Qty C]],0)</f>
        <v>0</v>
      </c>
      <c r="AD423" s="36">
        <f>IFERROR(cadangan3[[#This Row],[Harga Asli C]]-(cadangan3[[#This Row],[Harga Asli C]]*cadangan3[[#This Row],[Diskon]]),cadangan3[[#This Row],[Harga Asli C]])</f>
        <v>0</v>
      </c>
      <c r="AE423" s="36">
        <f>IFERROR(INDEX(Katalog!$F$3:$F$12,MATCH(cadangan3[[#This Row],[ItemID C]],Katalog!$C$3:$C$12,0))*cadangan3[[#This Row],[Qty C]],0)</f>
        <v>0</v>
      </c>
      <c r="AF423" s="36">
        <f>IFERROR(cadangan3[[#This Row],[Profit C]]-(cadangan3[[#This Row],[Profit C]]*cadangan3[[#This Row],[Diskon]]),cadangan3[[#This Row],[Profit C]])</f>
        <v>0</v>
      </c>
      <c r="AG423" s="21">
        <f>cadangan3[[#This Row],[Qty A]]+cadangan3[[#This Row],[Qty B]]+cadangan3[[#This Row],[Qty C]]</f>
        <v>6</v>
      </c>
      <c r="AH423" s="35">
        <f>cadangan3[[#This Row],[Harga A + Diskon]]+cadangan3[[#This Row],[Harga + Diskon B]]+cadangan3[[#This Row],[Harga + Diskon C]]</f>
        <v>1300000</v>
      </c>
      <c r="AI423" s="35">
        <f>(cadangan3[[#This Row],[Profit A]]+cadangan3[[#This Row],[Profit B]]+cadangan3[[#This Row],[Profit C]])</f>
        <v>500000</v>
      </c>
      <c r="AJ423" s="35">
        <f>cadangan3[[#This Row],[Provit A + Diskon]]+cadangan3[[#This Row],[Provit B + Diskon]]+cadangan3[[#This Row],[Provit C + Diskon]]</f>
        <v>500000</v>
      </c>
      <c r="AK423" s="23" t="s">
        <v>11</v>
      </c>
      <c r="AL423" s="37" t="str">
        <f>IFERROR(INDEX('Kode Diskon'!$D$3:$D$9,MATCH(cadangan3[[#This Row],[Kode diskon]],'Kode Diskon'!$C$3:$C$9,0)),"-")</f>
        <v>-</v>
      </c>
      <c r="AM423" s="23" t="s">
        <v>11</v>
      </c>
      <c r="AN423" s="23" t="s">
        <v>7</v>
      </c>
      <c r="AO423" s="23" t="s">
        <v>76</v>
      </c>
      <c r="AP423" s="24">
        <v>45027</v>
      </c>
      <c r="AQ423" s="23" t="str">
        <f>TEXT(cadangan3[[#This Row],[Tanggal terjual]],"dddd")</f>
        <v>Tuesday</v>
      </c>
    </row>
    <row r="424" spans="1:43" x14ac:dyDescent="0.2">
      <c r="A424" s="20">
        <v>423</v>
      </c>
      <c r="B424" s="21" t="str">
        <f>_xlfn.CONCAT("ORD-",INDEX(Helper!$B$2:$B$5,MATCH(cadangan3[[#This Row],[Marketplace]],Helper!$A$2:$A$5,0)),TEXT(cadangan3[[#This Row],[No]],"0000"),"-",TEXT(cadangan3[[#This Row],[Tanggal terjual]],"dd/mm/yy"))</f>
        <v>ORD-SP0423-15/04/23</v>
      </c>
      <c r="C424" t="s">
        <v>67</v>
      </c>
      <c r="D424" t="str">
        <f>IFERROR(INDEX(Katalog!$A$3:$A$12,MATCH(cadangan3[[#This Row],[ItemID A]],Katalog!$C$3:$C$12,0)),"-")</f>
        <v>Sepatu Wanita</v>
      </c>
      <c r="E424" t="str">
        <f>IFERROR(INDEX(Katalog!$B$3:$B$12,MATCH(cadangan3[[#This Row],[ItemID A]],Katalog!$C$3:$C$12,0)),"-")</f>
        <v>Flat Shoes</v>
      </c>
      <c r="F424">
        <v>1</v>
      </c>
      <c r="G424">
        <v>2</v>
      </c>
      <c r="H424" s="36">
        <f>IFERROR(INDEX(Katalog!$D$3:$D$12,MATCH(cadangan3[[#This Row],[ItemID A]],Katalog!$C$3:$C$12,0))*cadangan3[[#This Row],[Qty A]],0)</f>
        <v>250000</v>
      </c>
      <c r="I424" s="36">
        <f>IFERROR(INDEX(Katalog!$D$3:$D$12,MATCH(cadangan3[[#This Row],[Item A]],Katalog!$B$3:$B$12,0))*cadangan3[[#This Row],[Qty A]],0)</f>
        <v>250000</v>
      </c>
      <c r="J424" s="36">
        <f>IFERROR(cadangan3[[#This Row],[Harga Asli A]]-(cadangan3[[#This Row],[Harga Asli A]]*cadangan3[[#This Row],[Diskon]]),cadangan3[[#This Row],[Harga Asli A]])</f>
        <v>250000</v>
      </c>
      <c r="K424" s="36">
        <f>INDEX(Katalog!$F$3:$F$12,MATCH(cadangan3[[#This Row],[ItemID A]],Katalog!$C$3:$C$12,0))*cadangan3[[#This Row],[Qty A]]</f>
        <v>100000</v>
      </c>
      <c r="L424" s="36">
        <f>IFERROR(cadangan3[[#This Row],[Profit A]]-(cadangan3[[#This Row],[Profit A]]*cadangan3[[#This Row],[Diskon]]),K424)</f>
        <v>100000</v>
      </c>
      <c r="M424" t="s">
        <v>66</v>
      </c>
      <c r="N424" t="str">
        <f>IFERROR(INDEX(Katalog!$A$3:$A$12,MATCH(cadangan3[[#This Row],[ItemID B]],Katalog!$C$3:$C$12,0)),"-")</f>
        <v>Sepatu Pria</v>
      </c>
      <c r="O424" t="str">
        <f>IFERROR(INDEX(Katalog!$B$3:$B$12,MATCH(cadangan3[[#This Row],[ItemID B]],Katalog!$C$3:$C$12,0)),"-")</f>
        <v>Sandal Slip On</v>
      </c>
      <c r="P424">
        <v>1</v>
      </c>
      <c r="Q424">
        <v>3</v>
      </c>
      <c r="R424" s="36">
        <f>IFERROR(INDEX(Katalog!$D$3:$D$12,MATCH(cadangan3[[#This Row],[ItemID B]],Katalog!$C$3:$C$12,0))*cadangan3[[#This Row],[Qty B]],0)</f>
        <v>150000</v>
      </c>
      <c r="S424" s="36">
        <f>IFERROR(INDEX(Katalog!$D$3:$D$12,MATCH(cadangan3[[#This Row],[Item B]],Katalog!$B$3:$B$12,0))*cadangan3[[#This Row],[Qty B]],0)</f>
        <v>150000</v>
      </c>
      <c r="T424" s="36">
        <f>IFERROR(cadangan3[[#This Row],[Harga Asli B]]-(cadangan3[[#This Row],[Harga Asli B]]*cadangan3[[#This Row],[Diskon]]),cadangan3[[#This Row],[Harga Asli B]])</f>
        <v>150000</v>
      </c>
      <c r="U424" s="36">
        <f>IFERROR(INDEX(Katalog!$F$3:$F$12,MATCH(cadangan3[[#This Row],[ItemID B]],Katalog!$C$3:$C$12,0))*cadangan3[[#This Row],[Qty B]],0)</f>
        <v>60000</v>
      </c>
      <c r="V424" s="36">
        <f>IFERROR(cadangan3[[#This Row],[Profit B]]-(cadangan3[[#This Row],[Profit B]]*cadangan3[[#This Row],[Diskon]]),U424)</f>
        <v>60000</v>
      </c>
      <c r="W424" t="s">
        <v>65</v>
      </c>
      <c r="X424" t="str">
        <f>IFERROR(INDEX(Katalog!$A$3:$A$12,MATCH(cadangan3[[#This Row],[ItemID C]],Katalog!$C$3:$C$12,0)),"-")</f>
        <v>Sepatu Pria</v>
      </c>
      <c r="Y424" t="str">
        <f>IFERROR(INDEX(Katalog!$B$3:$B$12,MATCH(cadangan3[[#This Row],[ItemID C]],Katalog!$C$3:$C$12,0)),"-")</f>
        <v>Sneakers</v>
      </c>
      <c r="Z424">
        <v>1</v>
      </c>
      <c r="AA424">
        <v>2</v>
      </c>
      <c r="AB424" s="36">
        <f>IFERROR(INDEX(Katalog!$D$3:$D$12,MATCH(cadangan3[[#This Row],[ItemID C]],Katalog!$C$3:$C$12,0))*cadangan3[[#This Row],[Qty C]],0)</f>
        <v>500000</v>
      </c>
      <c r="AC424" s="36">
        <f>IFERROR(INDEX(Katalog!$D$3:$D$12,MATCH(cadangan3[[#This Row],[Item C]],Katalog!$B$3:$B$12,0))*cadangan3[[#This Row],[Qty C]],0)</f>
        <v>500000</v>
      </c>
      <c r="AD424" s="36">
        <f>IFERROR(cadangan3[[#This Row],[Harga Asli C]]-(cadangan3[[#This Row],[Harga Asli C]]*cadangan3[[#This Row],[Diskon]]),cadangan3[[#This Row],[Harga Asli C]])</f>
        <v>500000</v>
      </c>
      <c r="AE424" s="36">
        <f>IFERROR(INDEX(Katalog!$F$3:$F$12,MATCH(cadangan3[[#This Row],[ItemID C]],Katalog!$C$3:$C$12,0))*cadangan3[[#This Row],[Qty C]],0)</f>
        <v>200000</v>
      </c>
      <c r="AF424" s="36">
        <f>IFERROR(cadangan3[[#This Row],[Profit C]]-(cadangan3[[#This Row],[Profit C]]*cadangan3[[#This Row],[Diskon]]),cadangan3[[#This Row],[Profit C]])</f>
        <v>200000</v>
      </c>
      <c r="AG424" s="21">
        <f>cadangan3[[#This Row],[Qty A]]+cadangan3[[#This Row],[Qty B]]+cadangan3[[#This Row],[Qty C]]</f>
        <v>3</v>
      </c>
      <c r="AH424" s="35">
        <f>cadangan3[[#This Row],[Harga A + Diskon]]+cadangan3[[#This Row],[Harga + Diskon B]]+cadangan3[[#This Row],[Harga + Diskon C]]</f>
        <v>900000</v>
      </c>
      <c r="AI424" s="35">
        <f>(cadangan3[[#This Row],[Profit A]]+cadangan3[[#This Row],[Profit B]]+cadangan3[[#This Row],[Profit C]])</f>
        <v>360000</v>
      </c>
      <c r="AJ424" s="35">
        <f>cadangan3[[#This Row],[Provit A + Diskon]]+cadangan3[[#This Row],[Provit B + Diskon]]+cadangan3[[#This Row],[Provit C + Diskon]]</f>
        <v>360000</v>
      </c>
      <c r="AK424" s="23" t="s">
        <v>11</v>
      </c>
      <c r="AL424" s="37" t="str">
        <f>IFERROR(INDEX('Kode Diskon'!$D$3:$D$9,MATCH(cadangan3[[#This Row],[Kode diskon]],'Kode Diskon'!$C$3:$C$9,0)),"-")</f>
        <v>-</v>
      </c>
      <c r="AM424" s="23" t="s">
        <v>11</v>
      </c>
      <c r="AN424" s="23" t="s">
        <v>7</v>
      </c>
      <c r="AO424" s="23" t="s">
        <v>80</v>
      </c>
      <c r="AP424" s="24">
        <v>45031</v>
      </c>
      <c r="AQ424" s="23" t="str">
        <f>TEXT(cadangan3[[#This Row],[Tanggal terjual]],"dddd")</f>
        <v>Saturday</v>
      </c>
    </row>
    <row r="425" spans="1:43" x14ac:dyDescent="0.2">
      <c r="A425" s="20">
        <v>424</v>
      </c>
      <c r="B425" s="21" t="str">
        <f>_xlfn.CONCAT("ORD-",INDEX(Helper!$B$2:$B$5,MATCH(cadangan3[[#This Row],[Marketplace]],Helper!$A$2:$A$5,0)),TEXT(cadangan3[[#This Row],[No]],"0000"),"-",TEXT(cadangan3[[#This Row],[Tanggal terjual]],"dd/mm/yy"))</f>
        <v>ORD-SP0424-29/04/23</v>
      </c>
      <c r="C425" t="s">
        <v>65</v>
      </c>
      <c r="D425" t="str">
        <f>IFERROR(INDEX(Katalog!$A$3:$A$12,MATCH(cadangan3[[#This Row],[ItemID A]],Katalog!$C$3:$C$12,0)),"-")</f>
        <v>Sepatu Pria</v>
      </c>
      <c r="E425" t="str">
        <f>IFERROR(INDEX(Katalog!$B$3:$B$12,MATCH(cadangan3[[#This Row],[ItemID A]],Katalog!$C$3:$C$12,0)),"-")</f>
        <v>Sneakers</v>
      </c>
      <c r="F425">
        <v>7</v>
      </c>
      <c r="G425">
        <v>1</v>
      </c>
      <c r="H425" s="36">
        <f>IFERROR(INDEX(Katalog!$D$3:$D$12,MATCH(cadangan3[[#This Row],[ItemID A]],Katalog!$C$3:$C$12,0))*cadangan3[[#This Row],[Qty A]],0)</f>
        <v>3500000</v>
      </c>
      <c r="I425" s="36">
        <f>IFERROR(INDEX(Katalog!$D$3:$D$12,MATCH(cadangan3[[#This Row],[Item A]],Katalog!$B$3:$B$12,0))*cadangan3[[#This Row],[Qty A]],0)</f>
        <v>3500000</v>
      </c>
      <c r="J425" s="36">
        <f>IFERROR(cadangan3[[#This Row],[Harga Asli A]]-(cadangan3[[#This Row],[Harga Asli A]]*cadangan3[[#This Row],[Diskon]]),cadangan3[[#This Row],[Harga Asli A]])</f>
        <v>2800000</v>
      </c>
      <c r="K425" s="36">
        <f>INDEX(Katalog!$F$3:$F$12,MATCH(cadangan3[[#This Row],[ItemID A]],Katalog!$C$3:$C$12,0))*cadangan3[[#This Row],[Qty A]]</f>
        <v>1400000</v>
      </c>
      <c r="L425" s="36">
        <f>IFERROR(cadangan3[[#This Row],[Profit A]]-(cadangan3[[#This Row],[Profit A]]*cadangan3[[#This Row],[Diskon]]),K425)</f>
        <v>1120000</v>
      </c>
      <c r="N425" t="str">
        <f>IFERROR(INDEX(Katalog!$A$3:$A$12,MATCH(cadangan3[[#This Row],[ItemID B]],Katalog!$C$3:$C$12,0)),"-")</f>
        <v>-</v>
      </c>
      <c r="O425" t="str">
        <f>IFERROR(INDEX(Katalog!$B$3:$B$12,MATCH(cadangan3[[#This Row],[ItemID B]],Katalog!$C$3:$C$12,0)),"-")</f>
        <v>-</v>
      </c>
      <c r="R425" s="36">
        <f>IFERROR(INDEX(Katalog!$D$3:$D$12,MATCH(cadangan3[[#This Row],[ItemID B]],Katalog!$C$3:$C$12,0))*cadangan3[[#This Row],[Qty B]],0)</f>
        <v>0</v>
      </c>
      <c r="S425" s="36">
        <f>IFERROR(INDEX(Katalog!$D$3:$D$12,MATCH(cadangan3[[#This Row],[Item B]],Katalog!$B$3:$B$12,0))*cadangan3[[#This Row],[Qty B]],0)</f>
        <v>0</v>
      </c>
      <c r="T425" s="36">
        <f>IFERROR(cadangan3[[#This Row],[Harga Asli B]]-(cadangan3[[#This Row],[Harga Asli B]]*cadangan3[[#This Row],[Diskon]]),cadangan3[[#This Row],[Harga Asli B]])</f>
        <v>0</v>
      </c>
      <c r="U425" s="36">
        <f>IFERROR(INDEX(Katalog!$F$3:$F$12,MATCH(cadangan3[[#This Row],[ItemID B]],Katalog!$C$3:$C$12,0))*cadangan3[[#This Row],[Qty B]],0)</f>
        <v>0</v>
      </c>
      <c r="V425" s="36">
        <f>IFERROR(cadangan3[[#This Row],[Profit B]]-(cadangan3[[#This Row],[Profit B]]*cadangan3[[#This Row],[Diskon]]),U425)</f>
        <v>0</v>
      </c>
      <c r="X425" t="str">
        <f>IFERROR(INDEX(Katalog!$A$3:$A$12,MATCH(cadangan3[[#This Row],[ItemID C]],Katalog!$C$3:$C$12,0)),"-")</f>
        <v>-</v>
      </c>
      <c r="Y425" t="str">
        <f>IFERROR(INDEX(Katalog!$B$3:$B$12,MATCH(cadangan3[[#This Row],[ItemID C]],Katalog!$C$3:$C$12,0)),"-")</f>
        <v>-</v>
      </c>
      <c r="AB425" s="36">
        <f>IFERROR(INDEX(Katalog!$D$3:$D$12,MATCH(cadangan3[[#This Row],[ItemID C]],Katalog!$C$3:$C$12,0))*cadangan3[[#This Row],[Qty C]],0)</f>
        <v>0</v>
      </c>
      <c r="AC425" s="36">
        <f>IFERROR(INDEX(Katalog!$D$3:$D$12,MATCH(cadangan3[[#This Row],[Item C]],Katalog!$B$3:$B$12,0))*cadangan3[[#This Row],[Qty C]],0)</f>
        <v>0</v>
      </c>
      <c r="AD425" s="36">
        <f>IFERROR(cadangan3[[#This Row],[Harga Asli C]]-(cadangan3[[#This Row],[Harga Asli C]]*cadangan3[[#This Row],[Diskon]]),cadangan3[[#This Row],[Harga Asli C]])</f>
        <v>0</v>
      </c>
      <c r="AE425" s="36">
        <f>IFERROR(INDEX(Katalog!$F$3:$F$12,MATCH(cadangan3[[#This Row],[ItemID C]],Katalog!$C$3:$C$12,0))*cadangan3[[#This Row],[Qty C]],0)</f>
        <v>0</v>
      </c>
      <c r="AF425" s="36">
        <f>IFERROR(cadangan3[[#This Row],[Profit C]]-(cadangan3[[#This Row],[Profit C]]*cadangan3[[#This Row],[Diskon]]),cadangan3[[#This Row],[Profit C]])</f>
        <v>0</v>
      </c>
      <c r="AG425" s="21">
        <f>cadangan3[[#This Row],[Qty A]]+cadangan3[[#This Row],[Qty B]]+cadangan3[[#This Row],[Qty C]]</f>
        <v>7</v>
      </c>
      <c r="AH425" s="35">
        <f>cadangan3[[#This Row],[Harga A + Diskon]]+cadangan3[[#This Row],[Harga + Diskon B]]+cadangan3[[#This Row],[Harga + Diskon C]]</f>
        <v>2800000</v>
      </c>
      <c r="AI425" s="35">
        <f>(cadangan3[[#This Row],[Profit A]]+cadangan3[[#This Row],[Profit B]]+cadangan3[[#This Row],[Profit C]])</f>
        <v>1400000</v>
      </c>
      <c r="AJ425" s="35">
        <f>cadangan3[[#This Row],[Provit A + Diskon]]+cadangan3[[#This Row],[Provit B + Diskon]]+cadangan3[[#This Row],[Provit C + Diskon]]</f>
        <v>1120000</v>
      </c>
      <c r="AK425" s="23" t="s">
        <v>8</v>
      </c>
      <c r="AL425" s="37">
        <f>IFERROR(INDEX('Kode Diskon'!$D$3:$D$9,MATCH(cadangan3[[#This Row],[Kode diskon]],'Kode Diskon'!$C$3:$C$9,0)),"-")</f>
        <v>0.2</v>
      </c>
      <c r="AM425" s="23" t="s">
        <v>9</v>
      </c>
      <c r="AN425" s="23" t="s">
        <v>7</v>
      </c>
      <c r="AO425" s="23" t="s">
        <v>80</v>
      </c>
      <c r="AP425" s="24">
        <v>45045</v>
      </c>
      <c r="AQ425" s="23" t="str">
        <f>TEXT(cadangan3[[#This Row],[Tanggal terjual]],"dddd")</f>
        <v>Saturday</v>
      </c>
    </row>
    <row r="426" spans="1:43" x14ac:dyDescent="0.2">
      <c r="A426" s="20">
        <v>425</v>
      </c>
      <c r="B426" s="21" t="str">
        <f>_xlfn.CONCAT("ORD-",INDEX(Helper!$B$2:$B$5,MATCH(cadangan3[[#This Row],[Marketplace]],Helper!$A$2:$A$5,0)),TEXT(cadangan3[[#This Row],[No]],"0000"),"-",TEXT(cadangan3[[#This Row],[Tanggal terjual]],"dd/mm/yy"))</f>
        <v>ORD-SP0425-21/04/23</v>
      </c>
      <c r="C426" t="s">
        <v>59</v>
      </c>
      <c r="D426" t="str">
        <f>IFERROR(INDEX(Katalog!$A$3:$A$12,MATCH(cadangan3[[#This Row],[ItemID A]],Katalog!$C$3:$C$12,0)),"-")</f>
        <v>Pakaian Wanita</v>
      </c>
      <c r="E426" t="str">
        <f>IFERROR(INDEX(Katalog!$B$3:$B$12,MATCH(cadangan3[[#This Row],[ItemID A]],Katalog!$C$3:$C$12,0)),"-")</f>
        <v>Blouse</v>
      </c>
      <c r="F426">
        <v>6</v>
      </c>
      <c r="G426">
        <v>1</v>
      </c>
      <c r="H426" s="36">
        <f>IFERROR(INDEX(Katalog!$D$3:$D$12,MATCH(cadangan3[[#This Row],[ItemID A]],Katalog!$C$3:$C$12,0))*cadangan3[[#This Row],[Qty A]],0)</f>
        <v>900000</v>
      </c>
      <c r="I426" s="36">
        <f>IFERROR(INDEX(Katalog!$D$3:$D$12,MATCH(cadangan3[[#This Row],[Item A]],Katalog!$B$3:$B$12,0))*cadangan3[[#This Row],[Qty A]],0)</f>
        <v>900000</v>
      </c>
      <c r="J426" s="36">
        <f>IFERROR(cadangan3[[#This Row],[Harga Asli A]]-(cadangan3[[#This Row],[Harga Asli A]]*cadangan3[[#This Row],[Diskon]]),cadangan3[[#This Row],[Harga Asli A]])</f>
        <v>720000</v>
      </c>
      <c r="K426" s="36">
        <f>INDEX(Katalog!$F$3:$F$12,MATCH(cadangan3[[#This Row],[ItemID A]],Katalog!$C$3:$C$12,0))*cadangan3[[#This Row],[Qty A]]</f>
        <v>300000</v>
      </c>
      <c r="L426" s="36">
        <f>IFERROR(cadangan3[[#This Row],[Profit A]]-(cadangan3[[#This Row],[Profit A]]*cadangan3[[#This Row],[Diskon]]),K426)</f>
        <v>240000</v>
      </c>
      <c r="M426" t="s">
        <v>65</v>
      </c>
      <c r="N426" t="str">
        <f>IFERROR(INDEX(Katalog!$A$3:$A$12,MATCH(cadangan3[[#This Row],[ItemID B]],Katalog!$C$3:$C$12,0)),"-")</f>
        <v>Sepatu Pria</v>
      </c>
      <c r="O426" t="str">
        <f>IFERROR(INDEX(Katalog!$B$3:$B$12,MATCH(cadangan3[[#This Row],[ItemID B]],Katalog!$C$3:$C$12,0)),"-")</f>
        <v>Sneakers</v>
      </c>
      <c r="P426">
        <v>1</v>
      </c>
      <c r="Q426">
        <v>3</v>
      </c>
      <c r="R426" s="36">
        <f>IFERROR(INDEX(Katalog!$D$3:$D$12,MATCH(cadangan3[[#This Row],[ItemID B]],Katalog!$C$3:$C$12,0))*cadangan3[[#This Row],[Qty B]],0)</f>
        <v>500000</v>
      </c>
      <c r="S426" s="36">
        <f>IFERROR(INDEX(Katalog!$D$3:$D$12,MATCH(cadangan3[[#This Row],[Item B]],Katalog!$B$3:$B$12,0))*cadangan3[[#This Row],[Qty B]],0)</f>
        <v>500000</v>
      </c>
      <c r="T426" s="36">
        <f>IFERROR(cadangan3[[#This Row],[Harga Asli B]]-(cadangan3[[#This Row],[Harga Asli B]]*cadangan3[[#This Row],[Diskon]]),cadangan3[[#This Row],[Harga Asli B]])</f>
        <v>400000</v>
      </c>
      <c r="U426" s="36">
        <f>IFERROR(INDEX(Katalog!$F$3:$F$12,MATCH(cadangan3[[#This Row],[ItemID B]],Katalog!$C$3:$C$12,0))*cadangan3[[#This Row],[Qty B]],0)</f>
        <v>200000</v>
      </c>
      <c r="V426" s="36">
        <f>IFERROR(cadangan3[[#This Row],[Profit B]]-(cadangan3[[#This Row],[Profit B]]*cadangan3[[#This Row],[Diskon]]),U426)</f>
        <v>160000</v>
      </c>
      <c r="X426" t="str">
        <f>IFERROR(INDEX(Katalog!$A$3:$A$12,MATCH(cadangan3[[#This Row],[ItemID C]],Katalog!$C$3:$C$12,0)),"-")</f>
        <v>-</v>
      </c>
      <c r="Y426" t="str">
        <f>IFERROR(INDEX(Katalog!$B$3:$B$12,MATCH(cadangan3[[#This Row],[ItemID C]],Katalog!$C$3:$C$12,0)),"-")</f>
        <v>-</v>
      </c>
      <c r="AB426" s="36">
        <f>IFERROR(INDEX(Katalog!$D$3:$D$12,MATCH(cadangan3[[#This Row],[ItemID C]],Katalog!$C$3:$C$12,0))*cadangan3[[#This Row],[Qty C]],0)</f>
        <v>0</v>
      </c>
      <c r="AC426" s="36">
        <f>IFERROR(INDEX(Katalog!$D$3:$D$12,MATCH(cadangan3[[#This Row],[Item C]],Katalog!$B$3:$B$12,0))*cadangan3[[#This Row],[Qty C]],0)</f>
        <v>0</v>
      </c>
      <c r="AD426" s="36">
        <f>IFERROR(cadangan3[[#This Row],[Harga Asli C]]-(cadangan3[[#This Row],[Harga Asli C]]*cadangan3[[#This Row],[Diskon]]),cadangan3[[#This Row],[Harga Asli C]])</f>
        <v>0</v>
      </c>
      <c r="AE426" s="36">
        <f>IFERROR(INDEX(Katalog!$F$3:$F$12,MATCH(cadangan3[[#This Row],[ItemID C]],Katalog!$C$3:$C$12,0))*cadangan3[[#This Row],[Qty C]],0)</f>
        <v>0</v>
      </c>
      <c r="AF426" s="36">
        <f>IFERROR(cadangan3[[#This Row],[Profit C]]-(cadangan3[[#This Row],[Profit C]]*cadangan3[[#This Row],[Diskon]]),cadangan3[[#This Row],[Profit C]])</f>
        <v>0</v>
      </c>
      <c r="AG426" s="21">
        <f>cadangan3[[#This Row],[Qty A]]+cadangan3[[#This Row],[Qty B]]+cadangan3[[#This Row],[Qty C]]</f>
        <v>7</v>
      </c>
      <c r="AH426" s="35">
        <f>cadangan3[[#This Row],[Harga A + Diskon]]+cadangan3[[#This Row],[Harga + Diskon B]]+cadangan3[[#This Row],[Harga + Diskon C]]</f>
        <v>1120000</v>
      </c>
      <c r="AI426" s="35">
        <f>(cadangan3[[#This Row],[Profit A]]+cadangan3[[#This Row],[Profit B]]+cadangan3[[#This Row],[Profit C]])</f>
        <v>500000</v>
      </c>
      <c r="AJ426" s="35">
        <f>cadangan3[[#This Row],[Provit A + Diskon]]+cadangan3[[#This Row],[Provit B + Diskon]]+cadangan3[[#This Row],[Provit C + Diskon]]</f>
        <v>400000</v>
      </c>
      <c r="AK426" s="23" t="s">
        <v>8</v>
      </c>
      <c r="AL426" s="37">
        <f>IFERROR(INDEX('Kode Diskon'!$D$3:$D$9,MATCH(cadangan3[[#This Row],[Kode diskon]],'Kode Diskon'!$C$3:$C$9,0)),"-")</f>
        <v>0.2</v>
      </c>
      <c r="AM426" s="23" t="s">
        <v>9</v>
      </c>
      <c r="AN426" s="23" t="s">
        <v>7</v>
      </c>
      <c r="AO426" s="23" t="s">
        <v>79</v>
      </c>
      <c r="AP426" s="24">
        <v>45037</v>
      </c>
      <c r="AQ426" s="23" t="str">
        <f>TEXT(cadangan3[[#This Row],[Tanggal terjual]],"dddd")</f>
        <v>Friday</v>
      </c>
    </row>
    <row r="427" spans="1:43" x14ac:dyDescent="0.2">
      <c r="A427" s="20">
        <v>426</v>
      </c>
      <c r="B427" s="21" t="str">
        <f>_xlfn.CONCAT("ORD-",INDEX(Helper!$B$2:$B$5,MATCH(cadangan3[[#This Row],[Marketplace]],Helper!$A$2:$A$5,0)),TEXT(cadangan3[[#This Row],[No]],"0000"),"-",TEXT(cadangan3[[#This Row],[Tanggal terjual]],"dd/mm/yy"))</f>
        <v>ORD-SP0426-28/04/23</v>
      </c>
      <c r="C427" t="s">
        <v>63</v>
      </c>
      <c r="D427" t="str">
        <f>IFERROR(INDEX(Katalog!$A$3:$A$12,MATCH(cadangan3[[#This Row],[ItemID A]],Katalog!$C$3:$C$12,0)),"-")</f>
        <v>Pakaian Pria</v>
      </c>
      <c r="E427" t="str">
        <f>IFERROR(INDEX(Katalog!$B$3:$B$12,MATCH(cadangan3[[#This Row],[ItemID A]],Katalog!$C$3:$C$12,0)),"-")</f>
        <v>Jaket Jeans</v>
      </c>
      <c r="F427">
        <v>1</v>
      </c>
      <c r="G427">
        <v>5</v>
      </c>
      <c r="H427" s="36">
        <f>IFERROR(INDEX(Katalog!$D$3:$D$12,MATCH(cadangan3[[#This Row],[ItemID A]],Katalog!$C$3:$C$12,0))*cadangan3[[#This Row],[Qty A]],0)</f>
        <v>400000</v>
      </c>
      <c r="I427" s="36">
        <f>IFERROR(INDEX(Katalog!$D$3:$D$12,MATCH(cadangan3[[#This Row],[Item A]],Katalog!$B$3:$B$12,0))*cadangan3[[#This Row],[Qty A]],0)</f>
        <v>400000</v>
      </c>
      <c r="J427" s="36">
        <f>IFERROR(cadangan3[[#This Row],[Harga Asli A]]-(cadangan3[[#This Row],[Harga Asli A]]*cadangan3[[#This Row],[Diskon]]),cadangan3[[#This Row],[Harga Asli A]])</f>
        <v>320000</v>
      </c>
      <c r="K427" s="36">
        <f>INDEX(Katalog!$F$3:$F$12,MATCH(cadangan3[[#This Row],[ItemID A]],Katalog!$C$3:$C$12,0))*cadangan3[[#This Row],[Qty A]]</f>
        <v>150000</v>
      </c>
      <c r="L427" s="36">
        <f>IFERROR(cadangan3[[#This Row],[Profit A]]-(cadangan3[[#This Row],[Profit A]]*cadangan3[[#This Row],[Diskon]]),K427)</f>
        <v>120000</v>
      </c>
      <c r="N427" t="str">
        <f>IFERROR(INDEX(Katalog!$A$3:$A$12,MATCH(cadangan3[[#This Row],[ItemID B]],Katalog!$C$3:$C$12,0)),"-")</f>
        <v>-</v>
      </c>
      <c r="O427" t="str">
        <f>IFERROR(INDEX(Katalog!$B$3:$B$12,MATCH(cadangan3[[#This Row],[ItemID B]],Katalog!$C$3:$C$12,0)),"-")</f>
        <v>-</v>
      </c>
      <c r="R427" s="36">
        <f>IFERROR(INDEX(Katalog!$D$3:$D$12,MATCH(cadangan3[[#This Row],[ItemID B]],Katalog!$C$3:$C$12,0))*cadangan3[[#This Row],[Qty B]],0)</f>
        <v>0</v>
      </c>
      <c r="S427" s="36">
        <f>IFERROR(INDEX(Katalog!$D$3:$D$12,MATCH(cadangan3[[#This Row],[Item B]],Katalog!$B$3:$B$12,0))*cadangan3[[#This Row],[Qty B]],0)</f>
        <v>0</v>
      </c>
      <c r="T427" s="36">
        <f>IFERROR(cadangan3[[#This Row],[Harga Asli B]]-(cadangan3[[#This Row],[Harga Asli B]]*cadangan3[[#This Row],[Diskon]]),cadangan3[[#This Row],[Harga Asli B]])</f>
        <v>0</v>
      </c>
      <c r="U427" s="36">
        <f>IFERROR(INDEX(Katalog!$F$3:$F$12,MATCH(cadangan3[[#This Row],[ItemID B]],Katalog!$C$3:$C$12,0))*cadangan3[[#This Row],[Qty B]],0)</f>
        <v>0</v>
      </c>
      <c r="V427" s="36">
        <f>IFERROR(cadangan3[[#This Row],[Profit B]]-(cadangan3[[#This Row],[Profit B]]*cadangan3[[#This Row],[Diskon]]),U427)</f>
        <v>0</v>
      </c>
      <c r="X427" t="str">
        <f>IFERROR(INDEX(Katalog!$A$3:$A$12,MATCH(cadangan3[[#This Row],[ItemID C]],Katalog!$C$3:$C$12,0)),"-")</f>
        <v>-</v>
      </c>
      <c r="Y427" t="str">
        <f>IFERROR(INDEX(Katalog!$B$3:$B$12,MATCH(cadangan3[[#This Row],[ItemID C]],Katalog!$C$3:$C$12,0)),"-")</f>
        <v>-</v>
      </c>
      <c r="AB427" s="36">
        <f>IFERROR(INDEX(Katalog!$D$3:$D$12,MATCH(cadangan3[[#This Row],[ItemID C]],Katalog!$C$3:$C$12,0))*cadangan3[[#This Row],[Qty C]],0)</f>
        <v>0</v>
      </c>
      <c r="AC427" s="36">
        <f>IFERROR(INDEX(Katalog!$D$3:$D$12,MATCH(cadangan3[[#This Row],[Item C]],Katalog!$B$3:$B$12,0))*cadangan3[[#This Row],[Qty C]],0)</f>
        <v>0</v>
      </c>
      <c r="AD427" s="36">
        <f>IFERROR(cadangan3[[#This Row],[Harga Asli C]]-(cadangan3[[#This Row],[Harga Asli C]]*cadangan3[[#This Row],[Diskon]]),cadangan3[[#This Row],[Harga Asli C]])</f>
        <v>0</v>
      </c>
      <c r="AE427" s="36">
        <f>IFERROR(INDEX(Katalog!$F$3:$F$12,MATCH(cadangan3[[#This Row],[ItemID C]],Katalog!$C$3:$C$12,0))*cadangan3[[#This Row],[Qty C]],0)</f>
        <v>0</v>
      </c>
      <c r="AF427" s="36">
        <f>IFERROR(cadangan3[[#This Row],[Profit C]]-(cadangan3[[#This Row],[Profit C]]*cadangan3[[#This Row],[Diskon]]),cadangan3[[#This Row],[Profit C]])</f>
        <v>0</v>
      </c>
      <c r="AG427" s="21">
        <f>cadangan3[[#This Row],[Qty A]]+cadangan3[[#This Row],[Qty B]]+cadangan3[[#This Row],[Qty C]]</f>
        <v>1</v>
      </c>
      <c r="AH427" s="35">
        <f>cadangan3[[#This Row],[Harga A + Diskon]]+cadangan3[[#This Row],[Harga + Diskon B]]+cadangan3[[#This Row],[Harga + Diskon C]]</f>
        <v>320000</v>
      </c>
      <c r="AI427" s="35">
        <f>(cadangan3[[#This Row],[Profit A]]+cadangan3[[#This Row],[Profit B]]+cadangan3[[#This Row],[Profit C]])</f>
        <v>150000</v>
      </c>
      <c r="AJ427" s="35">
        <f>cadangan3[[#This Row],[Provit A + Diskon]]+cadangan3[[#This Row],[Provit B + Diskon]]+cadangan3[[#This Row],[Provit C + Diskon]]</f>
        <v>120000</v>
      </c>
      <c r="AK427" s="23" t="s">
        <v>8</v>
      </c>
      <c r="AL427" s="37">
        <f>IFERROR(INDEX('Kode Diskon'!$D$3:$D$9,MATCH(cadangan3[[#This Row],[Kode diskon]],'Kode Diskon'!$C$3:$C$9,0)),"-")</f>
        <v>0.2</v>
      </c>
      <c r="AM427" s="23" t="s">
        <v>9</v>
      </c>
      <c r="AN427" s="23" t="s">
        <v>7</v>
      </c>
      <c r="AO427" s="23" t="s">
        <v>76</v>
      </c>
      <c r="AP427" s="24">
        <v>45044</v>
      </c>
      <c r="AQ427" s="23" t="str">
        <f>TEXT(cadangan3[[#This Row],[Tanggal terjual]],"dddd")</f>
        <v>Friday</v>
      </c>
    </row>
    <row r="428" spans="1:43" x14ac:dyDescent="0.2">
      <c r="A428" s="20">
        <v>427</v>
      </c>
      <c r="B428" s="21" t="str">
        <f>_xlfn.CONCAT("ORD-",INDEX(Helper!$B$2:$B$5,MATCH(cadangan3[[#This Row],[Marketplace]],Helper!$A$2:$A$5,0)),TEXT(cadangan3[[#This Row],[No]],"0000"),"-",TEXT(cadangan3[[#This Row],[Tanggal terjual]],"dd/mm/yy"))</f>
        <v>ORD-TK0427-04/04/23</v>
      </c>
      <c r="C428" t="s">
        <v>66</v>
      </c>
      <c r="D428" t="str">
        <f>IFERROR(INDEX(Katalog!$A$3:$A$12,MATCH(cadangan3[[#This Row],[ItemID A]],Katalog!$C$3:$C$12,0)),"-")</f>
        <v>Sepatu Pria</v>
      </c>
      <c r="E428" t="str">
        <f>IFERROR(INDEX(Katalog!$B$3:$B$12,MATCH(cadangan3[[#This Row],[ItemID A]],Katalog!$C$3:$C$12,0)),"-")</f>
        <v>Sandal Slip On</v>
      </c>
      <c r="F428">
        <v>7</v>
      </c>
      <c r="G428">
        <v>4</v>
      </c>
      <c r="H428" s="36">
        <f>IFERROR(INDEX(Katalog!$D$3:$D$12,MATCH(cadangan3[[#This Row],[ItemID A]],Katalog!$C$3:$C$12,0))*cadangan3[[#This Row],[Qty A]],0)</f>
        <v>1050000</v>
      </c>
      <c r="I428" s="36">
        <f>IFERROR(INDEX(Katalog!$D$3:$D$12,MATCH(cadangan3[[#This Row],[Item A]],Katalog!$B$3:$B$12,0))*cadangan3[[#This Row],[Qty A]],0)</f>
        <v>1050000</v>
      </c>
      <c r="J428" s="36">
        <f>IFERROR(cadangan3[[#This Row],[Harga Asli A]]-(cadangan3[[#This Row],[Harga Asli A]]*cadangan3[[#This Row],[Diskon]]),cadangan3[[#This Row],[Harga Asli A]])</f>
        <v>945000</v>
      </c>
      <c r="K428" s="36">
        <f>INDEX(Katalog!$F$3:$F$12,MATCH(cadangan3[[#This Row],[ItemID A]],Katalog!$C$3:$C$12,0))*cadangan3[[#This Row],[Qty A]]</f>
        <v>420000</v>
      </c>
      <c r="L428" s="36">
        <f>IFERROR(cadangan3[[#This Row],[Profit A]]-(cadangan3[[#This Row],[Profit A]]*cadangan3[[#This Row],[Diskon]]),K428)</f>
        <v>378000</v>
      </c>
      <c r="N428" t="str">
        <f>IFERROR(INDEX(Katalog!$A$3:$A$12,MATCH(cadangan3[[#This Row],[ItemID B]],Katalog!$C$3:$C$12,0)),"-")</f>
        <v>-</v>
      </c>
      <c r="O428" t="str">
        <f>IFERROR(INDEX(Katalog!$B$3:$B$12,MATCH(cadangan3[[#This Row],[ItemID B]],Katalog!$C$3:$C$12,0)),"-")</f>
        <v>-</v>
      </c>
      <c r="R428" s="36">
        <f>IFERROR(INDEX(Katalog!$D$3:$D$12,MATCH(cadangan3[[#This Row],[ItemID B]],Katalog!$C$3:$C$12,0))*cadangan3[[#This Row],[Qty B]],0)</f>
        <v>0</v>
      </c>
      <c r="S428" s="36">
        <f>IFERROR(INDEX(Katalog!$D$3:$D$12,MATCH(cadangan3[[#This Row],[Item B]],Katalog!$B$3:$B$12,0))*cadangan3[[#This Row],[Qty B]],0)</f>
        <v>0</v>
      </c>
      <c r="T428" s="36">
        <f>IFERROR(cadangan3[[#This Row],[Harga Asli B]]-(cadangan3[[#This Row],[Harga Asli B]]*cadangan3[[#This Row],[Diskon]]),cadangan3[[#This Row],[Harga Asli B]])</f>
        <v>0</v>
      </c>
      <c r="U428" s="36">
        <f>IFERROR(INDEX(Katalog!$F$3:$F$12,MATCH(cadangan3[[#This Row],[ItemID B]],Katalog!$C$3:$C$12,0))*cadangan3[[#This Row],[Qty B]],0)</f>
        <v>0</v>
      </c>
      <c r="V428" s="36">
        <f>IFERROR(cadangan3[[#This Row],[Profit B]]-(cadangan3[[#This Row],[Profit B]]*cadangan3[[#This Row],[Diskon]]),U428)</f>
        <v>0</v>
      </c>
      <c r="X428" t="str">
        <f>IFERROR(INDEX(Katalog!$A$3:$A$12,MATCH(cadangan3[[#This Row],[ItemID C]],Katalog!$C$3:$C$12,0)),"-")</f>
        <v>-</v>
      </c>
      <c r="Y428" t="str">
        <f>IFERROR(INDEX(Katalog!$B$3:$B$12,MATCH(cadangan3[[#This Row],[ItemID C]],Katalog!$C$3:$C$12,0)),"-")</f>
        <v>-</v>
      </c>
      <c r="AB428" s="36">
        <f>IFERROR(INDEX(Katalog!$D$3:$D$12,MATCH(cadangan3[[#This Row],[ItemID C]],Katalog!$C$3:$C$12,0))*cadangan3[[#This Row],[Qty C]],0)</f>
        <v>0</v>
      </c>
      <c r="AC428" s="36">
        <f>IFERROR(INDEX(Katalog!$D$3:$D$12,MATCH(cadangan3[[#This Row],[Item C]],Katalog!$B$3:$B$12,0))*cadangan3[[#This Row],[Qty C]],0)</f>
        <v>0</v>
      </c>
      <c r="AD428" s="36">
        <f>IFERROR(cadangan3[[#This Row],[Harga Asli C]]-(cadangan3[[#This Row],[Harga Asli C]]*cadangan3[[#This Row],[Diskon]]),cadangan3[[#This Row],[Harga Asli C]])</f>
        <v>0</v>
      </c>
      <c r="AE428" s="36">
        <f>IFERROR(INDEX(Katalog!$F$3:$F$12,MATCH(cadangan3[[#This Row],[ItemID C]],Katalog!$C$3:$C$12,0))*cadangan3[[#This Row],[Qty C]],0)</f>
        <v>0</v>
      </c>
      <c r="AF428" s="36">
        <f>IFERROR(cadangan3[[#This Row],[Profit C]]-(cadangan3[[#This Row],[Profit C]]*cadangan3[[#This Row],[Diskon]]),cadangan3[[#This Row],[Profit C]])</f>
        <v>0</v>
      </c>
      <c r="AG428" s="21">
        <f>cadangan3[[#This Row],[Qty A]]+cadangan3[[#This Row],[Qty B]]+cadangan3[[#This Row],[Qty C]]</f>
        <v>7</v>
      </c>
      <c r="AH428" s="35">
        <f>cadangan3[[#This Row],[Harga A + Diskon]]+cadangan3[[#This Row],[Harga + Diskon B]]+cadangan3[[#This Row],[Harga + Diskon C]]</f>
        <v>945000</v>
      </c>
      <c r="AI428" s="35">
        <f>(cadangan3[[#This Row],[Profit A]]+cadangan3[[#This Row],[Profit B]]+cadangan3[[#This Row],[Profit C]])</f>
        <v>420000</v>
      </c>
      <c r="AJ428" s="35">
        <f>cadangan3[[#This Row],[Provit A + Diskon]]+cadangan3[[#This Row],[Provit B + Diskon]]+cadangan3[[#This Row],[Provit C + Diskon]]</f>
        <v>378000</v>
      </c>
      <c r="AK428" s="23" t="s">
        <v>30</v>
      </c>
      <c r="AL428" s="37">
        <f>IFERROR(INDEX('Kode Diskon'!$D$3:$D$9,MATCH(cadangan3[[#This Row],[Kode diskon]],'Kode Diskon'!$C$3:$C$9,0)),"-")</f>
        <v>0.1</v>
      </c>
      <c r="AM428" s="23" t="s">
        <v>29</v>
      </c>
      <c r="AN428" s="23" t="s">
        <v>10</v>
      </c>
      <c r="AO428" s="23" t="s">
        <v>76</v>
      </c>
      <c r="AP428" s="24">
        <v>45020</v>
      </c>
      <c r="AQ428" s="23" t="str">
        <f>TEXT(cadangan3[[#This Row],[Tanggal terjual]],"dddd")</f>
        <v>Tuesday</v>
      </c>
    </row>
    <row r="429" spans="1:43" x14ac:dyDescent="0.2">
      <c r="A429" s="20">
        <v>428</v>
      </c>
      <c r="B429" s="21" t="str">
        <f>_xlfn.CONCAT("ORD-",INDEX(Helper!$B$2:$B$5,MATCH(cadangan3[[#This Row],[Marketplace]],Helper!$A$2:$A$5,0)),TEXT(cadangan3[[#This Row],[No]],"0000"),"-",TEXT(cadangan3[[#This Row],[Tanggal terjual]],"dd/mm/yy"))</f>
        <v>ORD-SP0428-06/04/23</v>
      </c>
      <c r="C429" t="s">
        <v>67</v>
      </c>
      <c r="D429" t="str">
        <f>IFERROR(INDEX(Katalog!$A$3:$A$12,MATCH(cadangan3[[#This Row],[ItemID A]],Katalog!$C$3:$C$12,0)),"-")</f>
        <v>Sepatu Wanita</v>
      </c>
      <c r="E429" t="str">
        <f>IFERROR(INDEX(Katalog!$B$3:$B$12,MATCH(cadangan3[[#This Row],[ItemID A]],Katalog!$C$3:$C$12,0)),"-")</f>
        <v>Flat Shoes</v>
      </c>
      <c r="F429">
        <v>1</v>
      </c>
      <c r="G429">
        <v>1</v>
      </c>
      <c r="H429" s="36">
        <f>IFERROR(INDEX(Katalog!$D$3:$D$12,MATCH(cadangan3[[#This Row],[ItemID A]],Katalog!$C$3:$C$12,0))*cadangan3[[#This Row],[Qty A]],0)</f>
        <v>250000</v>
      </c>
      <c r="I429" s="36">
        <f>IFERROR(INDEX(Katalog!$D$3:$D$12,MATCH(cadangan3[[#This Row],[Item A]],Katalog!$B$3:$B$12,0))*cadangan3[[#This Row],[Qty A]],0)</f>
        <v>250000</v>
      </c>
      <c r="J429" s="36">
        <f>IFERROR(cadangan3[[#This Row],[Harga Asli A]]-(cadangan3[[#This Row],[Harga Asli A]]*cadangan3[[#This Row],[Diskon]]),cadangan3[[#This Row],[Harga Asli A]])</f>
        <v>225000</v>
      </c>
      <c r="K429" s="36">
        <f>INDEX(Katalog!$F$3:$F$12,MATCH(cadangan3[[#This Row],[ItemID A]],Katalog!$C$3:$C$12,0))*cadangan3[[#This Row],[Qty A]]</f>
        <v>100000</v>
      </c>
      <c r="L429" s="36">
        <f>IFERROR(cadangan3[[#This Row],[Profit A]]-(cadangan3[[#This Row],[Profit A]]*cadangan3[[#This Row],[Diskon]]),K429)</f>
        <v>90000</v>
      </c>
      <c r="N429" t="str">
        <f>IFERROR(INDEX(Katalog!$A$3:$A$12,MATCH(cadangan3[[#This Row],[ItemID B]],Katalog!$C$3:$C$12,0)),"-")</f>
        <v>-</v>
      </c>
      <c r="O429" t="str">
        <f>IFERROR(INDEX(Katalog!$B$3:$B$12,MATCH(cadangan3[[#This Row],[ItemID B]],Katalog!$C$3:$C$12,0)),"-")</f>
        <v>-</v>
      </c>
      <c r="R429" s="36">
        <f>IFERROR(INDEX(Katalog!$D$3:$D$12,MATCH(cadangan3[[#This Row],[ItemID B]],Katalog!$C$3:$C$12,0))*cadangan3[[#This Row],[Qty B]],0)</f>
        <v>0</v>
      </c>
      <c r="S429" s="36">
        <f>IFERROR(INDEX(Katalog!$D$3:$D$12,MATCH(cadangan3[[#This Row],[Item B]],Katalog!$B$3:$B$12,0))*cadangan3[[#This Row],[Qty B]],0)</f>
        <v>0</v>
      </c>
      <c r="T429" s="36">
        <f>IFERROR(cadangan3[[#This Row],[Harga Asli B]]-(cadangan3[[#This Row],[Harga Asli B]]*cadangan3[[#This Row],[Diskon]]),cadangan3[[#This Row],[Harga Asli B]])</f>
        <v>0</v>
      </c>
      <c r="U429" s="36">
        <f>IFERROR(INDEX(Katalog!$F$3:$F$12,MATCH(cadangan3[[#This Row],[ItemID B]],Katalog!$C$3:$C$12,0))*cadangan3[[#This Row],[Qty B]],0)</f>
        <v>0</v>
      </c>
      <c r="V429" s="36">
        <f>IFERROR(cadangan3[[#This Row],[Profit B]]-(cadangan3[[#This Row],[Profit B]]*cadangan3[[#This Row],[Diskon]]),U429)</f>
        <v>0</v>
      </c>
      <c r="X429" t="str">
        <f>IFERROR(INDEX(Katalog!$A$3:$A$12,MATCH(cadangan3[[#This Row],[ItemID C]],Katalog!$C$3:$C$12,0)),"-")</f>
        <v>-</v>
      </c>
      <c r="Y429" t="str">
        <f>IFERROR(INDEX(Katalog!$B$3:$B$12,MATCH(cadangan3[[#This Row],[ItemID C]],Katalog!$C$3:$C$12,0)),"-")</f>
        <v>-</v>
      </c>
      <c r="AB429" s="36">
        <f>IFERROR(INDEX(Katalog!$D$3:$D$12,MATCH(cadangan3[[#This Row],[ItemID C]],Katalog!$C$3:$C$12,0))*cadangan3[[#This Row],[Qty C]],0)</f>
        <v>0</v>
      </c>
      <c r="AC429" s="36">
        <f>IFERROR(INDEX(Katalog!$D$3:$D$12,MATCH(cadangan3[[#This Row],[Item C]],Katalog!$B$3:$B$12,0))*cadangan3[[#This Row],[Qty C]],0)</f>
        <v>0</v>
      </c>
      <c r="AD429" s="36">
        <f>IFERROR(cadangan3[[#This Row],[Harga Asli C]]-(cadangan3[[#This Row],[Harga Asli C]]*cadangan3[[#This Row],[Diskon]]),cadangan3[[#This Row],[Harga Asli C]])</f>
        <v>0</v>
      </c>
      <c r="AE429" s="36">
        <f>IFERROR(INDEX(Katalog!$F$3:$F$12,MATCH(cadangan3[[#This Row],[ItemID C]],Katalog!$C$3:$C$12,0))*cadangan3[[#This Row],[Qty C]],0)</f>
        <v>0</v>
      </c>
      <c r="AF429" s="36">
        <f>IFERROR(cadangan3[[#This Row],[Profit C]]-(cadangan3[[#This Row],[Profit C]]*cadangan3[[#This Row],[Diskon]]),cadangan3[[#This Row],[Profit C]])</f>
        <v>0</v>
      </c>
      <c r="AG429" s="21">
        <f>cadangan3[[#This Row],[Qty A]]+cadangan3[[#This Row],[Qty B]]+cadangan3[[#This Row],[Qty C]]</f>
        <v>1</v>
      </c>
      <c r="AH429" s="35">
        <f>cadangan3[[#This Row],[Harga A + Diskon]]+cadangan3[[#This Row],[Harga + Diskon B]]+cadangan3[[#This Row],[Harga + Diskon C]]</f>
        <v>225000</v>
      </c>
      <c r="AI429" s="35">
        <f>(cadangan3[[#This Row],[Profit A]]+cadangan3[[#This Row],[Profit B]]+cadangan3[[#This Row],[Profit C]])</f>
        <v>100000</v>
      </c>
      <c r="AJ429" s="35">
        <f>cadangan3[[#This Row],[Provit A + Diskon]]+cadangan3[[#This Row],[Provit B + Diskon]]+cadangan3[[#This Row],[Provit C + Diskon]]</f>
        <v>90000</v>
      </c>
      <c r="AK429" s="23" t="s">
        <v>6</v>
      </c>
      <c r="AL429" s="37">
        <f>IFERROR(INDEX('Kode Diskon'!$D$3:$D$9,MATCH(cadangan3[[#This Row],[Kode diskon]],'Kode Diskon'!$C$3:$C$9,0)),"-")</f>
        <v>0.1</v>
      </c>
      <c r="AM429" s="23" t="s">
        <v>29</v>
      </c>
      <c r="AN429" s="23" t="s">
        <v>7</v>
      </c>
      <c r="AO429" s="23" t="s">
        <v>80</v>
      </c>
      <c r="AP429" s="24">
        <v>45022</v>
      </c>
      <c r="AQ429" s="23" t="str">
        <f>TEXT(cadangan3[[#This Row],[Tanggal terjual]],"dddd")</f>
        <v>Thursday</v>
      </c>
    </row>
    <row r="430" spans="1:43" x14ac:dyDescent="0.2">
      <c r="A430" s="20">
        <v>429</v>
      </c>
      <c r="B430" s="21" t="str">
        <f>_xlfn.CONCAT("ORD-",INDEX(Helper!$B$2:$B$5,MATCH(cadangan3[[#This Row],[Marketplace]],Helper!$A$2:$A$5,0)),TEXT(cadangan3[[#This Row],[No]],"0000"),"-",TEXT(cadangan3[[#This Row],[Tanggal terjual]],"dd/mm/yy"))</f>
        <v>ORD-TK0429-02/04/23</v>
      </c>
      <c r="C430" t="s">
        <v>62</v>
      </c>
      <c r="D430" t="str">
        <f>IFERROR(INDEX(Katalog!$A$3:$A$12,MATCH(cadangan3[[#This Row],[ItemID A]],Katalog!$C$3:$C$12,0)),"-")</f>
        <v>Pakaian Pria</v>
      </c>
      <c r="E430" t="str">
        <f>IFERROR(INDEX(Katalog!$B$3:$B$12,MATCH(cadangan3[[#This Row],[ItemID A]],Katalog!$C$3:$C$12,0)),"-")</f>
        <v>Celana Pendek</v>
      </c>
      <c r="F430">
        <v>5</v>
      </c>
      <c r="G430">
        <v>4</v>
      </c>
      <c r="H430" s="36">
        <f>IFERROR(INDEX(Katalog!$D$3:$D$12,MATCH(cadangan3[[#This Row],[ItemID A]],Katalog!$C$3:$C$12,0))*cadangan3[[#This Row],[Qty A]],0)</f>
        <v>900000</v>
      </c>
      <c r="I430" s="36">
        <f>IFERROR(INDEX(Katalog!$D$3:$D$12,MATCH(cadangan3[[#This Row],[Item A]],Katalog!$B$3:$B$12,0))*cadangan3[[#This Row],[Qty A]],0)</f>
        <v>900000</v>
      </c>
      <c r="J430" s="36">
        <f>IFERROR(cadangan3[[#This Row],[Harga Asli A]]-(cadangan3[[#This Row],[Harga Asli A]]*cadangan3[[#This Row],[Diskon]]),cadangan3[[#This Row],[Harga Asli A]])</f>
        <v>810000</v>
      </c>
      <c r="K430" s="36">
        <f>INDEX(Katalog!$F$3:$F$12,MATCH(cadangan3[[#This Row],[ItemID A]],Katalog!$C$3:$C$12,0))*cadangan3[[#This Row],[Qty A]]</f>
        <v>350000</v>
      </c>
      <c r="L430" s="36">
        <f>IFERROR(cadangan3[[#This Row],[Profit A]]-(cadangan3[[#This Row],[Profit A]]*cadangan3[[#This Row],[Diskon]]),K430)</f>
        <v>315000</v>
      </c>
      <c r="N430" t="str">
        <f>IFERROR(INDEX(Katalog!$A$3:$A$12,MATCH(cadangan3[[#This Row],[ItemID B]],Katalog!$C$3:$C$12,0)),"-")</f>
        <v>-</v>
      </c>
      <c r="O430" t="str">
        <f>IFERROR(INDEX(Katalog!$B$3:$B$12,MATCH(cadangan3[[#This Row],[ItemID B]],Katalog!$C$3:$C$12,0)),"-")</f>
        <v>-</v>
      </c>
      <c r="R430" s="36">
        <f>IFERROR(INDEX(Katalog!$D$3:$D$12,MATCH(cadangan3[[#This Row],[ItemID B]],Katalog!$C$3:$C$12,0))*cadangan3[[#This Row],[Qty B]],0)</f>
        <v>0</v>
      </c>
      <c r="S430" s="36">
        <f>IFERROR(INDEX(Katalog!$D$3:$D$12,MATCH(cadangan3[[#This Row],[Item B]],Katalog!$B$3:$B$12,0))*cadangan3[[#This Row],[Qty B]],0)</f>
        <v>0</v>
      </c>
      <c r="T430" s="36">
        <f>IFERROR(cadangan3[[#This Row],[Harga Asli B]]-(cadangan3[[#This Row],[Harga Asli B]]*cadangan3[[#This Row],[Diskon]]),cadangan3[[#This Row],[Harga Asli B]])</f>
        <v>0</v>
      </c>
      <c r="U430" s="36">
        <f>IFERROR(INDEX(Katalog!$F$3:$F$12,MATCH(cadangan3[[#This Row],[ItemID B]],Katalog!$C$3:$C$12,0))*cadangan3[[#This Row],[Qty B]],0)</f>
        <v>0</v>
      </c>
      <c r="V430" s="36">
        <f>IFERROR(cadangan3[[#This Row],[Profit B]]-(cadangan3[[#This Row],[Profit B]]*cadangan3[[#This Row],[Diskon]]),U430)</f>
        <v>0</v>
      </c>
      <c r="X430" t="str">
        <f>IFERROR(INDEX(Katalog!$A$3:$A$12,MATCH(cadangan3[[#This Row],[ItemID C]],Katalog!$C$3:$C$12,0)),"-")</f>
        <v>-</v>
      </c>
      <c r="Y430" t="str">
        <f>IFERROR(INDEX(Katalog!$B$3:$B$12,MATCH(cadangan3[[#This Row],[ItemID C]],Katalog!$C$3:$C$12,0)),"-")</f>
        <v>-</v>
      </c>
      <c r="AB430" s="36">
        <f>IFERROR(INDEX(Katalog!$D$3:$D$12,MATCH(cadangan3[[#This Row],[ItemID C]],Katalog!$C$3:$C$12,0))*cadangan3[[#This Row],[Qty C]],0)</f>
        <v>0</v>
      </c>
      <c r="AC430" s="36">
        <f>IFERROR(INDEX(Katalog!$D$3:$D$12,MATCH(cadangan3[[#This Row],[Item C]],Katalog!$B$3:$B$12,0))*cadangan3[[#This Row],[Qty C]],0)</f>
        <v>0</v>
      </c>
      <c r="AD430" s="36">
        <f>IFERROR(cadangan3[[#This Row],[Harga Asli C]]-(cadangan3[[#This Row],[Harga Asli C]]*cadangan3[[#This Row],[Diskon]]),cadangan3[[#This Row],[Harga Asli C]])</f>
        <v>0</v>
      </c>
      <c r="AE430" s="36">
        <f>IFERROR(INDEX(Katalog!$F$3:$F$12,MATCH(cadangan3[[#This Row],[ItemID C]],Katalog!$C$3:$C$12,0))*cadangan3[[#This Row],[Qty C]],0)</f>
        <v>0</v>
      </c>
      <c r="AF430" s="36">
        <f>IFERROR(cadangan3[[#This Row],[Profit C]]-(cadangan3[[#This Row],[Profit C]]*cadangan3[[#This Row],[Diskon]]),cadangan3[[#This Row],[Profit C]])</f>
        <v>0</v>
      </c>
      <c r="AG430" s="21">
        <f>cadangan3[[#This Row],[Qty A]]+cadangan3[[#This Row],[Qty B]]+cadangan3[[#This Row],[Qty C]]</f>
        <v>5</v>
      </c>
      <c r="AH430" s="35">
        <f>cadangan3[[#This Row],[Harga A + Diskon]]+cadangan3[[#This Row],[Harga + Diskon B]]+cadangan3[[#This Row],[Harga + Diskon C]]</f>
        <v>810000</v>
      </c>
      <c r="AI430" s="35">
        <f>(cadangan3[[#This Row],[Profit A]]+cadangan3[[#This Row],[Profit B]]+cadangan3[[#This Row],[Profit C]])</f>
        <v>350000</v>
      </c>
      <c r="AJ430" s="35">
        <f>cadangan3[[#This Row],[Provit A + Diskon]]+cadangan3[[#This Row],[Provit B + Diskon]]+cadangan3[[#This Row],[Provit C + Diskon]]</f>
        <v>315000</v>
      </c>
      <c r="AK430" s="23" t="s">
        <v>30</v>
      </c>
      <c r="AL430" s="37">
        <f>IFERROR(INDEX('Kode Diskon'!$D$3:$D$9,MATCH(cadangan3[[#This Row],[Kode diskon]],'Kode Diskon'!$C$3:$C$9,0)),"-")</f>
        <v>0.1</v>
      </c>
      <c r="AM430" s="23" t="s">
        <v>29</v>
      </c>
      <c r="AN430" s="23" t="s">
        <v>10</v>
      </c>
      <c r="AO430" s="23" t="s">
        <v>78</v>
      </c>
      <c r="AP430" s="24">
        <v>45018</v>
      </c>
      <c r="AQ430" s="23" t="str">
        <f>TEXT(cadangan3[[#This Row],[Tanggal terjual]],"dddd")</f>
        <v>Sunday</v>
      </c>
    </row>
    <row r="431" spans="1:43" x14ac:dyDescent="0.2">
      <c r="A431" s="20">
        <v>430</v>
      </c>
      <c r="B431" s="21" t="str">
        <f>_xlfn.CONCAT("ORD-",INDEX(Helper!$B$2:$B$5,MATCH(cadangan3[[#This Row],[Marketplace]],Helper!$A$2:$A$5,0)),TEXT(cadangan3[[#This Row],[No]],"0000"),"-",TEXT(cadangan3[[#This Row],[Tanggal terjual]],"dd/mm/yy"))</f>
        <v>ORD-BL0430-20/04/23</v>
      </c>
      <c r="C431" t="s">
        <v>67</v>
      </c>
      <c r="D431" t="str">
        <f>IFERROR(INDEX(Katalog!$A$3:$A$12,MATCH(cadangan3[[#This Row],[ItemID A]],Katalog!$C$3:$C$12,0)),"-")</f>
        <v>Sepatu Wanita</v>
      </c>
      <c r="E431" t="str">
        <f>IFERROR(INDEX(Katalog!$B$3:$B$12,MATCH(cadangan3[[#This Row],[ItemID A]],Katalog!$C$3:$C$12,0)),"-")</f>
        <v>Flat Shoes</v>
      </c>
      <c r="F431">
        <v>2</v>
      </c>
      <c r="G431">
        <v>4</v>
      </c>
      <c r="H431" s="36">
        <f>IFERROR(INDEX(Katalog!$D$3:$D$12,MATCH(cadangan3[[#This Row],[ItemID A]],Katalog!$C$3:$C$12,0))*cadangan3[[#This Row],[Qty A]],0)</f>
        <v>500000</v>
      </c>
      <c r="I431" s="36">
        <f>IFERROR(INDEX(Katalog!$D$3:$D$12,MATCH(cadangan3[[#This Row],[Item A]],Katalog!$B$3:$B$12,0))*cadangan3[[#This Row],[Qty A]],0)</f>
        <v>500000</v>
      </c>
      <c r="J431" s="36">
        <f>IFERROR(cadangan3[[#This Row],[Harga Asli A]]-(cadangan3[[#This Row],[Harga Asli A]]*cadangan3[[#This Row],[Diskon]]),cadangan3[[#This Row],[Harga Asli A]])</f>
        <v>425000</v>
      </c>
      <c r="K431" s="36">
        <f>INDEX(Katalog!$F$3:$F$12,MATCH(cadangan3[[#This Row],[ItemID A]],Katalog!$C$3:$C$12,0))*cadangan3[[#This Row],[Qty A]]</f>
        <v>200000</v>
      </c>
      <c r="L431" s="36">
        <f>IFERROR(cadangan3[[#This Row],[Profit A]]-(cadangan3[[#This Row],[Profit A]]*cadangan3[[#This Row],[Diskon]]),K431)</f>
        <v>170000</v>
      </c>
      <c r="M431" t="s">
        <v>58</v>
      </c>
      <c r="N431" t="str">
        <f>IFERROR(INDEX(Katalog!$A$3:$A$12,MATCH(cadangan3[[#This Row],[ItemID B]],Katalog!$C$3:$C$12,0)),"-")</f>
        <v>Pakaian Wanita</v>
      </c>
      <c r="O431" t="str">
        <f>IFERROR(INDEX(Katalog!$B$3:$B$12,MATCH(cadangan3[[#This Row],[ItemID B]],Katalog!$C$3:$C$12,0)),"-")</f>
        <v>Dress</v>
      </c>
      <c r="P431">
        <v>1</v>
      </c>
      <c r="Q431">
        <v>4</v>
      </c>
      <c r="R431" s="36">
        <f>IFERROR(INDEX(Katalog!$D$3:$D$12,MATCH(cadangan3[[#This Row],[ItemID B]],Katalog!$C$3:$C$12,0))*cadangan3[[#This Row],[Qty B]],0)</f>
        <v>300000</v>
      </c>
      <c r="S431" s="36">
        <f>IFERROR(INDEX(Katalog!$D$3:$D$12,MATCH(cadangan3[[#This Row],[Item B]],Katalog!$B$3:$B$12,0))*cadangan3[[#This Row],[Qty B]],0)</f>
        <v>300000</v>
      </c>
      <c r="T431" s="36">
        <f>IFERROR(cadangan3[[#This Row],[Harga Asli B]]-(cadangan3[[#This Row],[Harga Asli B]]*cadangan3[[#This Row],[Diskon]]),cadangan3[[#This Row],[Harga Asli B]])</f>
        <v>255000</v>
      </c>
      <c r="U431" s="36">
        <f>IFERROR(INDEX(Katalog!$F$3:$F$12,MATCH(cadangan3[[#This Row],[ItemID B]],Katalog!$C$3:$C$12,0))*cadangan3[[#This Row],[Qty B]],0)</f>
        <v>100000</v>
      </c>
      <c r="V431" s="36">
        <f>IFERROR(cadangan3[[#This Row],[Profit B]]-(cadangan3[[#This Row],[Profit B]]*cadangan3[[#This Row],[Diskon]]),U431)</f>
        <v>85000</v>
      </c>
      <c r="X431" t="str">
        <f>IFERROR(INDEX(Katalog!$A$3:$A$12,MATCH(cadangan3[[#This Row],[ItemID C]],Katalog!$C$3:$C$12,0)),"-")</f>
        <v>-</v>
      </c>
      <c r="Y431" t="str">
        <f>IFERROR(INDEX(Katalog!$B$3:$B$12,MATCH(cadangan3[[#This Row],[ItemID C]],Katalog!$C$3:$C$12,0)),"-")</f>
        <v>-</v>
      </c>
      <c r="AB431" s="36">
        <f>IFERROR(INDEX(Katalog!$D$3:$D$12,MATCH(cadangan3[[#This Row],[ItemID C]],Katalog!$C$3:$C$12,0))*cadangan3[[#This Row],[Qty C]],0)</f>
        <v>0</v>
      </c>
      <c r="AC431" s="36">
        <f>IFERROR(INDEX(Katalog!$D$3:$D$12,MATCH(cadangan3[[#This Row],[Item C]],Katalog!$B$3:$B$12,0))*cadangan3[[#This Row],[Qty C]],0)</f>
        <v>0</v>
      </c>
      <c r="AD431" s="36">
        <f>IFERROR(cadangan3[[#This Row],[Harga Asli C]]-(cadangan3[[#This Row],[Harga Asli C]]*cadangan3[[#This Row],[Diskon]]),cadangan3[[#This Row],[Harga Asli C]])</f>
        <v>0</v>
      </c>
      <c r="AE431" s="36">
        <f>IFERROR(INDEX(Katalog!$F$3:$F$12,MATCH(cadangan3[[#This Row],[ItemID C]],Katalog!$C$3:$C$12,0))*cadangan3[[#This Row],[Qty C]],0)</f>
        <v>0</v>
      </c>
      <c r="AF431" s="36">
        <f>IFERROR(cadangan3[[#This Row],[Profit C]]-(cadangan3[[#This Row],[Profit C]]*cadangan3[[#This Row],[Diskon]]),cadangan3[[#This Row],[Profit C]])</f>
        <v>0</v>
      </c>
      <c r="AG431" s="21">
        <f>cadangan3[[#This Row],[Qty A]]+cadangan3[[#This Row],[Qty B]]+cadangan3[[#This Row],[Qty C]]</f>
        <v>3</v>
      </c>
      <c r="AH431" s="35">
        <f>cadangan3[[#This Row],[Harga A + Diskon]]+cadangan3[[#This Row],[Harga + Diskon B]]+cadangan3[[#This Row],[Harga + Diskon C]]</f>
        <v>680000</v>
      </c>
      <c r="AI431" s="35">
        <f>(cadangan3[[#This Row],[Profit A]]+cadangan3[[#This Row],[Profit B]]+cadangan3[[#This Row],[Profit C]])</f>
        <v>300000</v>
      </c>
      <c r="AJ431" s="35">
        <f>cadangan3[[#This Row],[Provit A + Diskon]]+cadangan3[[#This Row],[Provit B + Diskon]]+cadangan3[[#This Row],[Provit C + Diskon]]</f>
        <v>255000</v>
      </c>
      <c r="AK431" s="23" t="s">
        <v>32</v>
      </c>
      <c r="AL431" s="37">
        <f>IFERROR(INDEX('Kode Diskon'!$D$3:$D$9,MATCH(cadangan3[[#This Row],[Kode diskon]],'Kode Diskon'!$C$3:$C$9,0)),"-")</f>
        <v>0.15</v>
      </c>
      <c r="AM431" s="23" t="s">
        <v>9</v>
      </c>
      <c r="AN431" s="23" t="s">
        <v>12</v>
      </c>
      <c r="AO431" s="23" t="s">
        <v>77</v>
      </c>
      <c r="AP431" s="24">
        <v>45036</v>
      </c>
      <c r="AQ431" s="23" t="str">
        <f>TEXT(cadangan3[[#This Row],[Tanggal terjual]],"dddd")</f>
        <v>Thursday</v>
      </c>
    </row>
    <row r="432" spans="1:43" x14ac:dyDescent="0.2">
      <c r="A432" s="20">
        <v>431</v>
      </c>
      <c r="B432" s="21" t="str">
        <f>_xlfn.CONCAT("ORD-",INDEX(Helper!$B$2:$B$5,MATCH(cadangan3[[#This Row],[Marketplace]],Helper!$A$2:$A$5,0)),TEXT(cadangan3[[#This Row],[No]],"0000"),"-",TEXT(cadangan3[[#This Row],[Tanggal terjual]],"dd/mm/yy"))</f>
        <v>ORD-SP0431-20/04/23</v>
      </c>
      <c r="C432" t="s">
        <v>65</v>
      </c>
      <c r="D432" t="str">
        <f>IFERROR(INDEX(Katalog!$A$3:$A$12,MATCH(cadangan3[[#This Row],[ItemID A]],Katalog!$C$3:$C$12,0)),"-")</f>
        <v>Sepatu Pria</v>
      </c>
      <c r="E432" t="str">
        <f>IFERROR(INDEX(Katalog!$B$3:$B$12,MATCH(cadangan3[[#This Row],[ItemID A]],Katalog!$C$3:$C$12,0)),"-")</f>
        <v>Sneakers</v>
      </c>
      <c r="F432">
        <v>3</v>
      </c>
      <c r="G432">
        <v>2</v>
      </c>
      <c r="H432" s="36">
        <f>IFERROR(INDEX(Katalog!$D$3:$D$12,MATCH(cadangan3[[#This Row],[ItemID A]],Katalog!$C$3:$C$12,0))*cadangan3[[#This Row],[Qty A]],0)</f>
        <v>1500000</v>
      </c>
      <c r="I432" s="36">
        <f>IFERROR(INDEX(Katalog!$D$3:$D$12,MATCH(cadangan3[[#This Row],[Item A]],Katalog!$B$3:$B$12,0))*cadangan3[[#This Row],[Qty A]],0)</f>
        <v>1500000</v>
      </c>
      <c r="J432" s="36">
        <f>IFERROR(cadangan3[[#This Row],[Harga Asli A]]-(cadangan3[[#This Row],[Harga Asli A]]*cadangan3[[#This Row],[Diskon]]),cadangan3[[#This Row],[Harga Asli A]])</f>
        <v>1200000</v>
      </c>
      <c r="K432" s="36">
        <f>INDEX(Katalog!$F$3:$F$12,MATCH(cadangan3[[#This Row],[ItemID A]],Katalog!$C$3:$C$12,0))*cadangan3[[#This Row],[Qty A]]</f>
        <v>600000</v>
      </c>
      <c r="L432" s="36">
        <f>IFERROR(cadangan3[[#This Row],[Profit A]]-(cadangan3[[#This Row],[Profit A]]*cadangan3[[#This Row],[Diskon]]),K432)</f>
        <v>480000</v>
      </c>
      <c r="M432" t="s">
        <v>67</v>
      </c>
      <c r="N432" t="str">
        <f>IFERROR(INDEX(Katalog!$A$3:$A$12,MATCH(cadangan3[[#This Row],[ItemID B]],Katalog!$C$3:$C$12,0)),"-")</f>
        <v>Sepatu Wanita</v>
      </c>
      <c r="O432" t="str">
        <f>IFERROR(INDEX(Katalog!$B$3:$B$12,MATCH(cadangan3[[#This Row],[ItemID B]],Katalog!$C$3:$C$12,0)),"-")</f>
        <v>Flat Shoes</v>
      </c>
      <c r="P432">
        <v>1</v>
      </c>
      <c r="Q432">
        <v>1</v>
      </c>
      <c r="R432" s="36">
        <f>IFERROR(INDEX(Katalog!$D$3:$D$12,MATCH(cadangan3[[#This Row],[ItemID B]],Katalog!$C$3:$C$12,0))*cadangan3[[#This Row],[Qty B]],0)</f>
        <v>250000</v>
      </c>
      <c r="S432" s="36">
        <f>IFERROR(INDEX(Katalog!$D$3:$D$12,MATCH(cadangan3[[#This Row],[Item B]],Katalog!$B$3:$B$12,0))*cadangan3[[#This Row],[Qty B]],0)</f>
        <v>250000</v>
      </c>
      <c r="T432" s="36">
        <f>IFERROR(cadangan3[[#This Row],[Harga Asli B]]-(cadangan3[[#This Row],[Harga Asli B]]*cadangan3[[#This Row],[Diskon]]),cadangan3[[#This Row],[Harga Asli B]])</f>
        <v>200000</v>
      </c>
      <c r="U432" s="36">
        <f>IFERROR(INDEX(Katalog!$F$3:$F$12,MATCH(cadangan3[[#This Row],[ItemID B]],Katalog!$C$3:$C$12,0))*cadangan3[[#This Row],[Qty B]],0)</f>
        <v>100000</v>
      </c>
      <c r="V432" s="36">
        <f>IFERROR(cadangan3[[#This Row],[Profit B]]-(cadangan3[[#This Row],[Profit B]]*cadangan3[[#This Row],[Diskon]]),U432)</f>
        <v>80000</v>
      </c>
      <c r="X432" t="str">
        <f>IFERROR(INDEX(Katalog!$A$3:$A$12,MATCH(cadangan3[[#This Row],[ItemID C]],Katalog!$C$3:$C$12,0)),"-")</f>
        <v>-</v>
      </c>
      <c r="Y432" t="str">
        <f>IFERROR(INDEX(Katalog!$B$3:$B$12,MATCH(cadangan3[[#This Row],[ItemID C]],Katalog!$C$3:$C$12,0)),"-")</f>
        <v>-</v>
      </c>
      <c r="AB432" s="36">
        <f>IFERROR(INDEX(Katalog!$D$3:$D$12,MATCH(cadangan3[[#This Row],[ItemID C]],Katalog!$C$3:$C$12,0))*cadangan3[[#This Row],[Qty C]],0)</f>
        <v>0</v>
      </c>
      <c r="AC432" s="36">
        <f>IFERROR(INDEX(Katalog!$D$3:$D$12,MATCH(cadangan3[[#This Row],[Item C]],Katalog!$B$3:$B$12,0))*cadangan3[[#This Row],[Qty C]],0)</f>
        <v>0</v>
      </c>
      <c r="AD432" s="36">
        <f>IFERROR(cadangan3[[#This Row],[Harga Asli C]]-(cadangan3[[#This Row],[Harga Asli C]]*cadangan3[[#This Row],[Diskon]]),cadangan3[[#This Row],[Harga Asli C]])</f>
        <v>0</v>
      </c>
      <c r="AE432" s="36">
        <f>IFERROR(INDEX(Katalog!$F$3:$F$12,MATCH(cadangan3[[#This Row],[ItemID C]],Katalog!$C$3:$C$12,0))*cadangan3[[#This Row],[Qty C]],0)</f>
        <v>0</v>
      </c>
      <c r="AF432" s="36">
        <f>IFERROR(cadangan3[[#This Row],[Profit C]]-(cadangan3[[#This Row],[Profit C]]*cadangan3[[#This Row],[Diskon]]),cadangan3[[#This Row],[Profit C]])</f>
        <v>0</v>
      </c>
      <c r="AG432" s="21">
        <f>cadangan3[[#This Row],[Qty A]]+cadangan3[[#This Row],[Qty B]]+cadangan3[[#This Row],[Qty C]]</f>
        <v>4</v>
      </c>
      <c r="AH432" s="35">
        <f>cadangan3[[#This Row],[Harga A + Diskon]]+cadangan3[[#This Row],[Harga + Diskon B]]+cadangan3[[#This Row],[Harga + Diskon C]]</f>
        <v>1400000</v>
      </c>
      <c r="AI432" s="35">
        <f>(cadangan3[[#This Row],[Profit A]]+cadangan3[[#This Row],[Profit B]]+cadangan3[[#This Row],[Profit C]])</f>
        <v>700000</v>
      </c>
      <c r="AJ432" s="35">
        <f>cadangan3[[#This Row],[Provit A + Diskon]]+cadangan3[[#This Row],[Provit B + Diskon]]+cadangan3[[#This Row],[Provit C + Diskon]]</f>
        <v>560000</v>
      </c>
      <c r="AK432" s="23" t="s">
        <v>8</v>
      </c>
      <c r="AL432" s="37">
        <f>IFERROR(INDEX('Kode Diskon'!$D$3:$D$9,MATCH(cadangan3[[#This Row],[Kode diskon]],'Kode Diskon'!$C$3:$C$9,0)),"-")</f>
        <v>0.2</v>
      </c>
      <c r="AM432" s="23" t="s">
        <v>9</v>
      </c>
      <c r="AN432" s="23" t="s">
        <v>7</v>
      </c>
      <c r="AO432" s="23" t="s">
        <v>77</v>
      </c>
      <c r="AP432" s="24">
        <v>45036</v>
      </c>
      <c r="AQ432" s="23" t="str">
        <f>TEXT(cadangan3[[#This Row],[Tanggal terjual]],"dddd")</f>
        <v>Thursday</v>
      </c>
    </row>
    <row r="433" spans="1:43" x14ac:dyDescent="0.2">
      <c r="A433" s="20">
        <v>432</v>
      </c>
      <c r="B433" s="21" t="str">
        <f>_xlfn.CONCAT("ORD-",INDEX(Helper!$B$2:$B$5,MATCH(cadangan3[[#This Row],[Marketplace]],Helper!$A$2:$A$5,0)),TEXT(cadangan3[[#This Row],[No]],"0000"),"-",TEXT(cadangan3[[#This Row],[Tanggal terjual]],"dd/mm/yy"))</f>
        <v>ORD-TK0432-04/04/23</v>
      </c>
      <c r="C433" t="s">
        <v>67</v>
      </c>
      <c r="D433" t="str">
        <f>IFERROR(INDEX(Katalog!$A$3:$A$12,MATCH(cadangan3[[#This Row],[ItemID A]],Katalog!$C$3:$C$12,0)),"-")</f>
        <v>Sepatu Wanita</v>
      </c>
      <c r="E433" t="str">
        <f>IFERROR(INDEX(Katalog!$B$3:$B$12,MATCH(cadangan3[[#This Row],[ItemID A]],Katalog!$C$3:$C$12,0)),"-")</f>
        <v>Flat Shoes</v>
      </c>
      <c r="F433">
        <v>5</v>
      </c>
      <c r="G433">
        <v>2</v>
      </c>
      <c r="H433" s="36">
        <f>IFERROR(INDEX(Katalog!$D$3:$D$12,MATCH(cadangan3[[#This Row],[ItemID A]],Katalog!$C$3:$C$12,0))*cadangan3[[#This Row],[Qty A]],0)</f>
        <v>1250000</v>
      </c>
      <c r="I433" s="36">
        <f>IFERROR(INDEX(Katalog!$D$3:$D$12,MATCH(cadangan3[[#This Row],[Item A]],Katalog!$B$3:$B$12,0))*cadangan3[[#This Row],[Qty A]],0)</f>
        <v>1250000</v>
      </c>
      <c r="J433" s="36">
        <f>IFERROR(cadangan3[[#This Row],[Harga Asli A]]-(cadangan3[[#This Row],[Harga Asli A]]*cadangan3[[#This Row],[Diskon]]),cadangan3[[#This Row],[Harga Asli A]])</f>
        <v>1125000</v>
      </c>
      <c r="K433" s="36">
        <f>INDEX(Katalog!$F$3:$F$12,MATCH(cadangan3[[#This Row],[ItemID A]],Katalog!$C$3:$C$12,0))*cadangan3[[#This Row],[Qty A]]</f>
        <v>500000</v>
      </c>
      <c r="L433" s="36">
        <f>IFERROR(cadangan3[[#This Row],[Profit A]]-(cadangan3[[#This Row],[Profit A]]*cadangan3[[#This Row],[Diskon]]),K433)</f>
        <v>450000</v>
      </c>
      <c r="M433" t="s">
        <v>62</v>
      </c>
      <c r="N433" t="str">
        <f>IFERROR(INDEX(Katalog!$A$3:$A$12,MATCH(cadangan3[[#This Row],[ItemID B]],Katalog!$C$3:$C$12,0)),"-")</f>
        <v>Pakaian Pria</v>
      </c>
      <c r="O433" t="str">
        <f>IFERROR(INDEX(Katalog!$B$3:$B$12,MATCH(cadangan3[[#This Row],[ItemID B]],Katalog!$C$3:$C$12,0)),"-")</f>
        <v>Celana Pendek</v>
      </c>
      <c r="P433">
        <v>1</v>
      </c>
      <c r="Q433">
        <v>3</v>
      </c>
      <c r="R433" s="36">
        <f>IFERROR(INDEX(Katalog!$D$3:$D$12,MATCH(cadangan3[[#This Row],[ItemID B]],Katalog!$C$3:$C$12,0))*cadangan3[[#This Row],[Qty B]],0)</f>
        <v>180000</v>
      </c>
      <c r="S433" s="36">
        <f>IFERROR(INDEX(Katalog!$D$3:$D$12,MATCH(cadangan3[[#This Row],[Item B]],Katalog!$B$3:$B$12,0))*cadangan3[[#This Row],[Qty B]],0)</f>
        <v>180000</v>
      </c>
      <c r="T433" s="36">
        <f>IFERROR(cadangan3[[#This Row],[Harga Asli B]]-(cadangan3[[#This Row],[Harga Asli B]]*cadangan3[[#This Row],[Diskon]]),cadangan3[[#This Row],[Harga Asli B]])</f>
        <v>162000</v>
      </c>
      <c r="U433" s="36">
        <f>IFERROR(INDEX(Katalog!$F$3:$F$12,MATCH(cadangan3[[#This Row],[ItemID B]],Katalog!$C$3:$C$12,0))*cadangan3[[#This Row],[Qty B]],0)</f>
        <v>70000</v>
      </c>
      <c r="V433" s="36">
        <f>IFERROR(cadangan3[[#This Row],[Profit B]]-(cadangan3[[#This Row],[Profit B]]*cadangan3[[#This Row],[Diskon]]),U433)</f>
        <v>63000</v>
      </c>
      <c r="X433" t="str">
        <f>IFERROR(INDEX(Katalog!$A$3:$A$12,MATCH(cadangan3[[#This Row],[ItemID C]],Katalog!$C$3:$C$12,0)),"-")</f>
        <v>-</v>
      </c>
      <c r="Y433" t="str">
        <f>IFERROR(INDEX(Katalog!$B$3:$B$12,MATCH(cadangan3[[#This Row],[ItemID C]],Katalog!$C$3:$C$12,0)),"-")</f>
        <v>-</v>
      </c>
      <c r="AB433" s="36">
        <f>IFERROR(INDEX(Katalog!$D$3:$D$12,MATCH(cadangan3[[#This Row],[ItemID C]],Katalog!$C$3:$C$12,0))*cadangan3[[#This Row],[Qty C]],0)</f>
        <v>0</v>
      </c>
      <c r="AC433" s="36">
        <f>IFERROR(INDEX(Katalog!$D$3:$D$12,MATCH(cadangan3[[#This Row],[Item C]],Katalog!$B$3:$B$12,0))*cadangan3[[#This Row],[Qty C]],0)</f>
        <v>0</v>
      </c>
      <c r="AD433" s="36">
        <f>IFERROR(cadangan3[[#This Row],[Harga Asli C]]-(cadangan3[[#This Row],[Harga Asli C]]*cadangan3[[#This Row],[Diskon]]),cadangan3[[#This Row],[Harga Asli C]])</f>
        <v>0</v>
      </c>
      <c r="AE433" s="36">
        <f>IFERROR(INDEX(Katalog!$F$3:$F$12,MATCH(cadangan3[[#This Row],[ItemID C]],Katalog!$C$3:$C$12,0))*cadangan3[[#This Row],[Qty C]],0)</f>
        <v>0</v>
      </c>
      <c r="AF433" s="36">
        <f>IFERROR(cadangan3[[#This Row],[Profit C]]-(cadangan3[[#This Row],[Profit C]]*cadangan3[[#This Row],[Diskon]]),cadangan3[[#This Row],[Profit C]])</f>
        <v>0</v>
      </c>
      <c r="AG433" s="21">
        <f>cadangan3[[#This Row],[Qty A]]+cadangan3[[#This Row],[Qty B]]+cadangan3[[#This Row],[Qty C]]</f>
        <v>6</v>
      </c>
      <c r="AH433" s="35">
        <f>cadangan3[[#This Row],[Harga A + Diskon]]+cadangan3[[#This Row],[Harga + Diskon B]]+cadangan3[[#This Row],[Harga + Diskon C]]</f>
        <v>1287000</v>
      </c>
      <c r="AI433" s="35">
        <f>(cadangan3[[#This Row],[Profit A]]+cadangan3[[#This Row],[Profit B]]+cadangan3[[#This Row],[Profit C]])</f>
        <v>570000</v>
      </c>
      <c r="AJ433" s="35">
        <f>cadangan3[[#This Row],[Provit A + Diskon]]+cadangan3[[#This Row],[Provit B + Diskon]]+cadangan3[[#This Row],[Provit C + Diskon]]</f>
        <v>513000</v>
      </c>
      <c r="AK433" s="23" t="s">
        <v>30</v>
      </c>
      <c r="AL433" s="37">
        <f>IFERROR(INDEX('Kode Diskon'!$D$3:$D$9,MATCH(cadangan3[[#This Row],[Kode diskon]],'Kode Diskon'!$C$3:$C$9,0)),"-")</f>
        <v>0.1</v>
      </c>
      <c r="AM433" s="23" t="s">
        <v>29</v>
      </c>
      <c r="AN433" s="23" t="s">
        <v>10</v>
      </c>
      <c r="AO433" s="23" t="s">
        <v>80</v>
      </c>
      <c r="AP433" s="24">
        <v>45020</v>
      </c>
      <c r="AQ433" s="23" t="str">
        <f>TEXT(cadangan3[[#This Row],[Tanggal terjual]],"dddd")</f>
        <v>Tuesday</v>
      </c>
    </row>
    <row r="434" spans="1:43" x14ac:dyDescent="0.2">
      <c r="A434" s="20">
        <v>433</v>
      </c>
      <c r="B434" s="21" t="str">
        <f>_xlfn.CONCAT("ORD-",INDEX(Helper!$B$2:$B$5,MATCH(cadangan3[[#This Row],[Marketplace]],Helper!$A$2:$A$5,0)),TEXT(cadangan3[[#This Row],[No]],"0000"),"-",TEXT(cadangan3[[#This Row],[Tanggal terjual]],"dd/mm/yy"))</f>
        <v>ORD-SP0433-15/04/23</v>
      </c>
      <c r="C434" t="s">
        <v>59</v>
      </c>
      <c r="D434" t="str">
        <f>IFERROR(INDEX(Katalog!$A$3:$A$12,MATCH(cadangan3[[#This Row],[ItemID A]],Katalog!$C$3:$C$12,0)),"-")</f>
        <v>Pakaian Wanita</v>
      </c>
      <c r="E434" t="str">
        <f>IFERROR(INDEX(Katalog!$B$3:$B$12,MATCH(cadangan3[[#This Row],[ItemID A]],Katalog!$C$3:$C$12,0)),"-")</f>
        <v>Blouse</v>
      </c>
      <c r="F434">
        <v>1</v>
      </c>
      <c r="G434">
        <v>3</v>
      </c>
      <c r="H434" s="36">
        <f>IFERROR(INDEX(Katalog!$D$3:$D$12,MATCH(cadangan3[[#This Row],[ItemID A]],Katalog!$C$3:$C$12,0))*cadangan3[[#This Row],[Qty A]],0)</f>
        <v>150000</v>
      </c>
      <c r="I434" s="36">
        <f>IFERROR(INDEX(Katalog!$D$3:$D$12,MATCH(cadangan3[[#This Row],[Item A]],Katalog!$B$3:$B$12,0))*cadangan3[[#This Row],[Qty A]],0)</f>
        <v>150000</v>
      </c>
      <c r="J434" s="36">
        <f>IFERROR(cadangan3[[#This Row],[Harga Asli A]]-(cadangan3[[#This Row],[Harga Asli A]]*cadangan3[[#This Row],[Diskon]]),cadangan3[[#This Row],[Harga Asli A]])</f>
        <v>150000</v>
      </c>
      <c r="K434" s="36">
        <f>INDEX(Katalog!$F$3:$F$12,MATCH(cadangan3[[#This Row],[ItemID A]],Katalog!$C$3:$C$12,0))*cadangan3[[#This Row],[Qty A]]</f>
        <v>50000</v>
      </c>
      <c r="L434" s="36">
        <f>IFERROR(cadangan3[[#This Row],[Profit A]]-(cadangan3[[#This Row],[Profit A]]*cadangan3[[#This Row],[Diskon]]),K434)</f>
        <v>50000</v>
      </c>
      <c r="M434" t="s">
        <v>61</v>
      </c>
      <c r="N434" t="str">
        <f>IFERROR(INDEX(Katalog!$A$3:$A$12,MATCH(cadangan3[[#This Row],[ItemID B]],Katalog!$C$3:$C$12,0)),"-")</f>
        <v>Pakaian Pria</v>
      </c>
      <c r="O434" t="str">
        <f>IFERROR(INDEX(Katalog!$B$3:$B$12,MATCH(cadangan3[[#This Row],[ItemID B]],Katalog!$C$3:$C$12,0)),"-")</f>
        <v>Kaos Polo</v>
      </c>
      <c r="P434">
        <v>1</v>
      </c>
      <c r="Q434">
        <v>3</v>
      </c>
      <c r="R434" s="36">
        <f>IFERROR(INDEX(Katalog!$D$3:$D$12,MATCH(cadangan3[[#This Row],[ItemID B]],Katalog!$C$3:$C$12,0))*cadangan3[[#This Row],[Qty B]],0)</f>
        <v>200000</v>
      </c>
      <c r="S434" s="36">
        <f>IFERROR(INDEX(Katalog!$D$3:$D$12,MATCH(cadangan3[[#This Row],[Item B]],Katalog!$B$3:$B$12,0))*cadangan3[[#This Row],[Qty B]],0)</f>
        <v>200000</v>
      </c>
      <c r="T434" s="36">
        <f>IFERROR(cadangan3[[#This Row],[Harga Asli B]]-(cadangan3[[#This Row],[Harga Asli B]]*cadangan3[[#This Row],[Diskon]]),cadangan3[[#This Row],[Harga Asli B]])</f>
        <v>200000</v>
      </c>
      <c r="U434" s="36">
        <f>IFERROR(INDEX(Katalog!$F$3:$F$12,MATCH(cadangan3[[#This Row],[ItemID B]],Katalog!$C$3:$C$12,0))*cadangan3[[#This Row],[Qty B]],0)</f>
        <v>80000</v>
      </c>
      <c r="V434" s="36">
        <f>IFERROR(cadangan3[[#This Row],[Profit B]]-(cadangan3[[#This Row],[Profit B]]*cadangan3[[#This Row],[Diskon]]),U434)</f>
        <v>80000</v>
      </c>
      <c r="W434" t="s">
        <v>62</v>
      </c>
      <c r="X434" t="str">
        <f>IFERROR(INDEX(Katalog!$A$3:$A$12,MATCH(cadangan3[[#This Row],[ItemID C]],Katalog!$C$3:$C$12,0)),"-")</f>
        <v>Pakaian Pria</v>
      </c>
      <c r="Y434" t="str">
        <f>IFERROR(INDEX(Katalog!$B$3:$B$12,MATCH(cadangan3[[#This Row],[ItemID C]],Katalog!$C$3:$C$12,0)),"-")</f>
        <v>Celana Pendek</v>
      </c>
      <c r="Z434">
        <v>1</v>
      </c>
      <c r="AA434">
        <v>2</v>
      </c>
      <c r="AB434" s="36">
        <f>IFERROR(INDEX(Katalog!$D$3:$D$12,MATCH(cadangan3[[#This Row],[ItemID C]],Katalog!$C$3:$C$12,0))*cadangan3[[#This Row],[Qty C]],0)</f>
        <v>180000</v>
      </c>
      <c r="AC434" s="36">
        <f>IFERROR(INDEX(Katalog!$D$3:$D$12,MATCH(cadangan3[[#This Row],[Item C]],Katalog!$B$3:$B$12,0))*cadangan3[[#This Row],[Qty C]],0)</f>
        <v>180000</v>
      </c>
      <c r="AD434" s="36">
        <f>IFERROR(cadangan3[[#This Row],[Harga Asli C]]-(cadangan3[[#This Row],[Harga Asli C]]*cadangan3[[#This Row],[Diskon]]),cadangan3[[#This Row],[Harga Asli C]])</f>
        <v>180000</v>
      </c>
      <c r="AE434" s="36">
        <f>IFERROR(INDEX(Katalog!$F$3:$F$12,MATCH(cadangan3[[#This Row],[ItemID C]],Katalog!$C$3:$C$12,0))*cadangan3[[#This Row],[Qty C]],0)</f>
        <v>70000</v>
      </c>
      <c r="AF434" s="36">
        <f>IFERROR(cadangan3[[#This Row],[Profit C]]-(cadangan3[[#This Row],[Profit C]]*cadangan3[[#This Row],[Diskon]]),cadangan3[[#This Row],[Profit C]])</f>
        <v>70000</v>
      </c>
      <c r="AG434" s="21">
        <f>cadangan3[[#This Row],[Qty A]]+cadangan3[[#This Row],[Qty B]]+cadangan3[[#This Row],[Qty C]]</f>
        <v>3</v>
      </c>
      <c r="AH434" s="35">
        <f>cadangan3[[#This Row],[Harga A + Diskon]]+cadangan3[[#This Row],[Harga + Diskon B]]+cadangan3[[#This Row],[Harga + Diskon C]]</f>
        <v>530000</v>
      </c>
      <c r="AI434" s="35">
        <f>(cadangan3[[#This Row],[Profit A]]+cadangan3[[#This Row],[Profit B]]+cadangan3[[#This Row],[Profit C]])</f>
        <v>200000</v>
      </c>
      <c r="AJ434" s="35">
        <f>cadangan3[[#This Row],[Provit A + Diskon]]+cadangan3[[#This Row],[Provit B + Diskon]]+cadangan3[[#This Row],[Provit C + Diskon]]</f>
        <v>200000</v>
      </c>
      <c r="AK434" s="23" t="s">
        <v>11</v>
      </c>
      <c r="AL434" s="37" t="str">
        <f>IFERROR(INDEX('Kode Diskon'!$D$3:$D$9,MATCH(cadangan3[[#This Row],[Kode diskon]],'Kode Diskon'!$C$3:$C$9,0)),"-")</f>
        <v>-</v>
      </c>
      <c r="AM434" s="23" t="s">
        <v>11</v>
      </c>
      <c r="AN434" s="23" t="s">
        <v>7</v>
      </c>
      <c r="AO434" s="23" t="s">
        <v>80</v>
      </c>
      <c r="AP434" s="24">
        <v>45031</v>
      </c>
      <c r="AQ434" s="23" t="str">
        <f>TEXT(cadangan3[[#This Row],[Tanggal terjual]],"dddd")</f>
        <v>Saturday</v>
      </c>
    </row>
    <row r="435" spans="1:43" x14ac:dyDescent="0.2">
      <c r="A435" s="20">
        <v>434</v>
      </c>
      <c r="B435" s="21" t="str">
        <f>_xlfn.CONCAT("ORD-",INDEX(Helper!$B$2:$B$5,MATCH(cadangan3[[#This Row],[Marketplace]],Helper!$A$2:$A$5,0)),TEXT(cadangan3[[#This Row],[No]],"0000"),"-",TEXT(cadangan3[[#This Row],[Tanggal terjual]],"dd/mm/yy"))</f>
        <v>ORD-BB0434-03/04/23</v>
      </c>
      <c r="C435" t="s">
        <v>60</v>
      </c>
      <c r="D435" t="str">
        <f>IFERROR(INDEX(Katalog!$A$3:$A$12,MATCH(cadangan3[[#This Row],[ItemID A]],Katalog!$C$3:$C$12,0)),"-")</f>
        <v>Pakaian Wanita</v>
      </c>
      <c r="E435" t="str">
        <f>IFERROR(INDEX(Katalog!$B$3:$B$12,MATCH(cadangan3[[#This Row],[ItemID A]],Katalog!$C$3:$C$12,0)),"-")</f>
        <v>Kaftan</v>
      </c>
      <c r="F435">
        <v>5</v>
      </c>
      <c r="G435">
        <v>5</v>
      </c>
      <c r="H435" s="36">
        <f>IFERROR(INDEX(Katalog!$D$3:$D$12,MATCH(cadangan3[[#This Row],[ItemID A]],Katalog!$C$3:$C$12,0))*cadangan3[[#This Row],[Qty A]],0)</f>
        <v>1250000</v>
      </c>
      <c r="I435" s="36">
        <f>IFERROR(INDEX(Katalog!$D$3:$D$12,MATCH(cadangan3[[#This Row],[Item A]],Katalog!$B$3:$B$12,0))*cadangan3[[#This Row],[Qty A]],0)</f>
        <v>1250000</v>
      </c>
      <c r="J435" s="36">
        <f>IFERROR(cadangan3[[#This Row],[Harga Asli A]]-(cadangan3[[#This Row],[Harga Asli A]]*cadangan3[[#This Row],[Diskon]]),cadangan3[[#This Row],[Harga Asli A]])</f>
        <v>1062500</v>
      </c>
      <c r="K435" s="36">
        <f>INDEX(Katalog!$F$3:$F$12,MATCH(cadangan3[[#This Row],[ItemID A]],Katalog!$C$3:$C$12,0))*cadangan3[[#This Row],[Qty A]]</f>
        <v>500000</v>
      </c>
      <c r="L435" s="36">
        <f>IFERROR(cadangan3[[#This Row],[Profit A]]-(cadangan3[[#This Row],[Profit A]]*cadangan3[[#This Row],[Diskon]]),K435)</f>
        <v>425000</v>
      </c>
      <c r="M435" t="s">
        <v>61</v>
      </c>
      <c r="N435" t="str">
        <f>IFERROR(INDEX(Katalog!$A$3:$A$12,MATCH(cadangan3[[#This Row],[ItemID B]],Katalog!$C$3:$C$12,0)),"-")</f>
        <v>Pakaian Pria</v>
      </c>
      <c r="O435" t="str">
        <f>IFERROR(INDEX(Katalog!$B$3:$B$12,MATCH(cadangan3[[#This Row],[ItemID B]],Katalog!$C$3:$C$12,0)),"-")</f>
        <v>Kaos Polo</v>
      </c>
      <c r="P435">
        <v>1</v>
      </c>
      <c r="Q435">
        <v>1</v>
      </c>
      <c r="R435" s="36">
        <f>IFERROR(INDEX(Katalog!$D$3:$D$12,MATCH(cadangan3[[#This Row],[ItemID B]],Katalog!$C$3:$C$12,0))*cadangan3[[#This Row],[Qty B]],0)</f>
        <v>200000</v>
      </c>
      <c r="S435" s="36">
        <f>IFERROR(INDEX(Katalog!$D$3:$D$12,MATCH(cadangan3[[#This Row],[Item B]],Katalog!$B$3:$B$12,0))*cadangan3[[#This Row],[Qty B]],0)</f>
        <v>200000</v>
      </c>
      <c r="T435" s="36">
        <f>IFERROR(cadangan3[[#This Row],[Harga Asli B]]-(cadangan3[[#This Row],[Harga Asli B]]*cadangan3[[#This Row],[Diskon]]),cadangan3[[#This Row],[Harga Asli B]])</f>
        <v>170000</v>
      </c>
      <c r="U435" s="36">
        <f>IFERROR(INDEX(Katalog!$F$3:$F$12,MATCH(cadangan3[[#This Row],[ItemID B]],Katalog!$C$3:$C$12,0))*cadangan3[[#This Row],[Qty B]],0)</f>
        <v>80000</v>
      </c>
      <c r="V435" s="36">
        <f>IFERROR(cadangan3[[#This Row],[Profit B]]-(cadangan3[[#This Row],[Profit B]]*cadangan3[[#This Row],[Diskon]]),U435)</f>
        <v>68000</v>
      </c>
      <c r="X435" t="str">
        <f>IFERROR(INDEX(Katalog!$A$3:$A$12,MATCH(cadangan3[[#This Row],[ItemID C]],Katalog!$C$3:$C$12,0)),"-")</f>
        <v>-</v>
      </c>
      <c r="Y435" t="str">
        <f>IFERROR(INDEX(Katalog!$B$3:$B$12,MATCH(cadangan3[[#This Row],[ItemID C]],Katalog!$C$3:$C$12,0)),"-")</f>
        <v>-</v>
      </c>
      <c r="AB435" s="36">
        <f>IFERROR(INDEX(Katalog!$D$3:$D$12,MATCH(cadangan3[[#This Row],[ItemID C]],Katalog!$C$3:$C$12,0))*cadangan3[[#This Row],[Qty C]],0)</f>
        <v>0</v>
      </c>
      <c r="AC435" s="36">
        <f>IFERROR(INDEX(Katalog!$D$3:$D$12,MATCH(cadangan3[[#This Row],[Item C]],Katalog!$B$3:$B$12,0))*cadangan3[[#This Row],[Qty C]],0)</f>
        <v>0</v>
      </c>
      <c r="AD435" s="36">
        <f>IFERROR(cadangan3[[#This Row],[Harga Asli C]]-(cadangan3[[#This Row],[Harga Asli C]]*cadangan3[[#This Row],[Diskon]]),cadangan3[[#This Row],[Harga Asli C]])</f>
        <v>0</v>
      </c>
      <c r="AE435" s="36">
        <f>IFERROR(INDEX(Katalog!$F$3:$F$12,MATCH(cadangan3[[#This Row],[ItemID C]],Katalog!$C$3:$C$12,0))*cadangan3[[#This Row],[Qty C]],0)</f>
        <v>0</v>
      </c>
      <c r="AF435" s="36">
        <f>IFERROR(cadangan3[[#This Row],[Profit C]]-(cadangan3[[#This Row],[Profit C]]*cadangan3[[#This Row],[Diskon]]),cadangan3[[#This Row],[Profit C]])</f>
        <v>0</v>
      </c>
      <c r="AG435" s="21">
        <f>cadangan3[[#This Row],[Qty A]]+cadangan3[[#This Row],[Qty B]]+cadangan3[[#This Row],[Qty C]]</f>
        <v>6</v>
      </c>
      <c r="AH435" s="35">
        <f>cadangan3[[#This Row],[Harga A + Diskon]]+cadangan3[[#This Row],[Harga + Diskon B]]+cadangan3[[#This Row],[Harga + Diskon C]]</f>
        <v>1232500</v>
      </c>
      <c r="AI435" s="35">
        <f>(cadangan3[[#This Row],[Profit A]]+cadangan3[[#This Row],[Profit B]]+cadangan3[[#This Row],[Profit C]])</f>
        <v>580000</v>
      </c>
      <c r="AJ435" s="35">
        <f>cadangan3[[#This Row],[Provit A + Diskon]]+cadangan3[[#This Row],[Provit B + Diskon]]+cadangan3[[#This Row],[Provit C + Diskon]]</f>
        <v>493000</v>
      </c>
      <c r="AK435" s="23" t="s">
        <v>28</v>
      </c>
      <c r="AL435" s="37">
        <f>IFERROR(INDEX('Kode Diskon'!$D$3:$D$9,MATCH(cadangan3[[#This Row],[Kode diskon]],'Kode Diskon'!$C$3:$C$9,0)),"-")</f>
        <v>0.15</v>
      </c>
      <c r="AM435" s="23" t="s">
        <v>29</v>
      </c>
      <c r="AN435" s="23" t="s">
        <v>14</v>
      </c>
      <c r="AO435" s="23" t="s">
        <v>79</v>
      </c>
      <c r="AP435" s="24">
        <v>45019</v>
      </c>
      <c r="AQ435" s="23" t="str">
        <f>TEXT(cadangan3[[#This Row],[Tanggal terjual]],"dddd")</f>
        <v>Monday</v>
      </c>
    </row>
    <row r="436" spans="1:43" x14ac:dyDescent="0.2">
      <c r="A436" s="20">
        <v>435</v>
      </c>
      <c r="B436" s="21" t="str">
        <f>_xlfn.CONCAT("ORD-",INDEX(Helper!$B$2:$B$5,MATCH(cadangan3[[#This Row],[Marketplace]],Helper!$A$2:$A$5,0)),TEXT(cadangan3[[#This Row],[No]],"0000"),"-",TEXT(cadangan3[[#This Row],[Tanggal terjual]],"dd/mm/yy"))</f>
        <v>ORD-SP0435-04/04/23</v>
      </c>
      <c r="C436" t="s">
        <v>60</v>
      </c>
      <c r="D436" t="str">
        <f>IFERROR(INDEX(Katalog!$A$3:$A$12,MATCH(cadangan3[[#This Row],[ItemID A]],Katalog!$C$3:$C$12,0)),"-")</f>
        <v>Pakaian Wanita</v>
      </c>
      <c r="E436" t="str">
        <f>IFERROR(INDEX(Katalog!$B$3:$B$12,MATCH(cadangan3[[#This Row],[ItemID A]],Katalog!$C$3:$C$12,0)),"-")</f>
        <v>Kaftan</v>
      </c>
      <c r="F436">
        <v>1</v>
      </c>
      <c r="G436">
        <v>3</v>
      </c>
      <c r="H436" s="36">
        <f>IFERROR(INDEX(Katalog!$D$3:$D$12,MATCH(cadangan3[[#This Row],[ItemID A]],Katalog!$C$3:$C$12,0))*cadangan3[[#This Row],[Qty A]],0)</f>
        <v>250000</v>
      </c>
      <c r="I436" s="36">
        <f>IFERROR(INDEX(Katalog!$D$3:$D$12,MATCH(cadangan3[[#This Row],[Item A]],Katalog!$B$3:$B$12,0))*cadangan3[[#This Row],[Qty A]],0)</f>
        <v>250000</v>
      </c>
      <c r="J436" s="36">
        <f>IFERROR(cadangan3[[#This Row],[Harga Asli A]]-(cadangan3[[#This Row],[Harga Asli A]]*cadangan3[[#This Row],[Diskon]]),cadangan3[[#This Row],[Harga Asli A]])</f>
        <v>212500</v>
      </c>
      <c r="K436" s="36">
        <f>INDEX(Katalog!$F$3:$F$12,MATCH(cadangan3[[#This Row],[ItemID A]],Katalog!$C$3:$C$12,0))*cadangan3[[#This Row],[Qty A]]</f>
        <v>100000</v>
      </c>
      <c r="L436" s="36">
        <f>IFERROR(cadangan3[[#This Row],[Profit A]]-(cadangan3[[#This Row],[Profit A]]*cadangan3[[#This Row],[Diskon]]),K436)</f>
        <v>85000</v>
      </c>
      <c r="M436" t="s">
        <v>64</v>
      </c>
      <c r="N436" t="str">
        <f>IFERROR(INDEX(Katalog!$A$3:$A$12,MATCH(cadangan3[[#This Row],[ItemID B]],Katalog!$C$3:$C$12,0)),"-")</f>
        <v>Pakaian Unisex</v>
      </c>
      <c r="O436" t="str">
        <f>IFERROR(INDEX(Katalog!$B$3:$B$12,MATCH(cadangan3[[#This Row],[ItemID B]],Katalog!$C$3:$C$12,0)),"-")</f>
        <v>Jaket Hoodie</v>
      </c>
      <c r="P436">
        <v>1</v>
      </c>
      <c r="Q436">
        <v>3</v>
      </c>
      <c r="R436" s="36">
        <f>IFERROR(INDEX(Katalog!$D$3:$D$12,MATCH(cadangan3[[#This Row],[ItemID B]],Katalog!$C$3:$C$12,0))*cadangan3[[#This Row],[Qty B]],0)</f>
        <v>350000</v>
      </c>
      <c r="S436" s="36">
        <f>IFERROR(INDEX(Katalog!$D$3:$D$12,MATCH(cadangan3[[#This Row],[Item B]],Katalog!$B$3:$B$12,0))*cadangan3[[#This Row],[Qty B]],0)</f>
        <v>350000</v>
      </c>
      <c r="T436" s="36">
        <f>IFERROR(cadangan3[[#This Row],[Harga Asli B]]-(cadangan3[[#This Row],[Harga Asli B]]*cadangan3[[#This Row],[Diskon]]),cadangan3[[#This Row],[Harga Asli B]])</f>
        <v>297500</v>
      </c>
      <c r="U436" s="36">
        <f>IFERROR(INDEX(Katalog!$F$3:$F$12,MATCH(cadangan3[[#This Row],[ItemID B]],Katalog!$C$3:$C$12,0))*cadangan3[[#This Row],[Qty B]],0)</f>
        <v>130000</v>
      </c>
      <c r="V436" s="36">
        <f>IFERROR(cadangan3[[#This Row],[Profit B]]-(cadangan3[[#This Row],[Profit B]]*cadangan3[[#This Row],[Diskon]]),U436)</f>
        <v>110500</v>
      </c>
      <c r="W436" t="s">
        <v>67</v>
      </c>
      <c r="X436" t="str">
        <f>IFERROR(INDEX(Katalog!$A$3:$A$12,MATCH(cadangan3[[#This Row],[ItemID C]],Katalog!$C$3:$C$12,0)),"-")</f>
        <v>Sepatu Wanita</v>
      </c>
      <c r="Y436" t="str">
        <f>IFERROR(INDEX(Katalog!$B$3:$B$12,MATCH(cadangan3[[#This Row],[ItemID C]],Katalog!$C$3:$C$12,0)),"-")</f>
        <v>Flat Shoes</v>
      </c>
      <c r="Z436">
        <v>4</v>
      </c>
      <c r="AA436">
        <v>2</v>
      </c>
      <c r="AB436" s="36">
        <f>IFERROR(INDEX(Katalog!$D$3:$D$12,MATCH(cadangan3[[#This Row],[ItemID C]],Katalog!$C$3:$C$12,0))*cadangan3[[#This Row],[Qty C]],0)</f>
        <v>1000000</v>
      </c>
      <c r="AC436" s="36">
        <f>IFERROR(INDEX(Katalog!$D$3:$D$12,MATCH(cadangan3[[#This Row],[Item C]],Katalog!$B$3:$B$12,0))*cadangan3[[#This Row],[Qty C]],0)</f>
        <v>1000000</v>
      </c>
      <c r="AD436" s="36">
        <f>IFERROR(cadangan3[[#This Row],[Harga Asli C]]-(cadangan3[[#This Row],[Harga Asli C]]*cadangan3[[#This Row],[Diskon]]),cadangan3[[#This Row],[Harga Asli C]])</f>
        <v>850000</v>
      </c>
      <c r="AE436" s="36">
        <f>IFERROR(INDEX(Katalog!$F$3:$F$12,MATCH(cadangan3[[#This Row],[ItemID C]],Katalog!$C$3:$C$12,0))*cadangan3[[#This Row],[Qty C]],0)</f>
        <v>400000</v>
      </c>
      <c r="AF436" s="36">
        <f>IFERROR(cadangan3[[#This Row],[Profit C]]-(cadangan3[[#This Row],[Profit C]]*cadangan3[[#This Row],[Diskon]]),cadangan3[[#This Row],[Profit C]])</f>
        <v>340000</v>
      </c>
      <c r="AG436" s="21">
        <f>cadangan3[[#This Row],[Qty A]]+cadangan3[[#This Row],[Qty B]]+cadangan3[[#This Row],[Qty C]]</f>
        <v>6</v>
      </c>
      <c r="AH436" s="35">
        <f>cadangan3[[#This Row],[Harga A + Diskon]]+cadangan3[[#This Row],[Harga + Diskon B]]+cadangan3[[#This Row],[Harga + Diskon C]]</f>
        <v>1360000</v>
      </c>
      <c r="AI436" s="35">
        <f>(cadangan3[[#This Row],[Profit A]]+cadangan3[[#This Row],[Profit B]]+cadangan3[[#This Row],[Profit C]])</f>
        <v>630000</v>
      </c>
      <c r="AJ436" s="35">
        <f>cadangan3[[#This Row],[Provit A + Diskon]]+cadangan3[[#This Row],[Provit B + Diskon]]+cadangan3[[#This Row],[Provit C + Diskon]]</f>
        <v>535500</v>
      </c>
      <c r="AK436" s="23" t="s">
        <v>13</v>
      </c>
      <c r="AL436" s="37">
        <f>IFERROR(INDEX('Kode Diskon'!$D$3:$D$9,MATCH(cadangan3[[#This Row],[Kode diskon]],'Kode Diskon'!$C$3:$C$9,0)),"-")</f>
        <v>0.15</v>
      </c>
      <c r="AM436" s="23" t="s">
        <v>29</v>
      </c>
      <c r="AN436" s="23" t="s">
        <v>7</v>
      </c>
      <c r="AO436" s="23" t="s">
        <v>79</v>
      </c>
      <c r="AP436" s="24">
        <v>45020</v>
      </c>
      <c r="AQ436" s="23" t="str">
        <f>TEXT(cadangan3[[#This Row],[Tanggal terjual]],"dddd")</f>
        <v>Tuesday</v>
      </c>
    </row>
    <row r="437" spans="1:43" x14ac:dyDescent="0.2">
      <c r="A437" s="20">
        <v>436</v>
      </c>
      <c r="B437" s="21" t="str">
        <f>_xlfn.CONCAT("ORD-",INDEX(Helper!$B$2:$B$5,MATCH(cadangan3[[#This Row],[Marketplace]],Helper!$A$2:$A$5,0)),TEXT(cadangan3[[#This Row],[No]],"0000"),"-",TEXT(cadangan3[[#This Row],[Tanggal terjual]],"dd/mm/yy"))</f>
        <v>ORD-SP0436-01/04/23</v>
      </c>
      <c r="C437" t="s">
        <v>58</v>
      </c>
      <c r="D437" t="str">
        <f>IFERROR(INDEX(Katalog!$A$3:$A$12,MATCH(cadangan3[[#This Row],[ItemID A]],Katalog!$C$3:$C$12,0)),"-")</f>
        <v>Pakaian Wanita</v>
      </c>
      <c r="E437" t="str">
        <f>IFERROR(INDEX(Katalog!$B$3:$B$12,MATCH(cadangan3[[#This Row],[ItemID A]],Katalog!$C$3:$C$12,0)),"-")</f>
        <v>Dress</v>
      </c>
      <c r="F437">
        <v>1</v>
      </c>
      <c r="G437">
        <v>5</v>
      </c>
      <c r="H437" s="36">
        <f>IFERROR(INDEX(Katalog!$D$3:$D$12,MATCH(cadangan3[[#This Row],[ItemID A]],Katalog!$C$3:$C$12,0))*cadangan3[[#This Row],[Qty A]],0)</f>
        <v>300000</v>
      </c>
      <c r="I437" s="36">
        <f>IFERROR(INDEX(Katalog!$D$3:$D$12,MATCH(cadangan3[[#This Row],[Item A]],Katalog!$B$3:$B$12,0))*cadangan3[[#This Row],[Qty A]],0)</f>
        <v>300000</v>
      </c>
      <c r="J437" s="36">
        <f>IFERROR(cadangan3[[#This Row],[Harga Asli A]]-(cadangan3[[#This Row],[Harga Asli A]]*cadangan3[[#This Row],[Diskon]]),cadangan3[[#This Row],[Harga Asli A]])</f>
        <v>270000</v>
      </c>
      <c r="K437" s="36">
        <f>INDEX(Katalog!$F$3:$F$12,MATCH(cadangan3[[#This Row],[ItemID A]],Katalog!$C$3:$C$12,0))*cadangan3[[#This Row],[Qty A]]</f>
        <v>100000</v>
      </c>
      <c r="L437" s="36">
        <f>IFERROR(cadangan3[[#This Row],[Profit A]]-(cadangan3[[#This Row],[Profit A]]*cadangan3[[#This Row],[Diskon]]),K437)</f>
        <v>90000</v>
      </c>
      <c r="M437" t="s">
        <v>64</v>
      </c>
      <c r="N437" t="str">
        <f>IFERROR(INDEX(Katalog!$A$3:$A$12,MATCH(cadangan3[[#This Row],[ItemID B]],Katalog!$C$3:$C$12,0)),"-")</f>
        <v>Pakaian Unisex</v>
      </c>
      <c r="O437" t="str">
        <f>IFERROR(INDEX(Katalog!$B$3:$B$12,MATCH(cadangan3[[#This Row],[ItemID B]],Katalog!$C$3:$C$12,0)),"-")</f>
        <v>Jaket Hoodie</v>
      </c>
      <c r="P437">
        <v>3</v>
      </c>
      <c r="Q437">
        <v>4</v>
      </c>
      <c r="R437" s="36">
        <f>IFERROR(INDEX(Katalog!$D$3:$D$12,MATCH(cadangan3[[#This Row],[ItemID B]],Katalog!$C$3:$C$12,0))*cadangan3[[#This Row],[Qty B]],0)</f>
        <v>1050000</v>
      </c>
      <c r="S437" s="36">
        <f>IFERROR(INDEX(Katalog!$D$3:$D$12,MATCH(cadangan3[[#This Row],[Item B]],Katalog!$B$3:$B$12,0))*cadangan3[[#This Row],[Qty B]],0)</f>
        <v>1050000</v>
      </c>
      <c r="T437" s="36">
        <f>IFERROR(cadangan3[[#This Row],[Harga Asli B]]-(cadangan3[[#This Row],[Harga Asli B]]*cadangan3[[#This Row],[Diskon]]),cadangan3[[#This Row],[Harga Asli B]])</f>
        <v>945000</v>
      </c>
      <c r="U437" s="36">
        <f>IFERROR(INDEX(Katalog!$F$3:$F$12,MATCH(cadangan3[[#This Row],[ItemID B]],Katalog!$C$3:$C$12,0))*cadangan3[[#This Row],[Qty B]],0)</f>
        <v>390000</v>
      </c>
      <c r="V437" s="36">
        <f>IFERROR(cadangan3[[#This Row],[Profit B]]-(cadangan3[[#This Row],[Profit B]]*cadangan3[[#This Row],[Diskon]]),U437)</f>
        <v>351000</v>
      </c>
      <c r="X437" t="str">
        <f>IFERROR(INDEX(Katalog!$A$3:$A$12,MATCH(cadangan3[[#This Row],[ItemID C]],Katalog!$C$3:$C$12,0)),"-")</f>
        <v>-</v>
      </c>
      <c r="Y437" t="str">
        <f>IFERROR(INDEX(Katalog!$B$3:$B$12,MATCH(cadangan3[[#This Row],[ItemID C]],Katalog!$C$3:$C$12,0)),"-")</f>
        <v>-</v>
      </c>
      <c r="AB437" s="36">
        <f>IFERROR(INDEX(Katalog!$D$3:$D$12,MATCH(cadangan3[[#This Row],[ItemID C]],Katalog!$C$3:$C$12,0))*cadangan3[[#This Row],[Qty C]],0)</f>
        <v>0</v>
      </c>
      <c r="AC437" s="36">
        <f>IFERROR(INDEX(Katalog!$D$3:$D$12,MATCH(cadangan3[[#This Row],[Item C]],Katalog!$B$3:$B$12,0))*cadangan3[[#This Row],[Qty C]],0)</f>
        <v>0</v>
      </c>
      <c r="AD437" s="36">
        <f>IFERROR(cadangan3[[#This Row],[Harga Asli C]]-(cadangan3[[#This Row],[Harga Asli C]]*cadangan3[[#This Row],[Diskon]]),cadangan3[[#This Row],[Harga Asli C]])</f>
        <v>0</v>
      </c>
      <c r="AE437" s="36">
        <f>IFERROR(INDEX(Katalog!$F$3:$F$12,MATCH(cadangan3[[#This Row],[ItemID C]],Katalog!$C$3:$C$12,0))*cadangan3[[#This Row],[Qty C]],0)</f>
        <v>0</v>
      </c>
      <c r="AF437" s="36">
        <f>IFERROR(cadangan3[[#This Row],[Profit C]]-(cadangan3[[#This Row],[Profit C]]*cadangan3[[#This Row],[Diskon]]),cadangan3[[#This Row],[Profit C]])</f>
        <v>0</v>
      </c>
      <c r="AG437" s="21">
        <f>cadangan3[[#This Row],[Qty A]]+cadangan3[[#This Row],[Qty B]]+cadangan3[[#This Row],[Qty C]]</f>
        <v>4</v>
      </c>
      <c r="AH437" s="35">
        <f>cadangan3[[#This Row],[Harga A + Diskon]]+cadangan3[[#This Row],[Harga + Diskon B]]+cadangan3[[#This Row],[Harga + Diskon C]]</f>
        <v>1215000</v>
      </c>
      <c r="AI437" s="35">
        <f>(cadangan3[[#This Row],[Profit A]]+cadangan3[[#This Row],[Profit B]]+cadangan3[[#This Row],[Profit C]])</f>
        <v>490000</v>
      </c>
      <c r="AJ437" s="35">
        <f>cadangan3[[#This Row],[Provit A + Diskon]]+cadangan3[[#This Row],[Provit B + Diskon]]+cadangan3[[#This Row],[Provit C + Diskon]]</f>
        <v>441000</v>
      </c>
      <c r="AK437" s="23" t="s">
        <v>6</v>
      </c>
      <c r="AL437" s="37">
        <f>IFERROR(INDEX('Kode Diskon'!$D$3:$D$9,MATCH(cadangan3[[#This Row],[Kode diskon]],'Kode Diskon'!$C$3:$C$9,0)),"-")</f>
        <v>0.1</v>
      </c>
      <c r="AM437" s="23" t="s">
        <v>29</v>
      </c>
      <c r="AN437" s="23" t="s">
        <v>7</v>
      </c>
      <c r="AO437" s="23" t="s">
        <v>76</v>
      </c>
      <c r="AP437" s="24">
        <v>45017</v>
      </c>
      <c r="AQ437" s="23" t="str">
        <f>TEXT(cadangan3[[#This Row],[Tanggal terjual]],"dddd")</f>
        <v>Saturday</v>
      </c>
    </row>
    <row r="438" spans="1:43" x14ac:dyDescent="0.2">
      <c r="A438" s="20">
        <v>437</v>
      </c>
      <c r="B438" s="21" t="str">
        <f>_xlfn.CONCAT("ORD-",INDEX(Helper!$B$2:$B$5,MATCH(cadangan3[[#This Row],[Marketplace]],Helper!$A$2:$A$5,0)),TEXT(cadangan3[[#This Row],[No]],"0000"),"-",TEXT(cadangan3[[#This Row],[Tanggal terjual]],"dd/mm/yy"))</f>
        <v>ORD-TK0437-13/04/23</v>
      </c>
      <c r="C438" t="s">
        <v>66</v>
      </c>
      <c r="D438" t="str">
        <f>IFERROR(INDEX(Katalog!$A$3:$A$12,MATCH(cadangan3[[#This Row],[ItemID A]],Katalog!$C$3:$C$12,0)),"-")</f>
        <v>Sepatu Pria</v>
      </c>
      <c r="E438" t="str">
        <f>IFERROR(INDEX(Katalog!$B$3:$B$12,MATCH(cadangan3[[#This Row],[ItemID A]],Katalog!$C$3:$C$12,0)),"-")</f>
        <v>Sandal Slip On</v>
      </c>
      <c r="F438">
        <v>4</v>
      </c>
      <c r="G438">
        <v>5</v>
      </c>
      <c r="H438" s="36">
        <f>IFERROR(INDEX(Katalog!$D$3:$D$12,MATCH(cadangan3[[#This Row],[ItemID A]],Katalog!$C$3:$C$12,0))*cadangan3[[#This Row],[Qty A]],0)</f>
        <v>600000</v>
      </c>
      <c r="I438" s="36">
        <f>IFERROR(INDEX(Katalog!$D$3:$D$12,MATCH(cadangan3[[#This Row],[Item A]],Katalog!$B$3:$B$12,0))*cadangan3[[#This Row],[Qty A]],0)</f>
        <v>600000</v>
      </c>
      <c r="J438" s="36">
        <f>IFERROR(cadangan3[[#This Row],[Harga Asli A]]-(cadangan3[[#This Row],[Harga Asli A]]*cadangan3[[#This Row],[Diskon]]),cadangan3[[#This Row],[Harga Asli A]])</f>
        <v>600000</v>
      </c>
      <c r="K438" s="36">
        <f>INDEX(Katalog!$F$3:$F$12,MATCH(cadangan3[[#This Row],[ItemID A]],Katalog!$C$3:$C$12,0))*cadangan3[[#This Row],[Qty A]]</f>
        <v>240000</v>
      </c>
      <c r="L438" s="36">
        <f>IFERROR(cadangan3[[#This Row],[Profit A]]-(cadangan3[[#This Row],[Profit A]]*cadangan3[[#This Row],[Diskon]]),K438)</f>
        <v>240000</v>
      </c>
      <c r="N438" t="str">
        <f>IFERROR(INDEX(Katalog!$A$3:$A$12,MATCH(cadangan3[[#This Row],[ItemID B]],Katalog!$C$3:$C$12,0)),"-")</f>
        <v>-</v>
      </c>
      <c r="O438" t="str">
        <f>IFERROR(INDEX(Katalog!$B$3:$B$12,MATCH(cadangan3[[#This Row],[ItemID B]],Katalog!$C$3:$C$12,0)),"-")</f>
        <v>-</v>
      </c>
      <c r="R438" s="36">
        <f>IFERROR(INDEX(Katalog!$D$3:$D$12,MATCH(cadangan3[[#This Row],[ItemID B]],Katalog!$C$3:$C$12,0))*cadangan3[[#This Row],[Qty B]],0)</f>
        <v>0</v>
      </c>
      <c r="S438" s="36">
        <f>IFERROR(INDEX(Katalog!$D$3:$D$12,MATCH(cadangan3[[#This Row],[Item B]],Katalog!$B$3:$B$12,0))*cadangan3[[#This Row],[Qty B]],0)</f>
        <v>0</v>
      </c>
      <c r="T438" s="36">
        <f>IFERROR(cadangan3[[#This Row],[Harga Asli B]]-(cadangan3[[#This Row],[Harga Asli B]]*cadangan3[[#This Row],[Diskon]]),cadangan3[[#This Row],[Harga Asli B]])</f>
        <v>0</v>
      </c>
      <c r="U438" s="36">
        <f>IFERROR(INDEX(Katalog!$F$3:$F$12,MATCH(cadangan3[[#This Row],[ItemID B]],Katalog!$C$3:$C$12,0))*cadangan3[[#This Row],[Qty B]],0)</f>
        <v>0</v>
      </c>
      <c r="V438" s="36">
        <f>IFERROR(cadangan3[[#This Row],[Profit B]]-(cadangan3[[#This Row],[Profit B]]*cadangan3[[#This Row],[Diskon]]),U438)</f>
        <v>0</v>
      </c>
      <c r="X438" t="str">
        <f>IFERROR(INDEX(Katalog!$A$3:$A$12,MATCH(cadangan3[[#This Row],[ItemID C]],Katalog!$C$3:$C$12,0)),"-")</f>
        <v>-</v>
      </c>
      <c r="Y438" t="str">
        <f>IFERROR(INDEX(Katalog!$B$3:$B$12,MATCH(cadangan3[[#This Row],[ItemID C]],Katalog!$C$3:$C$12,0)),"-")</f>
        <v>-</v>
      </c>
      <c r="AB438" s="36">
        <f>IFERROR(INDEX(Katalog!$D$3:$D$12,MATCH(cadangan3[[#This Row],[ItemID C]],Katalog!$C$3:$C$12,0))*cadangan3[[#This Row],[Qty C]],0)</f>
        <v>0</v>
      </c>
      <c r="AC438" s="36">
        <f>IFERROR(INDEX(Katalog!$D$3:$D$12,MATCH(cadangan3[[#This Row],[Item C]],Katalog!$B$3:$B$12,0))*cadangan3[[#This Row],[Qty C]],0)</f>
        <v>0</v>
      </c>
      <c r="AD438" s="36">
        <f>IFERROR(cadangan3[[#This Row],[Harga Asli C]]-(cadangan3[[#This Row],[Harga Asli C]]*cadangan3[[#This Row],[Diskon]]),cadangan3[[#This Row],[Harga Asli C]])</f>
        <v>0</v>
      </c>
      <c r="AE438" s="36">
        <f>IFERROR(INDEX(Katalog!$F$3:$F$12,MATCH(cadangan3[[#This Row],[ItemID C]],Katalog!$C$3:$C$12,0))*cadangan3[[#This Row],[Qty C]],0)</f>
        <v>0</v>
      </c>
      <c r="AF438" s="36">
        <f>IFERROR(cadangan3[[#This Row],[Profit C]]-(cadangan3[[#This Row],[Profit C]]*cadangan3[[#This Row],[Diskon]]),cadangan3[[#This Row],[Profit C]])</f>
        <v>0</v>
      </c>
      <c r="AG438" s="21">
        <f>cadangan3[[#This Row],[Qty A]]+cadangan3[[#This Row],[Qty B]]+cadangan3[[#This Row],[Qty C]]</f>
        <v>4</v>
      </c>
      <c r="AH438" s="35">
        <f>cadangan3[[#This Row],[Harga A + Diskon]]+cadangan3[[#This Row],[Harga + Diskon B]]+cadangan3[[#This Row],[Harga + Diskon C]]</f>
        <v>600000</v>
      </c>
      <c r="AI438" s="35">
        <f>(cadangan3[[#This Row],[Profit A]]+cadangan3[[#This Row],[Profit B]]+cadangan3[[#This Row],[Profit C]])</f>
        <v>240000</v>
      </c>
      <c r="AJ438" s="35">
        <f>cadangan3[[#This Row],[Provit A + Diskon]]+cadangan3[[#This Row],[Provit B + Diskon]]+cadangan3[[#This Row],[Provit C + Diskon]]</f>
        <v>240000</v>
      </c>
      <c r="AK438" s="23" t="s">
        <v>11</v>
      </c>
      <c r="AL438" s="37" t="str">
        <f>IFERROR(INDEX('Kode Diskon'!$D$3:$D$9,MATCH(cadangan3[[#This Row],[Kode diskon]],'Kode Diskon'!$C$3:$C$9,0)),"-")</f>
        <v>-</v>
      </c>
      <c r="AM438" s="23" t="s">
        <v>11</v>
      </c>
      <c r="AN438" s="23" t="s">
        <v>10</v>
      </c>
      <c r="AO438" s="23" t="s">
        <v>80</v>
      </c>
      <c r="AP438" s="24">
        <v>45029</v>
      </c>
      <c r="AQ438" s="23" t="str">
        <f>TEXT(cadangan3[[#This Row],[Tanggal terjual]],"dddd")</f>
        <v>Thursday</v>
      </c>
    </row>
    <row r="439" spans="1:43" x14ac:dyDescent="0.2">
      <c r="A439" s="20">
        <v>438</v>
      </c>
      <c r="B439" s="21" t="str">
        <f>_xlfn.CONCAT("ORD-",INDEX(Helper!$B$2:$B$5,MATCH(cadangan3[[#This Row],[Marketplace]],Helper!$A$2:$A$5,0)),TEXT(cadangan3[[#This Row],[No]],"0000"),"-",TEXT(cadangan3[[#This Row],[Tanggal terjual]],"dd/mm/yy"))</f>
        <v>ORD-SP0438-22/04/23</v>
      </c>
      <c r="C439" t="s">
        <v>64</v>
      </c>
      <c r="D439" t="str">
        <f>IFERROR(INDEX(Katalog!$A$3:$A$12,MATCH(cadangan3[[#This Row],[ItemID A]],Katalog!$C$3:$C$12,0)),"-")</f>
        <v>Pakaian Unisex</v>
      </c>
      <c r="E439" t="str">
        <f>IFERROR(INDEX(Katalog!$B$3:$B$12,MATCH(cadangan3[[#This Row],[ItemID A]],Katalog!$C$3:$C$12,0)),"-")</f>
        <v>Jaket Hoodie</v>
      </c>
      <c r="F439">
        <v>2</v>
      </c>
      <c r="G439">
        <v>1</v>
      </c>
      <c r="H439" s="36">
        <f>IFERROR(INDEX(Katalog!$D$3:$D$12,MATCH(cadangan3[[#This Row],[ItemID A]],Katalog!$C$3:$C$12,0))*cadangan3[[#This Row],[Qty A]],0)</f>
        <v>700000</v>
      </c>
      <c r="I439" s="36">
        <f>IFERROR(INDEX(Katalog!$D$3:$D$12,MATCH(cadangan3[[#This Row],[Item A]],Katalog!$B$3:$B$12,0))*cadangan3[[#This Row],[Qty A]],0)</f>
        <v>700000</v>
      </c>
      <c r="J439" s="36">
        <f>IFERROR(cadangan3[[#This Row],[Harga Asli A]]-(cadangan3[[#This Row],[Harga Asli A]]*cadangan3[[#This Row],[Diskon]]),cadangan3[[#This Row],[Harga Asli A]])</f>
        <v>560000</v>
      </c>
      <c r="K439" s="36">
        <f>INDEX(Katalog!$F$3:$F$12,MATCH(cadangan3[[#This Row],[ItemID A]],Katalog!$C$3:$C$12,0))*cadangan3[[#This Row],[Qty A]]</f>
        <v>260000</v>
      </c>
      <c r="L439" s="36">
        <f>IFERROR(cadangan3[[#This Row],[Profit A]]-(cadangan3[[#This Row],[Profit A]]*cadangan3[[#This Row],[Diskon]]),K439)</f>
        <v>208000</v>
      </c>
      <c r="M439" t="s">
        <v>63</v>
      </c>
      <c r="N439" t="str">
        <f>IFERROR(INDEX(Katalog!$A$3:$A$12,MATCH(cadangan3[[#This Row],[ItemID B]],Katalog!$C$3:$C$12,0)),"-")</f>
        <v>Pakaian Pria</v>
      </c>
      <c r="O439" t="str">
        <f>IFERROR(INDEX(Katalog!$B$3:$B$12,MATCH(cadangan3[[#This Row],[ItemID B]],Katalog!$C$3:$C$12,0)),"-")</f>
        <v>Jaket Jeans</v>
      </c>
      <c r="P439">
        <v>1</v>
      </c>
      <c r="Q439">
        <v>3</v>
      </c>
      <c r="R439" s="36">
        <f>IFERROR(INDEX(Katalog!$D$3:$D$12,MATCH(cadangan3[[#This Row],[ItemID B]],Katalog!$C$3:$C$12,0))*cadangan3[[#This Row],[Qty B]],0)</f>
        <v>400000</v>
      </c>
      <c r="S439" s="36">
        <f>IFERROR(INDEX(Katalog!$D$3:$D$12,MATCH(cadangan3[[#This Row],[Item B]],Katalog!$B$3:$B$12,0))*cadangan3[[#This Row],[Qty B]],0)</f>
        <v>400000</v>
      </c>
      <c r="T439" s="36">
        <f>IFERROR(cadangan3[[#This Row],[Harga Asli B]]-(cadangan3[[#This Row],[Harga Asli B]]*cadangan3[[#This Row],[Diskon]]),cadangan3[[#This Row],[Harga Asli B]])</f>
        <v>320000</v>
      </c>
      <c r="U439" s="36">
        <f>IFERROR(INDEX(Katalog!$F$3:$F$12,MATCH(cadangan3[[#This Row],[ItemID B]],Katalog!$C$3:$C$12,0))*cadangan3[[#This Row],[Qty B]],0)</f>
        <v>150000</v>
      </c>
      <c r="V439" s="36">
        <f>IFERROR(cadangan3[[#This Row],[Profit B]]-(cadangan3[[#This Row],[Profit B]]*cadangan3[[#This Row],[Diskon]]),U439)</f>
        <v>120000</v>
      </c>
      <c r="X439" t="str">
        <f>IFERROR(INDEX(Katalog!$A$3:$A$12,MATCH(cadangan3[[#This Row],[ItemID C]],Katalog!$C$3:$C$12,0)),"-")</f>
        <v>-</v>
      </c>
      <c r="Y439" t="str">
        <f>IFERROR(INDEX(Katalog!$B$3:$B$12,MATCH(cadangan3[[#This Row],[ItemID C]],Katalog!$C$3:$C$12,0)),"-")</f>
        <v>-</v>
      </c>
      <c r="AB439" s="36">
        <f>IFERROR(INDEX(Katalog!$D$3:$D$12,MATCH(cadangan3[[#This Row],[ItemID C]],Katalog!$C$3:$C$12,0))*cadangan3[[#This Row],[Qty C]],0)</f>
        <v>0</v>
      </c>
      <c r="AC439" s="36">
        <f>IFERROR(INDEX(Katalog!$D$3:$D$12,MATCH(cadangan3[[#This Row],[Item C]],Katalog!$B$3:$B$12,0))*cadangan3[[#This Row],[Qty C]],0)</f>
        <v>0</v>
      </c>
      <c r="AD439" s="36">
        <f>IFERROR(cadangan3[[#This Row],[Harga Asli C]]-(cadangan3[[#This Row],[Harga Asli C]]*cadangan3[[#This Row],[Diskon]]),cadangan3[[#This Row],[Harga Asli C]])</f>
        <v>0</v>
      </c>
      <c r="AE439" s="36">
        <f>IFERROR(INDEX(Katalog!$F$3:$F$12,MATCH(cadangan3[[#This Row],[ItemID C]],Katalog!$C$3:$C$12,0))*cadangan3[[#This Row],[Qty C]],0)</f>
        <v>0</v>
      </c>
      <c r="AF439" s="36">
        <f>IFERROR(cadangan3[[#This Row],[Profit C]]-(cadangan3[[#This Row],[Profit C]]*cadangan3[[#This Row],[Diskon]]),cadangan3[[#This Row],[Profit C]])</f>
        <v>0</v>
      </c>
      <c r="AG439" s="21">
        <f>cadangan3[[#This Row],[Qty A]]+cadangan3[[#This Row],[Qty B]]+cadangan3[[#This Row],[Qty C]]</f>
        <v>3</v>
      </c>
      <c r="AH439" s="35">
        <f>cadangan3[[#This Row],[Harga A + Diskon]]+cadangan3[[#This Row],[Harga + Diskon B]]+cadangan3[[#This Row],[Harga + Diskon C]]</f>
        <v>880000</v>
      </c>
      <c r="AI439" s="35">
        <f>(cadangan3[[#This Row],[Profit A]]+cadangan3[[#This Row],[Profit B]]+cadangan3[[#This Row],[Profit C]])</f>
        <v>410000</v>
      </c>
      <c r="AJ439" s="35">
        <f>cadangan3[[#This Row],[Provit A + Diskon]]+cadangan3[[#This Row],[Provit B + Diskon]]+cadangan3[[#This Row],[Provit C + Diskon]]</f>
        <v>328000</v>
      </c>
      <c r="AK439" s="23" t="s">
        <v>8</v>
      </c>
      <c r="AL439" s="37">
        <f>IFERROR(INDEX('Kode Diskon'!$D$3:$D$9,MATCH(cadangan3[[#This Row],[Kode diskon]],'Kode Diskon'!$C$3:$C$9,0)),"-")</f>
        <v>0.2</v>
      </c>
      <c r="AM439" s="23" t="s">
        <v>9</v>
      </c>
      <c r="AN439" s="23" t="s">
        <v>7</v>
      </c>
      <c r="AO439" s="23" t="s">
        <v>80</v>
      </c>
      <c r="AP439" s="24">
        <v>45038</v>
      </c>
      <c r="AQ439" s="23" t="str">
        <f>TEXT(cadangan3[[#This Row],[Tanggal terjual]],"dddd")</f>
        <v>Saturday</v>
      </c>
    </row>
    <row r="440" spans="1:43" x14ac:dyDescent="0.2">
      <c r="A440" s="20">
        <v>439</v>
      </c>
      <c r="B440" s="21" t="str">
        <f>_xlfn.CONCAT("ORD-",INDEX(Helper!$B$2:$B$5,MATCH(cadangan3[[#This Row],[Marketplace]],Helper!$A$2:$A$5,0)),TEXT(cadangan3[[#This Row],[No]],"0000"),"-",TEXT(cadangan3[[#This Row],[Tanggal terjual]],"dd/mm/yy"))</f>
        <v>ORD-SP0439-04/04/23</v>
      </c>
      <c r="C440" t="s">
        <v>62</v>
      </c>
      <c r="D440" t="str">
        <f>IFERROR(INDEX(Katalog!$A$3:$A$12,MATCH(cadangan3[[#This Row],[ItemID A]],Katalog!$C$3:$C$12,0)),"-")</f>
        <v>Pakaian Pria</v>
      </c>
      <c r="E440" t="str">
        <f>IFERROR(INDEX(Katalog!$B$3:$B$12,MATCH(cadangan3[[#This Row],[ItemID A]],Katalog!$C$3:$C$12,0)),"-")</f>
        <v>Celana Pendek</v>
      </c>
      <c r="F440">
        <v>2</v>
      </c>
      <c r="G440">
        <v>4</v>
      </c>
      <c r="H440" s="36">
        <f>IFERROR(INDEX(Katalog!$D$3:$D$12,MATCH(cadangan3[[#This Row],[ItemID A]],Katalog!$C$3:$C$12,0))*cadangan3[[#This Row],[Qty A]],0)</f>
        <v>360000</v>
      </c>
      <c r="I440" s="36">
        <f>IFERROR(INDEX(Katalog!$D$3:$D$12,MATCH(cadangan3[[#This Row],[Item A]],Katalog!$B$3:$B$12,0))*cadangan3[[#This Row],[Qty A]],0)</f>
        <v>360000</v>
      </c>
      <c r="J440" s="36">
        <f>IFERROR(cadangan3[[#This Row],[Harga Asli A]]-(cadangan3[[#This Row],[Harga Asli A]]*cadangan3[[#This Row],[Diskon]]),cadangan3[[#This Row],[Harga Asli A]])</f>
        <v>324000</v>
      </c>
      <c r="K440" s="36">
        <f>INDEX(Katalog!$F$3:$F$12,MATCH(cadangan3[[#This Row],[ItemID A]],Katalog!$C$3:$C$12,0))*cadangan3[[#This Row],[Qty A]]</f>
        <v>140000</v>
      </c>
      <c r="L440" s="36">
        <f>IFERROR(cadangan3[[#This Row],[Profit A]]-(cadangan3[[#This Row],[Profit A]]*cadangan3[[#This Row],[Diskon]]),K440)</f>
        <v>126000</v>
      </c>
      <c r="M440" t="s">
        <v>64</v>
      </c>
      <c r="N440" t="str">
        <f>IFERROR(INDEX(Katalog!$A$3:$A$12,MATCH(cadangan3[[#This Row],[ItemID B]],Katalog!$C$3:$C$12,0)),"-")</f>
        <v>Pakaian Unisex</v>
      </c>
      <c r="O440" t="str">
        <f>IFERROR(INDEX(Katalog!$B$3:$B$12,MATCH(cadangan3[[#This Row],[ItemID B]],Katalog!$C$3:$C$12,0)),"-")</f>
        <v>Jaket Hoodie</v>
      </c>
      <c r="P440">
        <v>1</v>
      </c>
      <c r="Q440">
        <v>4</v>
      </c>
      <c r="R440" s="36">
        <f>IFERROR(INDEX(Katalog!$D$3:$D$12,MATCH(cadangan3[[#This Row],[ItemID B]],Katalog!$C$3:$C$12,0))*cadangan3[[#This Row],[Qty B]],0)</f>
        <v>350000</v>
      </c>
      <c r="S440" s="36">
        <f>IFERROR(INDEX(Katalog!$D$3:$D$12,MATCH(cadangan3[[#This Row],[Item B]],Katalog!$B$3:$B$12,0))*cadangan3[[#This Row],[Qty B]],0)</f>
        <v>350000</v>
      </c>
      <c r="T440" s="36">
        <f>IFERROR(cadangan3[[#This Row],[Harga Asli B]]-(cadangan3[[#This Row],[Harga Asli B]]*cadangan3[[#This Row],[Diskon]]),cadangan3[[#This Row],[Harga Asli B]])</f>
        <v>315000</v>
      </c>
      <c r="U440" s="36">
        <f>IFERROR(INDEX(Katalog!$F$3:$F$12,MATCH(cadangan3[[#This Row],[ItemID B]],Katalog!$C$3:$C$12,0))*cadangan3[[#This Row],[Qty B]],0)</f>
        <v>130000</v>
      </c>
      <c r="V440" s="36">
        <f>IFERROR(cadangan3[[#This Row],[Profit B]]-(cadangan3[[#This Row],[Profit B]]*cadangan3[[#This Row],[Diskon]]),U440)</f>
        <v>117000</v>
      </c>
      <c r="X440" t="str">
        <f>IFERROR(INDEX(Katalog!$A$3:$A$12,MATCH(cadangan3[[#This Row],[ItemID C]],Katalog!$C$3:$C$12,0)),"-")</f>
        <v>-</v>
      </c>
      <c r="Y440" t="str">
        <f>IFERROR(INDEX(Katalog!$B$3:$B$12,MATCH(cadangan3[[#This Row],[ItemID C]],Katalog!$C$3:$C$12,0)),"-")</f>
        <v>-</v>
      </c>
      <c r="AB440" s="36">
        <f>IFERROR(INDEX(Katalog!$D$3:$D$12,MATCH(cadangan3[[#This Row],[ItemID C]],Katalog!$C$3:$C$12,0))*cadangan3[[#This Row],[Qty C]],0)</f>
        <v>0</v>
      </c>
      <c r="AC440" s="36">
        <f>IFERROR(INDEX(Katalog!$D$3:$D$12,MATCH(cadangan3[[#This Row],[Item C]],Katalog!$B$3:$B$12,0))*cadangan3[[#This Row],[Qty C]],0)</f>
        <v>0</v>
      </c>
      <c r="AD440" s="36">
        <f>IFERROR(cadangan3[[#This Row],[Harga Asli C]]-(cadangan3[[#This Row],[Harga Asli C]]*cadangan3[[#This Row],[Diskon]]),cadangan3[[#This Row],[Harga Asli C]])</f>
        <v>0</v>
      </c>
      <c r="AE440" s="36">
        <f>IFERROR(INDEX(Katalog!$F$3:$F$12,MATCH(cadangan3[[#This Row],[ItemID C]],Katalog!$C$3:$C$12,0))*cadangan3[[#This Row],[Qty C]],0)</f>
        <v>0</v>
      </c>
      <c r="AF440" s="36">
        <f>IFERROR(cadangan3[[#This Row],[Profit C]]-(cadangan3[[#This Row],[Profit C]]*cadangan3[[#This Row],[Diskon]]),cadangan3[[#This Row],[Profit C]])</f>
        <v>0</v>
      </c>
      <c r="AG440" s="21">
        <f>cadangan3[[#This Row],[Qty A]]+cadangan3[[#This Row],[Qty B]]+cadangan3[[#This Row],[Qty C]]</f>
        <v>3</v>
      </c>
      <c r="AH440" s="35">
        <f>cadangan3[[#This Row],[Harga A + Diskon]]+cadangan3[[#This Row],[Harga + Diskon B]]+cadangan3[[#This Row],[Harga + Diskon C]]</f>
        <v>639000</v>
      </c>
      <c r="AI440" s="35">
        <f>(cadangan3[[#This Row],[Profit A]]+cadangan3[[#This Row],[Profit B]]+cadangan3[[#This Row],[Profit C]])</f>
        <v>270000</v>
      </c>
      <c r="AJ440" s="35">
        <f>cadangan3[[#This Row],[Provit A + Diskon]]+cadangan3[[#This Row],[Provit B + Diskon]]+cadangan3[[#This Row],[Provit C + Diskon]]</f>
        <v>243000</v>
      </c>
      <c r="AK440" s="23" t="s">
        <v>6</v>
      </c>
      <c r="AL440" s="37">
        <f>IFERROR(INDEX('Kode Diskon'!$D$3:$D$9,MATCH(cadangan3[[#This Row],[Kode diskon]],'Kode Diskon'!$C$3:$C$9,0)),"-")</f>
        <v>0.1</v>
      </c>
      <c r="AM440" s="23" t="s">
        <v>29</v>
      </c>
      <c r="AN440" s="23" t="s">
        <v>7</v>
      </c>
      <c r="AO440" s="23" t="s">
        <v>79</v>
      </c>
      <c r="AP440" s="24">
        <v>45020</v>
      </c>
      <c r="AQ440" s="23" t="str">
        <f>TEXT(cadangan3[[#This Row],[Tanggal terjual]],"dddd")</f>
        <v>Tuesday</v>
      </c>
    </row>
    <row r="441" spans="1:43" x14ac:dyDescent="0.2">
      <c r="A441" s="20">
        <v>440</v>
      </c>
      <c r="B441" s="21" t="str">
        <f>_xlfn.CONCAT("ORD-",INDEX(Helper!$B$2:$B$5,MATCH(cadangan3[[#This Row],[Marketplace]],Helper!$A$2:$A$5,0)),TEXT(cadangan3[[#This Row],[No]],"0000"),"-",TEXT(cadangan3[[#This Row],[Tanggal terjual]],"dd/mm/yy"))</f>
        <v>ORD-TK0440-19/04/23</v>
      </c>
      <c r="C441" t="s">
        <v>61</v>
      </c>
      <c r="D441" t="str">
        <f>IFERROR(INDEX(Katalog!$A$3:$A$12,MATCH(cadangan3[[#This Row],[ItemID A]],Katalog!$C$3:$C$12,0)),"-")</f>
        <v>Pakaian Pria</v>
      </c>
      <c r="E441" t="str">
        <f>IFERROR(INDEX(Katalog!$B$3:$B$12,MATCH(cadangan3[[#This Row],[ItemID A]],Katalog!$C$3:$C$12,0)),"-")</f>
        <v>Kaos Polo</v>
      </c>
      <c r="F441">
        <v>1</v>
      </c>
      <c r="G441">
        <v>5</v>
      </c>
      <c r="H441" s="36">
        <f>IFERROR(INDEX(Katalog!$D$3:$D$12,MATCH(cadangan3[[#This Row],[ItemID A]],Katalog!$C$3:$C$12,0))*cadangan3[[#This Row],[Qty A]],0)</f>
        <v>200000</v>
      </c>
      <c r="I441" s="36">
        <f>IFERROR(INDEX(Katalog!$D$3:$D$12,MATCH(cadangan3[[#This Row],[Item A]],Katalog!$B$3:$B$12,0))*cadangan3[[#This Row],[Qty A]],0)</f>
        <v>200000</v>
      </c>
      <c r="J441" s="36">
        <f>IFERROR(cadangan3[[#This Row],[Harga Asli A]]-(cadangan3[[#This Row],[Harga Asli A]]*cadangan3[[#This Row],[Diskon]]),cadangan3[[#This Row],[Harga Asli A]])</f>
        <v>180000</v>
      </c>
      <c r="K441" s="36">
        <f>INDEX(Katalog!$F$3:$F$12,MATCH(cadangan3[[#This Row],[ItemID A]],Katalog!$C$3:$C$12,0))*cadangan3[[#This Row],[Qty A]]</f>
        <v>80000</v>
      </c>
      <c r="L441" s="36">
        <f>IFERROR(cadangan3[[#This Row],[Profit A]]-(cadangan3[[#This Row],[Profit A]]*cadangan3[[#This Row],[Diskon]]),K441)</f>
        <v>72000</v>
      </c>
      <c r="M441" t="s">
        <v>66</v>
      </c>
      <c r="N441" t="str">
        <f>IFERROR(INDEX(Katalog!$A$3:$A$12,MATCH(cadangan3[[#This Row],[ItemID B]],Katalog!$C$3:$C$12,0)),"-")</f>
        <v>Sepatu Pria</v>
      </c>
      <c r="O441" t="str">
        <f>IFERROR(INDEX(Katalog!$B$3:$B$12,MATCH(cadangan3[[#This Row],[ItemID B]],Katalog!$C$3:$C$12,0)),"-")</f>
        <v>Sandal Slip On</v>
      </c>
      <c r="P441">
        <v>1</v>
      </c>
      <c r="Q441">
        <v>5</v>
      </c>
      <c r="R441" s="36">
        <f>IFERROR(INDEX(Katalog!$D$3:$D$12,MATCH(cadangan3[[#This Row],[ItemID B]],Katalog!$C$3:$C$12,0))*cadangan3[[#This Row],[Qty B]],0)</f>
        <v>150000</v>
      </c>
      <c r="S441" s="36">
        <f>IFERROR(INDEX(Katalog!$D$3:$D$12,MATCH(cadangan3[[#This Row],[Item B]],Katalog!$B$3:$B$12,0))*cadangan3[[#This Row],[Qty B]],0)</f>
        <v>150000</v>
      </c>
      <c r="T441" s="36">
        <f>IFERROR(cadangan3[[#This Row],[Harga Asli B]]-(cadangan3[[#This Row],[Harga Asli B]]*cadangan3[[#This Row],[Diskon]]),cadangan3[[#This Row],[Harga Asli B]])</f>
        <v>135000</v>
      </c>
      <c r="U441" s="36">
        <f>IFERROR(INDEX(Katalog!$F$3:$F$12,MATCH(cadangan3[[#This Row],[ItemID B]],Katalog!$C$3:$C$12,0))*cadangan3[[#This Row],[Qty B]],0)</f>
        <v>60000</v>
      </c>
      <c r="V441" s="36">
        <f>IFERROR(cadangan3[[#This Row],[Profit B]]-(cadangan3[[#This Row],[Profit B]]*cadangan3[[#This Row],[Diskon]]),U441)</f>
        <v>54000</v>
      </c>
      <c r="X441" t="str">
        <f>IFERROR(INDEX(Katalog!$A$3:$A$12,MATCH(cadangan3[[#This Row],[ItemID C]],Katalog!$C$3:$C$12,0)),"-")</f>
        <v>-</v>
      </c>
      <c r="Y441" t="str">
        <f>IFERROR(INDEX(Katalog!$B$3:$B$12,MATCH(cadangan3[[#This Row],[ItemID C]],Katalog!$C$3:$C$12,0)),"-")</f>
        <v>-</v>
      </c>
      <c r="AB441" s="36">
        <f>IFERROR(INDEX(Katalog!$D$3:$D$12,MATCH(cadangan3[[#This Row],[ItemID C]],Katalog!$C$3:$C$12,0))*cadangan3[[#This Row],[Qty C]],0)</f>
        <v>0</v>
      </c>
      <c r="AC441" s="36">
        <f>IFERROR(INDEX(Katalog!$D$3:$D$12,MATCH(cadangan3[[#This Row],[Item C]],Katalog!$B$3:$B$12,0))*cadangan3[[#This Row],[Qty C]],0)</f>
        <v>0</v>
      </c>
      <c r="AD441" s="36">
        <f>IFERROR(cadangan3[[#This Row],[Harga Asli C]]-(cadangan3[[#This Row],[Harga Asli C]]*cadangan3[[#This Row],[Diskon]]),cadangan3[[#This Row],[Harga Asli C]])</f>
        <v>0</v>
      </c>
      <c r="AE441" s="36">
        <f>IFERROR(INDEX(Katalog!$F$3:$F$12,MATCH(cadangan3[[#This Row],[ItemID C]],Katalog!$C$3:$C$12,0))*cadangan3[[#This Row],[Qty C]],0)</f>
        <v>0</v>
      </c>
      <c r="AF441" s="36">
        <f>IFERROR(cadangan3[[#This Row],[Profit C]]-(cadangan3[[#This Row],[Profit C]]*cadangan3[[#This Row],[Diskon]]),cadangan3[[#This Row],[Profit C]])</f>
        <v>0</v>
      </c>
      <c r="AG441" s="21">
        <f>cadangan3[[#This Row],[Qty A]]+cadangan3[[#This Row],[Qty B]]+cadangan3[[#This Row],[Qty C]]</f>
        <v>2</v>
      </c>
      <c r="AH441" s="35">
        <f>cadangan3[[#This Row],[Harga A + Diskon]]+cadangan3[[#This Row],[Harga + Diskon B]]+cadangan3[[#This Row],[Harga + Diskon C]]</f>
        <v>315000</v>
      </c>
      <c r="AI441" s="35">
        <f>(cadangan3[[#This Row],[Profit A]]+cadangan3[[#This Row],[Profit B]]+cadangan3[[#This Row],[Profit C]])</f>
        <v>140000</v>
      </c>
      <c r="AJ441" s="35">
        <f>cadangan3[[#This Row],[Provit A + Diskon]]+cadangan3[[#This Row],[Provit B + Diskon]]+cadangan3[[#This Row],[Provit C + Diskon]]</f>
        <v>126000</v>
      </c>
      <c r="AK441" s="23" t="s">
        <v>31</v>
      </c>
      <c r="AL441" s="37">
        <f>IFERROR(INDEX('Kode Diskon'!$D$3:$D$9,MATCH(cadangan3[[#This Row],[Kode diskon]],'Kode Diskon'!$C$3:$C$9,0)),"-")</f>
        <v>0.1</v>
      </c>
      <c r="AM441" s="23" t="s">
        <v>9</v>
      </c>
      <c r="AN441" s="23" t="s">
        <v>10</v>
      </c>
      <c r="AO441" s="23" t="s">
        <v>80</v>
      </c>
      <c r="AP441" s="24">
        <v>45035</v>
      </c>
      <c r="AQ441" s="23" t="str">
        <f>TEXT(cadangan3[[#This Row],[Tanggal terjual]],"dddd")</f>
        <v>Wednesday</v>
      </c>
    </row>
    <row r="442" spans="1:43" x14ac:dyDescent="0.2">
      <c r="A442" s="20">
        <v>441</v>
      </c>
      <c r="B442" s="21" t="str">
        <f>_xlfn.CONCAT("ORD-",INDEX(Helper!$B$2:$B$5,MATCH(cadangan3[[#This Row],[Marketplace]],Helper!$A$2:$A$5,0)),TEXT(cadangan3[[#This Row],[No]],"0000"),"-",TEXT(cadangan3[[#This Row],[Tanggal terjual]],"dd/mm/yy"))</f>
        <v>ORD-TK0441-09/04/23</v>
      </c>
      <c r="C442" t="s">
        <v>58</v>
      </c>
      <c r="D442" t="str">
        <f>IFERROR(INDEX(Katalog!$A$3:$A$12,MATCH(cadangan3[[#This Row],[ItemID A]],Katalog!$C$3:$C$12,0)),"-")</f>
        <v>Pakaian Wanita</v>
      </c>
      <c r="E442" t="str">
        <f>IFERROR(INDEX(Katalog!$B$3:$B$12,MATCH(cadangan3[[#This Row],[ItemID A]],Katalog!$C$3:$C$12,0)),"-")</f>
        <v>Dress</v>
      </c>
      <c r="F442">
        <v>1</v>
      </c>
      <c r="G442">
        <v>4</v>
      </c>
      <c r="H442" s="36">
        <f>IFERROR(INDEX(Katalog!$D$3:$D$12,MATCH(cadangan3[[#This Row],[ItemID A]],Katalog!$C$3:$C$12,0))*cadangan3[[#This Row],[Qty A]],0)</f>
        <v>300000</v>
      </c>
      <c r="I442" s="36">
        <f>IFERROR(INDEX(Katalog!$D$3:$D$12,MATCH(cadangan3[[#This Row],[Item A]],Katalog!$B$3:$B$12,0))*cadangan3[[#This Row],[Qty A]],0)</f>
        <v>300000</v>
      </c>
      <c r="J442" s="36">
        <f>IFERROR(cadangan3[[#This Row],[Harga Asli A]]-(cadangan3[[#This Row],[Harga Asli A]]*cadangan3[[#This Row],[Diskon]]),cadangan3[[#This Row],[Harga Asli A]])</f>
        <v>300000</v>
      </c>
      <c r="K442" s="36">
        <f>INDEX(Katalog!$F$3:$F$12,MATCH(cadangan3[[#This Row],[ItemID A]],Katalog!$C$3:$C$12,0))*cadangan3[[#This Row],[Qty A]]</f>
        <v>100000</v>
      </c>
      <c r="L442" s="36">
        <f>IFERROR(cadangan3[[#This Row],[Profit A]]-(cadangan3[[#This Row],[Profit A]]*cadangan3[[#This Row],[Diskon]]),K442)</f>
        <v>100000</v>
      </c>
      <c r="M442" t="s">
        <v>63</v>
      </c>
      <c r="N442" t="str">
        <f>IFERROR(INDEX(Katalog!$A$3:$A$12,MATCH(cadangan3[[#This Row],[ItemID B]],Katalog!$C$3:$C$12,0)),"-")</f>
        <v>Pakaian Pria</v>
      </c>
      <c r="O442" t="str">
        <f>IFERROR(INDEX(Katalog!$B$3:$B$12,MATCH(cadangan3[[#This Row],[ItemID B]],Katalog!$C$3:$C$12,0)),"-")</f>
        <v>Jaket Jeans</v>
      </c>
      <c r="P442">
        <v>1</v>
      </c>
      <c r="Q442">
        <v>4</v>
      </c>
      <c r="R442" s="36">
        <f>IFERROR(INDEX(Katalog!$D$3:$D$12,MATCH(cadangan3[[#This Row],[ItemID B]],Katalog!$C$3:$C$12,0))*cadangan3[[#This Row],[Qty B]],0)</f>
        <v>400000</v>
      </c>
      <c r="S442" s="36">
        <f>IFERROR(INDEX(Katalog!$D$3:$D$12,MATCH(cadangan3[[#This Row],[Item B]],Katalog!$B$3:$B$12,0))*cadangan3[[#This Row],[Qty B]],0)</f>
        <v>400000</v>
      </c>
      <c r="T442" s="36">
        <f>IFERROR(cadangan3[[#This Row],[Harga Asli B]]-(cadangan3[[#This Row],[Harga Asli B]]*cadangan3[[#This Row],[Diskon]]),cadangan3[[#This Row],[Harga Asli B]])</f>
        <v>400000</v>
      </c>
      <c r="U442" s="36">
        <f>IFERROR(INDEX(Katalog!$F$3:$F$12,MATCH(cadangan3[[#This Row],[ItemID B]],Katalog!$C$3:$C$12,0))*cadangan3[[#This Row],[Qty B]],0)</f>
        <v>150000</v>
      </c>
      <c r="V442" s="36">
        <f>IFERROR(cadangan3[[#This Row],[Profit B]]-(cadangan3[[#This Row],[Profit B]]*cadangan3[[#This Row],[Diskon]]),U442)</f>
        <v>150000</v>
      </c>
      <c r="X442" t="str">
        <f>IFERROR(INDEX(Katalog!$A$3:$A$12,MATCH(cadangan3[[#This Row],[ItemID C]],Katalog!$C$3:$C$12,0)),"-")</f>
        <v>-</v>
      </c>
      <c r="Y442" t="str">
        <f>IFERROR(INDEX(Katalog!$B$3:$B$12,MATCH(cadangan3[[#This Row],[ItemID C]],Katalog!$C$3:$C$12,0)),"-")</f>
        <v>-</v>
      </c>
      <c r="AB442" s="36">
        <f>IFERROR(INDEX(Katalog!$D$3:$D$12,MATCH(cadangan3[[#This Row],[ItemID C]],Katalog!$C$3:$C$12,0))*cadangan3[[#This Row],[Qty C]],0)</f>
        <v>0</v>
      </c>
      <c r="AC442" s="36">
        <f>IFERROR(INDEX(Katalog!$D$3:$D$12,MATCH(cadangan3[[#This Row],[Item C]],Katalog!$B$3:$B$12,0))*cadangan3[[#This Row],[Qty C]],0)</f>
        <v>0</v>
      </c>
      <c r="AD442" s="36">
        <f>IFERROR(cadangan3[[#This Row],[Harga Asli C]]-(cadangan3[[#This Row],[Harga Asli C]]*cadangan3[[#This Row],[Diskon]]),cadangan3[[#This Row],[Harga Asli C]])</f>
        <v>0</v>
      </c>
      <c r="AE442" s="36">
        <f>IFERROR(INDEX(Katalog!$F$3:$F$12,MATCH(cadangan3[[#This Row],[ItemID C]],Katalog!$C$3:$C$12,0))*cadangan3[[#This Row],[Qty C]],0)</f>
        <v>0</v>
      </c>
      <c r="AF442" s="36">
        <f>IFERROR(cadangan3[[#This Row],[Profit C]]-(cadangan3[[#This Row],[Profit C]]*cadangan3[[#This Row],[Diskon]]),cadangan3[[#This Row],[Profit C]])</f>
        <v>0</v>
      </c>
      <c r="AG442" s="21">
        <f>cadangan3[[#This Row],[Qty A]]+cadangan3[[#This Row],[Qty B]]+cadangan3[[#This Row],[Qty C]]</f>
        <v>2</v>
      </c>
      <c r="AH442" s="35">
        <f>cadangan3[[#This Row],[Harga A + Diskon]]+cadangan3[[#This Row],[Harga + Diskon B]]+cadangan3[[#This Row],[Harga + Diskon C]]</f>
        <v>700000</v>
      </c>
      <c r="AI442" s="35">
        <f>(cadangan3[[#This Row],[Profit A]]+cadangan3[[#This Row],[Profit B]]+cadangan3[[#This Row],[Profit C]])</f>
        <v>250000</v>
      </c>
      <c r="AJ442" s="35">
        <f>cadangan3[[#This Row],[Provit A + Diskon]]+cadangan3[[#This Row],[Provit B + Diskon]]+cadangan3[[#This Row],[Provit C + Diskon]]</f>
        <v>250000</v>
      </c>
      <c r="AK442" s="23" t="s">
        <v>11</v>
      </c>
      <c r="AL442" s="37" t="str">
        <f>IFERROR(INDEX('Kode Diskon'!$D$3:$D$9,MATCH(cadangan3[[#This Row],[Kode diskon]],'Kode Diskon'!$C$3:$C$9,0)),"-")</f>
        <v>-</v>
      </c>
      <c r="AM442" s="23" t="s">
        <v>11</v>
      </c>
      <c r="AN442" s="23" t="s">
        <v>10</v>
      </c>
      <c r="AO442" s="23" t="s">
        <v>80</v>
      </c>
      <c r="AP442" s="24">
        <v>45025</v>
      </c>
      <c r="AQ442" s="23" t="str">
        <f>TEXT(cadangan3[[#This Row],[Tanggal terjual]],"dddd")</f>
        <v>Sunday</v>
      </c>
    </row>
    <row r="443" spans="1:43" x14ac:dyDescent="0.2">
      <c r="A443" s="20">
        <v>442</v>
      </c>
      <c r="B443" s="21" t="str">
        <f>_xlfn.CONCAT("ORD-",INDEX(Helper!$B$2:$B$5,MATCH(cadangan3[[#This Row],[Marketplace]],Helper!$A$2:$A$5,0)),TEXT(cadangan3[[#This Row],[No]],"0000"),"-",TEXT(cadangan3[[#This Row],[Tanggal terjual]],"dd/mm/yy"))</f>
        <v>ORD-SP0442-28/04/23</v>
      </c>
      <c r="C443" t="s">
        <v>62</v>
      </c>
      <c r="D443" t="str">
        <f>IFERROR(INDEX(Katalog!$A$3:$A$12,MATCH(cadangan3[[#This Row],[ItemID A]],Katalog!$C$3:$C$12,0)),"-")</f>
        <v>Pakaian Pria</v>
      </c>
      <c r="E443" t="str">
        <f>IFERROR(INDEX(Katalog!$B$3:$B$12,MATCH(cadangan3[[#This Row],[ItemID A]],Katalog!$C$3:$C$12,0)),"-")</f>
        <v>Celana Pendek</v>
      </c>
      <c r="F443">
        <v>1</v>
      </c>
      <c r="G443">
        <v>3</v>
      </c>
      <c r="H443" s="36">
        <f>IFERROR(INDEX(Katalog!$D$3:$D$12,MATCH(cadangan3[[#This Row],[ItemID A]],Katalog!$C$3:$C$12,0))*cadangan3[[#This Row],[Qty A]],0)</f>
        <v>180000</v>
      </c>
      <c r="I443" s="36">
        <f>IFERROR(INDEX(Katalog!$D$3:$D$12,MATCH(cadangan3[[#This Row],[Item A]],Katalog!$B$3:$B$12,0))*cadangan3[[#This Row],[Qty A]],0)</f>
        <v>180000</v>
      </c>
      <c r="J443" s="36">
        <f>IFERROR(cadangan3[[#This Row],[Harga Asli A]]-(cadangan3[[#This Row],[Harga Asli A]]*cadangan3[[#This Row],[Diskon]]),cadangan3[[#This Row],[Harga Asli A]])</f>
        <v>144000</v>
      </c>
      <c r="K443" s="36">
        <f>INDEX(Katalog!$F$3:$F$12,MATCH(cadangan3[[#This Row],[ItemID A]],Katalog!$C$3:$C$12,0))*cadangan3[[#This Row],[Qty A]]</f>
        <v>70000</v>
      </c>
      <c r="L443" s="36">
        <f>IFERROR(cadangan3[[#This Row],[Profit A]]-(cadangan3[[#This Row],[Profit A]]*cadangan3[[#This Row],[Diskon]]),K443)</f>
        <v>56000</v>
      </c>
      <c r="N443" t="str">
        <f>IFERROR(INDEX(Katalog!$A$3:$A$12,MATCH(cadangan3[[#This Row],[ItemID B]],Katalog!$C$3:$C$12,0)),"-")</f>
        <v>-</v>
      </c>
      <c r="O443" t="str">
        <f>IFERROR(INDEX(Katalog!$B$3:$B$12,MATCH(cadangan3[[#This Row],[ItemID B]],Katalog!$C$3:$C$12,0)),"-")</f>
        <v>-</v>
      </c>
      <c r="R443" s="36">
        <f>IFERROR(INDEX(Katalog!$D$3:$D$12,MATCH(cadangan3[[#This Row],[ItemID B]],Katalog!$C$3:$C$12,0))*cadangan3[[#This Row],[Qty B]],0)</f>
        <v>0</v>
      </c>
      <c r="S443" s="36">
        <f>IFERROR(INDEX(Katalog!$D$3:$D$12,MATCH(cadangan3[[#This Row],[Item B]],Katalog!$B$3:$B$12,0))*cadangan3[[#This Row],[Qty B]],0)</f>
        <v>0</v>
      </c>
      <c r="T443" s="36">
        <f>IFERROR(cadangan3[[#This Row],[Harga Asli B]]-(cadangan3[[#This Row],[Harga Asli B]]*cadangan3[[#This Row],[Diskon]]),cadangan3[[#This Row],[Harga Asli B]])</f>
        <v>0</v>
      </c>
      <c r="U443" s="36">
        <f>IFERROR(INDEX(Katalog!$F$3:$F$12,MATCH(cadangan3[[#This Row],[ItemID B]],Katalog!$C$3:$C$12,0))*cadangan3[[#This Row],[Qty B]],0)</f>
        <v>0</v>
      </c>
      <c r="V443" s="36">
        <f>IFERROR(cadangan3[[#This Row],[Profit B]]-(cadangan3[[#This Row],[Profit B]]*cadangan3[[#This Row],[Diskon]]),U443)</f>
        <v>0</v>
      </c>
      <c r="X443" t="str">
        <f>IFERROR(INDEX(Katalog!$A$3:$A$12,MATCH(cadangan3[[#This Row],[ItemID C]],Katalog!$C$3:$C$12,0)),"-")</f>
        <v>-</v>
      </c>
      <c r="Y443" t="str">
        <f>IFERROR(INDEX(Katalog!$B$3:$B$12,MATCH(cadangan3[[#This Row],[ItemID C]],Katalog!$C$3:$C$12,0)),"-")</f>
        <v>-</v>
      </c>
      <c r="AB443" s="36">
        <f>IFERROR(INDEX(Katalog!$D$3:$D$12,MATCH(cadangan3[[#This Row],[ItemID C]],Katalog!$C$3:$C$12,0))*cadangan3[[#This Row],[Qty C]],0)</f>
        <v>0</v>
      </c>
      <c r="AC443" s="36">
        <f>IFERROR(INDEX(Katalog!$D$3:$D$12,MATCH(cadangan3[[#This Row],[Item C]],Katalog!$B$3:$B$12,0))*cadangan3[[#This Row],[Qty C]],0)</f>
        <v>0</v>
      </c>
      <c r="AD443" s="36">
        <f>IFERROR(cadangan3[[#This Row],[Harga Asli C]]-(cadangan3[[#This Row],[Harga Asli C]]*cadangan3[[#This Row],[Diskon]]),cadangan3[[#This Row],[Harga Asli C]])</f>
        <v>0</v>
      </c>
      <c r="AE443" s="36">
        <f>IFERROR(INDEX(Katalog!$F$3:$F$12,MATCH(cadangan3[[#This Row],[ItemID C]],Katalog!$C$3:$C$12,0))*cadangan3[[#This Row],[Qty C]],0)</f>
        <v>0</v>
      </c>
      <c r="AF443" s="36">
        <f>IFERROR(cadangan3[[#This Row],[Profit C]]-(cadangan3[[#This Row],[Profit C]]*cadangan3[[#This Row],[Diskon]]),cadangan3[[#This Row],[Profit C]])</f>
        <v>0</v>
      </c>
      <c r="AG443" s="21">
        <f>cadangan3[[#This Row],[Qty A]]+cadangan3[[#This Row],[Qty B]]+cadangan3[[#This Row],[Qty C]]</f>
        <v>1</v>
      </c>
      <c r="AH443" s="35">
        <f>cadangan3[[#This Row],[Harga A + Diskon]]+cadangan3[[#This Row],[Harga + Diskon B]]+cadangan3[[#This Row],[Harga + Diskon C]]</f>
        <v>144000</v>
      </c>
      <c r="AI443" s="35">
        <f>(cadangan3[[#This Row],[Profit A]]+cadangan3[[#This Row],[Profit B]]+cadangan3[[#This Row],[Profit C]])</f>
        <v>70000</v>
      </c>
      <c r="AJ443" s="35">
        <f>cadangan3[[#This Row],[Provit A + Diskon]]+cadangan3[[#This Row],[Provit B + Diskon]]+cadangan3[[#This Row],[Provit C + Diskon]]</f>
        <v>56000</v>
      </c>
      <c r="AK443" s="23" t="s">
        <v>8</v>
      </c>
      <c r="AL443" s="37">
        <f>IFERROR(INDEX('Kode Diskon'!$D$3:$D$9,MATCH(cadangan3[[#This Row],[Kode diskon]],'Kode Diskon'!$C$3:$C$9,0)),"-")</f>
        <v>0.2</v>
      </c>
      <c r="AM443" s="23" t="s">
        <v>9</v>
      </c>
      <c r="AN443" s="23" t="s">
        <v>7</v>
      </c>
      <c r="AO443" s="23" t="s">
        <v>75</v>
      </c>
      <c r="AP443" s="24">
        <v>45044</v>
      </c>
      <c r="AQ443" s="23" t="str">
        <f>TEXT(cadangan3[[#This Row],[Tanggal terjual]],"dddd")</f>
        <v>Friday</v>
      </c>
    </row>
    <row r="444" spans="1:43" x14ac:dyDescent="0.2">
      <c r="A444" s="20">
        <v>443</v>
      </c>
      <c r="B444" s="21" t="str">
        <f>_xlfn.CONCAT("ORD-",INDEX(Helper!$B$2:$B$5,MATCH(cadangan3[[#This Row],[Marketplace]],Helper!$A$2:$A$5,0)),TEXT(cadangan3[[#This Row],[No]],"0000"),"-",TEXT(cadangan3[[#This Row],[Tanggal terjual]],"dd/mm/yy"))</f>
        <v>ORD-BB0443-02/04/23</v>
      </c>
      <c r="C444" t="s">
        <v>66</v>
      </c>
      <c r="D444" t="str">
        <f>IFERROR(INDEX(Katalog!$A$3:$A$12,MATCH(cadangan3[[#This Row],[ItemID A]],Katalog!$C$3:$C$12,0)),"-")</f>
        <v>Sepatu Pria</v>
      </c>
      <c r="E444" t="str">
        <f>IFERROR(INDEX(Katalog!$B$3:$B$12,MATCH(cadangan3[[#This Row],[ItemID A]],Katalog!$C$3:$C$12,0)),"-")</f>
        <v>Sandal Slip On</v>
      </c>
      <c r="F444">
        <v>5</v>
      </c>
      <c r="G444">
        <v>5</v>
      </c>
      <c r="H444" s="36">
        <f>IFERROR(INDEX(Katalog!$D$3:$D$12,MATCH(cadangan3[[#This Row],[ItemID A]],Katalog!$C$3:$C$12,0))*cadangan3[[#This Row],[Qty A]],0)</f>
        <v>750000</v>
      </c>
      <c r="I444" s="36">
        <f>IFERROR(INDEX(Katalog!$D$3:$D$12,MATCH(cadangan3[[#This Row],[Item A]],Katalog!$B$3:$B$12,0))*cadangan3[[#This Row],[Qty A]],0)</f>
        <v>750000</v>
      </c>
      <c r="J444" s="36">
        <f>IFERROR(cadangan3[[#This Row],[Harga Asli A]]-(cadangan3[[#This Row],[Harga Asli A]]*cadangan3[[#This Row],[Diskon]]),cadangan3[[#This Row],[Harga Asli A]])</f>
        <v>637500</v>
      </c>
      <c r="K444" s="36">
        <f>INDEX(Katalog!$F$3:$F$12,MATCH(cadangan3[[#This Row],[ItemID A]],Katalog!$C$3:$C$12,0))*cadangan3[[#This Row],[Qty A]]</f>
        <v>300000</v>
      </c>
      <c r="L444" s="36">
        <f>IFERROR(cadangan3[[#This Row],[Profit A]]-(cadangan3[[#This Row],[Profit A]]*cadangan3[[#This Row],[Diskon]]),K444)</f>
        <v>255000</v>
      </c>
      <c r="N444" t="str">
        <f>IFERROR(INDEX(Katalog!$A$3:$A$12,MATCH(cadangan3[[#This Row],[ItemID B]],Katalog!$C$3:$C$12,0)),"-")</f>
        <v>-</v>
      </c>
      <c r="O444" t="str">
        <f>IFERROR(INDEX(Katalog!$B$3:$B$12,MATCH(cadangan3[[#This Row],[ItemID B]],Katalog!$C$3:$C$12,0)),"-")</f>
        <v>-</v>
      </c>
      <c r="R444" s="36">
        <f>IFERROR(INDEX(Katalog!$D$3:$D$12,MATCH(cadangan3[[#This Row],[ItemID B]],Katalog!$C$3:$C$12,0))*cadangan3[[#This Row],[Qty B]],0)</f>
        <v>0</v>
      </c>
      <c r="S444" s="36">
        <f>IFERROR(INDEX(Katalog!$D$3:$D$12,MATCH(cadangan3[[#This Row],[Item B]],Katalog!$B$3:$B$12,0))*cadangan3[[#This Row],[Qty B]],0)</f>
        <v>0</v>
      </c>
      <c r="T444" s="36">
        <f>IFERROR(cadangan3[[#This Row],[Harga Asli B]]-(cadangan3[[#This Row],[Harga Asli B]]*cadangan3[[#This Row],[Diskon]]),cadangan3[[#This Row],[Harga Asli B]])</f>
        <v>0</v>
      </c>
      <c r="U444" s="36">
        <f>IFERROR(INDEX(Katalog!$F$3:$F$12,MATCH(cadangan3[[#This Row],[ItemID B]],Katalog!$C$3:$C$12,0))*cadangan3[[#This Row],[Qty B]],0)</f>
        <v>0</v>
      </c>
      <c r="V444" s="36">
        <f>IFERROR(cadangan3[[#This Row],[Profit B]]-(cadangan3[[#This Row],[Profit B]]*cadangan3[[#This Row],[Diskon]]),U444)</f>
        <v>0</v>
      </c>
      <c r="X444" t="str">
        <f>IFERROR(INDEX(Katalog!$A$3:$A$12,MATCH(cadangan3[[#This Row],[ItemID C]],Katalog!$C$3:$C$12,0)),"-")</f>
        <v>-</v>
      </c>
      <c r="Y444" t="str">
        <f>IFERROR(INDEX(Katalog!$B$3:$B$12,MATCH(cadangan3[[#This Row],[ItemID C]],Katalog!$C$3:$C$12,0)),"-")</f>
        <v>-</v>
      </c>
      <c r="AB444" s="36">
        <f>IFERROR(INDEX(Katalog!$D$3:$D$12,MATCH(cadangan3[[#This Row],[ItemID C]],Katalog!$C$3:$C$12,0))*cadangan3[[#This Row],[Qty C]],0)</f>
        <v>0</v>
      </c>
      <c r="AC444" s="36">
        <f>IFERROR(INDEX(Katalog!$D$3:$D$12,MATCH(cadangan3[[#This Row],[Item C]],Katalog!$B$3:$B$12,0))*cadangan3[[#This Row],[Qty C]],0)</f>
        <v>0</v>
      </c>
      <c r="AD444" s="36">
        <f>IFERROR(cadangan3[[#This Row],[Harga Asli C]]-(cadangan3[[#This Row],[Harga Asli C]]*cadangan3[[#This Row],[Diskon]]),cadangan3[[#This Row],[Harga Asli C]])</f>
        <v>0</v>
      </c>
      <c r="AE444" s="36">
        <f>IFERROR(INDEX(Katalog!$F$3:$F$12,MATCH(cadangan3[[#This Row],[ItemID C]],Katalog!$C$3:$C$12,0))*cadangan3[[#This Row],[Qty C]],0)</f>
        <v>0</v>
      </c>
      <c r="AF444" s="36">
        <f>IFERROR(cadangan3[[#This Row],[Profit C]]-(cadangan3[[#This Row],[Profit C]]*cadangan3[[#This Row],[Diskon]]),cadangan3[[#This Row],[Profit C]])</f>
        <v>0</v>
      </c>
      <c r="AG444" s="21">
        <f>cadangan3[[#This Row],[Qty A]]+cadangan3[[#This Row],[Qty B]]+cadangan3[[#This Row],[Qty C]]</f>
        <v>5</v>
      </c>
      <c r="AH444" s="35">
        <f>cadangan3[[#This Row],[Harga A + Diskon]]+cadangan3[[#This Row],[Harga + Diskon B]]+cadangan3[[#This Row],[Harga + Diskon C]]</f>
        <v>637500</v>
      </c>
      <c r="AI444" s="35">
        <f>(cadangan3[[#This Row],[Profit A]]+cadangan3[[#This Row],[Profit B]]+cadangan3[[#This Row],[Profit C]])</f>
        <v>300000</v>
      </c>
      <c r="AJ444" s="35">
        <f>cadangan3[[#This Row],[Provit A + Diskon]]+cadangan3[[#This Row],[Provit B + Diskon]]+cadangan3[[#This Row],[Provit C + Diskon]]</f>
        <v>255000</v>
      </c>
      <c r="AK444" s="23" t="s">
        <v>28</v>
      </c>
      <c r="AL444" s="37">
        <f>IFERROR(INDEX('Kode Diskon'!$D$3:$D$9,MATCH(cadangan3[[#This Row],[Kode diskon]],'Kode Diskon'!$C$3:$C$9,0)),"-")</f>
        <v>0.15</v>
      </c>
      <c r="AM444" s="23" t="s">
        <v>29</v>
      </c>
      <c r="AN444" s="23" t="s">
        <v>14</v>
      </c>
      <c r="AO444" s="23" t="s">
        <v>80</v>
      </c>
      <c r="AP444" s="24">
        <v>45018</v>
      </c>
      <c r="AQ444" s="23" t="str">
        <f>TEXT(cadangan3[[#This Row],[Tanggal terjual]],"dddd")</f>
        <v>Sunday</v>
      </c>
    </row>
    <row r="445" spans="1:43" x14ac:dyDescent="0.2">
      <c r="A445" s="20">
        <v>444</v>
      </c>
      <c r="B445" s="21" t="str">
        <f>_xlfn.CONCAT("ORD-",INDEX(Helper!$B$2:$B$5,MATCH(cadangan3[[#This Row],[Marketplace]],Helper!$A$2:$A$5,0)),TEXT(cadangan3[[#This Row],[No]],"0000"),"-",TEXT(cadangan3[[#This Row],[Tanggal terjual]],"dd/mm/yy"))</f>
        <v>ORD-TK0444-09/04/23</v>
      </c>
      <c r="C445" t="s">
        <v>65</v>
      </c>
      <c r="D445" t="str">
        <f>IFERROR(INDEX(Katalog!$A$3:$A$12,MATCH(cadangan3[[#This Row],[ItemID A]],Katalog!$C$3:$C$12,0)),"-")</f>
        <v>Sepatu Pria</v>
      </c>
      <c r="E445" t="str">
        <f>IFERROR(INDEX(Katalog!$B$3:$B$12,MATCH(cadangan3[[#This Row],[ItemID A]],Katalog!$C$3:$C$12,0)),"-")</f>
        <v>Sneakers</v>
      </c>
      <c r="F445">
        <v>1</v>
      </c>
      <c r="G445">
        <v>4</v>
      </c>
      <c r="H445" s="36">
        <f>IFERROR(INDEX(Katalog!$D$3:$D$12,MATCH(cadangan3[[#This Row],[ItemID A]],Katalog!$C$3:$C$12,0))*cadangan3[[#This Row],[Qty A]],0)</f>
        <v>500000</v>
      </c>
      <c r="I445" s="36">
        <f>IFERROR(INDEX(Katalog!$D$3:$D$12,MATCH(cadangan3[[#This Row],[Item A]],Katalog!$B$3:$B$12,0))*cadangan3[[#This Row],[Qty A]],0)</f>
        <v>500000</v>
      </c>
      <c r="J445" s="36">
        <f>IFERROR(cadangan3[[#This Row],[Harga Asli A]]-(cadangan3[[#This Row],[Harga Asli A]]*cadangan3[[#This Row],[Diskon]]),cadangan3[[#This Row],[Harga Asli A]])</f>
        <v>500000</v>
      </c>
      <c r="K445" s="36">
        <f>INDEX(Katalog!$F$3:$F$12,MATCH(cadangan3[[#This Row],[ItemID A]],Katalog!$C$3:$C$12,0))*cadangan3[[#This Row],[Qty A]]</f>
        <v>200000</v>
      </c>
      <c r="L445" s="36">
        <f>IFERROR(cadangan3[[#This Row],[Profit A]]-(cadangan3[[#This Row],[Profit A]]*cadangan3[[#This Row],[Diskon]]),K445)</f>
        <v>200000</v>
      </c>
      <c r="M445" t="s">
        <v>58</v>
      </c>
      <c r="N445" t="str">
        <f>IFERROR(INDEX(Katalog!$A$3:$A$12,MATCH(cadangan3[[#This Row],[ItemID B]],Katalog!$C$3:$C$12,0)),"-")</f>
        <v>Pakaian Wanita</v>
      </c>
      <c r="O445" t="str">
        <f>IFERROR(INDEX(Katalog!$B$3:$B$12,MATCH(cadangan3[[#This Row],[ItemID B]],Katalog!$C$3:$C$12,0)),"-")</f>
        <v>Dress</v>
      </c>
      <c r="P445">
        <v>1</v>
      </c>
      <c r="Q445">
        <v>1</v>
      </c>
      <c r="R445" s="36">
        <f>IFERROR(INDEX(Katalog!$D$3:$D$12,MATCH(cadangan3[[#This Row],[ItemID B]],Katalog!$C$3:$C$12,0))*cadangan3[[#This Row],[Qty B]],0)</f>
        <v>300000</v>
      </c>
      <c r="S445" s="36">
        <f>IFERROR(INDEX(Katalog!$D$3:$D$12,MATCH(cadangan3[[#This Row],[Item B]],Katalog!$B$3:$B$12,0))*cadangan3[[#This Row],[Qty B]],0)</f>
        <v>300000</v>
      </c>
      <c r="T445" s="36">
        <f>IFERROR(cadangan3[[#This Row],[Harga Asli B]]-(cadangan3[[#This Row],[Harga Asli B]]*cadangan3[[#This Row],[Diskon]]),cadangan3[[#This Row],[Harga Asli B]])</f>
        <v>300000</v>
      </c>
      <c r="U445" s="36">
        <f>IFERROR(INDEX(Katalog!$F$3:$F$12,MATCH(cadangan3[[#This Row],[ItemID B]],Katalog!$C$3:$C$12,0))*cadangan3[[#This Row],[Qty B]],0)</f>
        <v>100000</v>
      </c>
      <c r="V445" s="36">
        <f>IFERROR(cadangan3[[#This Row],[Profit B]]-(cadangan3[[#This Row],[Profit B]]*cadangan3[[#This Row],[Diskon]]),U445)</f>
        <v>100000</v>
      </c>
      <c r="X445" t="str">
        <f>IFERROR(INDEX(Katalog!$A$3:$A$12,MATCH(cadangan3[[#This Row],[ItemID C]],Katalog!$C$3:$C$12,0)),"-")</f>
        <v>-</v>
      </c>
      <c r="Y445" t="str">
        <f>IFERROR(INDEX(Katalog!$B$3:$B$12,MATCH(cadangan3[[#This Row],[ItemID C]],Katalog!$C$3:$C$12,0)),"-")</f>
        <v>-</v>
      </c>
      <c r="AB445" s="36">
        <f>IFERROR(INDEX(Katalog!$D$3:$D$12,MATCH(cadangan3[[#This Row],[ItemID C]],Katalog!$C$3:$C$12,0))*cadangan3[[#This Row],[Qty C]],0)</f>
        <v>0</v>
      </c>
      <c r="AC445" s="36">
        <f>IFERROR(INDEX(Katalog!$D$3:$D$12,MATCH(cadangan3[[#This Row],[Item C]],Katalog!$B$3:$B$12,0))*cadangan3[[#This Row],[Qty C]],0)</f>
        <v>0</v>
      </c>
      <c r="AD445" s="36">
        <f>IFERROR(cadangan3[[#This Row],[Harga Asli C]]-(cadangan3[[#This Row],[Harga Asli C]]*cadangan3[[#This Row],[Diskon]]),cadangan3[[#This Row],[Harga Asli C]])</f>
        <v>0</v>
      </c>
      <c r="AE445" s="36">
        <f>IFERROR(INDEX(Katalog!$F$3:$F$12,MATCH(cadangan3[[#This Row],[ItemID C]],Katalog!$C$3:$C$12,0))*cadangan3[[#This Row],[Qty C]],0)</f>
        <v>0</v>
      </c>
      <c r="AF445" s="36">
        <f>IFERROR(cadangan3[[#This Row],[Profit C]]-(cadangan3[[#This Row],[Profit C]]*cadangan3[[#This Row],[Diskon]]),cadangan3[[#This Row],[Profit C]])</f>
        <v>0</v>
      </c>
      <c r="AG445" s="21">
        <f>cadangan3[[#This Row],[Qty A]]+cadangan3[[#This Row],[Qty B]]+cadangan3[[#This Row],[Qty C]]</f>
        <v>2</v>
      </c>
      <c r="AH445" s="35">
        <f>cadangan3[[#This Row],[Harga A + Diskon]]+cadangan3[[#This Row],[Harga + Diskon B]]+cadangan3[[#This Row],[Harga + Diskon C]]</f>
        <v>800000</v>
      </c>
      <c r="AI445" s="35">
        <f>(cadangan3[[#This Row],[Profit A]]+cadangan3[[#This Row],[Profit B]]+cadangan3[[#This Row],[Profit C]])</f>
        <v>300000</v>
      </c>
      <c r="AJ445" s="35">
        <f>cadangan3[[#This Row],[Provit A + Diskon]]+cadangan3[[#This Row],[Provit B + Diskon]]+cadangan3[[#This Row],[Provit C + Diskon]]</f>
        <v>300000</v>
      </c>
      <c r="AK445" s="23" t="s">
        <v>11</v>
      </c>
      <c r="AL445" s="37" t="str">
        <f>IFERROR(INDEX('Kode Diskon'!$D$3:$D$9,MATCH(cadangan3[[#This Row],[Kode diskon]],'Kode Diskon'!$C$3:$C$9,0)),"-")</f>
        <v>-</v>
      </c>
      <c r="AM445" s="23" t="s">
        <v>11</v>
      </c>
      <c r="AN445" s="23" t="s">
        <v>10</v>
      </c>
      <c r="AO445" s="23" t="s">
        <v>80</v>
      </c>
      <c r="AP445" s="24">
        <v>45025</v>
      </c>
      <c r="AQ445" s="23" t="str">
        <f>TEXT(cadangan3[[#This Row],[Tanggal terjual]],"dddd")</f>
        <v>Sunday</v>
      </c>
    </row>
    <row r="446" spans="1:43" x14ac:dyDescent="0.2">
      <c r="A446" s="20">
        <v>445</v>
      </c>
      <c r="B446" s="21" t="str">
        <f>_xlfn.CONCAT("ORD-",INDEX(Helper!$B$2:$B$5,MATCH(cadangan3[[#This Row],[Marketplace]],Helper!$A$2:$A$5,0)),TEXT(cadangan3[[#This Row],[No]],"0000"),"-",TEXT(cadangan3[[#This Row],[Tanggal terjual]],"dd/mm/yy"))</f>
        <v>ORD-BB0445-02/04/23</v>
      </c>
      <c r="C446" t="s">
        <v>61</v>
      </c>
      <c r="D446" t="str">
        <f>IFERROR(INDEX(Katalog!$A$3:$A$12,MATCH(cadangan3[[#This Row],[ItemID A]],Katalog!$C$3:$C$12,0)),"-")</f>
        <v>Pakaian Pria</v>
      </c>
      <c r="E446" t="str">
        <f>IFERROR(INDEX(Katalog!$B$3:$B$12,MATCH(cadangan3[[#This Row],[ItemID A]],Katalog!$C$3:$C$12,0)),"-")</f>
        <v>Kaos Polo</v>
      </c>
      <c r="F446">
        <v>1</v>
      </c>
      <c r="G446">
        <v>5</v>
      </c>
      <c r="H446" s="36">
        <f>IFERROR(INDEX(Katalog!$D$3:$D$12,MATCH(cadangan3[[#This Row],[ItemID A]],Katalog!$C$3:$C$12,0))*cadangan3[[#This Row],[Qty A]],0)</f>
        <v>200000</v>
      </c>
      <c r="I446" s="36">
        <f>IFERROR(INDEX(Katalog!$D$3:$D$12,MATCH(cadangan3[[#This Row],[Item A]],Katalog!$B$3:$B$12,0))*cadangan3[[#This Row],[Qty A]],0)</f>
        <v>200000</v>
      </c>
      <c r="J446" s="36">
        <f>IFERROR(cadangan3[[#This Row],[Harga Asli A]]-(cadangan3[[#This Row],[Harga Asli A]]*cadangan3[[#This Row],[Diskon]]),cadangan3[[#This Row],[Harga Asli A]])</f>
        <v>170000</v>
      </c>
      <c r="K446" s="36">
        <f>INDEX(Katalog!$F$3:$F$12,MATCH(cadangan3[[#This Row],[ItemID A]],Katalog!$C$3:$C$12,0))*cadangan3[[#This Row],[Qty A]]</f>
        <v>80000</v>
      </c>
      <c r="L446" s="36">
        <f>IFERROR(cadangan3[[#This Row],[Profit A]]-(cadangan3[[#This Row],[Profit A]]*cadangan3[[#This Row],[Diskon]]),K446)</f>
        <v>68000</v>
      </c>
      <c r="N446" t="str">
        <f>IFERROR(INDEX(Katalog!$A$3:$A$12,MATCH(cadangan3[[#This Row],[ItemID B]],Katalog!$C$3:$C$12,0)),"-")</f>
        <v>-</v>
      </c>
      <c r="O446" t="str">
        <f>IFERROR(INDEX(Katalog!$B$3:$B$12,MATCH(cadangan3[[#This Row],[ItemID B]],Katalog!$C$3:$C$12,0)),"-")</f>
        <v>-</v>
      </c>
      <c r="R446" s="36">
        <f>IFERROR(INDEX(Katalog!$D$3:$D$12,MATCH(cadangan3[[#This Row],[ItemID B]],Katalog!$C$3:$C$12,0))*cadangan3[[#This Row],[Qty B]],0)</f>
        <v>0</v>
      </c>
      <c r="S446" s="36">
        <f>IFERROR(INDEX(Katalog!$D$3:$D$12,MATCH(cadangan3[[#This Row],[Item B]],Katalog!$B$3:$B$12,0))*cadangan3[[#This Row],[Qty B]],0)</f>
        <v>0</v>
      </c>
      <c r="T446" s="36">
        <f>IFERROR(cadangan3[[#This Row],[Harga Asli B]]-(cadangan3[[#This Row],[Harga Asli B]]*cadangan3[[#This Row],[Diskon]]),cadangan3[[#This Row],[Harga Asli B]])</f>
        <v>0</v>
      </c>
      <c r="U446" s="36">
        <f>IFERROR(INDEX(Katalog!$F$3:$F$12,MATCH(cadangan3[[#This Row],[ItemID B]],Katalog!$C$3:$C$12,0))*cadangan3[[#This Row],[Qty B]],0)</f>
        <v>0</v>
      </c>
      <c r="V446" s="36">
        <f>IFERROR(cadangan3[[#This Row],[Profit B]]-(cadangan3[[#This Row],[Profit B]]*cadangan3[[#This Row],[Diskon]]),U446)</f>
        <v>0</v>
      </c>
      <c r="X446" t="str">
        <f>IFERROR(INDEX(Katalog!$A$3:$A$12,MATCH(cadangan3[[#This Row],[ItemID C]],Katalog!$C$3:$C$12,0)),"-")</f>
        <v>-</v>
      </c>
      <c r="Y446" t="str">
        <f>IFERROR(INDEX(Katalog!$B$3:$B$12,MATCH(cadangan3[[#This Row],[ItemID C]],Katalog!$C$3:$C$12,0)),"-")</f>
        <v>-</v>
      </c>
      <c r="AB446" s="36">
        <f>IFERROR(INDEX(Katalog!$D$3:$D$12,MATCH(cadangan3[[#This Row],[ItemID C]],Katalog!$C$3:$C$12,0))*cadangan3[[#This Row],[Qty C]],0)</f>
        <v>0</v>
      </c>
      <c r="AC446" s="36">
        <f>IFERROR(INDEX(Katalog!$D$3:$D$12,MATCH(cadangan3[[#This Row],[Item C]],Katalog!$B$3:$B$12,0))*cadangan3[[#This Row],[Qty C]],0)</f>
        <v>0</v>
      </c>
      <c r="AD446" s="36">
        <f>IFERROR(cadangan3[[#This Row],[Harga Asli C]]-(cadangan3[[#This Row],[Harga Asli C]]*cadangan3[[#This Row],[Diskon]]),cadangan3[[#This Row],[Harga Asli C]])</f>
        <v>0</v>
      </c>
      <c r="AE446" s="36">
        <f>IFERROR(INDEX(Katalog!$F$3:$F$12,MATCH(cadangan3[[#This Row],[ItemID C]],Katalog!$C$3:$C$12,0))*cadangan3[[#This Row],[Qty C]],0)</f>
        <v>0</v>
      </c>
      <c r="AF446" s="36">
        <f>IFERROR(cadangan3[[#This Row],[Profit C]]-(cadangan3[[#This Row],[Profit C]]*cadangan3[[#This Row],[Diskon]]),cadangan3[[#This Row],[Profit C]])</f>
        <v>0</v>
      </c>
      <c r="AG446" s="21">
        <f>cadangan3[[#This Row],[Qty A]]+cadangan3[[#This Row],[Qty B]]+cadangan3[[#This Row],[Qty C]]</f>
        <v>1</v>
      </c>
      <c r="AH446" s="35">
        <f>cadangan3[[#This Row],[Harga A + Diskon]]+cadangan3[[#This Row],[Harga + Diskon B]]+cadangan3[[#This Row],[Harga + Diskon C]]</f>
        <v>170000</v>
      </c>
      <c r="AI446" s="35">
        <f>(cadangan3[[#This Row],[Profit A]]+cadangan3[[#This Row],[Profit B]]+cadangan3[[#This Row],[Profit C]])</f>
        <v>80000</v>
      </c>
      <c r="AJ446" s="35">
        <f>cadangan3[[#This Row],[Provit A + Diskon]]+cadangan3[[#This Row],[Provit B + Diskon]]+cadangan3[[#This Row],[Provit C + Diskon]]</f>
        <v>68000</v>
      </c>
      <c r="AK446" s="23" t="s">
        <v>28</v>
      </c>
      <c r="AL446" s="37">
        <f>IFERROR(INDEX('Kode Diskon'!$D$3:$D$9,MATCH(cadangan3[[#This Row],[Kode diskon]],'Kode Diskon'!$C$3:$C$9,0)),"-")</f>
        <v>0.15</v>
      </c>
      <c r="AM446" s="23" t="s">
        <v>29</v>
      </c>
      <c r="AN446" s="23" t="s">
        <v>14</v>
      </c>
      <c r="AO446" s="23" t="s">
        <v>78</v>
      </c>
      <c r="AP446" s="24">
        <v>45018</v>
      </c>
      <c r="AQ446" s="23" t="str">
        <f>TEXT(cadangan3[[#This Row],[Tanggal terjual]],"dddd")</f>
        <v>Sunday</v>
      </c>
    </row>
    <row r="447" spans="1:43" x14ac:dyDescent="0.2">
      <c r="A447" s="20">
        <v>446</v>
      </c>
      <c r="B447" s="21" t="str">
        <f>_xlfn.CONCAT("ORD-",INDEX(Helper!$B$2:$B$5,MATCH(cadangan3[[#This Row],[Marketplace]],Helper!$A$2:$A$5,0)),TEXT(cadangan3[[#This Row],[No]],"0000"),"-",TEXT(cadangan3[[#This Row],[Tanggal terjual]],"dd/mm/yy"))</f>
        <v>ORD-BB0446-03/04/23</v>
      </c>
      <c r="C447" t="s">
        <v>61</v>
      </c>
      <c r="D447" t="str">
        <f>IFERROR(INDEX(Katalog!$A$3:$A$12,MATCH(cadangan3[[#This Row],[ItemID A]],Katalog!$C$3:$C$12,0)),"-")</f>
        <v>Pakaian Pria</v>
      </c>
      <c r="E447" t="str">
        <f>IFERROR(INDEX(Katalog!$B$3:$B$12,MATCH(cadangan3[[#This Row],[ItemID A]],Katalog!$C$3:$C$12,0)),"-")</f>
        <v>Kaos Polo</v>
      </c>
      <c r="F447">
        <v>1</v>
      </c>
      <c r="G447">
        <v>5</v>
      </c>
      <c r="H447" s="36">
        <f>IFERROR(INDEX(Katalog!$D$3:$D$12,MATCH(cadangan3[[#This Row],[ItemID A]],Katalog!$C$3:$C$12,0))*cadangan3[[#This Row],[Qty A]],0)</f>
        <v>200000</v>
      </c>
      <c r="I447" s="36">
        <f>IFERROR(INDEX(Katalog!$D$3:$D$12,MATCH(cadangan3[[#This Row],[Item A]],Katalog!$B$3:$B$12,0))*cadangan3[[#This Row],[Qty A]],0)</f>
        <v>200000</v>
      </c>
      <c r="J447" s="36">
        <f>IFERROR(cadangan3[[#This Row],[Harga Asli A]]-(cadangan3[[#This Row],[Harga Asli A]]*cadangan3[[#This Row],[Diskon]]),cadangan3[[#This Row],[Harga Asli A]])</f>
        <v>170000</v>
      </c>
      <c r="K447" s="36">
        <f>INDEX(Katalog!$F$3:$F$12,MATCH(cadangan3[[#This Row],[ItemID A]],Katalog!$C$3:$C$12,0))*cadangan3[[#This Row],[Qty A]]</f>
        <v>80000</v>
      </c>
      <c r="L447" s="36">
        <f>IFERROR(cadangan3[[#This Row],[Profit A]]-(cadangan3[[#This Row],[Profit A]]*cadangan3[[#This Row],[Diskon]]),K447)</f>
        <v>68000</v>
      </c>
      <c r="M447" t="s">
        <v>62</v>
      </c>
      <c r="N447" t="str">
        <f>IFERROR(INDEX(Katalog!$A$3:$A$12,MATCH(cadangan3[[#This Row],[ItemID B]],Katalog!$C$3:$C$12,0)),"-")</f>
        <v>Pakaian Pria</v>
      </c>
      <c r="O447" t="str">
        <f>IFERROR(INDEX(Katalog!$B$3:$B$12,MATCH(cadangan3[[#This Row],[ItemID B]],Katalog!$C$3:$C$12,0)),"-")</f>
        <v>Celana Pendek</v>
      </c>
      <c r="P447">
        <v>2</v>
      </c>
      <c r="Q447">
        <v>1</v>
      </c>
      <c r="R447" s="36">
        <f>IFERROR(INDEX(Katalog!$D$3:$D$12,MATCH(cadangan3[[#This Row],[ItemID B]],Katalog!$C$3:$C$12,0))*cadangan3[[#This Row],[Qty B]],0)</f>
        <v>360000</v>
      </c>
      <c r="S447" s="36">
        <f>IFERROR(INDEX(Katalog!$D$3:$D$12,MATCH(cadangan3[[#This Row],[Item B]],Katalog!$B$3:$B$12,0))*cadangan3[[#This Row],[Qty B]],0)</f>
        <v>360000</v>
      </c>
      <c r="T447" s="36">
        <f>IFERROR(cadangan3[[#This Row],[Harga Asli B]]-(cadangan3[[#This Row],[Harga Asli B]]*cadangan3[[#This Row],[Diskon]]),cadangan3[[#This Row],[Harga Asli B]])</f>
        <v>306000</v>
      </c>
      <c r="U447" s="36">
        <f>IFERROR(INDEX(Katalog!$F$3:$F$12,MATCH(cadangan3[[#This Row],[ItemID B]],Katalog!$C$3:$C$12,0))*cadangan3[[#This Row],[Qty B]],0)</f>
        <v>140000</v>
      </c>
      <c r="V447" s="36">
        <f>IFERROR(cadangan3[[#This Row],[Profit B]]-(cadangan3[[#This Row],[Profit B]]*cadangan3[[#This Row],[Diskon]]),U447)</f>
        <v>119000</v>
      </c>
      <c r="W447" t="s">
        <v>66</v>
      </c>
      <c r="X447" t="str">
        <f>IFERROR(INDEX(Katalog!$A$3:$A$12,MATCH(cadangan3[[#This Row],[ItemID C]],Katalog!$C$3:$C$12,0)),"-")</f>
        <v>Sepatu Pria</v>
      </c>
      <c r="Y447" t="str">
        <f>IFERROR(INDEX(Katalog!$B$3:$B$12,MATCH(cadangan3[[#This Row],[ItemID C]],Katalog!$C$3:$C$12,0)),"-")</f>
        <v>Sandal Slip On</v>
      </c>
      <c r="Z447">
        <v>1</v>
      </c>
      <c r="AA447">
        <v>3</v>
      </c>
      <c r="AB447" s="36">
        <f>IFERROR(INDEX(Katalog!$D$3:$D$12,MATCH(cadangan3[[#This Row],[ItemID C]],Katalog!$C$3:$C$12,0))*cadangan3[[#This Row],[Qty C]],0)</f>
        <v>150000</v>
      </c>
      <c r="AC447" s="36">
        <f>IFERROR(INDEX(Katalog!$D$3:$D$12,MATCH(cadangan3[[#This Row],[Item C]],Katalog!$B$3:$B$12,0))*cadangan3[[#This Row],[Qty C]],0)</f>
        <v>150000</v>
      </c>
      <c r="AD447" s="36">
        <f>IFERROR(cadangan3[[#This Row],[Harga Asli C]]-(cadangan3[[#This Row],[Harga Asli C]]*cadangan3[[#This Row],[Diskon]]),cadangan3[[#This Row],[Harga Asli C]])</f>
        <v>127500</v>
      </c>
      <c r="AE447" s="36">
        <f>IFERROR(INDEX(Katalog!$F$3:$F$12,MATCH(cadangan3[[#This Row],[ItemID C]],Katalog!$C$3:$C$12,0))*cadangan3[[#This Row],[Qty C]],0)</f>
        <v>60000</v>
      </c>
      <c r="AF447" s="36">
        <f>IFERROR(cadangan3[[#This Row],[Profit C]]-(cadangan3[[#This Row],[Profit C]]*cadangan3[[#This Row],[Diskon]]),cadangan3[[#This Row],[Profit C]])</f>
        <v>51000</v>
      </c>
      <c r="AG447" s="21">
        <f>cadangan3[[#This Row],[Qty A]]+cadangan3[[#This Row],[Qty B]]+cadangan3[[#This Row],[Qty C]]</f>
        <v>4</v>
      </c>
      <c r="AH447" s="35">
        <f>cadangan3[[#This Row],[Harga A + Diskon]]+cadangan3[[#This Row],[Harga + Diskon B]]+cadangan3[[#This Row],[Harga + Diskon C]]</f>
        <v>603500</v>
      </c>
      <c r="AI447" s="35">
        <f>(cadangan3[[#This Row],[Profit A]]+cadangan3[[#This Row],[Profit B]]+cadangan3[[#This Row],[Profit C]])</f>
        <v>280000</v>
      </c>
      <c r="AJ447" s="35">
        <f>cadangan3[[#This Row],[Provit A + Diskon]]+cadangan3[[#This Row],[Provit B + Diskon]]+cadangan3[[#This Row],[Provit C + Diskon]]</f>
        <v>238000</v>
      </c>
      <c r="AK447" s="23" t="s">
        <v>28</v>
      </c>
      <c r="AL447" s="37">
        <f>IFERROR(INDEX('Kode Diskon'!$D$3:$D$9,MATCH(cadangan3[[#This Row],[Kode diskon]],'Kode Diskon'!$C$3:$C$9,0)),"-")</f>
        <v>0.15</v>
      </c>
      <c r="AM447" s="23" t="s">
        <v>29</v>
      </c>
      <c r="AN447" s="23" t="s">
        <v>14</v>
      </c>
      <c r="AO447" s="23" t="s">
        <v>80</v>
      </c>
      <c r="AP447" s="24">
        <v>45019</v>
      </c>
      <c r="AQ447" s="23" t="str">
        <f>TEXT(cadangan3[[#This Row],[Tanggal terjual]],"dddd")</f>
        <v>Monday</v>
      </c>
    </row>
    <row r="448" spans="1:43" x14ac:dyDescent="0.2">
      <c r="A448" s="20">
        <v>447</v>
      </c>
      <c r="B448" s="21" t="str">
        <f>_xlfn.CONCAT("ORD-",INDEX(Helper!$B$2:$B$5,MATCH(cadangan3[[#This Row],[Marketplace]],Helper!$A$2:$A$5,0)),TEXT(cadangan3[[#This Row],[No]],"0000"),"-",TEXT(cadangan3[[#This Row],[Tanggal terjual]],"dd/mm/yy"))</f>
        <v>ORD-TK0447-28/04/23</v>
      </c>
      <c r="C448" t="s">
        <v>58</v>
      </c>
      <c r="D448" t="str">
        <f>IFERROR(INDEX(Katalog!$A$3:$A$12,MATCH(cadangan3[[#This Row],[ItemID A]],Katalog!$C$3:$C$12,0)),"-")</f>
        <v>Pakaian Wanita</v>
      </c>
      <c r="E448" t="str">
        <f>IFERROR(INDEX(Katalog!$B$3:$B$12,MATCH(cadangan3[[#This Row],[ItemID A]],Katalog!$C$3:$C$12,0)),"-")</f>
        <v>Dress</v>
      </c>
      <c r="F448">
        <v>7</v>
      </c>
      <c r="G448">
        <v>2</v>
      </c>
      <c r="H448" s="36">
        <f>IFERROR(INDEX(Katalog!$D$3:$D$12,MATCH(cadangan3[[#This Row],[ItemID A]],Katalog!$C$3:$C$12,0))*cadangan3[[#This Row],[Qty A]],0)</f>
        <v>2100000</v>
      </c>
      <c r="I448" s="36">
        <f>IFERROR(INDEX(Katalog!$D$3:$D$12,MATCH(cadangan3[[#This Row],[Item A]],Katalog!$B$3:$B$12,0))*cadangan3[[#This Row],[Qty A]],0)</f>
        <v>2100000</v>
      </c>
      <c r="J448" s="36">
        <f>IFERROR(cadangan3[[#This Row],[Harga Asli A]]-(cadangan3[[#This Row],[Harga Asli A]]*cadangan3[[#This Row],[Diskon]]),cadangan3[[#This Row],[Harga Asli A]])</f>
        <v>1890000</v>
      </c>
      <c r="K448" s="36">
        <f>INDEX(Katalog!$F$3:$F$12,MATCH(cadangan3[[#This Row],[ItemID A]],Katalog!$C$3:$C$12,0))*cadangan3[[#This Row],[Qty A]]</f>
        <v>700000</v>
      </c>
      <c r="L448" s="36">
        <f>IFERROR(cadangan3[[#This Row],[Profit A]]-(cadangan3[[#This Row],[Profit A]]*cadangan3[[#This Row],[Diskon]]),K448)</f>
        <v>630000</v>
      </c>
      <c r="N448" t="str">
        <f>IFERROR(INDEX(Katalog!$A$3:$A$12,MATCH(cadangan3[[#This Row],[ItemID B]],Katalog!$C$3:$C$12,0)),"-")</f>
        <v>-</v>
      </c>
      <c r="O448" t="str">
        <f>IFERROR(INDEX(Katalog!$B$3:$B$12,MATCH(cadangan3[[#This Row],[ItemID B]],Katalog!$C$3:$C$12,0)),"-")</f>
        <v>-</v>
      </c>
      <c r="R448" s="36">
        <f>IFERROR(INDEX(Katalog!$D$3:$D$12,MATCH(cadangan3[[#This Row],[ItemID B]],Katalog!$C$3:$C$12,0))*cadangan3[[#This Row],[Qty B]],0)</f>
        <v>0</v>
      </c>
      <c r="S448" s="36">
        <f>IFERROR(INDEX(Katalog!$D$3:$D$12,MATCH(cadangan3[[#This Row],[Item B]],Katalog!$B$3:$B$12,0))*cadangan3[[#This Row],[Qty B]],0)</f>
        <v>0</v>
      </c>
      <c r="T448" s="36">
        <f>IFERROR(cadangan3[[#This Row],[Harga Asli B]]-(cadangan3[[#This Row],[Harga Asli B]]*cadangan3[[#This Row],[Diskon]]),cadangan3[[#This Row],[Harga Asli B]])</f>
        <v>0</v>
      </c>
      <c r="U448" s="36">
        <f>IFERROR(INDEX(Katalog!$F$3:$F$12,MATCH(cadangan3[[#This Row],[ItemID B]],Katalog!$C$3:$C$12,0))*cadangan3[[#This Row],[Qty B]],0)</f>
        <v>0</v>
      </c>
      <c r="V448" s="36">
        <f>IFERROR(cadangan3[[#This Row],[Profit B]]-(cadangan3[[#This Row],[Profit B]]*cadangan3[[#This Row],[Diskon]]),U448)</f>
        <v>0</v>
      </c>
      <c r="X448" t="str">
        <f>IFERROR(INDEX(Katalog!$A$3:$A$12,MATCH(cadangan3[[#This Row],[ItemID C]],Katalog!$C$3:$C$12,0)),"-")</f>
        <v>-</v>
      </c>
      <c r="Y448" t="str">
        <f>IFERROR(INDEX(Katalog!$B$3:$B$12,MATCH(cadangan3[[#This Row],[ItemID C]],Katalog!$C$3:$C$12,0)),"-")</f>
        <v>-</v>
      </c>
      <c r="AB448" s="36">
        <f>IFERROR(INDEX(Katalog!$D$3:$D$12,MATCH(cadangan3[[#This Row],[ItemID C]],Katalog!$C$3:$C$12,0))*cadangan3[[#This Row],[Qty C]],0)</f>
        <v>0</v>
      </c>
      <c r="AC448" s="36">
        <f>IFERROR(INDEX(Katalog!$D$3:$D$12,MATCH(cadangan3[[#This Row],[Item C]],Katalog!$B$3:$B$12,0))*cadangan3[[#This Row],[Qty C]],0)</f>
        <v>0</v>
      </c>
      <c r="AD448" s="36">
        <f>IFERROR(cadangan3[[#This Row],[Harga Asli C]]-(cadangan3[[#This Row],[Harga Asli C]]*cadangan3[[#This Row],[Diskon]]),cadangan3[[#This Row],[Harga Asli C]])</f>
        <v>0</v>
      </c>
      <c r="AE448" s="36">
        <f>IFERROR(INDEX(Katalog!$F$3:$F$12,MATCH(cadangan3[[#This Row],[ItemID C]],Katalog!$C$3:$C$12,0))*cadangan3[[#This Row],[Qty C]],0)</f>
        <v>0</v>
      </c>
      <c r="AF448" s="36">
        <f>IFERROR(cadangan3[[#This Row],[Profit C]]-(cadangan3[[#This Row],[Profit C]]*cadangan3[[#This Row],[Diskon]]),cadangan3[[#This Row],[Profit C]])</f>
        <v>0</v>
      </c>
      <c r="AG448" s="21">
        <f>cadangan3[[#This Row],[Qty A]]+cadangan3[[#This Row],[Qty B]]+cadangan3[[#This Row],[Qty C]]</f>
        <v>7</v>
      </c>
      <c r="AH448" s="35">
        <f>cadangan3[[#This Row],[Harga A + Diskon]]+cadangan3[[#This Row],[Harga + Diskon B]]+cadangan3[[#This Row],[Harga + Diskon C]]</f>
        <v>1890000</v>
      </c>
      <c r="AI448" s="35">
        <f>(cadangan3[[#This Row],[Profit A]]+cadangan3[[#This Row],[Profit B]]+cadangan3[[#This Row],[Profit C]])</f>
        <v>700000</v>
      </c>
      <c r="AJ448" s="35">
        <f>cadangan3[[#This Row],[Provit A + Diskon]]+cadangan3[[#This Row],[Provit B + Diskon]]+cadangan3[[#This Row],[Provit C + Diskon]]</f>
        <v>630000</v>
      </c>
      <c r="AK448" s="23" t="s">
        <v>31</v>
      </c>
      <c r="AL448" s="37">
        <f>IFERROR(INDEX('Kode Diskon'!$D$3:$D$9,MATCH(cadangan3[[#This Row],[Kode diskon]],'Kode Diskon'!$C$3:$C$9,0)),"-")</f>
        <v>0.1</v>
      </c>
      <c r="AM448" s="23" t="s">
        <v>9</v>
      </c>
      <c r="AN448" s="23" t="s">
        <v>10</v>
      </c>
      <c r="AO448" s="23" t="s">
        <v>80</v>
      </c>
      <c r="AP448" s="24">
        <v>45044</v>
      </c>
      <c r="AQ448" s="23" t="str">
        <f>TEXT(cadangan3[[#This Row],[Tanggal terjual]],"dddd")</f>
        <v>Friday</v>
      </c>
    </row>
    <row r="449" spans="1:43" x14ac:dyDescent="0.2">
      <c r="A449" s="20">
        <v>448</v>
      </c>
      <c r="B449" s="21" t="str">
        <f>_xlfn.CONCAT("ORD-",INDEX(Helper!$B$2:$B$5,MATCH(cadangan3[[#This Row],[Marketplace]],Helper!$A$2:$A$5,0)),TEXT(cadangan3[[#This Row],[No]],"0000"),"-",TEXT(cadangan3[[#This Row],[Tanggal terjual]],"dd/mm/yy"))</f>
        <v>ORD-BB0448-01/04/23</v>
      </c>
      <c r="C449" t="s">
        <v>64</v>
      </c>
      <c r="D449" t="str">
        <f>IFERROR(INDEX(Katalog!$A$3:$A$12,MATCH(cadangan3[[#This Row],[ItemID A]],Katalog!$C$3:$C$12,0)),"-")</f>
        <v>Pakaian Unisex</v>
      </c>
      <c r="E449" t="str">
        <f>IFERROR(INDEX(Katalog!$B$3:$B$12,MATCH(cadangan3[[#This Row],[ItemID A]],Katalog!$C$3:$C$12,0)),"-")</f>
        <v>Jaket Hoodie</v>
      </c>
      <c r="F449">
        <v>2</v>
      </c>
      <c r="G449">
        <v>2</v>
      </c>
      <c r="H449" s="36">
        <f>IFERROR(INDEX(Katalog!$D$3:$D$12,MATCH(cadangan3[[#This Row],[ItemID A]],Katalog!$C$3:$C$12,0))*cadangan3[[#This Row],[Qty A]],0)</f>
        <v>700000</v>
      </c>
      <c r="I449" s="36">
        <f>IFERROR(INDEX(Katalog!$D$3:$D$12,MATCH(cadangan3[[#This Row],[Item A]],Katalog!$B$3:$B$12,0))*cadangan3[[#This Row],[Qty A]],0)</f>
        <v>700000</v>
      </c>
      <c r="J449" s="36">
        <f>IFERROR(cadangan3[[#This Row],[Harga Asli A]]-(cadangan3[[#This Row],[Harga Asli A]]*cadangan3[[#This Row],[Diskon]]),cadangan3[[#This Row],[Harga Asli A]])</f>
        <v>595000</v>
      </c>
      <c r="K449" s="36">
        <f>INDEX(Katalog!$F$3:$F$12,MATCH(cadangan3[[#This Row],[ItemID A]],Katalog!$C$3:$C$12,0))*cadangan3[[#This Row],[Qty A]]</f>
        <v>260000</v>
      </c>
      <c r="L449" s="36">
        <f>IFERROR(cadangan3[[#This Row],[Profit A]]-(cadangan3[[#This Row],[Profit A]]*cadangan3[[#This Row],[Diskon]]),K449)</f>
        <v>221000</v>
      </c>
      <c r="N449" t="str">
        <f>IFERROR(INDEX(Katalog!$A$3:$A$12,MATCH(cadangan3[[#This Row],[ItemID B]],Katalog!$C$3:$C$12,0)),"-")</f>
        <v>-</v>
      </c>
      <c r="O449" t="str">
        <f>IFERROR(INDEX(Katalog!$B$3:$B$12,MATCH(cadangan3[[#This Row],[ItemID B]],Katalog!$C$3:$C$12,0)),"-")</f>
        <v>-</v>
      </c>
      <c r="R449" s="36">
        <f>IFERROR(INDEX(Katalog!$D$3:$D$12,MATCH(cadangan3[[#This Row],[ItemID B]],Katalog!$C$3:$C$12,0))*cadangan3[[#This Row],[Qty B]],0)</f>
        <v>0</v>
      </c>
      <c r="S449" s="36">
        <f>IFERROR(INDEX(Katalog!$D$3:$D$12,MATCH(cadangan3[[#This Row],[Item B]],Katalog!$B$3:$B$12,0))*cadangan3[[#This Row],[Qty B]],0)</f>
        <v>0</v>
      </c>
      <c r="T449" s="36">
        <f>IFERROR(cadangan3[[#This Row],[Harga Asli B]]-(cadangan3[[#This Row],[Harga Asli B]]*cadangan3[[#This Row],[Diskon]]),cadangan3[[#This Row],[Harga Asli B]])</f>
        <v>0</v>
      </c>
      <c r="U449" s="36">
        <f>IFERROR(INDEX(Katalog!$F$3:$F$12,MATCH(cadangan3[[#This Row],[ItemID B]],Katalog!$C$3:$C$12,0))*cadangan3[[#This Row],[Qty B]],0)</f>
        <v>0</v>
      </c>
      <c r="V449" s="36">
        <f>IFERROR(cadangan3[[#This Row],[Profit B]]-(cadangan3[[#This Row],[Profit B]]*cadangan3[[#This Row],[Diskon]]),U449)</f>
        <v>0</v>
      </c>
      <c r="X449" t="str">
        <f>IFERROR(INDEX(Katalog!$A$3:$A$12,MATCH(cadangan3[[#This Row],[ItemID C]],Katalog!$C$3:$C$12,0)),"-")</f>
        <v>-</v>
      </c>
      <c r="Y449" t="str">
        <f>IFERROR(INDEX(Katalog!$B$3:$B$12,MATCH(cadangan3[[#This Row],[ItemID C]],Katalog!$C$3:$C$12,0)),"-")</f>
        <v>-</v>
      </c>
      <c r="AB449" s="36">
        <f>IFERROR(INDEX(Katalog!$D$3:$D$12,MATCH(cadangan3[[#This Row],[ItemID C]],Katalog!$C$3:$C$12,0))*cadangan3[[#This Row],[Qty C]],0)</f>
        <v>0</v>
      </c>
      <c r="AC449" s="36">
        <f>IFERROR(INDEX(Katalog!$D$3:$D$12,MATCH(cadangan3[[#This Row],[Item C]],Katalog!$B$3:$B$12,0))*cadangan3[[#This Row],[Qty C]],0)</f>
        <v>0</v>
      </c>
      <c r="AD449" s="36">
        <f>IFERROR(cadangan3[[#This Row],[Harga Asli C]]-(cadangan3[[#This Row],[Harga Asli C]]*cadangan3[[#This Row],[Diskon]]),cadangan3[[#This Row],[Harga Asli C]])</f>
        <v>0</v>
      </c>
      <c r="AE449" s="36">
        <f>IFERROR(INDEX(Katalog!$F$3:$F$12,MATCH(cadangan3[[#This Row],[ItemID C]],Katalog!$C$3:$C$12,0))*cadangan3[[#This Row],[Qty C]],0)</f>
        <v>0</v>
      </c>
      <c r="AF449" s="36">
        <f>IFERROR(cadangan3[[#This Row],[Profit C]]-(cadangan3[[#This Row],[Profit C]]*cadangan3[[#This Row],[Diskon]]),cadangan3[[#This Row],[Profit C]])</f>
        <v>0</v>
      </c>
      <c r="AG449" s="21">
        <f>cadangan3[[#This Row],[Qty A]]+cadangan3[[#This Row],[Qty B]]+cadangan3[[#This Row],[Qty C]]</f>
        <v>2</v>
      </c>
      <c r="AH449" s="35">
        <f>cadangan3[[#This Row],[Harga A + Diskon]]+cadangan3[[#This Row],[Harga + Diskon B]]+cadangan3[[#This Row],[Harga + Diskon C]]</f>
        <v>595000</v>
      </c>
      <c r="AI449" s="35">
        <f>(cadangan3[[#This Row],[Profit A]]+cadangan3[[#This Row],[Profit B]]+cadangan3[[#This Row],[Profit C]])</f>
        <v>260000</v>
      </c>
      <c r="AJ449" s="35">
        <f>cadangan3[[#This Row],[Provit A + Diskon]]+cadangan3[[#This Row],[Provit B + Diskon]]+cadangan3[[#This Row],[Provit C + Diskon]]</f>
        <v>221000</v>
      </c>
      <c r="AK449" s="23" t="s">
        <v>28</v>
      </c>
      <c r="AL449" s="37">
        <f>IFERROR(INDEX('Kode Diskon'!$D$3:$D$9,MATCH(cadangan3[[#This Row],[Kode diskon]],'Kode Diskon'!$C$3:$C$9,0)),"-")</f>
        <v>0.15</v>
      </c>
      <c r="AM449" s="23" t="s">
        <v>29</v>
      </c>
      <c r="AN449" s="23" t="s">
        <v>14</v>
      </c>
      <c r="AO449" s="23" t="s">
        <v>79</v>
      </c>
      <c r="AP449" s="24">
        <v>45017</v>
      </c>
      <c r="AQ449" s="23" t="str">
        <f>TEXT(cadangan3[[#This Row],[Tanggal terjual]],"dddd")</f>
        <v>Saturday</v>
      </c>
    </row>
    <row r="450" spans="1:43" x14ac:dyDescent="0.2">
      <c r="A450" s="20">
        <v>449</v>
      </c>
      <c r="B450" s="21" t="str">
        <f>_xlfn.CONCAT("ORD-",INDEX(Helper!$B$2:$B$5,MATCH(cadangan3[[#This Row],[Marketplace]],Helper!$A$2:$A$5,0)),TEXT(cadangan3[[#This Row],[No]],"0000"),"-",TEXT(cadangan3[[#This Row],[Tanggal terjual]],"dd/mm/yy"))</f>
        <v>ORD-SP0449-22/04/23</v>
      </c>
      <c r="C450" t="s">
        <v>60</v>
      </c>
      <c r="D450" t="str">
        <f>IFERROR(INDEX(Katalog!$A$3:$A$12,MATCH(cadangan3[[#This Row],[ItemID A]],Katalog!$C$3:$C$12,0)),"-")</f>
        <v>Pakaian Wanita</v>
      </c>
      <c r="E450" t="str">
        <f>IFERROR(INDEX(Katalog!$B$3:$B$12,MATCH(cadangan3[[#This Row],[ItemID A]],Katalog!$C$3:$C$12,0)),"-")</f>
        <v>Kaftan</v>
      </c>
      <c r="F450">
        <v>5</v>
      </c>
      <c r="G450">
        <v>3</v>
      </c>
      <c r="H450" s="36">
        <f>IFERROR(INDEX(Katalog!$D$3:$D$12,MATCH(cadangan3[[#This Row],[ItemID A]],Katalog!$C$3:$C$12,0))*cadangan3[[#This Row],[Qty A]],0)</f>
        <v>1250000</v>
      </c>
      <c r="I450" s="36">
        <f>IFERROR(INDEX(Katalog!$D$3:$D$12,MATCH(cadangan3[[#This Row],[Item A]],Katalog!$B$3:$B$12,0))*cadangan3[[#This Row],[Qty A]],0)</f>
        <v>1250000</v>
      </c>
      <c r="J450" s="36">
        <f>IFERROR(cadangan3[[#This Row],[Harga Asli A]]-(cadangan3[[#This Row],[Harga Asli A]]*cadangan3[[#This Row],[Diskon]]),cadangan3[[#This Row],[Harga Asli A]])</f>
        <v>1000000</v>
      </c>
      <c r="K450" s="36">
        <f>INDEX(Katalog!$F$3:$F$12,MATCH(cadangan3[[#This Row],[ItemID A]],Katalog!$C$3:$C$12,0))*cadangan3[[#This Row],[Qty A]]</f>
        <v>500000</v>
      </c>
      <c r="L450" s="36">
        <f>IFERROR(cadangan3[[#This Row],[Profit A]]-(cadangan3[[#This Row],[Profit A]]*cadangan3[[#This Row],[Diskon]]),K450)</f>
        <v>400000</v>
      </c>
      <c r="M450" t="s">
        <v>60</v>
      </c>
      <c r="N450" t="str">
        <f>IFERROR(INDEX(Katalog!$A$3:$A$12,MATCH(cadangan3[[#This Row],[ItemID B]],Katalog!$C$3:$C$12,0)),"-")</f>
        <v>Pakaian Wanita</v>
      </c>
      <c r="O450" t="str">
        <f>IFERROR(INDEX(Katalog!$B$3:$B$12,MATCH(cadangan3[[#This Row],[ItemID B]],Katalog!$C$3:$C$12,0)),"-")</f>
        <v>Kaftan</v>
      </c>
      <c r="P450">
        <v>1</v>
      </c>
      <c r="Q450">
        <v>3</v>
      </c>
      <c r="R450" s="36">
        <f>IFERROR(INDEX(Katalog!$D$3:$D$12,MATCH(cadangan3[[#This Row],[ItemID B]],Katalog!$C$3:$C$12,0))*cadangan3[[#This Row],[Qty B]],0)</f>
        <v>250000</v>
      </c>
      <c r="S450" s="36">
        <f>IFERROR(INDEX(Katalog!$D$3:$D$12,MATCH(cadangan3[[#This Row],[Item B]],Katalog!$B$3:$B$12,0))*cadangan3[[#This Row],[Qty B]],0)</f>
        <v>250000</v>
      </c>
      <c r="T450" s="36">
        <f>IFERROR(cadangan3[[#This Row],[Harga Asli B]]-(cadangan3[[#This Row],[Harga Asli B]]*cadangan3[[#This Row],[Diskon]]),cadangan3[[#This Row],[Harga Asli B]])</f>
        <v>200000</v>
      </c>
      <c r="U450" s="36">
        <f>IFERROR(INDEX(Katalog!$F$3:$F$12,MATCH(cadangan3[[#This Row],[ItemID B]],Katalog!$C$3:$C$12,0))*cadangan3[[#This Row],[Qty B]],0)</f>
        <v>100000</v>
      </c>
      <c r="V450" s="36">
        <f>IFERROR(cadangan3[[#This Row],[Profit B]]-(cadangan3[[#This Row],[Profit B]]*cadangan3[[#This Row],[Diskon]]),U450)</f>
        <v>80000</v>
      </c>
      <c r="W450" t="s">
        <v>65</v>
      </c>
      <c r="X450" t="str">
        <f>IFERROR(INDEX(Katalog!$A$3:$A$12,MATCH(cadangan3[[#This Row],[ItemID C]],Katalog!$C$3:$C$12,0)),"-")</f>
        <v>Sepatu Pria</v>
      </c>
      <c r="Y450" t="str">
        <f>IFERROR(INDEX(Katalog!$B$3:$B$12,MATCH(cadangan3[[#This Row],[ItemID C]],Katalog!$C$3:$C$12,0)),"-")</f>
        <v>Sneakers</v>
      </c>
      <c r="Z450">
        <v>1</v>
      </c>
      <c r="AA450">
        <v>4</v>
      </c>
      <c r="AB450" s="36">
        <f>IFERROR(INDEX(Katalog!$D$3:$D$12,MATCH(cadangan3[[#This Row],[ItemID C]],Katalog!$C$3:$C$12,0))*cadangan3[[#This Row],[Qty C]],0)</f>
        <v>500000</v>
      </c>
      <c r="AC450" s="36">
        <f>IFERROR(INDEX(Katalog!$D$3:$D$12,MATCH(cadangan3[[#This Row],[Item C]],Katalog!$B$3:$B$12,0))*cadangan3[[#This Row],[Qty C]],0)</f>
        <v>500000</v>
      </c>
      <c r="AD450" s="36">
        <f>IFERROR(cadangan3[[#This Row],[Harga Asli C]]-(cadangan3[[#This Row],[Harga Asli C]]*cadangan3[[#This Row],[Diskon]]),cadangan3[[#This Row],[Harga Asli C]])</f>
        <v>400000</v>
      </c>
      <c r="AE450" s="36">
        <f>IFERROR(INDEX(Katalog!$F$3:$F$12,MATCH(cadangan3[[#This Row],[ItemID C]],Katalog!$C$3:$C$12,0))*cadangan3[[#This Row],[Qty C]],0)</f>
        <v>200000</v>
      </c>
      <c r="AF450" s="36">
        <f>IFERROR(cadangan3[[#This Row],[Profit C]]-(cadangan3[[#This Row],[Profit C]]*cadangan3[[#This Row],[Diskon]]),cadangan3[[#This Row],[Profit C]])</f>
        <v>160000</v>
      </c>
      <c r="AG450" s="21">
        <f>cadangan3[[#This Row],[Qty A]]+cadangan3[[#This Row],[Qty B]]+cadangan3[[#This Row],[Qty C]]</f>
        <v>7</v>
      </c>
      <c r="AH450" s="35">
        <f>cadangan3[[#This Row],[Harga A + Diskon]]+cadangan3[[#This Row],[Harga + Diskon B]]+cadangan3[[#This Row],[Harga + Diskon C]]</f>
        <v>1600000</v>
      </c>
      <c r="AI450" s="35">
        <f>(cadangan3[[#This Row],[Profit A]]+cadangan3[[#This Row],[Profit B]]+cadangan3[[#This Row],[Profit C]])</f>
        <v>800000</v>
      </c>
      <c r="AJ450" s="35">
        <f>cadangan3[[#This Row],[Provit A + Diskon]]+cadangan3[[#This Row],[Provit B + Diskon]]+cadangan3[[#This Row],[Provit C + Diskon]]</f>
        <v>640000</v>
      </c>
      <c r="AK450" s="23" t="s">
        <v>8</v>
      </c>
      <c r="AL450" s="37">
        <f>IFERROR(INDEX('Kode Diskon'!$D$3:$D$9,MATCH(cadangan3[[#This Row],[Kode diskon]],'Kode Diskon'!$C$3:$C$9,0)),"-")</f>
        <v>0.2</v>
      </c>
      <c r="AM450" s="23" t="s">
        <v>9</v>
      </c>
      <c r="AN450" s="23" t="s">
        <v>7</v>
      </c>
      <c r="AO450" s="23" t="s">
        <v>76</v>
      </c>
      <c r="AP450" s="24">
        <v>45038</v>
      </c>
      <c r="AQ450" s="23" t="str">
        <f>TEXT(cadangan3[[#This Row],[Tanggal terjual]],"dddd")</f>
        <v>Saturday</v>
      </c>
    </row>
    <row r="451" spans="1:43" x14ac:dyDescent="0.2">
      <c r="A451" s="20">
        <v>450</v>
      </c>
      <c r="B451" s="21" t="str">
        <f>_xlfn.CONCAT("ORD-",INDEX(Helper!$B$2:$B$5,MATCH(cadangan3[[#This Row],[Marketplace]],Helper!$A$2:$A$5,0)),TEXT(cadangan3[[#This Row],[No]],"0000"),"-",TEXT(cadangan3[[#This Row],[Tanggal terjual]],"dd/mm/yy"))</f>
        <v>ORD-TK0450-17/04/23</v>
      </c>
      <c r="C451" t="s">
        <v>66</v>
      </c>
      <c r="D451" t="str">
        <f>IFERROR(INDEX(Katalog!$A$3:$A$12,MATCH(cadangan3[[#This Row],[ItemID A]],Katalog!$C$3:$C$12,0)),"-")</f>
        <v>Sepatu Pria</v>
      </c>
      <c r="E451" t="str">
        <f>IFERROR(INDEX(Katalog!$B$3:$B$12,MATCH(cadangan3[[#This Row],[ItemID A]],Katalog!$C$3:$C$12,0)),"-")</f>
        <v>Sandal Slip On</v>
      </c>
      <c r="F451">
        <v>6</v>
      </c>
      <c r="G451">
        <v>3</v>
      </c>
      <c r="H451" s="36">
        <f>IFERROR(INDEX(Katalog!$D$3:$D$12,MATCH(cadangan3[[#This Row],[ItemID A]],Katalog!$C$3:$C$12,0))*cadangan3[[#This Row],[Qty A]],0)</f>
        <v>900000</v>
      </c>
      <c r="I451" s="36">
        <f>IFERROR(INDEX(Katalog!$D$3:$D$12,MATCH(cadangan3[[#This Row],[Item A]],Katalog!$B$3:$B$12,0))*cadangan3[[#This Row],[Qty A]],0)</f>
        <v>900000</v>
      </c>
      <c r="J451" s="36">
        <f>IFERROR(cadangan3[[#This Row],[Harga Asli A]]-(cadangan3[[#This Row],[Harga Asli A]]*cadangan3[[#This Row],[Diskon]]),cadangan3[[#This Row],[Harga Asli A]])</f>
        <v>810000</v>
      </c>
      <c r="K451" s="36">
        <f>INDEX(Katalog!$F$3:$F$12,MATCH(cadangan3[[#This Row],[ItemID A]],Katalog!$C$3:$C$12,0))*cadangan3[[#This Row],[Qty A]]</f>
        <v>360000</v>
      </c>
      <c r="L451" s="36">
        <f>IFERROR(cadangan3[[#This Row],[Profit A]]-(cadangan3[[#This Row],[Profit A]]*cadangan3[[#This Row],[Diskon]]),K451)</f>
        <v>324000</v>
      </c>
      <c r="N451" t="str">
        <f>IFERROR(INDEX(Katalog!$A$3:$A$12,MATCH(cadangan3[[#This Row],[ItemID B]],Katalog!$C$3:$C$12,0)),"-")</f>
        <v>-</v>
      </c>
      <c r="O451" t="str">
        <f>IFERROR(INDEX(Katalog!$B$3:$B$12,MATCH(cadangan3[[#This Row],[ItemID B]],Katalog!$C$3:$C$12,0)),"-")</f>
        <v>-</v>
      </c>
      <c r="R451" s="36">
        <f>IFERROR(INDEX(Katalog!$D$3:$D$12,MATCH(cadangan3[[#This Row],[ItemID B]],Katalog!$C$3:$C$12,0))*cadangan3[[#This Row],[Qty B]],0)</f>
        <v>0</v>
      </c>
      <c r="S451" s="36">
        <f>IFERROR(INDEX(Katalog!$D$3:$D$12,MATCH(cadangan3[[#This Row],[Item B]],Katalog!$B$3:$B$12,0))*cadangan3[[#This Row],[Qty B]],0)</f>
        <v>0</v>
      </c>
      <c r="T451" s="36">
        <f>IFERROR(cadangan3[[#This Row],[Harga Asli B]]-(cadangan3[[#This Row],[Harga Asli B]]*cadangan3[[#This Row],[Diskon]]),cadangan3[[#This Row],[Harga Asli B]])</f>
        <v>0</v>
      </c>
      <c r="U451" s="36">
        <f>IFERROR(INDEX(Katalog!$F$3:$F$12,MATCH(cadangan3[[#This Row],[ItemID B]],Katalog!$C$3:$C$12,0))*cadangan3[[#This Row],[Qty B]],0)</f>
        <v>0</v>
      </c>
      <c r="V451" s="36">
        <f>IFERROR(cadangan3[[#This Row],[Profit B]]-(cadangan3[[#This Row],[Profit B]]*cadangan3[[#This Row],[Diskon]]),U451)</f>
        <v>0</v>
      </c>
      <c r="X451" t="str">
        <f>IFERROR(INDEX(Katalog!$A$3:$A$12,MATCH(cadangan3[[#This Row],[ItemID C]],Katalog!$C$3:$C$12,0)),"-")</f>
        <v>-</v>
      </c>
      <c r="Y451" t="str">
        <f>IFERROR(INDEX(Katalog!$B$3:$B$12,MATCH(cadangan3[[#This Row],[ItemID C]],Katalog!$C$3:$C$12,0)),"-")</f>
        <v>-</v>
      </c>
      <c r="AB451" s="36">
        <f>IFERROR(INDEX(Katalog!$D$3:$D$12,MATCH(cadangan3[[#This Row],[ItemID C]],Katalog!$C$3:$C$12,0))*cadangan3[[#This Row],[Qty C]],0)</f>
        <v>0</v>
      </c>
      <c r="AC451" s="36">
        <f>IFERROR(INDEX(Katalog!$D$3:$D$12,MATCH(cadangan3[[#This Row],[Item C]],Katalog!$B$3:$B$12,0))*cadangan3[[#This Row],[Qty C]],0)</f>
        <v>0</v>
      </c>
      <c r="AD451" s="36">
        <f>IFERROR(cadangan3[[#This Row],[Harga Asli C]]-(cadangan3[[#This Row],[Harga Asli C]]*cadangan3[[#This Row],[Diskon]]),cadangan3[[#This Row],[Harga Asli C]])</f>
        <v>0</v>
      </c>
      <c r="AE451" s="36">
        <f>IFERROR(INDEX(Katalog!$F$3:$F$12,MATCH(cadangan3[[#This Row],[ItemID C]],Katalog!$C$3:$C$12,0))*cadangan3[[#This Row],[Qty C]],0)</f>
        <v>0</v>
      </c>
      <c r="AF451" s="36">
        <f>IFERROR(cadangan3[[#This Row],[Profit C]]-(cadangan3[[#This Row],[Profit C]]*cadangan3[[#This Row],[Diskon]]),cadangan3[[#This Row],[Profit C]])</f>
        <v>0</v>
      </c>
      <c r="AG451" s="21">
        <f>cadangan3[[#This Row],[Qty A]]+cadangan3[[#This Row],[Qty B]]+cadangan3[[#This Row],[Qty C]]</f>
        <v>6</v>
      </c>
      <c r="AH451" s="35">
        <f>cadangan3[[#This Row],[Harga A + Diskon]]+cadangan3[[#This Row],[Harga + Diskon B]]+cadangan3[[#This Row],[Harga + Diskon C]]</f>
        <v>810000</v>
      </c>
      <c r="AI451" s="35">
        <f>(cadangan3[[#This Row],[Profit A]]+cadangan3[[#This Row],[Profit B]]+cadangan3[[#This Row],[Profit C]])</f>
        <v>360000</v>
      </c>
      <c r="AJ451" s="35">
        <f>cadangan3[[#This Row],[Provit A + Diskon]]+cadangan3[[#This Row],[Provit B + Diskon]]+cadangan3[[#This Row],[Provit C + Diskon]]</f>
        <v>324000</v>
      </c>
      <c r="AK451" s="23" t="s">
        <v>31</v>
      </c>
      <c r="AL451" s="37">
        <f>IFERROR(INDEX('Kode Diskon'!$D$3:$D$9,MATCH(cadangan3[[#This Row],[Kode diskon]],'Kode Diskon'!$C$3:$C$9,0)),"-")</f>
        <v>0.1</v>
      </c>
      <c r="AM451" s="23" t="s">
        <v>9</v>
      </c>
      <c r="AN451" s="23" t="s">
        <v>10</v>
      </c>
      <c r="AO451" s="23" t="s">
        <v>80</v>
      </c>
      <c r="AP451" s="24">
        <v>45033</v>
      </c>
      <c r="AQ451" s="23" t="str">
        <f>TEXT(cadangan3[[#This Row],[Tanggal terjual]],"dddd")</f>
        <v>Monday</v>
      </c>
    </row>
    <row r="452" spans="1:43" x14ac:dyDescent="0.2">
      <c r="A452" s="20">
        <v>451</v>
      </c>
      <c r="B452" s="21" t="str">
        <f>_xlfn.CONCAT("ORD-",INDEX(Helper!$B$2:$B$5,MATCH(cadangan3[[#This Row],[Marketplace]],Helper!$A$2:$A$5,0)),TEXT(cadangan3[[#This Row],[No]],"0000"),"-",TEXT(cadangan3[[#This Row],[Tanggal terjual]],"dd/mm/yy"))</f>
        <v>ORD-BL0451-21/04/23</v>
      </c>
      <c r="C452" t="s">
        <v>66</v>
      </c>
      <c r="D452" t="str">
        <f>IFERROR(INDEX(Katalog!$A$3:$A$12,MATCH(cadangan3[[#This Row],[ItemID A]],Katalog!$C$3:$C$12,0)),"-")</f>
        <v>Sepatu Pria</v>
      </c>
      <c r="E452" t="str">
        <f>IFERROR(INDEX(Katalog!$B$3:$B$12,MATCH(cadangan3[[#This Row],[ItemID A]],Katalog!$C$3:$C$12,0)),"-")</f>
        <v>Sandal Slip On</v>
      </c>
      <c r="F452">
        <v>1</v>
      </c>
      <c r="G452">
        <v>4</v>
      </c>
      <c r="H452" s="36">
        <f>IFERROR(INDEX(Katalog!$D$3:$D$12,MATCH(cadangan3[[#This Row],[ItemID A]],Katalog!$C$3:$C$12,0))*cadangan3[[#This Row],[Qty A]],0)</f>
        <v>150000</v>
      </c>
      <c r="I452" s="36">
        <f>IFERROR(INDEX(Katalog!$D$3:$D$12,MATCH(cadangan3[[#This Row],[Item A]],Katalog!$B$3:$B$12,0))*cadangan3[[#This Row],[Qty A]],0)</f>
        <v>150000</v>
      </c>
      <c r="J452" s="36">
        <f>IFERROR(cadangan3[[#This Row],[Harga Asli A]]-(cadangan3[[#This Row],[Harga Asli A]]*cadangan3[[#This Row],[Diskon]]),cadangan3[[#This Row],[Harga Asli A]])</f>
        <v>127500</v>
      </c>
      <c r="K452" s="36">
        <f>INDEX(Katalog!$F$3:$F$12,MATCH(cadangan3[[#This Row],[ItemID A]],Katalog!$C$3:$C$12,0))*cadangan3[[#This Row],[Qty A]]</f>
        <v>60000</v>
      </c>
      <c r="L452" s="36">
        <f>IFERROR(cadangan3[[#This Row],[Profit A]]-(cadangan3[[#This Row],[Profit A]]*cadangan3[[#This Row],[Diskon]]),K452)</f>
        <v>51000</v>
      </c>
      <c r="N452" t="str">
        <f>IFERROR(INDEX(Katalog!$A$3:$A$12,MATCH(cadangan3[[#This Row],[ItemID B]],Katalog!$C$3:$C$12,0)),"-")</f>
        <v>-</v>
      </c>
      <c r="O452" t="str">
        <f>IFERROR(INDEX(Katalog!$B$3:$B$12,MATCH(cadangan3[[#This Row],[ItemID B]],Katalog!$C$3:$C$12,0)),"-")</f>
        <v>-</v>
      </c>
      <c r="R452" s="36">
        <f>IFERROR(INDEX(Katalog!$D$3:$D$12,MATCH(cadangan3[[#This Row],[ItemID B]],Katalog!$C$3:$C$12,0))*cadangan3[[#This Row],[Qty B]],0)</f>
        <v>0</v>
      </c>
      <c r="S452" s="36">
        <f>IFERROR(INDEX(Katalog!$D$3:$D$12,MATCH(cadangan3[[#This Row],[Item B]],Katalog!$B$3:$B$12,0))*cadangan3[[#This Row],[Qty B]],0)</f>
        <v>0</v>
      </c>
      <c r="T452" s="36">
        <f>IFERROR(cadangan3[[#This Row],[Harga Asli B]]-(cadangan3[[#This Row],[Harga Asli B]]*cadangan3[[#This Row],[Diskon]]),cadangan3[[#This Row],[Harga Asli B]])</f>
        <v>0</v>
      </c>
      <c r="U452" s="36">
        <f>IFERROR(INDEX(Katalog!$F$3:$F$12,MATCH(cadangan3[[#This Row],[ItemID B]],Katalog!$C$3:$C$12,0))*cadangan3[[#This Row],[Qty B]],0)</f>
        <v>0</v>
      </c>
      <c r="V452" s="36">
        <f>IFERROR(cadangan3[[#This Row],[Profit B]]-(cadangan3[[#This Row],[Profit B]]*cadangan3[[#This Row],[Diskon]]),U452)</f>
        <v>0</v>
      </c>
      <c r="X452" t="str">
        <f>IFERROR(INDEX(Katalog!$A$3:$A$12,MATCH(cadangan3[[#This Row],[ItemID C]],Katalog!$C$3:$C$12,0)),"-")</f>
        <v>-</v>
      </c>
      <c r="Y452" t="str">
        <f>IFERROR(INDEX(Katalog!$B$3:$B$12,MATCH(cadangan3[[#This Row],[ItemID C]],Katalog!$C$3:$C$12,0)),"-")</f>
        <v>-</v>
      </c>
      <c r="AB452" s="36">
        <f>IFERROR(INDEX(Katalog!$D$3:$D$12,MATCH(cadangan3[[#This Row],[ItemID C]],Katalog!$C$3:$C$12,0))*cadangan3[[#This Row],[Qty C]],0)</f>
        <v>0</v>
      </c>
      <c r="AC452" s="36">
        <f>IFERROR(INDEX(Katalog!$D$3:$D$12,MATCH(cadangan3[[#This Row],[Item C]],Katalog!$B$3:$B$12,0))*cadangan3[[#This Row],[Qty C]],0)</f>
        <v>0</v>
      </c>
      <c r="AD452" s="36">
        <f>IFERROR(cadangan3[[#This Row],[Harga Asli C]]-(cadangan3[[#This Row],[Harga Asli C]]*cadangan3[[#This Row],[Diskon]]),cadangan3[[#This Row],[Harga Asli C]])</f>
        <v>0</v>
      </c>
      <c r="AE452" s="36">
        <f>IFERROR(INDEX(Katalog!$F$3:$F$12,MATCH(cadangan3[[#This Row],[ItemID C]],Katalog!$C$3:$C$12,0))*cadangan3[[#This Row],[Qty C]],0)</f>
        <v>0</v>
      </c>
      <c r="AF452" s="36">
        <f>IFERROR(cadangan3[[#This Row],[Profit C]]-(cadangan3[[#This Row],[Profit C]]*cadangan3[[#This Row],[Diskon]]),cadangan3[[#This Row],[Profit C]])</f>
        <v>0</v>
      </c>
      <c r="AG452" s="21">
        <f>cadangan3[[#This Row],[Qty A]]+cadangan3[[#This Row],[Qty B]]+cadangan3[[#This Row],[Qty C]]</f>
        <v>1</v>
      </c>
      <c r="AH452" s="35">
        <f>cadangan3[[#This Row],[Harga A + Diskon]]+cadangan3[[#This Row],[Harga + Diskon B]]+cadangan3[[#This Row],[Harga + Diskon C]]</f>
        <v>127500</v>
      </c>
      <c r="AI452" s="35">
        <f>(cadangan3[[#This Row],[Profit A]]+cadangan3[[#This Row],[Profit B]]+cadangan3[[#This Row],[Profit C]])</f>
        <v>60000</v>
      </c>
      <c r="AJ452" s="35">
        <f>cadangan3[[#This Row],[Provit A + Diskon]]+cadangan3[[#This Row],[Provit B + Diskon]]+cadangan3[[#This Row],[Provit C + Diskon]]</f>
        <v>51000</v>
      </c>
      <c r="AK452" s="23" t="s">
        <v>32</v>
      </c>
      <c r="AL452" s="37">
        <f>IFERROR(INDEX('Kode Diskon'!$D$3:$D$9,MATCH(cadangan3[[#This Row],[Kode diskon]],'Kode Diskon'!$C$3:$C$9,0)),"-")</f>
        <v>0.15</v>
      </c>
      <c r="AM452" s="23" t="s">
        <v>9</v>
      </c>
      <c r="AN452" s="23" t="s">
        <v>12</v>
      </c>
      <c r="AO452" s="23" t="s">
        <v>80</v>
      </c>
      <c r="AP452" s="24">
        <v>45037</v>
      </c>
      <c r="AQ452" s="23" t="str">
        <f>TEXT(cadangan3[[#This Row],[Tanggal terjual]],"dddd")</f>
        <v>Friday</v>
      </c>
    </row>
    <row r="453" spans="1:43" x14ac:dyDescent="0.2">
      <c r="A453" s="20">
        <v>452</v>
      </c>
      <c r="B453" s="21" t="str">
        <f>_xlfn.CONCAT("ORD-",INDEX(Helper!$B$2:$B$5,MATCH(cadangan3[[#This Row],[Marketplace]],Helper!$A$2:$A$5,0)),TEXT(cadangan3[[#This Row],[No]],"0000"),"-",TEXT(cadangan3[[#This Row],[Tanggal terjual]],"dd/mm/yy"))</f>
        <v>ORD-SP0452-01/04/23</v>
      </c>
      <c r="C453" t="s">
        <v>63</v>
      </c>
      <c r="D453" t="str">
        <f>IFERROR(INDEX(Katalog!$A$3:$A$12,MATCH(cadangan3[[#This Row],[ItemID A]],Katalog!$C$3:$C$12,0)),"-")</f>
        <v>Pakaian Pria</v>
      </c>
      <c r="E453" t="str">
        <f>IFERROR(INDEX(Katalog!$B$3:$B$12,MATCH(cadangan3[[#This Row],[ItemID A]],Katalog!$C$3:$C$12,0)),"-")</f>
        <v>Jaket Jeans</v>
      </c>
      <c r="F453">
        <v>2</v>
      </c>
      <c r="G453">
        <v>2</v>
      </c>
      <c r="H453" s="36">
        <f>IFERROR(INDEX(Katalog!$D$3:$D$12,MATCH(cadangan3[[#This Row],[ItemID A]],Katalog!$C$3:$C$12,0))*cadangan3[[#This Row],[Qty A]],0)</f>
        <v>800000</v>
      </c>
      <c r="I453" s="36">
        <f>IFERROR(INDEX(Katalog!$D$3:$D$12,MATCH(cadangan3[[#This Row],[Item A]],Katalog!$B$3:$B$12,0))*cadangan3[[#This Row],[Qty A]],0)</f>
        <v>800000</v>
      </c>
      <c r="J453" s="36">
        <f>IFERROR(cadangan3[[#This Row],[Harga Asli A]]-(cadangan3[[#This Row],[Harga Asli A]]*cadangan3[[#This Row],[Diskon]]),cadangan3[[#This Row],[Harga Asli A]])</f>
        <v>680000</v>
      </c>
      <c r="K453" s="36">
        <f>INDEX(Katalog!$F$3:$F$12,MATCH(cadangan3[[#This Row],[ItemID A]],Katalog!$C$3:$C$12,0))*cadangan3[[#This Row],[Qty A]]</f>
        <v>300000</v>
      </c>
      <c r="L453" s="36">
        <f>IFERROR(cadangan3[[#This Row],[Profit A]]-(cadangan3[[#This Row],[Profit A]]*cadangan3[[#This Row],[Diskon]]),K453)</f>
        <v>255000</v>
      </c>
      <c r="N453" t="str">
        <f>IFERROR(INDEX(Katalog!$A$3:$A$12,MATCH(cadangan3[[#This Row],[ItemID B]],Katalog!$C$3:$C$12,0)),"-")</f>
        <v>-</v>
      </c>
      <c r="O453" t="str">
        <f>IFERROR(INDEX(Katalog!$B$3:$B$12,MATCH(cadangan3[[#This Row],[ItemID B]],Katalog!$C$3:$C$12,0)),"-")</f>
        <v>-</v>
      </c>
      <c r="R453" s="36">
        <f>IFERROR(INDEX(Katalog!$D$3:$D$12,MATCH(cadangan3[[#This Row],[ItemID B]],Katalog!$C$3:$C$12,0))*cadangan3[[#This Row],[Qty B]],0)</f>
        <v>0</v>
      </c>
      <c r="S453" s="36">
        <f>IFERROR(INDEX(Katalog!$D$3:$D$12,MATCH(cadangan3[[#This Row],[Item B]],Katalog!$B$3:$B$12,0))*cadangan3[[#This Row],[Qty B]],0)</f>
        <v>0</v>
      </c>
      <c r="T453" s="36">
        <f>IFERROR(cadangan3[[#This Row],[Harga Asli B]]-(cadangan3[[#This Row],[Harga Asli B]]*cadangan3[[#This Row],[Diskon]]),cadangan3[[#This Row],[Harga Asli B]])</f>
        <v>0</v>
      </c>
      <c r="U453" s="36">
        <f>IFERROR(INDEX(Katalog!$F$3:$F$12,MATCH(cadangan3[[#This Row],[ItemID B]],Katalog!$C$3:$C$12,0))*cadangan3[[#This Row],[Qty B]],0)</f>
        <v>0</v>
      </c>
      <c r="V453" s="36">
        <f>IFERROR(cadangan3[[#This Row],[Profit B]]-(cadangan3[[#This Row],[Profit B]]*cadangan3[[#This Row],[Diskon]]),U453)</f>
        <v>0</v>
      </c>
      <c r="X453" t="str">
        <f>IFERROR(INDEX(Katalog!$A$3:$A$12,MATCH(cadangan3[[#This Row],[ItemID C]],Katalog!$C$3:$C$12,0)),"-")</f>
        <v>-</v>
      </c>
      <c r="Y453" t="str">
        <f>IFERROR(INDEX(Katalog!$B$3:$B$12,MATCH(cadangan3[[#This Row],[ItemID C]],Katalog!$C$3:$C$12,0)),"-")</f>
        <v>-</v>
      </c>
      <c r="AB453" s="36">
        <f>IFERROR(INDEX(Katalog!$D$3:$D$12,MATCH(cadangan3[[#This Row],[ItemID C]],Katalog!$C$3:$C$12,0))*cadangan3[[#This Row],[Qty C]],0)</f>
        <v>0</v>
      </c>
      <c r="AC453" s="36">
        <f>IFERROR(INDEX(Katalog!$D$3:$D$12,MATCH(cadangan3[[#This Row],[Item C]],Katalog!$B$3:$B$12,0))*cadangan3[[#This Row],[Qty C]],0)</f>
        <v>0</v>
      </c>
      <c r="AD453" s="36">
        <f>IFERROR(cadangan3[[#This Row],[Harga Asli C]]-(cadangan3[[#This Row],[Harga Asli C]]*cadangan3[[#This Row],[Diskon]]),cadangan3[[#This Row],[Harga Asli C]])</f>
        <v>0</v>
      </c>
      <c r="AE453" s="36">
        <f>IFERROR(INDEX(Katalog!$F$3:$F$12,MATCH(cadangan3[[#This Row],[ItemID C]],Katalog!$C$3:$C$12,0))*cadangan3[[#This Row],[Qty C]],0)</f>
        <v>0</v>
      </c>
      <c r="AF453" s="36">
        <f>IFERROR(cadangan3[[#This Row],[Profit C]]-(cadangan3[[#This Row],[Profit C]]*cadangan3[[#This Row],[Diskon]]),cadangan3[[#This Row],[Profit C]])</f>
        <v>0</v>
      </c>
      <c r="AG453" s="21">
        <f>cadangan3[[#This Row],[Qty A]]+cadangan3[[#This Row],[Qty B]]+cadangan3[[#This Row],[Qty C]]</f>
        <v>2</v>
      </c>
      <c r="AH453" s="35">
        <f>cadangan3[[#This Row],[Harga A + Diskon]]+cadangan3[[#This Row],[Harga + Diskon B]]+cadangan3[[#This Row],[Harga + Diskon C]]</f>
        <v>680000</v>
      </c>
      <c r="AI453" s="35">
        <f>(cadangan3[[#This Row],[Profit A]]+cadangan3[[#This Row],[Profit B]]+cadangan3[[#This Row],[Profit C]])</f>
        <v>300000</v>
      </c>
      <c r="AJ453" s="35">
        <f>cadangan3[[#This Row],[Provit A + Diskon]]+cadangan3[[#This Row],[Provit B + Diskon]]+cadangan3[[#This Row],[Provit C + Diskon]]</f>
        <v>255000</v>
      </c>
      <c r="AK453" s="23" t="s">
        <v>13</v>
      </c>
      <c r="AL453" s="37">
        <f>IFERROR(INDEX('Kode Diskon'!$D$3:$D$9,MATCH(cadangan3[[#This Row],[Kode diskon]],'Kode Diskon'!$C$3:$C$9,0)),"-")</f>
        <v>0.15</v>
      </c>
      <c r="AM453" s="23" t="s">
        <v>29</v>
      </c>
      <c r="AN453" s="23" t="s">
        <v>7</v>
      </c>
      <c r="AO453" s="23" t="s">
        <v>80</v>
      </c>
      <c r="AP453" s="24">
        <v>45017</v>
      </c>
      <c r="AQ453" s="23" t="str">
        <f>TEXT(cadangan3[[#This Row],[Tanggal terjual]],"dddd")</f>
        <v>Saturday</v>
      </c>
    </row>
    <row r="454" spans="1:43" x14ac:dyDescent="0.2">
      <c r="A454" s="20">
        <v>453</v>
      </c>
      <c r="B454" s="21" t="str">
        <f>_xlfn.CONCAT("ORD-",INDEX(Helper!$B$2:$B$5,MATCH(cadangan3[[#This Row],[Marketplace]],Helper!$A$2:$A$5,0)),TEXT(cadangan3[[#This Row],[No]],"0000"),"-",TEXT(cadangan3[[#This Row],[Tanggal terjual]],"dd/mm/yy"))</f>
        <v>ORD-BL0453-07/04/23</v>
      </c>
      <c r="C454" t="s">
        <v>60</v>
      </c>
      <c r="D454" t="str">
        <f>IFERROR(INDEX(Katalog!$A$3:$A$12,MATCH(cadangan3[[#This Row],[ItemID A]],Katalog!$C$3:$C$12,0)),"-")</f>
        <v>Pakaian Wanita</v>
      </c>
      <c r="E454" t="str">
        <f>IFERROR(INDEX(Katalog!$B$3:$B$12,MATCH(cadangan3[[#This Row],[ItemID A]],Katalog!$C$3:$C$12,0)),"-")</f>
        <v>Kaftan</v>
      </c>
      <c r="F454">
        <v>1</v>
      </c>
      <c r="G454">
        <v>5</v>
      </c>
      <c r="H454" s="36">
        <f>IFERROR(INDEX(Katalog!$D$3:$D$12,MATCH(cadangan3[[#This Row],[ItemID A]],Katalog!$C$3:$C$12,0))*cadangan3[[#This Row],[Qty A]],0)</f>
        <v>250000</v>
      </c>
      <c r="I454" s="36">
        <f>IFERROR(INDEX(Katalog!$D$3:$D$12,MATCH(cadangan3[[#This Row],[Item A]],Katalog!$B$3:$B$12,0))*cadangan3[[#This Row],[Qty A]],0)</f>
        <v>250000</v>
      </c>
      <c r="J454" s="36">
        <f>IFERROR(cadangan3[[#This Row],[Harga Asli A]]-(cadangan3[[#This Row],[Harga Asli A]]*cadangan3[[#This Row],[Diskon]]),cadangan3[[#This Row],[Harga Asli A]])</f>
        <v>250000</v>
      </c>
      <c r="K454" s="36">
        <f>INDEX(Katalog!$F$3:$F$12,MATCH(cadangan3[[#This Row],[ItemID A]],Katalog!$C$3:$C$12,0))*cadangan3[[#This Row],[Qty A]]</f>
        <v>100000</v>
      </c>
      <c r="L454" s="36">
        <f>IFERROR(cadangan3[[#This Row],[Profit A]]-(cadangan3[[#This Row],[Profit A]]*cadangan3[[#This Row],[Diskon]]),K454)</f>
        <v>100000</v>
      </c>
      <c r="N454" t="str">
        <f>IFERROR(INDEX(Katalog!$A$3:$A$12,MATCH(cadangan3[[#This Row],[ItemID B]],Katalog!$C$3:$C$12,0)),"-")</f>
        <v>-</v>
      </c>
      <c r="O454" t="str">
        <f>IFERROR(INDEX(Katalog!$B$3:$B$12,MATCH(cadangan3[[#This Row],[ItemID B]],Katalog!$C$3:$C$12,0)),"-")</f>
        <v>-</v>
      </c>
      <c r="R454" s="36">
        <f>IFERROR(INDEX(Katalog!$D$3:$D$12,MATCH(cadangan3[[#This Row],[ItemID B]],Katalog!$C$3:$C$12,0))*cadangan3[[#This Row],[Qty B]],0)</f>
        <v>0</v>
      </c>
      <c r="S454" s="36">
        <f>IFERROR(INDEX(Katalog!$D$3:$D$12,MATCH(cadangan3[[#This Row],[Item B]],Katalog!$B$3:$B$12,0))*cadangan3[[#This Row],[Qty B]],0)</f>
        <v>0</v>
      </c>
      <c r="T454" s="36">
        <f>IFERROR(cadangan3[[#This Row],[Harga Asli B]]-(cadangan3[[#This Row],[Harga Asli B]]*cadangan3[[#This Row],[Diskon]]),cadangan3[[#This Row],[Harga Asli B]])</f>
        <v>0</v>
      </c>
      <c r="U454" s="36">
        <f>IFERROR(INDEX(Katalog!$F$3:$F$12,MATCH(cadangan3[[#This Row],[ItemID B]],Katalog!$C$3:$C$12,0))*cadangan3[[#This Row],[Qty B]],0)</f>
        <v>0</v>
      </c>
      <c r="V454" s="36">
        <f>IFERROR(cadangan3[[#This Row],[Profit B]]-(cadangan3[[#This Row],[Profit B]]*cadangan3[[#This Row],[Diskon]]),U454)</f>
        <v>0</v>
      </c>
      <c r="X454" t="str">
        <f>IFERROR(INDEX(Katalog!$A$3:$A$12,MATCH(cadangan3[[#This Row],[ItemID C]],Katalog!$C$3:$C$12,0)),"-")</f>
        <v>-</v>
      </c>
      <c r="Y454" t="str">
        <f>IFERROR(INDEX(Katalog!$B$3:$B$12,MATCH(cadangan3[[#This Row],[ItemID C]],Katalog!$C$3:$C$12,0)),"-")</f>
        <v>-</v>
      </c>
      <c r="AB454" s="36">
        <f>IFERROR(INDEX(Katalog!$D$3:$D$12,MATCH(cadangan3[[#This Row],[ItemID C]],Katalog!$C$3:$C$12,0))*cadangan3[[#This Row],[Qty C]],0)</f>
        <v>0</v>
      </c>
      <c r="AC454" s="36">
        <f>IFERROR(INDEX(Katalog!$D$3:$D$12,MATCH(cadangan3[[#This Row],[Item C]],Katalog!$B$3:$B$12,0))*cadangan3[[#This Row],[Qty C]],0)</f>
        <v>0</v>
      </c>
      <c r="AD454" s="36">
        <f>IFERROR(cadangan3[[#This Row],[Harga Asli C]]-(cadangan3[[#This Row],[Harga Asli C]]*cadangan3[[#This Row],[Diskon]]),cadangan3[[#This Row],[Harga Asli C]])</f>
        <v>0</v>
      </c>
      <c r="AE454" s="36">
        <f>IFERROR(INDEX(Katalog!$F$3:$F$12,MATCH(cadangan3[[#This Row],[ItemID C]],Katalog!$C$3:$C$12,0))*cadangan3[[#This Row],[Qty C]],0)</f>
        <v>0</v>
      </c>
      <c r="AF454" s="36">
        <f>IFERROR(cadangan3[[#This Row],[Profit C]]-(cadangan3[[#This Row],[Profit C]]*cadangan3[[#This Row],[Diskon]]),cadangan3[[#This Row],[Profit C]])</f>
        <v>0</v>
      </c>
      <c r="AG454" s="21">
        <f>cadangan3[[#This Row],[Qty A]]+cadangan3[[#This Row],[Qty B]]+cadangan3[[#This Row],[Qty C]]</f>
        <v>1</v>
      </c>
      <c r="AH454" s="35">
        <f>cadangan3[[#This Row],[Harga A + Diskon]]+cadangan3[[#This Row],[Harga + Diskon B]]+cadangan3[[#This Row],[Harga + Diskon C]]</f>
        <v>250000</v>
      </c>
      <c r="AI454" s="35">
        <f>(cadangan3[[#This Row],[Profit A]]+cadangan3[[#This Row],[Profit B]]+cadangan3[[#This Row],[Profit C]])</f>
        <v>100000</v>
      </c>
      <c r="AJ454" s="35">
        <f>cadangan3[[#This Row],[Provit A + Diskon]]+cadangan3[[#This Row],[Provit B + Diskon]]+cadangan3[[#This Row],[Provit C + Diskon]]</f>
        <v>100000</v>
      </c>
      <c r="AK454" s="23" t="s">
        <v>11</v>
      </c>
      <c r="AL454" s="37" t="str">
        <f>IFERROR(INDEX('Kode Diskon'!$D$3:$D$9,MATCH(cadangan3[[#This Row],[Kode diskon]],'Kode Diskon'!$C$3:$C$9,0)),"-")</f>
        <v>-</v>
      </c>
      <c r="AM454" s="23" t="s">
        <v>11</v>
      </c>
      <c r="AN454" s="23" t="s">
        <v>12</v>
      </c>
      <c r="AO454" s="23" t="s">
        <v>80</v>
      </c>
      <c r="AP454" s="24">
        <v>45023</v>
      </c>
      <c r="AQ454" s="23" t="str">
        <f>TEXT(cadangan3[[#This Row],[Tanggal terjual]],"dddd")</f>
        <v>Friday</v>
      </c>
    </row>
    <row r="455" spans="1:43" x14ac:dyDescent="0.2">
      <c r="A455" s="20">
        <v>454</v>
      </c>
      <c r="B455" s="21" t="str">
        <f>_xlfn.CONCAT("ORD-",INDEX(Helper!$B$2:$B$5,MATCH(cadangan3[[#This Row],[Marketplace]],Helper!$A$2:$A$5,0)),TEXT(cadangan3[[#This Row],[No]],"0000"),"-",TEXT(cadangan3[[#This Row],[Tanggal terjual]],"dd/mm/yy"))</f>
        <v>ORD-TK0454-16/04/23</v>
      </c>
      <c r="C455" t="s">
        <v>60</v>
      </c>
      <c r="D455" t="str">
        <f>IFERROR(INDEX(Katalog!$A$3:$A$12,MATCH(cadangan3[[#This Row],[ItemID A]],Katalog!$C$3:$C$12,0)),"-")</f>
        <v>Pakaian Wanita</v>
      </c>
      <c r="E455" t="str">
        <f>IFERROR(INDEX(Katalog!$B$3:$B$12,MATCH(cadangan3[[#This Row],[ItemID A]],Katalog!$C$3:$C$12,0)),"-")</f>
        <v>Kaftan</v>
      </c>
      <c r="F455">
        <v>2</v>
      </c>
      <c r="G455">
        <v>2</v>
      </c>
      <c r="H455" s="36">
        <f>IFERROR(INDEX(Katalog!$D$3:$D$12,MATCH(cadangan3[[#This Row],[ItemID A]],Katalog!$C$3:$C$12,0))*cadangan3[[#This Row],[Qty A]],0)</f>
        <v>500000</v>
      </c>
      <c r="I455" s="36">
        <f>IFERROR(INDEX(Katalog!$D$3:$D$12,MATCH(cadangan3[[#This Row],[Item A]],Katalog!$B$3:$B$12,0))*cadangan3[[#This Row],[Qty A]],0)</f>
        <v>500000</v>
      </c>
      <c r="J455" s="36">
        <f>IFERROR(cadangan3[[#This Row],[Harga Asli A]]-(cadangan3[[#This Row],[Harga Asli A]]*cadangan3[[#This Row],[Diskon]]),cadangan3[[#This Row],[Harga Asli A]])</f>
        <v>450000</v>
      </c>
      <c r="K455" s="36">
        <f>INDEX(Katalog!$F$3:$F$12,MATCH(cadangan3[[#This Row],[ItemID A]],Katalog!$C$3:$C$12,0))*cadangan3[[#This Row],[Qty A]]</f>
        <v>200000</v>
      </c>
      <c r="L455" s="36">
        <f>IFERROR(cadangan3[[#This Row],[Profit A]]-(cadangan3[[#This Row],[Profit A]]*cadangan3[[#This Row],[Diskon]]),K455)</f>
        <v>180000</v>
      </c>
      <c r="M455" t="s">
        <v>59</v>
      </c>
      <c r="N455" t="str">
        <f>IFERROR(INDEX(Katalog!$A$3:$A$12,MATCH(cadangan3[[#This Row],[ItemID B]],Katalog!$C$3:$C$12,0)),"-")</f>
        <v>Pakaian Wanita</v>
      </c>
      <c r="O455" t="str">
        <f>IFERROR(INDEX(Katalog!$B$3:$B$12,MATCH(cadangan3[[#This Row],[ItemID B]],Katalog!$C$3:$C$12,0)),"-")</f>
        <v>Blouse</v>
      </c>
      <c r="P455">
        <v>3</v>
      </c>
      <c r="Q455">
        <v>1</v>
      </c>
      <c r="R455" s="36">
        <f>IFERROR(INDEX(Katalog!$D$3:$D$12,MATCH(cadangan3[[#This Row],[ItemID B]],Katalog!$C$3:$C$12,0))*cadangan3[[#This Row],[Qty B]],0)</f>
        <v>450000</v>
      </c>
      <c r="S455" s="36">
        <f>IFERROR(INDEX(Katalog!$D$3:$D$12,MATCH(cadangan3[[#This Row],[Item B]],Katalog!$B$3:$B$12,0))*cadangan3[[#This Row],[Qty B]],0)</f>
        <v>450000</v>
      </c>
      <c r="T455" s="36">
        <f>IFERROR(cadangan3[[#This Row],[Harga Asli B]]-(cadangan3[[#This Row],[Harga Asli B]]*cadangan3[[#This Row],[Diskon]]),cadangan3[[#This Row],[Harga Asli B]])</f>
        <v>405000</v>
      </c>
      <c r="U455" s="36">
        <f>IFERROR(INDEX(Katalog!$F$3:$F$12,MATCH(cadangan3[[#This Row],[ItemID B]],Katalog!$C$3:$C$12,0))*cadangan3[[#This Row],[Qty B]],0)</f>
        <v>150000</v>
      </c>
      <c r="V455" s="36">
        <f>IFERROR(cadangan3[[#This Row],[Profit B]]-(cadangan3[[#This Row],[Profit B]]*cadangan3[[#This Row],[Diskon]]),U455)</f>
        <v>135000</v>
      </c>
      <c r="X455" t="str">
        <f>IFERROR(INDEX(Katalog!$A$3:$A$12,MATCH(cadangan3[[#This Row],[ItemID C]],Katalog!$C$3:$C$12,0)),"-")</f>
        <v>-</v>
      </c>
      <c r="Y455" t="str">
        <f>IFERROR(INDEX(Katalog!$B$3:$B$12,MATCH(cadangan3[[#This Row],[ItemID C]],Katalog!$C$3:$C$12,0)),"-")</f>
        <v>-</v>
      </c>
      <c r="AB455" s="36">
        <f>IFERROR(INDEX(Katalog!$D$3:$D$12,MATCH(cadangan3[[#This Row],[ItemID C]],Katalog!$C$3:$C$12,0))*cadangan3[[#This Row],[Qty C]],0)</f>
        <v>0</v>
      </c>
      <c r="AC455" s="36">
        <f>IFERROR(INDEX(Katalog!$D$3:$D$12,MATCH(cadangan3[[#This Row],[Item C]],Katalog!$B$3:$B$12,0))*cadangan3[[#This Row],[Qty C]],0)</f>
        <v>0</v>
      </c>
      <c r="AD455" s="36">
        <f>IFERROR(cadangan3[[#This Row],[Harga Asli C]]-(cadangan3[[#This Row],[Harga Asli C]]*cadangan3[[#This Row],[Diskon]]),cadangan3[[#This Row],[Harga Asli C]])</f>
        <v>0</v>
      </c>
      <c r="AE455" s="36">
        <f>IFERROR(INDEX(Katalog!$F$3:$F$12,MATCH(cadangan3[[#This Row],[ItemID C]],Katalog!$C$3:$C$12,0))*cadangan3[[#This Row],[Qty C]],0)</f>
        <v>0</v>
      </c>
      <c r="AF455" s="36">
        <f>IFERROR(cadangan3[[#This Row],[Profit C]]-(cadangan3[[#This Row],[Profit C]]*cadangan3[[#This Row],[Diskon]]),cadangan3[[#This Row],[Profit C]])</f>
        <v>0</v>
      </c>
      <c r="AG455" s="21">
        <f>cadangan3[[#This Row],[Qty A]]+cadangan3[[#This Row],[Qty B]]+cadangan3[[#This Row],[Qty C]]</f>
        <v>5</v>
      </c>
      <c r="AH455" s="35">
        <f>cadangan3[[#This Row],[Harga A + Diskon]]+cadangan3[[#This Row],[Harga + Diskon B]]+cadangan3[[#This Row],[Harga + Diskon C]]</f>
        <v>855000</v>
      </c>
      <c r="AI455" s="35">
        <f>(cadangan3[[#This Row],[Profit A]]+cadangan3[[#This Row],[Profit B]]+cadangan3[[#This Row],[Profit C]])</f>
        <v>350000</v>
      </c>
      <c r="AJ455" s="35">
        <f>cadangan3[[#This Row],[Provit A + Diskon]]+cadangan3[[#This Row],[Provit B + Diskon]]+cadangan3[[#This Row],[Provit C + Diskon]]</f>
        <v>315000</v>
      </c>
      <c r="AK455" s="23" t="s">
        <v>31</v>
      </c>
      <c r="AL455" s="37">
        <f>IFERROR(INDEX('Kode Diskon'!$D$3:$D$9,MATCH(cadangan3[[#This Row],[Kode diskon]],'Kode Diskon'!$C$3:$C$9,0)),"-")</f>
        <v>0.1</v>
      </c>
      <c r="AM455" s="23" t="s">
        <v>9</v>
      </c>
      <c r="AN455" s="23" t="s">
        <v>10</v>
      </c>
      <c r="AO455" s="23" t="s">
        <v>80</v>
      </c>
      <c r="AP455" s="24">
        <v>45032</v>
      </c>
      <c r="AQ455" s="23" t="str">
        <f>TEXT(cadangan3[[#This Row],[Tanggal terjual]],"dddd")</f>
        <v>Sunday</v>
      </c>
    </row>
    <row r="456" spans="1:43" x14ac:dyDescent="0.2">
      <c r="A456" s="20">
        <v>455</v>
      </c>
      <c r="B456" s="21" t="str">
        <f>_xlfn.CONCAT("ORD-",INDEX(Helper!$B$2:$B$5,MATCH(cadangan3[[#This Row],[Marketplace]],Helper!$A$2:$A$5,0)),TEXT(cadangan3[[#This Row],[No]],"0000"),"-",TEXT(cadangan3[[#This Row],[Tanggal terjual]],"dd/mm/yy"))</f>
        <v>ORD-BL0455-28/04/23</v>
      </c>
      <c r="C456" t="s">
        <v>59</v>
      </c>
      <c r="D456" t="str">
        <f>IFERROR(INDEX(Katalog!$A$3:$A$12,MATCH(cadangan3[[#This Row],[ItemID A]],Katalog!$C$3:$C$12,0)),"-")</f>
        <v>Pakaian Wanita</v>
      </c>
      <c r="E456" t="str">
        <f>IFERROR(INDEX(Katalog!$B$3:$B$12,MATCH(cadangan3[[#This Row],[ItemID A]],Katalog!$C$3:$C$12,0)),"-")</f>
        <v>Blouse</v>
      </c>
      <c r="F456">
        <v>4</v>
      </c>
      <c r="G456">
        <v>5</v>
      </c>
      <c r="H456" s="36">
        <f>IFERROR(INDEX(Katalog!$D$3:$D$12,MATCH(cadangan3[[#This Row],[ItemID A]],Katalog!$C$3:$C$12,0))*cadangan3[[#This Row],[Qty A]],0)</f>
        <v>600000</v>
      </c>
      <c r="I456" s="36">
        <f>IFERROR(INDEX(Katalog!$D$3:$D$12,MATCH(cadangan3[[#This Row],[Item A]],Katalog!$B$3:$B$12,0))*cadangan3[[#This Row],[Qty A]],0)</f>
        <v>600000</v>
      </c>
      <c r="J456" s="36">
        <f>IFERROR(cadangan3[[#This Row],[Harga Asli A]]-(cadangan3[[#This Row],[Harga Asli A]]*cadangan3[[#This Row],[Diskon]]),cadangan3[[#This Row],[Harga Asli A]])</f>
        <v>510000</v>
      </c>
      <c r="K456" s="36">
        <f>INDEX(Katalog!$F$3:$F$12,MATCH(cadangan3[[#This Row],[ItemID A]],Katalog!$C$3:$C$12,0))*cadangan3[[#This Row],[Qty A]]</f>
        <v>200000</v>
      </c>
      <c r="L456" s="36">
        <f>IFERROR(cadangan3[[#This Row],[Profit A]]-(cadangan3[[#This Row],[Profit A]]*cadangan3[[#This Row],[Diskon]]),K456)</f>
        <v>170000</v>
      </c>
      <c r="M456" t="s">
        <v>65</v>
      </c>
      <c r="N456" t="str">
        <f>IFERROR(INDEX(Katalog!$A$3:$A$12,MATCH(cadangan3[[#This Row],[ItemID B]],Katalog!$C$3:$C$12,0)),"-")</f>
        <v>Sepatu Pria</v>
      </c>
      <c r="O456" t="str">
        <f>IFERROR(INDEX(Katalog!$B$3:$B$12,MATCH(cadangan3[[#This Row],[ItemID B]],Katalog!$C$3:$C$12,0)),"-")</f>
        <v>Sneakers</v>
      </c>
      <c r="P456">
        <v>1</v>
      </c>
      <c r="Q456">
        <v>1</v>
      </c>
      <c r="R456" s="36">
        <f>IFERROR(INDEX(Katalog!$D$3:$D$12,MATCH(cadangan3[[#This Row],[ItemID B]],Katalog!$C$3:$C$12,0))*cadangan3[[#This Row],[Qty B]],0)</f>
        <v>500000</v>
      </c>
      <c r="S456" s="36">
        <f>IFERROR(INDEX(Katalog!$D$3:$D$12,MATCH(cadangan3[[#This Row],[Item B]],Katalog!$B$3:$B$12,0))*cadangan3[[#This Row],[Qty B]],0)</f>
        <v>500000</v>
      </c>
      <c r="T456" s="36">
        <f>IFERROR(cadangan3[[#This Row],[Harga Asli B]]-(cadangan3[[#This Row],[Harga Asli B]]*cadangan3[[#This Row],[Diskon]]),cadangan3[[#This Row],[Harga Asli B]])</f>
        <v>425000</v>
      </c>
      <c r="U456" s="36">
        <f>IFERROR(INDEX(Katalog!$F$3:$F$12,MATCH(cadangan3[[#This Row],[ItemID B]],Katalog!$C$3:$C$12,0))*cadangan3[[#This Row],[Qty B]],0)</f>
        <v>200000</v>
      </c>
      <c r="V456" s="36">
        <f>IFERROR(cadangan3[[#This Row],[Profit B]]-(cadangan3[[#This Row],[Profit B]]*cadangan3[[#This Row],[Diskon]]),U456)</f>
        <v>170000</v>
      </c>
      <c r="X456" t="str">
        <f>IFERROR(INDEX(Katalog!$A$3:$A$12,MATCH(cadangan3[[#This Row],[ItemID C]],Katalog!$C$3:$C$12,0)),"-")</f>
        <v>-</v>
      </c>
      <c r="Y456" t="str">
        <f>IFERROR(INDEX(Katalog!$B$3:$B$12,MATCH(cadangan3[[#This Row],[ItemID C]],Katalog!$C$3:$C$12,0)),"-")</f>
        <v>-</v>
      </c>
      <c r="AB456" s="36">
        <f>IFERROR(INDEX(Katalog!$D$3:$D$12,MATCH(cadangan3[[#This Row],[ItemID C]],Katalog!$C$3:$C$12,0))*cadangan3[[#This Row],[Qty C]],0)</f>
        <v>0</v>
      </c>
      <c r="AC456" s="36">
        <f>IFERROR(INDEX(Katalog!$D$3:$D$12,MATCH(cadangan3[[#This Row],[Item C]],Katalog!$B$3:$B$12,0))*cadangan3[[#This Row],[Qty C]],0)</f>
        <v>0</v>
      </c>
      <c r="AD456" s="36">
        <f>IFERROR(cadangan3[[#This Row],[Harga Asli C]]-(cadangan3[[#This Row],[Harga Asli C]]*cadangan3[[#This Row],[Diskon]]),cadangan3[[#This Row],[Harga Asli C]])</f>
        <v>0</v>
      </c>
      <c r="AE456" s="36">
        <f>IFERROR(INDEX(Katalog!$F$3:$F$12,MATCH(cadangan3[[#This Row],[ItemID C]],Katalog!$C$3:$C$12,0))*cadangan3[[#This Row],[Qty C]],0)</f>
        <v>0</v>
      </c>
      <c r="AF456" s="36">
        <f>IFERROR(cadangan3[[#This Row],[Profit C]]-(cadangan3[[#This Row],[Profit C]]*cadangan3[[#This Row],[Diskon]]),cadangan3[[#This Row],[Profit C]])</f>
        <v>0</v>
      </c>
      <c r="AG456" s="21">
        <f>cadangan3[[#This Row],[Qty A]]+cadangan3[[#This Row],[Qty B]]+cadangan3[[#This Row],[Qty C]]</f>
        <v>5</v>
      </c>
      <c r="AH456" s="35">
        <f>cadangan3[[#This Row],[Harga A + Diskon]]+cadangan3[[#This Row],[Harga + Diskon B]]+cadangan3[[#This Row],[Harga + Diskon C]]</f>
        <v>935000</v>
      </c>
      <c r="AI456" s="35">
        <f>(cadangan3[[#This Row],[Profit A]]+cadangan3[[#This Row],[Profit B]]+cadangan3[[#This Row],[Profit C]])</f>
        <v>400000</v>
      </c>
      <c r="AJ456" s="35">
        <f>cadangan3[[#This Row],[Provit A + Diskon]]+cadangan3[[#This Row],[Provit B + Diskon]]+cadangan3[[#This Row],[Provit C + Diskon]]</f>
        <v>340000</v>
      </c>
      <c r="AK456" s="23" t="s">
        <v>32</v>
      </c>
      <c r="AL456" s="37">
        <f>IFERROR(INDEX('Kode Diskon'!$D$3:$D$9,MATCH(cadangan3[[#This Row],[Kode diskon]],'Kode Diskon'!$C$3:$C$9,0)),"-")</f>
        <v>0.15</v>
      </c>
      <c r="AM456" s="23" t="s">
        <v>9</v>
      </c>
      <c r="AN456" s="23" t="s">
        <v>12</v>
      </c>
      <c r="AO456" s="23" t="s">
        <v>80</v>
      </c>
      <c r="AP456" s="24">
        <v>45044</v>
      </c>
      <c r="AQ456" s="23" t="str">
        <f>TEXT(cadangan3[[#This Row],[Tanggal terjual]],"dddd")</f>
        <v>Friday</v>
      </c>
    </row>
    <row r="457" spans="1:43" x14ac:dyDescent="0.2">
      <c r="A457" s="20">
        <v>456</v>
      </c>
      <c r="B457" s="21" t="str">
        <f>_xlfn.CONCAT("ORD-",INDEX(Helper!$B$2:$B$5,MATCH(cadangan3[[#This Row],[Marketplace]],Helper!$A$2:$A$5,0)),TEXT(cadangan3[[#This Row],[No]],"0000"),"-",TEXT(cadangan3[[#This Row],[Tanggal terjual]],"dd/mm/yy"))</f>
        <v>ORD-BB0456-05/04/23</v>
      </c>
      <c r="C457" t="s">
        <v>62</v>
      </c>
      <c r="D457" t="str">
        <f>IFERROR(INDEX(Katalog!$A$3:$A$12,MATCH(cadangan3[[#This Row],[ItemID A]],Katalog!$C$3:$C$12,0)),"-")</f>
        <v>Pakaian Pria</v>
      </c>
      <c r="E457" t="str">
        <f>IFERROR(INDEX(Katalog!$B$3:$B$12,MATCH(cadangan3[[#This Row],[ItemID A]],Katalog!$C$3:$C$12,0)),"-")</f>
        <v>Celana Pendek</v>
      </c>
      <c r="F457">
        <v>1</v>
      </c>
      <c r="G457">
        <v>1</v>
      </c>
      <c r="H457" s="36">
        <f>IFERROR(INDEX(Katalog!$D$3:$D$12,MATCH(cadangan3[[#This Row],[ItemID A]],Katalog!$C$3:$C$12,0))*cadangan3[[#This Row],[Qty A]],0)</f>
        <v>180000</v>
      </c>
      <c r="I457" s="36">
        <f>IFERROR(INDEX(Katalog!$D$3:$D$12,MATCH(cadangan3[[#This Row],[Item A]],Katalog!$B$3:$B$12,0))*cadangan3[[#This Row],[Qty A]],0)</f>
        <v>180000</v>
      </c>
      <c r="J457" s="36">
        <f>IFERROR(cadangan3[[#This Row],[Harga Asli A]]-(cadangan3[[#This Row],[Harga Asli A]]*cadangan3[[#This Row],[Diskon]]),cadangan3[[#This Row],[Harga Asli A]])</f>
        <v>153000</v>
      </c>
      <c r="K457" s="36">
        <f>INDEX(Katalog!$F$3:$F$12,MATCH(cadangan3[[#This Row],[ItemID A]],Katalog!$C$3:$C$12,0))*cadangan3[[#This Row],[Qty A]]</f>
        <v>70000</v>
      </c>
      <c r="L457" s="36">
        <f>IFERROR(cadangan3[[#This Row],[Profit A]]-(cadangan3[[#This Row],[Profit A]]*cadangan3[[#This Row],[Diskon]]),K457)</f>
        <v>59500</v>
      </c>
      <c r="M457" t="s">
        <v>67</v>
      </c>
      <c r="N457" t="str">
        <f>IFERROR(INDEX(Katalog!$A$3:$A$12,MATCH(cadangan3[[#This Row],[ItemID B]],Katalog!$C$3:$C$12,0)),"-")</f>
        <v>Sepatu Wanita</v>
      </c>
      <c r="O457" t="str">
        <f>IFERROR(INDEX(Katalog!$B$3:$B$12,MATCH(cadangan3[[#This Row],[ItemID B]],Katalog!$C$3:$C$12,0)),"-")</f>
        <v>Flat Shoes</v>
      </c>
      <c r="P457">
        <v>6</v>
      </c>
      <c r="Q457">
        <v>4</v>
      </c>
      <c r="R457" s="36">
        <f>IFERROR(INDEX(Katalog!$D$3:$D$12,MATCH(cadangan3[[#This Row],[ItemID B]],Katalog!$C$3:$C$12,0))*cadangan3[[#This Row],[Qty B]],0)</f>
        <v>1500000</v>
      </c>
      <c r="S457" s="36">
        <f>IFERROR(INDEX(Katalog!$D$3:$D$12,MATCH(cadangan3[[#This Row],[Item B]],Katalog!$B$3:$B$12,0))*cadangan3[[#This Row],[Qty B]],0)</f>
        <v>1500000</v>
      </c>
      <c r="T457" s="36">
        <f>IFERROR(cadangan3[[#This Row],[Harga Asli B]]-(cadangan3[[#This Row],[Harga Asli B]]*cadangan3[[#This Row],[Diskon]]),cadangan3[[#This Row],[Harga Asli B]])</f>
        <v>1275000</v>
      </c>
      <c r="U457" s="36">
        <f>IFERROR(INDEX(Katalog!$F$3:$F$12,MATCH(cadangan3[[#This Row],[ItemID B]],Katalog!$C$3:$C$12,0))*cadangan3[[#This Row],[Qty B]],0)</f>
        <v>600000</v>
      </c>
      <c r="V457" s="36">
        <f>IFERROR(cadangan3[[#This Row],[Profit B]]-(cadangan3[[#This Row],[Profit B]]*cadangan3[[#This Row],[Diskon]]),U457)</f>
        <v>510000</v>
      </c>
      <c r="X457" t="str">
        <f>IFERROR(INDEX(Katalog!$A$3:$A$12,MATCH(cadangan3[[#This Row],[ItemID C]],Katalog!$C$3:$C$12,0)),"-")</f>
        <v>-</v>
      </c>
      <c r="Y457" t="str">
        <f>IFERROR(INDEX(Katalog!$B$3:$B$12,MATCH(cadangan3[[#This Row],[ItemID C]],Katalog!$C$3:$C$12,0)),"-")</f>
        <v>-</v>
      </c>
      <c r="AB457" s="36">
        <f>IFERROR(INDEX(Katalog!$D$3:$D$12,MATCH(cadangan3[[#This Row],[ItemID C]],Katalog!$C$3:$C$12,0))*cadangan3[[#This Row],[Qty C]],0)</f>
        <v>0</v>
      </c>
      <c r="AC457" s="36">
        <f>IFERROR(INDEX(Katalog!$D$3:$D$12,MATCH(cadangan3[[#This Row],[Item C]],Katalog!$B$3:$B$12,0))*cadangan3[[#This Row],[Qty C]],0)</f>
        <v>0</v>
      </c>
      <c r="AD457" s="36">
        <f>IFERROR(cadangan3[[#This Row],[Harga Asli C]]-(cadangan3[[#This Row],[Harga Asli C]]*cadangan3[[#This Row],[Diskon]]),cadangan3[[#This Row],[Harga Asli C]])</f>
        <v>0</v>
      </c>
      <c r="AE457" s="36">
        <f>IFERROR(INDEX(Katalog!$F$3:$F$12,MATCH(cadangan3[[#This Row],[ItemID C]],Katalog!$C$3:$C$12,0))*cadangan3[[#This Row],[Qty C]],0)</f>
        <v>0</v>
      </c>
      <c r="AF457" s="36">
        <f>IFERROR(cadangan3[[#This Row],[Profit C]]-(cadangan3[[#This Row],[Profit C]]*cadangan3[[#This Row],[Diskon]]),cadangan3[[#This Row],[Profit C]])</f>
        <v>0</v>
      </c>
      <c r="AG457" s="21">
        <f>cadangan3[[#This Row],[Qty A]]+cadangan3[[#This Row],[Qty B]]+cadangan3[[#This Row],[Qty C]]</f>
        <v>7</v>
      </c>
      <c r="AH457" s="35">
        <f>cadangan3[[#This Row],[Harga A + Diskon]]+cadangan3[[#This Row],[Harga + Diskon B]]+cadangan3[[#This Row],[Harga + Diskon C]]</f>
        <v>1428000</v>
      </c>
      <c r="AI457" s="35">
        <f>(cadangan3[[#This Row],[Profit A]]+cadangan3[[#This Row],[Profit B]]+cadangan3[[#This Row],[Profit C]])</f>
        <v>670000</v>
      </c>
      <c r="AJ457" s="35">
        <f>cadangan3[[#This Row],[Provit A + Diskon]]+cadangan3[[#This Row],[Provit B + Diskon]]+cadangan3[[#This Row],[Provit C + Diskon]]</f>
        <v>569500</v>
      </c>
      <c r="AK457" s="23" t="s">
        <v>28</v>
      </c>
      <c r="AL457" s="37">
        <f>IFERROR(INDEX('Kode Diskon'!$D$3:$D$9,MATCH(cadangan3[[#This Row],[Kode diskon]],'Kode Diskon'!$C$3:$C$9,0)),"-")</f>
        <v>0.15</v>
      </c>
      <c r="AM457" s="23" t="s">
        <v>29</v>
      </c>
      <c r="AN457" s="23" t="s">
        <v>14</v>
      </c>
      <c r="AO457" s="23" t="s">
        <v>80</v>
      </c>
      <c r="AP457" s="24">
        <v>45021</v>
      </c>
      <c r="AQ457" s="23" t="str">
        <f>TEXT(cadangan3[[#This Row],[Tanggal terjual]],"dddd")</f>
        <v>Wednesday</v>
      </c>
    </row>
    <row r="458" spans="1:43" x14ac:dyDescent="0.2">
      <c r="A458" s="20">
        <v>457</v>
      </c>
      <c r="B458" s="21" t="str">
        <f>_xlfn.CONCAT("ORD-",INDEX(Helper!$B$2:$B$5,MATCH(cadangan3[[#This Row],[Marketplace]],Helper!$A$2:$A$5,0)),TEXT(cadangan3[[#This Row],[No]],"0000"),"-",TEXT(cadangan3[[#This Row],[Tanggal terjual]],"dd/mm/yy"))</f>
        <v>ORD-TK0457-05/04/23</v>
      </c>
      <c r="C458" t="s">
        <v>60</v>
      </c>
      <c r="D458" t="str">
        <f>IFERROR(INDEX(Katalog!$A$3:$A$12,MATCH(cadangan3[[#This Row],[ItemID A]],Katalog!$C$3:$C$12,0)),"-")</f>
        <v>Pakaian Wanita</v>
      </c>
      <c r="E458" t="str">
        <f>IFERROR(INDEX(Katalog!$B$3:$B$12,MATCH(cadangan3[[#This Row],[ItemID A]],Katalog!$C$3:$C$12,0)),"-")</f>
        <v>Kaftan</v>
      </c>
      <c r="F458">
        <v>1</v>
      </c>
      <c r="G458">
        <v>5</v>
      </c>
      <c r="H458" s="36">
        <f>IFERROR(INDEX(Katalog!$D$3:$D$12,MATCH(cadangan3[[#This Row],[ItemID A]],Katalog!$C$3:$C$12,0))*cadangan3[[#This Row],[Qty A]],0)</f>
        <v>250000</v>
      </c>
      <c r="I458" s="36">
        <f>IFERROR(INDEX(Katalog!$D$3:$D$12,MATCH(cadangan3[[#This Row],[Item A]],Katalog!$B$3:$B$12,0))*cadangan3[[#This Row],[Qty A]],0)</f>
        <v>250000</v>
      </c>
      <c r="J458" s="36">
        <f>IFERROR(cadangan3[[#This Row],[Harga Asli A]]-(cadangan3[[#This Row],[Harga Asli A]]*cadangan3[[#This Row],[Diskon]]),cadangan3[[#This Row],[Harga Asli A]])</f>
        <v>225000</v>
      </c>
      <c r="K458" s="36">
        <f>INDEX(Katalog!$F$3:$F$12,MATCH(cadangan3[[#This Row],[ItemID A]],Katalog!$C$3:$C$12,0))*cadangan3[[#This Row],[Qty A]]</f>
        <v>100000</v>
      </c>
      <c r="L458" s="36">
        <f>IFERROR(cadangan3[[#This Row],[Profit A]]-(cadangan3[[#This Row],[Profit A]]*cadangan3[[#This Row],[Diskon]]),K458)</f>
        <v>90000</v>
      </c>
      <c r="M458" t="s">
        <v>62</v>
      </c>
      <c r="N458" t="str">
        <f>IFERROR(INDEX(Katalog!$A$3:$A$12,MATCH(cadangan3[[#This Row],[ItemID B]],Katalog!$C$3:$C$12,0)),"-")</f>
        <v>Pakaian Pria</v>
      </c>
      <c r="O458" t="str">
        <f>IFERROR(INDEX(Katalog!$B$3:$B$12,MATCH(cadangan3[[#This Row],[ItemID B]],Katalog!$C$3:$C$12,0)),"-")</f>
        <v>Celana Pendek</v>
      </c>
      <c r="P458">
        <v>2</v>
      </c>
      <c r="Q458">
        <v>1</v>
      </c>
      <c r="R458" s="36">
        <f>IFERROR(INDEX(Katalog!$D$3:$D$12,MATCH(cadangan3[[#This Row],[ItemID B]],Katalog!$C$3:$C$12,0))*cadangan3[[#This Row],[Qty B]],0)</f>
        <v>360000</v>
      </c>
      <c r="S458" s="36">
        <f>IFERROR(INDEX(Katalog!$D$3:$D$12,MATCH(cadangan3[[#This Row],[Item B]],Katalog!$B$3:$B$12,0))*cadangan3[[#This Row],[Qty B]],0)</f>
        <v>360000</v>
      </c>
      <c r="T458" s="36">
        <f>IFERROR(cadangan3[[#This Row],[Harga Asli B]]-(cadangan3[[#This Row],[Harga Asli B]]*cadangan3[[#This Row],[Diskon]]),cadangan3[[#This Row],[Harga Asli B]])</f>
        <v>324000</v>
      </c>
      <c r="U458" s="36">
        <f>IFERROR(INDEX(Katalog!$F$3:$F$12,MATCH(cadangan3[[#This Row],[ItemID B]],Katalog!$C$3:$C$12,0))*cadangan3[[#This Row],[Qty B]],0)</f>
        <v>140000</v>
      </c>
      <c r="V458" s="36">
        <f>IFERROR(cadangan3[[#This Row],[Profit B]]-(cadangan3[[#This Row],[Profit B]]*cadangan3[[#This Row],[Diskon]]),U458)</f>
        <v>126000</v>
      </c>
      <c r="X458" t="str">
        <f>IFERROR(INDEX(Katalog!$A$3:$A$12,MATCH(cadangan3[[#This Row],[ItemID C]],Katalog!$C$3:$C$12,0)),"-")</f>
        <v>-</v>
      </c>
      <c r="Y458" t="str">
        <f>IFERROR(INDEX(Katalog!$B$3:$B$12,MATCH(cadangan3[[#This Row],[ItemID C]],Katalog!$C$3:$C$12,0)),"-")</f>
        <v>-</v>
      </c>
      <c r="AB458" s="36">
        <f>IFERROR(INDEX(Katalog!$D$3:$D$12,MATCH(cadangan3[[#This Row],[ItemID C]],Katalog!$C$3:$C$12,0))*cadangan3[[#This Row],[Qty C]],0)</f>
        <v>0</v>
      </c>
      <c r="AC458" s="36">
        <f>IFERROR(INDEX(Katalog!$D$3:$D$12,MATCH(cadangan3[[#This Row],[Item C]],Katalog!$B$3:$B$12,0))*cadangan3[[#This Row],[Qty C]],0)</f>
        <v>0</v>
      </c>
      <c r="AD458" s="36">
        <f>IFERROR(cadangan3[[#This Row],[Harga Asli C]]-(cadangan3[[#This Row],[Harga Asli C]]*cadangan3[[#This Row],[Diskon]]),cadangan3[[#This Row],[Harga Asli C]])</f>
        <v>0</v>
      </c>
      <c r="AE458" s="36">
        <f>IFERROR(INDEX(Katalog!$F$3:$F$12,MATCH(cadangan3[[#This Row],[ItemID C]],Katalog!$C$3:$C$12,0))*cadangan3[[#This Row],[Qty C]],0)</f>
        <v>0</v>
      </c>
      <c r="AF458" s="36">
        <f>IFERROR(cadangan3[[#This Row],[Profit C]]-(cadangan3[[#This Row],[Profit C]]*cadangan3[[#This Row],[Diskon]]),cadangan3[[#This Row],[Profit C]])</f>
        <v>0</v>
      </c>
      <c r="AG458" s="21">
        <f>cadangan3[[#This Row],[Qty A]]+cadangan3[[#This Row],[Qty B]]+cadangan3[[#This Row],[Qty C]]</f>
        <v>3</v>
      </c>
      <c r="AH458" s="35">
        <f>cadangan3[[#This Row],[Harga A + Diskon]]+cadangan3[[#This Row],[Harga + Diskon B]]+cadangan3[[#This Row],[Harga + Diskon C]]</f>
        <v>549000</v>
      </c>
      <c r="AI458" s="35">
        <f>(cadangan3[[#This Row],[Profit A]]+cadangan3[[#This Row],[Profit B]]+cadangan3[[#This Row],[Profit C]])</f>
        <v>240000</v>
      </c>
      <c r="AJ458" s="35">
        <f>cadangan3[[#This Row],[Provit A + Diskon]]+cadangan3[[#This Row],[Provit B + Diskon]]+cadangan3[[#This Row],[Provit C + Diskon]]</f>
        <v>216000</v>
      </c>
      <c r="AK458" s="23" t="s">
        <v>30</v>
      </c>
      <c r="AL458" s="37">
        <f>IFERROR(INDEX('Kode Diskon'!$D$3:$D$9,MATCH(cadangan3[[#This Row],[Kode diskon]],'Kode Diskon'!$C$3:$C$9,0)),"-")</f>
        <v>0.1</v>
      </c>
      <c r="AM458" s="23" t="s">
        <v>29</v>
      </c>
      <c r="AN458" s="23" t="s">
        <v>10</v>
      </c>
      <c r="AO458" s="23" t="s">
        <v>76</v>
      </c>
      <c r="AP458" s="24">
        <v>45021</v>
      </c>
      <c r="AQ458" s="23" t="str">
        <f>TEXT(cadangan3[[#This Row],[Tanggal terjual]],"dddd")</f>
        <v>Wednesday</v>
      </c>
    </row>
    <row r="459" spans="1:43" x14ac:dyDescent="0.2">
      <c r="A459" s="20">
        <v>458</v>
      </c>
      <c r="B459" s="21" t="str">
        <f>_xlfn.CONCAT("ORD-",INDEX(Helper!$B$2:$B$5,MATCH(cadangan3[[#This Row],[Marketplace]],Helper!$A$2:$A$5,0)),TEXT(cadangan3[[#This Row],[No]],"0000"),"-",TEXT(cadangan3[[#This Row],[Tanggal terjual]],"dd/mm/yy"))</f>
        <v>ORD-BB0458-03/04/23</v>
      </c>
      <c r="C459" t="s">
        <v>67</v>
      </c>
      <c r="D459" t="str">
        <f>IFERROR(INDEX(Katalog!$A$3:$A$12,MATCH(cadangan3[[#This Row],[ItemID A]],Katalog!$C$3:$C$12,0)),"-")</f>
        <v>Sepatu Wanita</v>
      </c>
      <c r="E459" t="str">
        <f>IFERROR(INDEX(Katalog!$B$3:$B$12,MATCH(cadangan3[[#This Row],[ItemID A]],Katalog!$C$3:$C$12,0)),"-")</f>
        <v>Flat Shoes</v>
      </c>
      <c r="F459">
        <v>2</v>
      </c>
      <c r="G459">
        <v>2</v>
      </c>
      <c r="H459" s="36">
        <f>IFERROR(INDEX(Katalog!$D$3:$D$12,MATCH(cadangan3[[#This Row],[ItemID A]],Katalog!$C$3:$C$12,0))*cadangan3[[#This Row],[Qty A]],0)</f>
        <v>500000</v>
      </c>
      <c r="I459" s="36">
        <f>IFERROR(INDEX(Katalog!$D$3:$D$12,MATCH(cadangan3[[#This Row],[Item A]],Katalog!$B$3:$B$12,0))*cadangan3[[#This Row],[Qty A]],0)</f>
        <v>500000</v>
      </c>
      <c r="J459" s="36">
        <f>IFERROR(cadangan3[[#This Row],[Harga Asli A]]-(cadangan3[[#This Row],[Harga Asli A]]*cadangan3[[#This Row],[Diskon]]),cadangan3[[#This Row],[Harga Asli A]])</f>
        <v>425000</v>
      </c>
      <c r="K459" s="36">
        <f>INDEX(Katalog!$F$3:$F$12,MATCH(cadangan3[[#This Row],[ItemID A]],Katalog!$C$3:$C$12,0))*cadangan3[[#This Row],[Qty A]]</f>
        <v>200000</v>
      </c>
      <c r="L459" s="36">
        <f>IFERROR(cadangan3[[#This Row],[Profit A]]-(cadangan3[[#This Row],[Profit A]]*cadangan3[[#This Row],[Diskon]]),K459)</f>
        <v>170000</v>
      </c>
      <c r="M459" t="s">
        <v>62</v>
      </c>
      <c r="N459" t="str">
        <f>IFERROR(INDEX(Katalog!$A$3:$A$12,MATCH(cadangan3[[#This Row],[ItemID B]],Katalog!$C$3:$C$12,0)),"-")</f>
        <v>Pakaian Pria</v>
      </c>
      <c r="O459" t="str">
        <f>IFERROR(INDEX(Katalog!$B$3:$B$12,MATCH(cadangan3[[#This Row],[ItemID B]],Katalog!$C$3:$C$12,0)),"-")</f>
        <v>Celana Pendek</v>
      </c>
      <c r="P459">
        <v>2</v>
      </c>
      <c r="Q459">
        <v>5</v>
      </c>
      <c r="R459" s="36">
        <f>IFERROR(INDEX(Katalog!$D$3:$D$12,MATCH(cadangan3[[#This Row],[ItemID B]],Katalog!$C$3:$C$12,0))*cadangan3[[#This Row],[Qty B]],0)</f>
        <v>360000</v>
      </c>
      <c r="S459" s="36">
        <f>IFERROR(INDEX(Katalog!$D$3:$D$12,MATCH(cadangan3[[#This Row],[Item B]],Katalog!$B$3:$B$12,0))*cadangan3[[#This Row],[Qty B]],0)</f>
        <v>360000</v>
      </c>
      <c r="T459" s="36">
        <f>IFERROR(cadangan3[[#This Row],[Harga Asli B]]-(cadangan3[[#This Row],[Harga Asli B]]*cadangan3[[#This Row],[Diskon]]),cadangan3[[#This Row],[Harga Asli B]])</f>
        <v>306000</v>
      </c>
      <c r="U459" s="36">
        <f>IFERROR(INDEX(Katalog!$F$3:$F$12,MATCH(cadangan3[[#This Row],[ItemID B]],Katalog!$C$3:$C$12,0))*cadangan3[[#This Row],[Qty B]],0)</f>
        <v>140000</v>
      </c>
      <c r="V459" s="36">
        <f>IFERROR(cadangan3[[#This Row],[Profit B]]-(cadangan3[[#This Row],[Profit B]]*cadangan3[[#This Row],[Diskon]]),U459)</f>
        <v>119000</v>
      </c>
      <c r="X459" t="str">
        <f>IFERROR(INDEX(Katalog!$A$3:$A$12,MATCH(cadangan3[[#This Row],[ItemID C]],Katalog!$C$3:$C$12,0)),"-")</f>
        <v>-</v>
      </c>
      <c r="Y459" t="str">
        <f>IFERROR(INDEX(Katalog!$B$3:$B$12,MATCH(cadangan3[[#This Row],[ItemID C]],Katalog!$C$3:$C$12,0)),"-")</f>
        <v>-</v>
      </c>
      <c r="AB459" s="36">
        <f>IFERROR(INDEX(Katalog!$D$3:$D$12,MATCH(cadangan3[[#This Row],[ItemID C]],Katalog!$C$3:$C$12,0))*cadangan3[[#This Row],[Qty C]],0)</f>
        <v>0</v>
      </c>
      <c r="AC459" s="36">
        <f>IFERROR(INDEX(Katalog!$D$3:$D$12,MATCH(cadangan3[[#This Row],[Item C]],Katalog!$B$3:$B$12,0))*cadangan3[[#This Row],[Qty C]],0)</f>
        <v>0</v>
      </c>
      <c r="AD459" s="36">
        <f>IFERROR(cadangan3[[#This Row],[Harga Asli C]]-(cadangan3[[#This Row],[Harga Asli C]]*cadangan3[[#This Row],[Diskon]]),cadangan3[[#This Row],[Harga Asli C]])</f>
        <v>0</v>
      </c>
      <c r="AE459" s="36">
        <f>IFERROR(INDEX(Katalog!$F$3:$F$12,MATCH(cadangan3[[#This Row],[ItemID C]],Katalog!$C$3:$C$12,0))*cadangan3[[#This Row],[Qty C]],0)</f>
        <v>0</v>
      </c>
      <c r="AF459" s="36">
        <f>IFERROR(cadangan3[[#This Row],[Profit C]]-(cadangan3[[#This Row],[Profit C]]*cadangan3[[#This Row],[Diskon]]),cadangan3[[#This Row],[Profit C]])</f>
        <v>0</v>
      </c>
      <c r="AG459" s="21">
        <f>cadangan3[[#This Row],[Qty A]]+cadangan3[[#This Row],[Qty B]]+cadangan3[[#This Row],[Qty C]]</f>
        <v>4</v>
      </c>
      <c r="AH459" s="35">
        <f>cadangan3[[#This Row],[Harga A + Diskon]]+cadangan3[[#This Row],[Harga + Diskon B]]+cadangan3[[#This Row],[Harga + Diskon C]]</f>
        <v>731000</v>
      </c>
      <c r="AI459" s="35">
        <f>(cadangan3[[#This Row],[Profit A]]+cadangan3[[#This Row],[Profit B]]+cadangan3[[#This Row],[Profit C]])</f>
        <v>340000</v>
      </c>
      <c r="AJ459" s="35">
        <f>cadangan3[[#This Row],[Provit A + Diskon]]+cadangan3[[#This Row],[Provit B + Diskon]]+cadangan3[[#This Row],[Provit C + Diskon]]</f>
        <v>289000</v>
      </c>
      <c r="AK459" s="23" t="s">
        <v>28</v>
      </c>
      <c r="AL459" s="37">
        <f>IFERROR(INDEX('Kode Diskon'!$D$3:$D$9,MATCH(cadangan3[[#This Row],[Kode diskon]],'Kode Diskon'!$C$3:$C$9,0)),"-")</f>
        <v>0.15</v>
      </c>
      <c r="AM459" s="23" t="s">
        <v>29</v>
      </c>
      <c r="AN459" s="23" t="s">
        <v>14</v>
      </c>
      <c r="AO459" s="23" t="s">
        <v>77</v>
      </c>
      <c r="AP459" s="24">
        <v>45019</v>
      </c>
      <c r="AQ459" s="23" t="str">
        <f>TEXT(cadangan3[[#This Row],[Tanggal terjual]],"dddd")</f>
        <v>Monday</v>
      </c>
    </row>
    <row r="460" spans="1:43" x14ac:dyDescent="0.2">
      <c r="A460" s="20">
        <v>459</v>
      </c>
      <c r="B460" s="21" t="str">
        <f>_xlfn.CONCAT("ORD-",INDEX(Helper!$B$2:$B$5,MATCH(cadangan3[[#This Row],[Marketplace]],Helper!$A$2:$A$5,0)),TEXT(cadangan3[[#This Row],[No]],"0000"),"-",TEXT(cadangan3[[#This Row],[Tanggal terjual]],"dd/mm/yy"))</f>
        <v>ORD-BL0459-21/04/23</v>
      </c>
      <c r="C460" t="s">
        <v>66</v>
      </c>
      <c r="D460" t="str">
        <f>IFERROR(INDEX(Katalog!$A$3:$A$12,MATCH(cadangan3[[#This Row],[ItemID A]],Katalog!$C$3:$C$12,0)),"-")</f>
        <v>Sepatu Pria</v>
      </c>
      <c r="E460" t="str">
        <f>IFERROR(INDEX(Katalog!$B$3:$B$12,MATCH(cadangan3[[#This Row],[ItemID A]],Katalog!$C$3:$C$12,0)),"-")</f>
        <v>Sandal Slip On</v>
      </c>
      <c r="F460">
        <v>1</v>
      </c>
      <c r="G460">
        <v>4</v>
      </c>
      <c r="H460" s="36">
        <f>IFERROR(INDEX(Katalog!$D$3:$D$12,MATCH(cadangan3[[#This Row],[ItemID A]],Katalog!$C$3:$C$12,0))*cadangan3[[#This Row],[Qty A]],0)</f>
        <v>150000</v>
      </c>
      <c r="I460" s="36">
        <f>IFERROR(INDEX(Katalog!$D$3:$D$12,MATCH(cadangan3[[#This Row],[Item A]],Katalog!$B$3:$B$12,0))*cadangan3[[#This Row],[Qty A]],0)</f>
        <v>150000</v>
      </c>
      <c r="J460" s="36">
        <f>IFERROR(cadangan3[[#This Row],[Harga Asli A]]-(cadangan3[[#This Row],[Harga Asli A]]*cadangan3[[#This Row],[Diskon]]),cadangan3[[#This Row],[Harga Asli A]])</f>
        <v>127500</v>
      </c>
      <c r="K460" s="36">
        <f>INDEX(Katalog!$F$3:$F$12,MATCH(cadangan3[[#This Row],[ItemID A]],Katalog!$C$3:$C$12,0))*cadangan3[[#This Row],[Qty A]]</f>
        <v>60000</v>
      </c>
      <c r="L460" s="36">
        <f>IFERROR(cadangan3[[#This Row],[Profit A]]-(cadangan3[[#This Row],[Profit A]]*cadangan3[[#This Row],[Diskon]]),K460)</f>
        <v>51000</v>
      </c>
      <c r="M460" t="s">
        <v>58</v>
      </c>
      <c r="N460" t="str">
        <f>IFERROR(INDEX(Katalog!$A$3:$A$12,MATCH(cadangan3[[#This Row],[ItemID B]],Katalog!$C$3:$C$12,0)),"-")</f>
        <v>Pakaian Wanita</v>
      </c>
      <c r="O460" t="str">
        <f>IFERROR(INDEX(Katalog!$B$3:$B$12,MATCH(cadangan3[[#This Row],[ItemID B]],Katalog!$C$3:$C$12,0)),"-")</f>
        <v>Dress</v>
      </c>
      <c r="P460">
        <v>4</v>
      </c>
      <c r="Q460">
        <v>3</v>
      </c>
      <c r="R460" s="36">
        <f>IFERROR(INDEX(Katalog!$D$3:$D$12,MATCH(cadangan3[[#This Row],[ItemID B]],Katalog!$C$3:$C$12,0))*cadangan3[[#This Row],[Qty B]],0)</f>
        <v>1200000</v>
      </c>
      <c r="S460" s="36">
        <f>IFERROR(INDEX(Katalog!$D$3:$D$12,MATCH(cadangan3[[#This Row],[Item B]],Katalog!$B$3:$B$12,0))*cadangan3[[#This Row],[Qty B]],0)</f>
        <v>1200000</v>
      </c>
      <c r="T460" s="36">
        <f>IFERROR(cadangan3[[#This Row],[Harga Asli B]]-(cadangan3[[#This Row],[Harga Asli B]]*cadangan3[[#This Row],[Diskon]]),cadangan3[[#This Row],[Harga Asli B]])</f>
        <v>1020000</v>
      </c>
      <c r="U460" s="36">
        <f>IFERROR(INDEX(Katalog!$F$3:$F$12,MATCH(cadangan3[[#This Row],[ItemID B]],Katalog!$C$3:$C$12,0))*cadangan3[[#This Row],[Qty B]],0)</f>
        <v>400000</v>
      </c>
      <c r="V460" s="36">
        <f>IFERROR(cadangan3[[#This Row],[Profit B]]-(cadangan3[[#This Row],[Profit B]]*cadangan3[[#This Row],[Diskon]]),U460)</f>
        <v>340000</v>
      </c>
      <c r="W460" t="s">
        <v>64</v>
      </c>
      <c r="X460" t="str">
        <f>IFERROR(INDEX(Katalog!$A$3:$A$12,MATCH(cadangan3[[#This Row],[ItemID C]],Katalog!$C$3:$C$12,0)),"-")</f>
        <v>Pakaian Unisex</v>
      </c>
      <c r="Y460" t="str">
        <f>IFERROR(INDEX(Katalog!$B$3:$B$12,MATCH(cadangan3[[#This Row],[ItemID C]],Katalog!$C$3:$C$12,0)),"-")</f>
        <v>Jaket Hoodie</v>
      </c>
      <c r="Z460">
        <v>1</v>
      </c>
      <c r="AA460">
        <v>5</v>
      </c>
      <c r="AB460" s="36">
        <f>IFERROR(INDEX(Katalog!$D$3:$D$12,MATCH(cadangan3[[#This Row],[ItemID C]],Katalog!$C$3:$C$12,0))*cadangan3[[#This Row],[Qty C]],0)</f>
        <v>350000</v>
      </c>
      <c r="AC460" s="36">
        <f>IFERROR(INDEX(Katalog!$D$3:$D$12,MATCH(cadangan3[[#This Row],[Item C]],Katalog!$B$3:$B$12,0))*cadangan3[[#This Row],[Qty C]],0)</f>
        <v>350000</v>
      </c>
      <c r="AD460" s="36">
        <f>IFERROR(cadangan3[[#This Row],[Harga Asli C]]-(cadangan3[[#This Row],[Harga Asli C]]*cadangan3[[#This Row],[Diskon]]),cadangan3[[#This Row],[Harga Asli C]])</f>
        <v>297500</v>
      </c>
      <c r="AE460" s="36">
        <f>IFERROR(INDEX(Katalog!$F$3:$F$12,MATCH(cadangan3[[#This Row],[ItemID C]],Katalog!$C$3:$C$12,0))*cadangan3[[#This Row],[Qty C]],0)</f>
        <v>130000</v>
      </c>
      <c r="AF460" s="36">
        <f>IFERROR(cadangan3[[#This Row],[Profit C]]-(cadangan3[[#This Row],[Profit C]]*cadangan3[[#This Row],[Diskon]]),cadangan3[[#This Row],[Profit C]])</f>
        <v>110500</v>
      </c>
      <c r="AG460" s="21">
        <f>cadangan3[[#This Row],[Qty A]]+cadangan3[[#This Row],[Qty B]]+cadangan3[[#This Row],[Qty C]]</f>
        <v>6</v>
      </c>
      <c r="AH460" s="35">
        <f>cadangan3[[#This Row],[Harga A + Diskon]]+cadangan3[[#This Row],[Harga + Diskon B]]+cadangan3[[#This Row],[Harga + Diskon C]]</f>
        <v>1445000</v>
      </c>
      <c r="AI460" s="35">
        <f>(cadangan3[[#This Row],[Profit A]]+cadangan3[[#This Row],[Profit B]]+cadangan3[[#This Row],[Profit C]])</f>
        <v>590000</v>
      </c>
      <c r="AJ460" s="35">
        <f>cadangan3[[#This Row],[Provit A + Diskon]]+cadangan3[[#This Row],[Provit B + Diskon]]+cadangan3[[#This Row],[Provit C + Diskon]]</f>
        <v>501500</v>
      </c>
      <c r="AK460" s="23" t="s">
        <v>32</v>
      </c>
      <c r="AL460" s="37">
        <f>IFERROR(INDEX('Kode Diskon'!$D$3:$D$9,MATCH(cadangan3[[#This Row],[Kode diskon]],'Kode Diskon'!$C$3:$C$9,0)),"-")</f>
        <v>0.15</v>
      </c>
      <c r="AM460" s="23" t="s">
        <v>9</v>
      </c>
      <c r="AN460" s="23" t="s">
        <v>12</v>
      </c>
      <c r="AO460" s="23" t="s">
        <v>75</v>
      </c>
      <c r="AP460" s="24">
        <v>45037</v>
      </c>
      <c r="AQ460" s="23" t="str">
        <f>TEXT(cadangan3[[#This Row],[Tanggal terjual]],"dddd")</f>
        <v>Friday</v>
      </c>
    </row>
    <row r="461" spans="1:43" x14ac:dyDescent="0.2">
      <c r="A461" s="20">
        <v>460</v>
      </c>
      <c r="B461" s="21" t="str">
        <f>_xlfn.CONCAT("ORD-",INDEX(Helper!$B$2:$B$5,MATCH(cadangan3[[#This Row],[Marketplace]],Helper!$A$2:$A$5,0)),TEXT(cadangan3[[#This Row],[No]],"0000"),"-",TEXT(cadangan3[[#This Row],[Tanggal terjual]],"dd/mm/yy"))</f>
        <v>ORD-SP0460-06/04/23</v>
      </c>
      <c r="C461" t="s">
        <v>61</v>
      </c>
      <c r="D461" t="str">
        <f>IFERROR(INDEX(Katalog!$A$3:$A$12,MATCH(cadangan3[[#This Row],[ItemID A]],Katalog!$C$3:$C$12,0)),"-")</f>
        <v>Pakaian Pria</v>
      </c>
      <c r="E461" t="str">
        <f>IFERROR(INDEX(Katalog!$B$3:$B$12,MATCH(cadangan3[[#This Row],[ItemID A]],Katalog!$C$3:$C$12,0)),"-")</f>
        <v>Kaos Polo</v>
      </c>
      <c r="F461">
        <v>4</v>
      </c>
      <c r="G461">
        <v>4</v>
      </c>
      <c r="H461" s="36">
        <f>IFERROR(INDEX(Katalog!$D$3:$D$12,MATCH(cadangan3[[#This Row],[ItemID A]],Katalog!$C$3:$C$12,0))*cadangan3[[#This Row],[Qty A]],0)</f>
        <v>800000</v>
      </c>
      <c r="I461" s="36">
        <f>IFERROR(INDEX(Katalog!$D$3:$D$12,MATCH(cadangan3[[#This Row],[Item A]],Katalog!$B$3:$B$12,0))*cadangan3[[#This Row],[Qty A]],0)</f>
        <v>800000</v>
      </c>
      <c r="J461" s="36">
        <f>IFERROR(cadangan3[[#This Row],[Harga Asli A]]-(cadangan3[[#This Row],[Harga Asli A]]*cadangan3[[#This Row],[Diskon]]),cadangan3[[#This Row],[Harga Asli A]])</f>
        <v>720000</v>
      </c>
      <c r="K461" s="36">
        <f>INDEX(Katalog!$F$3:$F$12,MATCH(cadangan3[[#This Row],[ItemID A]],Katalog!$C$3:$C$12,0))*cadangan3[[#This Row],[Qty A]]</f>
        <v>320000</v>
      </c>
      <c r="L461" s="36">
        <f>IFERROR(cadangan3[[#This Row],[Profit A]]-(cadangan3[[#This Row],[Profit A]]*cadangan3[[#This Row],[Diskon]]),K461)</f>
        <v>288000</v>
      </c>
      <c r="N461" t="str">
        <f>IFERROR(INDEX(Katalog!$A$3:$A$12,MATCH(cadangan3[[#This Row],[ItemID B]],Katalog!$C$3:$C$12,0)),"-")</f>
        <v>-</v>
      </c>
      <c r="O461" t="str">
        <f>IFERROR(INDEX(Katalog!$B$3:$B$12,MATCH(cadangan3[[#This Row],[ItemID B]],Katalog!$C$3:$C$12,0)),"-")</f>
        <v>-</v>
      </c>
      <c r="R461" s="36">
        <f>IFERROR(INDEX(Katalog!$D$3:$D$12,MATCH(cadangan3[[#This Row],[ItemID B]],Katalog!$C$3:$C$12,0))*cadangan3[[#This Row],[Qty B]],0)</f>
        <v>0</v>
      </c>
      <c r="S461" s="36">
        <f>IFERROR(INDEX(Katalog!$D$3:$D$12,MATCH(cadangan3[[#This Row],[Item B]],Katalog!$B$3:$B$12,0))*cadangan3[[#This Row],[Qty B]],0)</f>
        <v>0</v>
      </c>
      <c r="T461" s="36">
        <f>IFERROR(cadangan3[[#This Row],[Harga Asli B]]-(cadangan3[[#This Row],[Harga Asli B]]*cadangan3[[#This Row],[Diskon]]),cadangan3[[#This Row],[Harga Asli B]])</f>
        <v>0</v>
      </c>
      <c r="U461" s="36">
        <f>IFERROR(INDEX(Katalog!$F$3:$F$12,MATCH(cadangan3[[#This Row],[ItemID B]],Katalog!$C$3:$C$12,0))*cadangan3[[#This Row],[Qty B]],0)</f>
        <v>0</v>
      </c>
      <c r="V461" s="36">
        <f>IFERROR(cadangan3[[#This Row],[Profit B]]-(cadangan3[[#This Row],[Profit B]]*cadangan3[[#This Row],[Diskon]]),U461)</f>
        <v>0</v>
      </c>
      <c r="X461" t="str">
        <f>IFERROR(INDEX(Katalog!$A$3:$A$12,MATCH(cadangan3[[#This Row],[ItemID C]],Katalog!$C$3:$C$12,0)),"-")</f>
        <v>-</v>
      </c>
      <c r="Y461" t="str">
        <f>IFERROR(INDEX(Katalog!$B$3:$B$12,MATCH(cadangan3[[#This Row],[ItemID C]],Katalog!$C$3:$C$12,0)),"-")</f>
        <v>-</v>
      </c>
      <c r="AB461" s="36">
        <f>IFERROR(INDEX(Katalog!$D$3:$D$12,MATCH(cadangan3[[#This Row],[ItemID C]],Katalog!$C$3:$C$12,0))*cadangan3[[#This Row],[Qty C]],0)</f>
        <v>0</v>
      </c>
      <c r="AC461" s="36">
        <f>IFERROR(INDEX(Katalog!$D$3:$D$12,MATCH(cadangan3[[#This Row],[Item C]],Katalog!$B$3:$B$12,0))*cadangan3[[#This Row],[Qty C]],0)</f>
        <v>0</v>
      </c>
      <c r="AD461" s="36">
        <f>IFERROR(cadangan3[[#This Row],[Harga Asli C]]-(cadangan3[[#This Row],[Harga Asli C]]*cadangan3[[#This Row],[Diskon]]),cadangan3[[#This Row],[Harga Asli C]])</f>
        <v>0</v>
      </c>
      <c r="AE461" s="36">
        <f>IFERROR(INDEX(Katalog!$F$3:$F$12,MATCH(cadangan3[[#This Row],[ItemID C]],Katalog!$C$3:$C$12,0))*cadangan3[[#This Row],[Qty C]],0)</f>
        <v>0</v>
      </c>
      <c r="AF461" s="36">
        <f>IFERROR(cadangan3[[#This Row],[Profit C]]-(cadangan3[[#This Row],[Profit C]]*cadangan3[[#This Row],[Diskon]]),cadangan3[[#This Row],[Profit C]])</f>
        <v>0</v>
      </c>
      <c r="AG461" s="21">
        <f>cadangan3[[#This Row],[Qty A]]+cadangan3[[#This Row],[Qty B]]+cadangan3[[#This Row],[Qty C]]</f>
        <v>4</v>
      </c>
      <c r="AH461" s="35">
        <f>cadangan3[[#This Row],[Harga A + Diskon]]+cadangan3[[#This Row],[Harga + Diskon B]]+cadangan3[[#This Row],[Harga + Diskon C]]</f>
        <v>720000</v>
      </c>
      <c r="AI461" s="35">
        <f>(cadangan3[[#This Row],[Profit A]]+cadangan3[[#This Row],[Profit B]]+cadangan3[[#This Row],[Profit C]])</f>
        <v>320000</v>
      </c>
      <c r="AJ461" s="35">
        <f>cadangan3[[#This Row],[Provit A + Diskon]]+cadangan3[[#This Row],[Provit B + Diskon]]+cadangan3[[#This Row],[Provit C + Diskon]]</f>
        <v>288000</v>
      </c>
      <c r="AK461" s="23" t="s">
        <v>6</v>
      </c>
      <c r="AL461" s="37">
        <f>IFERROR(INDEX('Kode Diskon'!$D$3:$D$9,MATCH(cadangan3[[#This Row],[Kode diskon]],'Kode Diskon'!$C$3:$C$9,0)),"-")</f>
        <v>0.1</v>
      </c>
      <c r="AM461" s="23" t="s">
        <v>29</v>
      </c>
      <c r="AN461" s="23" t="s">
        <v>7</v>
      </c>
      <c r="AO461" s="23" t="s">
        <v>76</v>
      </c>
      <c r="AP461" s="24">
        <v>45022</v>
      </c>
      <c r="AQ461" s="23" t="str">
        <f>TEXT(cadangan3[[#This Row],[Tanggal terjual]],"dddd")</f>
        <v>Thursday</v>
      </c>
    </row>
    <row r="462" spans="1:43" x14ac:dyDescent="0.2">
      <c r="A462" s="20">
        <v>461</v>
      </c>
      <c r="B462" s="21" t="str">
        <f>_xlfn.CONCAT("ORD-",INDEX(Helper!$B$2:$B$5,MATCH(cadangan3[[#This Row],[Marketplace]],Helper!$A$2:$A$5,0)),TEXT(cadangan3[[#This Row],[No]],"0000"),"-",TEXT(cadangan3[[#This Row],[Tanggal terjual]],"dd/mm/yy"))</f>
        <v>ORD-SP0461-02/04/23</v>
      </c>
      <c r="C462" t="s">
        <v>64</v>
      </c>
      <c r="D462" t="str">
        <f>IFERROR(INDEX(Katalog!$A$3:$A$12,MATCH(cadangan3[[#This Row],[ItemID A]],Katalog!$C$3:$C$12,0)),"-")</f>
        <v>Pakaian Unisex</v>
      </c>
      <c r="E462" t="str">
        <f>IFERROR(INDEX(Katalog!$B$3:$B$12,MATCH(cadangan3[[#This Row],[ItemID A]],Katalog!$C$3:$C$12,0)),"-")</f>
        <v>Jaket Hoodie</v>
      </c>
      <c r="F462">
        <v>1</v>
      </c>
      <c r="G462">
        <v>5</v>
      </c>
      <c r="H462" s="36">
        <f>IFERROR(INDEX(Katalog!$D$3:$D$12,MATCH(cadangan3[[#This Row],[ItemID A]],Katalog!$C$3:$C$12,0))*cadangan3[[#This Row],[Qty A]],0)</f>
        <v>350000</v>
      </c>
      <c r="I462" s="36">
        <f>IFERROR(INDEX(Katalog!$D$3:$D$12,MATCH(cadangan3[[#This Row],[Item A]],Katalog!$B$3:$B$12,0))*cadangan3[[#This Row],[Qty A]],0)</f>
        <v>350000</v>
      </c>
      <c r="J462" s="36">
        <f>IFERROR(cadangan3[[#This Row],[Harga Asli A]]-(cadangan3[[#This Row],[Harga Asli A]]*cadangan3[[#This Row],[Diskon]]),cadangan3[[#This Row],[Harga Asli A]])</f>
        <v>297500</v>
      </c>
      <c r="K462" s="36">
        <f>INDEX(Katalog!$F$3:$F$12,MATCH(cadangan3[[#This Row],[ItemID A]],Katalog!$C$3:$C$12,0))*cadangan3[[#This Row],[Qty A]]</f>
        <v>130000</v>
      </c>
      <c r="L462" s="36">
        <f>IFERROR(cadangan3[[#This Row],[Profit A]]-(cadangan3[[#This Row],[Profit A]]*cadangan3[[#This Row],[Diskon]]),K462)</f>
        <v>110500</v>
      </c>
      <c r="N462" t="str">
        <f>IFERROR(INDEX(Katalog!$A$3:$A$12,MATCH(cadangan3[[#This Row],[ItemID B]],Katalog!$C$3:$C$12,0)),"-")</f>
        <v>-</v>
      </c>
      <c r="O462" t="str">
        <f>IFERROR(INDEX(Katalog!$B$3:$B$12,MATCH(cadangan3[[#This Row],[ItemID B]],Katalog!$C$3:$C$12,0)),"-")</f>
        <v>-</v>
      </c>
      <c r="R462" s="36">
        <f>IFERROR(INDEX(Katalog!$D$3:$D$12,MATCH(cadangan3[[#This Row],[ItemID B]],Katalog!$C$3:$C$12,0))*cadangan3[[#This Row],[Qty B]],0)</f>
        <v>0</v>
      </c>
      <c r="S462" s="36">
        <f>IFERROR(INDEX(Katalog!$D$3:$D$12,MATCH(cadangan3[[#This Row],[Item B]],Katalog!$B$3:$B$12,0))*cadangan3[[#This Row],[Qty B]],0)</f>
        <v>0</v>
      </c>
      <c r="T462" s="36">
        <f>IFERROR(cadangan3[[#This Row],[Harga Asli B]]-(cadangan3[[#This Row],[Harga Asli B]]*cadangan3[[#This Row],[Diskon]]),cadangan3[[#This Row],[Harga Asli B]])</f>
        <v>0</v>
      </c>
      <c r="U462" s="36">
        <f>IFERROR(INDEX(Katalog!$F$3:$F$12,MATCH(cadangan3[[#This Row],[ItemID B]],Katalog!$C$3:$C$12,0))*cadangan3[[#This Row],[Qty B]],0)</f>
        <v>0</v>
      </c>
      <c r="V462" s="36">
        <f>IFERROR(cadangan3[[#This Row],[Profit B]]-(cadangan3[[#This Row],[Profit B]]*cadangan3[[#This Row],[Diskon]]),U462)</f>
        <v>0</v>
      </c>
      <c r="X462" t="str">
        <f>IFERROR(INDEX(Katalog!$A$3:$A$12,MATCH(cadangan3[[#This Row],[ItemID C]],Katalog!$C$3:$C$12,0)),"-")</f>
        <v>-</v>
      </c>
      <c r="Y462" t="str">
        <f>IFERROR(INDEX(Katalog!$B$3:$B$12,MATCH(cadangan3[[#This Row],[ItemID C]],Katalog!$C$3:$C$12,0)),"-")</f>
        <v>-</v>
      </c>
      <c r="AB462" s="36">
        <f>IFERROR(INDEX(Katalog!$D$3:$D$12,MATCH(cadangan3[[#This Row],[ItemID C]],Katalog!$C$3:$C$12,0))*cadangan3[[#This Row],[Qty C]],0)</f>
        <v>0</v>
      </c>
      <c r="AC462" s="36">
        <f>IFERROR(INDEX(Katalog!$D$3:$D$12,MATCH(cadangan3[[#This Row],[Item C]],Katalog!$B$3:$B$12,0))*cadangan3[[#This Row],[Qty C]],0)</f>
        <v>0</v>
      </c>
      <c r="AD462" s="36">
        <f>IFERROR(cadangan3[[#This Row],[Harga Asli C]]-(cadangan3[[#This Row],[Harga Asli C]]*cadangan3[[#This Row],[Diskon]]),cadangan3[[#This Row],[Harga Asli C]])</f>
        <v>0</v>
      </c>
      <c r="AE462" s="36">
        <f>IFERROR(INDEX(Katalog!$F$3:$F$12,MATCH(cadangan3[[#This Row],[ItemID C]],Katalog!$C$3:$C$12,0))*cadangan3[[#This Row],[Qty C]],0)</f>
        <v>0</v>
      </c>
      <c r="AF462" s="36">
        <f>IFERROR(cadangan3[[#This Row],[Profit C]]-(cadangan3[[#This Row],[Profit C]]*cadangan3[[#This Row],[Diskon]]),cadangan3[[#This Row],[Profit C]])</f>
        <v>0</v>
      </c>
      <c r="AG462" s="21">
        <f>cadangan3[[#This Row],[Qty A]]+cadangan3[[#This Row],[Qty B]]+cadangan3[[#This Row],[Qty C]]</f>
        <v>1</v>
      </c>
      <c r="AH462" s="35">
        <f>cadangan3[[#This Row],[Harga A + Diskon]]+cadangan3[[#This Row],[Harga + Diskon B]]+cadangan3[[#This Row],[Harga + Diskon C]]</f>
        <v>297500</v>
      </c>
      <c r="AI462" s="35">
        <f>(cadangan3[[#This Row],[Profit A]]+cadangan3[[#This Row],[Profit B]]+cadangan3[[#This Row],[Profit C]])</f>
        <v>130000</v>
      </c>
      <c r="AJ462" s="35">
        <f>cadangan3[[#This Row],[Provit A + Diskon]]+cadangan3[[#This Row],[Provit B + Diskon]]+cadangan3[[#This Row],[Provit C + Diskon]]</f>
        <v>110500</v>
      </c>
      <c r="AK462" s="23" t="s">
        <v>13</v>
      </c>
      <c r="AL462" s="37">
        <f>IFERROR(INDEX('Kode Diskon'!$D$3:$D$9,MATCH(cadangan3[[#This Row],[Kode diskon]],'Kode Diskon'!$C$3:$C$9,0)),"-")</f>
        <v>0.15</v>
      </c>
      <c r="AM462" s="23" t="s">
        <v>29</v>
      </c>
      <c r="AN462" s="23" t="s">
        <v>7</v>
      </c>
      <c r="AO462" s="23" t="s">
        <v>76</v>
      </c>
      <c r="AP462" s="24">
        <v>45018</v>
      </c>
      <c r="AQ462" s="23" t="str">
        <f>TEXT(cadangan3[[#This Row],[Tanggal terjual]],"dddd")</f>
        <v>Sunday</v>
      </c>
    </row>
    <row r="463" spans="1:43" x14ac:dyDescent="0.2">
      <c r="A463" s="20">
        <v>462</v>
      </c>
      <c r="B463" s="21" t="str">
        <f>_xlfn.CONCAT("ORD-",INDEX(Helper!$B$2:$B$5,MATCH(cadangan3[[#This Row],[Marketplace]],Helper!$A$2:$A$5,0)),TEXT(cadangan3[[#This Row],[No]],"0000"),"-",TEXT(cadangan3[[#This Row],[Tanggal terjual]],"dd/mm/yy"))</f>
        <v>ORD-SP0462-27/04/23</v>
      </c>
      <c r="C463" t="s">
        <v>60</v>
      </c>
      <c r="D463" t="str">
        <f>IFERROR(INDEX(Katalog!$A$3:$A$12,MATCH(cadangan3[[#This Row],[ItemID A]],Katalog!$C$3:$C$12,0)),"-")</f>
        <v>Pakaian Wanita</v>
      </c>
      <c r="E463" t="str">
        <f>IFERROR(INDEX(Katalog!$B$3:$B$12,MATCH(cadangan3[[#This Row],[ItemID A]],Katalog!$C$3:$C$12,0)),"-")</f>
        <v>Kaftan</v>
      </c>
      <c r="F463">
        <v>2</v>
      </c>
      <c r="G463">
        <v>4</v>
      </c>
      <c r="H463" s="36">
        <f>IFERROR(INDEX(Katalog!$D$3:$D$12,MATCH(cadangan3[[#This Row],[ItemID A]],Katalog!$C$3:$C$12,0))*cadangan3[[#This Row],[Qty A]],0)</f>
        <v>500000</v>
      </c>
      <c r="I463" s="36">
        <f>IFERROR(INDEX(Katalog!$D$3:$D$12,MATCH(cadangan3[[#This Row],[Item A]],Katalog!$B$3:$B$12,0))*cadangan3[[#This Row],[Qty A]],0)</f>
        <v>500000</v>
      </c>
      <c r="J463" s="36">
        <f>IFERROR(cadangan3[[#This Row],[Harga Asli A]]-(cadangan3[[#This Row],[Harga Asli A]]*cadangan3[[#This Row],[Diskon]]),cadangan3[[#This Row],[Harga Asli A]])</f>
        <v>400000</v>
      </c>
      <c r="K463" s="36">
        <f>INDEX(Katalog!$F$3:$F$12,MATCH(cadangan3[[#This Row],[ItemID A]],Katalog!$C$3:$C$12,0))*cadangan3[[#This Row],[Qty A]]</f>
        <v>200000</v>
      </c>
      <c r="L463" s="36">
        <f>IFERROR(cadangan3[[#This Row],[Profit A]]-(cadangan3[[#This Row],[Profit A]]*cadangan3[[#This Row],[Diskon]]),K463)</f>
        <v>160000</v>
      </c>
      <c r="N463" t="str">
        <f>IFERROR(INDEX(Katalog!$A$3:$A$12,MATCH(cadangan3[[#This Row],[ItemID B]],Katalog!$C$3:$C$12,0)),"-")</f>
        <v>-</v>
      </c>
      <c r="O463" t="str">
        <f>IFERROR(INDEX(Katalog!$B$3:$B$12,MATCH(cadangan3[[#This Row],[ItemID B]],Katalog!$C$3:$C$12,0)),"-")</f>
        <v>-</v>
      </c>
      <c r="R463" s="36">
        <f>IFERROR(INDEX(Katalog!$D$3:$D$12,MATCH(cadangan3[[#This Row],[ItemID B]],Katalog!$C$3:$C$12,0))*cadangan3[[#This Row],[Qty B]],0)</f>
        <v>0</v>
      </c>
      <c r="S463" s="36">
        <f>IFERROR(INDEX(Katalog!$D$3:$D$12,MATCH(cadangan3[[#This Row],[Item B]],Katalog!$B$3:$B$12,0))*cadangan3[[#This Row],[Qty B]],0)</f>
        <v>0</v>
      </c>
      <c r="T463" s="36">
        <f>IFERROR(cadangan3[[#This Row],[Harga Asli B]]-(cadangan3[[#This Row],[Harga Asli B]]*cadangan3[[#This Row],[Diskon]]),cadangan3[[#This Row],[Harga Asli B]])</f>
        <v>0</v>
      </c>
      <c r="U463" s="36">
        <f>IFERROR(INDEX(Katalog!$F$3:$F$12,MATCH(cadangan3[[#This Row],[ItemID B]],Katalog!$C$3:$C$12,0))*cadangan3[[#This Row],[Qty B]],0)</f>
        <v>0</v>
      </c>
      <c r="V463" s="36">
        <f>IFERROR(cadangan3[[#This Row],[Profit B]]-(cadangan3[[#This Row],[Profit B]]*cadangan3[[#This Row],[Diskon]]),U463)</f>
        <v>0</v>
      </c>
      <c r="X463" t="str">
        <f>IFERROR(INDEX(Katalog!$A$3:$A$12,MATCH(cadangan3[[#This Row],[ItemID C]],Katalog!$C$3:$C$12,0)),"-")</f>
        <v>-</v>
      </c>
      <c r="Y463" t="str">
        <f>IFERROR(INDEX(Katalog!$B$3:$B$12,MATCH(cadangan3[[#This Row],[ItemID C]],Katalog!$C$3:$C$12,0)),"-")</f>
        <v>-</v>
      </c>
      <c r="AB463" s="36">
        <f>IFERROR(INDEX(Katalog!$D$3:$D$12,MATCH(cadangan3[[#This Row],[ItemID C]],Katalog!$C$3:$C$12,0))*cadangan3[[#This Row],[Qty C]],0)</f>
        <v>0</v>
      </c>
      <c r="AC463" s="36">
        <f>IFERROR(INDEX(Katalog!$D$3:$D$12,MATCH(cadangan3[[#This Row],[Item C]],Katalog!$B$3:$B$12,0))*cadangan3[[#This Row],[Qty C]],0)</f>
        <v>0</v>
      </c>
      <c r="AD463" s="36">
        <f>IFERROR(cadangan3[[#This Row],[Harga Asli C]]-(cadangan3[[#This Row],[Harga Asli C]]*cadangan3[[#This Row],[Diskon]]),cadangan3[[#This Row],[Harga Asli C]])</f>
        <v>0</v>
      </c>
      <c r="AE463" s="36">
        <f>IFERROR(INDEX(Katalog!$F$3:$F$12,MATCH(cadangan3[[#This Row],[ItemID C]],Katalog!$C$3:$C$12,0))*cadangan3[[#This Row],[Qty C]],0)</f>
        <v>0</v>
      </c>
      <c r="AF463" s="36">
        <f>IFERROR(cadangan3[[#This Row],[Profit C]]-(cadangan3[[#This Row],[Profit C]]*cadangan3[[#This Row],[Diskon]]),cadangan3[[#This Row],[Profit C]])</f>
        <v>0</v>
      </c>
      <c r="AG463" s="21">
        <f>cadangan3[[#This Row],[Qty A]]+cadangan3[[#This Row],[Qty B]]+cadangan3[[#This Row],[Qty C]]</f>
        <v>2</v>
      </c>
      <c r="AH463" s="35">
        <f>cadangan3[[#This Row],[Harga A + Diskon]]+cadangan3[[#This Row],[Harga + Diskon B]]+cadangan3[[#This Row],[Harga + Diskon C]]</f>
        <v>400000</v>
      </c>
      <c r="AI463" s="35">
        <f>(cadangan3[[#This Row],[Profit A]]+cadangan3[[#This Row],[Profit B]]+cadangan3[[#This Row],[Profit C]])</f>
        <v>200000</v>
      </c>
      <c r="AJ463" s="35">
        <f>cadangan3[[#This Row],[Provit A + Diskon]]+cadangan3[[#This Row],[Provit B + Diskon]]+cadangan3[[#This Row],[Provit C + Diskon]]</f>
        <v>160000</v>
      </c>
      <c r="AK463" s="23" t="s">
        <v>8</v>
      </c>
      <c r="AL463" s="37">
        <f>IFERROR(INDEX('Kode Diskon'!$D$3:$D$9,MATCH(cadangan3[[#This Row],[Kode diskon]],'Kode Diskon'!$C$3:$C$9,0)),"-")</f>
        <v>0.2</v>
      </c>
      <c r="AM463" s="23" t="s">
        <v>9</v>
      </c>
      <c r="AN463" s="23" t="s">
        <v>7</v>
      </c>
      <c r="AO463" s="23" t="s">
        <v>80</v>
      </c>
      <c r="AP463" s="24">
        <v>45043</v>
      </c>
      <c r="AQ463" s="23" t="str">
        <f>TEXT(cadangan3[[#This Row],[Tanggal terjual]],"dddd")</f>
        <v>Thursday</v>
      </c>
    </row>
    <row r="464" spans="1:43" x14ac:dyDescent="0.2">
      <c r="A464" s="20">
        <v>463</v>
      </c>
      <c r="B464" s="21" t="str">
        <f>_xlfn.CONCAT("ORD-",INDEX(Helper!$B$2:$B$5,MATCH(cadangan3[[#This Row],[Marketplace]],Helper!$A$2:$A$5,0)),TEXT(cadangan3[[#This Row],[No]],"0000"),"-",TEXT(cadangan3[[#This Row],[Tanggal terjual]],"dd/mm/yy"))</f>
        <v>ORD-TK0463-17/04/23</v>
      </c>
      <c r="C464" t="s">
        <v>67</v>
      </c>
      <c r="D464" t="str">
        <f>IFERROR(INDEX(Katalog!$A$3:$A$12,MATCH(cadangan3[[#This Row],[ItemID A]],Katalog!$C$3:$C$12,0)),"-")</f>
        <v>Sepatu Wanita</v>
      </c>
      <c r="E464" t="str">
        <f>IFERROR(INDEX(Katalog!$B$3:$B$12,MATCH(cadangan3[[#This Row],[ItemID A]],Katalog!$C$3:$C$12,0)),"-")</f>
        <v>Flat Shoes</v>
      </c>
      <c r="F464">
        <v>4</v>
      </c>
      <c r="G464">
        <v>2</v>
      </c>
      <c r="H464" s="36">
        <f>IFERROR(INDEX(Katalog!$D$3:$D$12,MATCH(cadangan3[[#This Row],[ItemID A]],Katalog!$C$3:$C$12,0))*cadangan3[[#This Row],[Qty A]],0)</f>
        <v>1000000</v>
      </c>
      <c r="I464" s="36">
        <f>IFERROR(INDEX(Katalog!$D$3:$D$12,MATCH(cadangan3[[#This Row],[Item A]],Katalog!$B$3:$B$12,0))*cadangan3[[#This Row],[Qty A]],0)</f>
        <v>1000000</v>
      </c>
      <c r="J464" s="36">
        <f>IFERROR(cadangan3[[#This Row],[Harga Asli A]]-(cadangan3[[#This Row],[Harga Asli A]]*cadangan3[[#This Row],[Diskon]]),cadangan3[[#This Row],[Harga Asli A]])</f>
        <v>900000</v>
      </c>
      <c r="K464" s="36">
        <f>INDEX(Katalog!$F$3:$F$12,MATCH(cadangan3[[#This Row],[ItemID A]],Katalog!$C$3:$C$12,0))*cadangan3[[#This Row],[Qty A]]</f>
        <v>400000</v>
      </c>
      <c r="L464" s="36">
        <f>IFERROR(cadangan3[[#This Row],[Profit A]]-(cadangan3[[#This Row],[Profit A]]*cadangan3[[#This Row],[Diskon]]),K464)</f>
        <v>360000</v>
      </c>
      <c r="M464" t="s">
        <v>60</v>
      </c>
      <c r="N464" t="str">
        <f>IFERROR(INDEX(Katalog!$A$3:$A$12,MATCH(cadangan3[[#This Row],[ItemID B]],Katalog!$C$3:$C$12,0)),"-")</f>
        <v>Pakaian Wanita</v>
      </c>
      <c r="O464" t="str">
        <f>IFERROR(INDEX(Katalog!$B$3:$B$12,MATCH(cadangan3[[#This Row],[ItemID B]],Katalog!$C$3:$C$12,0)),"-")</f>
        <v>Kaftan</v>
      </c>
      <c r="P464">
        <v>3</v>
      </c>
      <c r="Q464">
        <v>1</v>
      </c>
      <c r="R464" s="36">
        <f>IFERROR(INDEX(Katalog!$D$3:$D$12,MATCH(cadangan3[[#This Row],[ItemID B]],Katalog!$C$3:$C$12,0))*cadangan3[[#This Row],[Qty B]],0)</f>
        <v>750000</v>
      </c>
      <c r="S464" s="36">
        <f>IFERROR(INDEX(Katalog!$D$3:$D$12,MATCH(cadangan3[[#This Row],[Item B]],Katalog!$B$3:$B$12,0))*cadangan3[[#This Row],[Qty B]],0)</f>
        <v>750000</v>
      </c>
      <c r="T464" s="36">
        <f>IFERROR(cadangan3[[#This Row],[Harga Asli B]]-(cadangan3[[#This Row],[Harga Asli B]]*cadangan3[[#This Row],[Diskon]]),cadangan3[[#This Row],[Harga Asli B]])</f>
        <v>675000</v>
      </c>
      <c r="U464" s="36">
        <f>IFERROR(INDEX(Katalog!$F$3:$F$12,MATCH(cadangan3[[#This Row],[ItemID B]],Katalog!$C$3:$C$12,0))*cadangan3[[#This Row],[Qty B]],0)</f>
        <v>300000</v>
      </c>
      <c r="V464" s="36">
        <f>IFERROR(cadangan3[[#This Row],[Profit B]]-(cadangan3[[#This Row],[Profit B]]*cadangan3[[#This Row],[Diskon]]),U464)</f>
        <v>270000</v>
      </c>
      <c r="X464" t="str">
        <f>IFERROR(INDEX(Katalog!$A$3:$A$12,MATCH(cadangan3[[#This Row],[ItemID C]],Katalog!$C$3:$C$12,0)),"-")</f>
        <v>-</v>
      </c>
      <c r="Y464" t="str">
        <f>IFERROR(INDEX(Katalog!$B$3:$B$12,MATCH(cadangan3[[#This Row],[ItemID C]],Katalog!$C$3:$C$12,0)),"-")</f>
        <v>-</v>
      </c>
      <c r="AB464" s="36">
        <f>IFERROR(INDEX(Katalog!$D$3:$D$12,MATCH(cadangan3[[#This Row],[ItemID C]],Katalog!$C$3:$C$12,0))*cadangan3[[#This Row],[Qty C]],0)</f>
        <v>0</v>
      </c>
      <c r="AC464" s="36">
        <f>IFERROR(INDEX(Katalog!$D$3:$D$12,MATCH(cadangan3[[#This Row],[Item C]],Katalog!$B$3:$B$12,0))*cadangan3[[#This Row],[Qty C]],0)</f>
        <v>0</v>
      </c>
      <c r="AD464" s="36">
        <f>IFERROR(cadangan3[[#This Row],[Harga Asli C]]-(cadangan3[[#This Row],[Harga Asli C]]*cadangan3[[#This Row],[Diskon]]),cadangan3[[#This Row],[Harga Asli C]])</f>
        <v>0</v>
      </c>
      <c r="AE464" s="36">
        <f>IFERROR(INDEX(Katalog!$F$3:$F$12,MATCH(cadangan3[[#This Row],[ItemID C]],Katalog!$C$3:$C$12,0))*cadangan3[[#This Row],[Qty C]],0)</f>
        <v>0</v>
      </c>
      <c r="AF464" s="36">
        <f>IFERROR(cadangan3[[#This Row],[Profit C]]-(cadangan3[[#This Row],[Profit C]]*cadangan3[[#This Row],[Diskon]]),cadangan3[[#This Row],[Profit C]])</f>
        <v>0</v>
      </c>
      <c r="AG464" s="21">
        <f>cadangan3[[#This Row],[Qty A]]+cadangan3[[#This Row],[Qty B]]+cadangan3[[#This Row],[Qty C]]</f>
        <v>7</v>
      </c>
      <c r="AH464" s="35">
        <f>cadangan3[[#This Row],[Harga A + Diskon]]+cadangan3[[#This Row],[Harga + Diskon B]]+cadangan3[[#This Row],[Harga + Diskon C]]</f>
        <v>1575000</v>
      </c>
      <c r="AI464" s="35">
        <f>(cadangan3[[#This Row],[Profit A]]+cadangan3[[#This Row],[Profit B]]+cadangan3[[#This Row],[Profit C]])</f>
        <v>700000</v>
      </c>
      <c r="AJ464" s="35">
        <f>cadangan3[[#This Row],[Provit A + Diskon]]+cadangan3[[#This Row],[Provit B + Diskon]]+cadangan3[[#This Row],[Provit C + Diskon]]</f>
        <v>630000</v>
      </c>
      <c r="AK464" s="23" t="s">
        <v>31</v>
      </c>
      <c r="AL464" s="37">
        <f>IFERROR(INDEX('Kode Diskon'!$D$3:$D$9,MATCH(cadangan3[[#This Row],[Kode diskon]],'Kode Diskon'!$C$3:$C$9,0)),"-")</f>
        <v>0.1</v>
      </c>
      <c r="AM464" s="23" t="s">
        <v>9</v>
      </c>
      <c r="AN464" s="23" t="s">
        <v>10</v>
      </c>
      <c r="AO464" s="23" t="s">
        <v>80</v>
      </c>
      <c r="AP464" s="24">
        <v>45033</v>
      </c>
      <c r="AQ464" s="23" t="str">
        <f>TEXT(cadangan3[[#This Row],[Tanggal terjual]],"dddd")</f>
        <v>Monday</v>
      </c>
    </row>
    <row r="465" spans="1:43" x14ac:dyDescent="0.2">
      <c r="A465" s="20">
        <v>464</v>
      </c>
      <c r="B465" s="21" t="str">
        <f>_xlfn.CONCAT("ORD-",INDEX(Helper!$B$2:$B$5,MATCH(cadangan3[[#This Row],[Marketplace]],Helper!$A$2:$A$5,0)),TEXT(cadangan3[[#This Row],[No]],"0000"),"-",TEXT(cadangan3[[#This Row],[Tanggal terjual]],"dd/mm/yy"))</f>
        <v>ORD-TK0464-04/04/23</v>
      </c>
      <c r="C465" t="s">
        <v>65</v>
      </c>
      <c r="D465" t="str">
        <f>IFERROR(INDEX(Katalog!$A$3:$A$12,MATCH(cadangan3[[#This Row],[ItemID A]],Katalog!$C$3:$C$12,0)),"-")</f>
        <v>Sepatu Pria</v>
      </c>
      <c r="E465" t="str">
        <f>IFERROR(INDEX(Katalog!$B$3:$B$12,MATCH(cadangan3[[#This Row],[ItemID A]],Katalog!$C$3:$C$12,0)),"-")</f>
        <v>Sneakers</v>
      </c>
      <c r="F465">
        <v>2</v>
      </c>
      <c r="G465">
        <v>4</v>
      </c>
      <c r="H465" s="36">
        <f>IFERROR(INDEX(Katalog!$D$3:$D$12,MATCH(cadangan3[[#This Row],[ItemID A]],Katalog!$C$3:$C$12,0))*cadangan3[[#This Row],[Qty A]],0)</f>
        <v>1000000</v>
      </c>
      <c r="I465" s="36">
        <f>IFERROR(INDEX(Katalog!$D$3:$D$12,MATCH(cadangan3[[#This Row],[Item A]],Katalog!$B$3:$B$12,0))*cadangan3[[#This Row],[Qty A]],0)</f>
        <v>1000000</v>
      </c>
      <c r="J465" s="36">
        <f>IFERROR(cadangan3[[#This Row],[Harga Asli A]]-(cadangan3[[#This Row],[Harga Asli A]]*cadangan3[[#This Row],[Diskon]]),cadangan3[[#This Row],[Harga Asli A]])</f>
        <v>900000</v>
      </c>
      <c r="K465" s="36">
        <f>INDEX(Katalog!$F$3:$F$12,MATCH(cadangan3[[#This Row],[ItemID A]],Katalog!$C$3:$C$12,0))*cadangan3[[#This Row],[Qty A]]</f>
        <v>400000</v>
      </c>
      <c r="L465" s="36">
        <f>IFERROR(cadangan3[[#This Row],[Profit A]]-(cadangan3[[#This Row],[Profit A]]*cadangan3[[#This Row],[Diskon]]),K465)</f>
        <v>360000</v>
      </c>
      <c r="N465" t="str">
        <f>IFERROR(INDEX(Katalog!$A$3:$A$12,MATCH(cadangan3[[#This Row],[ItemID B]],Katalog!$C$3:$C$12,0)),"-")</f>
        <v>-</v>
      </c>
      <c r="O465" t="str">
        <f>IFERROR(INDEX(Katalog!$B$3:$B$12,MATCH(cadangan3[[#This Row],[ItemID B]],Katalog!$C$3:$C$12,0)),"-")</f>
        <v>-</v>
      </c>
      <c r="R465" s="36">
        <f>IFERROR(INDEX(Katalog!$D$3:$D$12,MATCH(cadangan3[[#This Row],[ItemID B]],Katalog!$C$3:$C$12,0))*cadangan3[[#This Row],[Qty B]],0)</f>
        <v>0</v>
      </c>
      <c r="S465" s="36">
        <f>IFERROR(INDEX(Katalog!$D$3:$D$12,MATCH(cadangan3[[#This Row],[Item B]],Katalog!$B$3:$B$12,0))*cadangan3[[#This Row],[Qty B]],0)</f>
        <v>0</v>
      </c>
      <c r="T465" s="36">
        <f>IFERROR(cadangan3[[#This Row],[Harga Asli B]]-(cadangan3[[#This Row],[Harga Asli B]]*cadangan3[[#This Row],[Diskon]]),cadangan3[[#This Row],[Harga Asli B]])</f>
        <v>0</v>
      </c>
      <c r="U465" s="36">
        <f>IFERROR(INDEX(Katalog!$F$3:$F$12,MATCH(cadangan3[[#This Row],[ItemID B]],Katalog!$C$3:$C$12,0))*cadangan3[[#This Row],[Qty B]],0)</f>
        <v>0</v>
      </c>
      <c r="V465" s="36">
        <f>IFERROR(cadangan3[[#This Row],[Profit B]]-(cadangan3[[#This Row],[Profit B]]*cadangan3[[#This Row],[Diskon]]),U465)</f>
        <v>0</v>
      </c>
      <c r="X465" t="str">
        <f>IFERROR(INDEX(Katalog!$A$3:$A$12,MATCH(cadangan3[[#This Row],[ItemID C]],Katalog!$C$3:$C$12,0)),"-")</f>
        <v>-</v>
      </c>
      <c r="Y465" t="str">
        <f>IFERROR(INDEX(Katalog!$B$3:$B$12,MATCH(cadangan3[[#This Row],[ItemID C]],Katalog!$C$3:$C$12,0)),"-")</f>
        <v>-</v>
      </c>
      <c r="AB465" s="36">
        <f>IFERROR(INDEX(Katalog!$D$3:$D$12,MATCH(cadangan3[[#This Row],[ItemID C]],Katalog!$C$3:$C$12,0))*cadangan3[[#This Row],[Qty C]],0)</f>
        <v>0</v>
      </c>
      <c r="AC465" s="36">
        <f>IFERROR(INDEX(Katalog!$D$3:$D$12,MATCH(cadangan3[[#This Row],[Item C]],Katalog!$B$3:$B$12,0))*cadangan3[[#This Row],[Qty C]],0)</f>
        <v>0</v>
      </c>
      <c r="AD465" s="36">
        <f>IFERROR(cadangan3[[#This Row],[Harga Asli C]]-(cadangan3[[#This Row],[Harga Asli C]]*cadangan3[[#This Row],[Diskon]]),cadangan3[[#This Row],[Harga Asli C]])</f>
        <v>0</v>
      </c>
      <c r="AE465" s="36">
        <f>IFERROR(INDEX(Katalog!$F$3:$F$12,MATCH(cadangan3[[#This Row],[ItemID C]],Katalog!$C$3:$C$12,0))*cadangan3[[#This Row],[Qty C]],0)</f>
        <v>0</v>
      </c>
      <c r="AF465" s="36">
        <f>IFERROR(cadangan3[[#This Row],[Profit C]]-(cadangan3[[#This Row],[Profit C]]*cadangan3[[#This Row],[Diskon]]),cadangan3[[#This Row],[Profit C]])</f>
        <v>0</v>
      </c>
      <c r="AG465" s="21">
        <f>cadangan3[[#This Row],[Qty A]]+cadangan3[[#This Row],[Qty B]]+cadangan3[[#This Row],[Qty C]]</f>
        <v>2</v>
      </c>
      <c r="AH465" s="35">
        <f>cadangan3[[#This Row],[Harga A + Diskon]]+cadangan3[[#This Row],[Harga + Diskon B]]+cadangan3[[#This Row],[Harga + Diskon C]]</f>
        <v>900000</v>
      </c>
      <c r="AI465" s="35">
        <f>(cadangan3[[#This Row],[Profit A]]+cadangan3[[#This Row],[Profit B]]+cadangan3[[#This Row],[Profit C]])</f>
        <v>400000</v>
      </c>
      <c r="AJ465" s="35">
        <f>cadangan3[[#This Row],[Provit A + Diskon]]+cadangan3[[#This Row],[Provit B + Diskon]]+cadangan3[[#This Row],[Provit C + Diskon]]</f>
        <v>360000</v>
      </c>
      <c r="AK465" s="23" t="s">
        <v>30</v>
      </c>
      <c r="AL465" s="37">
        <f>IFERROR(INDEX('Kode Diskon'!$D$3:$D$9,MATCH(cadangan3[[#This Row],[Kode diskon]],'Kode Diskon'!$C$3:$C$9,0)),"-")</f>
        <v>0.1</v>
      </c>
      <c r="AM465" s="23" t="s">
        <v>29</v>
      </c>
      <c r="AN465" s="23" t="s">
        <v>10</v>
      </c>
      <c r="AO465" s="23" t="s">
        <v>80</v>
      </c>
      <c r="AP465" s="24">
        <v>45020</v>
      </c>
      <c r="AQ465" s="23" t="str">
        <f>TEXT(cadangan3[[#This Row],[Tanggal terjual]],"dddd")</f>
        <v>Tuesday</v>
      </c>
    </row>
    <row r="466" spans="1:43" x14ac:dyDescent="0.2">
      <c r="A466" s="20">
        <v>465</v>
      </c>
      <c r="B466" s="21" t="str">
        <f>_xlfn.CONCAT("ORD-",INDEX(Helper!$B$2:$B$5,MATCH(cadangan3[[#This Row],[Marketplace]],Helper!$A$2:$A$5,0)),TEXT(cadangan3[[#This Row],[No]],"0000"),"-",TEXT(cadangan3[[#This Row],[Tanggal terjual]],"dd/mm/yy"))</f>
        <v>ORD-BL0465-18/04/23</v>
      </c>
      <c r="C466" t="s">
        <v>67</v>
      </c>
      <c r="D466" t="str">
        <f>IFERROR(INDEX(Katalog!$A$3:$A$12,MATCH(cadangan3[[#This Row],[ItemID A]],Katalog!$C$3:$C$12,0)),"-")</f>
        <v>Sepatu Wanita</v>
      </c>
      <c r="E466" t="str">
        <f>IFERROR(INDEX(Katalog!$B$3:$B$12,MATCH(cadangan3[[#This Row],[ItemID A]],Katalog!$C$3:$C$12,0)),"-")</f>
        <v>Flat Shoes</v>
      </c>
      <c r="F466">
        <v>1</v>
      </c>
      <c r="G466">
        <v>2</v>
      </c>
      <c r="H466" s="36">
        <f>IFERROR(INDEX(Katalog!$D$3:$D$12,MATCH(cadangan3[[#This Row],[ItemID A]],Katalog!$C$3:$C$12,0))*cadangan3[[#This Row],[Qty A]],0)</f>
        <v>250000</v>
      </c>
      <c r="I466" s="36">
        <f>IFERROR(INDEX(Katalog!$D$3:$D$12,MATCH(cadangan3[[#This Row],[Item A]],Katalog!$B$3:$B$12,0))*cadangan3[[#This Row],[Qty A]],0)</f>
        <v>250000</v>
      </c>
      <c r="J466" s="36">
        <f>IFERROR(cadangan3[[#This Row],[Harga Asli A]]-(cadangan3[[#This Row],[Harga Asli A]]*cadangan3[[#This Row],[Diskon]]),cadangan3[[#This Row],[Harga Asli A]])</f>
        <v>212500</v>
      </c>
      <c r="K466" s="36">
        <f>INDEX(Katalog!$F$3:$F$12,MATCH(cadangan3[[#This Row],[ItemID A]],Katalog!$C$3:$C$12,0))*cadangan3[[#This Row],[Qty A]]</f>
        <v>100000</v>
      </c>
      <c r="L466" s="36">
        <f>IFERROR(cadangan3[[#This Row],[Profit A]]-(cadangan3[[#This Row],[Profit A]]*cadangan3[[#This Row],[Diskon]]),K466)</f>
        <v>85000</v>
      </c>
      <c r="N466" t="str">
        <f>IFERROR(INDEX(Katalog!$A$3:$A$12,MATCH(cadangan3[[#This Row],[ItemID B]],Katalog!$C$3:$C$12,0)),"-")</f>
        <v>-</v>
      </c>
      <c r="O466" t="str">
        <f>IFERROR(INDEX(Katalog!$B$3:$B$12,MATCH(cadangan3[[#This Row],[ItemID B]],Katalog!$C$3:$C$12,0)),"-")</f>
        <v>-</v>
      </c>
      <c r="R466" s="36">
        <f>IFERROR(INDEX(Katalog!$D$3:$D$12,MATCH(cadangan3[[#This Row],[ItemID B]],Katalog!$C$3:$C$12,0))*cadangan3[[#This Row],[Qty B]],0)</f>
        <v>0</v>
      </c>
      <c r="S466" s="36">
        <f>IFERROR(INDEX(Katalog!$D$3:$D$12,MATCH(cadangan3[[#This Row],[Item B]],Katalog!$B$3:$B$12,0))*cadangan3[[#This Row],[Qty B]],0)</f>
        <v>0</v>
      </c>
      <c r="T466" s="36">
        <f>IFERROR(cadangan3[[#This Row],[Harga Asli B]]-(cadangan3[[#This Row],[Harga Asli B]]*cadangan3[[#This Row],[Diskon]]),cadangan3[[#This Row],[Harga Asli B]])</f>
        <v>0</v>
      </c>
      <c r="U466" s="36">
        <f>IFERROR(INDEX(Katalog!$F$3:$F$12,MATCH(cadangan3[[#This Row],[ItemID B]],Katalog!$C$3:$C$12,0))*cadangan3[[#This Row],[Qty B]],0)</f>
        <v>0</v>
      </c>
      <c r="V466" s="36">
        <f>IFERROR(cadangan3[[#This Row],[Profit B]]-(cadangan3[[#This Row],[Profit B]]*cadangan3[[#This Row],[Diskon]]),U466)</f>
        <v>0</v>
      </c>
      <c r="X466" t="str">
        <f>IFERROR(INDEX(Katalog!$A$3:$A$12,MATCH(cadangan3[[#This Row],[ItemID C]],Katalog!$C$3:$C$12,0)),"-")</f>
        <v>-</v>
      </c>
      <c r="Y466" t="str">
        <f>IFERROR(INDEX(Katalog!$B$3:$B$12,MATCH(cadangan3[[#This Row],[ItemID C]],Katalog!$C$3:$C$12,0)),"-")</f>
        <v>-</v>
      </c>
      <c r="AB466" s="36">
        <f>IFERROR(INDEX(Katalog!$D$3:$D$12,MATCH(cadangan3[[#This Row],[ItemID C]],Katalog!$C$3:$C$12,0))*cadangan3[[#This Row],[Qty C]],0)</f>
        <v>0</v>
      </c>
      <c r="AC466" s="36">
        <f>IFERROR(INDEX(Katalog!$D$3:$D$12,MATCH(cadangan3[[#This Row],[Item C]],Katalog!$B$3:$B$12,0))*cadangan3[[#This Row],[Qty C]],0)</f>
        <v>0</v>
      </c>
      <c r="AD466" s="36">
        <f>IFERROR(cadangan3[[#This Row],[Harga Asli C]]-(cadangan3[[#This Row],[Harga Asli C]]*cadangan3[[#This Row],[Diskon]]),cadangan3[[#This Row],[Harga Asli C]])</f>
        <v>0</v>
      </c>
      <c r="AE466" s="36">
        <f>IFERROR(INDEX(Katalog!$F$3:$F$12,MATCH(cadangan3[[#This Row],[ItemID C]],Katalog!$C$3:$C$12,0))*cadangan3[[#This Row],[Qty C]],0)</f>
        <v>0</v>
      </c>
      <c r="AF466" s="36">
        <f>IFERROR(cadangan3[[#This Row],[Profit C]]-(cadangan3[[#This Row],[Profit C]]*cadangan3[[#This Row],[Diskon]]),cadangan3[[#This Row],[Profit C]])</f>
        <v>0</v>
      </c>
      <c r="AG466" s="21">
        <f>cadangan3[[#This Row],[Qty A]]+cadangan3[[#This Row],[Qty B]]+cadangan3[[#This Row],[Qty C]]</f>
        <v>1</v>
      </c>
      <c r="AH466" s="35">
        <f>cadangan3[[#This Row],[Harga A + Diskon]]+cadangan3[[#This Row],[Harga + Diskon B]]+cadangan3[[#This Row],[Harga + Diskon C]]</f>
        <v>212500</v>
      </c>
      <c r="AI466" s="35">
        <f>(cadangan3[[#This Row],[Profit A]]+cadangan3[[#This Row],[Profit B]]+cadangan3[[#This Row],[Profit C]])</f>
        <v>100000</v>
      </c>
      <c r="AJ466" s="35">
        <f>cadangan3[[#This Row],[Provit A + Diskon]]+cadangan3[[#This Row],[Provit B + Diskon]]+cadangan3[[#This Row],[Provit C + Diskon]]</f>
        <v>85000</v>
      </c>
      <c r="AK466" s="23" t="s">
        <v>32</v>
      </c>
      <c r="AL466" s="37">
        <f>IFERROR(INDEX('Kode Diskon'!$D$3:$D$9,MATCH(cadangan3[[#This Row],[Kode diskon]],'Kode Diskon'!$C$3:$C$9,0)),"-")</f>
        <v>0.15</v>
      </c>
      <c r="AM466" s="23" t="s">
        <v>9</v>
      </c>
      <c r="AN466" s="23" t="s">
        <v>12</v>
      </c>
      <c r="AO466" s="23" t="s">
        <v>80</v>
      </c>
      <c r="AP466" s="24">
        <v>45034</v>
      </c>
      <c r="AQ466" s="23" t="str">
        <f>TEXT(cadangan3[[#This Row],[Tanggal terjual]],"dddd")</f>
        <v>Tuesday</v>
      </c>
    </row>
    <row r="467" spans="1:43" x14ac:dyDescent="0.2">
      <c r="A467" s="20">
        <v>466</v>
      </c>
      <c r="B467" s="21" t="str">
        <f>_xlfn.CONCAT("ORD-",INDEX(Helper!$B$2:$B$5,MATCH(cadangan3[[#This Row],[Marketplace]],Helper!$A$2:$A$5,0)),TEXT(cadangan3[[#This Row],[No]],"0000"),"-",TEXT(cadangan3[[#This Row],[Tanggal terjual]],"dd/mm/yy"))</f>
        <v>ORD-SP0466-05/04/23</v>
      </c>
      <c r="C467" t="s">
        <v>64</v>
      </c>
      <c r="D467" t="str">
        <f>IFERROR(INDEX(Katalog!$A$3:$A$12,MATCH(cadangan3[[#This Row],[ItemID A]],Katalog!$C$3:$C$12,0)),"-")</f>
        <v>Pakaian Unisex</v>
      </c>
      <c r="E467" t="str">
        <f>IFERROR(INDEX(Katalog!$B$3:$B$12,MATCH(cadangan3[[#This Row],[ItemID A]],Katalog!$C$3:$C$12,0)),"-")</f>
        <v>Jaket Hoodie</v>
      </c>
      <c r="F467">
        <v>1</v>
      </c>
      <c r="G467">
        <v>1</v>
      </c>
      <c r="H467" s="36">
        <f>IFERROR(INDEX(Katalog!$D$3:$D$12,MATCH(cadangan3[[#This Row],[ItemID A]],Katalog!$C$3:$C$12,0))*cadangan3[[#This Row],[Qty A]],0)</f>
        <v>350000</v>
      </c>
      <c r="I467" s="36">
        <f>IFERROR(INDEX(Katalog!$D$3:$D$12,MATCH(cadangan3[[#This Row],[Item A]],Katalog!$B$3:$B$12,0))*cadangan3[[#This Row],[Qty A]],0)</f>
        <v>350000</v>
      </c>
      <c r="J467" s="36">
        <f>IFERROR(cadangan3[[#This Row],[Harga Asli A]]-(cadangan3[[#This Row],[Harga Asli A]]*cadangan3[[#This Row],[Diskon]]),cadangan3[[#This Row],[Harga Asli A]])</f>
        <v>297500</v>
      </c>
      <c r="K467" s="36">
        <f>INDEX(Katalog!$F$3:$F$12,MATCH(cadangan3[[#This Row],[ItemID A]],Katalog!$C$3:$C$12,0))*cadangan3[[#This Row],[Qty A]]</f>
        <v>130000</v>
      </c>
      <c r="L467" s="36">
        <f>IFERROR(cadangan3[[#This Row],[Profit A]]-(cadangan3[[#This Row],[Profit A]]*cadangan3[[#This Row],[Diskon]]),K467)</f>
        <v>110500</v>
      </c>
      <c r="M467" t="s">
        <v>62</v>
      </c>
      <c r="N467" t="str">
        <f>IFERROR(INDEX(Katalog!$A$3:$A$12,MATCH(cadangan3[[#This Row],[ItemID B]],Katalog!$C$3:$C$12,0)),"-")</f>
        <v>Pakaian Pria</v>
      </c>
      <c r="O467" t="str">
        <f>IFERROR(INDEX(Katalog!$B$3:$B$12,MATCH(cadangan3[[#This Row],[ItemID B]],Katalog!$C$3:$C$12,0)),"-")</f>
        <v>Celana Pendek</v>
      </c>
      <c r="P467">
        <v>1</v>
      </c>
      <c r="Q467">
        <v>4</v>
      </c>
      <c r="R467" s="36">
        <f>IFERROR(INDEX(Katalog!$D$3:$D$12,MATCH(cadangan3[[#This Row],[ItemID B]],Katalog!$C$3:$C$12,0))*cadangan3[[#This Row],[Qty B]],0)</f>
        <v>180000</v>
      </c>
      <c r="S467" s="36">
        <f>IFERROR(INDEX(Katalog!$D$3:$D$12,MATCH(cadangan3[[#This Row],[Item B]],Katalog!$B$3:$B$12,0))*cadangan3[[#This Row],[Qty B]],0)</f>
        <v>180000</v>
      </c>
      <c r="T467" s="36">
        <f>IFERROR(cadangan3[[#This Row],[Harga Asli B]]-(cadangan3[[#This Row],[Harga Asli B]]*cadangan3[[#This Row],[Diskon]]),cadangan3[[#This Row],[Harga Asli B]])</f>
        <v>153000</v>
      </c>
      <c r="U467" s="36">
        <f>IFERROR(INDEX(Katalog!$F$3:$F$12,MATCH(cadangan3[[#This Row],[ItemID B]],Katalog!$C$3:$C$12,0))*cadangan3[[#This Row],[Qty B]],0)</f>
        <v>70000</v>
      </c>
      <c r="V467" s="36">
        <f>IFERROR(cadangan3[[#This Row],[Profit B]]-(cadangan3[[#This Row],[Profit B]]*cadangan3[[#This Row],[Diskon]]),U467)</f>
        <v>59500</v>
      </c>
      <c r="X467" t="str">
        <f>IFERROR(INDEX(Katalog!$A$3:$A$12,MATCH(cadangan3[[#This Row],[ItemID C]],Katalog!$C$3:$C$12,0)),"-")</f>
        <v>-</v>
      </c>
      <c r="Y467" t="str">
        <f>IFERROR(INDEX(Katalog!$B$3:$B$12,MATCH(cadangan3[[#This Row],[ItemID C]],Katalog!$C$3:$C$12,0)),"-")</f>
        <v>-</v>
      </c>
      <c r="AB467" s="36">
        <f>IFERROR(INDEX(Katalog!$D$3:$D$12,MATCH(cadangan3[[#This Row],[ItemID C]],Katalog!$C$3:$C$12,0))*cadangan3[[#This Row],[Qty C]],0)</f>
        <v>0</v>
      </c>
      <c r="AC467" s="36">
        <f>IFERROR(INDEX(Katalog!$D$3:$D$12,MATCH(cadangan3[[#This Row],[Item C]],Katalog!$B$3:$B$12,0))*cadangan3[[#This Row],[Qty C]],0)</f>
        <v>0</v>
      </c>
      <c r="AD467" s="36">
        <f>IFERROR(cadangan3[[#This Row],[Harga Asli C]]-(cadangan3[[#This Row],[Harga Asli C]]*cadangan3[[#This Row],[Diskon]]),cadangan3[[#This Row],[Harga Asli C]])</f>
        <v>0</v>
      </c>
      <c r="AE467" s="36">
        <f>IFERROR(INDEX(Katalog!$F$3:$F$12,MATCH(cadangan3[[#This Row],[ItemID C]],Katalog!$C$3:$C$12,0))*cadangan3[[#This Row],[Qty C]],0)</f>
        <v>0</v>
      </c>
      <c r="AF467" s="36">
        <f>IFERROR(cadangan3[[#This Row],[Profit C]]-(cadangan3[[#This Row],[Profit C]]*cadangan3[[#This Row],[Diskon]]),cadangan3[[#This Row],[Profit C]])</f>
        <v>0</v>
      </c>
      <c r="AG467" s="21">
        <f>cadangan3[[#This Row],[Qty A]]+cadangan3[[#This Row],[Qty B]]+cadangan3[[#This Row],[Qty C]]</f>
        <v>2</v>
      </c>
      <c r="AH467" s="35">
        <f>cadangan3[[#This Row],[Harga A + Diskon]]+cadangan3[[#This Row],[Harga + Diskon B]]+cadangan3[[#This Row],[Harga + Diskon C]]</f>
        <v>450500</v>
      </c>
      <c r="AI467" s="35">
        <f>(cadangan3[[#This Row],[Profit A]]+cadangan3[[#This Row],[Profit B]]+cadangan3[[#This Row],[Profit C]])</f>
        <v>200000</v>
      </c>
      <c r="AJ467" s="35">
        <f>cadangan3[[#This Row],[Provit A + Diskon]]+cadangan3[[#This Row],[Provit B + Diskon]]+cadangan3[[#This Row],[Provit C + Diskon]]</f>
        <v>170000</v>
      </c>
      <c r="AK467" s="23" t="s">
        <v>13</v>
      </c>
      <c r="AL467" s="37">
        <f>IFERROR(INDEX('Kode Diskon'!$D$3:$D$9,MATCH(cadangan3[[#This Row],[Kode diskon]],'Kode Diskon'!$C$3:$C$9,0)),"-")</f>
        <v>0.15</v>
      </c>
      <c r="AM467" s="23" t="s">
        <v>29</v>
      </c>
      <c r="AN467" s="23" t="s">
        <v>7</v>
      </c>
      <c r="AO467" s="23" t="s">
        <v>80</v>
      </c>
      <c r="AP467" s="24">
        <v>45021</v>
      </c>
      <c r="AQ467" s="23" t="str">
        <f>TEXT(cadangan3[[#This Row],[Tanggal terjual]],"dddd")</f>
        <v>Wednesday</v>
      </c>
    </row>
    <row r="468" spans="1:43" x14ac:dyDescent="0.2">
      <c r="A468" s="20">
        <v>467</v>
      </c>
      <c r="B468" s="21" t="str">
        <f>_xlfn.CONCAT("ORD-",INDEX(Helper!$B$2:$B$5,MATCH(cadangan3[[#This Row],[Marketplace]],Helper!$A$2:$A$5,0)),TEXT(cadangan3[[#This Row],[No]],"0000"),"-",TEXT(cadangan3[[#This Row],[Tanggal terjual]],"dd/mm/yy"))</f>
        <v>ORD-TK0467-25/04/23</v>
      </c>
      <c r="C468" t="s">
        <v>61</v>
      </c>
      <c r="D468" t="str">
        <f>IFERROR(INDEX(Katalog!$A$3:$A$12,MATCH(cadangan3[[#This Row],[ItemID A]],Katalog!$C$3:$C$12,0)),"-")</f>
        <v>Pakaian Pria</v>
      </c>
      <c r="E468" t="str">
        <f>IFERROR(INDEX(Katalog!$B$3:$B$12,MATCH(cadangan3[[#This Row],[ItemID A]],Katalog!$C$3:$C$12,0)),"-")</f>
        <v>Kaos Polo</v>
      </c>
      <c r="F468">
        <v>3</v>
      </c>
      <c r="G468">
        <v>5</v>
      </c>
      <c r="H468" s="36">
        <f>IFERROR(INDEX(Katalog!$D$3:$D$12,MATCH(cadangan3[[#This Row],[ItemID A]],Katalog!$C$3:$C$12,0))*cadangan3[[#This Row],[Qty A]],0)</f>
        <v>600000</v>
      </c>
      <c r="I468" s="36">
        <f>IFERROR(INDEX(Katalog!$D$3:$D$12,MATCH(cadangan3[[#This Row],[Item A]],Katalog!$B$3:$B$12,0))*cadangan3[[#This Row],[Qty A]],0)</f>
        <v>600000</v>
      </c>
      <c r="J468" s="36">
        <f>IFERROR(cadangan3[[#This Row],[Harga Asli A]]-(cadangan3[[#This Row],[Harga Asli A]]*cadangan3[[#This Row],[Diskon]]),cadangan3[[#This Row],[Harga Asli A]])</f>
        <v>540000</v>
      </c>
      <c r="K468" s="36">
        <f>INDEX(Katalog!$F$3:$F$12,MATCH(cadangan3[[#This Row],[ItemID A]],Katalog!$C$3:$C$12,0))*cadangan3[[#This Row],[Qty A]]</f>
        <v>240000</v>
      </c>
      <c r="L468" s="36">
        <f>IFERROR(cadangan3[[#This Row],[Profit A]]-(cadangan3[[#This Row],[Profit A]]*cadangan3[[#This Row],[Diskon]]),K468)</f>
        <v>216000</v>
      </c>
      <c r="N468" t="str">
        <f>IFERROR(INDEX(Katalog!$A$3:$A$12,MATCH(cadangan3[[#This Row],[ItemID B]],Katalog!$C$3:$C$12,0)),"-")</f>
        <v>-</v>
      </c>
      <c r="O468" t="str">
        <f>IFERROR(INDEX(Katalog!$B$3:$B$12,MATCH(cadangan3[[#This Row],[ItemID B]],Katalog!$C$3:$C$12,0)),"-")</f>
        <v>-</v>
      </c>
      <c r="R468" s="36">
        <f>IFERROR(INDEX(Katalog!$D$3:$D$12,MATCH(cadangan3[[#This Row],[ItemID B]],Katalog!$C$3:$C$12,0))*cadangan3[[#This Row],[Qty B]],0)</f>
        <v>0</v>
      </c>
      <c r="S468" s="36">
        <f>IFERROR(INDEX(Katalog!$D$3:$D$12,MATCH(cadangan3[[#This Row],[Item B]],Katalog!$B$3:$B$12,0))*cadangan3[[#This Row],[Qty B]],0)</f>
        <v>0</v>
      </c>
      <c r="T468" s="36">
        <f>IFERROR(cadangan3[[#This Row],[Harga Asli B]]-(cadangan3[[#This Row],[Harga Asli B]]*cadangan3[[#This Row],[Diskon]]),cadangan3[[#This Row],[Harga Asli B]])</f>
        <v>0</v>
      </c>
      <c r="U468" s="36">
        <f>IFERROR(INDEX(Katalog!$F$3:$F$12,MATCH(cadangan3[[#This Row],[ItemID B]],Katalog!$C$3:$C$12,0))*cadangan3[[#This Row],[Qty B]],0)</f>
        <v>0</v>
      </c>
      <c r="V468" s="36">
        <f>IFERROR(cadangan3[[#This Row],[Profit B]]-(cadangan3[[#This Row],[Profit B]]*cadangan3[[#This Row],[Diskon]]),U468)</f>
        <v>0</v>
      </c>
      <c r="X468" t="str">
        <f>IFERROR(INDEX(Katalog!$A$3:$A$12,MATCH(cadangan3[[#This Row],[ItemID C]],Katalog!$C$3:$C$12,0)),"-")</f>
        <v>-</v>
      </c>
      <c r="Y468" t="str">
        <f>IFERROR(INDEX(Katalog!$B$3:$B$12,MATCH(cadangan3[[#This Row],[ItemID C]],Katalog!$C$3:$C$12,0)),"-")</f>
        <v>-</v>
      </c>
      <c r="AB468" s="36">
        <f>IFERROR(INDEX(Katalog!$D$3:$D$12,MATCH(cadangan3[[#This Row],[ItemID C]],Katalog!$C$3:$C$12,0))*cadangan3[[#This Row],[Qty C]],0)</f>
        <v>0</v>
      </c>
      <c r="AC468" s="36">
        <f>IFERROR(INDEX(Katalog!$D$3:$D$12,MATCH(cadangan3[[#This Row],[Item C]],Katalog!$B$3:$B$12,0))*cadangan3[[#This Row],[Qty C]],0)</f>
        <v>0</v>
      </c>
      <c r="AD468" s="36">
        <f>IFERROR(cadangan3[[#This Row],[Harga Asli C]]-(cadangan3[[#This Row],[Harga Asli C]]*cadangan3[[#This Row],[Diskon]]),cadangan3[[#This Row],[Harga Asli C]])</f>
        <v>0</v>
      </c>
      <c r="AE468" s="36">
        <f>IFERROR(INDEX(Katalog!$F$3:$F$12,MATCH(cadangan3[[#This Row],[ItemID C]],Katalog!$C$3:$C$12,0))*cadangan3[[#This Row],[Qty C]],0)</f>
        <v>0</v>
      </c>
      <c r="AF468" s="36">
        <f>IFERROR(cadangan3[[#This Row],[Profit C]]-(cadangan3[[#This Row],[Profit C]]*cadangan3[[#This Row],[Diskon]]),cadangan3[[#This Row],[Profit C]])</f>
        <v>0</v>
      </c>
      <c r="AG468" s="21">
        <f>cadangan3[[#This Row],[Qty A]]+cadangan3[[#This Row],[Qty B]]+cadangan3[[#This Row],[Qty C]]</f>
        <v>3</v>
      </c>
      <c r="AH468" s="35">
        <f>cadangan3[[#This Row],[Harga A + Diskon]]+cadangan3[[#This Row],[Harga + Diskon B]]+cadangan3[[#This Row],[Harga + Diskon C]]</f>
        <v>540000</v>
      </c>
      <c r="AI468" s="35">
        <f>(cadangan3[[#This Row],[Profit A]]+cadangan3[[#This Row],[Profit B]]+cadangan3[[#This Row],[Profit C]])</f>
        <v>240000</v>
      </c>
      <c r="AJ468" s="35">
        <f>cadangan3[[#This Row],[Provit A + Diskon]]+cadangan3[[#This Row],[Provit B + Diskon]]+cadangan3[[#This Row],[Provit C + Diskon]]</f>
        <v>216000</v>
      </c>
      <c r="AK468" s="23" t="s">
        <v>31</v>
      </c>
      <c r="AL468" s="37">
        <f>IFERROR(INDEX('Kode Diskon'!$D$3:$D$9,MATCH(cadangan3[[#This Row],[Kode diskon]],'Kode Diskon'!$C$3:$C$9,0)),"-")</f>
        <v>0.1</v>
      </c>
      <c r="AM468" s="23" t="s">
        <v>9</v>
      </c>
      <c r="AN468" s="23" t="s">
        <v>10</v>
      </c>
      <c r="AO468" s="23" t="s">
        <v>80</v>
      </c>
      <c r="AP468" s="24">
        <v>45041</v>
      </c>
      <c r="AQ468" s="23" t="str">
        <f>TEXT(cadangan3[[#This Row],[Tanggal terjual]],"dddd")</f>
        <v>Tuesday</v>
      </c>
    </row>
    <row r="469" spans="1:43" x14ac:dyDescent="0.2">
      <c r="A469" s="20">
        <v>468</v>
      </c>
      <c r="B469" s="21" t="str">
        <f>_xlfn.CONCAT("ORD-",INDEX(Helper!$B$2:$B$5,MATCH(cadangan3[[#This Row],[Marketplace]],Helper!$A$2:$A$5,0)),TEXT(cadangan3[[#This Row],[No]],"0000"),"-",TEXT(cadangan3[[#This Row],[Tanggal terjual]],"dd/mm/yy"))</f>
        <v>ORD-TK0468-05/04/23</v>
      </c>
      <c r="C469" t="s">
        <v>64</v>
      </c>
      <c r="D469" t="str">
        <f>IFERROR(INDEX(Katalog!$A$3:$A$12,MATCH(cadangan3[[#This Row],[ItemID A]],Katalog!$C$3:$C$12,0)),"-")</f>
        <v>Pakaian Unisex</v>
      </c>
      <c r="E469" t="str">
        <f>IFERROR(INDEX(Katalog!$B$3:$B$12,MATCH(cadangan3[[#This Row],[ItemID A]],Katalog!$C$3:$C$12,0)),"-")</f>
        <v>Jaket Hoodie</v>
      </c>
      <c r="F469">
        <v>3</v>
      </c>
      <c r="G469">
        <v>5</v>
      </c>
      <c r="H469" s="36">
        <f>IFERROR(INDEX(Katalog!$D$3:$D$12,MATCH(cadangan3[[#This Row],[ItemID A]],Katalog!$C$3:$C$12,0))*cadangan3[[#This Row],[Qty A]],0)</f>
        <v>1050000</v>
      </c>
      <c r="I469" s="36">
        <f>IFERROR(INDEX(Katalog!$D$3:$D$12,MATCH(cadangan3[[#This Row],[Item A]],Katalog!$B$3:$B$12,0))*cadangan3[[#This Row],[Qty A]],0)</f>
        <v>1050000</v>
      </c>
      <c r="J469" s="36">
        <f>IFERROR(cadangan3[[#This Row],[Harga Asli A]]-(cadangan3[[#This Row],[Harga Asli A]]*cadangan3[[#This Row],[Diskon]]),cadangan3[[#This Row],[Harga Asli A]])</f>
        <v>945000</v>
      </c>
      <c r="K469" s="36">
        <f>INDEX(Katalog!$F$3:$F$12,MATCH(cadangan3[[#This Row],[ItemID A]],Katalog!$C$3:$C$12,0))*cadangan3[[#This Row],[Qty A]]</f>
        <v>390000</v>
      </c>
      <c r="L469" s="36">
        <f>IFERROR(cadangan3[[#This Row],[Profit A]]-(cadangan3[[#This Row],[Profit A]]*cadangan3[[#This Row],[Diskon]]),K469)</f>
        <v>351000</v>
      </c>
      <c r="N469" t="str">
        <f>IFERROR(INDEX(Katalog!$A$3:$A$12,MATCH(cadangan3[[#This Row],[ItemID B]],Katalog!$C$3:$C$12,0)),"-")</f>
        <v>-</v>
      </c>
      <c r="O469" t="str">
        <f>IFERROR(INDEX(Katalog!$B$3:$B$12,MATCH(cadangan3[[#This Row],[ItemID B]],Katalog!$C$3:$C$12,0)),"-")</f>
        <v>-</v>
      </c>
      <c r="R469" s="36">
        <f>IFERROR(INDEX(Katalog!$D$3:$D$12,MATCH(cadangan3[[#This Row],[ItemID B]],Katalog!$C$3:$C$12,0))*cadangan3[[#This Row],[Qty B]],0)</f>
        <v>0</v>
      </c>
      <c r="S469" s="36">
        <f>IFERROR(INDEX(Katalog!$D$3:$D$12,MATCH(cadangan3[[#This Row],[Item B]],Katalog!$B$3:$B$12,0))*cadangan3[[#This Row],[Qty B]],0)</f>
        <v>0</v>
      </c>
      <c r="T469" s="36">
        <f>IFERROR(cadangan3[[#This Row],[Harga Asli B]]-(cadangan3[[#This Row],[Harga Asli B]]*cadangan3[[#This Row],[Diskon]]),cadangan3[[#This Row],[Harga Asli B]])</f>
        <v>0</v>
      </c>
      <c r="U469" s="36">
        <f>IFERROR(INDEX(Katalog!$F$3:$F$12,MATCH(cadangan3[[#This Row],[ItemID B]],Katalog!$C$3:$C$12,0))*cadangan3[[#This Row],[Qty B]],0)</f>
        <v>0</v>
      </c>
      <c r="V469" s="36">
        <f>IFERROR(cadangan3[[#This Row],[Profit B]]-(cadangan3[[#This Row],[Profit B]]*cadangan3[[#This Row],[Diskon]]),U469)</f>
        <v>0</v>
      </c>
      <c r="X469" t="str">
        <f>IFERROR(INDEX(Katalog!$A$3:$A$12,MATCH(cadangan3[[#This Row],[ItemID C]],Katalog!$C$3:$C$12,0)),"-")</f>
        <v>-</v>
      </c>
      <c r="Y469" t="str">
        <f>IFERROR(INDEX(Katalog!$B$3:$B$12,MATCH(cadangan3[[#This Row],[ItemID C]],Katalog!$C$3:$C$12,0)),"-")</f>
        <v>-</v>
      </c>
      <c r="AB469" s="36">
        <f>IFERROR(INDEX(Katalog!$D$3:$D$12,MATCH(cadangan3[[#This Row],[ItemID C]],Katalog!$C$3:$C$12,0))*cadangan3[[#This Row],[Qty C]],0)</f>
        <v>0</v>
      </c>
      <c r="AC469" s="36">
        <f>IFERROR(INDEX(Katalog!$D$3:$D$12,MATCH(cadangan3[[#This Row],[Item C]],Katalog!$B$3:$B$12,0))*cadangan3[[#This Row],[Qty C]],0)</f>
        <v>0</v>
      </c>
      <c r="AD469" s="36">
        <f>IFERROR(cadangan3[[#This Row],[Harga Asli C]]-(cadangan3[[#This Row],[Harga Asli C]]*cadangan3[[#This Row],[Diskon]]),cadangan3[[#This Row],[Harga Asli C]])</f>
        <v>0</v>
      </c>
      <c r="AE469" s="36">
        <f>IFERROR(INDEX(Katalog!$F$3:$F$12,MATCH(cadangan3[[#This Row],[ItemID C]],Katalog!$C$3:$C$12,0))*cadangan3[[#This Row],[Qty C]],0)</f>
        <v>0</v>
      </c>
      <c r="AF469" s="36">
        <f>IFERROR(cadangan3[[#This Row],[Profit C]]-(cadangan3[[#This Row],[Profit C]]*cadangan3[[#This Row],[Diskon]]),cadangan3[[#This Row],[Profit C]])</f>
        <v>0</v>
      </c>
      <c r="AG469" s="21">
        <f>cadangan3[[#This Row],[Qty A]]+cadangan3[[#This Row],[Qty B]]+cadangan3[[#This Row],[Qty C]]</f>
        <v>3</v>
      </c>
      <c r="AH469" s="35">
        <f>cadangan3[[#This Row],[Harga A + Diskon]]+cadangan3[[#This Row],[Harga + Diskon B]]+cadangan3[[#This Row],[Harga + Diskon C]]</f>
        <v>945000</v>
      </c>
      <c r="AI469" s="35">
        <f>(cadangan3[[#This Row],[Profit A]]+cadangan3[[#This Row],[Profit B]]+cadangan3[[#This Row],[Profit C]])</f>
        <v>390000</v>
      </c>
      <c r="AJ469" s="35">
        <f>cadangan3[[#This Row],[Provit A + Diskon]]+cadangan3[[#This Row],[Provit B + Diskon]]+cadangan3[[#This Row],[Provit C + Diskon]]</f>
        <v>351000</v>
      </c>
      <c r="AK469" s="23" t="s">
        <v>30</v>
      </c>
      <c r="AL469" s="37">
        <f>IFERROR(INDEX('Kode Diskon'!$D$3:$D$9,MATCH(cadangan3[[#This Row],[Kode diskon]],'Kode Diskon'!$C$3:$C$9,0)),"-")</f>
        <v>0.1</v>
      </c>
      <c r="AM469" s="23" t="s">
        <v>29</v>
      </c>
      <c r="AN469" s="23" t="s">
        <v>10</v>
      </c>
      <c r="AO469" s="23" t="s">
        <v>79</v>
      </c>
      <c r="AP469" s="24">
        <v>45021</v>
      </c>
      <c r="AQ469" s="23" t="str">
        <f>TEXT(cadangan3[[#This Row],[Tanggal terjual]],"dddd")</f>
        <v>Wednesday</v>
      </c>
    </row>
    <row r="470" spans="1:43" x14ac:dyDescent="0.2">
      <c r="A470" s="20">
        <v>469</v>
      </c>
      <c r="B470" s="21" t="str">
        <f>_xlfn.CONCAT("ORD-",INDEX(Helper!$B$2:$B$5,MATCH(cadangan3[[#This Row],[Marketplace]],Helper!$A$2:$A$5,0)),TEXT(cadangan3[[#This Row],[No]],"0000"),"-",TEXT(cadangan3[[#This Row],[Tanggal terjual]],"dd/mm/yy"))</f>
        <v>ORD-SP0469-02/04/23</v>
      </c>
      <c r="C470" t="s">
        <v>66</v>
      </c>
      <c r="D470" t="str">
        <f>IFERROR(INDEX(Katalog!$A$3:$A$12,MATCH(cadangan3[[#This Row],[ItemID A]],Katalog!$C$3:$C$12,0)),"-")</f>
        <v>Sepatu Pria</v>
      </c>
      <c r="E470" t="str">
        <f>IFERROR(INDEX(Katalog!$B$3:$B$12,MATCH(cadangan3[[#This Row],[ItemID A]],Katalog!$C$3:$C$12,0)),"-")</f>
        <v>Sandal Slip On</v>
      </c>
      <c r="F470">
        <v>2</v>
      </c>
      <c r="G470">
        <v>5</v>
      </c>
      <c r="H470" s="36">
        <f>IFERROR(INDEX(Katalog!$D$3:$D$12,MATCH(cadangan3[[#This Row],[ItemID A]],Katalog!$C$3:$C$12,0))*cadangan3[[#This Row],[Qty A]],0)</f>
        <v>300000</v>
      </c>
      <c r="I470" s="36">
        <f>IFERROR(INDEX(Katalog!$D$3:$D$12,MATCH(cadangan3[[#This Row],[Item A]],Katalog!$B$3:$B$12,0))*cadangan3[[#This Row],[Qty A]],0)</f>
        <v>300000</v>
      </c>
      <c r="J470" s="36">
        <f>IFERROR(cadangan3[[#This Row],[Harga Asli A]]-(cadangan3[[#This Row],[Harga Asli A]]*cadangan3[[#This Row],[Diskon]]),cadangan3[[#This Row],[Harga Asli A]])</f>
        <v>255000</v>
      </c>
      <c r="K470" s="36">
        <f>INDEX(Katalog!$F$3:$F$12,MATCH(cadangan3[[#This Row],[ItemID A]],Katalog!$C$3:$C$12,0))*cadangan3[[#This Row],[Qty A]]</f>
        <v>120000</v>
      </c>
      <c r="L470" s="36">
        <f>IFERROR(cadangan3[[#This Row],[Profit A]]-(cadangan3[[#This Row],[Profit A]]*cadangan3[[#This Row],[Diskon]]),K470)</f>
        <v>102000</v>
      </c>
      <c r="N470" t="str">
        <f>IFERROR(INDEX(Katalog!$A$3:$A$12,MATCH(cadangan3[[#This Row],[ItemID B]],Katalog!$C$3:$C$12,0)),"-")</f>
        <v>-</v>
      </c>
      <c r="O470" t="str">
        <f>IFERROR(INDEX(Katalog!$B$3:$B$12,MATCH(cadangan3[[#This Row],[ItemID B]],Katalog!$C$3:$C$12,0)),"-")</f>
        <v>-</v>
      </c>
      <c r="R470" s="36">
        <f>IFERROR(INDEX(Katalog!$D$3:$D$12,MATCH(cadangan3[[#This Row],[ItemID B]],Katalog!$C$3:$C$12,0))*cadangan3[[#This Row],[Qty B]],0)</f>
        <v>0</v>
      </c>
      <c r="S470" s="36">
        <f>IFERROR(INDEX(Katalog!$D$3:$D$12,MATCH(cadangan3[[#This Row],[Item B]],Katalog!$B$3:$B$12,0))*cadangan3[[#This Row],[Qty B]],0)</f>
        <v>0</v>
      </c>
      <c r="T470" s="36">
        <f>IFERROR(cadangan3[[#This Row],[Harga Asli B]]-(cadangan3[[#This Row],[Harga Asli B]]*cadangan3[[#This Row],[Diskon]]),cadangan3[[#This Row],[Harga Asli B]])</f>
        <v>0</v>
      </c>
      <c r="U470" s="36">
        <f>IFERROR(INDEX(Katalog!$F$3:$F$12,MATCH(cadangan3[[#This Row],[ItemID B]],Katalog!$C$3:$C$12,0))*cadangan3[[#This Row],[Qty B]],0)</f>
        <v>0</v>
      </c>
      <c r="V470" s="36">
        <f>IFERROR(cadangan3[[#This Row],[Profit B]]-(cadangan3[[#This Row],[Profit B]]*cadangan3[[#This Row],[Diskon]]),U470)</f>
        <v>0</v>
      </c>
      <c r="X470" t="str">
        <f>IFERROR(INDEX(Katalog!$A$3:$A$12,MATCH(cadangan3[[#This Row],[ItemID C]],Katalog!$C$3:$C$12,0)),"-")</f>
        <v>-</v>
      </c>
      <c r="Y470" t="str">
        <f>IFERROR(INDEX(Katalog!$B$3:$B$12,MATCH(cadangan3[[#This Row],[ItemID C]],Katalog!$C$3:$C$12,0)),"-")</f>
        <v>-</v>
      </c>
      <c r="AB470" s="36">
        <f>IFERROR(INDEX(Katalog!$D$3:$D$12,MATCH(cadangan3[[#This Row],[ItemID C]],Katalog!$C$3:$C$12,0))*cadangan3[[#This Row],[Qty C]],0)</f>
        <v>0</v>
      </c>
      <c r="AC470" s="36">
        <f>IFERROR(INDEX(Katalog!$D$3:$D$12,MATCH(cadangan3[[#This Row],[Item C]],Katalog!$B$3:$B$12,0))*cadangan3[[#This Row],[Qty C]],0)</f>
        <v>0</v>
      </c>
      <c r="AD470" s="36">
        <f>IFERROR(cadangan3[[#This Row],[Harga Asli C]]-(cadangan3[[#This Row],[Harga Asli C]]*cadangan3[[#This Row],[Diskon]]),cadangan3[[#This Row],[Harga Asli C]])</f>
        <v>0</v>
      </c>
      <c r="AE470" s="36">
        <f>IFERROR(INDEX(Katalog!$F$3:$F$12,MATCH(cadangan3[[#This Row],[ItemID C]],Katalog!$C$3:$C$12,0))*cadangan3[[#This Row],[Qty C]],0)</f>
        <v>0</v>
      </c>
      <c r="AF470" s="36">
        <f>IFERROR(cadangan3[[#This Row],[Profit C]]-(cadangan3[[#This Row],[Profit C]]*cadangan3[[#This Row],[Diskon]]),cadangan3[[#This Row],[Profit C]])</f>
        <v>0</v>
      </c>
      <c r="AG470" s="21">
        <f>cadangan3[[#This Row],[Qty A]]+cadangan3[[#This Row],[Qty B]]+cadangan3[[#This Row],[Qty C]]</f>
        <v>2</v>
      </c>
      <c r="AH470" s="35">
        <f>cadangan3[[#This Row],[Harga A + Diskon]]+cadangan3[[#This Row],[Harga + Diskon B]]+cadangan3[[#This Row],[Harga + Diskon C]]</f>
        <v>255000</v>
      </c>
      <c r="AI470" s="35">
        <f>(cadangan3[[#This Row],[Profit A]]+cadangan3[[#This Row],[Profit B]]+cadangan3[[#This Row],[Profit C]])</f>
        <v>120000</v>
      </c>
      <c r="AJ470" s="35">
        <f>cadangan3[[#This Row],[Provit A + Diskon]]+cadangan3[[#This Row],[Provit B + Diskon]]+cadangan3[[#This Row],[Provit C + Diskon]]</f>
        <v>102000</v>
      </c>
      <c r="AK470" s="23" t="s">
        <v>13</v>
      </c>
      <c r="AL470" s="37">
        <f>IFERROR(INDEX('Kode Diskon'!$D$3:$D$9,MATCH(cadangan3[[#This Row],[Kode diskon]],'Kode Diskon'!$C$3:$C$9,0)),"-")</f>
        <v>0.15</v>
      </c>
      <c r="AM470" s="23" t="s">
        <v>29</v>
      </c>
      <c r="AN470" s="23" t="s">
        <v>7</v>
      </c>
      <c r="AO470" s="23" t="s">
        <v>75</v>
      </c>
      <c r="AP470" s="24">
        <v>45018</v>
      </c>
      <c r="AQ470" s="23" t="str">
        <f>TEXT(cadangan3[[#This Row],[Tanggal terjual]],"dddd")</f>
        <v>Sunday</v>
      </c>
    </row>
    <row r="471" spans="1:43" x14ac:dyDescent="0.2">
      <c r="A471" s="20">
        <v>470</v>
      </c>
      <c r="B471" s="21" t="str">
        <f>_xlfn.CONCAT("ORD-",INDEX(Helper!$B$2:$B$5,MATCH(cadangan3[[#This Row],[Marketplace]],Helper!$A$2:$A$5,0)),TEXT(cadangan3[[#This Row],[No]],"0000"),"-",TEXT(cadangan3[[#This Row],[Tanggal terjual]],"dd/mm/yy"))</f>
        <v>ORD-SP0470-03/04/23</v>
      </c>
      <c r="C471" t="s">
        <v>62</v>
      </c>
      <c r="D471" t="str">
        <f>IFERROR(INDEX(Katalog!$A$3:$A$12,MATCH(cadangan3[[#This Row],[ItemID A]],Katalog!$C$3:$C$12,0)),"-")</f>
        <v>Pakaian Pria</v>
      </c>
      <c r="E471" t="str">
        <f>IFERROR(INDEX(Katalog!$B$3:$B$12,MATCH(cadangan3[[#This Row],[ItemID A]],Katalog!$C$3:$C$12,0)),"-")</f>
        <v>Celana Pendek</v>
      </c>
      <c r="F471">
        <v>4</v>
      </c>
      <c r="G471">
        <v>5</v>
      </c>
      <c r="H471" s="36">
        <f>IFERROR(INDEX(Katalog!$D$3:$D$12,MATCH(cadangan3[[#This Row],[ItemID A]],Katalog!$C$3:$C$12,0))*cadangan3[[#This Row],[Qty A]],0)</f>
        <v>720000</v>
      </c>
      <c r="I471" s="36">
        <f>IFERROR(INDEX(Katalog!$D$3:$D$12,MATCH(cadangan3[[#This Row],[Item A]],Katalog!$B$3:$B$12,0))*cadangan3[[#This Row],[Qty A]],0)</f>
        <v>720000</v>
      </c>
      <c r="J471" s="36">
        <f>IFERROR(cadangan3[[#This Row],[Harga Asli A]]-(cadangan3[[#This Row],[Harga Asli A]]*cadangan3[[#This Row],[Diskon]]),cadangan3[[#This Row],[Harga Asli A]])</f>
        <v>612000</v>
      </c>
      <c r="K471" s="36">
        <f>INDEX(Katalog!$F$3:$F$12,MATCH(cadangan3[[#This Row],[ItemID A]],Katalog!$C$3:$C$12,0))*cadangan3[[#This Row],[Qty A]]</f>
        <v>280000</v>
      </c>
      <c r="L471" s="36">
        <f>IFERROR(cadangan3[[#This Row],[Profit A]]-(cadangan3[[#This Row],[Profit A]]*cadangan3[[#This Row],[Diskon]]),K471)</f>
        <v>238000</v>
      </c>
      <c r="M471" t="s">
        <v>59</v>
      </c>
      <c r="N471" t="str">
        <f>IFERROR(INDEX(Katalog!$A$3:$A$12,MATCH(cadangan3[[#This Row],[ItemID B]],Katalog!$C$3:$C$12,0)),"-")</f>
        <v>Pakaian Wanita</v>
      </c>
      <c r="O471" t="str">
        <f>IFERROR(INDEX(Katalog!$B$3:$B$12,MATCH(cadangan3[[#This Row],[ItemID B]],Katalog!$C$3:$C$12,0)),"-")</f>
        <v>Blouse</v>
      </c>
      <c r="P471">
        <v>1</v>
      </c>
      <c r="Q471">
        <v>3</v>
      </c>
      <c r="R471" s="36">
        <f>IFERROR(INDEX(Katalog!$D$3:$D$12,MATCH(cadangan3[[#This Row],[ItemID B]],Katalog!$C$3:$C$12,0))*cadangan3[[#This Row],[Qty B]],0)</f>
        <v>150000</v>
      </c>
      <c r="S471" s="36">
        <f>IFERROR(INDEX(Katalog!$D$3:$D$12,MATCH(cadangan3[[#This Row],[Item B]],Katalog!$B$3:$B$12,0))*cadangan3[[#This Row],[Qty B]],0)</f>
        <v>150000</v>
      </c>
      <c r="T471" s="36">
        <f>IFERROR(cadangan3[[#This Row],[Harga Asli B]]-(cadangan3[[#This Row],[Harga Asli B]]*cadangan3[[#This Row],[Diskon]]),cadangan3[[#This Row],[Harga Asli B]])</f>
        <v>127500</v>
      </c>
      <c r="U471" s="36">
        <f>IFERROR(INDEX(Katalog!$F$3:$F$12,MATCH(cadangan3[[#This Row],[ItemID B]],Katalog!$C$3:$C$12,0))*cadangan3[[#This Row],[Qty B]],0)</f>
        <v>50000</v>
      </c>
      <c r="V471" s="36">
        <f>IFERROR(cadangan3[[#This Row],[Profit B]]-(cadangan3[[#This Row],[Profit B]]*cadangan3[[#This Row],[Diskon]]),U471)</f>
        <v>42500</v>
      </c>
      <c r="W471" t="s">
        <v>62</v>
      </c>
      <c r="X471" t="str">
        <f>IFERROR(INDEX(Katalog!$A$3:$A$12,MATCH(cadangan3[[#This Row],[ItemID C]],Katalog!$C$3:$C$12,0)),"-")</f>
        <v>Pakaian Pria</v>
      </c>
      <c r="Y471" t="str">
        <f>IFERROR(INDEX(Katalog!$B$3:$B$12,MATCH(cadangan3[[#This Row],[ItemID C]],Katalog!$C$3:$C$12,0)),"-")</f>
        <v>Celana Pendek</v>
      </c>
      <c r="Z471">
        <v>2</v>
      </c>
      <c r="AA471">
        <v>4</v>
      </c>
      <c r="AB471" s="36">
        <f>IFERROR(INDEX(Katalog!$D$3:$D$12,MATCH(cadangan3[[#This Row],[ItemID C]],Katalog!$C$3:$C$12,0))*cadangan3[[#This Row],[Qty C]],0)</f>
        <v>360000</v>
      </c>
      <c r="AC471" s="36">
        <f>IFERROR(INDEX(Katalog!$D$3:$D$12,MATCH(cadangan3[[#This Row],[Item C]],Katalog!$B$3:$B$12,0))*cadangan3[[#This Row],[Qty C]],0)</f>
        <v>360000</v>
      </c>
      <c r="AD471" s="36">
        <f>IFERROR(cadangan3[[#This Row],[Harga Asli C]]-(cadangan3[[#This Row],[Harga Asli C]]*cadangan3[[#This Row],[Diskon]]),cadangan3[[#This Row],[Harga Asli C]])</f>
        <v>306000</v>
      </c>
      <c r="AE471" s="36">
        <f>IFERROR(INDEX(Katalog!$F$3:$F$12,MATCH(cadangan3[[#This Row],[ItemID C]],Katalog!$C$3:$C$12,0))*cadangan3[[#This Row],[Qty C]],0)</f>
        <v>140000</v>
      </c>
      <c r="AF471" s="36">
        <f>IFERROR(cadangan3[[#This Row],[Profit C]]-(cadangan3[[#This Row],[Profit C]]*cadangan3[[#This Row],[Diskon]]),cadangan3[[#This Row],[Profit C]])</f>
        <v>119000</v>
      </c>
      <c r="AG471" s="21">
        <f>cadangan3[[#This Row],[Qty A]]+cadangan3[[#This Row],[Qty B]]+cadangan3[[#This Row],[Qty C]]</f>
        <v>7</v>
      </c>
      <c r="AH471" s="35">
        <f>cadangan3[[#This Row],[Harga A + Diskon]]+cadangan3[[#This Row],[Harga + Diskon B]]+cadangan3[[#This Row],[Harga + Diskon C]]</f>
        <v>1045500</v>
      </c>
      <c r="AI471" s="35">
        <f>(cadangan3[[#This Row],[Profit A]]+cadangan3[[#This Row],[Profit B]]+cadangan3[[#This Row],[Profit C]])</f>
        <v>470000</v>
      </c>
      <c r="AJ471" s="35">
        <f>cadangan3[[#This Row],[Provit A + Diskon]]+cadangan3[[#This Row],[Provit B + Diskon]]+cadangan3[[#This Row],[Provit C + Diskon]]</f>
        <v>399500</v>
      </c>
      <c r="AK471" s="23" t="s">
        <v>13</v>
      </c>
      <c r="AL471" s="37">
        <f>IFERROR(INDEX('Kode Diskon'!$D$3:$D$9,MATCH(cadangan3[[#This Row],[Kode diskon]],'Kode Diskon'!$C$3:$C$9,0)),"-")</f>
        <v>0.15</v>
      </c>
      <c r="AM471" s="23" t="s">
        <v>29</v>
      </c>
      <c r="AN471" s="23" t="s">
        <v>7</v>
      </c>
      <c r="AO471" s="23" t="s">
        <v>75</v>
      </c>
      <c r="AP471" s="24">
        <v>45019</v>
      </c>
      <c r="AQ471" s="23" t="str">
        <f>TEXT(cadangan3[[#This Row],[Tanggal terjual]],"dddd")</f>
        <v>Monday</v>
      </c>
    </row>
    <row r="472" spans="1:43" x14ac:dyDescent="0.2">
      <c r="A472" s="20">
        <v>471</v>
      </c>
      <c r="B472" s="21" t="str">
        <f>_xlfn.CONCAT("ORD-",INDEX(Helper!$B$2:$B$5,MATCH(cadangan3[[#This Row],[Marketplace]],Helper!$A$2:$A$5,0)),TEXT(cadangan3[[#This Row],[No]],"0000"),"-",TEXT(cadangan3[[#This Row],[Tanggal terjual]],"dd/mm/yy"))</f>
        <v>ORD-SP0471-24/04/23</v>
      </c>
      <c r="C472" t="s">
        <v>59</v>
      </c>
      <c r="D472" t="str">
        <f>IFERROR(INDEX(Katalog!$A$3:$A$12,MATCH(cadangan3[[#This Row],[ItemID A]],Katalog!$C$3:$C$12,0)),"-")</f>
        <v>Pakaian Wanita</v>
      </c>
      <c r="E472" t="str">
        <f>IFERROR(INDEX(Katalog!$B$3:$B$12,MATCH(cadangan3[[#This Row],[ItemID A]],Katalog!$C$3:$C$12,0)),"-")</f>
        <v>Blouse</v>
      </c>
      <c r="F472">
        <v>6</v>
      </c>
      <c r="G472">
        <v>5</v>
      </c>
      <c r="H472" s="36">
        <f>IFERROR(INDEX(Katalog!$D$3:$D$12,MATCH(cadangan3[[#This Row],[ItemID A]],Katalog!$C$3:$C$12,0))*cadangan3[[#This Row],[Qty A]],0)</f>
        <v>900000</v>
      </c>
      <c r="I472" s="36">
        <f>IFERROR(INDEX(Katalog!$D$3:$D$12,MATCH(cadangan3[[#This Row],[Item A]],Katalog!$B$3:$B$12,0))*cadangan3[[#This Row],[Qty A]],0)</f>
        <v>900000</v>
      </c>
      <c r="J472" s="36">
        <f>IFERROR(cadangan3[[#This Row],[Harga Asli A]]-(cadangan3[[#This Row],[Harga Asli A]]*cadangan3[[#This Row],[Diskon]]),cadangan3[[#This Row],[Harga Asli A]])</f>
        <v>720000</v>
      </c>
      <c r="K472" s="36">
        <f>INDEX(Katalog!$F$3:$F$12,MATCH(cadangan3[[#This Row],[ItemID A]],Katalog!$C$3:$C$12,0))*cadangan3[[#This Row],[Qty A]]</f>
        <v>300000</v>
      </c>
      <c r="L472" s="36">
        <f>IFERROR(cadangan3[[#This Row],[Profit A]]-(cadangan3[[#This Row],[Profit A]]*cadangan3[[#This Row],[Diskon]]),K472)</f>
        <v>240000</v>
      </c>
      <c r="M472" t="s">
        <v>65</v>
      </c>
      <c r="N472" t="str">
        <f>IFERROR(INDEX(Katalog!$A$3:$A$12,MATCH(cadangan3[[#This Row],[ItemID B]],Katalog!$C$3:$C$12,0)),"-")</f>
        <v>Sepatu Pria</v>
      </c>
      <c r="O472" t="str">
        <f>IFERROR(INDEX(Katalog!$B$3:$B$12,MATCH(cadangan3[[#This Row],[ItemID B]],Katalog!$C$3:$C$12,0)),"-")</f>
        <v>Sneakers</v>
      </c>
      <c r="P472">
        <v>1</v>
      </c>
      <c r="Q472">
        <v>3</v>
      </c>
      <c r="R472" s="36">
        <f>IFERROR(INDEX(Katalog!$D$3:$D$12,MATCH(cadangan3[[#This Row],[ItemID B]],Katalog!$C$3:$C$12,0))*cadangan3[[#This Row],[Qty B]],0)</f>
        <v>500000</v>
      </c>
      <c r="S472" s="36">
        <f>IFERROR(INDEX(Katalog!$D$3:$D$12,MATCH(cadangan3[[#This Row],[Item B]],Katalog!$B$3:$B$12,0))*cadangan3[[#This Row],[Qty B]],0)</f>
        <v>500000</v>
      </c>
      <c r="T472" s="36">
        <f>IFERROR(cadangan3[[#This Row],[Harga Asli B]]-(cadangan3[[#This Row],[Harga Asli B]]*cadangan3[[#This Row],[Diskon]]),cadangan3[[#This Row],[Harga Asli B]])</f>
        <v>400000</v>
      </c>
      <c r="U472" s="36">
        <f>IFERROR(INDEX(Katalog!$F$3:$F$12,MATCH(cadangan3[[#This Row],[ItemID B]],Katalog!$C$3:$C$12,0))*cadangan3[[#This Row],[Qty B]],0)</f>
        <v>200000</v>
      </c>
      <c r="V472" s="36">
        <f>IFERROR(cadangan3[[#This Row],[Profit B]]-(cadangan3[[#This Row],[Profit B]]*cadangan3[[#This Row],[Diskon]]),U472)</f>
        <v>160000</v>
      </c>
      <c r="X472" t="str">
        <f>IFERROR(INDEX(Katalog!$A$3:$A$12,MATCH(cadangan3[[#This Row],[ItemID C]],Katalog!$C$3:$C$12,0)),"-")</f>
        <v>-</v>
      </c>
      <c r="Y472" t="str">
        <f>IFERROR(INDEX(Katalog!$B$3:$B$12,MATCH(cadangan3[[#This Row],[ItemID C]],Katalog!$C$3:$C$12,0)),"-")</f>
        <v>-</v>
      </c>
      <c r="AB472" s="36">
        <f>IFERROR(INDEX(Katalog!$D$3:$D$12,MATCH(cadangan3[[#This Row],[ItemID C]],Katalog!$C$3:$C$12,0))*cadangan3[[#This Row],[Qty C]],0)</f>
        <v>0</v>
      </c>
      <c r="AC472" s="36">
        <f>IFERROR(INDEX(Katalog!$D$3:$D$12,MATCH(cadangan3[[#This Row],[Item C]],Katalog!$B$3:$B$12,0))*cadangan3[[#This Row],[Qty C]],0)</f>
        <v>0</v>
      </c>
      <c r="AD472" s="36">
        <f>IFERROR(cadangan3[[#This Row],[Harga Asli C]]-(cadangan3[[#This Row],[Harga Asli C]]*cadangan3[[#This Row],[Diskon]]),cadangan3[[#This Row],[Harga Asli C]])</f>
        <v>0</v>
      </c>
      <c r="AE472" s="36">
        <f>IFERROR(INDEX(Katalog!$F$3:$F$12,MATCH(cadangan3[[#This Row],[ItemID C]],Katalog!$C$3:$C$12,0))*cadangan3[[#This Row],[Qty C]],0)</f>
        <v>0</v>
      </c>
      <c r="AF472" s="36">
        <f>IFERROR(cadangan3[[#This Row],[Profit C]]-(cadangan3[[#This Row],[Profit C]]*cadangan3[[#This Row],[Diskon]]),cadangan3[[#This Row],[Profit C]])</f>
        <v>0</v>
      </c>
      <c r="AG472" s="21">
        <f>cadangan3[[#This Row],[Qty A]]+cadangan3[[#This Row],[Qty B]]+cadangan3[[#This Row],[Qty C]]</f>
        <v>7</v>
      </c>
      <c r="AH472" s="35">
        <f>cadangan3[[#This Row],[Harga A + Diskon]]+cadangan3[[#This Row],[Harga + Diskon B]]+cadangan3[[#This Row],[Harga + Diskon C]]</f>
        <v>1120000</v>
      </c>
      <c r="AI472" s="35">
        <f>(cadangan3[[#This Row],[Profit A]]+cadangan3[[#This Row],[Profit B]]+cadangan3[[#This Row],[Profit C]])</f>
        <v>500000</v>
      </c>
      <c r="AJ472" s="35">
        <f>cadangan3[[#This Row],[Provit A + Diskon]]+cadangan3[[#This Row],[Provit B + Diskon]]+cadangan3[[#This Row],[Provit C + Diskon]]</f>
        <v>400000</v>
      </c>
      <c r="AK472" s="23" t="s">
        <v>8</v>
      </c>
      <c r="AL472" s="37">
        <f>IFERROR(INDEX('Kode Diskon'!$D$3:$D$9,MATCH(cadangan3[[#This Row],[Kode diskon]],'Kode Diskon'!$C$3:$C$9,0)),"-")</f>
        <v>0.2</v>
      </c>
      <c r="AM472" s="23" t="s">
        <v>9</v>
      </c>
      <c r="AN472" s="23" t="s">
        <v>7</v>
      </c>
      <c r="AO472" s="23" t="s">
        <v>76</v>
      </c>
      <c r="AP472" s="24">
        <v>45040</v>
      </c>
      <c r="AQ472" s="23" t="str">
        <f>TEXT(cadangan3[[#This Row],[Tanggal terjual]],"dddd")</f>
        <v>Monday</v>
      </c>
    </row>
    <row r="473" spans="1:43" x14ac:dyDescent="0.2">
      <c r="A473" s="20">
        <v>472</v>
      </c>
      <c r="B473" s="21" t="str">
        <f>_xlfn.CONCAT("ORD-",INDEX(Helper!$B$2:$B$5,MATCH(cadangan3[[#This Row],[Marketplace]],Helper!$A$2:$A$5,0)),TEXT(cadangan3[[#This Row],[No]],"0000"),"-",TEXT(cadangan3[[#This Row],[Tanggal terjual]],"dd/mm/yy"))</f>
        <v>ORD-SP0472-06/04/23</v>
      </c>
      <c r="C473" t="s">
        <v>65</v>
      </c>
      <c r="D473" t="str">
        <f>IFERROR(INDEX(Katalog!$A$3:$A$12,MATCH(cadangan3[[#This Row],[ItemID A]],Katalog!$C$3:$C$12,0)),"-")</f>
        <v>Sepatu Pria</v>
      </c>
      <c r="E473" t="str">
        <f>IFERROR(INDEX(Katalog!$B$3:$B$12,MATCH(cadangan3[[#This Row],[ItemID A]],Katalog!$C$3:$C$12,0)),"-")</f>
        <v>Sneakers</v>
      </c>
      <c r="F473">
        <v>2</v>
      </c>
      <c r="G473">
        <v>2</v>
      </c>
      <c r="H473" s="36">
        <f>IFERROR(INDEX(Katalog!$D$3:$D$12,MATCH(cadangan3[[#This Row],[ItemID A]],Katalog!$C$3:$C$12,0))*cadangan3[[#This Row],[Qty A]],0)</f>
        <v>1000000</v>
      </c>
      <c r="I473" s="36">
        <f>IFERROR(INDEX(Katalog!$D$3:$D$12,MATCH(cadangan3[[#This Row],[Item A]],Katalog!$B$3:$B$12,0))*cadangan3[[#This Row],[Qty A]],0)</f>
        <v>1000000</v>
      </c>
      <c r="J473" s="36">
        <f>IFERROR(cadangan3[[#This Row],[Harga Asli A]]-(cadangan3[[#This Row],[Harga Asli A]]*cadangan3[[#This Row],[Diskon]]),cadangan3[[#This Row],[Harga Asli A]])</f>
        <v>900000</v>
      </c>
      <c r="K473" s="36">
        <f>INDEX(Katalog!$F$3:$F$12,MATCH(cadangan3[[#This Row],[ItemID A]],Katalog!$C$3:$C$12,0))*cadangan3[[#This Row],[Qty A]]</f>
        <v>400000</v>
      </c>
      <c r="L473" s="36">
        <f>IFERROR(cadangan3[[#This Row],[Profit A]]-(cadangan3[[#This Row],[Profit A]]*cadangan3[[#This Row],[Diskon]]),K473)</f>
        <v>360000</v>
      </c>
      <c r="N473" t="str">
        <f>IFERROR(INDEX(Katalog!$A$3:$A$12,MATCH(cadangan3[[#This Row],[ItemID B]],Katalog!$C$3:$C$12,0)),"-")</f>
        <v>-</v>
      </c>
      <c r="O473" t="str">
        <f>IFERROR(INDEX(Katalog!$B$3:$B$12,MATCH(cadangan3[[#This Row],[ItemID B]],Katalog!$C$3:$C$12,0)),"-")</f>
        <v>-</v>
      </c>
      <c r="R473" s="36">
        <f>IFERROR(INDEX(Katalog!$D$3:$D$12,MATCH(cadangan3[[#This Row],[ItemID B]],Katalog!$C$3:$C$12,0))*cadangan3[[#This Row],[Qty B]],0)</f>
        <v>0</v>
      </c>
      <c r="S473" s="36">
        <f>IFERROR(INDEX(Katalog!$D$3:$D$12,MATCH(cadangan3[[#This Row],[Item B]],Katalog!$B$3:$B$12,0))*cadangan3[[#This Row],[Qty B]],0)</f>
        <v>0</v>
      </c>
      <c r="T473" s="36">
        <f>IFERROR(cadangan3[[#This Row],[Harga Asli B]]-(cadangan3[[#This Row],[Harga Asli B]]*cadangan3[[#This Row],[Diskon]]),cadangan3[[#This Row],[Harga Asli B]])</f>
        <v>0</v>
      </c>
      <c r="U473" s="36">
        <f>IFERROR(INDEX(Katalog!$F$3:$F$12,MATCH(cadangan3[[#This Row],[ItemID B]],Katalog!$C$3:$C$12,0))*cadangan3[[#This Row],[Qty B]],0)</f>
        <v>0</v>
      </c>
      <c r="V473" s="36">
        <f>IFERROR(cadangan3[[#This Row],[Profit B]]-(cadangan3[[#This Row],[Profit B]]*cadangan3[[#This Row],[Diskon]]),U473)</f>
        <v>0</v>
      </c>
      <c r="X473" t="str">
        <f>IFERROR(INDEX(Katalog!$A$3:$A$12,MATCH(cadangan3[[#This Row],[ItemID C]],Katalog!$C$3:$C$12,0)),"-")</f>
        <v>-</v>
      </c>
      <c r="Y473" t="str">
        <f>IFERROR(INDEX(Katalog!$B$3:$B$12,MATCH(cadangan3[[#This Row],[ItemID C]],Katalog!$C$3:$C$12,0)),"-")</f>
        <v>-</v>
      </c>
      <c r="AB473" s="36">
        <f>IFERROR(INDEX(Katalog!$D$3:$D$12,MATCH(cadangan3[[#This Row],[ItemID C]],Katalog!$C$3:$C$12,0))*cadangan3[[#This Row],[Qty C]],0)</f>
        <v>0</v>
      </c>
      <c r="AC473" s="36">
        <f>IFERROR(INDEX(Katalog!$D$3:$D$12,MATCH(cadangan3[[#This Row],[Item C]],Katalog!$B$3:$B$12,0))*cadangan3[[#This Row],[Qty C]],0)</f>
        <v>0</v>
      </c>
      <c r="AD473" s="36">
        <f>IFERROR(cadangan3[[#This Row],[Harga Asli C]]-(cadangan3[[#This Row],[Harga Asli C]]*cadangan3[[#This Row],[Diskon]]),cadangan3[[#This Row],[Harga Asli C]])</f>
        <v>0</v>
      </c>
      <c r="AE473" s="36">
        <f>IFERROR(INDEX(Katalog!$F$3:$F$12,MATCH(cadangan3[[#This Row],[ItemID C]],Katalog!$C$3:$C$12,0))*cadangan3[[#This Row],[Qty C]],0)</f>
        <v>0</v>
      </c>
      <c r="AF473" s="36">
        <f>IFERROR(cadangan3[[#This Row],[Profit C]]-(cadangan3[[#This Row],[Profit C]]*cadangan3[[#This Row],[Diskon]]),cadangan3[[#This Row],[Profit C]])</f>
        <v>0</v>
      </c>
      <c r="AG473" s="21">
        <f>cadangan3[[#This Row],[Qty A]]+cadangan3[[#This Row],[Qty B]]+cadangan3[[#This Row],[Qty C]]</f>
        <v>2</v>
      </c>
      <c r="AH473" s="35">
        <f>cadangan3[[#This Row],[Harga A + Diskon]]+cadangan3[[#This Row],[Harga + Diskon B]]+cadangan3[[#This Row],[Harga + Diskon C]]</f>
        <v>900000</v>
      </c>
      <c r="AI473" s="35">
        <f>(cadangan3[[#This Row],[Profit A]]+cadangan3[[#This Row],[Profit B]]+cadangan3[[#This Row],[Profit C]])</f>
        <v>400000</v>
      </c>
      <c r="AJ473" s="35">
        <f>cadangan3[[#This Row],[Provit A + Diskon]]+cadangan3[[#This Row],[Provit B + Diskon]]+cadangan3[[#This Row],[Provit C + Diskon]]</f>
        <v>360000</v>
      </c>
      <c r="AK473" s="23" t="s">
        <v>6</v>
      </c>
      <c r="AL473" s="37">
        <f>IFERROR(INDEX('Kode Diskon'!$D$3:$D$9,MATCH(cadangan3[[#This Row],[Kode diskon]],'Kode Diskon'!$C$3:$C$9,0)),"-")</f>
        <v>0.1</v>
      </c>
      <c r="AM473" s="23" t="s">
        <v>29</v>
      </c>
      <c r="AN473" s="23" t="s">
        <v>7</v>
      </c>
      <c r="AO473" s="23" t="s">
        <v>79</v>
      </c>
      <c r="AP473" s="24">
        <v>45022</v>
      </c>
      <c r="AQ473" s="23" t="str">
        <f>TEXT(cadangan3[[#This Row],[Tanggal terjual]],"dddd")</f>
        <v>Thursday</v>
      </c>
    </row>
    <row r="474" spans="1:43" x14ac:dyDescent="0.2">
      <c r="A474" s="20">
        <v>473</v>
      </c>
      <c r="B474" s="21" t="str">
        <f>_xlfn.CONCAT("ORD-",INDEX(Helper!$B$2:$B$5,MATCH(cadangan3[[#This Row],[Marketplace]],Helper!$A$2:$A$5,0)),TEXT(cadangan3[[#This Row],[No]],"0000"),"-",TEXT(cadangan3[[#This Row],[Tanggal terjual]],"dd/mm/yy"))</f>
        <v>ORD-SP0473-25/04/23</v>
      </c>
      <c r="C474" t="s">
        <v>58</v>
      </c>
      <c r="D474" t="str">
        <f>IFERROR(INDEX(Katalog!$A$3:$A$12,MATCH(cadangan3[[#This Row],[ItemID A]],Katalog!$C$3:$C$12,0)),"-")</f>
        <v>Pakaian Wanita</v>
      </c>
      <c r="E474" t="str">
        <f>IFERROR(INDEX(Katalog!$B$3:$B$12,MATCH(cadangan3[[#This Row],[ItemID A]],Katalog!$C$3:$C$12,0)),"-")</f>
        <v>Dress</v>
      </c>
      <c r="F474">
        <v>2</v>
      </c>
      <c r="G474">
        <v>3</v>
      </c>
      <c r="H474" s="36">
        <f>IFERROR(INDEX(Katalog!$D$3:$D$12,MATCH(cadangan3[[#This Row],[ItemID A]],Katalog!$C$3:$C$12,0))*cadangan3[[#This Row],[Qty A]],0)</f>
        <v>600000</v>
      </c>
      <c r="I474" s="36">
        <f>IFERROR(INDEX(Katalog!$D$3:$D$12,MATCH(cadangan3[[#This Row],[Item A]],Katalog!$B$3:$B$12,0))*cadangan3[[#This Row],[Qty A]],0)</f>
        <v>600000</v>
      </c>
      <c r="J474" s="36">
        <f>IFERROR(cadangan3[[#This Row],[Harga Asli A]]-(cadangan3[[#This Row],[Harga Asli A]]*cadangan3[[#This Row],[Diskon]]),cadangan3[[#This Row],[Harga Asli A]])</f>
        <v>480000</v>
      </c>
      <c r="K474" s="36">
        <f>INDEX(Katalog!$F$3:$F$12,MATCH(cadangan3[[#This Row],[ItemID A]],Katalog!$C$3:$C$12,0))*cadangan3[[#This Row],[Qty A]]</f>
        <v>200000</v>
      </c>
      <c r="L474" s="36">
        <f>IFERROR(cadangan3[[#This Row],[Profit A]]-(cadangan3[[#This Row],[Profit A]]*cadangan3[[#This Row],[Diskon]]),K474)</f>
        <v>160000</v>
      </c>
      <c r="N474" t="str">
        <f>IFERROR(INDEX(Katalog!$A$3:$A$12,MATCH(cadangan3[[#This Row],[ItemID B]],Katalog!$C$3:$C$12,0)),"-")</f>
        <v>-</v>
      </c>
      <c r="O474" t="str">
        <f>IFERROR(INDEX(Katalog!$B$3:$B$12,MATCH(cadangan3[[#This Row],[ItemID B]],Katalog!$C$3:$C$12,0)),"-")</f>
        <v>-</v>
      </c>
      <c r="R474" s="36">
        <f>IFERROR(INDEX(Katalog!$D$3:$D$12,MATCH(cadangan3[[#This Row],[ItemID B]],Katalog!$C$3:$C$12,0))*cadangan3[[#This Row],[Qty B]],0)</f>
        <v>0</v>
      </c>
      <c r="S474" s="36">
        <f>IFERROR(INDEX(Katalog!$D$3:$D$12,MATCH(cadangan3[[#This Row],[Item B]],Katalog!$B$3:$B$12,0))*cadangan3[[#This Row],[Qty B]],0)</f>
        <v>0</v>
      </c>
      <c r="T474" s="36">
        <f>IFERROR(cadangan3[[#This Row],[Harga Asli B]]-(cadangan3[[#This Row],[Harga Asli B]]*cadangan3[[#This Row],[Diskon]]),cadangan3[[#This Row],[Harga Asli B]])</f>
        <v>0</v>
      </c>
      <c r="U474" s="36">
        <f>IFERROR(INDEX(Katalog!$F$3:$F$12,MATCH(cadangan3[[#This Row],[ItemID B]],Katalog!$C$3:$C$12,0))*cadangan3[[#This Row],[Qty B]],0)</f>
        <v>0</v>
      </c>
      <c r="V474" s="36">
        <f>IFERROR(cadangan3[[#This Row],[Profit B]]-(cadangan3[[#This Row],[Profit B]]*cadangan3[[#This Row],[Diskon]]),U474)</f>
        <v>0</v>
      </c>
      <c r="X474" t="str">
        <f>IFERROR(INDEX(Katalog!$A$3:$A$12,MATCH(cadangan3[[#This Row],[ItemID C]],Katalog!$C$3:$C$12,0)),"-")</f>
        <v>-</v>
      </c>
      <c r="Y474" t="str">
        <f>IFERROR(INDEX(Katalog!$B$3:$B$12,MATCH(cadangan3[[#This Row],[ItemID C]],Katalog!$C$3:$C$12,0)),"-")</f>
        <v>-</v>
      </c>
      <c r="AB474" s="36">
        <f>IFERROR(INDEX(Katalog!$D$3:$D$12,MATCH(cadangan3[[#This Row],[ItemID C]],Katalog!$C$3:$C$12,0))*cadangan3[[#This Row],[Qty C]],0)</f>
        <v>0</v>
      </c>
      <c r="AC474" s="36">
        <f>IFERROR(INDEX(Katalog!$D$3:$D$12,MATCH(cadangan3[[#This Row],[Item C]],Katalog!$B$3:$B$12,0))*cadangan3[[#This Row],[Qty C]],0)</f>
        <v>0</v>
      </c>
      <c r="AD474" s="36">
        <f>IFERROR(cadangan3[[#This Row],[Harga Asli C]]-(cadangan3[[#This Row],[Harga Asli C]]*cadangan3[[#This Row],[Diskon]]),cadangan3[[#This Row],[Harga Asli C]])</f>
        <v>0</v>
      </c>
      <c r="AE474" s="36">
        <f>IFERROR(INDEX(Katalog!$F$3:$F$12,MATCH(cadangan3[[#This Row],[ItemID C]],Katalog!$C$3:$C$12,0))*cadangan3[[#This Row],[Qty C]],0)</f>
        <v>0</v>
      </c>
      <c r="AF474" s="36">
        <f>IFERROR(cadangan3[[#This Row],[Profit C]]-(cadangan3[[#This Row],[Profit C]]*cadangan3[[#This Row],[Diskon]]),cadangan3[[#This Row],[Profit C]])</f>
        <v>0</v>
      </c>
      <c r="AG474" s="21">
        <f>cadangan3[[#This Row],[Qty A]]+cadangan3[[#This Row],[Qty B]]+cadangan3[[#This Row],[Qty C]]</f>
        <v>2</v>
      </c>
      <c r="AH474" s="35">
        <f>cadangan3[[#This Row],[Harga A + Diskon]]+cadangan3[[#This Row],[Harga + Diskon B]]+cadangan3[[#This Row],[Harga + Diskon C]]</f>
        <v>480000</v>
      </c>
      <c r="AI474" s="35">
        <f>(cadangan3[[#This Row],[Profit A]]+cadangan3[[#This Row],[Profit B]]+cadangan3[[#This Row],[Profit C]])</f>
        <v>200000</v>
      </c>
      <c r="AJ474" s="35">
        <f>cadangan3[[#This Row],[Provit A + Diskon]]+cadangan3[[#This Row],[Provit B + Diskon]]+cadangan3[[#This Row],[Provit C + Diskon]]</f>
        <v>160000</v>
      </c>
      <c r="AK474" s="23" t="s">
        <v>8</v>
      </c>
      <c r="AL474" s="37">
        <f>IFERROR(INDEX('Kode Diskon'!$D$3:$D$9,MATCH(cadangan3[[#This Row],[Kode diskon]],'Kode Diskon'!$C$3:$C$9,0)),"-")</f>
        <v>0.2</v>
      </c>
      <c r="AM474" s="23" t="s">
        <v>9</v>
      </c>
      <c r="AN474" s="23" t="s">
        <v>7</v>
      </c>
      <c r="AO474" s="23" t="s">
        <v>80</v>
      </c>
      <c r="AP474" s="24">
        <v>45041</v>
      </c>
      <c r="AQ474" s="23" t="str">
        <f>TEXT(cadangan3[[#This Row],[Tanggal terjual]],"dddd")</f>
        <v>Tuesday</v>
      </c>
    </row>
    <row r="475" spans="1:43" x14ac:dyDescent="0.2">
      <c r="A475" s="20">
        <v>474</v>
      </c>
      <c r="B475" s="21" t="str">
        <f>_xlfn.CONCAT("ORD-",INDEX(Helper!$B$2:$B$5,MATCH(cadangan3[[#This Row],[Marketplace]],Helper!$A$2:$A$5,0)),TEXT(cadangan3[[#This Row],[No]],"0000"),"-",TEXT(cadangan3[[#This Row],[Tanggal terjual]],"dd/mm/yy"))</f>
        <v>ORD-TK0474-19/04/23</v>
      </c>
      <c r="C475" t="s">
        <v>58</v>
      </c>
      <c r="D475" t="str">
        <f>IFERROR(INDEX(Katalog!$A$3:$A$12,MATCH(cadangan3[[#This Row],[ItemID A]],Katalog!$C$3:$C$12,0)),"-")</f>
        <v>Pakaian Wanita</v>
      </c>
      <c r="E475" t="str">
        <f>IFERROR(INDEX(Katalog!$B$3:$B$12,MATCH(cadangan3[[#This Row],[ItemID A]],Katalog!$C$3:$C$12,0)),"-")</f>
        <v>Dress</v>
      </c>
      <c r="F475">
        <v>1</v>
      </c>
      <c r="G475">
        <v>1</v>
      </c>
      <c r="H475" s="36">
        <f>IFERROR(INDEX(Katalog!$D$3:$D$12,MATCH(cadangan3[[#This Row],[ItemID A]],Katalog!$C$3:$C$12,0))*cadangan3[[#This Row],[Qty A]],0)</f>
        <v>300000</v>
      </c>
      <c r="I475" s="36">
        <f>IFERROR(INDEX(Katalog!$D$3:$D$12,MATCH(cadangan3[[#This Row],[Item A]],Katalog!$B$3:$B$12,0))*cadangan3[[#This Row],[Qty A]],0)</f>
        <v>300000</v>
      </c>
      <c r="J475" s="36">
        <f>IFERROR(cadangan3[[#This Row],[Harga Asli A]]-(cadangan3[[#This Row],[Harga Asli A]]*cadangan3[[#This Row],[Diskon]]),cadangan3[[#This Row],[Harga Asli A]])</f>
        <v>270000</v>
      </c>
      <c r="K475" s="36">
        <f>INDEX(Katalog!$F$3:$F$12,MATCH(cadangan3[[#This Row],[ItemID A]],Katalog!$C$3:$C$12,0))*cadangan3[[#This Row],[Qty A]]</f>
        <v>100000</v>
      </c>
      <c r="L475" s="36">
        <f>IFERROR(cadangan3[[#This Row],[Profit A]]-(cadangan3[[#This Row],[Profit A]]*cadangan3[[#This Row],[Diskon]]),K475)</f>
        <v>90000</v>
      </c>
      <c r="M475" t="s">
        <v>61</v>
      </c>
      <c r="N475" t="str">
        <f>IFERROR(INDEX(Katalog!$A$3:$A$12,MATCH(cadangan3[[#This Row],[ItemID B]],Katalog!$C$3:$C$12,0)),"-")</f>
        <v>Pakaian Pria</v>
      </c>
      <c r="O475" t="str">
        <f>IFERROR(INDEX(Katalog!$B$3:$B$12,MATCH(cadangan3[[#This Row],[ItemID B]],Katalog!$C$3:$C$12,0)),"-")</f>
        <v>Kaos Polo</v>
      </c>
      <c r="P475">
        <v>1</v>
      </c>
      <c r="Q475">
        <v>5</v>
      </c>
      <c r="R475" s="36">
        <f>IFERROR(INDEX(Katalog!$D$3:$D$12,MATCH(cadangan3[[#This Row],[ItemID B]],Katalog!$C$3:$C$12,0))*cadangan3[[#This Row],[Qty B]],0)</f>
        <v>200000</v>
      </c>
      <c r="S475" s="36">
        <f>IFERROR(INDEX(Katalog!$D$3:$D$12,MATCH(cadangan3[[#This Row],[Item B]],Katalog!$B$3:$B$12,0))*cadangan3[[#This Row],[Qty B]],0)</f>
        <v>200000</v>
      </c>
      <c r="T475" s="36">
        <f>IFERROR(cadangan3[[#This Row],[Harga Asli B]]-(cadangan3[[#This Row],[Harga Asli B]]*cadangan3[[#This Row],[Diskon]]),cadangan3[[#This Row],[Harga Asli B]])</f>
        <v>180000</v>
      </c>
      <c r="U475" s="36">
        <f>IFERROR(INDEX(Katalog!$F$3:$F$12,MATCH(cadangan3[[#This Row],[ItemID B]],Katalog!$C$3:$C$12,0))*cadangan3[[#This Row],[Qty B]],0)</f>
        <v>80000</v>
      </c>
      <c r="V475" s="36">
        <f>IFERROR(cadangan3[[#This Row],[Profit B]]-(cadangan3[[#This Row],[Profit B]]*cadangan3[[#This Row],[Diskon]]),U475)</f>
        <v>72000</v>
      </c>
      <c r="W475" t="s">
        <v>59</v>
      </c>
      <c r="X475" t="str">
        <f>IFERROR(INDEX(Katalog!$A$3:$A$12,MATCH(cadangan3[[#This Row],[ItemID C]],Katalog!$C$3:$C$12,0)),"-")</f>
        <v>Pakaian Wanita</v>
      </c>
      <c r="Y475" t="str">
        <f>IFERROR(INDEX(Katalog!$B$3:$B$12,MATCH(cadangan3[[#This Row],[ItemID C]],Katalog!$C$3:$C$12,0)),"-")</f>
        <v>Blouse</v>
      </c>
      <c r="Z475">
        <v>3</v>
      </c>
      <c r="AA475">
        <v>4</v>
      </c>
      <c r="AB475" s="36">
        <f>IFERROR(INDEX(Katalog!$D$3:$D$12,MATCH(cadangan3[[#This Row],[ItemID C]],Katalog!$C$3:$C$12,0))*cadangan3[[#This Row],[Qty C]],0)</f>
        <v>450000</v>
      </c>
      <c r="AC475" s="36">
        <f>IFERROR(INDEX(Katalog!$D$3:$D$12,MATCH(cadangan3[[#This Row],[Item C]],Katalog!$B$3:$B$12,0))*cadangan3[[#This Row],[Qty C]],0)</f>
        <v>450000</v>
      </c>
      <c r="AD475" s="36">
        <f>IFERROR(cadangan3[[#This Row],[Harga Asli C]]-(cadangan3[[#This Row],[Harga Asli C]]*cadangan3[[#This Row],[Diskon]]),cadangan3[[#This Row],[Harga Asli C]])</f>
        <v>405000</v>
      </c>
      <c r="AE475" s="36">
        <f>IFERROR(INDEX(Katalog!$F$3:$F$12,MATCH(cadangan3[[#This Row],[ItemID C]],Katalog!$C$3:$C$12,0))*cadangan3[[#This Row],[Qty C]],0)</f>
        <v>150000</v>
      </c>
      <c r="AF475" s="36">
        <f>IFERROR(cadangan3[[#This Row],[Profit C]]-(cadangan3[[#This Row],[Profit C]]*cadangan3[[#This Row],[Diskon]]),cadangan3[[#This Row],[Profit C]])</f>
        <v>135000</v>
      </c>
      <c r="AG475" s="21">
        <f>cadangan3[[#This Row],[Qty A]]+cadangan3[[#This Row],[Qty B]]+cadangan3[[#This Row],[Qty C]]</f>
        <v>5</v>
      </c>
      <c r="AH475" s="35">
        <f>cadangan3[[#This Row],[Harga A + Diskon]]+cadangan3[[#This Row],[Harga + Diskon B]]+cadangan3[[#This Row],[Harga + Diskon C]]</f>
        <v>855000</v>
      </c>
      <c r="AI475" s="35">
        <f>(cadangan3[[#This Row],[Profit A]]+cadangan3[[#This Row],[Profit B]]+cadangan3[[#This Row],[Profit C]])</f>
        <v>330000</v>
      </c>
      <c r="AJ475" s="35">
        <f>cadangan3[[#This Row],[Provit A + Diskon]]+cadangan3[[#This Row],[Provit B + Diskon]]+cadangan3[[#This Row],[Provit C + Diskon]]</f>
        <v>297000</v>
      </c>
      <c r="AK475" s="23" t="s">
        <v>31</v>
      </c>
      <c r="AL475" s="37">
        <f>IFERROR(INDEX('Kode Diskon'!$D$3:$D$9,MATCH(cadangan3[[#This Row],[Kode diskon]],'Kode Diskon'!$C$3:$C$9,0)),"-")</f>
        <v>0.1</v>
      </c>
      <c r="AM475" s="23" t="s">
        <v>9</v>
      </c>
      <c r="AN475" s="23" t="s">
        <v>10</v>
      </c>
      <c r="AO475" s="23" t="s">
        <v>80</v>
      </c>
      <c r="AP475" s="24">
        <v>45035</v>
      </c>
      <c r="AQ475" s="23" t="str">
        <f>TEXT(cadangan3[[#This Row],[Tanggal terjual]],"dddd")</f>
        <v>Wednesday</v>
      </c>
    </row>
    <row r="476" spans="1:43" x14ac:dyDescent="0.2">
      <c r="A476" s="20">
        <v>475</v>
      </c>
      <c r="B476" s="21" t="str">
        <f>_xlfn.CONCAT("ORD-",INDEX(Helper!$B$2:$B$5,MATCH(cadangan3[[#This Row],[Marketplace]],Helper!$A$2:$A$5,0)),TEXT(cadangan3[[#This Row],[No]],"0000"),"-",TEXT(cadangan3[[#This Row],[Tanggal terjual]],"dd/mm/yy"))</f>
        <v>ORD-SP0475-01/04/23</v>
      </c>
      <c r="C476" t="s">
        <v>62</v>
      </c>
      <c r="D476" t="str">
        <f>IFERROR(INDEX(Katalog!$A$3:$A$12,MATCH(cadangan3[[#This Row],[ItemID A]],Katalog!$C$3:$C$12,0)),"-")</f>
        <v>Pakaian Pria</v>
      </c>
      <c r="E476" t="str">
        <f>IFERROR(INDEX(Katalog!$B$3:$B$12,MATCH(cadangan3[[#This Row],[ItemID A]],Katalog!$C$3:$C$12,0)),"-")</f>
        <v>Celana Pendek</v>
      </c>
      <c r="F476">
        <v>2</v>
      </c>
      <c r="G476">
        <v>3</v>
      </c>
      <c r="H476" s="36">
        <f>IFERROR(INDEX(Katalog!$D$3:$D$12,MATCH(cadangan3[[#This Row],[ItemID A]],Katalog!$C$3:$C$12,0))*cadangan3[[#This Row],[Qty A]],0)</f>
        <v>360000</v>
      </c>
      <c r="I476" s="36">
        <f>IFERROR(INDEX(Katalog!$D$3:$D$12,MATCH(cadangan3[[#This Row],[Item A]],Katalog!$B$3:$B$12,0))*cadangan3[[#This Row],[Qty A]],0)</f>
        <v>360000</v>
      </c>
      <c r="J476" s="36">
        <f>IFERROR(cadangan3[[#This Row],[Harga Asli A]]-(cadangan3[[#This Row],[Harga Asli A]]*cadangan3[[#This Row],[Diskon]]),cadangan3[[#This Row],[Harga Asli A]])</f>
        <v>324000</v>
      </c>
      <c r="K476" s="36">
        <f>INDEX(Katalog!$F$3:$F$12,MATCH(cadangan3[[#This Row],[ItemID A]],Katalog!$C$3:$C$12,0))*cadangan3[[#This Row],[Qty A]]</f>
        <v>140000</v>
      </c>
      <c r="L476" s="36">
        <f>IFERROR(cadangan3[[#This Row],[Profit A]]-(cadangan3[[#This Row],[Profit A]]*cadangan3[[#This Row],[Diskon]]),K476)</f>
        <v>126000</v>
      </c>
      <c r="M476" t="s">
        <v>58</v>
      </c>
      <c r="N476" t="str">
        <f>IFERROR(INDEX(Katalog!$A$3:$A$12,MATCH(cadangan3[[#This Row],[ItemID B]],Katalog!$C$3:$C$12,0)),"-")</f>
        <v>Pakaian Wanita</v>
      </c>
      <c r="O476" t="str">
        <f>IFERROR(INDEX(Katalog!$B$3:$B$12,MATCH(cadangan3[[#This Row],[ItemID B]],Katalog!$C$3:$C$12,0)),"-")</f>
        <v>Dress</v>
      </c>
      <c r="P476">
        <v>1</v>
      </c>
      <c r="Q476">
        <v>3</v>
      </c>
      <c r="R476" s="36">
        <f>IFERROR(INDEX(Katalog!$D$3:$D$12,MATCH(cadangan3[[#This Row],[ItemID B]],Katalog!$C$3:$C$12,0))*cadangan3[[#This Row],[Qty B]],0)</f>
        <v>300000</v>
      </c>
      <c r="S476" s="36">
        <f>IFERROR(INDEX(Katalog!$D$3:$D$12,MATCH(cadangan3[[#This Row],[Item B]],Katalog!$B$3:$B$12,0))*cadangan3[[#This Row],[Qty B]],0)</f>
        <v>300000</v>
      </c>
      <c r="T476" s="36">
        <f>IFERROR(cadangan3[[#This Row],[Harga Asli B]]-(cadangan3[[#This Row],[Harga Asli B]]*cadangan3[[#This Row],[Diskon]]),cadangan3[[#This Row],[Harga Asli B]])</f>
        <v>270000</v>
      </c>
      <c r="U476" s="36">
        <f>IFERROR(INDEX(Katalog!$F$3:$F$12,MATCH(cadangan3[[#This Row],[ItemID B]],Katalog!$C$3:$C$12,0))*cadangan3[[#This Row],[Qty B]],0)</f>
        <v>100000</v>
      </c>
      <c r="V476" s="36">
        <f>IFERROR(cadangan3[[#This Row],[Profit B]]-(cadangan3[[#This Row],[Profit B]]*cadangan3[[#This Row],[Diskon]]),U476)</f>
        <v>90000</v>
      </c>
      <c r="X476" t="str">
        <f>IFERROR(INDEX(Katalog!$A$3:$A$12,MATCH(cadangan3[[#This Row],[ItemID C]],Katalog!$C$3:$C$12,0)),"-")</f>
        <v>-</v>
      </c>
      <c r="Y476" t="str">
        <f>IFERROR(INDEX(Katalog!$B$3:$B$12,MATCH(cadangan3[[#This Row],[ItemID C]],Katalog!$C$3:$C$12,0)),"-")</f>
        <v>-</v>
      </c>
      <c r="AB476" s="36">
        <f>IFERROR(INDEX(Katalog!$D$3:$D$12,MATCH(cadangan3[[#This Row],[ItemID C]],Katalog!$C$3:$C$12,0))*cadangan3[[#This Row],[Qty C]],0)</f>
        <v>0</v>
      </c>
      <c r="AC476" s="36">
        <f>IFERROR(INDEX(Katalog!$D$3:$D$12,MATCH(cadangan3[[#This Row],[Item C]],Katalog!$B$3:$B$12,0))*cadangan3[[#This Row],[Qty C]],0)</f>
        <v>0</v>
      </c>
      <c r="AD476" s="36">
        <f>IFERROR(cadangan3[[#This Row],[Harga Asli C]]-(cadangan3[[#This Row],[Harga Asli C]]*cadangan3[[#This Row],[Diskon]]),cadangan3[[#This Row],[Harga Asli C]])</f>
        <v>0</v>
      </c>
      <c r="AE476" s="36">
        <f>IFERROR(INDEX(Katalog!$F$3:$F$12,MATCH(cadangan3[[#This Row],[ItemID C]],Katalog!$C$3:$C$12,0))*cadangan3[[#This Row],[Qty C]],0)</f>
        <v>0</v>
      </c>
      <c r="AF476" s="36">
        <f>IFERROR(cadangan3[[#This Row],[Profit C]]-(cadangan3[[#This Row],[Profit C]]*cadangan3[[#This Row],[Diskon]]),cadangan3[[#This Row],[Profit C]])</f>
        <v>0</v>
      </c>
      <c r="AG476" s="21">
        <f>cadangan3[[#This Row],[Qty A]]+cadangan3[[#This Row],[Qty B]]+cadangan3[[#This Row],[Qty C]]</f>
        <v>3</v>
      </c>
      <c r="AH476" s="35">
        <f>cadangan3[[#This Row],[Harga A + Diskon]]+cadangan3[[#This Row],[Harga + Diskon B]]+cadangan3[[#This Row],[Harga + Diskon C]]</f>
        <v>594000</v>
      </c>
      <c r="AI476" s="35">
        <f>(cadangan3[[#This Row],[Profit A]]+cadangan3[[#This Row],[Profit B]]+cadangan3[[#This Row],[Profit C]])</f>
        <v>240000</v>
      </c>
      <c r="AJ476" s="35">
        <f>cadangan3[[#This Row],[Provit A + Diskon]]+cadangan3[[#This Row],[Provit B + Diskon]]+cadangan3[[#This Row],[Provit C + Diskon]]</f>
        <v>216000</v>
      </c>
      <c r="AK476" s="23" t="s">
        <v>6</v>
      </c>
      <c r="AL476" s="37">
        <f>IFERROR(INDEX('Kode Diskon'!$D$3:$D$9,MATCH(cadangan3[[#This Row],[Kode diskon]],'Kode Diskon'!$C$3:$C$9,0)),"-")</f>
        <v>0.1</v>
      </c>
      <c r="AM476" s="23" t="s">
        <v>29</v>
      </c>
      <c r="AN476" s="23" t="s">
        <v>7</v>
      </c>
      <c r="AO476" s="23" t="s">
        <v>76</v>
      </c>
      <c r="AP476" s="24">
        <v>45017</v>
      </c>
      <c r="AQ476" s="23" t="str">
        <f>TEXT(cadangan3[[#This Row],[Tanggal terjual]],"dddd")</f>
        <v>Saturday</v>
      </c>
    </row>
    <row r="477" spans="1:43" x14ac:dyDescent="0.2">
      <c r="A477" s="20">
        <v>476</v>
      </c>
      <c r="B477" s="21" t="str">
        <f>_xlfn.CONCAT("ORD-",INDEX(Helper!$B$2:$B$5,MATCH(cadangan3[[#This Row],[Marketplace]],Helper!$A$2:$A$5,0)),TEXT(cadangan3[[#This Row],[No]],"0000"),"-",TEXT(cadangan3[[#This Row],[Tanggal terjual]],"dd/mm/yy"))</f>
        <v>ORD-BB0476-04/04/23</v>
      </c>
      <c r="C477" t="s">
        <v>59</v>
      </c>
      <c r="D477" t="str">
        <f>IFERROR(INDEX(Katalog!$A$3:$A$12,MATCH(cadangan3[[#This Row],[ItemID A]],Katalog!$C$3:$C$12,0)),"-")</f>
        <v>Pakaian Wanita</v>
      </c>
      <c r="E477" t="str">
        <f>IFERROR(INDEX(Katalog!$B$3:$B$12,MATCH(cadangan3[[#This Row],[ItemID A]],Katalog!$C$3:$C$12,0)),"-")</f>
        <v>Blouse</v>
      </c>
      <c r="F477">
        <v>2</v>
      </c>
      <c r="G477">
        <v>5</v>
      </c>
      <c r="H477" s="36">
        <f>IFERROR(INDEX(Katalog!$D$3:$D$12,MATCH(cadangan3[[#This Row],[ItemID A]],Katalog!$C$3:$C$12,0))*cadangan3[[#This Row],[Qty A]],0)</f>
        <v>300000</v>
      </c>
      <c r="I477" s="36">
        <f>IFERROR(INDEX(Katalog!$D$3:$D$12,MATCH(cadangan3[[#This Row],[Item A]],Katalog!$B$3:$B$12,0))*cadangan3[[#This Row],[Qty A]],0)</f>
        <v>300000</v>
      </c>
      <c r="J477" s="36">
        <f>IFERROR(cadangan3[[#This Row],[Harga Asli A]]-(cadangan3[[#This Row],[Harga Asli A]]*cadangan3[[#This Row],[Diskon]]),cadangan3[[#This Row],[Harga Asli A]])</f>
        <v>255000</v>
      </c>
      <c r="K477" s="36">
        <f>INDEX(Katalog!$F$3:$F$12,MATCH(cadangan3[[#This Row],[ItemID A]],Katalog!$C$3:$C$12,0))*cadangan3[[#This Row],[Qty A]]</f>
        <v>100000</v>
      </c>
      <c r="L477" s="36">
        <f>IFERROR(cadangan3[[#This Row],[Profit A]]-(cadangan3[[#This Row],[Profit A]]*cadangan3[[#This Row],[Diskon]]),K477)</f>
        <v>85000</v>
      </c>
      <c r="M477" t="s">
        <v>66</v>
      </c>
      <c r="N477" t="str">
        <f>IFERROR(INDEX(Katalog!$A$3:$A$12,MATCH(cadangan3[[#This Row],[ItemID B]],Katalog!$C$3:$C$12,0)),"-")</f>
        <v>Sepatu Pria</v>
      </c>
      <c r="O477" t="str">
        <f>IFERROR(INDEX(Katalog!$B$3:$B$12,MATCH(cadangan3[[#This Row],[ItemID B]],Katalog!$C$3:$C$12,0)),"-")</f>
        <v>Sandal Slip On</v>
      </c>
      <c r="P477">
        <v>3</v>
      </c>
      <c r="Q477">
        <v>1</v>
      </c>
      <c r="R477" s="36">
        <f>IFERROR(INDEX(Katalog!$D$3:$D$12,MATCH(cadangan3[[#This Row],[ItemID B]],Katalog!$C$3:$C$12,0))*cadangan3[[#This Row],[Qty B]],0)</f>
        <v>450000</v>
      </c>
      <c r="S477" s="36">
        <f>IFERROR(INDEX(Katalog!$D$3:$D$12,MATCH(cadangan3[[#This Row],[Item B]],Katalog!$B$3:$B$12,0))*cadangan3[[#This Row],[Qty B]],0)</f>
        <v>450000</v>
      </c>
      <c r="T477" s="36">
        <f>IFERROR(cadangan3[[#This Row],[Harga Asli B]]-(cadangan3[[#This Row],[Harga Asli B]]*cadangan3[[#This Row],[Diskon]]),cadangan3[[#This Row],[Harga Asli B]])</f>
        <v>382500</v>
      </c>
      <c r="U477" s="36">
        <f>IFERROR(INDEX(Katalog!$F$3:$F$12,MATCH(cadangan3[[#This Row],[ItemID B]],Katalog!$C$3:$C$12,0))*cadangan3[[#This Row],[Qty B]],0)</f>
        <v>180000</v>
      </c>
      <c r="V477" s="36">
        <f>IFERROR(cadangan3[[#This Row],[Profit B]]-(cadangan3[[#This Row],[Profit B]]*cadangan3[[#This Row],[Diskon]]),U477)</f>
        <v>153000</v>
      </c>
      <c r="X477" t="str">
        <f>IFERROR(INDEX(Katalog!$A$3:$A$12,MATCH(cadangan3[[#This Row],[ItemID C]],Katalog!$C$3:$C$12,0)),"-")</f>
        <v>-</v>
      </c>
      <c r="Y477" t="str">
        <f>IFERROR(INDEX(Katalog!$B$3:$B$12,MATCH(cadangan3[[#This Row],[ItemID C]],Katalog!$C$3:$C$12,0)),"-")</f>
        <v>-</v>
      </c>
      <c r="AB477" s="36">
        <f>IFERROR(INDEX(Katalog!$D$3:$D$12,MATCH(cadangan3[[#This Row],[ItemID C]],Katalog!$C$3:$C$12,0))*cadangan3[[#This Row],[Qty C]],0)</f>
        <v>0</v>
      </c>
      <c r="AC477" s="36">
        <f>IFERROR(INDEX(Katalog!$D$3:$D$12,MATCH(cadangan3[[#This Row],[Item C]],Katalog!$B$3:$B$12,0))*cadangan3[[#This Row],[Qty C]],0)</f>
        <v>0</v>
      </c>
      <c r="AD477" s="36">
        <f>IFERROR(cadangan3[[#This Row],[Harga Asli C]]-(cadangan3[[#This Row],[Harga Asli C]]*cadangan3[[#This Row],[Diskon]]),cadangan3[[#This Row],[Harga Asli C]])</f>
        <v>0</v>
      </c>
      <c r="AE477" s="36">
        <f>IFERROR(INDEX(Katalog!$F$3:$F$12,MATCH(cadangan3[[#This Row],[ItemID C]],Katalog!$C$3:$C$12,0))*cadangan3[[#This Row],[Qty C]],0)</f>
        <v>0</v>
      </c>
      <c r="AF477" s="36">
        <f>IFERROR(cadangan3[[#This Row],[Profit C]]-(cadangan3[[#This Row],[Profit C]]*cadangan3[[#This Row],[Diskon]]),cadangan3[[#This Row],[Profit C]])</f>
        <v>0</v>
      </c>
      <c r="AG477" s="21">
        <f>cadangan3[[#This Row],[Qty A]]+cadangan3[[#This Row],[Qty B]]+cadangan3[[#This Row],[Qty C]]</f>
        <v>5</v>
      </c>
      <c r="AH477" s="35">
        <f>cadangan3[[#This Row],[Harga A + Diskon]]+cadangan3[[#This Row],[Harga + Diskon B]]+cadangan3[[#This Row],[Harga + Diskon C]]</f>
        <v>637500</v>
      </c>
      <c r="AI477" s="35">
        <f>(cadangan3[[#This Row],[Profit A]]+cadangan3[[#This Row],[Profit B]]+cadangan3[[#This Row],[Profit C]])</f>
        <v>280000</v>
      </c>
      <c r="AJ477" s="35">
        <f>cadangan3[[#This Row],[Provit A + Diskon]]+cadangan3[[#This Row],[Provit B + Diskon]]+cadangan3[[#This Row],[Provit C + Diskon]]</f>
        <v>238000</v>
      </c>
      <c r="AK477" s="23" t="s">
        <v>28</v>
      </c>
      <c r="AL477" s="37">
        <f>IFERROR(INDEX('Kode Diskon'!$D$3:$D$9,MATCH(cadangan3[[#This Row],[Kode diskon]],'Kode Diskon'!$C$3:$C$9,0)),"-")</f>
        <v>0.15</v>
      </c>
      <c r="AM477" s="23" t="s">
        <v>29</v>
      </c>
      <c r="AN477" s="23" t="s">
        <v>14</v>
      </c>
      <c r="AO477" s="23" t="s">
        <v>80</v>
      </c>
      <c r="AP477" s="24">
        <v>45020</v>
      </c>
      <c r="AQ477" s="23" t="str">
        <f>TEXT(cadangan3[[#This Row],[Tanggal terjual]],"dddd")</f>
        <v>Tuesday</v>
      </c>
    </row>
    <row r="478" spans="1:43" x14ac:dyDescent="0.2">
      <c r="A478" s="20">
        <v>477</v>
      </c>
      <c r="B478" s="21" t="str">
        <f>_xlfn.CONCAT("ORD-",INDEX(Helper!$B$2:$B$5,MATCH(cadangan3[[#This Row],[Marketplace]],Helper!$A$2:$A$5,0)),TEXT(cadangan3[[#This Row],[No]],"0000"),"-",TEXT(cadangan3[[#This Row],[Tanggal terjual]],"dd/mm/yy"))</f>
        <v>ORD-BL0477-29/04/23</v>
      </c>
      <c r="C478" t="s">
        <v>63</v>
      </c>
      <c r="D478" t="str">
        <f>IFERROR(INDEX(Katalog!$A$3:$A$12,MATCH(cadangan3[[#This Row],[ItemID A]],Katalog!$C$3:$C$12,0)),"-")</f>
        <v>Pakaian Pria</v>
      </c>
      <c r="E478" t="str">
        <f>IFERROR(INDEX(Katalog!$B$3:$B$12,MATCH(cadangan3[[#This Row],[ItemID A]],Katalog!$C$3:$C$12,0)),"-")</f>
        <v>Jaket Jeans</v>
      </c>
      <c r="F478">
        <v>3</v>
      </c>
      <c r="G478">
        <v>3</v>
      </c>
      <c r="H478" s="36">
        <f>IFERROR(INDEX(Katalog!$D$3:$D$12,MATCH(cadangan3[[#This Row],[ItemID A]],Katalog!$C$3:$C$12,0))*cadangan3[[#This Row],[Qty A]],0)</f>
        <v>1200000</v>
      </c>
      <c r="I478" s="36">
        <f>IFERROR(INDEX(Katalog!$D$3:$D$12,MATCH(cadangan3[[#This Row],[Item A]],Katalog!$B$3:$B$12,0))*cadangan3[[#This Row],[Qty A]],0)</f>
        <v>1200000</v>
      </c>
      <c r="J478" s="36">
        <f>IFERROR(cadangan3[[#This Row],[Harga Asli A]]-(cadangan3[[#This Row],[Harga Asli A]]*cadangan3[[#This Row],[Diskon]]),cadangan3[[#This Row],[Harga Asli A]])</f>
        <v>1020000</v>
      </c>
      <c r="K478" s="36">
        <f>INDEX(Katalog!$F$3:$F$12,MATCH(cadangan3[[#This Row],[ItemID A]],Katalog!$C$3:$C$12,0))*cadangan3[[#This Row],[Qty A]]</f>
        <v>450000</v>
      </c>
      <c r="L478" s="36">
        <f>IFERROR(cadangan3[[#This Row],[Profit A]]-(cadangan3[[#This Row],[Profit A]]*cadangan3[[#This Row],[Diskon]]),K478)</f>
        <v>382500</v>
      </c>
      <c r="N478" t="str">
        <f>IFERROR(INDEX(Katalog!$A$3:$A$12,MATCH(cadangan3[[#This Row],[ItemID B]],Katalog!$C$3:$C$12,0)),"-")</f>
        <v>-</v>
      </c>
      <c r="O478" t="str">
        <f>IFERROR(INDEX(Katalog!$B$3:$B$12,MATCH(cadangan3[[#This Row],[ItemID B]],Katalog!$C$3:$C$12,0)),"-")</f>
        <v>-</v>
      </c>
      <c r="R478" s="36">
        <f>IFERROR(INDEX(Katalog!$D$3:$D$12,MATCH(cadangan3[[#This Row],[ItemID B]],Katalog!$C$3:$C$12,0))*cadangan3[[#This Row],[Qty B]],0)</f>
        <v>0</v>
      </c>
      <c r="S478" s="36">
        <f>IFERROR(INDEX(Katalog!$D$3:$D$12,MATCH(cadangan3[[#This Row],[Item B]],Katalog!$B$3:$B$12,0))*cadangan3[[#This Row],[Qty B]],0)</f>
        <v>0</v>
      </c>
      <c r="T478" s="36">
        <f>IFERROR(cadangan3[[#This Row],[Harga Asli B]]-(cadangan3[[#This Row],[Harga Asli B]]*cadangan3[[#This Row],[Diskon]]),cadangan3[[#This Row],[Harga Asli B]])</f>
        <v>0</v>
      </c>
      <c r="U478" s="36">
        <f>IFERROR(INDEX(Katalog!$F$3:$F$12,MATCH(cadangan3[[#This Row],[ItemID B]],Katalog!$C$3:$C$12,0))*cadangan3[[#This Row],[Qty B]],0)</f>
        <v>0</v>
      </c>
      <c r="V478" s="36">
        <f>IFERROR(cadangan3[[#This Row],[Profit B]]-(cadangan3[[#This Row],[Profit B]]*cadangan3[[#This Row],[Diskon]]),U478)</f>
        <v>0</v>
      </c>
      <c r="X478" t="str">
        <f>IFERROR(INDEX(Katalog!$A$3:$A$12,MATCH(cadangan3[[#This Row],[ItemID C]],Katalog!$C$3:$C$12,0)),"-")</f>
        <v>-</v>
      </c>
      <c r="Y478" t="str">
        <f>IFERROR(INDEX(Katalog!$B$3:$B$12,MATCH(cadangan3[[#This Row],[ItemID C]],Katalog!$C$3:$C$12,0)),"-")</f>
        <v>-</v>
      </c>
      <c r="AB478" s="36">
        <f>IFERROR(INDEX(Katalog!$D$3:$D$12,MATCH(cadangan3[[#This Row],[ItemID C]],Katalog!$C$3:$C$12,0))*cadangan3[[#This Row],[Qty C]],0)</f>
        <v>0</v>
      </c>
      <c r="AC478" s="36">
        <f>IFERROR(INDEX(Katalog!$D$3:$D$12,MATCH(cadangan3[[#This Row],[Item C]],Katalog!$B$3:$B$12,0))*cadangan3[[#This Row],[Qty C]],0)</f>
        <v>0</v>
      </c>
      <c r="AD478" s="36">
        <f>IFERROR(cadangan3[[#This Row],[Harga Asli C]]-(cadangan3[[#This Row],[Harga Asli C]]*cadangan3[[#This Row],[Diskon]]),cadangan3[[#This Row],[Harga Asli C]])</f>
        <v>0</v>
      </c>
      <c r="AE478" s="36">
        <f>IFERROR(INDEX(Katalog!$F$3:$F$12,MATCH(cadangan3[[#This Row],[ItemID C]],Katalog!$C$3:$C$12,0))*cadangan3[[#This Row],[Qty C]],0)</f>
        <v>0</v>
      </c>
      <c r="AF478" s="36">
        <f>IFERROR(cadangan3[[#This Row],[Profit C]]-(cadangan3[[#This Row],[Profit C]]*cadangan3[[#This Row],[Diskon]]),cadangan3[[#This Row],[Profit C]])</f>
        <v>0</v>
      </c>
      <c r="AG478" s="21">
        <f>cadangan3[[#This Row],[Qty A]]+cadangan3[[#This Row],[Qty B]]+cadangan3[[#This Row],[Qty C]]</f>
        <v>3</v>
      </c>
      <c r="AH478" s="35">
        <f>cadangan3[[#This Row],[Harga A + Diskon]]+cadangan3[[#This Row],[Harga + Diskon B]]+cadangan3[[#This Row],[Harga + Diskon C]]</f>
        <v>1020000</v>
      </c>
      <c r="AI478" s="35">
        <f>(cadangan3[[#This Row],[Profit A]]+cadangan3[[#This Row],[Profit B]]+cadangan3[[#This Row],[Profit C]])</f>
        <v>450000</v>
      </c>
      <c r="AJ478" s="35">
        <f>cadangan3[[#This Row],[Provit A + Diskon]]+cadangan3[[#This Row],[Provit B + Diskon]]+cadangan3[[#This Row],[Provit C + Diskon]]</f>
        <v>382500</v>
      </c>
      <c r="AK478" s="23" t="s">
        <v>32</v>
      </c>
      <c r="AL478" s="37">
        <f>IFERROR(INDEX('Kode Diskon'!$D$3:$D$9,MATCH(cadangan3[[#This Row],[Kode diskon]],'Kode Diskon'!$C$3:$C$9,0)),"-")</f>
        <v>0.15</v>
      </c>
      <c r="AM478" s="23" t="s">
        <v>9</v>
      </c>
      <c r="AN478" s="23" t="s">
        <v>12</v>
      </c>
      <c r="AO478" s="23" t="s">
        <v>75</v>
      </c>
      <c r="AP478" s="24">
        <v>45045</v>
      </c>
      <c r="AQ478" s="23" t="str">
        <f>TEXT(cadangan3[[#This Row],[Tanggal terjual]],"dddd")</f>
        <v>Saturday</v>
      </c>
    </row>
    <row r="479" spans="1:43" x14ac:dyDescent="0.2">
      <c r="A479" s="20">
        <v>478</v>
      </c>
      <c r="B479" s="21" t="str">
        <f>_xlfn.CONCAT("ORD-",INDEX(Helper!$B$2:$B$5,MATCH(cadangan3[[#This Row],[Marketplace]],Helper!$A$2:$A$5,0)),TEXT(cadangan3[[#This Row],[No]],"0000"),"-",TEXT(cadangan3[[#This Row],[Tanggal terjual]],"dd/mm/yy"))</f>
        <v>ORD-BB0478-05/04/23</v>
      </c>
      <c r="C479" t="s">
        <v>64</v>
      </c>
      <c r="D479" t="str">
        <f>IFERROR(INDEX(Katalog!$A$3:$A$12,MATCH(cadangan3[[#This Row],[ItemID A]],Katalog!$C$3:$C$12,0)),"-")</f>
        <v>Pakaian Unisex</v>
      </c>
      <c r="E479" t="str">
        <f>IFERROR(INDEX(Katalog!$B$3:$B$12,MATCH(cadangan3[[#This Row],[ItemID A]],Katalog!$C$3:$C$12,0)),"-")</f>
        <v>Jaket Hoodie</v>
      </c>
      <c r="F479">
        <v>1</v>
      </c>
      <c r="G479">
        <v>3</v>
      </c>
      <c r="H479" s="36">
        <f>IFERROR(INDEX(Katalog!$D$3:$D$12,MATCH(cadangan3[[#This Row],[ItemID A]],Katalog!$C$3:$C$12,0))*cadangan3[[#This Row],[Qty A]],0)</f>
        <v>350000</v>
      </c>
      <c r="I479" s="36">
        <f>IFERROR(INDEX(Katalog!$D$3:$D$12,MATCH(cadangan3[[#This Row],[Item A]],Katalog!$B$3:$B$12,0))*cadangan3[[#This Row],[Qty A]],0)</f>
        <v>350000</v>
      </c>
      <c r="J479" s="36">
        <f>IFERROR(cadangan3[[#This Row],[Harga Asli A]]-(cadangan3[[#This Row],[Harga Asli A]]*cadangan3[[#This Row],[Diskon]]),cadangan3[[#This Row],[Harga Asli A]])</f>
        <v>297500</v>
      </c>
      <c r="K479" s="36">
        <f>INDEX(Katalog!$F$3:$F$12,MATCH(cadangan3[[#This Row],[ItemID A]],Katalog!$C$3:$C$12,0))*cadangan3[[#This Row],[Qty A]]</f>
        <v>130000</v>
      </c>
      <c r="L479" s="36">
        <f>IFERROR(cadangan3[[#This Row],[Profit A]]-(cadangan3[[#This Row],[Profit A]]*cadangan3[[#This Row],[Diskon]]),K479)</f>
        <v>110500</v>
      </c>
      <c r="M479" t="s">
        <v>59</v>
      </c>
      <c r="N479" t="str">
        <f>IFERROR(INDEX(Katalog!$A$3:$A$12,MATCH(cadangan3[[#This Row],[ItemID B]],Katalog!$C$3:$C$12,0)),"-")</f>
        <v>Pakaian Wanita</v>
      </c>
      <c r="O479" t="str">
        <f>IFERROR(INDEX(Katalog!$B$3:$B$12,MATCH(cadangan3[[#This Row],[ItemID B]],Katalog!$C$3:$C$12,0)),"-")</f>
        <v>Blouse</v>
      </c>
      <c r="P479">
        <v>4</v>
      </c>
      <c r="Q479">
        <v>2</v>
      </c>
      <c r="R479" s="36">
        <f>IFERROR(INDEX(Katalog!$D$3:$D$12,MATCH(cadangan3[[#This Row],[ItemID B]],Katalog!$C$3:$C$12,0))*cadangan3[[#This Row],[Qty B]],0)</f>
        <v>600000</v>
      </c>
      <c r="S479" s="36">
        <f>IFERROR(INDEX(Katalog!$D$3:$D$12,MATCH(cadangan3[[#This Row],[Item B]],Katalog!$B$3:$B$12,0))*cadangan3[[#This Row],[Qty B]],0)</f>
        <v>600000</v>
      </c>
      <c r="T479" s="36">
        <f>IFERROR(cadangan3[[#This Row],[Harga Asli B]]-(cadangan3[[#This Row],[Harga Asli B]]*cadangan3[[#This Row],[Diskon]]),cadangan3[[#This Row],[Harga Asli B]])</f>
        <v>510000</v>
      </c>
      <c r="U479" s="36">
        <f>IFERROR(INDEX(Katalog!$F$3:$F$12,MATCH(cadangan3[[#This Row],[ItemID B]],Katalog!$C$3:$C$12,0))*cadangan3[[#This Row],[Qty B]],0)</f>
        <v>200000</v>
      </c>
      <c r="V479" s="36">
        <f>IFERROR(cadangan3[[#This Row],[Profit B]]-(cadangan3[[#This Row],[Profit B]]*cadangan3[[#This Row],[Diskon]]),U479)</f>
        <v>170000</v>
      </c>
      <c r="W479" t="s">
        <v>64</v>
      </c>
      <c r="X479" t="str">
        <f>IFERROR(INDEX(Katalog!$A$3:$A$12,MATCH(cadangan3[[#This Row],[ItemID C]],Katalog!$C$3:$C$12,0)),"-")</f>
        <v>Pakaian Unisex</v>
      </c>
      <c r="Y479" t="str">
        <f>IFERROR(INDEX(Katalog!$B$3:$B$12,MATCH(cadangan3[[#This Row],[ItemID C]],Katalog!$C$3:$C$12,0)),"-")</f>
        <v>Jaket Hoodie</v>
      </c>
      <c r="Z479">
        <v>1</v>
      </c>
      <c r="AA479">
        <v>4</v>
      </c>
      <c r="AB479" s="36">
        <f>IFERROR(INDEX(Katalog!$D$3:$D$12,MATCH(cadangan3[[#This Row],[ItemID C]],Katalog!$C$3:$C$12,0))*cadangan3[[#This Row],[Qty C]],0)</f>
        <v>350000</v>
      </c>
      <c r="AC479" s="36">
        <f>IFERROR(INDEX(Katalog!$D$3:$D$12,MATCH(cadangan3[[#This Row],[Item C]],Katalog!$B$3:$B$12,0))*cadangan3[[#This Row],[Qty C]],0)</f>
        <v>350000</v>
      </c>
      <c r="AD479" s="36">
        <f>IFERROR(cadangan3[[#This Row],[Harga Asli C]]-(cadangan3[[#This Row],[Harga Asli C]]*cadangan3[[#This Row],[Diskon]]),cadangan3[[#This Row],[Harga Asli C]])</f>
        <v>297500</v>
      </c>
      <c r="AE479" s="36">
        <f>IFERROR(INDEX(Katalog!$F$3:$F$12,MATCH(cadangan3[[#This Row],[ItemID C]],Katalog!$C$3:$C$12,0))*cadangan3[[#This Row],[Qty C]],0)</f>
        <v>130000</v>
      </c>
      <c r="AF479" s="36">
        <f>IFERROR(cadangan3[[#This Row],[Profit C]]-(cadangan3[[#This Row],[Profit C]]*cadangan3[[#This Row],[Diskon]]),cadangan3[[#This Row],[Profit C]])</f>
        <v>110500</v>
      </c>
      <c r="AG479" s="21">
        <f>cadangan3[[#This Row],[Qty A]]+cadangan3[[#This Row],[Qty B]]+cadangan3[[#This Row],[Qty C]]</f>
        <v>6</v>
      </c>
      <c r="AH479" s="35">
        <f>cadangan3[[#This Row],[Harga A + Diskon]]+cadangan3[[#This Row],[Harga + Diskon B]]+cadangan3[[#This Row],[Harga + Diskon C]]</f>
        <v>1105000</v>
      </c>
      <c r="AI479" s="35">
        <f>(cadangan3[[#This Row],[Profit A]]+cadangan3[[#This Row],[Profit B]]+cadangan3[[#This Row],[Profit C]])</f>
        <v>460000</v>
      </c>
      <c r="AJ479" s="35">
        <f>cadangan3[[#This Row],[Provit A + Diskon]]+cadangan3[[#This Row],[Provit B + Diskon]]+cadangan3[[#This Row],[Provit C + Diskon]]</f>
        <v>391000</v>
      </c>
      <c r="AK479" s="23" t="s">
        <v>28</v>
      </c>
      <c r="AL479" s="37">
        <f>IFERROR(INDEX('Kode Diskon'!$D$3:$D$9,MATCH(cadangan3[[#This Row],[Kode diskon]],'Kode Diskon'!$C$3:$C$9,0)),"-")</f>
        <v>0.15</v>
      </c>
      <c r="AM479" s="23" t="s">
        <v>29</v>
      </c>
      <c r="AN479" s="23" t="s">
        <v>14</v>
      </c>
      <c r="AO479" s="23" t="s">
        <v>80</v>
      </c>
      <c r="AP479" s="24">
        <v>45021</v>
      </c>
      <c r="AQ479" s="23" t="str">
        <f>TEXT(cadangan3[[#This Row],[Tanggal terjual]],"dddd")</f>
        <v>Wednesday</v>
      </c>
    </row>
    <row r="480" spans="1:43" x14ac:dyDescent="0.2">
      <c r="A480" s="20">
        <v>479</v>
      </c>
      <c r="B480" s="21" t="str">
        <f>_xlfn.CONCAT("ORD-",INDEX(Helper!$B$2:$B$5,MATCH(cadangan3[[#This Row],[Marketplace]],Helper!$A$2:$A$5,0)),TEXT(cadangan3[[#This Row],[No]],"0000"),"-",TEXT(cadangan3[[#This Row],[Tanggal terjual]],"dd/mm/yy"))</f>
        <v>ORD-TK0479-27/04/23</v>
      </c>
      <c r="C480" t="s">
        <v>63</v>
      </c>
      <c r="D480" t="str">
        <f>IFERROR(INDEX(Katalog!$A$3:$A$12,MATCH(cadangan3[[#This Row],[ItemID A]],Katalog!$C$3:$C$12,0)),"-")</f>
        <v>Pakaian Pria</v>
      </c>
      <c r="E480" t="str">
        <f>IFERROR(INDEX(Katalog!$B$3:$B$12,MATCH(cadangan3[[#This Row],[ItemID A]],Katalog!$C$3:$C$12,0)),"-")</f>
        <v>Jaket Jeans</v>
      </c>
      <c r="F480">
        <v>2</v>
      </c>
      <c r="G480">
        <v>1</v>
      </c>
      <c r="H480" s="36">
        <f>IFERROR(INDEX(Katalog!$D$3:$D$12,MATCH(cadangan3[[#This Row],[ItemID A]],Katalog!$C$3:$C$12,0))*cadangan3[[#This Row],[Qty A]],0)</f>
        <v>800000</v>
      </c>
      <c r="I480" s="36">
        <f>IFERROR(INDEX(Katalog!$D$3:$D$12,MATCH(cadangan3[[#This Row],[Item A]],Katalog!$B$3:$B$12,0))*cadangan3[[#This Row],[Qty A]],0)</f>
        <v>800000</v>
      </c>
      <c r="J480" s="36">
        <f>IFERROR(cadangan3[[#This Row],[Harga Asli A]]-(cadangan3[[#This Row],[Harga Asli A]]*cadangan3[[#This Row],[Diskon]]),cadangan3[[#This Row],[Harga Asli A]])</f>
        <v>720000</v>
      </c>
      <c r="K480" s="36">
        <f>INDEX(Katalog!$F$3:$F$12,MATCH(cadangan3[[#This Row],[ItemID A]],Katalog!$C$3:$C$12,0))*cadangan3[[#This Row],[Qty A]]</f>
        <v>300000</v>
      </c>
      <c r="L480" s="36">
        <f>IFERROR(cadangan3[[#This Row],[Profit A]]-(cadangan3[[#This Row],[Profit A]]*cadangan3[[#This Row],[Diskon]]),K480)</f>
        <v>270000</v>
      </c>
      <c r="M480" t="s">
        <v>65</v>
      </c>
      <c r="N480" t="str">
        <f>IFERROR(INDEX(Katalog!$A$3:$A$12,MATCH(cadangan3[[#This Row],[ItemID B]],Katalog!$C$3:$C$12,0)),"-")</f>
        <v>Sepatu Pria</v>
      </c>
      <c r="O480" t="str">
        <f>IFERROR(INDEX(Katalog!$B$3:$B$12,MATCH(cadangan3[[#This Row],[ItemID B]],Katalog!$C$3:$C$12,0)),"-")</f>
        <v>Sneakers</v>
      </c>
      <c r="P480">
        <v>2</v>
      </c>
      <c r="Q480">
        <v>3</v>
      </c>
      <c r="R480" s="36">
        <f>IFERROR(INDEX(Katalog!$D$3:$D$12,MATCH(cadangan3[[#This Row],[ItemID B]],Katalog!$C$3:$C$12,0))*cadangan3[[#This Row],[Qty B]],0)</f>
        <v>1000000</v>
      </c>
      <c r="S480" s="36">
        <f>IFERROR(INDEX(Katalog!$D$3:$D$12,MATCH(cadangan3[[#This Row],[Item B]],Katalog!$B$3:$B$12,0))*cadangan3[[#This Row],[Qty B]],0)</f>
        <v>1000000</v>
      </c>
      <c r="T480" s="36">
        <f>IFERROR(cadangan3[[#This Row],[Harga Asli B]]-(cadangan3[[#This Row],[Harga Asli B]]*cadangan3[[#This Row],[Diskon]]),cadangan3[[#This Row],[Harga Asli B]])</f>
        <v>900000</v>
      </c>
      <c r="U480" s="36">
        <f>IFERROR(INDEX(Katalog!$F$3:$F$12,MATCH(cadangan3[[#This Row],[ItemID B]],Katalog!$C$3:$C$12,0))*cadangan3[[#This Row],[Qty B]],0)</f>
        <v>400000</v>
      </c>
      <c r="V480" s="36">
        <f>IFERROR(cadangan3[[#This Row],[Profit B]]-(cadangan3[[#This Row],[Profit B]]*cadangan3[[#This Row],[Diskon]]),U480)</f>
        <v>360000</v>
      </c>
      <c r="X480" t="str">
        <f>IFERROR(INDEX(Katalog!$A$3:$A$12,MATCH(cadangan3[[#This Row],[ItemID C]],Katalog!$C$3:$C$12,0)),"-")</f>
        <v>-</v>
      </c>
      <c r="Y480" t="str">
        <f>IFERROR(INDEX(Katalog!$B$3:$B$12,MATCH(cadangan3[[#This Row],[ItemID C]],Katalog!$C$3:$C$12,0)),"-")</f>
        <v>-</v>
      </c>
      <c r="AB480" s="36">
        <f>IFERROR(INDEX(Katalog!$D$3:$D$12,MATCH(cadangan3[[#This Row],[ItemID C]],Katalog!$C$3:$C$12,0))*cadangan3[[#This Row],[Qty C]],0)</f>
        <v>0</v>
      </c>
      <c r="AC480" s="36">
        <f>IFERROR(INDEX(Katalog!$D$3:$D$12,MATCH(cadangan3[[#This Row],[Item C]],Katalog!$B$3:$B$12,0))*cadangan3[[#This Row],[Qty C]],0)</f>
        <v>0</v>
      </c>
      <c r="AD480" s="36">
        <f>IFERROR(cadangan3[[#This Row],[Harga Asli C]]-(cadangan3[[#This Row],[Harga Asli C]]*cadangan3[[#This Row],[Diskon]]),cadangan3[[#This Row],[Harga Asli C]])</f>
        <v>0</v>
      </c>
      <c r="AE480" s="36">
        <f>IFERROR(INDEX(Katalog!$F$3:$F$12,MATCH(cadangan3[[#This Row],[ItemID C]],Katalog!$C$3:$C$12,0))*cadangan3[[#This Row],[Qty C]],0)</f>
        <v>0</v>
      </c>
      <c r="AF480" s="36">
        <f>IFERROR(cadangan3[[#This Row],[Profit C]]-(cadangan3[[#This Row],[Profit C]]*cadangan3[[#This Row],[Diskon]]),cadangan3[[#This Row],[Profit C]])</f>
        <v>0</v>
      </c>
      <c r="AG480" s="21">
        <f>cadangan3[[#This Row],[Qty A]]+cadangan3[[#This Row],[Qty B]]+cadangan3[[#This Row],[Qty C]]</f>
        <v>4</v>
      </c>
      <c r="AH480" s="35">
        <f>cadangan3[[#This Row],[Harga A + Diskon]]+cadangan3[[#This Row],[Harga + Diskon B]]+cadangan3[[#This Row],[Harga + Diskon C]]</f>
        <v>1620000</v>
      </c>
      <c r="AI480" s="35">
        <f>(cadangan3[[#This Row],[Profit A]]+cadangan3[[#This Row],[Profit B]]+cadangan3[[#This Row],[Profit C]])</f>
        <v>700000</v>
      </c>
      <c r="AJ480" s="35">
        <f>cadangan3[[#This Row],[Provit A + Diskon]]+cadangan3[[#This Row],[Provit B + Diskon]]+cadangan3[[#This Row],[Provit C + Diskon]]</f>
        <v>630000</v>
      </c>
      <c r="AK480" s="23" t="s">
        <v>31</v>
      </c>
      <c r="AL480" s="37">
        <f>IFERROR(INDEX('Kode Diskon'!$D$3:$D$9,MATCH(cadangan3[[#This Row],[Kode diskon]],'Kode Diskon'!$C$3:$C$9,0)),"-")</f>
        <v>0.1</v>
      </c>
      <c r="AM480" s="23" t="s">
        <v>9</v>
      </c>
      <c r="AN480" s="23" t="s">
        <v>10</v>
      </c>
      <c r="AO480" s="23" t="s">
        <v>80</v>
      </c>
      <c r="AP480" s="24">
        <v>45043</v>
      </c>
      <c r="AQ480" s="23" t="str">
        <f>TEXT(cadangan3[[#This Row],[Tanggal terjual]],"dddd")</f>
        <v>Thursday</v>
      </c>
    </row>
    <row r="481" spans="1:43" x14ac:dyDescent="0.2">
      <c r="A481" s="20">
        <v>480</v>
      </c>
      <c r="B481" s="21" t="str">
        <f>_xlfn.CONCAT("ORD-",INDEX(Helper!$B$2:$B$5,MATCH(cadangan3[[#This Row],[Marketplace]],Helper!$A$2:$A$5,0)),TEXT(cadangan3[[#This Row],[No]],"0000"),"-",TEXT(cadangan3[[#This Row],[Tanggal terjual]],"dd/mm/yy"))</f>
        <v>ORD-TK0480-03/04/23</v>
      </c>
      <c r="C481" t="s">
        <v>65</v>
      </c>
      <c r="D481" t="str">
        <f>IFERROR(INDEX(Katalog!$A$3:$A$12,MATCH(cadangan3[[#This Row],[ItemID A]],Katalog!$C$3:$C$12,0)),"-")</f>
        <v>Sepatu Pria</v>
      </c>
      <c r="E481" t="str">
        <f>IFERROR(INDEX(Katalog!$B$3:$B$12,MATCH(cadangan3[[#This Row],[ItemID A]],Katalog!$C$3:$C$12,0)),"-")</f>
        <v>Sneakers</v>
      </c>
      <c r="F481">
        <v>2</v>
      </c>
      <c r="G481">
        <v>1</v>
      </c>
      <c r="H481" s="36">
        <f>IFERROR(INDEX(Katalog!$D$3:$D$12,MATCH(cadangan3[[#This Row],[ItemID A]],Katalog!$C$3:$C$12,0))*cadangan3[[#This Row],[Qty A]],0)</f>
        <v>1000000</v>
      </c>
      <c r="I481" s="36">
        <f>IFERROR(INDEX(Katalog!$D$3:$D$12,MATCH(cadangan3[[#This Row],[Item A]],Katalog!$B$3:$B$12,0))*cadangan3[[#This Row],[Qty A]],0)</f>
        <v>1000000</v>
      </c>
      <c r="J481" s="36">
        <f>IFERROR(cadangan3[[#This Row],[Harga Asli A]]-(cadangan3[[#This Row],[Harga Asli A]]*cadangan3[[#This Row],[Diskon]]),cadangan3[[#This Row],[Harga Asli A]])</f>
        <v>900000</v>
      </c>
      <c r="K481" s="36">
        <f>INDEX(Katalog!$F$3:$F$12,MATCH(cadangan3[[#This Row],[ItemID A]],Katalog!$C$3:$C$12,0))*cadangan3[[#This Row],[Qty A]]</f>
        <v>400000</v>
      </c>
      <c r="L481" s="36">
        <f>IFERROR(cadangan3[[#This Row],[Profit A]]-(cadangan3[[#This Row],[Profit A]]*cadangan3[[#This Row],[Diskon]]),K481)</f>
        <v>360000</v>
      </c>
      <c r="N481" t="str">
        <f>IFERROR(INDEX(Katalog!$A$3:$A$12,MATCH(cadangan3[[#This Row],[ItemID B]],Katalog!$C$3:$C$12,0)),"-")</f>
        <v>-</v>
      </c>
      <c r="O481" t="str">
        <f>IFERROR(INDEX(Katalog!$B$3:$B$12,MATCH(cadangan3[[#This Row],[ItemID B]],Katalog!$C$3:$C$12,0)),"-")</f>
        <v>-</v>
      </c>
      <c r="R481" s="36">
        <f>IFERROR(INDEX(Katalog!$D$3:$D$12,MATCH(cadangan3[[#This Row],[ItemID B]],Katalog!$C$3:$C$12,0))*cadangan3[[#This Row],[Qty B]],0)</f>
        <v>0</v>
      </c>
      <c r="S481" s="36">
        <f>IFERROR(INDEX(Katalog!$D$3:$D$12,MATCH(cadangan3[[#This Row],[Item B]],Katalog!$B$3:$B$12,0))*cadangan3[[#This Row],[Qty B]],0)</f>
        <v>0</v>
      </c>
      <c r="T481" s="36">
        <f>IFERROR(cadangan3[[#This Row],[Harga Asli B]]-(cadangan3[[#This Row],[Harga Asli B]]*cadangan3[[#This Row],[Diskon]]),cadangan3[[#This Row],[Harga Asli B]])</f>
        <v>0</v>
      </c>
      <c r="U481" s="36">
        <f>IFERROR(INDEX(Katalog!$F$3:$F$12,MATCH(cadangan3[[#This Row],[ItemID B]],Katalog!$C$3:$C$12,0))*cadangan3[[#This Row],[Qty B]],0)</f>
        <v>0</v>
      </c>
      <c r="V481" s="36">
        <f>IFERROR(cadangan3[[#This Row],[Profit B]]-(cadangan3[[#This Row],[Profit B]]*cadangan3[[#This Row],[Diskon]]),U481)</f>
        <v>0</v>
      </c>
      <c r="X481" t="str">
        <f>IFERROR(INDEX(Katalog!$A$3:$A$12,MATCH(cadangan3[[#This Row],[ItemID C]],Katalog!$C$3:$C$12,0)),"-")</f>
        <v>-</v>
      </c>
      <c r="Y481" t="str">
        <f>IFERROR(INDEX(Katalog!$B$3:$B$12,MATCH(cadangan3[[#This Row],[ItemID C]],Katalog!$C$3:$C$12,0)),"-")</f>
        <v>-</v>
      </c>
      <c r="AB481" s="36">
        <f>IFERROR(INDEX(Katalog!$D$3:$D$12,MATCH(cadangan3[[#This Row],[ItemID C]],Katalog!$C$3:$C$12,0))*cadangan3[[#This Row],[Qty C]],0)</f>
        <v>0</v>
      </c>
      <c r="AC481" s="36">
        <f>IFERROR(INDEX(Katalog!$D$3:$D$12,MATCH(cadangan3[[#This Row],[Item C]],Katalog!$B$3:$B$12,0))*cadangan3[[#This Row],[Qty C]],0)</f>
        <v>0</v>
      </c>
      <c r="AD481" s="36">
        <f>IFERROR(cadangan3[[#This Row],[Harga Asli C]]-(cadangan3[[#This Row],[Harga Asli C]]*cadangan3[[#This Row],[Diskon]]),cadangan3[[#This Row],[Harga Asli C]])</f>
        <v>0</v>
      </c>
      <c r="AE481" s="36">
        <f>IFERROR(INDEX(Katalog!$F$3:$F$12,MATCH(cadangan3[[#This Row],[ItemID C]],Katalog!$C$3:$C$12,0))*cadangan3[[#This Row],[Qty C]],0)</f>
        <v>0</v>
      </c>
      <c r="AF481" s="36">
        <f>IFERROR(cadangan3[[#This Row],[Profit C]]-(cadangan3[[#This Row],[Profit C]]*cadangan3[[#This Row],[Diskon]]),cadangan3[[#This Row],[Profit C]])</f>
        <v>0</v>
      </c>
      <c r="AG481" s="21">
        <f>cadangan3[[#This Row],[Qty A]]+cadangan3[[#This Row],[Qty B]]+cadangan3[[#This Row],[Qty C]]</f>
        <v>2</v>
      </c>
      <c r="AH481" s="35">
        <f>cadangan3[[#This Row],[Harga A + Diskon]]+cadangan3[[#This Row],[Harga + Diskon B]]+cadangan3[[#This Row],[Harga + Diskon C]]</f>
        <v>900000</v>
      </c>
      <c r="AI481" s="35">
        <f>(cadangan3[[#This Row],[Profit A]]+cadangan3[[#This Row],[Profit B]]+cadangan3[[#This Row],[Profit C]])</f>
        <v>400000</v>
      </c>
      <c r="AJ481" s="35">
        <f>cadangan3[[#This Row],[Provit A + Diskon]]+cadangan3[[#This Row],[Provit B + Diskon]]+cadangan3[[#This Row],[Provit C + Diskon]]</f>
        <v>360000</v>
      </c>
      <c r="AK481" s="23" t="s">
        <v>30</v>
      </c>
      <c r="AL481" s="37">
        <f>IFERROR(INDEX('Kode Diskon'!$D$3:$D$9,MATCH(cadangan3[[#This Row],[Kode diskon]],'Kode Diskon'!$C$3:$C$9,0)),"-")</f>
        <v>0.1</v>
      </c>
      <c r="AM481" s="23" t="s">
        <v>29</v>
      </c>
      <c r="AN481" s="23" t="s">
        <v>10</v>
      </c>
      <c r="AO481" s="23" t="s">
        <v>79</v>
      </c>
      <c r="AP481" s="24">
        <v>45019</v>
      </c>
      <c r="AQ481" s="23" t="str">
        <f>TEXT(cadangan3[[#This Row],[Tanggal terjual]],"dddd")</f>
        <v>Monday</v>
      </c>
    </row>
    <row r="482" spans="1:43" x14ac:dyDescent="0.2">
      <c r="A482" s="20">
        <v>481</v>
      </c>
      <c r="B482" s="21" t="str">
        <f>_xlfn.CONCAT("ORD-",INDEX(Helper!$B$2:$B$5,MATCH(cadangan3[[#This Row],[Marketplace]],Helper!$A$2:$A$5,0)),TEXT(cadangan3[[#This Row],[No]],"0000"),"-",TEXT(cadangan3[[#This Row],[Tanggal terjual]],"dd/mm/yy"))</f>
        <v>ORD-BB0481-06/04/23</v>
      </c>
      <c r="C482" t="s">
        <v>66</v>
      </c>
      <c r="D482" t="str">
        <f>IFERROR(INDEX(Katalog!$A$3:$A$12,MATCH(cadangan3[[#This Row],[ItemID A]],Katalog!$C$3:$C$12,0)),"-")</f>
        <v>Sepatu Pria</v>
      </c>
      <c r="E482" t="str">
        <f>IFERROR(INDEX(Katalog!$B$3:$B$12,MATCH(cadangan3[[#This Row],[ItemID A]],Katalog!$C$3:$C$12,0)),"-")</f>
        <v>Sandal Slip On</v>
      </c>
      <c r="F482">
        <v>2</v>
      </c>
      <c r="G482">
        <v>2</v>
      </c>
      <c r="H482" s="36">
        <f>IFERROR(INDEX(Katalog!$D$3:$D$12,MATCH(cadangan3[[#This Row],[ItemID A]],Katalog!$C$3:$C$12,0))*cadangan3[[#This Row],[Qty A]],0)</f>
        <v>300000</v>
      </c>
      <c r="I482" s="36">
        <f>IFERROR(INDEX(Katalog!$D$3:$D$12,MATCH(cadangan3[[#This Row],[Item A]],Katalog!$B$3:$B$12,0))*cadangan3[[#This Row],[Qty A]],0)</f>
        <v>300000</v>
      </c>
      <c r="J482" s="36">
        <f>IFERROR(cadangan3[[#This Row],[Harga Asli A]]-(cadangan3[[#This Row],[Harga Asli A]]*cadangan3[[#This Row],[Diskon]]),cadangan3[[#This Row],[Harga Asli A]])</f>
        <v>255000</v>
      </c>
      <c r="K482" s="36">
        <f>INDEX(Katalog!$F$3:$F$12,MATCH(cadangan3[[#This Row],[ItemID A]],Katalog!$C$3:$C$12,0))*cadangan3[[#This Row],[Qty A]]</f>
        <v>120000</v>
      </c>
      <c r="L482" s="36">
        <f>IFERROR(cadangan3[[#This Row],[Profit A]]-(cadangan3[[#This Row],[Profit A]]*cadangan3[[#This Row],[Diskon]]),K482)</f>
        <v>102000</v>
      </c>
      <c r="M482" t="s">
        <v>67</v>
      </c>
      <c r="N482" t="str">
        <f>IFERROR(INDEX(Katalog!$A$3:$A$12,MATCH(cadangan3[[#This Row],[ItemID B]],Katalog!$C$3:$C$12,0)),"-")</f>
        <v>Sepatu Wanita</v>
      </c>
      <c r="O482" t="str">
        <f>IFERROR(INDEX(Katalog!$B$3:$B$12,MATCH(cadangan3[[#This Row],[ItemID B]],Katalog!$C$3:$C$12,0)),"-")</f>
        <v>Flat Shoes</v>
      </c>
      <c r="P482">
        <v>2</v>
      </c>
      <c r="Q482">
        <v>2</v>
      </c>
      <c r="R482" s="36">
        <f>IFERROR(INDEX(Katalog!$D$3:$D$12,MATCH(cadangan3[[#This Row],[ItemID B]],Katalog!$C$3:$C$12,0))*cadangan3[[#This Row],[Qty B]],0)</f>
        <v>500000</v>
      </c>
      <c r="S482" s="36">
        <f>IFERROR(INDEX(Katalog!$D$3:$D$12,MATCH(cadangan3[[#This Row],[Item B]],Katalog!$B$3:$B$12,0))*cadangan3[[#This Row],[Qty B]],0)</f>
        <v>500000</v>
      </c>
      <c r="T482" s="36">
        <f>IFERROR(cadangan3[[#This Row],[Harga Asli B]]-(cadangan3[[#This Row],[Harga Asli B]]*cadangan3[[#This Row],[Diskon]]),cadangan3[[#This Row],[Harga Asli B]])</f>
        <v>425000</v>
      </c>
      <c r="U482" s="36">
        <f>IFERROR(INDEX(Katalog!$F$3:$F$12,MATCH(cadangan3[[#This Row],[ItemID B]],Katalog!$C$3:$C$12,0))*cadangan3[[#This Row],[Qty B]],0)</f>
        <v>200000</v>
      </c>
      <c r="V482" s="36">
        <f>IFERROR(cadangan3[[#This Row],[Profit B]]-(cadangan3[[#This Row],[Profit B]]*cadangan3[[#This Row],[Diskon]]),U482)</f>
        <v>170000</v>
      </c>
      <c r="W482" t="s">
        <v>65</v>
      </c>
      <c r="X482" t="str">
        <f>IFERROR(INDEX(Katalog!$A$3:$A$12,MATCH(cadangan3[[#This Row],[ItemID C]],Katalog!$C$3:$C$12,0)),"-")</f>
        <v>Sepatu Pria</v>
      </c>
      <c r="Y482" t="str">
        <f>IFERROR(INDEX(Katalog!$B$3:$B$12,MATCH(cadangan3[[#This Row],[ItemID C]],Katalog!$C$3:$C$12,0)),"-")</f>
        <v>Sneakers</v>
      </c>
      <c r="Z482">
        <v>1</v>
      </c>
      <c r="AA482">
        <v>1</v>
      </c>
      <c r="AB482" s="36">
        <f>IFERROR(INDEX(Katalog!$D$3:$D$12,MATCH(cadangan3[[#This Row],[ItemID C]],Katalog!$C$3:$C$12,0))*cadangan3[[#This Row],[Qty C]],0)</f>
        <v>500000</v>
      </c>
      <c r="AC482" s="36">
        <f>IFERROR(INDEX(Katalog!$D$3:$D$12,MATCH(cadangan3[[#This Row],[Item C]],Katalog!$B$3:$B$12,0))*cadangan3[[#This Row],[Qty C]],0)</f>
        <v>500000</v>
      </c>
      <c r="AD482" s="36">
        <f>IFERROR(cadangan3[[#This Row],[Harga Asli C]]-(cadangan3[[#This Row],[Harga Asli C]]*cadangan3[[#This Row],[Diskon]]),cadangan3[[#This Row],[Harga Asli C]])</f>
        <v>425000</v>
      </c>
      <c r="AE482" s="36">
        <f>IFERROR(INDEX(Katalog!$F$3:$F$12,MATCH(cadangan3[[#This Row],[ItemID C]],Katalog!$C$3:$C$12,0))*cadangan3[[#This Row],[Qty C]],0)</f>
        <v>200000</v>
      </c>
      <c r="AF482" s="36">
        <f>IFERROR(cadangan3[[#This Row],[Profit C]]-(cadangan3[[#This Row],[Profit C]]*cadangan3[[#This Row],[Diskon]]),cadangan3[[#This Row],[Profit C]])</f>
        <v>170000</v>
      </c>
      <c r="AG482" s="21">
        <f>cadangan3[[#This Row],[Qty A]]+cadangan3[[#This Row],[Qty B]]+cadangan3[[#This Row],[Qty C]]</f>
        <v>5</v>
      </c>
      <c r="AH482" s="35">
        <f>cadangan3[[#This Row],[Harga A + Diskon]]+cadangan3[[#This Row],[Harga + Diskon B]]+cadangan3[[#This Row],[Harga + Diskon C]]</f>
        <v>1105000</v>
      </c>
      <c r="AI482" s="35">
        <f>(cadangan3[[#This Row],[Profit A]]+cadangan3[[#This Row],[Profit B]]+cadangan3[[#This Row],[Profit C]])</f>
        <v>520000</v>
      </c>
      <c r="AJ482" s="35">
        <f>cadangan3[[#This Row],[Provit A + Diskon]]+cadangan3[[#This Row],[Provit B + Diskon]]+cadangan3[[#This Row],[Provit C + Diskon]]</f>
        <v>442000</v>
      </c>
      <c r="AK482" s="23" t="s">
        <v>28</v>
      </c>
      <c r="AL482" s="37">
        <f>IFERROR(INDEX('Kode Diskon'!$D$3:$D$9,MATCH(cadangan3[[#This Row],[Kode diskon]],'Kode Diskon'!$C$3:$C$9,0)),"-")</f>
        <v>0.15</v>
      </c>
      <c r="AM482" s="23" t="s">
        <v>29</v>
      </c>
      <c r="AN482" s="23" t="s">
        <v>14</v>
      </c>
      <c r="AO482" s="23" t="s">
        <v>80</v>
      </c>
      <c r="AP482" s="24">
        <v>45022</v>
      </c>
      <c r="AQ482" s="23" t="str">
        <f>TEXT(cadangan3[[#This Row],[Tanggal terjual]],"dddd")</f>
        <v>Thursday</v>
      </c>
    </row>
    <row r="483" spans="1:43" x14ac:dyDescent="0.2">
      <c r="A483" s="20">
        <v>482</v>
      </c>
      <c r="B483" s="21" t="str">
        <f>_xlfn.CONCAT("ORD-",INDEX(Helper!$B$2:$B$5,MATCH(cadangan3[[#This Row],[Marketplace]],Helper!$A$2:$A$5,0)),TEXT(cadangan3[[#This Row],[No]],"0000"),"-",TEXT(cadangan3[[#This Row],[Tanggal terjual]],"dd/mm/yy"))</f>
        <v>ORD-TK0482-25/04/23</v>
      </c>
      <c r="C483" t="s">
        <v>61</v>
      </c>
      <c r="D483" t="str">
        <f>IFERROR(INDEX(Katalog!$A$3:$A$12,MATCH(cadangan3[[#This Row],[ItemID A]],Katalog!$C$3:$C$12,0)),"-")</f>
        <v>Pakaian Pria</v>
      </c>
      <c r="E483" t="str">
        <f>IFERROR(INDEX(Katalog!$B$3:$B$12,MATCH(cadangan3[[#This Row],[ItemID A]],Katalog!$C$3:$C$12,0)),"-")</f>
        <v>Kaos Polo</v>
      </c>
      <c r="F483">
        <v>1</v>
      </c>
      <c r="G483">
        <v>3</v>
      </c>
      <c r="H483" s="36">
        <f>IFERROR(INDEX(Katalog!$D$3:$D$12,MATCH(cadangan3[[#This Row],[ItemID A]],Katalog!$C$3:$C$12,0))*cadangan3[[#This Row],[Qty A]],0)</f>
        <v>200000</v>
      </c>
      <c r="I483" s="36">
        <f>IFERROR(INDEX(Katalog!$D$3:$D$12,MATCH(cadangan3[[#This Row],[Item A]],Katalog!$B$3:$B$12,0))*cadangan3[[#This Row],[Qty A]],0)</f>
        <v>200000</v>
      </c>
      <c r="J483" s="36">
        <f>IFERROR(cadangan3[[#This Row],[Harga Asli A]]-(cadangan3[[#This Row],[Harga Asli A]]*cadangan3[[#This Row],[Diskon]]),cadangan3[[#This Row],[Harga Asli A]])</f>
        <v>180000</v>
      </c>
      <c r="K483" s="36">
        <f>INDEX(Katalog!$F$3:$F$12,MATCH(cadangan3[[#This Row],[ItemID A]],Katalog!$C$3:$C$12,0))*cadangan3[[#This Row],[Qty A]]</f>
        <v>80000</v>
      </c>
      <c r="L483" s="36">
        <f>IFERROR(cadangan3[[#This Row],[Profit A]]-(cadangan3[[#This Row],[Profit A]]*cadangan3[[#This Row],[Diskon]]),K483)</f>
        <v>72000</v>
      </c>
      <c r="N483" t="str">
        <f>IFERROR(INDEX(Katalog!$A$3:$A$12,MATCH(cadangan3[[#This Row],[ItemID B]],Katalog!$C$3:$C$12,0)),"-")</f>
        <v>-</v>
      </c>
      <c r="O483" t="str">
        <f>IFERROR(INDEX(Katalog!$B$3:$B$12,MATCH(cadangan3[[#This Row],[ItemID B]],Katalog!$C$3:$C$12,0)),"-")</f>
        <v>-</v>
      </c>
      <c r="R483" s="36">
        <f>IFERROR(INDEX(Katalog!$D$3:$D$12,MATCH(cadangan3[[#This Row],[ItemID B]],Katalog!$C$3:$C$12,0))*cadangan3[[#This Row],[Qty B]],0)</f>
        <v>0</v>
      </c>
      <c r="S483" s="36">
        <f>IFERROR(INDEX(Katalog!$D$3:$D$12,MATCH(cadangan3[[#This Row],[Item B]],Katalog!$B$3:$B$12,0))*cadangan3[[#This Row],[Qty B]],0)</f>
        <v>0</v>
      </c>
      <c r="T483" s="36">
        <f>IFERROR(cadangan3[[#This Row],[Harga Asli B]]-(cadangan3[[#This Row],[Harga Asli B]]*cadangan3[[#This Row],[Diskon]]),cadangan3[[#This Row],[Harga Asli B]])</f>
        <v>0</v>
      </c>
      <c r="U483" s="36">
        <f>IFERROR(INDEX(Katalog!$F$3:$F$12,MATCH(cadangan3[[#This Row],[ItemID B]],Katalog!$C$3:$C$12,0))*cadangan3[[#This Row],[Qty B]],0)</f>
        <v>0</v>
      </c>
      <c r="V483" s="36">
        <f>IFERROR(cadangan3[[#This Row],[Profit B]]-(cadangan3[[#This Row],[Profit B]]*cadangan3[[#This Row],[Diskon]]),U483)</f>
        <v>0</v>
      </c>
      <c r="X483" t="str">
        <f>IFERROR(INDEX(Katalog!$A$3:$A$12,MATCH(cadangan3[[#This Row],[ItemID C]],Katalog!$C$3:$C$12,0)),"-")</f>
        <v>-</v>
      </c>
      <c r="Y483" t="str">
        <f>IFERROR(INDEX(Katalog!$B$3:$B$12,MATCH(cadangan3[[#This Row],[ItemID C]],Katalog!$C$3:$C$12,0)),"-")</f>
        <v>-</v>
      </c>
      <c r="AB483" s="36">
        <f>IFERROR(INDEX(Katalog!$D$3:$D$12,MATCH(cadangan3[[#This Row],[ItemID C]],Katalog!$C$3:$C$12,0))*cadangan3[[#This Row],[Qty C]],0)</f>
        <v>0</v>
      </c>
      <c r="AC483" s="36">
        <f>IFERROR(INDEX(Katalog!$D$3:$D$12,MATCH(cadangan3[[#This Row],[Item C]],Katalog!$B$3:$B$12,0))*cadangan3[[#This Row],[Qty C]],0)</f>
        <v>0</v>
      </c>
      <c r="AD483" s="36">
        <f>IFERROR(cadangan3[[#This Row],[Harga Asli C]]-(cadangan3[[#This Row],[Harga Asli C]]*cadangan3[[#This Row],[Diskon]]),cadangan3[[#This Row],[Harga Asli C]])</f>
        <v>0</v>
      </c>
      <c r="AE483" s="36">
        <f>IFERROR(INDEX(Katalog!$F$3:$F$12,MATCH(cadangan3[[#This Row],[ItemID C]],Katalog!$C$3:$C$12,0))*cadangan3[[#This Row],[Qty C]],0)</f>
        <v>0</v>
      </c>
      <c r="AF483" s="36">
        <f>IFERROR(cadangan3[[#This Row],[Profit C]]-(cadangan3[[#This Row],[Profit C]]*cadangan3[[#This Row],[Diskon]]),cadangan3[[#This Row],[Profit C]])</f>
        <v>0</v>
      </c>
      <c r="AG483" s="21">
        <f>cadangan3[[#This Row],[Qty A]]+cadangan3[[#This Row],[Qty B]]+cadangan3[[#This Row],[Qty C]]</f>
        <v>1</v>
      </c>
      <c r="AH483" s="35">
        <f>cadangan3[[#This Row],[Harga A + Diskon]]+cadangan3[[#This Row],[Harga + Diskon B]]+cadangan3[[#This Row],[Harga + Diskon C]]</f>
        <v>180000</v>
      </c>
      <c r="AI483" s="35">
        <f>(cadangan3[[#This Row],[Profit A]]+cadangan3[[#This Row],[Profit B]]+cadangan3[[#This Row],[Profit C]])</f>
        <v>80000</v>
      </c>
      <c r="AJ483" s="35">
        <f>cadangan3[[#This Row],[Provit A + Diskon]]+cadangan3[[#This Row],[Provit B + Diskon]]+cadangan3[[#This Row],[Provit C + Diskon]]</f>
        <v>72000</v>
      </c>
      <c r="AK483" s="23" t="s">
        <v>31</v>
      </c>
      <c r="AL483" s="37">
        <f>IFERROR(INDEX('Kode Diskon'!$D$3:$D$9,MATCH(cadangan3[[#This Row],[Kode diskon]],'Kode Diskon'!$C$3:$C$9,0)),"-")</f>
        <v>0.1</v>
      </c>
      <c r="AM483" s="23" t="s">
        <v>9</v>
      </c>
      <c r="AN483" s="23" t="s">
        <v>10</v>
      </c>
      <c r="AO483" s="23" t="s">
        <v>76</v>
      </c>
      <c r="AP483" s="24">
        <v>45041</v>
      </c>
      <c r="AQ483" s="23" t="str">
        <f>TEXT(cadangan3[[#This Row],[Tanggal terjual]],"dddd")</f>
        <v>Tuesday</v>
      </c>
    </row>
    <row r="484" spans="1:43" x14ac:dyDescent="0.2">
      <c r="A484" s="20">
        <v>483</v>
      </c>
      <c r="B484" s="21" t="str">
        <f>_xlfn.CONCAT("ORD-",INDEX(Helper!$B$2:$B$5,MATCH(cadangan3[[#This Row],[Marketplace]],Helper!$A$2:$A$5,0)),TEXT(cadangan3[[#This Row],[No]],"0000"),"-",TEXT(cadangan3[[#This Row],[Tanggal terjual]],"dd/mm/yy"))</f>
        <v>ORD-TK0483-05/04/23</v>
      </c>
      <c r="C484" t="s">
        <v>61</v>
      </c>
      <c r="D484" t="str">
        <f>IFERROR(INDEX(Katalog!$A$3:$A$12,MATCH(cadangan3[[#This Row],[ItemID A]],Katalog!$C$3:$C$12,0)),"-")</f>
        <v>Pakaian Pria</v>
      </c>
      <c r="E484" t="str">
        <f>IFERROR(INDEX(Katalog!$B$3:$B$12,MATCH(cadangan3[[#This Row],[ItemID A]],Katalog!$C$3:$C$12,0)),"-")</f>
        <v>Kaos Polo</v>
      </c>
      <c r="F484">
        <v>3</v>
      </c>
      <c r="G484">
        <v>5</v>
      </c>
      <c r="H484" s="36">
        <f>IFERROR(INDEX(Katalog!$D$3:$D$12,MATCH(cadangan3[[#This Row],[ItemID A]],Katalog!$C$3:$C$12,0))*cadangan3[[#This Row],[Qty A]],0)</f>
        <v>600000</v>
      </c>
      <c r="I484" s="36">
        <f>IFERROR(INDEX(Katalog!$D$3:$D$12,MATCH(cadangan3[[#This Row],[Item A]],Katalog!$B$3:$B$12,0))*cadangan3[[#This Row],[Qty A]],0)</f>
        <v>600000</v>
      </c>
      <c r="J484" s="36">
        <f>IFERROR(cadangan3[[#This Row],[Harga Asli A]]-(cadangan3[[#This Row],[Harga Asli A]]*cadangan3[[#This Row],[Diskon]]),cadangan3[[#This Row],[Harga Asli A]])</f>
        <v>540000</v>
      </c>
      <c r="K484" s="36">
        <f>INDEX(Katalog!$F$3:$F$12,MATCH(cadangan3[[#This Row],[ItemID A]],Katalog!$C$3:$C$12,0))*cadangan3[[#This Row],[Qty A]]</f>
        <v>240000</v>
      </c>
      <c r="L484" s="36">
        <f>IFERROR(cadangan3[[#This Row],[Profit A]]-(cadangan3[[#This Row],[Profit A]]*cadangan3[[#This Row],[Diskon]]),K484)</f>
        <v>216000</v>
      </c>
      <c r="M484" t="s">
        <v>60</v>
      </c>
      <c r="N484" t="str">
        <f>IFERROR(INDEX(Katalog!$A$3:$A$12,MATCH(cadangan3[[#This Row],[ItemID B]],Katalog!$C$3:$C$12,0)),"-")</f>
        <v>Pakaian Wanita</v>
      </c>
      <c r="O484" t="str">
        <f>IFERROR(INDEX(Katalog!$B$3:$B$12,MATCH(cadangan3[[#This Row],[ItemID B]],Katalog!$C$3:$C$12,0)),"-")</f>
        <v>Kaftan</v>
      </c>
      <c r="P484">
        <v>4</v>
      </c>
      <c r="Q484">
        <v>1</v>
      </c>
      <c r="R484" s="36">
        <f>IFERROR(INDEX(Katalog!$D$3:$D$12,MATCH(cadangan3[[#This Row],[ItemID B]],Katalog!$C$3:$C$12,0))*cadangan3[[#This Row],[Qty B]],0)</f>
        <v>1000000</v>
      </c>
      <c r="S484" s="36">
        <f>IFERROR(INDEX(Katalog!$D$3:$D$12,MATCH(cadangan3[[#This Row],[Item B]],Katalog!$B$3:$B$12,0))*cadangan3[[#This Row],[Qty B]],0)</f>
        <v>1000000</v>
      </c>
      <c r="T484" s="36">
        <f>IFERROR(cadangan3[[#This Row],[Harga Asli B]]-(cadangan3[[#This Row],[Harga Asli B]]*cadangan3[[#This Row],[Diskon]]),cadangan3[[#This Row],[Harga Asli B]])</f>
        <v>900000</v>
      </c>
      <c r="U484" s="36">
        <f>IFERROR(INDEX(Katalog!$F$3:$F$12,MATCH(cadangan3[[#This Row],[ItemID B]],Katalog!$C$3:$C$12,0))*cadangan3[[#This Row],[Qty B]],0)</f>
        <v>400000</v>
      </c>
      <c r="V484" s="36">
        <f>IFERROR(cadangan3[[#This Row],[Profit B]]-(cadangan3[[#This Row],[Profit B]]*cadangan3[[#This Row],[Diskon]]),U484)</f>
        <v>360000</v>
      </c>
      <c r="X484" t="str">
        <f>IFERROR(INDEX(Katalog!$A$3:$A$12,MATCH(cadangan3[[#This Row],[ItemID C]],Katalog!$C$3:$C$12,0)),"-")</f>
        <v>-</v>
      </c>
      <c r="Y484" t="str">
        <f>IFERROR(INDEX(Katalog!$B$3:$B$12,MATCH(cadangan3[[#This Row],[ItemID C]],Katalog!$C$3:$C$12,0)),"-")</f>
        <v>-</v>
      </c>
      <c r="AB484" s="36">
        <f>IFERROR(INDEX(Katalog!$D$3:$D$12,MATCH(cadangan3[[#This Row],[ItemID C]],Katalog!$C$3:$C$12,0))*cadangan3[[#This Row],[Qty C]],0)</f>
        <v>0</v>
      </c>
      <c r="AC484" s="36">
        <f>IFERROR(INDEX(Katalog!$D$3:$D$12,MATCH(cadangan3[[#This Row],[Item C]],Katalog!$B$3:$B$12,0))*cadangan3[[#This Row],[Qty C]],0)</f>
        <v>0</v>
      </c>
      <c r="AD484" s="36">
        <f>IFERROR(cadangan3[[#This Row],[Harga Asli C]]-(cadangan3[[#This Row],[Harga Asli C]]*cadangan3[[#This Row],[Diskon]]),cadangan3[[#This Row],[Harga Asli C]])</f>
        <v>0</v>
      </c>
      <c r="AE484" s="36">
        <f>IFERROR(INDEX(Katalog!$F$3:$F$12,MATCH(cadangan3[[#This Row],[ItemID C]],Katalog!$C$3:$C$12,0))*cadangan3[[#This Row],[Qty C]],0)</f>
        <v>0</v>
      </c>
      <c r="AF484" s="36">
        <f>IFERROR(cadangan3[[#This Row],[Profit C]]-(cadangan3[[#This Row],[Profit C]]*cadangan3[[#This Row],[Diskon]]),cadangan3[[#This Row],[Profit C]])</f>
        <v>0</v>
      </c>
      <c r="AG484" s="21">
        <f>cadangan3[[#This Row],[Qty A]]+cadangan3[[#This Row],[Qty B]]+cadangan3[[#This Row],[Qty C]]</f>
        <v>7</v>
      </c>
      <c r="AH484" s="35">
        <f>cadangan3[[#This Row],[Harga A + Diskon]]+cadangan3[[#This Row],[Harga + Diskon B]]+cadangan3[[#This Row],[Harga + Diskon C]]</f>
        <v>1440000</v>
      </c>
      <c r="AI484" s="35">
        <f>(cadangan3[[#This Row],[Profit A]]+cadangan3[[#This Row],[Profit B]]+cadangan3[[#This Row],[Profit C]])</f>
        <v>640000</v>
      </c>
      <c r="AJ484" s="35">
        <f>cadangan3[[#This Row],[Provit A + Diskon]]+cadangan3[[#This Row],[Provit B + Diskon]]+cadangan3[[#This Row],[Provit C + Diskon]]</f>
        <v>576000</v>
      </c>
      <c r="AK484" s="23" t="s">
        <v>30</v>
      </c>
      <c r="AL484" s="37">
        <f>IFERROR(INDEX('Kode Diskon'!$D$3:$D$9,MATCH(cadangan3[[#This Row],[Kode diskon]],'Kode Diskon'!$C$3:$C$9,0)),"-")</f>
        <v>0.1</v>
      </c>
      <c r="AM484" s="23" t="s">
        <v>29</v>
      </c>
      <c r="AN484" s="23" t="s">
        <v>10</v>
      </c>
      <c r="AO484" s="23" t="s">
        <v>80</v>
      </c>
      <c r="AP484" s="24">
        <v>45021</v>
      </c>
      <c r="AQ484" s="23" t="str">
        <f>TEXT(cadangan3[[#This Row],[Tanggal terjual]],"dddd")</f>
        <v>Wednesday</v>
      </c>
    </row>
    <row r="485" spans="1:43" x14ac:dyDescent="0.2">
      <c r="A485" s="20">
        <v>484</v>
      </c>
      <c r="B485" s="21" t="str">
        <f>_xlfn.CONCAT("ORD-",INDEX(Helper!$B$2:$B$5,MATCH(cadangan3[[#This Row],[Marketplace]],Helper!$A$2:$A$5,0)),TEXT(cadangan3[[#This Row],[No]],"0000"),"-",TEXT(cadangan3[[#This Row],[Tanggal terjual]],"dd/mm/yy"))</f>
        <v>ORD-TK0484-03/04/23</v>
      </c>
      <c r="C485" t="s">
        <v>61</v>
      </c>
      <c r="D485" t="str">
        <f>IFERROR(INDEX(Katalog!$A$3:$A$12,MATCH(cadangan3[[#This Row],[ItemID A]],Katalog!$C$3:$C$12,0)),"-")</f>
        <v>Pakaian Pria</v>
      </c>
      <c r="E485" t="str">
        <f>IFERROR(INDEX(Katalog!$B$3:$B$12,MATCH(cadangan3[[#This Row],[ItemID A]],Katalog!$C$3:$C$12,0)),"-")</f>
        <v>Kaos Polo</v>
      </c>
      <c r="F485">
        <v>1</v>
      </c>
      <c r="G485">
        <v>3</v>
      </c>
      <c r="H485" s="36">
        <f>IFERROR(INDEX(Katalog!$D$3:$D$12,MATCH(cadangan3[[#This Row],[ItemID A]],Katalog!$C$3:$C$12,0))*cadangan3[[#This Row],[Qty A]],0)</f>
        <v>200000</v>
      </c>
      <c r="I485" s="36">
        <f>IFERROR(INDEX(Katalog!$D$3:$D$12,MATCH(cadangan3[[#This Row],[Item A]],Katalog!$B$3:$B$12,0))*cadangan3[[#This Row],[Qty A]],0)</f>
        <v>200000</v>
      </c>
      <c r="J485" s="36">
        <f>IFERROR(cadangan3[[#This Row],[Harga Asli A]]-(cadangan3[[#This Row],[Harga Asli A]]*cadangan3[[#This Row],[Diskon]]),cadangan3[[#This Row],[Harga Asli A]])</f>
        <v>180000</v>
      </c>
      <c r="K485" s="36">
        <f>INDEX(Katalog!$F$3:$F$12,MATCH(cadangan3[[#This Row],[ItemID A]],Katalog!$C$3:$C$12,0))*cadangan3[[#This Row],[Qty A]]</f>
        <v>80000</v>
      </c>
      <c r="L485" s="36">
        <f>IFERROR(cadangan3[[#This Row],[Profit A]]-(cadangan3[[#This Row],[Profit A]]*cadangan3[[#This Row],[Diskon]]),K485)</f>
        <v>72000</v>
      </c>
      <c r="N485" t="str">
        <f>IFERROR(INDEX(Katalog!$A$3:$A$12,MATCH(cadangan3[[#This Row],[ItemID B]],Katalog!$C$3:$C$12,0)),"-")</f>
        <v>-</v>
      </c>
      <c r="O485" t="str">
        <f>IFERROR(INDEX(Katalog!$B$3:$B$12,MATCH(cadangan3[[#This Row],[ItemID B]],Katalog!$C$3:$C$12,0)),"-")</f>
        <v>-</v>
      </c>
      <c r="R485" s="36">
        <f>IFERROR(INDEX(Katalog!$D$3:$D$12,MATCH(cadangan3[[#This Row],[ItemID B]],Katalog!$C$3:$C$12,0))*cadangan3[[#This Row],[Qty B]],0)</f>
        <v>0</v>
      </c>
      <c r="S485" s="36">
        <f>IFERROR(INDEX(Katalog!$D$3:$D$12,MATCH(cadangan3[[#This Row],[Item B]],Katalog!$B$3:$B$12,0))*cadangan3[[#This Row],[Qty B]],0)</f>
        <v>0</v>
      </c>
      <c r="T485" s="36">
        <f>IFERROR(cadangan3[[#This Row],[Harga Asli B]]-(cadangan3[[#This Row],[Harga Asli B]]*cadangan3[[#This Row],[Diskon]]),cadangan3[[#This Row],[Harga Asli B]])</f>
        <v>0</v>
      </c>
      <c r="U485" s="36">
        <f>IFERROR(INDEX(Katalog!$F$3:$F$12,MATCH(cadangan3[[#This Row],[ItemID B]],Katalog!$C$3:$C$12,0))*cadangan3[[#This Row],[Qty B]],0)</f>
        <v>0</v>
      </c>
      <c r="V485" s="36">
        <f>IFERROR(cadangan3[[#This Row],[Profit B]]-(cadangan3[[#This Row],[Profit B]]*cadangan3[[#This Row],[Diskon]]),U485)</f>
        <v>0</v>
      </c>
      <c r="X485" t="str">
        <f>IFERROR(INDEX(Katalog!$A$3:$A$12,MATCH(cadangan3[[#This Row],[ItemID C]],Katalog!$C$3:$C$12,0)),"-")</f>
        <v>-</v>
      </c>
      <c r="Y485" t="str">
        <f>IFERROR(INDEX(Katalog!$B$3:$B$12,MATCH(cadangan3[[#This Row],[ItemID C]],Katalog!$C$3:$C$12,0)),"-")</f>
        <v>-</v>
      </c>
      <c r="AB485" s="36">
        <f>IFERROR(INDEX(Katalog!$D$3:$D$12,MATCH(cadangan3[[#This Row],[ItemID C]],Katalog!$C$3:$C$12,0))*cadangan3[[#This Row],[Qty C]],0)</f>
        <v>0</v>
      </c>
      <c r="AC485" s="36">
        <f>IFERROR(INDEX(Katalog!$D$3:$D$12,MATCH(cadangan3[[#This Row],[Item C]],Katalog!$B$3:$B$12,0))*cadangan3[[#This Row],[Qty C]],0)</f>
        <v>0</v>
      </c>
      <c r="AD485" s="36">
        <f>IFERROR(cadangan3[[#This Row],[Harga Asli C]]-(cadangan3[[#This Row],[Harga Asli C]]*cadangan3[[#This Row],[Diskon]]),cadangan3[[#This Row],[Harga Asli C]])</f>
        <v>0</v>
      </c>
      <c r="AE485" s="36">
        <f>IFERROR(INDEX(Katalog!$F$3:$F$12,MATCH(cadangan3[[#This Row],[ItemID C]],Katalog!$C$3:$C$12,0))*cadangan3[[#This Row],[Qty C]],0)</f>
        <v>0</v>
      </c>
      <c r="AF485" s="36">
        <f>IFERROR(cadangan3[[#This Row],[Profit C]]-(cadangan3[[#This Row],[Profit C]]*cadangan3[[#This Row],[Diskon]]),cadangan3[[#This Row],[Profit C]])</f>
        <v>0</v>
      </c>
      <c r="AG485" s="21">
        <f>cadangan3[[#This Row],[Qty A]]+cadangan3[[#This Row],[Qty B]]+cadangan3[[#This Row],[Qty C]]</f>
        <v>1</v>
      </c>
      <c r="AH485" s="35">
        <f>cadangan3[[#This Row],[Harga A + Diskon]]+cadangan3[[#This Row],[Harga + Diskon B]]+cadangan3[[#This Row],[Harga + Diskon C]]</f>
        <v>180000</v>
      </c>
      <c r="AI485" s="35">
        <f>(cadangan3[[#This Row],[Profit A]]+cadangan3[[#This Row],[Profit B]]+cadangan3[[#This Row],[Profit C]])</f>
        <v>80000</v>
      </c>
      <c r="AJ485" s="35">
        <f>cadangan3[[#This Row],[Provit A + Diskon]]+cadangan3[[#This Row],[Provit B + Diskon]]+cadangan3[[#This Row],[Provit C + Diskon]]</f>
        <v>72000</v>
      </c>
      <c r="AK485" s="23" t="s">
        <v>30</v>
      </c>
      <c r="AL485" s="37">
        <f>IFERROR(INDEX('Kode Diskon'!$D$3:$D$9,MATCH(cadangan3[[#This Row],[Kode diskon]],'Kode Diskon'!$C$3:$C$9,0)),"-")</f>
        <v>0.1</v>
      </c>
      <c r="AM485" s="23" t="s">
        <v>29</v>
      </c>
      <c r="AN485" s="23" t="s">
        <v>10</v>
      </c>
      <c r="AO485" s="23" t="s">
        <v>80</v>
      </c>
      <c r="AP485" s="24">
        <v>45019</v>
      </c>
      <c r="AQ485" s="23" t="str">
        <f>TEXT(cadangan3[[#This Row],[Tanggal terjual]],"dddd")</f>
        <v>Monday</v>
      </c>
    </row>
    <row r="486" spans="1:43" x14ac:dyDescent="0.2">
      <c r="A486" s="20">
        <v>485</v>
      </c>
      <c r="B486" s="21" t="str">
        <f>_xlfn.CONCAT("ORD-",INDEX(Helper!$B$2:$B$5,MATCH(cadangan3[[#This Row],[Marketplace]],Helper!$A$2:$A$5,0)),TEXT(cadangan3[[#This Row],[No]],"0000"),"-",TEXT(cadangan3[[#This Row],[Tanggal terjual]],"dd/mm/yy"))</f>
        <v>ORD-TK0485-03/04/23</v>
      </c>
      <c r="C486" t="s">
        <v>65</v>
      </c>
      <c r="D486" t="str">
        <f>IFERROR(INDEX(Katalog!$A$3:$A$12,MATCH(cadangan3[[#This Row],[ItemID A]],Katalog!$C$3:$C$12,0)),"-")</f>
        <v>Sepatu Pria</v>
      </c>
      <c r="E486" t="str">
        <f>IFERROR(INDEX(Katalog!$B$3:$B$12,MATCH(cadangan3[[#This Row],[ItemID A]],Katalog!$C$3:$C$12,0)),"-")</f>
        <v>Sneakers</v>
      </c>
      <c r="F486">
        <v>2</v>
      </c>
      <c r="G486">
        <v>4</v>
      </c>
      <c r="H486" s="36">
        <f>IFERROR(INDEX(Katalog!$D$3:$D$12,MATCH(cadangan3[[#This Row],[ItemID A]],Katalog!$C$3:$C$12,0))*cadangan3[[#This Row],[Qty A]],0)</f>
        <v>1000000</v>
      </c>
      <c r="I486" s="36">
        <f>IFERROR(INDEX(Katalog!$D$3:$D$12,MATCH(cadangan3[[#This Row],[Item A]],Katalog!$B$3:$B$12,0))*cadangan3[[#This Row],[Qty A]],0)</f>
        <v>1000000</v>
      </c>
      <c r="J486" s="36">
        <f>IFERROR(cadangan3[[#This Row],[Harga Asli A]]-(cadangan3[[#This Row],[Harga Asli A]]*cadangan3[[#This Row],[Diskon]]),cadangan3[[#This Row],[Harga Asli A]])</f>
        <v>900000</v>
      </c>
      <c r="K486" s="36">
        <f>INDEX(Katalog!$F$3:$F$12,MATCH(cadangan3[[#This Row],[ItemID A]],Katalog!$C$3:$C$12,0))*cadangan3[[#This Row],[Qty A]]</f>
        <v>400000</v>
      </c>
      <c r="L486" s="36">
        <f>IFERROR(cadangan3[[#This Row],[Profit A]]-(cadangan3[[#This Row],[Profit A]]*cadangan3[[#This Row],[Diskon]]),K486)</f>
        <v>360000</v>
      </c>
      <c r="N486" t="str">
        <f>IFERROR(INDEX(Katalog!$A$3:$A$12,MATCH(cadangan3[[#This Row],[ItemID B]],Katalog!$C$3:$C$12,0)),"-")</f>
        <v>-</v>
      </c>
      <c r="O486" t="str">
        <f>IFERROR(INDEX(Katalog!$B$3:$B$12,MATCH(cadangan3[[#This Row],[ItemID B]],Katalog!$C$3:$C$12,0)),"-")</f>
        <v>-</v>
      </c>
      <c r="R486" s="36">
        <f>IFERROR(INDEX(Katalog!$D$3:$D$12,MATCH(cadangan3[[#This Row],[ItemID B]],Katalog!$C$3:$C$12,0))*cadangan3[[#This Row],[Qty B]],0)</f>
        <v>0</v>
      </c>
      <c r="S486" s="36">
        <f>IFERROR(INDEX(Katalog!$D$3:$D$12,MATCH(cadangan3[[#This Row],[Item B]],Katalog!$B$3:$B$12,0))*cadangan3[[#This Row],[Qty B]],0)</f>
        <v>0</v>
      </c>
      <c r="T486" s="36">
        <f>IFERROR(cadangan3[[#This Row],[Harga Asli B]]-(cadangan3[[#This Row],[Harga Asli B]]*cadangan3[[#This Row],[Diskon]]),cadangan3[[#This Row],[Harga Asli B]])</f>
        <v>0</v>
      </c>
      <c r="U486" s="36">
        <f>IFERROR(INDEX(Katalog!$F$3:$F$12,MATCH(cadangan3[[#This Row],[ItemID B]],Katalog!$C$3:$C$12,0))*cadangan3[[#This Row],[Qty B]],0)</f>
        <v>0</v>
      </c>
      <c r="V486" s="36">
        <f>IFERROR(cadangan3[[#This Row],[Profit B]]-(cadangan3[[#This Row],[Profit B]]*cadangan3[[#This Row],[Diskon]]),U486)</f>
        <v>0</v>
      </c>
      <c r="X486" t="str">
        <f>IFERROR(INDEX(Katalog!$A$3:$A$12,MATCH(cadangan3[[#This Row],[ItemID C]],Katalog!$C$3:$C$12,0)),"-")</f>
        <v>-</v>
      </c>
      <c r="Y486" t="str">
        <f>IFERROR(INDEX(Katalog!$B$3:$B$12,MATCH(cadangan3[[#This Row],[ItemID C]],Katalog!$C$3:$C$12,0)),"-")</f>
        <v>-</v>
      </c>
      <c r="AB486" s="36">
        <f>IFERROR(INDEX(Katalog!$D$3:$D$12,MATCH(cadangan3[[#This Row],[ItemID C]],Katalog!$C$3:$C$12,0))*cadangan3[[#This Row],[Qty C]],0)</f>
        <v>0</v>
      </c>
      <c r="AC486" s="36">
        <f>IFERROR(INDEX(Katalog!$D$3:$D$12,MATCH(cadangan3[[#This Row],[Item C]],Katalog!$B$3:$B$12,0))*cadangan3[[#This Row],[Qty C]],0)</f>
        <v>0</v>
      </c>
      <c r="AD486" s="36">
        <f>IFERROR(cadangan3[[#This Row],[Harga Asli C]]-(cadangan3[[#This Row],[Harga Asli C]]*cadangan3[[#This Row],[Diskon]]),cadangan3[[#This Row],[Harga Asli C]])</f>
        <v>0</v>
      </c>
      <c r="AE486" s="36">
        <f>IFERROR(INDEX(Katalog!$F$3:$F$12,MATCH(cadangan3[[#This Row],[ItemID C]],Katalog!$C$3:$C$12,0))*cadangan3[[#This Row],[Qty C]],0)</f>
        <v>0</v>
      </c>
      <c r="AF486" s="36">
        <f>IFERROR(cadangan3[[#This Row],[Profit C]]-(cadangan3[[#This Row],[Profit C]]*cadangan3[[#This Row],[Diskon]]),cadangan3[[#This Row],[Profit C]])</f>
        <v>0</v>
      </c>
      <c r="AG486" s="21">
        <f>cadangan3[[#This Row],[Qty A]]+cadangan3[[#This Row],[Qty B]]+cadangan3[[#This Row],[Qty C]]</f>
        <v>2</v>
      </c>
      <c r="AH486" s="35">
        <f>cadangan3[[#This Row],[Harga A + Diskon]]+cadangan3[[#This Row],[Harga + Diskon B]]+cadangan3[[#This Row],[Harga + Diskon C]]</f>
        <v>900000</v>
      </c>
      <c r="AI486" s="35">
        <f>(cadangan3[[#This Row],[Profit A]]+cadangan3[[#This Row],[Profit B]]+cadangan3[[#This Row],[Profit C]])</f>
        <v>400000</v>
      </c>
      <c r="AJ486" s="35">
        <f>cadangan3[[#This Row],[Provit A + Diskon]]+cadangan3[[#This Row],[Provit B + Diskon]]+cadangan3[[#This Row],[Provit C + Diskon]]</f>
        <v>360000</v>
      </c>
      <c r="AK486" s="23" t="s">
        <v>30</v>
      </c>
      <c r="AL486" s="37">
        <f>IFERROR(INDEX('Kode Diskon'!$D$3:$D$9,MATCH(cadangan3[[#This Row],[Kode diskon]],'Kode Diskon'!$C$3:$C$9,0)),"-")</f>
        <v>0.1</v>
      </c>
      <c r="AM486" s="23" t="s">
        <v>29</v>
      </c>
      <c r="AN486" s="23" t="s">
        <v>10</v>
      </c>
      <c r="AO486" s="23" t="s">
        <v>77</v>
      </c>
      <c r="AP486" s="24">
        <v>45019</v>
      </c>
      <c r="AQ486" s="23" t="str">
        <f>TEXT(cadangan3[[#This Row],[Tanggal terjual]],"dddd")</f>
        <v>Monday</v>
      </c>
    </row>
    <row r="487" spans="1:43" x14ac:dyDescent="0.2">
      <c r="A487" s="20">
        <v>486</v>
      </c>
      <c r="B487" s="21" t="str">
        <f>_xlfn.CONCAT("ORD-",INDEX(Helper!$B$2:$B$5,MATCH(cadangan3[[#This Row],[Marketplace]],Helper!$A$2:$A$5,0)),TEXT(cadangan3[[#This Row],[No]],"0000"),"-",TEXT(cadangan3[[#This Row],[Tanggal terjual]],"dd/mm/yy"))</f>
        <v>ORD-SP0486-13/04/23</v>
      </c>
      <c r="C487" t="s">
        <v>59</v>
      </c>
      <c r="D487" t="str">
        <f>IFERROR(INDEX(Katalog!$A$3:$A$12,MATCH(cadangan3[[#This Row],[ItemID A]],Katalog!$C$3:$C$12,0)),"-")</f>
        <v>Pakaian Wanita</v>
      </c>
      <c r="E487" t="str">
        <f>IFERROR(INDEX(Katalog!$B$3:$B$12,MATCH(cadangan3[[#This Row],[ItemID A]],Katalog!$C$3:$C$12,0)),"-")</f>
        <v>Blouse</v>
      </c>
      <c r="F487">
        <v>2</v>
      </c>
      <c r="G487">
        <v>4</v>
      </c>
      <c r="H487" s="36">
        <f>IFERROR(INDEX(Katalog!$D$3:$D$12,MATCH(cadangan3[[#This Row],[ItemID A]],Katalog!$C$3:$C$12,0))*cadangan3[[#This Row],[Qty A]],0)</f>
        <v>300000</v>
      </c>
      <c r="I487" s="36">
        <f>IFERROR(INDEX(Katalog!$D$3:$D$12,MATCH(cadangan3[[#This Row],[Item A]],Katalog!$B$3:$B$12,0))*cadangan3[[#This Row],[Qty A]],0)</f>
        <v>300000</v>
      </c>
      <c r="J487" s="36">
        <f>IFERROR(cadangan3[[#This Row],[Harga Asli A]]-(cadangan3[[#This Row],[Harga Asli A]]*cadangan3[[#This Row],[Diskon]]),cadangan3[[#This Row],[Harga Asli A]])</f>
        <v>300000</v>
      </c>
      <c r="K487" s="36">
        <f>INDEX(Katalog!$F$3:$F$12,MATCH(cadangan3[[#This Row],[ItemID A]],Katalog!$C$3:$C$12,0))*cadangan3[[#This Row],[Qty A]]</f>
        <v>100000</v>
      </c>
      <c r="L487" s="36">
        <f>IFERROR(cadangan3[[#This Row],[Profit A]]-(cadangan3[[#This Row],[Profit A]]*cadangan3[[#This Row],[Diskon]]),K487)</f>
        <v>100000</v>
      </c>
      <c r="M487" t="s">
        <v>67</v>
      </c>
      <c r="N487" t="str">
        <f>IFERROR(INDEX(Katalog!$A$3:$A$12,MATCH(cadangan3[[#This Row],[ItemID B]],Katalog!$C$3:$C$12,0)),"-")</f>
        <v>Sepatu Wanita</v>
      </c>
      <c r="O487" t="str">
        <f>IFERROR(INDEX(Katalog!$B$3:$B$12,MATCH(cadangan3[[#This Row],[ItemID B]],Katalog!$C$3:$C$12,0)),"-")</f>
        <v>Flat Shoes</v>
      </c>
      <c r="P487">
        <v>2</v>
      </c>
      <c r="Q487">
        <v>4</v>
      </c>
      <c r="R487" s="36">
        <f>IFERROR(INDEX(Katalog!$D$3:$D$12,MATCH(cadangan3[[#This Row],[ItemID B]],Katalog!$C$3:$C$12,0))*cadangan3[[#This Row],[Qty B]],0)</f>
        <v>500000</v>
      </c>
      <c r="S487" s="36">
        <f>IFERROR(INDEX(Katalog!$D$3:$D$12,MATCH(cadangan3[[#This Row],[Item B]],Katalog!$B$3:$B$12,0))*cadangan3[[#This Row],[Qty B]],0)</f>
        <v>500000</v>
      </c>
      <c r="T487" s="36">
        <f>IFERROR(cadangan3[[#This Row],[Harga Asli B]]-(cadangan3[[#This Row],[Harga Asli B]]*cadangan3[[#This Row],[Diskon]]),cadangan3[[#This Row],[Harga Asli B]])</f>
        <v>500000</v>
      </c>
      <c r="U487" s="36">
        <f>IFERROR(INDEX(Katalog!$F$3:$F$12,MATCH(cadangan3[[#This Row],[ItemID B]],Katalog!$C$3:$C$12,0))*cadangan3[[#This Row],[Qty B]],0)</f>
        <v>200000</v>
      </c>
      <c r="V487" s="36">
        <f>IFERROR(cadangan3[[#This Row],[Profit B]]-(cadangan3[[#This Row],[Profit B]]*cadangan3[[#This Row],[Diskon]]),U487)</f>
        <v>200000</v>
      </c>
      <c r="W487" t="s">
        <v>59</v>
      </c>
      <c r="X487" t="str">
        <f>IFERROR(INDEX(Katalog!$A$3:$A$12,MATCH(cadangan3[[#This Row],[ItemID C]],Katalog!$C$3:$C$12,0)),"-")</f>
        <v>Pakaian Wanita</v>
      </c>
      <c r="Y487" t="str">
        <f>IFERROR(INDEX(Katalog!$B$3:$B$12,MATCH(cadangan3[[#This Row],[ItemID C]],Katalog!$C$3:$C$12,0)),"-")</f>
        <v>Blouse</v>
      </c>
      <c r="Z487">
        <v>2</v>
      </c>
      <c r="AA487">
        <v>2</v>
      </c>
      <c r="AB487" s="36">
        <f>IFERROR(INDEX(Katalog!$D$3:$D$12,MATCH(cadangan3[[#This Row],[ItemID C]],Katalog!$C$3:$C$12,0))*cadangan3[[#This Row],[Qty C]],0)</f>
        <v>300000</v>
      </c>
      <c r="AC487" s="36">
        <f>IFERROR(INDEX(Katalog!$D$3:$D$12,MATCH(cadangan3[[#This Row],[Item C]],Katalog!$B$3:$B$12,0))*cadangan3[[#This Row],[Qty C]],0)</f>
        <v>300000</v>
      </c>
      <c r="AD487" s="36">
        <f>IFERROR(cadangan3[[#This Row],[Harga Asli C]]-(cadangan3[[#This Row],[Harga Asli C]]*cadangan3[[#This Row],[Diskon]]),cadangan3[[#This Row],[Harga Asli C]])</f>
        <v>300000</v>
      </c>
      <c r="AE487" s="36">
        <f>IFERROR(INDEX(Katalog!$F$3:$F$12,MATCH(cadangan3[[#This Row],[ItemID C]],Katalog!$C$3:$C$12,0))*cadangan3[[#This Row],[Qty C]],0)</f>
        <v>100000</v>
      </c>
      <c r="AF487" s="36">
        <f>IFERROR(cadangan3[[#This Row],[Profit C]]-(cadangan3[[#This Row],[Profit C]]*cadangan3[[#This Row],[Diskon]]),cadangan3[[#This Row],[Profit C]])</f>
        <v>100000</v>
      </c>
      <c r="AG487" s="21">
        <f>cadangan3[[#This Row],[Qty A]]+cadangan3[[#This Row],[Qty B]]+cadangan3[[#This Row],[Qty C]]</f>
        <v>6</v>
      </c>
      <c r="AH487" s="35">
        <f>cadangan3[[#This Row],[Harga A + Diskon]]+cadangan3[[#This Row],[Harga + Diskon B]]+cadangan3[[#This Row],[Harga + Diskon C]]</f>
        <v>1100000</v>
      </c>
      <c r="AI487" s="35">
        <f>(cadangan3[[#This Row],[Profit A]]+cadangan3[[#This Row],[Profit B]]+cadangan3[[#This Row],[Profit C]])</f>
        <v>400000</v>
      </c>
      <c r="AJ487" s="35">
        <f>cadangan3[[#This Row],[Provit A + Diskon]]+cadangan3[[#This Row],[Provit B + Diskon]]+cadangan3[[#This Row],[Provit C + Diskon]]</f>
        <v>400000</v>
      </c>
      <c r="AK487" s="23" t="s">
        <v>11</v>
      </c>
      <c r="AL487" s="37" t="str">
        <f>IFERROR(INDEX('Kode Diskon'!$D$3:$D$9,MATCH(cadangan3[[#This Row],[Kode diskon]],'Kode Diskon'!$C$3:$C$9,0)),"-")</f>
        <v>-</v>
      </c>
      <c r="AM487" s="23" t="s">
        <v>11</v>
      </c>
      <c r="AN487" s="23" t="s">
        <v>7</v>
      </c>
      <c r="AO487" s="23" t="s">
        <v>77</v>
      </c>
      <c r="AP487" s="24">
        <v>45029</v>
      </c>
      <c r="AQ487" s="23" t="str">
        <f>TEXT(cadangan3[[#This Row],[Tanggal terjual]],"dddd")</f>
        <v>Thursday</v>
      </c>
    </row>
    <row r="488" spans="1:43" x14ac:dyDescent="0.2">
      <c r="A488" s="20">
        <v>487</v>
      </c>
      <c r="B488" s="21" t="str">
        <f>_xlfn.CONCAT("ORD-",INDEX(Helper!$B$2:$B$5,MATCH(cadangan3[[#This Row],[Marketplace]],Helper!$A$2:$A$5,0)),TEXT(cadangan3[[#This Row],[No]],"0000"),"-",TEXT(cadangan3[[#This Row],[Tanggal terjual]],"dd/mm/yy"))</f>
        <v>ORD-BB0487-04/04/23</v>
      </c>
      <c r="C488" t="s">
        <v>63</v>
      </c>
      <c r="D488" t="str">
        <f>IFERROR(INDEX(Katalog!$A$3:$A$12,MATCH(cadangan3[[#This Row],[ItemID A]],Katalog!$C$3:$C$12,0)),"-")</f>
        <v>Pakaian Pria</v>
      </c>
      <c r="E488" t="str">
        <f>IFERROR(INDEX(Katalog!$B$3:$B$12,MATCH(cadangan3[[#This Row],[ItemID A]],Katalog!$C$3:$C$12,0)),"-")</f>
        <v>Jaket Jeans</v>
      </c>
      <c r="F488">
        <v>2</v>
      </c>
      <c r="G488">
        <v>4</v>
      </c>
      <c r="H488" s="36">
        <f>IFERROR(INDEX(Katalog!$D$3:$D$12,MATCH(cadangan3[[#This Row],[ItemID A]],Katalog!$C$3:$C$12,0))*cadangan3[[#This Row],[Qty A]],0)</f>
        <v>800000</v>
      </c>
      <c r="I488" s="36">
        <f>IFERROR(INDEX(Katalog!$D$3:$D$12,MATCH(cadangan3[[#This Row],[Item A]],Katalog!$B$3:$B$12,0))*cadangan3[[#This Row],[Qty A]],0)</f>
        <v>800000</v>
      </c>
      <c r="J488" s="36">
        <f>IFERROR(cadangan3[[#This Row],[Harga Asli A]]-(cadangan3[[#This Row],[Harga Asli A]]*cadangan3[[#This Row],[Diskon]]),cadangan3[[#This Row],[Harga Asli A]])</f>
        <v>680000</v>
      </c>
      <c r="K488" s="36">
        <f>INDEX(Katalog!$F$3:$F$12,MATCH(cadangan3[[#This Row],[ItemID A]],Katalog!$C$3:$C$12,0))*cadangan3[[#This Row],[Qty A]]</f>
        <v>300000</v>
      </c>
      <c r="L488" s="36">
        <f>IFERROR(cadangan3[[#This Row],[Profit A]]-(cadangan3[[#This Row],[Profit A]]*cadangan3[[#This Row],[Diskon]]),K488)</f>
        <v>255000</v>
      </c>
      <c r="M488" t="s">
        <v>61</v>
      </c>
      <c r="N488" t="str">
        <f>IFERROR(INDEX(Katalog!$A$3:$A$12,MATCH(cadangan3[[#This Row],[ItemID B]],Katalog!$C$3:$C$12,0)),"-")</f>
        <v>Pakaian Pria</v>
      </c>
      <c r="O488" t="str">
        <f>IFERROR(INDEX(Katalog!$B$3:$B$12,MATCH(cadangan3[[#This Row],[ItemID B]],Katalog!$C$3:$C$12,0)),"-")</f>
        <v>Kaos Polo</v>
      </c>
      <c r="P488">
        <v>1</v>
      </c>
      <c r="Q488">
        <v>5</v>
      </c>
      <c r="R488" s="36">
        <f>IFERROR(INDEX(Katalog!$D$3:$D$12,MATCH(cadangan3[[#This Row],[ItemID B]],Katalog!$C$3:$C$12,0))*cadangan3[[#This Row],[Qty B]],0)</f>
        <v>200000</v>
      </c>
      <c r="S488" s="36">
        <f>IFERROR(INDEX(Katalog!$D$3:$D$12,MATCH(cadangan3[[#This Row],[Item B]],Katalog!$B$3:$B$12,0))*cadangan3[[#This Row],[Qty B]],0)</f>
        <v>200000</v>
      </c>
      <c r="T488" s="36">
        <f>IFERROR(cadangan3[[#This Row],[Harga Asli B]]-(cadangan3[[#This Row],[Harga Asli B]]*cadangan3[[#This Row],[Diskon]]),cadangan3[[#This Row],[Harga Asli B]])</f>
        <v>170000</v>
      </c>
      <c r="U488" s="36">
        <f>IFERROR(INDEX(Katalog!$F$3:$F$12,MATCH(cadangan3[[#This Row],[ItemID B]],Katalog!$C$3:$C$12,0))*cadangan3[[#This Row],[Qty B]],0)</f>
        <v>80000</v>
      </c>
      <c r="V488" s="36">
        <f>IFERROR(cadangan3[[#This Row],[Profit B]]-(cadangan3[[#This Row],[Profit B]]*cadangan3[[#This Row],[Diskon]]),U488)</f>
        <v>68000</v>
      </c>
      <c r="X488" t="str">
        <f>IFERROR(INDEX(Katalog!$A$3:$A$12,MATCH(cadangan3[[#This Row],[ItemID C]],Katalog!$C$3:$C$12,0)),"-")</f>
        <v>-</v>
      </c>
      <c r="Y488" t="str">
        <f>IFERROR(INDEX(Katalog!$B$3:$B$12,MATCH(cadangan3[[#This Row],[ItemID C]],Katalog!$C$3:$C$12,0)),"-")</f>
        <v>-</v>
      </c>
      <c r="AB488" s="36">
        <f>IFERROR(INDEX(Katalog!$D$3:$D$12,MATCH(cadangan3[[#This Row],[ItemID C]],Katalog!$C$3:$C$12,0))*cadangan3[[#This Row],[Qty C]],0)</f>
        <v>0</v>
      </c>
      <c r="AC488" s="36">
        <f>IFERROR(INDEX(Katalog!$D$3:$D$12,MATCH(cadangan3[[#This Row],[Item C]],Katalog!$B$3:$B$12,0))*cadangan3[[#This Row],[Qty C]],0)</f>
        <v>0</v>
      </c>
      <c r="AD488" s="36">
        <f>IFERROR(cadangan3[[#This Row],[Harga Asli C]]-(cadangan3[[#This Row],[Harga Asli C]]*cadangan3[[#This Row],[Diskon]]),cadangan3[[#This Row],[Harga Asli C]])</f>
        <v>0</v>
      </c>
      <c r="AE488" s="36">
        <f>IFERROR(INDEX(Katalog!$F$3:$F$12,MATCH(cadangan3[[#This Row],[ItemID C]],Katalog!$C$3:$C$12,0))*cadangan3[[#This Row],[Qty C]],0)</f>
        <v>0</v>
      </c>
      <c r="AF488" s="36">
        <f>IFERROR(cadangan3[[#This Row],[Profit C]]-(cadangan3[[#This Row],[Profit C]]*cadangan3[[#This Row],[Diskon]]),cadangan3[[#This Row],[Profit C]])</f>
        <v>0</v>
      </c>
      <c r="AG488" s="21">
        <f>cadangan3[[#This Row],[Qty A]]+cadangan3[[#This Row],[Qty B]]+cadangan3[[#This Row],[Qty C]]</f>
        <v>3</v>
      </c>
      <c r="AH488" s="35">
        <f>cadangan3[[#This Row],[Harga A + Diskon]]+cadangan3[[#This Row],[Harga + Diskon B]]+cadangan3[[#This Row],[Harga + Diskon C]]</f>
        <v>850000</v>
      </c>
      <c r="AI488" s="35">
        <f>(cadangan3[[#This Row],[Profit A]]+cadangan3[[#This Row],[Profit B]]+cadangan3[[#This Row],[Profit C]])</f>
        <v>380000</v>
      </c>
      <c r="AJ488" s="35">
        <f>cadangan3[[#This Row],[Provit A + Diskon]]+cadangan3[[#This Row],[Provit B + Diskon]]+cadangan3[[#This Row],[Provit C + Diskon]]</f>
        <v>323000</v>
      </c>
      <c r="AK488" s="23" t="s">
        <v>28</v>
      </c>
      <c r="AL488" s="37">
        <f>IFERROR(INDEX('Kode Diskon'!$D$3:$D$9,MATCH(cadangan3[[#This Row],[Kode diskon]],'Kode Diskon'!$C$3:$C$9,0)),"-")</f>
        <v>0.15</v>
      </c>
      <c r="AM488" s="23" t="s">
        <v>29</v>
      </c>
      <c r="AN488" s="23" t="s">
        <v>14</v>
      </c>
      <c r="AO488" s="23" t="s">
        <v>75</v>
      </c>
      <c r="AP488" s="24">
        <v>45020</v>
      </c>
      <c r="AQ488" s="23" t="str">
        <f>TEXT(cadangan3[[#This Row],[Tanggal terjual]],"dddd")</f>
        <v>Tuesday</v>
      </c>
    </row>
    <row r="489" spans="1:43" x14ac:dyDescent="0.2">
      <c r="A489" s="20">
        <v>488</v>
      </c>
      <c r="B489" s="21" t="str">
        <f>_xlfn.CONCAT("ORD-",INDEX(Helper!$B$2:$B$5,MATCH(cadangan3[[#This Row],[Marketplace]],Helper!$A$2:$A$5,0)),TEXT(cadangan3[[#This Row],[No]],"0000"),"-",TEXT(cadangan3[[#This Row],[Tanggal terjual]],"dd/mm/yy"))</f>
        <v>ORD-BL0488-08/04/23</v>
      </c>
      <c r="C489" t="s">
        <v>66</v>
      </c>
      <c r="D489" t="str">
        <f>IFERROR(INDEX(Katalog!$A$3:$A$12,MATCH(cadangan3[[#This Row],[ItemID A]],Katalog!$C$3:$C$12,0)),"-")</f>
        <v>Sepatu Pria</v>
      </c>
      <c r="E489" t="str">
        <f>IFERROR(INDEX(Katalog!$B$3:$B$12,MATCH(cadangan3[[#This Row],[ItemID A]],Katalog!$C$3:$C$12,0)),"-")</f>
        <v>Sandal Slip On</v>
      </c>
      <c r="F489">
        <v>2</v>
      </c>
      <c r="G489">
        <v>3</v>
      </c>
      <c r="H489" s="36">
        <f>IFERROR(INDEX(Katalog!$D$3:$D$12,MATCH(cadangan3[[#This Row],[ItemID A]],Katalog!$C$3:$C$12,0))*cadangan3[[#This Row],[Qty A]],0)</f>
        <v>300000</v>
      </c>
      <c r="I489" s="36">
        <f>IFERROR(INDEX(Katalog!$D$3:$D$12,MATCH(cadangan3[[#This Row],[Item A]],Katalog!$B$3:$B$12,0))*cadangan3[[#This Row],[Qty A]],0)</f>
        <v>300000</v>
      </c>
      <c r="J489" s="36">
        <f>IFERROR(cadangan3[[#This Row],[Harga Asli A]]-(cadangan3[[#This Row],[Harga Asli A]]*cadangan3[[#This Row],[Diskon]]),cadangan3[[#This Row],[Harga Asli A]])</f>
        <v>300000</v>
      </c>
      <c r="K489" s="36">
        <f>INDEX(Katalog!$F$3:$F$12,MATCH(cadangan3[[#This Row],[ItemID A]],Katalog!$C$3:$C$12,0))*cadangan3[[#This Row],[Qty A]]</f>
        <v>120000</v>
      </c>
      <c r="L489" s="36">
        <f>IFERROR(cadangan3[[#This Row],[Profit A]]-(cadangan3[[#This Row],[Profit A]]*cadangan3[[#This Row],[Diskon]]),K489)</f>
        <v>120000</v>
      </c>
      <c r="M489" t="s">
        <v>59</v>
      </c>
      <c r="N489" t="str">
        <f>IFERROR(INDEX(Katalog!$A$3:$A$12,MATCH(cadangan3[[#This Row],[ItemID B]],Katalog!$C$3:$C$12,0)),"-")</f>
        <v>Pakaian Wanita</v>
      </c>
      <c r="O489" t="str">
        <f>IFERROR(INDEX(Katalog!$B$3:$B$12,MATCH(cadangan3[[#This Row],[ItemID B]],Katalog!$C$3:$C$12,0)),"-")</f>
        <v>Blouse</v>
      </c>
      <c r="P489">
        <v>1</v>
      </c>
      <c r="Q489">
        <v>3</v>
      </c>
      <c r="R489" s="36">
        <f>IFERROR(INDEX(Katalog!$D$3:$D$12,MATCH(cadangan3[[#This Row],[ItemID B]],Katalog!$C$3:$C$12,0))*cadangan3[[#This Row],[Qty B]],0)</f>
        <v>150000</v>
      </c>
      <c r="S489" s="36">
        <f>IFERROR(INDEX(Katalog!$D$3:$D$12,MATCH(cadangan3[[#This Row],[Item B]],Katalog!$B$3:$B$12,0))*cadangan3[[#This Row],[Qty B]],0)</f>
        <v>150000</v>
      </c>
      <c r="T489" s="36">
        <f>IFERROR(cadangan3[[#This Row],[Harga Asli B]]-(cadangan3[[#This Row],[Harga Asli B]]*cadangan3[[#This Row],[Diskon]]),cadangan3[[#This Row],[Harga Asli B]])</f>
        <v>150000</v>
      </c>
      <c r="U489" s="36">
        <f>IFERROR(INDEX(Katalog!$F$3:$F$12,MATCH(cadangan3[[#This Row],[ItemID B]],Katalog!$C$3:$C$12,0))*cadangan3[[#This Row],[Qty B]],0)</f>
        <v>50000</v>
      </c>
      <c r="V489" s="36">
        <f>IFERROR(cadangan3[[#This Row],[Profit B]]-(cadangan3[[#This Row],[Profit B]]*cadangan3[[#This Row],[Diskon]]),U489)</f>
        <v>50000</v>
      </c>
      <c r="X489" t="str">
        <f>IFERROR(INDEX(Katalog!$A$3:$A$12,MATCH(cadangan3[[#This Row],[ItemID C]],Katalog!$C$3:$C$12,0)),"-")</f>
        <v>-</v>
      </c>
      <c r="Y489" t="str">
        <f>IFERROR(INDEX(Katalog!$B$3:$B$12,MATCH(cadangan3[[#This Row],[ItemID C]],Katalog!$C$3:$C$12,0)),"-")</f>
        <v>-</v>
      </c>
      <c r="AB489" s="36">
        <f>IFERROR(INDEX(Katalog!$D$3:$D$12,MATCH(cadangan3[[#This Row],[ItemID C]],Katalog!$C$3:$C$12,0))*cadangan3[[#This Row],[Qty C]],0)</f>
        <v>0</v>
      </c>
      <c r="AC489" s="36">
        <f>IFERROR(INDEX(Katalog!$D$3:$D$12,MATCH(cadangan3[[#This Row],[Item C]],Katalog!$B$3:$B$12,0))*cadangan3[[#This Row],[Qty C]],0)</f>
        <v>0</v>
      </c>
      <c r="AD489" s="36">
        <f>IFERROR(cadangan3[[#This Row],[Harga Asli C]]-(cadangan3[[#This Row],[Harga Asli C]]*cadangan3[[#This Row],[Diskon]]),cadangan3[[#This Row],[Harga Asli C]])</f>
        <v>0</v>
      </c>
      <c r="AE489" s="36">
        <f>IFERROR(INDEX(Katalog!$F$3:$F$12,MATCH(cadangan3[[#This Row],[ItemID C]],Katalog!$C$3:$C$12,0))*cadangan3[[#This Row],[Qty C]],0)</f>
        <v>0</v>
      </c>
      <c r="AF489" s="36">
        <f>IFERROR(cadangan3[[#This Row],[Profit C]]-(cadangan3[[#This Row],[Profit C]]*cadangan3[[#This Row],[Diskon]]),cadangan3[[#This Row],[Profit C]])</f>
        <v>0</v>
      </c>
      <c r="AG489" s="21">
        <f>cadangan3[[#This Row],[Qty A]]+cadangan3[[#This Row],[Qty B]]+cadangan3[[#This Row],[Qty C]]</f>
        <v>3</v>
      </c>
      <c r="AH489" s="35">
        <f>cadangan3[[#This Row],[Harga A + Diskon]]+cadangan3[[#This Row],[Harga + Diskon B]]+cadangan3[[#This Row],[Harga + Diskon C]]</f>
        <v>450000</v>
      </c>
      <c r="AI489" s="35">
        <f>(cadangan3[[#This Row],[Profit A]]+cadangan3[[#This Row],[Profit B]]+cadangan3[[#This Row],[Profit C]])</f>
        <v>170000</v>
      </c>
      <c r="AJ489" s="35">
        <f>cadangan3[[#This Row],[Provit A + Diskon]]+cadangan3[[#This Row],[Provit B + Diskon]]+cadangan3[[#This Row],[Provit C + Diskon]]</f>
        <v>170000</v>
      </c>
      <c r="AK489" s="23" t="s">
        <v>11</v>
      </c>
      <c r="AL489" s="37" t="str">
        <f>IFERROR(INDEX('Kode Diskon'!$D$3:$D$9,MATCH(cadangan3[[#This Row],[Kode diskon]],'Kode Diskon'!$C$3:$C$9,0)),"-")</f>
        <v>-</v>
      </c>
      <c r="AM489" s="23" t="s">
        <v>11</v>
      </c>
      <c r="AN489" s="23" t="s">
        <v>12</v>
      </c>
      <c r="AO489" s="23" t="s">
        <v>75</v>
      </c>
      <c r="AP489" s="24">
        <v>45024</v>
      </c>
      <c r="AQ489" s="23" t="str">
        <f>TEXT(cadangan3[[#This Row],[Tanggal terjual]],"dddd")</f>
        <v>Saturday</v>
      </c>
    </row>
    <row r="490" spans="1:43" x14ac:dyDescent="0.2">
      <c r="A490" s="20">
        <v>489</v>
      </c>
      <c r="B490" s="21" t="str">
        <f>_xlfn.CONCAT("ORD-",INDEX(Helper!$B$2:$B$5,MATCH(cadangan3[[#This Row],[Marketplace]],Helper!$A$2:$A$5,0)),TEXT(cadangan3[[#This Row],[No]],"0000"),"-",TEXT(cadangan3[[#This Row],[Tanggal terjual]],"dd/mm/yy"))</f>
        <v>ORD-SP0489-07/04/23</v>
      </c>
      <c r="C490" t="s">
        <v>58</v>
      </c>
      <c r="D490" t="str">
        <f>IFERROR(INDEX(Katalog!$A$3:$A$12,MATCH(cadangan3[[#This Row],[ItemID A]],Katalog!$C$3:$C$12,0)),"-")</f>
        <v>Pakaian Wanita</v>
      </c>
      <c r="E490" t="str">
        <f>IFERROR(INDEX(Katalog!$B$3:$B$12,MATCH(cadangan3[[#This Row],[ItemID A]],Katalog!$C$3:$C$12,0)),"-")</f>
        <v>Dress</v>
      </c>
      <c r="F490">
        <v>1</v>
      </c>
      <c r="G490">
        <v>5</v>
      </c>
      <c r="H490" s="36">
        <f>IFERROR(INDEX(Katalog!$D$3:$D$12,MATCH(cadangan3[[#This Row],[ItemID A]],Katalog!$C$3:$C$12,0))*cadangan3[[#This Row],[Qty A]],0)</f>
        <v>300000</v>
      </c>
      <c r="I490" s="36">
        <f>IFERROR(INDEX(Katalog!$D$3:$D$12,MATCH(cadangan3[[#This Row],[Item A]],Katalog!$B$3:$B$12,0))*cadangan3[[#This Row],[Qty A]],0)</f>
        <v>300000</v>
      </c>
      <c r="J490" s="36">
        <f>IFERROR(cadangan3[[#This Row],[Harga Asli A]]-(cadangan3[[#This Row],[Harga Asli A]]*cadangan3[[#This Row],[Diskon]]),cadangan3[[#This Row],[Harga Asli A]])</f>
        <v>300000</v>
      </c>
      <c r="K490" s="36">
        <f>INDEX(Katalog!$F$3:$F$12,MATCH(cadangan3[[#This Row],[ItemID A]],Katalog!$C$3:$C$12,0))*cadangan3[[#This Row],[Qty A]]</f>
        <v>100000</v>
      </c>
      <c r="L490" s="36">
        <f>IFERROR(cadangan3[[#This Row],[Profit A]]-(cadangan3[[#This Row],[Profit A]]*cadangan3[[#This Row],[Diskon]]),K490)</f>
        <v>100000</v>
      </c>
      <c r="N490" t="str">
        <f>IFERROR(INDEX(Katalog!$A$3:$A$12,MATCH(cadangan3[[#This Row],[ItemID B]],Katalog!$C$3:$C$12,0)),"-")</f>
        <v>-</v>
      </c>
      <c r="O490" t="str">
        <f>IFERROR(INDEX(Katalog!$B$3:$B$12,MATCH(cadangan3[[#This Row],[ItemID B]],Katalog!$C$3:$C$12,0)),"-")</f>
        <v>-</v>
      </c>
      <c r="R490" s="36">
        <f>IFERROR(INDEX(Katalog!$D$3:$D$12,MATCH(cadangan3[[#This Row],[ItemID B]],Katalog!$C$3:$C$12,0))*cadangan3[[#This Row],[Qty B]],0)</f>
        <v>0</v>
      </c>
      <c r="S490" s="36">
        <f>IFERROR(INDEX(Katalog!$D$3:$D$12,MATCH(cadangan3[[#This Row],[Item B]],Katalog!$B$3:$B$12,0))*cadangan3[[#This Row],[Qty B]],0)</f>
        <v>0</v>
      </c>
      <c r="T490" s="36">
        <f>IFERROR(cadangan3[[#This Row],[Harga Asli B]]-(cadangan3[[#This Row],[Harga Asli B]]*cadangan3[[#This Row],[Diskon]]),cadangan3[[#This Row],[Harga Asli B]])</f>
        <v>0</v>
      </c>
      <c r="U490" s="36">
        <f>IFERROR(INDEX(Katalog!$F$3:$F$12,MATCH(cadangan3[[#This Row],[ItemID B]],Katalog!$C$3:$C$12,0))*cadangan3[[#This Row],[Qty B]],0)</f>
        <v>0</v>
      </c>
      <c r="V490" s="36">
        <f>IFERROR(cadangan3[[#This Row],[Profit B]]-(cadangan3[[#This Row],[Profit B]]*cadangan3[[#This Row],[Diskon]]),U490)</f>
        <v>0</v>
      </c>
      <c r="X490" t="str">
        <f>IFERROR(INDEX(Katalog!$A$3:$A$12,MATCH(cadangan3[[#This Row],[ItemID C]],Katalog!$C$3:$C$12,0)),"-")</f>
        <v>-</v>
      </c>
      <c r="Y490" t="str">
        <f>IFERROR(INDEX(Katalog!$B$3:$B$12,MATCH(cadangan3[[#This Row],[ItemID C]],Katalog!$C$3:$C$12,0)),"-")</f>
        <v>-</v>
      </c>
      <c r="AB490" s="36">
        <f>IFERROR(INDEX(Katalog!$D$3:$D$12,MATCH(cadangan3[[#This Row],[ItemID C]],Katalog!$C$3:$C$12,0))*cadangan3[[#This Row],[Qty C]],0)</f>
        <v>0</v>
      </c>
      <c r="AC490" s="36">
        <f>IFERROR(INDEX(Katalog!$D$3:$D$12,MATCH(cadangan3[[#This Row],[Item C]],Katalog!$B$3:$B$12,0))*cadangan3[[#This Row],[Qty C]],0)</f>
        <v>0</v>
      </c>
      <c r="AD490" s="36">
        <f>IFERROR(cadangan3[[#This Row],[Harga Asli C]]-(cadangan3[[#This Row],[Harga Asli C]]*cadangan3[[#This Row],[Diskon]]),cadangan3[[#This Row],[Harga Asli C]])</f>
        <v>0</v>
      </c>
      <c r="AE490" s="36">
        <f>IFERROR(INDEX(Katalog!$F$3:$F$12,MATCH(cadangan3[[#This Row],[ItemID C]],Katalog!$C$3:$C$12,0))*cadangan3[[#This Row],[Qty C]],0)</f>
        <v>0</v>
      </c>
      <c r="AF490" s="36">
        <f>IFERROR(cadangan3[[#This Row],[Profit C]]-(cadangan3[[#This Row],[Profit C]]*cadangan3[[#This Row],[Diskon]]),cadangan3[[#This Row],[Profit C]])</f>
        <v>0</v>
      </c>
      <c r="AG490" s="21">
        <f>cadangan3[[#This Row],[Qty A]]+cadangan3[[#This Row],[Qty B]]+cadangan3[[#This Row],[Qty C]]</f>
        <v>1</v>
      </c>
      <c r="AH490" s="35">
        <f>cadangan3[[#This Row],[Harga A + Diskon]]+cadangan3[[#This Row],[Harga + Diskon B]]+cadangan3[[#This Row],[Harga + Diskon C]]</f>
        <v>300000</v>
      </c>
      <c r="AI490" s="35">
        <f>(cadangan3[[#This Row],[Profit A]]+cadangan3[[#This Row],[Profit B]]+cadangan3[[#This Row],[Profit C]])</f>
        <v>100000</v>
      </c>
      <c r="AJ490" s="35">
        <f>cadangan3[[#This Row],[Provit A + Diskon]]+cadangan3[[#This Row],[Provit B + Diskon]]+cadangan3[[#This Row],[Provit C + Diskon]]</f>
        <v>100000</v>
      </c>
      <c r="AK490" s="23" t="s">
        <v>11</v>
      </c>
      <c r="AL490" s="37" t="str">
        <f>IFERROR(INDEX('Kode Diskon'!$D$3:$D$9,MATCH(cadangan3[[#This Row],[Kode diskon]],'Kode Diskon'!$C$3:$C$9,0)),"-")</f>
        <v>-</v>
      </c>
      <c r="AM490" s="23" t="s">
        <v>11</v>
      </c>
      <c r="AN490" s="23" t="s">
        <v>7</v>
      </c>
      <c r="AO490" s="23" t="s">
        <v>77</v>
      </c>
      <c r="AP490" s="24">
        <v>45023</v>
      </c>
      <c r="AQ490" s="23" t="str">
        <f>TEXT(cadangan3[[#This Row],[Tanggal terjual]],"dddd")</f>
        <v>Friday</v>
      </c>
    </row>
    <row r="491" spans="1:43" x14ac:dyDescent="0.2">
      <c r="A491" s="20">
        <v>490</v>
      </c>
      <c r="B491" s="21" t="str">
        <f>_xlfn.CONCAT("ORD-",INDEX(Helper!$B$2:$B$5,MATCH(cadangan3[[#This Row],[Marketplace]],Helper!$A$2:$A$5,0)),TEXT(cadangan3[[#This Row],[No]],"0000"),"-",TEXT(cadangan3[[#This Row],[Tanggal terjual]],"dd/mm/yy"))</f>
        <v>ORD-BL0490-27/04/23</v>
      </c>
      <c r="C491" t="s">
        <v>65</v>
      </c>
      <c r="D491" t="str">
        <f>IFERROR(INDEX(Katalog!$A$3:$A$12,MATCH(cadangan3[[#This Row],[ItemID A]],Katalog!$C$3:$C$12,0)),"-")</f>
        <v>Sepatu Pria</v>
      </c>
      <c r="E491" t="str">
        <f>IFERROR(INDEX(Katalog!$B$3:$B$12,MATCH(cadangan3[[#This Row],[ItemID A]],Katalog!$C$3:$C$12,0)),"-")</f>
        <v>Sneakers</v>
      </c>
      <c r="F491">
        <v>1</v>
      </c>
      <c r="G491">
        <v>2</v>
      </c>
      <c r="H491" s="36">
        <f>IFERROR(INDEX(Katalog!$D$3:$D$12,MATCH(cadangan3[[#This Row],[ItemID A]],Katalog!$C$3:$C$12,0))*cadangan3[[#This Row],[Qty A]],0)</f>
        <v>500000</v>
      </c>
      <c r="I491" s="36">
        <f>IFERROR(INDEX(Katalog!$D$3:$D$12,MATCH(cadangan3[[#This Row],[Item A]],Katalog!$B$3:$B$12,0))*cadangan3[[#This Row],[Qty A]],0)</f>
        <v>500000</v>
      </c>
      <c r="J491" s="36">
        <f>IFERROR(cadangan3[[#This Row],[Harga Asli A]]-(cadangan3[[#This Row],[Harga Asli A]]*cadangan3[[#This Row],[Diskon]]),cadangan3[[#This Row],[Harga Asli A]])</f>
        <v>425000</v>
      </c>
      <c r="K491" s="36">
        <f>INDEX(Katalog!$F$3:$F$12,MATCH(cadangan3[[#This Row],[ItemID A]],Katalog!$C$3:$C$12,0))*cadangan3[[#This Row],[Qty A]]</f>
        <v>200000</v>
      </c>
      <c r="L491" s="36">
        <f>IFERROR(cadangan3[[#This Row],[Profit A]]-(cadangan3[[#This Row],[Profit A]]*cadangan3[[#This Row],[Diskon]]),K491)</f>
        <v>170000</v>
      </c>
      <c r="N491" t="str">
        <f>IFERROR(INDEX(Katalog!$A$3:$A$12,MATCH(cadangan3[[#This Row],[ItemID B]],Katalog!$C$3:$C$12,0)),"-")</f>
        <v>-</v>
      </c>
      <c r="O491" t="str">
        <f>IFERROR(INDEX(Katalog!$B$3:$B$12,MATCH(cadangan3[[#This Row],[ItemID B]],Katalog!$C$3:$C$12,0)),"-")</f>
        <v>-</v>
      </c>
      <c r="R491" s="36">
        <f>IFERROR(INDEX(Katalog!$D$3:$D$12,MATCH(cadangan3[[#This Row],[ItemID B]],Katalog!$C$3:$C$12,0))*cadangan3[[#This Row],[Qty B]],0)</f>
        <v>0</v>
      </c>
      <c r="S491" s="36">
        <f>IFERROR(INDEX(Katalog!$D$3:$D$12,MATCH(cadangan3[[#This Row],[Item B]],Katalog!$B$3:$B$12,0))*cadangan3[[#This Row],[Qty B]],0)</f>
        <v>0</v>
      </c>
      <c r="T491" s="36">
        <f>IFERROR(cadangan3[[#This Row],[Harga Asli B]]-(cadangan3[[#This Row],[Harga Asli B]]*cadangan3[[#This Row],[Diskon]]),cadangan3[[#This Row],[Harga Asli B]])</f>
        <v>0</v>
      </c>
      <c r="U491" s="36">
        <f>IFERROR(INDEX(Katalog!$F$3:$F$12,MATCH(cadangan3[[#This Row],[ItemID B]],Katalog!$C$3:$C$12,0))*cadangan3[[#This Row],[Qty B]],0)</f>
        <v>0</v>
      </c>
      <c r="V491" s="36">
        <f>IFERROR(cadangan3[[#This Row],[Profit B]]-(cadangan3[[#This Row],[Profit B]]*cadangan3[[#This Row],[Diskon]]),U491)</f>
        <v>0</v>
      </c>
      <c r="X491" t="str">
        <f>IFERROR(INDEX(Katalog!$A$3:$A$12,MATCH(cadangan3[[#This Row],[ItemID C]],Katalog!$C$3:$C$12,0)),"-")</f>
        <v>-</v>
      </c>
      <c r="Y491" t="str">
        <f>IFERROR(INDEX(Katalog!$B$3:$B$12,MATCH(cadangan3[[#This Row],[ItemID C]],Katalog!$C$3:$C$12,0)),"-")</f>
        <v>-</v>
      </c>
      <c r="AB491" s="36">
        <f>IFERROR(INDEX(Katalog!$D$3:$D$12,MATCH(cadangan3[[#This Row],[ItemID C]],Katalog!$C$3:$C$12,0))*cadangan3[[#This Row],[Qty C]],0)</f>
        <v>0</v>
      </c>
      <c r="AC491" s="36">
        <f>IFERROR(INDEX(Katalog!$D$3:$D$12,MATCH(cadangan3[[#This Row],[Item C]],Katalog!$B$3:$B$12,0))*cadangan3[[#This Row],[Qty C]],0)</f>
        <v>0</v>
      </c>
      <c r="AD491" s="36">
        <f>IFERROR(cadangan3[[#This Row],[Harga Asli C]]-(cadangan3[[#This Row],[Harga Asli C]]*cadangan3[[#This Row],[Diskon]]),cadangan3[[#This Row],[Harga Asli C]])</f>
        <v>0</v>
      </c>
      <c r="AE491" s="36">
        <f>IFERROR(INDEX(Katalog!$F$3:$F$12,MATCH(cadangan3[[#This Row],[ItemID C]],Katalog!$C$3:$C$12,0))*cadangan3[[#This Row],[Qty C]],0)</f>
        <v>0</v>
      </c>
      <c r="AF491" s="36">
        <f>IFERROR(cadangan3[[#This Row],[Profit C]]-(cadangan3[[#This Row],[Profit C]]*cadangan3[[#This Row],[Diskon]]),cadangan3[[#This Row],[Profit C]])</f>
        <v>0</v>
      </c>
      <c r="AG491" s="21">
        <f>cadangan3[[#This Row],[Qty A]]+cadangan3[[#This Row],[Qty B]]+cadangan3[[#This Row],[Qty C]]</f>
        <v>1</v>
      </c>
      <c r="AH491" s="35">
        <f>cadangan3[[#This Row],[Harga A + Diskon]]+cadangan3[[#This Row],[Harga + Diskon B]]+cadangan3[[#This Row],[Harga + Diskon C]]</f>
        <v>425000</v>
      </c>
      <c r="AI491" s="35">
        <f>(cadangan3[[#This Row],[Profit A]]+cadangan3[[#This Row],[Profit B]]+cadangan3[[#This Row],[Profit C]])</f>
        <v>200000</v>
      </c>
      <c r="AJ491" s="35">
        <f>cadangan3[[#This Row],[Provit A + Diskon]]+cadangan3[[#This Row],[Provit B + Diskon]]+cadangan3[[#This Row],[Provit C + Diskon]]</f>
        <v>170000</v>
      </c>
      <c r="AK491" s="23" t="s">
        <v>32</v>
      </c>
      <c r="AL491" s="37">
        <f>IFERROR(INDEX('Kode Diskon'!$D$3:$D$9,MATCH(cadangan3[[#This Row],[Kode diskon]],'Kode Diskon'!$C$3:$C$9,0)),"-")</f>
        <v>0.15</v>
      </c>
      <c r="AM491" s="23" t="s">
        <v>9</v>
      </c>
      <c r="AN491" s="23" t="s">
        <v>12</v>
      </c>
      <c r="AO491" s="23" t="s">
        <v>77</v>
      </c>
      <c r="AP491" s="24">
        <v>45043</v>
      </c>
      <c r="AQ491" s="23" t="str">
        <f>TEXT(cadangan3[[#This Row],[Tanggal terjual]],"dddd")</f>
        <v>Thursday</v>
      </c>
    </row>
    <row r="492" spans="1:43" x14ac:dyDescent="0.2">
      <c r="A492" s="20">
        <v>491</v>
      </c>
      <c r="B492" s="21" t="str">
        <f>_xlfn.CONCAT("ORD-",INDEX(Helper!$B$2:$B$5,MATCH(cadangan3[[#This Row],[Marketplace]],Helper!$A$2:$A$5,0)),TEXT(cadangan3[[#This Row],[No]],"0000"),"-",TEXT(cadangan3[[#This Row],[Tanggal terjual]],"dd/mm/yy"))</f>
        <v>ORD-BB0491-05/04/23</v>
      </c>
      <c r="C492" t="s">
        <v>65</v>
      </c>
      <c r="D492" t="str">
        <f>IFERROR(INDEX(Katalog!$A$3:$A$12,MATCH(cadangan3[[#This Row],[ItemID A]],Katalog!$C$3:$C$12,0)),"-")</f>
        <v>Sepatu Pria</v>
      </c>
      <c r="E492" t="str">
        <f>IFERROR(INDEX(Katalog!$B$3:$B$12,MATCH(cadangan3[[#This Row],[ItemID A]],Katalog!$C$3:$C$12,0)),"-")</f>
        <v>Sneakers</v>
      </c>
      <c r="F492">
        <v>1</v>
      </c>
      <c r="G492">
        <v>1</v>
      </c>
      <c r="H492" s="36">
        <f>IFERROR(INDEX(Katalog!$D$3:$D$12,MATCH(cadangan3[[#This Row],[ItemID A]],Katalog!$C$3:$C$12,0))*cadangan3[[#This Row],[Qty A]],0)</f>
        <v>500000</v>
      </c>
      <c r="I492" s="36">
        <f>IFERROR(INDEX(Katalog!$D$3:$D$12,MATCH(cadangan3[[#This Row],[Item A]],Katalog!$B$3:$B$12,0))*cadangan3[[#This Row],[Qty A]],0)</f>
        <v>500000</v>
      </c>
      <c r="J492" s="36">
        <f>IFERROR(cadangan3[[#This Row],[Harga Asli A]]-(cadangan3[[#This Row],[Harga Asli A]]*cadangan3[[#This Row],[Diskon]]),cadangan3[[#This Row],[Harga Asli A]])</f>
        <v>425000</v>
      </c>
      <c r="K492" s="36">
        <f>INDEX(Katalog!$F$3:$F$12,MATCH(cadangan3[[#This Row],[ItemID A]],Katalog!$C$3:$C$12,0))*cadangan3[[#This Row],[Qty A]]</f>
        <v>200000</v>
      </c>
      <c r="L492" s="36">
        <f>IFERROR(cadangan3[[#This Row],[Profit A]]-(cadangan3[[#This Row],[Profit A]]*cadangan3[[#This Row],[Diskon]]),K492)</f>
        <v>170000</v>
      </c>
      <c r="M492" t="s">
        <v>62</v>
      </c>
      <c r="N492" t="str">
        <f>IFERROR(INDEX(Katalog!$A$3:$A$12,MATCH(cadangan3[[#This Row],[ItemID B]],Katalog!$C$3:$C$12,0)),"-")</f>
        <v>Pakaian Pria</v>
      </c>
      <c r="O492" t="str">
        <f>IFERROR(INDEX(Katalog!$B$3:$B$12,MATCH(cadangan3[[#This Row],[ItemID B]],Katalog!$C$3:$C$12,0)),"-")</f>
        <v>Celana Pendek</v>
      </c>
      <c r="P492">
        <v>2</v>
      </c>
      <c r="Q492">
        <v>2</v>
      </c>
      <c r="R492" s="36">
        <f>IFERROR(INDEX(Katalog!$D$3:$D$12,MATCH(cadangan3[[#This Row],[ItemID B]],Katalog!$C$3:$C$12,0))*cadangan3[[#This Row],[Qty B]],0)</f>
        <v>360000</v>
      </c>
      <c r="S492" s="36">
        <f>IFERROR(INDEX(Katalog!$D$3:$D$12,MATCH(cadangan3[[#This Row],[Item B]],Katalog!$B$3:$B$12,0))*cadangan3[[#This Row],[Qty B]],0)</f>
        <v>360000</v>
      </c>
      <c r="T492" s="36">
        <f>IFERROR(cadangan3[[#This Row],[Harga Asli B]]-(cadangan3[[#This Row],[Harga Asli B]]*cadangan3[[#This Row],[Diskon]]),cadangan3[[#This Row],[Harga Asli B]])</f>
        <v>306000</v>
      </c>
      <c r="U492" s="36">
        <f>IFERROR(INDEX(Katalog!$F$3:$F$12,MATCH(cadangan3[[#This Row],[ItemID B]],Katalog!$C$3:$C$12,0))*cadangan3[[#This Row],[Qty B]],0)</f>
        <v>140000</v>
      </c>
      <c r="V492" s="36">
        <f>IFERROR(cadangan3[[#This Row],[Profit B]]-(cadangan3[[#This Row],[Profit B]]*cadangan3[[#This Row],[Diskon]]),U492)</f>
        <v>119000</v>
      </c>
      <c r="W492" t="s">
        <v>63</v>
      </c>
      <c r="X492" t="str">
        <f>IFERROR(INDEX(Katalog!$A$3:$A$12,MATCH(cadangan3[[#This Row],[ItemID C]],Katalog!$C$3:$C$12,0)),"-")</f>
        <v>Pakaian Pria</v>
      </c>
      <c r="Y492" t="str">
        <f>IFERROR(INDEX(Katalog!$B$3:$B$12,MATCH(cadangan3[[#This Row],[ItemID C]],Katalog!$C$3:$C$12,0)),"-")</f>
        <v>Jaket Jeans</v>
      </c>
      <c r="Z492">
        <v>1</v>
      </c>
      <c r="AA492">
        <v>2</v>
      </c>
      <c r="AB492" s="36">
        <f>IFERROR(INDEX(Katalog!$D$3:$D$12,MATCH(cadangan3[[#This Row],[ItemID C]],Katalog!$C$3:$C$12,0))*cadangan3[[#This Row],[Qty C]],0)</f>
        <v>400000</v>
      </c>
      <c r="AC492" s="36">
        <f>IFERROR(INDEX(Katalog!$D$3:$D$12,MATCH(cadangan3[[#This Row],[Item C]],Katalog!$B$3:$B$12,0))*cadangan3[[#This Row],[Qty C]],0)</f>
        <v>400000</v>
      </c>
      <c r="AD492" s="36">
        <f>IFERROR(cadangan3[[#This Row],[Harga Asli C]]-(cadangan3[[#This Row],[Harga Asli C]]*cadangan3[[#This Row],[Diskon]]),cadangan3[[#This Row],[Harga Asli C]])</f>
        <v>340000</v>
      </c>
      <c r="AE492" s="36">
        <f>IFERROR(INDEX(Katalog!$F$3:$F$12,MATCH(cadangan3[[#This Row],[ItemID C]],Katalog!$C$3:$C$12,0))*cadangan3[[#This Row],[Qty C]],0)</f>
        <v>150000</v>
      </c>
      <c r="AF492" s="36">
        <f>IFERROR(cadangan3[[#This Row],[Profit C]]-(cadangan3[[#This Row],[Profit C]]*cadangan3[[#This Row],[Diskon]]),cadangan3[[#This Row],[Profit C]])</f>
        <v>127500</v>
      </c>
      <c r="AG492" s="21">
        <f>cadangan3[[#This Row],[Qty A]]+cadangan3[[#This Row],[Qty B]]+cadangan3[[#This Row],[Qty C]]</f>
        <v>4</v>
      </c>
      <c r="AH492" s="35">
        <f>cadangan3[[#This Row],[Harga A + Diskon]]+cadangan3[[#This Row],[Harga + Diskon B]]+cadangan3[[#This Row],[Harga + Diskon C]]</f>
        <v>1071000</v>
      </c>
      <c r="AI492" s="35">
        <f>(cadangan3[[#This Row],[Profit A]]+cadangan3[[#This Row],[Profit B]]+cadangan3[[#This Row],[Profit C]])</f>
        <v>490000</v>
      </c>
      <c r="AJ492" s="35">
        <f>cadangan3[[#This Row],[Provit A + Diskon]]+cadangan3[[#This Row],[Provit B + Diskon]]+cadangan3[[#This Row],[Provit C + Diskon]]</f>
        <v>416500</v>
      </c>
      <c r="AK492" s="23" t="s">
        <v>28</v>
      </c>
      <c r="AL492" s="37">
        <f>IFERROR(INDEX('Kode Diskon'!$D$3:$D$9,MATCH(cadangan3[[#This Row],[Kode diskon]],'Kode Diskon'!$C$3:$C$9,0)),"-")</f>
        <v>0.15</v>
      </c>
      <c r="AM492" s="23" t="s">
        <v>29</v>
      </c>
      <c r="AN492" s="23" t="s">
        <v>14</v>
      </c>
      <c r="AO492" s="23" t="s">
        <v>80</v>
      </c>
      <c r="AP492" s="24">
        <v>45021</v>
      </c>
      <c r="AQ492" s="23" t="str">
        <f>TEXT(cadangan3[[#This Row],[Tanggal terjual]],"dddd")</f>
        <v>Wednesday</v>
      </c>
    </row>
    <row r="493" spans="1:43" x14ac:dyDescent="0.2">
      <c r="A493" s="20">
        <v>492</v>
      </c>
      <c r="B493" s="21" t="str">
        <f>_xlfn.CONCAT("ORD-",INDEX(Helper!$B$2:$B$5,MATCH(cadangan3[[#This Row],[Marketplace]],Helper!$A$2:$A$5,0)),TEXT(cadangan3[[#This Row],[No]],"0000"),"-",TEXT(cadangan3[[#This Row],[Tanggal terjual]],"dd/mm/yy"))</f>
        <v>ORD-TK0492-06/04/23</v>
      </c>
      <c r="C493" t="s">
        <v>62</v>
      </c>
      <c r="D493" t="str">
        <f>IFERROR(INDEX(Katalog!$A$3:$A$12,MATCH(cadangan3[[#This Row],[ItemID A]],Katalog!$C$3:$C$12,0)),"-")</f>
        <v>Pakaian Pria</v>
      </c>
      <c r="E493" t="str">
        <f>IFERROR(INDEX(Katalog!$B$3:$B$12,MATCH(cadangan3[[#This Row],[ItemID A]],Katalog!$C$3:$C$12,0)),"-")</f>
        <v>Celana Pendek</v>
      </c>
      <c r="F493">
        <v>3</v>
      </c>
      <c r="G493">
        <v>5</v>
      </c>
      <c r="H493" s="36">
        <f>IFERROR(INDEX(Katalog!$D$3:$D$12,MATCH(cadangan3[[#This Row],[ItemID A]],Katalog!$C$3:$C$12,0))*cadangan3[[#This Row],[Qty A]],0)</f>
        <v>540000</v>
      </c>
      <c r="I493" s="36">
        <f>IFERROR(INDEX(Katalog!$D$3:$D$12,MATCH(cadangan3[[#This Row],[Item A]],Katalog!$B$3:$B$12,0))*cadangan3[[#This Row],[Qty A]],0)</f>
        <v>540000</v>
      </c>
      <c r="J493" s="36">
        <f>IFERROR(cadangan3[[#This Row],[Harga Asli A]]-(cadangan3[[#This Row],[Harga Asli A]]*cadangan3[[#This Row],[Diskon]]),cadangan3[[#This Row],[Harga Asli A]])</f>
        <v>486000</v>
      </c>
      <c r="K493" s="36">
        <f>INDEX(Katalog!$F$3:$F$12,MATCH(cadangan3[[#This Row],[ItemID A]],Katalog!$C$3:$C$12,0))*cadangan3[[#This Row],[Qty A]]</f>
        <v>210000</v>
      </c>
      <c r="L493" s="36">
        <f>IFERROR(cadangan3[[#This Row],[Profit A]]-(cadangan3[[#This Row],[Profit A]]*cadangan3[[#This Row],[Diskon]]),K493)</f>
        <v>189000</v>
      </c>
      <c r="M493" t="s">
        <v>63</v>
      </c>
      <c r="N493" t="str">
        <f>IFERROR(INDEX(Katalog!$A$3:$A$12,MATCH(cadangan3[[#This Row],[ItemID B]],Katalog!$C$3:$C$12,0)),"-")</f>
        <v>Pakaian Pria</v>
      </c>
      <c r="O493" t="str">
        <f>IFERROR(INDEX(Katalog!$B$3:$B$12,MATCH(cadangan3[[#This Row],[ItemID B]],Katalog!$C$3:$C$12,0)),"-")</f>
        <v>Jaket Jeans</v>
      </c>
      <c r="P493">
        <v>1</v>
      </c>
      <c r="Q493">
        <v>4</v>
      </c>
      <c r="R493" s="36">
        <f>IFERROR(INDEX(Katalog!$D$3:$D$12,MATCH(cadangan3[[#This Row],[ItemID B]],Katalog!$C$3:$C$12,0))*cadangan3[[#This Row],[Qty B]],0)</f>
        <v>400000</v>
      </c>
      <c r="S493" s="36">
        <f>IFERROR(INDEX(Katalog!$D$3:$D$12,MATCH(cadangan3[[#This Row],[Item B]],Katalog!$B$3:$B$12,0))*cadangan3[[#This Row],[Qty B]],0)</f>
        <v>400000</v>
      </c>
      <c r="T493" s="36">
        <f>IFERROR(cadangan3[[#This Row],[Harga Asli B]]-(cadangan3[[#This Row],[Harga Asli B]]*cadangan3[[#This Row],[Diskon]]),cadangan3[[#This Row],[Harga Asli B]])</f>
        <v>360000</v>
      </c>
      <c r="U493" s="36">
        <f>IFERROR(INDEX(Katalog!$F$3:$F$12,MATCH(cadangan3[[#This Row],[ItemID B]],Katalog!$C$3:$C$12,0))*cadangan3[[#This Row],[Qty B]],0)</f>
        <v>150000</v>
      </c>
      <c r="V493" s="36">
        <f>IFERROR(cadangan3[[#This Row],[Profit B]]-(cadangan3[[#This Row],[Profit B]]*cadangan3[[#This Row],[Diskon]]),U493)</f>
        <v>135000</v>
      </c>
      <c r="W493" t="s">
        <v>64</v>
      </c>
      <c r="X493" t="str">
        <f>IFERROR(INDEX(Katalog!$A$3:$A$12,MATCH(cadangan3[[#This Row],[ItemID C]],Katalog!$C$3:$C$12,0)),"-")</f>
        <v>Pakaian Unisex</v>
      </c>
      <c r="Y493" t="str">
        <f>IFERROR(INDEX(Katalog!$B$3:$B$12,MATCH(cadangan3[[#This Row],[ItemID C]],Katalog!$C$3:$C$12,0)),"-")</f>
        <v>Jaket Hoodie</v>
      </c>
      <c r="Z493">
        <v>1</v>
      </c>
      <c r="AA493">
        <v>3</v>
      </c>
      <c r="AB493" s="36">
        <f>IFERROR(INDEX(Katalog!$D$3:$D$12,MATCH(cadangan3[[#This Row],[ItemID C]],Katalog!$C$3:$C$12,0))*cadangan3[[#This Row],[Qty C]],0)</f>
        <v>350000</v>
      </c>
      <c r="AC493" s="36">
        <f>IFERROR(INDEX(Katalog!$D$3:$D$12,MATCH(cadangan3[[#This Row],[Item C]],Katalog!$B$3:$B$12,0))*cadangan3[[#This Row],[Qty C]],0)</f>
        <v>350000</v>
      </c>
      <c r="AD493" s="36">
        <f>IFERROR(cadangan3[[#This Row],[Harga Asli C]]-(cadangan3[[#This Row],[Harga Asli C]]*cadangan3[[#This Row],[Diskon]]),cadangan3[[#This Row],[Harga Asli C]])</f>
        <v>315000</v>
      </c>
      <c r="AE493" s="36">
        <f>IFERROR(INDEX(Katalog!$F$3:$F$12,MATCH(cadangan3[[#This Row],[ItemID C]],Katalog!$C$3:$C$12,0))*cadangan3[[#This Row],[Qty C]],0)</f>
        <v>130000</v>
      </c>
      <c r="AF493" s="36">
        <f>IFERROR(cadangan3[[#This Row],[Profit C]]-(cadangan3[[#This Row],[Profit C]]*cadangan3[[#This Row],[Diskon]]),cadangan3[[#This Row],[Profit C]])</f>
        <v>117000</v>
      </c>
      <c r="AG493" s="21">
        <f>cadangan3[[#This Row],[Qty A]]+cadangan3[[#This Row],[Qty B]]+cadangan3[[#This Row],[Qty C]]</f>
        <v>5</v>
      </c>
      <c r="AH493" s="35">
        <f>cadangan3[[#This Row],[Harga A + Diskon]]+cadangan3[[#This Row],[Harga + Diskon B]]+cadangan3[[#This Row],[Harga + Diskon C]]</f>
        <v>1161000</v>
      </c>
      <c r="AI493" s="35">
        <f>(cadangan3[[#This Row],[Profit A]]+cadangan3[[#This Row],[Profit B]]+cadangan3[[#This Row],[Profit C]])</f>
        <v>490000</v>
      </c>
      <c r="AJ493" s="35">
        <f>cadangan3[[#This Row],[Provit A + Diskon]]+cadangan3[[#This Row],[Provit B + Diskon]]+cadangan3[[#This Row],[Provit C + Diskon]]</f>
        <v>441000</v>
      </c>
      <c r="AK493" s="23" t="s">
        <v>30</v>
      </c>
      <c r="AL493" s="37">
        <f>IFERROR(INDEX('Kode Diskon'!$D$3:$D$9,MATCH(cadangan3[[#This Row],[Kode diskon]],'Kode Diskon'!$C$3:$C$9,0)),"-")</f>
        <v>0.1</v>
      </c>
      <c r="AM493" s="23" t="s">
        <v>29</v>
      </c>
      <c r="AN493" s="23" t="s">
        <v>10</v>
      </c>
      <c r="AO493" s="23" t="s">
        <v>79</v>
      </c>
      <c r="AP493" s="24">
        <v>45022</v>
      </c>
      <c r="AQ493" s="23" t="str">
        <f>TEXT(cadangan3[[#This Row],[Tanggal terjual]],"dddd")</f>
        <v>Thursday</v>
      </c>
    </row>
    <row r="494" spans="1:43" x14ac:dyDescent="0.2">
      <c r="A494" s="20">
        <v>493</v>
      </c>
      <c r="B494" s="21" t="str">
        <f>_xlfn.CONCAT("ORD-",INDEX(Helper!$B$2:$B$5,MATCH(cadangan3[[#This Row],[Marketplace]],Helper!$A$2:$A$5,0)),TEXT(cadangan3[[#This Row],[No]],"0000"),"-",TEXT(cadangan3[[#This Row],[Tanggal terjual]],"dd/mm/yy"))</f>
        <v>ORD-BB0493-13/04/23</v>
      </c>
      <c r="C494" t="s">
        <v>59</v>
      </c>
      <c r="D494" t="str">
        <f>IFERROR(INDEX(Katalog!$A$3:$A$12,MATCH(cadangan3[[#This Row],[ItemID A]],Katalog!$C$3:$C$12,0)),"-")</f>
        <v>Pakaian Wanita</v>
      </c>
      <c r="E494" t="str">
        <f>IFERROR(INDEX(Katalog!$B$3:$B$12,MATCH(cadangan3[[#This Row],[ItemID A]],Katalog!$C$3:$C$12,0)),"-")</f>
        <v>Blouse</v>
      </c>
      <c r="F494">
        <v>2</v>
      </c>
      <c r="G494">
        <v>4</v>
      </c>
      <c r="H494" s="36">
        <f>IFERROR(INDEX(Katalog!$D$3:$D$12,MATCH(cadangan3[[#This Row],[ItemID A]],Katalog!$C$3:$C$12,0))*cadangan3[[#This Row],[Qty A]],0)</f>
        <v>300000</v>
      </c>
      <c r="I494" s="36">
        <f>IFERROR(INDEX(Katalog!$D$3:$D$12,MATCH(cadangan3[[#This Row],[Item A]],Katalog!$B$3:$B$12,0))*cadangan3[[#This Row],[Qty A]],0)</f>
        <v>300000</v>
      </c>
      <c r="J494" s="36">
        <f>IFERROR(cadangan3[[#This Row],[Harga Asli A]]-(cadangan3[[#This Row],[Harga Asli A]]*cadangan3[[#This Row],[Diskon]]),cadangan3[[#This Row],[Harga Asli A]])</f>
        <v>300000</v>
      </c>
      <c r="K494" s="36">
        <f>INDEX(Katalog!$F$3:$F$12,MATCH(cadangan3[[#This Row],[ItemID A]],Katalog!$C$3:$C$12,0))*cadangan3[[#This Row],[Qty A]]</f>
        <v>100000</v>
      </c>
      <c r="L494" s="36">
        <f>IFERROR(cadangan3[[#This Row],[Profit A]]-(cadangan3[[#This Row],[Profit A]]*cadangan3[[#This Row],[Diskon]]),K494)</f>
        <v>100000</v>
      </c>
      <c r="M494" t="s">
        <v>58</v>
      </c>
      <c r="N494" t="str">
        <f>IFERROR(INDEX(Katalog!$A$3:$A$12,MATCH(cadangan3[[#This Row],[ItemID B]],Katalog!$C$3:$C$12,0)),"-")</f>
        <v>Pakaian Wanita</v>
      </c>
      <c r="O494" t="str">
        <f>IFERROR(INDEX(Katalog!$B$3:$B$12,MATCH(cadangan3[[#This Row],[ItemID B]],Katalog!$C$3:$C$12,0)),"-")</f>
        <v>Dress</v>
      </c>
      <c r="P494">
        <v>1</v>
      </c>
      <c r="Q494">
        <v>5</v>
      </c>
      <c r="R494" s="36">
        <f>IFERROR(INDEX(Katalog!$D$3:$D$12,MATCH(cadangan3[[#This Row],[ItemID B]],Katalog!$C$3:$C$12,0))*cadangan3[[#This Row],[Qty B]],0)</f>
        <v>300000</v>
      </c>
      <c r="S494" s="36">
        <f>IFERROR(INDEX(Katalog!$D$3:$D$12,MATCH(cadangan3[[#This Row],[Item B]],Katalog!$B$3:$B$12,0))*cadangan3[[#This Row],[Qty B]],0)</f>
        <v>300000</v>
      </c>
      <c r="T494" s="36">
        <f>IFERROR(cadangan3[[#This Row],[Harga Asli B]]-(cadangan3[[#This Row],[Harga Asli B]]*cadangan3[[#This Row],[Diskon]]),cadangan3[[#This Row],[Harga Asli B]])</f>
        <v>300000</v>
      </c>
      <c r="U494" s="36">
        <f>IFERROR(INDEX(Katalog!$F$3:$F$12,MATCH(cadangan3[[#This Row],[ItemID B]],Katalog!$C$3:$C$12,0))*cadangan3[[#This Row],[Qty B]],0)</f>
        <v>100000</v>
      </c>
      <c r="V494" s="36">
        <f>IFERROR(cadangan3[[#This Row],[Profit B]]-(cadangan3[[#This Row],[Profit B]]*cadangan3[[#This Row],[Diskon]]),U494)</f>
        <v>100000</v>
      </c>
      <c r="W494" t="s">
        <v>64</v>
      </c>
      <c r="X494" t="str">
        <f>IFERROR(INDEX(Katalog!$A$3:$A$12,MATCH(cadangan3[[#This Row],[ItemID C]],Katalog!$C$3:$C$12,0)),"-")</f>
        <v>Pakaian Unisex</v>
      </c>
      <c r="Y494" t="str">
        <f>IFERROR(INDEX(Katalog!$B$3:$B$12,MATCH(cadangan3[[#This Row],[ItemID C]],Katalog!$C$3:$C$12,0)),"-")</f>
        <v>Jaket Hoodie</v>
      </c>
      <c r="Z494">
        <v>1</v>
      </c>
      <c r="AA494">
        <v>1</v>
      </c>
      <c r="AB494" s="36">
        <f>IFERROR(INDEX(Katalog!$D$3:$D$12,MATCH(cadangan3[[#This Row],[ItemID C]],Katalog!$C$3:$C$12,0))*cadangan3[[#This Row],[Qty C]],0)</f>
        <v>350000</v>
      </c>
      <c r="AC494" s="36">
        <f>IFERROR(INDEX(Katalog!$D$3:$D$12,MATCH(cadangan3[[#This Row],[Item C]],Katalog!$B$3:$B$12,0))*cadangan3[[#This Row],[Qty C]],0)</f>
        <v>350000</v>
      </c>
      <c r="AD494" s="36">
        <f>IFERROR(cadangan3[[#This Row],[Harga Asli C]]-(cadangan3[[#This Row],[Harga Asli C]]*cadangan3[[#This Row],[Diskon]]),cadangan3[[#This Row],[Harga Asli C]])</f>
        <v>350000</v>
      </c>
      <c r="AE494" s="36">
        <f>IFERROR(INDEX(Katalog!$F$3:$F$12,MATCH(cadangan3[[#This Row],[ItemID C]],Katalog!$C$3:$C$12,0))*cadangan3[[#This Row],[Qty C]],0)</f>
        <v>130000</v>
      </c>
      <c r="AF494" s="36">
        <f>IFERROR(cadangan3[[#This Row],[Profit C]]-(cadangan3[[#This Row],[Profit C]]*cadangan3[[#This Row],[Diskon]]),cadangan3[[#This Row],[Profit C]])</f>
        <v>130000</v>
      </c>
      <c r="AG494" s="21">
        <f>cadangan3[[#This Row],[Qty A]]+cadangan3[[#This Row],[Qty B]]+cadangan3[[#This Row],[Qty C]]</f>
        <v>4</v>
      </c>
      <c r="AH494" s="35">
        <f>cadangan3[[#This Row],[Harga A + Diskon]]+cadangan3[[#This Row],[Harga + Diskon B]]+cadangan3[[#This Row],[Harga + Diskon C]]</f>
        <v>950000</v>
      </c>
      <c r="AI494" s="35">
        <f>(cadangan3[[#This Row],[Profit A]]+cadangan3[[#This Row],[Profit B]]+cadangan3[[#This Row],[Profit C]])</f>
        <v>330000</v>
      </c>
      <c r="AJ494" s="35">
        <f>cadangan3[[#This Row],[Provit A + Diskon]]+cadangan3[[#This Row],[Provit B + Diskon]]+cadangan3[[#This Row],[Provit C + Diskon]]</f>
        <v>330000</v>
      </c>
      <c r="AK494" s="23" t="s">
        <v>11</v>
      </c>
      <c r="AL494" s="37" t="str">
        <f>IFERROR(INDEX('Kode Diskon'!$D$3:$D$9,MATCH(cadangan3[[#This Row],[Kode diskon]],'Kode Diskon'!$C$3:$C$9,0)),"-")</f>
        <v>-</v>
      </c>
      <c r="AM494" s="23" t="s">
        <v>11</v>
      </c>
      <c r="AN494" s="23" t="s">
        <v>14</v>
      </c>
      <c r="AO494" s="23" t="s">
        <v>76</v>
      </c>
      <c r="AP494" s="24">
        <v>45029</v>
      </c>
      <c r="AQ494" s="23" t="str">
        <f>TEXT(cadangan3[[#This Row],[Tanggal terjual]],"dddd")</f>
        <v>Thursday</v>
      </c>
    </row>
    <row r="495" spans="1:43" x14ac:dyDescent="0.2">
      <c r="A495" s="20">
        <v>494</v>
      </c>
      <c r="B495" s="21" t="str">
        <f>_xlfn.CONCAT("ORD-",INDEX(Helper!$B$2:$B$5,MATCH(cadangan3[[#This Row],[Marketplace]],Helper!$A$2:$A$5,0)),TEXT(cadangan3[[#This Row],[No]],"0000"),"-",TEXT(cadangan3[[#This Row],[Tanggal terjual]],"dd/mm/yy"))</f>
        <v>ORD-BB0494-05/04/23</v>
      </c>
      <c r="C495" t="s">
        <v>59</v>
      </c>
      <c r="D495" t="str">
        <f>IFERROR(INDEX(Katalog!$A$3:$A$12,MATCH(cadangan3[[#This Row],[ItemID A]],Katalog!$C$3:$C$12,0)),"-")</f>
        <v>Pakaian Wanita</v>
      </c>
      <c r="E495" t="str">
        <f>IFERROR(INDEX(Katalog!$B$3:$B$12,MATCH(cadangan3[[#This Row],[ItemID A]],Katalog!$C$3:$C$12,0)),"-")</f>
        <v>Blouse</v>
      </c>
      <c r="F495">
        <v>1</v>
      </c>
      <c r="G495">
        <v>4</v>
      </c>
      <c r="H495" s="36">
        <f>IFERROR(INDEX(Katalog!$D$3:$D$12,MATCH(cadangan3[[#This Row],[ItemID A]],Katalog!$C$3:$C$12,0))*cadangan3[[#This Row],[Qty A]],0)</f>
        <v>150000</v>
      </c>
      <c r="I495" s="36">
        <f>IFERROR(INDEX(Katalog!$D$3:$D$12,MATCH(cadangan3[[#This Row],[Item A]],Katalog!$B$3:$B$12,0))*cadangan3[[#This Row],[Qty A]],0)</f>
        <v>150000</v>
      </c>
      <c r="J495" s="36">
        <f>IFERROR(cadangan3[[#This Row],[Harga Asli A]]-(cadangan3[[#This Row],[Harga Asli A]]*cadangan3[[#This Row],[Diskon]]),cadangan3[[#This Row],[Harga Asli A]])</f>
        <v>127500</v>
      </c>
      <c r="K495" s="36">
        <f>INDEX(Katalog!$F$3:$F$12,MATCH(cadangan3[[#This Row],[ItemID A]],Katalog!$C$3:$C$12,0))*cadangan3[[#This Row],[Qty A]]</f>
        <v>50000</v>
      </c>
      <c r="L495" s="36">
        <f>IFERROR(cadangan3[[#This Row],[Profit A]]-(cadangan3[[#This Row],[Profit A]]*cadangan3[[#This Row],[Diskon]]),K495)</f>
        <v>42500</v>
      </c>
      <c r="M495" t="s">
        <v>61</v>
      </c>
      <c r="N495" t="str">
        <f>IFERROR(INDEX(Katalog!$A$3:$A$12,MATCH(cadangan3[[#This Row],[ItemID B]],Katalog!$C$3:$C$12,0)),"-")</f>
        <v>Pakaian Pria</v>
      </c>
      <c r="O495" t="str">
        <f>IFERROR(INDEX(Katalog!$B$3:$B$12,MATCH(cadangan3[[#This Row],[ItemID B]],Katalog!$C$3:$C$12,0)),"-")</f>
        <v>Kaos Polo</v>
      </c>
      <c r="P495">
        <v>1</v>
      </c>
      <c r="Q495">
        <v>5</v>
      </c>
      <c r="R495" s="36">
        <f>IFERROR(INDEX(Katalog!$D$3:$D$12,MATCH(cadangan3[[#This Row],[ItemID B]],Katalog!$C$3:$C$12,0))*cadangan3[[#This Row],[Qty B]],0)</f>
        <v>200000</v>
      </c>
      <c r="S495" s="36">
        <f>IFERROR(INDEX(Katalog!$D$3:$D$12,MATCH(cadangan3[[#This Row],[Item B]],Katalog!$B$3:$B$12,0))*cadangan3[[#This Row],[Qty B]],0)</f>
        <v>200000</v>
      </c>
      <c r="T495" s="36">
        <f>IFERROR(cadangan3[[#This Row],[Harga Asli B]]-(cadangan3[[#This Row],[Harga Asli B]]*cadangan3[[#This Row],[Diskon]]),cadangan3[[#This Row],[Harga Asli B]])</f>
        <v>170000</v>
      </c>
      <c r="U495" s="36">
        <f>IFERROR(INDEX(Katalog!$F$3:$F$12,MATCH(cadangan3[[#This Row],[ItemID B]],Katalog!$C$3:$C$12,0))*cadangan3[[#This Row],[Qty B]],0)</f>
        <v>80000</v>
      </c>
      <c r="V495" s="36">
        <f>IFERROR(cadangan3[[#This Row],[Profit B]]-(cadangan3[[#This Row],[Profit B]]*cadangan3[[#This Row],[Diskon]]),U495)</f>
        <v>68000</v>
      </c>
      <c r="W495" t="s">
        <v>67</v>
      </c>
      <c r="X495" t="str">
        <f>IFERROR(INDEX(Katalog!$A$3:$A$12,MATCH(cadangan3[[#This Row],[ItemID C]],Katalog!$C$3:$C$12,0)),"-")</f>
        <v>Sepatu Wanita</v>
      </c>
      <c r="Y495" t="str">
        <f>IFERROR(INDEX(Katalog!$B$3:$B$12,MATCH(cadangan3[[#This Row],[ItemID C]],Katalog!$C$3:$C$12,0)),"-")</f>
        <v>Flat Shoes</v>
      </c>
      <c r="Z495">
        <v>1</v>
      </c>
      <c r="AA495">
        <v>5</v>
      </c>
      <c r="AB495" s="36">
        <f>IFERROR(INDEX(Katalog!$D$3:$D$12,MATCH(cadangan3[[#This Row],[ItemID C]],Katalog!$C$3:$C$12,0))*cadangan3[[#This Row],[Qty C]],0)</f>
        <v>250000</v>
      </c>
      <c r="AC495" s="36">
        <f>IFERROR(INDEX(Katalog!$D$3:$D$12,MATCH(cadangan3[[#This Row],[Item C]],Katalog!$B$3:$B$12,0))*cadangan3[[#This Row],[Qty C]],0)</f>
        <v>250000</v>
      </c>
      <c r="AD495" s="36">
        <f>IFERROR(cadangan3[[#This Row],[Harga Asli C]]-(cadangan3[[#This Row],[Harga Asli C]]*cadangan3[[#This Row],[Diskon]]),cadangan3[[#This Row],[Harga Asli C]])</f>
        <v>212500</v>
      </c>
      <c r="AE495" s="36">
        <f>IFERROR(INDEX(Katalog!$F$3:$F$12,MATCH(cadangan3[[#This Row],[ItemID C]],Katalog!$C$3:$C$12,0))*cadangan3[[#This Row],[Qty C]],0)</f>
        <v>100000</v>
      </c>
      <c r="AF495" s="36">
        <f>IFERROR(cadangan3[[#This Row],[Profit C]]-(cadangan3[[#This Row],[Profit C]]*cadangan3[[#This Row],[Diskon]]),cadangan3[[#This Row],[Profit C]])</f>
        <v>85000</v>
      </c>
      <c r="AG495" s="21">
        <f>cadangan3[[#This Row],[Qty A]]+cadangan3[[#This Row],[Qty B]]+cadangan3[[#This Row],[Qty C]]</f>
        <v>3</v>
      </c>
      <c r="AH495" s="35">
        <f>cadangan3[[#This Row],[Harga A + Diskon]]+cadangan3[[#This Row],[Harga + Diskon B]]+cadangan3[[#This Row],[Harga + Diskon C]]</f>
        <v>510000</v>
      </c>
      <c r="AI495" s="35">
        <f>(cadangan3[[#This Row],[Profit A]]+cadangan3[[#This Row],[Profit B]]+cadangan3[[#This Row],[Profit C]])</f>
        <v>230000</v>
      </c>
      <c r="AJ495" s="35">
        <f>cadangan3[[#This Row],[Provit A + Diskon]]+cadangan3[[#This Row],[Provit B + Diskon]]+cadangan3[[#This Row],[Provit C + Diskon]]</f>
        <v>195500</v>
      </c>
      <c r="AK495" s="23" t="s">
        <v>28</v>
      </c>
      <c r="AL495" s="37">
        <f>IFERROR(INDEX('Kode Diskon'!$D$3:$D$9,MATCH(cadangan3[[#This Row],[Kode diskon]],'Kode Diskon'!$C$3:$C$9,0)),"-")</f>
        <v>0.15</v>
      </c>
      <c r="AM495" s="23" t="s">
        <v>29</v>
      </c>
      <c r="AN495" s="23" t="s">
        <v>14</v>
      </c>
      <c r="AO495" s="23" t="s">
        <v>75</v>
      </c>
      <c r="AP495" s="24">
        <v>45021</v>
      </c>
      <c r="AQ495" s="23" t="str">
        <f>TEXT(cadangan3[[#This Row],[Tanggal terjual]],"dddd")</f>
        <v>Wednesday</v>
      </c>
    </row>
    <row r="496" spans="1:43" x14ac:dyDescent="0.2">
      <c r="A496" s="20">
        <v>495</v>
      </c>
      <c r="B496" s="21" t="str">
        <f>_xlfn.CONCAT("ORD-",INDEX(Helper!$B$2:$B$5,MATCH(cadangan3[[#This Row],[Marketplace]],Helper!$A$2:$A$5,0)),TEXT(cadangan3[[#This Row],[No]],"0000"),"-",TEXT(cadangan3[[#This Row],[Tanggal terjual]],"dd/mm/yy"))</f>
        <v>ORD-SP0495-01/04/23</v>
      </c>
      <c r="C496" t="s">
        <v>64</v>
      </c>
      <c r="D496" t="str">
        <f>IFERROR(INDEX(Katalog!$A$3:$A$12,MATCH(cadangan3[[#This Row],[ItemID A]],Katalog!$C$3:$C$12,0)),"-")</f>
        <v>Pakaian Unisex</v>
      </c>
      <c r="E496" t="str">
        <f>IFERROR(INDEX(Katalog!$B$3:$B$12,MATCH(cadangan3[[#This Row],[ItemID A]],Katalog!$C$3:$C$12,0)),"-")</f>
        <v>Jaket Hoodie</v>
      </c>
      <c r="F496">
        <v>1</v>
      </c>
      <c r="G496">
        <v>5</v>
      </c>
      <c r="H496" s="36">
        <f>IFERROR(INDEX(Katalog!$D$3:$D$12,MATCH(cadangan3[[#This Row],[ItemID A]],Katalog!$C$3:$C$12,0))*cadangan3[[#This Row],[Qty A]],0)</f>
        <v>350000</v>
      </c>
      <c r="I496" s="36">
        <f>IFERROR(INDEX(Katalog!$D$3:$D$12,MATCH(cadangan3[[#This Row],[Item A]],Katalog!$B$3:$B$12,0))*cadangan3[[#This Row],[Qty A]],0)</f>
        <v>350000</v>
      </c>
      <c r="J496" s="36">
        <f>IFERROR(cadangan3[[#This Row],[Harga Asli A]]-(cadangan3[[#This Row],[Harga Asli A]]*cadangan3[[#This Row],[Diskon]]),cadangan3[[#This Row],[Harga Asli A]])</f>
        <v>297500</v>
      </c>
      <c r="K496" s="36">
        <f>INDEX(Katalog!$F$3:$F$12,MATCH(cadangan3[[#This Row],[ItemID A]],Katalog!$C$3:$C$12,0))*cadangan3[[#This Row],[Qty A]]</f>
        <v>130000</v>
      </c>
      <c r="L496" s="36">
        <f>IFERROR(cadangan3[[#This Row],[Profit A]]-(cadangan3[[#This Row],[Profit A]]*cadangan3[[#This Row],[Diskon]]),K496)</f>
        <v>110500</v>
      </c>
      <c r="M496" t="s">
        <v>59</v>
      </c>
      <c r="N496" t="str">
        <f>IFERROR(INDEX(Katalog!$A$3:$A$12,MATCH(cadangan3[[#This Row],[ItemID B]],Katalog!$C$3:$C$12,0)),"-")</f>
        <v>Pakaian Wanita</v>
      </c>
      <c r="O496" t="str">
        <f>IFERROR(INDEX(Katalog!$B$3:$B$12,MATCH(cadangan3[[#This Row],[ItemID B]],Katalog!$C$3:$C$12,0)),"-")</f>
        <v>Blouse</v>
      </c>
      <c r="P496">
        <v>1</v>
      </c>
      <c r="Q496">
        <v>3</v>
      </c>
      <c r="R496" s="36">
        <f>IFERROR(INDEX(Katalog!$D$3:$D$12,MATCH(cadangan3[[#This Row],[ItemID B]],Katalog!$C$3:$C$12,0))*cadangan3[[#This Row],[Qty B]],0)</f>
        <v>150000</v>
      </c>
      <c r="S496" s="36">
        <f>IFERROR(INDEX(Katalog!$D$3:$D$12,MATCH(cadangan3[[#This Row],[Item B]],Katalog!$B$3:$B$12,0))*cadangan3[[#This Row],[Qty B]],0)</f>
        <v>150000</v>
      </c>
      <c r="T496" s="36">
        <f>IFERROR(cadangan3[[#This Row],[Harga Asli B]]-(cadangan3[[#This Row],[Harga Asli B]]*cadangan3[[#This Row],[Diskon]]),cadangan3[[#This Row],[Harga Asli B]])</f>
        <v>127500</v>
      </c>
      <c r="U496" s="36">
        <f>IFERROR(INDEX(Katalog!$F$3:$F$12,MATCH(cadangan3[[#This Row],[ItemID B]],Katalog!$C$3:$C$12,0))*cadangan3[[#This Row],[Qty B]],0)</f>
        <v>50000</v>
      </c>
      <c r="V496" s="36">
        <f>IFERROR(cadangan3[[#This Row],[Profit B]]-(cadangan3[[#This Row],[Profit B]]*cadangan3[[#This Row],[Diskon]]),U496)</f>
        <v>42500</v>
      </c>
      <c r="W496" t="s">
        <v>67</v>
      </c>
      <c r="X496" t="str">
        <f>IFERROR(INDEX(Katalog!$A$3:$A$12,MATCH(cadangan3[[#This Row],[ItemID C]],Katalog!$C$3:$C$12,0)),"-")</f>
        <v>Sepatu Wanita</v>
      </c>
      <c r="Y496" t="str">
        <f>IFERROR(INDEX(Katalog!$B$3:$B$12,MATCH(cadangan3[[#This Row],[ItemID C]],Katalog!$C$3:$C$12,0)),"-")</f>
        <v>Flat Shoes</v>
      </c>
      <c r="Z496">
        <v>5</v>
      </c>
      <c r="AA496">
        <v>3</v>
      </c>
      <c r="AB496" s="36">
        <f>IFERROR(INDEX(Katalog!$D$3:$D$12,MATCH(cadangan3[[#This Row],[ItemID C]],Katalog!$C$3:$C$12,0))*cadangan3[[#This Row],[Qty C]],0)</f>
        <v>1250000</v>
      </c>
      <c r="AC496" s="36">
        <f>IFERROR(INDEX(Katalog!$D$3:$D$12,MATCH(cadangan3[[#This Row],[Item C]],Katalog!$B$3:$B$12,0))*cadangan3[[#This Row],[Qty C]],0)</f>
        <v>1250000</v>
      </c>
      <c r="AD496" s="36">
        <f>IFERROR(cadangan3[[#This Row],[Harga Asli C]]-(cadangan3[[#This Row],[Harga Asli C]]*cadangan3[[#This Row],[Diskon]]),cadangan3[[#This Row],[Harga Asli C]])</f>
        <v>1062500</v>
      </c>
      <c r="AE496" s="36">
        <f>IFERROR(INDEX(Katalog!$F$3:$F$12,MATCH(cadangan3[[#This Row],[ItemID C]],Katalog!$C$3:$C$12,0))*cadangan3[[#This Row],[Qty C]],0)</f>
        <v>500000</v>
      </c>
      <c r="AF496" s="36">
        <f>IFERROR(cadangan3[[#This Row],[Profit C]]-(cadangan3[[#This Row],[Profit C]]*cadangan3[[#This Row],[Diskon]]),cadangan3[[#This Row],[Profit C]])</f>
        <v>425000</v>
      </c>
      <c r="AG496" s="21">
        <f>cadangan3[[#This Row],[Qty A]]+cadangan3[[#This Row],[Qty B]]+cadangan3[[#This Row],[Qty C]]</f>
        <v>7</v>
      </c>
      <c r="AH496" s="35">
        <f>cadangan3[[#This Row],[Harga A + Diskon]]+cadangan3[[#This Row],[Harga + Diskon B]]+cadangan3[[#This Row],[Harga + Diskon C]]</f>
        <v>1487500</v>
      </c>
      <c r="AI496" s="35">
        <f>(cadangan3[[#This Row],[Profit A]]+cadangan3[[#This Row],[Profit B]]+cadangan3[[#This Row],[Profit C]])</f>
        <v>680000</v>
      </c>
      <c r="AJ496" s="35">
        <f>cadangan3[[#This Row],[Provit A + Diskon]]+cadangan3[[#This Row],[Provit B + Diskon]]+cadangan3[[#This Row],[Provit C + Diskon]]</f>
        <v>578000</v>
      </c>
      <c r="AK496" s="23" t="s">
        <v>13</v>
      </c>
      <c r="AL496" s="37">
        <f>IFERROR(INDEX('Kode Diskon'!$D$3:$D$9,MATCH(cadangan3[[#This Row],[Kode diskon]],'Kode Diskon'!$C$3:$C$9,0)),"-")</f>
        <v>0.15</v>
      </c>
      <c r="AM496" s="23" t="s">
        <v>29</v>
      </c>
      <c r="AN496" s="23" t="s">
        <v>7</v>
      </c>
      <c r="AO496" s="23" t="s">
        <v>80</v>
      </c>
      <c r="AP496" s="24">
        <v>45017</v>
      </c>
      <c r="AQ496" s="23" t="str">
        <f>TEXT(cadangan3[[#This Row],[Tanggal terjual]],"dddd")</f>
        <v>Saturday</v>
      </c>
    </row>
    <row r="497" spans="1:43" x14ac:dyDescent="0.2">
      <c r="A497" s="20">
        <v>496</v>
      </c>
      <c r="B497" s="21" t="str">
        <f>_xlfn.CONCAT("ORD-",INDEX(Helper!$B$2:$B$5,MATCH(cadangan3[[#This Row],[Marketplace]],Helper!$A$2:$A$5,0)),TEXT(cadangan3[[#This Row],[No]],"0000"),"-",TEXT(cadangan3[[#This Row],[Tanggal terjual]],"dd/mm/yy"))</f>
        <v>ORD-TK0496-10/04/23</v>
      </c>
      <c r="C497" t="s">
        <v>58</v>
      </c>
      <c r="D497" t="str">
        <f>IFERROR(INDEX(Katalog!$A$3:$A$12,MATCH(cadangan3[[#This Row],[ItemID A]],Katalog!$C$3:$C$12,0)),"-")</f>
        <v>Pakaian Wanita</v>
      </c>
      <c r="E497" t="str">
        <f>IFERROR(INDEX(Katalog!$B$3:$B$12,MATCH(cadangan3[[#This Row],[ItemID A]],Katalog!$C$3:$C$12,0)),"-")</f>
        <v>Dress</v>
      </c>
      <c r="F497">
        <v>3</v>
      </c>
      <c r="G497">
        <v>3</v>
      </c>
      <c r="H497" s="36">
        <f>IFERROR(INDEX(Katalog!$D$3:$D$12,MATCH(cadangan3[[#This Row],[ItemID A]],Katalog!$C$3:$C$12,0))*cadangan3[[#This Row],[Qty A]],0)</f>
        <v>900000</v>
      </c>
      <c r="I497" s="36">
        <f>IFERROR(INDEX(Katalog!$D$3:$D$12,MATCH(cadangan3[[#This Row],[Item A]],Katalog!$B$3:$B$12,0))*cadangan3[[#This Row],[Qty A]],0)</f>
        <v>900000</v>
      </c>
      <c r="J497" s="36">
        <f>IFERROR(cadangan3[[#This Row],[Harga Asli A]]-(cadangan3[[#This Row],[Harga Asli A]]*cadangan3[[#This Row],[Diskon]]),cadangan3[[#This Row],[Harga Asli A]])</f>
        <v>900000</v>
      </c>
      <c r="K497" s="36">
        <f>INDEX(Katalog!$F$3:$F$12,MATCH(cadangan3[[#This Row],[ItemID A]],Katalog!$C$3:$C$12,0))*cadangan3[[#This Row],[Qty A]]</f>
        <v>300000</v>
      </c>
      <c r="L497" s="36">
        <f>IFERROR(cadangan3[[#This Row],[Profit A]]-(cadangan3[[#This Row],[Profit A]]*cadangan3[[#This Row],[Diskon]]),K497)</f>
        <v>300000</v>
      </c>
      <c r="M497" t="s">
        <v>59</v>
      </c>
      <c r="N497" t="str">
        <f>IFERROR(INDEX(Katalog!$A$3:$A$12,MATCH(cadangan3[[#This Row],[ItemID B]],Katalog!$C$3:$C$12,0)),"-")</f>
        <v>Pakaian Wanita</v>
      </c>
      <c r="O497" t="str">
        <f>IFERROR(INDEX(Katalog!$B$3:$B$12,MATCH(cadangan3[[#This Row],[ItemID B]],Katalog!$C$3:$C$12,0)),"-")</f>
        <v>Blouse</v>
      </c>
      <c r="P497">
        <v>1</v>
      </c>
      <c r="Q497">
        <v>1</v>
      </c>
      <c r="R497" s="36">
        <f>IFERROR(INDEX(Katalog!$D$3:$D$12,MATCH(cadangan3[[#This Row],[ItemID B]],Katalog!$C$3:$C$12,0))*cadangan3[[#This Row],[Qty B]],0)</f>
        <v>150000</v>
      </c>
      <c r="S497" s="36">
        <f>IFERROR(INDEX(Katalog!$D$3:$D$12,MATCH(cadangan3[[#This Row],[Item B]],Katalog!$B$3:$B$12,0))*cadangan3[[#This Row],[Qty B]],0)</f>
        <v>150000</v>
      </c>
      <c r="T497" s="36">
        <f>IFERROR(cadangan3[[#This Row],[Harga Asli B]]-(cadangan3[[#This Row],[Harga Asli B]]*cadangan3[[#This Row],[Diskon]]),cadangan3[[#This Row],[Harga Asli B]])</f>
        <v>150000</v>
      </c>
      <c r="U497" s="36">
        <f>IFERROR(INDEX(Katalog!$F$3:$F$12,MATCH(cadangan3[[#This Row],[ItemID B]],Katalog!$C$3:$C$12,0))*cadangan3[[#This Row],[Qty B]],0)</f>
        <v>50000</v>
      </c>
      <c r="V497" s="36">
        <f>IFERROR(cadangan3[[#This Row],[Profit B]]-(cadangan3[[#This Row],[Profit B]]*cadangan3[[#This Row],[Diskon]]),U497)</f>
        <v>50000</v>
      </c>
      <c r="W497" t="s">
        <v>67</v>
      </c>
      <c r="X497" t="str">
        <f>IFERROR(INDEX(Katalog!$A$3:$A$12,MATCH(cadangan3[[#This Row],[ItemID C]],Katalog!$C$3:$C$12,0)),"-")</f>
        <v>Sepatu Wanita</v>
      </c>
      <c r="Y497" t="str">
        <f>IFERROR(INDEX(Katalog!$B$3:$B$12,MATCH(cadangan3[[#This Row],[ItemID C]],Katalog!$C$3:$C$12,0)),"-")</f>
        <v>Flat Shoes</v>
      </c>
      <c r="Z497">
        <v>3</v>
      </c>
      <c r="AA497">
        <v>1</v>
      </c>
      <c r="AB497" s="36">
        <f>IFERROR(INDEX(Katalog!$D$3:$D$12,MATCH(cadangan3[[#This Row],[ItemID C]],Katalog!$C$3:$C$12,0))*cadangan3[[#This Row],[Qty C]],0)</f>
        <v>750000</v>
      </c>
      <c r="AC497" s="36">
        <f>IFERROR(INDEX(Katalog!$D$3:$D$12,MATCH(cadangan3[[#This Row],[Item C]],Katalog!$B$3:$B$12,0))*cadangan3[[#This Row],[Qty C]],0)</f>
        <v>750000</v>
      </c>
      <c r="AD497" s="36">
        <f>IFERROR(cadangan3[[#This Row],[Harga Asli C]]-(cadangan3[[#This Row],[Harga Asli C]]*cadangan3[[#This Row],[Diskon]]),cadangan3[[#This Row],[Harga Asli C]])</f>
        <v>750000</v>
      </c>
      <c r="AE497" s="36">
        <f>IFERROR(INDEX(Katalog!$F$3:$F$12,MATCH(cadangan3[[#This Row],[ItemID C]],Katalog!$C$3:$C$12,0))*cadangan3[[#This Row],[Qty C]],0)</f>
        <v>300000</v>
      </c>
      <c r="AF497" s="36">
        <f>IFERROR(cadangan3[[#This Row],[Profit C]]-(cadangan3[[#This Row],[Profit C]]*cadangan3[[#This Row],[Diskon]]),cadangan3[[#This Row],[Profit C]])</f>
        <v>300000</v>
      </c>
      <c r="AG497" s="21">
        <f>cadangan3[[#This Row],[Qty A]]+cadangan3[[#This Row],[Qty B]]+cadangan3[[#This Row],[Qty C]]</f>
        <v>7</v>
      </c>
      <c r="AH497" s="35">
        <f>cadangan3[[#This Row],[Harga A + Diskon]]+cadangan3[[#This Row],[Harga + Diskon B]]+cadangan3[[#This Row],[Harga + Diskon C]]</f>
        <v>1800000</v>
      </c>
      <c r="AI497" s="35">
        <f>(cadangan3[[#This Row],[Profit A]]+cadangan3[[#This Row],[Profit B]]+cadangan3[[#This Row],[Profit C]])</f>
        <v>650000</v>
      </c>
      <c r="AJ497" s="35">
        <f>cadangan3[[#This Row],[Provit A + Diskon]]+cadangan3[[#This Row],[Provit B + Diskon]]+cadangan3[[#This Row],[Provit C + Diskon]]</f>
        <v>650000</v>
      </c>
      <c r="AK497" s="23" t="s">
        <v>11</v>
      </c>
      <c r="AL497" s="37" t="str">
        <f>IFERROR(INDEX('Kode Diskon'!$D$3:$D$9,MATCH(cadangan3[[#This Row],[Kode diskon]],'Kode Diskon'!$C$3:$C$9,0)),"-")</f>
        <v>-</v>
      </c>
      <c r="AM497" s="23" t="s">
        <v>11</v>
      </c>
      <c r="AN497" s="23" t="s">
        <v>10</v>
      </c>
      <c r="AO497" s="23" t="s">
        <v>79</v>
      </c>
      <c r="AP497" s="24">
        <v>45026</v>
      </c>
      <c r="AQ497" s="23" t="str">
        <f>TEXT(cadangan3[[#This Row],[Tanggal terjual]],"dddd")</f>
        <v>Monday</v>
      </c>
    </row>
    <row r="498" spans="1:43" x14ac:dyDescent="0.2">
      <c r="A498" s="20">
        <v>497</v>
      </c>
      <c r="B498" s="21" t="str">
        <f>_xlfn.CONCAT("ORD-",INDEX(Helper!$B$2:$B$5,MATCH(cadangan3[[#This Row],[Marketplace]],Helper!$A$2:$A$5,0)),TEXT(cadangan3[[#This Row],[No]],"0000"),"-",TEXT(cadangan3[[#This Row],[Tanggal terjual]],"dd/mm/yy"))</f>
        <v>ORD-TK0497-24/04/23</v>
      </c>
      <c r="C498" t="s">
        <v>63</v>
      </c>
      <c r="D498" t="str">
        <f>IFERROR(INDEX(Katalog!$A$3:$A$12,MATCH(cadangan3[[#This Row],[ItemID A]],Katalog!$C$3:$C$12,0)),"-")</f>
        <v>Pakaian Pria</v>
      </c>
      <c r="E498" t="str">
        <f>IFERROR(INDEX(Katalog!$B$3:$B$12,MATCH(cadangan3[[#This Row],[ItemID A]],Katalog!$C$3:$C$12,0)),"-")</f>
        <v>Jaket Jeans</v>
      </c>
      <c r="F498">
        <v>3</v>
      </c>
      <c r="G498">
        <v>3</v>
      </c>
      <c r="H498" s="36">
        <f>IFERROR(INDEX(Katalog!$D$3:$D$12,MATCH(cadangan3[[#This Row],[ItemID A]],Katalog!$C$3:$C$12,0))*cadangan3[[#This Row],[Qty A]],0)</f>
        <v>1200000</v>
      </c>
      <c r="I498" s="36">
        <f>IFERROR(INDEX(Katalog!$D$3:$D$12,MATCH(cadangan3[[#This Row],[Item A]],Katalog!$B$3:$B$12,0))*cadangan3[[#This Row],[Qty A]],0)</f>
        <v>1200000</v>
      </c>
      <c r="J498" s="36">
        <f>IFERROR(cadangan3[[#This Row],[Harga Asli A]]-(cadangan3[[#This Row],[Harga Asli A]]*cadangan3[[#This Row],[Diskon]]),cadangan3[[#This Row],[Harga Asli A]])</f>
        <v>1080000</v>
      </c>
      <c r="K498" s="36">
        <f>INDEX(Katalog!$F$3:$F$12,MATCH(cadangan3[[#This Row],[ItemID A]],Katalog!$C$3:$C$12,0))*cadangan3[[#This Row],[Qty A]]</f>
        <v>450000</v>
      </c>
      <c r="L498" s="36">
        <f>IFERROR(cadangan3[[#This Row],[Profit A]]-(cadangan3[[#This Row],[Profit A]]*cadangan3[[#This Row],[Diskon]]),K498)</f>
        <v>405000</v>
      </c>
      <c r="N498" t="str">
        <f>IFERROR(INDEX(Katalog!$A$3:$A$12,MATCH(cadangan3[[#This Row],[ItemID B]],Katalog!$C$3:$C$12,0)),"-")</f>
        <v>-</v>
      </c>
      <c r="O498" t="str">
        <f>IFERROR(INDEX(Katalog!$B$3:$B$12,MATCH(cadangan3[[#This Row],[ItemID B]],Katalog!$C$3:$C$12,0)),"-")</f>
        <v>-</v>
      </c>
      <c r="R498" s="36">
        <f>IFERROR(INDEX(Katalog!$D$3:$D$12,MATCH(cadangan3[[#This Row],[ItemID B]],Katalog!$C$3:$C$12,0))*cadangan3[[#This Row],[Qty B]],0)</f>
        <v>0</v>
      </c>
      <c r="S498" s="36">
        <f>IFERROR(INDEX(Katalog!$D$3:$D$12,MATCH(cadangan3[[#This Row],[Item B]],Katalog!$B$3:$B$12,0))*cadangan3[[#This Row],[Qty B]],0)</f>
        <v>0</v>
      </c>
      <c r="T498" s="36">
        <f>IFERROR(cadangan3[[#This Row],[Harga Asli B]]-(cadangan3[[#This Row],[Harga Asli B]]*cadangan3[[#This Row],[Diskon]]),cadangan3[[#This Row],[Harga Asli B]])</f>
        <v>0</v>
      </c>
      <c r="U498" s="36">
        <f>IFERROR(INDEX(Katalog!$F$3:$F$12,MATCH(cadangan3[[#This Row],[ItemID B]],Katalog!$C$3:$C$12,0))*cadangan3[[#This Row],[Qty B]],0)</f>
        <v>0</v>
      </c>
      <c r="V498" s="36">
        <f>IFERROR(cadangan3[[#This Row],[Profit B]]-(cadangan3[[#This Row],[Profit B]]*cadangan3[[#This Row],[Diskon]]),U498)</f>
        <v>0</v>
      </c>
      <c r="X498" t="str">
        <f>IFERROR(INDEX(Katalog!$A$3:$A$12,MATCH(cadangan3[[#This Row],[ItemID C]],Katalog!$C$3:$C$12,0)),"-")</f>
        <v>-</v>
      </c>
      <c r="Y498" t="str">
        <f>IFERROR(INDEX(Katalog!$B$3:$B$12,MATCH(cadangan3[[#This Row],[ItemID C]],Katalog!$C$3:$C$12,0)),"-")</f>
        <v>-</v>
      </c>
      <c r="AB498" s="36">
        <f>IFERROR(INDEX(Katalog!$D$3:$D$12,MATCH(cadangan3[[#This Row],[ItemID C]],Katalog!$C$3:$C$12,0))*cadangan3[[#This Row],[Qty C]],0)</f>
        <v>0</v>
      </c>
      <c r="AC498" s="36">
        <f>IFERROR(INDEX(Katalog!$D$3:$D$12,MATCH(cadangan3[[#This Row],[Item C]],Katalog!$B$3:$B$12,0))*cadangan3[[#This Row],[Qty C]],0)</f>
        <v>0</v>
      </c>
      <c r="AD498" s="36">
        <f>IFERROR(cadangan3[[#This Row],[Harga Asli C]]-(cadangan3[[#This Row],[Harga Asli C]]*cadangan3[[#This Row],[Diskon]]),cadangan3[[#This Row],[Harga Asli C]])</f>
        <v>0</v>
      </c>
      <c r="AE498" s="36">
        <f>IFERROR(INDEX(Katalog!$F$3:$F$12,MATCH(cadangan3[[#This Row],[ItemID C]],Katalog!$C$3:$C$12,0))*cadangan3[[#This Row],[Qty C]],0)</f>
        <v>0</v>
      </c>
      <c r="AF498" s="36">
        <f>IFERROR(cadangan3[[#This Row],[Profit C]]-(cadangan3[[#This Row],[Profit C]]*cadangan3[[#This Row],[Diskon]]),cadangan3[[#This Row],[Profit C]])</f>
        <v>0</v>
      </c>
      <c r="AG498" s="21">
        <f>cadangan3[[#This Row],[Qty A]]+cadangan3[[#This Row],[Qty B]]+cadangan3[[#This Row],[Qty C]]</f>
        <v>3</v>
      </c>
      <c r="AH498" s="35">
        <f>cadangan3[[#This Row],[Harga A + Diskon]]+cadangan3[[#This Row],[Harga + Diskon B]]+cadangan3[[#This Row],[Harga + Diskon C]]</f>
        <v>1080000</v>
      </c>
      <c r="AI498" s="35">
        <f>(cadangan3[[#This Row],[Profit A]]+cadangan3[[#This Row],[Profit B]]+cadangan3[[#This Row],[Profit C]])</f>
        <v>450000</v>
      </c>
      <c r="AJ498" s="35">
        <f>cadangan3[[#This Row],[Provit A + Diskon]]+cadangan3[[#This Row],[Provit B + Diskon]]+cadangan3[[#This Row],[Provit C + Diskon]]</f>
        <v>405000</v>
      </c>
      <c r="AK498" s="23" t="s">
        <v>31</v>
      </c>
      <c r="AL498" s="37">
        <f>IFERROR(INDEX('Kode Diskon'!$D$3:$D$9,MATCH(cadangan3[[#This Row],[Kode diskon]],'Kode Diskon'!$C$3:$C$9,0)),"-")</f>
        <v>0.1</v>
      </c>
      <c r="AM498" s="23" t="s">
        <v>9</v>
      </c>
      <c r="AN498" s="23" t="s">
        <v>10</v>
      </c>
      <c r="AO498" s="23" t="s">
        <v>75</v>
      </c>
      <c r="AP498" s="24">
        <v>45040</v>
      </c>
      <c r="AQ498" s="23" t="str">
        <f>TEXT(cadangan3[[#This Row],[Tanggal terjual]],"dddd")</f>
        <v>Monday</v>
      </c>
    </row>
    <row r="499" spans="1:43" x14ac:dyDescent="0.2">
      <c r="A499" s="20">
        <v>498</v>
      </c>
      <c r="B499" s="21" t="str">
        <f>_xlfn.CONCAT("ORD-",INDEX(Helper!$B$2:$B$5,MATCH(cadangan3[[#This Row],[Marketplace]],Helper!$A$2:$A$5,0)),TEXT(cadangan3[[#This Row],[No]],"0000"),"-",TEXT(cadangan3[[#This Row],[Tanggal terjual]],"dd/mm/yy"))</f>
        <v>ORD-TK0498-11/04/23</v>
      </c>
      <c r="C499" t="s">
        <v>63</v>
      </c>
      <c r="D499" t="str">
        <f>IFERROR(INDEX(Katalog!$A$3:$A$12,MATCH(cadangan3[[#This Row],[ItemID A]],Katalog!$C$3:$C$12,0)),"-")</f>
        <v>Pakaian Pria</v>
      </c>
      <c r="E499" t="str">
        <f>IFERROR(INDEX(Katalog!$B$3:$B$12,MATCH(cadangan3[[#This Row],[ItemID A]],Katalog!$C$3:$C$12,0)),"-")</f>
        <v>Jaket Jeans</v>
      </c>
      <c r="F499">
        <v>4</v>
      </c>
      <c r="G499">
        <v>5</v>
      </c>
      <c r="H499" s="36">
        <f>IFERROR(INDEX(Katalog!$D$3:$D$12,MATCH(cadangan3[[#This Row],[ItemID A]],Katalog!$C$3:$C$12,0))*cadangan3[[#This Row],[Qty A]],0)</f>
        <v>1600000</v>
      </c>
      <c r="I499" s="36">
        <f>IFERROR(INDEX(Katalog!$D$3:$D$12,MATCH(cadangan3[[#This Row],[Item A]],Katalog!$B$3:$B$12,0))*cadangan3[[#This Row],[Qty A]],0)</f>
        <v>1600000</v>
      </c>
      <c r="J499" s="36">
        <f>IFERROR(cadangan3[[#This Row],[Harga Asli A]]-(cadangan3[[#This Row],[Harga Asli A]]*cadangan3[[#This Row],[Diskon]]),cadangan3[[#This Row],[Harga Asli A]])</f>
        <v>1600000</v>
      </c>
      <c r="K499" s="36">
        <f>INDEX(Katalog!$F$3:$F$12,MATCH(cadangan3[[#This Row],[ItemID A]],Katalog!$C$3:$C$12,0))*cadangan3[[#This Row],[Qty A]]</f>
        <v>600000</v>
      </c>
      <c r="L499" s="36">
        <f>IFERROR(cadangan3[[#This Row],[Profit A]]-(cadangan3[[#This Row],[Profit A]]*cadangan3[[#This Row],[Diskon]]),K499)</f>
        <v>600000</v>
      </c>
      <c r="M499" t="s">
        <v>61</v>
      </c>
      <c r="N499" t="str">
        <f>IFERROR(INDEX(Katalog!$A$3:$A$12,MATCH(cadangan3[[#This Row],[ItemID B]],Katalog!$C$3:$C$12,0)),"-")</f>
        <v>Pakaian Pria</v>
      </c>
      <c r="O499" t="str">
        <f>IFERROR(INDEX(Katalog!$B$3:$B$12,MATCH(cadangan3[[#This Row],[ItemID B]],Katalog!$C$3:$C$12,0)),"-")</f>
        <v>Kaos Polo</v>
      </c>
      <c r="P499">
        <v>2</v>
      </c>
      <c r="Q499">
        <v>4</v>
      </c>
      <c r="R499" s="36">
        <f>IFERROR(INDEX(Katalog!$D$3:$D$12,MATCH(cadangan3[[#This Row],[ItemID B]],Katalog!$C$3:$C$12,0))*cadangan3[[#This Row],[Qty B]],0)</f>
        <v>400000</v>
      </c>
      <c r="S499" s="36">
        <f>IFERROR(INDEX(Katalog!$D$3:$D$12,MATCH(cadangan3[[#This Row],[Item B]],Katalog!$B$3:$B$12,0))*cadangan3[[#This Row],[Qty B]],0)</f>
        <v>400000</v>
      </c>
      <c r="T499" s="36">
        <f>IFERROR(cadangan3[[#This Row],[Harga Asli B]]-(cadangan3[[#This Row],[Harga Asli B]]*cadangan3[[#This Row],[Diskon]]),cadangan3[[#This Row],[Harga Asli B]])</f>
        <v>400000</v>
      </c>
      <c r="U499" s="36">
        <f>IFERROR(INDEX(Katalog!$F$3:$F$12,MATCH(cadangan3[[#This Row],[ItemID B]],Katalog!$C$3:$C$12,0))*cadangan3[[#This Row],[Qty B]],0)</f>
        <v>160000</v>
      </c>
      <c r="V499" s="36">
        <f>IFERROR(cadangan3[[#This Row],[Profit B]]-(cadangan3[[#This Row],[Profit B]]*cadangan3[[#This Row],[Diskon]]),U499)</f>
        <v>160000</v>
      </c>
      <c r="X499" t="str">
        <f>IFERROR(INDEX(Katalog!$A$3:$A$12,MATCH(cadangan3[[#This Row],[ItemID C]],Katalog!$C$3:$C$12,0)),"-")</f>
        <v>-</v>
      </c>
      <c r="Y499" t="str">
        <f>IFERROR(INDEX(Katalog!$B$3:$B$12,MATCH(cadangan3[[#This Row],[ItemID C]],Katalog!$C$3:$C$12,0)),"-")</f>
        <v>-</v>
      </c>
      <c r="AB499" s="36">
        <f>IFERROR(INDEX(Katalog!$D$3:$D$12,MATCH(cadangan3[[#This Row],[ItemID C]],Katalog!$C$3:$C$12,0))*cadangan3[[#This Row],[Qty C]],0)</f>
        <v>0</v>
      </c>
      <c r="AC499" s="36">
        <f>IFERROR(INDEX(Katalog!$D$3:$D$12,MATCH(cadangan3[[#This Row],[Item C]],Katalog!$B$3:$B$12,0))*cadangan3[[#This Row],[Qty C]],0)</f>
        <v>0</v>
      </c>
      <c r="AD499" s="36">
        <f>IFERROR(cadangan3[[#This Row],[Harga Asli C]]-(cadangan3[[#This Row],[Harga Asli C]]*cadangan3[[#This Row],[Diskon]]),cadangan3[[#This Row],[Harga Asli C]])</f>
        <v>0</v>
      </c>
      <c r="AE499" s="36">
        <f>IFERROR(INDEX(Katalog!$F$3:$F$12,MATCH(cadangan3[[#This Row],[ItemID C]],Katalog!$C$3:$C$12,0))*cadangan3[[#This Row],[Qty C]],0)</f>
        <v>0</v>
      </c>
      <c r="AF499" s="36">
        <f>IFERROR(cadangan3[[#This Row],[Profit C]]-(cadangan3[[#This Row],[Profit C]]*cadangan3[[#This Row],[Diskon]]),cadangan3[[#This Row],[Profit C]])</f>
        <v>0</v>
      </c>
      <c r="AG499" s="21">
        <f>cadangan3[[#This Row],[Qty A]]+cadangan3[[#This Row],[Qty B]]+cadangan3[[#This Row],[Qty C]]</f>
        <v>6</v>
      </c>
      <c r="AH499" s="35">
        <f>cadangan3[[#This Row],[Harga A + Diskon]]+cadangan3[[#This Row],[Harga + Diskon B]]+cadangan3[[#This Row],[Harga + Diskon C]]</f>
        <v>2000000</v>
      </c>
      <c r="AI499" s="35">
        <f>(cadangan3[[#This Row],[Profit A]]+cadangan3[[#This Row],[Profit B]]+cadangan3[[#This Row],[Profit C]])</f>
        <v>760000</v>
      </c>
      <c r="AJ499" s="35">
        <f>cadangan3[[#This Row],[Provit A + Diskon]]+cadangan3[[#This Row],[Provit B + Diskon]]+cadangan3[[#This Row],[Provit C + Diskon]]</f>
        <v>760000</v>
      </c>
      <c r="AK499" s="23" t="s">
        <v>11</v>
      </c>
      <c r="AL499" s="37" t="str">
        <f>IFERROR(INDEX('Kode Diskon'!$D$3:$D$9,MATCH(cadangan3[[#This Row],[Kode diskon]],'Kode Diskon'!$C$3:$C$9,0)),"-")</f>
        <v>-</v>
      </c>
      <c r="AM499" s="23" t="s">
        <v>11</v>
      </c>
      <c r="AN499" s="23" t="s">
        <v>10</v>
      </c>
      <c r="AO499" s="23" t="s">
        <v>80</v>
      </c>
      <c r="AP499" s="24">
        <v>45027</v>
      </c>
      <c r="AQ499" s="23" t="str">
        <f>TEXT(cadangan3[[#This Row],[Tanggal terjual]],"dddd")</f>
        <v>Tuesday</v>
      </c>
    </row>
    <row r="500" spans="1:43" x14ac:dyDescent="0.2">
      <c r="A500" s="20">
        <v>499</v>
      </c>
      <c r="B500" s="21" t="str">
        <f>_xlfn.CONCAT("ORD-",INDEX(Helper!$B$2:$B$5,MATCH(cadangan3[[#This Row],[Marketplace]],Helper!$A$2:$A$5,0)),TEXT(cadangan3[[#This Row],[No]],"0000"),"-",TEXT(cadangan3[[#This Row],[Tanggal terjual]],"dd/mm/yy"))</f>
        <v>ORD-TK0499-04/04/23</v>
      </c>
      <c r="C500" t="s">
        <v>67</v>
      </c>
      <c r="D500" t="str">
        <f>IFERROR(INDEX(Katalog!$A$3:$A$12,MATCH(cadangan3[[#This Row],[ItemID A]],Katalog!$C$3:$C$12,0)),"-")</f>
        <v>Sepatu Wanita</v>
      </c>
      <c r="E500" t="str">
        <f>IFERROR(INDEX(Katalog!$B$3:$B$12,MATCH(cadangan3[[#This Row],[ItemID A]],Katalog!$C$3:$C$12,0)),"-")</f>
        <v>Flat Shoes</v>
      </c>
      <c r="F500">
        <v>2</v>
      </c>
      <c r="G500">
        <v>4</v>
      </c>
      <c r="H500" s="36">
        <f>IFERROR(INDEX(Katalog!$D$3:$D$12,MATCH(cadangan3[[#This Row],[ItemID A]],Katalog!$C$3:$C$12,0))*cadangan3[[#This Row],[Qty A]],0)</f>
        <v>500000</v>
      </c>
      <c r="I500" s="36">
        <f>IFERROR(INDEX(Katalog!$D$3:$D$12,MATCH(cadangan3[[#This Row],[Item A]],Katalog!$B$3:$B$12,0))*cadangan3[[#This Row],[Qty A]],0)</f>
        <v>500000</v>
      </c>
      <c r="J500" s="36">
        <f>IFERROR(cadangan3[[#This Row],[Harga Asli A]]-(cadangan3[[#This Row],[Harga Asli A]]*cadangan3[[#This Row],[Diskon]]),cadangan3[[#This Row],[Harga Asli A]])</f>
        <v>450000</v>
      </c>
      <c r="K500" s="36">
        <f>INDEX(Katalog!$F$3:$F$12,MATCH(cadangan3[[#This Row],[ItemID A]],Katalog!$C$3:$C$12,0))*cadangan3[[#This Row],[Qty A]]</f>
        <v>200000</v>
      </c>
      <c r="L500" s="36">
        <f>IFERROR(cadangan3[[#This Row],[Profit A]]-(cadangan3[[#This Row],[Profit A]]*cadangan3[[#This Row],[Diskon]]),K500)</f>
        <v>180000</v>
      </c>
      <c r="M500" t="s">
        <v>61</v>
      </c>
      <c r="N500" t="str">
        <f>IFERROR(INDEX(Katalog!$A$3:$A$12,MATCH(cadangan3[[#This Row],[ItemID B]],Katalog!$C$3:$C$12,0)),"-")</f>
        <v>Pakaian Pria</v>
      </c>
      <c r="O500" t="str">
        <f>IFERROR(INDEX(Katalog!$B$3:$B$12,MATCH(cadangan3[[#This Row],[ItemID B]],Katalog!$C$3:$C$12,0)),"-")</f>
        <v>Kaos Polo</v>
      </c>
      <c r="P500">
        <v>1</v>
      </c>
      <c r="Q500">
        <v>5</v>
      </c>
      <c r="R500" s="36">
        <f>IFERROR(INDEX(Katalog!$D$3:$D$12,MATCH(cadangan3[[#This Row],[ItemID B]],Katalog!$C$3:$C$12,0))*cadangan3[[#This Row],[Qty B]],0)</f>
        <v>200000</v>
      </c>
      <c r="S500" s="36">
        <f>IFERROR(INDEX(Katalog!$D$3:$D$12,MATCH(cadangan3[[#This Row],[Item B]],Katalog!$B$3:$B$12,0))*cadangan3[[#This Row],[Qty B]],0)</f>
        <v>200000</v>
      </c>
      <c r="T500" s="36">
        <f>IFERROR(cadangan3[[#This Row],[Harga Asli B]]-(cadangan3[[#This Row],[Harga Asli B]]*cadangan3[[#This Row],[Diskon]]),cadangan3[[#This Row],[Harga Asli B]])</f>
        <v>180000</v>
      </c>
      <c r="U500" s="36">
        <f>IFERROR(INDEX(Katalog!$F$3:$F$12,MATCH(cadangan3[[#This Row],[ItemID B]],Katalog!$C$3:$C$12,0))*cadangan3[[#This Row],[Qty B]],0)</f>
        <v>80000</v>
      </c>
      <c r="V500" s="36">
        <f>IFERROR(cadangan3[[#This Row],[Profit B]]-(cadangan3[[#This Row],[Profit B]]*cadangan3[[#This Row],[Diskon]]),U500)</f>
        <v>72000</v>
      </c>
      <c r="X500" t="str">
        <f>IFERROR(INDEX(Katalog!$A$3:$A$12,MATCH(cadangan3[[#This Row],[ItemID C]],Katalog!$C$3:$C$12,0)),"-")</f>
        <v>-</v>
      </c>
      <c r="Y500" t="str">
        <f>IFERROR(INDEX(Katalog!$B$3:$B$12,MATCH(cadangan3[[#This Row],[ItemID C]],Katalog!$C$3:$C$12,0)),"-")</f>
        <v>-</v>
      </c>
      <c r="AB500" s="36">
        <f>IFERROR(INDEX(Katalog!$D$3:$D$12,MATCH(cadangan3[[#This Row],[ItemID C]],Katalog!$C$3:$C$12,0))*cadangan3[[#This Row],[Qty C]],0)</f>
        <v>0</v>
      </c>
      <c r="AC500" s="36">
        <f>IFERROR(INDEX(Katalog!$D$3:$D$12,MATCH(cadangan3[[#This Row],[Item C]],Katalog!$B$3:$B$12,0))*cadangan3[[#This Row],[Qty C]],0)</f>
        <v>0</v>
      </c>
      <c r="AD500" s="36">
        <f>IFERROR(cadangan3[[#This Row],[Harga Asli C]]-(cadangan3[[#This Row],[Harga Asli C]]*cadangan3[[#This Row],[Diskon]]),cadangan3[[#This Row],[Harga Asli C]])</f>
        <v>0</v>
      </c>
      <c r="AE500" s="36">
        <f>IFERROR(INDEX(Katalog!$F$3:$F$12,MATCH(cadangan3[[#This Row],[ItemID C]],Katalog!$C$3:$C$12,0))*cadangan3[[#This Row],[Qty C]],0)</f>
        <v>0</v>
      </c>
      <c r="AF500" s="36">
        <f>IFERROR(cadangan3[[#This Row],[Profit C]]-(cadangan3[[#This Row],[Profit C]]*cadangan3[[#This Row],[Diskon]]),cadangan3[[#This Row],[Profit C]])</f>
        <v>0</v>
      </c>
      <c r="AG500" s="21">
        <f>cadangan3[[#This Row],[Qty A]]+cadangan3[[#This Row],[Qty B]]+cadangan3[[#This Row],[Qty C]]</f>
        <v>3</v>
      </c>
      <c r="AH500" s="35">
        <f>cadangan3[[#This Row],[Harga A + Diskon]]+cadangan3[[#This Row],[Harga + Diskon B]]+cadangan3[[#This Row],[Harga + Diskon C]]</f>
        <v>630000</v>
      </c>
      <c r="AI500" s="35">
        <f>(cadangan3[[#This Row],[Profit A]]+cadangan3[[#This Row],[Profit B]]+cadangan3[[#This Row],[Profit C]])</f>
        <v>280000</v>
      </c>
      <c r="AJ500" s="35">
        <f>cadangan3[[#This Row],[Provit A + Diskon]]+cadangan3[[#This Row],[Provit B + Diskon]]+cadangan3[[#This Row],[Provit C + Diskon]]</f>
        <v>252000</v>
      </c>
      <c r="AK500" s="23" t="s">
        <v>30</v>
      </c>
      <c r="AL500" s="37">
        <f>IFERROR(INDEX('Kode Diskon'!$D$3:$D$9,MATCH(cadangan3[[#This Row],[Kode diskon]],'Kode Diskon'!$C$3:$C$9,0)),"-")</f>
        <v>0.1</v>
      </c>
      <c r="AM500" s="23" t="s">
        <v>29</v>
      </c>
      <c r="AN500" s="23" t="s">
        <v>10</v>
      </c>
      <c r="AO500" s="23" t="s">
        <v>77</v>
      </c>
      <c r="AP500" s="24">
        <v>45020</v>
      </c>
      <c r="AQ500" s="23" t="str">
        <f>TEXT(cadangan3[[#This Row],[Tanggal terjual]],"dddd")</f>
        <v>Tuesday</v>
      </c>
    </row>
    <row r="501" spans="1:43" x14ac:dyDescent="0.2">
      <c r="A501" s="20">
        <v>500</v>
      </c>
      <c r="B501" s="21" t="str">
        <f>_xlfn.CONCAT("ORD-",INDEX(Helper!$B$2:$B$5,MATCH(cadangan3[[#This Row],[Marketplace]],Helper!$A$2:$A$5,0)),TEXT(cadangan3[[#This Row],[No]],"0000"),"-",TEXT(cadangan3[[#This Row],[Tanggal terjual]],"dd/mm/yy"))</f>
        <v>ORD-SP0500-29/04/23</v>
      </c>
      <c r="C501" t="s">
        <v>66</v>
      </c>
      <c r="D501" t="str">
        <f>IFERROR(INDEX(Katalog!$A$3:$A$12,MATCH(cadangan3[[#This Row],[ItemID A]],Katalog!$C$3:$C$12,0)),"-")</f>
        <v>Sepatu Pria</v>
      </c>
      <c r="E501" t="str">
        <f>IFERROR(INDEX(Katalog!$B$3:$B$12,MATCH(cadangan3[[#This Row],[ItemID A]],Katalog!$C$3:$C$12,0)),"-")</f>
        <v>Sandal Slip On</v>
      </c>
      <c r="F501">
        <v>2</v>
      </c>
      <c r="G501">
        <v>5</v>
      </c>
      <c r="H501" s="36">
        <f>IFERROR(INDEX(Katalog!$D$3:$D$12,MATCH(cadangan3[[#This Row],[ItemID A]],Katalog!$C$3:$C$12,0))*cadangan3[[#This Row],[Qty A]],0)</f>
        <v>300000</v>
      </c>
      <c r="I501" s="36">
        <f>IFERROR(INDEX(Katalog!$D$3:$D$12,MATCH(cadangan3[[#This Row],[Item A]],Katalog!$B$3:$B$12,0))*cadangan3[[#This Row],[Qty A]],0)</f>
        <v>300000</v>
      </c>
      <c r="J501" s="36">
        <f>IFERROR(cadangan3[[#This Row],[Harga Asli A]]-(cadangan3[[#This Row],[Harga Asli A]]*cadangan3[[#This Row],[Diskon]]),cadangan3[[#This Row],[Harga Asli A]])</f>
        <v>240000</v>
      </c>
      <c r="K501" s="36">
        <f>INDEX(Katalog!$F$3:$F$12,MATCH(cadangan3[[#This Row],[ItemID A]],Katalog!$C$3:$C$12,0))*cadangan3[[#This Row],[Qty A]]</f>
        <v>120000</v>
      </c>
      <c r="L501" s="36">
        <f>IFERROR(cadangan3[[#This Row],[Profit A]]-(cadangan3[[#This Row],[Profit A]]*cadangan3[[#This Row],[Diskon]]),K501)</f>
        <v>96000</v>
      </c>
      <c r="N501" t="str">
        <f>IFERROR(INDEX(Katalog!$A$3:$A$12,MATCH(cadangan3[[#This Row],[ItemID B]],Katalog!$C$3:$C$12,0)),"-")</f>
        <v>-</v>
      </c>
      <c r="O501" t="str">
        <f>IFERROR(INDEX(Katalog!$B$3:$B$12,MATCH(cadangan3[[#This Row],[ItemID B]],Katalog!$C$3:$C$12,0)),"-")</f>
        <v>-</v>
      </c>
      <c r="R501" s="36">
        <f>IFERROR(INDEX(Katalog!$D$3:$D$12,MATCH(cadangan3[[#This Row],[ItemID B]],Katalog!$C$3:$C$12,0))*cadangan3[[#This Row],[Qty B]],0)</f>
        <v>0</v>
      </c>
      <c r="S501" s="36">
        <f>IFERROR(INDEX(Katalog!$D$3:$D$12,MATCH(cadangan3[[#This Row],[Item B]],Katalog!$B$3:$B$12,0))*cadangan3[[#This Row],[Qty B]],0)</f>
        <v>0</v>
      </c>
      <c r="T501" s="36">
        <f>IFERROR(cadangan3[[#This Row],[Harga Asli B]]-(cadangan3[[#This Row],[Harga Asli B]]*cadangan3[[#This Row],[Diskon]]),cadangan3[[#This Row],[Harga Asli B]])</f>
        <v>0</v>
      </c>
      <c r="U501" s="36">
        <f>IFERROR(INDEX(Katalog!$F$3:$F$12,MATCH(cadangan3[[#This Row],[ItemID B]],Katalog!$C$3:$C$12,0))*cadangan3[[#This Row],[Qty B]],0)</f>
        <v>0</v>
      </c>
      <c r="V501" s="36">
        <f>IFERROR(cadangan3[[#This Row],[Profit B]]-(cadangan3[[#This Row],[Profit B]]*cadangan3[[#This Row],[Diskon]]),U501)</f>
        <v>0</v>
      </c>
      <c r="X501" t="str">
        <f>IFERROR(INDEX(Katalog!$A$3:$A$12,MATCH(cadangan3[[#This Row],[ItemID C]],Katalog!$C$3:$C$12,0)),"-")</f>
        <v>-</v>
      </c>
      <c r="Y501" t="str">
        <f>IFERROR(INDEX(Katalog!$B$3:$B$12,MATCH(cadangan3[[#This Row],[ItemID C]],Katalog!$C$3:$C$12,0)),"-")</f>
        <v>-</v>
      </c>
      <c r="AB501" s="36">
        <f>IFERROR(INDEX(Katalog!$D$3:$D$12,MATCH(cadangan3[[#This Row],[ItemID C]],Katalog!$C$3:$C$12,0))*cadangan3[[#This Row],[Qty C]],0)</f>
        <v>0</v>
      </c>
      <c r="AC501" s="36">
        <f>IFERROR(INDEX(Katalog!$D$3:$D$12,MATCH(cadangan3[[#This Row],[Item C]],Katalog!$B$3:$B$12,0))*cadangan3[[#This Row],[Qty C]],0)</f>
        <v>0</v>
      </c>
      <c r="AD501" s="36">
        <f>IFERROR(cadangan3[[#This Row],[Harga Asli C]]-(cadangan3[[#This Row],[Harga Asli C]]*cadangan3[[#This Row],[Diskon]]),cadangan3[[#This Row],[Harga Asli C]])</f>
        <v>0</v>
      </c>
      <c r="AE501" s="36">
        <f>IFERROR(INDEX(Katalog!$F$3:$F$12,MATCH(cadangan3[[#This Row],[ItemID C]],Katalog!$C$3:$C$12,0))*cadangan3[[#This Row],[Qty C]],0)</f>
        <v>0</v>
      </c>
      <c r="AF501" s="36">
        <f>IFERROR(cadangan3[[#This Row],[Profit C]]-(cadangan3[[#This Row],[Profit C]]*cadangan3[[#This Row],[Diskon]]),cadangan3[[#This Row],[Profit C]])</f>
        <v>0</v>
      </c>
      <c r="AG501" s="21">
        <f>cadangan3[[#This Row],[Qty A]]+cadangan3[[#This Row],[Qty B]]+cadangan3[[#This Row],[Qty C]]</f>
        <v>2</v>
      </c>
      <c r="AH501" s="35">
        <f>cadangan3[[#This Row],[Harga A + Diskon]]+cadangan3[[#This Row],[Harga + Diskon B]]+cadangan3[[#This Row],[Harga + Diskon C]]</f>
        <v>240000</v>
      </c>
      <c r="AI501" s="35">
        <f>(cadangan3[[#This Row],[Profit A]]+cadangan3[[#This Row],[Profit B]]+cadangan3[[#This Row],[Profit C]])</f>
        <v>120000</v>
      </c>
      <c r="AJ501" s="35">
        <f>cadangan3[[#This Row],[Provit A + Diskon]]+cadangan3[[#This Row],[Provit B + Diskon]]+cadangan3[[#This Row],[Provit C + Diskon]]</f>
        <v>96000</v>
      </c>
      <c r="AK501" s="23" t="s">
        <v>8</v>
      </c>
      <c r="AL501" s="37">
        <f>IFERROR(INDEX('Kode Diskon'!$D$3:$D$9,MATCH(cadangan3[[#This Row],[Kode diskon]],'Kode Diskon'!$C$3:$C$9,0)),"-")</f>
        <v>0.2</v>
      </c>
      <c r="AM501" s="23" t="s">
        <v>9</v>
      </c>
      <c r="AN501" s="23" t="s">
        <v>7</v>
      </c>
      <c r="AO501" s="23" t="s">
        <v>80</v>
      </c>
      <c r="AP501" s="24">
        <v>45045</v>
      </c>
      <c r="AQ501" s="23" t="str">
        <f>TEXT(cadangan3[[#This Row],[Tanggal terjual]],"dddd")</f>
        <v>Saturday</v>
      </c>
    </row>
    <row r="502" spans="1:43" x14ac:dyDescent="0.2">
      <c r="A502" s="20">
        <v>501</v>
      </c>
      <c r="B502" s="21" t="str">
        <f>_xlfn.CONCAT("ORD-",INDEX(Helper!$B$2:$B$5,MATCH(cadangan3[[#This Row],[Marketplace]],Helper!$A$2:$A$5,0)),TEXT(cadangan3[[#This Row],[No]],"0000"),"-",TEXT(cadangan3[[#This Row],[Tanggal terjual]],"dd/mm/yy"))</f>
        <v>ORD-BL0501-18/04/23</v>
      </c>
      <c r="C502" t="s">
        <v>66</v>
      </c>
      <c r="D502" t="str">
        <f>IFERROR(INDEX(Katalog!$A$3:$A$12,MATCH(cadangan3[[#This Row],[ItemID A]],Katalog!$C$3:$C$12,0)),"-")</f>
        <v>Sepatu Pria</v>
      </c>
      <c r="E502" t="str">
        <f>IFERROR(INDEX(Katalog!$B$3:$B$12,MATCH(cadangan3[[#This Row],[ItemID A]],Katalog!$C$3:$C$12,0)),"-")</f>
        <v>Sandal Slip On</v>
      </c>
      <c r="F502">
        <v>1</v>
      </c>
      <c r="G502">
        <v>3</v>
      </c>
      <c r="H502" s="36">
        <f>IFERROR(INDEX(Katalog!$D$3:$D$12,MATCH(cadangan3[[#This Row],[ItemID A]],Katalog!$C$3:$C$12,0))*cadangan3[[#This Row],[Qty A]],0)</f>
        <v>150000</v>
      </c>
      <c r="I502" s="36">
        <f>IFERROR(INDEX(Katalog!$D$3:$D$12,MATCH(cadangan3[[#This Row],[Item A]],Katalog!$B$3:$B$12,0))*cadangan3[[#This Row],[Qty A]],0)</f>
        <v>150000</v>
      </c>
      <c r="J502" s="36">
        <f>IFERROR(cadangan3[[#This Row],[Harga Asli A]]-(cadangan3[[#This Row],[Harga Asli A]]*cadangan3[[#This Row],[Diskon]]),cadangan3[[#This Row],[Harga Asli A]])</f>
        <v>127500</v>
      </c>
      <c r="K502" s="36">
        <f>INDEX(Katalog!$F$3:$F$12,MATCH(cadangan3[[#This Row],[ItemID A]],Katalog!$C$3:$C$12,0))*cadangan3[[#This Row],[Qty A]]</f>
        <v>60000</v>
      </c>
      <c r="L502" s="36">
        <f>IFERROR(cadangan3[[#This Row],[Profit A]]-(cadangan3[[#This Row],[Profit A]]*cadangan3[[#This Row],[Diskon]]),K502)</f>
        <v>51000</v>
      </c>
      <c r="M502" t="s">
        <v>62</v>
      </c>
      <c r="N502" t="str">
        <f>IFERROR(INDEX(Katalog!$A$3:$A$12,MATCH(cadangan3[[#This Row],[ItemID B]],Katalog!$C$3:$C$12,0)),"-")</f>
        <v>Pakaian Pria</v>
      </c>
      <c r="O502" t="str">
        <f>IFERROR(INDEX(Katalog!$B$3:$B$12,MATCH(cadangan3[[#This Row],[ItemID B]],Katalog!$C$3:$C$12,0)),"-")</f>
        <v>Celana Pendek</v>
      </c>
      <c r="P502">
        <v>1</v>
      </c>
      <c r="Q502">
        <v>2</v>
      </c>
      <c r="R502" s="36">
        <f>IFERROR(INDEX(Katalog!$D$3:$D$12,MATCH(cadangan3[[#This Row],[ItemID B]],Katalog!$C$3:$C$12,0))*cadangan3[[#This Row],[Qty B]],0)</f>
        <v>180000</v>
      </c>
      <c r="S502" s="36">
        <f>IFERROR(INDEX(Katalog!$D$3:$D$12,MATCH(cadangan3[[#This Row],[Item B]],Katalog!$B$3:$B$12,0))*cadangan3[[#This Row],[Qty B]],0)</f>
        <v>180000</v>
      </c>
      <c r="T502" s="36">
        <f>IFERROR(cadangan3[[#This Row],[Harga Asli B]]-(cadangan3[[#This Row],[Harga Asli B]]*cadangan3[[#This Row],[Diskon]]),cadangan3[[#This Row],[Harga Asli B]])</f>
        <v>153000</v>
      </c>
      <c r="U502" s="36">
        <f>IFERROR(INDEX(Katalog!$F$3:$F$12,MATCH(cadangan3[[#This Row],[ItemID B]],Katalog!$C$3:$C$12,0))*cadangan3[[#This Row],[Qty B]],0)</f>
        <v>70000</v>
      </c>
      <c r="V502" s="36">
        <f>IFERROR(cadangan3[[#This Row],[Profit B]]-(cadangan3[[#This Row],[Profit B]]*cadangan3[[#This Row],[Diskon]]),U502)</f>
        <v>59500</v>
      </c>
      <c r="X502" t="str">
        <f>IFERROR(INDEX(Katalog!$A$3:$A$12,MATCH(cadangan3[[#This Row],[ItemID C]],Katalog!$C$3:$C$12,0)),"-")</f>
        <v>-</v>
      </c>
      <c r="Y502" t="str">
        <f>IFERROR(INDEX(Katalog!$B$3:$B$12,MATCH(cadangan3[[#This Row],[ItemID C]],Katalog!$C$3:$C$12,0)),"-")</f>
        <v>-</v>
      </c>
      <c r="AB502" s="36">
        <f>IFERROR(INDEX(Katalog!$D$3:$D$12,MATCH(cadangan3[[#This Row],[ItemID C]],Katalog!$C$3:$C$12,0))*cadangan3[[#This Row],[Qty C]],0)</f>
        <v>0</v>
      </c>
      <c r="AC502" s="36">
        <f>IFERROR(INDEX(Katalog!$D$3:$D$12,MATCH(cadangan3[[#This Row],[Item C]],Katalog!$B$3:$B$12,0))*cadangan3[[#This Row],[Qty C]],0)</f>
        <v>0</v>
      </c>
      <c r="AD502" s="36">
        <f>IFERROR(cadangan3[[#This Row],[Harga Asli C]]-(cadangan3[[#This Row],[Harga Asli C]]*cadangan3[[#This Row],[Diskon]]),cadangan3[[#This Row],[Harga Asli C]])</f>
        <v>0</v>
      </c>
      <c r="AE502" s="36">
        <f>IFERROR(INDEX(Katalog!$F$3:$F$12,MATCH(cadangan3[[#This Row],[ItemID C]],Katalog!$C$3:$C$12,0))*cadangan3[[#This Row],[Qty C]],0)</f>
        <v>0</v>
      </c>
      <c r="AF502" s="36">
        <f>IFERROR(cadangan3[[#This Row],[Profit C]]-(cadangan3[[#This Row],[Profit C]]*cadangan3[[#This Row],[Diskon]]),cadangan3[[#This Row],[Profit C]])</f>
        <v>0</v>
      </c>
      <c r="AG502" s="21">
        <f>cadangan3[[#This Row],[Qty A]]+cadangan3[[#This Row],[Qty B]]+cadangan3[[#This Row],[Qty C]]</f>
        <v>2</v>
      </c>
      <c r="AH502" s="35">
        <f>cadangan3[[#This Row],[Harga A + Diskon]]+cadangan3[[#This Row],[Harga + Diskon B]]+cadangan3[[#This Row],[Harga + Diskon C]]</f>
        <v>280500</v>
      </c>
      <c r="AI502" s="35">
        <f>(cadangan3[[#This Row],[Profit A]]+cadangan3[[#This Row],[Profit B]]+cadangan3[[#This Row],[Profit C]])</f>
        <v>130000</v>
      </c>
      <c r="AJ502" s="35">
        <f>cadangan3[[#This Row],[Provit A + Diskon]]+cadangan3[[#This Row],[Provit B + Diskon]]+cadangan3[[#This Row],[Provit C + Diskon]]</f>
        <v>110500</v>
      </c>
      <c r="AK502" s="23" t="s">
        <v>32</v>
      </c>
      <c r="AL502" s="37">
        <f>IFERROR(INDEX('Kode Diskon'!$D$3:$D$9,MATCH(cadangan3[[#This Row],[Kode diskon]],'Kode Diskon'!$C$3:$C$9,0)),"-")</f>
        <v>0.15</v>
      </c>
      <c r="AM502" s="23" t="s">
        <v>9</v>
      </c>
      <c r="AN502" s="23" t="s">
        <v>12</v>
      </c>
      <c r="AO502" s="23" t="s">
        <v>77</v>
      </c>
      <c r="AP502" s="24">
        <v>45034</v>
      </c>
      <c r="AQ502" s="23" t="str">
        <f>TEXT(cadangan3[[#This Row],[Tanggal terjual]],"dddd")</f>
        <v>Tuesday</v>
      </c>
    </row>
    <row r="503" spans="1:43" x14ac:dyDescent="0.2">
      <c r="A503" s="20">
        <v>502</v>
      </c>
      <c r="B503" s="21" t="str">
        <f>_xlfn.CONCAT("ORD-",INDEX(Helper!$B$2:$B$5,MATCH(cadangan3[[#This Row],[Marketplace]],Helper!$A$2:$A$5,0)),TEXT(cadangan3[[#This Row],[No]],"0000"),"-",TEXT(cadangan3[[#This Row],[Tanggal terjual]],"dd/mm/yy"))</f>
        <v>ORD-SP0502-07/04/23</v>
      </c>
      <c r="C503" t="s">
        <v>63</v>
      </c>
      <c r="D503" t="str">
        <f>IFERROR(INDEX(Katalog!$A$3:$A$12,MATCH(cadangan3[[#This Row],[ItemID A]],Katalog!$C$3:$C$12,0)),"-")</f>
        <v>Pakaian Pria</v>
      </c>
      <c r="E503" t="str">
        <f>IFERROR(INDEX(Katalog!$B$3:$B$12,MATCH(cadangan3[[#This Row],[ItemID A]],Katalog!$C$3:$C$12,0)),"-")</f>
        <v>Jaket Jeans</v>
      </c>
      <c r="F503">
        <v>2</v>
      </c>
      <c r="G503">
        <v>2</v>
      </c>
      <c r="H503" s="36">
        <f>IFERROR(INDEX(Katalog!$D$3:$D$12,MATCH(cadangan3[[#This Row],[ItemID A]],Katalog!$C$3:$C$12,0))*cadangan3[[#This Row],[Qty A]],0)</f>
        <v>800000</v>
      </c>
      <c r="I503" s="36">
        <f>IFERROR(INDEX(Katalog!$D$3:$D$12,MATCH(cadangan3[[#This Row],[Item A]],Katalog!$B$3:$B$12,0))*cadangan3[[#This Row],[Qty A]],0)</f>
        <v>800000</v>
      </c>
      <c r="J503" s="36">
        <f>IFERROR(cadangan3[[#This Row],[Harga Asli A]]-(cadangan3[[#This Row],[Harga Asli A]]*cadangan3[[#This Row],[Diskon]]),cadangan3[[#This Row],[Harga Asli A]])</f>
        <v>800000</v>
      </c>
      <c r="K503" s="36">
        <f>INDEX(Katalog!$F$3:$F$12,MATCH(cadangan3[[#This Row],[ItemID A]],Katalog!$C$3:$C$12,0))*cadangan3[[#This Row],[Qty A]]</f>
        <v>300000</v>
      </c>
      <c r="L503" s="36">
        <f>IFERROR(cadangan3[[#This Row],[Profit A]]-(cadangan3[[#This Row],[Profit A]]*cadangan3[[#This Row],[Diskon]]),K503)</f>
        <v>300000</v>
      </c>
      <c r="M503" t="s">
        <v>61</v>
      </c>
      <c r="N503" t="str">
        <f>IFERROR(INDEX(Katalog!$A$3:$A$12,MATCH(cadangan3[[#This Row],[ItemID B]],Katalog!$C$3:$C$12,0)),"-")</f>
        <v>Pakaian Pria</v>
      </c>
      <c r="O503" t="str">
        <f>IFERROR(INDEX(Katalog!$B$3:$B$12,MATCH(cadangan3[[#This Row],[ItemID B]],Katalog!$C$3:$C$12,0)),"-")</f>
        <v>Kaos Polo</v>
      </c>
      <c r="P503">
        <v>2</v>
      </c>
      <c r="Q503">
        <v>4</v>
      </c>
      <c r="R503" s="36">
        <f>IFERROR(INDEX(Katalog!$D$3:$D$12,MATCH(cadangan3[[#This Row],[ItemID B]],Katalog!$C$3:$C$12,0))*cadangan3[[#This Row],[Qty B]],0)</f>
        <v>400000</v>
      </c>
      <c r="S503" s="36">
        <f>IFERROR(INDEX(Katalog!$D$3:$D$12,MATCH(cadangan3[[#This Row],[Item B]],Katalog!$B$3:$B$12,0))*cadangan3[[#This Row],[Qty B]],0)</f>
        <v>400000</v>
      </c>
      <c r="T503" s="36">
        <f>IFERROR(cadangan3[[#This Row],[Harga Asli B]]-(cadangan3[[#This Row],[Harga Asli B]]*cadangan3[[#This Row],[Diskon]]),cadangan3[[#This Row],[Harga Asli B]])</f>
        <v>400000</v>
      </c>
      <c r="U503" s="36">
        <f>IFERROR(INDEX(Katalog!$F$3:$F$12,MATCH(cadangan3[[#This Row],[ItemID B]],Katalog!$C$3:$C$12,0))*cadangan3[[#This Row],[Qty B]],0)</f>
        <v>160000</v>
      </c>
      <c r="V503" s="36">
        <f>IFERROR(cadangan3[[#This Row],[Profit B]]-(cadangan3[[#This Row],[Profit B]]*cadangan3[[#This Row],[Diskon]]),U503)</f>
        <v>160000</v>
      </c>
      <c r="X503" t="str">
        <f>IFERROR(INDEX(Katalog!$A$3:$A$12,MATCH(cadangan3[[#This Row],[ItemID C]],Katalog!$C$3:$C$12,0)),"-")</f>
        <v>-</v>
      </c>
      <c r="Y503" t="str">
        <f>IFERROR(INDEX(Katalog!$B$3:$B$12,MATCH(cadangan3[[#This Row],[ItemID C]],Katalog!$C$3:$C$12,0)),"-")</f>
        <v>-</v>
      </c>
      <c r="AB503" s="36">
        <f>IFERROR(INDEX(Katalog!$D$3:$D$12,MATCH(cadangan3[[#This Row],[ItemID C]],Katalog!$C$3:$C$12,0))*cadangan3[[#This Row],[Qty C]],0)</f>
        <v>0</v>
      </c>
      <c r="AC503" s="36">
        <f>IFERROR(INDEX(Katalog!$D$3:$D$12,MATCH(cadangan3[[#This Row],[Item C]],Katalog!$B$3:$B$12,0))*cadangan3[[#This Row],[Qty C]],0)</f>
        <v>0</v>
      </c>
      <c r="AD503" s="36">
        <f>IFERROR(cadangan3[[#This Row],[Harga Asli C]]-(cadangan3[[#This Row],[Harga Asli C]]*cadangan3[[#This Row],[Diskon]]),cadangan3[[#This Row],[Harga Asli C]])</f>
        <v>0</v>
      </c>
      <c r="AE503" s="36">
        <f>IFERROR(INDEX(Katalog!$F$3:$F$12,MATCH(cadangan3[[#This Row],[ItemID C]],Katalog!$C$3:$C$12,0))*cadangan3[[#This Row],[Qty C]],0)</f>
        <v>0</v>
      </c>
      <c r="AF503" s="36">
        <f>IFERROR(cadangan3[[#This Row],[Profit C]]-(cadangan3[[#This Row],[Profit C]]*cadangan3[[#This Row],[Diskon]]),cadangan3[[#This Row],[Profit C]])</f>
        <v>0</v>
      </c>
      <c r="AG503" s="21">
        <f>cadangan3[[#This Row],[Qty A]]+cadangan3[[#This Row],[Qty B]]+cadangan3[[#This Row],[Qty C]]</f>
        <v>4</v>
      </c>
      <c r="AH503" s="35">
        <f>cadangan3[[#This Row],[Harga A + Diskon]]+cadangan3[[#This Row],[Harga + Diskon B]]+cadangan3[[#This Row],[Harga + Diskon C]]</f>
        <v>1200000</v>
      </c>
      <c r="AI503" s="35">
        <f>(cadangan3[[#This Row],[Profit A]]+cadangan3[[#This Row],[Profit B]]+cadangan3[[#This Row],[Profit C]])</f>
        <v>460000</v>
      </c>
      <c r="AJ503" s="35">
        <f>cadangan3[[#This Row],[Provit A + Diskon]]+cadangan3[[#This Row],[Provit B + Diskon]]+cadangan3[[#This Row],[Provit C + Diskon]]</f>
        <v>460000</v>
      </c>
      <c r="AK503" s="23" t="s">
        <v>11</v>
      </c>
      <c r="AL503" s="37" t="str">
        <f>IFERROR(INDEX('Kode Diskon'!$D$3:$D$9,MATCH(cadangan3[[#This Row],[Kode diskon]],'Kode Diskon'!$C$3:$C$9,0)),"-")</f>
        <v>-</v>
      </c>
      <c r="AM503" s="23" t="s">
        <v>11</v>
      </c>
      <c r="AN503" s="23" t="s">
        <v>7</v>
      </c>
      <c r="AO503" s="23" t="s">
        <v>79</v>
      </c>
      <c r="AP503" s="24">
        <v>45023</v>
      </c>
      <c r="AQ503" s="23" t="str">
        <f>TEXT(cadangan3[[#This Row],[Tanggal terjual]],"dddd")</f>
        <v>Friday</v>
      </c>
    </row>
    <row r="504" spans="1:43" x14ac:dyDescent="0.2">
      <c r="A504" s="20">
        <v>503</v>
      </c>
      <c r="B504" s="21" t="str">
        <f>_xlfn.CONCAT("ORD-",INDEX(Helper!$B$2:$B$5,MATCH(cadangan3[[#This Row],[Marketplace]],Helper!$A$2:$A$5,0)),TEXT(cadangan3[[#This Row],[No]],"0000"),"-",TEXT(cadangan3[[#This Row],[Tanggal terjual]],"dd/mm/yy"))</f>
        <v>ORD-BL0503-20/04/23</v>
      </c>
      <c r="C504" t="s">
        <v>65</v>
      </c>
      <c r="D504" t="str">
        <f>IFERROR(INDEX(Katalog!$A$3:$A$12,MATCH(cadangan3[[#This Row],[ItemID A]],Katalog!$C$3:$C$12,0)),"-")</f>
        <v>Sepatu Pria</v>
      </c>
      <c r="E504" t="str">
        <f>IFERROR(INDEX(Katalog!$B$3:$B$12,MATCH(cadangan3[[#This Row],[ItemID A]],Katalog!$C$3:$C$12,0)),"-")</f>
        <v>Sneakers</v>
      </c>
      <c r="F504">
        <v>3</v>
      </c>
      <c r="G504">
        <v>1</v>
      </c>
      <c r="H504" s="36">
        <f>IFERROR(INDEX(Katalog!$D$3:$D$12,MATCH(cadangan3[[#This Row],[ItemID A]],Katalog!$C$3:$C$12,0))*cadangan3[[#This Row],[Qty A]],0)</f>
        <v>1500000</v>
      </c>
      <c r="I504" s="36">
        <f>IFERROR(INDEX(Katalog!$D$3:$D$12,MATCH(cadangan3[[#This Row],[Item A]],Katalog!$B$3:$B$12,0))*cadangan3[[#This Row],[Qty A]],0)</f>
        <v>1500000</v>
      </c>
      <c r="J504" s="36">
        <f>IFERROR(cadangan3[[#This Row],[Harga Asli A]]-(cadangan3[[#This Row],[Harga Asli A]]*cadangan3[[#This Row],[Diskon]]),cadangan3[[#This Row],[Harga Asli A]])</f>
        <v>1275000</v>
      </c>
      <c r="K504" s="36">
        <f>INDEX(Katalog!$F$3:$F$12,MATCH(cadangan3[[#This Row],[ItemID A]],Katalog!$C$3:$C$12,0))*cadangan3[[#This Row],[Qty A]]</f>
        <v>600000</v>
      </c>
      <c r="L504" s="36">
        <f>IFERROR(cadangan3[[#This Row],[Profit A]]-(cadangan3[[#This Row],[Profit A]]*cadangan3[[#This Row],[Diskon]]),K504)</f>
        <v>510000</v>
      </c>
      <c r="N504" t="str">
        <f>IFERROR(INDEX(Katalog!$A$3:$A$12,MATCH(cadangan3[[#This Row],[ItemID B]],Katalog!$C$3:$C$12,0)),"-")</f>
        <v>-</v>
      </c>
      <c r="O504" t="str">
        <f>IFERROR(INDEX(Katalog!$B$3:$B$12,MATCH(cadangan3[[#This Row],[ItemID B]],Katalog!$C$3:$C$12,0)),"-")</f>
        <v>-</v>
      </c>
      <c r="R504" s="36">
        <f>IFERROR(INDEX(Katalog!$D$3:$D$12,MATCH(cadangan3[[#This Row],[ItemID B]],Katalog!$C$3:$C$12,0))*cadangan3[[#This Row],[Qty B]],0)</f>
        <v>0</v>
      </c>
      <c r="S504" s="36">
        <f>IFERROR(INDEX(Katalog!$D$3:$D$12,MATCH(cadangan3[[#This Row],[Item B]],Katalog!$B$3:$B$12,0))*cadangan3[[#This Row],[Qty B]],0)</f>
        <v>0</v>
      </c>
      <c r="T504" s="36">
        <f>IFERROR(cadangan3[[#This Row],[Harga Asli B]]-(cadangan3[[#This Row],[Harga Asli B]]*cadangan3[[#This Row],[Diskon]]),cadangan3[[#This Row],[Harga Asli B]])</f>
        <v>0</v>
      </c>
      <c r="U504" s="36">
        <f>IFERROR(INDEX(Katalog!$F$3:$F$12,MATCH(cadangan3[[#This Row],[ItemID B]],Katalog!$C$3:$C$12,0))*cadangan3[[#This Row],[Qty B]],0)</f>
        <v>0</v>
      </c>
      <c r="V504" s="36">
        <f>IFERROR(cadangan3[[#This Row],[Profit B]]-(cadangan3[[#This Row],[Profit B]]*cadangan3[[#This Row],[Diskon]]),U504)</f>
        <v>0</v>
      </c>
      <c r="X504" t="str">
        <f>IFERROR(INDEX(Katalog!$A$3:$A$12,MATCH(cadangan3[[#This Row],[ItemID C]],Katalog!$C$3:$C$12,0)),"-")</f>
        <v>-</v>
      </c>
      <c r="Y504" t="str">
        <f>IFERROR(INDEX(Katalog!$B$3:$B$12,MATCH(cadangan3[[#This Row],[ItemID C]],Katalog!$C$3:$C$12,0)),"-")</f>
        <v>-</v>
      </c>
      <c r="AB504" s="36">
        <f>IFERROR(INDEX(Katalog!$D$3:$D$12,MATCH(cadangan3[[#This Row],[ItemID C]],Katalog!$C$3:$C$12,0))*cadangan3[[#This Row],[Qty C]],0)</f>
        <v>0</v>
      </c>
      <c r="AC504" s="36">
        <f>IFERROR(INDEX(Katalog!$D$3:$D$12,MATCH(cadangan3[[#This Row],[Item C]],Katalog!$B$3:$B$12,0))*cadangan3[[#This Row],[Qty C]],0)</f>
        <v>0</v>
      </c>
      <c r="AD504" s="36">
        <f>IFERROR(cadangan3[[#This Row],[Harga Asli C]]-(cadangan3[[#This Row],[Harga Asli C]]*cadangan3[[#This Row],[Diskon]]),cadangan3[[#This Row],[Harga Asli C]])</f>
        <v>0</v>
      </c>
      <c r="AE504" s="36">
        <f>IFERROR(INDEX(Katalog!$F$3:$F$12,MATCH(cadangan3[[#This Row],[ItemID C]],Katalog!$C$3:$C$12,0))*cadangan3[[#This Row],[Qty C]],0)</f>
        <v>0</v>
      </c>
      <c r="AF504" s="36">
        <f>IFERROR(cadangan3[[#This Row],[Profit C]]-(cadangan3[[#This Row],[Profit C]]*cadangan3[[#This Row],[Diskon]]),cadangan3[[#This Row],[Profit C]])</f>
        <v>0</v>
      </c>
      <c r="AG504" s="21">
        <f>cadangan3[[#This Row],[Qty A]]+cadangan3[[#This Row],[Qty B]]+cadangan3[[#This Row],[Qty C]]</f>
        <v>3</v>
      </c>
      <c r="AH504" s="35">
        <f>cadangan3[[#This Row],[Harga A + Diskon]]+cadangan3[[#This Row],[Harga + Diskon B]]+cadangan3[[#This Row],[Harga + Diskon C]]</f>
        <v>1275000</v>
      </c>
      <c r="AI504" s="35">
        <f>(cadangan3[[#This Row],[Profit A]]+cadangan3[[#This Row],[Profit B]]+cadangan3[[#This Row],[Profit C]])</f>
        <v>600000</v>
      </c>
      <c r="AJ504" s="35">
        <f>cadangan3[[#This Row],[Provit A + Diskon]]+cadangan3[[#This Row],[Provit B + Diskon]]+cadangan3[[#This Row],[Provit C + Diskon]]</f>
        <v>510000</v>
      </c>
      <c r="AK504" s="23" t="s">
        <v>32</v>
      </c>
      <c r="AL504" s="37">
        <f>IFERROR(INDEX('Kode Diskon'!$D$3:$D$9,MATCH(cadangan3[[#This Row],[Kode diskon]],'Kode Diskon'!$C$3:$C$9,0)),"-")</f>
        <v>0.15</v>
      </c>
      <c r="AM504" s="23" t="s">
        <v>9</v>
      </c>
      <c r="AN504" s="23" t="s">
        <v>12</v>
      </c>
      <c r="AO504" s="23" t="s">
        <v>80</v>
      </c>
      <c r="AP504" s="24">
        <v>45036</v>
      </c>
      <c r="AQ504" s="23" t="str">
        <f>TEXT(cadangan3[[#This Row],[Tanggal terjual]],"dddd")</f>
        <v>Thursday</v>
      </c>
    </row>
    <row r="505" spans="1:43" x14ac:dyDescent="0.2">
      <c r="A505" s="20">
        <v>504</v>
      </c>
      <c r="B505" s="21" t="str">
        <f>_xlfn.CONCAT("ORD-",INDEX(Helper!$B$2:$B$5,MATCH(cadangan3[[#This Row],[Marketplace]],Helper!$A$2:$A$5,0)),TEXT(cadangan3[[#This Row],[No]],"0000"),"-",TEXT(cadangan3[[#This Row],[Tanggal terjual]],"dd/mm/yy"))</f>
        <v>ORD-SP0504-16/04/23</v>
      </c>
      <c r="C505" t="s">
        <v>62</v>
      </c>
      <c r="D505" t="str">
        <f>IFERROR(INDEX(Katalog!$A$3:$A$12,MATCH(cadangan3[[#This Row],[ItemID A]],Katalog!$C$3:$C$12,0)),"-")</f>
        <v>Pakaian Pria</v>
      </c>
      <c r="E505" t="str">
        <f>IFERROR(INDEX(Katalog!$B$3:$B$12,MATCH(cadangan3[[#This Row],[ItemID A]],Katalog!$C$3:$C$12,0)),"-")</f>
        <v>Celana Pendek</v>
      </c>
      <c r="F505">
        <v>5</v>
      </c>
      <c r="G505">
        <v>5</v>
      </c>
      <c r="H505" s="36">
        <f>IFERROR(INDEX(Katalog!$D$3:$D$12,MATCH(cadangan3[[#This Row],[ItemID A]],Katalog!$C$3:$C$12,0))*cadangan3[[#This Row],[Qty A]],0)</f>
        <v>900000</v>
      </c>
      <c r="I505" s="36">
        <f>IFERROR(INDEX(Katalog!$D$3:$D$12,MATCH(cadangan3[[#This Row],[Item A]],Katalog!$B$3:$B$12,0))*cadangan3[[#This Row],[Qty A]],0)</f>
        <v>900000</v>
      </c>
      <c r="J505" s="36">
        <f>IFERROR(cadangan3[[#This Row],[Harga Asli A]]-(cadangan3[[#This Row],[Harga Asli A]]*cadangan3[[#This Row],[Diskon]]),cadangan3[[#This Row],[Harga Asli A]])</f>
        <v>720000</v>
      </c>
      <c r="K505" s="36">
        <f>INDEX(Katalog!$F$3:$F$12,MATCH(cadangan3[[#This Row],[ItemID A]],Katalog!$C$3:$C$12,0))*cadangan3[[#This Row],[Qty A]]</f>
        <v>350000</v>
      </c>
      <c r="L505" s="36">
        <f>IFERROR(cadangan3[[#This Row],[Profit A]]-(cadangan3[[#This Row],[Profit A]]*cadangan3[[#This Row],[Diskon]]),K505)</f>
        <v>280000</v>
      </c>
      <c r="M505" t="s">
        <v>63</v>
      </c>
      <c r="N505" t="str">
        <f>IFERROR(INDEX(Katalog!$A$3:$A$12,MATCH(cadangan3[[#This Row],[ItemID B]],Katalog!$C$3:$C$12,0)),"-")</f>
        <v>Pakaian Pria</v>
      </c>
      <c r="O505" t="str">
        <f>IFERROR(INDEX(Katalog!$B$3:$B$12,MATCH(cadangan3[[#This Row],[ItemID B]],Katalog!$C$3:$C$12,0)),"-")</f>
        <v>Jaket Jeans</v>
      </c>
      <c r="P505">
        <v>1</v>
      </c>
      <c r="Q505">
        <v>1</v>
      </c>
      <c r="R505" s="36">
        <f>IFERROR(INDEX(Katalog!$D$3:$D$12,MATCH(cadangan3[[#This Row],[ItemID B]],Katalog!$C$3:$C$12,0))*cadangan3[[#This Row],[Qty B]],0)</f>
        <v>400000</v>
      </c>
      <c r="S505" s="36">
        <f>IFERROR(INDEX(Katalog!$D$3:$D$12,MATCH(cadangan3[[#This Row],[Item B]],Katalog!$B$3:$B$12,0))*cadangan3[[#This Row],[Qty B]],0)</f>
        <v>400000</v>
      </c>
      <c r="T505" s="36">
        <f>IFERROR(cadangan3[[#This Row],[Harga Asli B]]-(cadangan3[[#This Row],[Harga Asli B]]*cadangan3[[#This Row],[Diskon]]),cadangan3[[#This Row],[Harga Asli B]])</f>
        <v>320000</v>
      </c>
      <c r="U505" s="36">
        <f>IFERROR(INDEX(Katalog!$F$3:$F$12,MATCH(cadangan3[[#This Row],[ItemID B]],Katalog!$C$3:$C$12,0))*cadangan3[[#This Row],[Qty B]],0)</f>
        <v>150000</v>
      </c>
      <c r="V505" s="36">
        <f>IFERROR(cadangan3[[#This Row],[Profit B]]-(cadangan3[[#This Row],[Profit B]]*cadangan3[[#This Row],[Diskon]]),U505)</f>
        <v>120000</v>
      </c>
      <c r="W505" t="s">
        <v>65</v>
      </c>
      <c r="X505" t="str">
        <f>IFERROR(INDEX(Katalog!$A$3:$A$12,MATCH(cadangan3[[#This Row],[ItemID C]],Katalog!$C$3:$C$12,0)),"-")</f>
        <v>Sepatu Pria</v>
      </c>
      <c r="Y505" t="str">
        <f>IFERROR(INDEX(Katalog!$B$3:$B$12,MATCH(cadangan3[[#This Row],[ItemID C]],Katalog!$C$3:$C$12,0)),"-")</f>
        <v>Sneakers</v>
      </c>
      <c r="Z505">
        <v>1</v>
      </c>
      <c r="AA505">
        <v>5</v>
      </c>
      <c r="AB505" s="36">
        <f>IFERROR(INDEX(Katalog!$D$3:$D$12,MATCH(cadangan3[[#This Row],[ItemID C]],Katalog!$C$3:$C$12,0))*cadangan3[[#This Row],[Qty C]],0)</f>
        <v>500000</v>
      </c>
      <c r="AC505" s="36">
        <f>IFERROR(INDEX(Katalog!$D$3:$D$12,MATCH(cadangan3[[#This Row],[Item C]],Katalog!$B$3:$B$12,0))*cadangan3[[#This Row],[Qty C]],0)</f>
        <v>500000</v>
      </c>
      <c r="AD505" s="36">
        <f>IFERROR(cadangan3[[#This Row],[Harga Asli C]]-(cadangan3[[#This Row],[Harga Asli C]]*cadangan3[[#This Row],[Diskon]]),cadangan3[[#This Row],[Harga Asli C]])</f>
        <v>400000</v>
      </c>
      <c r="AE505" s="36">
        <f>IFERROR(INDEX(Katalog!$F$3:$F$12,MATCH(cadangan3[[#This Row],[ItemID C]],Katalog!$C$3:$C$12,0))*cadangan3[[#This Row],[Qty C]],0)</f>
        <v>200000</v>
      </c>
      <c r="AF505" s="36">
        <f>IFERROR(cadangan3[[#This Row],[Profit C]]-(cadangan3[[#This Row],[Profit C]]*cadangan3[[#This Row],[Diskon]]),cadangan3[[#This Row],[Profit C]])</f>
        <v>160000</v>
      </c>
      <c r="AG505" s="21">
        <f>cadangan3[[#This Row],[Qty A]]+cadangan3[[#This Row],[Qty B]]+cadangan3[[#This Row],[Qty C]]</f>
        <v>7</v>
      </c>
      <c r="AH505" s="35">
        <f>cadangan3[[#This Row],[Harga A + Diskon]]+cadangan3[[#This Row],[Harga + Diskon B]]+cadangan3[[#This Row],[Harga + Diskon C]]</f>
        <v>1440000</v>
      </c>
      <c r="AI505" s="35">
        <f>(cadangan3[[#This Row],[Profit A]]+cadangan3[[#This Row],[Profit B]]+cadangan3[[#This Row],[Profit C]])</f>
        <v>700000</v>
      </c>
      <c r="AJ505" s="35">
        <f>cadangan3[[#This Row],[Provit A + Diskon]]+cadangan3[[#This Row],[Provit B + Diskon]]+cadangan3[[#This Row],[Provit C + Diskon]]</f>
        <v>560000</v>
      </c>
      <c r="AK505" s="23" t="s">
        <v>8</v>
      </c>
      <c r="AL505" s="37">
        <f>IFERROR(INDEX('Kode Diskon'!$D$3:$D$9,MATCH(cadangan3[[#This Row],[Kode diskon]],'Kode Diskon'!$C$3:$C$9,0)),"-")</f>
        <v>0.2</v>
      </c>
      <c r="AM505" s="23" t="s">
        <v>9</v>
      </c>
      <c r="AN505" s="23" t="s">
        <v>7</v>
      </c>
      <c r="AO505" s="23" t="s">
        <v>80</v>
      </c>
      <c r="AP505" s="24">
        <v>45032</v>
      </c>
      <c r="AQ505" s="23" t="str">
        <f>TEXT(cadangan3[[#This Row],[Tanggal terjual]],"dddd")</f>
        <v>Sunday</v>
      </c>
    </row>
    <row r="506" spans="1:43" x14ac:dyDescent="0.2">
      <c r="A506" s="20">
        <v>505</v>
      </c>
      <c r="B506" s="21" t="str">
        <f>_xlfn.CONCAT("ORD-",INDEX(Helper!$B$2:$B$5,MATCH(cadangan3[[#This Row],[Marketplace]],Helper!$A$2:$A$5,0)),TEXT(cadangan3[[#This Row],[No]],"0000"),"-",TEXT(cadangan3[[#This Row],[Tanggal terjual]],"dd/mm/yy"))</f>
        <v>ORD-TK0505-17/04/23</v>
      </c>
      <c r="C506" t="s">
        <v>59</v>
      </c>
      <c r="D506" t="str">
        <f>IFERROR(INDEX(Katalog!$A$3:$A$12,MATCH(cadangan3[[#This Row],[ItemID A]],Katalog!$C$3:$C$12,0)),"-")</f>
        <v>Pakaian Wanita</v>
      </c>
      <c r="E506" t="str">
        <f>IFERROR(INDEX(Katalog!$B$3:$B$12,MATCH(cadangan3[[#This Row],[ItemID A]],Katalog!$C$3:$C$12,0)),"-")</f>
        <v>Blouse</v>
      </c>
      <c r="F506">
        <v>1</v>
      </c>
      <c r="G506">
        <v>3</v>
      </c>
      <c r="H506" s="36">
        <f>IFERROR(INDEX(Katalog!$D$3:$D$12,MATCH(cadangan3[[#This Row],[ItemID A]],Katalog!$C$3:$C$12,0))*cadangan3[[#This Row],[Qty A]],0)</f>
        <v>150000</v>
      </c>
      <c r="I506" s="36">
        <f>IFERROR(INDEX(Katalog!$D$3:$D$12,MATCH(cadangan3[[#This Row],[Item A]],Katalog!$B$3:$B$12,0))*cadangan3[[#This Row],[Qty A]],0)</f>
        <v>150000</v>
      </c>
      <c r="J506" s="36">
        <f>IFERROR(cadangan3[[#This Row],[Harga Asli A]]-(cadangan3[[#This Row],[Harga Asli A]]*cadangan3[[#This Row],[Diskon]]),cadangan3[[#This Row],[Harga Asli A]])</f>
        <v>135000</v>
      </c>
      <c r="K506" s="36">
        <f>INDEX(Katalog!$F$3:$F$12,MATCH(cadangan3[[#This Row],[ItemID A]],Katalog!$C$3:$C$12,0))*cadangan3[[#This Row],[Qty A]]</f>
        <v>50000</v>
      </c>
      <c r="L506" s="36">
        <f>IFERROR(cadangan3[[#This Row],[Profit A]]-(cadangan3[[#This Row],[Profit A]]*cadangan3[[#This Row],[Diskon]]),K506)</f>
        <v>45000</v>
      </c>
      <c r="M506" t="s">
        <v>64</v>
      </c>
      <c r="N506" t="str">
        <f>IFERROR(INDEX(Katalog!$A$3:$A$12,MATCH(cadangan3[[#This Row],[ItemID B]],Katalog!$C$3:$C$12,0)),"-")</f>
        <v>Pakaian Unisex</v>
      </c>
      <c r="O506" t="str">
        <f>IFERROR(INDEX(Katalog!$B$3:$B$12,MATCH(cadangan3[[#This Row],[ItemID B]],Katalog!$C$3:$C$12,0)),"-")</f>
        <v>Jaket Hoodie</v>
      </c>
      <c r="P506">
        <v>1</v>
      </c>
      <c r="Q506">
        <v>5</v>
      </c>
      <c r="R506" s="36">
        <f>IFERROR(INDEX(Katalog!$D$3:$D$12,MATCH(cadangan3[[#This Row],[ItemID B]],Katalog!$C$3:$C$12,0))*cadangan3[[#This Row],[Qty B]],0)</f>
        <v>350000</v>
      </c>
      <c r="S506" s="36">
        <f>IFERROR(INDEX(Katalog!$D$3:$D$12,MATCH(cadangan3[[#This Row],[Item B]],Katalog!$B$3:$B$12,0))*cadangan3[[#This Row],[Qty B]],0)</f>
        <v>350000</v>
      </c>
      <c r="T506" s="36">
        <f>IFERROR(cadangan3[[#This Row],[Harga Asli B]]-(cadangan3[[#This Row],[Harga Asli B]]*cadangan3[[#This Row],[Diskon]]),cadangan3[[#This Row],[Harga Asli B]])</f>
        <v>315000</v>
      </c>
      <c r="U506" s="36">
        <f>IFERROR(INDEX(Katalog!$F$3:$F$12,MATCH(cadangan3[[#This Row],[ItemID B]],Katalog!$C$3:$C$12,0))*cadangan3[[#This Row],[Qty B]],0)</f>
        <v>130000</v>
      </c>
      <c r="V506" s="36">
        <f>IFERROR(cadangan3[[#This Row],[Profit B]]-(cadangan3[[#This Row],[Profit B]]*cadangan3[[#This Row],[Diskon]]),U506)</f>
        <v>117000</v>
      </c>
      <c r="X506" t="str">
        <f>IFERROR(INDEX(Katalog!$A$3:$A$12,MATCH(cadangan3[[#This Row],[ItemID C]],Katalog!$C$3:$C$12,0)),"-")</f>
        <v>-</v>
      </c>
      <c r="Y506" t="str">
        <f>IFERROR(INDEX(Katalog!$B$3:$B$12,MATCH(cadangan3[[#This Row],[ItemID C]],Katalog!$C$3:$C$12,0)),"-")</f>
        <v>-</v>
      </c>
      <c r="AB506" s="36">
        <f>IFERROR(INDEX(Katalog!$D$3:$D$12,MATCH(cadangan3[[#This Row],[ItemID C]],Katalog!$C$3:$C$12,0))*cadangan3[[#This Row],[Qty C]],0)</f>
        <v>0</v>
      </c>
      <c r="AC506" s="36">
        <f>IFERROR(INDEX(Katalog!$D$3:$D$12,MATCH(cadangan3[[#This Row],[Item C]],Katalog!$B$3:$B$12,0))*cadangan3[[#This Row],[Qty C]],0)</f>
        <v>0</v>
      </c>
      <c r="AD506" s="36">
        <f>IFERROR(cadangan3[[#This Row],[Harga Asli C]]-(cadangan3[[#This Row],[Harga Asli C]]*cadangan3[[#This Row],[Diskon]]),cadangan3[[#This Row],[Harga Asli C]])</f>
        <v>0</v>
      </c>
      <c r="AE506" s="36">
        <f>IFERROR(INDEX(Katalog!$F$3:$F$12,MATCH(cadangan3[[#This Row],[ItemID C]],Katalog!$C$3:$C$12,0))*cadangan3[[#This Row],[Qty C]],0)</f>
        <v>0</v>
      </c>
      <c r="AF506" s="36">
        <f>IFERROR(cadangan3[[#This Row],[Profit C]]-(cadangan3[[#This Row],[Profit C]]*cadangan3[[#This Row],[Diskon]]),cadangan3[[#This Row],[Profit C]])</f>
        <v>0</v>
      </c>
      <c r="AG506" s="21">
        <f>cadangan3[[#This Row],[Qty A]]+cadangan3[[#This Row],[Qty B]]+cadangan3[[#This Row],[Qty C]]</f>
        <v>2</v>
      </c>
      <c r="AH506" s="35">
        <f>cadangan3[[#This Row],[Harga A + Diskon]]+cadangan3[[#This Row],[Harga + Diskon B]]+cadangan3[[#This Row],[Harga + Diskon C]]</f>
        <v>450000</v>
      </c>
      <c r="AI506" s="35">
        <f>(cadangan3[[#This Row],[Profit A]]+cadangan3[[#This Row],[Profit B]]+cadangan3[[#This Row],[Profit C]])</f>
        <v>180000</v>
      </c>
      <c r="AJ506" s="35">
        <f>cadangan3[[#This Row],[Provit A + Diskon]]+cadangan3[[#This Row],[Provit B + Diskon]]+cadangan3[[#This Row],[Provit C + Diskon]]</f>
        <v>162000</v>
      </c>
      <c r="AK506" s="23" t="s">
        <v>31</v>
      </c>
      <c r="AL506" s="37">
        <f>IFERROR(INDEX('Kode Diskon'!$D$3:$D$9,MATCH(cadangan3[[#This Row],[Kode diskon]],'Kode Diskon'!$C$3:$C$9,0)),"-")</f>
        <v>0.1</v>
      </c>
      <c r="AM506" s="23" t="s">
        <v>9</v>
      </c>
      <c r="AN506" s="23" t="s">
        <v>10</v>
      </c>
      <c r="AO506" s="23" t="s">
        <v>76</v>
      </c>
      <c r="AP506" s="24">
        <v>45033</v>
      </c>
      <c r="AQ506" s="23" t="str">
        <f>TEXT(cadangan3[[#This Row],[Tanggal terjual]],"dddd")</f>
        <v>Monday</v>
      </c>
    </row>
    <row r="507" spans="1:43" x14ac:dyDescent="0.2">
      <c r="A507" s="20">
        <v>506</v>
      </c>
      <c r="B507" s="21" t="str">
        <f>_xlfn.CONCAT("ORD-",INDEX(Helper!$B$2:$B$5,MATCH(cadangan3[[#This Row],[Marketplace]],Helper!$A$2:$A$5,0)),TEXT(cadangan3[[#This Row],[No]],"0000"),"-",TEXT(cadangan3[[#This Row],[Tanggal terjual]],"dd/mm/yy"))</f>
        <v>ORD-SP0506-03/04/23</v>
      </c>
      <c r="C507" t="s">
        <v>63</v>
      </c>
      <c r="D507" t="str">
        <f>IFERROR(INDEX(Katalog!$A$3:$A$12,MATCH(cadangan3[[#This Row],[ItemID A]],Katalog!$C$3:$C$12,0)),"-")</f>
        <v>Pakaian Pria</v>
      </c>
      <c r="E507" t="str">
        <f>IFERROR(INDEX(Katalog!$B$3:$B$12,MATCH(cadangan3[[#This Row],[ItemID A]],Katalog!$C$3:$C$12,0)),"-")</f>
        <v>Jaket Jeans</v>
      </c>
      <c r="F507">
        <v>1</v>
      </c>
      <c r="G507">
        <v>4</v>
      </c>
      <c r="H507" s="36">
        <f>IFERROR(INDEX(Katalog!$D$3:$D$12,MATCH(cadangan3[[#This Row],[ItemID A]],Katalog!$C$3:$C$12,0))*cadangan3[[#This Row],[Qty A]],0)</f>
        <v>400000</v>
      </c>
      <c r="I507" s="36">
        <f>IFERROR(INDEX(Katalog!$D$3:$D$12,MATCH(cadangan3[[#This Row],[Item A]],Katalog!$B$3:$B$12,0))*cadangan3[[#This Row],[Qty A]],0)</f>
        <v>400000</v>
      </c>
      <c r="J507" s="36">
        <f>IFERROR(cadangan3[[#This Row],[Harga Asli A]]-(cadangan3[[#This Row],[Harga Asli A]]*cadangan3[[#This Row],[Diskon]]),cadangan3[[#This Row],[Harga Asli A]])</f>
        <v>360000</v>
      </c>
      <c r="K507" s="36">
        <f>INDEX(Katalog!$F$3:$F$12,MATCH(cadangan3[[#This Row],[ItemID A]],Katalog!$C$3:$C$12,0))*cadangan3[[#This Row],[Qty A]]</f>
        <v>150000</v>
      </c>
      <c r="L507" s="36">
        <f>IFERROR(cadangan3[[#This Row],[Profit A]]-(cadangan3[[#This Row],[Profit A]]*cadangan3[[#This Row],[Diskon]]),K507)</f>
        <v>135000</v>
      </c>
      <c r="M507" t="s">
        <v>60</v>
      </c>
      <c r="N507" t="str">
        <f>IFERROR(INDEX(Katalog!$A$3:$A$12,MATCH(cadangan3[[#This Row],[ItemID B]],Katalog!$C$3:$C$12,0)),"-")</f>
        <v>Pakaian Wanita</v>
      </c>
      <c r="O507" t="str">
        <f>IFERROR(INDEX(Katalog!$B$3:$B$12,MATCH(cadangan3[[#This Row],[ItemID B]],Katalog!$C$3:$C$12,0)),"-")</f>
        <v>Kaftan</v>
      </c>
      <c r="P507">
        <v>2</v>
      </c>
      <c r="Q507">
        <v>1</v>
      </c>
      <c r="R507" s="36">
        <f>IFERROR(INDEX(Katalog!$D$3:$D$12,MATCH(cadangan3[[#This Row],[ItemID B]],Katalog!$C$3:$C$12,0))*cadangan3[[#This Row],[Qty B]],0)</f>
        <v>500000</v>
      </c>
      <c r="S507" s="36">
        <f>IFERROR(INDEX(Katalog!$D$3:$D$12,MATCH(cadangan3[[#This Row],[Item B]],Katalog!$B$3:$B$12,0))*cadangan3[[#This Row],[Qty B]],0)</f>
        <v>500000</v>
      </c>
      <c r="T507" s="36">
        <f>IFERROR(cadangan3[[#This Row],[Harga Asli B]]-(cadangan3[[#This Row],[Harga Asli B]]*cadangan3[[#This Row],[Diskon]]),cadangan3[[#This Row],[Harga Asli B]])</f>
        <v>450000</v>
      </c>
      <c r="U507" s="36">
        <f>IFERROR(INDEX(Katalog!$F$3:$F$12,MATCH(cadangan3[[#This Row],[ItemID B]],Katalog!$C$3:$C$12,0))*cadangan3[[#This Row],[Qty B]],0)</f>
        <v>200000</v>
      </c>
      <c r="V507" s="36">
        <f>IFERROR(cadangan3[[#This Row],[Profit B]]-(cadangan3[[#This Row],[Profit B]]*cadangan3[[#This Row],[Diskon]]),U507)</f>
        <v>180000</v>
      </c>
      <c r="W507" t="s">
        <v>65</v>
      </c>
      <c r="X507" t="str">
        <f>IFERROR(INDEX(Katalog!$A$3:$A$12,MATCH(cadangan3[[#This Row],[ItemID C]],Katalog!$C$3:$C$12,0)),"-")</f>
        <v>Sepatu Pria</v>
      </c>
      <c r="Y507" t="str">
        <f>IFERROR(INDEX(Katalog!$B$3:$B$12,MATCH(cadangan3[[#This Row],[ItemID C]],Katalog!$C$3:$C$12,0)),"-")</f>
        <v>Sneakers</v>
      </c>
      <c r="Z507">
        <v>1</v>
      </c>
      <c r="AA507">
        <v>3</v>
      </c>
      <c r="AB507" s="36">
        <f>IFERROR(INDEX(Katalog!$D$3:$D$12,MATCH(cadangan3[[#This Row],[ItemID C]],Katalog!$C$3:$C$12,0))*cadangan3[[#This Row],[Qty C]],0)</f>
        <v>500000</v>
      </c>
      <c r="AC507" s="36">
        <f>IFERROR(INDEX(Katalog!$D$3:$D$12,MATCH(cadangan3[[#This Row],[Item C]],Katalog!$B$3:$B$12,0))*cadangan3[[#This Row],[Qty C]],0)</f>
        <v>500000</v>
      </c>
      <c r="AD507" s="36">
        <f>IFERROR(cadangan3[[#This Row],[Harga Asli C]]-(cadangan3[[#This Row],[Harga Asli C]]*cadangan3[[#This Row],[Diskon]]),cadangan3[[#This Row],[Harga Asli C]])</f>
        <v>450000</v>
      </c>
      <c r="AE507" s="36">
        <f>IFERROR(INDEX(Katalog!$F$3:$F$12,MATCH(cadangan3[[#This Row],[ItemID C]],Katalog!$C$3:$C$12,0))*cadangan3[[#This Row],[Qty C]],0)</f>
        <v>200000</v>
      </c>
      <c r="AF507" s="36">
        <f>IFERROR(cadangan3[[#This Row],[Profit C]]-(cadangan3[[#This Row],[Profit C]]*cadangan3[[#This Row],[Diskon]]),cadangan3[[#This Row],[Profit C]])</f>
        <v>180000</v>
      </c>
      <c r="AG507" s="21">
        <f>cadangan3[[#This Row],[Qty A]]+cadangan3[[#This Row],[Qty B]]+cadangan3[[#This Row],[Qty C]]</f>
        <v>4</v>
      </c>
      <c r="AH507" s="35">
        <f>cadangan3[[#This Row],[Harga A + Diskon]]+cadangan3[[#This Row],[Harga + Diskon B]]+cadangan3[[#This Row],[Harga + Diskon C]]</f>
        <v>1260000</v>
      </c>
      <c r="AI507" s="35">
        <f>(cadangan3[[#This Row],[Profit A]]+cadangan3[[#This Row],[Profit B]]+cadangan3[[#This Row],[Profit C]])</f>
        <v>550000</v>
      </c>
      <c r="AJ507" s="35">
        <f>cadangan3[[#This Row],[Provit A + Diskon]]+cadangan3[[#This Row],[Provit B + Diskon]]+cadangan3[[#This Row],[Provit C + Diskon]]</f>
        <v>495000</v>
      </c>
      <c r="AK507" s="23" t="s">
        <v>6</v>
      </c>
      <c r="AL507" s="37">
        <f>IFERROR(INDEX('Kode Diskon'!$D$3:$D$9,MATCH(cadangan3[[#This Row],[Kode diskon]],'Kode Diskon'!$C$3:$C$9,0)),"-")</f>
        <v>0.1</v>
      </c>
      <c r="AM507" s="23" t="s">
        <v>29</v>
      </c>
      <c r="AN507" s="23" t="s">
        <v>7</v>
      </c>
      <c r="AO507" s="23" t="s">
        <v>76</v>
      </c>
      <c r="AP507" s="24">
        <v>45019</v>
      </c>
      <c r="AQ507" s="23" t="str">
        <f>TEXT(cadangan3[[#This Row],[Tanggal terjual]],"dddd")</f>
        <v>Monday</v>
      </c>
    </row>
    <row r="508" spans="1:43" x14ac:dyDescent="0.2">
      <c r="A508" s="20">
        <v>507</v>
      </c>
      <c r="B508" s="21" t="str">
        <f>_xlfn.CONCAT("ORD-",INDEX(Helper!$B$2:$B$5,MATCH(cadangan3[[#This Row],[Marketplace]],Helper!$A$2:$A$5,0)),TEXT(cadangan3[[#This Row],[No]],"0000"),"-",TEXT(cadangan3[[#This Row],[Tanggal terjual]],"dd/mm/yy"))</f>
        <v>ORD-SP0507-22/04/23</v>
      </c>
      <c r="C508" t="s">
        <v>61</v>
      </c>
      <c r="D508" t="str">
        <f>IFERROR(INDEX(Katalog!$A$3:$A$12,MATCH(cadangan3[[#This Row],[ItemID A]],Katalog!$C$3:$C$12,0)),"-")</f>
        <v>Pakaian Pria</v>
      </c>
      <c r="E508" t="str">
        <f>IFERROR(INDEX(Katalog!$B$3:$B$12,MATCH(cadangan3[[#This Row],[ItemID A]],Katalog!$C$3:$C$12,0)),"-")</f>
        <v>Kaos Polo</v>
      </c>
      <c r="F508">
        <v>1</v>
      </c>
      <c r="G508">
        <v>2</v>
      </c>
      <c r="H508" s="36">
        <f>IFERROR(INDEX(Katalog!$D$3:$D$12,MATCH(cadangan3[[#This Row],[ItemID A]],Katalog!$C$3:$C$12,0))*cadangan3[[#This Row],[Qty A]],0)</f>
        <v>200000</v>
      </c>
      <c r="I508" s="36">
        <f>IFERROR(INDEX(Katalog!$D$3:$D$12,MATCH(cadangan3[[#This Row],[Item A]],Katalog!$B$3:$B$12,0))*cadangan3[[#This Row],[Qty A]],0)</f>
        <v>200000</v>
      </c>
      <c r="J508" s="36">
        <f>IFERROR(cadangan3[[#This Row],[Harga Asli A]]-(cadangan3[[#This Row],[Harga Asli A]]*cadangan3[[#This Row],[Diskon]]),cadangan3[[#This Row],[Harga Asli A]])</f>
        <v>160000</v>
      </c>
      <c r="K508" s="36">
        <f>INDEX(Katalog!$F$3:$F$12,MATCH(cadangan3[[#This Row],[ItemID A]],Katalog!$C$3:$C$12,0))*cadangan3[[#This Row],[Qty A]]</f>
        <v>80000</v>
      </c>
      <c r="L508" s="36">
        <f>IFERROR(cadangan3[[#This Row],[Profit A]]-(cadangan3[[#This Row],[Profit A]]*cadangan3[[#This Row],[Diskon]]),K508)</f>
        <v>64000</v>
      </c>
      <c r="M508" t="s">
        <v>64</v>
      </c>
      <c r="N508" t="str">
        <f>IFERROR(INDEX(Katalog!$A$3:$A$12,MATCH(cadangan3[[#This Row],[ItemID B]],Katalog!$C$3:$C$12,0)),"-")</f>
        <v>Pakaian Unisex</v>
      </c>
      <c r="O508" t="str">
        <f>IFERROR(INDEX(Katalog!$B$3:$B$12,MATCH(cadangan3[[#This Row],[ItemID B]],Katalog!$C$3:$C$12,0)),"-")</f>
        <v>Jaket Hoodie</v>
      </c>
      <c r="P508">
        <v>6</v>
      </c>
      <c r="Q508">
        <v>2</v>
      </c>
      <c r="R508" s="36">
        <f>IFERROR(INDEX(Katalog!$D$3:$D$12,MATCH(cadangan3[[#This Row],[ItemID B]],Katalog!$C$3:$C$12,0))*cadangan3[[#This Row],[Qty B]],0)</f>
        <v>2100000</v>
      </c>
      <c r="S508" s="36">
        <f>IFERROR(INDEX(Katalog!$D$3:$D$12,MATCH(cadangan3[[#This Row],[Item B]],Katalog!$B$3:$B$12,0))*cadangan3[[#This Row],[Qty B]],0)</f>
        <v>2100000</v>
      </c>
      <c r="T508" s="36">
        <f>IFERROR(cadangan3[[#This Row],[Harga Asli B]]-(cadangan3[[#This Row],[Harga Asli B]]*cadangan3[[#This Row],[Diskon]]),cadangan3[[#This Row],[Harga Asli B]])</f>
        <v>1680000</v>
      </c>
      <c r="U508" s="36">
        <f>IFERROR(INDEX(Katalog!$F$3:$F$12,MATCH(cadangan3[[#This Row],[ItemID B]],Katalog!$C$3:$C$12,0))*cadangan3[[#This Row],[Qty B]],0)</f>
        <v>780000</v>
      </c>
      <c r="V508" s="36">
        <f>IFERROR(cadangan3[[#This Row],[Profit B]]-(cadangan3[[#This Row],[Profit B]]*cadangan3[[#This Row],[Diskon]]),U508)</f>
        <v>624000</v>
      </c>
      <c r="X508" t="str">
        <f>IFERROR(INDEX(Katalog!$A$3:$A$12,MATCH(cadangan3[[#This Row],[ItemID C]],Katalog!$C$3:$C$12,0)),"-")</f>
        <v>-</v>
      </c>
      <c r="Y508" t="str">
        <f>IFERROR(INDEX(Katalog!$B$3:$B$12,MATCH(cadangan3[[#This Row],[ItemID C]],Katalog!$C$3:$C$12,0)),"-")</f>
        <v>-</v>
      </c>
      <c r="AB508" s="36">
        <f>IFERROR(INDEX(Katalog!$D$3:$D$12,MATCH(cadangan3[[#This Row],[ItemID C]],Katalog!$C$3:$C$12,0))*cadangan3[[#This Row],[Qty C]],0)</f>
        <v>0</v>
      </c>
      <c r="AC508" s="36">
        <f>IFERROR(INDEX(Katalog!$D$3:$D$12,MATCH(cadangan3[[#This Row],[Item C]],Katalog!$B$3:$B$12,0))*cadangan3[[#This Row],[Qty C]],0)</f>
        <v>0</v>
      </c>
      <c r="AD508" s="36">
        <f>IFERROR(cadangan3[[#This Row],[Harga Asli C]]-(cadangan3[[#This Row],[Harga Asli C]]*cadangan3[[#This Row],[Diskon]]),cadangan3[[#This Row],[Harga Asli C]])</f>
        <v>0</v>
      </c>
      <c r="AE508" s="36">
        <f>IFERROR(INDEX(Katalog!$F$3:$F$12,MATCH(cadangan3[[#This Row],[ItemID C]],Katalog!$C$3:$C$12,0))*cadangan3[[#This Row],[Qty C]],0)</f>
        <v>0</v>
      </c>
      <c r="AF508" s="36">
        <f>IFERROR(cadangan3[[#This Row],[Profit C]]-(cadangan3[[#This Row],[Profit C]]*cadangan3[[#This Row],[Diskon]]),cadangan3[[#This Row],[Profit C]])</f>
        <v>0</v>
      </c>
      <c r="AG508" s="21">
        <f>cadangan3[[#This Row],[Qty A]]+cadangan3[[#This Row],[Qty B]]+cadangan3[[#This Row],[Qty C]]</f>
        <v>7</v>
      </c>
      <c r="AH508" s="35">
        <f>cadangan3[[#This Row],[Harga A + Diskon]]+cadangan3[[#This Row],[Harga + Diskon B]]+cadangan3[[#This Row],[Harga + Diskon C]]</f>
        <v>1840000</v>
      </c>
      <c r="AI508" s="35">
        <f>(cadangan3[[#This Row],[Profit A]]+cadangan3[[#This Row],[Profit B]]+cadangan3[[#This Row],[Profit C]])</f>
        <v>860000</v>
      </c>
      <c r="AJ508" s="35">
        <f>cadangan3[[#This Row],[Provit A + Diskon]]+cadangan3[[#This Row],[Provit B + Diskon]]+cadangan3[[#This Row],[Provit C + Diskon]]</f>
        <v>688000</v>
      </c>
      <c r="AK508" s="23" t="s">
        <v>8</v>
      </c>
      <c r="AL508" s="37">
        <f>IFERROR(INDEX('Kode Diskon'!$D$3:$D$9,MATCH(cadangan3[[#This Row],[Kode diskon]],'Kode Diskon'!$C$3:$C$9,0)),"-")</f>
        <v>0.2</v>
      </c>
      <c r="AM508" s="23" t="s">
        <v>9</v>
      </c>
      <c r="AN508" s="23" t="s">
        <v>7</v>
      </c>
      <c r="AO508" s="23" t="s">
        <v>80</v>
      </c>
      <c r="AP508" s="24">
        <v>45038</v>
      </c>
      <c r="AQ508" s="23" t="str">
        <f>TEXT(cadangan3[[#This Row],[Tanggal terjual]],"dddd")</f>
        <v>Saturday</v>
      </c>
    </row>
    <row r="509" spans="1:43" x14ac:dyDescent="0.2">
      <c r="A509" s="20">
        <v>508</v>
      </c>
      <c r="B509" s="21" t="str">
        <f>_xlfn.CONCAT("ORD-",INDEX(Helper!$B$2:$B$5,MATCH(cadangan3[[#This Row],[Marketplace]],Helper!$A$2:$A$5,0)),TEXT(cadangan3[[#This Row],[No]],"0000"),"-",TEXT(cadangan3[[#This Row],[Tanggal terjual]],"dd/mm/yy"))</f>
        <v>ORD-BL0508-16/04/23</v>
      </c>
      <c r="C509" t="s">
        <v>66</v>
      </c>
      <c r="D509" t="str">
        <f>IFERROR(INDEX(Katalog!$A$3:$A$12,MATCH(cadangan3[[#This Row],[ItemID A]],Katalog!$C$3:$C$12,0)),"-")</f>
        <v>Sepatu Pria</v>
      </c>
      <c r="E509" t="str">
        <f>IFERROR(INDEX(Katalog!$B$3:$B$12,MATCH(cadangan3[[#This Row],[ItemID A]],Katalog!$C$3:$C$12,0)),"-")</f>
        <v>Sandal Slip On</v>
      </c>
      <c r="F509">
        <v>2</v>
      </c>
      <c r="G509">
        <v>3</v>
      </c>
      <c r="H509" s="36">
        <f>IFERROR(INDEX(Katalog!$D$3:$D$12,MATCH(cadangan3[[#This Row],[ItemID A]],Katalog!$C$3:$C$12,0))*cadangan3[[#This Row],[Qty A]],0)</f>
        <v>300000</v>
      </c>
      <c r="I509" s="36">
        <f>IFERROR(INDEX(Katalog!$D$3:$D$12,MATCH(cadangan3[[#This Row],[Item A]],Katalog!$B$3:$B$12,0))*cadangan3[[#This Row],[Qty A]],0)</f>
        <v>300000</v>
      </c>
      <c r="J509" s="36">
        <f>IFERROR(cadangan3[[#This Row],[Harga Asli A]]-(cadangan3[[#This Row],[Harga Asli A]]*cadangan3[[#This Row],[Diskon]]),cadangan3[[#This Row],[Harga Asli A]])</f>
        <v>255000</v>
      </c>
      <c r="K509" s="36">
        <f>INDEX(Katalog!$F$3:$F$12,MATCH(cadangan3[[#This Row],[ItemID A]],Katalog!$C$3:$C$12,0))*cadangan3[[#This Row],[Qty A]]</f>
        <v>120000</v>
      </c>
      <c r="L509" s="36">
        <f>IFERROR(cadangan3[[#This Row],[Profit A]]-(cadangan3[[#This Row],[Profit A]]*cadangan3[[#This Row],[Diskon]]),K509)</f>
        <v>102000</v>
      </c>
      <c r="M509" t="s">
        <v>60</v>
      </c>
      <c r="N509" t="str">
        <f>IFERROR(INDEX(Katalog!$A$3:$A$12,MATCH(cadangan3[[#This Row],[ItemID B]],Katalog!$C$3:$C$12,0)),"-")</f>
        <v>Pakaian Wanita</v>
      </c>
      <c r="O509" t="str">
        <f>IFERROR(INDEX(Katalog!$B$3:$B$12,MATCH(cadangan3[[#This Row],[ItemID B]],Katalog!$C$3:$C$12,0)),"-")</f>
        <v>Kaftan</v>
      </c>
      <c r="P509">
        <v>1</v>
      </c>
      <c r="Q509">
        <v>5</v>
      </c>
      <c r="R509" s="36">
        <f>IFERROR(INDEX(Katalog!$D$3:$D$12,MATCH(cadangan3[[#This Row],[ItemID B]],Katalog!$C$3:$C$12,0))*cadangan3[[#This Row],[Qty B]],0)</f>
        <v>250000</v>
      </c>
      <c r="S509" s="36">
        <f>IFERROR(INDEX(Katalog!$D$3:$D$12,MATCH(cadangan3[[#This Row],[Item B]],Katalog!$B$3:$B$12,0))*cadangan3[[#This Row],[Qty B]],0)</f>
        <v>250000</v>
      </c>
      <c r="T509" s="36">
        <f>IFERROR(cadangan3[[#This Row],[Harga Asli B]]-(cadangan3[[#This Row],[Harga Asli B]]*cadangan3[[#This Row],[Diskon]]),cadangan3[[#This Row],[Harga Asli B]])</f>
        <v>212500</v>
      </c>
      <c r="U509" s="36">
        <f>IFERROR(INDEX(Katalog!$F$3:$F$12,MATCH(cadangan3[[#This Row],[ItemID B]],Katalog!$C$3:$C$12,0))*cadangan3[[#This Row],[Qty B]],0)</f>
        <v>100000</v>
      </c>
      <c r="V509" s="36">
        <f>IFERROR(cadangan3[[#This Row],[Profit B]]-(cadangan3[[#This Row],[Profit B]]*cadangan3[[#This Row],[Diskon]]),U509)</f>
        <v>85000</v>
      </c>
      <c r="W509" t="s">
        <v>59</v>
      </c>
      <c r="X509" t="str">
        <f>IFERROR(INDEX(Katalog!$A$3:$A$12,MATCH(cadangan3[[#This Row],[ItemID C]],Katalog!$C$3:$C$12,0)),"-")</f>
        <v>Pakaian Wanita</v>
      </c>
      <c r="Y509" t="str">
        <f>IFERROR(INDEX(Katalog!$B$3:$B$12,MATCH(cadangan3[[#This Row],[ItemID C]],Katalog!$C$3:$C$12,0)),"-")</f>
        <v>Blouse</v>
      </c>
      <c r="Z509">
        <v>2</v>
      </c>
      <c r="AA509">
        <v>2</v>
      </c>
      <c r="AB509" s="36">
        <f>IFERROR(INDEX(Katalog!$D$3:$D$12,MATCH(cadangan3[[#This Row],[ItemID C]],Katalog!$C$3:$C$12,0))*cadangan3[[#This Row],[Qty C]],0)</f>
        <v>300000</v>
      </c>
      <c r="AC509" s="36">
        <f>IFERROR(INDEX(Katalog!$D$3:$D$12,MATCH(cadangan3[[#This Row],[Item C]],Katalog!$B$3:$B$12,0))*cadangan3[[#This Row],[Qty C]],0)</f>
        <v>300000</v>
      </c>
      <c r="AD509" s="36">
        <f>IFERROR(cadangan3[[#This Row],[Harga Asli C]]-(cadangan3[[#This Row],[Harga Asli C]]*cadangan3[[#This Row],[Diskon]]),cadangan3[[#This Row],[Harga Asli C]])</f>
        <v>255000</v>
      </c>
      <c r="AE509" s="36">
        <f>IFERROR(INDEX(Katalog!$F$3:$F$12,MATCH(cadangan3[[#This Row],[ItemID C]],Katalog!$C$3:$C$12,0))*cadangan3[[#This Row],[Qty C]],0)</f>
        <v>100000</v>
      </c>
      <c r="AF509" s="36">
        <f>IFERROR(cadangan3[[#This Row],[Profit C]]-(cadangan3[[#This Row],[Profit C]]*cadangan3[[#This Row],[Diskon]]),cadangan3[[#This Row],[Profit C]])</f>
        <v>85000</v>
      </c>
      <c r="AG509" s="21">
        <f>cadangan3[[#This Row],[Qty A]]+cadangan3[[#This Row],[Qty B]]+cadangan3[[#This Row],[Qty C]]</f>
        <v>5</v>
      </c>
      <c r="AH509" s="35">
        <f>cadangan3[[#This Row],[Harga A + Diskon]]+cadangan3[[#This Row],[Harga + Diskon B]]+cadangan3[[#This Row],[Harga + Diskon C]]</f>
        <v>722500</v>
      </c>
      <c r="AI509" s="35">
        <f>(cadangan3[[#This Row],[Profit A]]+cadangan3[[#This Row],[Profit B]]+cadangan3[[#This Row],[Profit C]])</f>
        <v>320000</v>
      </c>
      <c r="AJ509" s="35">
        <f>cadangan3[[#This Row],[Provit A + Diskon]]+cadangan3[[#This Row],[Provit B + Diskon]]+cadangan3[[#This Row],[Provit C + Diskon]]</f>
        <v>272000</v>
      </c>
      <c r="AK509" s="23" t="s">
        <v>32</v>
      </c>
      <c r="AL509" s="37">
        <f>IFERROR(INDEX('Kode Diskon'!$D$3:$D$9,MATCH(cadangan3[[#This Row],[Kode diskon]],'Kode Diskon'!$C$3:$C$9,0)),"-")</f>
        <v>0.15</v>
      </c>
      <c r="AM509" s="23" t="s">
        <v>9</v>
      </c>
      <c r="AN509" s="23" t="s">
        <v>12</v>
      </c>
      <c r="AO509" s="23" t="s">
        <v>79</v>
      </c>
      <c r="AP509" s="24">
        <v>45032</v>
      </c>
      <c r="AQ509" s="23" t="str">
        <f>TEXT(cadangan3[[#This Row],[Tanggal terjual]],"dddd")</f>
        <v>Sunday</v>
      </c>
    </row>
    <row r="510" spans="1:43" x14ac:dyDescent="0.2">
      <c r="A510" s="20">
        <v>509</v>
      </c>
      <c r="B510" s="21" t="str">
        <f>_xlfn.CONCAT("ORD-",INDEX(Helper!$B$2:$B$5,MATCH(cadangan3[[#This Row],[Marketplace]],Helper!$A$2:$A$5,0)),TEXT(cadangan3[[#This Row],[No]],"0000"),"-",TEXT(cadangan3[[#This Row],[Tanggal terjual]],"dd/mm/yy"))</f>
        <v>ORD-SP0509-01/04/23</v>
      </c>
      <c r="C510" t="s">
        <v>66</v>
      </c>
      <c r="D510" t="str">
        <f>IFERROR(INDEX(Katalog!$A$3:$A$12,MATCH(cadangan3[[#This Row],[ItemID A]],Katalog!$C$3:$C$12,0)),"-")</f>
        <v>Sepatu Pria</v>
      </c>
      <c r="E510" t="str">
        <f>IFERROR(INDEX(Katalog!$B$3:$B$12,MATCH(cadangan3[[#This Row],[ItemID A]],Katalog!$C$3:$C$12,0)),"-")</f>
        <v>Sandal Slip On</v>
      </c>
      <c r="F510">
        <v>3</v>
      </c>
      <c r="G510">
        <v>5</v>
      </c>
      <c r="H510" s="36">
        <f>IFERROR(INDEX(Katalog!$D$3:$D$12,MATCH(cadangan3[[#This Row],[ItemID A]],Katalog!$C$3:$C$12,0))*cadangan3[[#This Row],[Qty A]],0)</f>
        <v>450000</v>
      </c>
      <c r="I510" s="36">
        <f>IFERROR(INDEX(Katalog!$D$3:$D$12,MATCH(cadangan3[[#This Row],[Item A]],Katalog!$B$3:$B$12,0))*cadangan3[[#This Row],[Qty A]],0)</f>
        <v>450000</v>
      </c>
      <c r="J510" s="36">
        <f>IFERROR(cadangan3[[#This Row],[Harga Asli A]]-(cadangan3[[#This Row],[Harga Asli A]]*cadangan3[[#This Row],[Diskon]]),cadangan3[[#This Row],[Harga Asli A]])</f>
        <v>382500</v>
      </c>
      <c r="K510" s="36">
        <f>INDEX(Katalog!$F$3:$F$12,MATCH(cadangan3[[#This Row],[ItemID A]],Katalog!$C$3:$C$12,0))*cadangan3[[#This Row],[Qty A]]</f>
        <v>180000</v>
      </c>
      <c r="L510" s="36">
        <f>IFERROR(cadangan3[[#This Row],[Profit A]]-(cadangan3[[#This Row],[Profit A]]*cadangan3[[#This Row],[Diskon]]),K510)</f>
        <v>153000</v>
      </c>
      <c r="M510" t="s">
        <v>61</v>
      </c>
      <c r="N510" t="str">
        <f>IFERROR(INDEX(Katalog!$A$3:$A$12,MATCH(cadangan3[[#This Row],[ItemID B]],Katalog!$C$3:$C$12,0)),"-")</f>
        <v>Pakaian Pria</v>
      </c>
      <c r="O510" t="str">
        <f>IFERROR(INDEX(Katalog!$B$3:$B$12,MATCH(cadangan3[[#This Row],[ItemID B]],Katalog!$C$3:$C$12,0)),"-")</f>
        <v>Kaos Polo</v>
      </c>
      <c r="P510">
        <v>2</v>
      </c>
      <c r="Q510">
        <v>2</v>
      </c>
      <c r="R510" s="36">
        <f>IFERROR(INDEX(Katalog!$D$3:$D$12,MATCH(cadangan3[[#This Row],[ItemID B]],Katalog!$C$3:$C$12,0))*cadangan3[[#This Row],[Qty B]],0)</f>
        <v>400000</v>
      </c>
      <c r="S510" s="36">
        <f>IFERROR(INDEX(Katalog!$D$3:$D$12,MATCH(cadangan3[[#This Row],[Item B]],Katalog!$B$3:$B$12,0))*cadangan3[[#This Row],[Qty B]],0)</f>
        <v>400000</v>
      </c>
      <c r="T510" s="36">
        <f>IFERROR(cadangan3[[#This Row],[Harga Asli B]]-(cadangan3[[#This Row],[Harga Asli B]]*cadangan3[[#This Row],[Diskon]]),cadangan3[[#This Row],[Harga Asli B]])</f>
        <v>340000</v>
      </c>
      <c r="U510" s="36">
        <f>IFERROR(INDEX(Katalog!$F$3:$F$12,MATCH(cadangan3[[#This Row],[ItemID B]],Katalog!$C$3:$C$12,0))*cadangan3[[#This Row],[Qty B]],0)</f>
        <v>160000</v>
      </c>
      <c r="V510" s="36">
        <f>IFERROR(cadangan3[[#This Row],[Profit B]]-(cadangan3[[#This Row],[Profit B]]*cadangan3[[#This Row],[Diskon]]),U510)</f>
        <v>136000</v>
      </c>
      <c r="W510" t="s">
        <v>63</v>
      </c>
      <c r="X510" t="str">
        <f>IFERROR(INDEX(Katalog!$A$3:$A$12,MATCH(cadangan3[[#This Row],[ItemID C]],Katalog!$C$3:$C$12,0)),"-")</f>
        <v>Pakaian Pria</v>
      </c>
      <c r="Y510" t="str">
        <f>IFERROR(INDEX(Katalog!$B$3:$B$12,MATCH(cadangan3[[#This Row],[ItemID C]],Katalog!$C$3:$C$12,0)),"-")</f>
        <v>Jaket Jeans</v>
      </c>
      <c r="Z510">
        <v>1</v>
      </c>
      <c r="AA510">
        <v>2</v>
      </c>
      <c r="AB510" s="36">
        <f>IFERROR(INDEX(Katalog!$D$3:$D$12,MATCH(cadangan3[[#This Row],[ItemID C]],Katalog!$C$3:$C$12,0))*cadangan3[[#This Row],[Qty C]],0)</f>
        <v>400000</v>
      </c>
      <c r="AC510" s="36">
        <f>IFERROR(INDEX(Katalog!$D$3:$D$12,MATCH(cadangan3[[#This Row],[Item C]],Katalog!$B$3:$B$12,0))*cadangan3[[#This Row],[Qty C]],0)</f>
        <v>400000</v>
      </c>
      <c r="AD510" s="36">
        <f>IFERROR(cadangan3[[#This Row],[Harga Asli C]]-(cadangan3[[#This Row],[Harga Asli C]]*cadangan3[[#This Row],[Diskon]]),cadangan3[[#This Row],[Harga Asli C]])</f>
        <v>340000</v>
      </c>
      <c r="AE510" s="36">
        <f>IFERROR(INDEX(Katalog!$F$3:$F$12,MATCH(cadangan3[[#This Row],[ItemID C]],Katalog!$C$3:$C$12,0))*cadangan3[[#This Row],[Qty C]],0)</f>
        <v>150000</v>
      </c>
      <c r="AF510" s="36">
        <f>IFERROR(cadangan3[[#This Row],[Profit C]]-(cadangan3[[#This Row],[Profit C]]*cadangan3[[#This Row],[Diskon]]),cadangan3[[#This Row],[Profit C]])</f>
        <v>127500</v>
      </c>
      <c r="AG510" s="21">
        <f>cadangan3[[#This Row],[Qty A]]+cadangan3[[#This Row],[Qty B]]+cadangan3[[#This Row],[Qty C]]</f>
        <v>6</v>
      </c>
      <c r="AH510" s="35">
        <f>cadangan3[[#This Row],[Harga A + Diskon]]+cadangan3[[#This Row],[Harga + Diskon B]]+cadangan3[[#This Row],[Harga + Diskon C]]</f>
        <v>1062500</v>
      </c>
      <c r="AI510" s="35">
        <f>(cadangan3[[#This Row],[Profit A]]+cadangan3[[#This Row],[Profit B]]+cadangan3[[#This Row],[Profit C]])</f>
        <v>490000</v>
      </c>
      <c r="AJ510" s="35">
        <f>cadangan3[[#This Row],[Provit A + Diskon]]+cadangan3[[#This Row],[Provit B + Diskon]]+cadangan3[[#This Row],[Provit C + Diskon]]</f>
        <v>416500</v>
      </c>
      <c r="AK510" s="23" t="s">
        <v>13</v>
      </c>
      <c r="AL510" s="37">
        <f>IFERROR(INDEX('Kode Diskon'!$D$3:$D$9,MATCH(cadangan3[[#This Row],[Kode diskon]],'Kode Diskon'!$C$3:$C$9,0)),"-")</f>
        <v>0.15</v>
      </c>
      <c r="AM510" s="23" t="s">
        <v>29</v>
      </c>
      <c r="AN510" s="23" t="s">
        <v>7</v>
      </c>
      <c r="AO510" s="23" t="s">
        <v>77</v>
      </c>
      <c r="AP510" s="24">
        <v>45017</v>
      </c>
      <c r="AQ510" s="23" t="str">
        <f>TEXT(cadangan3[[#This Row],[Tanggal terjual]],"dddd")</f>
        <v>Saturday</v>
      </c>
    </row>
    <row r="511" spans="1:43" x14ac:dyDescent="0.2">
      <c r="A511" s="20">
        <v>510</v>
      </c>
      <c r="B511" s="21" t="str">
        <f>_xlfn.CONCAT("ORD-",INDEX(Helper!$B$2:$B$5,MATCH(cadangan3[[#This Row],[Marketplace]],Helper!$A$2:$A$5,0)),TEXT(cadangan3[[#This Row],[No]],"0000"),"-",TEXT(cadangan3[[#This Row],[Tanggal terjual]],"dd/mm/yy"))</f>
        <v>ORD-SP0510-06/04/23</v>
      </c>
      <c r="C511" t="s">
        <v>67</v>
      </c>
      <c r="D511" t="str">
        <f>IFERROR(INDEX(Katalog!$A$3:$A$12,MATCH(cadangan3[[#This Row],[ItemID A]],Katalog!$C$3:$C$12,0)),"-")</f>
        <v>Sepatu Wanita</v>
      </c>
      <c r="E511" t="str">
        <f>IFERROR(INDEX(Katalog!$B$3:$B$12,MATCH(cadangan3[[#This Row],[ItemID A]],Katalog!$C$3:$C$12,0)),"-")</f>
        <v>Flat Shoes</v>
      </c>
      <c r="F511">
        <v>1</v>
      </c>
      <c r="G511">
        <v>4</v>
      </c>
      <c r="H511" s="36">
        <f>IFERROR(INDEX(Katalog!$D$3:$D$12,MATCH(cadangan3[[#This Row],[ItemID A]],Katalog!$C$3:$C$12,0))*cadangan3[[#This Row],[Qty A]],0)</f>
        <v>250000</v>
      </c>
      <c r="I511" s="36">
        <f>IFERROR(INDEX(Katalog!$D$3:$D$12,MATCH(cadangan3[[#This Row],[Item A]],Katalog!$B$3:$B$12,0))*cadangan3[[#This Row],[Qty A]],0)</f>
        <v>250000</v>
      </c>
      <c r="J511" s="36">
        <f>IFERROR(cadangan3[[#This Row],[Harga Asli A]]-(cadangan3[[#This Row],[Harga Asli A]]*cadangan3[[#This Row],[Diskon]]),cadangan3[[#This Row],[Harga Asli A]])</f>
        <v>212500</v>
      </c>
      <c r="K511" s="36">
        <f>INDEX(Katalog!$F$3:$F$12,MATCH(cadangan3[[#This Row],[ItemID A]],Katalog!$C$3:$C$12,0))*cadangan3[[#This Row],[Qty A]]</f>
        <v>100000</v>
      </c>
      <c r="L511" s="36">
        <f>IFERROR(cadangan3[[#This Row],[Profit A]]-(cadangan3[[#This Row],[Profit A]]*cadangan3[[#This Row],[Diskon]]),K511)</f>
        <v>85000</v>
      </c>
      <c r="N511" t="str">
        <f>IFERROR(INDEX(Katalog!$A$3:$A$12,MATCH(cadangan3[[#This Row],[ItemID B]],Katalog!$C$3:$C$12,0)),"-")</f>
        <v>-</v>
      </c>
      <c r="O511" t="str">
        <f>IFERROR(INDEX(Katalog!$B$3:$B$12,MATCH(cadangan3[[#This Row],[ItemID B]],Katalog!$C$3:$C$12,0)),"-")</f>
        <v>-</v>
      </c>
      <c r="R511" s="36">
        <f>IFERROR(INDEX(Katalog!$D$3:$D$12,MATCH(cadangan3[[#This Row],[ItemID B]],Katalog!$C$3:$C$12,0))*cadangan3[[#This Row],[Qty B]],0)</f>
        <v>0</v>
      </c>
      <c r="S511" s="36">
        <f>IFERROR(INDEX(Katalog!$D$3:$D$12,MATCH(cadangan3[[#This Row],[Item B]],Katalog!$B$3:$B$12,0))*cadangan3[[#This Row],[Qty B]],0)</f>
        <v>0</v>
      </c>
      <c r="T511" s="36">
        <f>IFERROR(cadangan3[[#This Row],[Harga Asli B]]-(cadangan3[[#This Row],[Harga Asli B]]*cadangan3[[#This Row],[Diskon]]),cadangan3[[#This Row],[Harga Asli B]])</f>
        <v>0</v>
      </c>
      <c r="U511" s="36">
        <f>IFERROR(INDEX(Katalog!$F$3:$F$12,MATCH(cadangan3[[#This Row],[ItemID B]],Katalog!$C$3:$C$12,0))*cadangan3[[#This Row],[Qty B]],0)</f>
        <v>0</v>
      </c>
      <c r="V511" s="36">
        <f>IFERROR(cadangan3[[#This Row],[Profit B]]-(cadangan3[[#This Row],[Profit B]]*cadangan3[[#This Row],[Diskon]]),U511)</f>
        <v>0</v>
      </c>
      <c r="X511" t="str">
        <f>IFERROR(INDEX(Katalog!$A$3:$A$12,MATCH(cadangan3[[#This Row],[ItemID C]],Katalog!$C$3:$C$12,0)),"-")</f>
        <v>-</v>
      </c>
      <c r="Y511" t="str">
        <f>IFERROR(INDEX(Katalog!$B$3:$B$12,MATCH(cadangan3[[#This Row],[ItemID C]],Katalog!$C$3:$C$12,0)),"-")</f>
        <v>-</v>
      </c>
      <c r="AB511" s="36">
        <f>IFERROR(INDEX(Katalog!$D$3:$D$12,MATCH(cadangan3[[#This Row],[ItemID C]],Katalog!$C$3:$C$12,0))*cadangan3[[#This Row],[Qty C]],0)</f>
        <v>0</v>
      </c>
      <c r="AC511" s="36">
        <f>IFERROR(INDEX(Katalog!$D$3:$D$12,MATCH(cadangan3[[#This Row],[Item C]],Katalog!$B$3:$B$12,0))*cadangan3[[#This Row],[Qty C]],0)</f>
        <v>0</v>
      </c>
      <c r="AD511" s="36">
        <f>IFERROR(cadangan3[[#This Row],[Harga Asli C]]-(cadangan3[[#This Row],[Harga Asli C]]*cadangan3[[#This Row],[Diskon]]),cadangan3[[#This Row],[Harga Asli C]])</f>
        <v>0</v>
      </c>
      <c r="AE511" s="36">
        <f>IFERROR(INDEX(Katalog!$F$3:$F$12,MATCH(cadangan3[[#This Row],[ItemID C]],Katalog!$C$3:$C$12,0))*cadangan3[[#This Row],[Qty C]],0)</f>
        <v>0</v>
      </c>
      <c r="AF511" s="36">
        <f>IFERROR(cadangan3[[#This Row],[Profit C]]-(cadangan3[[#This Row],[Profit C]]*cadangan3[[#This Row],[Diskon]]),cadangan3[[#This Row],[Profit C]])</f>
        <v>0</v>
      </c>
      <c r="AG511" s="21">
        <f>cadangan3[[#This Row],[Qty A]]+cadangan3[[#This Row],[Qty B]]+cadangan3[[#This Row],[Qty C]]</f>
        <v>1</v>
      </c>
      <c r="AH511" s="35">
        <f>cadangan3[[#This Row],[Harga A + Diskon]]+cadangan3[[#This Row],[Harga + Diskon B]]+cadangan3[[#This Row],[Harga + Diskon C]]</f>
        <v>212500</v>
      </c>
      <c r="AI511" s="35">
        <f>(cadangan3[[#This Row],[Profit A]]+cadangan3[[#This Row],[Profit B]]+cadangan3[[#This Row],[Profit C]])</f>
        <v>100000</v>
      </c>
      <c r="AJ511" s="35">
        <f>cadangan3[[#This Row],[Provit A + Diskon]]+cadangan3[[#This Row],[Provit B + Diskon]]+cadangan3[[#This Row],[Provit C + Diskon]]</f>
        <v>85000</v>
      </c>
      <c r="AK511" s="23" t="s">
        <v>13</v>
      </c>
      <c r="AL511" s="37">
        <f>IFERROR(INDEX('Kode Diskon'!$D$3:$D$9,MATCH(cadangan3[[#This Row],[Kode diskon]],'Kode Diskon'!$C$3:$C$9,0)),"-")</f>
        <v>0.15</v>
      </c>
      <c r="AM511" s="23" t="s">
        <v>29</v>
      </c>
      <c r="AN511" s="23" t="s">
        <v>7</v>
      </c>
      <c r="AO511" s="23" t="s">
        <v>79</v>
      </c>
      <c r="AP511" s="24">
        <v>45022</v>
      </c>
      <c r="AQ511" s="23" t="str">
        <f>TEXT(cadangan3[[#This Row],[Tanggal terjual]],"dddd")</f>
        <v>Thursday</v>
      </c>
    </row>
    <row r="512" spans="1:43" x14ac:dyDescent="0.2">
      <c r="A512" s="20">
        <v>511</v>
      </c>
      <c r="B512" s="21" t="str">
        <f>_xlfn.CONCAT("ORD-",INDEX(Helper!$B$2:$B$5,MATCH(cadangan3[[#This Row],[Marketplace]],Helper!$A$2:$A$5,0)),TEXT(cadangan3[[#This Row],[No]],"0000"),"-",TEXT(cadangan3[[#This Row],[Tanggal terjual]],"dd/mm/yy"))</f>
        <v>ORD-BL0511-28/04/23</v>
      </c>
      <c r="C512" t="s">
        <v>64</v>
      </c>
      <c r="D512" t="str">
        <f>IFERROR(INDEX(Katalog!$A$3:$A$12,MATCH(cadangan3[[#This Row],[ItemID A]],Katalog!$C$3:$C$12,0)),"-")</f>
        <v>Pakaian Unisex</v>
      </c>
      <c r="E512" t="str">
        <f>IFERROR(INDEX(Katalog!$B$3:$B$12,MATCH(cadangan3[[#This Row],[ItemID A]],Katalog!$C$3:$C$12,0)),"-")</f>
        <v>Jaket Hoodie</v>
      </c>
      <c r="F512">
        <v>1</v>
      </c>
      <c r="G512">
        <v>5</v>
      </c>
      <c r="H512" s="36">
        <f>IFERROR(INDEX(Katalog!$D$3:$D$12,MATCH(cadangan3[[#This Row],[ItemID A]],Katalog!$C$3:$C$12,0))*cadangan3[[#This Row],[Qty A]],0)</f>
        <v>350000</v>
      </c>
      <c r="I512" s="36">
        <f>IFERROR(INDEX(Katalog!$D$3:$D$12,MATCH(cadangan3[[#This Row],[Item A]],Katalog!$B$3:$B$12,0))*cadangan3[[#This Row],[Qty A]],0)</f>
        <v>350000</v>
      </c>
      <c r="J512" s="36">
        <f>IFERROR(cadangan3[[#This Row],[Harga Asli A]]-(cadangan3[[#This Row],[Harga Asli A]]*cadangan3[[#This Row],[Diskon]]),cadangan3[[#This Row],[Harga Asli A]])</f>
        <v>297500</v>
      </c>
      <c r="K512" s="36">
        <f>INDEX(Katalog!$F$3:$F$12,MATCH(cadangan3[[#This Row],[ItemID A]],Katalog!$C$3:$C$12,0))*cadangan3[[#This Row],[Qty A]]</f>
        <v>130000</v>
      </c>
      <c r="L512" s="36">
        <f>IFERROR(cadangan3[[#This Row],[Profit A]]-(cadangan3[[#This Row],[Profit A]]*cadangan3[[#This Row],[Diskon]]),K512)</f>
        <v>110500</v>
      </c>
      <c r="N512" t="str">
        <f>IFERROR(INDEX(Katalog!$A$3:$A$12,MATCH(cadangan3[[#This Row],[ItemID B]],Katalog!$C$3:$C$12,0)),"-")</f>
        <v>-</v>
      </c>
      <c r="O512" t="str">
        <f>IFERROR(INDEX(Katalog!$B$3:$B$12,MATCH(cadangan3[[#This Row],[ItemID B]],Katalog!$C$3:$C$12,0)),"-")</f>
        <v>-</v>
      </c>
      <c r="R512" s="36">
        <f>IFERROR(INDEX(Katalog!$D$3:$D$12,MATCH(cadangan3[[#This Row],[ItemID B]],Katalog!$C$3:$C$12,0))*cadangan3[[#This Row],[Qty B]],0)</f>
        <v>0</v>
      </c>
      <c r="S512" s="36">
        <f>IFERROR(INDEX(Katalog!$D$3:$D$12,MATCH(cadangan3[[#This Row],[Item B]],Katalog!$B$3:$B$12,0))*cadangan3[[#This Row],[Qty B]],0)</f>
        <v>0</v>
      </c>
      <c r="T512" s="36">
        <f>IFERROR(cadangan3[[#This Row],[Harga Asli B]]-(cadangan3[[#This Row],[Harga Asli B]]*cadangan3[[#This Row],[Diskon]]),cadangan3[[#This Row],[Harga Asli B]])</f>
        <v>0</v>
      </c>
      <c r="U512" s="36">
        <f>IFERROR(INDEX(Katalog!$F$3:$F$12,MATCH(cadangan3[[#This Row],[ItemID B]],Katalog!$C$3:$C$12,0))*cadangan3[[#This Row],[Qty B]],0)</f>
        <v>0</v>
      </c>
      <c r="V512" s="36">
        <f>IFERROR(cadangan3[[#This Row],[Profit B]]-(cadangan3[[#This Row],[Profit B]]*cadangan3[[#This Row],[Diskon]]),U512)</f>
        <v>0</v>
      </c>
      <c r="X512" t="str">
        <f>IFERROR(INDEX(Katalog!$A$3:$A$12,MATCH(cadangan3[[#This Row],[ItemID C]],Katalog!$C$3:$C$12,0)),"-")</f>
        <v>-</v>
      </c>
      <c r="Y512" t="str">
        <f>IFERROR(INDEX(Katalog!$B$3:$B$12,MATCH(cadangan3[[#This Row],[ItemID C]],Katalog!$C$3:$C$12,0)),"-")</f>
        <v>-</v>
      </c>
      <c r="AB512" s="36">
        <f>IFERROR(INDEX(Katalog!$D$3:$D$12,MATCH(cadangan3[[#This Row],[ItemID C]],Katalog!$C$3:$C$12,0))*cadangan3[[#This Row],[Qty C]],0)</f>
        <v>0</v>
      </c>
      <c r="AC512" s="36">
        <f>IFERROR(INDEX(Katalog!$D$3:$D$12,MATCH(cadangan3[[#This Row],[Item C]],Katalog!$B$3:$B$12,0))*cadangan3[[#This Row],[Qty C]],0)</f>
        <v>0</v>
      </c>
      <c r="AD512" s="36">
        <f>IFERROR(cadangan3[[#This Row],[Harga Asli C]]-(cadangan3[[#This Row],[Harga Asli C]]*cadangan3[[#This Row],[Diskon]]),cadangan3[[#This Row],[Harga Asli C]])</f>
        <v>0</v>
      </c>
      <c r="AE512" s="36">
        <f>IFERROR(INDEX(Katalog!$F$3:$F$12,MATCH(cadangan3[[#This Row],[ItemID C]],Katalog!$C$3:$C$12,0))*cadangan3[[#This Row],[Qty C]],0)</f>
        <v>0</v>
      </c>
      <c r="AF512" s="36">
        <f>IFERROR(cadangan3[[#This Row],[Profit C]]-(cadangan3[[#This Row],[Profit C]]*cadangan3[[#This Row],[Diskon]]),cadangan3[[#This Row],[Profit C]])</f>
        <v>0</v>
      </c>
      <c r="AG512" s="21">
        <f>cadangan3[[#This Row],[Qty A]]+cadangan3[[#This Row],[Qty B]]+cadangan3[[#This Row],[Qty C]]</f>
        <v>1</v>
      </c>
      <c r="AH512" s="35">
        <f>cadangan3[[#This Row],[Harga A + Diskon]]+cadangan3[[#This Row],[Harga + Diskon B]]+cadangan3[[#This Row],[Harga + Diskon C]]</f>
        <v>297500</v>
      </c>
      <c r="AI512" s="35">
        <f>(cadangan3[[#This Row],[Profit A]]+cadangan3[[#This Row],[Profit B]]+cadangan3[[#This Row],[Profit C]])</f>
        <v>130000</v>
      </c>
      <c r="AJ512" s="35">
        <f>cadangan3[[#This Row],[Provit A + Diskon]]+cadangan3[[#This Row],[Provit B + Diskon]]+cadangan3[[#This Row],[Provit C + Diskon]]</f>
        <v>110500</v>
      </c>
      <c r="AK512" s="23" t="s">
        <v>32</v>
      </c>
      <c r="AL512" s="37">
        <f>IFERROR(INDEX('Kode Diskon'!$D$3:$D$9,MATCH(cadangan3[[#This Row],[Kode diskon]],'Kode Diskon'!$C$3:$C$9,0)),"-")</f>
        <v>0.15</v>
      </c>
      <c r="AM512" s="23" t="s">
        <v>9</v>
      </c>
      <c r="AN512" s="23" t="s">
        <v>12</v>
      </c>
      <c r="AO512" s="23" t="s">
        <v>76</v>
      </c>
      <c r="AP512" s="24">
        <v>45044</v>
      </c>
      <c r="AQ512" s="23" t="str">
        <f>TEXT(cadangan3[[#This Row],[Tanggal terjual]],"dddd")</f>
        <v>Friday</v>
      </c>
    </row>
    <row r="513" spans="1:43" x14ac:dyDescent="0.2">
      <c r="A513" s="20">
        <v>512</v>
      </c>
      <c r="B513" s="21" t="str">
        <f>_xlfn.CONCAT("ORD-",INDEX(Helper!$B$2:$B$5,MATCH(cadangan3[[#This Row],[Marketplace]],Helper!$A$2:$A$5,0)),TEXT(cadangan3[[#This Row],[No]],"0000"),"-",TEXT(cadangan3[[#This Row],[Tanggal terjual]],"dd/mm/yy"))</f>
        <v>ORD-BB0512-01/04/23</v>
      </c>
      <c r="C513" t="s">
        <v>66</v>
      </c>
      <c r="D513" t="str">
        <f>IFERROR(INDEX(Katalog!$A$3:$A$12,MATCH(cadangan3[[#This Row],[ItemID A]],Katalog!$C$3:$C$12,0)),"-")</f>
        <v>Sepatu Pria</v>
      </c>
      <c r="E513" t="str">
        <f>IFERROR(INDEX(Katalog!$B$3:$B$12,MATCH(cadangan3[[#This Row],[ItemID A]],Katalog!$C$3:$C$12,0)),"-")</f>
        <v>Sandal Slip On</v>
      </c>
      <c r="F513">
        <v>1</v>
      </c>
      <c r="G513">
        <v>3</v>
      </c>
      <c r="H513" s="36">
        <f>IFERROR(INDEX(Katalog!$D$3:$D$12,MATCH(cadangan3[[#This Row],[ItemID A]],Katalog!$C$3:$C$12,0))*cadangan3[[#This Row],[Qty A]],0)</f>
        <v>150000</v>
      </c>
      <c r="I513" s="36">
        <f>IFERROR(INDEX(Katalog!$D$3:$D$12,MATCH(cadangan3[[#This Row],[Item A]],Katalog!$B$3:$B$12,0))*cadangan3[[#This Row],[Qty A]],0)</f>
        <v>150000</v>
      </c>
      <c r="J513" s="36">
        <f>IFERROR(cadangan3[[#This Row],[Harga Asli A]]-(cadangan3[[#This Row],[Harga Asli A]]*cadangan3[[#This Row],[Diskon]]),cadangan3[[#This Row],[Harga Asli A]])</f>
        <v>127500</v>
      </c>
      <c r="K513" s="36">
        <f>INDEX(Katalog!$F$3:$F$12,MATCH(cadangan3[[#This Row],[ItemID A]],Katalog!$C$3:$C$12,0))*cadangan3[[#This Row],[Qty A]]</f>
        <v>60000</v>
      </c>
      <c r="L513" s="36">
        <f>IFERROR(cadangan3[[#This Row],[Profit A]]-(cadangan3[[#This Row],[Profit A]]*cadangan3[[#This Row],[Diskon]]),K513)</f>
        <v>51000</v>
      </c>
      <c r="N513" t="str">
        <f>IFERROR(INDEX(Katalog!$A$3:$A$12,MATCH(cadangan3[[#This Row],[ItemID B]],Katalog!$C$3:$C$12,0)),"-")</f>
        <v>-</v>
      </c>
      <c r="O513" t="str">
        <f>IFERROR(INDEX(Katalog!$B$3:$B$12,MATCH(cadangan3[[#This Row],[ItemID B]],Katalog!$C$3:$C$12,0)),"-")</f>
        <v>-</v>
      </c>
      <c r="R513" s="36">
        <f>IFERROR(INDEX(Katalog!$D$3:$D$12,MATCH(cadangan3[[#This Row],[ItemID B]],Katalog!$C$3:$C$12,0))*cadangan3[[#This Row],[Qty B]],0)</f>
        <v>0</v>
      </c>
      <c r="S513" s="36">
        <f>IFERROR(INDEX(Katalog!$D$3:$D$12,MATCH(cadangan3[[#This Row],[Item B]],Katalog!$B$3:$B$12,0))*cadangan3[[#This Row],[Qty B]],0)</f>
        <v>0</v>
      </c>
      <c r="T513" s="36">
        <f>IFERROR(cadangan3[[#This Row],[Harga Asli B]]-(cadangan3[[#This Row],[Harga Asli B]]*cadangan3[[#This Row],[Diskon]]),cadangan3[[#This Row],[Harga Asli B]])</f>
        <v>0</v>
      </c>
      <c r="U513" s="36">
        <f>IFERROR(INDEX(Katalog!$F$3:$F$12,MATCH(cadangan3[[#This Row],[ItemID B]],Katalog!$C$3:$C$12,0))*cadangan3[[#This Row],[Qty B]],0)</f>
        <v>0</v>
      </c>
      <c r="V513" s="36">
        <f>IFERROR(cadangan3[[#This Row],[Profit B]]-(cadangan3[[#This Row],[Profit B]]*cadangan3[[#This Row],[Diskon]]),U513)</f>
        <v>0</v>
      </c>
      <c r="X513" t="str">
        <f>IFERROR(INDEX(Katalog!$A$3:$A$12,MATCH(cadangan3[[#This Row],[ItemID C]],Katalog!$C$3:$C$12,0)),"-")</f>
        <v>-</v>
      </c>
      <c r="Y513" t="str">
        <f>IFERROR(INDEX(Katalog!$B$3:$B$12,MATCH(cadangan3[[#This Row],[ItemID C]],Katalog!$C$3:$C$12,0)),"-")</f>
        <v>-</v>
      </c>
      <c r="AB513" s="36">
        <f>IFERROR(INDEX(Katalog!$D$3:$D$12,MATCH(cadangan3[[#This Row],[ItemID C]],Katalog!$C$3:$C$12,0))*cadangan3[[#This Row],[Qty C]],0)</f>
        <v>0</v>
      </c>
      <c r="AC513" s="36">
        <f>IFERROR(INDEX(Katalog!$D$3:$D$12,MATCH(cadangan3[[#This Row],[Item C]],Katalog!$B$3:$B$12,0))*cadangan3[[#This Row],[Qty C]],0)</f>
        <v>0</v>
      </c>
      <c r="AD513" s="36">
        <f>IFERROR(cadangan3[[#This Row],[Harga Asli C]]-(cadangan3[[#This Row],[Harga Asli C]]*cadangan3[[#This Row],[Diskon]]),cadangan3[[#This Row],[Harga Asli C]])</f>
        <v>0</v>
      </c>
      <c r="AE513" s="36">
        <f>IFERROR(INDEX(Katalog!$F$3:$F$12,MATCH(cadangan3[[#This Row],[ItemID C]],Katalog!$C$3:$C$12,0))*cadangan3[[#This Row],[Qty C]],0)</f>
        <v>0</v>
      </c>
      <c r="AF513" s="36">
        <f>IFERROR(cadangan3[[#This Row],[Profit C]]-(cadangan3[[#This Row],[Profit C]]*cadangan3[[#This Row],[Diskon]]),cadangan3[[#This Row],[Profit C]])</f>
        <v>0</v>
      </c>
      <c r="AG513" s="21">
        <f>cadangan3[[#This Row],[Qty A]]+cadangan3[[#This Row],[Qty B]]+cadangan3[[#This Row],[Qty C]]</f>
        <v>1</v>
      </c>
      <c r="AH513" s="35">
        <f>cadangan3[[#This Row],[Harga A + Diskon]]+cadangan3[[#This Row],[Harga + Diskon B]]+cadangan3[[#This Row],[Harga + Diskon C]]</f>
        <v>127500</v>
      </c>
      <c r="AI513" s="35">
        <f>(cadangan3[[#This Row],[Profit A]]+cadangan3[[#This Row],[Profit B]]+cadangan3[[#This Row],[Profit C]])</f>
        <v>60000</v>
      </c>
      <c r="AJ513" s="35">
        <f>cadangan3[[#This Row],[Provit A + Diskon]]+cadangan3[[#This Row],[Provit B + Diskon]]+cadangan3[[#This Row],[Provit C + Diskon]]</f>
        <v>51000</v>
      </c>
      <c r="AK513" s="23" t="s">
        <v>28</v>
      </c>
      <c r="AL513" s="37">
        <f>IFERROR(INDEX('Kode Diskon'!$D$3:$D$9,MATCH(cadangan3[[#This Row],[Kode diskon]],'Kode Diskon'!$C$3:$C$9,0)),"-")</f>
        <v>0.15</v>
      </c>
      <c r="AM513" s="23" t="s">
        <v>29</v>
      </c>
      <c r="AN513" s="23" t="s">
        <v>14</v>
      </c>
      <c r="AO513" s="23" t="s">
        <v>79</v>
      </c>
      <c r="AP513" s="24">
        <v>45017</v>
      </c>
      <c r="AQ513" s="23" t="str">
        <f>TEXT(cadangan3[[#This Row],[Tanggal terjual]],"dddd")</f>
        <v>Saturday</v>
      </c>
    </row>
    <row r="514" spans="1:43" x14ac:dyDescent="0.2">
      <c r="A514" s="20">
        <v>513</v>
      </c>
      <c r="B514" s="21" t="str">
        <f>_xlfn.CONCAT("ORD-",INDEX(Helper!$B$2:$B$5,MATCH(cadangan3[[#This Row],[Marketplace]],Helper!$A$2:$A$5,0)),TEXT(cadangan3[[#This Row],[No]],"0000"),"-",TEXT(cadangan3[[#This Row],[Tanggal terjual]],"dd/mm/yy"))</f>
        <v>ORD-SP0513-30/04/23</v>
      </c>
      <c r="C514" t="s">
        <v>65</v>
      </c>
      <c r="D514" t="str">
        <f>IFERROR(INDEX(Katalog!$A$3:$A$12,MATCH(cadangan3[[#This Row],[ItemID A]],Katalog!$C$3:$C$12,0)),"-")</f>
        <v>Sepatu Pria</v>
      </c>
      <c r="E514" t="str">
        <f>IFERROR(INDEX(Katalog!$B$3:$B$12,MATCH(cadangan3[[#This Row],[ItemID A]],Katalog!$C$3:$C$12,0)),"-")</f>
        <v>Sneakers</v>
      </c>
      <c r="F514">
        <v>3</v>
      </c>
      <c r="G514">
        <v>2</v>
      </c>
      <c r="H514" s="36">
        <f>IFERROR(INDEX(Katalog!$D$3:$D$12,MATCH(cadangan3[[#This Row],[ItemID A]],Katalog!$C$3:$C$12,0))*cadangan3[[#This Row],[Qty A]],0)</f>
        <v>1500000</v>
      </c>
      <c r="I514" s="36">
        <f>IFERROR(INDEX(Katalog!$D$3:$D$12,MATCH(cadangan3[[#This Row],[Item A]],Katalog!$B$3:$B$12,0))*cadangan3[[#This Row],[Qty A]],0)</f>
        <v>1500000</v>
      </c>
      <c r="J514" s="36">
        <f>IFERROR(cadangan3[[#This Row],[Harga Asli A]]-(cadangan3[[#This Row],[Harga Asli A]]*cadangan3[[#This Row],[Diskon]]),cadangan3[[#This Row],[Harga Asli A]])</f>
        <v>1200000</v>
      </c>
      <c r="K514" s="36">
        <f>INDEX(Katalog!$F$3:$F$12,MATCH(cadangan3[[#This Row],[ItemID A]],Katalog!$C$3:$C$12,0))*cadangan3[[#This Row],[Qty A]]</f>
        <v>600000</v>
      </c>
      <c r="L514" s="36">
        <f>IFERROR(cadangan3[[#This Row],[Profit A]]-(cadangan3[[#This Row],[Profit A]]*cadangan3[[#This Row],[Diskon]]),K514)</f>
        <v>480000</v>
      </c>
      <c r="M514" t="s">
        <v>61</v>
      </c>
      <c r="N514" t="str">
        <f>IFERROR(INDEX(Katalog!$A$3:$A$12,MATCH(cadangan3[[#This Row],[ItemID B]],Katalog!$C$3:$C$12,0)),"-")</f>
        <v>Pakaian Pria</v>
      </c>
      <c r="O514" t="str">
        <f>IFERROR(INDEX(Katalog!$B$3:$B$12,MATCH(cadangan3[[#This Row],[ItemID B]],Katalog!$C$3:$C$12,0)),"-")</f>
        <v>Kaos Polo</v>
      </c>
      <c r="P514">
        <v>2</v>
      </c>
      <c r="Q514">
        <v>3</v>
      </c>
      <c r="R514" s="36">
        <f>IFERROR(INDEX(Katalog!$D$3:$D$12,MATCH(cadangan3[[#This Row],[ItemID B]],Katalog!$C$3:$C$12,0))*cadangan3[[#This Row],[Qty B]],0)</f>
        <v>400000</v>
      </c>
      <c r="S514" s="36">
        <f>IFERROR(INDEX(Katalog!$D$3:$D$12,MATCH(cadangan3[[#This Row],[Item B]],Katalog!$B$3:$B$12,0))*cadangan3[[#This Row],[Qty B]],0)</f>
        <v>400000</v>
      </c>
      <c r="T514" s="36">
        <f>IFERROR(cadangan3[[#This Row],[Harga Asli B]]-(cadangan3[[#This Row],[Harga Asli B]]*cadangan3[[#This Row],[Diskon]]),cadangan3[[#This Row],[Harga Asli B]])</f>
        <v>320000</v>
      </c>
      <c r="U514" s="36">
        <f>IFERROR(INDEX(Katalog!$F$3:$F$12,MATCH(cadangan3[[#This Row],[ItemID B]],Katalog!$C$3:$C$12,0))*cadangan3[[#This Row],[Qty B]],0)</f>
        <v>160000</v>
      </c>
      <c r="V514" s="36">
        <f>IFERROR(cadangan3[[#This Row],[Profit B]]-(cadangan3[[#This Row],[Profit B]]*cadangan3[[#This Row],[Diskon]]),U514)</f>
        <v>128000</v>
      </c>
      <c r="X514" t="str">
        <f>IFERROR(INDEX(Katalog!$A$3:$A$12,MATCH(cadangan3[[#This Row],[ItemID C]],Katalog!$C$3:$C$12,0)),"-")</f>
        <v>-</v>
      </c>
      <c r="Y514" t="str">
        <f>IFERROR(INDEX(Katalog!$B$3:$B$12,MATCH(cadangan3[[#This Row],[ItemID C]],Katalog!$C$3:$C$12,0)),"-")</f>
        <v>-</v>
      </c>
      <c r="AB514" s="36">
        <f>IFERROR(INDEX(Katalog!$D$3:$D$12,MATCH(cadangan3[[#This Row],[ItemID C]],Katalog!$C$3:$C$12,0))*cadangan3[[#This Row],[Qty C]],0)</f>
        <v>0</v>
      </c>
      <c r="AC514" s="36">
        <f>IFERROR(INDEX(Katalog!$D$3:$D$12,MATCH(cadangan3[[#This Row],[Item C]],Katalog!$B$3:$B$12,0))*cadangan3[[#This Row],[Qty C]],0)</f>
        <v>0</v>
      </c>
      <c r="AD514" s="36">
        <f>IFERROR(cadangan3[[#This Row],[Harga Asli C]]-(cadangan3[[#This Row],[Harga Asli C]]*cadangan3[[#This Row],[Diskon]]),cadangan3[[#This Row],[Harga Asli C]])</f>
        <v>0</v>
      </c>
      <c r="AE514" s="36">
        <f>IFERROR(INDEX(Katalog!$F$3:$F$12,MATCH(cadangan3[[#This Row],[ItemID C]],Katalog!$C$3:$C$12,0))*cadangan3[[#This Row],[Qty C]],0)</f>
        <v>0</v>
      </c>
      <c r="AF514" s="36">
        <f>IFERROR(cadangan3[[#This Row],[Profit C]]-(cadangan3[[#This Row],[Profit C]]*cadangan3[[#This Row],[Diskon]]),cadangan3[[#This Row],[Profit C]])</f>
        <v>0</v>
      </c>
      <c r="AG514" s="21">
        <f>cadangan3[[#This Row],[Qty A]]+cadangan3[[#This Row],[Qty B]]+cadangan3[[#This Row],[Qty C]]</f>
        <v>5</v>
      </c>
      <c r="AH514" s="35">
        <f>cadangan3[[#This Row],[Harga A + Diskon]]+cadangan3[[#This Row],[Harga + Diskon B]]+cadangan3[[#This Row],[Harga + Diskon C]]</f>
        <v>1520000</v>
      </c>
      <c r="AI514" s="35">
        <f>(cadangan3[[#This Row],[Profit A]]+cadangan3[[#This Row],[Profit B]]+cadangan3[[#This Row],[Profit C]])</f>
        <v>760000</v>
      </c>
      <c r="AJ514" s="35">
        <f>cadangan3[[#This Row],[Provit A + Diskon]]+cadangan3[[#This Row],[Provit B + Diskon]]+cadangan3[[#This Row],[Provit C + Diskon]]</f>
        <v>608000</v>
      </c>
      <c r="AK514" s="23" t="s">
        <v>8</v>
      </c>
      <c r="AL514" s="37">
        <f>IFERROR(INDEX('Kode Diskon'!$D$3:$D$9,MATCH(cadangan3[[#This Row],[Kode diskon]],'Kode Diskon'!$C$3:$C$9,0)),"-")</f>
        <v>0.2</v>
      </c>
      <c r="AM514" s="23" t="s">
        <v>9</v>
      </c>
      <c r="AN514" s="23" t="s">
        <v>7</v>
      </c>
      <c r="AO514" s="23" t="s">
        <v>75</v>
      </c>
      <c r="AP514" s="24">
        <v>45046</v>
      </c>
      <c r="AQ514" s="23" t="str">
        <f>TEXT(cadangan3[[#This Row],[Tanggal terjual]],"dddd")</f>
        <v>Sunday</v>
      </c>
    </row>
    <row r="515" spans="1:43" x14ac:dyDescent="0.2">
      <c r="A515" s="20">
        <v>514</v>
      </c>
      <c r="B515" s="21" t="str">
        <f>_xlfn.CONCAT("ORD-",INDEX(Helper!$B$2:$B$5,MATCH(cadangan3[[#This Row],[Marketplace]],Helper!$A$2:$A$5,0)),TEXT(cadangan3[[#This Row],[No]],"0000"),"-",TEXT(cadangan3[[#This Row],[Tanggal terjual]],"dd/mm/yy"))</f>
        <v>ORD-SP0514-16/04/23</v>
      </c>
      <c r="C515" t="s">
        <v>64</v>
      </c>
      <c r="D515" t="str">
        <f>IFERROR(INDEX(Katalog!$A$3:$A$12,MATCH(cadangan3[[#This Row],[ItemID A]],Katalog!$C$3:$C$12,0)),"-")</f>
        <v>Pakaian Unisex</v>
      </c>
      <c r="E515" t="str">
        <f>IFERROR(INDEX(Katalog!$B$3:$B$12,MATCH(cadangan3[[#This Row],[ItemID A]],Katalog!$C$3:$C$12,0)),"-")</f>
        <v>Jaket Hoodie</v>
      </c>
      <c r="F515">
        <v>2</v>
      </c>
      <c r="G515">
        <v>4</v>
      </c>
      <c r="H515" s="36">
        <f>IFERROR(INDEX(Katalog!$D$3:$D$12,MATCH(cadangan3[[#This Row],[ItemID A]],Katalog!$C$3:$C$12,0))*cadangan3[[#This Row],[Qty A]],0)</f>
        <v>700000</v>
      </c>
      <c r="I515" s="36">
        <f>IFERROR(INDEX(Katalog!$D$3:$D$12,MATCH(cadangan3[[#This Row],[Item A]],Katalog!$B$3:$B$12,0))*cadangan3[[#This Row],[Qty A]],0)</f>
        <v>700000</v>
      </c>
      <c r="J515" s="36">
        <f>IFERROR(cadangan3[[#This Row],[Harga Asli A]]-(cadangan3[[#This Row],[Harga Asli A]]*cadangan3[[#This Row],[Diskon]]),cadangan3[[#This Row],[Harga Asli A]])</f>
        <v>560000</v>
      </c>
      <c r="K515" s="36">
        <f>INDEX(Katalog!$F$3:$F$12,MATCH(cadangan3[[#This Row],[ItemID A]],Katalog!$C$3:$C$12,0))*cadangan3[[#This Row],[Qty A]]</f>
        <v>260000</v>
      </c>
      <c r="L515" s="36">
        <f>IFERROR(cadangan3[[#This Row],[Profit A]]-(cadangan3[[#This Row],[Profit A]]*cadangan3[[#This Row],[Diskon]]),K515)</f>
        <v>208000</v>
      </c>
      <c r="M515" t="s">
        <v>60</v>
      </c>
      <c r="N515" t="str">
        <f>IFERROR(INDEX(Katalog!$A$3:$A$12,MATCH(cadangan3[[#This Row],[ItemID B]],Katalog!$C$3:$C$12,0)),"-")</f>
        <v>Pakaian Wanita</v>
      </c>
      <c r="O515" t="str">
        <f>IFERROR(INDEX(Katalog!$B$3:$B$12,MATCH(cadangan3[[#This Row],[ItemID B]],Katalog!$C$3:$C$12,0)),"-")</f>
        <v>Kaftan</v>
      </c>
      <c r="P515">
        <v>2</v>
      </c>
      <c r="Q515">
        <v>2</v>
      </c>
      <c r="R515" s="36">
        <f>IFERROR(INDEX(Katalog!$D$3:$D$12,MATCH(cadangan3[[#This Row],[ItemID B]],Katalog!$C$3:$C$12,0))*cadangan3[[#This Row],[Qty B]],0)</f>
        <v>500000</v>
      </c>
      <c r="S515" s="36">
        <f>IFERROR(INDEX(Katalog!$D$3:$D$12,MATCH(cadangan3[[#This Row],[Item B]],Katalog!$B$3:$B$12,0))*cadangan3[[#This Row],[Qty B]],0)</f>
        <v>500000</v>
      </c>
      <c r="T515" s="36">
        <f>IFERROR(cadangan3[[#This Row],[Harga Asli B]]-(cadangan3[[#This Row],[Harga Asli B]]*cadangan3[[#This Row],[Diskon]]),cadangan3[[#This Row],[Harga Asli B]])</f>
        <v>400000</v>
      </c>
      <c r="U515" s="36">
        <f>IFERROR(INDEX(Katalog!$F$3:$F$12,MATCH(cadangan3[[#This Row],[ItemID B]],Katalog!$C$3:$C$12,0))*cadangan3[[#This Row],[Qty B]],0)</f>
        <v>200000</v>
      </c>
      <c r="V515" s="36">
        <f>IFERROR(cadangan3[[#This Row],[Profit B]]-(cadangan3[[#This Row],[Profit B]]*cadangan3[[#This Row],[Diskon]]),U515)</f>
        <v>160000</v>
      </c>
      <c r="X515" t="str">
        <f>IFERROR(INDEX(Katalog!$A$3:$A$12,MATCH(cadangan3[[#This Row],[ItemID C]],Katalog!$C$3:$C$12,0)),"-")</f>
        <v>-</v>
      </c>
      <c r="Y515" t="str">
        <f>IFERROR(INDEX(Katalog!$B$3:$B$12,MATCH(cadangan3[[#This Row],[ItemID C]],Katalog!$C$3:$C$12,0)),"-")</f>
        <v>-</v>
      </c>
      <c r="AB515" s="36">
        <f>IFERROR(INDEX(Katalog!$D$3:$D$12,MATCH(cadangan3[[#This Row],[ItemID C]],Katalog!$C$3:$C$12,0))*cadangan3[[#This Row],[Qty C]],0)</f>
        <v>0</v>
      </c>
      <c r="AC515" s="36">
        <f>IFERROR(INDEX(Katalog!$D$3:$D$12,MATCH(cadangan3[[#This Row],[Item C]],Katalog!$B$3:$B$12,0))*cadangan3[[#This Row],[Qty C]],0)</f>
        <v>0</v>
      </c>
      <c r="AD515" s="36">
        <f>IFERROR(cadangan3[[#This Row],[Harga Asli C]]-(cadangan3[[#This Row],[Harga Asli C]]*cadangan3[[#This Row],[Diskon]]),cadangan3[[#This Row],[Harga Asli C]])</f>
        <v>0</v>
      </c>
      <c r="AE515" s="36">
        <f>IFERROR(INDEX(Katalog!$F$3:$F$12,MATCH(cadangan3[[#This Row],[ItemID C]],Katalog!$C$3:$C$12,0))*cadangan3[[#This Row],[Qty C]],0)</f>
        <v>0</v>
      </c>
      <c r="AF515" s="36">
        <f>IFERROR(cadangan3[[#This Row],[Profit C]]-(cadangan3[[#This Row],[Profit C]]*cadangan3[[#This Row],[Diskon]]),cadangan3[[#This Row],[Profit C]])</f>
        <v>0</v>
      </c>
      <c r="AG515" s="21">
        <f>cadangan3[[#This Row],[Qty A]]+cadangan3[[#This Row],[Qty B]]+cadangan3[[#This Row],[Qty C]]</f>
        <v>4</v>
      </c>
      <c r="AH515" s="35">
        <f>cadangan3[[#This Row],[Harga A + Diskon]]+cadangan3[[#This Row],[Harga + Diskon B]]+cadangan3[[#This Row],[Harga + Diskon C]]</f>
        <v>960000</v>
      </c>
      <c r="AI515" s="35">
        <f>(cadangan3[[#This Row],[Profit A]]+cadangan3[[#This Row],[Profit B]]+cadangan3[[#This Row],[Profit C]])</f>
        <v>460000</v>
      </c>
      <c r="AJ515" s="35">
        <f>cadangan3[[#This Row],[Provit A + Diskon]]+cadangan3[[#This Row],[Provit B + Diskon]]+cadangan3[[#This Row],[Provit C + Diskon]]</f>
        <v>368000</v>
      </c>
      <c r="AK515" s="23" t="s">
        <v>8</v>
      </c>
      <c r="AL515" s="37">
        <f>IFERROR(INDEX('Kode Diskon'!$D$3:$D$9,MATCH(cadangan3[[#This Row],[Kode diskon]],'Kode Diskon'!$C$3:$C$9,0)),"-")</f>
        <v>0.2</v>
      </c>
      <c r="AM515" s="23" t="s">
        <v>9</v>
      </c>
      <c r="AN515" s="23" t="s">
        <v>7</v>
      </c>
      <c r="AO515" s="23" t="s">
        <v>75</v>
      </c>
      <c r="AP515" s="24">
        <v>45032</v>
      </c>
      <c r="AQ515" s="23" t="str">
        <f>TEXT(cadangan3[[#This Row],[Tanggal terjual]],"dddd")</f>
        <v>Sunday</v>
      </c>
    </row>
    <row r="516" spans="1:43" x14ac:dyDescent="0.2">
      <c r="A516" s="20">
        <v>515</v>
      </c>
      <c r="B516" s="21" t="str">
        <f>_xlfn.CONCAT("ORD-",INDEX(Helper!$B$2:$B$5,MATCH(cadangan3[[#This Row],[Marketplace]],Helper!$A$2:$A$5,0)),TEXT(cadangan3[[#This Row],[No]],"0000"),"-",TEXT(cadangan3[[#This Row],[Tanggal terjual]],"dd/mm/yy"))</f>
        <v>ORD-SP0515-04/04/23</v>
      </c>
      <c r="C516" t="s">
        <v>64</v>
      </c>
      <c r="D516" t="str">
        <f>IFERROR(INDEX(Katalog!$A$3:$A$12,MATCH(cadangan3[[#This Row],[ItemID A]],Katalog!$C$3:$C$12,0)),"-")</f>
        <v>Pakaian Unisex</v>
      </c>
      <c r="E516" t="str">
        <f>IFERROR(INDEX(Katalog!$B$3:$B$12,MATCH(cadangan3[[#This Row],[ItemID A]],Katalog!$C$3:$C$12,0)),"-")</f>
        <v>Jaket Hoodie</v>
      </c>
      <c r="F516">
        <v>4</v>
      </c>
      <c r="G516">
        <v>5</v>
      </c>
      <c r="H516" s="36">
        <f>IFERROR(INDEX(Katalog!$D$3:$D$12,MATCH(cadangan3[[#This Row],[ItemID A]],Katalog!$C$3:$C$12,0))*cadangan3[[#This Row],[Qty A]],0)</f>
        <v>1400000</v>
      </c>
      <c r="I516" s="36">
        <f>IFERROR(INDEX(Katalog!$D$3:$D$12,MATCH(cadangan3[[#This Row],[Item A]],Katalog!$B$3:$B$12,0))*cadangan3[[#This Row],[Qty A]],0)</f>
        <v>1400000</v>
      </c>
      <c r="J516" s="36">
        <f>IFERROR(cadangan3[[#This Row],[Harga Asli A]]-(cadangan3[[#This Row],[Harga Asli A]]*cadangan3[[#This Row],[Diskon]]),cadangan3[[#This Row],[Harga Asli A]])</f>
        <v>1260000</v>
      </c>
      <c r="K516" s="36">
        <f>INDEX(Katalog!$F$3:$F$12,MATCH(cadangan3[[#This Row],[ItemID A]],Katalog!$C$3:$C$12,0))*cadangan3[[#This Row],[Qty A]]</f>
        <v>520000</v>
      </c>
      <c r="L516" s="36">
        <f>IFERROR(cadangan3[[#This Row],[Profit A]]-(cadangan3[[#This Row],[Profit A]]*cadangan3[[#This Row],[Diskon]]),K516)</f>
        <v>468000</v>
      </c>
      <c r="M516" t="s">
        <v>66</v>
      </c>
      <c r="N516" t="str">
        <f>IFERROR(INDEX(Katalog!$A$3:$A$12,MATCH(cadangan3[[#This Row],[ItemID B]],Katalog!$C$3:$C$12,0)),"-")</f>
        <v>Sepatu Pria</v>
      </c>
      <c r="O516" t="str">
        <f>IFERROR(INDEX(Katalog!$B$3:$B$12,MATCH(cadangan3[[#This Row],[ItemID B]],Katalog!$C$3:$C$12,0)),"-")</f>
        <v>Sandal Slip On</v>
      </c>
      <c r="P516">
        <v>2</v>
      </c>
      <c r="Q516">
        <v>1</v>
      </c>
      <c r="R516" s="36">
        <f>IFERROR(INDEX(Katalog!$D$3:$D$12,MATCH(cadangan3[[#This Row],[ItemID B]],Katalog!$C$3:$C$12,0))*cadangan3[[#This Row],[Qty B]],0)</f>
        <v>300000</v>
      </c>
      <c r="S516" s="36">
        <f>IFERROR(INDEX(Katalog!$D$3:$D$12,MATCH(cadangan3[[#This Row],[Item B]],Katalog!$B$3:$B$12,0))*cadangan3[[#This Row],[Qty B]],0)</f>
        <v>300000</v>
      </c>
      <c r="T516" s="36">
        <f>IFERROR(cadangan3[[#This Row],[Harga Asli B]]-(cadangan3[[#This Row],[Harga Asli B]]*cadangan3[[#This Row],[Diskon]]),cadangan3[[#This Row],[Harga Asli B]])</f>
        <v>270000</v>
      </c>
      <c r="U516" s="36">
        <f>IFERROR(INDEX(Katalog!$F$3:$F$12,MATCH(cadangan3[[#This Row],[ItemID B]],Katalog!$C$3:$C$12,0))*cadangan3[[#This Row],[Qty B]],0)</f>
        <v>120000</v>
      </c>
      <c r="V516" s="36">
        <f>IFERROR(cadangan3[[#This Row],[Profit B]]-(cadangan3[[#This Row],[Profit B]]*cadangan3[[#This Row],[Diskon]]),U516)</f>
        <v>108000</v>
      </c>
      <c r="X516" t="str">
        <f>IFERROR(INDEX(Katalog!$A$3:$A$12,MATCH(cadangan3[[#This Row],[ItemID C]],Katalog!$C$3:$C$12,0)),"-")</f>
        <v>-</v>
      </c>
      <c r="Y516" t="str">
        <f>IFERROR(INDEX(Katalog!$B$3:$B$12,MATCH(cadangan3[[#This Row],[ItemID C]],Katalog!$C$3:$C$12,0)),"-")</f>
        <v>-</v>
      </c>
      <c r="AB516" s="36">
        <f>IFERROR(INDEX(Katalog!$D$3:$D$12,MATCH(cadangan3[[#This Row],[ItemID C]],Katalog!$C$3:$C$12,0))*cadangan3[[#This Row],[Qty C]],0)</f>
        <v>0</v>
      </c>
      <c r="AC516" s="36">
        <f>IFERROR(INDEX(Katalog!$D$3:$D$12,MATCH(cadangan3[[#This Row],[Item C]],Katalog!$B$3:$B$12,0))*cadangan3[[#This Row],[Qty C]],0)</f>
        <v>0</v>
      </c>
      <c r="AD516" s="36">
        <f>IFERROR(cadangan3[[#This Row],[Harga Asli C]]-(cadangan3[[#This Row],[Harga Asli C]]*cadangan3[[#This Row],[Diskon]]),cadangan3[[#This Row],[Harga Asli C]])</f>
        <v>0</v>
      </c>
      <c r="AE516" s="36">
        <f>IFERROR(INDEX(Katalog!$F$3:$F$12,MATCH(cadangan3[[#This Row],[ItemID C]],Katalog!$C$3:$C$12,0))*cadangan3[[#This Row],[Qty C]],0)</f>
        <v>0</v>
      </c>
      <c r="AF516" s="36">
        <f>IFERROR(cadangan3[[#This Row],[Profit C]]-(cadangan3[[#This Row],[Profit C]]*cadangan3[[#This Row],[Diskon]]),cadangan3[[#This Row],[Profit C]])</f>
        <v>0</v>
      </c>
      <c r="AG516" s="21">
        <f>cadangan3[[#This Row],[Qty A]]+cadangan3[[#This Row],[Qty B]]+cadangan3[[#This Row],[Qty C]]</f>
        <v>6</v>
      </c>
      <c r="AH516" s="35">
        <f>cadangan3[[#This Row],[Harga A + Diskon]]+cadangan3[[#This Row],[Harga + Diskon B]]+cadangan3[[#This Row],[Harga + Diskon C]]</f>
        <v>1530000</v>
      </c>
      <c r="AI516" s="35">
        <f>(cadangan3[[#This Row],[Profit A]]+cadangan3[[#This Row],[Profit B]]+cadangan3[[#This Row],[Profit C]])</f>
        <v>640000</v>
      </c>
      <c r="AJ516" s="35">
        <f>cadangan3[[#This Row],[Provit A + Diskon]]+cadangan3[[#This Row],[Provit B + Diskon]]+cadangan3[[#This Row],[Provit C + Diskon]]</f>
        <v>576000</v>
      </c>
      <c r="AK516" s="23" t="s">
        <v>6</v>
      </c>
      <c r="AL516" s="37">
        <f>IFERROR(INDEX('Kode Diskon'!$D$3:$D$9,MATCH(cadangan3[[#This Row],[Kode diskon]],'Kode Diskon'!$C$3:$C$9,0)),"-")</f>
        <v>0.1</v>
      </c>
      <c r="AM516" s="23" t="s">
        <v>29</v>
      </c>
      <c r="AN516" s="23" t="s">
        <v>7</v>
      </c>
      <c r="AO516" s="23" t="s">
        <v>80</v>
      </c>
      <c r="AP516" s="24">
        <v>45020</v>
      </c>
      <c r="AQ516" s="23" t="str">
        <f>TEXT(cadangan3[[#This Row],[Tanggal terjual]],"dddd")</f>
        <v>Tuesday</v>
      </c>
    </row>
    <row r="517" spans="1:43" x14ac:dyDescent="0.2">
      <c r="A517" s="20">
        <v>516</v>
      </c>
      <c r="B517" s="21" t="str">
        <f>_xlfn.CONCAT("ORD-",INDEX(Helper!$B$2:$B$5,MATCH(cadangan3[[#This Row],[Marketplace]],Helper!$A$2:$A$5,0)),TEXT(cadangan3[[#This Row],[No]],"0000"),"-",TEXT(cadangan3[[#This Row],[Tanggal terjual]],"dd/mm/yy"))</f>
        <v>ORD-SP0516-06/04/23</v>
      </c>
      <c r="C517" t="s">
        <v>63</v>
      </c>
      <c r="D517" t="str">
        <f>IFERROR(INDEX(Katalog!$A$3:$A$12,MATCH(cadangan3[[#This Row],[ItemID A]],Katalog!$C$3:$C$12,0)),"-")</f>
        <v>Pakaian Pria</v>
      </c>
      <c r="E517" t="str">
        <f>IFERROR(INDEX(Katalog!$B$3:$B$12,MATCH(cadangan3[[#This Row],[ItemID A]],Katalog!$C$3:$C$12,0)),"-")</f>
        <v>Jaket Jeans</v>
      </c>
      <c r="F517">
        <v>2</v>
      </c>
      <c r="G517">
        <v>3</v>
      </c>
      <c r="H517" s="36">
        <f>IFERROR(INDEX(Katalog!$D$3:$D$12,MATCH(cadangan3[[#This Row],[ItemID A]],Katalog!$C$3:$C$12,0))*cadangan3[[#This Row],[Qty A]],0)</f>
        <v>800000</v>
      </c>
      <c r="I517" s="36">
        <f>IFERROR(INDEX(Katalog!$D$3:$D$12,MATCH(cadangan3[[#This Row],[Item A]],Katalog!$B$3:$B$12,0))*cadangan3[[#This Row],[Qty A]],0)</f>
        <v>800000</v>
      </c>
      <c r="J517" s="36">
        <f>IFERROR(cadangan3[[#This Row],[Harga Asli A]]-(cadangan3[[#This Row],[Harga Asli A]]*cadangan3[[#This Row],[Diskon]]),cadangan3[[#This Row],[Harga Asli A]])</f>
        <v>680000</v>
      </c>
      <c r="K517" s="36">
        <f>INDEX(Katalog!$F$3:$F$12,MATCH(cadangan3[[#This Row],[ItemID A]],Katalog!$C$3:$C$12,0))*cadangan3[[#This Row],[Qty A]]</f>
        <v>300000</v>
      </c>
      <c r="L517" s="36">
        <f>IFERROR(cadangan3[[#This Row],[Profit A]]-(cadangan3[[#This Row],[Profit A]]*cadangan3[[#This Row],[Diskon]]),K517)</f>
        <v>255000</v>
      </c>
      <c r="M517" t="s">
        <v>59</v>
      </c>
      <c r="N517" t="str">
        <f>IFERROR(INDEX(Katalog!$A$3:$A$12,MATCH(cadangan3[[#This Row],[ItemID B]],Katalog!$C$3:$C$12,0)),"-")</f>
        <v>Pakaian Wanita</v>
      </c>
      <c r="O517" t="str">
        <f>IFERROR(INDEX(Katalog!$B$3:$B$12,MATCH(cadangan3[[#This Row],[ItemID B]],Katalog!$C$3:$C$12,0)),"-")</f>
        <v>Blouse</v>
      </c>
      <c r="P517">
        <v>3</v>
      </c>
      <c r="Q517">
        <v>1</v>
      </c>
      <c r="R517" s="36">
        <f>IFERROR(INDEX(Katalog!$D$3:$D$12,MATCH(cadangan3[[#This Row],[ItemID B]],Katalog!$C$3:$C$12,0))*cadangan3[[#This Row],[Qty B]],0)</f>
        <v>450000</v>
      </c>
      <c r="S517" s="36">
        <f>IFERROR(INDEX(Katalog!$D$3:$D$12,MATCH(cadangan3[[#This Row],[Item B]],Katalog!$B$3:$B$12,0))*cadangan3[[#This Row],[Qty B]],0)</f>
        <v>450000</v>
      </c>
      <c r="T517" s="36">
        <f>IFERROR(cadangan3[[#This Row],[Harga Asli B]]-(cadangan3[[#This Row],[Harga Asli B]]*cadangan3[[#This Row],[Diskon]]),cadangan3[[#This Row],[Harga Asli B]])</f>
        <v>382500</v>
      </c>
      <c r="U517" s="36">
        <f>IFERROR(INDEX(Katalog!$F$3:$F$12,MATCH(cadangan3[[#This Row],[ItemID B]],Katalog!$C$3:$C$12,0))*cadangan3[[#This Row],[Qty B]],0)</f>
        <v>150000</v>
      </c>
      <c r="V517" s="36">
        <f>IFERROR(cadangan3[[#This Row],[Profit B]]-(cadangan3[[#This Row],[Profit B]]*cadangan3[[#This Row],[Diskon]]),U517)</f>
        <v>127500</v>
      </c>
      <c r="X517" t="str">
        <f>IFERROR(INDEX(Katalog!$A$3:$A$12,MATCH(cadangan3[[#This Row],[ItemID C]],Katalog!$C$3:$C$12,0)),"-")</f>
        <v>-</v>
      </c>
      <c r="Y517" t="str">
        <f>IFERROR(INDEX(Katalog!$B$3:$B$12,MATCH(cadangan3[[#This Row],[ItemID C]],Katalog!$C$3:$C$12,0)),"-")</f>
        <v>-</v>
      </c>
      <c r="AB517" s="36">
        <f>IFERROR(INDEX(Katalog!$D$3:$D$12,MATCH(cadangan3[[#This Row],[ItemID C]],Katalog!$C$3:$C$12,0))*cadangan3[[#This Row],[Qty C]],0)</f>
        <v>0</v>
      </c>
      <c r="AC517" s="36">
        <f>IFERROR(INDEX(Katalog!$D$3:$D$12,MATCH(cadangan3[[#This Row],[Item C]],Katalog!$B$3:$B$12,0))*cadangan3[[#This Row],[Qty C]],0)</f>
        <v>0</v>
      </c>
      <c r="AD517" s="36">
        <f>IFERROR(cadangan3[[#This Row],[Harga Asli C]]-(cadangan3[[#This Row],[Harga Asli C]]*cadangan3[[#This Row],[Diskon]]),cadangan3[[#This Row],[Harga Asli C]])</f>
        <v>0</v>
      </c>
      <c r="AE517" s="36">
        <f>IFERROR(INDEX(Katalog!$F$3:$F$12,MATCH(cadangan3[[#This Row],[ItemID C]],Katalog!$C$3:$C$12,0))*cadangan3[[#This Row],[Qty C]],0)</f>
        <v>0</v>
      </c>
      <c r="AF517" s="36">
        <f>IFERROR(cadangan3[[#This Row],[Profit C]]-(cadangan3[[#This Row],[Profit C]]*cadangan3[[#This Row],[Diskon]]),cadangan3[[#This Row],[Profit C]])</f>
        <v>0</v>
      </c>
      <c r="AG517" s="21">
        <f>cadangan3[[#This Row],[Qty A]]+cadangan3[[#This Row],[Qty B]]+cadangan3[[#This Row],[Qty C]]</f>
        <v>5</v>
      </c>
      <c r="AH517" s="35">
        <f>cadangan3[[#This Row],[Harga A + Diskon]]+cadangan3[[#This Row],[Harga + Diskon B]]+cadangan3[[#This Row],[Harga + Diskon C]]</f>
        <v>1062500</v>
      </c>
      <c r="AI517" s="35">
        <f>(cadangan3[[#This Row],[Profit A]]+cadangan3[[#This Row],[Profit B]]+cadangan3[[#This Row],[Profit C]])</f>
        <v>450000</v>
      </c>
      <c r="AJ517" s="35">
        <f>cadangan3[[#This Row],[Provit A + Diskon]]+cadangan3[[#This Row],[Provit B + Diskon]]+cadangan3[[#This Row],[Provit C + Diskon]]</f>
        <v>382500</v>
      </c>
      <c r="AK517" s="23" t="s">
        <v>13</v>
      </c>
      <c r="AL517" s="37">
        <f>IFERROR(INDEX('Kode Diskon'!$D$3:$D$9,MATCH(cadangan3[[#This Row],[Kode diskon]],'Kode Diskon'!$C$3:$C$9,0)),"-")</f>
        <v>0.15</v>
      </c>
      <c r="AM517" s="23" t="s">
        <v>29</v>
      </c>
      <c r="AN517" s="23" t="s">
        <v>7</v>
      </c>
      <c r="AO517" s="23" t="s">
        <v>79</v>
      </c>
      <c r="AP517" s="24">
        <v>45022</v>
      </c>
      <c r="AQ517" s="23" t="str">
        <f>TEXT(cadangan3[[#This Row],[Tanggal terjual]],"dddd")</f>
        <v>Thursday</v>
      </c>
    </row>
    <row r="518" spans="1:43" x14ac:dyDescent="0.2">
      <c r="A518" s="20">
        <v>517</v>
      </c>
      <c r="B518" s="21" t="str">
        <f>_xlfn.CONCAT("ORD-",INDEX(Helper!$B$2:$B$5,MATCH(cadangan3[[#This Row],[Marketplace]],Helper!$A$2:$A$5,0)),TEXT(cadangan3[[#This Row],[No]],"0000"),"-",TEXT(cadangan3[[#This Row],[Tanggal terjual]],"dd/mm/yy"))</f>
        <v>ORD-SP0517-12/04/23</v>
      </c>
      <c r="C518" t="s">
        <v>65</v>
      </c>
      <c r="D518" t="str">
        <f>IFERROR(INDEX(Katalog!$A$3:$A$12,MATCH(cadangan3[[#This Row],[ItemID A]],Katalog!$C$3:$C$12,0)),"-")</f>
        <v>Sepatu Pria</v>
      </c>
      <c r="E518" t="str">
        <f>IFERROR(INDEX(Katalog!$B$3:$B$12,MATCH(cadangan3[[#This Row],[ItemID A]],Katalog!$C$3:$C$12,0)),"-")</f>
        <v>Sneakers</v>
      </c>
      <c r="F518">
        <v>4</v>
      </c>
      <c r="G518">
        <v>2</v>
      </c>
      <c r="H518" s="36">
        <f>IFERROR(INDEX(Katalog!$D$3:$D$12,MATCH(cadangan3[[#This Row],[ItemID A]],Katalog!$C$3:$C$12,0))*cadangan3[[#This Row],[Qty A]],0)</f>
        <v>2000000</v>
      </c>
      <c r="I518" s="36">
        <f>IFERROR(INDEX(Katalog!$D$3:$D$12,MATCH(cadangan3[[#This Row],[Item A]],Katalog!$B$3:$B$12,0))*cadangan3[[#This Row],[Qty A]],0)</f>
        <v>2000000</v>
      </c>
      <c r="J518" s="36">
        <f>IFERROR(cadangan3[[#This Row],[Harga Asli A]]-(cadangan3[[#This Row],[Harga Asli A]]*cadangan3[[#This Row],[Diskon]]),cadangan3[[#This Row],[Harga Asli A]])</f>
        <v>2000000</v>
      </c>
      <c r="K518" s="36">
        <f>INDEX(Katalog!$F$3:$F$12,MATCH(cadangan3[[#This Row],[ItemID A]],Katalog!$C$3:$C$12,0))*cadangan3[[#This Row],[Qty A]]</f>
        <v>800000</v>
      </c>
      <c r="L518" s="36">
        <f>IFERROR(cadangan3[[#This Row],[Profit A]]-(cadangan3[[#This Row],[Profit A]]*cadangan3[[#This Row],[Diskon]]),K518)</f>
        <v>800000</v>
      </c>
      <c r="M518" t="s">
        <v>59</v>
      </c>
      <c r="N518" t="str">
        <f>IFERROR(INDEX(Katalog!$A$3:$A$12,MATCH(cadangan3[[#This Row],[ItemID B]],Katalog!$C$3:$C$12,0)),"-")</f>
        <v>Pakaian Wanita</v>
      </c>
      <c r="O518" t="str">
        <f>IFERROR(INDEX(Katalog!$B$3:$B$12,MATCH(cadangan3[[#This Row],[ItemID B]],Katalog!$C$3:$C$12,0)),"-")</f>
        <v>Blouse</v>
      </c>
      <c r="P518">
        <v>1</v>
      </c>
      <c r="Q518">
        <v>4</v>
      </c>
      <c r="R518" s="36">
        <f>IFERROR(INDEX(Katalog!$D$3:$D$12,MATCH(cadangan3[[#This Row],[ItemID B]],Katalog!$C$3:$C$12,0))*cadangan3[[#This Row],[Qty B]],0)</f>
        <v>150000</v>
      </c>
      <c r="S518" s="36">
        <f>IFERROR(INDEX(Katalog!$D$3:$D$12,MATCH(cadangan3[[#This Row],[Item B]],Katalog!$B$3:$B$12,0))*cadangan3[[#This Row],[Qty B]],0)</f>
        <v>150000</v>
      </c>
      <c r="T518" s="36">
        <f>IFERROR(cadangan3[[#This Row],[Harga Asli B]]-(cadangan3[[#This Row],[Harga Asli B]]*cadangan3[[#This Row],[Diskon]]),cadangan3[[#This Row],[Harga Asli B]])</f>
        <v>150000</v>
      </c>
      <c r="U518" s="36">
        <f>IFERROR(INDEX(Katalog!$F$3:$F$12,MATCH(cadangan3[[#This Row],[ItemID B]],Katalog!$C$3:$C$12,0))*cadangan3[[#This Row],[Qty B]],0)</f>
        <v>50000</v>
      </c>
      <c r="V518" s="36">
        <f>IFERROR(cadangan3[[#This Row],[Profit B]]-(cadangan3[[#This Row],[Profit B]]*cadangan3[[#This Row],[Diskon]]),U518)</f>
        <v>50000</v>
      </c>
      <c r="X518" t="str">
        <f>IFERROR(INDEX(Katalog!$A$3:$A$12,MATCH(cadangan3[[#This Row],[ItemID C]],Katalog!$C$3:$C$12,0)),"-")</f>
        <v>-</v>
      </c>
      <c r="Y518" t="str">
        <f>IFERROR(INDEX(Katalog!$B$3:$B$12,MATCH(cadangan3[[#This Row],[ItemID C]],Katalog!$C$3:$C$12,0)),"-")</f>
        <v>-</v>
      </c>
      <c r="AB518" s="36">
        <f>IFERROR(INDEX(Katalog!$D$3:$D$12,MATCH(cadangan3[[#This Row],[ItemID C]],Katalog!$C$3:$C$12,0))*cadangan3[[#This Row],[Qty C]],0)</f>
        <v>0</v>
      </c>
      <c r="AC518" s="36">
        <f>IFERROR(INDEX(Katalog!$D$3:$D$12,MATCH(cadangan3[[#This Row],[Item C]],Katalog!$B$3:$B$12,0))*cadangan3[[#This Row],[Qty C]],0)</f>
        <v>0</v>
      </c>
      <c r="AD518" s="36">
        <f>IFERROR(cadangan3[[#This Row],[Harga Asli C]]-(cadangan3[[#This Row],[Harga Asli C]]*cadangan3[[#This Row],[Diskon]]),cadangan3[[#This Row],[Harga Asli C]])</f>
        <v>0</v>
      </c>
      <c r="AE518" s="36">
        <f>IFERROR(INDEX(Katalog!$F$3:$F$12,MATCH(cadangan3[[#This Row],[ItemID C]],Katalog!$C$3:$C$12,0))*cadangan3[[#This Row],[Qty C]],0)</f>
        <v>0</v>
      </c>
      <c r="AF518" s="36">
        <f>IFERROR(cadangan3[[#This Row],[Profit C]]-(cadangan3[[#This Row],[Profit C]]*cadangan3[[#This Row],[Diskon]]),cadangan3[[#This Row],[Profit C]])</f>
        <v>0</v>
      </c>
      <c r="AG518" s="21">
        <f>cadangan3[[#This Row],[Qty A]]+cadangan3[[#This Row],[Qty B]]+cadangan3[[#This Row],[Qty C]]</f>
        <v>5</v>
      </c>
      <c r="AH518" s="35">
        <f>cadangan3[[#This Row],[Harga A + Diskon]]+cadangan3[[#This Row],[Harga + Diskon B]]+cadangan3[[#This Row],[Harga + Diskon C]]</f>
        <v>2150000</v>
      </c>
      <c r="AI518" s="35">
        <f>(cadangan3[[#This Row],[Profit A]]+cadangan3[[#This Row],[Profit B]]+cadangan3[[#This Row],[Profit C]])</f>
        <v>850000</v>
      </c>
      <c r="AJ518" s="35">
        <f>cadangan3[[#This Row],[Provit A + Diskon]]+cadangan3[[#This Row],[Provit B + Diskon]]+cadangan3[[#This Row],[Provit C + Diskon]]</f>
        <v>850000</v>
      </c>
      <c r="AK518" s="23" t="s">
        <v>11</v>
      </c>
      <c r="AL518" s="37" t="str">
        <f>IFERROR(INDEX('Kode Diskon'!$D$3:$D$9,MATCH(cadangan3[[#This Row],[Kode diskon]],'Kode Diskon'!$C$3:$C$9,0)),"-")</f>
        <v>-</v>
      </c>
      <c r="AM518" s="23" t="s">
        <v>11</v>
      </c>
      <c r="AN518" s="23" t="s">
        <v>7</v>
      </c>
      <c r="AO518" s="23" t="s">
        <v>77</v>
      </c>
      <c r="AP518" s="24">
        <v>45028</v>
      </c>
      <c r="AQ518" s="23" t="str">
        <f>TEXT(cadangan3[[#This Row],[Tanggal terjual]],"dddd")</f>
        <v>Wednesday</v>
      </c>
    </row>
    <row r="519" spans="1:43" x14ac:dyDescent="0.2">
      <c r="A519" s="20">
        <v>518</v>
      </c>
      <c r="B519" s="21" t="str">
        <f>_xlfn.CONCAT("ORD-",INDEX(Helper!$B$2:$B$5,MATCH(cadangan3[[#This Row],[Marketplace]],Helper!$A$2:$A$5,0)),TEXT(cadangan3[[#This Row],[No]],"0000"),"-",TEXT(cadangan3[[#This Row],[Tanggal terjual]],"dd/mm/yy"))</f>
        <v>ORD-SP0518-28/04/23</v>
      </c>
      <c r="C519" t="s">
        <v>67</v>
      </c>
      <c r="D519" t="str">
        <f>IFERROR(INDEX(Katalog!$A$3:$A$12,MATCH(cadangan3[[#This Row],[ItemID A]],Katalog!$C$3:$C$12,0)),"-")</f>
        <v>Sepatu Wanita</v>
      </c>
      <c r="E519" t="str">
        <f>IFERROR(INDEX(Katalog!$B$3:$B$12,MATCH(cadangan3[[#This Row],[ItemID A]],Katalog!$C$3:$C$12,0)),"-")</f>
        <v>Flat Shoes</v>
      </c>
      <c r="F519">
        <v>2</v>
      </c>
      <c r="G519">
        <v>5</v>
      </c>
      <c r="H519" s="36">
        <f>IFERROR(INDEX(Katalog!$D$3:$D$12,MATCH(cadangan3[[#This Row],[ItemID A]],Katalog!$C$3:$C$12,0))*cadangan3[[#This Row],[Qty A]],0)</f>
        <v>500000</v>
      </c>
      <c r="I519" s="36">
        <f>IFERROR(INDEX(Katalog!$D$3:$D$12,MATCH(cadangan3[[#This Row],[Item A]],Katalog!$B$3:$B$12,0))*cadangan3[[#This Row],[Qty A]],0)</f>
        <v>500000</v>
      </c>
      <c r="J519" s="36">
        <f>IFERROR(cadangan3[[#This Row],[Harga Asli A]]-(cadangan3[[#This Row],[Harga Asli A]]*cadangan3[[#This Row],[Diskon]]),cadangan3[[#This Row],[Harga Asli A]])</f>
        <v>400000</v>
      </c>
      <c r="K519" s="36">
        <f>INDEX(Katalog!$F$3:$F$12,MATCH(cadangan3[[#This Row],[ItemID A]],Katalog!$C$3:$C$12,0))*cadangan3[[#This Row],[Qty A]]</f>
        <v>200000</v>
      </c>
      <c r="L519" s="36">
        <f>IFERROR(cadangan3[[#This Row],[Profit A]]-(cadangan3[[#This Row],[Profit A]]*cadangan3[[#This Row],[Diskon]]),K519)</f>
        <v>160000</v>
      </c>
      <c r="M519" t="s">
        <v>61</v>
      </c>
      <c r="N519" t="str">
        <f>IFERROR(INDEX(Katalog!$A$3:$A$12,MATCH(cadangan3[[#This Row],[ItemID B]],Katalog!$C$3:$C$12,0)),"-")</f>
        <v>Pakaian Pria</v>
      </c>
      <c r="O519" t="str">
        <f>IFERROR(INDEX(Katalog!$B$3:$B$12,MATCH(cadangan3[[#This Row],[ItemID B]],Katalog!$C$3:$C$12,0)),"-")</f>
        <v>Kaos Polo</v>
      </c>
      <c r="P519">
        <v>1</v>
      </c>
      <c r="Q519">
        <v>3</v>
      </c>
      <c r="R519" s="36">
        <f>IFERROR(INDEX(Katalog!$D$3:$D$12,MATCH(cadangan3[[#This Row],[ItemID B]],Katalog!$C$3:$C$12,0))*cadangan3[[#This Row],[Qty B]],0)</f>
        <v>200000</v>
      </c>
      <c r="S519" s="36">
        <f>IFERROR(INDEX(Katalog!$D$3:$D$12,MATCH(cadangan3[[#This Row],[Item B]],Katalog!$B$3:$B$12,0))*cadangan3[[#This Row],[Qty B]],0)</f>
        <v>200000</v>
      </c>
      <c r="T519" s="36">
        <f>IFERROR(cadangan3[[#This Row],[Harga Asli B]]-(cadangan3[[#This Row],[Harga Asli B]]*cadangan3[[#This Row],[Diskon]]),cadangan3[[#This Row],[Harga Asli B]])</f>
        <v>160000</v>
      </c>
      <c r="U519" s="36">
        <f>IFERROR(INDEX(Katalog!$F$3:$F$12,MATCH(cadangan3[[#This Row],[ItemID B]],Katalog!$C$3:$C$12,0))*cadangan3[[#This Row],[Qty B]],0)</f>
        <v>80000</v>
      </c>
      <c r="V519" s="36">
        <f>IFERROR(cadangan3[[#This Row],[Profit B]]-(cadangan3[[#This Row],[Profit B]]*cadangan3[[#This Row],[Diskon]]),U519)</f>
        <v>64000</v>
      </c>
      <c r="W519" t="s">
        <v>65</v>
      </c>
      <c r="X519" t="str">
        <f>IFERROR(INDEX(Katalog!$A$3:$A$12,MATCH(cadangan3[[#This Row],[ItemID C]],Katalog!$C$3:$C$12,0)),"-")</f>
        <v>Sepatu Pria</v>
      </c>
      <c r="Y519" t="str">
        <f>IFERROR(INDEX(Katalog!$B$3:$B$12,MATCH(cadangan3[[#This Row],[ItemID C]],Katalog!$C$3:$C$12,0)),"-")</f>
        <v>Sneakers</v>
      </c>
      <c r="Z519">
        <v>2</v>
      </c>
      <c r="AA519">
        <v>5</v>
      </c>
      <c r="AB519" s="36">
        <f>IFERROR(INDEX(Katalog!$D$3:$D$12,MATCH(cadangan3[[#This Row],[ItemID C]],Katalog!$C$3:$C$12,0))*cadangan3[[#This Row],[Qty C]],0)</f>
        <v>1000000</v>
      </c>
      <c r="AC519" s="36">
        <f>IFERROR(INDEX(Katalog!$D$3:$D$12,MATCH(cadangan3[[#This Row],[Item C]],Katalog!$B$3:$B$12,0))*cadangan3[[#This Row],[Qty C]],0)</f>
        <v>1000000</v>
      </c>
      <c r="AD519" s="36">
        <f>IFERROR(cadangan3[[#This Row],[Harga Asli C]]-(cadangan3[[#This Row],[Harga Asli C]]*cadangan3[[#This Row],[Diskon]]),cadangan3[[#This Row],[Harga Asli C]])</f>
        <v>800000</v>
      </c>
      <c r="AE519" s="36">
        <f>IFERROR(INDEX(Katalog!$F$3:$F$12,MATCH(cadangan3[[#This Row],[ItemID C]],Katalog!$C$3:$C$12,0))*cadangan3[[#This Row],[Qty C]],0)</f>
        <v>400000</v>
      </c>
      <c r="AF519" s="36">
        <f>IFERROR(cadangan3[[#This Row],[Profit C]]-(cadangan3[[#This Row],[Profit C]]*cadangan3[[#This Row],[Diskon]]),cadangan3[[#This Row],[Profit C]])</f>
        <v>320000</v>
      </c>
      <c r="AG519" s="21">
        <f>cadangan3[[#This Row],[Qty A]]+cadangan3[[#This Row],[Qty B]]+cadangan3[[#This Row],[Qty C]]</f>
        <v>5</v>
      </c>
      <c r="AH519" s="35">
        <f>cadangan3[[#This Row],[Harga A + Diskon]]+cadangan3[[#This Row],[Harga + Diskon B]]+cadangan3[[#This Row],[Harga + Diskon C]]</f>
        <v>1360000</v>
      </c>
      <c r="AI519" s="35">
        <f>(cadangan3[[#This Row],[Profit A]]+cadangan3[[#This Row],[Profit B]]+cadangan3[[#This Row],[Profit C]])</f>
        <v>680000</v>
      </c>
      <c r="AJ519" s="35">
        <f>cadangan3[[#This Row],[Provit A + Diskon]]+cadangan3[[#This Row],[Provit B + Diskon]]+cadangan3[[#This Row],[Provit C + Diskon]]</f>
        <v>544000</v>
      </c>
      <c r="AK519" s="23" t="s">
        <v>8</v>
      </c>
      <c r="AL519" s="37">
        <f>IFERROR(INDEX('Kode Diskon'!$D$3:$D$9,MATCH(cadangan3[[#This Row],[Kode diskon]],'Kode Diskon'!$C$3:$C$9,0)),"-")</f>
        <v>0.2</v>
      </c>
      <c r="AM519" s="23" t="s">
        <v>9</v>
      </c>
      <c r="AN519" s="23" t="s">
        <v>7</v>
      </c>
      <c r="AO519" s="23" t="s">
        <v>76</v>
      </c>
      <c r="AP519" s="24">
        <v>45044</v>
      </c>
      <c r="AQ519" s="23" t="str">
        <f>TEXT(cadangan3[[#This Row],[Tanggal terjual]],"dddd")</f>
        <v>Friday</v>
      </c>
    </row>
    <row r="520" spans="1:43" x14ac:dyDescent="0.2">
      <c r="A520" s="20">
        <v>519</v>
      </c>
      <c r="B520" s="21" t="str">
        <f>_xlfn.CONCAT("ORD-",INDEX(Helper!$B$2:$B$5,MATCH(cadangan3[[#This Row],[Marketplace]],Helper!$A$2:$A$5,0)),TEXT(cadangan3[[#This Row],[No]],"0000"),"-",TEXT(cadangan3[[#This Row],[Tanggal terjual]],"dd/mm/yy"))</f>
        <v>ORD-BL0519-16/04/23</v>
      </c>
      <c r="C520" t="s">
        <v>59</v>
      </c>
      <c r="D520" t="str">
        <f>IFERROR(INDEX(Katalog!$A$3:$A$12,MATCH(cadangan3[[#This Row],[ItemID A]],Katalog!$C$3:$C$12,0)),"-")</f>
        <v>Pakaian Wanita</v>
      </c>
      <c r="E520" t="str">
        <f>IFERROR(INDEX(Katalog!$B$3:$B$12,MATCH(cadangan3[[#This Row],[ItemID A]],Katalog!$C$3:$C$12,0)),"-")</f>
        <v>Blouse</v>
      </c>
      <c r="F520">
        <v>2</v>
      </c>
      <c r="G520">
        <v>5</v>
      </c>
      <c r="H520" s="36">
        <f>IFERROR(INDEX(Katalog!$D$3:$D$12,MATCH(cadangan3[[#This Row],[ItemID A]],Katalog!$C$3:$C$12,0))*cadangan3[[#This Row],[Qty A]],0)</f>
        <v>300000</v>
      </c>
      <c r="I520" s="36">
        <f>IFERROR(INDEX(Katalog!$D$3:$D$12,MATCH(cadangan3[[#This Row],[Item A]],Katalog!$B$3:$B$12,0))*cadangan3[[#This Row],[Qty A]],0)</f>
        <v>300000</v>
      </c>
      <c r="J520" s="36">
        <f>IFERROR(cadangan3[[#This Row],[Harga Asli A]]-(cadangan3[[#This Row],[Harga Asli A]]*cadangan3[[#This Row],[Diskon]]),cadangan3[[#This Row],[Harga Asli A]])</f>
        <v>255000</v>
      </c>
      <c r="K520" s="36">
        <f>INDEX(Katalog!$F$3:$F$12,MATCH(cadangan3[[#This Row],[ItemID A]],Katalog!$C$3:$C$12,0))*cadangan3[[#This Row],[Qty A]]</f>
        <v>100000</v>
      </c>
      <c r="L520" s="36">
        <f>IFERROR(cadangan3[[#This Row],[Profit A]]-(cadangan3[[#This Row],[Profit A]]*cadangan3[[#This Row],[Diskon]]),K520)</f>
        <v>85000</v>
      </c>
      <c r="M520" t="s">
        <v>67</v>
      </c>
      <c r="N520" t="str">
        <f>IFERROR(INDEX(Katalog!$A$3:$A$12,MATCH(cadangan3[[#This Row],[ItemID B]],Katalog!$C$3:$C$12,0)),"-")</f>
        <v>Sepatu Wanita</v>
      </c>
      <c r="O520" t="str">
        <f>IFERROR(INDEX(Katalog!$B$3:$B$12,MATCH(cadangan3[[#This Row],[ItemID B]],Katalog!$C$3:$C$12,0)),"-")</f>
        <v>Flat Shoes</v>
      </c>
      <c r="P520">
        <v>1</v>
      </c>
      <c r="Q520">
        <v>5</v>
      </c>
      <c r="R520" s="36">
        <f>IFERROR(INDEX(Katalog!$D$3:$D$12,MATCH(cadangan3[[#This Row],[ItemID B]],Katalog!$C$3:$C$12,0))*cadangan3[[#This Row],[Qty B]],0)</f>
        <v>250000</v>
      </c>
      <c r="S520" s="36">
        <f>IFERROR(INDEX(Katalog!$D$3:$D$12,MATCH(cadangan3[[#This Row],[Item B]],Katalog!$B$3:$B$12,0))*cadangan3[[#This Row],[Qty B]],0)</f>
        <v>250000</v>
      </c>
      <c r="T520" s="36">
        <f>IFERROR(cadangan3[[#This Row],[Harga Asli B]]-(cadangan3[[#This Row],[Harga Asli B]]*cadangan3[[#This Row],[Diskon]]),cadangan3[[#This Row],[Harga Asli B]])</f>
        <v>212500</v>
      </c>
      <c r="U520" s="36">
        <f>IFERROR(INDEX(Katalog!$F$3:$F$12,MATCH(cadangan3[[#This Row],[ItemID B]],Katalog!$C$3:$C$12,0))*cadangan3[[#This Row],[Qty B]],0)</f>
        <v>100000</v>
      </c>
      <c r="V520" s="36">
        <f>IFERROR(cadangan3[[#This Row],[Profit B]]-(cadangan3[[#This Row],[Profit B]]*cadangan3[[#This Row],[Diskon]]),U520)</f>
        <v>85000</v>
      </c>
      <c r="X520" t="str">
        <f>IFERROR(INDEX(Katalog!$A$3:$A$12,MATCH(cadangan3[[#This Row],[ItemID C]],Katalog!$C$3:$C$12,0)),"-")</f>
        <v>-</v>
      </c>
      <c r="Y520" t="str">
        <f>IFERROR(INDEX(Katalog!$B$3:$B$12,MATCH(cadangan3[[#This Row],[ItemID C]],Katalog!$C$3:$C$12,0)),"-")</f>
        <v>-</v>
      </c>
      <c r="AB520" s="36">
        <f>IFERROR(INDEX(Katalog!$D$3:$D$12,MATCH(cadangan3[[#This Row],[ItemID C]],Katalog!$C$3:$C$12,0))*cadangan3[[#This Row],[Qty C]],0)</f>
        <v>0</v>
      </c>
      <c r="AC520" s="36">
        <f>IFERROR(INDEX(Katalog!$D$3:$D$12,MATCH(cadangan3[[#This Row],[Item C]],Katalog!$B$3:$B$12,0))*cadangan3[[#This Row],[Qty C]],0)</f>
        <v>0</v>
      </c>
      <c r="AD520" s="36">
        <f>IFERROR(cadangan3[[#This Row],[Harga Asli C]]-(cadangan3[[#This Row],[Harga Asli C]]*cadangan3[[#This Row],[Diskon]]),cadangan3[[#This Row],[Harga Asli C]])</f>
        <v>0</v>
      </c>
      <c r="AE520" s="36">
        <f>IFERROR(INDEX(Katalog!$F$3:$F$12,MATCH(cadangan3[[#This Row],[ItemID C]],Katalog!$C$3:$C$12,0))*cadangan3[[#This Row],[Qty C]],0)</f>
        <v>0</v>
      </c>
      <c r="AF520" s="36">
        <f>IFERROR(cadangan3[[#This Row],[Profit C]]-(cadangan3[[#This Row],[Profit C]]*cadangan3[[#This Row],[Diskon]]),cadangan3[[#This Row],[Profit C]])</f>
        <v>0</v>
      </c>
      <c r="AG520" s="21">
        <f>cadangan3[[#This Row],[Qty A]]+cadangan3[[#This Row],[Qty B]]+cadangan3[[#This Row],[Qty C]]</f>
        <v>3</v>
      </c>
      <c r="AH520" s="35">
        <f>cadangan3[[#This Row],[Harga A + Diskon]]+cadangan3[[#This Row],[Harga + Diskon B]]+cadangan3[[#This Row],[Harga + Diskon C]]</f>
        <v>467500</v>
      </c>
      <c r="AI520" s="35">
        <f>(cadangan3[[#This Row],[Profit A]]+cadangan3[[#This Row],[Profit B]]+cadangan3[[#This Row],[Profit C]])</f>
        <v>200000</v>
      </c>
      <c r="AJ520" s="35">
        <f>cadangan3[[#This Row],[Provit A + Diskon]]+cadangan3[[#This Row],[Provit B + Diskon]]+cadangan3[[#This Row],[Provit C + Diskon]]</f>
        <v>170000</v>
      </c>
      <c r="AK520" s="23" t="s">
        <v>32</v>
      </c>
      <c r="AL520" s="37">
        <f>IFERROR(INDEX('Kode Diskon'!$D$3:$D$9,MATCH(cadangan3[[#This Row],[Kode diskon]],'Kode Diskon'!$C$3:$C$9,0)),"-")</f>
        <v>0.15</v>
      </c>
      <c r="AM520" s="23" t="s">
        <v>9</v>
      </c>
      <c r="AN520" s="23" t="s">
        <v>12</v>
      </c>
      <c r="AO520" s="23" t="s">
        <v>75</v>
      </c>
      <c r="AP520" s="24">
        <v>45032</v>
      </c>
      <c r="AQ520" s="23" t="str">
        <f>TEXT(cadangan3[[#This Row],[Tanggal terjual]],"dddd")</f>
        <v>Sunday</v>
      </c>
    </row>
    <row r="521" spans="1:43" x14ac:dyDescent="0.2">
      <c r="A521" s="20">
        <v>520</v>
      </c>
      <c r="B521" s="21" t="str">
        <f>_xlfn.CONCAT("ORD-",INDEX(Helper!$B$2:$B$5,MATCH(cadangan3[[#This Row],[Marketplace]],Helper!$A$2:$A$5,0)),TEXT(cadangan3[[#This Row],[No]],"0000"),"-",TEXT(cadangan3[[#This Row],[Tanggal terjual]],"dd/mm/yy"))</f>
        <v>ORD-SP0520-03/04/23</v>
      </c>
      <c r="C521" t="s">
        <v>60</v>
      </c>
      <c r="D521" t="str">
        <f>IFERROR(INDEX(Katalog!$A$3:$A$12,MATCH(cadangan3[[#This Row],[ItemID A]],Katalog!$C$3:$C$12,0)),"-")</f>
        <v>Pakaian Wanita</v>
      </c>
      <c r="E521" t="str">
        <f>IFERROR(INDEX(Katalog!$B$3:$B$12,MATCH(cadangan3[[#This Row],[ItemID A]],Katalog!$C$3:$C$12,0)),"-")</f>
        <v>Kaftan</v>
      </c>
      <c r="F521">
        <v>5</v>
      </c>
      <c r="G521">
        <v>2</v>
      </c>
      <c r="H521" s="36">
        <f>IFERROR(INDEX(Katalog!$D$3:$D$12,MATCH(cadangan3[[#This Row],[ItemID A]],Katalog!$C$3:$C$12,0))*cadangan3[[#This Row],[Qty A]],0)</f>
        <v>1250000</v>
      </c>
      <c r="I521" s="36">
        <f>IFERROR(INDEX(Katalog!$D$3:$D$12,MATCH(cadangan3[[#This Row],[Item A]],Katalog!$B$3:$B$12,0))*cadangan3[[#This Row],[Qty A]],0)</f>
        <v>1250000</v>
      </c>
      <c r="J521" s="36">
        <f>IFERROR(cadangan3[[#This Row],[Harga Asli A]]-(cadangan3[[#This Row],[Harga Asli A]]*cadangan3[[#This Row],[Diskon]]),cadangan3[[#This Row],[Harga Asli A]])</f>
        <v>1125000</v>
      </c>
      <c r="K521" s="36">
        <f>INDEX(Katalog!$F$3:$F$12,MATCH(cadangan3[[#This Row],[ItemID A]],Katalog!$C$3:$C$12,0))*cadangan3[[#This Row],[Qty A]]</f>
        <v>500000</v>
      </c>
      <c r="L521" s="36">
        <f>IFERROR(cadangan3[[#This Row],[Profit A]]-(cadangan3[[#This Row],[Profit A]]*cadangan3[[#This Row],[Diskon]]),K521)</f>
        <v>450000</v>
      </c>
      <c r="N521" t="str">
        <f>IFERROR(INDEX(Katalog!$A$3:$A$12,MATCH(cadangan3[[#This Row],[ItemID B]],Katalog!$C$3:$C$12,0)),"-")</f>
        <v>-</v>
      </c>
      <c r="O521" t="str">
        <f>IFERROR(INDEX(Katalog!$B$3:$B$12,MATCH(cadangan3[[#This Row],[ItemID B]],Katalog!$C$3:$C$12,0)),"-")</f>
        <v>-</v>
      </c>
      <c r="R521" s="36">
        <f>IFERROR(INDEX(Katalog!$D$3:$D$12,MATCH(cadangan3[[#This Row],[ItemID B]],Katalog!$C$3:$C$12,0))*cadangan3[[#This Row],[Qty B]],0)</f>
        <v>0</v>
      </c>
      <c r="S521" s="36">
        <f>IFERROR(INDEX(Katalog!$D$3:$D$12,MATCH(cadangan3[[#This Row],[Item B]],Katalog!$B$3:$B$12,0))*cadangan3[[#This Row],[Qty B]],0)</f>
        <v>0</v>
      </c>
      <c r="T521" s="36">
        <f>IFERROR(cadangan3[[#This Row],[Harga Asli B]]-(cadangan3[[#This Row],[Harga Asli B]]*cadangan3[[#This Row],[Diskon]]),cadangan3[[#This Row],[Harga Asli B]])</f>
        <v>0</v>
      </c>
      <c r="U521" s="36">
        <f>IFERROR(INDEX(Katalog!$F$3:$F$12,MATCH(cadangan3[[#This Row],[ItemID B]],Katalog!$C$3:$C$12,0))*cadangan3[[#This Row],[Qty B]],0)</f>
        <v>0</v>
      </c>
      <c r="V521" s="36">
        <f>IFERROR(cadangan3[[#This Row],[Profit B]]-(cadangan3[[#This Row],[Profit B]]*cadangan3[[#This Row],[Diskon]]),U521)</f>
        <v>0</v>
      </c>
      <c r="X521" t="str">
        <f>IFERROR(INDEX(Katalog!$A$3:$A$12,MATCH(cadangan3[[#This Row],[ItemID C]],Katalog!$C$3:$C$12,0)),"-")</f>
        <v>-</v>
      </c>
      <c r="Y521" t="str">
        <f>IFERROR(INDEX(Katalog!$B$3:$B$12,MATCH(cadangan3[[#This Row],[ItemID C]],Katalog!$C$3:$C$12,0)),"-")</f>
        <v>-</v>
      </c>
      <c r="AB521" s="36">
        <f>IFERROR(INDEX(Katalog!$D$3:$D$12,MATCH(cadangan3[[#This Row],[ItemID C]],Katalog!$C$3:$C$12,0))*cadangan3[[#This Row],[Qty C]],0)</f>
        <v>0</v>
      </c>
      <c r="AC521" s="36">
        <f>IFERROR(INDEX(Katalog!$D$3:$D$12,MATCH(cadangan3[[#This Row],[Item C]],Katalog!$B$3:$B$12,0))*cadangan3[[#This Row],[Qty C]],0)</f>
        <v>0</v>
      </c>
      <c r="AD521" s="36">
        <f>IFERROR(cadangan3[[#This Row],[Harga Asli C]]-(cadangan3[[#This Row],[Harga Asli C]]*cadangan3[[#This Row],[Diskon]]),cadangan3[[#This Row],[Harga Asli C]])</f>
        <v>0</v>
      </c>
      <c r="AE521" s="36">
        <f>IFERROR(INDEX(Katalog!$F$3:$F$12,MATCH(cadangan3[[#This Row],[ItemID C]],Katalog!$C$3:$C$12,0))*cadangan3[[#This Row],[Qty C]],0)</f>
        <v>0</v>
      </c>
      <c r="AF521" s="36">
        <f>IFERROR(cadangan3[[#This Row],[Profit C]]-(cadangan3[[#This Row],[Profit C]]*cadangan3[[#This Row],[Diskon]]),cadangan3[[#This Row],[Profit C]])</f>
        <v>0</v>
      </c>
      <c r="AG521" s="21">
        <f>cadangan3[[#This Row],[Qty A]]+cadangan3[[#This Row],[Qty B]]+cadangan3[[#This Row],[Qty C]]</f>
        <v>5</v>
      </c>
      <c r="AH521" s="35">
        <f>cadangan3[[#This Row],[Harga A + Diskon]]+cadangan3[[#This Row],[Harga + Diskon B]]+cadangan3[[#This Row],[Harga + Diskon C]]</f>
        <v>1125000</v>
      </c>
      <c r="AI521" s="35">
        <f>(cadangan3[[#This Row],[Profit A]]+cadangan3[[#This Row],[Profit B]]+cadangan3[[#This Row],[Profit C]])</f>
        <v>500000</v>
      </c>
      <c r="AJ521" s="35">
        <f>cadangan3[[#This Row],[Provit A + Diskon]]+cadangan3[[#This Row],[Provit B + Diskon]]+cadangan3[[#This Row],[Provit C + Diskon]]</f>
        <v>450000</v>
      </c>
      <c r="AK521" s="23" t="s">
        <v>6</v>
      </c>
      <c r="AL521" s="37">
        <f>IFERROR(INDEX('Kode Diskon'!$D$3:$D$9,MATCH(cadangan3[[#This Row],[Kode diskon]],'Kode Diskon'!$C$3:$C$9,0)),"-")</f>
        <v>0.1</v>
      </c>
      <c r="AM521" s="23" t="s">
        <v>29</v>
      </c>
      <c r="AN521" s="23" t="s">
        <v>7</v>
      </c>
      <c r="AO521" s="23" t="s">
        <v>75</v>
      </c>
      <c r="AP521" s="24">
        <v>45019</v>
      </c>
      <c r="AQ521" s="23" t="str">
        <f>TEXT(cadangan3[[#This Row],[Tanggal terjual]],"dddd")</f>
        <v>Monday</v>
      </c>
    </row>
    <row r="522" spans="1:43" x14ac:dyDescent="0.2">
      <c r="A522" s="20">
        <v>521</v>
      </c>
      <c r="B522" s="21" t="str">
        <f>_xlfn.CONCAT("ORD-",INDEX(Helper!$B$2:$B$5,MATCH(cadangan3[[#This Row],[Marketplace]],Helper!$A$2:$A$5,0)),TEXT(cadangan3[[#This Row],[No]],"0000"),"-",TEXT(cadangan3[[#This Row],[Tanggal terjual]],"dd/mm/yy"))</f>
        <v>ORD-SP0521-06/04/23</v>
      </c>
      <c r="C522" t="s">
        <v>66</v>
      </c>
      <c r="D522" t="str">
        <f>IFERROR(INDEX(Katalog!$A$3:$A$12,MATCH(cadangan3[[#This Row],[ItemID A]],Katalog!$C$3:$C$12,0)),"-")</f>
        <v>Sepatu Pria</v>
      </c>
      <c r="E522" t="str">
        <f>IFERROR(INDEX(Katalog!$B$3:$B$12,MATCH(cadangan3[[#This Row],[ItemID A]],Katalog!$C$3:$C$12,0)),"-")</f>
        <v>Sandal Slip On</v>
      </c>
      <c r="F522">
        <v>2</v>
      </c>
      <c r="G522">
        <v>3</v>
      </c>
      <c r="H522" s="36">
        <f>IFERROR(INDEX(Katalog!$D$3:$D$12,MATCH(cadangan3[[#This Row],[ItemID A]],Katalog!$C$3:$C$12,0))*cadangan3[[#This Row],[Qty A]],0)</f>
        <v>300000</v>
      </c>
      <c r="I522" s="36">
        <f>IFERROR(INDEX(Katalog!$D$3:$D$12,MATCH(cadangan3[[#This Row],[Item A]],Katalog!$B$3:$B$12,0))*cadangan3[[#This Row],[Qty A]],0)</f>
        <v>300000</v>
      </c>
      <c r="J522" s="36">
        <f>IFERROR(cadangan3[[#This Row],[Harga Asli A]]-(cadangan3[[#This Row],[Harga Asli A]]*cadangan3[[#This Row],[Diskon]]),cadangan3[[#This Row],[Harga Asli A]])</f>
        <v>270000</v>
      </c>
      <c r="K522" s="36">
        <f>INDEX(Katalog!$F$3:$F$12,MATCH(cadangan3[[#This Row],[ItemID A]],Katalog!$C$3:$C$12,0))*cadangan3[[#This Row],[Qty A]]</f>
        <v>120000</v>
      </c>
      <c r="L522" s="36">
        <f>IFERROR(cadangan3[[#This Row],[Profit A]]-(cadangan3[[#This Row],[Profit A]]*cadangan3[[#This Row],[Diskon]]),K522)</f>
        <v>108000</v>
      </c>
      <c r="M522" t="s">
        <v>59</v>
      </c>
      <c r="N522" t="str">
        <f>IFERROR(INDEX(Katalog!$A$3:$A$12,MATCH(cadangan3[[#This Row],[ItemID B]],Katalog!$C$3:$C$12,0)),"-")</f>
        <v>Pakaian Wanita</v>
      </c>
      <c r="O522" t="str">
        <f>IFERROR(INDEX(Katalog!$B$3:$B$12,MATCH(cadangan3[[#This Row],[ItemID B]],Katalog!$C$3:$C$12,0)),"-")</f>
        <v>Blouse</v>
      </c>
      <c r="P522">
        <v>1</v>
      </c>
      <c r="Q522">
        <v>5</v>
      </c>
      <c r="R522" s="36">
        <f>IFERROR(INDEX(Katalog!$D$3:$D$12,MATCH(cadangan3[[#This Row],[ItemID B]],Katalog!$C$3:$C$12,0))*cadangan3[[#This Row],[Qty B]],0)</f>
        <v>150000</v>
      </c>
      <c r="S522" s="36">
        <f>IFERROR(INDEX(Katalog!$D$3:$D$12,MATCH(cadangan3[[#This Row],[Item B]],Katalog!$B$3:$B$12,0))*cadangan3[[#This Row],[Qty B]],0)</f>
        <v>150000</v>
      </c>
      <c r="T522" s="36">
        <f>IFERROR(cadangan3[[#This Row],[Harga Asli B]]-(cadangan3[[#This Row],[Harga Asli B]]*cadangan3[[#This Row],[Diskon]]),cadangan3[[#This Row],[Harga Asli B]])</f>
        <v>135000</v>
      </c>
      <c r="U522" s="36">
        <f>IFERROR(INDEX(Katalog!$F$3:$F$12,MATCH(cadangan3[[#This Row],[ItemID B]],Katalog!$C$3:$C$12,0))*cadangan3[[#This Row],[Qty B]],0)</f>
        <v>50000</v>
      </c>
      <c r="V522" s="36">
        <f>IFERROR(cadangan3[[#This Row],[Profit B]]-(cadangan3[[#This Row],[Profit B]]*cadangan3[[#This Row],[Diskon]]),U522)</f>
        <v>45000</v>
      </c>
      <c r="X522" t="str">
        <f>IFERROR(INDEX(Katalog!$A$3:$A$12,MATCH(cadangan3[[#This Row],[ItemID C]],Katalog!$C$3:$C$12,0)),"-")</f>
        <v>-</v>
      </c>
      <c r="Y522" t="str">
        <f>IFERROR(INDEX(Katalog!$B$3:$B$12,MATCH(cadangan3[[#This Row],[ItemID C]],Katalog!$C$3:$C$12,0)),"-")</f>
        <v>-</v>
      </c>
      <c r="AB522" s="36">
        <f>IFERROR(INDEX(Katalog!$D$3:$D$12,MATCH(cadangan3[[#This Row],[ItemID C]],Katalog!$C$3:$C$12,0))*cadangan3[[#This Row],[Qty C]],0)</f>
        <v>0</v>
      </c>
      <c r="AC522" s="36">
        <f>IFERROR(INDEX(Katalog!$D$3:$D$12,MATCH(cadangan3[[#This Row],[Item C]],Katalog!$B$3:$B$12,0))*cadangan3[[#This Row],[Qty C]],0)</f>
        <v>0</v>
      </c>
      <c r="AD522" s="36">
        <f>IFERROR(cadangan3[[#This Row],[Harga Asli C]]-(cadangan3[[#This Row],[Harga Asli C]]*cadangan3[[#This Row],[Diskon]]),cadangan3[[#This Row],[Harga Asli C]])</f>
        <v>0</v>
      </c>
      <c r="AE522" s="36">
        <f>IFERROR(INDEX(Katalog!$F$3:$F$12,MATCH(cadangan3[[#This Row],[ItemID C]],Katalog!$C$3:$C$12,0))*cadangan3[[#This Row],[Qty C]],0)</f>
        <v>0</v>
      </c>
      <c r="AF522" s="36">
        <f>IFERROR(cadangan3[[#This Row],[Profit C]]-(cadangan3[[#This Row],[Profit C]]*cadangan3[[#This Row],[Diskon]]),cadangan3[[#This Row],[Profit C]])</f>
        <v>0</v>
      </c>
      <c r="AG522" s="21">
        <f>cadangan3[[#This Row],[Qty A]]+cadangan3[[#This Row],[Qty B]]+cadangan3[[#This Row],[Qty C]]</f>
        <v>3</v>
      </c>
      <c r="AH522" s="35">
        <f>cadangan3[[#This Row],[Harga A + Diskon]]+cadangan3[[#This Row],[Harga + Diskon B]]+cadangan3[[#This Row],[Harga + Diskon C]]</f>
        <v>405000</v>
      </c>
      <c r="AI522" s="35">
        <f>(cadangan3[[#This Row],[Profit A]]+cadangan3[[#This Row],[Profit B]]+cadangan3[[#This Row],[Profit C]])</f>
        <v>170000</v>
      </c>
      <c r="AJ522" s="35">
        <f>cadangan3[[#This Row],[Provit A + Diskon]]+cadangan3[[#This Row],[Provit B + Diskon]]+cadangan3[[#This Row],[Provit C + Diskon]]</f>
        <v>153000</v>
      </c>
      <c r="AK522" s="23" t="s">
        <v>6</v>
      </c>
      <c r="AL522" s="37">
        <f>IFERROR(INDEX('Kode Diskon'!$D$3:$D$9,MATCH(cadangan3[[#This Row],[Kode diskon]],'Kode Diskon'!$C$3:$C$9,0)),"-")</f>
        <v>0.1</v>
      </c>
      <c r="AM522" s="23" t="s">
        <v>29</v>
      </c>
      <c r="AN522" s="23" t="s">
        <v>7</v>
      </c>
      <c r="AO522" s="23" t="s">
        <v>79</v>
      </c>
      <c r="AP522" s="24">
        <v>45022</v>
      </c>
      <c r="AQ522" s="23" t="str">
        <f>TEXT(cadangan3[[#This Row],[Tanggal terjual]],"dddd")</f>
        <v>Thursday</v>
      </c>
    </row>
    <row r="523" spans="1:43" x14ac:dyDescent="0.2">
      <c r="A523" s="20">
        <v>522</v>
      </c>
      <c r="B523" s="21" t="str">
        <f>_xlfn.CONCAT("ORD-",INDEX(Helper!$B$2:$B$5,MATCH(cadangan3[[#This Row],[Marketplace]],Helper!$A$2:$A$5,0)),TEXT(cadangan3[[#This Row],[No]],"0000"),"-",TEXT(cadangan3[[#This Row],[Tanggal terjual]],"dd/mm/yy"))</f>
        <v>ORD-SP0522-06/04/23</v>
      </c>
      <c r="C523" t="s">
        <v>61</v>
      </c>
      <c r="D523" t="str">
        <f>IFERROR(INDEX(Katalog!$A$3:$A$12,MATCH(cadangan3[[#This Row],[ItemID A]],Katalog!$C$3:$C$12,0)),"-")</f>
        <v>Pakaian Pria</v>
      </c>
      <c r="E523" t="str">
        <f>IFERROR(INDEX(Katalog!$B$3:$B$12,MATCH(cadangan3[[#This Row],[ItemID A]],Katalog!$C$3:$C$12,0)),"-")</f>
        <v>Kaos Polo</v>
      </c>
      <c r="F523">
        <v>3</v>
      </c>
      <c r="G523">
        <v>4</v>
      </c>
      <c r="H523" s="36">
        <f>IFERROR(INDEX(Katalog!$D$3:$D$12,MATCH(cadangan3[[#This Row],[ItemID A]],Katalog!$C$3:$C$12,0))*cadangan3[[#This Row],[Qty A]],0)</f>
        <v>600000</v>
      </c>
      <c r="I523" s="36">
        <f>IFERROR(INDEX(Katalog!$D$3:$D$12,MATCH(cadangan3[[#This Row],[Item A]],Katalog!$B$3:$B$12,0))*cadangan3[[#This Row],[Qty A]],0)</f>
        <v>600000</v>
      </c>
      <c r="J523" s="36">
        <f>IFERROR(cadangan3[[#This Row],[Harga Asli A]]-(cadangan3[[#This Row],[Harga Asli A]]*cadangan3[[#This Row],[Diskon]]),cadangan3[[#This Row],[Harga Asli A]])</f>
        <v>540000</v>
      </c>
      <c r="K523" s="36">
        <f>INDEX(Katalog!$F$3:$F$12,MATCH(cadangan3[[#This Row],[ItemID A]],Katalog!$C$3:$C$12,0))*cadangan3[[#This Row],[Qty A]]</f>
        <v>240000</v>
      </c>
      <c r="L523" s="36">
        <f>IFERROR(cadangan3[[#This Row],[Profit A]]-(cadangan3[[#This Row],[Profit A]]*cadangan3[[#This Row],[Diskon]]),K523)</f>
        <v>216000</v>
      </c>
      <c r="M523" t="s">
        <v>58</v>
      </c>
      <c r="N523" t="str">
        <f>IFERROR(INDEX(Katalog!$A$3:$A$12,MATCH(cadangan3[[#This Row],[ItemID B]],Katalog!$C$3:$C$12,0)),"-")</f>
        <v>Pakaian Wanita</v>
      </c>
      <c r="O523" t="str">
        <f>IFERROR(INDEX(Katalog!$B$3:$B$12,MATCH(cadangan3[[#This Row],[ItemID B]],Katalog!$C$3:$C$12,0)),"-")</f>
        <v>Dress</v>
      </c>
      <c r="P523">
        <v>1</v>
      </c>
      <c r="Q523">
        <v>4</v>
      </c>
      <c r="R523" s="36">
        <f>IFERROR(INDEX(Katalog!$D$3:$D$12,MATCH(cadangan3[[#This Row],[ItemID B]],Katalog!$C$3:$C$12,0))*cadangan3[[#This Row],[Qty B]],0)</f>
        <v>300000</v>
      </c>
      <c r="S523" s="36">
        <f>IFERROR(INDEX(Katalog!$D$3:$D$12,MATCH(cadangan3[[#This Row],[Item B]],Katalog!$B$3:$B$12,0))*cadangan3[[#This Row],[Qty B]],0)</f>
        <v>300000</v>
      </c>
      <c r="T523" s="36">
        <f>IFERROR(cadangan3[[#This Row],[Harga Asli B]]-(cadangan3[[#This Row],[Harga Asli B]]*cadangan3[[#This Row],[Diskon]]),cadangan3[[#This Row],[Harga Asli B]])</f>
        <v>270000</v>
      </c>
      <c r="U523" s="36">
        <f>IFERROR(INDEX(Katalog!$F$3:$F$12,MATCH(cadangan3[[#This Row],[ItemID B]],Katalog!$C$3:$C$12,0))*cadangan3[[#This Row],[Qty B]],0)</f>
        <v>100000</v>
      </c>
      <c r="V523" s="36">
        <f>IFERROR(cadangan3[[#This Row],[Profit B]]-(cadangan3[[#This Row],[Profit B]]*cadangan3[[#This Row],[Diskon]]),U523)</f>
        <v>90000</v>
      </c>
      <c r="X523" t="str">
        <f>IFERROR(INDEX(Katalog!$A$3:$A$12,MATCH(cadangan3[[#This Row],[ItemID C]],Katalog!$C$3:$C$12,0)),"-")</f>
        <v>-</v>
      </c>
      <c r="Y523" t="str">
        <f>IFERROR(INDEX(Katalog!$B$3:$B$12,MATCH(cadangan3[[#This Row],[ItemID C]],Katalog!$C$3:$C$12,0)),"-")</f>
        <v>-</v>
      </c>
      <c r="AB523" s="36">
        <f>IFERROR(INDEX(Katalog!$D$3:$D$12,MATCH(cadangan3[[#This Row],[ItemID C]],Katalog!$C$3:$C$12,0))*cadangan3[[#This Row],[Qty C]],0)</f>
        <v>0</v>
      </c>
      <c r="AC523" s="36">
        <f>IFERROR(INDEX(Katalog!$D$3:$D$12,MATCH(cadangan3[[#This Row],[Item C]],Katalog!$B$3:$B$12,0))*cadangan3[[#This Row],[Qty C]],0)</f>
        <v>0</v>
      </c>
      <c r="AD523" s="36">
        <f>IFERROR(cadangan3[[#This Row],[Harga Asli C]]-(cadangan3[[#This Row],[Harga Asli C]]*cadangan3[[#This Row],[Diskon]]),cadangan3[[#This Row],[Harga Asli C]])</f>
        <v>0</v>
      </c>
      <c r="AE523" s="36">
        <f>IFERROR(INDEX(Katalog!$F$3:$F$12,MATCH(cadangan3[[#This Row],[ItemID C]],Katalog!$C$3:$C$12,0))*cadangan3[[#This Row],[Qty C]],0)</f>
        <v>0</v>
      </c>
      <c r="AF523" s="36">
        <f>IFERROR(cadangan3[[#This Row],[Profit C]]-(cadangan3[[#This Row],[Profit C]]*cadangan3[[#This Row],[Diskon]]),cadangan3[[#This Row],[Profit C]])</f>
        <v>0</v>
      </c>
      <c r="AG523" s="21">
        <f>cadangan3[[#This Row],[Qty A]]+cadangan3[[#This Row],[Qty B]]+cadangan3[[#This Row],[Qty C]]</f>
        <v>4</v>
      </c>
      <c r="AH523" s="35">
        <f>cadangan3[[#This Row],[Harga A + Diskon]]+cadangan3[[#This Row],[Harga + Diskon B]]+cadangan3[[#This Row],[Harga + Diskon C]]</f>
        <v>810000</v>
      </c>
      <c r="AI523" s="35">
        <f>(cadangan3[[#This Row],[Profit A]]+cadangan3[[#This Row],[Profit B]]+cadangan3[[#This Row],[Profit C]])</f>
        <v>340000</v>
      </c>
      <c r="AJ523" s="35">
        <f>cadangan3[[#This Row],[Provit A + Diskon]]+cadangan3[[#This Row],[Provit B + Diskon]]+cadangan3[[#This Row],[Provit C + Diskon]]</f>
        <v>306000</v>
      </c>
      <c r="AK523" s="23" t="s">
        <v>6</v>
      </c>
      <c r="AL523" s="37">
        <f>IFERROR(INDEX('Kode Diskon'!$D$3:$D$9,MATCH(cadangan3[[#This Row],[Kode diskon]],'Kode Diskon'!$C$3:$C$9,0)),"-")</f>
        <v>0.1</v>
      </c>
      <c r="AM523" s="23" t="s">
        <v>29</v>
      </c>
      <c r="AN523" s="23" t="s">
        <v>7</v>
      </c>
      <c r="AO523" s="23" t="s">
        <v>79</v>
      </c>
      <c r="AP523" s="24">
        <v>45022</v>
      </c>
      <c r="AQ523" s="23" t="str">
        <f>TEXT(cadangan3[[#This Row],[Tanggal terjual]],"dddd")</f>
        <v>Thursday</v>
      </c>
    </row>
    <row r="524" spans="1:43" x14ac:dyDescent="0.2">
      <c r="A524" s="20">
        <v>523</v>
      </c>
      <c r="B524" s="21" t="str">
        <f>_xlfn.CONCAT("ORD-",INDEX(Helper!$B$2:$B$5,MATCH(cadangan3[[#This Row],[Marketplace]],Helper!$A$2:$A$5,0)),TEXT(cadangan3[[#This Row],[No]],"0000"),"-",TEXT(cadangan3[[#This Row],[Tanggal terjual]],"dd/mm/yy"))</f>
        <v>ORD-SP0523-08/04/23</v>
      </c>
      <c r="C524" t="s">
        <v>62</v>
      </c>
      <c r="D524" t="str">
        <f>IFERROR(INDEX(Katalog!$A$3:$A$12,MATCH(cadangan3[[#This Row],[ItemID A]],Katalog!$C$3:$C$12,0)),"-")</f>
        <v>Pakaian Pria</v>
      </c>
      <c r="E524" t="str">
        <f>IFERROR(INDEX(Katalog!$B$3:$B$12,MATCH(cadangan3[[#This Row],[ItemID A]],Katalog!$C$3:$C$12,0)),"-")</f>
        <v>Celana Pendek</v>
      </c>
      <c r="F524">
        <v>1</v>
      </c>
      <c r="G524">
        <v>4</v>
      </c>
      <c r="H524" s="36">
        <f>IFERROR(INDEX(Katalog!$D$3:$D$12,MATCH(cadangan3[[#This Row],[ItemID A]],Katalog!$C$3:$C$12,0))*cadangan3[[#This Row],[Qty A]],0)</f>
        <v>180000</v>
      </c>
      <c r="I524" s="36">
        <f>IFERROR(INDEX(Katalog!$D$3:$D$12,MATCH(cadangan3[[#This Row],[Item A]],Katalog!$B$3:$B$12,0))*cadangan3[[#This Row],[Qty A]],0)</f>
        <v>180000</v>
      </c>
      <c r="J524" s="36">
        <f>IFERROR(cadangan3[[#This Row],[Harga Asli A]]-(cadangan3[[#This Row],[Harga Asli A]]*cadangan3[[#This Row],[Diskon]]),cadangan3[[#This Row],[Harga Asli A]])</f>
        <v>180000</v>
      </c>
      <c r="K524" s="36">
        <f>INDEX(Katalog!$F$3:$F$12,MATCH(cadangan3[[#This Row],[ItemID A]],Katalog!$C$3:$C$12,0))*cadangan3[[#This Row],[Qty A]]</f>
        <v>70000</v>
      </c>
      <c r="L524" s="36">
        <f>IFERROR(cadangan3[[#This Row],[Profit A]]-(cadangan3[[#This Row],[Profit A]]*cadangan3[[#This Row],[Diskon]]),K524)</f>
        <v>70000</v>
      </c>
      <c r="M524" t="s">
        <v>58</v>
      </c>
      <c r="N524" t="str">
        <f>IFERROR(INDEX(Katalog!$A$3:$A$12,MATCH(cadangan3[[#This Row],[ItemID B]],Katalog!$C$3:$C$12,0)),"-")</f>
        <v>Pakaian Wanita</v>
      </c>
      <c r="O524" t="str">
        <f>IFERROR(INDEX(Katalog!$B$3:$B$12,MATCH(cadangan3[[#This Row],[ItemID B]],Katalog!$C$3:$C$12,0)),"-")</f>
        <v>Dress</v>
      </c>
      <c r="P524">
        <v>1</v>
      </c>
      <c r="Q524">
        <v>3</v>
      </c>
      <c r="R524" s="36">
        <f>IFERROR(INDEX(Katalog!$D$3:$D$12,MATCH(cadangan3[[#This Row],[ItemID B]],Katalog!$C$3:$C$12,0))*cadangan3[[#This Row],[Qty B]],0)</f>
        <v>300000</v>
      </c>
      <c r="S524" s="36">
        <f>IFERROR(INDEX(Katalog!$D$3:$D$12,MATCH(cadangan3[[#This Row],[Item B]],Katalog!$B$3:$B$12,0))*cadangan3[[#This Row],[Qty B]],0)</f>
        <v>300000</v>
      </c>
      <c r="T524" s="36">
        <f>IFERROR(cadangan3[[#This Row],[Harga Asli B]]-(cadangan3[[#This Row],[Harga Asli B]]*cadangan3[[#This Row],[Diskon]]),cadangan3[[#This Row],[Harga Asli B]])</f>
        <v>300000</v>
      </c>
      <c r="U524" s="36">
        <f>IFERROR(INDEX(Katalog!$F$3:$F$12,MATCH(cadangan3[[#This Row],[ItemID B]],Katalog!$C$3:$C$12,0))*cadangan3[[#This Row],[Qty B]],0)</f>
        <v>100000</v>
      </c>
      <c r="V524" s="36">
        <f>IFERROR(cadangan3[[#This Row],[Profit B]]-(cadangan3[[#This Row],[Profit B]]*cadangan3[[#This Row],[Diskon]]),U524)</f>
        <v>100000</v>
      </c>
      <c r="X524" t="str">
        <f>IFERROR(INDEX(Katalog!$A$3:$A$12,MATCH(cadangan3[[#This Row],[ItemID C]],Katalog!$C$3:$C$12,0)),"-")</f>
        <v>-</v>
      </c>
      <c r="Y524" t="str">
        <f>IFERROR(INDEX(Katalog!$B$3:$B$12,MATCH(cadangan3[[#This Row],[ItemID C]],Katalog!$C$3:$C$12,0)),"-")</f>
        <v>-</v>
      </c>
      <c r="AB524" s="36">
        <f>IFERROR(INDEX(Katalog!$D$3:$D$12,MATCH(cadangan3[[#This Row],[ItemID C]],Katalog!$C$3:$C$12,0))*cadangan3[[#This Row],[Qty C]],0)</f>
        <v>0</v>
      </c>
      <c r="AC524" s="36">
        <f>IFERROR(INDEX(Katalog!$D$3:$D$12,MATCH(cadangan3[[#This Row],[Item C]],Katalog!$B$3:$B$12,0))*cadangan3[[#This Row],[Qty C]],0)</f>
        <v>0</v>
      </c>
      <c r="AD524" s="36">
        <f>IFERROR(cadangan3[[#This Row],[Harga Asli C]]-(cadangan3[[#This Row],[Harga Asli C]]*cadangan3[[#This Row],[Diskon]]),cadangan3[[#This Row],[Harga Asli C]])</f>
        <v>0</v>
      </c>
      <c r="AE524" s="36">
        <f>IFERROR(INDEX(Katalog!$F$3:$F$12,MATCH(cadangan3[[#This Row],[ItemID C]],Katalog!$C$3:$C$12,0))*cadangan3[[#This Row],[Qty C]],0)</f>
        <v>0</v>
      </c>
      <c r="AF524" s="36">
        <f>IFERROR(cadangan3[[#This Row],[Profit C]]-(cadangan3[[#This Row],[Profit C]]*cadangan3[[#This Row],[Diskon]]),cadangan3[[#This Row],[Profit C]])</f>
        <v>0</v>
      </c>
      <c r="AG524" s="21">
        <f>cadangan3[[#This Row],[Qty A]]+cadangan3[[#This Row],[Qty B]]+cadangan3[[#This Row],[Qty C]]</f>
        <v>2</v>
      </c>
      <c r="AH524" s="35">
        <f>cadangan3[[#This Row],[Harga A + Diskon]]+cadangan3[[#This Row],[Harga + Diskon B]]+cadangan3[[#This Row],[Harga + Diskon C]]</f>
        <v>480000</v>
      </c>
      <c r="AI524" s="35">
        <f>(cadangan3[[#This Row],[Profit A]]+cadangan3[[#This Row],[Profit B]]+cadangan3[[#This Row],[Profit C]])</f>
        <v>170000</v>
      </c>
      <c r="AJ524" s="35">
        <f>cadangan3[[#This Row],[Provit A + Diskon]]+cadangan3[[#This Row],[Provit B + Diskon]]+cadangan3[[#This Row],[Provit C + Diskon]]</f>
        <v>170000</v>
      </c>
      <c r="AK524" s="23" t="s">
        <v>11</v>
      </c>
      <c r="AL524" s="37" t="str">
        <f>IFERROR(INDEX('Kode Diskon'!$D$3:$D$9,MATCH(cadangan3[[#This Row],[Kode diskon]],'Kode Diskon'!$C$3:$C$9,0)),"-")</f>
        <v>-</v>
      </c>
      <c r="AM524" s="23" t="s">
        <v>11</v>
      </c>
      <c r="AN524" s="23" t="s">
        <v>7</v>
      </c>
      <c r="AO524" s="23" t="s">
        <v>77</v>
      </c>
      <c r="AP524" s="24">
        <v>45024</v>
      </c>
      <c r="AQ524" s="23" t="str">
        <f>TEXT(cadangan3[[#This Row],[Tanggal terjual]],"dddd")</f>
        <v>Saturday</v>
      </c>
    </row>
    <row r="525" spans="1:43" x14ac:dyDescent="0.2">
      <c r="A525" s="20">
        <v>524</v>
      </c>
      <c r="B525" s="21" t="str">
        <f>_xlfn.CONCAT("ORD-",INDEX(Helper!$B$2:$B$5,MATCH(cadangan3[[#This Row],[Marketplace]],Helper!$A$2:$A$5,0)),TEXT(cadangan3[[#This Row],[No]],"0000"),"-",TEXT(cadangan3[[#This Row],[Tanggal terjual]],"dd/mm/yy"))</f>
        <v>ORD-BL0524-17/04/23</v>
      </c>
      <c r="C525" t="s">
        <v>67</v>
      </c>
      <c r="D525" t="str">
        <f>IFERROR(INDEX(Katalog!$A$3:$A$12,MATCH(cadangan3[[#This Row],[ItemID A]],Katalog!$C$3:$C$12,0)),"-")</f>
        <v>Sepatu Wanita</v>
      </c>
      <c r="E525" t="str">
        <f>IFERROR(INDEX(Katalog!$B$3:$B$12,MATCH(cadangan3[[#This Row],[ItemID A]],Katalog!$C$3:$C$12,0)),"-")</f>
        <v>Flat Shoes</v>
      </c>
      <c r="F525">
        <v>4</v>
      </c>
      <c r="G525">
        <v>2</v>
      </c>
      <c r="H525" s="36">
        <f>IFERROR(INDEX(Katalog!$D$3:$D$12,MATCH(cadangan3[[#This Row],[ItemID A]],Katalog!$C$3:$C$12,0))*cadangan3[[#This Row],[Qty A]],0)</f>
        <v>1000000</v>
      </c>
      <c r="I525" s="36">
        <f>IFERROR(INDEX(Katalog!$D$3:$D$12,MATCH(cadangan3[[#This Row],[Item A]],Katalog!$B$3:$B$12,0))*cadangan3[[#This Row],[Qty A]],0)</f>
        <v>1000000</v>
      </c>
      <c r="J525" s="36">
        <f>IFERROR(cadangan3[[#This Row],[Harga Asli A]]-(cadangan3[[#This Row],[Harga Asli A]]*cadangan3[[#This Row],[Diskon]]),cadangan3[[#This Row],[Harga Asli A]])</f>
        <v>850000</v>
      </c>
      <c r="K525" s="36">
        <f>INDEX(Katalog!$F$3:$F$12,MATCH(cadangan3[[#This Row],[ItemID A]],Katalog!$C$3:$C$12,0))*cadangan3[[#This Row],[Qty A]]</f>
        <v>400000</v>
      </c>
      <c r="L525" s="36">
        <f>IFERROR(cadangan3[[#This Row],[Profit A]]-(cadangan3[[#This Row],[Profit A]]*cadangan3[[#This Row],[Diskon]]),K525)</f>
        <v>340000</v>
      </c>
      <c r="M525" t="s">
        <v>58</v>
      </c>
      <c r="N525" t="str">
        <f>IFERROR(INDEX(Katalog!$A$3:$A$12,MATCH(cadangan3[[#This Row],[ItemID B]],Katalog!$C$3:$C$12,0)),"-")</f>
        <v>Pakaian Wanita</v>
      </c>
      <c r="O525" t="str">
        <f>IFERROR(INDEX(Katalog!$B$3:$B$12,MATCH(cadangan3[[#This Row],[ItemID B]],Katalog!$C$3:$C$12,0)),"-")</f>
        <v>Dress</v>
      </c>
      <c r="P525">
        <v>1</v>
      </c>
      <c r="Q525">
        <v>3</v>
      </c>
      <c r="R525" s="36">
        <f>IFERROR(INDEX(Katalog!$D$3:$D$12,MATCH(cadangan3[[#This Row],[ItemID B]],Katalog!$C$3:$C$12,0))*cadangan3[[#This Row],[Qty B]],0)</f>
        <v>300000</v>
      </c>
      <c r="S525" s="36">
        <f>IFERROR(INDEX(Katalog!$D$3:$D$12,MATCH(cadangan3[[#This Row],[Item B]],Katalog!$B$3:$B$12,0))*cadangan3[[#This Row],[Qty B]],0)</f>
        <v>300000</v>
      </c>
      <c r="T525" s="36">
        <f>IFERROR(cadangan3[[#This Row],[Harga Asli B]]-(cadangan3[[#This Row],[Harga Asli B]]*cadangan3[[#This Row],[Diskon]]),cadangan3[[#This Row],[Harga Asli B]])</f>
        <v>255000</v>
      </c>
      <c r="U525" s="36">
        <f>IFERROR(INDEX(Katalog!$F$3:$F$12,MATCH(cadangan3[[#This Row],[ItemID B]],Katalog!$C$3:$C$12,0))*cadangan3[[#This Row],[Qty B]],0)</f>
        <v>100000</v>
      </c>
      <c r="V525" s="36">
        <f>IFERROR(cadangan3[[#This Row],[Profit B]]-(cadangan3[[#This Row],[Profit B]]*cadangan3[[#This Row],[Diskon]]),U525)</f>
        <v>85000</v>
      </c>
      <c r="X525" t="str">
        <f>IFERROR(INDEX(Katalog!$A$3:$A$12,MATCH(cadangan3[[#This Row],[ItemID C]],Katalog!$C$3:$C$12,0)),"-")</f>
        <v>-</v>
      </c>
      <c r="Y525" t="str">
        <f>IFERROR(INDEX(Katalog!$B$3:$B$12,MATCH(cadangan3[[#This Row],[ItemID C]],Katalog!$C$3:$C$12,0)),"-")</f>
        <v>-</v>
      </c>
      <c r="AB525" s="36">
        <f>IFERROR(INDEX(Katalog!$D$3:$D$12,MATCH(cadangan3[[#This Row],[ItemID C]],Katalog!$C$3:$C$12,0))*cadangan3[[#This Row],[Qty C]],0)</f>
        <v>0</v>
      </c>
      <c r="AC525" s="36">
        <f>IFERROR(INDEX(Katalog!$D$3:$D$12,MATCH(cadangan3[[#This Row],[Item C]],Katalog!$B$3:$B$12,0))*cadangan3[[#This Row],[Qty C]],0)</f>
        <v>0</v>
      </c>
      <c r="AD525" s="36">
        <f>IFERROR(cadangan3[[#This Row],[Harga Asli C]]-(cadangan3[[#This Row],[Harga Asli C]]*cadangan3[[#This Row],[Diskon]]),cadangan3[[#This Row],[Harga Asli C]])</f>
        <v>0</v>
      </c>
      <c r="AE525" s="36">
        <f>IFERROR(INDEX(Katalog!$F$3:$F$12,MATCH(cadangan3[[#This Row],[ItemID C]],Katalog!$C$3:$C$12,0))*cadangan3[[#This Row],[Qty C]],0)</f>
        <v>0</v>
      </c>
      <c r="AF525" s="36">
        <f>IFERROR(cadangan3[[#This Row],[Profit C]]-(cadangan3[[#This Row],[Profit C]]*cadangan3[[#This Row],[Diskon]]),cadangan3[[#This Row],[Profit C]])</f>
        <v>0</v>
      </c>
      <c r="AG525" s="21">
        <f>cadangan3[[#This Row],[Qty A]]+cadangan3[[#This Row],[Qty B]]+cadangan3[[#This Row],[Qty C]]</f>
        <v>5</v>
      </c>
      <c r="AH525" s="35">
        <f>cadangan3[[#This Row],[Harga A + Diskon]]+cadangan3[[#This Row],[Harga + Diskon B]]+cadangan3[[#This Row],[Harga + Diskon C]]</f>
        <v>1105000</v>
      </c>
      <c r="AI525" s="35">
        <f>(cadangan3[[#This Row],[Profit A]]+cadangan3[[#This Row],[Profit B]]+cadangan3[[#This Row],[Profit C]])</f>
        <v>500000</v>
      </c>
      <c r="AJ525" s="35">
        <f>cadangan3[[#This Row],[Provit A + Diskon]]+cadangan3[[#This Row],[Provit B + Diskon]]+cadangan3[[#This Row],[Provit C + Diskon]]</f>
        <v>425000</v>
      </c>
      <c r="AK525" s="23" t="s">
        <v>32</v>
      </c>
      <c r="AL525" s="37">
        <f>IFERROR(INDEX('Kode Diskon'!$D$3:$D$9,MATCH(cadangan3[[#This Row],[Kode diskon]],'Kode Diskon'!$C$3:$C$9,0)),"-")</f>
        <v>0.15</v>
      </c>
      <c r="AM525" s="23" t="s">
        <v>9</v>
      </c>
      <c r="AN525" s="23" t="s">
        <v>12</v>
      </c>
      <c r="AO525" s="23" t="s">
        <v>76</v>
      </c>
      <c r="AP525" s="24">
        <v>45033</v>
      </c>
      <c r="AQ525" s="23" t="str">
        <f>TEXT(cadangan3[[#This Row],[Tanggal terjual]],"dddd")</f>
        <v>Monday</v>
      </c>
    </row>
    <row r="526" spans="1:43" x14ac:dyDescent="0.2">
      <c r="A526" s="20">
        <v>525</v>
      </c>
      <c r="B526" s="21" t="str">
        <f>_xlfn.CONCAT("ORD-",INDEX(Helper!$B$2:$B$5,MATCH(cadangan3[[#This Row],[Marketplace]],Helper!$A$2:$A$5,0)),TEXT(cadangan3[[#This Row],[No]],"0000"),"-",TEXT(cadangan3[[#This Row],[Tanggal terjual]],"dd/mm/yy"))</f>
        <v>ORD-BB0525-04/04/23</v>
      </c>
      <c r="C526" t="s">
        <v>62</v>
      </c>
      <c r="D526" t="str">
        <f>IFERROR(INDEX(Katalog!$A$3:$A$12,MATCH(cadangan3[[#This Row],[ItemID A]],Katalog!$C$3:$C$12,0)),"-")</f>
        <v>Pakaian Pria</v>
      </c>
      <c r="E526" t="str">
        <f>IFERROR(INDEX(Katalog!$B$3:$B$12,MATCH(cadangan3[[#This Row],[ItemID A]],Katalog!$C$3:$C$12,0)),"-")</f>
        <v>Celana Pendek</v>
      </c>
      <c r="F526">
        <v>4</v>
      </c>
      <c r="G526">
        <v>4</v>
      </c>
      <c r="H526" s="36">
        <f>IFERROR(INDEX(Katalog!$D$3:$D$12,MATCH(cadangan3[[#This Row],[ItemID A]],Katalog!$C$3:$C$12,0))*cadangan3[[#This Row],[Qty A]],0)</f>
        <v>720000</v>
      </c>
      <c r="I526" s="36">
        <f>IFERROR(INDEX(Katalog!$D$3:$D$12,MATCH(cadangan3[[#This Row],[Item A]],Katalog!$B$3:$B$12,0))*cadangan3[[#This Row],[Qty A]],0)</f>
        <v>720000</v>
      </c>
      <c r="J526" s="36">
        <f>IFERROR(cadangan3[[#This Row],[Harga Asli A]]-(cadangan3[[#This Row],[Harga Asli A]]*cadangan3[[#This Row],[Diskon]]),cadangan3[[#This Row],[Harga Asli A]])</f>
        <v>612000</v>
      </c>
      <c r="K526" s="36">
        <f>INDEX(Katalog!$F$3:$F$12,MATCH(cadangan3[[#This Row],[ItemID A]],Katalog!$C$3:$C$12,0))*cadangan3[[#This Row],[Qty A]]</f>
        <v>280000</v>
      </c>
      <c r="L526" s="36">
        <f>IFERROR(cadangan3[[#This Row],[Profit A]]-(cadangan3[[#This Row],[Profit A]]*cadangan3[[#This Row],[Diskon]]),K526)</f>
        <v>238000</v>
      </c>
      <c r="M526" t="s">
        <v>67</v>
      </c>
      <c r="N526" t="str">
        <f>IFERROR(INDEX(Katalog!$A$3:$A$12,MATCH(cadangan3[[#This Row],[ItemID B]],Katalog!$C$3:$C$12,0)),"-")</f>
        <v>Sepatu Wanita</v>
      </c>
      <c r="O526" t="str">
        <f>IFERROR(INDEX(Katalog!$B$3:$B$12,MATCH(cadangan3[[#This Row],[ItemID B]],Katalog!$C$3:$C$12,0)),"-")</f>
        <v>Flat Shoes</v>
      </c>
      <c r="P526">
        <v>1</v>
      </c>
      <c r="Q526">
        <v>4</v>
      </c>
      <c r="R526" s="36">
        <f>IFERROR(INDEX(Katalog!$D$3:$D$12,MATCH(cadangan3[[#This Row],[ItemID B]],Katalog!$C$3:$C$12,0))*cadangan3[[#This Row],[Qty B]],0)</f>
        <v>250000</v>
      </c>
      <c r="S526" s="36">
        <f>IFERROR(INDEX(Katalog!$D$3:$D$12,MATCH(cadangan3[[#This Row],[Item B]],Katalog!$B$3:$B$12,0))*cadangan3[[#This Row],[Qty B]],0)</f>
        <v>250000</v>
      </c>
      <c r="T526" s="36">
        <f>IFERROR(cadangan3[[#This Row],[Harga Asli B]]-(cadangan3[[#This Row],[Harga Asli B]]*cadangan3[[#This Row],[Diskon]]),cadangan3[[#This Row],[Harga Asli B]])</f>
        <v>212500</v>
      </c>
      <c r="U526" s="36">
        <f>IFERROR(INDEX(Katalog!$F$3:$F$12,MATCH(cadangan3[[#This Row],[ItemID B]],Katalog!$C$3:$C$12,0))*cadangan3[[#This Row],[Qty B]],0)</f>
        <v>100000</v>
      </c>
      <c r="V526" s="36">
        <f>IFERROR(cadangan3[[#This Row],[Profit B]]-(cadangan3[[#This Row],[Profit B]]*cadangan3[[#This Row],[Diskon]]),U526)</f>
        <v>85000</v>
      </c>
      <c r="X526" t="str">
        <f>IFERROR(INDEX(Katalog!$A$3:$A$12,MATCH(cadangan3[[#This Row],[ItemID C]],Katalog!$C$3:$C$12,0)),"-")</f>
        <v>-</v>
      </c>
      <c r="Y526" t="str">
        <f>IFERROR(INDEX(Katalog!$B$3:$B$12,MATCH(cadangan3[[#This Row],[ItemID C]],Katalog!$C$3:$C$12,0)),"-")</f>
        <v>-</v>
      </c>
      <c r="AB526" s="36">
        <f>IFERROR(INDEX(Katalog!$D$3:$D$12,MATCH(cadangan3[[#This Row],[ItemID C]],Katalog!$C$3:$C$12,0))*cadangan3[[#This Row],[Qty C]],0)</f>
        <v>0</v>
      </c>
      <c r="AC526" s="36">
        <f>IFERROR(INDEX(Katalog!$D$3:$D$12,MATCH(cadangan3[[#This Row],[Item C]],Katalog!$B$3:$B$12,0))*cadangan3[[#This Row],[Qty C]],0)</f>
        <v>0</v>
      </c>
      <c r="AD526" s="36">
        <f>IFERROR(cadangan3[[#This Row],[Harga Asli C]]-(cadangan3[[#This Row],[Harga Asli C]]*cadangan3[[#This Row],[Diskon]]),cadangan3[[#This Row],[Harga Asli C]])</f>
        <v>0</v>
      </c>
      <c r="AE526" s="36">
        <f>IFERROR(INDEX(Katalog!$F$3:$F$12,MATCH(cadangan3[[#This Row],[ItemID C]],Katalog!$C$3:$C$12,0))*cadangan3[[#This Row],[Qty C]],0)</f>
        <v>0</v>
      </c>
      <c r="AF526" s="36">
        <f>IFERROR(cadangan3[[#This Row],[Profit C]]-(cadangan3[[#This Row],[Profit C]]*cadangan3[[#This Row],[Diskon]]),cadangan3[[#This Row],[Profit C]])</f>
        <v>0</v>
      </c>
      <c r="AG526" s="21">
        <f>cadangan3[[#This Row],[Qty A]]+cadangan3[[#This Row],[Qty B]]+cadangan3[[#This Row],[Qty C]]</f>
        <v>5</v>
      </c>
      <c r="AH526" s="35">
        <f>cadangan3[[#This Row],[Harga A + Diskon]]+cadangan3[[#This Row],[Harga + Diskon B]]+cadangan3[[#This Row],[Harga + Diskon C]]</f>
        <v>824500</v>
      </c>
      <c r="AI526" s="35">
        <f>(cadangan3[[#This Row],[Profit A]]+cadangan3[[#This Row],[Profit B]]+cadangan3[[#This Row],[Profit C]])</f>
        <v>380000</v>
      </c>
      <c r="AJ526" s="35">
        <f>cadangan3[[#This Row],[Provit A + Diskon]]+cadangan3[[#This Row],[Provit B + Diskon]]+cadangan3[[#This Row],[Provit C + Diskon]]</f>
        <v>323000</v>
      </c>
      <c r="AK526" s="23" t="s">
        <v>28</v>
      </c>
      <c r="AL526" s="37">
        <f>IFERROR(INDEX('Kode Diskon'!$D$3:$D$9,MATCH(cadangan3[[#This Row],[Kode diskon]],'Kode Diskon'!$C$3:$C$9,0)),"-")</f>
        <v>0.15</v>
      </c>
      <c r="AM526" s="23" t="s">
        <v>29</v>
      </c>
      <c r="AN526" s="23" t="s">
        <v>14</v>
      </c>
      <c r="AO526" s="23" t="s">
        <v>79</v>
      </c>
      <c r="AP526" s="24">
        <v>45020</v>
      </c>
      <c r="AQ526" s="23" t="str">
        <f>TEXT(cadangan3[[#This Row],[Tanggal terjual]],"dddd")</f>
        <v>Tuesday</v>
      </c>
    </row>
    <row r="527" spans="1:43" x14ac:dyDescent="0.2">
      <c r="A527" s="20">
        <v>526</v>
      </c>
      <c r="B527" s="21" t="str">
        <f>_xlfn.CONCAT("ORD-",INDEX(Helper!$B$2:$B$5,MATCH(cadangan3[[#This Row],[Marketplace]],Helper!$A$2:$A$5,0)),TEXT(cadangan3[[#This Row],[No]],"0000"),"-",TEXT(cadangan3[[#This Row],[Tanggal terjual]],"dd/mm/yy"))</f>
        <v>ORD-TK0526-26/04/23</v>
      </c>
      <c r="C527" t="s">
        <v>62</v>
      </c>
      <c r="D527" t="str">
        <f>IFERROR(INDEX(Katalog!$A$3:$A$12,MATCH(cadangan3[[#This Row],[ItemID A]],Katalog!$C$3:$C$12,0)),"-")</f>
        <v>Pakaian Pria</v>
      </c>
      <c r="E527" t="str">
        <f>IFERROR(INDEX(Katalog!$B$3:$B$12,MATCH(cadangan3[[#This Row],[ItemID A]],Katalog!$C$3:$C$12,0)),"-")</f>
        <v>Celana Pendek</v>
      </c>
      <c r="F527">
        <v>1</v>
      </c>
      <c r="G527">
        <v>5</v>
      </c>
      <c r="H527" s="36">
        <f>IFERROR(INDEX(Katalog!$D$3:$D$12,MATCH(cadangan3[[#This Row],[ItemID A]],Katalog!$C$3:$C$12,0))*cadangan3[[#This Row],[Qty A]],0)</f>
        <v>180000</v>
      </c>
      <c r="I527" s="36">
        <f>IFERROR(INDEX(Katalog!$D$3:$D$12,MATCH(cadangan3[[#This Row],[Item A]],Katalog!$B$3:$B$12,0))*cadangan3[[#This Row],[Qty A]],0)</f>
        <v>180000</v>
      </c>
      <c r="J527" s="36">
        <f>IFERROR(cadangan3[[#This Row],[Harga Asli A]]-(cadangan3[[#This Row],[Harga Asli A]]*cadangan3[[#This Row],[Diskon]]),cadangan3[[#This Row],[Harga Asli A]])</f>
        <v>162000</v>
      </c>
      <c r="K527" s="36">
        <f>INDEX(Katalog!$F$3:$F$12,MATCH(cadangan3[[#This Row],[ItemID A]],Katalog!$C$3:$C$12,0))*cadangan3[[#This Row],[Qty A]]</f>
        <v>70000</v>
      </c>
      <c r="L527" s="36">
        <f>IFERROR(cadangan3[[#This Row],[Profit A]]-(cadangan3[[#This Row],[Profit A]]*cadangan3[[#This Row],[Diskon]]),K527)</f>
        <v>63000</v>
      </c>
      <c r="M527" t="s">
        <v>66</v>
      </c>
      <c r="N527" t="str">
        <f>IFERROR(INDEX(Katalog!$A$3:$A$12,MATCH(cadangan3[[#This Row],[ItemID B]],Katalog!$C$3:$C$12,0)),"-")</f>
        <v>Sepatu Pria</v>
      </c>
      <c r="O527" t="str">
        <f>IFERROR(INDEX(Katalog!$B$3:$B$12,MATCH(cadangan3[[#This Row],[ItemID B]],Katalog!$C$3:$C$12,0)),"-")</f>
        <v>Sandal Slip On</v>
      </c>
      <c r="P527">
        <v>4</v>
      </c>
      <c r="Q527">
        <v>4</v>
      </c>
      <c r="R527" s="36">
        <f>IFERROR(INDEX(Katalog!$D$3:$D$12,MATCH(cadangan3[[#This Row],[ItemID B]],Katalog!$C$3:$C$12,0))*cadangan3[[#This Row],[Qty B]],0)</f>
        <v>600000</v>
      </c>
      <c r="S527" s="36">
        <f>IFERROR(INDEX(Katalog!$D$3:$D$12,MATCH(cadangan3[[#This Row],[Item B]],Katalog!$B$3:$B$12,0))*cadangan3[[#This Row],[Qty B]],0)</f>
        <v>600000</v>
      </c>
      <c r="T527" s="36">
        <f>IFERROR(cadangan3[[#This Row],[Harga Asli B]]-(cadangan3[[#This Row],[Harga Asli B]]*cadangan3[[#This Row],[Diskon]]),cadangan3[[#This Row],[Harga Asli B]])</f>
        <v>540000</v>
      </c>
      <c r="U527" s="36">
        <f>IFERROR(INDEX(Katalog!$F$3:$F$12,MATCH(cadangan3[[#This Row],[ItemID B]],Katalog!$C$3:$C$12,0))*cadangan3[[#This Row],[Qty B]],0)</f>
        <v>240000</v>
      </c>
      <c r="V527" s="36">
        <f>IFERROR(cadangan3[[#This Row],[Profit B]]-(cadangan3[[#This Row],[Profit B]]*cadangan3[[#This Row],[Diskon]]),U527)</f>
        <v>216000</v>
      </c>
      <c r="W527" t="s">
        <v>59</v>
      </c>
      <c r="X527" t="str">
        <f>IFERROR(INDEX(Katalog!$A$3:$A$12,MATCH(cadangan3[[#This Row],[ItemID C]],Katalog!$C$3:$C$12,0)),"-")</f>
        <v>Pakaian Wanita</v>
      </c>
      <c r="Y527" t="str">
        <f>IFERROR(INDEX(Katalog!$B$3:$B$12,MATCH(cadangan3[[#This Row],[ItemID C]],Katalog!$C$3:$C$12,0)),"-")</f>
        <v>Blouse</v>
      </c>
      <c r="Z527">
        <v>1</v>
      </c>
      <c r="AA527">
        <v>5</v>
      </c>
      <c r="AB527" s="36">
        <f>IFERROR(INDEX(Katalog!$D$3:$D$12,MATCH(cadangan3[[#This Row],[ItemID C]],Katalog!$C$3:$C$12,0))*cadangan3[[#This Row],[Qty C]],0)</f>
        <v>150000</v>
      </c>
      <c r="AC527" s="36">
        <f>IFERROR(INDEX(Katalog!$D$3:$D$12,MATCH(cadangan3[[#This Row],[Item C]],Katalog!$B$3:$B$12,0))*cadangan3[[#This Row],[Qty C]],0)</f>
        <v>150000</v>
      </c>
      <c r="AD527" s="36">
        <f>IFERROR(cadangan3[[#This Row],[Harga Asli C]]-(cadangan3[[#This Row],[Harga Asli C]]*cadangan3[[#This Row],[Diskon]]),cadangan3[[#This Row],[Harga Asli C]])</f>
        <v>135000</v>
      </c>
      <c r="AE527" s="36">
        <f>IFERROR(INDEX(Katalog!$F$3:$F$12,MATCH(cadangan3[[#This Row],[ItemID C]],Katalog!$C$3:$C$12,0))*cadangan3[[#This Row],[Qty C]],0)</f>
        <v>50000</v>
      </c>
      <c r="AF527" s="36">
        <f>IFERROR(cadangan3[[#This Row],[Profit C]]-(cadangan3[[#This Row],[Profit C]]*cadangan3[[#This Row],[Diskon]]),cadangan3[[#This Row],[Profit C]])</f>
        <v>45000</v>
      </c>
      <c r="AG527" s="21">
        <f>cadangan3[[#This Row],[Qty A]]+cadangan3[[#This Row],[Qty B]]+cadangan3[[#This Row],[Qty C]]</f>
        <v>6</v>
      </c>
      <c r="AH527" s="35">
        <f>cadangan3[[#This Row],[Harga A + Diskon]]+cadangan3[[#This Row],[Harga + Diskon B]]+cadangan3[[#This Row],[Harga + Diskon C]]</f>
        <v>837000</v>
      </c>
      <c r="AI527" s="35">
        <f>(cadangan3[[#This Row],[Profit A]]+cadangan3[[#This Row],[Profit B]]+cadangan3[[#This Row],[Profit C]])</f>
        <v>360000</v>
      </c>
      <c r="AJ527" s="35">
        <f>cadangan3[[#This Row],[Provit A + Diskon]]+cadangan3[[#This Row],[Provit B + Diskon]]+cadangan3[[#This Row],[Provit C + Diskon]]</f>
        <v>324000</v>
      </c>
      <c r="AK527" s="23" t="s">
        <v>31</v>
      </c>
      <c r="AL527" s="37">
        <f>IFERROR(INDEX('Kode Diskon'!$D$3:$D$9,MATCH(cadangan3[[#This Row],[Kode diskon]],'Kode Diskon'!$C$3:$C$9,0)),"-")</f>
        <v>0.1</v>
      </c>
      <c r="AM527" s="23" t="s">
        <v>9</v>
      </c>
      <c r="AN527" s="23" t="s">
        <v>10</v>
      </c>
      <c r="AO527" s="23" t="s">
        <v>77</v>
      </c>
      <c r="AP527" s="24">
        <v>45042</v>
      </c>
      <c r="AQ527" s="23" t="str">
        <f>TEXT(cadangan3[[#This Row],[Tanggal terjual]],"dddd")</f>
        <v>Wednesday</v>
      </c>
    </row>
    <row r="528" spans="1:43" x14ac:dyDescent="0.2">
      <c r="A528" s="20">
        <v>527</v>
      </c>
      <c r="B528" s="21" t="str">
        <f>_xlfn.CONCAT("ORD-",INDEX(Helper!$B$2:$B$5,MATCH(cadangan3[[#This Row],[Marketplace]],Helper!$A$2:$A$5,0)),TEXT(cadangan3[[#This Row],[No]],"0000"),"-",TEXT(cadangan3[[#This Row],[Tanggal terjual]],"dd/mm/yy"))</f>
        <v>ORD-SP0527-23/04/23</v>
      </c>
      <c r="C528" t="s">
        <v>64</v>
      </c>
      <c r="D528" t="str">
        <f>IFERROR(INDEX(Katalog!$A$3:$A$12,MATCH(cadangan3[[#This Row],[ItemID A]],Katalog!$C$3:$C$12,0)),"-")</f>
        <v>Pakaian Unisex</v>
      </c>
      <c r="E528" t="str">
        <f>IFERROR(INDEX(Katalog!$B$3:$B$12,MATCH(cadangan3[[#This Row],[ItemID A]],Katalog!$C$3:$C$12,0)),"-")</f>
        <v>Jaket Hoodie</v>
      </c>
      <c r="F528">
        <v>6</v>
      </c>
      <c r="G528">
        <v>4</v>
      </c>
      <c r="H528" s="36">
        <f>IFERROR(INDEX(Katalog!$D$3:$D$12,MATCH(cadangan3[[#This Row],[ItemID A]],Katalog!$C$3:$C$12,0))*cadangan3[[#This Row],[Qty A]],0)</f>
        <v>2100000</v>
      </c>
      <c r="I528" s="36">
        <f>IFERROR(INDEX(Katalog!$D$3:$D$12,MATCH(cadangan3[[#This Row],[Item A]],Katalog!$B$3:$B$12,0))*cadangan3[[#This Row],[Qty A]],0)</f>
        <v>2100000</v>
      </c>
      <c r="J528" s="36">
        <f>IFERROR(cadangan3[[#This Row],[Harga Asli A]]-(cadangan3[[#This Row],[Harga Asli A]]*cadangan3[[#This Row],[Diskon]]),cadangan3[[#This Row],[Harga Asli A]])</f>
        <v>1680000</v>
      </c>
      <c r="K528" s="36">
        <f>INDEX(Katalog!$F$3:$F$12,MATCH(cadangan3[[#This Row],[ItemID A]],Katalog!$C$3:$C$12,0))*cadangan3[[#This Row],[Qty A]]</f>
        <v>780000</v>
      </c>
      <c r="L528" s="36">
        <f>IFERROR(cadangan3[[#This Row],[Profit A]]-(cadangan3[[#This Row],[Profit A]]*cadangan3[[#This Row],[Diskon]]),K528)</f>
        <v>624000</v>
      </c>
      <c r="M528" t="s">
        <v>60</v>
      </c>
      <c r="N528" t="str">
        <f>IFERROR(INDEX(Katalog!$A$3:$A$12,MATCH(cadangan3[[#This Row],[ItemID B]],Katalog!$C$3:$C$12,0)),"-")</f>
        <v>Pakaian Wanita</v>
      </c>
      <c r="O528" t="str">
        <f>IFERROR(INDEX(Katalog!$B$3:$B$12,MATCH(cadangan3[[#This Row],[ItemID B]],Katalog!$C$3:$C$12,0)),"-")</f>
        <v>Kaftan</v>
      </c>
      <c r="P528">
        <v>1</v>
      </c>
      <c r="Q528">
        <v>4</v>
      </c>
      <c r="R528" s="36">
        <f>IFERROR(INDEX(Katalog!$D$3:$D$12,MATCH(cadangan3[[#This Row],[ItemID B]],Katalog!$C$3:$C$12,0))*cadangan3[[#This Row],[Qty B]],0)</f>
        <v>250000</v>
      </c>
      <c r="S528" s="36">
        <f>IFERROR(INDEX(Katalog!$D$3:$D$12,MATCH(cadangan3[[#This Row],[Item B]],Katalog!$B$3:$B$12,0))*cadangan3[[#This Row],[Qty B]],0)</f>
        <v>250000</v>
      </c>
      <c r="T528" s="36">
        <f>IFERROR(cadangan3[[#This Row],[Harga Asli B]]-(cadangan3[[#This Row],[Harga Asli B]]*cadangan3[[#This Row],[Diskon]]),cadangan3[[#This Row],[Harga Asli B]])</f>
        <v>200000</v>
      </c>
      <c r="U528" s="36">
        <f>IFERROR(INDEX(Katalog!$F$3:$F$12,MATCH(cadangan3[[#This Row],[ItemID B]],Katalog!$C$3:$C$12,0))*cadangan3[[#This Row],[Qty B]],0)</f>
        <v>100000</v>
      </c>
      <c r="V528" s="36">
        <f>IFERROR(cadangan3[[#This Row],[Profit B]]-(cadangan3[[#This Row],[Profit B]]*cadangan3[[#This Row],[Diskon]]),U528)</f>
        <v>80000</v>
      </c>
      <c r="X528" t="str">
        <f>IFERROR(INDEX(Katalog!$A$3:$A$12,MATCH(cadangan3[[#This Row],[ItemID C]],Katalog!$C$3:$C$12,0)),"-")</f>
        <v>-</v>
      </c>
      <c r="Y528" t="str">
        <f>IFERROR(INDEX(Katalog!$B$3:$B$12,MATCH(cadangan3[[#This Row],[ItemID C]],Katalog!$C$3:$C$12,0)),"-")</f>
        <v>-</v>
      </c>
      <c r="AB528" s="36">
        <f>IFERROR(INDEX(Katalog!$D$3:$D$12,MATCH(cadangan3[[#This Row],[ItemID C]],Katalog!$C$3:$C$12,0))*cadangan3[[#This Row],[Qty C]],0)</f>
        <v>0</v>
      </c>
      <c r="AC528" s="36">
        <f>IFERROR(INDEX(Katalog!$D$3:$D$12,MATCH(cadangan3[[#This Row],[Item C]],Katalog!$B$3:$B$12,0))*cadangan3[[#This Row],[Qty C]],0)</f>
        <v>0</v>
      </c>
      <c r="AD528" s="36">
        <f>IFERROR(cadangan3[[#This Row],[Harga Asli C]]-(cadangan3[[#This Row],[Harga Asli C]]*cadangan3[[#This Row],[Diskon]]),cadangan3[[#This Row],[Harga Asli C]])</f>
        <v>0</v>
      </c>
      <c r="AE528" s="36">
        <f>IFERROR(INDEX(Katalog!$F$3:$F$12,MATCH(cadangan3[[#This Row],[ItemID C]],Katalog!$C$3:$C$12,0))*cadangan3[[#This Row],[Qty C]],0)</f>
        <v>0</v>
      </c>
      <c r="AF528" s="36">
        <f>IFERROR(cadangan3[[#This Row],[Profit C]]-(cadangan3[[#This Row],[Profit C]]*cadangan3[[#This Row],[Diskon]]),cadangan3[[#This Row],[Profit C]])</f>
        <v>0</v>
      </c>
      <c r="AG528" s="21">
        <f>cadangan3[[#This Row],[Qty A]]+cadangan3[[#This Row],[Qty B]]+cadangan3[[#This Row],[Qty C]]</f>
        <v>7</v>
      </c>
      <c r="AH528" s="35">
        <f>cadangan3[[#This Row],[Harga A + Diskon]]+cadangan3[[#This Row],[Harga + Diskon B]]+cadangan3[[#This Row],[Harga + Diskon C]]</f>
        <v>1880000</v>
      </c>
      <c r="AI528" s="35">
        <f>(cadangan3[[#This Row],[Profit A]]+cadangan3[[#This Row],[Profit B]]+cadangan3[[#This Row],[Profit C]])</f>
        <v>880000</v>
      </c>
      <c r="AJ528" s="35">
        <f>cadangan3[[#This Row],[Provit A + Diskon]]+cadangan3[[#This Row],[Provit B + Diskon]]+cadangan3[[#This Row],[Provit C + Diskon]]</f>
        <v>704000</v>
      </c>
      <c r="AK528" s="23" t="s">
        <v>8</v>
      </c>
      <c r="AL528" s="37">
        <f>IFERROR(INDEX('Kode Diskon'!$D$3:$D$9,MATCH(cadangan3[[#This Row],[Kode diskon]],'Kode Diskon'!$C$3:$C$9,0)),"-")</f>
        <v>0.2</v>
      </c>
      <c r="AM528" s="23" t="s">
        <v>9</v>
      </c>
      <c r="AN528" s="23" t="s">
        <v>7</v>
      </c>
      <c r="AO528" s="23" t="s">
        <v>77</v>
      </c>
      <c r="AP528" s="24">
        <v>45039</v>
      </c>
      <c r="AQ528" s="23" t="str">
        <f>TEXT(cadangan3[[#This Row],[Tanggal terjual]],"dddd")</f>
        <v>Sunday</v>
      </c>
    </row>
    <row r="529" spans="1:43" x14ac:dyDescent="0.2">
      <c r="A529" s="20">
        <v>528</v>
      </c>
      <c r="B529" s="21" t="str">
        <f>_xlfn.CONCAT("ORD-",INDEX(Helper!$B$2:$B$5,MATCH(cadangan3[[#This Row],[Marketplace]],Helper!$A$2:$A$5,0)),TEXT(cadangan3[[#This Row],[No]],"0000"),"-",TEXT(cadangan3[[#This Row],[Tanggal terjual]],"dd/mm/yy"))</f>
        <v>ORD-SP0528-21/04/23</v>
      </c>
      <c r="C529" t="s">
        <v>60</v>
      </c>
      <c r="D529" t="str">
        <f>IFERROR(INDEX(Katalog!$A$3:$A$12,MATCH(cadangan3[[#This Row],[ItemID A]],Katalog!$C$3:$C$12,0)),"-")</f>
        <v>Pakaian Wanita</v>
      </c>
      <c r="E529" t="str">
        <f>IFERROR(INDEX(Katalog!$B$3:$B$12,MATCH(cadangan3[[#This Row],[ItemID A]],Katalog!$C$3:$C$12,0)),"-")</f>
        <v>Kaftan</v>
      </c>
      <c r="F529">
        <v>1</v>
      </c>
      <c r="G529">
        <v>4</v>
      </c>
      <c r="H529" s="36">
        <f>IFERROR(INDEX(Katalog!$D$3:$D$12,MATCH(cadangan3[[#This Row],[ItemID A]],Katalog!$C$3:$C$12,0))*cadangan3[[#This Row],[Qty A]],0)</f>
        <v>250000</v>
      </c>
      <c r="I529" s="36">
        <f>IFERROR(INDEX(Katalog!$D$3:$D$12,MATCH(cadangan3[[#This Row],[Item A]],Katalog!$B$3:$B$12,0))*cadangan3[[#This Row],[Qty A]],0)</f>
        <v>250000</v>
      </c>
      <c r="J529" s="36">
        <f>IFERROR(cadangan3[[#This Row],[Harga Asli A]]-(cadangan3[[#This Row],[Harga Asli A]]*cadangan3[[#This Row],[Diskon]]),cadangan3[[#This Row],[Harga Asli A]])</f>
        <v>200000</v>
      </c>
      <c r="K529" s="36">
        <f>INDEX(Katalog!$F$3:$F$12,MATCH(cadangan3[[#This Row],[ItemID A]],Katalog!$C$3:$C$12,0))*cadangan3[[#This Row],[Qty A]]</f>
        <v>100000</v>
      </c>
      <c r="L529" s="36">
        <f>IFERROR(cadangan3[[#This Row],[Profit A]]-(cadangan3[[#This Row],[Profit A]]*cadangan3[[#This Row],[Diskon]]),K529)</f>
        <v>80000</v>
      </c>
      <c r="M529" t="s">
        <v>62</v>
      </c>
      <c r="N529" t="str">
        <f>IFERROR(INDEX(Katalog!$A$3:$A$12,MATCH(cadangan3[[#This Row],[ItemID B]],Katalog!$C$3:$C$12,0)),"-")</f>
        <v>Pakaian Pria</v>
      </c>
      <c r="O529" t="str">
        <f>IFERROR(INDEX(Katalog!$B$3:$B$12,MATCH(cadangan3[[#This Row],[ItemID B]],Katalog!$C$3:$C$12,0)),"-")</f>
        <v>Celana Pendek</v>
      </c>
      <c r="P529">
        <v>3</v>
      </c>
      <c r="Q529">
        <v>2</v>
      </c>
      <c r="R529" s="36">
        <f>IFERROR(INDEX(Katalog!$D$3:$D$12,MATCH(cadangan3[[#This Row],[ItemID B]],Katalog!$C$3:$C$12,0))*cadangan3[[#This Row],[Qty B]],0)</f>
        <v>540000</v>
      </c>
      <c r="S529" s="36">
        <f>IFERROR(INDEX(Katalog!$D$3:$D$12,MATCH(cadangan3[[#This Row],[Item B]],Katalog!$B$3:$B$12,0))*cadangan3[[#This Row],[Qty B]],0)</f>
        <v>540000</v>
      </c>
      <c r="T529" s="36">
        <f>IFERROR(cadangan3[[#This Row],[Harga Asli B]]-(cadangan3[[#This Row],[Harga Asli B]]*cadangan3[[#This Row],[Diskon]]),cadangan3[[#This Row],[Harga Asli B]])</f>
        <v>432000</v>
      </c>
      <c r="U529" s="36">
        <f>IFERROR(INDEX(Katalog!$F$3:$F$12,MATCH(cadangan3[[#This Row],[ItemID B]],Katalog!$C$3:$C$12,0))*cadangan3[[#This Row],[Qty B]],0)</f>
        <v>210000</v>
      </c>
      <c r="V529" s="36">
        <f>IFERROR(cadangan3[[#This Row],[Profit B]]-(cadangan3[[#This Row],[Profit B]]*cadangan3[[#This Row],[Diskon]]),U529)</f>
        <v>168000</v>
      </c>
      <c r="W529" t="s">
        <v>62</v>
      </c>
      <c r="X529" t="str">
        <f>IFERROR(INDEX(Katalog!$A$3:$A$12,MATCH(cadangan3[[#This Row],[ItemID C]],Katalog!$C$3:$C$12,0)),"-")</f>
        <v>Pakaian Pria</v>
      </c>
      <c r="Y529" t="str">
        <f>IFERROR(INDEX(Katalog!$B$3:$B$12,MATCH(cadangan3[[#This Row],[ItemID C]],Katalog!$C$3:$C$12,0)),"-")</f>
        <v>Celana Pendek</v>
      </c>
      <c r="Z529">
        <v>1</v>
      </c>
      <c r="AA529">
        <v>2</v>
      </c>
      <c r="AB529" s="36">
        <f>IFERROR(INDEX(Katalog!$D$3:$D$12,MATCH(cadangan3[[#This Row],[ItemID C]],Katalog!$C$3:$C$12,0))*cadangan3[[#This Row],[Qty C]],0)</f>
        <v>180000</v>
      </c>
      <c r="AC529" s="36">
        <f>IFERROR(INDEX(Katalog!$D$3:$D$12,MATCH(cadangan3[[#This Row],[Item C]],Katalog!$B$3:$B$12,0))*cadangan3[[#This Row],[Qty C]],0)</f>
        <v>180000</v>
      </c>
      <c r="AD529" s="36">
        <f>IFERROR(cadangan3[[#This Row],[Harga Asli C]]-(cadangan3[[#This Row],[Harga Asli C]]*cadangan3[[#This Row],[Diskon]]),cadangan3[[#This Row],[Harga Asli C]])</f>
        <v>144000</v>
      </c>
      <c r="AE529" s="36">
        <f>IFERROR(INDEX(Katalog!$F$3:$F$12,MATCH(cadangan3[[#This Row],[ItemID C]],Katalog!$C$3:$C$12,0))*cadangan3[[#This Row],[Qty C]],0)</f>
        <v>70000</v>
      </c>
      <c r="AF529" s="36">
        <f>IFERROR(cadangan3[[#This Row],[Profit C]]-(cadangan3[[#This Row],[Profit C]]*cadangan3[[#This Row],[Diskon]]),cadangan3[[#This Row],[Profit C]])</f>
        <v>56000</v>
      </c>
      <c r="AG529" s="21">
        <f>cadangan3[[#This Row],[Qty A]]+cadangan3[[#This Row],[Qty B]]+cadangan3[[#This Row],[Qty C]]</f>
        <v>5</v>
      </c>
      <c r="AH529" s="35">
        <f>cadangan3[[#This Row],[Harga A + Diskon]]+cadangan3[[#This Row],[Harga + Diskon B]]+cadangan3[[#This Row],[Harga + Diskon C]]</f>
        <v>776000</v>
      </c>
      <c r="AI529" s="35">
        <f>(cadangan3[[#This Row],[Profit A]]+cadangan3[[#This Row],[Profit B]]+cadangan3[[#This Row],[Profit C]])</f>
        <v>380000</v>
      </c>
      <c r="AJ529" s="35">
        <f>cadangan3[[#This Row],[Provit A + Diskon]]+cadangan3[[#This Row],[Provit B + Diskon]]+cadangan3[[#This Row],[Provit C + Diskon]]</f>
        <v>304000</v>
      </c>
      <c r="AK529" s="23" t="s">
        <v>8</v>
      </c>
      <c r="AL529" s="37">
        <f>IFERROR(INDEX('Kode Diskon'!$D$3:$D$9,MATCH(cadangan3[[#This Row],[Kode diskon]],'Kode Diskon'!$C$3:$C$9,0)),"-")</f>
        <v>0.2</v>
      </c>
      <c r="AM529" s="23" t="s">
        <v>9</v>
      </c>
      <c r="AN529" s="23" t="s">
        <v>7</v>
      </c>
      <c r="AO529" s="23" t="s">
        <v>75</v>
      </c>
      <c r="AP529" s="24">
        <v>45037</v>
      </c>
      <c r="AQ529" s="23" t="str">
        <f>TEXT(cadangan3[[#This Row],[Tanggal terjual]],"dddd")</f>
        <v>Friday</v>
      </c>
    </row>
    <row r="530" spans="1:43" x14ac:dyDescent="0.2">
      <c r="A530" s="20">
        <v>529</v>
      </c>
      <c r="B530" s="21" t="str">
        <f>_xlfn.CONCAT("ORD-",INDEX(Helper!$B$2:$B$5,MATCH(cadangan3[[#This Row],[Marketplace]],Helper!$A$2:$A$5,0)),TEXT(cadangan3[[#This Row],[No]],"0000"),"-",TEXT(cadangan3[[#This Row],[Tanggal terjual]],"dd/mm/yy"))</f>
        <v>ORD-SP0529-02/04/23</v>
      </c>
      <c r="C530" t="s">
        <v>63</v>
      </c>
      <c r="D530" t="str">
        <f>IFERROR(INDEX(Katalog!$A$3:$A$12,MATCH(cadangan3[[#This Row],[ItemID A]],Katalog!$C$3:$C$12,0)),"-")</f>
        <v>Pakaian Pria</v>
      </c>
      <c r="E530" t="str">
        <f>IFERROR(INDEX(Katalog!$B$3:$B$12,MATCH(cadangan3[[#This Row],[ItemID A]],Katalog!$C$3:$C$12,0)),"-")</f>
        <v>Jaket Jeans</v>
      </c>
      <c r="F530">
        <v>2</v>
      </c>
      <c r="G530">
        <v>4</v>
      </c>
      <c r="H530" s="36">
        <f>IFERROR(INDEX(Katalog!$D$3:$D$12,MATCH(cadangan3[[#This Row],[ItemID A]],Katalog!$C$3:$C$12,0))*cadangan3[[#This Row],[Qty A]],0)</f>
        <v>800000</v>
      </c>
      <c r="I530" s="36">
        <f>IFERROR(INDEX(Katalog!$D$3:$D$12,MATCH(cadangan3[[#This Row],[Item A]],Katalog!$B$3:$B$12,0))*cadangan3[[#This Row],[Qty A]],0)</f>
        <v>800000</v>
      </c>
      <c r="J530" s="36">
        <f>IFERROR(cadangan3[[#This Row],[Harga Asli A]]-(cadangan3[[#This Row],[Harga Asli A]]*cadangan3[[#This Row],[Diskon]]),cadangan3[[#This Row],[Harga Asli A]])</f>
        <v>680000</v>
      </c>
      <c r="K530" s="36">
        <f>INDEX(Katalog!$F$3:$F$12,MATCH(cadangan3[[#This Row],[ItemID A]],Katalog!$C$3:$C$12,0))*cadangan3[[#This Row],[Qty A]]</f>
        <v>300000</v>
      </c>
      <c r="L530" s="36">
        <f>IFERROR(cadangan3[[#This Row],[Profit A]]-(cadangan3[[#This Row],[Profit A]]*cadangan3[[#This Row],[Diskon]]),K530)</f>
        <v>255000</v>
      </c>
      <c r="N530" t="str">
        <f>IFERROR(INDEX(Katalog!$A$3:$A$12,MATCH(cadangan3[[#This Row],[ItemID B]],Katalog!$C$3:$C$12,0)),"-")</f>
        <v>-</v>
      </c>
      <c r="O530" t="str">
        <f>IFERROR(INDEX(Katalog!$B$3:$B$12,MATCH(cadangan3[[#This Row],[ItemID B]],Katalog!$C$3:$C$12,0)),"-")</f>
        <v>-</v>
      </c>
      <c r="R530" s="36">
        <f>IFERROR(INDEX(Katalog!$D$3:$D$12,MATCH(cadangan3[[#This Row],[ItemID B]],Katalog!$C$3:$C$12,0))*cadangan3[[#This Row],[Qty B]],0)</f>
        <v>0</v>
      </c>
      <c r="S530" s="36">
        <f>IFERROR(INDEX(Katalog!$D$3:$D$12,MATCH(cadangan3[[#This Row],[Item B]],Katalog!$B$3:$B$12,0))*cadangan3[[#This Row],[Qty B]],0)</f>
        <v>0</v>
      </c>
      <c r="T530" s="36">
        <f>IFERROR(cadangan3[[#This Row],[Harga Asli B]]-(cadangan3[[#This Row],[Harga Asli B]]*cadangan3[[#This Row],[Diskon]]),cadangan3[[#This Row],[Harga Asli B]])</f>
        <v>0</v>
      </c>
      <c r="U530" s="36">
        <f>IFERROR(INDEX(Katalog!$F$3:$F$12,MATCH(cadangan3[[#This Row],[ItemID B]],Katalog!$C$3:$C$12,0))*cadangan3[[#This Row],[Qty B]],0)</f>
        <v>0</v>
      </c>
      <c r="V530" s="36">
        <f>IFERROR(cadangan3[[#This Row],[Profit B]]-(cadangan3[[#This Row],[Profit B]]*cadangan3[[#This Row],[Diskon]]),U530)</f>
        <v>0</v>
      </c>
      <c r="X530" t="str">
        <f>IFERROR(INDEX(Katalog!$A$3:$A$12,MATCH(cadangan3[[#This Row],[ItemID C]],Katalog!$C$3:$C$12,0)),"-")</f>
        <v>-</v>
      </c>
      <c r="Y530" t="str">
        <f>IFERROR(INDEX(Katalog!$B$3:$B$12,MATCH(cadangan3[[#This Row],[ItemID C]],Katalog!$C$3:$C$12,0)),"-")</f>
        <v>-</v>
      </c>
      <c r="AB530" s="36">
        <f>IFERROR(INDEX(Katalog!$D$3:$D$12,MATCH(cadangan3[[#This Row],[ItemID C]],Katalog!$C$3:$C$12,0))*cadangan3[[#This Row],[Qty C]],0)</f>
        <v>0</v>
      </c>
      <c r="AC530" s="36">
        <f>IFERROR(INDEX(Katalog!$D$3:$D$12,MATCH(cadangan3[[#This Row],[Item C]],Katalog!$B$3:$B$12,0))*cadangan3[[#This Row],[Qty C]],0)</f>
        <v>0</v>
      </c>
      <c r="AD530" s="36">
        <f>IFERROR(cadangan3[[#This Row],[Harga Asli C]]-(cadangan3[[#This Row],[Harga Asli C]]*cadangan3[[#This Row],[Diskon]]),cadangan3[[#This Row],[Harga Asli C]])</f>
        <v>0</v>
      </c>
      <c r="AE530" s="36">
        <f>IFERROR(INDEX(Katalog!$F$3:$F$12,MATCH(cadangan3[[#This Row],[ItemID C]],Katalog!$C$3:$C$12,0))*cadangan3[[#This Row],[Qty C]],0)</f>
        <v>0</v>
      </c>
      <c r="AF530" s="36">
        <f>IFERROR(cadangan3[[#This Row],[Profit C]]-(cadangan3[[#This Row],[Profit C]]*cadangan3[[#This Row],[Diskon]]),cadangan3[[#This Row],[Profit C]])</f>
        <v>0</v>
      </c>
      <c r="AG530" s="21">
        <f>cadangan3[[#This Row],[Qty A]]+cadangan3[[#This Row],[Qty B]]+cadangan3[[#This Row],[Qty C]]</f>
        <v>2</v>
      </c>
      <c r="AH530" s="35">
        <f>cadangan3[[#This Row],[Harga A + Diskon]]+cadangan3[[#This Row],[Harga + Diskon B]]+cadangan3[[#This Row],[Harga + Diskon C]]</f>
        <v>680000</v>
      </c>
      <c r="AI530" s="35">
        <f>(cadangan3[[#This Row],[Profit A]]+cadangan3[[#This Row],[Profit B]]+cadangan3[[#This Row],[Profit C]])</f>
        <v>300000</v>
      </c>
      <c r="AJ530" s="35">
        <f>cadangan3[[#This Row],[Provit A + Diskon]]+cadangan3[[#This Row],[Provit B + Diskon]]+cadangan3[[#This Row],[Provit C + Diskon]]</f>
        <v>255000</v>
      </c>
      <c r="AK530" s="23" t="s">
        <v>13</v>
      </c>
      <c r="AL530" s="37">
        <f>IFERROR(INDEX('Kode Diskon'!$D$3:$D$9,MATCH(cadangan3[[#This Row],[Kode diskon]],'Kode Diskon'!$C$3:$C$9,0)),"-")</f>
        <v>0.15</v>
      </c>
      <c r="AM530" s="23" t="s">
        <v>29</v>
      </c>
      <c r="AN530" s="23" t="s">
        <v>7</v>
      </c>
      <c r="AO530" s="23" t="s">
        <v>77</v>
      </c>
      <c r="AP530" s="24">
        <v>45018</v>
      </c>
      <c r="AQ530" s="23" t="str">
        <f>TEXT(cadangan3[[#This Row],[Tanggal terjual]],"dddd")</f>
        <v>Sunday</v>
      </c>
    </row>
    <row r="531" spans="1:43" x14ac:dyDescent="0.2">
      <c r="A531" s="20">
        <v>530</v>
      </c>
      <c r="B531" s="21" t="str">
        <f>_xlfn.CONCAT("ORD-",INDEX(Helper!$B$2:$B$5,MATCH(cadangan3[[#This Row],[Marketplace]],Helper!$A$2:$A$5,0)),TEXT(cadangan3[[#This Row],[No]],"0000"),"-",TEXT(cadangan3[[#This Row],[Tanggal terjual]],"dd/mm/yy"))</f>
        <v>ORD-SP0530-02/04/23</v>
      </c>
      <c r="C531" t="s">
        <v>65</v>
      </c>
      <c r="D531" t="str">
        <f>IFERROR(INDEX(Katalog!$A$3:$A$12,MATCH(cadangan3[[#This Row],[ItemID A]],Katalog!$C$3:$C$12,0)),"-")</f>
        <v>Sepatu Pria</v>
      </c>
      <c r="E531" t="str">
        <f>IFERROR(INDEX(Katalog!$B$3:$B$12,MATCH(cadangan3[[#This Row],[ItemID A]],Katalog!$C$3:$C$12,0)),"-")</f>
        <v>Sneakers</v>
      </c>
      <c r="F531">
        <v>2</v>
      </c>
      <c r="G531">
        <v>4</v>
      </c>
      <c r="H531" s="36">
        <f>IFERROR(INDEX(Katalog!$D$3:$D$12,MATCH(cadangan3[[#This Row],[ItemID A]],Katalog!$C$3:$C$12,0))*cadangan3[[#This Row],[Qty A]],0)</f>
        <v>1000000</v>
      </c>
      <c r="I531" s="36">
        <f>IFERROR(INDEX(Katalog!$D$3:$D$12,MATCH(cadangan3[[#This Row],[Item A]],Katalog!$B$3:$B$12,0))*cadangan3[[#This Row],[Qty A]],0)</f>
        <v>1000000</v>
      </c>
      <c r="J531" s="36">
        <f>IFERROR(cadangan3[[#This Row],[Harga Asli A]]-(cadangan3[[#This Row],[Harga Asli A]]*cadangan3[[#This Row],[Diskon]]),cadangan3[[#This Row],[Harga Asli A]])</f>
        <v>850000</v>
      </c>
      <c r="K531" s="36">
        <f>INDEX(Katalog!$F$3:$F$12,MATCH(cadangan3[[#This Row],[ItemID A]],Katalog!$C$3:$C$12,0))*cadangan3[[#This Row],[Qty A]]</f>
        <v>400000</v>
      </c>
      <c r="L531" s="36">
        <f>IFERROR(cadangan3[[#This Row],[Profit A]]-(cadangan3[[#This Row],[Profit A]]*cadangan3[[#This Row],[Diskon]]),K531)</f>
        <v>340000</v>
      </c>
      <c r="M531" t="s">
        <v>64</v>
      </c>
      <c r="N531" t="str">
        <f>IFERROR(INDEX(Katalog!$A$3:$A$12,MATCH(cadangan3[[#This Row],[ItemID B]],Katalog!$C$3:$C$12,0)),"-")</f>
        <v>Pakaian Unisex</v>
      </c>
      <c r="O531" t="str">
        <f>IFERROR(INDEX(Katalog!$B$3:$B$12,MATCH(cadangan3[[#This Row],[ItemID B]],Katalog!$C$3:$C$12,0)),"-")</f>
        <v>Jaket Hoodie</v>
      </c>
      <c r="P531">
        <v>1</v>
      </c>
      <c r="Q531">
        <v>3</v>
      </c>
      <c r="R531" s="36">
        <f>IFERROR(INDEX(Katalog!$D$3:$D$12,MATCH(cadangan3[[#This Row],[ItemID B]],Katalog!$C$3:$C$12,0))*cadangan3[[#This Row],[Qty B]],0)</f>
        <v>350000</v>
      </c>
      <c r="S531" s="36">
        <f>IFERROR(INDEX(Katalog!$D$3:$D$12,MATCH(cadangan3[[#This Row],[Item B]],Katalog!$B$3:$B$12,0))*cadangan3[[#This Row],[Qty B]],0)</f>
        <v>350000</v>
      </c>
      <c r="T531" s="36">
        <f>IFERROR(cadangan3[[#This Row],[Harga Asli B]]-(cadangan3[[#This Row],[Harga Asli B]]*cadangan3[[#This Row],[Diskon]]),cadangan3[[#This Row],[Harga Asli B]])</f>
        <v>297500</v>
      </c>
      <c r="U531" s="36">
        <f>IFERROR(INDEX(Katalog!$F$3:$F$12,MATCH(cadangan3[[#This Row],[ItemID B]],Katalog!$C$3:$C$12,0))*cadangan3[[#This Row],[Qty B]],0)</f>
        <v>130000</v>
      </c>
      <c r="V531" s="36">
        <f>IFERROR(cadangan3[[#This Row],[Profit B]]-(cadangan3[[#This Row],[Profit B]]*cadangan3[[#This Row],[Diskon]]),U531)</f>
        <v>110500</v>
      </c>
      <c r="W531" t="s">
        <v>62</v>
      </c>
      <c r="X531" t="str">
        <f>IFERROR(INDEX(Katalog!$A$3:$A$12,MATCH(cadangan3[[#This Row],[ItemID C]],Katalog!$C$3:$C$12,0)),"-")</f>
        <v>Pakaian Pria</v>
      </c>
      <c r="Y531" t="str">
        <f>IFERROR(INDEX(Katalog!$B$3:$B$12,MATCH(cadangan3[[#This Row],[ItemID C]],Katalog!$C$3:$C$12,0)),"-")</f>
        <v>Celana Pendek</v>
      </c>
      <c r="Z531">
        <v>4</v>
      </c>
      <c r="AA531">
        <v>5</v>
      </c>
      <c r="AB531" s="36">
        <f>IFERROR(INDEX(Katalog!$D$3:$D$12,MATCH(cadangan3[[#This Row],[ItemID C]],Katalog!$C$3:$C$12,0))*cadangan3[[#This Row],[Qty C]],0)</f>
        <v>720000</v>
      </c>
      <c r="AC531" s="36">
        <f>IFERROR(INDEX(Katalog!$D$3:$D$12,MATCH(cadangan3[[#This Row],[Item C]],Katalog!$B$3:$B$12,0))*cadangan3[[#This Row],[Qty C]],0)</f>
        <v>720000</v>
      </c>
      <c r="AD531" s="36">
        <f>IFERROR(cadangan3[[#This Row],[Harga Asli C]]-(cadangan3[[#This Row],[Harga Asli C]]*cadangan3[[#This Row],[Diskon]]),cadangan3[[#This Row],[Harga Asli C]])</f>
        <v>612000</v>
      </c>
      <c r="AE531" s="36">
        <f>IFERROR(INDEX(Katalog!$F$3:$F$12,MATCH(cadangan3[[#This Row],[ItemID C]],Katalog!$C$3:$C$12,0))*cadangan3[[#This Row],[Qty C]],0)</f>
        <v>280000</v>
      </c>
      <c r="AF531" s="36">
        <f>IFERROR(cadangan3[[#This Row],[Profit C]]-(cadangan3[[#This Row],[Profit C]]*cadangan3[[#This Row],[Diskon]]),cadangan3[[#This Row],[Profit C]])</f>
        <v>238000</v>
      </c>
      <c r="AG531" s="21">
        <f>cadangan3[[#This Row],[Qty A]]+cadangan3[[#This Row],[Qty B]]+cadangan3[[#This Row],[Qty C]]</f>
        <v>7</v>
      </c>
      <c r="AH531" s="35">
        <f>cadangan3[[#This Row],[Harga A + Diskon]]+cadangan3[[#This Row],[Harga + Diskon B]]+cadangan3[[#This Row],[Harga + Diskon C]]</f>
        <v>1759500</v>
      </c>
      <c r="AI531" s="35">
        <f>(cadangan3[[#This Row],[Profit A]]+cadangan3[[#This Row],[Profit B]]+cadangan3[[#This Row],[Profit C]])</f>
        <v>810000</v>
      </c>
      <c r="AJ531" s="35">
        <f>cadangan3[[#This Row],[Provit A + Diskon]]+cadangan3[[#This Row],[Provit B + Diskon]]+cadangan3[[#This Row],[Provit C + Diskon]]</f>
        <v>688500</v>
      </c>
      <c r="AK531" s="23" t="s">
        <v>13</v>
      </c>
      <c r="AL531" s="37">
        <f>IFERROR(INDEX('Kode Diskon'!$D$3:$D$9,MATCH(cadangan3[[#This Row],[Kode diskon]],'Kode Diskon'!$C$3:$C$9,0)),"-")</f>
        <v>0.15</v>
      </c>
      <c r="AM531" s="23" t="s">
        <v>29</v>
      </c>
      <c r="AN531" s="23" t="s">
        <v>7</v>
      </c>
      <c r="AO531" s="23" t="s">
        <v>79</v>
      </c>
      <c r="AP531" s="24">
        <v>45018</v>
      </c>
      <c r="AQ531" s="23" t="str">
        <f>TEXT(cadangan3[[#This Row],[Tanggal terjual]],"dddd")</f>
        <v>Sunday</v>
      </c>
    </row>
    <row r="532" spans="1:43" x14ac:dyDescent="0.2">
      <c r="A532" s="20">
        <v>531</v>
      </c>
      <c r="B532" s="21" t="str">
        <f>_xlfn.CONCAT("ORD-",INDEX(Helper!$B$2:$B$5,MATCH(cadangan3[[#This Row],[Marketplace]],Helper!$A$2:$A$5,0)),TEXT(cadangan3[[#This Row],[No]],"0000"),"-",TEXT(cadangan3[[#This Row],[Tanggal terjual]],"dd/mm/yy"))</f>
        <v>ORD-TK0531-15/04/23</v>
      </c>
      <c r="C532" t="s">
        <v>65</v>
      </c>
      <c r="D532" t="str">
        <f>IFERROR(INDEX(Katalog!$A$3:$A$12,MATCH(cadangan3[[#This Row],[ItemID A]],Katalog!$C$3:$C$12,0)),"-")</f>
        <v>Sepatu Pria</v>
      </c>
      <c r="E532" t="str">
        <f>IFERROR(INDEX(Katalog!$B$3:$B$12,MATCH(cadangan3[[#This Row],[ItemID A]],Katalog!$C$3:$C$12,0)),"-")</f>
        <v>Sneakers</v>
      </c>
      <c r="F532">
        <v>6</v>
      </c>
      <c r="G532">
        <v>4</v>
      </c>
      <c r="H532" s="36">
        <f>IFERROR(INDEX(Katalog!$D$3:$D$12,MATCH(cadangan3[[#This Row],[ItemID A]],Katalog!$C$3:$C$12,0))*cadangan3[[#This Row],[Qty A]],0)</f>
        <v>3000000</v>
      </c>
      <c r="I532" s="36">
        <f>IFERROR(INDEX(Katalog!$D$3:$D$12,MATCH(cadangan3[[#This Row],[Item A]],Katalog!$B$3:$B$12,0))*cadangan3[[#This Row],[Qty A]],0)</f>
        <v>3000000</v>
      </c>
      <c r="J532" s="36">
        <f>IFERROR(cadangan3[[#This Row],[Harga Asli A]]-(cadangan3[[#This Row],[Harga Asli A]]*cadangan3[[#This Row],[Diskon]]),cadangan3[[#This Row],[Harga Asli A]])</f>
        <v>3000000</v>
      </c>
      <c r="K532" s="36">
        <f>INDEX(Katalog!$F$3:$F$12,MATCH(cadangan3[[#This Row],[ItemID A]],Katalog!$C$3:$C$12,0))*cadangan3[[#This Row],[Qty A]]</f>
        <v>1200000</v>
      </c>
      <c r="L532" s="36">
        <f>IFERROR(cadangan3[[#This Row],[Profit A]]-(cadangan3[[#This Row],[Profit A]]*cadangan3[[#This Row],[Diskon]]),K532)</f>
        <v>1200000</v>
      </c>
      <c r="N532" t="str">
        <f>IFERROR(INDEX(Katalog!$A$3:$A$12,MATCH(cadangan3[[#This Row],[ItemID B]],Katalog!$C$3:$C$12,0)),"-")</f>
        <v>-</v>
      </c>
      <c r="O532" t="str">
        <f>IFERROR(INDEX(Katalog!$B$3:$B$12,MATCH(cadangan3[[#This Row],[ItemID B]],Katalog!$C$3:$C$12,0)),"-")</f>
        <v>-</v>
      </c>
      <c r="R532" s="36">
        <f>IFERROR(INDEX(Katalog!$D$3:$D$12,MATCH(cadangan3[[#This Row],[ItemID B]],Katalog!$C$3:$C$12,0))*cadangan3[[#This Row],[Qty B]],0)</f>
        <v>0</v>
      </c>
      <c r="S532" s="36">
        <f>IFERROR(INDEX(Katalog!$D$3:$D$12,MATCH(cadangan3[[#This Row],[Item B]],Katalog!$B$3:$B$12,0))*cadangan3[[#This Row],[Qty B]],0)</f>
        <v>0</v>
      </c>
      <c r="T532" s="36">
        <f>IFERROR(cadangan3[[#This Row],[Harga Asli B]]-(cadangan3[[#This Row],[Harga Asli B]]*cadangan3[[#This Row],[Diskon]]),cadangan3[[#This Row],[Harga Asli B]])</f>
        <v>0</v>
      </c>
      <c r="U532" s="36">
        <f>IFERROR(INDEX(Katalog!$F$3:$F$12,MATCH(cadangan3[[#This Row],[ItemID B]],Katalog!$C$3:$C$12,0))*cadangan3[[#This Row],[Qty B]],0)</f>
        <v>0</v>
      </c>
      <c r="V532" s="36">
        <f>IFERROR(cadangan3[[#This Row],[Profit B]]-(cadangan3[[#This Row],[Profit B]]*cadangan3[[#This Row],[Diskon]]),U532)</f>
        <v>0</v>
      </c>
      <c r="X532" t="str">
        <f>IFERROR(INDEX(Katalog!$A$3:$A$12,MATCH(cadangan3[[#This Row],[ItemID C]],Katalog!$C$3:$C$12,0)),"-")</f>
        <v>-</v>
      </c>
      <c r="Y532" t="str">
        <f>IFERROR(INDEX(Katalog!$B$3:$B$12,MATCH(cadangan3[[#This Row],[ItemID C]],Katalog!$C$3:$C$12,0)),"-")</f>
        <v>-</v>
      </c>
      <c r="AB532" s="36">
        <f>IFERROR(INDEX(Katalog!$D$3:$D$12,MATCH(cadangan3[[#This Row],[ItemID C]],Katalog!$C$3:$C$12,0))*cadangan3[[#This Row],[Qty C]],0)</f>
        <v>0</v>
      </c>
      <c r="AC532" s="36">
        <f>IFERROR(INDEX(Katalog!$D$3:$D$12,MATCH(cadangan3[[#This Row],[Item C]],Katalog!$B$3:$B$12,0))*cadangan3[[#This Row],[Qty C]],0)</f>
        <v>0</v>
      </c>
      <c r="AD532" s="36">
        <f>IFERROR(cadangan3[[#This Row],[Harga Asli C]]-(cadangan3[[#This Row],[Harga Asli C]]*cadangan3[[#This Row],[Diskon]]),cadangan3[[#This Row],[Harga Asli C]])</f>
        <v>0</v>
      </c>
      <c r="AE532" s="36">
        <f>IFERROR(INDEX(Katalog!$F$3:$F$12,MATCH(cadangan3[[#This Row],[ItemID C]],Katalog!$C$3:$C$12,0))*cadangan3[[#This Row],[Qty C]],0)</f>
        <v>0</v>
      </c>
      <c r="AF532" s="36">
        <f>IFERROR(cadangan3[[#This Row],[Profit C]]-(cadangan3[[#This Row],[Profit C]]*cadangan3[[#This Row],[Diskon]]),cadangan3[[#This Row],[Profit C]])</f>
        <v>0</v>
      </c>
      <c r="AG532" s="21">
        <f>cadangan3[[#This Row],[Qty A]]+cadangan3[[#This Row],[Qty B]]+cadangan3[[#This Row],[Qty C]]</f>
        <v>6</v>
      </c>
      <c r="AH532" s="35">
        <f>cadangan3[[#This Row],[Harga A + Diskon]]+cadangan3[[#This Row],[Harga + Diskon B]]+cadangan3[[#This Row],[Harga + Diskon C]]</f>
        <v>3000000</v>
      </c>
      <c r="AI532" s="35">
        <f>(cadangan3[[#This Row],[Profit A]]+cadangan3[[#This Row],[Profit B]]+cadangan3[[#This Row],[Profit C]])</f>
        <v>1200000</v>
      </c>
      <c r="AJ532" s="35">
        <f>cadangan3[[#This Row],[Provit A + Diskon]]+cadangan3[[#This Row],[Provit B + Diskon]]+cadangan3[[#This Row],[Provit C + Diskon]]</f>
        <v>1200000</v>
      </c>
      <c r="AK532" s="23" t="s">
        <v>11</v>
      </c>
      <c r="AL532" s="37" t="str">
        <f>IFERROR(INDEX('Kode Diskon'!$D$3:$D$9,MATCH(cadangan3[[#This Row],[Kode diskon]],'Kode Diskon'!$C$3:$C$9,0)),"-")</f>
        <v>-</v>
      </c>
      <c r="AM532" s="23" t="s">
        <v>11</v>
      </c>
      <c r="AN532" s="23" t="s">
        <v>10</v>
      </c>
      <c r="AO532" s="23" t="s">
        <v>80</v>
      </c>
      <c r="AP532" s="24">
        <v>45031</v>
      </c>
      <c r="AQ532" s="23" t="str">
        <f>TEXT(cadangan3[[#This Row],[Tanggal terjual]],"dddd")</f>
        <v>Saturday</v>
      </c>
    </row>
    <row r="533" spans="1:43" x14ac:dyDescent="0.2">
      <c r="A533" s="20">
        <v>532</v>
      </c>
      <c r="B533" s="21" t="str">
        <f>_xlfn.CONCAT("ORD-",INDEX(Helper!$B$2:$B$5,MATCH(cadangan3[[#This Row],[Marketplace]],Helper!$A$2:$A$5,0)),TEXT(cadangan3[[#This Row],[No]],"0000"),"-",TEXT(cadangan3[[#This Row],[Tanggal terjual]],"dd/mm/yy"))</f>
        <v>ORD-SP0532-04/04/23</v>
      </c>
      <c r="C533" t="s">
        <v>66</v>
      </c>
      <c r="D533" t="str">
        <f>IFERROR(INDEX(Katalog!$A$3:$A$12,MATCH(cadangan3[[#This Row],[ItemID A]],Katalog!$C$3:$C$12,0)),"-")</f>
        <v>Sepatu Pria</v>
      </c>
      <c r="E533" t="str">
        <f>IFERROR(INDEX(Katalog!$B$3:$B$12,MATCH(cadangan3[[#This Row],[ItemID A]],Katalog!$C$3:$C$12,0)),"-")</f>
        <v>Sandal Slip On</v>
      </c>
      <c r="F533">
        <v>1</v>
      </c>
      <c r="G533">
        <v>1</v>
      </c>
      <c r="H533" s="36">
        <f>IFERROR(INDEX(Katalog!$D$3:$D$12,MATCH(cadangan3[[#This Row],[ItemID A]],Katalog!$C$3:$C$12,0))*cadangan3[[#This Row],[Qty A]],0)</f>
        <v>150000</v>
      </c>
      <c r="I533" s="36">
        <f>IFERROR(INDEX(Katalog!$D$3:$D$12,MATCH(cadangan3[[#This Row],[Item A]],Katalog!$B$3:$B$12,0))*cadangan3[[#This Row],[Qty A]],0)</f>
        <v>150000</v>
      </c>
      <c r="J533" s="36">
        <f>IFERROR(cadangan3[[#This Row],[Harga Asli A]]-(cadangan3[[#This Row],[Harga Asli A]]*cadangan3[[#This Row],[Diskon]]),cadangan3[[#This Row],[Harga Asli A]])</f>
        <v>127500</v>
      </c>
      <c r="K533" s="36">
        <f>INDEX(Katalog!$F$3:$F$12,MATCH(cadangan3[[#This Row],[ItemID A]],Katalog!$C$3:$C$12,0))*cadangan3[[#This Row],[Qty A]]</f>
        <v>60000</v>
      </c>
      <c r="L533" s="36">
        <f>IFERROR(cadangan3[[#This Row],[Profit A]]-(cadangan3[[#This Row],[Profit A]]*cadangan3[[#This Row],[Diskon]]),K533)</f>
        <v>51000</v>
      </c>
      <c r="M533" t="s">
        <v>59</v>
      </c>
      <c r="N533" t="str">
        <f>IFERROR(INDEX(Katalog!$A$3:$A$12,MATCH(cadangan3[[#This Row],[ItemID B]],Katalog!$C$3:$C$12,0)),"-")</f>
        <v>Pakaian Wanita</v>
      </c>
      <c r="O533" t="str">
        <f>IFERROR(INDEX(Katalog!$B$3:$B$12,MATCH(cadangan3[[#This Row],[ItemID B]],Katalog!$C$3:$C$12,0)),"-")</f>
        <v>Blouse</v>
      </c>
      <c r="P533">
        <v>2</v>
      </c>
      <c r="Q533">
        <v>2</v>
      </c>
      <c r="R533" s="36">
        <f>IFERROR(INDEX(Katalog!$D$3:$D$12,MATCH(cadangan3[[#This Row],[ItemID B]],Katalog!$C$3:$C$12,0))*cadangan3[[#This Row],[Qty B]],0)</f>
        <v>300000</v>
      </c>
      <c r="S533" s="36">
        <f>IFERROR(INDEX(Katalog!$D$3:$D$12,MATCH(cadangan3[[#This Row],[Item B]],Katalog!$B$3:$B$12,0))*cadangan3[[#This Row],[Qty B]],0)</f>
        <v>300000</v>
      </c>
      <c r="T533" s="36">
        <f>IFERROR(cadangan3[[#This Row],[Harga Asli B]]-(cadangan3[[#This Row],[Harga Asli B]]*cadangan3[[#This Row],[Diskon]]),cadangan3[[#This Row],[Harga Asli B]])</f>
        <v>255000</v>
      </c>
      <c r="U533" s="36">
        <f>IFERROR(INDEX(Katalog!$F$3:$F$12,MATCH(cadangan3[[#This Row],[ItemID B]],Katalog!$C$3:$C$12,0))*cadangan3[[#This Row],[Qty B]],0)</f>
        <v>100000</v>
      </c>
      <c r="V533" s="36">
        <f>IFERROR(cadangan3[[#This Row],[Profit B]]-(cadangan3[[#This Row],[Profit B]]*cadangan3[[#This Row],[Diskon]]),U533)</f>
        <v>85000</v>
      </c>
      <c r="X533" t="str">
        <f>IFERROR(INDEX(Katalog!$A$3:$A$12,MATCH(cadangan3[[#This Row],[ItemID C]],Katalog!$C$3:$C$12,0)),"-")</f>
        <v>-</v>
      </c>
      <c r="Y533" t="str">
        <f>IFERROR(INDEX(Katalog!$B$3:$B$12,MATCH(cadangan3[[#This Row],[ItemID C]],Katalog!$C$3:$C$12,0)),"-")</f>
        <v>-</v>
      </c>
      <c r="AB533" s="36">
        <f>IFERROR(INDEX(Katalog!$D$3:$D$12,MATCH(cadangan3[[#This Row],[ItemID C]],Katalog!$C$3:$C$12,0))*cadangan3[[#This Row],[Qty C]],0)</f>
        <v>0</v>
      </c>
      <c r="AC533" s="36">
        <f>IFERROR(INDEX(Katalog!$D$3:$D$12,MATCH(cadangan3[[#This Row],[Item C]],Katalog!$B$3:$B$12,0))*cadangan3[[#This Row],[Qty C]],0)</f>
        <v>0</v>
      </c>
      <c r="AD533" s="36">
        <f>IFERROR(cadangan3[[#This Row],[Harga Asli C]]-(cadangan3[[#This Row],[Harga Asli C]]*cadangan3[[#This Row],[Diskon]]),cadangan3[[#This Row],[Harga Asli C]])</f>
        <v>0</v>
      </c>
      <c r="AE533" s="36">
        <f>IFERROR(INDEX(Katalog!$F$3:$F$12,MATCH(cadangan3[[#This Row],[ItemID C]],Katalog!$C$3:$C$12,0))*cadangan3[[#This Row],[Qty C]],0)</f>
        <v>0</v>
      </c>
      <c r="AF533" s="36">
        <f>IFERROR(cadangan3[[#This Row],[Profit C]]-(cadangan3[[#This Row],[Profit C]]*cadangan3[[#This Row],[Diskon]]),cadangan3[[#This Row],[Profit C]])</f>
        <v>0</v>
      </c>
      <c r="AG533" s="21">
        <f>cadangan3[[#This Row],[Qty A]]+cadangan3[[#This Row],[Qty B]]+cadangan3[[#This Row],[Qty C]]</f>
        <v>3</v>
      </c>
      <c r="AH533" s="35">
        <f>cadangan3[[#This Row],[Harga A + Diskon]]+cadangan3[[#This Row],[Harga + Diskon B]]+cadangan3[[#This Row],[Harga + Diskon C]]</f>
        <v>382500</v>
      </c>
      <c r="AI533" s="35">
        <f>(cadangan3[[#This Row],[Profit A]]+cadangan3[[#This Row],[Profit B]]+cadangan3[[#This Row],[Profit C]])</f>
        <v>160000</v>
      </c>
      <c r="AJ533" s="35">
        <f>cadangan3[[#This Row],[Provit A + Diskon]]+cadangan3[[#This Row],[Provit B + Diskon]]+cadangan3[[#This Row],[Provit C + Diskon]]</f>
        <v>136000</v>
      </c>
      <c r="AK533" s="23" t="s">
        <v>13</v>
      </c>
      <c r="AL533" s="37">
        <f>IFERROR(INDEX('Kode Diskon'!$D$3:$D$9,MATCH(cadangan3[[#This Row],[Kode diskon]],'Kode Diskon'!$C$3:$C$9,0)),"-")</f>
        <v>0.15</v>
      </c>
      <c r="AM533" s="23" t="s">
        <v>29</v>
      </c>
      <c r="AN533" s="23" t="s">
        <v>7</v>
      </c>
      <c r="AO533" s="23" t="s">
        <v>80</v>
      </c>
      <c r="AP533" s="24">
        <v>45020</v>
      </c>
      <c r="AQ533" s="23" t="str">
        <f>TEXT(cadangan3[[#This Row],[Tanggal terjual]],"dddd")</f>
        <v>Tuesday</v>
      </c>
    </row>
    <row r="534" spans="1:43" x14ac:dyDescent="0.2">
      <c r="A534" s="20">
        <v>533</v>
      </c>
      <c r="B534" s="21" t="str">
        <f>_xlfn.CONCAT("ORD-",INDEX(Helper!$B$2:$B$5,MATCH(cadangan3[[#This Row],[Marketplace]],Helper!$A$2:$A$5,0)),TEXT(cadangan3[[#This Row],[No]],"0000"),"-",TEXT(cadangan3[[#This Row],[Tanggal terjual]],"dd/mm/yy"))</f>
        <v>ORD-BB0533-03/04/23</v>
      </c>
      <c r="C534" t="s">
        <v>59</v>
      </c>
      <c r="D534" t="str">
        <f>IFERROR(INDEX(Katalog!$A$3:$A$12,MATCH(cadangan3[[#This Row],[ItemID A]],Katalog!$C$3:$C$12,0)),"-")</f>
        <v>Pakaian Wanita</v>
      </c>
      <c r="E534" t="str">
        <f>IFERROR(INDEX(Katalog!$B$3:$B$12,MATCH(cadangan3[[#This Row],[ItemID A]],Katalog!$C$3:$C$12,0)),"-")</f>
        <v>Blouse</v>
      </c>
      <c r="F534">
        <v>5</v>
      </c>
      <c r="G534">
        <v>1</v>
      </c>
      <c r="H534" s="36">
        <f>IFERROR(INDEX(Katalog!$D$3:$D$12,MATCH(cadangan3[[#This Row],[ItemID A]],Katalog!$C$3:$C$12,0))*cadangan3[[#This Row],[Qty A]],0)</f>
        <v>750000</v>
      </c>
      <c r="I534" s="36">
        <f>IFERROR(INDEX(Katalog!$D$3:$D$12,MATCH(cadangan3[[#This Row],[Item A]],Katalog!$B$3:$B$12,0))*cadangan3[[#This Row],[Qty A]],0)</f>
        <v>750000</v>
      </c>
      <c r="J534" s="36">
        <f>IFERROR(cadangan3[[#This Row],[Harga Asli A]]-(cadangan3[[#This Row],[Harga Asli A]]*cadangan3[[#This Row],[Diskon]]),cadangan3[[#This Row],[Harga Asli A]])</f>
        <v>637500</v>
      </c>
      <c r="K534" s="36">
        <f>INDEX(Katalog!$F$3:$F$12,MATCH(cadangan3[[#This Row],[ItemID A]],Katalog!$C$3:$C$12,0))*cadangan3[[#This Row],[Qty A]]</f>
        <v>250000</v>
      </c>
      <c r="L534" s="36">
        <f>IFERROR(cadangan3[[#This Row],[Profit A]]-(cadangan3[[#This Row],[Profit A]]*cadangan3[[#This Row],[Diskon]]),K534)</f>
        <v>212500</v>
      </c>
      <c r="M534" t="s">
        <v>61</v>
      </c>
      <c r="N534" t="str">
        <f>IFERROR(INDEX(Katalog!$A$3:$A$12,MATCH(cadangan3[[#This Row],[ItemID B]],Katalog!$C$3:$C$12,0)),"-")</f>
        <v>Pakaian Pria</v>
      </c>
      <c r="O534" t="str">
        <f>IFERROR(INDEX(Katalog!$B$3:$B$12,MATCH(cadangan3[[#This Row],[ItemID B]],Katalog!$C$3:$C$12,0)),"-")</f>
        <v>Kaos Polo</v>
      </c>
      <c r="P534">
        <v>2</v>
      </c>
      <c r="Q534">
        <v>2</v>
      </c>
      <c r="R534" s="36">
        <f>IFERROR(INDEX(Katalog!$D$3:$D$12,MATCH(cadangan3[[#This Row],[ItemID B]],Katalog!$C$3:$C$12,0))*cadangan3[[#This Row],[Qty B]],0)</f>
        <v>400000</v>
      </c>
      <c r="S534" s="36">
        <f>IFERROR(INDEX(Katalog!$D$3:$D$12,MATCH(cadangan3[[#This Row],[Item B]],Katalog!$B$3:$B$12,0))*cadangan3[[#This Row],[Qty B]],0)</f>
        <v>400000</v>
      </c>
      <c r="T534" s="36">
        <f>IFERROR(cadangan3[[#This Row],[Harga Asli B]]-(cadangan3[[#This Row],[Harga Asli B]]*cadangan3[[#This Row],[Diskon]]),cadangan3[[#This Row],[Harga Asli B]])</f>
        <v>340000</v>
      </c>
      <c r="U534" s="36">
        <f>IFERROR(INDEX(Katalog!$F$3:$F$12,MATCH(cadangan3[[#This Row],[ItemID B]],Katalog!$C$3:$C$12,0))*cadangan3[[#This Row],[Qty B]],0)</f>
        <v>160000</v>
      </c>
      <c r="V534" s="36">
        <f>IFERROR(cadangan3[[#This Row],[Profit B]]-(cadangan3[[#This Row],[Profit B]]*cadangan3[[#This Row],[Diskon]]),U534)</f>
        <v>136000</v>
      </c>
      <c r="X534" t="str">
        <f>IFERROR(INDEX(Katalog!$A$3:$A$12,MATCH(cadangan3[[#This Row],[ItemID C]],Katalog!$C$3:$C$12,0)),"-")</f>
        <v>-</v>
      </c>
      <c r="Y534" t="str">
        <f>IFERROR(INDEX(Katalog!$B$3:$B$12,MATCH(cadangan3[[#This Row],[ItemID C]],Katalog!$C$3:$C$12,0)),"-")</f>
        <v>-</v>
      </c>
      <c r="AB534" s="36">
        <f>IFERROR(INDEX(Katalog!$D$3:$D$12,MATCH(cadangan3[[#This Row],[ItemID C]],Katalog!$C$3:$C$12,0))*cadangan3[[#This Row],[Qty C]],0)</f>
        <v>0</v>
      </c>
      <c r="AC534" s="36">
        <f>IFERROR(INDEX(Katalog!$D$3:$D$12,MATCH(cadangan3[[#This Row],[Item C]],Katalog!$B$3:$B$12,0))*cadangan3[[#This Row],[Qty C]],0)</f>
        <v>0</v>
      </c>
      <c r="AD534" s="36">
        <f>IFERROR(cadangan3[[#This Row],[Harga Asli C]]-(cadangan3[[#This Row],[Harga Asli C]]*cadangan3[[#This Row],[Diskon]]),cadangan3[[#This Row],[Harga Asli C]])</f>
        <v>0</v>
      </c>
      <c r="AE534" s="36">
        <f>IFERROR(INDEX(Katalog!$F$3:$F$12,MATCH(cadangan3[[#This Row],[ItemID C]],Katalog!$C$3:$C$12,0))*cadangan3[[#This Row],[Qty C]],0)</f>
        <v>0</v>
      </c>
      <c r="AF534" s="36">
        <f>IFERROR(cadangan3[[#This Row],[Profit C]]-(cadangan3[[#This Row],[Profit C]]*cadangan3[[#This Row],[Diskon]]),cadangan3[[#This Row],[Profit C]])</f>
        <v>0</v>
      </c>
      <c r="AG534" s="21">
        <f>cadangan3[[#This Row],[Qty A]]+cadangan3[[#This Row],[Qty B]]+cadangan3[[#This Row],[Qty C]]</f>
        <v>7</v>
      </c>
      <c r="AH534" s="35">
        <f>cadangan3[[#This Row],[Harga A + Diskon]]+cadangan3[[#This Row],[Harga + Diskon B]]+cadangan3[[#This Row],[Harga + Diskon C]]</f>
        <v>977500</v>
      </c>
      <c r="AI534" s="35">
        <f>(cadangan3[[#This Row],[Profit A]]+cadangan3[[#This Row],[Profit B]]+cadangan3[[#This Row],[Profit C]])</f>
        <v>410000</v>
      </c>
      <c r="AJ534" s="35">
        <f>cadangan3[[#This Row],[Provit A + Diskon]]+cadangan3[[#This Row],[Provit B + Diskon]]+cadangan3[[#This Row],[Provit C + Diskon]]</f>
        <v>348500</v>
      </c>
      <c r="AK534" s="23" t="s">
        <v>28</v>
      </c>
      <c r="AL534" s="37">
        <f>IFERROR(INDEX('Kode Diskon'!$D$3:$D$9,MATCH(cadangan3[[#This Row],[Kode diskon]],'Kode Diskon'!$C$3:$C$9,0)),"-")</f>
        <v>0.15</v>
      </c>
      <c r="AM534" s="23" t="s">
        <v>29</v>
      </c>
      <c r="AN534" s="23" t="s">
        <v>14</v>
      </c>
      <c r="AO534" s="23" t="s">
        <v>80</v>
      </c>
      <c r="AP534" s="24">
        <v>45019</v>
      </c>
      <c r="AQ534" s="23" t="str">
        <f>TEXT(cadangan3[[#This Row],[Tanggal terjual]],"dddd")</f>
        <v>Monday</v>
      </c>
    </row>
    <row r="535" spans="1:43" x14ac:dyDescent="0.2">
      <c r="A535" s="20">
        <v>534</v>
      </c>
      <c r="B535" s="21" t="str">
        <f>_xlfn.CONCAT("ORD-",INDEX(Helper!$B$2:$B$5,MATCH(cadangan3[[#This Row],[Marketplace]],Helper!$A$2:$A$5,0)),TEXT(cadangan3[[#This Row],[No]],"0000"),"-",TEXT(cadangan3[[#This Row],[Tanggal terjual]],"dd/mm/yy"))</f>
        <v>ORD-TK0534-04/04/23</v>
      </c>
      <c r="C535" t="s">
        <v>64</v>
      </c>
      <c r="D535" t="str">
        <f>IFERROR(INDEX(Katalog!$A$3:$A$12,MATCH(cadangan3[[#This Row],[ItemID A]],Katalog!$C$3:$C$12,0)),"-")</f>
        <v>Pakaian Unisex</v>
      </c>
      <c r="E535" t="str">
        <f>IFERROR(INDEX(Katalog!$B$3:$B$12,MATCH(cadangan3[[#This Row],[ItemID A]],Katalog!$C$3:$C$12,0)),"-")</f>
        <v>Jaket Hoodie</v>
      </c>
      <c r="F535">
        <v>1</v>
      </c>
      <c r="G535">
        <v>5</v>
      </c>
      <c r="H535" s="36">
        <f>IFERROR(INDEX(Katalog!$D$3:$D$12,MATCH(cadangan3[[#This Row],[ItemID A]],Katalog!$C$3:$C$12,0))*cadangan3[[#This Row],[Qty A]],0)</f>
        <v>350000</v>
      </c>
      <c r="I535" s="36">
        <f>IFERROR(INDEX(Katalog!$D$3:$D$12,MATCH(cadangan3[[#This Row],[Item A]],Katalog!$B$3:$B$12,0))*cadangan3[[#This Row],[Qty A]],0)</f>
        <v>350000</v>
      </c>
      <c r="J535" s="36">
        <f>IFERROR(cadangan3[[#This Row],[Harga Asli A]]-(cadangan3[[#This Row],[Harga Asli A]]*cadangan3[[#This Row],[Diskon]]),cadangan3[[#This Row],[Harga Asli A]])</f>
        <v>315000</v>
      </c>
      <c r="K535" s="36">
        <f>INDEX(Katalog!$F$3:$F$12,MATCH(cadangan3[[#This Row],[ItemID A]],Katalog!$C$3:$C$12,0))*cadangan3[[#This Row],[Qty A]]</f>
        <v>130000</v>
      </c>
      <c r="L535" s="36">
        <f>IFERROR(cadangan3[[#This Row],[Profit A]]-(cadangan3[[#This Row],[Profit A]]*cadangan3[[#This Row],[Diskon]]),K535)</f>
        <v>117000</v>
      </c>
      <c r="N535" t="str">
        <f>IFERROR(INDEX(Katalog!$A$3:$A$12,MATCH(cadangan3[[#This Row],[ItemID B]],Katalog!$C$3:$C$12,0)),"-")</f>
        <v>-</v>
      </c>
      <c r="O535" t="str">
        <f>IFERROR(INDEX(Katalog!$B$3:$B$12,MATCH(cadangan3[[#This Row],[ItemID B]],Katalog!$C$3:$C$12,0)),"-")</f>
        <v>-</v>
      </c>
      <c r="R535" s="36">
        <f>IFERROR(INDEX(Katalog!$D$3:$D$12,MATCH(cadangan3[[#This Row],[ItemID B]],Katalog!$C$3:$C$12,0))*cadangan3[[#This Row],[Qty B]],0)</f>
        <v>0</v>
      </c>
      <c r="S535" s="36">
        <f>IFERROR(INDEX(Katalog!$D$3:$D$12,MATCH(cadangan3[[#This Row],[Item B]],Katalog!$B$3:$B$12,0))*cadangan3[[#This Row],[Qty B]],0)</f>
        <v>0</v>
      </c>
      <c r="T535" s="36">
        <f>IFERROR(cadangan3[[#This Row],[Harga Asli B]]-(cadangan3[[#This Row],[Harga Asli B]]*cadangan3[[#This Row],[Diskon]]),cadangan3[[#This Row],[Harga Asli B]])</f>
        <v>0</v>
      </c>
      <c r="U535" s="36">
        <f>IFERROR(INDEX(Katalog!$F$3:$F$12,MATCH(cadangan3[[#This Row],[ItemID B]],Katalog!$C$3:$C$12,0))*cadangan3[[#This Row],[Qty B]],0)</f>
        <v>0</v>
      </c>
      <c r="V535" s="36">
        <f>IFERROR(cadangan3[[#This Row],[Profit B]]-(cadangan3[[#This Row],[Profit B]]*cadangan3[[#This Row],[Diskon]]),U535)</f>
        <v>0</v>
      </c>
      <c r="X535" t="str">
        <f>IFERROR(INDEX(Katalog!$A$3:$A$12,MATCH(cadangan3[[#This Row],[ItemID C]],Katalog!$C$3:$C$12,0)),"-")</f>
        <v>-</v>
      </c>
      <c r="Y535" t="str">
        <f>IFERROR(INDEX(Katalog!$B$3:$B$12,MATCH(cadangan3[[#This Row],[ItemID C]],Katalog!$C$3:$C$12,0)),"-")</f>
        <v>-</v>
      </c>
      <c r="AB535" s="36">
        <f>IFERROR(INDEX(Katalog!$D$3:$D$12,MATCH(cadangan3[[#This Row],[ItemID C]],Katalog!$C$3:$C$12,0))*cadangan3[[#This Row],[Qty C]],0)</f>
        <v>0</v>
      </c>
      <c r="AC535" s="36">
        <f>IFERROR(INDEX(Katalog!$D$3:$D$12,MATCH(cadangan3[[#This Row],[Item C]],Katalog!$B$3:$B$12,0))*cadangan3[[#This Row],[Qty C]],0)</f>
        <v>0</v>
      </c>
      <c r="AD535" s="36">
        <f>IFERROR(cadangan3[[#This Row],[Harga Asli C]]-(cadangan3[[#This Row],[Harga Asli C]]*cadangan3[[#This Row],[Diskon]]),cadangan3[[#This Row],[Harga Asli C]])</f>
        <v>0</v>
      </c>
      <c r="AE535" s="36">
        <f>IFERROR(INDEX(Katalog!$F$3:$F$12,MATCH(cadangan3[[#This Row],[ItemID C]],Katalog!$C$3:$C$12,0))*cadangan3[[#This Row],[Qty C]],0)</f>
        <v>0</v>
      </c>
      <c r="AF535" s="36">
        <f>IFERROR(cadangan3[[#This Row],[Profit C]]-(cadangan3[[#This Row],[Profit C]]*cadangan3[[#This Row],[Diskon]]),cadangan3[[#This Row],[Profit C]])</f>
        <v>0</v>
      </c>
      <c r="AG535" s="21">
        <f>cadangan3[[#This Row],[Qty A]]+cadangan3[[#This Row],[Qty B]]+cadangan3[[#This Row],[Qty C]]</f>
        <v>1</v>
      </c>
      <c r="AH535" s="35">
        <f>cadangan3[[#This Row],[Harga A + Diskon]]+cadangan3[[#This Row],[Harga + Diskon B]]+cadangan3[[#This Row],[Harga + Diskon C]]</f>
        <v>315000</v>
      </c>
      <c r="AI535" s="35">
        <f>(cadangan3[[#This Row],[Profit A]]+cadangan3[[#This Row],[Profit B]]+cadangan3[[#This Row],[Profit C]])</f>
        <v>130000</v>
      </c>
      <c r="AJ535" s="35">
        <f>cadangan3[[#This Row],[Provit A + Diskon]]+cadangan3[[#This Row],[Provit B + Diskon]]+cadangan3[[#This Row],[Provit C + Diskon]]</f>
        <v>117000</v>
      </c>
      <c r="AK535" s="23" t="s">
        <v>30</v>
      </c>
      <c r="AL535" s="37">
        <f>IFERROR(INDEX('Kode Diskon'!$D$3:$D$9,MATCH(cadangan3[[#This Row],[Kode diskon]],'Kode Diskon'!$C$3:$C$9,0)),"-")</f>
        <v>0.1</v>
      </c>
      <c r="AM535" s="23" t="s">
        <v>29</v>
      </c>
      <c r="AN535" s="23" t="s">
        <v>10</v>
      </c>
      <c r="AO535" s="23" t="s">
        <v>80</v>
      </c>
      <c r="AP535" s="24">
        <v>45020</v>
      </c>
      <c r="AQ535" s="23" t="str">
        <f>TEXT(cadangan3[[#This Row],[Tanggal terjual]],"dddd")</f>
        <v>Tuesday</v>
      </c>
    </row>
    <row r="536" spans="1:43" x14ac:dyDescent="0.2">
      <c r="A536" s="20">
        <v>535</v>
      </c>
      <c r="B536" s="21" t="str">
        <f>_xlfn.CONCAT("ORD-",INDEX(Helper!$B$2:$B$5,MATCH(cadangan3[[#This Row],[Marketplace]],Helper!$A$2:$A$5,0)),TEXT(cadangan3[[#This Row],[No]],"0000"),"-",TEXT(cadangan3[[#This Row],[Tanggal terjual]],"dd/mm/yy"))</f>
        <v>ORD-SP0535-02/04/23</v>
      </c>
      <c r="C536" t="s">
        <v>61</v>
      </c>
      <c r="D536" t="str">
        <f>IFERROR(INDEX(Katalog!$A$3:$A$12,MATCH(cadangan3[[#This Row],[ItemID A]],Katalog!$C$3:$C$12,0)),"-")</f>
        <v>Pakaian Pria</v>
      </c>
      <c r="E536" t="str">
        <f>IFERROR(INDEX(Katalog!$B$3:$B$12,MATCH(cadangan3[[#This Row],[ItemID A]],Katalog!$C$3:$C$12,0)),"-")</f>
        <v>Kaos Polo</v>
      </c>
      <c r="F536">
        <v>4</v>
      </c>
      <c r="G536">
        <v>4</v>
      </c>
      <c r="H536" s="36">
        <f>IFERROR(INDEX(Katalog!$D$3:$D$12,MATCH(cadangan3[[#This Row],[ItemID A]],Katalog!$C$3:$C$12,0))*cadangan3[[#This Row],[Qty A]],0)</f>
        <v>800000</v>
      </c>
      <c r="I536" s="36">
        <f>IFERROR(INDEX(Katalog!$D$3:$D$12,MATCH(cadangan3[[#This Row],[Item A]],Katalog!$B$3:$B$12,0))*cadangan3[[#This Row],[Qty A]],0)</f>
        <v>800000</v>
      </c>
      <c r="J536" s="36">
        <f>IFERROR(cadangan3[[#This Row],[Harga Asli A]]-(cadangan3[[#This Row],[Harga Asli A]]*cadangan3[[#This Row],[Diskon]]),cadangan3[[#This Row],[Harga Asli A]])</f>
        <v>720000</v>
      </c>
      <c r="K536" s="36">
        <f>INDEX(Katalog!$F$3:$F$12,MATCH(cadangan3[[#This Row],[ItemID A]],Katalog!$C$3:$C$12,0))*cadangan3[[#This Row],[Qty A]]</f>
        <v>320000</v>
      </c>
      <c r="L536" s="36">
        <f>IFERROR(cadangan3[[#This Row],[Profit A]]-(cadangan3[[#This Row],[Profit A]]*cadangan3[[#This Row],[Diskon]]),K536)</f>
        <v>288000</v>
      </c>
      <c r="N536" t="str">
        <f>IFERROR(INDEX(Katalog!$A$3:$A$12,MATCH(cadangan3[[#This Row],[ItemID B]],Katalog!$C$3:$C$12,0)),"-")</f>
        <v>-</v>
      </c>
      <c r="O536" t="str">
        <f>IFERROR(INDEX(Katalog!$B$3:$B$12,MATCH(cadangan3[[#This Row],[ItemID B]],Katalog!$C$3:$C$12,0)),"-")</f>
        <v>-</v>
      </c>
      <c r="R536" s="36">
        <f>IFERROR(INDEX(Katalog!$D$3:$D$12,MATCH(cadangan3[[#This Row],[ItemID B]],Katalog!$C$3:$C$12,0))*cadangan3[[#This Row],[Qty B]],0)</f>
        <v>0</v>
      </c>
      <c r="S536" s="36">
        <f>IFERROR(INDEX(Katalog!$D$3:$D$12,MATCH(cadangan3[[#This Row],[Item B]],Katalog!$B$3:$B$12,0))*cadangan3[[#This Row],[Qty B]],0)</f>
        <v>0</v>
      </c>
      <c r="T536" s="36">
        <f>IFERROR(cadangan3[[#This Row],[Harga Asli B]]-(cadangan3[[#This Row],[Harga Asli B]]*cadangan3[[#This Row],[Diskon]]),cadangan3[[#This Row],[Harga Asli B]])</f>
        <v>0</v>
      </c>
      <c r="U536" s="36">
        <f>IFERROR(INDEX(Katalog!$F$3:$F$12,MATCH(cadangan3[[#This Row],[ItemID B]],Katalog!$C$3:$C$12,0))*cadangan3[[#This Row],[Qty B]],0)</f>
        <v>0</v>
      </c>
      <c r="V536" s="36">
        <f>IFERROR(cadangan3[[#This Row],[Profit B]]-(cadangan3[[#This Row],[Profit B]]*cadangan3[[#This Row],[Diskon]]),U536)</f>
        <v>0</v>
      </c>
      <c r="X536" t="str">
        <f>IFERROR(INDEX(Katalog!$A$3:$A$12,MATCH(cadangan3[[#This Row],[ItemID C]],Katalog!$C$3:$C$12,0)),"-")</f>
        <v>-</v>
      </c>
      <c r="Y536" t="str">
        <f>IFERROR(INDEX(Katalog!$B$3:$B$12,MATCH(cadangan3[[#This Row],[ItemID C]],Katalog!$C$3:$C$12,0)),"-")</f>
        <v>-</v>
      </c>
      <c r="AB536" s="36">
        <f>IFERROR(INDEX(Katalog!$D$3:$D$12,MATCH(cadangan3[[#This Row],[ItemID C]],Katalog!$C$3:$C$12,0))*cadangan3[[#This Row],[Qty C]],0)</f>
        <v>0</v>
      </c>
      <c r="AC536" s="36">
        <f>IFERROR(INDEX(Katalog!$D$3:$D$12,MATCH(cadangan3[[#This Row],[Item C]],Katalog!$B$3:$B$12,0))*cadangan3[[#This Row],[Qty C]],0)</f>
        <v>0</v>
      </c>
      <c r="AD536" s="36">
        <f>IFERROR(cadangan3[[#This Row],[Harga Asli C]]-(cadangan3[[#This Row],[Harga Asli C]]*cadangan3[[#This Row],[Diskon]]),cadangan3[[#This Row],[Harga Asli C]])</f>
        <v>0</v>
      </c>
      <c r="AE536" s="36">
        <f>IFERROR(INDEX(Katalog!$F$3:$F$12,MATCH(cadangan3[[#This Row],[ItemID C]],Katalog!$C$3:$C$12,0))*cadangan3[[#This Row],[Qty C]],0)</f>
        <v>0</v>
      </c>
      <c r="AF536" s="36">
        <f>IFERROR(cadangan3[[#This Row],[Profit C]]-(cadangan3[[#This Row],[Profit C]]*cadangan3[[#This Row],[Diskon]]),cadangan3[[#This Row],[Profit C]])</f>
        <v>0</v>
      </c>
      <c r="AG536" s="21">
        <f>cadangan3[[#This Row],[Qty A]]+cadangan3[[#This Row],[Qty B]]+cadangan3[[#This Row],[Qty C]]</f>
        <v>4</v>
      </c>
      <c r="AH536" s="35">
        <f>cadangan3[[#This Row],[Harga A + Diskon]]+cadangan3[[#This Row],[Harga + Diskon B]]+cadangan3[[#This Row],[Harga + Diskon C]]</f>
        <v>720000</v>
      </c>
      <c r="AI536" s="35">
        <f>(cadangan3[[#This Row],[Profit A]]+cadangan3[[#This Row],[Profit B]]+cadangan3[[#This Row],[Profit C]])</f>
        <v>320000</v>
      </c>
      <c r="AJ536" s="35">
        <f>cadangan3[[#This Row],[Provit A + Diskon]]+cadangan3[[#This Row],[Provit B + Diskon]]+cadangan3[[#This Row],[Provit C + Diskon]]</f>
        <v>288000</v>
      </c>
      <c r="AK536" s="23" t="s">
        <v>6</v>
      </c>
      <c r="AL536" s="37">
        <f>IFERROR(INDEX('Kode Diskon'!$D$3:$D$9,MATCH(cadangan3[[#This Row],[Kode diskon]],'Kode Diskon'!$C$3:$C$9,0)),"-")</f>
        <v>0.1</v>
      </c>
      <c r="AM536" s="23" t="s">
        <v>29</v>
      </c>
      <c r="AN536" s="23" t="s">
        <v>7</v>
      </c>
      <c r="AO536" s="23" t="s">
        <v>80</v>
      </c>
      <c r="AP536" s="24">
        <v>45018</v>
      </c>
      <c r="AQ536" s="23" t="str">
        <f>TEXT(cadangan3[[#This Row],[Tanggal terjual]],"dddd")</f>
        <v>Sunday</v>
      </c>
    </row>
    <row r="537" spans="1:43" x14ac:dyDescent="0.2">
      <c r="A537" s="20">
        <v>536</v>
      </c>
      <c r="B537" s="21" t="str">
        <f>_xlfn.CONCAT("ORD-",INDEX(Helper!$B$2:$B$5,MATCH(cadangan3[[#This Row],[Marketplace]],Helper!$A$2:$A$5,0)),TEXT(cadangan3[[#This Row],[No]],"0000"),"-",TEXT(cadangan3[[#This Row],[Tanggal terjual]],"dd/mm/yy"))</f>
        <v>ORD-BB0536-03/04/23</v>
      </c>
      <c r="C537" t="s">
        <v>64</v>
      </c>
      <c r="D537" t="str">
        <f>IFERROR(INDEX(Katalog!$A$3:$A$12,MATCH(cadangan3[[#This Row],[ItemID A]],Katalog!$C$3:$C$12,0)),"-")</f>
        <v>Pakaian Unisex</v>
      </c>
      <c r="E537" t="str">
        <f>IFERROR(INDEX(Katalog!$B$3:$B$12,MATCH(cadangan3[[#This Row],[ItemID A]],Katalog!$C$3:$C$12,0)),"-")</f>
        <v>Jaket Hoodie</v>
      </c>
      <c r="F537">
        <v>6</v>
      </c>
      <c r="G537">
        <v>5</v>
      </c>
      <c r="H537" s="36">
        <f>IFERROR(INDEX(Katalog!$D$3:$D$12,MATCH(cadangan3[[#This Row],[ItemID A]],Katalog!$C$3:$C$12,0))*cadangan3[[#This Row],[Qty A]],0)</f>
        <v>2100000</v>
      </c>
      <c r="I537" s="36">
        <f>IFERROR(INDEX(Katalog!$D$3:$D$12,MATCH(cadangan3[[#This Row],[Item A]],Katalog!$B$3:$B$12,0))*cadangan3[[#This Row],[Qty A]],0)</f>
        <v>2100000</v>
      </c>
      <c r="J537" s="36">
        <f>IFERROR(cadangan3[[#This Row],[Harga Asli A]]-(cadangan3[[#This Row],[Harga Asli A]]*cadangan3[[#This Row],[Diskon]]),cadangan3[[#This Row],[Harga Asli A]])</f>
        <v>1785000</v>
      </c>
      <c r="K537" s="36">
        <f>INDEX(Katalog!$F$3:$F$12,MATCH(cadangan3[[#This Row],[ItemID A]],Katalog!$C$3:$C$12,0))*cadangan3[[#This Row],[Qty A]]</f>
        <v>780000</v>
      </c>
      <c r="L537" s="36">
        <f>IFERROR(cadangan3[[#This Row],[Profit A]]-(cadangan3[[#This Row],[Profit A]]*cadangan3[[#This Row],[Diskon]]),K537)</f>
        <v>663000</v>
      </c>
      <c r="M537" t="s">
        <v>59</v>
      </c>
      <c r="N537" t="str">
        <f>IFERROR(INDEX(Katalog!$A$3:$A$12,MATCH(cadangan3[[#This Row],[ItemID B]],Katalog!$C$3:$C$12,0)),"-")</f>
        <v>Pakaian Wanita</v>
      </c>
      <c r="O537" t="str">
        <f>IFERROR(INDEX(Katalog!$B$3:$B$12,MATCH(cadangan3[[#This Row],[ItemID B]],Katalog!$C$3:$C$12,0)),"-")</f>
        <v>Blouse</v>
      </c>
      <c r="P537">
        <v>1</v>
      </c>
      <c r="Q537">
        <v>3</v>
      </c>
      <c r="R537" s="36">
        <f>IFERROR(INDEX(Katalog!$D$3:$D$12,MATCH(cadangan3[[#This Row],[ItemID B]],Katalog!$C$3:$C$12,0))*cadangan3[[#This Row],[Qty B]],0)</f>
        <v>150000</v>
      </c>
      <c r="S537" s="36">
        <f>IFERROR(INDEX(Katalog!$D$3:$D$12,MATCH(cadangan3[[#This Row],[Item B]],Katalog!$B$3:$B$12,0))*cadangan3[[#This Row],[Qty B]],0)</f>
        <v>150000</v>
      </c>
      <c r="T537" s="36">
        <f>IFERROR(cadangan3[[#This Row],[Harga Asli B]]-(cadangan3[[#This Row],[Harga Asli B]]*cadangan3[[#This Row],[Diskon]]),cadangan3[[#This Row],[Harga Asli B]])</f>
        <v>127500</v>
      </c>
      <c r="U537" s="36">
        <f>IFERROR(INDEX(Katalog!$F$3:$F$12,MATCH(cadangan3[[#This Row],[ItemID B]],Katalog!$C$3:$C$12,0))*cadangan3[[#This Row],[Qty B]],0)</f>
        <v>50000</v>
      </c>
      <c r="V537" s="36">
        <f>IFERROR(cadangan3[[#This Row],[Profit B]]-(cadangan3[[#This Row],[Profit B]]*cadangan3[[#This Row],[Diskon]]),U537)</f>
        <v>42500</v>
      </c>
      <c r="X537" t="str">
        <f>IFERROR(INDEX(Katalog!$A$3:$A$12,MATCH(cadangan3[[#This Row],[ItemID C]],Katalog!$C$3:$C$12,0)),"-")</f>
        <v>-</v>
      </c>
      <c r="Y537" t="str">
        <f>IFERROR(INDEX(Katalog!$B$3:$B$12,MATCH(cadangan3[[#This Row],[ItemID C]],Katalog!$C$3:$C$12,0)),"-")</f>
        <v>-</v>
      </c>
      <c r="AB537" s="36">
        <f>IFERROR(INDEX(Katalog!$D$3:$D$12,MATCH(cadangan3[[#This Row],[ItemID C]],Katalog!$C$3:$C$12,0))*cadangan3[[#This Row],[Qty C]],0)</f>
        <v>0</v>
      </c>
      <c r="AC537" s="36">
        <f>IFERROR(INDEX(Katalog!$D$3:$D$12,MATCH(cadangan3[[#This Row],[Item C]],Katalog!$B$3:$B$12,0))*cadangan3[[#This Row],[Qty C]],0)</f>
        <v>0</v>
      </c>
      <c r="AD537" s="36">
        <f>IFERROR(cadangan3[[#This Row],[Harga Asli C]]-(cadangan3[[#This Row],[Harga Asli C]]*cadangan3[[#This Row],[Diskon]]),cadangan3[[#This Row],[Harga Asli C]])</f>
        <v>0</v>
      </c>
      <c r="AE537" s="36">
        <f>IFERROR(INDEX(Katalog!$F$3:$F$12,MATCH(cadangan3[[#This Row],[ItemID C]],Katalog!$C$3:$C$12,0))*cadangan3[[#This Row],[Qty C]],0)</f>
        <v>0</v>
      </c>
      <c r="AF537" s="36">
        <f>IFERROR(cadangan3[[#This Row],[Profit C]]-(cadangan3[[#This Row],[Profit C]]*cadangan3[[#This Row],[Diskon]]),cadangan3[[#This Row],[Profit C]])</f>
        <v>0</v>
      </c>
      <c r="AG537" s="21">
        <f>cadangan3[[#This Row],[Qty A]]+cadangan3[[#This Row],[Qty B]]+cadangan3[[#This Row],[Qty C]]</f>
        <v>7</v>
      </c>
      <c r="AH537" s="35">
        <f>cadangan3[[#This Row],[Harga A + Diskon]]+cadangan3[[#This Row],[Harga + Diskon B]]+cadangan3[[#This Row],[Harga + Diskon C]]</f>
        <v>1912500</v>
      </c>
      <c r="AI537" s="35">
        <f>(cadangan3[[#This Row],[Profit A]]+cadangan3[[#This Row],[Profit B]]+cadangan3[[#This Row],[Profit C]])</f>
        <v>830000</v>
      </c>
      <c r="AJ537" s="35">
        <f>cadangan3[[#This Row],[Provit A + Diskon]]+cadangan3[[#This Row],[Provit B + Diskon]]+cadangan3[[#This Row],[Provit C + Diskon]]</f>
        <v>705500</v>
      </c>
      <c r="AK537" s="23" t="s">
        <v>28</v>
      </c>
      <c r="AL537" s="37">
        <f>IFERROR(INDEX('Kode Diskon'!$D$3:$D$9,MATCH(cadangan3[[#This Row],[Kode diskon]],'Kode Diskon'!$C$3:$C$9,0)),"-")</f>
        <v>0.15</v>
      </c>
      <c r="AM537" s="23" t="s">
        <v>29</v>
      </c>
      <c r="AN537" s="23" t="s">
        <v>14</v>
      </c>
      <c r="AO537" s="23" t="s">
        <v>75</v>
      </c>
      <c r="AP537" s="24">
        <v>45019</v>
      </c>
      <c r="AQ537" s="23" t="str">
        <f>TEXT(cadangan3[[#This Row],[Tanggal terjual]],"dddd")</f>
        <v>Monday</v>
      </c>
    </row>
    <row r="538" spans="1:43" x14ac:dyDescent="0.2">
      <c r="A538" s="20">
        <v>537</v>
      </c>
      <c r="B538" s="21" t="str">
        <f>_xlfn.CONCAT("ORD-",INDEX(Helper!$B$2:$B$5,MATCH(cadangan3[[#This Row],[Marketplace]],Helper!$A$2:$A$5,0)),TEXT(cadangan3[[#This Row],[No]],"0000"),"-",TEXT(cadangan3[[#This Row],[Tanggal terjual]],"dd/mm/yy"))</f>
        <v>ORD-SP0537-07/04/23</v>
      </c>
      <c r="C538" t="s">
        <v>61</v>
      </c>
      <c r="D538" t="str">
        <f>IFERROR(INDEX(Katalog!$A$3:$A$12,MATCH(cadangan3[[#This Row],[ItemID A]],Katalog!$C$3:$C$12,0)),"-")</f>
        <v>Pakaian Pria</v>
      </c>
      <c r="E538" t="str">
        <f>IFERROR(INDEX(Katalog!$B$3:$B$12,MATCH(cadangan3[[#This Row],[ItemID A]],Katalog!$C$3:$C$12,0)),"-")</f>
        <v>Kaos Polo</v>
      </c>
      <c r="F538">
        <v>3</v>
      </c>
      <c r="G538">
        <v>2</v>
      </c>
      <c r="H538" s="36">
        <f>IFERROR(INDEX(Katalog!$D$3:$D$12,MATCH(cadangan3[[#This Row],[ItemID A]],Katalog!$C$3:$C$12,0))*cadangan3[[#This Row],[Qty A]],0)</f>
        <v>600000</v>
      </c>
      <c r="I538" s="36">
        <f>IFERROR(INDEX(Katalog!$D$3:$D$12,MATCH(cadangan3[[#This Row],[Item A]],Katalog!$B$3:$B$12,0))*cadangan3[[#This Row],[Qty A]],0)</f>
        <v>600000</v>
      </c>
      <c r="J538" s="36">
        <f>IFERROR(cadangan3[[#This Row],[Harga Asli A]]-(cadangan3[[#This Row],[Harga Asli A]]*cadangan3[[#This Row],[Diskon]]),cadangan3[[#This Row],[Harga Asli A]])</f>
        <v>600000</v>
      </c>
      <c r="K538" s="36">
        <f>INDEX(Katalog!$F$3:$F$12,MATCH(cadangan3[[#This Row],[ItemID A]],Katalog!$C$3:$C$12,0))*cadangan3[[#This Row],[Qty A]]</f>
        <v>240000</v>
      </c>
      <c r="L538" s="36">
        <f>IFERROR(cadangan3[[#This Row],[Profit A]]-(cadangan3[[#This Row],[Profit A]]*cadangan3[[#This Row],[Diskon]]),K538)</f>
        <v>240000</v>
      </c>
      <c r="M538" t="s">
        <v>65</v>
      </c>
      <c r="N538" t="str">
        <f>IFERROR(INDEX(Katalog!$A$3:$A$12,MATCH(cadangan3[[#This Row],[ItemID B]],Katalog!$C$3:$C$12,0)),"-")</f>
        <v>Sepatu Pria</v>
      </c>
      <c r="O538" t="str">
        <f>IFERROR(INDEX(Katalog!$B$3:$B$12,MATCH(cadangan3[[#This Row],[ItemID B]],Katalog!$C$3:$C$12,0)),"-")</f>
        <v>Sneakers</v>
      </c>
      <c r="P538">
        <v>1</v>
      </c>
      <c r="Q538">
        <v>4</v>
      </c>
      <c r="R538" s="36">
        <f>IFERROR(INDEX(Katalog!$D$3:$D$12,MATCH(cadangan3[[#This Row],[ItemID B]],Katalog!$C$3:$C$12,0))*cadangan3[[#This Row],[Qty B]],0)</f>
        <v>500000</v>
      </c>
      <c r="S538" s="36">
        <f>IFERROR(INDEX(Katalog!$D$3:$D$12,MATCH(cadangan3[[#This Row],[Item B]],Katalog!$B$3:$B$12,0))*cadangan3[[#This Row],[Qty B]],0)</f>
        <v>500000</v>
      </c>
      <c r="T538" s="36">
        <f>IFERROR(cadangan3[[#This Row],[Harga Asli B]]-(cadangan3[[#This Row],[Harga Asli B]]*cadangan3[[#This Row],[Diskon]]),cadangan3[[#This Row],[Harga Asli B]])</f>
        <v>500000</v>
      </c>
      <c r="U538" s="36">
        <f>IFERROR(INDEX(Katalog!$F$3:$F$12,MATCH(cadangan3[[#This Row],[ItemID B]],Katalog!$C$3:$C$12,0))*cadangan3[[#This Row],[Qty B]],0)</f>
        <v>200000</v>
      </c>
      <c r="V538" s="36">
        <f>IFERROR(cadangan3[[#This Row],[Profit B]]-(cadangan3[[#This Row],[Profit B]]*cadangan3[[#This Row],[Diskon]]),U538)</f>
        <v>200000</v>
      </c>
      <c r="X538" t="str">
        <f>IFERROR(INDEX(Katalog!$A$3:$A$12,MATCH(cadangan3[[#This Row],[ItemID C]],Katalog!$C$3:$C$12,0)),"-")</f>
        <v>-</v>
      </c>
      <c r="Y538" t="str">
        <f>IFERROR(INDEX(Katalog!$B$3:$B$12,MATCH(cadangan3[[#This Row],[ItemID C]],Katalog!$C$3:$C$12,0)),"-")</f>
        <v>-</v>
      </c>
      <c r="AB538" s="36">
        <f>IFERROR(INDEX(Katalog!$D$3:$D$12,MATCH(cadangan3[[#This Row],[ItemID C]],Katalog!$C$3:$C$12,0))*cadangan3[[#This Row],[Qty C]],0)</f>
        <v>0</v>
      </c>
      <c r="AC538" s="36">
        <f>IFERROR(INDEX(Katalog!$D$3:$D$12,MATCH(cadangan3[[#This Row],[Item C]],Katalog!$B$3:$B$12,0))*cadangan3[[#This Row],[Qty C]],0)</f>
        <v>0</v>
      </c>
      <c r="AD538" s="36">
        <f>IFERROR(cadangan3[[#This Row],[Harga Asli C]]-(cadangan3[[#This Row],[Harga Asli C]]*cadangan3[[#This Row],[Diskon]]),cadangan3[[#This Row],[Harga Asli C]])</f>
        <v>0</v>
      </c>
      <c r="AE538" s="36">
        <f>IFERROR(INDEX(Katalog!$F$3:$F$12,MATCH(cadangan3[[#This Row],[ItemID C]],Katalog!$C$3:$C$12,0))*cadangan3[[#This Row],[Qty C]],0)</f>
        <v>0</v>
      </c>
      <c r="AF538" s="36">
        <f>IFERROR(cadangan3[[#This Row],[Profit C]]-(cadangan3[[#This Row],[Profit C]]*cadangan3[[#This Row],[Diskon]]),cadangan3[[#This Row],[Profit C]])</f>
        <v>0</v>
      </c>
      <c r="AG538" s="21">
        <f>cadangan3[[#This Row],[Qty A]]+cadangan3[[#This Row],[Qty B]]+cadangan3[[#This Row],[Qty C]]</f>
        <v>4</v>
      </c>
      <c r="AH538" s="35">
        <f>cadangan3[[#This Row],[Harga A + Diskon]]+cadangan3[[#This Row],[Harga + Diskon B]]+cadangan3[[#This Row],[Harga + Diskon C]]</f>
        <v>1100000</v>
      </c>
      <c r="AI538" s="35">
        <f>(cadangan3[[#This Row],[Profit A]]+cadangan3[[#This Row],[Profit B]]+cadangan3[[#This Row],[Profit C]])</f>
        <v>440000</v>
      </c>
      <c r="AJ538" s="35">
        <f>cadangan3[[#This Row],[Provit A + Diskon]]+cadangan3[[#This Row],[Provit B + Diskon]]+cadangan3[[#This Row],[Provit C + Diskon]]</f>
        <v>440000</v>
      </c>
      <c r="AK538" s="23" t="s">
        <v>11</v>
      </c>
      <c r="AL538" s="37" t="str">
        <f>IFERROR(INDEX('Kode Diskon'!$D$3:$D$9,MATCH(cadangan3[[#This Row],[Kode diskon]],'Kode Diskon'!$C$3:$C$9,0)),"-")</f>
        <v>-</v>
      </c>
      <c r="AM538" s="23" t="s">
        <v>11</v>
      </c>
      <c r="AN538" s="23" t="s">
        <v>7</v>
      </c>
      <c r="AO538" s="23" t="s">
        <v>80</v>
      </c>
      <c r="AP538" s="24">
        <v>45023</v>
      </c>
      <c r="AQ538" s="23" t="str">
        <f>TEXT(cadangan3[[#This Row],[Tanggal terjual]],"dddd")</f>
        <v>Friday</v>
      </c>
    </row>
    <row r="539" spans="1:43" x14ac:dyDescent="0.2">
      <c r="A539" s="20">
        <v>538</v>
      </c>
      <c r="B539" s="21" t="str">
        <f>_xlfn.CONCAT("ORD-",INDEX(Helper!$B$2:$B$5,MATCH(cadangan3[[#This Row],[Marketplace]],Helper!$A$2:$A$5,0)),TEXT(cadangan3[[#This Row],[No]],"0000"),"-",TEXT(cadangan3[[#This Row],[Tanggal terjual]],"dd/mm/yy"))</f>
        <v>ORD-BB0538-01/04/23</v>
      </c>
      <c r="C539" t="s">
        <v>67</v>
      </c>
      <c r="D539" t="str">
        <f>IFERROR(INDEX(Katalog!$A$3:$A$12,MATCH(cadangan3[[#This Row],[ItemID A]],Katalog!$C$3:$C$12,0)),"-")</f>
        <v>Sepatu Wanita</v>
      </c>
      <c r="E539" t="str">
        <f>IFERROR(INDEX(Katalog!$B$3:$B$12,MATCH(cadangan3[[#This Row],[ItemID A]],Katalog!$C$3:$C$12,0)),"-")</f>
        <v>Flat Shoes</v>
      </c>
      <c r="F539">
        <v>2</v>
      </c>
      <c r="G539">
        <v>2</v>
      </c>
      <c r="H539" s="36">
        <f>IFERROR(INDEX(Katalog!$D$3:$D$12,MATCH(cadangan3[[#This Row],[ItemID A]],Katalog!$C$3:$C$12,0))*cadangan3[[#This Row],[Qty A]],0)</f>
        <v>500000</v>
      </c>
      <c r="I539" s="36">
        <f>IFERROR(INDEX(Katalog!$D$3:$D$12,MATCH(cadangan3[[#This Row],[Item A]],Katalog!$B$3:$B$12,0))*cadangan3[[#This Row],[Qty A]],0)</f>
        <v>500000</v>
      </c>
      <c r="J539" s="36">
        <f>IFERROR(cadangan3[[#This Row],[Harga Asli A]]-(cadangan3[[#This Row],[Harga Asli A]]*cadangan3[[#This Row],[Diskon]]),cadangan3[[#This Row],[Harga Asli A]])</f>
        <v>425000</v>
      </c>
      <c r="K539" s="36">
        <f>INDEX(Katalog!$F$3:$F$12,MATCH(cadangan3[[#This Row],[ItemID A]],Katalog!$C$3:$C$12,0))*cadangan3[[#This Row],[Qty A]]</f>
        <v>200000</v>
      </c>
      <c r="L539" s="36">
        <f>IFERROR(cadangan3[[#This Row],[Profit A]]-(cadangan3[[#This Row],[Profit A]]*cadangan3[[#This Row],[Diskon]]),K539)</f>
        <v>170000</v>
      </c>
      <c r="N539" t="str">
        <f>IFERROR(INDEX(Katalog!$A$3:$A$12,MATCH(cadangan3[[#This Row],[ItemID B]],Katalog!$C$3:$C$12,0)),"-")</f>
        <v>-</v>
      </c>
      <c r="O539" t="str">
        <f>IFERROR(INDEX(Katalog!$B$3:$B$12,MATCH(cadangan3[[#This Row],[ItemID B]],Katalog!$C$3:$C$12,0)),"-")</f>
        <v>-</v>
      </c>
      <c r="R539" s="36">
        <f>IFERROR(INDEX(Katalog!$D$3:$D$12,MATCH(cadangan3[[#This Row],[ItemID B]],Katalog!$C$3:$C$12,0))*cadangan3[[#This Row],[Qty B]],0)</f>
        <v>0</v>
      </c>
      <c r="S539" s="36">
        <f>IFERROR(INDEX(Katalog!$D$3:$D$12,MATCH(cadangan3[[#This Row],[Item B]],Katalog!$B$3:$B$12,0))*cadangan3[[#This Row],[Qty B]],0)</f>
        <v>0</v>
      </c>
      <c r="T539" s="36">
        <f>IFERROR(cadangan3[[#This Row],[Harga Asli B]]-(cadangan3[[#This Row],[Harga Asli B]]*cadangan3[[#This Row],[Diskon]]),cadangan3[[#This Row],[Harga Asli B]])</f>
        <v>0</v>
      </c>
      <c r="U539" s="36">
        <f>IFERROR(INDEX(Katalog!$F$3:$F$12,MATCH(cadangan3[[#This Row],[ItemID B]],Katalog!$C$3:$C$12,0))*cadangan3[[#This Row],[Qty B]],0)</f>
        <v>0</v>
      </c>
      <c r="V539" s="36">
        <f>IFERROR(cadangan3[[#This Row],[Profit B]]-(cadangan3[[#This Row],[Profit B]]*cadangan3[[#This Row],[Diskon]]),U539)</f>
        <v>0</v>
      </c>
      <c r="X539" t="str">
        <f>IFERROR(INDEX(Katalog!$A$3:$A$12,MATCH(cadangan3[[#This Row],[ItemID C]],Katalog!$C$3:$C$12,0)),"-")</f>
        <v>-</v>
      </c>
      <c r="Y539" t="str">
        <f>IFERROR(INDEX(Katalog!$B$3:$B$12,MATCH(cadangan3[[#This Row],[ItemID C]],Katalog!$C$3:$C$12,0)),"-")</f>
        <v>-</v>
      </c>
      <c r="AB539" s="36">
        <f>IFERROR(INDEX(Katalog!$D$3:$D$12,MATCH(cadangan3[[#This Row],[ItemID C]],Katalog!$C$3:$C$12,0))*cadangan3[[#This Row],[Qty C]],0)</f>
        <v>0</v>
      </c>
      <c r="AC539" s="36">
        <f>IFERROR(INDEX(Katalog!$D$3:$D$12,MATCH(cadangan3[[#This Row],[Item C]],Katalog!$B$3:$B$12,0))*cadangan3[[#This Row],[Qty C]],0)</f>
        <v>0</v>
      </c>
      <c r="AD539" s="36">
        <f>IFERROR(cadangan3[[#This Row],[Harga Asli C]]-(cadangan3[[#This Row],[Harga Asli C]]*cadangan3[[#This Row],[Diskon]]),cadangan3[[#This Row],[Harga Asli C]])</f>
        <v>0</v>
      </c>
      <c r="AE539" s="36">
        <f>IFERROR(INDEX(Katalog!$F$3:$F$12,MATCH(cadangan3[[#This Row],[ItemID C]],Katalog!$C$3:$C$12,0))*cadangan3[[#This Row],[Qty C]],0)</f>
        <v>0</v>
      </c>
      <c r="AF539" s="36">
        <f>IFERROR(cadangan3[[#This Row],[Profit C]]-(cadangan3[[#This Row],[Profit C]]*cadangan3[[#This Row],[Diskon]]),cadangan3[[#This Row],[Profit C]])</f>
        <v>0</v>
      </c>
      <c r="AG539" s="21">
        <f>cadangan3[[#This Row],[Qty A]]+cadangan3[[#This Row],[Qty B]]+cadangan3[[#This Row],[Qty C]]</f>
        <v>2</v>
      </c>
      <c r="AH539" s="35">
        <f>cadangan3[[#This Row],[Harga A + Diskon]]+cadangan3[[#This Row],[Harga + Diskon B]]+cadangan3[[#This Row],[Harga + Diskon C]]</f>
        <v>425000</v>
      </c>
      <c r="AI539" s="35">
        <f>(cadangan3[[#This Row],[Profit A]]+cadangan3[[#This Row],[Profit B]]+cadangan3[[#This Row],[Profit C]])</f>
        <v>200000</v>
      </c>
      <c r="AJ539" s="35">
        <f>cadangan3[[#This Row],[Provit A + Diskon]]+cadangan3[[#This Row],[Provit B + Diskon]]+cadangan3[[#This Row],[Provit C + Diskon]]</f>
        <v>170000</v>
      </c>
      <c r="AK539" s="23" t="s">
        <v>28</v>
      </c>
      <c r="AL539" s="37">
        <f>IFERROR(INDEX('Kode Diskon'!$D$3:$D$9,MATCH(cadangan3[[#This Row],[Kode diskon]],'Kode Diskon'!$C$3:$C$9,0)),"-")</f>
        <v>0.15</v>
      </c>
      <c r="AM539" s="23" t="s">
        <v>29</v>
      </c>
      <c r="AN539" s="23" t="s">
        <v>14</v>
      </c>
      <c r="AO539" s="23" t="s">
        <v>77</v>
      </c>
      <c r="AP539" s="24">
        <v>45017</v>
      </c>
      <c r="AQ539" s="23" t="str">
        <f>TEXT(cadangan3[[#This Row],[Tanggal terjual]],"dddd")</f>
        <v>Saturday</v>
      </c>
    </row>
    <row r="540" spans="1:43" x14ac:dyDescent="0.2">
      <c r="A540" s="20">
        <v>539</v>
      </c>
      <c r="B540" s="21" t="str">
        <f>_xlfn.CONCAT("ORD-",INDEX(Helper!$B$2:$B$5,MATCH(cadangan3[[#This Row],[Marketplace]],Helper!$A$2:$A$5,0)),TEXT(cadangan3[[#This Row],[No]],"0000"),"-",TEXT(cadangan3[[#This Row],[Tanggal terjual]],"dd/mm/yy"))</f>
        <v>ORD-SP0539-01/04/23</v>
      </c>
      <c r="C540" t="s">
        <v>65</v>
      </c>
      <c r="D540" t="str">
        <f>IFERROR(INDEX(Katalog!$A$3:$A$12,MATCH(cadangan3[[#This Row],[ItemID A]],Katalog!$C$3:$C$12,0)),"-")</f>
        <v>Sepatu Pria</v>
      </c>
      <c r="E540" t="str">
        <f>IFERROR(INDEX(Katalog!$B$3:$B$12,MATCH(cadangan3[[#This Row],[ItemID A]],Katalog!$C$3:$C$12,0)),"-")</f>
        <v>Sneakers</v>
      </c>
      <c r="F540">
        <v>3</v>
      </c>
      <c r="G540">
        <v>5</v>
      </c>
      <c r="H540" s="36">
        <f>IFERROR(INDEX(Katalog!$D$3:$D$12,MATCH(cadangan3[[#This Row],[ItemID A]],Katalog!$C$3:$C$12,0))*cadangan3[[#This Row],[Qty A]],0)</f>
        <v>1500000</v>
      </c>
      <c r="I540" s="36">
        <f>IFERROR(INDEX(Katalog!$D$3:$D$12,MATCH(cadangan3[[#This Row],[Item A]],Katalog!$B$3:$B$12,0))*cadangan3[[#This Row],[Qty A]],0)</f>
        <v>1500000</v>
      </c>
      <c r="J540" s="36">
        <f>IFERROR(cadangan3[[#This Row],[Harga Asli A]]-(cadangan3[[#This Row],[Harga Asli A]]*cadangan3[[#This Row],[Diskon]]),cadangan3[[#This Row],[Harga Asli A]])</f>
        <v>1350000</v>
      </c>
      <c r="K540" s="36">
        <f>INDEX(Katalog!$F$3:$F$12,MATCH(cadangan3[[#This Row],[ItemID A]],Katalog!$C$3:$C$12,0))*cadangan3[[#This Row],[Qty A]]</f>
        <v>600000</v>
      </c>
      <c r="L540" s="36">
        <f>IFERROR(cadangan3[[#This Row],[Profit A]]-(cadangan3[[#This Row],[Profit A]]*cadangan3[[#This Row],[Diskon]]),K540)</f>
        <v>540000</v>
      </c>
      <c r="M540" t="s">
        <v>67</v>
      </c>
      <c r="N540" t="str">
        <f>IFERROR(INDEX(Katalog!$A$3:$A$12,MATCH(cadangan3[[#This Row],[ItemID B]],Katalog!$C$3:$C$12,0)),"-")</f>
        <v>Sepatu Wanita</v>
      </c>
      <c r="O540" t="str">
        <f>IFERROR(INDEX(Katalog!$B$3:$B$12,MATCH(cadangan3[[#This Row],[ItemID B]],Katalog!$C$3:$C$12,0)),"-")</f>
        <v>Flat Shoes</v>
      </c>
      <c r="P540">
        <v>1</v>
      </c>
      <c r="Q540">
        <v>2</v>
      </c>
      <c r="R540" s="36">
        <f>IFERROR(INDEX(Katalog!$D$3:$D$12,MATCH(cadangan3[[#This Row],[ItemID B]],Katalog!$C$3:$C$12,0))*cadangan3[[#This Row],[Qty B]],0)</f>
        <v>250000</v>
      </c>
      <c r="S540" s="36">
        <f>IFERROR(INDEX(Katalog!$D$3:$D$12,MATCH(cadangan3[[#This Row],[Item B]],Katalog!$B$3:$B$12,0))*cadangan3[[#This Row],[Qty B]],0)</f>
        <v>250000</v>
      </c>
      <c r="T540" s="36">
        <f>IFERROR(cadangan3[[#This Row],[Harga Asli B]]-(cadangan3[[#This Row],[Harga Asli B]]*cadangan3[[#This Row],[Diskon]]),cadangan3[[#This Row],[Harga Asli B]])</f>
        <v>225000</v>
      </c>
      <c r="U540" s="36">
        <f>IFERROR(INDEX(Katalog!$F$3:$F$12,MATCH(cadangan3[[#This Row],[ItemID B]],Katalog!$C$3:$C$12,0))*cadangan3[[#This Row],[Qty B]],0)</f>
        <v>100000</v>
      </c>
      <c r="V540" s="36">
        <f>IFERROR(cadangan3[[#This Row],[Profit B]]-(cadangan3[[#This Row],[Profit B]]*cadangan3[[#This Row],[Diskon]]),U540)</f>
        <v>90000</v>
      </c>
      <c r="X540" t="str">
        <f>IFERROR(INDEX(Katalog!$A$3:$A$12,MATCH(cadangan3[[#This Row],[ItemID C]],Katalog!$C$3:$C$12,0)),"-")</f>
        <v>-</v>
      </c>
      <c r="Y540" t="str">
        <f>IFERROR(INDEX(Katalog!$B$3:$B$12,MATCH(cadangan3[[#This Row],[ItemID C]],Katalog!$C$3:$C$12,0)),"-")</f>
        <v>-</v>
      </c>
      <c r="AB540" s="36">
        <f>IFERROR(INDEX(Katalog!$D$3:$D$12,MATCH(cadangan3[[#This Row],[ItemID C]],Katalog!$C$3:$C$12,0))*cadangan3[[#This Row],[Qty C]],0)</f>
        <v>0</v>
      </c>
      <c r="AC540" s="36">
        <f>IFERROR(INDEX(Katalog!$D$3:$D$12,MATCH(cadangan3[[#This Row],[Item C]],Katalog!$B$3:$B$12,0))*cadangan3[[#This Row],[Qty C]],0)</f>
        <v>0</v>
      </c>
      <c r="AD540" s="36">
        <f>IFERROR(cadangan3[[#This Row],[Harga Asli C]]-(cadangan3[[#This Row],[Harga Asli C]]*cadangan3[[#This Row],[Diskon]]),cadangan3[[#This Row],[Harga Asli C]])</f>
        <v>0</v>
      </c>
      <c r="AE540" s="36">
        <f>IFERROR(INDEX(Katalog!$F$3:$F$12,MATCH(cadangan3[[#This Row],[ItemID C]],Katalog!$C$3:$C$12,0))*cadangan3[[#This Row],[Qty C]],0)</f>
        <v>0</v>
      </c>
      <c r="AF540" s="36">
        <f>IFERROR(cadangan3[[#This Row],[Profit C]]-(cadangan3[[#This Row],[Profit C]]*cadangan3[[#This Row],[Diskon]]),cadangan3[[#This Row],[Profit C]])</f>
        <v>0</v>
      </c>
      <c r="AG540" s="21">
        <f>cadangan3[[#This Row],[Qty A]]+cadangan3[[#This Row],[Qty B]]+cadangan3[[#This Row],[Qty C]]</f>
        <v>4</v>
      </c>
      <c r="AH540" s="35">
        <f>cadangan3[[#This Row],[Harga A + Diskon]]+cadangan3[[#This Row],[Harga + Diskon B]]+cadangan3[[#This Row],[Harga + Diskon C]]</f>
        <v>1575000</v>
      </c>
      <c r="AI540" s="35">
        <f>(cadangan3[[#This Row],[Profit A]]+cadangan3[[#This Row],[Profit B]]+cadangan3[[#This Row],[Profit C]])</f>
        <v>700000</v>
      </c>
      <c r="AJ540" s="35">
        <f>cadangan3[[#This Row],[Provit A + Diskon]]+cadangan3[[#This Row],[Provit B + Diskon]]+cadangan3[[#This Row],[Provit C + Diskon]]</f>
        <v>630000</v>
      </c>
      <c r="AK540" s="23" t="s">
        <v>6</v>
      </c>
      <c r="AL540" s="37">
        <f>IFERROR(INDEX('Kode Diskon'!$D$3:$D$9,MATCH(cadangan3[[#This Row],[Kode diskon]],'Kode Diskon'!$C$3:$C$9,0)),"-")</f>
        <v>0.1</v>
      </c>
      <c r="AM540" s="23" t="s">
        <v>29</v>
      </c>
      <c r="AN540" s="23" t="s">
        <v>7</v>
      </c>
      <c r="AO540" s="23" t="s">
        <v>76</v>
      </c>
      <c r="AP540" s="24">
        <v>45017</v>
      </c>
      <c r="AQ540" s="23" t="str">
        <f>TEXT(cadangan3[[#This Row],[Tanggal terjual]],"dddd")</f>
        <v>Saturday</v>
      </c>
    </row>
    <row r="541" spans="1:43" x14ac:dyDescent="0.2">
      <c r="A541" s="20">
        <v>540</v>
      </c>
      <c r="B541" s="21" t="str">
        <f>_xlfn.CONCAT("ORD-",INDEX(Helper!$B$2:$B$5,MATCH(cadangan3[[#This Row],[Marketplace]],Helper!$A$2:$A$5,0)),TEXT(cadangan3[[#This Row],[No]],"0000"),"-",TEXT(cadangan3[[#This Row],[Tanggal terjual]],"dd/mm/yy"))</f>
        <v>ORD-BL0540-29/04/23</v>
      </c>
      <c r="C541" t="s">
        <v>58</v>
      </c>
      <c r="D541" t="str">
        <f>IFERROR(INDEX(Katalog!$A$3:$A$12,MATCH(cadangan3[[#This Row],[ItemID A]],Katalog!$C$3:$C$12,0)),"-")</f>
        <v>Pakaian Wanita</v>
      </c>
      <c r="E541" t="str">
        <f>IFERROR(INDEX(Katalog!$B$3:$B$12,MATCH(cadangan3[[#This Row],[ItemID A]],Katalog!$C$3:$C$12,0)),"-")</f>
        <v>Dress</v>
      </c>
      <c r="F541">
        <v>3</v>
      </c>
      <c r="G541">
        <v>4</v>
      </c>
      <c r="H541" s="36">
        <f>IFERROR(INDEX(Katalog!$D$3:$D$12,MATCH(cadangan3[[#This Row],[ItemID A]],Katalog!$C$3:$C$12,0))*cadangan3[[#This Row],[Qty A]],0)</f>
        <v>900000</v>
      </c>
      <c r="I541" s="36">
        <f>IFERROR(INDEX(Katalog!$D$3:$D$12,MATCH(cadangan3[[#This Row],[Item A]],Katalog!$B$3:$B$12,0))*cadangan3[[#This Row],[Qty A]],0)</f>
        <v>900000</v>
      </c>
      <c r="J541" s="36">
        <f>IFERROR(cadangan3[[#This Row],[Harga Asli A]]-(cadangan3[[#This Row],[Harga Asli A]]*cadangan3[[#This Row],[Diskon]]),cadangan3[[#This Row],[Harga Asli A]])</f>
        <v>765000</v>
      </c>
      <c r="K541" s="36">
        <f>INDEX(Katalog!$F$3:$F$12,MATCH(cadangan3[[#This Row],[ItemID A]],Katalog!$C$3:$C$12,0))*cadangan3[[#This Row],[Qty A]]</f>
        <v>300000</v>
      </c>
      <c r="L541" s="36">
        <f>IFERROR(cadangan3[[#This Row],[Profit A]]-(cadangan3[[#This Row],[Profit A]]*cadangan3[[#This Row],[Diskon]]),K541)</f>
        <v>255000</v>
      </c>
      <c r="M541" t="s">
        <v>59</v>
      </c>
      <c r="N541" t="str">
        <f>IFERROR(INDEX(Katalog!$A$3:$A$12,MATCH(cadangan3[[#This Row],[ItemID B]],Katalog!$C$3:$C$12,0)),"-")</f>
        <v>Pakaian Wanita</v>
      </c>
      <c r="O541" t="str">
        <f>IFERROR(INDEX(Katalog!$B$3:$B$12,MATCH(cadangan3[[#This Row],[ItemID B]],Katalog!$C$3:$C$12,0)),"-")</f>
        <v>Blouse</v>
      </c>
      <c r="P541">
        <v>2</v>
      </c>
      <c r="Q541">
        <v>4</v>
      </c>
      <c r="R541" s="36">
        <f>IFERROR(INDEX(Katalog!$D$3:$D$12,MATCH(cadangan3[[#This Row],[ItemID B]],Katalog!$C$3:$C$12,0))*cadangan3[[#This Row],[Qty B]],0)</f>
        <v>300000</v>
      </c>
      <c r="S541" s="36">
        <f>IFERROR(INDEX(Katalog!$D$3:$D$12,MATCH(cadangan3[[#This Row],[Item B]],Katalog!$B$3:$B$12,0))*cadangan3[[#This Row],[Qty B]],0)</f>
        <v>300000</v>
      </c>
      <c r="T541" s="36">
        <f>IFERROR(cadangan3[[#This Row],[Harga Asli B]]-(cadangan3[[#This Row],[Harga Asli B]]*cadangan3[[#This Row],[Diskon]]),cadangan3[[#This Row],[Harga Asli B]])</f>
        <v>255000</v>
      </c>
      <c r="U541" s="36">
        <f>IFERROR(INDEX(Katalog!$F$3:$F$12,MATCH(cadangan3[[#This Row],[ItemID B]],Katalog!$C$3:$C$12,0))*cadangan3[[#This Row],[Qty B]],0)</f>
        <v>100000</v>
      </c>
      <c r="V541" s="36">
        <f>IFERROR(cadangan3[[#This Row],[Profit B]]-(cadangan3[[#This Row],[Profit B]]*cadangan3[[#This Row],[Diskon]]),U541)</f>
        <v>85000</v>
      </c>
      <c r="W541" t="s">
        <v>62</v>
      </c>
      <c r="X541" t="str">
        <f>IFERROR(INDEX(Katalog!$A$3:$A$12,MATCH(cadangan3[[#This Row],[ItemID C]],Katalog!$C$3:$C$12,0)),"-")</f>
        <v>Pakaian Pria</v>
      </c>
      <c r="Y541" t="str">
        <f>IFERROR(INDEX(Katalog!$B$3:$B$12,MATCH(cadangan3[[#This Row],[ItemID C]],Katalog!$C$3:$C$12,0)),"-")</f>
        <v>Celana Pendek</v>
      </c>
      <c r="Z541">
        <v>1</v>
      </c>
      <c r="AA541">
        <v>1</v>
      </c>
      <c r="AB541" s="36">
        <f>IFERROR(INDEX(Katalog!$D$3:$D$12,MATCH(cadangan3[[#This Row],[ItemID C]],Katalog!$C$3:$C$12,0))*cadangan3[[#This Row],[Qty C]],0)</f>
        <v>180000</v>
      </c>
      <c r="AC541" s="36">
        <f>IFERROR(INDEX(Katalog!$D$3:$D$12,MATCH(cadangan3[[#This Row],[Item C]],Katalog!$B$3:$B$12,0))*cadangan3[[#This Row],[Qty C]],0)</f>
        <v>180000</v>
      </c>
      <c r="AD541" s="36">
        <f>IFERROR(cadangan3[[#This Row],[Harga Asli C]]-(cadangan3[[#This Row],[Harga Asli C]]*cadangan3[[#This Row],[Diskon]]),cadangan3[[#This Row],[Harga Asli C]])</f>
        <v>153000</v>
      </c>
      <c r="AE541" s="36">
        <f>IFERROR(INDEX(Katalog!$F$3:$F$12,MATCH(cadangan3[[#This Row],[ItemID C]],Katalog!$C$3:$C$12,0))*cadangan3[[#This Row],[Qty C]],0)</f>
        <v>70000</v>
      </c>
      <c r="AF541" s="36">
        <f>IFERROR(cadangan3[[#This Row],[Profit C]]-(cadangan3[[#This Row],[Profit C]]*cadangan3[[#This Row],[Diskon]]),cadangan3[[#This Row],[Profit C]])</f>
        <v>59500</v>
      </c>
      <c r="AG541" s="21">
        <f>cadangan3[[#This Row],[Qty A]]+cadangan3[[#This Row],[Qty B]]+cadangan3[[#This Row],[Qty C]]</f>
        <v>6</v>
      </c>
      <c r="AH541" s="35">
        <f>cadangan3[[#This Row],[Harga A + Diskon]]+cadangan3[[#This Row],[Harga + Diskon B]]+cadangan3[[#This Row],[Harga + Diskon C]]</f>
        <v>1173000</v>
      </c>
      <c r="AI541" s="35">
        <f>(cadangan3[[#This Row],[Profit A]]+cadangan3[[#This Row],[Profit B]]+cadangan3[[#This Row],[Profit C]])</f>
        <v>470000</v>
      </c>
      <c r="AJ541" s="35">
        <f>cadangan3[[#This Row],[Provit A + Diskon]]+cadangan3[[#This Row],[Provit B + Diskon]]+cadangan3[[#This Row],[Provit C + Diskon]]</f>
        <v>399500</v>
      </c>
      <c r="AK541" s="23" t="s">
        <v>32</v>
      </c>
      <c r="AL541" s="37">
        <f>IFERROR(INDEX('Kode Diskon'!$D$3:$D$9,MATCH(cadangan3[[#This Row],[Kode diskon]],'Kode Diskon'!$C$3:$C$9,0)),"-")</f>
        <v>0.15</v>
      </c>
      <c r="AM541" s="23" t="s">
        <v>9</v>
      </c>
      <c r="AN541" s="23" t="s">
        <v>12</v>
      </c>
      <c r="AO541" s="23" t="s">
        <v>76</v>
      </c>
      <c r="AP541" s="24">
        <v>45045</v>
      </c>
      <c r="AQ541" s="23" t="str">
        <f>TEXT(cadangan3[[#This Row],[Tanggal terjual]],"dddd")</f>
        <v>Saturday</v>
      </c>
    </row>
    <row r="542" spans="1:43" x14ac:dyDescent="0.2">
      <c r="A542" s="20">
        <v>541</v>
      </c>
      <c r="B542" s="21" t="str">
        <f>_xlfn.CONCAT("ORD-",INDEX(Helper!$B$2:$B$5,MATCH(cadangan3[[#This Row],[Marketplace]],Helper!$A$2:$A$5,0)),TEXT(cadangan3[[#This Row],[No]],"0000"),"-",TEXT(cadangan3[[#This Row],[Tanggal terjual]],"dd/mm/yy"))</f>
        <v>ORD-TK0541-05/04/23</v>
      </c>
      <c r="C542" t="s">
        <v>58</v>
      </c>
      <c r="D542" t="str">
        <f>IFERROR(INDEX(Katalog!$A$3:$A$12,MATCH(cadangan3[[#This Row],[ItemID A]],Katalog!$C$3:$C$12,0)),"-")</f>
        <v>Pakaian Wanita</v>
      </c>
      <c r="E542" t="str">
        <f>IFERROR(INDEX(Katalog!$B$3:$B$12,MATCH(cadangan3[[#This Row],[ItemID A]],Katalog!$C$3:$C$12,0)),"-")</f>
        <v>Dress</v>
      </c>
      <c r="F542">
        <v>1</v>
      </c>
      <c r="G542">
        <v>2</v>
      </c>
      <c r="H542" s="36">
        <f>IFERROR(INDEX(Katalog!$D$3:$D$12,MATCH(cadangan3[[#This Row],[ItemID A]],Katalog!$C$3:$C$12,0))*cadangan3[[#This Row],[Qty A]],0)</f>
        <v>300000</v>
      </c>
      <c r="I542" s="36">
        <f>IFERROR(INDEX(Katalog!$D$3:$D$12,MATCH(cadangan3[[#This Row],[Item A]],Katalog!$B$3:$B$12,0))*cadangan3[[#This Row],[Qty A]],0)</f>
        <v>300000</v>
      </c>
      <c r="J542" s="36">
        <f>IFERROR(cadangan3[[#This Row],[Harga Asli A]]-(cadangan3[[#This Row],[Harga Asli A]]*cadangan3[[#This Row],[Diskon]]),cadangan3[[#This Row],[Harga Asli A]])</f>
        <v>270000</v>
      </c>
      <c r="K542" s="36">
        <f>INDEX(Katalog!$F$3:$F$12,MATCH(cadangan3[[#This Row],[ItemID A]],Katalog!$C$3:$C$12,0))*cadangan3[[#This Row],[Qty A]]</f>
        <v>100000</v>
      </c>
      <c r="L542" s="36">
        <f>IFERROR(cadangan3[[#This Row],[Profit A]]-(cadangan3[[#This Row],[Profit A]]*cadangan3[[#This Row],[Diskon]]),K542)</f>
        <v>90000</v>
      </c>
      <c r="M542" t="s">
        <v>63</v>
      </c>
      <c r="N542" t="str">
        <f>IFERROR(INDEX(Katalog!$A$3:$A$12,MATCH(cadangan3[[#This Row],[ItemID B]],Katalog!$C$3:$C$12,0)),"-")</f>
        <v>Pakaian Pria</v>
      </c>
      <c r="O542" t="str">
        <f>IFERROR(INDEX(Katalog!$B$3:$B$12,MATCH(cadangan3[[#This Row],[ItemID B]],Katalog!$C$3:$C$12,0)),"-")</f>
        <v>Jaket Jeans</v>
      </c>
      <c r="P542">
        <v>1</v>
      </c>
      <c r="Q542">
        <v>4</v>
      </c>
      <c r="R542" s="36">
        <f>IFERROR(INDEX(Katalog!$D$3:$D$12,MATCH(cadangan3[[#This Row],[ItemID B]],Katalog!$C$3:$C$12,0))*cadangan3[[#This Row],[Qty B]],0)</f>
        <v>400000</v>
      </c>
      <c r="S542" s="36">
        <f>IFERROR(INDEX(Katalog!$D$3:$D$12,MATCH(cadangan3[[#This Row],[Item B]],Katalog!$B$3:$B$12,0))*cadangan3[[#This Row],[Qty B]],0)</f>
        <v>400000</v>
      </c>
      <c r="T542" s="36">
        <f>IFERROR(cadangan3[[#This Row],[Harga Asli B]]-(cadangan3[[#This Row],[Harga Asli B]]*cadangan3[[#This Row],[Diskon]]),cadangan3[[#This Row],[Harga Asli B]])</f>
        <v>360000</v>
      </c>
      <c r="U542" s="36">
        <f>IFERROR(INDEX(Katalog!$F$3:$F$12,MATCH(cadangan3[[#This Row],[ItemID B]],Katalog!$C$3:$C$12,0))*cadangan3[[#This Row],[Qty B]],0)</f>
        <v>150000</v>
      </c>
      <c r="V542" s="36">
        <f>IFERROR(cadangan3[[#This Row],[Profit B]]-(cadangan3[[#This Row],[Profit B]]*cadangan3[[#This Row],[Diskon]]),U542)</f>
        <v>135000</v>
      </c>
      <c r="X542" t="str">
        <f>IFERROR(INDEX(Katalog!$A$3:$A$12,MATCH(cadangan3[[#This Row],[ItemID C]],Katalog!$C$3:$C$12,0)),"-")</f>
        <v>-</v>
      </c>
      <c r="Y542" t="str">
        <f>IFERROR(INDEX(Katalog!$B$3:$B$12,MATCH(cadangan3[[#This Row],[ItemID C]],Katalog!$C$3:$C$12,0)),"-")</f>
        <v>-</v>
      </c>
      <c r="AB542" s="36">
        <f>IFERROR(INDEX(Katalog!$D$3:$D$12,MATCH(cadangan3[[#This Row],[ItemID C]],Katalog!$C$3:$C$12,0))*cadangan3[[#This Row],[Qty C]],0)</f>
        <v>0</v>
      </c>
      <c r="AC542" s="36">
        <f>IFERROR(INDEX(Katalog!$D$3:$D$12,MATCH(cadangan3[[#This Row],[Item C]],Katalog!$B$3:$B$12,0))*cadangan3[[#This Row],[Qty C]],0)</f>
        <v>0</v>
      </c>
      <c r="AD542" s="36">
        <f>IFERROR(cadangan3[[#This Row],[Harga Asli C]]-(cadangan3[[#This Row],[Harga Asli C]]*cadangan3[[#This Row],[Diskon]]),cadangan3[[#This Row],[Harga Asli C]])</f>
        <v>0</v>
      </c>
      <c r="AE542" s="36">
        <f>IFERROR(INDEX(Katalog!$F$3:$F$12,MATCH(cadangan3[[#This Row],[ItemID C]],Katalog!$C$3:$C$12,0))*cadangan3[[#This Row],[Qty C]],0)</f>
        <v>0</v>
      </c>
      <c r="AF542" s="36">
        <f>IFERROR(cadangan3[[#This Row],[Profit C]]-(cadangan3[[#This Row],[Profit C]]*cadangan3[[#This Row],[Diskon]]),cadangan3[[#This Row],[Profit C]])</f>
        <v>0</v>
      </c>
      <c r="AG542" s="21">
        <f>cadangan3[[#This Row],[Qty A]]+cadangan3[[#This Row],[Qty B]]+cadangan3[[#This Row],[Qty C]]</f>
        <v>2</v>
      </c>
      <c r="AH542" s="35">
        <f>cadangan3[[#This Row],[Harga A + Diskon]]+cadangan3[[#This Row],[Harga + Diskon B]]+cadangan3[[#This Row],[Harga + Diskon C]]</f>
        <v>630000</v>
      </c>
      <c r="AI542" s="35">
        <f>(cadangan3[[#This Row],[Profit A]]+cadangan3[[#This Row],[Profit B]]+cadangan3[[#This Row],[Profit C]])</f>
        <v>250000</v>
      </c>
      <c r="AJ542" s="35">
        <f>cadangan3[[#This Row],[Provit A + Diskon]]+cadangan3[[#This Row],[Provit B + Diskon]]+cadangan3[[#This Row],[Provit C + Diskon]]</f>
        <v>225000</v>
      </c>
      <c r="AK542" s="23" t="s">
        <v>30</v>
      </c>
      <c r="AL542" s="37">
        <f>IFERROR(INDEX('Kode Diskon'!$D$3:$D$9,MATCH(cadangan3[[#This Row],[Kode diskon]],'Kode Diskon'!$C$3:$C$9,0)),"-")</f>
        <v>0.1</v>
      </c>
      <c r="AM542" s="23" t="s">
        <v>29</v>
      </c>
      <c r="AN542" s="23" t="s">
        <v>10</v>
      </c>
      <c r="AO542" s="23" t="s">
        <v>80</v>
      </c>
      <c r="AP542" s="24">
        <v>45021</v>
      </c>
      <c r="AQ542" s="23" t="str">
        <f>TEXT(cadangan3[[#This Row],[Tanggal terjual]],"dddd")</f>
        <v>Wednesday</v>
      </c>
    </row>
    <row r="543" spans="1:43" x14ac:dyDescent="0.2">
      <c r="A543" s="20">
        <v>542</v>
      </c>
      <c r="B543" s="21" t="str">
        <f>_xlfn.CONCAT("ORD-",INDEX(Helper!$B$2:$B$5,MATCH(cadangan3[[#This Row],[Marketplace]],Helper!$A$2:$A$5,0)),TEXT(cadangan3[[#This Row],[No]],"0000"),"-",TEXT(cadangan3[[#This Row],[Tanggal terjual]],"dd/mm/yy"))</f>
        <v>ORD-SP0542-04/04/23</v>
      </c>
      <c r="C543" t="s">
        <v>62</v>
      </c>
      <c r="D543" t="str">
        <f>IFERROR(INDEX(Katalog!$A$3:$A$12,MATCH(cadangan3[[#This Row],[ItemID A]],Katalog!$C$3:$C$12,0)),"-")</f>
        <v>Pakaian Pria</v>
      </c>
      <c r="E543" t="str">
        <f>IFERROR(INDEX(Katalog!$B$3:$B$12,MATCH(cadangan3[[#This Row],[ItemID A]],Katalog!$C$3:$C$12,0)),"-")</f>
        <v>Celana Pendek</v>
      </c>
      <c r="F543">
        <v>1</v>
      </c>
      <c r="G543">
        <v>4</v>
      </c>
      <c r="H543" s="36">
        <f>IFERROR(INDEX(Katalog!$D$3:$D$12,MATCH(cadangan3[[#This Row],[ItemID A]],Katalog!$C$3:$C$12,0))*cadangan3[[#This Row],[Qty A]],0)</f>
        <v>180000</v>
      </c>
      <c r="I543" s="36">
        <f>IFERROR(INDEX(Katalog!$D$3:$D$12,MATCH(cadangan3[[#This Row],[Item A]],Katalog!$B$3:$B$12,0))*cadangan3[[#This Row],[Qty A]],0)</f>
        <v>180000</v>
      </c>
      <c r="J543" s="36">
        <f>IFERROR(cadangan3[[#This Row],[Harga Asli A]]-(cadangan3[[#This Row],[Harga Asli A]]*cadangan3[[#This Row],[Diskon]]),cadangan3[[#This Row],[Harga Asli A]])</f>
        <v>162000</v>
      </c>
      <c r="K543" s="36">
        <f>INDEX(Katalog!$F$3:$F$12,MATCH(cadangan3[[#This Row],[ItemID A]],Katalog!$C$3:$C$12,0))*cadangan3[[#This Row],[Qty A]]</f>
        <v>70000</v>
      </c>
      <c r="L543" s="36">
        <f>IFERROR(cadangan3[[#This Row],[Profit A]]-(cadangan3[[#This Row],[Profit A]]*cadangan3[[#This Row],[Diskon]]),K543)</f>
        <v>63000</v>
      </c>
      <c r="M543" t="s">
        <v>58</v>
      </c>
      <c r="N543" t="str">
        <f>IFERROR(INDEX(Katalog!$A$3:$A$12,MATCH(cadangan3[[#This Row],[ItemID B]],Katalog!$C$3:$C$12,0)),"-")</f>
        <v>Pakaian Wanita</v>
      </c>
      <c r="O543" t="str">
        <f>IFERROR(INDEX(Katalog!$B$3:$B$12,MATCH(cadangan3[[#This Row],[ItemID B]],Katalog!$C$3:$C$12,0)),"-")</f>
        <v>Dress</v>
      </c>
      <c r="P543">
        <v>2</v>
      </c>
      <c r="Q543">
        <v>2</v>
      </c>
      <c r="R543" s="36">
        <f>IFERROR(INDEX(Katalog!$D$3:$D$12,MATCH(cadangan3[[#This Row],[ItemID B]],Katalog!$C$3:$C$12,0))*cadangan3[[#This Row],[Qty B]],0)</f>
        <v>600000</v>
      </c>
      <c r="S543" s="36">
        <f>IFERROR(INDEX(Katalog!$D$3:$D$12,MATCH(cadangan3[[#This Row],[Item B]],Katalog!$B$3:$B$12,0))*cadangan3[[#This Row],[Qty B]],0)</f>
        <v>600000</v>
      </c>
      <c r="T543" s="36">
        <f>IFERROR(cadangan3[[#This Row],[Harga Asli B]]-(cadangan3[[#This Row],[Harga Asli B]]*cadangan3[[#This Row],[Diskon]]),cadangan3[[#This Row],[Harga Asli B]])</f>
        <v>540000</v>
      </c>
      <c r="U543" s="36">
        <f>IFERROR(INDEX(Katalog!$F$3:$F$12,MATCH(cadangan3[[#This Row],[ItemID B]],Katalog!$C$3:$C$12,0))*cadangan3[[#This Row],[Qty B]],0)</f>
        <v>200000</v>
      </c>
      <c r="V543" s="36">
        <f>IFERROR(cadangan3[[#This Row],[Profit B]]-(cadangan3[[#This Row],[Profit B]]*cadangan3[[#This Row],[Diskon]]),U543)</f>
        <v>180000</v>
      </c>
      <c r="W543" t="s">
        <v>64</v>
      </c>
      <c r="X543" t="str">
        <f>IFERROR(INDEX(Katalog!$A$3:$A$12,MATCH(cadangan3[[#This Row],[ItemID C]],Katalog!$C$3:$C$12,0)),"-")</f>
        <v>Pakaian Unisex</v>
      </c>
      <c r="Y543" t="str">
        <f>IFERROR(INDEX(Katalog!$B$3:$B$12,MATCH(cadangan3[[#This Row],[ItemID C]],Katalog!$C$3:$C$12,0)),"-")</f>
        <v>Jaket Hoodie</v>
      </c>
      <c r="Z543">
        <v>2</v>
      </c>
      <c r="AA543">
        <v>4</v>
      </c>
      <c r="AB543" s="36">
        <f>IFERROR(INDEX(Katalog!$D$3:$D$12,MATCH(cadangan3[[#This Row],[ItemID C]],Katalog!$C$3:$C$12,0))*cadangan3[[#This Row],[Qty C]],0)</f>
        <v>700000</v>
      </c>
      <c r="AC543" s="36">
        <f>IFERROR(INDEX(Katalog!$D$3:$D$12,MATCH(cadangan3[[#This Row],[Item C]],Katalog!$B$3:$B$12,0))*cadangan3[[#This Row],[Qty C]],0)</f>
        <v>700000</v>
      </c>
      <c r="AD543" s="36">
        <f>IFERROR(cadangan3[[#This Row],[Harga Asli C]]-(cadangan3[[#This Row],[Harga Asli C]]*cadangan3[[#This Row],[Diskon]]),cadangan3[[#This Row],[Harga Asli C]])</f>
        <v>630000</v>
      </c>
      <c r="AE543" s="36">
        <f>IFERROR(INDEX(Katalog!$F$3:$F$12,MATCH(cadangan3[[#This Row],[ItemID C]],Katalog!$C$3:$C$12,0))*cadangan3[[#This Row],[Qty C]],0)</f>
        <v>260000</v>
      </c>
      <c r="AF543" s="36">
        <f>IFERROR(cadangan3[[#This Row],[Profit C]]-(cadangan3[[#This Row],[Profit C]]*cadangan3[[#This Row],[Diskon]]),cadangan3[[#This Row],[Profit C]])</f>
        <v>234000</v>
      </c>
      <c r="AG543" s="21">
        <f>cadangan3[[#This Row],[Qty A]]+cadangan3[[#This Row],[Qty B]]+cadangan3[[#This Row],[Qty C]]</f>
        <v>5</v>
      </c>
      <c r="AH543" s="35">
        <f>cadangan3[[#This Row],[Harga A + Diskon]]+cadangan3[[#This Row],[Harga + Diskon B]]+cadangan3[[#This Row],[Harga + Diskon C]]</f>
        <v>1332000</v>
      </c>
      <c r="AI543" s="35">
        <f>(cadangan3[[#This Row],[Profit A]]+cadangan3[[#This Row],[Profit B]]+cadangan3[[#This Row],[Profit C]])</f>
        <v>530000</v>
      </c>
      <c r="AJ543" s="35">
        <f>cadangan3[[#This Row],[Provit A + Diskon]]+cadangan3[[#This Row],[Provit B + Diskon]]+cadangan3[[#This Row],[Provit C + Diskon]]</f>
        <v>477000</v>
      </c>
      <c r="AK543" s="23" t="s">
        <v>6</v>
      </c>
      <c r="AL543" s="37">
        <f>IFERROR(INDEX('Kode Diskon'!$D$3:$D$9,MATCH(cadangan3[[#This Row],[Kode diskon]],'Kode Diskon'!$C$3:$C$9,0)),"-")</f>
        <v>0.1</v>
      </c>
      <c r="AM543" s="23" t="s">
        <v>29</v>
      </c>
      <c r="AN543" s="23" t="s">
        <v>7</v>
      </c>
      <c r="AO543" s="23" t="s">
        <v>76</v>
      </c>
      <c r="AP543" s="24">
        <v>45020</v>
      </c>
      <c r="AQ543" s="23" t="str">
        <f>TEXT(cadangan3[[#This Row],[Tanggal terjual]],"dddd")</f>
        <v>Tuesday</v>
      </c>
    </row>
    <row r="544" spans="1:43" x14ac:dyDescent="0.2">
      <c r="A544" s="20">
        <v>543</v>
      </c>
      <c r="B544" s="21" t="str">
        <f>_xlfn.CONCAT("ORD-",INDEX(Helper!$B$2:$B$5,MATCH(cadangan3[[#This Row],[Marketplace]],Helper!$A$2:$A$5,0)),TEXT(cadangan3[[#This Row],[No]],"0000"),"-",TEXT(cadangan3[[#This Row],[Tanggal terjual]],"dd/mm/yy"))</f>
        <v>ORD-SP0543-01/04/23</v>
      </c>
      <c r="C544" t="s">
        <v>58</v>
      </c>
      <c r="D544" t="str">
        <f>IFERROR(INDEX(Katalog!$A$3:$A$12,MATCH(cadangan3[[#This Row],[ItemID A]],Katalog!$C$3:$C$12,0)),"-")</f>
        <v>Pakaian Wanita</v>
      </c>
      <c r="E544" t="str">
        <f>IFERROR(INDEX(Katalog!$B$3:$B$12,MATCH(cadangan3[[#This Row],[ItemID A]],Katalog!$C$3:$C$12,0)),"-")</f>
        <v>Dress</v>
      </c>
      <c r="F544">
        <v>1</v>
      </c>
      <c r="G544">
        <v>5</v>
      </c>
      <c r="H544" s="36">
        <f>IFERROR(INDEX(Katalog!$D$3:$D$12,MATCH(cadangan3[[#This Row],[ItemID A]],Katalog!$C$3:$C$12,0))*cadangan3[[#This Row],[Qty A]],0)</f>
        <v>300000</v>
      </c>
      <c r="I544" s="36">
        <f>IFERROR(INDEX(Katalog!$D$3:$D$12,MATCH(cadangan3[[#This Row],[Item A]],Katalog!$B$3:$B$12,0))*cadangan3[[#This Row],[Qty A]],0)</f>
        <v>300000</v>
      </c>
      <c r="J544" s="36">
        <f>IFERROR(cadangan3[[#This Row],[Harga Asli A]]-(cadangan3[[#This Row],[Harga Asli A]]*cadangan3[[#This Row],[Diskon]]),cadangan3[[#This Row],[Harga Asli A]])</f>
        <v>255000</v>
      </c>
      <c r="K544" s="36">
        <f>INDEX(Katalog!$F$3:$F$12,MATCH(cadangan3[[#This Row],[ItemID A]],Katalog!$C$3:$C$12,0))*cadangan3[[#This Row],[Qty A]]</f>
        <v>100000</v>
      </c>
      <c r="L544" s="36">
        <f>IFERROR(cadangan3[[#This Row],[Profit A]]-(cadangan3[[#This Row],[Profit A]]*cadangan3[[#This Row],[Diskon]]),K544)</f>
        <v>85000</v>
      </c>
      <c r="M544" t="s">
        <v>63</v>
      </c>
      <c r="N544" t="str">
        <f>IFERROR(INDEX(Katalog!$A$3:$A$12,MATCH(cadangan3[[#This Row],[ItemID B]],Katalog!$C$3:$C$12,0)),"-")</f>
        <v>Pakaian Pria</v>
      </c>
      <c r="O544" t="str">
        <f>IFERROR(INDEX(Katalog!$B$3:$B$12,MATCH(cadangan3[[#This Row],[ItemID B]],Katalog!$C$3:$C$12,0)),"-")</f>
        <v>Jaket Jeans</v>
      </c>
      <c r="P544">
        <v>1</v>
      </c>
      <c r="Q544">
        <v>2</v>
      </c>
      <c r="R544" s="36">
        <f>IFERROR(INDEX(Katalog!$D$3:$D$12,MATCH(cadangan3[[#This Row],[ItemID B]],Katalog!$C$3:$C$12,0))*cadangan3[[#This Row],[Qty B]],0)</f>
        <v>400000</v>
      </c>
      <c r="S544" s="36">
        <f>IFERROR(INDEX(Katalog!$D$3:$D$12,MATCH(cadangan3[[#This Row],[Item B]],Katalog!$B$3:$B$12,0))*cadangan3[[#This Row],[Qty B]],0)</f>
        <v>400000</v>
      </c>
      <c r="T544" s="36">
        <f>IFERROR(cadangan3[[#This Row],[Harga Asli B]]-(cadangan3[[#This Row],[Harga Asli B]]*cadangan3[[#This Row],[Diskon]]),cadangan3[[#This Row],[Harga Asli B]])</f>
        <v>340000</v>
      </c>
      <c r="U544" s="36">
        <f>IFERROR(INDEX(Katalog!$F$3:$F$12,MATCH(cadangan3[[#This Row],[ItemID B]],Katalog!$C$3:$C$12,0))*cadangan3[[#This Row],[Qty B]],0)</f>
        <v>150000</v>
      </c>
      <c r="V544" s="36">
        <f>IFERROR(cadangan3[[#This Row],[Profit B]]-(cadangan3[[#This Row],[Profit B]]*cadangan3[[#This Row],[Diskon]]),U544)</f>
        <v>127500</v>
      </c>
      <c r="X544" t="str">
        <f>IFERROR(INDEX(Katalog!$A$3:$A$12,MATCH(cadangan3[[#This Row],[ItemID C]],Katalog!$C$3:$C$12,0)),"-")</f>
        <v>-</v>
      </c>
      <c r="Y544" t="str">
        <f>IFERROR(INDEX(Katalog!$B$3:$B$12,MATCH(cadangan3[[#This Row],[ItemID C]],Katalog!$C$3:$C$12,0)),"-")</f>
        <v>-</v>
      </c>
      <c r="AB544" s="36">
        <f>IFERROR(INDEX(Katalog!$D$3:$D$12,MATCH(cadangan3[[#This Row],[ItemID C]],Katalog!$C$3:$C$12,0))*cadangan3[[#This Row],[Qty C]],0)</f>
        <v>0</v>
      </c>
      <c r="AC544" s="36">
        <f>IFERROR(INDEX(Katalog!$D$3:$D$12,MATCH(cadangan3[[#This Row],[Item C]],Katalog!$B$3:$B$12,0))*cadangan3[[#This Row],[Qty C]],0)</f>
        <v>0</v>
      </c>
      <c r="AD544" s="36">
        <f>IFERROR(cadangan3[[#This Row],[Harga Asli C]]-(cadangan3[[#This Row],[Harga Asli C]]*cadangan3[[#This Row],[Diskon]]),cadangan3[[#This Row],[Harga Asli C]])</f>
        <v>0</v>
      </c>
      <c r="AE544" s="36">
        <f>IFERROR(INDEX(Katalog!$F$3:$F$12,MATCH(cadangan3[[#This Row],[ItemID C]],Katalog!$C$3:$C$12,0))*cadangan3[[#This Row],[Qty C]],0)</f>
        <v>0</v>
      </c>
      <c r="AF544" s="36">
        <f>IFERROR(cadangan3[[#This Row],[Profit C]]-(cadangan3[[#This Row],[Profit C]]*cadangan3[[#This Row],[Diskon]]),cadangan3[[#This Row],[Profit C]])</f>
        <v>0</v>
      </c>
      <c r="AG544" s="21">
        <f>cadangan3[[#This Row],[Qty A]]+cadangan3[[#This Row],[Qty B]]+cadangan3[[#This Row],[Qty C]]</f>
        <v>2</v>
      </c>
      <c r="AH544" s="35">
        <f>cadangan3[[#This Row],[Harga A + Diskon]]+cadangan3[[#This Row],[Harga + Diskon B]]+cadangan3[[#This Row],[Harga + Diskon C]]</f>
        <v>595000</v>
      </c>
      <c r="AI544" s="35">
        <f>(cadangan3[[#This Row],[Profit A]]+cadangan3[[#This Row],[Profit B]]+cadangan3[[#This Row],[Profit C]])</f>
        <v>250000</v>
      </c>
      <c r="AJ544" s="35">
        <f>cadangan3[[#This Row],[Provit A + Diskon]]+cadangan3[[#This Row],[Provit B + Diskon]]+cadangan3[[#This Row],[Provit C + Diskon]]</f>
        <v>212500</v>
      </c>
      <c r="AK544" s="23" t="s">
        <v>13</v>
      </c>
      <c r="AL544" s="37">
        <f>IFERROR(INDEX('Kode Diskon'!$D$3:$D$9,MATCH(cadangan3[[#This Row],[Kode diskon]],'Kode Diskon'!$C$3:$C$9,0)),"-")</f>
        <v>0.15</v>
      </c>
      <c r="AM544" s="23" t="s">
        <v>29</v>
      </c>
      <c r="AN544" s="23" t="s">
        <v>7</v>
      </c>
      <c r="AO544" s="23" t="s">
        <v>80</v>
      </c>
      <c r="AP544" s="24">
        <v>45017</v>
      </c>
      <c r="AQ544" s="23" t="str">
        <f>TEXT(cadangan3[[#This Row],[Tanggal terjual]],"dddd")</f>
        <v>Saturday</v>
      </c>
    </row>
    <row r="545" spans="1:43" x14ac:dyDescent="0.2">
      <c r="A545" s="20">
        <v>544</v>
      </c>
      <c r="B545" s="21" t="str">
        <f>_xlfn.CONCAT("ORD-",INDEX(Helper!$B$2:$B$5,MATCH(cadangan3[[#This Row],[Marketplace]],Helper!$A$2:$A$5,0)),TEXT(cadangan3[[#This Row],[No]],"0000"),"-",TEXT(cadangan3[[#This Row],[Tanggal terjual]],"dd/mm/yy"))</f>
        <v>ORD-BL0544-26/04/23</v>
      </c>
      <c r="C545" t="s">
        <v>63</v>
      </c>
      <c r="D545" t="str">
        <f>IFERROR(INDEX(Katalog!$A$3:$A$12,MATCH(cadangan3[[#This Row],[ItemID A]],Katalog!$C$3:$C$12,0)),"-")</f>
        <v>Pakaian Pria</v>
      </c>
      <c r="E545" t="str">
        <f>IFERROR(INDEX(Katalog!$B$3:$B$12,MATCH(cadangan3[[#This Row],[ItemID A]],Katalog!$C$3:$C$12,0)),"-")</f>
        <v>Jaket Jeans</v>
      </c>
      <c r="F545">
        <v>2</v>
      </c>
      <c r="G545">
        <v>2</v>
      </c>
      <c r="H545" s="36">
        <f>IFERROR(INDEX(Katalog!$D$3:$D$12,MATCH(cadangan3[[#This Row],[ItemID A]],Katalog!$C$3:$C$12,0))*cadangan3[[#This Row],[Qty A]],0)</f>
        <v>800000</v>
      </c>
      <c r="I545" s="36">
        <f>IFERROR(INDEX(Katalog!$D$3:$D$12,MATCH(cadangan3[[#This Row],[Item A]],Katalog!$B$3:$B$12,0))*cadangan3[[#This Row],[Qty A]],0)</f>
        <v>800000</v>
      </c>
      <c r="J545" s="36">
        <f>IFERROR(cadangan3[[#This Row],[Harga Asli A]]-(cadangan3[[#This Row],[Harga Asli A]]*cadangan3[[#This Row],[Diskon]]),cadangan3[[#This Row],[Harga Asli A]])</f>
        <v>680000</v>
      </c>
      <c r="K545" s="36">
        <f>INDEX(Katalog!$F$3:$F$12,MATCH(cadangan3[[#This Row],[ItemID A]],Katalog!$C$3:$C$12,0))*cadangan3[[#This Row],[Qty A]]</f>
        <v>300000</v>
      </c>
      <c r="L545" s="36">
        <f>IFERROR(cadangan3[[#This Row],[Profit A]]-(cadangan3[[#This Row],[Profit A]]*cadangan3[[#This Row],[Diskon]]),K545)</f>
        <v>255000</v>
      </c>
      <c r="M545" t="s">
        <v>62</v>
      </c>
      <c r="N545" t="str">
        <f>IFERROR(INDEX(Katalog!$A$3:$A$12,MATCH(cadangan3[[#This Row],[ItemID B]],Katalog!$C$3:$C$12,0)),"-")</f>
        <v>Pakaian Pria</v>
      </c>
      <c r="O545" t="str">
        <f>IFERROR(INDEX(Katalog!$B$3:$B$12,MATCH(cadangan3[[#This Row],[ItemID B]],Katalog!$C$3:$C$12,0)),"-")</f>
        <v>Celana Pendek</v>
      </c>
      <c r="P545">
        <v>1</v>
      </c>
      <c r="Q545">
        <v>3</v>
      </c>
      <c r="R545" s="36">
        <f>IFERROR(INDEX(Katalog!$D$3:$D$12,MATCH(cadangan3[[#This Row],[ItemID B]],Katalog!$C$3:$C$12,0))*cadangan3[[#This Row],[Qty B]],0)</f>
        <v>180000</v>
      </c>
      <c r="S545" s="36">
        <f>IFERROR(INDEX(Katalog!$D$3:$D$12,MATCH(cadangan3[[#This Row],[Item B]],Katalog!$B$3:$B$12,0))*cadangan3[[#This Row],[Qty B]],0)</f>
        <v>180000</v>
      </c>
      <c r="T545" s="36">
        <f>IFERROR(cadangan3[[#This Row],[Harga Asli B]]-(cadangan3[[#This Row],[Harga Asli B]]*cadangan3[[#This Row],[Diskon]]),cadangan3[[#This Row],[Harga Asli B]])</f>
        <v>153000</v>
      </c>
      <c r="U545" s="36">
        <f>IFERROR(INDEX(Katalog!$F$3:$F$12,MATCH(cadangan3[[#This Row],[ItemID B]],Katalog!$C$3:$C$12,0))*cadangan3[[#This Row],[Qty B]],0)</f>
        <v>70000</v>
      </c>
      <c r="V545" s="36">
        <f>IFERROR(cadangan3[[#This Row],[Profit B]]-(cadangan3[[#This Row],[Profit B]]*cadangan3[[#This Row],[Diskon]]),U545)</f>
        <v>59500</v>
      </c>
      <c r="X545" t="str">
        <f>IFERROR(INDEX(Katalog!$A$3:$A$12,MATCH(cadangan3[[#This Row],[ItemID C]],Katalog!$C$3:$C$12,0)),"-")</f>
        <v>-</v>
      </c>
      <c r="Y545" t="str">
        <f>IFERROR(INDEX(Katalog!$B$3:$B$12,MATCH(cadangan3[[#This Row],[ItemID C]],Katalog!$C$3:$C$12,0)),"-")</f>
        <v>-</v>
      </c>
      <c r="AB545" s="36">
        <f>IFERROR(INDEX(Katalog!$D$3:$D$12,MATCH(cadangan3[[#This Row],[ItemID C]],Katalog!$C$3:$C$12,0))*cadangan3[[#This Row],[Qty C]],0)</f>
        <v>0</v>
      </c>
      <c r="AC545" s="36">
        <f>IFERROR(INDEX(Katalog!$D$3:$D$12,MATCH(cadangan3[[#This Row],[Item C]],Katalog!$B$3:$B$12,0))*cadangan3[[#This Row],[Qty C]],0)</f>
        <v>0</v>
      </c>
      <c r="AD545" s="36">
        <f>IFERROR(cadangan3[[#This Row],[Harga Asli C]]-(cadangan3[[#This Row],[Harga Asli C]]*cadangan3[[#This Row],[Diskon]]),cadangan3[[#This Row],[Harga Asli C]])</f>
        <v>0</v>
      </c>
      <c r="AE545" s="36">
        <f>IFERROR(INDEX(Katalog!$F$3:$F$12,MATCH(cadangan3[[#This Row],[ItemID C]],Katalog!$C$3:$C$12,0))*cadangan3[[#This Row],[Qty C]],0)</f>
        <v>0</v>
      </c>
      <c r="AF545" s="36">
        <f>IFERROR(cadangan3[[#This Row],[Profit C]]-(cadangan3[[#This Row],[Profit C]]*cadangan3[[#This Row],[Diskon]]),cadangan3[[#This Row],[Profit C]])</f>
        <v>0</v>
      </c>
      <c r="AG545" s="21">
        <f>cadangan3[[#This Row],[Qty A]]+cadangan3[[#This Row],[Qty B]]+cadangan3[[#This Row],[Qty C]]</f>
        <v>3</v>
      </c>
      <c r="AH545" s="35">
        <f>cadangan3[[#This Row],[Harga A + Diskon]]+cadangan3[[#This Row],[Harga + Diskon B]]+cadangan3[[#This Row],[Harga + Diskon C]]</f>
        <v>833000</v>
      </c>
      <c r="AI545" s="35">
        <f>(cadangan3[[#This Row],[Profit A]]+cadangan3[[#This Row],[Profit B]]+cadangan3[[#This Row],[Profit C]])</f>
        <v>370000</v>
      </c>
      <c r="AJ545" s="35">
        <f>cadangan3[[#This Row],[Provit A + Diskon]]+cadangan3[[#This Row],[Provit B + Diskon]]+cadangan3[[#This Row],[Provit C + Diskon]]</f>
        <v>314500</v>
      </c>
      <c r="AK545" s="23" t="s">
        <v>32</v>
      </c>
      <c r="AL545" s="37">
        <f>IFERROR(INDEX('Kode Diskon'!$D$3:$D$9,MATCH(cadangan3[[#This Row],[Kode diskon]],'Kode Diskon'!$C$3:$C$9,0)),"-")</f>
        <v>0.15</v>
      </c>
      <c r="AM545" s="23" t="s">
        <v>9</v>
      </c>
      <c r="AN545" s="23" t="s">
        <v>12</v>
      </c>
      <c r="AO545" s="23" t="s">
        <v>75</v>
      </c>
      <c r="AP545" s="24">
        <v>45042</v>
      </c>
      <c r="AQ545" s="23" t="str">
        <f>TEXT(cadangan3[[#This Row],[Tanggal terjual]],"dddd")</f>
        <v>Wednesday</v>
      </c>
    </row>
    <row r="546" spans="1:43" x14ac:dyDescent="0.2">
      <c r="A546" s="20">
        <v>545</v>
      </c>
      <c r="B546" s="21" t="str">
        <f>_xlfn.CONCAT("ORD-",INDEX(Helper!$B$2:$B$5,MATCH(cadangan3[[#This Row],[Marketplace]],Helper!$A$2:$A$5,0)),TEXT(cadangan3[[#This Row],[No]],"0000"),"-",TEXT(cadangan3[[#This Row],[Tanggal terjual]],"dd/mm/yy"))</f>
        <v>ORD-TK0545-06/04/23</v>
      </c>
      <c r="C546" t="s">
        <v>60</v>
      </c>
      <c r="D546" t="str">
        <f>IFERROR(INDEX(Katalog!$A$3:$A$12,MATCH(cadangan3[[#This Row],[ItemID A]],Katalog!$C$3:$C$12,0)),"-")</f>
        <v>Pakaian Wanita</v>
      </c>
      <c r="E546" t="str">
        <f>IFERROR(INDEX(Katalog!$B$3:$B$12,MATCH(cadangan3[[#This Row],[ItemID A]],Katalog!$C$3:$C$12,0)),"-")</f>
        <v>Kaftan</v>
      </c>
      <c r="F546">
        <v>7</v>
      </c>
      <c r="G546">
        <v>3</v>
      </c>
      <c r="H546" s="36">
        <f>IFERROR(INDEX(Katalog!$D$3:$D$12,MATCH(cadangan3[[#This Row],[ItemID A]],Katalog!$C$3:$C$12,0))*cadangan3[[#This Row],[Qty A]],0)</f>
        <v>1750000</v>
      </c>
      <c r="I546" s="36">
        <f>IFERROR(INDEX(Katalog!$D$3:$D$12,MATCH(cadangan3[[#This Row],[Item A]],Katalog!$B$3:$B$12,0))*cadangan3[[#This Row],[Qty A]],0)</f>
        <v>1750000</v>
      </c>
      <c r="J546" s="36">
        <f>IFERROR(cadangan3[[#This Row],[Harga Asli A]]-(cadangan3[[#This Row],[Harga Asli A]]*cadangan3[[#This Row],[Diskon]]),cadangan3[[#This Row],[Harga Asli A]])</f>
        <v>1575000</v>
      </c>
      <c r="K546" s="36">
        <f>INDEX(Katalog!$F$3:$F$12,MATCH(cadangan3[[#This Row],[ItemID A]],Katalog!$C$3:$C$12,0))*cadangan3[[#This Row],[Qty A]]</f>
        <v>700000</v>
      </c>
      <c r="L546" s="36">
        <f>IFERROR(cadangan3[[#This Row],[Profit A]]-(cadangan3[[#This Row],[Profit A]]*cadangan3[[#This Row],[Diskon]]),K546)</f>
        <v>630000</v>
      </c>
      <c r="N546" t="str">
        <f>IFERROR(INDEX(Katalog!$A$3:$A$12,MATCH(cadangan3[[#This Row],[ItemID B]],Katalog!$C$3:$C$12,0)),"-")</f>
        <v>-</v>
      </c>
      <c r="O546" t="str">
        <f>IFERROR(INDEX(Katalog!$B$3:$B$12,MATCH(cadangan3[[#This Row],[ItemID B]],Katalog!$C$3:$C$12,0)),"-")</f>
        <v>-</v>
      </c>
      <c r="R546" s="36">
        <f>IFERROR(INDEX(Katalog!$D$3:$D$12,MATCH(cadangan3[[#This Row],[ItemID B]],Katalog!$C$3:$C$12,0))*cadangan3[[#This Row],[Qty B]],0)</f>
        <v>0</v>
      </c>
      <c r="S546" s="36">
        <f>IFERROR(INDEX(Katalog!$D$3:$D$12,MATCH(cadangan3[[#This Row],[Item B]],Katalog!$B$3:$B$12,0))*cadangan3[[#This Row],[Qty B]],0)</f>
        <v>0</v>
      </c>
      <c r="T546" s="36">
        <f>IFERROR(cadangan3[[#This Row],[Harga Asli B]]-(cadangan3[[#This Row],[Harga Asli B]]*cadangan3[[#This Row],[Diskon]]),cadangan3[[#This Row],[Harga Asli B]])</f>
        <v>0</v>
      </c>
      <c r="U546" s="36">
        <f>IFERROR(INDEX(Katalog!$F$3:$F$12,MATCH(cadangan3[[#This Row],[ItemID B]],Katalog!$C$3:$C$12,0))*cadangan3[[#This Row],[Qty B]],0)</f>
        <v>0</v>
      </c>
      <c r="V546" s="36">
        <f>IFERROR(cadangan3[[#This Row],[Profit B]]-(cadangan3[[#This Row],[Profit B]]*cadangan3[[#This Row],[Diskon]]),U546)</f>
        <v>0</v>
      </c>
      <c r="X546" t="str">
        <f>IFERROR(INDEX(Katalog!$A$3:$A$12,MATCH(cadangan3[[#This Row],[ItemID C]],Katalog!$C$3:$C$12,0)),"-")</f>
        <v>-</v>
      </c>
      <c r="Y546" t="str">
        <f>IFERROR(INDEX(Katalog!$B$3:$B$12,MATCH(cadangan3[[#This Row],[ItemID C]],Katalog!$C$3:$C$12,0)),"-")</f>
        <v>-</v>
      </c>
      <c r="AB546" s="36">
        <f>IFERROR(INDEX(Katalog!$D$3:$D$12,MATCH(cadangan3[[#This Row],[ItemID C]],Katalog!$C$3:$C$12,0))*cadangan3[[#This Row],[Qty C]],0)</f>
        <v>0</v>
      </c>
      <c r="AC546" s="36">
        <f>IFERROR(INDEX(Katalog!$D$3:$D$12,MATCH(cadangan3[[#This Row],[Item C]],Katalog!$B$3:$B$12,0))*cadangan3[[#This Row],[Qty C]],0)</f>
        <v>0</v>
      </c>
      <c r="AD546" s="36">
        <f>IFERROR(cadangan3[[#This Row],[Harga Asli C]]-(cadangan3[[#This Row],[Harga Asli C]]*cadangan3[[#This Row],[Diskon]]),cadangan3[[#This Row],[Harga Asli C]])</f>
        <v>0</v>
      </c>
      <c r="AE546" s="36">
        <f>IFERROR(INDEX(Katalog!$F$3:$F$12,MATCH(cadangan3[[#This Row],[ItemID C]],Katalog!$C$3:$C$12,0))*cadangan3[[#This Row],[Qty C]],0)</f>
        <v>0</v>
      </c>
      <c r="AF546" s="36">
        <f>IFERROR(cadangan3[[#This Row],[Profit C]]-(cadangan3[[#This Row],[Profit C]]*cadangan3[[#This Row],[Diskon]]),cadangan3[[#This Row],[Profit C]])</f>
        <v>0</v>
      </c>
      <c r="AG546" s="21">
        <f>cadangan3[[#This Row],[Qty A]]+cadangan3[[#This Row],[Qty B]]+cadangan3[[#This Row],[Qty C]]</f>
        <v>7</v>
      </c>
      <c r="AH546" s="35">
        <f>cadangan3[[#This Row],[Harga A + Diskon]]+cadangan3[[#This Row],[Harga + Diskon B]]+cadangan3[[#This Row],[Harga + Diskon C]]</f>
        <v>1575000</v>
      </c>
      <c r="AI546" s="35">
        <f>(cadangan3[[#This Row],[Profit A]]+cadangan3[[#This Row],[Profit B]]+cadangan3[[#This Row],[Profit C]])</f>
        <v>700000</v>
      </c>
      <c r="AJ546" s="35">
        <f>cadangan3[[#This Row],[Provit A + Diskon]]+cadangan3[[#This Row],[Provit B + Diskon]]+cadangan3[[#This Row],[Provit C + Diskon]]</f>
        <v>630000</v>
      </c>
      <c r="AK546" s="23" t="s">
        <v>30</v>
      </c>
      <c r="AL546" s="37">
        <f>IFERROR(INDEX('Kode Diskon'!$D$3:$D$9,MATCH(cadangan3[[#This Row],[Kode diskon]],'Kode Diskon'!$C$3:$C$9,0)),"-")</f>
        <v>0.1</v>
      </c>
      <c r="AM546" s="23" t="s">
        <v>29</v>
      </c>
      <c r="AN546" s="23" t="s">
        <v>10</v>
      </c>
      <c r="AO546" s="23" t="s">
        <v>80</v>
      </c>
      <c r="AP546" s="24">
        <v>45022</v>
      </c>
      <c r="AQ546" s="23" t="str">
        <f>TEXT(cadangan3[[#This Row],[Tanggal terjual]],"dddd")</f>
        <v>Thursday</v>
      </c>
    </row>
    <row r="547" spans="1:43" x14ac:dyDescent="0.2">
      <c r="A547" s="20">
        <v>546</v>
      </c>
      <c r="B547" s="21" t="str">
        <f>_xlfn.CONCAT("ORD-",INDEX(Helper!$B$2:$B$5,MATCH(cadangan3[[#This Row],[Marketplace]],Helper!$A$2:$A$5,0)),TEXT(cadangan3[[#This Row],[No]],"0000"),"-",TEXT(cadangan3[[#This Row],[Tanggal terjual]],"dd/mm/yy"))</f>
        <v>ORD-BL0546-14/04/23</v>
      </c>
      <c r="C547" t="s">
        <v>64</v>
      </c>
      <c r="D547" t="str">
        <f>IFERROR(INDEX(Katalog!$A$3:$A$12,MATCH(cadangan3[[#This Row],[ItemID A]],Katalog!$C$3:$C$12,0)),"-")</f>
        <v>Pakaian Unisex</v>
      </c>
      <c r="E547" t="str">
        <f>IFERROR(INDEX(Katalog!$B$3:$B$12,MATCH(cadangan3[[#This Row],[ItemID A]],Katalog!$C$3:$C$12,0)),"-")</f>
        <v>Jaket Hoodie</v>
      </c>
      <c r="F547">
        <v>1</v>
      </c>
      <c r="G547">
        <v>4</v>
      </c>
      <c r="H547" s="36">
        <f>IFERROR(INDEX(Katalog!$D$3:$D$12,MATCH(cadangan3[[#This Row],[ItemID A]],Katalog!$C$3:$C$12,0))*cadangan3[[#This Row],[Qty A]],0)</f>
        <v>350000</v>
      </c>
      <c r="I547" s="36">
        <f>IFERROR(INDEX(Katalog!$D$3:$D$12,MATCH(cadangan3[[#This Row],[Item A]],Katalog!$B$3:$B$12,0))*cadangan3[[#This Row],[Qty A]],0)</f>
        <v>350000</v>
      </c>
      <c r="J547" s="36">
        <f>IFERROR(cadangan3[[#This Row],[Harga Asli A]]-(cadangan3[[#This Row],[Harga Asli A]]*cadangan3[[#This Row],[Diskon]]),cadangan3[[#This Row],[Harga Asli A]])</f>
        <v>350000</v>
      </c>
      <c r="K547" s="36">
        <f>INDEX(Katalog!$F$3:$F$12,MATCH(cadangan3[[#This Row],[ItemID A]],Katalog!$C$3:$C$12,0))*cadangan3[[#This Row],[Qty A]]</f>
        <v>130000</v>
      </c>
      <c r="L547" s="36">
        <f>IFERROR(cadangan3[[#This Row],[Profit A]]-(cadangan3[[#This Row],[Profit A]]*cadangan3[[#This Row],[Diskon]]),K547)</f>
        <v>130000</v>
      </c>
      <c r="M547" t="s">
        <v>62</v>
      </c>
      <c r="N547" t="str">
        <f>IFERROR(INDEX(Katalog!$A$3:$A$12,MATCH(cadangan3[[#This Row],[ItemID B]],Katalog!$C$3:$C$12,0)),"-")</f>
        <v>Pakaian Pria</v>
      </c>
      <c r="O547" t="str">
        <f>IFERROR(INDEX(Katalog!$B$3:$B$12,MATCH(cadangan3[[#This Row],[ItemID B]],Katalog!$C$3:$C$12,0)),"-")</f>
        <v>Celana Pendek</v>
      </c>
      <c r="P547">
        <v>2</v>
      </c>
      <c r="Q547">
        <v>3</v>
      </c>
      <c r="R547" s="36">
        <f>IFERROR(INDEX(Katalog!$D$3:$D$12,MATCH(cadangan3[[#This Row],[ItemID B]],Katalog!$C$3:$C$12,0))*cadangan3[[#This Row],[Qty B]],0)</f>
        <v>360000</v>
      </c>
      <c r="S547" s="36">
        <f>IFERROR(INDEX(Katalog!$D$3:$D$12,MATCH(cadangan3[[#This Row],[Item B]],Katalog!$B$3:$B$12,0))*cadangan3[[#This Row],[Qty B]],0)</f>
        <v>360000</v>
      </c>
      <c r="T547" s="36">
        <f>IFERROR(cadangan3[[#This Row],[Harga Asli B]]-(cadangan3[[#This Row],[Harga Asli B]]*cadangan3[[#This Row],[Diskon]]),cadangan3[[#This Row],[Harga Asli B]])</f>
        <v>360000</v>
      </c>
      <c r="U547" s="36">
        <f>IFERROR(INDEX(Katalog!$F$3:$F$12,MATCH(cadangan3[[#This Row],[ItemID B]],Katalog!$C$3:$C$12,0))*cadangan3[[#This Row],[Qty B]],0)</f>
        <v>140000</v>
      </c>
      <c r="V547" s="36">
        <f>IFERROR(cadangan3[[#This Row],[Profit B]]-(cadangan3[[#This Row],[Profit B]]*cadangan3[[#This Row],[Diskon]]),U547)</f>
        <v>140000</v>
      </c>
      <c r="X547" t="str">
        <f>IFERROR(INDEX(Katalog!$A$3:$A$12,MATCH(cadangan3[[#This Row],[ItemID C]],Katalog!$C$3:$C$12,0)),"-")</f>
        <v>-</v>
      </c>
      <c r="Y547" t="str">
        <f>IFERROR(INDEX(Katalog!$B$3:$B$12,MATCH(cadangan3[[#This Row],[ItemID C]],Katalog!$C$3:$C$12,0)),"-")</f>
        <v>-</v>
      </c>
      <c r="AB547" s="36">
        <f>IFERROR(INDEX(Katalog!$D$3:$D$12,MATCH(cadangan3[[#This Row],[ItemID C]],Katalog!$C$3:$C$12,0))*cadangan3[[#This Row],[Qty C]],0)</f>
        <v>0</v>
      </c>
      <c r="AC547" s="36">
        <f>IFERROR(INDEX(Katalog!$D$3:$D$12,MATCH(cadangan3[[#This Row],[Item C]],Katalog!$B$3:$B$12,0))*cadangan3[[#This Row],[Qty C]],0)</f>
        <v>0</v>
      </c>
      <c r="AD547" s="36">
        <f>IFERROR(cadangan3[[#This Row],[Harga Asli C]]-(cadangan3[[#This Row],[Harga Asli C]]*cadangan3[[#This Row],[Diskon]]),cadangan3[[#This Row],[Harga Asli C]])</f>
        <v>0</v>
      </c>
      <c r="AE547" s="36">
        <f>IFERROR(INDEX(Katalog!$F$3:$F$12,MATCH(cadangan3[[#This Row],[ItemID C]],Katalog!$C$3:$C$12,0))*cadangan3[[#This Row],[Qty C]],0)</f>
        <v>0</v>
      </c>
      <c r="AF547" s="36">
        <f>IFERROR(cadangan3[[#This Row],[Profit C]]-(cadangan3[[#This Row],[Profit C]]*cadangan3[[#This Row],[Diskon]]),cadangan3[[#This Row],[Profit C]])</f>
        <v>0</v>
      </c>
      <c r="AG547" s="21">
        <f>cadangan3[[#This Row],[Qty A]]+cadangan3[[#This Row],[Qty B]]+cadangan3[[#This Row],[Qty C]]</f>
        <v>3</v>
      </c>
      <c r="AH547" s="35">
        <f>cadangan3[[#This Row],[Harga A + Diskon]]+cadangan3[[#This Row],[Harga + Diskon B]]+cadangan3[[#This Row],[Harga + Diskon C]]</f>
        <v>710000</v>
      </c>
      <c r="AI547" s="35">
        <f>(cadangan3[[#This Row],[Profit A]]+cadangan3[[#This Row],[Profit B]]+cadangan3[[#This Row],[Profit C]])</f>
        <v>270000</v>
      </c>
      <c r="AJ547" s="35">
        <f>cadangan3[[#This Row],[Provit A + Diskon]]+cadangan3[[#This Row],[Provit B + Diskon]]+cadangan3[[#This Row],[Provit C + Diskon]]</f>
        <v>270000</v>
      </c>
      <c r="AK547" s="23" t="s">
        <v>11</v>
      </c>
      <c r="AL547" s="37" t="str">
        <f>IFERROR(INDEX('Kode Diskon'!$D$3:$D$9,MATCH(cadangan3[[#This Row],[Kode diskon]],'Kode Diskon'!$C$3:$C$9,0)),"-")</f>
        <v>-</v>
      </c>
      <c r="AM547" s="23" t="s">
        <v>11</v>
      </c>
      <c r="AN547" s="23" t="s">
        <v>12</v>
      </c>
      <c r="AO547" s="23" t="s">
        <v>76</v>
      </c>
      <c r="AP547" s="24">
        <v>45030</v>
      </c>
      <c r="AQ547" s="23" t="str">
        <f>TEXT(cadangan3[[#This Row],[Tanggal terjual]],"dddd")</f>
        <v>Friday</v>
      </c>
    </row>
    <row r="548" spans="1:43" x14ac:dyDescent="0.2">
      <c r="A548" s="20">
        <v>547</v>
      </c>
      <c r="B548" s="21" t="str">
        <f>_xlfn.CONCAT("ORD-",INDEX(Helper!$B$2:$B$5,MATCH(cadangan3[[#This Row],[Marketplace]],Helper!$A$2:$A$5,0)),TEXT(cadangan3[[#This Row],[No]],"0000"),"-",TEXT(cadangan3[[#This Row],[Tanggal terjual]],"dd/mm/yy"))</f>
        <v>ORD-BL0547-18/04/23</v>
      </c>
      <c r="C548" t="s">
        <v>60</v>
      </c>
      <c r="D548" t="str">
        <f>IFERROR(INDEX(Katalog!$A$3:$A$12,MATCH(cadangan3[[#This Row],[ItemID A]],Katalog!$C$3:$C$12,0)),"-")</f>
        <v>Pakaian Wanita</v>
      </c>
      <c r="E548" t="str">
        <f>IFERROR(INDEX(Katalog!$B$3:$B$12,MATCH(cadangan3[[#This Row],[ItemID A]],Katalog!$C$3:$C$12,0)),"-")</f>
        <v>Kaftan</v>
      </c>
      <c r="F548">
        <v>1</v>
      </c>
      <c r="G548">
        <v>1</v>
      </c>
      <c r="H548" s="36">
        <f>IFERROR(INDEX(Katalog!$D$3:$D$12,MATCH(cadangan3[[#This Row],[ItemID A]],Katalog!$C$3:$C$12,0))*cadangan3[[#This Row],[Qty A]],0)</f>
        <v>250000</v>
      </c>
      <c r="I548" s="36">
        <f>IFERROR(INDEX(Katalog!$D$3:$D$12,MATCH(cadangan3[[#This Row],[Item A]],Katalog!$B$3:$B$12,0))*cadangan3[[#This Row],[Qty A]],0)</f>
        <v>250000</v>
      </c>
      <c r="J548" s="36">
        <f>IFERROR(cadangan3[[#This Row],[Harga Asli A]]-(cadangan3[[#This Row],[Harga Asli A]]*cadangan3[[#This Row],[Diskon]]),cadangan3[[#This Row],[Harga Asli A]])</f>
        <v>212500</v>
      </c>
      <c r="K548" s="36">
        <f>INDEX(Katalog!$F$3:$F$12,MATCH(cadangan3[[#This Row],[ItemID A]],Katalog!$C$3:$C$12,0))*cadangan3[[#This Row],[Qty A]]</f>
        <v>100000</v>
      </c>
      <c r="L548" s="36">
        <f>IFERROR(cadangan3[[#This Row],[Profit A]]-(cadangan3[[#This Row],[Profit A]]*cadangan3[[#This Row],[Diskon]]),K548)</f>
        <v>85000</v>
      </c>
      <c r="M548" t="s">
        <v>66</v>
      </c>
      <c r="N548" t="str">
        <f>IFERROR(INDEX(Katalog!$A$3:$A$12,MATCH(cadangan3[[#This Row],[ItemID B]],Katalog!$C$3:$C$12,0)),"-")</f>
        <v>Sepatu Pria</v>
      </c>
      <c r="O548" t="str">
        <f>IFERROR(INDEX(Katalog!$B$3:$B$12,MATCH(cadangan3[[#This Row],[ItemID B]],Katalog!$C$3:$C$12,0)),"-")</f>
        <v>Sandal Slip On</v>
      </c>
      <c r="P548">
        <v>1</v>
      </c>
      <c r="Q548">
        <v>1</v>
      </c>
      <c r="R548" s="36">
        <f>IFERROR(INDEX(Katalog!$D$3:$D$12,MATCH(cadangan3[[#This Row],[ItemID B]],Katalog!$C$3:$C$12,0))*cadangan3[[#This Row],[Qty B]],0)</f>
        <v>150000</v>
      </c>
      <c r="S548" s="36">
        <f>IFERROR(INDEX(Katalog!$D$3:$D$12,MATCH(cadangan3[[#This Row],[Item B]],Katalog!$B$3:$B$12,0))*cadangan3[[#This Row],[Qty B]],0)</f>
        <v>150000</v>
      </c>
      <c r="T548" s="36">
        <f>IFERROR(cadangan3[[#This Row],[Harga Asli B]]-(cadangan3[[#This Row],[Harga Asli B]]*cadangan3[[#This Row],[Diskon]]),cadangan3[[#This Row],[Harga Asli B]])</f>
        <v>127500</v>
      </c>
      <c r="U548" s="36">
        <f>IFERROR(INDEX(Katalog!$F$3:$F$12,MATCH(cadangan3[[#This Row],[ItemID B]],Katalog!$C$3:$C$12,0))*cadangan3[[#This Row],[Qty B]],0)</f>
        <v>60000</v>
      </c>
      <c r="V548" s="36">
        <f>IFERROR(cadangan3[[#This Row],[Profit B]]-(cadangan3[[#This Row],[Profit B]]*cadangan3[[#This Row],[Diskon]]),U548)</f>
        <v>51000</v>
      </c>
      <c r="W548" t="s">
        <v>62</v>
      </c>
      <c r="X548" t="str">
        <f>IFERROR(INDEX(Katalog!$A$3:$A$12,MATCH(cadangan3[[#This Row],[ItemID C]],Katalog!$C$3:$C$12,0)),"-")</f>
        <v>Pakaian Pria</v>
      </c>
      <c r="Y548" t="str">
        <f>IFERROR(INDEX(Katalog!$B$3:$B$12,MATCH(cadangan3[[#This Row],[ItemID C]],Katalog!$C$3:$C$12,0)),"-")</f>
        <v>Celana Pendek</v>
      </c>
      <c r="Z548">
        <v>1</v>
      </c>
      <c r="AA548">
        <v>1</v>
      </c>
      <c r="AB548" s="36">
        <f>IFERROR(INDEX(Katalog!$D$3:$D$12,MATCH(cadangan3[[#This Row],[ItemID C]],Katalog!$C$3:$C$12,0))*cadangan3[[#This Row],[Qty C]],0)</f>
        <v>180000</v>
      </c>
      <c r="AC548" s="36">
        <f>IFERROR(INDEX(Katalog!$D$3:$D$12,MATCH(cadangan3[[#This Row],[Item C]],Katalog!$B$3:$B$12,0))*cadangan3[[#This Row],[Qty C]],0)</f>
        <v>180000</v>
      </c>
      <c r="AD548" s="36">
        <f>IFERROR(cadangan3[[#This Row],[Harga Asli C]]-(cadangan3[[#This Row],[Harga Asli C]]*cadangan3[[#This Row],[Diskon]]),cadangan3[[#This Row],[Harga Asli C]])</f>
        <v>153000</v>
      </c>
      <c r="AE548" s="36">
        <f>IFERROR(INDEX(Katalog!$F$3:$F$12,MATCH(cadangan3[[#This Row],[ItemID C]],Katalog!$C$3:$C$12,0))*cadangan3[[#This Row],[Qty C]],0)</f>
        <v>70000</v>
      </c>
      <c r="AF548" s="36">
        <f>IFERROR(cadangan3[[#This Row],[Profit C]]-(cadangan3[[#This Row],[Profit C]]*cadangan3[[#This Row],[Diskon]]),cadangan3[[#This Row],[Profit C]])</f>
        <v>59500</v>
      </c>
      <c r="AG548" s="21">
        <f>cadangan3[[#This Row],[Qty A]]+cadangan3[[#This Row],[Qty B]]+cadangan3[[#This Row],[Qty C]]</f>
        <v>3</v>
      </c>
      <c r="AH548" s="35">
        <f>cadangan3[[#This Row],[Harga A + Diskon]]+cadangan3[[#This Row],[Harga + Diskon B]]+cadangan3[[#This Row],[Harga + Diskon C]]</f>
        <v>493000</v>
      </c>
      <c r="AI548" s="35">
        <f>(cadangan3[[#This Row],[Profit A]]+cadangan3[[#This Row],[Profit B]]+cadangan3[[#This Row],[Profit C]])</f>
        <v>230000</v>
      </c>
      <c r="AJ548" s="35">
        <f>cadangan3[[#This Row],[Provit A + Diskon]]+cadangan3[[#This Row],[Provit B + Diskon]]+cadangan3[[#This Row],[Provit C + Diskon]]</f>
        <v>195500</v>
      </c>
      <c r="AK548" s="23" t="s">
        <v>32</v>
      </c>
      <c r="AL548" s="37">
        <f>IFERROR(INDEX('Kode Diskon'!$D$3:$D$9,MATCH(cadangan3[[#This Row],[Kode diskon]],'Kode Diskon'!$C$3:$C$9,0)),"-")</f>
        <v>0.15</v>
      </c>
      <c r="AM548" s="23" t="s">
        <v>9</v>
      </c>
      <c r="AN548" s="23" t="s">
        <v>12</v>
      </c>
      <c r="AO548" s="23" t="s">
        <v>75</v>
      </c>
      <c r="AP548" s="24">
        <v>45034</v>
      </c>
      <c r="AQ548" s="23" t="str">
        <f>TEXT(cadangan3[[#This Row],[Tanggal terjual]],"dddd")</f>
        <v>Tuesday</v>
      </c>
    </row>
    <row r="549" spans="1:43" x14ac:dyDescent="0.2">
      <c r="A549" s="20">
        <v>548</v>
      </c>
      <c r="B549" s="21" t="str">
        <f>_xlfn.CONCAT("ORD-",INDEX(Helper!$B$2:$B$5,MATCH(cadangan3[[#This Row],[Marketplace]],Helper!$A$2:$A$5,0)),TEXT(cadangan3[[#This Row],[No]],"0000"),"-",TEXT(cadangan3[[#This Row],[Tanggal terjual]],"dd/mm/yy"))</f>
        <v>ORD-TK0548-05/04/23</v>
      </c>
      <c r="C549" t="s">
        <v>64</v>
      </c>
      <c r="D549" t="str">
        <f>IFERROR(INDEX(Katalog!$A$3:$A$12,MATCH(cadangan3[[#This Row],[ItemID A]],Katalog!$C$3:$C$12,0)),"-")</f>
        <v>Pakaian Unisex</v>
      </c>
      <c r="E549" t="str">
        <f>IFERROR(INDEX(Katalog!$B$3:$B$12,MATCH(cadangan3[[#This Row],[ItemID A]],Katalog!$C$3:$C$12,0)),"-")</f>
        <v>Jaket Hoodie</v>
      </c>
      <c r="F549">
        <v>6</v>
      </c>
      <c r="G549">
        <v>3</v>
      </c>
      <c r="H549" s="36">
        <f>IFERROR(INDEX(Katalog!$D$3:$D$12,MATCH(cadangan3[[#This Row],[ItemID A]],Katalog!$C$3:$C$12,0))*cadangan3[[#This Row],[Qty A]],0)</f>
        <v>2100000</v>
      </c>
      <c r="I549" s="36">
        <f>IFERROR(INDEX(Katalog!$D$3:$D$12,MATCH(cadangan3[[#This Row],[Item A]],Katalog!$B$3:$B$12,0))*cadangan3[[#This Row],[Qty A]],0)</f>
        <v>2100000</v>
      </c>
      <c r="J549" s="36">
        <f>IFERROR(cadangan3[[#This Row],[Harga Asli A]]-(cadangan3[[#This Row],[Harga Asli A]]*cadangan3[[#This Row],[Diskon]]),cadangan3[[#This Row],[Harga Asli A]])</f>
        <v>1890000</v>
      </c>
      <c r="K549" s="36">
        <f>INDEX(Katalog!$F$3:$F$12,MATCH(cadangan3[[#This Row],[ItemID A]],Katalog!$C$3:$C$12,0))*cadangan3[[#This Row],[Qty A]]</f>
        <v>780000</v>
      </c>
      <c r="L549" s="36">
        <f>IFERROR(cadangan3[[#This Row],[Profit A]]-(cadangan3[[#This Row],[Profit A]]*cadangan3[[#This Row],[Diskon]]),K549)</f>
        <v>702000</v>
      </c>
      <c r="N549" t="str">
        <f>IFERROR(INDEX(Katalog!$A$3:$A$12,MATCH(cadangan3[[#This Row],[ItemID B]],Katalog!$C$3:$C$12,0)),"-")</f>
        <v>-</v>
      </c>
      <c r="O549" t="str">
        <f>IFERROR(INDEX(Katalog!$B$3:$B$12,MATCH(cadangan3[[#This Row],[ItemID B]],Katalog!$C$3:$C$12,0)),"-")</f>
        <v>-</v>
      </c>
      <c r="R549" s="36">
        <f>IFERROR(INDEX(Katalog!$D$3:$D$12,MATCH(cadangan3[[#This Row],[ItemID B]],Katalog!$C$3:$C$12,0))*cadangan3[[#This Row],[Qty B]],0)</f>
        <v>0</v>
      </c>
      <c r="S549" s="36">
        <f>IFERROR(INDEX(Katalog!$D$3:$D$12,MATCH(cadangan3[[#This Row],[Item B]],Katalog!$B$3:$B$12,0))*cadangan3[[#This Row],[Qty B]],0)</f>
        <v>0</v>
      </c>
      <c r="T549" s="36">
        <f>IFERROR(cadangan3[[#This Row],[Harga Asli B]]-(cadangan3[[#This Row],[Harga Asli B]]*cadangan3[[#This Row],[Diskon]]),cadangan3[[#This Row],[Harga Asli B]])</f>
        <v>0</v>
      </c>
      <c r="U549" s="36">
        <f>IFERROR(INDEX(Katalog!$F$3:$F$12,MATCH(cadangan3[[#This Row],[ItemID B]],Katalog!$C$3:$C$12,0))*cadangan3[[#This Row],[Qty B]],0)</f>
        <v>0</v>
      </c>
      <c r="V549" s="36">
        <f>IFERROR(cadangan3[[#This Row],[Profit B]]-(cadangan3[[#This Row],[Profit B]]*cadangan3[[#This Row],[Diskon]]),U549)</f>
        <v>0</v>
      </c>
      <c r="X549" t="str">
        <f>IFERROR(INDEX(Katalog!$A$3:$A$12,MATCH(cadangan3[[#This Row],[ItemID C]],Katalog!$C$3:$C$12,0)),"-")</f>
        <v>-</v>
      </c>
      <c r="Y549" t="str">
        <f>IFERROR(INDEX(Katalog!$B$3:$B$12,MATCH(cadangan3[[#This Row],[ItemID C]],Katalog!$C$3:$C$12,0)),"-")</f>
        <v>-</v>
      </c>
      <c r="AB549" s="36">
        <f>IFERROR(INDEX(Katalog!$D$3:$D$12,MATCH(cadangan3[[#This Row],[ItemID C]],Katalog!$C$3:$C$12,0))*cadangan3[[#This Row],[Qty C]],0)</f>
        <v>0</v>
      </c>
      <c r="AC549" s="36">
        <f>IFERROR(INDEX(Katalog!$D$3:$D$12,MATCH(cadangan3[[#This Row],[Item C]],Katalog!$B$3:$B$12,0))*cadangan3[[#This Row],[Qty C]],0)</f>
        <v>0</v>
      </c>
      <c r="AD549" s="36">
        <f>IFERROR(cadangan3[[#This Row],[Harga Asli C]]-(cadangan3[[#This Row],[Harga Asli C]]*cadangan3[[#This Row],[Diskon]]),cadangan3[[#This Row],[Harga Asli C]])</f>
        <v>0</v>
      </c>
      <c r="AE549" s="36">
        <f>IFERROR(INDEX(Katalog!$F$3:$F$12,MATCH(cadangan3[[#This Row],[ItemID C]],Katalog!$C$3:$C$12,0))*cadangan3[[#This Row],[Qty C]],0)</f>
        <v>0</v>
      </c>
      <c r="AF549" s="36">
        <f>IFERROR(cadangan3[[#This Row],[Profit C]]-(cadangan3[[#This Row],[Profit C]]*cadangan3[[#This Row],[Diskon]]),cadangan3[[#This Row],[Profit C]])</f>
        <v>0</v>
      </c>
      <c r="AG549" s="21">
        <f>cadangan3[[#This Row],[Qty A]]+cadangan3[[#This Row],[Qty B]]+cadangan3[[#This Row],[Qty C]]</f>
        <v>6</v>
      </c>
      <c r="AH549" s="35">
        <f>cadangan3[[#This Row],[Harga A + Diskon]]+cadangan3[[#This Row],[Harga + Diskon B]]+cadangan3[[#This Row],[Harga + Diskon C]]</f>
        <v>1890000</v>
      </c>
      <c r="AI549" s="35">
        <f>(cadangan3[[#This Row],[Profit A]]+cadangan3[[#This Row],[Profit B]]+cadangan3[[#This Row],[Profit C]])</f>
        <v>780000</v>
      </c>
      <c r="AJ549" s="35">
        <f>cadangan3[[#This Row],[Provit A + Diskon]]+cadangan3[[#This Row],[Provit B + Diskon]]+cadangan3[[#This Row],[Provit C + Diskon]]</f>
        <v>702000</v>
      </c>
      <c r="AK549" s="23" t="s">
        <v>30</v>
      </c>
      <c r="AL549" s="37">
        <f>IFERROR(INDEX('Kode Diskon'!$D$3:$D$9,MATCH(cadangan3[[#This Row],[Kode diskon]],'Kode Diskon'!$C$3:$C$9,0)),"-")</f>
        <v>0.1</v>
      </c>
      <c r="AM549" s="23" t="s">
        <v>29</v>
      </c>
      <c r="AN549" s="23" t="s">
        <v>10</v>
      </c>
      <c r="AO549" s="23" t="s">
        <v>75</v>
      </c>
      <c r="AP549" s="24">
        <v>45021</v>
      </c>
      <c r="AQ549" s="23" t="str">
        <f>TEXT(cadangan3[[#This Row],[Tanggal terjual]],"dddd")</f>
        <v>Wednesday</v>
      </c>
    </row>
    <row r="550" spans="1:43" x14ac:dyDescent="0.2">
      <c r="A550" s="20">
        <v>549</v>
      </c>
      <c r="B550" s="21" t="str">
        <f>_xlfn.CONCAT("ORD-",INDEX(Helper!$B$2:$B$5,MATCH(cadangan3[[#This Row],[Marketplace]],Helper!$A$2:$A$5,0)),TEXT(cadangan3[[#This Row],[No]],"0000"),"-",TEXT(cadangan3[[#This Row],[Tanggal terjual]],"dd/mm/yy"))</f>
        <v>ORD-SP0549-02/04/23</v>
      </c>
      <c r="C550" t="s">
        <v>59</v>
      </c>
      <c r="D550" t="str">
        <f>IFERROR(INDEX(Katalog!$A$3:$A$12,MATCH(cadangan3[[#This Row],[ItemID A]],Katalog!$C$3:$C$12,0)),"-")</f>
        <v>Pakaian Wanita</v>
      </c>
      <c r="E550" t="str">
        <f>IFERROR(INDEX(Katalog!$B$3:$B$12,MATCH(cadangan3[[#This Row],[ItemID A]],Katalog!$C$3:$C$12,0)),"-")</f>
        <v>Blouse</v>
      </c>
      <c r="F550">
        <v>3</v>
      </c>
      <c r="G550">
        <v>1</v>
      </c>
      <c r="H550" s="36">
        <f>IFERROR(INDEX(Katalog!$D$3:$D$12,MATCH(cadangan3[[#This Row],[ItemID A]],Katalog!$C$3:$C$12,0))*cadangan3[[#This Row],[Qty A]],0)</f>
        <v>450000</v>
      </c>
      <c r="I550" s="36">
        <f>IFERROR(INDEX(Katalog!$D$3:$D$12,MATCH(cadangan3[[#This Row],[Item A]],Katalog!$B$3:$B$12,0))*cadangan3[[#This Row],[Qty A]],0)</f>
        <v>450000</v>
      </c>
      <c r="J550" s="36">
        <f>IFERROR(cadangan3[[#This Row],[Harga Asli A]]-(cadangan3[[#This Row],[Harga Asli A]]*cadangan3[[#This Row],[Diskon]]),cadangan3[[#This Row],[Harga Asli A]])</f>
        <v>382500</v>
      </c>
      <c r="K550" s="36">
        <f>INDEX(Katalog!$F$3:$F$12,MATCH(cadangan3[[#This Row],[ItemID A]],Katalog!$C$3:$C$12,0))*cadangan3[[#This Row],[Qty A]]</f>
        <v>150000</v>
      </c>
      <c r="L550" s="36">
        <f>IFERROR(cadangan3[[#This Row],[Profit A]]-(cadangan3[[#This Row],[Profit A]]*cadangan3[[#This Row],[Diskon]]),K550)</f>
        <v>127500</v>
      </c>
      <c r="M550" t="s">
        <v>63</v>
      </c>
      <c r="N550" t="str">
        <f>IFERROR(INDEX(Katalog!$A$3:$A$12,MATCH(cadangan3[[#This Row],[ItemID B]],Katalog!$C$3:$C$12,0)),"-")</f>
        <v>Pakaian Pria</v>
      </c>
      <c r="O550" t="str">
        <f>IFERROR(INDEX(Katalog!$B$3:$B$12,MATCH(cadangan3[[#This Row],[ItemID B]],Katalog!$C$3:$C$12,0)),"-")</f>
        <v>Jaket Jeans</v>
      </c>
      <c r="P550">
        <v>2</v>
      </c>
      <c r="Q550">
        <v>5</v>
      </c>
      <c r="R550" s="36">
        <f>IFERROR(INDEX(Katalog!$D$3:$D$12,MATCH(cadangan3[[#This Row],[ItemID B]],Katalog!$C$3:$C$12,0))*cadangan3[[#This Row],[Qty B]],0)</f>
        <v>800000</v>
      </c>
      <c r="S550" s="36">
        <f>IFERROR(INDEX(Katalog!$D$3:$D$12,MATCH(cadangan3[[#This Row],[Item B]],Katalog!$B$3:$B$12,0))*cadangan3[[#This Row],[Qty B]],0)</f>
        <v>800000</v>
      </c>
      <c r="T550" s="36">
        <f>IFERROR(cadangan3[[#This Row],[Harga Asli B]]-(cadangan3[[#This Row],[Harga Asli B]]*cadangan3[[#This Row],[Diskon]]),cadangan3[[#This Row],[Harga Asli B]])</f>
        <v>680000</v>
      </c>
      <c r="U550" s="36">
        <f>IFERROR(INDEX(Katalog!$F$3:$F$12,MATCH(cadangan3[[#This Row],[ItemID B]],Katalog!$C$3:$C$12,0))*cadangan3[[#This Row],[Qty B]],0)</f>
        <v>300000</v>
      </c>
      <c r="V550" s="36">
        <f>IFERROR(cadangan3[[#This Row],[Profit B]]-(cadangan3[[#This Row],[Profit B]]*cadangan3[[#This Row],[Diskon]]),U550)</f>
        <v>255000</v>
      </c>
      <c r="X550" t="str">
        <f>IFERROR(INDEX(Katalog!$A$3:$A$12,MATCH(cadangan3[[#This Row],[ItemID C]],Katalog!$C$3:$C$12,0)),"-")</f>
        <v>-</v>
      </c>
      <c r="Y550" t="str">
        <f>IFERROR(INDEX(Katalog!$B$3:$B$12,MATCH(cadangan3[[#This Row],[ItemID C]],Katalog!$C$3:$C$12,0)),"-")</f>
        <v>-</v>
      </c>
      <c r="AB550" s="36">
        <f>IFERROR(INDEX(Katalog!$D$3:$D$12,MATCH(cadangan3[[#This Row],[ItemID C]],Katalog!$C$3:$C$12,0))*cadangan3[[#This Row],[Qty C]],0)</f>
        <v>0</v>
      </c>
      <c r="AC550" s="36">
        <f>IFERROR(INDEX(Katalog!$D$3:$D$12,MATCH(cadangan3[[#This Row],[Item C]],Katalog!$B$3:$B$12,0))*cadangan3[[#This Row],[Qty C]],0)</f>
        <v>0</v>
      </c>
      <c r="AD550" s="36">
        <f>IFERROR(cadangan3[[#This Row],[Harga Asli C]]-(cadangan3[[#This Row],[Harga Asli C]]*cadangan3[[#This Row],[Diskon]]),cadangan3[[#This Row],[Harga Asli C]])</f>
        <v>0</v>
      </c>
      <c r="AE550" s="36">
        <f>IFERROR(INDEX(Katalog!$F$3:$F$12,MATCH(cadangan3[[#This Row],[ItemID C]],Katalog!$C$3:$C$12,0))*cadangan3[[#This Row],[Qty C]],0)</f>
        <v>0</v>
      </c>
      <c r="AF550" s="36">
        <f>IFERROR(cadangan3[[#This Row],[Profit C]]-(cadangan3[[#This Row],[Profit C]]*cadangan3[[#This Row],[Diskon]]),cadangan3[[#This Row],[Profit C]])</f>
        <v>0</v>
      </c>
      <c r="AG550" s="21">
        <f>cadangan3[[#This Row],[Qty A]]+cadangan3[[#This Row],[Qty B]]+cadangan3[[#This Row],[Qty C]]</f>
        <v>5</v>
      </c>
      <c r="AH550" s="35">
        <f>cadangan3[[#This Row],[Harga A + Diskon]]+cadangan3[[#This Row],[Harga + Diskon B]]+cadangan3[[#This Row],[Harga + Diskon C]]</f>
        <v>1062500</v>
      </c>
      <c r="AI550" s="35">
        <f>(cadangan3[[#This Row],[Profit A]]+cadangan3[[#This Row],[Profit B]]+cadangan3[[#This Row],[Profit C]])</f>
        <v>450000</v>
      </c>
      <c r="AJ550" s="35">
        <f>cadangan3[[#This Row],[Provit A + Diskon]]+cadangan3[[#This Row],[Provit B + Diskon]]+cadangan3[[#This Row],[Provit C + Diskon]]</f>
        <v>382500</v>
      </c>
      <c r="AK550" s="23" t="s">
        <v>13</v>
      </c>
      <c r="AL550" s="37">
        <f>IFERROR(INDEX('Kode Diskon'!$D$3:$D$9,MATCH(cadangan3[[#This Row],[Kode diskon]],'Kode Diskon'!$C$3:$C$9,0)),"-")</f>
        <v>0.15</v>
      </c>
      <c r="AM550" s="23" t="s">
        <v>29</v>
      </c>
      <c r="AN550" s="23" t="s">
        <v>7</v>
      </c>
      <c r="AO550" s="23" t="s">
        <v>80</v>
      </c>
      <c r="AP550" s="24">
        <v>45018</v>
      </c>
      <c r="AQ550" s="23" t="str">
        <f>TEXT(cadangan3[[#This Row],[Tanggal terjual]],"dddd")</f>
        <v>Sunday</v>
      </c>
    </row>
    <row r="551" spans="1:43" x14ac:dyDescent="0.2">
      <c r="A551" s="20">
        <v>550</v>
      </c>
      <c r="B551" s="21" t="str">
        <f>_xlfn.CONCAT("ORD-",INDEX(Helper!$B$2:$B$5,MATCH(cadangan3[[#This Row],[Marketplace]],Helper!$A$2:$A$5,0)),TEXT(cadangan3[[#This Row],[No]],"0000"),"-",TEXT(cadangan3[[#This Row],[Tanggal terjual]],"dd/mm/yy"))</f>
        <v>ORD-SP0550-04/04/23</v>
      </c>
      <c r="C551" t="s">
        <v>61</v>
      </c>
      <c r="D551" t="str">
        <f>IFERROR(INDEX(Katalog!$A$3:$A$12,MATCH(cadangan3[[#This Row],[ItemID A]],Katalog!$C$3:$C$12,0)),"-")</f>
        <v>Pakaian Pria</v>
      </c>
      <c r="E551" t="str">
        <f>IFERROR(INDEX(Katalog!$B$3:$B$12,MATCH(cadangan3[[#This Row],[ItemID A]],Katalog!$C$3:$C$12,0)),"-")</f>
        <v>Kaos Polo</v>
      </c>
      <c r="F551">
        <v>1</v>
      </c>
      <c r="G551">
        <v>1</v>
      </c>
      <c r="H551" s="36">
        <f>IFERROR(INDEX(Katalog!$D$3:$D$12,MATCH(cadangan3[[#This Row],[ItemID A]],Katalog!$C$3:$C$12,0))*cadangan3[[#This Row],[Qty A]],0)</f>
        <v>200000</v>
      </c>
      <c r="I551" s="36">
        <f>IFERROR(INDEX(Katalog!$D$3:$D$12,MATCH(cadangan3[[#This Row],[Item A]],Katalog!$B$3:$B$12,0))*cadangan3[[#This Row],[Qty A]],0)</f>
        <v>200000</v>
      </c>
      <c r="J551" s="36">
        <f>IFERROR(cadangan3[[#This Row],[Harga Asli A]]-(cadangan3[[#This Row],[Harga Asli A]]*cadangan3[[#This Row],[Diskon]]),cadangan3[[#This Row],[Harga Asli A]])</f>
        <v>170000</v>
      </c>
      <c r="K551" s="36">
        <f>INDEX(Katalog!$F$3:$F$12,MATCH(cadangan3[[#This Row],[ItemID A]],Katalog!$C$3:$C$12,0))*cadangan3[[#This Row],[Qty A]]</f>
        <v>80000</v>
      </c>
      <c r="L551" s="36">
        <f>IFERROR(cadangan3[[#This Row],[Profit A]]-(cadangan3[[#This Row],[Profit A]]*cadangan3[[#This Row],[Diskon]]),K551)</f>
        <v>68000</v>
      </c>
      <c r="N551" t="str">
        <f>IFERROR(INDEX(Katalog!$A$3:$A$12,MATCH(cadangan3[[#This Row],[ItemID B]],Katalog!$C$3:$C$12,0)),"-")</f>
        <v>-</v>
      </c>
      <c r="O551" t="str">
        <f>IFERROR(INDEX(Katalog!$B$3:$B$12,MATCH(cadangan3[[#This Row],[ItemID B]],Katalog!$C$3:$C$12,0)),"-")</f>
        <v>-</v>
      </c>
      <c r="R551" s="36">
        <f>IFERROR(INDEX(Katalog!$D$3:$D$12,MATCH(cadangan3[[#This Row],[ItemID B]],Katalog!$C$3:$C$12,0))*cadangan3[[#This Row],[Qty B]],0)</f>
        <v>0</v>
      </c>
      <c r="S551" s="36">
        <f>IFERROR(INDEX(Katalog!$D$3:$D$12,MATCH(cadangan3[[#This Row],[Item B]],Katalog!$B$3:$B$12,0))*cadangan3[[#This Row],[Qty B]],0)</f>
        <v>0</v>
      </c>
      <c r="T551" s="36">
        <f>IFERROR(cadangan3[[#This Row],[Harga Asli B]]-(cadangan3[[#This Row],[Harga Asli B]]*cadangan3[[#This Row],[Diskon]]),cadangan3[[#This Row],[Harga Asli B]])</f>
        <v>0</v>
      </c>
      <c r="U551" s="36">
        <f>IFERROR(INDEX(Katalog!$F$3:$F$12,MATCH(cadangan3[[#This Row],[ItemID B]],Katalog!$C$3:$C$12,0))*cadangan3[[#This Row],[Qty B]],0)</f>
        <v>0</v>
      </c>
      <c r="V551" s="36">
        <f>IFERROR(cadangan3[[#This Row],[Profit B]]-(cadangan3[[#This Row],[Profit B]]*cadangan3[[#This Row],[Diskon]]),U551)</f>
        <v>0</v>
      </c>
      <c r="X551" t="str">
        <f>IFERROR(INDEX(Katalog!$A$3:$A$12,MATCH(cadangan3[[#This Row],[ItemID C]],Katalog!$C$3:$C$12,0)),"-")</f>
        <v>-</v>
      </c>
      <c r="Y551" t="str">
        <f>IFERROR(INDEX(Katalog!$B$3:$B$12,MATCH(cadangan3[[#This Row],[ItemID C]],Katalog!$C$3:$C$12,0)),"-")</f>
        <v>-</v>
      </c>
      <c r="AB551" s="36">
        <f>IFERROR(INDEX(Katalog!$D$3:$D$12,MATCH(cadangan3[[#This Row],[ItemID C]],Katalog!$C$3:$C$12,0))*cadangan3[[#This Row],[Qty C]],0)</f>
        <v>0</v>
      </c>
      <c r="AC551" s="36">
        <f>IFERROR(INDEX(Katalog!$D$3:$D$12,MATCH(cadangan3[[#This Row],[Item C]],Katalog!$B$3:$B$12,0))*cadangan3[[#This Row],[Qty C]],0)</f>
        <v>0</v>
      </c>
      <c r="AD551" s="36">
        <f>IFERROR(cadangan3[[#This Row],[Harga Asli C]]-(cadangan3[[#This Row],[Harga Asli C]]*cadangan3[[#This Row],[Diskon]]),cadangan3[[#This Row],[Harga Asli C]])</f>
        <v>0</v>
      </c>
      <c r="AE551" s="36">
        <f>IFERROR(INDEX(Katalog!$F$3:$F$12,MATCH(cadangan3[[#This Row],[ItemID C]],Katalog!$C$3:$C$12,0))*cadangan3[[#This Row],[Qty C]],0)</f>
        <v>0</v>
      </c>
      <c r="AF551" s="36">
        <f>IFERROR(cadangan3[[#This Row],[Profit C]]-(cadangan3[[#This Row],[Profit C]]*cadangan3[[#This Row],[Diskon]]),cadangan3[[#This Row],[Profit C]])</f>
        <v>0</v>
      </c>
      <c r="AG551" s="21">
        <f>cadangan3[[#This Row],[Qty A]]+cadangan3[[#This Row],[Qty B]]+cadangan3[[#This Row],[Qty C]]</f>
        <v>1</v>
      </c>
      <c r="AH551" s="35">
        <f>cadangan3[[#This Row],[Harga A + Diskon]]+cadangan3[[#This Row],[Harga + Diskon B]]+cadangan3[[#This Row],[Harga + Diskon C]]</f>
        <v>170000</v>
      </c>
      <c r="AI551" s="35">
        <f>(cadangan3[[#This Row],[Profit A]]+cadangan3[[#This Row],[Profit B]]+cadangan3[[#This Row],[Profit C]])</f>
        <v>80000</v>
      </c>
      <c r="AJ551" s="35">
        <f>cadangan3[[#This Row],[Provit A + Diskon]]+cadangan3[[#This Row],[Provit B + Diskon]]+cadangan3[[#This Row],[Provit C + Diskon]]</f>
        <v>68000</v>
      </c>
      <c r="AK551" s="23" t="s">
        <v>13</v>
      </c>
      <c r="AL551" s="37">
        <f>IFERROR(INDEX('Kode Diskon'!$D$3:$D$9,MATCH(cadangan3[[#This Row],[Kode diskon]],'Kode Diskon'!$C$3:$C$9,0)),"-")</f>
        <v>0.15</v>
      </c>
      <c r="AM551" s="23" t="s">
        <v>29</v>
      </c>
      <c r="AN551" s="23" t="s">
        <v>7</v>
      </c>
      <c r="AO551" s="23" t="s">
        <v>78</v>
      </c>
      <c r="AP551" s="24">
        <v>45020</v>
      </c>
      <c r="AQ551" s="23" t="str">
        <f>TEXT(cadangan3[[#This Row],[Tanggal terjual]],"dddd")</f>
        <v>Tuesday</v>
      </c>
    </row>
    <row r="552" spans="1:43" x14ac:dyDescent="0.2">
      <c r="A552" s="20">
        <v>551</v>
      </c>
      <c r="B552" s="21" t="str">
        <f>_xlfn.CONCAT("ORD-",INDEX(Helper!$B$2:$B$5,MATCH(cadangan3[[#This Row],[Marketplace]],Helper!$A$2:$A$5,0)),TEXT(cadangan3[[#This Row],[No]],"0000"),"-",TEXT(cadangan3[[#This Row],[Tanggal terjual]],"dd/mm/yy"))</f>
        <v>ORD-SP0551-24/04/23</v>
      </c>
      <c r="C552" t="s">
        <v>61</v>
      </c>
      <c r="D552" t="str">
        <f>IFERROR(INDEX(Katalog!$A$3:$A$12,MATCH(cadangan3[[#This Row],[ItemID A]],Katalog!$C$3:$C$12,0)),"-")</f>
        <v>Pakaian Pria</v>
      </c>
      <c r="E552" t="str">
        <f>IFERROR(INDEX(Katalog!$B$3:$B$12,MATCH(cadangan3[[#This Row],[ItemID A]],Katalog!$C$3:$C$12,0)),"-")</f>
        <v>Kaos Polo</v>
      </c>
      <c r="F552">
        <v>3</v>
      </c>
      <c r="G552">
        <v>3</v>
      </c>
      <c r="H552" s="36">
        <f>IFERROR(INDEX(Katalog!$D$3:$D$12,MATCH(cadangan3[[#This Row],[ItemID A]],Katalog!$C$3:$C$12,0))*cadangan3[[#This Row],[Qty A]],0)</f>
        <v>600000</v>
      </c>
      <c r="I552" s="36">
        <f>IFERROR(INDEX(Katalog!$D$3:$D$12,MATCH(cadangan3[[#This Row],[Item A]],Katalog!$B$3:$B$12,0))*cadangan3[[#This Row],[Qty A]],0)</f>
        <v>600000</v>
      </c>
      <c r="J552" s="36">
        <f>IFERROR(cadangan3[[#This Row],[Harga Asli A]]-(cadangan3[[#This Row],[Harga Asli A]]*cadangan3[[#This Row],[Diskon]]),cadangan3[[#This Row],[Harga Asli A]])</f>
        <v>480000</v>
      </c>
      <c r="K552" s="36">
        <f>INDEX(Katalog!$F$3:$F$12,MATCH(cadangan3[[#This Row],[ItemID A]],Katalog!$C$3:$C$12,0))*cadangan3[[#This Row],[Qty A]]</f>
        <v>240000</v>
      </c>
      <c r="L552" s="36">
        <f>IFERROR(cadangan3[[#This Row],[Profit A]]-(cadangan3[[#This Row],[Profit A]]*cadangan3[[#This Row],[Diskon]]),K552)</f>
        <v>192000</v>
      </c>
      <c r="M552" t="s">
        <v>60</v>
      </c>
      <c r="N552" t="str">
        <f>IFERROR(INDEX(Katalog!$A$3:$A$12,MATCH(cadangan3[[#This Row],[ItemID B]],Katalog!$C$3:$C$12,0)),"-")</f>
        <v>Pakaian Wanita</v>
      </c>
      <c r="O552" t="str">
        <f>IFERROR(INDEX(Katalog!$B$3:$B$12,MATCH(cadangan3[[#This Row],[ItemID B]],Katalog!$C$3:$C$12,0)),"-")</f>
        <v>Kaftan</v>
      </c>
      <c r="P552">
        <v>1</v>
      </c>
      <c r="Q552">
        <v>2</v>
      </c>
      <c r="R552" s="36">
        <f>IFERROR(INDEX(Katalog!$D$3:$D$12,MATCH(cadangan3[[#This Row],[ItemID B]],Katalog!$C$3:$C$12,0))*cadangan3[[#This Row],[Qty B]],0)</f>
        <v>250000</v>
      </c>
      <c r="S552" s="36">
        <f>IFERROR(INDEX(Katalog!$D$3:$D$12,MATCH(cadangan3[[#This Row],[Item B]],Katalog!$B$3:$B$12,0))*cadangan3[[#This Row],[Qty B]],0)</f>
        <v>250000</v>
      </c>
      <c r="T552" s="36">
        <f>IFERROR(cadangan3[[#This Row],[Harga Asli B]]-(cadangan3[[#This Row],[Harga Asli B]]*cadangan3[[#This Row],[Diskon]]),cadangan3[[#This Row],[Harga Asli B]])</f>
        <v>200000</v>
      </c>
      <c r="U552" s="36">
        <f>IFERROR(INDEX(Katalog!$F$3:$F$12,MATCH(cadangan3[[#This Row],[ItemID B]],Katalog!$C$3:$C$12,0))*cadangan3[[#This Row],[Qty B]],0)</f>
        <v>100000</v>
      </c>
      <c r="V552" s="36">
        <f>IFERROR(cadangan3[[#This Row],[Profit B]]-(cadangan3[[#This Row],[Profit B]]*cadangan3[[#This Row],[Diskon]]),U552)</f>
        <v>80000</v>
      </c>
      <c r="W552" t="s">
        <v>59</v>
      </c>
      <c r="X552" t="str">
        <f>IFERROR(INDEX(Katalog!$A$3:$A$12,MATCH(cadangan3[[#This Row],[ItemID C]],Katalog!$C$3:$C$12,0)),"-")</f>
        <v>Pakaian Wanita</v>
      </c>
      <c r="Y552" t="str">
        <f>IFERROR(INDEX(Katalog!$B$3:$B$12,MATCH(cadangan3[[#This Row],[ItemID C]],Katalog!$C$3:$C$12,0)),"-")</f>
        <v>Blouse</v>
      </c>
      <c r="Z552">
        <v>1</v>
      </c>
      <c r="AA552">
        <v>5</v>
      </c>
      <c r="AB552" s="36">
        <f>IFERROR(INDEX(Katalog!$D$3:$D$12,MATCH(cadangan3[[#This Row],[ItemID C]],Katalog!$C$3:$C$12,0))*cadangan3[[#This Row],[Qty C]],0)</f>
        <v>150000</v>
      </c>
      <c r="AC552" s="36">
        <f>IFERROR(INDEX(Katalog!$D$3:$D$12,MATCH(cadangan3[[#This Row],[Item C]],Katalog!$B$3:$B$12,0))*cadangan3[[#This Row],[Qty C]],0)</f>
        <v>150000</v>
      </c>
      <c r="AD552" s="36">
        <f>IFERROR(cadangan3[[#This Row],[Harga Asli C]]-(cadangan3[[#This Row],[Harga Asli C]]*cadangan3[[#This Row],[Diskon]]),cadangan3[[#This Row],[Harga Asli C]])</f>
        <v>120000</v>
      </c>
      <c r="AE552" s="36">
        <f>IFERROR(INDEX(Katalog!$F$3:$F$12,MATCH(cadangan3[[#This Row],[ItemID C]],Katalog!$C$3:$C$12,0))*cadangan3[[#This Row],[Qty C]],0)</f>
        <v>50000</v>
      </c>
      <c r="AF552" s="36">
        <f>IFERROR(cadangan3[[#This Row],[Profit C]]-(cadangan3[[#This Row],[Profit C]]*cadangan3[[#This Row],[Diskon]]),cadangan3[[#This Row],[Profit C]])</f>
        <v>40000</v>
      </c>
      <c r="AG552" s="21">
        <f>cadangan3[[#This Row],[Qty A]]+cadangan3[[#This Row],[Qty B]]+cadangan3[[#This Row],[Qty C]]</f>
        <v>5</v>
      </c>
      <c r="AH552" s="35">
        <f>cadangan3[[#This Row],[Harga A + Diskon]]+cadangan3[[#This Row],[Harga + Diskon B]]+cadangan3[[#This Row],[Harga + Diskon C]]</f>
        <v>800000</v>
      </c>
      <c r="AI552" s="35">
        <f>(cadangan3[[#This Row],[Profit A]]+cadangan3[[#This Row],[Profit B]]+cadangan3[[#This Row],[Profit C]])</f>
        <v>390000</v>
      </c>
      <c r="AJ552" s="35">
        <f>cadangan3[[#This Row],[Provit A + Diskon]]+cadangan3[[#This Row],[Provit B + Diskon]]+cadangan3[[#This Row],[Provit C + Diskon]]</f>
        <v>312000</v>
      </c>
      <c r="AK552" s="23" t="s">
        <v>8</v>
      </c>
      <c r="AL552" s="37">
        <f>IFERROR(INDEX('Kode Diskon'!$D$3:$D$9,MATCH(cadangan3[[#This Row],[Kode diskon]],'Kode Diskon'!$C$3:$C$9,0)),"-")</f>
        <v>0.2</v>
      </c>
      <c r="AM552" s="23" t="s">
        <v>9</v>
      </c>
      <c r="AN552" s="23" t="s">
        <v>7</v>
      </c>
      <c r="AO552" s="23" t="s">
        <v>77</v>
      </c>
      <c r="AP552" s="24">
        <v>45040</v>
      </c>
      <c r="AQ552" s="23" t="str">
        <f>TEXT(cadangan3[[#This Row],[Tanggal terjual]],"dddd")</f>
        <v>Monday</v>
      </c>
    </row>
    <row r="553" spans="1:43" x14ac:dyDescent="0.2">
      <c r="A553" s="20">
        <v>552</v>
      </c>
      <c r="B553" s="21" t="str">
        <f>_xlfn.CONCAT("ORD-",INDEX(Helper!$B$2:$B$5,MATCH(cadangan3[[#This Row],[Marketplace]],Helper!$A$2:$A$5,0)),TEXT(cadangan3[[#This Row],[No]],"0000"),"-",TEXT(cadangan3[[#This Row],[Tanggal terjual]],"dd/mm/yy"))</f>
        <v>ORD-TK0552-01/04/23</v>
      </c>
      <c r="C553" t="s">
        <v>66</v>
      </c>
      <c r="D553" t="str">
        <f>IFERROR(INDEX(Katalog!$A$3:$A$12,MATCH(cadangan3[[#This Row],[ItemID A]],Katalog!$C$3:$C$12,0)),"-")</f>
        <v>Sepatu Pria</v>
      </c>
      <c r="E553" t="str">
        <f>IFERROR(INDEX(Katalog!$B$3:$B$12,MATCH(cadangan3[[#This Row],[ItemID A]],Katalog!$C$3:$C$12,0)),"-")</f>
        <v>Sandal Slip On</v>
      </c>
      <c r="F553">
        <v>1</v>
      </c>
      <c r="G553">
        <v>3</v>
      </c>
      <c r="H553" s="36">
        <f>IFERROR(INDEX(Katalog!$D$3:$D$12,MATCH(cadangan3[[#This Row],[ItemID A]],Katalog!$C$3:$C$12,0))*cadangan3[[#This Row],[Qty A]],0)</f>
        <v>150000</v>
      </c>
      <c r="I553" s="36">
        <f>IFERROR(INDEX(Katalog!$D$3:$D$12,MATCH(cadangan3[[#This Row],[Item A]],Katalog!$B$3:$B$12,0))*cadangan3[[#This Row],[Qty A]],0)</f>
        <v>150000</v>
      </c>
      <c r="J553" s="36">
        <f>IFERROR(cadangan3[[#This Row],[Harga Asli A]]-(cadangan3[[#This Row],[Harga Asli A]]*cadangan3[[#This Row],[Diskon]]),cadangan3[[#This Row],[Harga Asli A]])</f>
        <v>135000</v>
      </c>
      <c r="K553" s="36">
        <f>INDEX(Katalog!$F$3:$F$12,MATCH(cadangan3[[#This Row],[ItemID A]],Katalog!$C$3:$C$12,0))*cadangan3[[#This Row],[Qty A]]</f>
        <v>60000</v>
      </c>
      <c r="L553" s="36">
        <f>IFERROR(cadangan3[[#This Row],[Profit A]]-(cadangan3[[#This Row],[Profit A]]*cadangan3[[#This Row],[Diskon]]),K553)</f>
        <v>54000</v>
      </c>
      <c r="N553" t="str">
        <f>IFERROR(INDEX(Katalog!$A$3:$A$12,MATCH(cadangan3[[#This Row],[ItemID B]],Katalog!$C$3:$C$12,0)),"-")</f>
        <v>-</v>
      </c>
      <c r="O553" t="str">
        <f>IFERROR(INDEX(Katalog!$B$3:$B$12,MATCH(cadangan3[[#This Row],[ItemID B]],Katalog!$C$3:$C$12,0)),"-")</f>
        <v>-</v>
      </c>
      <c r="R553" s="36">
        <f>IFERROR(INDEX(Katalog!$D$3:$D$12,MATCH(cadangan3[[#This Row],[ItemID B]],Katalog!$C$3:$C$12,0))*cadangan3[[#This Row],[Qty B]],0)</f>
        <v>0</v>
      </c>
      <c r="S553" s="36">
        <f>IFERROR(INDEX(Katalog!$D$3:$D$12,MATCH(cadangan3[[#This Row],[Item B]],Katalog!$B$3:$B$12,0))*cadangan3[[#This Row],[Qty B]],0)</f>
        <v>0</v>
      </c>
      <c r="T553" s="36">
        <f>IFERROR(cadangan3[[#This Row],[Harga Asli B]]-(cadangan3[[#This Row],[Harga Asli B]]*cadangan3[[#This Row],[Diskon]]),cadangan3[[#This Row],[Harga Asli B]])</f>
        <v>0</v>
      </c>
      <c r="U553" s="36">
        <f>IFERROR(INDEX(Katalog!$F$3:$F$12,MATCH(cadangan3[[#This Row],[ItemID B]],Katalog!$C$3:$C$12,0))*cadangan3[[#This Row],[Qty B]],0)</f>
        <v>0</v>
      </c>
      <c r="V553" s="36">
        <f>IFERROR(cadangan3[[#This Row],[Profit B]]-(cadangan3[[#This Row],[Profit B]]*cadangan3[[#This Row],[Diskon]]),U553)</f>
        <v>0</v>
      </c>
      <c r="X553" t="str">
        <f>IFERROR(INDEX(Katalog!$A$3:$A$12,MATCH(cadangan3[[#This Row],[ItemID C]],Katalog!$C$3:$C$12,0)),"-")</f>
        <v>-</v>
      </c>
      <c r="Y553" t="str">
        <f>IFERROR(INDEX(Katalog!$B$3:$B$12,MATCH(cadangan3[[#This Row],[ItemID C]],Katalog!$C$3:$C$12,0)),"-")</f>
        <v>-</v>
      </c>
      <c r="AB553" s="36">
        <f>IFERROR(INDEX(Katalog!$D$3:$D$12,MATCH(cadangan3[[#This Row],[ItemID C]],Katalog!$C$3:$C$12,0))*cadangan3[[#This Row],[Qty C]],0)</f>
        <v>0</v>
      </c>
      <c r="AC553" s="36">
        <f>IFERROR(INDEX(Katalog!$D$3:$D$12,MATCH(cadangan3[[#This Row],[Item C]],Katalog!$B$3:$B$12,0))*cadangan3[[#This Row],[Qty C]],0)</f>
        <v>0</v>
      </c>
      <c r="AD553" s="36">
        <f>IFERROR(cadangan3[[#This Row],[Harga Asli C]]-(cadangan3[[#This Row],[Harga Asli C]]*cadangan3[[#This Row],[Diskon]]),cadangan3[[#This Row],[Harga Asli C]])</f>
        <v>0</v>
      </c>
      <c r="AE553" s="36">
        <f>IFERROR(INDEX(Katalog!$F$3:$F$12,MATCH(cadangan3[[#This Row],[ItemID C]],Katalog!$C$3:$C$12,0))*cadangan3[[#This Row],[Qty C]],0)</f>
        <v>0</v>
      </c>
      <c r="AF553" s="36">
        <f>IFERROR(cadangan3[[#This Row],[Profit C]]-(cadangan3[[#This Row],[Profit C]]*cadangan3[[#This Row],[Diskon]]),cadangan3[[#This Row],[Profit C]])</f>
        <v>0</v>
      </c>
      <c r="AG553" s="21">
        <f>cadangan3[[#This Row],[Qty A]]+cadangan3[[#This Row],[Qty B]]+cadangan3[[#This Row],[Qty C]]</f>
        <v>1</v>
      </c>
      <c r="AH553" s="35">
        <f>cadangan3[[#This Row],[Harga A + Diskon]]+cadangan3[[#This Row],[Harga + Diskon B]]+cadangan3[[#This Row],[Harga + Diskon C]]</f>
        <v>135000</v>
      </c>
      <c r="AI553" s="35">
        <f>(cadangan3[[#This Row],[Profit A]]+cadangan3[[#This Row],[Profit B]]+cadangan3[[#This Row],[Profit C]])</f>
        <v>60000</v>
      </c>
      <c r="AJ553" s="35">
        <f>cadangan3[[#This Row],[Provit A + Diskon]]+cadangan3[[#This Row],[Provit B + Diskon]]+cadangan3[[#This Row],[Provit C + Diskon]]</f>
        <v>54000</v>
      </c>
      <c r="AK553" s="23" t="s">
        <v>30</v>
      </c>
      <c r="AL553" s="37">
        <f>IFERROR(INDEX('Kode Diskon'!$D$3:$D$9,MATCH(cadangan3[[#This Row],[Kode diskon]],'Kode Diskon'!$C$3:$C$9,0)),"-")</f>
        <v>0.1</v>
      </c>
      <c r="AM553" s="23" t="s">
        <v>29</v>
      </c>
      <c r="AN553" s="23" t="s">
        <v>10</v>
      </c>
      <c r="AO553" s="23" t="s">
        <v>80</v>
      </c>
      <c r="AP553" s="24">
        <v>45017</v>
      </c>
      <c r="AQ553" s="23" t="str">
        <f>TEXT(cadangan3[[#This Row],[Tanggal terjual]],"dddd")</f>
        <v>Saturday</v>
      </c>
    </row>
    <row r="554" spans="1:43" x14ac:dyDescent="0.2">
      <c r="A554" s="20">
        <v>553</v>
      </c>
      <c r="B554" s="21" t="str">
        <f>_xlfn.CONCAT("ORD-",INDEX(Helper!$B$2:$B$5,MATCH(cadangan3[[#This Row],[Marketplace]],Helper!$A$2:$A$5,0)),TEXT(cadangan3[[#This Row],[No]],"0000"),"-",TEXT(cadangan3[[#This Row],[Tanggal terjual]],"dd/mm/yy"))</f>
        <v>ORD-BL0553-29/04/23</v>
      </c>
      <c r="C554" t="s">
        <v>66</v>
      </c>
      <c r="D554" t="str">
        <f>IFERROR(INDEX(Katalog!$A$3:$A$12,MATCH(cadangan3[[#This Row],[ItemID A]],Katalog!$C$3:$C$12,0)),"-")</f>
        <v>Sepatu Pria</v>
      </c>
      <c r="E554" t="str">
        <f>IFERROR(INDEX(Katalog!$B$3:$B$12,MATCH(cadangan3[[#This Row],[ItemID A]],Katalog!$C$3:$C$12,0)),"-")</f>
        <v>Sandal Slip On</v>
      </c>
      <c r="F554">
        <v>1</v>
      </c>
      <c r="G554">
        <v>4</v>
      </c>
      <c r="H554" s="36">
        <f>IFERROR(INDEX(Katalog!$D$3:$D$12,MATCH(cadangan3[[#This Row],[ItemID A]],Katalog!$C$3:$C$12,0))*cadangan3[[#This Row],[Qty A]],0)</f>
        <v>150000</v>
      </c>
      <c r="I554" s="36">
        <f>IFERROR(INDEX(Katalog!$D$3:$D$12,MATCH(cadangan3[[#This Row],[Item A]],Katalog!$B$3:$B$12,0))*cadangan3[[#This Row],[Qty A]],0)</f>
        <v>150000</v>
      </c>
      <c r="J554" s="36">
        <f>IFERROR(cadangan3[[#This Row],[Harga Asli A]]-(cadangan3[[#This Row],[Harga Asli A]]*cadangan3[[#This Row],[Diskon]]),cadangan3[[#This Row],[Harga Asli A]])</f>
        <v>127500</v>
      </c>
      <c r="K554" s="36">
        <f>INDEX(Katalog!$F$3:$F$12,MATCH(cadangan3[[#This Row],[ItemID A]],Katalog!$C$3:$C$12,0))*cadangan3[[#This Row],[Qty A]]</f>
        <v>60000</v>
      </c>
      <c r="L554" s="36">
        <f>IFERROR(cadangan3[[#This Row],[Profit A]]-(cadangan3[[#This Row],[Profit A]]*cadangan3[[#This Row],[Diskon]]),K554)</f>
        <v>51000</v>
      </c>
      <c r="M554" t="s">
        <v>62</v>
      </c>
      <c r="N554" t="str">
        <f>IFERROR(INDEX(Katalog!$A$3:$A$12,MATCH(cadangan3[[#This Row],[ItemID B]],Katalog!$C$3:$C$12,0)),"-")</f>
        <v>Pakaian Pria</v>
      </c>
      <c r="O554" t="str">
        <f>IFERROR(INDEX(Katalog!$B$3:$B$12,MATCH(cadangan3[[#This Row],[ItemID B]],Katalog!$C$3:$C$12,0)),"-")</f>
        <v>Celana Pendek</v>
      </c>
      <c r="P554">
        <v>1</v>
      </c>
      <c r="Q554">
        <v>4</v>
      </c>
      <c r="R554" s="36">
        <f>IFERROR(INDEX(Katalog!$D$3:$D$12,MATCH(cadangan3[[#This Row],[ItemID B]],Katalog!$C$3:$C$12,0))*cadangan3[[#This Row],[Qty B]],0)</f>
        <v>180000</v>
      </c>
      <c r="S554" s="36">
        <f>IFERROR(INDEX(Katalog!$D$3:$D$12,MATCH(cadangan3[[#This Row],[Item B]],Katalog!$B$3:$B$12,0))*cadangan3[[#This Row],[Qty B]],0)</f>
        <v>180000</v>
      </c>
      <c r="T554" s="36">
        <f>IFERROR(cadangan3[[#This Row],[Harga Asli B]]-(cadangan3[[#This Row],[Harga Asli B]]*cadangan3[[#This Row],[Diskon]]),cadangan3[[#This Row],[Harga Asli B]])</f>
        <v>153000</v>
      </c>
      <c r="U554" s="36">
        <f>IFERROR(INDEX(Katalog!$F$3:$F$12,MATCH(cadangan3[[#This Row],[ItemID B]],Katalog!$C$3:$C$12,0))*cadangan3[[#This Row],[Qty B]],0)</f>
        <v>70000</v>
      </c>
      <c r="V554" s="36">
        <f>IFERROR(cadangan3[[#This Row],[Profit B]]-(cadangan3[[#This Row],[Profit B]]*cadangan3[[#This Row],[Diskon]]),U554)</f>
        <v>59500</v>
      </c>
      <c r="X554" t="str">
        <f>IFERROR(INDEX(Katalog!$A$3:$A$12,MATCH(cadangan3[[#This Row],[ItemID C]],Katalog!$C$3:$C$12,0)),"-")</f>
        <v>-</v>
      </c>
      <c r="Y554" t="str">
        <f>IFERROR(INDEX(Katalog!$B$3:$B$12,MATCH(cadangan3[[#This Row],[ItemID C]],Katalog!$C$3:$C$12,0)),"-")</f>
        <v>-</v>
      </c>
      <c r="AB554" s="36">
        <f>IFERROR(INDEX(Katalog!$D$3:$D$12,MATCH(cadangan3[[#This Row],[ItemID C]],Katalog!$C$3:$C$12,0))*cadangan3[[#This Row],[Qty C]],0)</f>
        <v>0</v>
      </c>
      <c r="AC554" s="36">
        <f>IFERROR(INDEX(Katalog!$D$3:$D$12,MATCH(cadangan3[[#This Row],[Item C]],Katalog!$B$3:$B$12,0))*cadangan3[[#This Row],[Qty C]],0)</f>
        <v>0</v>
      </c>
      <c r="AD554" s="36">
        <f>IFERROR(cadangan3[[#This Row],[Harga Asli C]]-(cadangan3[[#This Row],[Harga Asli C]]*cadangan3[[#This Row],[Diskon]]),cadangan3[[#This Row],[Harga Asli C]])</f>
        <v>0</v>
      </c>
      <c r="AE554" s="36">
        <f>IFERROR(INDEX(Katalog!$F$3:$F$12,MATCH(cadangan3[[#This Row],[ItemID C]],Katalog!$C$3:$C$12,0))*cadangan3[[#This Row],[Qty C]],0)</f>
        <v>0</v>
      </c>
      <c r="AF554" s="36">
        <f>IFERROR(cadangan3[[#This Row],[Profit C]]-(cadangan3[[#This Row],[Profit C]]*cadangan3[[#This Row],[Diskon]]),cadangan3[[#This Row],[Profit C]])</f>
        <v>0</v>
      </c>
      <c r="AG554" s="21">
        <f>cadangan3[[#This Row],[Qty A]]+cadangan3[[#This Row],[Qty B]]+cadangan3[[#This Row],[Qty C]]</f>
        <v>2</v>
      </c>
      <c r="AH554" s="35">
        <f>cadangan3[[#This Row],[Harga A + Diskon]]+cadangan3[[#This Row],[Harga + Diskon B]]+cadangan3[[#This Row],[Harga + Diskon C]]</f>
        <v>280500</v>
      </c>
      <c r="AI554" s="35">
        <f>(cadangan3[[#This Row],[Profit A]]+cadangan3[[#This Row],[Profit B]]+cadangan3[[#This Row],[Profit C]])</f>
        <v>130000</v>
      </c>
      <c r="AJ554" s="35">
        <f>cadangan3[[#This Row],[Provit A + Diskon]]+cadangan3[[#This Row],[Provit B + Diskon]]+cadangan3[[#This Row],[Provit C + Diskon]]</f>
        <v>110500</v>
      </c>
      <c r="AK554" s="23" t="s">
        <v>32</v>
      </c>
      <c r="AL554" s="37">
        <f>IFERROR(INDEX('Kode Diskon'!$D$3:$D$9,MATCH(cadangan3[[#This Row],[Kode diskon]],'Kode Diskon'!$C$3:$C$9,0)),"-")</f>
        <v>0.15</v>
      </c>
      <c r="AM554" s="23" t="s">
        <v>9</v>
      </c>
      <c r="AN554" s="23" t="s">
        <v>12</v>
      </c>
      <c r="AO554" s="23" t="s">
        <v>80</v>
      </c>
      <c r="AP554" s="24">
        <v>45045</v>
      </c>
      <c r="AQ554" s="23" t="str">
        <f>TEXT(cadangan3[[#This Row],[Tanggal terjual]],"dddd")</f>
        <v>Saturday</v>
      </c>
    </row>
    <row r="555" spans="1:43" x14ac:dyDescent="0.2">
      <c r="A555" s="20">
        <v>554</v>
      </c>
      <c r="B555" s="21" t="str">
        <f>_xlfn.CONCAT("ORD-",INDEX(Helper!$B$2:$B$5,MATCH(cadangan3[[#This Row],[Marketplace]],Helper!$A$2:$A$5,0)),TEXT(cadangan3[[#This Row],[No]],"0000"),"-",TEXT(cadangan3[[#This Row],[Tanggal terjual]],"dd/mm/yy"))</f>
        <v>ORD-SP0554-01/04/23</v>
      </c>
      <c r="C555" t="s">
        <v>63</v>
      </c>
      <c r="D555" t="str">
        <f>IFERROR(INDEX(Katalog!$A$3:$A$12,MATCH(cadangan3[[#This Row],[ItemID A]],Katalog!$C$3:$C$12,0)),"-")</f>
        <v>Pakaian Pria</v>
      </c>
      <c r="E555" t="str">
        <f>IFERROR(INDEX(Katalog!$B$3:$B$12,MATCH(cadangan3[[#This Row],[ItemID A]],Katalog!$C$3:$C$12,0)),"-")</f>
        <v>Jaket Jeans</v>
      </c>
      <c r="F555">
        <v>2</v>
      </c>
      <c r="G555">
        <v>1</v>
      </c>
      <c r="H555" s="36">
        <f>IFERROR(INDEX(Katalog!$D$3:$D$12,MATCH(cadangan3[[#This Row],[ItemID A]],Katalog!$C$3:$C$12,0))*cadangan3[[#This Row],[Qty A]],0)</f>
        <v>800000</v>
      </c>
      <c r="I555" s="36">
        <f>IFERROR(INDEX(Katalog!$D$3:$D$12,MATCH(cadangan3[[#This Row],[Item A]],Katalog!$B$3:$B$12,0))*cadangan3[[#This Row],[Qty A]],0)</f>
        <v>800000</v>
      </c>
      <c r="J555" s="36">
        <f>IFERROR(cadangan3[[#This Row],[Harga Asli A]]-(cadangan3[[#This Row],[Harga Asli A]]*cadangan3[[#This Row],[Diskon]]),cadangan3[[#This Row],[Harga Asli A]])</f>
        <v>680000</v>
      </c>
      <c r="K555" s="36">
        <f>INDEX(Katalog!$F$3:$F$12,MATCH(cadangan3[[#This Row],[ItemID A]],Katalog!$C$3:$C$12,0))*cadangan3[[#This Row],[Qty A]]</f>
        <v>300000</v>
      </c>
      <c r="L555" s="36">
        <f>IFERROR(cadangan3[[#This Row],[Profit A]]-(cadangan3[[#This Row],[Profit A]]*cadangan3[[#This Row],[Diskon]]),K555)</f>
        <v>255000</v>
      </c>
      <c r="M555" t="s">
        <v>64</v>
      </c>
      <c r="N555" t="str">
        <f>IFERROR(INDEX(Katalog!$A$3:$A$12,MATCH(cadangan3[[#This Row],[ItemID B]],Katalog!$C$3:$C$12,0)),"-")</f>
        <v>Pakaian Unisex</v>
      </c>
      <c r="O555" t="str">
        <f>IFERROR(INDEX(Katalog!$B$3:$B$12,MATCH(cadangan3[[#This Row],[ItemID B]],Katalog!$C$3:$C$12,0)),"-")</f>
        <v>Jaket Hoodie</v>
      </c>
      <c r="P555">
        <v>4</v>
      </c>
      <c r="Q555">
        <v>4</v>
      </c>
      <c r="R555" s="36">
        <f>IFERROR(INDEX(Katalog!$D$3:$D$12,MATCH(cadangan3[[#This Row],[ItemID B]],Katalog!$C$3:$C$12,0))*cadangan3[[#This Row],[Qty B]],0)</f>
        <v>1400000</v>
      </c>
      <c r="S555" s="36">
        <f>IFERROR(INDEX(Katalog!$D$3:$D$12,MATCH(cadangan3[[#This Row],[Item B]],Katalog!$B$3:$B$12,0))*cadangan3[[#This Row],[Qty B]],0)</f>
        <v>1400000</v>
      </c>
      <c r="T555" s="36">
        <f>IFERROR(cadangan3[[#This Row],[Harga Asli B]]-(cadangan3[[#This Row],[Harga Asli B]]*cadangan3[[#This Row],[Diskon]]),cadangan3[[#This Row],[Harga Asli B]])</f>
        <v>1190000</v>
      </c>
      <c r="U555" s="36">
        <f>IFERROR(INDEX(Katalog!$F$3:$F$12,MATCH(cadangan3[[#This Row],[ItemID B]],Katalog!$C$3:$C$12,0))*cadangan3[[#This Row],[Qty B]],0)</f>
        <v>520000</v>
      </c>
      <c r="V555" s="36">
        <f>IFERROR(cadangan3[[#This Row],[Profit B]]-(cadangan3[[#This Row],[Profit B]]*cadangan3[[#This Row],[Diskon]]),U555)</f>
        <v>442000</v>
      </c>
      <c r="X555" t="str">
        <f>IFERROR(INDEX(Katalog!$A$3:$A$12,MATCH(cadangan3[[#This Row],[ItemID C]],Katalog!$C$3:$C$12,0)),"-")</f>
        <v>-</v>
      </c>
      <c r="Y555" t="str">
        <f>IFERROR(INDEX(Katalog!$B$3:$B$12,MATCH(cadangan3[[#This Row],[ItemID C]],Katalog!$C$3:$C$12,0)),"-")</f>
        <v>-</v>
      </c>
      <c r="AB555" s="36">
        <f>IFERROR(INDEX(Katalog!$D$3:$D$12,MATCH(cadangan3[[#This Row],[ItemID C]],Katalog!$C$3:$C$12,0))*cadangan3[[#This Row],[Qty C]],0)</f>
        <v>0</v>
      </c>
      <c r="AC555" s="36">
        <f>IFERROR(INDEX(Katalog!$D$3:$D$12,MATCH(cadangan3[[#This Row],[Item C]],Katalog!$B$3:$B$12,0))*cadangan3[[#This Row],[Qty C]],0)</f>
        <v>0</v>
      </c>
      <c r="AD555" s="36">
        <f>IFERROR(cadangan3[[#This Row],[Harga Asli C]]-(cadangan3[[#This Row],[Harga Asli C]]*cadangan3[[#This Row],[Diskon]]),cadangan3[[#This Row],[Harga Asli C]])</f>
        <v>0</v>
      </c>
      <c r="AE555" s="36">
        <f>IFERROR(INDEX(Katalog!$F$3:$F$12,MATCH(cadangan3[[#This Row],[ItemID C]],Katalog!$C$3:$C$12,0))*cadangan3[[#This Row],[Qty C]],0)</f>
        <v>0</v>
      </c>
      <c r="AF555" s="36">
        <f>IFERROR(cadangan3[[#This Row],[Profit C]]-(cadangan3[[#This Row],[Profit C]]*cadangan3[[#This Row],[Diskon]]),cadangan3[[#This Row],[Profit C]])</f>
        <v>0</v>
      </c>
      <c r="AG555" s="21">
        <f>cadangan3[[#This Row],[Qty A]]+cadangan3[[#This Row],[Qty B]]+cadangan3[[#This Row],[Qty C]]</f>
        <v>6</v>
      </c>
      <c r="AH555" s="35">
        <f>cadangan3[[#This Row],[Harga A + Diskon]]+cadangan3[[#This Row],[Harga + Diskon B]]+cadangan3[[#This Row],[Harga + Diskon C]]</f>
        <v>1870000</v>
      </c>
      <c r="AI555" s="35">
        <f>(cadangan3[[#This Row],[Profit A]]+cadangan3[[#This Row],[Profit B]]+cadangan3[[#This Row],[Profit C]])</f>
        <v>820000</v>
      </c>
      <c r="AJ555" s="35">
        <f>cadangan3[[#This Row],[Provit A + Diskon]]+cadangan3[[#This Row],[Provit B + Diskon]]+cadangan3[[#This Row],[Provit C + Diskon]]</f>
        <v>697000</v>
      </c>
      <c r="AK555" s="23" t="s">
        <v>13</v>
      </c>
      <c r="AL555" s="37">
        <f>IFERROR(INDEX('Kode Diskon'!$D$3:$D$9,MATCH(cadangan3[[#This Row],[Kode diskon]],'Kode Diskon'!$C$3:$C$9,0)),"-")</f>
        <v>0.15</v>
      </c>
      <c r="AM555" s="23" t="s">
        <v>29</v>
      </c>
      <c r="AN555" s="23" t="s">
        <v>7</v>
      </c>
      <c r="AO555" s="23" t="s">
        <v>80</v>
      </c>
      <c r="AP555" s="24">
        <v>45017</v>
      </c>
      <c r="AQ555" s="23" t="str">
        <f>TEXT(cadangan3[[#This Row],[Tanggal terjual]],"dddd")</f>
        <v>Saturday</v>
      </c>
    </row>
    <row r="556" spans="1:43" x14ac:dyDescent="0.2">
      <c r="A556" s="20">
        <v>555</v>
      </c>
      <c r="B556" s="21" t="str">
        <f>_xlfn.CONCAT("ORD-",INDEX(Helper!$B$2:$B$5,MATCH(cadangan3[[#This Row],[Marketplace]],Helper!$A$2:$A$5,0)),TEXT(cadangan3[[#This Row],[No]],"0000"),"-",TEXT(cadangan3[[#This Row],[Tanggal terjual]],"dd/mm/yy"))</f>
        <v>ORD-SP0555-04/04/23</v>
      </c>
      <c r="C556" t="s">
        <v>65</v>
      </c>
      <c r="D556" t="str">
        <f>IFERROR(INDEX(Katalog!$A$3:$A$12,MATCH(cadangan3[[#This Row],[ItemID A]],Katalog!$C$3:$C$12,0)),"-")</f>
        <v>Sepatu Pria</v>
      </c>
      <c r="E556" t="str">
        <f>IFERROR(INDEX(Katalog!$B$3:$B$12,MATCH(cadangan3[[#This Row],[ItemID A]],Katalog!$C$3:$C$12,0)),"-")</f>
        <v>Sneakers</v>
      </c>
      <c r="F556">
        <v>3</v>
      </c>
      <c r="G556">
        <v>4</v>
      </c>
      <c r="H556" s="36">
        <f>IFERROR(INDEX(Katalog!$D$3:$D$12,MATCH(cadangan3[[#This Row],[ItemID A]],Katalog!$C$3:$C$12,0))*cadangan3[[#This Row],[Qty A]],0)</f>
        <v>1500000</v>
      </c>
      <c r="I556" s="36">
        <f>IFERROR(INDEX(Katalog!$D$3:$D$12,MATCH(cadangan3[[#This Row],[Item A]],Katalog!$B$3:$B$12,0))*cadangan3[[#This Row],[Qty A]],0)</f>
        <v>1500000</v>
      </c>
      <c r="J556" s="36">
        <f>IFERROR(cadangan3[[#This Row],[Harga Asli A]]-(cadangan3[[#This Row],[Harga Asli A]]*cadangan3[[#This Row],[Diskon]]),cadangan3[[#This Row],[Harga Asli A]])</f>
        <v>1350000</v>
      </c>
      <c r="K556" s="36">
        <f>INDEX(Katalog!$F$3:$F$12,MATCH(cadangan3[[#This Row],[ItemID A]],Katalog!$C$3:$C$12,0))*cadangan3[[#This Row],[Qty A]]</f>
        <v>600000</v>
      </c>
      <c r="L556" s="36">
        <f>IFERROR(cadangan3[[#This Row],[Profit A]]-(cadangan3[[#This Row],[Profit A]]*cadangan3[[#This Row],[Diskon]]),K556)</f>
        <v>540000</v>
      </c>
      <c r="M556" t="s">
        <v>63</v>
      </c>
      <c r="N556" t="str">
        <f>IFERROR(INDEX(Katalog!$A$3:$A$12,MATCH(cadangan3[[#This Row],[ItemID B]],Katalog!$C$3:$C$12,0)),"-")</f>
        <v>Pakaian Pria</v>
      </c>
      <c r="O556" t="str">
        <f>IFERROR(INDEX(Katalog!$B$3:$B$12,MATCH(cadangan3[[#This Row],[ItemID B]],Katalog!$C$3:$C$12,0)),"-")</f>
        <v>Jaket Jeans</v>
      </c>
      <c r="P556">
        <v>1</v>
      </c>
      <c r="Q556">
        <v>2</v>
      </c>
      <c r="R556" s="36">
        <f>IFERROR(INDEX(Katalog!$D$3:$D$12,MATCH(cadangan3[[#This Row],[ItemID B]],Katalog!$C$3:$C$12,0))*cadangan3[[#This Row],[Qty B]],0)</f>
        <v>400000</v>
      </c>
      <c r="S556" s="36">
        <f>IFERROR(INDEX(Katalog!$D$3:$D$12,MATCH(cadangan3[[#This Row],[Item B]],Katalog!$B$3:$B$12,0))*cadangan3[[#This Row],[Qty B]],0)</f>
        <v>400000</v>
      </c>
      <c r="T556" s="36">
        <f>IFERROR(cadangan3[[#This Row],[Harga Asli B]]-(cadangan3[[#This Row],[Harga Asli B]]*cadangan3[[#This Row],[Diskon]]),cadangan3[[#This Row],[Harga Asli B]])</f>
        <v>360000</v>
      </c>
      <c r="U556" s="36">
        <f>IFERROR(INDEX(Katalog!$F$3:$F$12,MATCH(cadangan3[[#This Row],[ItemID B]],Katalog!$C$3:$C$12,0))*cadangan3[[#This Row],[Qty B]],0)</f>
        <v>150000</v>
      </c>
      <c r="V556" s="36">
        <f>IFERROR(cadangan3[[#This Row],[Profit B]]-(cadangan3[[#This Row],[Profit B]]*cadangan3[[#This Row],[Diskon]]),U556)</f>
        <v>135000</v>
      </c>
      <c r="W556" t="s">
        <v>65</v>
      </c>
      <c r="X556" t="str">
        <f>IFERROR(INDEX(Katalog!$A$3:$A$12,MATCH(cadangan3[[#This Row],[ItemID C]],Katalog!$C$3:$C$12,0)),"-")</f>
        <v>Sepatu Pria</v>
      </c>
      <c r="Y556" t="str">
        <f>IFERROR(INDEX(Katalog!$B$3:$B$12,MATCH(cadangan3[[#This Row],[ItemID C]],Katalog!$C$3:$C$12,0)),"-")</f>
        <v>Sneakers</v>
      </c>
      <c r="Z556">
        <v>2</v>
      </c>
      <c r="AA556">
        <v>2</v>
      </c>
      <c r="AB556" s="36">
        <f>IFERROR(INDEX(Katalog!$D$3:$D$12,MATCH(cadangan3[[#This Row],[ItemID C]],Katalog!$C$3:$C$12,0))*cadangan3[[#This Row],[Qty C]],0)</f>
        <v>1000000</v>
      </c>
      <c r="AC556" s="36">
        <f>IFERROR(INDEX(Katalog!$D$3:$D$12,MATCH(cadangan3[[#This Row],[Item C]],Katalog!$B$3:$B$12,0))*cadangan3[[#This Row],[Qty C]],0)</f>
        <v>1000000</v>
      </c>
      <c r="AD556" s="36">
        <f>IFERROR(cadangan3[[#This Row],[Harga Asli C]]-(cadangan3[[#This Row],[Harga Asli C]]*cadangan3[[#This Row],[Diskon]]),cadangan3[[#This Row],[Harga Asli C]])</f>
        <v>900000</v>
      </c>
      <c r="AE556" s="36">
        <f>IFERROR(INDEX(Katalog!$F$3:$F$12,MATCH(cadangan3[[#This Row],[ItemID C]],Katalog!$C$3:$C$12,0))*cadangan3[[#This Row],[Qty C]],0)</f>
        <v>400000</v>
      </c>
      <c r="AF556" s="36">
        <f>IFERROR(cadangan3[[#This Row],[Profit C]]-(cadangan3[[#This Row],[Profit C]]*cadangan3[[#This Row],[Diskon]]),cadangan3[[#This Row],[Profit C]])</f>
        <v>360000</v>
      </c>
      <c r="AG556" s="21">
        <f>cadangan3[[#This Row],[Qty A]]+cadangan3[[#This Row],[Qty B]]+cadangan3[[#This Row],[Qty C]]</f>
        <v>6</v>
      </c>
      <c r="AH556" s="35">
        <f>cadangan3[[#This Row],[Harga A + Diskon]]+cadangan3[[#This Row],[Harga + Diskon B]]+cadangan3[[#This Row],[Harga + Diskon C]]</f>
        <v>2610000</v>
      </c>
      <c r="AI556" s="35">
        <f>(cadangan3[[#This Row],[Profit A]]+cadangan3[[#This Row],[Profit B]]+cadangan3[[#This Row],[Profit C]])</f>
        <v>1150000</v>
      </c>
      <c r="AJ556" s="35">
        <f>cadangan3[[#This Row],[Provit A + Diskon]]+cadangan3[[#This Row],[Provit B + Diskon]]+cadangan3[[#This Row],[Provit C + Diskon]]</f>
        <v>1035000</v>
      </c>
      <c r="AK556" s="23" t="s">
        <v>6</v>
      </c>
      <c r="AL556" s="37">
        <f>IFERROR(INDEX('Kode Diskon'!$D$3:$D$9,MATCH(cadangan3[[#This Row],[Kode diskon]],'Kode Diskon'!$C$3:$C$9,0)),"-")</f>
        <v>0.1</v>
      </c>
      <c r="AM556" s="23" t="s">
        <v>29</v>
      </c>
      <c r="AN556" s="23" t="s">
        <v>7</v>
      </c>
      <c r="AO556" s="23" t="s">
        <v>79</v>
      </c>
      <c r="AP556" s="24">
        <v>45020</v>
      </c>
      <c r="AQ556" s="23" t="str">
        <f>TEXT(cadangan3[[#This Row],[Tanggal terjual]],"dddd")</f>
        <v>Tuesday</v>
      </c>
    </row>
    <row r="557" spans="1:43" x14ac:dyDescent="0.2">
      <c r="A557" s="20">
        <v>556</v>
      </c>
      <c r="B557" s="21" t="str">
        <f>_xlfn.CONCAT("ORD-",INDEX(Helper!$B$2:$B$5,MATCH(cadangan3[[#This Row],[Marketplace]],Helper!$A$2:$A$5,0)),TEXT(cadangan3[[#This Row],[No]],"0000"),"-",TEXT(cadangan3[[#This Row],[Tanggal terjual]],"dd/mm/yy"))</f>
        <v>ORD-BB0556-03/04/23</v>
      </c>
      <c r="C557" t="s">
        <v>65</v>
      </c>
      <c r="D557" t="str">
        <f>IFERROR(INDEX(Katalog!$A$3:$A$12,MATCH(cadangan3[[#This Row],[ItemID A]],Katalog!$C$3:$C$12,0)),"-")</f>
        <v>Sepatu Pria</v>
      </c>
      <c r="E557" t="str">
        <f>IFERROR(INDEX(Katalog!$B$3:$B$12,MATCH(cadangan3[[#This Row],[ItemID A]],Katalog!$C$3:$C$12,0)),"-")</f>
        <v>Sneakers</v>
      </c>
      <c r="F557">
        <v>5</v>
      </c>
      <c r="G557">
        <v>2</v>
      </c>
      <c r="H557" s="36">
        <f>IFERROR(INDEX(Katalog!$D$3:$D$12,MATCH(cadangan3[[#This Row],[ItemID A]],Katalog!$C$3:$C$12,0))*cadangan3[[#This Row],[Qty A]],0)</f>
        <v>2500000</v>
      </c>
      <c r="I557" s="36">
        <f>IFERROR(INDEX(Katalog!$D$3:$D$12,MATCH(cadangan3[[#This Row],[Item A]],Katalog!$B$3:$B$12,0))*cadangan3[[#This Row],[Qty A]],0)</f>
        <v>2500000</v>
      </c>
      <c r="J557" s="36">
        <f>IFERROR(cadangan3[[#This Row],[Harga Asli A]]-(cadangan3[[#This Row],[Harga Asli A]]*cadangan3[[#This Row],[Diskon]]),cadangan3[[#This Row],[Harga Asli A]])</f>
        <v>2125000</v>
      </c>
      <c r="K557" s="36">
        <f>INDEX(Katalog!$F$3:$F$12,MATCH(cadangan3[[#This Row],[ItemID A]],Katalog!$C$3:$C$12,0))*cadangan3[[#This Row],[Qty A]]</f>
        <v>1000000</v>
      </c>
      <c r="L557" s="36">
        <f>IFERROR(cadangan3[[#This Row],[Profit A]]-(cadangan3[[#This Row],[Profit A]]*cadangan3[[#This Row],[Diskon]]),K557)</f>
        <v>850000</v>
      </c>
      <c r="M557" t="s">
        <v>66</v>
      </c>
      <c r="N557" t="str">
        <f>IFERROR(INDEX(Katalog!$A$3:$A$12,MATCH(cadangan3[[#This Row],[ItemID B]],Katalog!$C$3:$C$12,0)),"-")</f>
        <v>Sepatu Pria</v>
      </c>
      <c r="O557" t="str">
        <f>IFERROR(INDEX(Katalog!$B$3:$B$12,MATCH(cadangan3[[#This Row],[ItemID B]],Katalog!$C$3:$C$12,0)),"-")</f>
        <v>Sandal Slip On</v>
      </c>
      <c r="P557">
        <v>2</v>
      </c>
      <c r="Q557">
        <v>5</v>
      </c>
      <c r="R557" s="36">
        <f>IFERROR(INDEX(Katalog!$D$3:$D$12,MATCH(cadangan3[[#This Row],[ItemID B]],Katalog!$C$3:$C$12,0))*cadangan3[[#This Row],[Qty B]],0)</f>
        <v>300000</v>
      </c>
      <c r="S557" s="36">
        <f>IFERROR(INDEX(Katalog!$D$3:$D$12,MATCH(cadangan3[[#This Row],[Item B]],Katalog!$B$3:$B$12,0))*cadangan3[[#This Row],[Qty B]],0)</f>
        <v>300000</v>
      </c>
      <c r="T557" s="36">
        <f>IFERROR(cadangan3[[#This Row],[Harga Asli B]]-(cadangan3[[#This Row],[Harga Asli B]]*cadangan3[[#This Row],[Diskon]]),cadangan3[[#This Row],[Harga Asli B]])</f>
        <v>255000</v>
      </c>
      <c r="U557" s="36">
        <f>IFERROR(INDEX(Katalog!$F$3:$F$12,MATCH(cadangan3[[#This Row],[ItemID B]],Katalog!$C$3:$C$12,0))*cadangan3[[#This Row],[Qty B]],0)</f>
        <v>120000</v>
      </c>
      <c r="V557" s="36">
        <f>IFERROR(cadangan3[[#This Row],[Profit B]]-(cadangan3[[#This Row],[Profit B]]*cadangan3[[#This Row],[Diskon]]),U557)</f>
        <v>102000</v>
      </c>
      <c r="X557" t="str">
        <f>IFERROR(INDEX(Katalog!$A$3:$A$12,MATCH(cadangan3[[#This Row],[ItemID C]],Katalog!$C$3:$C$12,0)),"-")</f>
        <v>-</v>
      </c>
      <c r="Y557" t="str">
        <f>IFERROR(INDEX(Katalog!$B$3:$B$12,MATCH(cadangan3[[#This Row],[ItemID C]],Katalog!$C$3:$C$12,0)),"-")</f>
        <v>-</v>
      </c>
      <c r="AB557" s="36">
        <f>IFERROR(INDEX(Katalog!$D$3:$D$12,MATCH(cadangan3[[#This Row],[ItemID C]],Katalog!$C$3:$C$12,0))*cadangan3[[#This Row],[Qty C]],0)</f>
        <v>0</v>
      </c>
      <c r="AC557" s="36">
        <f>IFERROR(INDEX(Katalog!$D$3:$D$12,MATCH(cadangan3[[#This Row],[Item C]],Katalog!$B$3:$B$12,0))*cadangan3[[#This Row],[Qty C]],0)</f>
        <v>0</v>
      </c>
      <c r="AD557" s="36">
        <f>IFERROR(cadangan3[[#This Row],[Harga Asli C]]-(cadangan3[[#This Row],[Harga Asli C]]*cadangan3[[#This Row],[Diskon]]),cadangan3[[#This Row],[Harga Asli C]])</f>
        <v>0</v>
      </c>
      <c r="AE557" s="36">
        <f>IFERROR(INDEX(Katalog!$F$3:$F$12,MATCH(cadangan3[[#This Row],[ItemID C]],Katalog!$C$3:$C$12,0))*cadangan3[[#This Row],[Qty C]],0)</f>
        <v>0</v>
      </c>
      <c r="AF557" s="36">
        <f>IFERROR(cadangan3[[#This Row],[Profit C]]-(cadangan3[[#This Row],[Profit C]]*cadangan3[[#This Row],[Diskon]]),cadangan3[[#This Row],[Profit C]])</f>
        <v>0</v>
      </c>
      <c r="AG557" s="21">
        <f>cadangan3[[#This Row],[Qty A]]+cadangan3[[#This Row],[Qty B]]+cadangan3[[#This Row],[Qty C]]</f>
        <v>7</v>
      </c>
      <c r="AH557" s="35">
        <f>cadangan3[[#This Row],[Harga A + Diskon]]+cadangan3[[#This Row],[Harga + Diskon B]]+cadangan3[[#This Row],[Harga + Diskon C]]</f>
        <v>2380000</v>
      </c>
      <c r="AI557" s="35">
        <f>(cadangan3[[#This Row],[Profit A]]+cadangan3[[#This Row],[Profit B]]+cadangan3[[#This Row],[Profit C]])</f>
        <v>1120000</v>
      </c>
      <c r="AJ557" s="35">
        <f>cadangan3[[#This Row],[Provit A + Diskon]]+cadangan3[[#This Row],[Provit B + Diskon]]+cadangan3[[#This Row],[Provit C + Diskon]]</f>
        <v>952000</v>
      </c>
      <c r="AK557" s="23" t="s">
        <v>28</v>
      </c>
      <c r="AL557" s="37">
        <f>IFERROR(INDEX('Kode Diskon'!$D$3:$D$9,MATCH(cadangan3[[#This Row],[Kode diskon]],'Kode Diskon'!$C$3:$C$9,0)),"-")</f>
        <v>0.15</v>
      </c>
      <c r="AM557" s="23" t="s">
        <v>29</v>
      </c>
      <c r="AN557" s="23" t="s">
        <v>14</v>
      </c>
      <c r="AO557" s="23" t="s">
        <v>77</v>
      </c>
      <c r="AP557" s="24">
        <v>45019</v>
      </c>
      <c r="AQ557" s="23" t="str">
        <f>TEXT(cadangan3[[#This Row],[Tanggal terjual]],"dddd")</f>
        <v>Monday</v>
      </c>
    </row>
    <row r="558" spans="1:43" x14ac:dyDescent="0.2">
      <c r="A558" s="20">
        <v>557</v>
      </c>
      <c r="B558" s="21" t="str">
        <f>_xlfn.CONCAT("ORD-",INDEX(Helper!$B$2:$B$5,MATCH(cadangan3[[#This Row],[Marketplace]],Helper!$A$2:$A$5,0)),TEXT(cadangan3[[#This Row],[No]],"0000"),"-",TEXT(cadangan3[[#This Row],[Tanggal terjual]],"dd/mm/yy"))</f>
        <v>ORD-SP0557-01/04/23</v>
      </c>
      <c r="C558" t="s">
        <v>59</v>
      </c>
      <c r="D558" t="str">
        <f>IFERROR(INDEX(Katalog!$A$3:$A$12,MATCH(cadangan3[[#This Row],[ItemID A]],Katalog!$C$3:$C$12,0)),"-")</f>
        <v>Pakaian Wanita</v>
      </c>
      <c r="E558" t="str">
        <f>IFERROR(INDEX(Katalog!$B$3:$B$12,MATCH(cadangan3[[#This Row],[ItemID A]],Katalog!$C$3:$C$12,0)),"-")</f>
        <v>Blouse</v>
      </c>
      <c r="F558">
        <v>1</v>
      </c>
      <c r="G558">
        <v>4</v>
      </c>
      <c r="H558" s="36">
        <f>IFERROR(INDEX(Katalog!$D$3:$D$12,MATCH(cadangan3[[#This Row],[ItemID A]],Katalog!$C$3:$C$12,0))*cadangan3[[#This Row],[Qty A]],0)</f>
        <v>150000</v>
      </c>
      <c r="I558" s="36">
        <f>IFERROR(INDEX(Katalog!$D$3:$D$12,MATCH(cadangan3[[#This Row],[Item A]],Katalog!$B$3:$B$12,0))*cadangan3[[#This Row],[Qty A]],0)</f>
        <v>150000</v>
      </c>
      <c r="J558" s="36">
        <f>IFERROR(cadangan3[[#This Row],[Harga Asli A]]-(cadangan3[[#This Row],[Harga Asli A]]*cadangan3[[#This Row],[Diskon]]),cadangan3[[#This Row],[Harga Asli A]])</f>
        <v>127500</v>
      </c>
      <c r="K558" s="36">
        <f>INDEX(Katalog!$F$3:$F$12,MATCH(cadangan3[[#This Row],[ItemID A]],Katalog!$C$3:$C$12,0))*cadangan3[[#This Row],[Qty A]]</f>
        <v>50000</v>
      </c>
      <c r="L558" s="36">
        <f>IFERROR(cadangan3[[#This Row],[Profit A]]-(cadangan3[[#This Row],[Profit A]]*cadangan3[[#This Row],[Diskon]]),K558)</f>
        <v>42500</v>
      </c>
      <c r="M558" t="s">
        <v>61</v>
      </c>
      <c r="N558" t="str">
        <f>IFERROR(INDEX(Katalog!$A$3:$A$12,MATCH(cadangan3[[#This Row],[ItemID B]],Katalog!$C$3:$C$12,0)),"-")</f>
        <v>Pakaian Pria</v>
      </c>
      <c r="O558" t="str">
        <f>IFERROR(INDEX(Katalog!$B$3:$B$12,MATCH(cadangan3[[#This Row],[ItemID B]],Katalog!$C$3:$C$12,0)),"-")</f>
        <v>Kaos Polo</v>
      </c>
      <c r="P558">
        <v>1</v>
      </c>
      <c r="Q558">
        <v>3</v>
      </c>
      <c r="R558" s="36">
        <f>IFERROR(INDEX(Katalog!$D$3:$D$12,MATCH(cadangan3[[#This Row],[ItemID B]],Katalog!$C$3:$C$12,0))*cadangan3[[#This Row],[Qty B]],0)</f>
        <v>200000</v>
      </c>
      <c r="S558" s="36">
        <f>IFERROR(INDEX(Katalog!$D$3:$D$12,MATCH(cadangan3[[#This Row],[Item B]],Katalog!$B$3:$B$12,0))*cadangan3[[#This Row],[Qty B]],0)</f>
        <v>200000</v>
      </c>
      <c r="T558" s="36">
        <f>IFERROR(cadangan3[[#This Row],[Harga Asli B]]-(cadangan3[[#This Row],[Harga Asli B]]*cadangan3[[#This Row],[Diskon]]),cadangan3[[#This Row],[Harga Asli B]])</f>
        <v>170000</v>
      </c>
      <c r="U558" s="36">
        <f>IFERROR(INDEX(Katalog!$F$3:$F$12,MATCH(cadangan3[[#This Row],[ItemID B]],Katalog!$C$3:$C$12,0))*cadangan3[[#This Row],[Qty B]],0)</f>
        <v>80000</v>
      </c>
      <c r="V558" s="36">
        <f>IFERROR(cadangan3[[#This Row],[Profit B]]-(cadangan3[[#This Row],[Profit B]]*cadangan3[[#This Row],[Diskon]]),U558)</f>
        <v>68000</v>
      </c>
      <c r="X558" t="str">
        <f>IFERROR(INDEX(Katalog!$A$3:$A$12,MATCH(cadangan3[[#This Row],[ItemID C]],Katalog!$C$3:$C$12,0)),"-")</f>
        <v>-</v>
      </c>
      <c r="Y558" t="str">
        <f>IFERROR(INDEX(Katalog!$B$3:$B$12,MATCH(cadangan3[[#This Row],[ItemID C]],Katalog!$C$3:$C$12,0)),"-")</f>
        <v>-</v>
      </c>
      <c r="AB558" s="36">
        <f>IFERROR(INDEX(Katalog!$D$3:$D$12,MATCH(cadangan3[[#This Row],[ItemID C]],Katalog!$C$3:$C$12,0))*cadangan3[[#This Row],[Qty C]],0)</f>
        <v>0</v>
      </c>
      <c r="AC558" s="36">
        <f>IFERROR(INDEX(Katalog!$D$3:$D$12,MATCH(cadangan3[[#This Row],[Item C]],Katalog!$B$3:$B$12,0))*cadangan3[[#This Row],[Qty C]],0)</f>
        <v>0</v>
      </c>
      <c r="AD558" s="36">
        <f>IFERROR(cadangan3[[#This Row],[Harga Asli C]]-(cadangan3[[#This Row],[Harga Asli C]]*cadangan3[[#This Row],[Diskon]]),cadangan3[[#This Row],[Harga Asli C]])</f>
        <v>0</v>
      </c>
      <c r="AE558" s="36">
        <f>IFERROR(INDEX(Katalog!$F$3:$F$12,MATCH(cadangan3[[#This Row],[ItemID C]],Katalog!$C$3:$C$12,0))*cadangan3[[#This Row],[Qty C]],0)</f>
        <v>0</v>
      </c>
      <c r="AF558" s="36">
        <f>IFERROR(cadangan3[[#This Row],[Profit C]]-(cadangan3[[#This Row],[Profit C]]*cadangan3[[#This Row],[Diskon]]),cadangan3[[#This Row],[Profit C]])</f>
        <v>0</v>
      </c>
      <c r="AG558" s="21">
        <f>cadangan3[[#This Row],[Qty A]]+cadangan3[[#This Row],[Qty B]]+cadangan3[[#This Row],[Qty C]]</f>
        <v>2</v>
      </c>
      <c r="AH558" s="35">
        <f>cadangan3[[#This Row],[Harga A + Diskon]]+cadangan3[[#This Row],[Harga + Diskon B]]+cadangan3[[#This Row],[Harga + Diskon C]]</f>
        <v>297500</v>
      </c>
      <c r="AI558" s="35">
        <f>(cadangan3[[#This Row],[Profit A]]+cadangan3[[#This Row],[Profit B]]+cadangan3[[#This Row],[Profit C]])</f>
        <v>130000</v>
      </c>
      <c r="AJ558" s="35">
        <f>cadangan3[[#This Row],[Provit A + Diskon]]+cadangan3[[#This Row],[Provit B + Diskon]]+cadangan3[[#This Row],[Provit C + Diskon]]</f>
        <v>110500</v>
      </c>
      <c r="AK558" s="23" t="s">
        <v>13</v>
      </c>
      <c r="AL558" s="37">
        <f>IFERROR(INDEX('Kode Diskon'!$D$3:$D$9,MATCH(cadangan3[[#This Row],[Kode diskon]],'Kode Diskon'!$C$3:$C$9,0)),"-")</f>
        <v>0.15</v>
      </c>
      <c r="AM558" s="23" t="s">
        <v>29</v>
      </c>
      <c r="AN558" s="23" t="s">
        <v>7</v>
      </c>
      <c r="AO558" s="23" t="s">
        <v>76</v>
      </c>
      <c r="AP558" s="24">
        <v>45017</v>
      </c>
      <c r="AQ558" s="23" t="str">
        <f>TEXT(cadangan3[[#This Row],[Tanggal terjual]],"dddd")</f>
        <v>Saturday</v>
      </c>
    </row>
    <row r="559" spans="1:43" x14ac:dyDescent="0.2">
      <c r="A559" s="20">
        <v>558</v>
      </c>
      <c r="B559" s="21" t="str">
        <f>_xlfn.CONCAT("ORD-",INDEX(Helper!$B$2:$B$5,MATCH(cadangan3[[#This Row],[Marketplace]],Helper!$A$2:$A$5,0)),TEXT(cadangan3[[#This Row],[No]],"0000"),"-",TEXT(cadangan3[[#This Row],[Tanggal terjual]],"dd/mm/yy"))</f>
        <v>ORD-SP0558-24/04/23</v>
      </c>
      <c r="C559" t="s">
        <v>63</v>
      </c>
      <c r="D559" t="str">
        <f>IFERROR(INDEX(Katalog!$A$3:$A$12,MATCH(cadangan3[[#This Row],[ItemID A]],Katalog!$C$3:$C$12,0)),"-")</f>
        <v>Pakaian Pria</v>
      </c>
      <c r="E559" t="str">
        <f>IFERROR(INDEX(Katalog!$B$3:$B$12,MATCH(cadangan3[[#This Row],[ItemID A]],Katalog!$C$3:$C$12,0)),"-")</f>
        <v>Jaket Jeans</v>
      </c>
      <c r="F559">
        <v>5</v>
      </c>
      <c r="G559">
        <v>4</v>
      </c>
      <c r="H559" s="36">
        <f>IFERROR(INDEX(Katalog!$D$3:$D$12,MATCH(cadangan3[[#This Row],[ItemID A]],Katalog!$C$3:$C$12,0))*cadangan3[[#This Row],[Qty A]],0)</f>
        <v>2000000</v>
      </c>
      <c r="I559" s="36">
        <f>IFERROR(INDEX(Katalog!$D$3:$D$12,MATCH(cadangan3[[#This Row],[Item A]],Katalog!$B$3:$B$12,0))*cadangan3[[#This Row],[Qty A]],0)</f>
        <v>2000000</v>
      </c>
      <c r="J559" s="36">
        <f>IFERROR(cadangan3[[#This Row],[Harga Asli A]]-(cadangan3[[#This Row],[Harga Asli A]]*cadangan3[[#This Row],[Diskon]]),cadangan3[[#This Row],[Harga Asli A]])</f>
        <v>1600000</v>
      </c>
      <c r="K559" s="36">
        <f>INDEX(Katalog!$F$3:$F$12,MATCH(cadangan3[[#This Row],[ItemID A]],Katalog!$C$3:$C$12,0))*cadangan3[[#This Row],[Qty A]]</f>
        <v>750000</v>
      </c>
      <c r="L559" s="36">
        <f>IFERROR(cadangan3[[#This Row],[Profit A]]-(cadangan3[[#This Row],[Profit A]]*cadangan3[[#This Row],[Diskon]]),K559)</f>
        <v>600000</v>
      </c>
      <c r="M559" t="s">
        <v>60</v>
      </c>
      <c r="N559" t="str">
        <f>IFERROR(INDEX(Katalog!$A$3:$A$12,MATCH(cadangan3[[#This Row],[ItemID B]],Katalog!$C$3:$C$12,0)),"-")</f>
        <v>Pakaian Wanita</v>
      </c>
      <c r="O559" t="str">
        <f>IFERROR(INDEX(Katalog!$B$3:$B$12,MATCH(cadangan3[[#This Row],[ItemID B]],Katalog!$C$3:$C$12,0)),"-")</f>
        <v>Kaftan</v>
      </c>
      <c r="P559">
        <v>1</v>
      </c>
      <c r="Q559">
        <v>2</v>
      </c>
      <c r="R559" s="36">
        <f>IFERROR(INDEX(Katalog!$D$3:$D$12,MATCH(cadangan3[[#This Row],[ItemID B]],Katalog!$C$3:$C$12,0))*cadangan3[[#This Row],[Qty B]],0)</f>
        <v>250000</v>
      </c>
      <c r="S559" s="36">
        <f>IFERROR(INDEX(Katalog!$D$3:$D$12,MATCH(cadangan3[[#This Row],[Item B]],Katalog!$B$3:$B$12,0))*cadangan3[[#This Row],[Qty B]],0)</f>
        <v>250000</v>
      </c>
      <c r="T559" s="36">
        <f>IFERROR(cadangan3[[#This Row],[Harga Asli B]]-(cadangan3[[#This Row],[Harga Asli B]]*cadangan3[[#This Row],[Diskon]]),cadangan3[[#This Row],[Harga Asli B]])</f>
        <v>200000</v>
      </c>
      <c r="U559" s="36">
        <f>IFERROR(INDEX(Katalog!$F$3:$F$12,MATCH(cadangan3[[#This Row],[ItemID B]],Katalog!$C$3:$C$12,0))*cadangan3[[#This Row],[Qty B]],0)</f>
        <v>100000</v>
      </c>
      <c r="V559" s="36">
        <f>IFERROR(cadangan3[[#This Row],[Profit B]]-(cadangan3[[#This Row],[Profit B]]*cadangan3[[#This Row],[Diskon]]),U559)</f>
        <v>80000</v>
      </c>
      <c r="X559" t="str">
        <f>IFERROR(INDEX(Katalog!$A$3:$A$12,MATCH(cadangan3[[#This Row],[ItemID C]],Katalog!$C$3:$C$12,0)),"-")</f>
        <v>-</v>
      </c>
      <c r="Y559" t="str">
        <f>IFERROR(INDEX(Katalog!$B$3:$B$12,MATCH(cadangan3[[#This Row],[ItemID C]],Katalog!$C$3:$C$12,0)),"-")</f>
        <v>-</v>
      </c>
      <c r="AB559" s="36">
        <f>IFERROR(INDEX(Katalog!$D$3:$D$12,MATCH(cadangan3[[#This Row],[ItemID C]],Katalog!$C$3:$C$12,0))*cadangan3[[#This Row],[Qty C]],0)</f>
        <v>0</v>
      </c>
      <c r="AC559" s="36">
        <f>IFERROR(INDEX(Katalog!$D$3:$D$12,MATCH(cadangan3[[#This Row],[Item C]],Katalog!$B$3:$B$12,0))*cadangan3[[#This Row],[Qty C]],0)</f>
        <v>0</v>
      </c>
      <c r="AD559" s="36">
        <f>IFERROR(cadangan3[[#This Row],[Harga Asli C]]-(cadangan3[[#This Row],[Harga Asli C]]*cadangan3[[#This Row],[Diskon]]),cadangan3[[#This Row],[Harga Asli C]])</f>
        <v>0</v>
      </c>
      <c r="AE559" s="36">
        <f>IFERROR(INDEX(Katalog!$F$3:$F$12,MATCH(cadangan3[[#This Row],[ItemID C]],Katalog!$C$3:$C$12,0))*cadangan3[[#This Row],[Qty C]],0)</f>
        <v>0</v>
      </c>
      <c r="AF559" s="36">
        <f>IFERROR(cadangan3[[#This Row],[Profit C]]-(cadangan3[[#This Row],[Profit C]]*cadangan3[[#This Row],[Diskon]]),cadangan3[[#This Row],[Profit C]])</f>
        <v>0</v>
      </c>
      <c r="AG559" s="21">
        <f>cadangan3[[#This Row],[Qty A]]+cadangan3[[#This Row],[Qty B]]+cadangan3[[#This Row],[Qty C]]</f>
        <v>6</v>
      </c>
      <c r="AH559" s="35">
        <f>cadangan3[[#This Row],[Harga A + Diskon]]+cadangan3[[#This Row],[Harga + Diskon B]]+cadangan3[[#This Row],[Harga + Diskon C]]</f>
        <v>1800000</v>
      </c>
      <c r="AI559" s="35">
        <f>(cadangan3[[#This Row],[Profit A]]+cadangan3[[#This Row],[Profit B]]+cadangan3[[#This Row],[Profit C]])</f>
        <v>850000</v>
      </c>
      <c r="AJ559" s="35">
        <f>cadangan3[[#This Row],[Provit A + Diskon]]+cadangan3[[#This Row],[Provit B + Diskon]]+cadangan3[[#This Row],[Provit C + Diskon]]</f>
        <v>680000</v>
      </c>
      <c r="AK559" s="23" t="s">
        <v>8</v>
      </c>
      <c r="AL559" s="37">
        <f>IFERROR(INDEX('Kode Diskon'!$D$3:$D$9,MATCH(cadangan3[[#This Row],[Kode diskon]],'Kode Diskon'!$C$3:$C$9,0)),"-")</f>
        <v>0.2</v>
      </c>
      <c r="AM559" s="23" t="s">
        <v>9</v>
      </c>
      <c r="AN559" s="23" t="s">
        <v>7</v>
      </c>
      <c r="AO559" s="23" t="s">
        <v>77</v>
      </c>
      <c r="AP559" s="24">
        <v>45040</v>
      </c>
      <c r="AQ559" s="23" t="str">
        <f>TEXT(cadangan3[[#This Row],[Tanggal terjual]],"dddd")</f>
        <v>Monday</v>
      </c>
    </row>
    <row r="560" spans="1:43" x14ac:dyDescent="0.2">
      <c r="A560" s="20">
        <v>559</v>
      </c>
      <c r="B560" s="21" t="str">
        <f>_xlfn.CONCAT("ORD-",INDEX(Helper!$B$2:$B$5,MATCH(cadangan3[[#This Row],[Marketplace]],Helper!$A$2:$A$5,0)),TEXT(cadangan3[[#This Row],[No]],"0000"),"-",TEXT(cadangan3[[#This Row],[Tanggal terjual]],"dd/mm/yy"))</f>
        <v>ORD-BL0559-25/04/23</v>
      </c>
      <c r="C560" t="s">
        <v>60</v>
      </c>
      <c r="D560" t="str">
        <f>IFERROR(INDEX(Katalog!$A$3:$A$12,MATCH(cadangan3[[#This Row],[ItemID A]],Katalog!$C$3:$C$12,0)),"-")</f>
        <v>Pakaian Wanita</v>
      </c>
      <c r="E560" t="str">
        <f>IFERROR(INDEX(Katalog!$B$3:$B$12,MATCH(cadangan3[[#This Row],[ItemID A]],Katalog!$C$3:$C$12,0)),"-")</f>
        <v>Kaftan</v>
      </c>
      <c r="F560">
        <v>1</v>
      </c>
      <c r="G560">
        <v>3</v>
      </c>
      <c r="H560" s="36">
        <f>IFERROR(INDEX(Katalog!$D$3:$D$12,MATCH(cadangan3[[#This Row],[ItemID A]],Katalog!$C$3:$C$12,0))*cadangan3[[#This Row],[Qty A]],0)</f>
        <v>250000</v>
      </c>
      <c r="I560" s="36">
        <f>IFERROR(INDEX(Katalog!$D$3:$D$12,MATCH(cadangan3[[#This Row],[Item A]],Katalog!$B$3:$B$12,0))*cadangan3[[#This Row],[Qty A]],0)</f>
        <v>250000</v>
      </c>
      <c r="J560" s="36">
        <f>IFERROR(cadangan3[[#This Row],[Harga Asli A]]-(cadangan3[[#This Row],[Harga Asli A]]*cadangan3[[#This Row],[Diskon]]),cadangan3[[#This Row],[Harga Asli A]])</f>
        <v>212500</v>
      </c>
      <c r="K560" s="36">
        <f>INDEX(Katalog!$F$3:$F$12,MATCH(cadangan3[[#This Row],[ItemID A]],Katalog!$C$3:$C$12,0))*cadangan3[[#This Row],[Qty A]]</f>
        <v>100000</v>
      </c>
      <c r="L560" s="36">
        <f>IFERROR(cadangan3[[#This Row],[Profit A]]-(cadangan3[[#This Row],[Profit A]]*cadangan3[[#This Row],[Diskon]]),K560)</f>
        <v>85000</v>
      </c>
      <c r="M560" t="s">
        <v>58</v>
      </c>
      <c r="N560" t="str">
        <f>IFERROR(INDEX(Katalog!$A$3:$A$12,MATCH(cadangan3[[#This Row],[ItemID B]],Katalog!$C$3:$C$12,0)),"-")</f>
        <v>Pakaian Wanita</v>
      </c>
      <c r="O560" t="str">
        <f>IFERROR(INDEX(Katalog!$B$3:$B$12,MATCH(cadangan3[[#This Row],[ItemID B]],Katalog!$C$3:$C$12,0)),"-")</f>
        <v>Dress</v>
      </c>
      <c r="P560">
        <v>4</v>
      </c>
      <c r="Q560">
        <v>4</v>
      </c>
      <c r="R560" s="36">
        <f>IFERROR(INDEX(Katalog!$D$3:$D$12,MATCH(cadangan3[[#This Row],[ItemID B]],Katalog!$C$3:$C$12,0))*cadangan3[[#This Row],[Qty B]],0)</f>
        <v>1200000</v>
      </c>
      <c r="S560" s="36">
        <f>IFERROR(INDEX(Katalog!$D$3:$D$12,MATCH(cadangan3[[#This Row],[Item B]],Katalog!$B$3:$B$12,0))*cadangan3[[#This Row],[Qty B]],0)</f>
        <v>1200000</v>
      </c>
      <c r="T560" s="36">
        <f>IFERROR(cadangan3[[#This Row],[Harga Asli B]]-(cadangan3[[#This Row],[Harga Asli B]]*cadangan3[[#This Row],[Diskon]]),cadangan3[[#This Row],[Harga Asli B]])</f>
        <v>1020000</v>
      </c>
      <c r="U560" s="36">
        <f>IFERROR(INDEX(Katalog!$F$3:$F$12,MATCH(cadangan3[[#This Row],[ItemID B]],Katalog!$C$3:$C$12,0))*cadangan3[[#This Row],[Qty B]],0)</f>
        <v>400000</v>
      </c>
      <c r="V560" s="36">
        <f>IFERROR(cadangan3[[#This Row],[Profit B]]-(cadangan3[[#This Row],[Profit B]]*cadangan3[[#This Row],[Diskon]]),U560)</f>
        <v>340000</v>
      </c>
      <c r="W560" t="s">
        <v>59</v>
      </c>
      <c r="X560" t="str">
        <f>IFERROR(INDEX(Katalog!$A$3:$A$12,MATCH(cadangan3[[#This Row],[ItemID C]],Katalog!$C$3:$C$12,0)),"-")</f>
        <v>Pakaian Wanita</v>
      </c>
      <c r="Y560" t="str">
        <f>IFERROR(INDEX(Katalog!$B$3:$B$12,MATCH(cadangan3[[#This Row],[ItemID C]],Katalog!$C$3:$C$12,0)),"-")</f>
        <v>Blouse</v>
      </c>
      <c r="Z560">
        <v>1</v>
      </c>
      <c r="AA560">
        <v>1</v>
      </c>
      <c r="AB560" s="36">
        <f>IFERROR(INDEX(Katalog!$D$3:$D$12,MATCH(cadangan3[[#This Row],[ItemID C]],Katalog!$C$3:$C$12,0))*cadangan3[[#This Row],[Qty C]],0)</f>
        <v>150000</v>
      </c>
      <c r="AC560" s="36">
        <f>IFERROR(INDEX(Katalog!$D$3:$D$12,MATCH(cadangan3[[#This Row],[Item C]],Katalog!$B$3:$B$12,0))*cadangan3[[#This Row],[Qty C]],0)</f>
        <v>150000</v>
      </c>
      <c r="AD560" s="36">
        <f>IFERROR(cadangan3[[#This Row],[Harga Asli C]]-(cadangan3[[#This Row],[Harga Asli C]]*cadangan3[[#This Row],[Diskon]]),cadangan3[[#This Row],[Harga Asli C]])</f>
        <v>127500</v>
      </c>
      <c r="AE560" s="36">
        <f>IFERROR(INDEX(Katalog!$F$3:$F$12,MATCH(cadangan3[[#This Row],[ItemID C]],Katalog!$C$3:$C$12,0))*cadangan3[[#This Row],[Qty C]],0)</f>
        <v>50000</v>
      </c>
      <c r="AF560" s="36">
        <f>IFERROR(cadangan3[[#This Row],[Profit C]]-(cadangan3[[#This Row],[Profit C]]*cadangan3[[#This Row],[Diskon]]),cadangan3[[#This Row],[Profit C]])</f>
        <v>42500</v>
      </c>
      <c r="AG560" s="21">
        <f>cadangan3[[#This Row],[Qty A]]+cadangan3[[#This Row],[Qty B]]+cadangan3[[#This Row],[Qty C]]</f>
        <v>6</v>
      </c>
      <c r="AH560" s="35">
        <f>cadangan3[[#This Row],[Harga A + Diskon]]+cadangan3[[#This Row],[Harga + Diskon B]]+cadangan3[[#This Row],[Harga + Diskon C]]</f>
        <v>1360000</v>
      </c>
      <c r="AI560" s="35">
        <f>(cadangan3[[#This Row],[Profit A]]+cadangan3[[#This Row],[Profit B]]+cadangan3[[#This Row],[Profit C]])</f>
        <v>550000</v>
      </c>
      <c r="AJ560" s="35">
        <f>cadangan3[[#This Row],[Provit A + Diskon]]+cadangan3[[#This Row],[Provit B + Diskon]]+cadangan3[[#This Row],[Provit C + Diskon]]</f>
        <v>467500</v>
      </c>
      <c r="AK560" s="23" t="s">
        <v>32</v>
      </c>
      <c r="AL560" s="37">
        <f>IFERROR(INDEX('Kode Diskon'!$D$3:$D$9,MATCH(cadangan3[[#This Row],[Kode diskon]],'Kode Diskon'!$C$3:$C$9,0)),"-")</f>
        <v>0.15</v>
      </c>
      <c r="AM560" s="23" t="s">
        <v>9</v>
      </c>
      <c r="AN560" s="23" t="s">
        <v>12</v>
      </c>
      <c r="AO560" s="23" t="s">
        <v>79</v>
      </c>
      <c r="AP560" s="24">
        <v>45041</v>
      </c>
      <c r="AQ560" s="23" t="str">
        <f>TEXT(cadangan3[[#This Row],[Tanggal terjual]],"dddd")</f>
        <v>Tuesday</v>
      </c>
    </row>
    <row r="561" spans="1:43" x14ac:dyDescent="0.2">
      <c r="A561" s="20">
        <v>560</v>
      </c>
      <c r="B561" s="21" t="str">
        <f>_xlfn.CONCAT("ORD-",INDEX(Helper!$B$2:$B$5,MATCH(cadangan3[[#This Row],[Marketplace]],Helper!$A$2:$A$5,0)),TEXT(cadangan3[[#This Row],[No]],"0000"),"-",TEXT(cadangan3[[#This Row],[Tanggal terjual]],"dd/mm/yy"))</f>
        <v>ORD-SP0560-05/04/23</v>
      </c>
      <c r="C561" t="s">
        <v>62</v>
      </c>
      <c r="D561" t="str">
        <f>IFERROR(INDEX(Katalog!$A$3:$A$12,MATCH(cadangan3[[#This Row],[ItemID A]],Katalog!$C$3:$C$12,0)),"-")</f>
        <v>Pakaian Pria</v>
      </c>
      <c r="E561" t="str">
        <f>IFERROR(INDEX(Katalog!$B$3:$B$12,MATCH(cadangan3[[#This Row],[ItemID A]],Katalog!$C$3:$C$12,0)),"-")</f>
        <v>Celana Pendek</v>
      </c>
      <c r="F561">
        <v>3</v>
      </c>
      <c r="G561">
        <v>2</v>
      </c>
      <c r="H561" s="36">
        <f>IFERROR(INDEX(Katalog!$D$3:$D$12,MATCH(cadangan3[[#This Row],[ItemID A]],Katalog!$C$3:$C$12,0))*cadangan3[[#This Row],[Qty A]],0)</f>
        <v>540000</v>
      </c>
      <c r="I561" s="36">
        <f>IFERROR(INDEX(Katalog!$D$3:$D$12,MATCH(cadangan3[[#This Row],[Item A]],Katalog!$B$3:$B$12,0))*cadangan3[[#This Row],[Qty A]],0)</f>
        <v>540000</v>
      </c>
      <c r="J561" s="36">
        <f>IFERROR(cadangan3[[#This Row],[Harga Asli A]]-(cadangan3[[#This Row],[Harga Asli A]]*cadangan3[[#This Row],[Diskon]]),cadangan3[[#This Row],[Harga Asli A]])</f>
        <v>459000</v>
      </c>
      <c r="K561" s="36">
        <f>INDEX(Katalog!$F$3:$F$12,MATCH(cadangan3[[#This Row],[ItemID A]],Katalog!$C$3:$C$12,0))*cadangan3[[#This Row],[Qty A]]</f>
        <v>210000</v>
      </c>
      <c r="L561" s="36">
        <f>IFERROR(cadangan3[[#This Row],[Profit A]]-(cadangan3[[#This Row],[Profit A]]*cadangan3[[#This Row],[Diskon]]),K561)</f>
        <v>178500</v>
      </c>
      <c r="M561" t="s">
        <v>60</v>
      </c>
      <c r="N561" t="str">
        <f>IFERROR(INDEX(Katalog!$A$3:$A$12,MATCH(cadangan3[[#This Row],[ItemID B]],Katalog!$C$3:$C$12,0)),"-")</f>
        <v>Pakaian Wanita</v>
      </c>
      <c r="O561" t="str">
        <f>IFERROR(INDEX(Katalog!$B$3:$B$12,MATCH(cadangan3[[#This Row],[ItemID B]],Katalog!$C$3:$C$12,0)),"-")</f>
        <v>Kaftan</v>
      </c>
      <c r="P561">
        <v>1</v>
      </c>
      <c r="Q561">
        <v>3</v>
      </c>
      <c r="R561" s="36">
        <f>IFERROR(INDEX(Katalog!$D$3:$D$12,MATCH(cadangan3[[#This Row],[ItemID B]],Katalog!$C$3:$C$12,0))*cadangan3[[#This Row],[Qty B]],0)</f>
        <v>250000</v>
      </c>
      <c r="S561" s="36">
        <f>IFERROR(INDEX(Katalog!$D$3:$D$12,MATCH(cadangan3[[#This Row],[Item B]],Katalog!$B$3:$B$12,0))*cadangan3[[#This Row],[Qty B]],0)</f>
        <v>250000</v>
      </c>
      <c r="T561" s="36">
        <f>IFERROR(cadangan3[[#This Row],[Harga Asli B]]-(cadangan3[[#This Row],[Harga Asli B]]*cadangan3[[#This Row],[Diskon]]),cadangan3[[#This Row],[Harga Asli B]])</f>
        <v>212500</v>
      </c>
      <c r="U561" s="36">
        <f>IFERROR(INDEX(Katalog!$F$3:$F$12,MATCH(cadangan3[[#This Row],[ItemID B]],Katalog!$C$3:$C$12,0))*cadangan3[[#This Row],[Qty B]],0)</f>
        <v>100000</v>
      </c>
      <c r="V561" s="36">
        <f>IFERROR(cadangan3[[#This Row],[Profit B]]-(cadangan3[[#This Row],[Profit B]]*cadangan3[[#This Row],[Diskon]]),U561)</f>
        <v>85000</v>
      </c>
      <c r="X561" t="str">
        <f>IFERROR(INDEX(Katalog!$A$3:$A$12,MATCH(cadangan3[[#This Row],[ItemID C]],Katalog!$C$3:$C$12,0)),"-")</f>
        <v>-</v>
      </c>
      <c r="Y561" t="str">
        <f>IFERROR(INDEX(Katalog!$B$3:$B$12,MATCH(cadangan3[[#This Row],[ItemID C]],Katalog!$C$3:$C$12,0)),"-")</f>
        <v>-</v>
      </c>
      <c r="AB561" s="36">
        <f>IFERROR(INDEX(Katalog!$D$3:$D$12,MATCH(cadangan3[[#This Row],[ItemID C]],Katalog!$C$3:$C$12,0))*cadangan3[[#This Row],[Qty C]],0)</f>
        <v>0</v>
      </c>
      <c r="AC561" s="36">
        <f>IFERROR(INDEX(Katalog!$D$3:$D$12,MATCH(cadangan3[[#This Row],[Item C]],Katalog!$B$3:$B$12,0))*cadangan3[[#This Row],[Qty C]],0)</f>
        <v>0</v>
      </c>
      <c r="AD561" s="36">
        <f>IFERROR(cadangan3[[#This Row],[Harga Asli C]]-(cadangan3[[#This Row],[Harga Asli C]]*cadangan3[[#This Row],[Diskon]]),cadangan3[[#This Row],[Harga Asli C]])</f>
        <v>0</v>
      </c>
      <c r="AE561" s="36">
        <f>IFERROR(INDEX(Katalog!$F$3:$F$12,MATCH(cadangan3[[#This Row],[ItemID C]],Katalog!$C$3:$C$12,0))*cadangan3[[#This Row],[Qty C]],0)</f>
        <v>0</v>
      </c>
      <c r="AF561" s="36">
        <f>IFERROR(cadangan3[[#This Row],[Profit C]]-(cadangan3[[#This Row],[Profit C]]*cadangan3[[#This Row],[Diskon]]),cadangan3[[#This Row],[Profit C]])</f>
        <v>0</v>
      </c>
      <c r="AG561" s="21">
        <f>cadangan3[[#This Row],[Qty A]]+cadangan3[[#This Row],[Qty B]]+cadangan3[[#This Row],[Qty C]]</f>
        <v>4</v>
      </c>
      <c r="AH561" s="35">
        <f>cadangan3[[#This Row],[Harga A + Diskon]]+cadangan3[[#This Row],[Harga + Diskon B]]+cadangan3[[#This Row],[Harga + Diskon C]]</f>
        <v>671500</v>
      </c>
      <c r="AI561" s="35">
        <f>(cadangan3[[#This Row],[Profit A]]+cadangan3[[#This Row],[Profit B]]+cadangan3[[#This Row],[Profit C]])</f>
        <v>310000</v>
      </c>
      <c r="AJ561" s="35">
        <f>cadangan3[[#This Row],[Provit A + Diskon]]+cadangan3[[#This Row],[Provit B + Diskon]]+cadangan3[[#This Row],[Provit C + Diskon]]</f>
        <v>263500</v>
      </c>
      <c r="AK561" s="23" t="s">
        <v>13</v>
      </c>
      <c r="AL561" s="37">
        <f>IFERROR(INDEX('Kode Diskon'!$D$3:$D$9,MATCH(cadangan3[[#This Row],[Kode diskon]],'Kode Diskon'!$C$3:$C$9,0)),"-")</f>
        <v>0.15</v>
      </c>
      <c r="AM561" s="23" t="s">
        <v>29</v>
      </c>
      <c r="AN561" s="23" t="s">
        <v>7</v>
      </c>
      <c r="AO561" s="23" t="s">
        <v>80</v>
      </c>
      <c r="AP561" s="24">
        <v>45021</v>
      </c>
      <c r="AQ561" s="23" t="str">
        <f>TEXT(cadangan3[[#This Row],[Tanggal terjual]],"dddd")</f>
        <v>Wednesday</v>
      </c>
    </row>
    <row r="562" spans="1:43" x14ac:dyDescent="0.2">
      <c r="A562" s="20">
        <v>561</v>
      </c>
      <c r="B562" s="21" t="str">
        <f>_xlfn.CONCAT("ORD-",INDEX(Helper!$B$2:$B$5,MATCH(cadangan3[[#This Row],[Marketplace]],Helper!$A$2:$A$5,0)),TEXT(cadangan3[[#This Row],[No]],"0000"),"-",TEXT(cadangan3[[#This Row],[Tanggal terjual]],"dd/mm/yy"))</f>
        <v>ORD-SP0561-06/04/23</v>
      </c>
      <c r="C562" t="s">
        <v>58</v>
      </c>
      <c r="D562" t="str">
        <f>IFERROR(INDEX(Katalog!$A$3:$A$12,MATCH(cadangan3[[#This Row],[ItemID A]],Katalog!$C$3:$C$12,0)),"-")</f>
        <v>Pakaian Wanita</v>
      </c>
      <c r="E562" t="str">
        <f>IFERROR(INDEX(Katalog!$B$3:$B$12,MATCH(cadangan3[[#This Row],[ItemID A]],Katalog!$C$3:$C$12,0)),"-")</f>
        <v>Dress</v>
      </c>
      <c r="F562">
        <v>3</v>
      </c>
      <c r="G562">
        <v>4</v>
      </c>
      <c r="H562" s="36">
        <f>IFERROR(INDEX(Katalog!$D$3:$D$12,MATCH(cadangan3[[#This Row],[ItemID A]],Katalog!$C$3:$C$12,0))*cadangan3[[#This Row],[Qty A]],0)</f>
        <v>900000</v>
      </c>
      <c r="I562" s="36">
        <f>IFERROR(INDEX(Katalog!$D$3:$D$12,MATCH(cadangan3[[#This Row],[Item A]],Katalog!$B$3:$B$12,0))*cadangan3[[#This Row],[Qty A]],0)</f>
        <v>900000</v>
      </c>
      <c r="J562" s="36">
        <f>IFERROR(cadangan3[[#This Row],[Harga Asli A]]-(cadangan3[[#This Row],[Harga Asli A]]*cadangan3[[#This Row],[Diskon]]),cadangan3[[#This Row],[Harga Asli A]])</f>
        <v>765000</v>
      </c>
      <c r="K562" s="36">
        <f>INDEX(Katalog!$F$3:$F$12,MATCH(cadangan3[[#This Row],[ItemID A]],Katalog!$C$3:$C$12,0))*cadangan3[[#This Row],[Qty A]]</f>
        <v>300000</v>
      </c>
      <c r="L562" s="36">
        <f>IFERROR(cadangan3[[#This Row],[Profit A]]-(cadangan3[[#This Row],[Profit A]]*cadangan3[[#This Row],[Diskon]]),K562)</f>
        <v>255000</v>
      </c>
      <c r="M562" t="s">
        <v>59</v>
      </c>
      <c r="N562" t="str">
        <f>IFERROR(INDEX(Katalog!$A$3:$A$12,MATCH(cadangan3[[#This Row],[ItemID B]],Katalog!$C$3:$C$12,0)),"-")</f>
        <v>Pakaian Wanita</v>
      </c>
      <c r="O562" t="str">
        <f>IFERROR(INDEX(Katalog!$B$3:$B$12,MATCH(cadangan3[[#This Row],[ItemID B]],Katalog!$C$3:$C$12,0)),"-")</f>
        <v>Blouse</v>
      </c>
      <c r="P562">
        <v>2</v>
      </c>
      <c r="Q562">
        <v>4</v>
      </c>
      <c r="R562" s="36">
        <f>IFERROR(INDEX(Katalog!$D$3:$D$12,MATCH(cadangan3[[#This Row],[ItemID B]],Katalog!$C$3:$C$12,0))*cadangan3[[#This Row],[Qty B]],0)</f>
        <v>300000</v>
      </c>
      <c r="S562" s="36">
        <f>IFERROR(INDEX(Katalog!$D$3:$D$12,MATCH(cadangan3[[#This Row],[Item B]],Katalog!$B$3:$B$12,0))*cadangan3[[#This Row],[Qty B]],0)</f>
        <v>300000</v>
      </c>
      <c r="T562" s="36">
        <f>IFERROR(cadangan3[[#This Row],[Harga Asli B]]-(cadangan3[[#This Row],[Harga Asli B]]*cadangan3[[#This Row],[Diskon]]),cadangan3[[#This Row],[Harga Asli B]])</f>
        <v>255000</v>
      </c>
      <c r="U562" s="36">
        <f>IFERROR(INDEX(Katalog!$F$3:$F$12,MATCH(cadangan3[[#This Row],[ItemID B]],Katalog!$C$3:$C$12,0))*cadangan3[[#This Row],[Qty B]],0)</f>
        <v>100000</v>
      </c>
      <c r="V562" s="36">
        <f>IFERROR(cadangan3[[#This Row],[Profit B]]-(cadangan3[[#This Row],[Profit B]]*cadangan3[[#This Row],[Diskon]]),U562)</f>
        <v>85000</v>
      </c>
      <c r="X562" t="str">
        <f>IFERROR(INDEX(Katalog!$A$3:$A$12,MATCH(cadangan3[[#This Row],[ItemID C]],Katalog!$C$3:$C$12,0)),"-")</f>
        <v>-</v>
      </c>
      <c r="Y562" t="str">
        <f>IFERROR(INDEX(Katalog!$B$3:$B$12,MATCH(cadangan3[[#This Row],[ItemID C]],Katalog!$C$3:$C$12,0)),"-")</f>
        <v>-</v>
      </c>
      <c r="AB562" s="36">
        <f>IFERROR(INDEX(Katalog!$D$3:$D$12,MATCH(cadangan3[[#This Row],[ItemID C]],Katalog!$C$3:$C$12,0))*cadangan3[[#This Row],[Qty C]],0)</f>
        <v>0</v>
      </c>
      <c r="AC562" s="36">
        <f>IFERROR(INDEX(Katalog!$D$3:$D$12,MATCH(cadangan3[[#This Row],[Item C]],Katalog!$B$3:$B$12,0))*cadangan3[[#This Row],[Qty C]],0)</f>
        <v>0</v>
      </c>
      <c r="AD562" s="36">
        <f>IFERROR(cadangan3[[#This Row],[Harga Asli C]]-(cadangan3[[#This Row],[Harga Asli C]]*cadangan3[[#This Row],[Diskon]]),cadangan3[[#This Row],[Harga Asli C]])</f>
        <v>0</v>
      </c>
      <c r="AE562" s="36">
        <f>IFERROR(INDEX(Katalog!$F$3:$F$12,MATCH(cadangan3[[#This Row],[ItemID C]],Katalog!$C$3:$C$12,0))*cadangan3[[#This Row],[Qty C]],0)</f>
        <v>0</v>
      </c>
      <c r="AF562" s="36">
        <f>IFERROR(cadangan3[[#This Row],[Profit C]]-(cadangan3[[#This Row],[Profit C]]*cadangan3[[#This Row],[Diskon]]),cadangan3[[#This Row],[Profit C]])</f>
        <v>0</v>
      </c>
      <c r="AG562" s="21">
        <f>cadangan3[[#This Row],[Qty A]]+cadangan3[[#This Row],[Qty B]]+cadangan3[[#This Row],[Qty C]]</f>
        <v>5</v>
      </c>
      <c r="AH562" s="35">
        <f>cadangan3[[#This Row],[Harga A + Diskon]]+cadangan3[[#This Row],[Harga + Diskon B]]+cadangan3[[#This Row],[Harga + Diskon C]]</f>
        <v>1020000</v>
      </c>
      <c r="AI562" s="35">
        <f>(cadangan3[[#This Row],[Profit A]]+cadangan3[[#This Row],[Profit B]]+cadangan3[[#This Row],[Profit C]])</f>
        <v>400000</v>
      </c>
      <c r="AJ562" s="35">
        <f>cadangan3[[#This Row],[Provit A + Diskon]]+cadangan3[[#This Row],[Provit B + Diskon]]+cadangan3[[#This Row],[Provit C + Diskon]]</f>
        <v>340000</v>
      </c>
      <c r="AK562" s="23" t="s">
        <v>13</v>
      </c>
      <c r="AL562" s="37">
        <f>IFERROR(INDEX('Kode Diskon'!$D$3:$D$9,MATCH(cadangan3[[#This Row],[Kode diskon]],'Kode Diskon'!$C$3:$C$9,0)),"-")</f>
        <v>0.15</v>
      </c>
      <c r="AM562" s="23" t="s">
        <v>29</v>
      </c>
      <c r="AN562" s="23" t="s">
        <v>7</v>
      </c>
      <c r="AO562" s="23" t="s">
        <v>80</v>
      </c>
      <c r="AP562" s="24">
        <v>45022</v>
      </c>
      <c r="AQ562" s="23" t="str">
        <f>TEXT(cadangan3[[#This Row],[Tanggal terjual]],"dddd")</f>
        <v>Thursday</v>
      </c>
    </row>
    <row r="563" spans="1:43" x14ac:dyDescent="0.2">
      <c r="A563" s="20">
        <v>562</v>
      </c>
      <c r="B563" s="21" t="str">
        <f>_xlfn.CONCAT("ORD-",INDEX(Helper!$B$2:$B$5,MATCH(cadangan3[[#This Row],[Marketplace]],Helper!$A$2:$A$5,0)),TEXT(cadangan3[[#This Row],[No]],"0000"),"-",TEXT(cadangan3[[#This Row],[Tanggal terjual]],"dd/mm/yy"))</f>
        <v>ORD-SP0562-06/04/23</v>
      </c>
      <c r="C563" t="s">
        <v>63</v>
      </c>
      <c r="D563" t="str">
        <f>IFERROR(INDEX(Katalog!$A$3:$A$12,MATCH(cadangan3[[#This Row],[ItemID A]],Katalog!$C$3:$C$12,0)),"-")</f>
        <v>Pakaian Pria</v>
      </c>
      <c r="E563" t="str">
        <f>IFERROR(INDEX(Katalog!$B$3:$B$12,MATCH(cadangan3[[#This Row],[ItemID A]],Katalog!$C$3:$C$12,0)),"-")</f>
        <v>Jaket Jeans</v>
      </c>
      <c r="F563">
        <v>1</v>
      </c>
      <c r="G563">
        <v>3</v>
      </c>
      <c r="H563" s="36">
        <f>IFERROR(INDEX(Katalog!$D$3:$D$12,MATCH(cadangan3[[#This Row],[ItemID A]],Katalog!$C$3:$C$12,0))*cadangan3[[#This Row],[Qty A]],0)</f>
        <v>400000</v>
      </c>
      <c r="I563" s="36">
        <f>IFERROR(INDEX(Katalog!$D$3:$D$12,MATCH(cadangan3[[#This Row],[Item A]],Katalog!$B$3:$B$12,0))*cadangan3[[#This Row],[Qty A]],0)</f>
        <v>400000</v>
      </c>
      <c r="J563" s="36">
        <f>IFERROR(cadangan3[[#This Row],[Harga Asli A]]-(cadangan3[[#This Row],[Harga Asli A]]*cadangan3[[#This Row],[Diskon]]),cadangan3[[#This Row],[Harga Asli A]])</f>
        <v>360000</v>
      </c>
      <c r="K563" s="36">
        <f>INDEX(Katalog!$F$3:$F$12,MATCH(cadangan3[[#This Row],[ItemID A]],Katalog!$C$3:$C$12,0))*cadangan3[[#This Row],[Qty A]]</f>
        <v>150000</v>
      </c>
      <c r="L563" s="36">
        <f>IFERROR(cadangan3[[#This Row],[Profit A]]-(cadangan3[[#This Row],[Profit A]]*cadangan3[[#This Row],[Diskon]]),K563)</f>
        <v>135000</v>
      </c>
      <c r="M563" t="s">
        <v>66</v>
      </c>
      <c r="N563" t="str">
        <f>IFERROR(INDEX(Katalog!$A$3:$A$12,MATCH(cadangan3[[#This Row],[ItemID B]],Katalog!$C$3:$C$12,0)),"-")</f>
        <v>Sepatu Pria</v>
      </c>
      <c r="O563" t="str">
        <f>IFERROR(INDEX(Katalog!$B$3:$B$12,MATCH(cadangan3[[#This Row],[ItemID B]],Katalog!$C$3:$C$12,0)),"-")</f>
        <v>Sandal Slip On</v>
      </c>
      <c r="P563">
        <v>6</v>
      </c>
      <c r="Q563">
        <v>5</v>
      </c>
      <c r="R563" s="36">
        <f>IFERROR(INDEX(Katalog!$D$3:$D$12,MATCH(cadangan3[[#This Row],[ItemID B]],Katalog!$C$3:$C$12,0))*cadangan3[[#This Row],[Qty B]],0)</f>
        <v>900000</v>
      </c>
      <c r="S563" s="36">
        <f>IFERROR(INDEX(Katalog!$D$3:$D$12,MATCH(cadangan3[[#This Row],[Item B]],Katalog!$B$3:$B$12,0))*cadangan3[[#This Row],[Qty B]],0)</f>
        <v>900000</v>
      </c>
      <c r="T563" s="36">
        <f>IFERROR(cadangan3[[#This Row],[Harga Asli B]]-(cadangan3[[#This Row],[Harga Asli B]]*cadangan3[[#This Row],[Diskon]]),cadangan3[[#This Row],[Harga Asli B]])</f>
        <v>810000</v>
      </c>
      <c r="U563" s="36">
        <f>IFERROR(INDEX(Katalog!$F$3:$F$12,MATCH(cadangan3[[#This Row],[ItemID B]],Katalog!$C$3:$C$12,0))*cadangan3[[#This Row],[Qty B]],0)</f>
        <v>360000</v>
      </c>
      <c r="V563" s="36">
        <f>IFERROR(cadangan3[[#This Row],[Profit B]]-(cadangan3[[#This Row],[Profit B]]*cadangan3[[#This Row],[Diskon]]),U563)</f>
        <v>324000</v>
      </c>
      <c r="X563" t="str">
        <f>IFERROR(INDEX(Katalog!$A$3:$A$12,MATCH(cadangan3[[#This Row],[ItemID C]],Katalog!$C$3:$C$12,0)),"-")</f>
        <v>-</v>
      </c>
      <c r="Y563" t="str">
        <f>IFERROR(INDEX(Katalog!$B$3:$B$12,MATCH(cadangan3[[#This Row],[ItemID C]],Katalog!$C$3:$C$12,0)),"-")</f>
        <v>-</v>
      </c>
      <c r="AB563" s="36">
        <f>IFERROR(INDEX(Katalog!$D$3:$D$12,MATCH(cadangan3[[#This Row],[ItemID C]],Katalog!$C$3:$C$12,0))*cadangan3[[#This Row],[Qty C]],0)</f>
        <v>0</v>
      </c>
      <c r="AC563" s="36">
        <f>IFERROR(INDEX(Katalog!$D$3:$D$12,MATCH(cadangan3[[#This Row],[Item C]],Katalog!$B$3:$B$12,0))*cadangan3[[#This Row],[Qty C]],0)</f>
        <v>0</v>
      </c>
      <c r="AD563" s="36">
        <f>IFERROR(cadangan3[[#This Row],[Harga Asli C]]-(cadangan3[[#This Row],[Harga Asli C]]*cadangan3[[#This Row],[Diskon]]),cadangan3[[#This Row],[Harga Asli C]])</f>
        <v>0</v>
      </c>
      <c r="AE563" s="36">
        <f>IFERROR(INDEX(Katalog!$F$3:$F$12,MATCH(cadangan3[[#This Row],[ItemID C]],Katalog!$C$3:$C$12,0))*cadangan3[[#This Row],[Qty C]],0)</f>
        <v>0</v>
      </c>
      <c r="AF563" s="36">
        <f>IFERROR(cadangan3[[#This Row],[Profit C]]-(cadangan3[[#This Row],[Profit C]]*cadangan3[[#This Row],[Diskon]]),cadangan3[[#This Row],[Profit C]])</f>
        <v>0</v>
      </c>
      <c r="AG563" s="21">
        <f>cadangan3[[#This Row],[Qty A]]+cadangan3[[#This Row],[Qty B]]+cadangan3[[#This Row],[Qty C]]</f>
        <v>7</v>
      </c>
      <c r="AH563" s="35">
        <f>cadangan3[[#This Row],[Harga A + Diskon]]+cadangan3[[#This Row],[Harga + Diskon B]]+cadangan3[[#This Row],[Harga + Diskon C]]</f>
        <v>1170000</v>
      </c>
      <c r="AI563" s="35">
        <f>(cadangan3[[#This Row],[Profit A]]+cadangan3[[#This Row],[Profit B]]+cadangan3[[#This Row],[Profit C]])</f>
        <v>510000</v>
      </c>
      <c r="AJ563" s="35">
        <f>cadangan3[[#This Row],[Provit A + Diskon]]+cadangan3[[#This Row],[Provit B + Diskon]]+cadangan3[[#This Row],[Provit C + Diskon]]</f>
        <v>459000</v>
      </c>
      <c r="AK563" s="23" t="s">
        <v>6</v>
      </c>
      <c r="AL563" s="37">
        <f>IFERROR(INDEX('Kode Diskon'!$D$3:$D$9,MATCH(cadangan3[[#This Row],[Kode diskon]],'Kode Diskon'!$C$3:$C$9,0)),"-")</f>
        <v>0.1</v>
      </c>
      <c r="AM563" s="23" t="s">
        <v>29</v>
      </c>
      <c r="AN563" s="23" t="s">
        <v>7</v>
      </c>
      <c r="AO563" s="23" t="s">
        <v>78</v>
      </c>
      <c r="AP563" s="24">
        <v>45022</v>
      </c>
      <c r="AQ563" s="23" t="str">
        <f>TEXT(cadangan3[[#This Row],[Tanggal terjual]],"dddd")</f>
        <v>Thursday</v>
      </c>
    </row>
    <row r="564" spans="1:43" x14ac:dyDescent="0.2">
      <c r="A564" s="20">
        <v>563</v>
      </c>
      <c r="B564" s="21" t="str">
        <f>_xlfn.CONCAT("ORD-",INDEX(Helper!$B$2:$B$5,MATCH(cadangan3[[#This Row],[Marketplace]],Helper!$A$2:$A$5,0)),TEXT(cadangan3[[#This Row],[No]],"0000"),"-",TEXT(cadangan3[[#This Row],[Tanggal terjual]],"dd/mm/yy"))</f>
        <v>ORD-TK0563-03/04/23</v>
      </c>
      <c r="C564" t="s">
        <v>61</v>
      </c>
      <c r="D564" t="str">
        <f>IFERROR(INDEX(Katalog!$A$3:$A$12,MATCH(cadangan3[[#This Row],[ItemID A]],Katalog!$C$3:$C$12,0)),"-")</f>
        <v>Pakaian Pria</v>
      </c>
      <c r="E564" t="str">
        <f>IFERROR(INDEX(Katalog!$B$3:$B$12,MATCH(cadangan3[[#This Row],[ItemID A]],Katalog!$C$3:$C$12,0)),"-")</f>
        <v>Kaos Polo</v>
      </c>
      <c r="F564">
        <v>4</v>
      </c>
      <c r="G564">
        <v>4</v>
      </c>
      <c r="H564" s="36">
        <f>IFERROR(INDEX(Katalog!$D$3:$D$12,MATCH(cadangan3[[#This Row],[ItemID A]],Katalog!$C$3:$C$12,0))*cadangan3[[#This Row],[Qty A]],0)</f>
        <v>800000</v>
      </c>
      <c r="I564" s="36">
        <f>IFERROR(INDEX(Katalog!$D$3:$D$12,MATCH(cadangan3[[#This Row],[Item A]],Katalog!$B$3:$B$12,0))*cadangan3[[#This Row],[Qty A]],0)</f>
        <v>800000</v>
      </c>
      <c r="J564" s="36">
        <f>IFERROR(cadangan3[[#This Row],[Harga Asli A]]-(cadangan3[[#This Row],[Harga Asli A]]*cadangan3[[#This Row],[Diskon]]),cadangan3[[#This Row],[Harga Asli A]])</f>
        <v>720000</v>
      </c>
      <c r="K564" s="36">
        <f>INDEX(Katalog!$F$3:$F$12,MATCH(cadangan3[[#This Row],[ItemID A]],Katalog!$C$3:$C$12,0))*cadangan3[[#This Row],[Qty A]]</f>
        <v>320000</v>
      </c>
      <c r="L564" s="36">
        <f>IFERROR(cadangan3[[#This Row],[Profit A]]-(cadangan3[[#This Row],[Profit A]]*cadangan3[[#This Row],[Diskon]]),K564)</f>
        <v>288000</v>
      </c>
      <c r="N564" t="str">
        <f>IFERROR(INDEX(Katalog!$A$3:$A$12,MATCH(cadangan3[[#This Row],[ItemID B]],Katalog!$C$3:$C$12,0)),"-")</f>
        <v>-</v>
      </c>
      <c r="O564" t="str">
        <f>IFERROR(INDEX(Katalog!$B$3:$B$12,MATCH(cadangan3[[#This Row],[ItemID B]],Katalog!$C$3:$C$12,0)),"-")</f>
        <v>-</v>
      </c>
      <c r="R564" s="36">
        <f>IFERROR(INDEX(Katalog!$D$3:$D$12,MATCH(cadangan3[[#This Row],[ItemID B]],Katalog!$C$3:$C$12,0))*cadangan3[[#This Row],[Qty B]],0)</f>
        <v>0</v>
      </c>
      <c r="S564" s="36">
        <f>IFERROR(INDEX(Katalog!$D$3:$D$12,MATCH(cadangan3[[#This Row],[Item B]],Katalog!$B$3:$B$12,0))*cadangan3[[#This Row],[Qty B]],0)</f>
        <v>0</v>
      </c>
      <c r="T564" s="36">
        <f>IFERROR(cadangan3[[#This Row],[Harga Asli B]]-(cadangan3[[#This Row],[Harga Asli B]]*cadangan3[[#This Row],[Diskon]]),cadangan3[[#This Row],[Harga Asli B]])</f>
        <v>0</v>
      </c>
      <c r="U564" s="36">
        <f>IFERROR(INDEX(Katalog!$F$3:$F$12,MATCH(cadangan3[[#This Row],[ItemID B]],Katalog!$C$3:$C$12,0))*cadangan3[[#This Row],[Qty B]],0)</f>
        <v>0</v>
      </c>
      <c r="V564" s="36">
        <f>IFERROR(cadangan3[[#This Row],[Profit B]]-(cadangan3[[#This Row],[Profit B]]*cadangan3[[#This Row],[Diskon]]),U564)</f>
        <v>0</v>
      </c>
      <c r="X564" t="str">
        <f>IFERROR(INDEX(Katalog!$A$3:$A$12,MATCH(cadangan3[[#This Row],[ItemID C]],Katalog!$C$3:$C$12,0)),"-")</f>
        <v>-</v>
      </c>
      <c r="Y564" t="str">
        <f>IFERROR(INDEX(Katalog!$B$3:$B$12,MATCH(cadangan3[[#This Row],[ItemID C]],Katalog!$C$3:$C$12,0)),"-")</f>
        <v>-</v>
      </c>
      <c r="AB564" s="36">
        <f>IFERROR(INDEX(Katalog!$D$3:$D$12,MATCH(cadangan3[[#This Row],[ItemID C]],Katalog!$C$3:$C$12,0))*cadangan3[[#This Row],[Qty C]],0)</f>
        <v>0</v>
      </c>
      <c r="AC564" s="36">
        <f>IFERROR(INDEX(Katalog!$D$3:$D$12,MATCH(cadangan3[[#This Row],[Item C]],Katalog!$B$3:$B$12,0))*cadangan3[[#This Row],[Qty C]],0)</f>
        <v>0</v>
      </c>
      <c r="AD564" s="36">
        <f>IFERROR(cadangan3[[#This Row],[Harga Asli C]]-(cadangan3[[#This Row],[Harga Asli C]]*cadangan3[[#This Row],[Diskon]]),cadangan3[[#This Row],[Harga Asli C]])</f>
        <v>0</v>
      </c>
      <c r="AE564" s="36">
        <f>IFERROR(INDEX(Katalog!$F$3:$F$12,MATCH(cadangan3[[#This Row],[ItemID C]],Katalog!$C$3:$C$12,0))*cadangan3[[#This Row],[Qty C]],0)</f>
        <v>0</v>
      </c>
      <c r="AF564" s="36">
        <f>IFERROR(cadangan3[[#This Row],[Profit C]]-(cadangan3[[#This Row],[Profit C]]*cadangan3[[#This Row],[Diskon]]),cadangan3[[#This Row],[Profit C]])</f>
        <v>0</v>
      </c>
      <c r="AG564" s="21">
        <f>cadangan3[[#This Row],[Qty A]]+cadangan3[[#This Row],[Qty B]]+cadangan3[[#This Row],[Qty C]]</f>
        <v>4</v>
      </c>
      <c r="AH564" s="35">
        <f>cadangan3[[#This Row],[Harga A + Diskon]]+cadangan3[[#This Row],[Harga + Diskon B]]+cadangan3[[#This Row],[Harga + Diskon C]]</f>
        <v>720000</v>
      </c>
      <c r="AI564" s="35">
        <f>(cadangan3[[#This Row],[Profit A]]+cadangan3[[#This Row],[Profit B]]+cadangan3[[#This Row],[Profit C]])</f>
        <v>320000</v>
      </c>
      <c r="AJ564" s="35">
        <f>cadangan3[[#This Row],[Provit A + Diskon]]+cadangan3[[#This Row],[Provit B + Diskon]]+cadangan3[[#This Row],[Provit C + Diskon]]</f>
        <v>288000</v>
      </c>
      <c r="AK564" s="23" t="s">
        <v>30</v>
      </c>
      <c r="AL564" s="37">
        <f>IFERROR(INDEX('Kode Diskon'!$D$3:$D$9,MATCH(cadangan3[[#This Row],[Kode diskon]],'Kode Diskon'!$C$3:$C$9,0)),"-")</f>
        <v>0.1</v>
      </c>
      <c r="AM564" s="23" t="s">
        <v>29</v>
      </c>
      <c r="AN564" s="23" t="s">
        <v>10</v>
      </c>
      <c r="AO564" s="23" t="s">
        <v>80</v>
      </c>
      <c r="AP564" s="24">
        <v>45019</v>
      </c>
      <c r="AQ564" s="23" t="str">
        <f>TEXT(cadangan3[[#This Row],[Tanggal terjual]],"dddd")</f>
        <v>Monday</v>
      </c>
    </row>
    <row r="565" spans="1:43" x14ac:dyDescent="0.2">
      <c r="A565" s="20">
        <v>564</v>
      </c>
      <c r="B565" s="21" t="str">
        <f>_xlfn.CONCAT("ORD-",INDEX(Helper!$B$2:$B$5,MATCH(cadangan3[[#This Row],[Marketplace]],Helper!$A$2:$A$5,0)),TEXT(cadangan3[[#This Row],[No]],"0000"),"-",TEXT(cadangan3[[#This Row],[Tanggal terjual]],"dd/mm/yy"))</f>
        <v>ORD-BB0564-06/04/23</v>
      </c>
      <c r="C565" t="s">
        <v>63</v>
      </c>
      <c r="D565" t="str">
        <f>IFERROR(INDEX(Katalog!$A$3:$A$12,MATCH(cadangan3[[#This Row],[ItemID A]],Katalog!$C$3:$C$12,0)),"-")</f>
        <v>Pakaian Pria</v>
      </c>
      <c r="E565" t="str">
        <f>IFERROR(INDEX(Katalog!$B$3:$B$12,MATCH(cadangan3[[#This Row],[ItemID A]],Katalog!$C$3:$C$12,0)),"-")</f>
        <v>Jaket Jeans</v>
      </c>
      <c r="F565">
        <v>2</v>
      </c>
      <c r="G565">
        <v>1</v>
      </c>
      <c r="H565" s="36">
        <f>IFERROR(INDEX(Katalog!$D$3:$D$12,MATCH(cadangan3[[#This Row],[ItemID A]],Katalog!$C$3:$C$12,0))*cadangan3[[#This Row],[Qty A]],0)</f>
        <v>800000</v>
      </c>
      <c r="I565" s="36">
        <f>IFERROR(INDEX(Katalog!$D$3:$D$12,MATCH(cadangan3[[#This Row],[Item A]],Katalog!$B$3:$B$12,0))*cadangan3[[#This Row],[Qty A]],0)</f>
        <v>800000</v>
      </c>
      <c r="J565" s="36">
        <f>IFERROR(cadangan3[[#This Row],[Harga Asli A]]-(cadangan3[[#This Row],[Harga Asli A]]*cadangan3[[#This Row],[Diskon]]),cadangan3[[#This Row],[Harga Asli A]])</f>
        <v>680000</v>
      </c>
      <c r="K565" s="36">
        <f>INDEX(Katalog!$F$3:$F$12,MATCH(cadangan3[[#This Row],[ItemID A]],Katalog!$C$3:$C$12,0))*cadangan3[[#This Row],[Qty A]]</f>
        <v>300000</v>
      </c>
      <c r="L565" s="36">
        <f>IFERROR(cadangan3[[#This Row],[Profit A]]-(cadangan3[[#This Row],[Profit A]]*cadangan3[[#This Row],[Diskon]]),K565)</f>
        <v>255000</v>
      </c>
      <c r="N565" t="str">
        <f>IFERROR(INDEX(Katalog!$A$3:$A$12,MATCH(cadangan3[[#This Row],[ItemID B]],Katalog!$C$3:$C$12,0)),"-")</f>
        <v>-</v>
      </c>
      <c r="O565" t="str">
        <f>IFERROR(INDEX(Katalog!$B$3:$B$12,MATCH(cadangan3[[#This Row],[ItemID B]],Katalog!$C$3:$C$12,0)),"-")</f>
        <v>-</v>
      </c>
      <c r="R565" s="36">
        <f>IFERROR(INDEX(Katalog!$D$3:$D$12,MATCH(cadangan3[[#This Row],[ItemID B]],Katalog!$C$3:$C$12,0))*cadangan3[[#This Row],[Qty B]],0)</f>
        <v>0</v>
      </c>
      <c r="S565" s="36">
        <f>IFERROR(INDEX(Katalog!$D$3:$D$12,MATCH(cadangan3[[#This Row],[Item B]],Katalog!$B$3:$B$12,0))*cadangan3[[#This Row],[Qty B]],0)</f>
        <v>0</v>
      </c>
      <c r="T565" s="36">
        <f>IFERROR(cadangan3[[#This Row],[Harga Asli B]]-(cadangan3[[#This Row],[Harga Asli B]]*cadangan3[[#This Row],[Diskon]]),cadangan3[[#This Row],[Harga Asli B]])</f>
        <v>0</v>
      </c>
      <c r="U565" s="36">
        <f>IFERROR(INDEX(Katalog!$F$3:$F$12,MATCH(cadangan3[[#This Row],[ItemID B]],Katalog!$C$3:$C$12,0))*cadangan3[[#This Row],[Qty B]],0)</f>
        <v>0</v>
      </c>
      <c r="V565" s="36">
        <f>IFERROR(cadangan3[[#This Row],[Profit B]]-(cadangan3[[#This Row],[Profit B]]*cadangan3[[#This Row],[Diskon]]),U565)</f>
        <v>0</v>
      </c>
      <c r="X565" t="str">
        <f>IFERROR(INDEX(Katalog!$A$3:$A$12,MATCH(cadangan3[[#This Row],[ItemID C]],Katalog!$C$3:$C$12,0)),"-")</f>
        <v>-</v>
      </c>
      <c r="Y565" t="str">
        <f>IFERROR(INDEX(Katalog!$B$3:$B$12,MATCH(cadangan3[[#This Row],[ItemID C]],Katalog!$C$3:$C$12,0)),"-")</f>
        <v>-</v>
      </c>
      <c r="AB565" s="36">
        <f>IFERROR(INDEX(Katalog!$D$3:$D$12,MATCH(cadangan3[[#This Row],[ItemID C]],Katalog!$C$3:$C$12,0))*cadangan3[[#This Row],[Qty C]],0)</f>
        <v>0</v>
      </c>
      <c r="AC565" s="36">
        <f>IFERROR(INDEX(Katalog!$D$3:$D$12,MATCH(cadangan3[[#This Row],[Item C]],Katalog!$B$3:$B$12,0))*cadangan3[[#This Row],[Qty C]],0)</f>
        <v>0</v>
      </c>
      <c r="AD565" s="36">
        <f>IFERROR(cadangan3[[#This Row],[Harga Asli C]]-(cadangan3[[#This Row],[Harga Asli C]]*cadangan3[[#This Row],[Diskon]]),cadangan3[[#This Row],[Harga Asli C]])</f>
        <v>0</v>
      </c>
      <c r="AE565" s="36">
        <f>IFERROR(INDEX(Katalog!$F$3:$F$12,MATCH(cadangan3[[#This Row],[ItemID C]],Katalog!$C$3:$C$12,0))*cadangan3[[#This Row],[Qty C]],0)</f>
        <v>0</v>
      </c>
      <c r="AF565" s="36">
        <f>IFERROR(cadangan3[[#This Row],[Profit C]]-(cadangan3[[#This Row],[Profit C]]*cadangan3[[#This Row],[Diskon]]),cadangan3[[#This Row],[Profit C]])</f>
        <v>0</v>
      </c>
      <c r="AG565" s="21">
        <f>cadangan3[[#This Row],[Qty A]]+cadangan3[[#This Row],[Qty B]]+cadangan3[[#This Row],[Qty C]]</f>
        <v>2</v>
      </c>
      <c r="AH565" s="35">
        <f>cadangan3[[#This Row],[Harga A + Diskon]]+cadangan3[[#This Row],[Harga + Diskon B]]+cadangan3[[#This Row],[Harga + Diskon C]]</f>
        <v>680000</v>
      </c>
      <c r="AI565" s="35">
        <f>(cadangan3[[#This Row],[Profit A]]+cadangan3[[#This Row],[Profit B]]+cadangan3[[#This Row],[Profit C]])</f>
        <v>300000</v>
      </c>
      <c r="AJ565" s="35">
        <f>cadangan3[[#This Row],[Provit A + Diskon]]+cadangan3[[#This Row],[Provit B + Diskon]]+cadangan3[[#This Row],[Provit C + Diskon]]</f>
        <v>255000</v>
      </c>
      <c r="AK565" s="23" t="s">
        <v>28</v>
      </c>
      <c r="AL565" s="37">
        <f>IFERROR(INDEX('Kode Diskon'!$D$3:$D$9,MATCH(cadangan3[[#This Row],[Kode diskon]],'Kode Diskon'!$C$3:$C$9,0)),"-")</f>
        <v>0.15</v>
      </c>
      <c r="AM565" s="23" t="s">
        <v>29</v>
      </c>
      <c r="AN565" s="23" t="s">
        <v>14</v>
      </c>
      <c r="AO565" s="23" t="s">
        <v>76</v>
      </c>
      <c r="AP565" s="24">
        <v>45022</v>
      </c>
      <c r="AQ565" s="23" t="str">
        <f>TEXT(cadangan3[[#This Row],[Tanggal terjual]],"dddd")</f>
        <v>Thursday</v>
      </c>
    </row>
    <row r="566" spans="1:43" x14ac:dyDescent="0.2">
      <c r="A566" s="20">
        <v>565</v>
      </c>
      <c r="B566" s="21" t="str">
        <f>_xlfn.CONCAT("ORD-",INDEX(Helper!$B$2:$B$5,MATCH(cadangan3[[#This Row],[Marketplace]],Helper!$A$2:$A$5,0)),TEXT(cadangan3[[#This Row],[No]],"0000"),"-",TEXT(cadangan3[[#This Row],[Tanggal terjual]],"dd/mm/yy"))</f>
        <v>ORD-TK0565-05/04/23</v>
      </c>
      <c r="C566" t="s">
        <v>63</v>
      </c>
      <c r="D566" t="str">
        <f>IFERROR(INDEX(Katalog!$A$3:$A$12,MATCH(cadangan3[[#This Row],[ItemID A]],Katalog!$C$3:$C$12,0)),"-")</f>
        <v>Pakaian Pria</v>
      </c>
      <c r="E566" t="str">
        <f>IFERROR(INDEX(Katalog!$B$3:$B$12,MATCH(cadangan3[[#This Row],[ItemID A]],Katalog!$C$3:$C$12,0)),"-")</f>
        <v>Jaket Jeans</v>
      </c>
      <c r="F566">
        <v>3</v>
      </c>
      <c r="G566">
        <v>2</v>
      </c>
      <c r="H566" s="36">
        <f>IFERROR(INDEX(Katalog!$D$3:$D$12,MATCH(cadangan3[[#This Row],[ItemID A]],Katalog!$C$3:$C$12,0))*cadangan3[[#This Row],[Qty A]],0)</f>
        <v>1200000</v>
      </c>
      <c r="I566" s="36">
        <f>IFERROR(INDEX(Katalog!$D$3:$D$12,MATCH(cadangan3[[#This Row],[Item A]],Katalog!$B$3:$B$12,0))*cadangan3[[#This Row],[Qty A]],0)</f>
        <v>1200000</v>
      </c>
      <c r="J566" s="36">
        <f>IFERROR(cadangan3[[#This Row],[Harga Asli A]]-(cadangan3[[#This Row],[Harga Asli A]]*cadangan3[[#This Row],[Diskon]]),cadangan3[[#This Row],[Harga Asli A]])</f>
        <v>1080000</v>
      </c>
      <c r="K566" s="36">
        <f>INDEX(Katalog!$F$3:$F$12,MATCH(cadangan3[[#This Row],[ItemID A]],Katalog!$C$3:$C$12,0))*cadangan3[[#This Row],[Qty A]]</f>
        <v>450000</v>
      </c>
      <c r="L566" s="36">
        <f>IFERROR(cadangan3[[#This Row],[Profit A]]-(cadangan3[[#This Row],[Profit A]]*cadangan3[[#This Row],[Diskon]]),K566)</f>
        <v>405000</v>
      </c>
      <c r="M566" t="s">
        <v>59</v>
      </c>
      <c r="N566" t="str">
        <f>IFERROR(INDEX(Katalog!$A$3:$A$12,MATCH(cadangan3[[#This Row],[ItemID B]],Katalog!$C$3:$C$12,0)),"-")</f>
        <v>Pakaian Wanita</v>
      </c>
      <c r="O566" t="str">
        <f>IFERROR(INDEX(Katalog!$B$3:$B$12,MATCH(cadangan3[[#This Row],[ItemID B]],Katalog!$C$3:$C$12,0)),"-")</f>
        <v>Blouse</v>
      </c>
      <c r="P566">
        <v>2</v>
      </c>
      <c r="Q566">
        <v>4</v>
      </c>
      <c r="R566" s="36">
        <f>IFERROR(INDEX(Katalog!$D$3:$D$12,MATCH(cadangan3[[#This Row],[ItemID B]],Katalog!$C$3:$C$12,0))*cadangan3[[#This Row],[Qty B]],0)</f>
        <v>300000</v>
      </c>
      <c r="S566" s="36">
        <f>IFERROR(INDEX(Katalog!$D$3:$D$12,MATCH(cadangan3[[#This Row],[Item B]],Katalog!$B$3:$B$12,0))*cadangan3[[#This Row],[Qty B]],0)</f>
        <v>300000</v>
      </c>
      <c r="T566" s="36">
        <f>IFERROR(cadangan3[[#This Row],[Harga Asli B]]-(cadangan3[[#This Row],[Harga Asli B]]*cadangan3[[#This Row],[Diskon]]),cadangan3[[#This Row],[Harga Asli B]])</f>
        <v>270000</v>
      </c>
      <c r="U566" s="36">
        <f>IFERROR(INDEX(Katalog!$F$3:$F$12,MATCH(cadangan3[[#This Row],[ItemID B]],Katalog!$C$3:$C$12,0))*cadangan3[[#This Row],[Qty B]],0)</f>
        <v>100000</v>
      </c>
      <c r="V566" s="36">
        <f>IFERROR(cadangan3[[#This Row],[Profit B]]-(cadangan3[[#This Row],[Profit B]]*cadangan3[[#This Row],[Diskon]]),U566)</f>
        <v>90000</v>
      </c>
      <c r="W566" t="s">
        <v>58</v>
      </c>
      <c r="X566" t="str">
        <f>IFERROR(INDEX(Katalog!$A$3:$A$12,MATCH(cadangan3[[#This Row],[ItemID C]],Katalog!$C$3:$C$12,0)),"-")</f>
        <v>Pakaian Wanita</v>
      </c>
      <c r="Y566" t="str">
        <f>IFERROR(INDEX(Katalog!$B$3:$B$12,MATCH(cadangan3[[#This Row],[ItemID C]],Katalog!$C$3:$C$12,0)),"-")</f>
        <v>Dress</v>
      </c>
      <c r="Z566">
        <v>1</v>
      </c>
      <c r="AA566">
        <v>5</v>
      </c>
      <c r="AB566" s="36">
        <f>IFERROR(INDEX(Katalog!$D$3:$D$12,MATCH(cadangan3[[#This Row],[ItemID C]],Katalog!$C$3:$C$12,0))*cadangan3[[#This Row],[Qty C]],0)</f>
        <v>300000</v>
      </c>
      <c r="AC566" s="36">
        <f>IFERROR(INDEX(Katalog!$D$3:$D$12,MATCH(cadangan3[[#This Row],[Item C]],Katalog!$B$3:$B$12,0))*cadangan3[[#This Row],[Qty C]],0)</f>
        <v>300000</v>
      </c>
      <c r="AD566" s="36">
        <f>IFERROR(cadangan3[[#This Row],[Harga Asli C]]-(cadangan3[[#This Row],[Harga Asli C]]*cadangan3[[#This Row],[Diskon]]),cadangan3[[#This Row],[Harga Asli C]])</f>
        <v>270000</v>
      </c>
      <c r="AE566" s="36">
        <f>IFERROR(INDEX(Katalog!$F$3:$F$12,MATCH(cadangan3[[#This Row],[ItemID C]],Katalog!$C$3:$C$12,0))*cadangan3[[#This Row],[Qty C]],0)</f>
        <v>100000</v>
      </c>
      <c r="AF566" s="36">
        <f>IFERROR(cadangan3[[#This Row],[Profit C]]-(cadangan3[[#This Row],[Profit C]]*cadangan3[[#This Row],[Diskon]]),cadangan3[[#This Row],[Profit C]])</f>
        <v>90000</v>
      </c>
      <c r="AG566" s="21">
        <f>cadangan3[[#This Row],[Qty A]]+cadangan3[[#This Row],[Qty B]]+cadangan3[[#This Row],[Qty C]]</f>
        <v>6</v>
      </c>
      <c r="AH566" s="35">
        <f>cadangan3[[#This Row],[Harga A + Diskon]]+cadangan3[[#This Row],[Harga + Diskon B]]+cadangan3[[#This Row],[Harga + Diskon C]]</f>
        <v>1620000</v>
      </c>
      <c r="AI566" s="35">
        <f>(cadangan3[[#This Row],[Profit A]]+cadangan3[[#This Row],[Profit B]]+cadangan3[[#This Row],[Profit C]])</f>
        <v>650000</v>
      </c>
      <c r="AJ566" s="35">
        <f>cadangan3[[#This Row],[Provit A + Diskon]]+cadangan3[[#This Row],[Provit B + Diskon]]+cadangan3[[#This Row],[Provit C + Diskon]]</f>
        <v>585000</v>
      </c>
      <c r="AK566" s="23" t="s">
        <v>30</v>
      </c>
      <c r="AL566" s="37">
        <f>IFERROR(INDEX('Kode Diskon'!$D$3:$D$9,MATCH(cadangan3[[#This Row],[Kode diskon]],'Kode Diskon'!$C$3:$C$9,0)),"-")</f>
        <v>0.1</v>
      </c>
      <c r="AM566" s="23" t="s">
        <v>29</v>
      </c>
      <c r="AN566" s="23" t="s">
        <v>10</v>
      </c>
      <c r="AO566" s="23" t="s">
        <v>75</v>
      </c>
      <c r="AP566" s="24">
        <v>45021</v>
      </c>
      <c r="AQ566" s="23" t="str">
        <f>TEXT(cadangan3[[#This Row],[Tanggal terjual]],"dddd")</f>
        <v>Wednesday</v>
      </c>
    </row>
    <row r="567" spans="1:43" x14ac:dyDescent="0.2">
      <c r="A567" s="20">
        <v>566</v>
      </c>
      <c r="B567" s="21" t="str">
        <f>_xlfn.CONCAT("ORD-",INDEX(Helper!$B$2:$B$5,MATCH(cadangan3[[#This Row],[Marketplace]],Helper!$A$2:$A$5,0)),TEXT(cadangan3[[#This Row],[No]],"0000"),"-",TEXT(cadangan3[[#This Row],[Tanggal terjual]],"dd/mm/yy"))</f>
        <v>ORD-SP0566-05/04/23</v>
      </c>
      <c r="C567" t="s">
        <v>61</v>
      </c>
      <c r="D567" t="str">
        <f>IFERROR(INDEX(Katalog!$A$3:$A$12,MATCH(cadangan3[[#This Row],[ItemID A]],Katalog!$C$3:$C$12,0)),"-")</f>
        <v>Pakaian Pria</v>
      </c>
      <c r="E567" t="str">
        <f>IFERROR(INDEX(Katalog!$B$3:$B$12,MATCH(cadangan3[[#This Row],[ItemID A]],Katalog!$C$3:$C$12,0)),"-")</f>
        <v>Kaos Polo</v>
      </c>
      <c r="F567">
        <v>1</v>
      </c>
      <c r="G567">
        <v>4</v>
      </c>
      <c r="H567" s="36">
        <f>IFERROR(INDEX(Katalog!$D$3:$D$12,MATCH(cadangan3[[#This Row],[ItemID A]],Katalog!$C$3:$C$12,0))*cadangan3[[#This Row],[Qty A]],0)</f>
        <v>200000</v>
      </c>
      <c r="I567" s="36">
        <f>IFERROR(INDEX(Katalog!$D$3:$D$12,MATCH(cadangan3[[#This Row],[Item A]],Katalog!$B$3:$B$12,0))*cadangan3[[#This Row],[Qty A]],0)</f>
        <v>200000</v>
      </c>
      <c r="J567" s="36">
        <f>IFERROR(cadangan3[[#This Row],[Harga Asli A]]-(cadangan3[[#This Row],[Harga Asli A]]*cadangan3[[#This Row],[Diskon]]),cadangan3[[#This Row],[Harga Asli A]])</f>
        <v>170000</v>
      </c>
      <c r="K567" s="36">
        <f>INDEX(Katalog!$F$3:$F$12,MATCH(cadangan3[[#This Row],[ItemID A]],Katalog!$C$3:$C$12,0))*cadangan3[[#This Row],[Qty A]]</f>
        <v>80000</v>
      </c>
      <c r="L567" s="36">
        <f>IFERROR(cadangan3[[#This Row],[Profit A]]-(cadangan3[[#This Row],[Profit A]]*cadangan3[[#This Row],[Diskon]]),K567)</f>
        <v>68000</v>
      </c>
      <c r="N567" t="str">
        <f>IFERROR(INDEX(Katalog!$A$3:$A$12,MATCH(cadangan3[[#This Row],[ItemID B]],Katalog!$C$3:$C$12,0)),"-")</f>
        <v>-</v>
      </c>
      <c r="O567" t="str">
        <f>IFERROR(INDEX(Katalog!$B$3:$B$12,MATCH(cadangan3[[#This Row],[ItemID B]],Katalog!$C$3:$C$12,0)),"-")</f>
        <v>-</v>
      </c>
      <c r="R567" s="36">
        <f>IFERROR(INDEX(Katalog!$D$3:$D$12,MATCH(cadangan3[[#This Row],[ItemID B]],Katalog!$C$3:$C$12,0))*cadangan3[[#This Row],[Qty B]],0)</f>
        <v>0</v>
      </c>
      <c r="S567" s="36">
        <f>IFERROR(INDEX(Katalog!$D$3:$D$12,MATCH(cadangan3[[#This Row],[Item B]],Katalog!$B$3:$B$12,0))*cadangan3[[#This Row],[Qty B]],0)</f>
        <v>0</v>
      </c>
      <c r="T567" s="36">
        <f>IFERROR(cadangan3[[#This Row],[Harga Asli B]]-(cadangan3[[#This Row],[Harga Asli B]]*cadangan3[[#This Row],[Diskon]]),cadangan3[[#This Row],[Harga Asli B]])</f>
        <v>0</v>
      </c>
      <c r="U567" s="36">
        <f>IFERROR(INDEX(Katalog!$F$3:$F$12,MATCH(cadangan3[[#This Row],[ItemID B]],Katalog!$C$3:$C$12,0))*cadangan3[[#This Row],[Qty B]],0)</f>
        <v>0</v>
      </c>
      <c r="V567" s="36">
        <f>IFERROR(cadangan3[[#This Row],[Profit B]]-(cadangan3[[#This Row],[Profit B]]*cadangan3[[#This Row],[Diskon]]),U567)</f>
        <v>0</v>
      </c>
      <c r="X567" t="str">
        <f>IFERROR(INDEX(Katalog!$A$3:$A$12,MATCH(cadangan3[[#This Row],[ItemID C]],Katalog!$C$3:$C$12,0)),"-")</f>
        <v>-</v>
      </c>
      <c r="Y567" t="str">
        <f>IFERROR(INDEX(Katalog!$B$3:$B$12,MATCH(cadangan3[[#This Row],[ItemID C]],Katalog!$C$3:$C$12,0)),"-")</f>
        <v>-</v>
      </c>
      <c r="AB567" s="36">
        <f>IFERROR(INDEX(Katalog!$D$3:$D$12,MATCH(cadangan3[[#This Row],[ItemID C]],Katalog!$C$3:$C$12,0))*cadangan3[[#This Row],[Qty C]],0)</f>
        <v>0</v>
      </c>
      <c r="AC567" s="36">
        <f>IFERROR(INDEX(Katalog!$D$3:$D$12,MATCH(cadangan3[[#This Row],[Item C]],Katalog!$B$3:$B$12,0))*cadangan3[[#This Row],[Qty C]],0)</f>
        <v>0</v>
      </c>
      <c r="AD567" s="36">
        <f>IFERROR(cadangan3[[#This Row],[Harga Asli C]]-(cadangan3[[#This Row],[Harga Asli C]]*cadangan3[[#This Row],[Diskon]]),cadangan3[[#This Row],[Harga Asli C]])</f>
        <v>0</v>
      </c>
      <c r="AE567" s="36">
        <f>IFERROR(INDEX(Katalog!$F$3:$F$12,MATCH(cadangan3[[#This Row],[ItemID C]],Katalog!$C$3:$C$12,0))*cadangan3[[#This Row],[Qty C]],0)</f>
        <v>0</v>
      </c>
      <c r="AF567" s="36">
        <f>IFERROR(cadangan3[[#This Row],[Profit C]]-(cadangan3[[#This Row],[Profit C]]*cadangan3[[#This Row],[Diskon]]),cadangan3[[#This Row],[Profit C]])</f>
        <v>0</v>
      </c>
      <c r="AG567" s="21">
        <f>cadangan3[[#This Row],[Qty A]]+cadangan3[[#This Row],[Qty B]]+cadangan3[[#This Row],[Qty C]]</f>
        <v>1</v>
      </c>
      <c r="AH567" s="35">
        <f>cadangan3[[#This Row],[Harga A + Diskon]]+cadangan3[[#This Row],[Harga + Diskon B]]+cadangan3[[#This Row],[Harga + Diskon C]]</f>
        <v>170000</v>
      </c>
      <c r="AI567" s="35">
        <f>(cadangan3[[#This Row],[Profit A]]+cadangan3[[#This Row],[Profit B]]+cadangan3[[#This Row],[Profit C]])</f>
        <v>80000</v>
      </c>
      <c r="AJ567" s="35">
        <f>cadangan3[[#This Row],[Provit A + Diskon]]+cadangan3[[#This Row],[Provit B + Diskon]]+cadangan3[[#This Row],[Provit C + Diskon]]</f>
        <v>68000</v>
      </c>
      <c r="AK567" s="23" t="s">
        <v>13</v>
      </c>
      <c r="AL567" s="37">
        <f>IFERROR(INDEX('Kode Diskon'!$D$3:$D$9,MATCH(cadangan3[[#This Row],[Kode diskon]],'Kode Diskon'!$C$3:$C$9,0)),"-")</f>
        <v>0.15</v>
      </c>
      <c r="AM567" s="23" t="s">
        <v>29</v>
      </c>
      <c r="AN567" s="23" t="s">
        <v>7</v>
      </c>
      <c r="AO567" s="23" t="s">
        <v>79</v>
      </c>
      <c r="AP567" s="24">
        <v>45021</v>
      </c>
      <c r="AQ567" s="23" t="str">
        <f>TEXT(cadangan3[[#This Row],[Tanggal terjual]],"dddd")</f>
        <v>Wednesday</v>
      </c>
    </row>
    <row r="568" spans="1:43" x14ac:dyDescent="0.2">
      <c r="A568" s="20">
        <v>567</v>
      </c>
      <c r="B568" s="21" t="str">
        <f>_xlfn.CONCAT("ORD-",INDEX(Helper!$B$2:$B$5,MATCH(cadangan3[[#This Row],[Marketplace]],Helper!$A$2:$A$5,0)),TEXT(cadangan3[[#This Row],[No]],"0000"),"-",TEXT(cadangan3[[#This Row],[Tanggal terjual]],"dd/mm/yy"))</f>
        <v>ORD-BB0567-05/04/23</v>
      </c>
      <c r="C568" t="s">
        <v>65</v>
      </c>
      <c r="D568" t="str">
        <f>IFERROR(INDEX(Katalog!$A$3:$A$12,MATCH(cadangan3[[#This Row],[ItemID A]],Katalog!$C$3:$C$12,0)),"-")</f>
        <v>Sepatu Pria</v>
      </c>
      <c r="E568" t="str">
        <f>IFERROR(INDEX(Katalog!$B$3:$B$12,MATCH(cadangan3[[#This Row],[ItemID A]],Katalog!$C$3:$C$12,0)),"-")</f>
        <v>Sneakers</v>
      </c>
      <c r="F568">
        <v>3</v>
      </c>
      <c r="G568">
        <v>4</v>
      </c>
      <c r="H568" s="36">
        <f>IFERROR(INDEX(Katalog!$D$3:$D$12,MATCH(cadangan3[[#This Row],[ItemID A]],Katalog!$C$3:$C$12,0))*cadangan3[[#This Row],[Qty A]],0)</f>
        <v>1500000</v>
      </c>
      <c r="I568" s="36">
        <f>IFERROR(INDEX(Katalog!$D$3:$D$12,MATCH(cadangan3[[#This Row],[Item A]],Katalog!$B$3:$B$12,0))*cadangan3[[#This Row],[Qty A]],0)</f>
        <v>1500000</v>
      </c>
      <c r="J568" s="36">
        <f>IFERROR(cadangan3[[#This Row],[Harga Asli A]]-(cadangan3[[#This Row],[Harga Asli A]]*cadangan3[[#This Row],[Diskon]]),cadangan3[[#This Row],[Harga Asli A]])</f>
        <v>1275000</v>
      </c>
      <c r="K568" s="36">
        <f>INDEX(Katalog!$F$3:$F$12,MATCH(cadangan3[[#This Row],[ItemID A]],Katalog!$C$3:$C$12,0))*cadangan3[[#This Row],[Qty A]]</f>
        <v>600000</v>
      </c>
      <c r="L568" s="36">
        <f>IFERROR(cadangan3[[#This Row],[Profit A]]-(cadangan3[[#This Row],[Profit A]]*cadangan3[[#This Row],[Diskon]]),K568)</f>
        <v>510000</v>
      </c>
      <c r="N568" t="str">
        <f>IFERROR(INDEX(Katalog!$A$3:$A$12,MATCH(cadangan3[[#This Row],[ItemID B]],Katalog!$C$3:$C$12,0)),"-")</f>
        <v>-</v>
      </c>
      <c r="O568" t="str">
        <f>IFERROR(INDEX(Katalog!$B$3:$B$12,MATCH(cadangan3[[#This Row],[ItemID B]],Katalog!$C$3:$C$12,0)),"-")</f>
        <v>-</v>
      </c>
      <c r="R568" s="36">
        <f>IFERROR(INDEX(Katalog!$D$3:$D$12,MATCH(cadangan3[[#This Row],[ItemID B]],Katalog!$C$3:$C$12,0))*cadangan3[[#This Row],[Qty B]],0)</f>
        <v>0</v>
      </c>
      <c r="S568" s="36">
        <f>IFERROR(INDEX(Katalog!$D$3:$D$12,MATCH(cadangan3[[#This Row],[Item B]],Katalog!$B$3:$B$12,0))*cadangan3[[#This Row],[Qty B]],0)</f>
        <v>0</v>
      </c>
      <c r="T568" s="36">
        <f>IFERROR(cadangan3[[#This Row],[Harga Asli B]]-(cadangan3[[#This Row],[Harga Asli B]]*cadangan3[[#This Row],[Diskon]]),cadangan3[[#This Row],[Harga Asli B]])</f>
        <v>0</v>
      </c>
      <c r="U568" s="36">
        <f>IFERROR(INDEX(Katalog!$F$3:$F$12,MATCH(cadangan3[[#This Row],[ItemID B]],Katalog!$C$3:$C$12,0))*cadangan3[[#This Row],[Qty B]],0)</f>
        <v>0</v>
      </c>
      <c r="V568" s="36">
        <f>IFERROR(cadangan3[[#This Row],[Profit B]]-(cadangan3[[#This Row],[Profit B]]*cadangan3[[#This Row],[Diskon]]),U568)</f>
        <v>0</v>
      </c>
      <c r="X568" t="str">
        <f>IFERROR(INDEX(Katalog!$A$3:$A$12,MATCH(cadangan3[[#This Row],[ItemID C]],Katalog!$C$3:$C$12,0)),"-")</f>
        <v>-</v>
      </c>
      <c r="Y568" t="str">
        <f>IFERROR(INDEX(Katalog!$B$3:$B$12,MATCH(cadangan3[[#This Row],[ItemID C]],Katalog!$C$3:$C$12,0)),"-")</f>
        <v>-</v>
      </c>
      <c r="AB568" s="36">
        <f>IFERROR(INDEX(Katalog!$D$3:$D$12,MATCH(cadangan3[[#This Row],[ItemID C]],Katalog!$C$3:$C$12,0))*cadangan3[[#This Row],[Qty C]],0)</f>
        <v>0</v>
      </c>
      <c r="AC568" s="36">
        <f>IFERROR(INDEX(Katalog!$D$3:$D$12,MATCH(cadangan3[[#This Row],[Item C]],Katalog!$B$3:$B$12,0))*cadangan3[[#This Row],[Qty C]],0)</f>
        <v>0</v>
      </c>
      <c r="AD568" s="36">
        <f>IFERROR(cadangan3[[#This Row],[Harga Asli C]]-(cadangan3[[#This Row],[Harga Asli C]]*cadangan3[[#This Row],[Diskon]]),cadangan3[[#This Row],[Harga Asli C]])</f>
        <v>0</v>
      </c>
      <c r="AE568" s="36">
        <f>IFERROR(INDEX(Katalog!$F$3:$F$12,MATCH(cadangan3[[#This Row],[ItemID C]],Katalog!$C$3:$C$12,0))*cadangan3[[#This Row],[Qty C]],0)</f>
        <v>0</v>
      </c>
      <c r="AF568" s="36">
        <f>IFERROR(cadangan3[[#This Row],[Profit C]]-(cadangan3[[#This Row],[Profit C]]*cadangan3[[#This Row],[Diskon]]),cadangan3[[#This Row],[Profit C]])</f>
        <v>0</v>
      </c>
      <c r="AG568" s="21">
        <f>cadangan3[[#This Row],[Qty A]]+cadangan3[[#This Row],[Qty B]]+cadangan3[[#This Row],[Qty C]]</f>
        <v>3</v>
      </c>
      <c r="AH568" s="35">
        <f>cadangan3[[#This Row],[Harga A + Diskon]]+cadangan3[[#This Row],[Harga + Diskon B]]+cadangan3[[#This Row],[Harga + Diskon C]]</f>
        <v>1275000</v>
      </c>
      <c r="AI568" s="35">
        <f>(cadangan3[[#This Row],[Profit A]]+cadangan3[[#This Row],[Profit B]]+cadangan3[[#This Row],[Profit C]])</f>
        <v>600000</v>
      </c>
      <c r="AJ568" s="35">
        <f>cadangan3[[#This Row],[Provit A + Diskon]]+cadangan3[[#This Row],[Provit B + Diskon]]+cadangan3[[#This Row],[Provit C + Diskon]]</f>
        <v>510000</v>
      </c>
      <c r="AK568" s="23" t="s">
        <v>28</v>
      </c>
      <c r="AL568" s="37">
        <f>IFERROR(INDEX('Kode Diskon'!$D$3:$D$9,MATCH(cadangan3[[#This Row],[Kode diskon]],'Kode Diskon'!$C$3:$C$9,0)),"-")</f>
        <v>0.15</v>
      </c>
      <c r="AM568" s="23" t="s">
        <v>29</v>
      </c>
      <c r="AN568" s="23" t="s">
        <v>14</v>
      </c>
      <c r="AO568" s="23" t="s">
        <v>80</v>
      </c>
      <c r="AP568" s="24">
        <v>45021</v>
      </c>
      <c r="AQ568" s="23" t="str">
        <f>TEXT(cadangan3[[#This Row],[Tanggal terjual]],"dddd")</f>
        <v>Wednesday</v>
      </c>
    </row>
    <row r="569" spans="1:43" x14ac:dyDescent="0.2">
      <c r="A569" s="20">
        <v>568</v>
      </c>
      <c r="B569" s="21" t="str">
        <f>_xlfn.CONCAT("ORD-",INDEX(Helper!$B$2:$B$5,MATCH(cadangan3[[#This Row],[Marketplace]],Helper!$A$2:$A$5,0)),TEXT(cadangan3[[#This Row],[No]],"0000"),"-",TEXT(cadangan3[[#This Row],[Tanggal terjual]],"dd/mm/yy"))</f>
        <v>ORD-TK0568-19/04/23</v>
      </c>
      <c r="C569" t="s">
        <v>66</v>
      </c>
      <c r="D569" t="str">
        <f>IFERROR(INDEX(Katalog!$A$3:$A$12,MATCH(cadangan3[[#This Row],[ItemID A]],Katalog!$C$3:$C$12,0)),"-")</f>
        <v>Sepatu Pria</v>
      </c>
      <c r="E569" t="str">
        <f>IFERROR(INDEX(Katalog!$B$3:$B$12,MATCH(cadangan3[[#This Row],[ItemID A]],Katalog!$C$3:$C$12,0)),"-")</f>
        <v>Sandal Slip On</v>
      </c>
      <c r="F569">
        <v>5</v>
      </c>
      <c r="G569">
        <v>2</v>
      </c>
      <c r="H569" s="36">
        <f>IFERROR(INDEX(Katalog!$D$3:$D$12,MATCH(cadangan3[[#This Row],[ItemID A]],Katalog!$C$3:$C$12,0))*cadangan3[[#This Row],[Qty A]],0)</f>
        <v>750000</v>
      </c>
      <c r="I569" s="36">
        <f>IFERROR(INDEX(Katalog!$D$3:$D$12,MATCH(cadangan3[[#This Row],[Item A]],Katalog!$B$3:$B$12,0))*cadangan3[[#This Row],[Qty A]],0)</f>
        <v>750000</v>
      </c>
      <c r="J569" s="36">
        <f>IFERROR(cadangan3[[#This Row],[Harga Asli A]]-(cadangan3[[#This Row],[Harga Asli A]]*cadangan3[[#This Row],[Diskon]]),cadangan3[[#This Row],[Harga Asli A]])</f>
        <v>675000</v>
      </c>
      <c r="K569" s="36">
        <f>INDEX(Katalog!$F$3:$F$12,MATCH(cadangan3[[#This Row],[ItemID A]],Katalog!$C$3:$C$12,0))*cadangan3[[#This Row],[Qty A]]</f>
        <v>300000</v>
      </c>
      <c r="L569" s="36">
        <f>IFERROR(cadangan3[[#This Row],[Profit A]]-(cadangan3[[#This Row],[Profit A]]*cadangan3[[#This Row],[Diskon]]),K569)</f>
        <v>270000</v>
      </c>
      <c r="M569" t="s">
        <v>62</v>
      </c>
      <c r="N569" t="str">
        <f>IFERROR(INDEX(Katalog!$A$3:$A$12,MATCH(cadangan3[[#This Row],[ItemID B]],Katalog!$C$3:$C$12,0)),"-")</f>
        <v>Pakaian Pria</v>
      </c>
      <c r="O569" t="str">
        <f>IFERROR(INDEX(Katalog!$B$3:$B$12,MATCH(cadangan3[[#This Row],[ItemID B]],Katalog!$C$3:$C$12,0)),"-")</f>
        <v>Celana Pendek</v>
      </c>
      <c r="P569">
        <v>1</v>
      </c>
      <c r="Q569">
        <v>1</v>
      </c>
      <c r="R569" s="36">
        <f>IFERROR(INDEX(Katalog!$D$3:$D$12,MATCH(cadangan3[[#This Row],[ItemID B]],Katalog!$C$3:$C$12,0))*cadangan3[[#This Row],[Qty B]],0)</f>
        <v>180000</v>
      </c>
      <c r="S569" s="36">
        <f>IFERROR(INDEX(Katalog!$D$3:$D$12,MATCH(cadangan3[[#This Row],[Item B]],Katalog!$B$3:$B$12,0))*cadangan3[[#This Row],[Qty B]],0)</f>
        <v>180000</v>
      </c>
      <c r="T569" s="36">
        <f>IFERROR(cadangan3[[#This Row],[Harga Asli B]]-(cadangan3[[#This Row],[Harga Asli B]]*cadangan3[[#This Row],[Diskon]]),cadangan3[[#This Row],[Harga Asli B]])</f>
        <v>162000</v>
      </c>
      <c r="U569" s="36">
        <f>IFERROR(INDEX(Katalog!$F$3:$F$12,MATCH(cadangan3[[#This Row],[ItemID B]],Katalog!$C$3:$C$12,0))*cadangan3[[#This Row],[Qty B]],0)</f>
        <v>70000</v>
      </c>
      <c r="V569" s="36">
        <f>IFERROR(cadangan3[[#This Row],[Profit B]]-(cadangan3[[#This Row],[Profit B]]*cadangan3[[#This Row],[Diskon]]),U569)</f>
        <v>63000</v>
      </c>
      <c r="X569" t="str">
        <f>IFERROR(INDEX(Katalog!$A$3:$A$12,MATCH(cadangan3[[#This Row],[ItemID C]],Katalog!$C$3:$C$12,0)),"-")</f>
        <v>-</v>
      </c>
      <c r="Y569" t="str">
        <f>IFERROR(INDEX(Katalog!$B$3:$B$12,MATCH(cadangan3[[#This Row],[ItemID C]],Katalog!$C$3:$C$12,0)),"-")</f>
        <v>-</v>
      </c>
      <c r="AB569" s="36">
        <f>IFERROR(INDEX(Katalog!$D$3:$D$12,MATCH(cadangan3[[#This Row],[ItemID C]],Katalog!$C$3:$C$12,0))*cadangan3[[#This Row],[Qty C]],0)</f>
        <v>0</v>
      </c>
      <c r="AC569" s="36">
        <f>IFERROR(INDEX(Katalog!$D$3:$D$12,MATCH(cadangan3[[#This Row],[Item C]],Katalog!$B$3:$B$12,0))*cadangan3[[#This Row],[Qty C]],0)</f>
        <v>0</v>
      </c>
      <c r="AD569" s="36">
        <f>IFERROR(cadangan3[[#This Row],[Harga Asli C]]-(cadangan3[[#This Row],[Harga Asli C]]*cadangan3[[#This Row],[Diskon]]),cadangan3[[#This Row],[Harga Asli C]])</f>
        <v>0</v>
      </c>
      <c r="AE569" s="36">
        <f>IFERROR(INDEX(Katalog!$F$3:$F$12,MATCH(cadangan3[[#This Row],[ItemID C]],Katalog!$C$3:$C$12,0))*cadangan3[[#This Row],[Qty C]],0)</f>
        <v>0</v>
      </c>
      <c r="AF569" s="36">
        <f>IFERROR(cadangan3[[#This Row],[Profit C]]-(cadangan3[[#This Row],[Profit C]]*cadangan3[[#This Row],[Diskon]]),cadangan3[[#This Row],[Profit C]])</f>
        <v>0</v>
      </c>
      <c r="AG569" s="21">
        <f>cadangan3[[#This Row],[Qty A]]+cadangan3[[#This Row],[Qty B]]+cadangan3[[#This Row],[Qty C]]</f>
        <v>6</v>
      </c>
      <c r="AH569" s="35">
        <f>cadangan3[[#This Row],[Harga A + Diskon]]+cadangan3[[#This Row],[Harga + Diskon B]]+cadangan3[[#This Row],[Harga + Diskon C]]</f>
        <v>837000</v>
      </c>
      <c r="AI569" s="35">
        <f>(cadangan3[[#This Row],[Profit A]]+cadangan3[[#This Row],[Profit B]]+cadangan3[[#This Row],[Profit C]])</f>
        <v>370000</v>
      </c>
      <c r="AJ569" s="35">
        <f>cadangan3[[#This Row],[Provit A + Diskon]]+cadangan3[[#This Row],[Provit B + Diskon]]+cadangan3[[#This Row],[Provit C + Diskon]]</f>
        <v>333000</v>
      </c>
      <c r="AK569" s="23" t="s">
        <v>31</v>
      </c>
      <c r="AL569" s="37">
        <f>IFERROR(INDEX('Kode Diskon'!$D$3:$D$9,MATCH(cadangan3[[#This Row],[Kode diskon]],'Kode Diskon'!$C$3:$C$9,0)),"-")</f>
        <v>0.1</v>
      </c>
      <c r="AM569" s="23" t="s">
        <v>9</v>
      </c>
      <c r="AN569" s="23" t="s">
        <v>10</v>
      </c>
      <c r="AO569" s="23" t="s">
        <v>77</v>
      </c>
      <c r="AP569" s="24">
        <v>45035</v>
      </c>
      <c r="AQ569" s="23" t="str">
        <f>TEXT(cadangan3[[#This Row],[Tanggal terjual]],"dddd")</f>
        <v>Wednesday</v>
      </c>
    </row>
    <row r="570" spans="1:43" x14ac:dyDescent="0.2">
      <c r="A570" s="20">
        <v>569</v>
      </c>
      <c r="B570" s="21" t="str">
        <f>_xlfn.CONCAT("ORD-",INDEX(Helper!$B$2:$B$5,MATCH(cadangan3[[#This Row],[Marketplace]],Helper!$A$2:$A$5,0)),TEXT(cadangan3[[#This Row],[No]],"0000"),"-",TEXT(cadangan3[[#This Row],[Tanggal terjual]],"dd/mm/yy"))</f>
        <v>ORD-SP0569-02/04/23</v>
      </c>
      <c r="C570" t="s">
        <v>63</v>
      </c>
      <c r="D570" t="str">
        <f>IFERROR(INDEX(Katalog!$A$3:$A$12,MATCH(cadangan3[[#This Row],[ItemID A]],Katalog!$C$3:$C$12,0)),"-")</f>
        <v>Pakaian Pria</v>
      </c>
      <c r="E570" t="str">
        <f>IFERROR(INDEX(Katalog!$B$3:$B$12,MATCH(cadangan3[[#This Row],[ItemID A]],Katalog!$C$3:$C$12,0)),"-")</f>
        <v>Jaket Jeans</v>
      </c>
      <c r="F570">
        <v>2</v>
      </c>
      <c r="G570">
        <v>4</v>
      </c>
      <c r="H570" s="36">
        <f>IFERROR(INDEX(Katalog!$D$3:$D$12,MATCH(cadangan3[[#This Row],[ItemID A]],Katalog!$C$3:$C$12,0))*cadangan3[[#This Row],[Qty A]],0)</f>
        <v>800000</v>
      </c>
      <c r="I570" s="36">
        <f>IFERROR(INDEX(Katalog!$D$3:$D$12,MATCH(cadangan3[[#This Row],[Item A]],Katalog!$B$3:$B$12,0))*cadangan3[[#This Row],[Qty A]],0)</f>
        <v>800000</v>
      </c>
      <c r="J570" s="36">
        <f>IFERROR(cadangan3[[#This Row],[Harga Asli A]]-(cadangan3[[#This Row],[Harga Asli A]]*cadangan3[[#This Row],[Diskon]]),cadangan3[[#This Row],[Harga Asli A]])</f>
        <v>680000</v>
      </c>
      <c r="K570" s="36">
        <f>INDEX(Katalog!$F$3:$F$12,MATCH(cadangan3[[#This Row],[ItemID A]],Katalog!$C$3:$C$12,0))*cadangan3[[#This Row],[Qty A]]</f>
        <v>300000</v>
      </c>
      <c r="L570" s="36">
        <f>IFERROR(cadangan3[[#This Row],[Profit A]]-(cadangan3[[#This Row],[Profit A]]*cadangan3[[#This Row],[Diskon]]),K570)</f>
        <v>255000</v>
      </c>
      <c r="N570" t="str">
        <f>IFERROR(INDEX(Katalog!$A$3:$A$12,MATCH(cadangan3[[#This Row],[ItemID B]],Katalog!$C$3:$C$12,0)),"-")</f>
        <v>-</v>
      </c>
      <c r="O570" t="str">
        <f>IFERROR(INDEX(Katalog!$B$3:$B$12,MATCH(cadangan3[[#This Row],[ItemID B]],Katalog!$C$3:$C$12,0)),"-")</f>
        <v>-</v>
      </c>
      <c r="R570" s="36">
        <f>IFERROR(INDEX(Katalog!$D$3:$D$12,MATCH(cadangan3[[#This Row],[ItemID B]],Katalog!$C$3:$C$12,0))*cadangan3[[#This Row],[Qty B]],0)</f>
        <v>0</v>
      </c>
      <c r="S570" s="36">
        <f>IFERROR(INDEX(Katalog!$D$3:$D$12,MATCH(cadangan3[[#This Row],[Item B]],Katalog!$B$3:$B$12,0))*cadangan3[[#This Row],[Qty B]],0)</f>
        <v>0</v>
      </c>
      <c r="T570" s="36">
        <f>IFERROR(cadangan3[[#This Row],[Harga Asli B]]-(cadangan3[[#This Row],[Harga Asli B]]*cadangan3[[#This Row],[Diskon]]),cadangan3[[#This Row],[Harga Asli B]])</f>
        <v>0</v>
      </c>
      <c r="U570" s="36">
        <f>IFERROR(INDEX(Katalog!$F$3:$F$12,MATCH(cadangan3[[#This Row],[ItemID B]],Katalog!$C$3:$C$12,0))*cadangan3[[#This Row],[Qty B]],0)</f>
        <v>0</v>
      </c>
      <c r="V570" s="36">
        <f>IFERROR(cadangan3[[#This Row],[Profit B]]-(cadangan3[[#This Row],[Profit B]]*cadangan3[[#This Row],[Diskon]]),U570)</f>
        <v>0</v>
      </c>
      <c r="X570" t="str">
        <f>IFERROR(INDEX(Katalog!$A$3:$A$12,MATCH(cadangan3[[#This Row],[ItemID C]],Katalog!$C$3:$C$12,0)),"-")</f>
        <v>-</v>
      </c>
      <c r="Y570" t="str">
        <f>IFERROR(INDEX(Katalog!$B$3:$B$12,MATCH(cadangan3[[#This Row],[ItemID C]],Katalog!$C$3:$C$12,0)),"-")</f>
        <v>-</v>
      </c>
      <c r="AB570" s="36">
        <f>IFERROR(INDEX(Katalog!$D$3:$D$12,MATCH(cadangan3[[#This Row],[ItemID C]],Katalog!$C$3:$C$12,0))*cadangan3[[#This Row],[Qty C]],0)</f>
        <v>0</v>
      </c>
      <c r="AC570" s="36">
        <f>IFERROR(INDEX(Katalog!$D$3:$D$12,MATCH(cadangan3[[#This Row],[Item C]],Katalog!$B$3:$B$12,0))*cadangan3[[#This Row],[Qty C]],0)</f>
        <v>0</v>
      </c>
      <c r="AD570" s="36">
        <f>IFERROR(cadangan3[[#This Row],[Harga Asli C]]-(cadangan3[[#This Row],[Harga Asli C]]*cadangan3[[#This Row],[Diskon]]),cadangan3[[#This Row],[Harga Asli C]])</f>
        <v>0</v>
      </c>
      <c r="AE570" s="36">
        <f>IFERROR(INDEX(Katalog!$F$3:$F$12,MATCH(cadangan3[[#This Row],[ItemID C]],Katalog!$C$3:$C$12,0))*cadangan3[[#This Row],[Qty C]],0)</f>
        <v>0</v>
      </c>
      <c r="AF570" s="36">
        <f>IFERROR(cadangan3[[#This Row],[Profit C]]-(cadangan3[[#This Row],[Profit C]]*cadangan3[[#This Row],[Diskon]]),cadangan3[[#This Row],[Profit C]])</f>
        <v>0</v>
      </c>
      <c r="AG570" s="21">
        <f>cadangan3[[#This Row],[Qty A]]+cadangan3[[#This Row],[Qty B]]+cadangan3[[#This Row],[Qty C]]</f>
        <v>2</v>
      </c>
      <c r="AH570" s="35">
        <f>cadangan3[[#This Row],[Harga A + Diskon]]+cadangan3[[#This Row],[Harga + Diskon B]]+cadangan3[[#This Row],[Harga + Diskon C]]</f>
        <v>680000</v>
      </c>
      <c r="AI570" s="35">
        <f>(cadangan3[[#This Row],[Profit A]]+cadangan3[[#This Row],[Profit B]]+cadangan3[[#This Row],[Profit C]])</f>
        <v>300000</v>
      </c>
      <c r="AJ570" s="35">
        <f>cadangan3[[#This Row],[Provit A + Diskon]]+cadangan3[[#This Row],[Provit B + Diskon]]+cadangan3[[#This Row],[Provit C + Diskon]]</f>
        <v>255000</v>
      </c>
      <c r="AK570" s="23" t="s">
        <v>13</v>
      </c>
      <c r="AL570" s="37">
        <f>IFERROR(INDEX('Kode Diskon'!$D$3:$D$9,MATCH(cadangan3[[#This Row],[Kode diskon]],'Kode Diskon'!$C$3:$C$9,0)),"-")</f>
        <v>0.15</v>
      </c>
      <c r="AM570" s="23" t="s">
        <v>29</v>
      </c>
      <c r="AN570" s="23" t="s">
        <v>7</v>
      </c>
      <c r="AO570" s="23" t="s">
        <v>78</v>
      </c>
      <c r="AP570" s="24">
        <v>45018</v>
      </c>
      <c r="AQ570" s="23" t="str">
        <f>TEXT(cadangan3[[#This Row],[Tanggal terjual]],"dddd")</f>
        <v>Sunday</v>
      </c>
    </row>
    <row r="571" spans="1:43" x14ac:dyDescent="0.2">
      <c r="A571" s="20">
        <v>570</v>
      </c>
      <c r="B571" s="21" t="str">
        <f>_xlfn.CONCAT("ORD-",INDEX(Helper!$B$2:$B$5,MATCH(cadangan3[[#This Row],[Marketplace]],Helper!$A$2:$A$5,0)),TEXT(cadangan3[[#This Row],[No]],"0000"),"-",TEXT(cadangan3[[#This Row],[Tanggal terjual]],"dd/mm/yy"))</f>
        <v>ORD-BB0570-05/04/23</v>
      </c>
      <c r="C571" t="s">
        <v>66</v>
      </c>
      <c r="D571" t="str">
        <f>IFERROR(INDEX(Katalog!$A$3:$A$12,MATCH(cadangan3[[#This Row],[ItemID A]],Katalog!$C$3:$C$12,0)),"-")</f>
        <v>Sepatu Pria</v>
      </c>
      <c r="E571" t="str">
        <f>IFERROR(INDEX(Katalog!$B$3:$B$12,MATCH(cadangan3[[#This Row],[ItemID A]],Katalog!$C$3:$C$12,0)),"-")</f>
        <v>Sandal Slip On</v>
      </c>
      <c r="F571">
        <v>5</v>
      </c>
      <c r="G571">
        <v>3</v>
      </c>
      <c r="H571" s="36">
        <f>IFERROR(INDEX(Katalog!$D$3:$D$12,MATCH(cadangan3[[#This Row],[ItemID A]],Katalog!$C$3:$C$12,0))*cadangan3[[#This Row],[Qty A]],0)</f>
        <v>750000</v>
      </c>
      <c r="I571" s="36">
        <f>IFERROR(INDEX(Katalog!$D$3:$D$12,MATCH(cadangan3[[#This Row],[Item A]],Katalog!$B$3:$B$12,0))*cadangan3[[#This Row],[Qty A]],0)</f>
        <v>750000</v>
      </c>
      <c r="J571" s="36">
        <f>IFERROR(cadangan3[[#This Row],[Harga Asli A]]-(cadangan3[[#This Row],[Harga Asli A]]*cadangan3[[#This Row],[Diskon]]),cadangan3[[#This Row],[Harga Asli A]])</f>
        <v>637500</v>
      </c>
      <c r="K571" s="36">
        <f>INDEX(Katalog!$F$3:$F$12,MATCH(cadangan3[[#This Row],[ItemID A]],Katalog!$C$3:$C$12,0))*cadangan3[[#This Row],[Qty A]]</f>
        <v>300000</v>
      </c>
      <c r="L571" s="36">
        <f>IFERROR(cadangan3[[#This Row],[Profit A]]-(cadangan3[[#This Row],[Profit A]]*cadangan3[[#This Row],[Diskon]]),K571)</f>
        <v>255000</v>
      </c>
      <c r="M571" t="s">
        <v>58</v>
      </c>
      <c r="N571" t="str">
        <f>IFERROR(INDEX(Katalog!$A$3:$A$12,MATCH(cadangan3[[#This Row],[ItemID B]],Katalog!$C$3:$C$12,0)),"-")</f>
        <v>Pakaian Wanita</v>
      </c>
      <c r="O571" t="str">
        <f>IFERROR(INDEX(Katalog!$B$3:$B$12,MATCH(cadangan3[[#This Row],[ItemID B]],Katalog!$C$3:$C$12,0)),"-")</f>
        <v>Dress</v>
      </c>
      <c r="P571">
        <v>1</v>
      </c>
      <c r="Q571">
        <v>1</v>
      </c>
      <c r="R571" s="36">
        <f>IFERROR(INDEX(Katalog!$D$3:$D$12,MATCH(cadangan3[[#This Row],[ItemID B]],Katalog!$C$3:$C$12,0))*cadangan3[[#This Row],[Qty B]],0)</f>
        <v>300000</v>
      </c>
      <c r="S571" s="36">
        <f>IFERROR(INDEX(Katalog!$D$3:$D$12,MATCH(cadangan3[[#This Row],[Item B]],Katalog!$B$3:$B$12,0))*cadangan3[[#This Row],[Qty B]],0)</f>
        <v>300000</v>
      </c>
      <c r="T571" s="36">
        <f>IFERROR(cadangan3[[#This Row],[Harga Asli B]]-(cadangan3[[#This Row],[Harga Asli B]]*cadangan3[[#This Row],[Diskon]]),cadangan3[[#This Row],[Harga Asli B]])</f>
        <v>255000</v>
      </c>
      <c r="U571" s="36">
        <f>IFERROR(INDEX(Katalog!$F$3:$F$12,MATCH(cadangan3[[#This Row],[ItemID B]],Katalog!$C$3:$C$12,0))*cadangan3[[#This Row],[Qty B]],0)</f>
        <v>100000</v>
      </c>
      <c r="V571" s="36">
        <f>IFERROR(cadangan3[[#This Row],[Profit B]]-(cadangan3[[#This Row],[Profit B]]*cadangan3[[#This Row],[Diskon]]),U571)</f>
        <v>85000</v>
      </c>
      <c r="W571" t="s">
        <v>65</v>
      </c>
      <c r="X571" t="str">
        <f>IFERROR(INDEX(Katalog!$A$3:$A$12,MATCH(cadangan3[[#This Row],[ItemID C]],Katalog!$C$3:$C$12,0)),"-")</f>
        <v>Sepatu Pria</v>
      </c>
      <c r="Y571" t="str">
        <f>IFERROR(INDEX(Katalog!$B$3:$B$12,MATCH(cadangan3[[#This Row],[ItemID C]],Katalog!$C$3:$C$12,0)),"-")</f>
        <v>Sneakers</v>
      </c>
      <c r="Z571">
        <v>1</v>
      </c>
      <c r="AA571">
        <v>5</v>
      </c>
      <c r="AB571" s="36">
        <f>IFERROR(INDEX(Katalog!$D$3:$D$12,MATCH(cadangan3[[#This Row],[ItemID C]],Katalog!$C$3:$C$12,0))*cadangan3[[#This Row],[Qty C]],0)</f>
        <v>500000</v>
      </c>
      <c r="AC571" s="36">
        <f>IFERROR(INDEX(Katalog!$D$3:$D$12,MATCH(cadangan3[[#This Row],[Item C]],Katalog!$B$3:$B$12,0))*cadangan3[[#This Row],[Qty C]],0)</f>
        <v>500000</v>
      </c>
      <c r="AD571" s="36">
        <f>IFERROR(cadangan3[[#This Row],[Harga Asli C]]-(cadangan3[[#This Row],[Harga Asli C]]*cadangan3[[#This Row],[Diskon]]),cadangan3[[#This Row],[Harga Asli C]])</f>
        <v>425000</v>
      </c>
      <c r="AE571" s="36">
        <f>IFERROR(INDEX(Katalog!$F$3:$F$12,MATCH(cadangan3[[#This Row],[ItemID C]],Katalog!$C$3:$C$12,0))*cadangan3[[#This Row],[Qty C]],0)</f>
        <v>200000</v>
      </c>
      <c r="AF571" s="36">
        <f>IFERROR(cadangan3[[#This Row],[Profit C]]-(cadangan3[[#This Row],[Profit C]]*cadangan3[[#This Row],[Diskon]]),cadangan3[[#This Row],[Profit C]])</f>
        <v>170000</v>
      </c>
      <c r="AG571" s="21">
        <f>cadangan3[[#This Row],[Qty A]]+cadangan3[[#This Row],[Qty B]]+cadangan3[[#This Row],[Qty C]]</f>
        <v>7</v>
      </c>
      <c r="AH571" s="35">
        <f>cadangan3[[#This Row],[Harga A + Diskon]]+cadangan3[[#This Row],[Harga + Diskon B]]+cadangan3[[#This Row],[Harga + Diskon C]]</f>
        <v>1317500</v>
      </c>
      <c r="AI571" s="35">
        <f>(cadangan3[[#This Row],[Profit A]]+cadangan3[[#This Row],[Profit B]]+cadangan3[[#This Row],[Profit C]])</f>
        <v>600000</v>
      </c>
      <c r="AJ571" s="35">
        <f>cadangan3[[#This Row],[Provit A + Diskon]]+cadangan3[[#This Row],[Provit B + Diskon]]+cadangan3[[#This Row],[Provit C + Diskon]]</f>
        <v>510000</v>
      </c>
      <c r="AK571" s="23" t="s">
        <v>28</v>
      </c>
      <c r="AL571" s="37">
        <f>IFERROR(INDEX('Kode Diskon'!$D$3:$D$9,MATCH(cadangan3[[#This Row],[Kode diskon]],'Kode Diskon'!$C$3:$C$9,0)),"-")</f>
        <v>0.15</v>
      </c>
      <c r="AM571" s="23" t="s">
        <v>29</v>
      </c>
      <c r="AN571" s="23" t="s">
        <v>14</v>
      </c>
      <c r="AO571" s="23" t="s">
        <v>80</v>
      </c>
      <c r="AP571" s="24">
        <v>45021</v>
      </c>
      <c r="AQ571" s="23" t="str">
        <f>TEXT(cadangan3[[#This Row],[Tanggal terjual]],"dddd")</f>
        <v>Wednesday</v>
      </c>
    </row>
    <row r="572" spans="1:43" x14ac:dyDescent="0.2">
      <c r="A572" s="20">
        <v>571</v>
      </c>
      <c r="B572" s="21" t="str">
        <f>_xlfn.CONCAT("ORD-",INDEX(Helper!$B$2:$B$5,MATCH(cadangan3[[#This Row],[Marketplace]],Helper!$A$2:$A$5,0)),TEXT(cadangan3[[#This Row],[No]],"0000"),"-",TEXT(cadangan3[[#This Row],[Tanggal terjual]],"dd/mm/yy"))</f>
        <v>ORD-BB0571-02/04/23</v>
      </c>
      <c r="C572" t="s">
        <v>61</v>
      </c>
      <c r="D572" t="str">
        <f>IFERROR(INDEX(Katalog!$A$3:$A$12,MATCH(cadangan3[[#This Row],[ItemID A]],Katalog!$C$3:$C$12,0)),"-")</f>
        <v>Pakaian Pria</v>
      </c>
      <c r="E572" t="str">
        <f>IFERROR(INDEX(Katalog!$B$3:$B$12,MATCH(cadangan3[[#This Row],[ItemID A]],Katalog!$C$3:$C$12,0)),"-")</f>
        <v>Kaos Polo</v>
      </c>
      <c r="F572">
        <v>2</v>
      </c>
      <c r="G572">
        <v>3</v>
      </c>
      <c r="H572" s="36">
        <f>IFERROR(INDEX(Katalog!$D$3:$D$12,MATCH(cadangan3[[#This Row],[ItemID A]],Katalog!$C$3:$C$12,0))*cadangan3[[#This Row],[Qty A]],0)</f>
        <v>400000</v>
      </c>
      <c r="I572" s="36">
        <f>IFERROR(INDEX(Katalog!$D$3:$D$12,MATCH(cadangan3[[#This Row],[Item A]],Katalog!$B$3:$B$12,0))*cadangan3[[#This Row],[Qty A]],0)</f>
        <v>400000</v>
      </c>
      <c r="J572" s="36">
        <f>IFERROR(cadangan3[[#This Row],[Harga Asli A]]-(cadangan3[[#This Row],[Harga Asli A]]*cadangan3[[#This Row],[Diskon]]),cadangan3[[#This Row],[Harga Asli A]])</f>
        <v>340000</v>
      </c>
      <c r="K572" s="36">
        <f>INDEX(Katalog!$F$3:$F$12,MATCH(cadangan3[[#This Row],[ItemID A]],Katalog!$C$3:$C$12,0))*cadangan3[[#This Row],[Qty A]]</f>
        <v>160000</v>
      </c>
      <c r="L572" s="36">
        <f>IFERROR(cadangan3[[#This Row],[Profit A]]-(cadangan3[[#This Row],[Profit A]]*cadangan3[[#This Row],[Diskon]]),K572)</f>
        <v>136000</v>
      </c>
      <c r="M572" t="s">
        <v>62</v>
      </c>
      <c r="N572" t="str">
        <f>IFERROR(INDEX(Katalog!$A$3:$A$12,MATCH(cadangan3[[#This Row],[ItemID B]],Katalog!$C$3:$C$12,0)),"-")</f>
        <v>Pakaian Pria</v>
      </c>
      <c r="O572" t="str">
        <f>IFERROR(INDEX(Katalog!$B$3:$B$12,MATCH(cadangan3[[#This Row],[ItemID B]],Katalog!$C$3:$C$12,0)),"-")</f>
        <v>Celana Pendek</v>
      </c>
      <c r="P572">
        <v>2</v>
      </c>
      <c r="Q572">
        <v>4</v>
      </c>
      <c r="R572" s="36">
        <f>IFERROR(INDEX(Katalog!$D$3:$D$12,MATCH(cadangan3[[#This Row],[ItemID B]],Katalog!$C$3:$C$12,0))*cadangan3[[#This Row],[Qty B]],0)</f>
        <v>360000</v>
      </c>
      <c r="S572" s="36">
        <f>IFERROR(INDEX(Katalog!$D$3:$D$12,MATCH(cadangan3[[#This Row],[Item B]],Katalog!$B$3:$B$12,0))*cadangan3[[#This Row],[Qty B]],0)</f>
        <v>360000</v>
      </c>
      <c r="T572" s="36">
        <f>IFERROR(cadangan3[[#This Row],[Harga Asli B]]-(cadangan3[[#This Row],[Harga Asli B]]*cadangan3[[#This Row],[Diskon]]),cadangan3[[#This Row],[Harga Asli B]])</f>
        <v>306000</v>
      </c>
      <c r="U572" s="36">
        <f>IFERROR(INDEX(Katalog!$F$3:$F$12,MATCH(cadangan3[[#This Row],[ItemID B]],Katalog!$C$3:$C$12,0))*cadangan3[[#This Row],[Qty B]],0)</f>
        <v>140000</v>
      </c>
      <c r="V572" s="36">
        <f>IFERROR(cadangan3[[#This Row],[Profit B]]-(cadangan3[[#This Row],[Profit B]]*cadangan3[[#This Row],[Diskon]]),U572)</f>
        <v>119000</v>
      </c>
      <c r="W572" t="s">
        <v>65</v>
      </c>
      <c r="X572" t="str">
        <f>IFERROR(INDEX(Katalog!$A$3:$A$12,MATCH(cadangan3[[#This Row],[ItemID C]],Katalog!$C$3:$C$12,0)),"-")</f>
        <v>Sepatu Pria</v>
      </c>
      <c r="Y572" t="str">
        <f>IFERROR(INDEX(Katalog!$B$3:$B$12,MATCH(cadangan3[[#This Row],[ItemID C]],Katalog!$C$3:$C$12,0)),"-")</f>
        <v>Sneakers</v>
      </c>
      <c r="Z572">
        <v>3</v>
      </c>
      <c r="AA572">
        <v>3</v>
      </c>
      <c r="AB572" s="36">
        <f>IFERROR(INDEX(Katalog!$D$3:$D$12,MATCH(cadangan3[[#This Row],[ItemID C]],Katalog!$C$3:$C$12,0))*cadangan3[[#This Row],[Qty C]],0)</f>
        <v>1500000</v>
      </c>
      <c r="AC572" s="36">
        <f>IFERROR(INDEX(Katalog!$D$3:$D$12,MATCH(cadangan3[[#This Row],[Item C]],Katalog!$B$3:$B$12,0))*cadangan3[[#This Row],[Qty C]],0)</f>
        <v>1500000</v>
      </c>
      <c r="AD572" s="36">
        <f>IFERROR(cadangan3[[#This Row],[Harga Asli C]]-(cadangan3[[#This Row],[Harga Asli C]]*cadangan3[[#This Row],[Diskon]]),cadangan3[[#This Row],[Harga Asli C]])</f>
        <v>1275000</v>
      </c>
      <c r="AE572" s="36">
        <f>IFERROR(INDEX(Katalog!$F$3:$F$12,MATCH(cadangan3[[#This Row],[ItemID C]],Katalog!$C$3:$C$12,0))*cadangan3[[#This Row],[Qty C]],0)</f>
        <v>600000</v>
      </c>
      <c r="AF572" s="36">
        <f>IFERROR(cadangan3[[#This Row],[Profit C]]-(cadangan3[[#This Row],[Profit C]]*cadangan3[[#This Row],[Diskon]]),cadangan3[[#This Row],[Profit C]])</f>
        <v>510000</v>
      </c>
      <c r="AG572" s="21">
        <f>cadangan3[[#This Row],[Qty A]]+cadangan3[[#This Row],[Qty B]]+cadangan3[[#This Row],[Qty C]]</f>
        <v>7</v>
      </c>
      <c r="AH572" s="35">
        <f>cadangan3[[#This Row],[Harga A + Diskon]]+cadangan3[[#This Row],[Harga + Diskon B]]+cadangan3[[#This Row],[Harga + Diskon C]]</f>
        <v>1921000</v>
      </c>
      <c r="AI572" s="35">
        <f>(cadangan3[[#This Row],[Profit A]]+cadangan3[[#This Row],[Profit B]]+cadangan3[[#This Row],[Profit C]])</f>
        <v>900000</v>
      </c>
      <c r="AJ572" s="35">
        <f>cadangan3[[#This Row],[Provit A + Diskon]]+cadangan3[[#This Row],[Provit B + Diskon]]+cadangan3[[#This Row],[Provit C + Diskon]]</f>
        <v>765000</v>
      </c>
      <c r="AK572" s="23" t="s">
        <v>28</v>
      </c>
      <c r="AL572" s="37">
        <f>IFERROR(INDEX('Kode Diskon'!$D$3:$D$9,MATCH(cadangan3[[#This Row],[Kode diskon]],'Kode Diskon'!$C$3:$C$9,0)),"-")</f>
        <v>0.15</v>
      </c>
      <c r="AM572" s="23" t="s">
        <v>29</v>
      </c>
      <c r="AN572" s="23" t="s">
        <v>14</v>
      </c>
      <c r="AO572" s="23" t="s">
        <v>77</v>
      </c>
      <c r="AP572" s="24">
        <v>45018</v>
      </c>
      <c r="AQ572" s="23" t="str">
        <f>TEXT(cadangan3[[#This Row],[Tanggal terjual]],"dddd")</f>
        <v>Sunday</v>
      </c>
    </row>
    <row r="573" spans="1:43" x14ac:dyDescent="0.2">
      <c r="A573" s="20">
        <v>572</v>
      </c>
      <c r="B573" s="21" t="str">
        <f>_xlfn.CONCAT("ORD-",INDEX(Helper!$B$2:$B$5,MATCH(cadangan3[[#This Row],[Marketplace]],Helper!$A$2:$A$5,0)),TEXT(cadangan3[[#This Row],[No]],"0000"),"-",TEXT(cadangan3[[#This Row],[Tanggal terjual]],"dd/mm/yy"))</f>
        <v>ORD-TK0572-04/04/23</v>
      </c>
      <c r="C573" t="s">
        <v>59</v>
      </c>
      <c r="D573" t="str">
        <f>IFERROR(INDEX(Katalog!$A$3:$A$12,MATCH(cadangan3[[#This Row],[ItemID A]],Katalog!$C$3:$C$12,0)),"-")</f>
        <v>Pakaian Wanita</v>
      </c>
      <c r="E573" t="str">
        <f>IFERROR(INDEX(Katalog!$B$3:$B$12,MATCH(cadangan3[[#This Row],[ItemID A]],Katalog!$C$3:$C$12,0)),"-")</f>
        <v>Blouse</v>
      </c>
      <c r="F573">
        <v>1</v>
      </c>
      <c r="G573">
        <v>2</v>
      </c>
      <c r="H573" s="36">
        <f>IFERROR(INDEX(Katalog!$D$3:$D$12,MATCH(cadangan3[[#This Row],[ItemID A]],Katalog!$C$3:$C$12,0))*cadangan3[[#This Row],[Qty A]],0)</f>
        <v>150000</v>
      </c>
      <c r="I573" s="36">
        <f>IFERROR(INDEX(Katalog!$D$3:$D$12,MATCH(cadangan3[[#This Row],[Item A]],Katalog!$B$3:$B$12,0))*cadangan3[[#This Row],[Qty A]],0)</f>
        <v>150000</v>
      </c>
      <c r="J573" s="36">
        <f>IFERROR(cadangan3[[#This Row],[Harga Asli A]]-(cadangan3[[#This Row],[Harga Asli A]]*cadangan3[[#This Row],[Diskon]]),cadangan3[[#This Row],[Harga Asli A]])</f>
        <v>135000</v>
      </c>
      <c r="K573" s="36">
        <f>INDEX(Katalog!$F$3:$F$12,MATCH(cadangan3[[#This Row],[ItemID A]],Katalog!$C$3:$C$12,0))*cadangan3[[#This Row],[Qty A]]</f>
        <v>50000</v>
      </c>
      <c r="L573" s="36">
        <f>IFERROR(cadangan3[[#This Row],[Profit A]]-(cadangan3[[#This Row],[Profit A]]*cadangan3[[#This Row],[Diskon]]),K573)</f>
        <v>45000</v>
      </c>
      <c r="N573" t="str">
        <f>IFERROR(INDEX(Katalog!$A$3:$A$12,MATCH(cadangan3[[#This Row],[ItemID B]],Katalog!$C$3:$C$12,0)),"-")</f>
        <v>-</v>
      </c>
      <c r="O573" t="str">
        <f>IFERROR(INDEX(Katalog!$B$3:$B$12,MATCH(cadangan3[[#This Row],[ItemID B]],Katalog!$C$3:$C$12,0)),"-")</f>
        <v>-</v>
      </c>
      <c r="R573" s="36">
        <f>IFERROR(INDEX(Katalog!$D$3:$D$12,MATCH(cadangan3[[#This Row],[ItemID B]],Katalog!$C$3:$C$12,0))*cadangan3[[#This Row],[Qty B]],0)</f>
        <v>0</v>
      </c>
      <c r="S573" s="36">
        <f>IFERROR(INDEX(Katalog!$D$3:$D$12,MATCH(cadangan3[[#This Row],[Item B]],Katalog!$B$3:$B$12,0))*cadangan3[[#This Row],[Qty B]],0)</f>
        <v>0</v>
      </c>
      <c r="T573" s="36">
        <f>IFERROR(cadangan3[[#This Row],[Harga Asli B]]-(cadangan3[[#This Row],[Harga Asli B]]*cadangan3[[#This Row],[Diskon]]),cadangan3[[#This Row],[Harga Asli B]])</f>
        <v>0</v>
      </c>
      <c r="U573" s="36">
        <f>IFERROR(INDEX(Katalog!$F$3:$F$12,MATCH(cadangan3[[#This Row],[ItemID B]],Katalog!$C$3:$C$12,0))*cadangan3[[#This Row],[Qty B]],0)</f>
        <v>0</v>
      </c>
      <c r="V573" s="36">
        <f>IFERROR(cadangan3[[#This Row],[Profit B]]-(cadangan3[[#This Row],[Profit B]]*cadangan3[[#This Row],[Diskon]]),U573)</f>
        <v>0</v>
      </c>
      <c r="X573" t="str">
        <f>IFERROR(INDEX(Katalog!$A$3:$A$12,MATCH(cadangan3[[#This Row],[ItemID C]],Katalog!$C$3:$C$12,0)),"-")</f>
        <v>-</v>
      </c>
      <c r="Y573" t="str">
        <f>IFERROR(INDEX(Katalog!$B$3:$B$12,MATCH(cadangan3[[#This Row],[ItemID C]],Katalog!$C$3:$C$12,0)),"-")</f>
        <v>-</v>
      </c>
      <c r="AB573" s="36">
        <f>IFERROR(INDEX(Katalog!$D$3:$D$12,MATCH(cadangan3[[#This Row],[ItemID C]],Katalog!$C$3:$C$12,0))*cadangan3[[#This Row],[Qty C]],0)</f>
        <v>0</v>
      </c>
      <c r="AC573" s="36">
        <f>IFERROR(INDEX(Katalog!$D$3:$D$12,MATCH(cadangan3[[#This Row],[Item C]],Katalog!$B$3:$B$12,0))*cadangan3[[#This Row],[Qty C]],0)</f>
        <v>0</v>
      </c>
      <c r="AD573" s="36">
        <f>IFERROR(cadangan3[[#This Row],[Harga Asli C]]-(cadangan3[[#This Row],[Harga Asli C]]*cadangan3[[#This Row],[Diskon]]),cadangan3[[#This Row],[Harga Asli C]])</f>
        <v>0</v>
      </c>
      <c r="AE573" s="36">
        <f>IFERROR(INDEX(Katalog!$F$3:$F$12,MATCH(cadangan3[[#This Row],[ItemID C]],Katalog!$C$3:$C$12,0))*cadangan3[[#This Row],[Qty C]],0)</f>
        <v>0</v>
      </c>
      <c r="AF573" s="36">
        <f>IFERROR(cadangan3[[#This Row],[Profit C]]-(cadangan3[[#This Row],[Profit C]]*cadangan3[[#This Row],[Diskon]]),cadangan3[[#This Row],[Profit C]])</f>
        <v>0</v>
      </c>
      <c r="AG573" s="21">
        <f>cadangan3[[#This Row],[Qty A]]+cadangan3[[#This Row],[Qty B]]+cadangan3[[#This Row],[Qty C]]</f>
        <v>1</v>
      </c>
      <c r="AH573" s="35">
        <f>cadangan3[[#This Row],[Harga A + Diskon]]+cadangan3[[#This Row],[Harga + Diskon B]]+cadangan3[[#This Row],[Harga + Diskon C]]</f>
        <v>135000</v>
      </c>
      <c r="AI573" s="35">
        <f>(cadangan3[[#This Row],[Profit A]]+cadangan3[[#This Row],[Profit B]]+cadangan3[[#This Row],[Profit C]])</f>
        <v>50000</v>
      </c>
      <c r="AJ573" s="35">
        <f>cadangan3[[#This Row],[Provit A + Diskon]]+cadangan3[[#This Row],[Provit B + Diskon]]+cadangan3[[#This Row],[Provit C + Diskon]]</f>
        <v>45000</v>
      </c>
      <c r="AK573" s="23" t="s">
        <v>30</v>
      </c>
      <c r="AL573" s="37">
        <f>IFERROR(INDEX('Kode Diskon'!$D$3:$D$9,MATCH(cadangan3[[#This Row],[Kode diskon]],'Kode Diskon'!$C$3:$C$9,0)),"-")</f>
        <v>0.1</v>
      </c>
      <c r="AM573" s="23" t="s">
        <v>29</v>
      </c>
      <c r="AN573" s="23" t="s">
        <v>10</v>
      </c>
      <c r="AO573" s="23" t="s">
        <v>76</v>
      </c>
      <c r="AP573" s="24">
        <v>45020</v>
      </c>
      <c r="AQ573" s="23" t="str">
        <f>TEXT(cadangan3[[#This Row],[Tanggal terjual]],"dddd")</f>
        <v>Tuesday</v>
      </c>
    </row>
    <row r="574" spans="1:43" x14ac:dyDescent="0.2">
      <c r="A574" s="20">
        <v>573</v>
      </c>
      <c r="B574" s="21" t="str">
        <f>_xlfn.CONCAT("ORD-",INDEX(Helper!$B$2:$B$5,MATCH(cadangan3[[#This Row],[Marketplace]],Helper!$A$2:$A$5,0)),TEXT(cadangan3[[#This Row],[No]],"0000"),"-",TEXT(cadangan3[[#This Row],[Tanggal terjual]],"dd/mm/yy"))</f>
        <v>ORD-SP0573-03/04/23</v>
      </c>
      <c r="C574" t="s">
        <v>59</v>
      </c>
      <c r="D574" t="str">
        <f>IFERROR(INDEX(Katalog!$A$3:$A$12,MATCH(cadangan3[[#This Row],[ItemID A]],Katalog!$C$3:$C$12,0)),"-")</f>
        <v>Pakaian Wanita</v>
      </c>
      <c r="E574" t="str">
        <f>IFERROR(INDEX(Katalog!$B$3:$B$12,MATCH(cadangan3[[#This Row],[ItemID A]],Katalog!$C$3:$C$12,0)),"-")</f>
        <v>Blouse</v>
      </c>
      <c r="F574">
        <v>2</v>
      </c>
      <c r="G574">
        <v>1</v>
      </c>
      <c r="H574" s="36">
        <f>IFERROR(INDEX(Katalog!$D$3:$D$12,MATCH(cadangan3[[#This Row],[ItemID A]],Katalog!$C$3:$C$12,0))*cadangan3[[#This Row],[Qty A]],0)</f>
        <v>300000</v>
      </c>
      <c r="I574" s="36">
        <f>IFERROR(INDEX(Katalog!$D$3:$D$12,MATCH(cadangan3[[#This Row],[Item A]],Katalog!$B$3:$B$12,0))*cadangan3[[#This Row],[Qty A]],0)</f>
        <v>300000</v>
      </c>
      <c r="J574" s="36">
        <f>IFERROR(cadangan3[[#This Row],[Harga Asli A]]-(cadangan3[[#This Row],[Harga Asli A]]*cadangan3[[#This Row],[Diskon]]),cadangan3[[#This Row],[Harga Asli A]])</f>
        <v>255000</v>
      </c>
      <c r="K574" s="36">
        <f>INDEX(Katalog!$F$3:$F$12,MATCH(cadangan3[[#This Row],[ItemID A]],Katalog!$C$3:$C$12,0))*cadangan3[[#This Row],[Qty A]]</f>
        <v>100000</v>
      </c>
      <c r="L574" s="36">
        <f>IFERROR(cadangan3[[#This Row],[Profit A]]-(cadangan3[[#This Row],[Profit A]]*cadangan3[[#This Row],[Diskon]]),K574)</f>
        <v>85000</v>
      </c>
      <c r="M574" t="s">
        <v>67</v>
      </c>
      <c r="N574" t="str">
        <f>IFERROR(INDEX(Katalog!$A$3:$A$12,MATCH(cadangan3[[#This Row],[ItemID B]],Katalog!$C$3:$C$12,0)),"-")</f>
        <v>Sepatu Wanita</v>
      </c>
      <c r="O574" t="str">
        <f>IFERROR(INDEX(Katalog!$B$3:$B$12,MATCH(cadangan3[[#This Row],[ItemID B]],Katalog!$C$3:$C$12,0)),"-")</f>
        <v>Flat Shoes</v>
      </c>
      <c r="P574">
        <v>1</v>
      </c>
      <c r="Q574">
        <v>5</v>
      </c>
      <c r="R574" s="36">
        <f>IFERROR(INDEX(Katalog!$D$3:$D$12,MATCH(cadangan3[[#This Row],[ItemID B]],Katalog!$C$3:$C$12,0))*cadangan3[[#This Row],[Qty B]],0)</f>
        <v>250000</v>
      </c>
      <c r="S574" s="36">
        <f>IFERROR(INDEX(Katalog!$D$3:$D$12,MATCH(cadangan3[[#This Row],[Item B]],Katalog!$B$3:$B$12,0))*cadangan3[[#This Row],[Qty B]],0)</f>
        <v>250000</v>
      </c>
      <c r="T574" s="36">
        <f>IFERROR(cadangan3[[#This Row],[Harga Asli B]]-(cadangan3[[#This Row],[Harga Asli B]]*cadangan3[[#This Row],[Diskon]]),cadangan3[[#This Row],[Harga Asli B]])</f>
        <v>212500</v>
      </c>
      <c r="U574" s="36">
        <f>IFERROR(INDEX(Katalog!$F$3:$F$12,MATCH(cadangan3[[#This Row],[ItemID B]],Katalog!$C$3:$C$12,0))*cadangan3[[#This Row],[Qty B]],0)</f>
        <v>100000</v>
      </c>
      <c r="V574" s="36">
        <f>IFERROR(cadangan3[[#This Row],[Profit B]]-(cadangan3[[#This Row],[Profit B]]*cadangan3[[#This Row],[Diskon]]),U574)</f>
        <v>85000</v>
      </c>
      <c r="W574" t="s">
        <v>65</v>
      </c>
      <c r="X574" t="str">
        <f>IFERROR(INDEX(Katalog!$A$3:$A$12,MATCH(cadangan3[[#This Row],[ItemID C]],Katalog!$C$3:$C$12,0)),"-")</f>
        <v>Sepatu Pria</v>
      </c>
      <c r="Y574" t="str">
        <f>IFERROR(INDEX(Katalog!$B$3:$B$12,MATCH(cadangan3[[#This Row],[ItemID C]],Katalog!$C$3:$C$12,0)),"-")</f>
        <v>Sneakers</v>
      </c>
      <c r="Z574">
        <v>1</v>
      </c>
      <c r="AA574">
        <v>4</v>
      </c>
      <c r="AB574" s="36">
        <f>IFERROR(INDEX(Katalog!$D$3:$D$12,MATCH(cadangan3[[#This Row],[ItemID C]],Katalog!$C$3:$C$12,0))*cadangan3[[#This Row],[Qty C]],0)</f>
        <v>500000</v>
      </c>
      <c r="AC574" s="36">
        <f>IFERROR(INDEX(Katalog!$D$3:$D$12,MATCH(cadangan3[[#This Row],[Item C]],Katalog!$B$3:$B$12,0))*cadangan3[[#This Row],[Qty C]],0)</f>
        <v>500000</v>
      </c>
      <c r="AD574" s="36">
        <f>IFERROR(cadangan3[[#This Row],[Harga Asli C]]-(cadangan3[[#This Row],[Harga Asli C]]*cadangan3[[#This Row],[Diskon]]),cadangan3[[#This Row],[Harga Asli C]])</f>
        <v>425000</v>
      </c>
      <c r="AE574" s="36">
        <f>IFERROR(INDEX(Katalog!$F$3:$F$12,MATCH(cadangan3[[#This Row],[ItemID C]],Katalog!$C$3:$C$12,0))*cadangan3[[#This Row],[Qty C]],0)</f>
        <v>200000</v>
      </c>
      <c r="AF574" s="36">
        <f>IFERROR(cadangan3[[#This Row],[Profit C]]-(cadangan3[[#This Row],[Profit C]]*cadangan3[[#This Row],[Diskon]]),cadangan3[[#This Row],[Profit C]])</f>
        <v>170000</v>
      </c>
      <c r="AG574" s="21">
        <f>cadangan3[[#This Row],[Qty A]]+cadangan3[[#This Row],[Qty B]]+cadangan3[[#This Row],[Qty C]]</f>
        <v>4</v>
      </c>
      <c r="AH574" s="35">
        <f>cadangan3[[#This Row],[Harga A + Diskon]]+cadangan3[[#This Row],[Harga + Diskon B]]+cadangan3[[#This Row],[Harga + Diskon C]]</f>
        <v>892500</v>
      </c>
      <c r="AI574" s="35">
        <f>(cadangan3[[#This Row],[Profit A]]+cadangan3[[#This Row],[Profit B]]+cadangan3[[#This Row],[Profit C]])</f>
        <v>400000</v>
      </c>
      <c r="AJ574" s="35">
        <f>cadangan3[[#This Row],[Provit A + Diskon]]+cadangan3[[#This Row],[Provit B + Diskon]]+cadangan3[[#This Row],[Provit C + Diskon]]</f>
        <v>340000</v>
      </c>
      <c r="AK574" s="23" t="s">
        <v>13</v>
      </c>
      <c r="AL574" s="37">
        <f>IFERROR(INDEX('Kode Diskon'!$D$3:$D$9,MATCH(cadangan3[[#This Row],[Kode diskon]],'Kode Diskon'!$C$3:$C$9,0)),"-")</f>
        <v>0.15</v>
      </c>
      <c r="AM574" s="23" t="s">
        <v>29</v>
      </c>
      <c r="AN574" s="23" t="s">
        <v>7</v>
      </c>
      <c r="AO574" s="23" t="s">
        <v>78</v>
      </c>
      <c r="AP574" s="24">
        <v>45019</v>
      </c>
      <c r="AQ574" s="23" t="str">
        <f>TEXT(cadangan3[[#This Row],[Tanggal terjual]],"dddd")</f>
        <v>Monday</v>
      </c>
    </row>
    <row r="575" spans="1:43" x14ac:dyDescent="0.2">
      <c r="A575" s="20">
        <v>574</v>
      </c>
      <c r="B575" s="21" t="str">
        <f>_xlfn.CONCAT("ORD-",INDEX(Helper!$B$2:$B$5,MATCH(cadangan3[[#This Row],[Marketplace]],Helper!$A$2:$A$5,0)),TEXT(cadangan3[[#This Row],[No]],"0000"),"-",TEXT(cadangan3[[#This Row],[Tanggal terjual]],"dd/mm/yy"))</f>
        <v>ORD-BB0574-03/04/23</v>
      </c>
      <c r="C575" t="s">
        <v>63</v>
      </c>
      <c r="D575" t="str">
        <f>IFERROR(INDEX(Katalog!$A$3:$A$12,MATCH(cadangan3[[#This Row],[ItemID A]],Katalog!$C$3:$C$12,0)),"-")</f>
        <v>Pakaian Pria</v>
      </c>
      <c r="E575" t="str">
        <f>IFERROR(INDEX(Katalog!$B$3:$B$12,MATCH(cadangan3[[#This Row],[ItemID A]],Katalog!$C$3:$C$12,0)),"-")</f>
        <v>Jaket Jeans</v>
      </c>
      <c r="F575">
        <v>2</v>
      </c>
      <c r="G575">
        <v>5</v>
      </c>
      <c r="H575" s="36">
        <f>IFERROR(INDEX(Katalog!$D$3:$D$12,MATCH(cadangan3[[#This Row],[ItemID A]],Katalog!$C$3:$C$12,0))*cadangan3[[#This Row],[Qty A]],0)</f>
        <v>800000</v>
      </c>
      <c r="I575" s="36">
        <f>IFERROR(INDEX(Katalog!$D$3:$D$12,MATCH(cadangan3[[#This Row],[Item A]],Katalog!$B$3:$B$12,0))*cadangan3[[#This Row],[Qty A]],0)</f>
        <v>800000</v>
      </c>
      <c r="J575" s="36">
        <f>IFERROR(cadangan3[[#This Row],[Harga Asli A]]-(cadangan3[[#This Row],[Harga Asli A]]*cadangan3[[#This Row],[Diskon]]),cadangan3[[#This Row],[Harga Asli A]])</f>
        <v>680000</v>
      </c>
      <c r="K575" s="36">
        <f>INDEX(Katalog!$F$3:$F$12,MATCH(cadangan3[[#This Row],[ItemID A]],Katalog!$C$3:$C$12,0))*cadangan3[[#This Row],[Qty A]]</f>
        <v>300000</v>
      </c>
      <c r="L575" s="36">
        <f>IFERROR(cadangan3[[#This Row],[Profit A]]-(cadangan3[[#This Row],[Profit A]]*cadangan3[[#This Row],[Diskon]]),K575)</f>
        <v>255000</v>
      </c>
      <c r="N575" t="str">
        <f>IFERROR(INDEX(Katalog!$A$3:$A$12,MATCH(cadangan3[[#This Row],[ItemID B]],Katalog!$C$3:$C$12,0)),"-")</f>
        <v>-</v>
      </c>
      <c r="O575" t="str">
        <f>IFERROR(INDEX(Katalog!$B$3:$B$12,MATCH(cadangan3[[#This Row],[ItemID B]],Katalog!$C$3:$C$12,0)),"-")</f>
        <v>-</v>
      </c>
      <c r="R575" s="36">
        <f>IFERROR(INDEX(Katalog!$D$3:$D$12,MATCH(cadangan3[[#This Row],[ItemID B]],Katalog!$C$3:$C$12,0))*cadangan3[[#This Row],[Qty B]],0)</f>
        <v>0</v>
      </c>
      <c r="S575" s="36">
        <f>IFERROR(INDEX(Katalog!$D$3:$D$12,MATCH(cadangan3[[#This Row],[Item B]],Katalog!$B$3:$B$12,0))*cadangan3[[#This Row],[Qty B]],0)</f>
        <v>0</v>
      </c>
      <c r="T575" s="36">
        <f>IFERROR(cadangan3[[#This Row],[Harga Asli B]]-(cadangan3[[#This Row],[Harga Asli B]]*cadangan3[[#This Row],[Diskon]]),cadangan3[[#This Row],[Harga Asli B]])</f>
        <v>0</v>
      </c>
      <c r="U575" s="36">
        <f>IFERROR(INDEX(Katalog!$F$3:$F$12,MATCH(cadangan3[[#This Row],[ItemID B]],Katalog!$C$3:$C$12,0))*cadangan3[[#This Row],[Qty B]],0)</f>
        <v>0</v>
      </c>
      <c r="V575" s="36">
        <f>IFERROR(cadangan3[[#This Row],[Profit B]]-(cadangan3[[#This Row],[Profit B]]*cadangan3[[#This Row],[Diskon]]),U575)</f>
        <v>0</v>
      </c>
      <c r="X575" t="str">
        <f>IFERROR(INDEX(Katalog!$A$3:$A$12,MATCH(cadangan3[[#This Row],[ItemID C]],Katalog!$C$3:$C$12,0)),"-")</f>
        <v>-</v>
      </c>
      <c r="Y575" t="str">
        <f>IFERROR(INDEX(Katalog!$B$3:$B$12,MATCH(cadangan3[[#This Row],[ItemID C]],Katalog!$C$3:$C$12,0)),"-")</f>
        <v>-</v>
      </c>
      <c r="AB575" s="36">
        <f>IFERROR(INDEX(Katalog!$D$3:$D$12,MATCH(cadangan3[[#This Row],[ItemID C]],Katalog!$C$3:$C$12,0))*cadangan3[[#This Row],[Qty C]],0)</f>
        <v>0</v>
      </c>
      <c r="AC575" s="36">
        <f>IFERROR(INDEX(Katalog!$D$3:$D$12,MATCH(cadangan3[[#This Row],[Item C]],Katalog!$B$3:$B$12,0))*cadangan3[[#This Row],[Qty C]],0)</f>
        <v>0</v>
      </c>
      <c r="AD575" s="36">
        <f>IFERROR(cadangan3[[#This Row],[Harga Asli C]]-(cadangan3[[#This Row],[Harga Asli C]]*cadangan3[[#This Row],[Diskon]]),cadangan3[[#This Row],[Harga Asli C]])</f>
        <v>0</v>
      </c>
      <c r="AE575" s="36">
        <f>IFERROR(INDEX(Katalog!$F$3:$F$12,MATCH(cadangan3[[#This Row],[ItemID C]],Katalog!$C$3:$C$12,0))*cadangan3[[#This Row],[Qty C]],0)</f>
        <v>0</v>
      </c>
      <c r="AF575" s="36">
        <f>IFERROR(cadangan3[[#This Row],[Profit C]]-(cadangan3[[#This Row],[Profit C]]*cadangan3[[#This Row],[Diskon]]),cadangan3[[#This Row],[Profit C]])</f>
        <v>0</v>
      </c>
      <c r="AG575" s="21">
        <f>cadangan3[[#This Row],[Qty A]]+cadangan3[[#This Row],[Qty B]]+cadangan3[[#This Row],[Qty C]]</f>
        <v>2</v>
      </c>
      <c r="AH575" s="35">
        <f>cadangan3[[#This Row],[Harga A + Diskon]]+cadangan3[[#This Row],[Harga + Diskon B]]+cadangan3[[#This Row],[Harga + Diskon C]]</f>
        <v>680000</v>
      </c>
      <c r="AI575" s="35">
        <f>(cadangan3[[#This Row],[Profit A]]+cadangan3[[#This Row],[Profit B]]+cadangan3[[#This Row],[Profit C]])</f>
        <v>300000</v>
      </c>
      <c r="AJ575" s="35">
        <f>cadangan3[[#This Row],[Provit A + Diskon]]+cadangan3[[#This Row],[Provit B + Diskon]]+cadangan3[[#This Row],[Provit C + Diskon]]</f>
        <v>255000</v>
      </c>
      <c r="AK575" s="23" t="s">
        <v>28</v>
      </c>
      <c r="AL575" s="37">
        <f>IFERROR(INDEX('Kode Diskon'!$D$3:$D$9,MATCH(cadangan3[[#This Row],[Kode diskon]],'Kode Diskon'!$C$3:$C$9,0)),"-")</f>
        <v>0.15</v>
      </c>
      <c r="AM575" s="23" t="s">
        <v>29</v>
      </c>
      <c r="AN575" s="23" t="s">
        <v>14</v>
      </c>
      <c r="AO575" s="23" t="s">
        <v>77</v>
      </c>
      <c r="AP575" s="24">
        <v>45019</v>
      </c>
      <c r="AQ575" s="23" t="str">
        <f>TEXT(cadangan3[[#This Row],[Tanggal terjual]],"dddd")</f>
        <v>Monday</v>
      </c>
    </row>
    <row r="576" spans="1:43" x14ac:dyDescent="0.2">
      <c r="A576" s="20">
        <v>575</v>
      </c>
      <c r="B576" s="21" t="str">
        <f>_xlfn.CONCAT("ORD-",INDEX(Helper!$B$2:$B$5,MATCH(cadangan3[[#This Row],[Marketplace]],Helper!$A$2:$A$5,0)),TEXT(cadangan3[[#This Row],[No]],"0000"),"-",TEXT(cadangan3[[#This Row],[Tanggal terjual]],"dd/mm/yy"))</f>
        <v>ORD-BB0575-04/04/23</v>
      </c>
      <c r="C576" t="s">
        <v>58</v>
      </c>
      <c r="D576" t="str">
        <f>IFERROR(INDEX(Katalog!$A$3:$A$12,MATCH(cadangan3[[#This Row],[ItemID A]],Katalog!$C$3:$C$12,0)),"-")</f>
        <v>Pakaian Wanita</v>
      </c>
      <c r="E576" t="str">
        <f>IFERROR(INDEX(Katalog!$B$3:$B$12,MATCH(cadangan3[[#This Row],[ItemID A]],Katalog!$C$3:$C$12,0)),"-")</f>
        <v>Dress</v>
      </c>
      <c r="F576">
        <v>1</v>
      </c>
      <c r="G576">
        <v>2</v>
      </c>
      <c r="H576" s="36">
        <f>IFERROR(INDEX(Katalog!$D$3:$D$12,MATCH(cadangan3[[#This Row],[ItemID A]],Katalog!$C$3:$C$12,0))*cadangan3[[#This Row],[Qty A]],0)</f>
        <v>300000</v>
      </c>
      <c r="I576" s="36">
        <f>IFERROR(INDEX(Katalog!$D$3:$D$12,MATCH(cadangan3[[#This Row],[Item A]],Katalog!$B$3:$B$12,0))*cadangan3[[#This Row],[Qty A]],0)</f>
        <v>300000</v>
      </c>
      <c r="J576" s="36">
        <f>IFERROR(cadangan3[[#This Row],[Harga Asli A]]-(cadangan3[[#This Row],[Harga Asli A]]*cadangan3[[#This Row],[Diskon]]),cadangan3[[#This Row],[Harga Asli A]])</f>
        <v>255000</v>
      </c>
      <c r="K576" s="36">
        <f>INDEX(Katalog!$F$3:$F$12,MATCH(cadangan3[[#This Row],[ItemID A]],Katalog!$C$3:$C$12,0))*cadangan3[[#This Row],[Qty A]]</f>
        <v>100000</v>
      </c>
      <c r="L576" s="36">
        <f>IFERROR(cadangan3[[#This Row],[Profit A]]-(cadangan3[[#This Row],[Profit A]]*cadangan3[[#This Row],[Diskon]]),K576)</f>
        <v>85000</v>
      </c>
      <c r="N576" t="str">
        <f>IFERROR(INDEX(Katalog!$A$3:$A$12,MATCH(cadangan3[[#This Row],[ItemID B]],Katalog!$C$3:$C$12,0)),"-")</f>
        <v>-</v>
      </c>
      <c r="O576" t="str">
        <f>IFERROR(INDEX(Katalog!$B$3:$B$12,MATCH(cadangan3[[#This Row],[ItemID B]],Katalog!$C$3:$C$12,0)),"-")</f>
        <v>-</v>
      </c>
      <c r="R576" s="36">
        <f>IFERROR(INDEX(Katalog!$D$3:$D$12,MATCH(cadangan3[[#This Row],[ItemID B]],Katalog!$C$3:$C$12,0))*cadangan3[[#This Row],[Qty B]],0)</f>
        <v>0</v>
      </c>
      <c r="S576" s="36">
        <f>IFERROR(INDEX(Katalog!$D$3:$D$12,MATCH(cadangan3[[#This Row],[Item B]],Katalog!$B$3:$B$12,0))*cadangan3[[#This Row],[Qty B]],0)</f>
        <v>0</v>
      </c>
      <c r="T576" s="36">
        <f>IFERROR(cadangan3[[#This Row],[Harga Asli B]]-(cadangan3[[#This Row],[Harga Asli B]]*cadangan3[[#This Row],[Diskon]]),cadangan3[[#This Row],[Harga Asli B]])</f>
        <v>0</v>
      </c>
      <c r="U576" s="36">
        <f>IFERROR(INDEX(Katalog!$F$3:$F$12,MATCH(cadangan3[[#This Row],[ItemID B]],Katalog!$C$3:$C$12,0))*cadangan3[[#This Row],[Qty B]],0)</f>
        <v>0</v>
      </c>
      <c r="V576" s="36">
        <f>IFERROR(cadangan3[[#This Row],[Profit B]]-(cadangan3[[#This Row],[Profit B]]*cadangan3[[#This Row],[Diskon]]),U576)</f>
        <v>0</v>
      </c>
      <c r="X576" t="str">
        <f>IFERROR(INDEX(Katalog!$A$3:$A$12,MATCH(cadangan3[[#This Row],[ItemID C]],Katalog!$C$3:$C$12,0)),"-")</f>
        <v>-</v>
      </c>
      <c r="Y576" t="str">
        <f>IFERROR(INDEX(Katalog!$B$3:$B$12,MATCH(cadangan3[[#This Row],[ItemID C]],Katalog!$C$3:$C$12,0)),"-")</f>
        <v>-</v>
      </c>
      <c r="AB576" s="36">
        <f>IFERROR(INDEX(Katalog!$D$3:$D$12,MATCH(cadangan3[[#This Row],[ItemID C]],Katalog!$C$3:$C$12,0))*cadangan3[[#This Row],[Qty C]],0)</f>
        <v>0</v>
      </c>
      <c r="AC576" s="36">
        <f>IFERROR(INDEX(Katalog!$D$3:$D$12,MATCH(cadangan3[[#This Row],[Item C]],Katalog!$B$3:$B$12,0))*cadangan3[[#This Row],[Qty C]],0)</f>
        <v>0</v>
      </c>
      <c r="AD576" s="36">
        <f>IFERROR(cadangan3[[#This Row],[Harga Asli C]]-(cadangan3[[#This Row],[Harga Asli C]]*cadangan3[[#This Row],[Diskon]]),cadangan3[[#This Row],[Harga Asli C]])</f>
        <v>0</v>
      </c>
      <c r="AE576" s="36">
        <f>IFERROR(INDEX(Katalog!$F$3:$F$12,MATCH(cadangan3[[#This Row],[ItemID C]],Katalog!$C$3:$C$12,0))*cadangan3[[#This Row],[Qty C]],0)</f>
        <v>0</v>
      </c>
      <c r="AF576" s="36">
        <f>IFERROR(cadangan3[[#This Row],[Profit C]]-(cadangan3[[#This Row],[Profit C]]*cadangan3[[#This Row],[Diskon]]),cadangan3[[#This Row],[Profit C]])</f>
        <v>0</v>
      </c>
      <c r="AG576" s="21">
        <f>cadangan3[[#This Row],[Qty A]]+cadangan3[[#This Row],[Qty B]]+cadangan3[[#This Row],[Qty C]]</f>
        <v>1</v>
      </c>
      <c r="AH576" s="35">
        <f>cadangan3[[#This Row],[Harga A + Diskon]]+cadangan3[[#This Row],[Harga + Diskon B]]+cadangan3[[#This Row],[Harga + Diskon C]]</f>
        <v>255000</v>
      </c>
      <c r="AI576" s="35">
        <f>(cadangan3[[#This Row],[Profit A]]+cadangan3[[#This Row],[Profit B]]+cadangan3[[#This Row],[Profit C]])</f>
        <v>100000</v>
      </c>
      <c r="AJ576" s="35">
        <f>cadangan3[[#This Row],[Provit A + Diskon]]+cadangan3[[#This Row],[Provit B + Diskon]]+cadangan3[[#This Row],[Provit C + Diskon]]</f>
        <v>85000</v>
      </c>
      <c r="AK576" s="23" t="s">
        <v>28</v>
      </c>
      <c r="AL576" s="37">
        <f>IFERROR(INDEX('Kode Diskon'!$D$3:$D$9,MATCH(cadangan3[[#This Row],[Kode diskon]],'Kode Diskon'!$C$3:$C$9,0)),"-")</f>
        <v>0.15</v>
      </c>
      <c r="AM576" s="23" t="s">
        <v>29</v>
      </c>
      <c r="AN576" s="23" t="s">
        <v>14</v>
      </c>
      <c r="AO576" s="23" t="s">
        <v>80</v>
      </c>
      <c r="AP576" s="24">
        <v>45020</v>
      </c>
      <c r="AQ576" s="23" t="str">
        <f>TEXT(cadangan3[[#This Row],[Tanggal terjual]],"dddd")</f>
        <v>Tuesday</v>
      </c>
    </row>
    <row r="577" spans="1:43" x14ac:dyDescent="0.2">
      <c r="A577" s="20">
        <v>576</v>
      </c>
      <c r="B577" s="21" t="str">
        <f>_xlfn.CONCAT("ORD-",INDEX(Helper!$B$2:$B$5,MATCH(cadangan3[[#This Row],[Marketplace]],Helper!$A$2:$A$5,0)),TEXT(cadangan3[[#This Row],[No]],"0000"),"-",TEXT(cadangan3[[#This Row],[Tanggal terjual]],"dd/mm/yy"))</f>
        <v>ORD-BL0576-16/04/23</v>
      </c>
      <c r="C577" t="s">
        <v>62</v>
      </c>
      <c r="D577" t="str">
        <f>IFERROR(INDEX(Katalog!$A$3:$A$12,MATCH(cadangan3[[#This Row],[ItemID A]],Katalog!$C$3:$C$12,0)),"-")</f>
        <v>Pakaian Pria</v>
      </c>
      <c r="E577" t="str">
        <f>IFERROR(INDEX(Katalog!$B$3:$B$12,MATCH(cadangan3[[#This Row],[ItemID A]],Katalog!$C$3:$C$12,0)),"-")</f>
        <v>Celana Pendek</v>
      </c>
      <c r="F577">
        <v>4</v>
      </c>
      <c r="G577">
        <v>1</v>
      </c>
      <c r="H577" s="36">
        <f>IFERROR(INDEX(Katalog!$D$3:$D$12,MATCH(cadangan3[[#This Row],[ItemID A]],Katalog!$C$3:$C$12,0))*cadangan3[[#This Row],[Qty A]],0)</f>
        <v>720000</v>
      </c>
      <c r="I577" s="36">
        <f>IFERROR(INDEX(Katalog!$D$3:$D$12,MATCH(cadangan3[[#This Row],[Item A]],Katalog!$B$3:$B$12,0))*cadangan3[[#This Row],[Qty A]],0)</f>
        <v>720000</v>
      </c>
      <c r="J577" s="36">
        <f>IFERROR(cadangan3[[#This Row],[Harga Asli A]]-(cadangan3[[#This Row],[Harga Asli A]]*cadangan3[[#This Row],[Diskon]]),cadangan3[[#This Row],[Harga Asli A]])</f>
        <v>612000</v>
      </c>
      <c r="K577" s="36">
        <f>INDEX(Katalog!$F$3:$F$12,MATCH(cadangan3[[#This Row],[ItemID A]],Katalog!$C$3:$C$12,0))*cadangan3[[#This Row],[Qty A]]</f>
        <v>280000</v>
      </c>
      <c r="L577" s="36">
        <f>IFERROR(cadangan3[[#This Row],[Profit A]]-(cadangan3[[#This Row],[Profit A]]*cadangan3[[#This Row],[Diskon]]),K577)</f>
        <v>238000</v>
      </c>
      <c r="M577" t="s">
        <v>58</v>
      </c>
      <c r="N577" t="str">
        <f>IFERROR(INDEX(Katalog!$A$3:$A$12,MATCH(cadangan3[[#This Row],[ItemID B]],Katalog!$C$3:$C$12,0)),"-")</f>
        <v>Pakaian Wanita</v>
      </c>
      <c r="O577" t="str">
        <f>IFERROR(INDEX(Katalog!$B$3:$B$12,MATCH(cadangan3[[#This Row],[ItemID B]],Katalog!$C$3:$C$12,0)),"-")</f>
        <v>Dress</v>
      </c>
      <c r="P577">
        <v>2</v>
      </c>
      <c r="Q577">
        <v>5</v>
      </c>
      <c r="R577" s="36">
        <f>IFERROR(INDEX(Katalog!$D$3:$D$12,MATCH(cadangan3[[#This Row],[ItemID B]],Katalog!$C$3:$C$12,0))*cadangan3[[#This Row],[Qty B]],0)</f>
        <v>600000</v>
      </c>
      <c r="S577" s="36">
        <f>IFERROR(INDEX(Katalog!$D$3:$D$12,MATCH(cadangan3[[#This Row],[Item B]],Katalog!$B$3:$B$12,0))*cadangan3[[#This Row],[Qty B]],0)</f>
        <v>600000</v>
      </c>
      <c r="T577" s="36">
        <f>IFERROR(cadangan3[[#This Row],[Harga Asli B]]-(cadangan3[[#This Row],[Harga Asli B]]*cadangan3[[#This Row],[Diskon]]),cadangan3[[#This Row],[Harga Asli B]])</f>
        <v>510000</v>
      </c>
      <c r="U577" s="36">
        <f>IFERROR(INDEX(Katalog!$F$3:$F$12,MATCH(cadangan3[[#This Row],[ItemID B]],Katalog!$C$3:$C$12,0))*cadangan3[[#This Row],[Qty B]],0)</f>
        <v>200000</v>
      </c>
      <c r="V577" s="36">
        <f>IFERROR(cadangan3[[#This Row],[Profit B]]-(cadangan3[[#This Row],[Profit B]]*cadangan3[[#This Row],[Diskon]]),U577)</f>
        <v>170000</v>
      </c>
      <c r="X577" t="str">
        <f>IFERROR(INDEX(Katalog!$A$3:$A$12,MATCH(cadangan3[[#This Row],[ItemID C]],Katalog!$C$3:$C$12,0)),"-")</f>
        <v>-</v>
      </c>
      <c r="Y577" t="str">
        <f>IFERROR(INDEX(Katalog!$B$3:$B$12,MATCH(cadangan3[[#This Row],[ItemID C]],Katalog!$C$3:$C$12,0)),"-")</f>
        <v>-</v>
      </c>
      <c r="AB577" s="36">
        <f>IFERROR(INDEX(Katalog!$D$3:$D$12,MATCH(cadangan3[[#This Row],[ItemID C]],Katalog!$C$3:$C$12,0))*cadangan3[[#This Row],[Qty C]],0)</f>
        <v>0</v>
      </c>
      <c r="AC577" s="36">
        <f>IFERROR(INDEX(Katalog!$D$3:$D$12,MATCH(cadangan3[[#This Row],[Item C]],Katalog!$B$3:$B$12,0))*cadangan3[[#This Row],[Qty C]],0)</f>
        <v>0</v>
      </c>
      <c r="AD577" s="36">
        <f>IFERROR(cadangan3[[#This Row],[Harga Asli C]]-(cadangan3[[#This Row],[Harga Asli C]]*cadangan3[[#This Row],[Diskon]]),cadangan3[[#This Row],[Harga Asli C]])</f>
        <v>0</v>
      </c>
      <c r="AE577" s="36">
        <f>IFERROR(INDEX(Katalog!$F$3:$F$12,MATCH(cadangan3[[#This Row],[ItemID C]],Katalog!$C$3:$C$12,0))*cadangan3[[#This Row],[Qty C]],0)</f>
        <v>0</v>
      </c>
      <c r="AF577" s="36">
        <f>IFERROR(cadangan3[[#This Row],[Profit C]]-(cadangan3[[#This Row],[Profit C]]*cadangan3[[#This Row],[Diskon]]),cadangan3[[#This Row],[Profit C]])</f>
        <v>0</v>
      </c>
      <c r="AG577" s="21">
        <f>cadangan3[[#This Row],[Qty A]]+cadangan3[[#This Row],[Qty B]]+cadangan3[[#This Row],[Qty C]]</f>
        <v>6</v>
      </c>
      <c r="AH577" s="35">
        <f>cadangan3[[#This Row],[Harga A + Diskon]]+cadangan3[[#This Row],[Harga + Diskon B]]+cadangan3[[#This Row],[Harga + Diskon C]]</f>
        <v>1122000</v>
      </c>
      <c r="AI577" s="35">
        <f>(cadangan3[[#This Row],[Profit A]]+cadangan3[[#This Row],[Profit B]]+cadangan3[[#This Row],[Profit C]])</f>
        <v>480000</v>
      </c>
      <c r="AJ577" s="35">
        <f>cadangan3[[#This Row],[Provit A + Diskon]]+cadangan3[[#This Row],[Provit B + Diskon]]+cadangan3[[#This Row],[Provit C + Diskon]]</f>
        <v>408000</v>
      </c>
      <c r="AK577" s="23" t="s">
        <v>32</v>
      </c>
      <c r="AL577" s="37">
        <f>IFERROR(INDEX('Kode Diskon'!$D$3:$D$9,MATCH(cadangan3[[#This Row],[Kode diskon]],'Kode Diskon'!$C$3:$C$9,0)),"-")</f>
        <v>0.15</v>
      </c>
      <c r="AM577" s="23" t="s">
        <v>9</v>
      </c>
      <c r="AN577" s="23" t="s">
        <v>12</v>
      </c>
      <c r="AO577" s="23" t="s">
        <v>75</v>
      </c>
      <c r="AP577" s="24">
        <v>45032</v>
      </c>
      <c r="AQ577" s="23" t="str">
        <f>TEXT(cadangan3[[#This Row],[Tanggal terjual]],"dddd")</f>
        <v>Sunday</v>
      </c>
    </row>
    <row r="578" spans="1:43" x14ac:dyDescent="0.2">
      <c r="A578" s="20">
        <v>577</v>
      </c>
      <c r="B578" s="21" t="str">
        <f>_xlfn.CONCAT("ORD-",INDEX(Helper!$B$2:$B$5,MATCH(cadangan3[[#This Row],[Marketplace]],Helper!$A$2:$A$5,0)),TEXT(cadangan3[[#This Row],[No]],"0000"),"-",TEXT(cadangan3[[#This Row],[Tanggal terjual]],"dd/mm/yy"))</f>
        <v>ORD-SP0577-06/04/23</v>
      </c>
      <c r="C578" t="s">
        <v>58</v>
      </c>
      <c r="D578" t="str">
        <f>IFERROR(INDEX(Katalog!$A$3:$A$12,MATCH(cadangan3[[#This Row],[ItemID A]],Katalog!$C$3:$C$12,0)),"-")</f>
        <v>Pakaian Wanita</v>
      </c>
      <c r="E578" t="str">
        <f>IFERROR(INDEX(Katalog!$B$3:$B$12,MATCH(cadangan3[[#This Row],[ItemID A]],Katalog!$C$3:$C$12,0)),"-")</f>
        <v>Dress</v>
      </c>
      <c r="F578">
        <v>1</v>
      </c>
      <c r="G578">
        <v>1</v>
      </c>
      <c r="H578" s="36">
        <f>IFERROR(INDEX(Katalog!$D$3:$D$12,MATCH(cadangan3[[#This Row],[ItemID A]],Katalog!$C$3:$C$12,0))*cadangan3[[#This Row],[Qty A]],0)</f>
        <v>300000</v>
      </c>
      <c r="I578" s="36">
        <f>IFERROR(INDEX(Katalog!$D$3:$D$12,MATCH(cadangan3[[#This Row],[Item A]],Katalog!$B$3:$B$12,0))*cadangan3[[#This Row],[Qty A]],0)</f>
        <v>300000</v>
      </c>
      <c r="J578" s="36">
        <f>IFERROR(cadangan3[[#This Row],[Harga Asli A]]-(cadangan3[[#This Row],[Harga Asli A]]*cadangan3[[#This Row],[Diskon]]),cadangan3[[#This Row],[Harga Asli A]])</f>
        <v>255000</v>
      </c>
      <c r="K578" s="36">
        <f>INDEX(Katalog!$F$3:$F$12,MATCH(cadangan3[[#This Row],[ItemID A]],Katalog!$C$3:$C$12,0))*cadangan3[[#This Row],[Qty A]]</f>
        <v>100000</v>
      </c>
      <c r="L578" s="36">
        <f>IFERROR(cadangan3[[#This Row],[Profit A]]-(cadangan3[[#This Row],[Profit A]]*cadangan3[[#This Row],[Diskon]]),K578)</f>
        <v>85000</v>
      </c>
      <c r="M578" t="s">
        <v>64</v>
      </c>
      <c r="N578" t="str">
        <f>IFERROR(INDEX(Katalog!$A$3:$A$12,MATCH(cadangan3[[#This Row],[ItemID B]],Katalog!$C$3:$C$12,0)),"-")</f>
        <v>Pakaian Unisex</v>
      </c>
      <c r="O578" t="str">
        <f>IFERROR(INDEX(Katalog!$B$3:$B$12,MATCH(cadangan3[[#This Row],[ItemID B]],Katalog!$C$3:$C$12,0)),"-")</f>
        <v>Jaket Hoodie</v>
      </c>
      <c r="P578">
        <v>3</v>
      </c>
      <c r="Q578">
        <v>1</v>
      </c>
      <c r="R578" s="36">
        <f>IFERROR(INDEX(Katalog!$D$3:$D$12,MATCH(cadangan3[[#This Row],[ItemID B]],Katalog!$C$3:$C$12,0))*cadangan3[[#This Row],[Qty B]],0)</f>
        <v>1050000</v>
      </c>
      <c r="S578" s="36">
        <f>IFERROR(INDEX(Katalog!$D$3:$D$12,MATCH(cadangan3[[#This Row],[Item B]],Katalog!$B$3:$B$12,0))*cadangan3[[#This Row],[Qty B]],0)</f>
        <v>1050000</v>
      </c>
      <c r="T578" s="36">
        <f>IFERROR(cadangan3[[#This Row],[Harga Asli B]]-(cadangan3[[#This Row],[Harga Asli B]]*cadangan3[[#This Row],[Diskon]]),cadangan3[[#This Row],[Harga Asli B]])</f>
        <v>892500</v>
      </c>
      <c r="U578" s="36">
        <f>IFERROR(INDEX(Katalog!$F$3:$F$12,MATCH(cadangan3[[#This Row],[ItemID B]],Katalog!$C$3:$C$12,0))*cadangan3[[#This Row],[Qty B]],0)</f>
        <v>390000</v>
      </c>
      <c r="V578" s="36">
        <f>IFERROR(cadangan3[[#This Row],[Profit B]]-(cadangan3[[#This Row],[Profit B]]*cadangan3[[#This Row],[Diskon]]),U578)</f>
        <v>331500</v>
      </c>
      <c r="W578" t="s">
        <v>58</v>
      </c>
      <c r="X578" t="str">
        <f>IFERROR(INDEX(Katalog!$A$3:$A$12,MATCH(cadangan3[[#This Row],[ItemID C]],Katalog!$C$3:$C$12,0)),"-")</f>
        <v>Pakaian Wanita</v>
      </c>
      <c r="Y578" t="str">
        <f>IFERROR(INDEX(Katalog!$B$3:$B$12,MATCH(cadangan3[[#This Row],[ItemID C]],Katalog!$C$3:$C$12,0)),"-")</f>
        <v>Dress</v>
      </c>
      <c r="Z578">
        <v>1</v>
      </c>
      <c r="AA578">
        <v>4</v>
      </c>
      <c r="AB578" s="36">
        <f>IFERROR(INDEX(Katalog!$D$3:$D$12,MATCH(cadangan3[[#This Row],[ItemID C]],Katalog!$C$3:$C$12,0))*cadangan3[[#This Row],[Qty C]],0)</f>
        <v>300000</v>
      </c>
      <c r="AC578" s="36">
        <f>IFERROR(INDEX(Katalog!$D$3:$D$12,MATCH(cadangan3[[#This Row],[Item C]],Katalog!$B$3:$B$12,0))*cadangan3[[#This Row],[Qty C]],0)</f>
        <v>300000</v>
      </c>
      <c r="AD578" s="36">
        <f>IFERROR(cadangan3[[#This Row],[Harga Asli C]]-(cadangan3[[#This Row],[Harga Asli C]]*cadangan3[[#This Row],[Diskon]]),cadangan3[[#This Row],[Harga Asli C]])</f>
        <v>255000</v>
      </c>
      <c r="AE578" s="36">
        <f>IFERROR(INDEX(Katalog!$F$3:$F$12,MATCH(cadangan3[[#This Row],[ItemID C]],Katalog!$C$3:$C$12,0))*cadangan3[[#This Row],[Qty C]],0)</f>
        <v>100000</v>
      </c>
      <c r="AF578" s="36">
        <f>IFERROR(cadangan3[[#This Row],[Profit C]]-(cadangan3[[#This Row],[Profit C]]*cadangan3[[#This Row],[Diskon]]),cadangan3[[#This Row],[Profit C]])</f>
        <v>85000</v>
      </c>
      <c r="AG578" s="21">
        <f>cadangan3[[#This Row],[Qty A]]+cadangan3[[#This Row],[Qty B]]+cadangan3[[#This Row],[Qty C]]</f>
        <v>5</v>
      </c>
      <c r="AH578" s="35">
        <f>cadangan3[[#This Row],[Harga A + Diskon]]+cadangan3[[#This Row],[Harga + Diskon B]]+cadangan3[[#This Row],[Harga + Diskon C]]</f>
        <v>1402500</v>
      </c>
      <c r="AI578" s="35">
        <f>(cadangan3[[#This Row],[Profit A]]+cadangan3[[#This Row],[Profit B]]+cadangan3[[#This Row],[Profit C]])</f>
        <v>590000</v>
      </c>
      <c r="AJ578" s="35">
        <f>cadangan3[[#This Row],[Provit A + Diskon]]+cadangan3[[#This Row],[Provit B + Diskon]]+cadangan3[[#This Row],[Provit C + Diskon]]</f>
        <v>501500</v>
      </c>
      <c r="AK578" s="23" t="s">
        <v>13</v>
      </c>
      <c r="AL578" s="37">
        <f>IFERROR(INDEX('Kode Diskon'!$D$3:$D$9,MATCH(cadangan3[[#This Row],[Kode diskon]],'Kode Diskon'!$C$3:$C$9,0)),"-")</f>
        <v>0.15</v>
      </c>
      <c r="AM578" s="23" t="s">
        <v>29</v>
      </c>
      <c r="AN578" s="23" t="s">
        <v>7</v>
      </c>
      <c r="AO578" s="23" t="s">
        <v>75</v>
      </c>
      <c r="AP578" s="24">
        <v>45022</v>
      </c>
      <c r="AQ578" s="23" t="str">
        <f>TEXT(cadangan3[[#This Row],[Tanggal terjual]],"dddd")</f>
        <v>Thursday</v>
      </c>
    </row>
    <row r="579" spans="1:43" x14ac:dyDescent="0.2">
      <c r="A579" s="20">
        <v>578</v>
      </c>
      <c r="B579" s="21" t="str">
        <f>_xlfn.CONCAT("ORD-",INDEX(Helper!$B$2:$B$5,MATCH(cadangan3[[#This Row],[Marketplace]],Helper!$A$2:$A$5,0)),TEXT(cadangan3[[#This Row],[No]],"0000"),"-",TEXT(cadangan3[[#This Row],[Tanggal terjual]],"dd/mm/yy"))</f>
        <v>ORD-BB0578-13/04/23</v>
      </c>
      <c r="C579" t="s">
        <v>63</v>
      </c>
      <c r="D579" t="str">
        <f>IFERROR(INDEX(Katalog!$A$3:$A$12,MATCH(cadangan3[[#This Row],[ItemID A]],Katalog!$C$3:$C$12,0)),"-")</f>
        <v>Pakaian Pria</v>
      </c>
      <c r="E579" t="str">
        <f>IFERROR(INDEX(Katalog!$B$3:$B$12,MATCH(cadangan3[[#This Row],[ItemID A]],Katalog!$C$3:$C$12,0)),"-")</f>
        <v>Jaket Jeans</v>
      </c>
      <c r="F579">
        <v>2</v>
      </c>
      <c r="G579">
        <v>2</v>
      </c>
      <c r="H579" s="36">
        <f>IFERROR(INDEX(Katalog!$D$3:$D$12,MATCH(cadangan3[[#This Row],[ItemID A]],Katalog!$C$3:$C$12,0))*cadangan3[[#This Row],[Qty A]],0)</f>
        <v>800000</v>
      </c>
      <c r="I579" s="36">
        <f>IFERROR(INDEX(Katalog!$D$3:$D$12,MATCH(cadangan3[[#This Row],[Item A]],Katalog!$B$3:$B$12,0))*cadangan3[[#This Row],[Qty A]],0)</f>
        <v>800000</v>
      </c>
      <c r="J579" s="36">
        <f>IFERROR(cadangan3[[#This Row],[Harga Asli A]]-(cadangan3[[#This Row],[Harga Asli A]]*cadangan3[[#This Row],[Diskon]]),cadangan3[[#This Row],[Harga Asli A]])</f>
        <v>800000</v>
      </c>
      <c r="K579" s="36">
        <f>INDEX(Katalog!$F$3:$F$12,MATCH(cadangan3[[#This Row],[ItemID A]],Katalog!$C$3:$C$12,0))*cadangan3[[#This Row],[Qty A]]</f>
        <v>300000</v>
      </c>
      <c r="L579" s="36">
        <f>IFERROR(cadangan3[[#This Row],[Profit A]]-(cadangan3[[#This Row],[Profit A]]*cadangan3[[#This Row],[Diskon]]),K579)</f>
        <v>300000</v>
      </c>
      <c r="M579" t="s">
        <v>58</v>
      </c>
      <c r="N579" t="str">
        <f>IFERROR(INDEX(Katalog!$A$3:$A$12,MATCH(cadangan3[[#This Row],[ItemID B]],Katalog!$C$3:$C$12,0)),"-")</f>
        <v>Pakaian Wanita</v>
      </c>
      <c r="O579" t="str">
        <f>IFERROR(INDEX(Katalog!$B$3:$B$12,MATCH(cadangan3[[#This Row],[ItemID B]],Katalog!$C$3:$C$12,0)),"-")</f>
        <v>Dress</v>
      </c>
      <c r="P579">
        <v>2</v>
      </c>
      <c r="Q579">
        <v>2</v>
      </c>
      <c r="R579" s="36">
        <f>IFERROR(INDEX(Katalog!$D$3:$D$12,MATCH(cadangan3[[#This Row],[ItemID B]],Katalog!$C$3:$C$12,0))*cadangan3[[#This Row],[Qty B]],0)</f>
        <v>600000</v>
      </c>
      <c r="S579" s="36">
        <f>IFERROR(INDEX(Katalog!$D$3:$D$12,MATCH(cadangan3[[#This Row],[Item B]],Katalog!$B$3:$B$12,0))*cadangan3[[#This Row],[Qty B]],0)</f>
        <v>600000</v>
      </c>
      <c r="T579" s="36">
        <f>IFERROR(cadangan3[[#This Row],[Harga Asli B]]-(cadangan3[[#This Row],[Harga Asli B]]*cadangan3[[#This Row],[Diskon]]),cadangan3[[#This Row],[Harga Asli B]])</f>
        <v>600000</v>
      </c>
      <c r="U579" s="36">
        <f>IFERROR(INDEX(Katalog!$F$3:$F$12,MATCH(cadangan3[[#This Row],[ItemID B]],Katalog!$C$3:$C$12,0))*cadangan3[[#This Row],[Qty B]],0)</f>
        <v>200000</v>
      </c>
      <c r="V579" s="36">
        <f>IFERROR(cadangan3[[#This Row],[Profit B]]-(cadangan3[[#This Row],[Profit B]]*cadangan3[[#This Row],[Diskon]]),U579)</f>
        <v>200000</v>
      </c>
      <c r="X579" t="str">
        <f>IFERROR(INDEX(Katalog!$A$3:$A$12,MATCH(cadangan3[[#This Row],[ItemID C]],Katalog!$C$3:$C$12,0)),"-")</f>
        <v>-</v>
      </c>
      <c r="Y579" t="str">
        <f>IFERROR(INDEX(Katalog!$B$3:$B$12,MATCH(cadangan3[[#This Row],[ItemID C]],Katalog!$C$3:$C$12,0)),"-")</f>
        <v>-</v>
      </c>
      <c r="AB579" s="36">
        <f>IFERROR(INDEX(Katalog!$D$3:$D$12,MATCH(cadangan3[[#This Row],[ItemID C]],Katalog!$C$3:$C$12,0))*cadangan3[[#This Row],[Qty C]],0)</f>
        <v>0</v>
      </c>
      <c r="AC579" s="36">
        <f>IFERROR(INDEX(Katalog!$D$3:$D$12,MATCH(cadangan3[[#This Row],[Item C]],Katalog!$B$3:$B$12,0))*cadangan3[[#This Row],[Qty C]],0)</f>
        <v>0</v>
      </c>
      <c r="AD579" s="36">
        <f>IFERROR(cadangan3[[#This Row],[Harga Asli C]]-(cadangan3[[#This Row],[Harga Asli C]]*cadangan3[[#This Row],[Diskon]]),cadangan3[[#This Row],[Harga Asli C]])</f>
        <v>0</v>
      </c>
      <c r="AE579" s="36">
        <f>IFERROR(INDEX(Katalog!$F$3:$F$12,MATCH(cadangan3[[#This Row],[ItemID C]],Katalog!$C$3:$C$12,0))*cadangan3[[#This Row],[Qty C]],0)</f>
        <v>0</v>
      </c>
      <c r="AF579" s="36">
        <f>IFERROR(cadangan3[[#This Row],[Profit C]]-(cadangan3[[#This Row],[Profit C]]*cadangan3[[#This Row],[Diskon]]),cadangan3[[#This Row],[Profit C]])</f>
        <v>0</v>
      </c>
      <c r="AG579" s="21">
        <f>cadangan3[[#This Row],[Qty A]]+cadangan3[[#This Row],[Qty B]]+cadangan3[[#This Row],[Qty C]]</f>
        <v>4</v>
      </c>
      <c r="AH579" s="35">
        <f>cadangan3[[#This Row],[Harga A + Diskon]]+cadangan3[[#This Row],[Harga + Diskon B]]+cadangan3[[#This Row],[Harga + Diskon C]]</f>
        <v>1400000</v>
      </c>
      <c r="AI579" s="35">
        <f>(cadangan3[[#This Row],[Profit A]]+cadangan3[[#This Row],[Profit B]]+cadangan3[[#This Row],[Profit C]])</f>
        <v>500000</v>
      </c>
      <c r="AJ579" s="35">
        <f>cadangan3[[#This Row],[Provit A + Diskon]]+cadangan3[[#This Row],[Provit B + Diskon]]+cadangan3[[#This Row],[Provit C + Diskon]]</f>
        <v>500000</v>
      </c>
      <c r="AK579" s="23" t="s">
        <v>11</v>
      </c>
      <c r="AL579" s="37" t="str">
        <f>IFERROR(INDEX('Kode Diskon'!$D$3:$D$9,MATCH(cadangan3[[#This Row],[Kode diskon]],'Kode Diskon'!$C$3:$C$9,0)),"-")</f>
        <v>-</v>
      </c>
      <c r="AM579" s="23" t="s">
        <v>11</v>
      </c>
      <c r="AN579" s="23" t="s">
        <v>14</v>
      </c>
      <c r="AO579" s="23" t="s">
        <v>76</v>
      </c>
      <c r="AP579" s="24">
        <v>45029</v>
      </c>
      <c r="AQ579" s="23" t="str">
        <f>TEXT(cadangan3[[#This Row],[Tanggal terjual]],"dddd")</f>
        <v>Thursday</v>
      </c>
    </row>
    <row r="580" spans="1:43" x14ac:dyDescent="0.2">
      <c r="A580" s="20">
        <v>579</v>
      </c>
      <c r="B580" s="21" t="str">
        <f>_xlfn.CONCAT("ORD-",INDEX(Helper!$B$2:$B$5,MATCH(cadangan3[[#This Row],[Marketplace]],Helper!$A$2:$A$5,0)),TEXT(cadangan3[[#This Row],[No]],"0000"),"-",TEXT(cadangan3[[#This Row],[Tanggal terjual]],"dd/mm/yy"))</f>
        <v>ORD-BL0579-23/04/23</v>
      </c>
      <c r="C580" t="s">
        <v>62</v>
      </c>
      <c r="D580" t="str">
        <f>IFERROR(INDEX(Katalog!$A$3:$A$12,MATCH(cadangan3[[#This Row],[ItemID A]],Katalog!$C$3:$C$12,0)),"-")</f>
        <v>Pakaian Pria</v>
      </c>
      <c r="E580" t="str">
        <f>IFERROR(INDEX(Katalog!$B$3:$B$12,MATCH(cadangan3[[#This Row],[ItemID A]],Katalog!$C$3:$C$12,0)),"-")</f>
        <v>Celana Pendek</v>
      </c>
      <c r="F580">
        <v>1</v>
      </c>
      <c r="G580">
        <v>1</v>
      </c>
      <c r="H580" s="36">
        <f>IFERROR(INDEX(Katalog!$D$3:$D$12,MATCH(cadangan3[[#This Row],[ItemID A]],Katalog!$C$3:$C$12,0))*cadangan3[[#This Row],[Qty A]],0)</f>
        <v>180000</v>
      </c>
      <c r="I580" s="36">
        <f>IFERROR(INDEX(Katalog!$D$3:$D$12,MATCH(cadangan3[[#This Row],[Item A]],Katalog!$B$3:$B$12,0))*cadangan3[[#This Row],[Qty A]],0)</f>
        <v>180000</v>
      </c>
      <c r="J580" s="36">
        <f>IFERROR(cadangan3[[#This Row],[Harga Asli A]]-(cadangan3[[#This Row],[Harga Asli A]]*cadangan3[[#This Row],[Diskon]]),cadangan3[[#This Row],[Harga Asli A]])</f>
        <v>153000</v>
      </c>
      <c r="K580" s="36">
        <f>INDEX(Katalog!$F$3:$F$12,MATCH(cadangan3[[#This Row],[ItemID A]],Katalog!$C$3:$C$12,0))*cadangan3[[#This Row],[Qty A]]</f>
        <v>70000</v>
      </c>
      <c r="L580" s="36">
        <f>IFERROR(cadangan3[[#This Row],[Profit A]]-(cadangan3[[#This Row],[Profit A]]*cadangan3[[#This Row],[Diskon]]),K580)</f>
        <v>59500</v>
      </c>
      <c r="N580" t="str">
        <f>IFERROR(INDEX(Katalog!$A$3:$A$12,MATCH(cadangan3[[#This Row],[ItemID B]],Katalog!$C$3:$C$12,0)),"-")</f>
        <v>-</v>
      </c>
      <c r="O580" t="str">
        <f>IFERROR(INDEX(Katalog!$B$3:$B$12,MATCH(cadangan3[[#This Row],[ItemID B]],Katalog!$C$3:$C$12,0)),"-")</f>
        <v>-</v>
      </c>
      <c r="R580" s="36">
        <f>IFERROR(INDEX(Katalog!$D$3:$D$12,MATCH(cadangan3[[#This Row],[ItemID B]],Katalog!$C$3:$C$12,0))*cadangan3[[#This Row],[Qty B]],0)</f>
        <v>0</v>
      </c>
      <c r="S580" s="36">
        <f>IFERROR(INDEX(Katalog!$D$3:$D$12,MATCH(cadangan3[[#This Row],[Item B]],Katalog!$B$3:$B$12,0))*cadangan3[[#This Row],[Qty B]],0)</f>
        <v>0</v>
      </c>
      <c r="T580" s="36">
        <f>IFERROR(cadangan3[[#This Row],[Harga Asli B]]-(cadangan3[[#This Row],[Harga Asli B]]*cadangan3[[#This Row],[Diskon]]),cadangan3[[#This Row],[Harga Asli B]])</f>
        <v>0</v>
      </c>
      <c r="U580" s="36">
        <f>IFERROR(INDEX(Katalog!$F$3:$F$12,MATCH(cadangan3[[#This Row],[ItemID B]],Katalog!$C$3:$C$12,0))*cadangan3[[#This Row],[Qty B]],0)</f>
        <v>0</v>
      </c>
      <c r="V580" s="36">
        <f>IFERROR(cadangan3[[#This Row],[Profit B]]-(cadangan3[[#This Row],[Profit B]]*cadangan3[[#This Row],[Diskon]]),U580)</f>
        <v>0</v>
      </c>
      <c r="X580" t="str">
        <f>IFERROR(INDEX(Katalog!$A$3:$A$12,MATCH(cadangan3[[#This Row],[ItemID C]],Katalog!$C$3:$C$12,0)),"-")</f>
        <v>-</v>
      </c>
      <c r="Y580" t="str">
        <f>IFERROR(INDEX(Katalog!$B$3:$B$12,MATCH(cadangan3[[#This Row],[ItemID C]],Katalog!$C$3:$C$12,0)),"-")</f>
        <v>-</v>
      </c>
      <c r="AB580" s="36">
        <f>IFERROR(INDEX(Katalog!$D$3:$D$12,MATCH(cadangan3[[#This Row],[ItemID C]],Katalog!$C$3:$C$12,0))*cadangan3[[#This Row],[Qty C]],0)</f>
        <v>0</v>
      </c>
      <c r="AC580" s="36">
        <f>IFERROR(INDEX(Katalog!$D$3:$D$12,MATCH(cadangan3[[#This Row],[Item C]],Katalog!$B$3:$B$12,0))*cadangan3[[#This Row],[Qty C]],0)</f>
        <v>0</v>
      </c>
      <c r="AD580" s="36">
        <f>IFERROR(cadangan3[[#This Row],[Harga Asli C]]-(cadangan3[[#This Row],[Harga Asli C]]*cadangan3[[#This Row],[Diskon]]),cadangan3[[#This Row],[Harga Asli C]])</f>
        <v>0</v>
      </c>
      <c r="AE580" s="36">
        <f>IFERROR(INDEX(Katalog!$F$3:$F$12,MATCH(cadangan3[[#This Row],[ItemID C]],Katalog!$C$3:$C$12,0))*cadangan3[[#This Row],[Qty C]],0)</f>
        <v>0</v>
      </c>
      <c r="AF580" s="36">
        <f>IFERROR(cadangan3[[#This Row],[Profit C]]-(cadangan3[[#This Row],[Profit C]]*cadangan3[[#This Row],[Diskon]]),cadangan3[[#This Row],[Profit C]])</f>
        <v>0</v>
      </c>
      <c r="AG580" s="21">
        <f>cadangan3[[#This Row],[Qty A]]+cadangan3[[#This Row],[Qty B]]+cadangan3[[#This Row],[Qty C]]</f>
        <v>1</v>
      </c>
      <c r="AH580" s="35">
        <f>cadangan3[[#This Row],[Harga A + Diskon]]+cadangan3[[#This Row],[Harga + Diskon B]]+cadangan3[[#This Row],[Harga + Diskon C]]</f>
        <v>153000</v>
      </c>
      <c r="AI580" s="35">
        <f>(cadangan3[[#This Row],[Profit A]]+cadangan3[[#This Row],[Profit B]]+cadangan3[[#This Row],[Profit C]])</f>
        <v>70000</v>
      </c>
      <c r="AJ580" s="35">
        <f>cadangan3[[#This Row],[Provit A + Diskon]]+cadangan3[[#This Row],[Provit B + Diskon]]+cadangan3[[#This Row],[Provit C + Diskon]]</f>
        <v>59500</v>
      </c>
      <c r="AK580" s="23" t="s">
        <v>32</v>
      </c>
      <c r="AL580" s="37">
        <f>IFERROR(INDEX('Kode Diskon'!$D$3:$D$9,MATCH(cadangan3[[#This Row],[Kode diskon]],'Kode Diskon'!$C$3:$C$9,0)),"-")</f>
        <v>0.15</v>
      </c>
      <c r="AM580" s="23" t="s">
        <v>9</v>
      </c>
      <c r="AN580" s="23" t="s">
        <v>12</v>
      </c>
      <c r="AO580" s="23" t="s">
        <v>76</v>
      </c>
      <c r="AP580" s="24">
        <v>45039</v>
      </c>
      <c r="AQ580" s="23" t="str">
        <f>TEXT(cadangan3[[#This Row],[Tanggal terjual]],"dddd")</f>
        <v>Sunday</v>
      </c>
    </row>
    <row r="581" spans="1:43" x14ac:dyDescent="0.2">
      <c r="A581" s="20">
        <v>580</v>
      </c>
      <c r="B581" s="21" t="str">
        <f>_xlfn.CONCAT("ORD-",INDEX(Helper!$B$2:$B$5,MATCH(cadangan3[[#This Row],[Marketplace]],Helper!$A$2:$A$5,0)),TEXT(cadangan3[[#This Row],[No]],"0000"),"-",TEXT(cadangan3[[#This Row],[Tanggal terjual]],"dd/mm/yy"))</f>
        <v>ORD-BB0580-04/04/23</v>
      </c>
      <c r="C581" t="s">
        <v>67</v>
      </c>
      <c r="D581" t="str">
        <f>IFERROR(INDEX(Katalog!$A$3:$A$12,MATCH(cadangan3[[#This Row],[ItemID A]],Katalog!$C$3:$C$12,0)),"-")</f>
        <v>Sepatu Wanita</v>
      </c>
      <c r="E581" t="str">
        <f>IFERROR(INDEX(Katalog!$B$3:$B$12,MATCH(cadangan3[[#This Row],[ItemID A]],Katalog!$C$3:$C$12,0)),"-")</f>
        <v>Flat Shoes</v>
      </c>
      <c r="F581">
        <v>1</v>
      </c>
      <c r="G581">
        <v>5</v>
      </c>
      <c r="H581" s="36">
        <f>IFERROR(INDEX(Katalog!$D$3:$D$12,MATCH(cadangan3[[#This Row],[ItemID A]],Katalog!$C$3:$C$12,0))*cadangan3[[#This Row],[Qty A]],0)</f>
        <v>250000</v>
      </c>
      <c r="I581" s="36">
        <f>IFERROR(INDEX(Katalog!$D$3:$D$12,MATCH(cadangan3[[#This Row],[Item A]],Katalog!$B$3:$B$12,0))*cadangan3[[#This Row],[Qty A]],0)</f>
        <v>250000</v>
      </c>
      <c r="J581" s="36">
        <f>IFERROR(cadangan3[[#This Row],[Harga Asli A]]-(cadangan3[[#This Row],[Harga Asli A]]*cadangan3[[#This Row],[Diskon]]),cadangan3[[#This Row],[Harga Asli A]])</f>
        <v>212500</v>
      </c>
      <c r="K581" s="36">
        <f>INDEX(Katalog!$F$3:$F$12,MATCH(cadangan3[[#This Row],[ItemID A]],Katalog!$C$3:$C$12,0))*cadangan3[[#This Row],[Qty A]]</f>
        <v>100000</v>
      </c>
      <c r="L581" s="36">
        <f>IFERROR(cadangan3[[#This Row],[Profit A]]-(cadangan3[[#This Row],[Profit A]]*cadangan3[[#This Row],[Diskon]]),K581)</f>
        <v>85000</v>
      </c>
      <c r="M581" t="s">
        <v>65</v>
      </c>
      <c r="N581" t="str">
        <f>IFERROR(INDEX(Katalog!$A$3:$A$12,MATCH(cadangan3[[#This Row],[ItemID B]],Katalog!$C$3:$C$12,0)),"-")</f>
        <v>Sepatu Pria</v>
      </c>
      <c r="O581" t="str">
        <f>IFERROR(INDEX(Katalog!$B$3:$B$12,MATCH(cadangan3[[#This Row],[ItemID B]],Katalog!$C$3:$C$12,0)),"-")</f>
        <v>Sneakers</v>
      </c>
      <c r="P581">
        <v>1</v>
      </c>
      <c r="Q581">
        <v>4</v>
      </c>
      <c r="R581" s="36">
        <f>IFERROR(INDEX(Katalog!$D$3:$D$12,MATCH(cadangan3[[#This Row],[ItemID B]],Katalog!$C$3:$C$12,0))*cadangan3[[#This Row],[Qty B]],0)</f>
        <v>500000</v>
      </c>
      <c r="S581" s="36">
        <f>IFERROR(INDEX(Katalog!$D$3:$D$12,MATCH(cadangan3[[#This Row],[Item B]],Katalog!$B$3:$B$12,0))*cadangan3[[#This Row],[Qty B]],0)</f>
        <v>500000</v>
      </c>
      <c r="T581" s="36">
        <f>IFERROR(cadangan3[[#This Row],[Harga Asli B]]-(cadangan3[[#This Row],[Harga Asli B]]*cadangan3[[#This Row],[Diskon]]),cadangan3[[#This Row],[Harga Asli B]])</f>
        <v>425000</v>
      </c>
      <c r="U581" s="36">
        <f>IFERROR(INDEX(Katalog!$F$3:$F$12,MATCH(cadangan3[[#This Row],[ItemID B]],Katalog!$C$3:$C$12,0))*cadangan3[[#This Row],[Qty B]],0)</f>
        <v>200000</v>
      </c>
      <c r="V581" s="36">
        <f>IFERROR(cadangan3[[#This Row],[Profit B]]-(cadangan3[[#This Row],[Profit B]]*cadangan3[[#This Row],[Diskon]]),U581)</f>
        <v>170000</v>
      </c>
      <c r="W581" t="s">
        <v>58</v>
      </c>
      <c r="X581" t="str">
        <f>IFERROR(INDEX(Katalog!$A$3:$A$12,MATCH(cadangan3[[#This Row],[ItemID C]],Katalog!$C$3:$C$12,0)),"-")</f>
        <v>Pakaian Wanita</v>
      </c>
      <c r="Y581" t="str">
        <f>IFERROR(INDEX(Katalog!$B$3:$B$12,MATCH(cadangan3[[#This Row],[ItemID C]],Katalog!$C$3:$C$12,0)),"-")</f>
        <v>Dress</v>
      </c>
      <c r="Z581">
        <v>1</v>
      </c>
      <c r="AA581">
        <v>5</v>
      </c>
      <c r="AB581" s="36">
        <f>IFERROR(INDEX(Katalog!$D$3:$D$12,MATCH(cadangan3[[#This Row],[ItemID C]],Katalog!$C$3:$C$12,0))*cadangan3[[#This Row],[Qty C]],0)</f>
        <v>300000</v>
      </c>
      <c r="AC581" s="36">
        <f>IFERROR(INDEX(Katalog!$D$3:$D$12,MATCH(cadangan3[[#This Row],[Item C]],Katalog!$B$3:$B$12,0))*cadangan3[[#This Row],[Qty C]],0)</f>
        <v>300000</v>
      </c>
      <c r="AD581" s="36">
        <f>IFERROR(cadangan3[[#This Row],[Harga Asli C]]-(cadangan3[[#This Row],[Harga Asli C]]*cadangan3[[#This Row],[Diskon]]),cadangan3[[#This Row],[Harga Asli C]])</f>
        <v>255000</v>
      </c>
      <c r="AE581" s="36">
        <f>IFERROR(INDEX(Katalog!$F$3:$F$12,MATCH(cadangan3[[#This Row],[ItemID C]],Katalog!$C$3:$C$12,0))*cadangan3[[#This Row],[Qty C]],0)</f>
        <v>100000</v>
      </c>
      <c r="AF581" s="36">
        <f>IFERROR(cadangan3[[#This Row],[Profit C]]-(cadangan3[[#This Row],[Profit C]]*cadangan3[[#This Row],[Diskon]]),cadangan3[[#This Row],[Profit C]])</f>
        <v>85000</v>
      </c>
      <c r="AG581" s="21">
        <f>cadangan3[[#This Row],[Qty A]]+cadangan3[[#This Row],[Qty B]]+cadangan3[[#This Row],[Qty C]]</f>
        <v>3</v>
      </c>
      <c r="AH581" s="35">
        <f>cadangan3[[#This Row],[Harga A + Diskon]]+cadangan3[[#This Row],[Harga + Diskon B]]+cadangan3[[#This Row],[Harga + Diskon C]]</f>
        <v>892500</v>
      </c>
      <c r="AI581" s="35">
        <f>(cadangan3[[#This Row],[Profit A]]+cadangan3[[#This Row],[Profit B]]+cadangan3[[#This Row],[Profit C]])</f>
        <v>400000</v>
      </c>
      <c r="AJ581" s="35">
        <f>cadangan3[[#This Row],[Provit A + Diskon]]+cadangan3[[#This Row],[Provit B + Diskon]]+cadangan3[[#This Row],[Provit C + Diskon]]</f>
        <v>340000</v>
      </c>
      <c r="AK581" s="23" t="s">
        <v>28</v>
      </c>
      <c r="AL581" s="37">
        <f>IFERROR(INDEX('Kode Diskon'!$D$3:$D$9,MATCH(cadangan3[[#This Row],[Kode diskon]],'Kode Diskon'!$C$3:$C$9,0)),"-")</f>
        <v>0.15</v>
      </c>
      <c r="AM581" s="23" t="s">
        <v>29</v>
      </c>
      <c r="AN581" s="23" t="s">
        <v>14</v>
      </c>
      <c r="AO581" s="23" t="s">
        <v>77</v>
      </c>
      <c r="AP581" s="24">
        <v>45020</v>
      </c>
      <c r="AQ581" s="23" t="str">
        <f>TEXT(cadangan3[[#This Row],[Tanggal terjual]],"dddd")</f>
        <v>Tuesday</v>
      </c>
    </row>
    <row r="582" spans="1:43" x14ac:dyDescent="0.2">
      <c r="A582" s="20">
        <v>581</v>
      </c>
      <c r="B582" s="21" t="str">
        <f>_xlfn.CONCAT("ORD-",INDEX(Helper!$B$2:$B$5,MATCH(cadangan3[[#This Row],[Marketplace]],Helper!$A$2:$A$5,0)),TEXT(cadangan3[[#This Row],[No]],"0000"),"-",TEXT(cadangan3[[#This Row],[Tanggal terjual]],"dd/mm/yy"))</f>
        <v>ORD-SP0581-01/04/23</v>
      </c>
      <c r="C582" t="s">
        <v>66</v>
      </c>
      <c r="D582" t="str">
        <f>IFERROR(INDEX(Katalog!$A$3:$A$12,MATCH(cadangan3[[#This Row],[ItemID A]],Katalog!$C$3:$C$12,0)),"-")</f>
        <v>Sepatu Pria</v>
      </c>
      <c r="E582" t="str">
        <f>IFERROR(INDEX(Katalog!$B$3:$B$12,MATCH(cadangan3[[#This Row],[ItemID A]],Katalog!$C$3:$C$12,0)),"-")</f>
        <v>Sandal Slip On</v>
      </c>
      <c r="F582">
        <v>7</v>
      </c>
      <c r="G582">
        <v>2</v>
      </c>
      <c r="H582" s="36">
        <f>IFERROR(INDEX(Katalog!$D$3:$D$12,MATCH(cadangan3[[#This Row],[ItemID A]],Katalog!$C$3:$C$12,0))*cadangan3[[#This Row],[Qty A]],0)</f>
        <v>1050000</v>
      </c>
      <c r="I582" s="36">
        <f>IFERROR(INDEX(Katalog!$D$3:$D$12,MATCH(cadangan3[[#This Row],[Item A]],Katalog!$B$3:$B$12,0))*cadangan3[[#This Row],[Qty A]],0)</f>
        <v>1050000</v>
      </c>
      <c r="J582" s="36">
        <f>IFERROR(cadangan3[[#This Row],[Harga Asli A]]-(cadangan3[[#This Row],[Harga Asli A]]*cadangan3[[#This Row],[Diskon]]),cadangan3[[#This Row],[Harga Asli A]])</f>
        <v>892500</v>
      </c>
      <c r="K582" s="36">
        <f>INDEX(Katalog!$F$3:$F$12,MATCH(cadangan3[[#This Row],[ItemID A]],Katalog!$C$3:$C$12,0))*cadangan3[[#This Row],[Qty A]]</f>
        <v>420000</v>
      </c>
      <c r="L582" s="36">
        <f>IFERROR(cadangan3[[#This Row],[Profit A]]-(cadangan3[[#This Row],[Profit A]]*cadangan3[[#This Row],[Diskon]]),K582)</f>
        <v>357000</v>
      </c>
      <c r="N582" t="str">
        <f>IFERROR(INDEX(Katalog!$A$3:$A$12,MATCH(cadangan3[[#This Row],[ItemID B]],Katalog!$C$3:$C$12,0)),"-")</f>
        <v>-</v>
      </c>
      <c r="O582" t="str">
        <f>IFERROR(INDEX(Katalog!$B$3:$B$12,MATCH(cadangan3[[#This Row],[ItemID B]],Katalog!$C$3:$C$12,0)),"-")</f>
        <v>-</v>
      </c>
      <c r="R582" s="36">
        <f>IFERROR(INDEX(Katalog!$D$3:$D$12,MATCH(cadangan3[[#This Row],[ItemID B]],Katalog!$C$3:$C$12,0))*cadangan3[[#This Row],[Qty B]],0)</f>
        <v>0</v>
      </c>
      <c r="S582" s="36">
        <f>IFERROR(INDEX(Katalog!$D$3:$D$12,MATCH(cadangan3[[#This Row],[Item B]],Katalog!$B$3:$B$12,0))*cadangan3[[#This Row],[Qty B]],0)</f>
        <v>0</v>
      </c>
      <c r="T582" s="36">
        <f>IFERROR(cadangan3[[#This Row],[Harga Asli B]]-(cadangan3[[#This Row],[Harga Asli B]]*cadangan3[[#This Row],[Diskon]]),cadangan3[[#This Row],[Harga Asli B]])</f>
        <v>0</v>
      </c>
      <c r="U582" s="36">
        <f>IFERROR(INDEX(Katalog!$F$3:$F$12,MATCH(cadangan3[[#This Row],[ItemID B]],Katalog!$C$3:$C$12,0))*cadangan3[[#This Row],[Qty B]],0)</f>
        <v>0</v>
      </c>
      <c r="V582" s="36">
        <f>IFERROR(cadangan3[[#This Row],[Profit B]]-(cadangan3[[#This Row],[Profit B]]*cadangan3[[#This Row],[Diskon]]),U582)</f>
        <v>0</v>
      </c>
      <c r="X582" t="str">
        <f>IFERROR(INDEX(Katalog!$A$3:$A$12,MATCH(cadangan3[[#This Row],[ItemID C]],Katalog!$C$3:$C$12,0)),"-")</f>
        <v>-</v>
      </c>
      <c r="Y582" t="str">
        <f>IFERROR(INDEX(Katalog!$B$3:$B$12,MATCH(cadangan3[[#This Row],[ItemID C]],Katalog!$C$3:$C$12,0)),"-")</f>
        <v>-</v>
      </c>
      <c r="AB582" s="36">
        <f>IFERROR(INDEX(Katalog!$D$3:$D$12,MATCH(cadangan3[[#This Row],[ItemID C]],Katalog!$C$3:$C$12,0))*cadangan3[[#This Row],[Qty C]],0)</f>
        <v>0</v>
      </c>
      <c r="AC582" s="36">
        <f>IFERROR(INDEX(Katalog!$D$3:$D$12,MATCH(cadangan3[[#This Row],[Item C]],Katalog!$B$3:$B$12,0))*cadangan3[[#This Row],[Qty C]],0)</f>
        <v>0</v>
      </c>
      <c r="AD582" s="36">
        <f>IFERROR(cadangan3[[#This Row],[Harga Asli C]]-(cadangan3[[#This Row],[Harga Asli C]]*cadangan3[[#This Row],[Diskon]]),cadangan3[[#This Row],[Harga Asli C]])</f>
        <v>0</v>
      </c>
      <c r="AE582" s="36">
        <f>IFERROR(INDEX(Katalog!$F$3:$F$12,MATCH(cadangan3[[#This Row],[ItemID C]],Katalog!$C$3:$C$12,0))*cadangan3[[#This Row],[Qty C]],0)</f>
        <v>0</v>
      </c>
      <c r="AF582" s="36">
        <f>IFERROR(cadangan3[[#This Row],[Profit C]]-(cadangan3[[#This Row],[Profit C]]*cadangan3[[#This Row],[Diskon]]),cadangan3[[#This Row],[Profit C]])</f>
        <v>0</v>
      </c>
      <c r="AG582" s="21">
        <f>cadangan3[[#This Row],[Qty A]]+cadangan3[[#This Row],[Qty B]]+cadangan3[[#This Row],[Qty C]]</f>
        <v>7</v>
      </c>
      <c r="AH582" s="35">
        <f>cadangan3[[#This Row],[Harga A + Diskon]]+cadangan3[[#This Row],[Harga + Diskon B]]+cadangan3[[#This Row],[Harga + Diskon C]]</f>
        <v>892500</v>
      </c>
      <c r="AI582" s="35">
        <f>(cadangan3[[#This Row],[Profit A]]+cadangan3[[#This Row],[Profit B]]+cadangan3[[#This Row],[Profit C]])</f>
        <v>420000</v>
      </c>
      <c r="AJ582" s="35">
        <f>cadangan3[[#This Row],[Provit A + Diskon]]+cadangan3[[#This Row],[Provit B + Diskon]]+cadangan3[[#This Row],[Provit C + Diskon]]</f>
        <v>357000</v>
      </c>
      <c r="AK582" s="23" t="s">
        <v>13</v>
      </c>
      <c r="AL582" s="37">
        <f>IFERROR(INDEX('Kode Diskon'!$D$3:$D$9,MATCH(cadangan3[[#This Row],[Kode diskon]],'Kode Diskon'!$C$3:$C$9,0)),"-")</f>
        <v>0.15</v>
      </c>
      <c r="AM582" s="23" t="s">
        <v>29</v>
      </c>
      <c r="AN582" s="23" t="s">
        <v>7</v>
      </c>
      <c r="AO582" s="23" t="s">
        <v>78</v>
      </c>
      <c r="AP582" s="24">
        <v>45017</v>
      </c>
      <c r="AQ582" s="23" t="str">
        <f>TEXT(cadangan3[[#This Row],[Tanggal terjual]],"dddd")</f>
        <v>Saturday</v>
      </c>
    </row>
    <row r="583" spans="1:43" x14ac:dyDescent="0.2">
      <c r="A583" s="20">
        <v>582</v>
      </c>
      <c r="B583" s="21" t="str">
        <f>_xlfn.CONCAT("ORD-",INDEX(Helper!$B$2:$B$5,MATCH(cadangan3[[#This Row],[Marketplace]],Helper!$A$2:$A$5,0)),TEXT(cadangan3[[#This Row],[No]],"0000"),"-",TEXT(cadangan3[[#This Row],[Tanggal terjual]],"dd/mm/yy"))</f>
        <v>ORD-BB0582-01/04/23</v>
      </c>
      <c r="C583" t="s">
        <v>64</v>
      </c>
      <c r="D583" t="str">
        <f>IFERROR(INDEX(Katalog!$A$3:$A$12,MATCH(cadangan3[[#This Row],[ItemID A]],Katalog!$C$3:$C$12,0)),"-")</f>
        <v>Pakaian Unisex</v>
      </c>
      <c r="E583" t="str">
        <f>IFERROR(INDEX(Katalog!$B$3:$B$12,MATCH(cadangan3[[#This Row],[ItemID A]],Katalog!$C$3:$C$12,0)),"-")</f>
        <v>Jaket Hoodie</v>
      </c>
      <c r="F583">
        <v>4</v>
      </c>
      <c r="G583">
        <v>1</v>
      </c>
      <c r="H583" s="36">
        <f>IFERROR(INDEX(Katalog!$D$3:$D$12,MATCH(cadangan3[[#This Row],[ItemID A]],Katalog!$C$3:$C$12,0))*cadangan3[[#This Row],[Qty A]],0)</f>
        <v>1400000</v>
      </c>
      <c r="I583" s="36">
        <f>IFERROR(INDEX(Katalog!$D$3:$D$12,MATCH(cadangan3[[#This Row],[Item A]],Katalog!$B$3:$B$12,0))*cadangan3[[#This Row],[Qty A]],0)</f>
        <v>1400000</v>
      </c>
      <c r="J583" s="36">
        <f>IFERROR(cadangan3[[#This Row],[Harga Asli A]]-(cadangan3[[#This Row],[Harga Asli A]]*cadangan3[[#This Row],[Diskon]]),cadangan3[[#This Row],[Harga Asli A]])</f>
        <v>1190000</v>
      </c>
      <c r="K583" s="36">
        <f>INDEX(Katalog!$F$3:$F$12,MATCH(cadangan3[[#This Row],[ItemID A]],Katalog!$C$3:$C$12,0))*cadangan3[[#This Row],[Qty A]]</f>
        <v>520000</v>
      </c>
      <c r="L583" s="36">
        <f>IFERROR(cadangan3[[#This Row],[Profit A]]-(cadangan3[[#This Row],[Profit A]]*cadangan3[[#This Row],[Diskon]]),K583)</f>
        <v>442000</v>
      </c>
      <c r="M583" t="s">
        <v>60</v>
      </c>
      <c r="N583" t="str">
        <f>IFERROR(INDEX(Katalog!$A$3:$A$12,MATCH(cadangan3[[#This Row],[ItemID B]],Katalog!$C$3:$C$12,0)),"-")</f>
        <v>Pakaian Wanita</v>
      </c>
      <c r="O583" t="str">
        <f>IFERROR(INDEX(Katalog!$B$3:$B$12,MATCH(cadangan3[[#This Row],[ItemID B]],Katalog!$C$3:$C$12,0)),"-")</f>
        <v>Kaftan</v>
      </c>
      <c r="P583">
        <v>1</v>
      </c>
      <c r="Q583">
        <v>3</v>
      </c>
      <c r="R583" s="36">
        <f>IFERROR(INDEX(Katalog!$D$3:$D$12,MATCH(cadangan3[[#This Row],[ItemID B]],Katalog!$C$3:$C$12,0))*cadangan3[[#This Row],[Qty B]],0)</f>
        <v>250000</v>
      </c>
      <c r="S583" s="36">
        <f>IFERROR(INDEX(Katalog!$D$3:$D$12,MATCH(cadangan3[[#This Row],[Item B]],Katalog!$B$3:$B$12,0))*cadangan3[[#This Row],[Qty B]],0)</f>
        <v>250000</v>
      </c>
      <c r="T583" s="36">
        <f>IFERROR(cadangan3[[#This Row],[Harga Asli B]]-(cadangan3[[#This Row],[Harga Asli B]]*cadangan3[[#This Row],[Diskon]]),cadangan3[[#This Row],[Harga Asli B]])</f>
        <v>212500</v>
      </c>
      <c r="U583" s="36">
        <f>IFERROR(INDEX(Katalog!$F$3:$F$12,MATCH(cadangan3[[#This Row],[ItemID B]],Katalog!$C$3:$C$12,0))*cadangan3[[#This Row],[Qty B]],0)</f>
        <v>100000</v>
      </c>
      <c r="V583" s="36">
        <f>IFERROR(cadangan3[[#This Row],[Profit B]]-(cadangan3[[#This Row],[Profit B]]*cadangan3[[#This Row],[Diskon]]),U583)</f>
        <v>85000</v>
      </c>
      <c r="X583" t="str">
        <f>IFERROR(INDEX(Katalog!$A$3:$A$12,MATCH(cadangan3[[#This Row],[ItemID C]],Katalog!$C$3:$C$12,0)),"-")</f>
        <v>-</v>
      </c>
      <c r="Y583" t="str">
        <f>IFERROR(INDEX(Katalog!$B$3:$B$12,MATCH(cadangan3[[#This Row],[ItemID C]],Katalog!$C$3:$C$12,0)),"-")</f>
        <v>-</v>
      </c>
      <c r="AB583" s="36">
        <f>IFERROR(INDEX(Katalog!$D$3:$D$12,MATCH(cadangan3[[#This Row],[ItemID C]],Katalog!$C$3:$C$12,0))*cadangan3[[#This Row],[Qty C]],0)</f>
        <v>0</v>
      </c>
      <c r="AC583" s="36">
        <f>IFERROR(INDEX(Katalog!$D$3:$D$12,MATCH(cadangan3[[#This Row],[Item C]],Katalog!$B$3:$B$12,0))*cadangan3[[#This Row],[Qty C]],0)</f>
        <v>0</v>
      </c>
      <c r="AD583" s="36">
        <f>IFERROR(cadangan3[[#This Row],[Harga Asli C]]-(cadangan3[[#This Row],[Harga Asli C]]*cadangan3[[#This Row],[Diskon]]),cadangan3[[#This Row],[Harga Asli C]])</f>
        <v>0</v>
      </c>
      <c r="AE583" s="36">
        <f>IFERROR(INDEX(Katalog!$F$3:$F$12,MATCH(cadangan3[[#This Row],[ItemID C]],Katalog!$C$3:$C$12,0))*cadangan3[[#This Row],[Qty C]],0)</f>
        <v>0</v>
      </c>
      <c r="AF583" s="36">
        <f>IFERROR(cadangan3[[#This Row],[Profit C]]-(cadangan3[[#This Row],[Profit C]]*cadangan3[[#This Row],[Diskon]]),cadangan3[[#This Row],[Profit C]])</f>
        <v>0</v>
      </c>
      <c r="AG583" s="21">
        <f>cadangan3[[#This Row],[Qty A]]+cadangan3[[#This Row],[Qty B]]+cadangan3[[#This Row],[Qty C]]</f>
        <v>5</v>
      </c>
      <c r="AH583" s="35">
        <f>cadangan3[[#This Row],[Harga A + Diskon]]+cadangan3[[#This Row],[Harga + Diskon B]]+cadangan3[[#This Row],[Harga + Diskon C]]</f>
        <v>1402500</v>
      </c>
      <c r="AI583" s="35">
        <f>(cadangan3[[#This Row],[Profit A]]+cadangan3[[#This Row],[Profit B]]+cadangan3[[#This Row],[Profit C]])</f>
        <v>620000</v>
      </c>
      <c r="AJ583" s="35">
        <f>cadangan3[[#This Row],[Provit A + Diskon]]+cadangan3[[#This Row],[Provit B + Diskon]]+cadangan3[[#This Row],[Provit C + Diskon]]</f>
        <v>527000</v>
      </c>
      <c r="AK583" s="23" t="s">
        <v>28</v>
      </c>
      <c r="AL583" s="37">
        <f>IFERROR(INDEX('Kode Diskon'!$D$3:$D$9,MATCH(cadangan3[[#This Row],[Kode diskon]],'Kode Diskon'!$C$3:$C$9,0)),"-")</f>
        <v>0.15</v>
      </c>
      <c r="AM583" s="23" t="s">
        <v>29</v>
      </c>
      <c r="AN583" s="23" t="s">
        <v>14</v>
      </c>
      <c r="AO583" s="23" t="s">
        <v>78</v>
      </c>
      <c r="AP583" s="24">
        <v>45017</v>
      </c>
      <c r="AQ583" s="23" t="str">
        <f>TEXT(cadangan3[[#This Row],[Tanggal terjual]],"dddd")</f>
        <v>Saturday</v>
      </c>
    </row>
    <row r="584" spans="1:43" x14ac:dyDescent="0.2">
      <c r="A584" s="20">
        <v>583</v>
      </c>
      <c r="B584" s="21" t="str">
        <f>_xlfn.CONCAT("ORD-",INDEX(Helper!$B$2:$B$5,MATCH(cadangan3[[#This Row],[Marketplace]],Helper!$A$2:$A$5,0)),TEXT(cadangan3[[#This Row],[No]],"0000"),"-",TEXT(cadangan3[[#This Row],[Tanggal terjual]],"dd/mm/yy"))</f>
        <v>ORD-BL0583-17/04/23</v>
      </c>
      <c r="C584" t="s">
        <v>58</v>
      </c>
      <c r="D584" t="str">
        <f>IFERROR(INDEX(Katalog!$A$3:$A$12,MATCH(cadangan3[[#This Row],[ItemID A]],Katalog!$C$3:$C$12,0)),"-")</f>
        <v>Pakaian Wanita</v>
      </c>
      <c r="E584" t="str">
        <f>IFERROR(INDEX(Katalog!$B$3:$B$12,MATCH(cadangan3[[#This Row],[ItemID A]],Katalog!$C$3:$C$12,0)),"-")</f>
        <v>Dress</v>
      </c>
      <c r="F584">
        <v>2</v>
      </c>
      <c r="G584">
        <v>2</v>
      </c>
      <c r="H584" s="36">
        <f>IFERROR(INDEX(Katalog!$D$3:$D$12,MATCH(cadangan3[[#This Row],[ItemID A]],Katalog!$C$3:$C$12,0))*cadangan3[[#This Row],[Qty A]],0)</f>
        <v>600000</v>
      </c>
      <c r="I584" s="36">
        <f>IFERROR(INDEX(Katalog!$D$3:$D$12,MATCH(cadangan3[[#This Row],[Item A]],Katalog!$B$3:$B$12,0))*cadangan3[[#This Row],[Qty A]],0)</f>
        <v>600000</v>
      </c>
      <c r="J584" s="36">
        <f>IFERROR(cadangan3[[#This Row],[Harga Asli A]]-(cadangan3[[#This Row],[Harga Asli A]]*cadangan3[[#This Row],[Diskon]]),cadangan3[[#This Row],[Harga Asli A]])</f>
        <v>510000</v>
      </c>
      <c r="K584" s="36">
        <f>INDEX(Katalog!$F$3:$F$12,MATCH(cadangan3[[#This Row],[ItemID A]],Katalog!$C$3:$C$12,0))*cadangan3[[#This Row],[Qty A]]</f>
        <v>200000</v>
      </c>
      <c r="L584" s="36">
        <f>IFERROR(cadangan3[[#This Row],[Profit A]]-(cadangan3[[#This Row],[Profit A]]*cadangan3[[#This Row],[Diskon]]),K584)</f>
        <v>170000</v>
      </c>
      <c r="N584" t="str">
        <f>IFERROR(INDEX(Katalog!$A$3:$A$12,MATCH(cadangan3[[#This Row],[ItemID B]],Katalog!$C$3:$C$12,0)),"-")</f>
        <v>-</v>
      </c>
      <c r="O584" t="str">
        <f>IFERROR(INDEX(Katalog!$B$3:$B$12,MATCH(cadangan3[[#This Row],[ItemID B]],Katalog!$C$3:$C$12,0)),"-")</f>
        <v>-</v>
      </c>
      <c r="R584" s="36">
        <f>IFERROR(INDEX(Katalog!$D$3:$D$12,MATCH(cadangan3[[#This Row],[ItemID B]],Katalog!$C$3:$C$12,0))*cadangan3[[#This Row],[Qty B]],0)</f>
        <v>0</v>
      </c>
      <c r="S584" s="36">
        <f>IFERROR(INDEX(Katalog!$D$3:$D$12,MATCH(cadangan3[[#This Row],[Item B]],Katalog!$B$3:$B$12,0))*cadangan3[[#This Row],[Qty B]],0)</f>
        <v>0</v>
      </c>
      <c r="T584" s="36">
        <f>IFERROR(cadangan3[[#This Row],[Harga Asli B]]-(cadangan3[[#This Row],[Harga Asli B]]*cadangan3[[#This Row],[Diskon]]),cadangan3[[#This Row],[Harga Asli B]])</f>
        <v>0</v>
      </c>
      <c r="U584" s="36">
        <f>IFERROR(INDEX(Katalog!$F$3:$F$12,MATCH(cadangan3[[#This Row],[ItemID B]],Katalog!$C$3:$C$12,0))*cadangan3[[#This Row],[Qty B]],0)</f>
        <v>0</v>
      </c>
      <c r="V584" s="36">
        <f>IFERROR(cadangan3[[#This Row],[Profit B]]-(cadangan3[[#This Row],[Profit B]]*cadangan3[[#This Row],[Diskon]]),U584)</f>
        <v>0</v>
      </c>
      <c r="X584" t="str">
        <f>IFERROR(INDEX(Katalog!$A$3:$A$12,MATCH(cadangan3[[#This Row],[ItemID C]],Katalog!$C$3:$C$12,0)),"-")</f>
        <v>-</v>
      </c>
      <c r="Y584" t="str">
        <f>IFERROR(INDEX(Katalog!$B$3:$B$12,MATCH(cadangan3[[#This Row],[ItemID C]],Katalog!$C$3:$C$12,0)),"-")</f>
        <v>-</v>
      </c>
      <c r="AB584" s="36">
        <f>IFERROR(INDEX(Katalog!$D$3:$D$12,MATCH(cadangan3[[#This Row],[ItemID C]],Katalog!$C$3:$C$12,0))*cadangan3[[#This Row],[Qty C]],0)</f>
        <v>0</v>
      </c>
      <c r="AC584" s="36">
        <f>IFERROR(INDEX(Katalog!$D$3:$D$12,MATCH(cadangan3[[#This Row],[Item C]],Katalog!$B$3:$B$12,0))*cadangan3[[#This Row],[Qty C]],0)</f>
        <v>0</v>
      </c>
      <c r="AD584" s="36">
        <f>IFERROR(cadangan3[[#This Row],[Harga Asli C]]-(cadangan3[[#This Row],[Harga Asli C]]*cadangan3[[#This Row],[Diskon]]),cadangan3[[#This Row],[Harga Asli C]])</f>
        <v>0</v>
      </c>
      <c r="AE584" s="36">
        <f>IFERROR(INDEX(Katalog!$F$3:$F$12,MATCH(cadangan3[[#This Row],[ItemID C]],Katalog!$C$3:$C$12,0))*cadangan3[[#This Row],[Qty C]],0)</f>
        <v>0</v>
      </c>
      <c r="AF584" s="36">
        <f>IFERROR(cadangan3[[#This Row],[Profit C]]-(cadangan3[[#This Row],[Profit C]]*cadangan3[[#This Row],[Diskon]]),cadangan3[[#This Row],[Profit C]])</f>
        <v>0</v>
      </c>
      <c r="AG584" s="21">
        <f>cadangan3[[#This Row],[Qty A]]+cadangan3[[#This Row],[Qty B]]+cadangan3[[#This Row],[Qty C]]</f>
        <v>2</v>
      </c>
      <c r="AH584" s="35">
        <f>cadangan3[[#This Row],[Harga A + Diskon]]+cadangan3[[#This Row],[Harga + Diskon B]]+cadangan3[[#This Row],[Harga + Diskon C]]</f>
        <v>510000</v>
      </c>
      <c r="AI584" s="35">
        <f>(cadangan3[[#This Row],[Profit A]]+cadangan3[[#This Row],[Profit B]]+cadangan3[[#This Row],[Profit C]])</f>
        <v>200000</v>
      </c>
      <c r="AJ584" s="35">
        <f>cadangan3[[#This Row],[Provit A + Diskon]]+cadangan3[[#This Row],[Provit B + Diskon]]+cadangan3[[#This Row],[Provit C + Diskon]]</f>
        <v>170000</v>
      </c>
      <c r="AK584" s="23" t="s">
        <v>32</v>
      </c>
      <c r="AL584" s="37">
        <f>IFERROR(INDEX('Kode Diskon'!$D$3:$D$9,MATCH(cadangan3[[#This Row],[Kode diskon]],'Kode Diskon'!$C$3:$C$9,0)),"-")</f>
        <v>0.15</v>
      </c>
      <c r="AM584" s="23" t="s">
        <v>9</v>
      </c>
      <c r="AN584" s="23" t="s">
        <v>12</v>
      </c>
      <c r="AO584" s="23" t="s">
        <v>75</v>
      </c>
      <c r="AP584" s="24">
        <v>45033</v>
      </c>
      <c r="AQ584" s="23" t="str">
        <f>TEXT(cadangan3[[#This Row],[Tanggal terjual]],"dddd")</f>
        <v>Monday</v>
      </c>
    </row>
    <row r="585" spans="1:43" x14ac:dyDescent="0.2">
      <c r="A585" s="20">
        <v>584</v>
      </c>
      <c r="B585" s="21" t="str">
        <f>_xlfn.CONCAT("ORD-",INDEX(Helper!$B$2:$B$5,MATCH(cadangan3[[#This Row],[Marketplace]],Helper!$A$2:$A$5,0)),TEXT(cadangan3[[#This Row],[No]],"0000"),"-",TEXT(cadangan3[[#This Row],[Tanggal terjual]],"dd/mm/yy"))</f>
        <v>ORD-SP0584-02/04/23</v>
      </c>
      <c r="C585" t="s">
        <v>64</v>
      </c>
      <c r="D585" t="str">
        <f>IFERROR(INDEX(Katalog!$A$3:$A$12,MATCH(cadangan3[[#This Row],[ItemID A]],Katalog!$C$3:$C$12,0)),"-")</f>
        <v>Pakaian Unisex</v>
      </c>
      <c r="E585" t="str">
        <f>IFERROR(INDEX(Katalog!$B$3:$B$12,MATCH(cadangan3[[#This Row],[ItemID A]],Katalog!$C$3:$C$12,0)),"-")</f>
        <v>Jaket Hoodie</v>
      </c>
      <c r="F585">
        <v>4</v>
      </c>
      <c r="G585">
        <v>4</v>
      </c>
      <c r="H585" s="36">
        <f>IFERROR(INDEX(Katalog!$D$3:$D$12,MATCH(cadangan3[[#This Row],[ItemID A]],Katalog!$C$3:$C$12,0))*cadangan3[[#This Row],[Qty A]],0)</f>
        <v>1400000</v>
      </c>
      <c r="I585" s="36">
        <f>IFERROR(INDEX(Katalog!$D$3:$D$12,MATCH(cadangan3[[#This Row],[Item A]],Katalog!$B$3:$B$12,0))*cadangan3[[#This Row],[Qty A]],0)</f>
        <v>1400000</v>
      </c>
      <c r="J585" s="36">
        <f>IFERROR(cadangan3[[#This Row],[Harga Asli A]]-(cadangan3[[#This Row],[Harga Asli A]]*cadangan3[[#This Row],[Diskon]]),cadangan3[[#This Row],[Harga Asli A]])</f>
        <v>1260000</v>
      </c>
      <c r="K585" s="36">
        <f>INDEX(Katalog!$F$3:$F$12,MATCH(cadangan3[[#This Row],[ItemID A]],Katalog!$C$3:$C$12,0))*cadangan3[[#This Row],[Qty A]]</f>
        <v>520000</v>
      </c>
      <c r="L585" s="36">
        <f>IFERROR(cadangan3[[#This Row],[Profit A]]-(cadangan3[[#This Row],[Profit A]]*cadangan3[[#This Row],[Diskon]]),K585)</f>
        <v>468000</v>
      </c>
      <c r="M585" t="s">
        <v>66</v>
      </c>
      <c r="N585" t="str">
        <f>IFERROR(INDEX(Katalog!$A$3:$A$12,MATCH(cadangan3[[#This Row],[ItemID B]],Katalog!$C$3:$C$12,0)),"-")</f>
        <v>Sepatu Pria</v>
      </c>
      <c r="O585" t="str">
        <f>IFERROR(INDEX(Katalog!$B$3:$B$12,MATCH(cadangan3[[#This Row],[ItemID B]],Katalog!$C$3:$C$12,0)),"-")</f>
        <v>Sandal Slip On</v>
      </c>
      <c r="P585">
        <v>1</v>
      </c>
      <c r="Q585">
        <v>4</v>
      </c>
      <c r="R585" s="36">
        <f>IFERROR(INDEX(Katalog!$D$3:$D$12,MATCH(cadangan3[[#This Row],[ItemID B]],Katalog!$C$3:$C$12,0))*cadangan3[[#This Row],[Qty B]],0)</f>
        <v>150000</v>
      </c>
      <c r="S585" s="36">
        <f>IFERROR(INDEX(Katalog!$D$3:$D$12,MATCH(cadangan3[[#This Row],[Item B]],Katalog!$B$3:$B$12,0))*cadangan3[[#This Row],[Qty B]],0)</f>
        <v>150000</v>
      </c>
      <c r="T585" s="36">
        <f>IFERROR(cadangan3[[#This Row],[Harga Asli B]]-(cadangan3[[#This Row],[Harga Asli B]]*cadangan3[[#This Row],[Diskon]]),cadangan3[[#This Row],[Harga Asli B]])</f>
        <v>135000</v>
      </c>
      <c r="U585" s="36">
        <f>IFERROR(INDEX(Katalog!$F$3:$F$12,MATCH(cadangan3[[#This Row],[ItemID B]],Katalog!$C$3:$C$12,0))*cadangan3[[#This Row],[Qty B]],0)</f>
        <v>60000</v>
      </c>
      <c r="V585" s="36">
        <f>IFERROR(cadangan3[[#This Row],[Profit B]]-(cadangan3[[#This Row],[Profit B]]*cadangan3[[#This Row],[Diskon]]),U585)</f>
        <v>54000</v>
      </c>
      <c r="W585" t="s">
        <v>63</v>
      </c>
      <c r="X585" t="str">
        <f>IFERROR(INDEX(Katalog!$A$3:$A$12,MATCH(cadangan3[[#This Row],[ItemID C]],Katalog!$C$3:$C$12,0)),"-")</f>
        <v>Pakaian Pria</v>
      </c>
      <c r="Y585" t="str">
        <f>IFERROR(INDEX(Katalog!$B$3:$B$12,MATCH(cadangan3[[#This Row],[ItemID C]],Katalog!$C$3:$C$12,0)),"-")</f>
        <v>Jaket Jeans</v>
      </c>
      <c r="Z585">
        <v>1</v>
      </c>
      <c r="AA585">
        <v>2</v>
      </c>
      <c r="AB585" s="36">
        <f>IFERROR(INDEX(Katalog!$D$3:$D$12,MATCH(cadangan3[[#This Row],[ItemID C]],Katalog!$C$3:$C$12,0))*cadangan3[[#This Row],[Qty C]],0)</f>
        <v>400000</v>
      </c>
      <c r="AC585" s="36">
        <f>IFERROR(INDEX(Katalog!$D$3:$D$12,MATCH(cadangan3[[#This Row],[Item C]],Katalog!$B$3:$B$12,0))*cadangan3[[#This Row],[Qty C]],0)</f>
        <v>400000</v>
      </c>
      <c r="AD585" s="36">
        <f>IFERROR(cadangan3[[#This Row],[Harga Asli C]]-(cadangan3[[#This Row],[Harga Asli C]]*cadangan3[[#This Row],[Diskon]]),cadangan3[[#This Row],[Harga Asli C]])</f>
        <v>360000</v>
      </c>
      <c r="AE585" s="36">
        <f>IFERROR(INDEX(Katalog!$F$3:$F$12,MATCH(cadangan3[[#This Row],[ItemID C]],Katalog!$C$3:$C$12,0))*cadangan3[[#This Row],[Qty C]],0)</f>
        <v>150000</v>
      </c>
      <c r="AF585" s="36">
        <f>IFERROR(cadangan3[[#This Row],[Profit C]]-(cadangan3[[#This Row],[Profit C]]*cadangan3[[#This Row],[Diskon]]),cadangan3[[#This Row],[Profit C]])</f>
        <v>135000</v>
      </c>
      <c r="AG585" s="21">
        <f>cadangan3[[#This Row],[Qty A]]+cadangan3[[#This Row],[Qty B]]+cadangan3[[#This Row],[Qty C]]</f>
        <v>6</v>
      </c>
      <c r="AH585" s="35">
        <f>cadangan3[[#This Row],[Harga A + Diskon]]+cadangan3[[#This Row],[Harga + Diskon B]]+cadangan3[[#This Row],[Harga + Diskon C]]</f>
        <v>1755000</v>
      </c>
      <c r="AI585" s="35">
        <f>(cadangan3[[#This Row],[Profit A]]+cadangan3[[#This Row],[Profit B]]+cadangan3[[#This Row],[Profit C]])</f>
        <v>730000</v>
      </c>
      <c r="AJ585" s="35">
        <f>cadangan3[[#This Row],[Provit A + Diskon]]+cadangan3[[#This Row],[Provit B + Diskon]]+cadangan3[[#This Row],[Provit C + Diskon]]</f>
        <v>657000</v>
      </c>
      <c r="AK585" s="23" t="s">
        <v>6</v>
      </c>
      <c r="AL585" s="37">
        <f>IFERROR(INDEX('Kode Diskon'!$D$3:$D$9,MATCH(cadangan3[[#This Row],[Kode diskon]],'Kode Diskon'!$C$3:$C$9,0)),"-")</f>
        <v>0.1</v>
      </c>
      <c r="AM585" s="23" t="s">
        <v>29</v>
      </c>
      <c r="AN585" s="23" t="s">
        <v>7</v>
      </c>
      <c r="AO585" s="23" t="s">
        <v>79</v>
      </c>
      <c r="AP585" s="24">
        <v>45018</v>
      </c>
      <c r="AQ585" s="23" t="str">
        <f>TEXT(cadangan3[[#This Row],[Tanggal terjual]],"dddd")</f>
        <v>Sunday</v>
      </c>
    </row>
    <row r="586" spans="1:43" x14ac:dyDescent="0.2">
      <c r="A586" s="20">
        <v>585</v>
      </c>
      <c r="B586" s="21" t="str">
        <f>_xlfn.CONCAT("ORD-",INDEX(Helper!$B$2:$B$5,MATCH(cadangan3[[#This Row],[Marketplace]],Helper!$A$2:$A$5,0)),TEXT(cadangan3[[#This Row],[No]],"0000"),"-",TEXT(cadangan3[[#This Row],[Tanggal terjual]],"dd/mm/yy"))</f>
        <v>ORD-TK0585-24/04/23</v>
      </c>
      <c r="C586" t="s">
        <v>63</v>
      </c>
      <c r="D586" t="str">
        <f>IFERROR(INDEX(Katalog!$A$3:$A$12,MATCH(cadangan3[[#This Row],[ItemID A]],Katalog!$C$3:$C$12,0)),"-")</f>
        <v>Pakaian Pria</v>
      </c>
      <c r="E586" t="str">
        <f>IFERROR(INDEX(Katalog!$B$3:$B$12,MATCH(cadangan3[[#This Row],[ItemID A]],Katalog!$C$3:$C$12,0)),"-")</f>
        <v>Jaket Jeans</v>
      </c>
      <c r="F586">
        <v>1</v>
      </c>
      <c r="G586">
        <v>3</v>
      </c>
      <c r="H586" s="36">
        <f>IFERROR(INDEX(Katalog!$D$3:$D$12,MATCH(cadangan3[[#This Row],[ItemID A]],Katalog!$C$3:$C$12,0))*cadangan3[[#This Row],[Qty A]],0)</f>
        <v>400000</v>
      </c>
      <c r="I586" s="36">
        <f>IFERROR(INDEX(Katalog!$D$3:$D$12,MATCH(cadangan3[[#This Row],[Item A]],Katalog!$B$3:$B$12,0))*cadangan3[[#This Row],[Qty A]],0)</f>
        <v>400000</v>
      </c>
      <c r="J586" s="36">
        <f>IFERROR(cadangan3[[#This Row],[Harga Asli A]]-(cadangan3[[#This Row],[Harga Asli A]]*cadangan3[[#This Row],[Diskon]]),cadangan3[[#This Row],[Harga Asli A]])</f>
        <v>360000</v>
      </c>
      <c r="K586" s="36">
        <f>INDEX(Katalog!$F$3:$F$12,MATCH(cadangan3[[#This Row],[ItemID A]],Katalog!$C$3:$C$12,0))*cadangan3[[#This Row],[Qty A]]</f>
        <v>150000</v>
      </c>
      <c r="L586" s="36">
        <f>IFERROR(cadangan3[[#This Row],[Profit A]]-(cadangan3[[#This Row],[Profit A]]*cadangan3[[#This Row],[Diskon]]),K586)</f>
        <v>135000</v>
      </c>
      <c r="N586" t="str">
        <f>IFERROR(INDEX(Katalog!$A$3:$A$12,MATCH(cadangan3[[#This Row],[ItemID B]],Katalog!$C$3:$C$12,0)),"-")</f>
        <v>-</v>
      </c>
      <c r="O586" t="str">
        <f>IFERROR(INDEX(Katalog!$B$3:$B$12,MATCH(cadangan3[[#This Row],[ItemID B]],Katalog!$C$3:$C$12,0)),"-")</f>
        <v>-</v>
      </c>
      <c r="R586" s="36">
        <f>IFERROR(INDEX(Katalog!$D$3:$D$12,MATCH(cadangan3[[#This Row],[ItemID B]],Katalog!$C$3:$C$12,0))*cadangan3[[#This Row],[Qty B]],0)</f>
        <v>0</v>
      </c>
      <c r="S586" s="36">
        <f>IFERROR(INDEX(Katalog!$D$3:$D$12,MATCH(cadangan3[[#This Row],[Item B]],Katalog!$B$3:$B$12,0))*cadangan3[[#This Row],[Qty B]],0)</f>
        <v>0</v>
      </c>
      <c r="T586" s="36">
        <f>IFERROR(cadangan3[[#This Row],[Harga Asli B]]-(cadangan3[[#This Row],[Harga Asli B]]*cadangan3[[#This Row],[Diskon]]),cadangan3[[#This Row],[Harga Asli B]])</f>
        <v>0</v>
      </c>
      <c r="U586" s="36">
        <f>IFERROR(INDEX(Katalog!$F$3:$F$12,MATCH(cadangan3[[#This Row],[ItemID B]],Katalog!$C$3:$C$12,0))*cadangan3[[#This Row],[Qty B]],0)</f>
        <v>0</v>
      </c>
      <c r="V586" s="36">
        <f>IFERROR(cadangan3[[#This Row],[Profit B]]-(cadangan3[[#This Row],[Profit B]]*cadangan3[[#This Row],[Diskon]]),U586)</f>
        <v>0</v>
      </c>
      <c r="X586" t="str">
        <f>IFERROR(INDEX(Katalog!$A$3:$A$12,MATCH(cadangan3[[#This Row],[ItemID C]],Katalog!$C$3:$C$12,0)),"-")</f>
        <v>-</v>
      </c>
      <c r="Y586" t="str">
        <f>IFERROR(INDEX(Katalog!$B$3:$B$12,MATCH(cadangan3[[#This Row],[ItemID C]],Katalog!$C$3:$C$12,0)),"-")</f>
        <v>-</v>
      </c>
      <c r="AB586" s="36">
        <f>IFERROR(INDEX(Katalog!$D$3:$D$12,MATCH(cadangan3[[#This Row],[ItemID C]],Katalog!$C$3:$C$12,0))*cadangan3[[#This Row],[Qty C]],0)</f>
        <v>0</v>
      </c>
      <c r="AC586" s="36">
        <f>IFERROR(INDEX(Katalog!$D$3:$D$12,MATCH(cadangan3[[#This Row],[Item C]],Katalog!$B$3:$B$12,0))*cadangan3[[#This Row],[Qty C]],0)</f>
        <v>0</v>
      </c>
      <c r="AD586" s="36">
        <f>IFERROR(cadangan3[[#This Row],[Harga Asli C]]-(cadangan3[[#This Row],[Harga Asli C]]*cadangan3[[#This Row],[Diskon]]),cadangan3[[#This Row],[Harga Asli C]])</f>
        <v>0</v>
      </c>
      <c r="AE586" s="36">
        <f>IFERROR(INDEX(Katalog!$F$3:$F$12,MATCH(cadangan3[[#This Row],[ItemID C]],Katalog!$C$3:$C$12,0))*cadangan3[[#This Row],[Qty C]],0)</f>
        <v>0</v>
      </c>
      <c r="AF586" s="36">
        <f>IFERROR(cadangan3[[#This Row],[Profit C]]-(cadangan3[[#This Row],[Profit C]]*cadangan3[[#This Row],[Diskon]]),cadangan3[[#This Row],[Profit C]])</f>
        <v>0</v>
      </c>
      <c r="AG586" s="21">
        <f>cadangan3[[#This Row],[Qty A]]+cadangan3[[#This Row],[Qty B]]+cadangan3[[#This Row],[Qty C]]</f>
        <v>1</v>
      </c>
      <c r="AH586" s="35">
        <f>cadangan3[[#This Row],[Harga A + Diskon]]+cadangan3[[#This Row],[Harga + Diskon B]]+cadangan3[[#This Row],[Harga + Diskon C]]</f>
        <v>360000</v>
      </c>
      <c r="AI586" s="35">
        <f>(cadangan3[[#This Row],[Profit A]]+cadangan3[[#This Row],[Profit B]]+cadangan3[[#This Row],[Profit C]])</f>
        <v>150000</v>
      </c>
      <c r="AJ586" s="35">
        <f>cadangan3[[#This Row],[Provit A + Diskon]]+cadangan3[[#This Row],[Provit B + Diskon]]+cadangan3[[#This Row],[Provit C + Diskon]]</f>
        <v>135000</v>
      </c>
      <c r="AK586" s="23" t="s">
        <v>31</v>
      </c>
      <c r="AL586" s="37">
        <f>IFERROR(INDEX('Kode Diskon'!$D$3:$D$9,MATCH(cadangan3[[#This Row],[Kode diskon]],'Kode Diskon'!$C$3:$C$9,0)),"-")</f>
        <v>0.1</v>
      </c>
      <c r="AM586" s="23" t="s">
        <v>9</v>
      </c>
      <c r="AN586" s="23" t="s">
        <v>10</v>
      </c>
      <c r="AO586" s="23" t="s">
        <v>76</v>
      </c>
      <c r="AP586" s="24">
        <v>45040</v>
      </c>
      <c r="AQ586" s="23" t="str">
        <f>TEXT(cadangan3[[#This Row],[Tanggal terjual]],"dddd")</f>
        <v>Monday</v>
      </c>
    </row>
    <row r="587" spans="1:43" x14ac:dyDescent="0.2">
      <c r="A587" s="20">
        <v>586</v>
      </c>
      <c r="B587" s="21" t="str">
        <f>_xlfn.CONCAT("ORD-",INDEX(Helper!$B$2:$B$5,MATCH(cadangan3[[#This Row],[Marketplace]],Helper!$A$2:$A$5,0)),TEXT(cadangan3[[#This Row],[No]],"0000"),"-",TEXT(cadangan3[[#This Row],[Tanggal terjual]],"dd/mm/yy"))</f>
        <v>ORD-SP0586-04/04/23</v>
      </c>
      <c r="C587" t="s">
        <v>60</v>
      </c>
      <c r="D587" t="str">
        <f>IFERROR(INDEX(Katalog!$A$3:$A$12,MATCH(cadangan3[[#This Row],[ItemID A]],Katalog!$C$3:$C$12,0)),"-")</f>
        <v>Pakaian Wanita</v>
      </c>
      <c r="E587" t="str">
        <f>IFERROR(INDEX(Katalog!$B$3:$B$12,MATCH(cadangan3[[#This Row],[ItemID A]],Katalog!$C$3:$C$12,0)),"-")</f>
        <v>Kaftan</v>
      </c>
      <c r="F587">
        <v>3</v>
      </c>
      <c r="G587">
        <v>4</v>
      </c>
      <c r="H587" s="36">
        <f>IFERROR(INDEX(Katalog!$D$3:$D$12,MATCH(cadangan3[[#This Row],[ItemID A]],Katalog!$C$3:$C$12,0))*cadangan3[[#This Row],[Qty A]],0)</f>
        <v>750000</v>
      </c>
      <c r="I587" s="36">
        <f>IFERROR(INDEX(Katalog!$D$3:$D$12,MATCH(cadangan3[[#This Row],[Item A]],Katalog!$B$3:$B$12,0))*cadangan3[[#This Row],[Qty A]],0)</f>
        <v>750000</v>
      </c>
      <c r="J587" s="36">
        <f>IFERROR(cadangan3[[#This Row],[Harga Asli A]]-(cadangan3[[#This Row],[Harga Asli A]]*cadangan3[[#This Row],[Diskon]]),cadangan3[[#This Row],[Harga Asli A]])</f>
        <v>675000</v>
      </c>
      <c r="K587" s="36">
        <f>INDEX(Katalog!$F$3:$F$12,MATCH(cadangan3[[#This Row],[ItemID A]],Katalog!$C$3:$C$12,0))*cadangan3[[#This Row],[Qty A]]</f>
        <v>300000</v>
      </c>
      <c r="L587" s="36">
        <f>IFERROR(cadangan3[[#This Row],[Profit A]]-(cadangan3[[#This Row],[Profit A]]*cadangan3[[#This Row],[Diskon]]),K587)</f>
        <v>270000</v>
      </c>
      <c r="M587" t="s">
        <v>59</v>
      </c>
      <c r="N587" t="str">
        <f>IFERROR(INDEX(Katalog!$A$3:$A$12,MATCH(cadangan3[[#This Row],[ItemID B]],Katalog!$C$3:$C$12,0)),"-")</f>
        <v>Pakaian Wanita</v>
      </c>
      <c r="O587" t="str">
        <f>IFERROR(INDEX(Katalog!$B$3:$B$12,MATCH(cadangan3[[#This Row],[ItemID B]],Katalog!$C$3:$C$12,0)),"-")</f>
        <v>Blouse</v>
      </c>
      <c r="P587">
        <v>4</v>
      </c>
      <c r="Q587">
        <v>3</v>
      </c>
      <c r="R587" s="36">
        <f>IFERROR(INDEX(Katalog!$D$3:$D$12,MATCH(cadangan3[[#This Row],[ItemID B]],Katalog!$C$3:$C$12,0))*cadangan3[[#This Row],[Qty B]],0)</f>
        <v>600000</v>
      </c>
      <c r="S587" s="36">
        <f>IFERROR(INDEX(Katalog!$D$3:$D$12,MATCH(cadangan3[[#This Row],[Item B]],Katalog!$B$3:$B$12,0))*cadangan3[[#This Row],[Qty B]],0)</f>
        <v>600000</v>
      </c>
      <c r="T587" s="36">
        <f>IFERROR(cadangan3[[#This Row],[Harga Asli B]]-(cadangan3[[#This Row],[Harga Asli B]]*cadangan3[[#This Row],[Diskon]]),cadangan3[[#This Row],[Harga Asli B]])</f>
        <v>540000</v>
      </c>
      <c r="U587" s="36">
        <f>IFERROR(INDEX(Katalog!$F$3:$F$12,MATCH(cadangan3[[#This Row],[ItemID B]],Katalog!$C$3:$C$12,0))*cadangan3[[#This Row],[Qty B]],0)</f>
        <v>200000</v>
      </c>
      <c r="V587" s="36">
        <f>IFERROR(cadangan3[[#This Row],[Profit B]]-(cadangan3[[#This Row],[Profit B]]*cadangan3[[#This Row],[Diskon]]),U587)</f>
        <v>180000</v>
      </c>
      <c r="X587" t="str">
        <f>IFERROR(INDEX(Katalog!$A$3:$A$12,MATCH(cadangan3[[#This Row],[ItemID C]],Katalog!$C$3:$C$12,0)),"-")</f>
        <v>-</v>
      </c>
      <c r="Y587" t="str">
        <f>IFERROR(INDEX(Katalog!$B$3:$B$12,MATCH(cadangan3[[#This Row],[ItemID C]],Katalog!$C$3:$C$12,0)),"-")</f>
        <v>-</v>
      </c>
      <c r="AB587" s="36">
        <f>IFERROR(INDEX(Katalog!$D$3:$D$12,MATCH(cadangan3[[#This Row],[ItemID C]],Katalog!$C$3:$C$12,0))*cadangan3[[#This Row],[Qty C]],0)</f>
        <v>0</v>
      </c>
      <c r="AC587" s="36">
        <f>IFERROR(INDEX(Katalog!$D$3:$D$12,MATCH(cadangan3[[#This Row],[Item C]],Katalog!$B$3:$B$12,0))*cadangan3[[#This Row],[Qty C]],0)</f>
        <v>0</v>
      </c>
      <c r="AD587" s="36">
        <f>IFERROR(cadangan3[[#This Row],[Harga Asli C]]-(cadangan3[[#This Row],[Harga Asli C]]*cadangan3[[#This Row],[Diskon]]),cadangan3[[#This Row],[Harga Asli C]])</f>
        <v>0</v>
      </c>
      <c r="AE587" s="36">
        <f>IFERROR(INDEX(Katalog!$F$3:$F$12,MATCH(cadangan3[[#This Row],[ItemID C]],Katalog!$C$3:$C$12,0))*cadangan3[[#This Row],[Qty C]],0)</f>
        <v>0</v>
      </c>
      <c r="AF587" s="36">
        <f>IFERROR(cadangan3[[#This Row],[Profit C]]-(cadangan3[[#This Row],[Profit C]]*cadangan3[[#This Row],[Diskon]]),cadangan3[[#This Row],[Profit C]])</f>
        <v>0</v>
      </c>
      <c r="AG587" s="21">
        <f>cadangan3[[#This Row],[Qty A]]+cadangan3[[#This Row],[Qty B]]+cadangan3[[#This Row],[Qty C]]</f>
        <v>7</v>
      </c>
      <c r="AH587" s="35">
        <f>cadangan3[[#This Row],[Harga A + Diskon]]+cadangan3[[#This Row],[Harga + Diskon B]]+cadangan3[[#This Row],[Harga + Diskon C]]</f>
        <v>1215000</v>
      </c>
      <c r="AI587" s="35">
        <f>(cadangan3[[#This Row],[Profit A]]+cadangan3[[#This Row],[Profit B]]+cadangan3[[#This Row],[Profit C]])</f>
        <v>500000</v>
      </c>
      <c r="AJ587" s="35">
        <f>cadangan3[[#This Row],[Provit A + Diskon]]+cadangan3[[#This Row],[Provit B + Diskon]]+cadangan3[[#This Row],[Provit C + Diskon]]</f>
        <v>450000</v>
      </c>
      <c r="AK587" s="23" t="s">
        <v>6</v>
      </c>
      <c r="AL587" s="37">
        <f>IFERROR(INDEX('Kode Diskon'!$D$3:$D$9,MATCH(cadangan3[[#This Row],[Kode diskon]],'Kode Diskon'!$C$3:$C$9,0)),"-")</f>
        <v>0.1</v>
      </c>
      <c r="AM587" s="23" t="s">
        <v>29</v>
      </c>
      <c r="AN587" s="23" t="s">
        <v>7</v>
      </c>
      <c r="AO587" s="23" t="s">
        <v>80</v>
      </c>
      <c r="AP587" s="24">
        <v>45020</v>
      </c>
      <c r="AQ587" s="23" t="str">
        <f>TEXT(cadangan3[[#This Row],[Tanggal terjual]],"dddd")</f>
        <v>Tuesday</v>
      </c>
    </row>
    <row r="588" spans="1:43" x14ac:dyDescent="0.2">
      <c r="A588" s="20">
        <v>587</v>
      </c>
      <c r="B588" s="21" t="str">
        <f>_xlfn.CONCAT("ORD-",INDEX(Helper!$B$2:$B$5,MATCH(cadangan3[[#This Row],[Marketplace]],Helper!$A$2:$A$5,0)),TEXT(cadangan3[[#This Row],[No]],"0000"),"-",TEXT(cadangan3[[#This Row],[Tanggal terjual]],"dd/mm/yy"))</f>
        <v>ORD-SP0587-05/04/23</v>
      </c>
      <c r="C588" t="s">
        <v>60</v>
      </c>
      <c r="D588" t="str">
        <f>IFERROR(INDEX(Katalog!$A$3:$A$12,MATCH(cadangan3[[#This Row],[ItemID A]],Katalog!$C$3:$C$12,0)),"-")</f>
        <v>Pakaian Wanita</v>
      </c>
      <c r="E588" t="str">
        <f>IFERROR(INDEX(Katalog!$B$3:$B$12,MATCH(cadangan3[[#This Row],[ItemID A]],Katalog!$C$3:$C$12,0)),"-")</f>
        <v>Kaftan</v>
      </c>
      <c r="F588">
        <v>1</v>
      </c>
      <c r="G588">
        <v>3</v>
      </c>
      <c r="H588" s="36">
        <f>IFERROR(INDEX(Katalog!$D$3:$D$12,MATCH(cadangan3[[#This Row],[ItemID A]],Katalog!$C$3:$C$12,0))*cadangan3[[#This Row],[Qty A]],0)</f>
        <v>250000</v>
      </c>
      <c r="I588" s="36">
        <f>IFERROR(INDEX(Katalog!$D$3:$D$12,MATCH(cadangan3[[#This Row],[Item A]],Katalog!$B$3:$B$12,0))*cadangan3[[#This Row],[Qty A]],0)</f>
        <v>250000</v>
      </c>
      <c r="J588" s="36">
        <f>IFERROR(cadangan3[[#This Row],[Harga Asli A]]-(cadangan3[[#This Row],[Harga Asli A]]*cadangan3[[#This Row],[Diskon]]),cadangan3[[#This Row],[Harga Asli A]])</f>
        <v>225000</v>
      </c>
      <c r="K588" s="36">
        <f>INDEX(Katalog!$F$3:$F$12,MATCH(cadangan3[[#This Row],[ItemID A]],Katalog!$C$3:$C$12,0))*cadangan3[[#This Row],[Qty A]]</f>
        <v>100000</v>
      </c>
      <c r="L588" s="36">
        <f>IFERROR(cadangan3[[#This Row],[Profit A]]-(cadangan3[[#This Row],[Profit A]]*cadangan3[[#This Row],[Diskon]]),K588)</f>
        <v>90000</v>
      </c>
      <c r="N588" t="str">
        <f>IFERROR(INDEX(Katalog!$A$3:$A$12,MATCH(cadangan3[[#This Row],[ItemID B]],Katalog!$C$3:$C$12,0)),"-")</f>
        <v>-</v>
      </c>
      <c r="O588" t="str">
        <f>IFERROR(INDEX(Katalog!$B$3:$B$12,MATCH(cadangan3[[#This Row],[ItemID B]],Katalog!$C$3:$C$12,0)),"-")</f>
        <v>-</v>
      </c>
      <c r="R588" s="36">
        <f>IFERROR(INDEX(Katalog!$D$3:$D$12,MATCH(cadangan3[[#This Row],[ItemID B]],Katalog!$C$3:$C$12,0))*cadangan3[[#This Row],[Qty B]],0)</f>
        <v>0</v>
      </c>
      <c r="S588" s="36">
        <f>IFERROR(INDEX(Katalog!$D$3:$D$12,MATCH(cadangan3[[#This Row],[Item B]],Katalog!$B$3:$B$12,0))*cadangan3[[#This Row],[Qty B]],0)</f>
        <v>0</v>
      </c>
      <c r="T588" s="36">
        <f>IFERROR(cadangan3[[#This Row],[Harga Asli B]]-(cadangan3[[#This Row],[Harga Asli B]]*cadangan3[[#This Row],[Diskon]]),cadangan3[[#This Row],[Harga Asli B]])</f>
        <v>0</v>
      </c>
      <c r="U588" s="36">
        <f>IFERROR(INDEX(Katalog!$F$3:$F$12,MATCH(cadangan3[[#This Row],[ItemID B]],Katalog!$C$3:$C$12,0))*cadangan3[[#This Row],[Qty B]],0)</f>
        <v>0</v>
      </c>
      <c r="V588" s="36">
        <f>IFERROR(cadangan3[[#This Row],[Profit B]]-(cadangan3[[#This Row],[Profit B]]*cadangan3[[#This Row],[Diskon]]),U588)</f>
        <v>0</v>
      </c>
      <c r="X588" t="str">
        <f>IFERROR(INDEX(Katalog!$A$3:$A$12,MATCH(cadangan3[[#This Row],[ItemID C]],Katalog!$C$3:$C$12,0)),"-")</f>
        <v>-</v>
      </c>
      <c r="Y588" t="str">
        <f>IFERROR(INDEX(Katalog!$B$3:$B$12,MATCH(cadangan3[[#This Row],[ItemID C]],Katalog!$C$3:$C$12,0)),"-")</f>
        <v>-</v>
      </c>
      <c r="AB588" s="36">
        <f>IFERROR(INDEX(Katalog!$D$3:$D$12,MATCH(cadangan3[[#This Row],[ItemID C]],Katalog!$C$3:$C$12,0))*cadangan3[[#This Row],[Qty C]],0)</f>
        <v>0</v>
      </c>
      <c r="AC588" s="36">
        <f>IFERROR(INDEX(Katalog!$D$3:$D$12,MATCH(cadangan3[[#This Row],[Item C]],Katalog!$B$3:$B$12,0))*cadangan3[[#This Row],[Qty C]],0)</f>
        <v>0</v>
      </c>
      <c r="AD588" s="36">
        <f>IFERROR(cadangan3[[#This Row],[Harga Asli C]]-(cadangan3[[#This Row],[Harga Asli C]]*cadangan3[[#This Row],[Diskon]]),cadangan3[[#This Row],[Harga Asli C]])</f>
        <v>0</v>
      </c>
      <c r="AE588" s="36">
        <f>IFERROR(INDEX(Katalog!$F$3:$F$12,MATCH(cadangan3[[#This Row],[ItemID C]],Katalog!$C$3:$C$12,0))*cadangan3[[#This Row],[Qty C]],0)</f>
        <v>0</v>
      </c>
      <c r="AF588" s="36">
        <f>IFERROR(cadangan3[[#This Row],[Profit C]]-(cadangan3[[#This Row],[Profit C]]*cadangan3[[#This Row],[Diskon]]),cadangan3[[#This Row],[Profit C]])</f>
        <v>0</v>
      </c>
      <c r="AG588" s="21">
        <f>cadangan3[[#This Row],[Qty A]]+cadangan3[[#This Row],[Qty B]]+cadangan3[[#This Row],[Qty C]]</f>
        <v>1</v>
      </c>
      <c r="AH588" s="35">
        <f>cadangan3[[#This Row],[Harga A + Diskon]]+cadangan3[[#This Row],[Harga + Diskon B]]+cadangan3[[#This Row],[Harga + Diskon C]]</f>
        <v>225000</v>
      </c>
      <c r="AI588" s="35">
        <f>(cadangan3[[#This Row],[Profit A]]+cadangan3[[#This Row],[Profit B]]+cadangan3[[#This Row],[Profit C]])</f>
        <v>100000</v>
      </c>
      <c r="AJ588" s="35">
        <f>cadangan3[[#This Row],[Provit A + Diskon]]+cadangan3[[#This Row],[Provit B + Diskon]]+cadangan3[[#This Row],[Provit C + Diskon]]</f>
        <v>90000</v>
      </c>
      <c r="AK588" s="23" t="s">
        <v>6</v>
      </c>
      <c r="AL588" s="37">
        <f>IFERROR(INDEX('Kode Diskon'!$D$3:$D$9,MATCH(cadangan3[[#This Row],[Kode diskon]],'Kode Diskon'!$C$3:$C$9,0)),"-")</f>
        <v>0.1</v>
      </c>
      <c r="AM588" s="23" t="s">
        <v>29</v>
      </c>
      <c r="AN588" s="23" t="s">
        <v>7</v>
      </c>
      <c r="AO588" s="23" t="s">
        <v>77</v>
      </c>
      <c r="AP588" s="24">
        <v>45021</v>
      </c>
      <c r="AQ588" s="23" t="str">
        <f>TEXT(cadangan3[[#This Row],[Tanggal terjual]],"dddd")</f>
        <v>Wednesday</v>
      </c>
    </row>
    <row r="589" spans="1:43" x14ac:dyDescent="0.2">
      <c r="A589" s="20">
        <v>588</v>
      </c>
      <c r="B589" s="21" t="str">
        <f>_xlfn.CONCAT("ORD-",INDEX(Helper!$B$2:$B$5,MATCH(cadangan3[[#This Row],[Marketplace]],Helper!$A$2:$A$5,0)),TEXT(cadangan3[[#This Row],[No]],"0000"),"-",TEXT(cadangan3[[#This Row],[Tanggal terjual]],"dd/mm/yy"))</f>
        <v>ORD-BB0588-06/04/23</v>
      </c>
      <c r="C589" t="s">
        <v>67</v>
      </c>
      <c r="D589" t="str">
        <f>IFERROR(INDEX(Katalog!$A$3:$A$12,MATCH(cadangan3[[#This Row],[ItemID A]],Katalog!$C$3:$C$12,0)),"-")</f>
        <v>Sepatu Wanita</v>
      </c>
      <c r="E589" t="str">
        <f>IFERROR(INDEX(Katalog!$B$3:$B$12,MATCH(cadangan3[[#This Row],[ItemID A]],Katalog!$C$3:$C$12,0)),"-")</f>
        <v>Flat Shoes</v>
      </c>
      <c r="F589">
        <v>4</v>
      </c>
      <c r="G589">
        <v>4</v>
      </c>
      <c r="H589" s="36">
        <f>IFERROR(INDEX(Katalog!$D$3:$D$12,MATCH(cadangan3[[#This Row],[ItemID A]],Katalog!$C$3:$C$12,0))*cadangan3[[#This Row],[Qty A]],0)</f>
        <v>1000000</v>
      </c>
      <c r="I589" s="36">
        <f>IFERROR(INDEX(Katalog!$D$3:$D$12,MATCH(cadangan3[[#This Row],[Item A]],Katalog!$B$3:$B$12,0))*cadangan3[[#This Row],[Qty A]],0)</f>
        <v>1000000</v>
      </c>
      <c r="J589" s="36">
        <f>IFERROR(cadangan3[[#This Row],[Harga Asli A]]-(cadangan3[[#This Row],[Harga Asli A]]*cadangan3[[#This Row],[Diskon]]),cadangan3[[#This Row],[Harga Asli A]])</f>
        <v>850000</v>
      </c>
      <c r="K589" s="36">
        <f>INDEX(Katalog!$F$3:$F$12,MATCH(cadangan3[[#This Row],[ItemID A]],Katalog!$C$3:$C$12,0))*cadangan3[[#This Row],[Qty A]]</f>
        <v>400000</v>
      </c>
      <c r="L589" s="36">
        <f>IFERROR(cadangan3[[#This Row],[Profit A]]-(cadangan3[[#This Row],[Profit A]]*cadangan3[[#This Row],[Diskon]]),K589)</f>
        <v>340000</v>
      </c>
      <c r="N589" t="str">
        <f>IFERROR(INDEX(Katalog!$A$3:$A$12,MATCH(cadangan3[[#This Row],[ItemID B]],Katalog!$C$3:$C$12,0)),"-")</f>
        <v>-</v>
      </c>
      <c r="O589" t="str">
        <f>IFERROR(INDEX(Katalog!$B$3:$B$12,MATCH(cadangan3[[#This Row],[ItemID B]],Katalog!$C$3:$C$12,0)),"-")</f>
        <v>-</v>
      </c>
      <c r="R589" s="36">
        <f>IFERROR(INDEX(Katalog!$D$3:$D$12,MATCH(cadangan3[[#This Row],[ItemID B]],Katalog!$C$3:$C$12,0))*cadangan3[[#This Row],[Qty B]],0)</f>
        <v>0</v>
      </c>
      <c r="S589" s="36">
        <f>IFERROR(INDEX(Katalog!$D$3:$D$12,MATCH(cadangan3[[#This Row],[Item B]],Katalog!$B$3:$B$12,0))*cadangan3[[#This Row],[Qty B]],0)</f>
        <v>0</v>
      </c>
      <c r="T589" s="36">
        <f>IFERROR(cadangan3[[#This Row],[Harga Asli B]]-(cadangan3[[#This Row],[Harga Asli B]]*cadangan3[[#This Row],[Diskon]]),cadangan3[[#This Row],[Harga Asli B]])</f>
        <v>0</v>
      </c>
      <c r="U589" s="36">
        <f>IFERROR(INDEX(Katalog!$F$3:$F$12,MATCH(cadangan3[[#This Row],[ItemID B]],Katalog!$C$3:$C$12,0))*cadangan3[[#This Row],[Qty B]],0)</f>
        <v>0</v>
      </c>
      <c r="V589" s="36">
        <f>IFERROR(cadangan3[[#This Row],[Profit B]]-(cadangan3[[#This Row],[Profit B]]*cadangan3[[#This Row],[Diskon]]),U589)</f>
        <v>0</v>
      </c>
      <c r="X589" t="str">
        <f>IFERROR(INDEX(Katalog!$A$3:$A$12,MATCH(cadangan3[[#This Row],[ItemID C]],Katalog!$C$3:$C$12,0)),"-")</f>
        <v>-</v>
      </c>
      <c r="Y589" t="str">
        <f>IFERROR(INDEX(Katalog!$B$3:$B$12,MATCH(cadangan3[[#This Row],[ItemID C]],Katalog!$C$3:$C$12,0)),"-")</f>
        <v>-</v>
      </c>
      <c r="AB589" s="36">
        <f>IFERROR(INDEX(Katalog!$D$3:$D$12,MATCH(cadangan3[[#This Row],[ItemID C]],Katalog!$C$3:$C$12,0))*cadangan3[[#This Row],[Qty C]],0)</f>
        <v>0</v>
      </c>
      <c r="AC589" s="36">
        <f>IFERROR(INDEX(Katalog!$D$3:$D$12,MATCH(cadangan3[[#This Row],[Item C]],Katalog!$B$3:$B$12,0))*cadangan3[[#This Row],[Qty C]],0)</f>
        <v>0</v>
      </c>
      <c r="AD589" s="36">
        <f>IFERROR(cadangan3[[#This Row],[Harga Asli C]]-(cadangan3[[#This Row],[Harga Asli C]]*cadangan3[[#This Row],[Diskon]]),cadangan3[[#This Row],[Harga Asli C]])</f>
        <v>0</v>
      </c>
      <c r="AE589" s="36">
        <f>IFERROR(INDEX(Katalog!$F$3:$F$12,MATCH(cadangan3[[#This Row],[ItemID C]],Katalog!$C$3:$C$12,0))*cadangan3[[#This Row],[Qty C]],0)</f>
        <v>0</v>
      </c>
      <c r="AF589" s="36">
        <f>IFERROR(cadangan3[[#This Row],[Profit C]]-(cadangan3[[#This Row],[Profit C]]*cadangan3[[#This Row],[Diskon]]),cadangan3[[#This Row],[Profit C]])</f>
        <v>0</v>
      </c>
      <c r="AG589" s="21">
        <f>cadangan3[[#This Row],[Qty A]]+cadangan3[[#This Row],[Qty B]]+cadangan3[[#This Row],[Qty C]]</f>
        <v>4</v>
      </c>
      <c r="AH589" s="35">
        <f>cadangan3[[#This Row],[Harga A + Diskon]]+cadangan3[[#This Row],[Harga + Diskon B]]+cadangan3[[#This Row],[Harga + Diskon C]]</f>
        <v>850000</v>
      </c>
      <c r="AI589" s="35">
        <f>(cadangan3[[#This Row],[Profit A]]+cadangan3[[#This Row],[Profit B]]+cadangan3[[#This Row],[Profit C]])</f>
        <v>400000</v>
      </c>
      <c r="AJ589" s="35">
        <f>cadangan3[[#This Row],[Provit A + Diskon]]+cadangan3[[#This Row],[Provit B + Diskon]]+cadangan3[[#This Row],[Provit C + Diskon]]</f>
        <v>340000</v>
      </c>
      <c r="AK589" s="23" t="s">
        <v>28</v>
      </c>
      <c r="AL589" s="37">
        <f>IFERROR(INDEX('Kode Diskon'!$D$3:$D$9,MATCH(cadangan3[[#This Row],[Kode diskon]],'Kode Diskon'!$C$3:$C$9,0)),"-")</f>
        <v>0.15</v>
      </c>
      <c r="AM589" s="23" t="s">
        <v>29</v>
      </c>
      <c r="AN589" s="23" t="s">
        <v>14</v>
      </c>
      <c r="AO589" s="23" t="s">
        <v>78</v>
      </c>
      <c r="AP589" s="24">
        <v>45022</v>
      </c>
      <c r="AQ589" s="23" t="str">
        <f>TEXT(cadangan3[[#This Row],[Tanggal terjual]],"dddd")</f>
        <v>Thursday</v>
      </c>
    </row>
    <row r="590" spans="1:43" x14ac:dyDescent="0.2">
      <c r="A590" s="20">
        <v>589</v>
      </c>
      <c r="B590" s="21" t="str">
        <f>_xlfn.CONCAT("ORD-",INDEX(Helper!$B$2:$B$5,MATCH(cadangan3[[#This Row],[Marketplace]],Helper!$A$2:$A$5,0)),TEXT(cadangan3[[#This Row],[No]],"0000"),"-",TEXT(cadangan3[[#This Row],[Tanggal terjual]],"dd/mm/yy"))</f>
        <v>ORD-SP0589-03/04/23</v>
      </c>
      <c r="C590" t="s">
        <v>63</v>
      </c>
      <c r="D590" t="str">
        <f>IFERROR(INDEX(Katalog!$A$3:$A$12,MATCH(cadangan3[[#This Row],[ItemID A]],Katalog!$C$3:$C$12,0)),"-")</f>
        <v>Pakaian Pria</v>
      </c>
      <c r="E590" t="str">
        <f>IFERROR(INDEX(Katalog!$B$3:$B$12,MATCH(cadangan3[[#This Row],[ItemID A]],Katalog!$C$3:$C$12,0)),"-")</f>
        <v>Jaket Jeans</v>
      </c>
      <c r="F590">
        <v>2</v>
      </c>
      <c r="G590">
        <v>4</v>
      </c>
      <c r="H590" s="36">
        <f>IFERROR(INDEX(Katalog!$D$3:$D$12,MATCH(cadangan3[[#This Row],[ItemID A]],Katalog!$C$3:$C$12,0))*cadangan3[[#This Row],[Qty A]],0)</f>
        <v>800000</v>
      </c>
      <c r="I590" s="36">
        <f>IFERROR(INDEX(Katalog!$D$3:$D$12,MATCH(cadangan3[[#This Row],[Item A]],Katalog!$B$3:$B$12,0))*cadangan3[[#This Row],[Qty A]],0)</f>
        <v>800000</v>
      </c>
      <c r="J590" s="36">
        <f>IFERROR(cadangan3[[#This Row],[Harga Asli A]]-(cadangan3[[#This Row],[Harga Asli A]]*cadangan3[[#This Row],[Diskon]]),cadangan3[[#This Row],[Harga Asli A]])</f>
        <v>720000</v>
      </c>
      <c r="K590" s="36">
        <f>INDEX(Katalog!$F$3:$F$12,MATCH(cadangan3[[#This Row],[ItemID A]],Katalog!$C$3:$C$12,0))*cadangan3[[#This Row],[Qty A]]</f>
        <v>300000</v>
      </c>
      <c r="L590" s="36">
        <f>IFERROR(cadangan3[[#This Row],[Profit A]]-(cadangan3[[#This Row],[Profit A]]*cadangan3[[#This Row],[Diskon]]),K590)</f>
        <v>270000</v>
      </c>
      <c r="M590" t="s">
        <v>59</v>
      </c>
      <c r="N590" t="str">
        <f>IFERROR(INDEX(Katalog!$A$3:$A$12,MATCH(cadangan3[[#This Row],[ItemID B]],Katalog!$C$3:$C$12,0)),"-")</f>
        <v>Pakaian Wanita</v>
      </c>
      <c r="O590" t="str">
        <f>IFERROR(INDEX(Katalog!$B$3:$B$12,MATCH(cadangan3[[#This Row],[ItemID B]],Katalog!$C$3:$C$12,0)),"-")</f>
        <v>Blouse</v>
      </c>
      <c r="P590">
        <v>3</v>
      </c>
      <c r="Q590">
        <v>3</v>
      </c>
      <c r="R590" s="36">
        <f>IFERROR(INDEX(Katalog!$D$3:$D$12,MATCH(cadangan3[[#This Row],[ItemID B]],Katalog!$C$3:$C$12,0))*cadangan3[[#This Row],[Qty B]],0)</f>
        <v>450000</v>
      </c>
      <c r="S590" s="36">
        <f>IFERROR(INDEX(Katalog!$D$3:$D$12,MATCH(cadangan3[[#This Row],[Item B]],Katalog!$B$3:$B$12,0))*cadangan3[[#This Row],[Qty B]],0)</f>
        <v>450000</v>
      </c>
      <c r="T590" s="36">
        <f>IFERROR(cadangan3[[#This Row],[Harga Asli B]]-(cadangan3[[#This Row],[Harga Asli B]]*cadangan3[[#This Row],[Diskon]]),cadangan3[[#This Row],[Harga Asli B]])</f>
        <v>405000</v>
      </c>
      <c r="U590" s="36">
        <f>IFERROR(INDEX(Katalog!$F$3:$F$12,MATCH(cadangan3[[#This Row],[ItemID B]],Katalog!$C$3:$C$12,0))*cadangan3[[#This Row],[Qty B]],0)</f>
        <v>150000</v>
      </c>
      <c r="V590" s="36">
        <f>IFERROR(cadangan3[[#This Row],[Profit B]]-(cadangan3[[#This Row],[Profit B]]*cadangan3[[#This Row],[Diskon]]),U590)</f>
        <v>135000</v>
      </c>
      <c r="X590" t="str">
        <f>IFERROR(INDEX(Katalog!$A$3:$A$12,MATCH(cadangan3[[#This Row],[ItemID C]],Katalog!$C$3:$C$12,0)),"-")</f>
        <v>-</v>
      </c>
      <c r="Y590" t="str">
        <f>IFERROR(INDEX(Katalog!$B$3:$B$12,MATCH(cadangan3[[#This Row],[ItemID C]],Katalog!$C$3:$C$12,0)),"-")</f>
        <v>-</v>
      </c>
      <c r="AB590" s="36">
        <f>IFERROR(INDEX(Katalog!$D$3:$D$12,MATCH(cadangan3[[#This Row],[ItemID C]],Katalog!$C$3:$C$12,0))*cadangan3[[#This Row],[Qty C]],0)</f>
        <v>0</v>
      </c>
      <c r="AC590" s="36">
        <f>IFERROR(INDEX(Katalog!$D$3:$D$12,MATCH(cadangan3[[#This Row],[Item C]],Katalog!$B$3:$B$12,0))*cadangan3[[#This Row],[Qty C]],0)</f>
        <v>0</v>
      </c>
      <c r="AD590" s="36">
        <f>IFERROR(cadangan3[[#This Row],[Harga Asli C]]-(cadangan3[[#This Row],[Harga Asli C]]*cadangan3[[#This Row],[Diskon]]),cadangan3[[#This Row],[Harga Asli C]])</f>
        <v>0</v>
      </c>
      <c r="AE590" s="36">
        <f>IFERROR(INDEX(Katalog!$F$3:$F$12,MATCH(cadangan3[[#This Row],[ItemID C]],Katalog!$C$3:$C$12,0))*cadangan3[[#This Row],[Qty C]],0)</f>
        <v>0</v>
      </c>
      <c r="AF590" s="36">
        <f>IFERROR(cadangan3[[#This Row],[Profit C]]-(cadangan3[[#This Row],[Profit C]]*cadangan3[[#This Row],[Diskon]]),cadangan3[[#This Row],[Profit C]])</f>
        <v>0</v>
      </c>
      <c r="AG590" s="21">
        <f>cadangan3[[#This Row],[Qty A]]+cadangan3[[#This Row],[Qty B]]+cadangan3[[#This Row],[Qty C]]</f>
        <v>5</v>
      </c>
      <c r="AH590" s="35">
        <f>cadangan3[[#This Row],[Harga A + Diskon]]+cadangan3[[#This Row],[Harga + Diskon B]]+cadangan3[[#This Row],[Harga + Diskon C]]</f>
        <v>1125000</v>
      </c>
      <c r="AI590" s="35">
        <f>(cadangan3[[#This Row],[Profit A]]+cadangan3[[#This Row],[Profit B]]+cadangan3[[#This Row],[Profit C]])</f>
        <v>450000</v>
      </c>
      <c r="AJ590" s="35">
        <f>cadangan3[[#This Row],[Provit A + Diskon]]+cadangan3[[#This Row],[Provit B + Diskon]]+cadangan3[[#This Row],[Provit C + Diskon]]</f>
        <v>405000</v>
      </c>
      <c r="AK590" s="23" t="s">
        <v>6</v>
      </c>
      <c r="AL590" s="37">
        <f>IFERROR(INDEX('Kode Diskon'!$D$3:$D$9,MATCH(cadangan3[[#This Row],[Kode diskon]],'Kode Diskon'!$C$3:$C$9,0)),"-")</f>
        <v>0.1</v>
      </c>
      <c r="AM590" s="23" t="s">
        <v>29</v>
      </c>
      <c r="AN590" s="23" t="s">
        <v>7</v>
      </c>
      <c r="AO590" s="23" t="s">
        <v>76</v>
      </c>
      <c r="AP590" s="24">
        <v>45019</v>
      </c>
      <c r="AQ590" s="23" t="str">
        <f>TEXT(cadangan3[[#This Row],[Tanggal terjual]],"dddd")</f>
        <v>Monday</v>
      </c>
    </row>
    <row r="591" spans="1:43" x14ac:dyDescent="0.2">
      <c r="A591" s="20">
        <v>590</v>
      </c>
      <c r="B591" s="21" t="str">
        <f>_xlfn.CONCAT("ORD-",INDEX(Helper!$B$2:$B$5,MATCH(cadangan3[[#This Row],[Marketplace]],Helper!$A$2:$A$5,0)),TEXT(cadangan3[[#This Row],[No]],"0000"),"-",TEXT(cadangan3[[#This Row],[Tanggal terjual]],"dd/mm/yy"))</f>
        <v>ORD-SP0590-25/04/23</v>
      </c>
      <c r="C591" t="s">
        <v>62</v>
      </c>
      <c r="D591" t="str">
        <f>IFERROR(INDEX(Katalog!$A$3:$A$12,MATCH(cadangan3[[#This Row],[ItemID A]],Katalog!$C$3:$C$12,0)),"-")</f>
        <v>Pakaian Pria</v>
      </c>
      <c r="E591" t="str">
        <f>IFERROR(INDEX(Katalog!$B$3:$B$12,MATCH(cadangan3[[#This Row],[ItemID A]],Katalog!$C$3:$C$12,0)),"-")</f>
        <v>Celana Pendek</v>
      </c>
      <c r="F591">
        <v>1</v>
      </c>
      <c r="G591">
        <v>4</v>
      </c>
      <c r="H591" s="36">
        <f>IFERROR(INDEX(Katalog!$D$3:$D$12,MATCH(cadangan3[[#This Row],[ItemID A]],Katalog!$C$3:$C$12,0))*cadangan3[[#This Row],[Qty A]],0)</f>
        <v>180000</v>
      </c>
      <c r="I591" s="36">
        <f>IFERROR(INDEX(Katalog!$D$3:$D$12,MATCH(cadangan3[[#This Row],[Item A]],Katalog!$B$3:$B$12,0))*cadangan3[[#This Row],[Qty A]],0)</f>
        <v>180000</v>
      </c>
      <c r="J591" s="36">
        <f>IFERROR(cadangan3[[#This Row],[Harga Asli A]]-(cadangan3[[#This Row],[Harga Asli A]]*cadangan3[[#This Row],[Diskon]]),cadangan3[[#This Row],[Harga Asli A]])</f>
        <v>144000</v>
      </c>
      <c r="K591" s="36">
        <f>INDEX(Katalog!$F$3:$F$12,MATCH(cadangan3[[#This Row],[ItemID A]],Katalog!$C$3:$C$12,0))*cadangan3[[#This Row],[Qty A]]</f>
        <v>70000</v>
      </c>
      <c r="L591" s="36">
        <f>IFERROR(cadangan3[[#This Row],[Profit A]]-(cadangan3[[#This Row],[Profit A]]*cadangan3[[#This Row],[Diskon]]),K591)</f>
        <v>56000</v>
      </c>
      <c r="M591" t="s">
        <v>65</v>
      </c>
      <c r="N591" t="str">
        <f>IFERROR(INDEX(Katalog!$A$3:$A$12,MATCH(cadangan3[[#This Row],[ItemID B]],Katalog!$C$3:$C$12,0)),"-")</f>
        <v>Sepatu Pria</v>
      </c>
      <c r="O591" t="str">
        <f>IFERROR(INDEX(Katalog!$B$3:$B$12,MATCH(cadangan3[[#This Row],[ItemID B]],Katalog!$C$3:$C$12,0)),"-")</f>
        <v>Sneakers</v>
      </c>
      <c r="P591">
        <v>2</v>
      </c>
      <c r="Q591">
        <v>5</v>
      </c>
      <c r="R591" s="36">
        <f>IFERROR(INDEX(Katalog!$D$3:$D$12,MATCH(cadangan3[[#This Row],[ItemID B]],Katalog!$C$3:$C$12,0))*cadangan3[[#This Row],[Qty B]],0)</f>
        <v>1000000</v>
      </c>
      <c r="S591" s="36">
        <f>IFERROR(INDEX(Katalog!$D$3:$D$12,MATCH(cadangan3[[#This Row],[Item B]],Katalog!$B$3:$B$12,0))*cadangan3[[#This Row],[Qty B]],0)</f>
        <v>1000000</v>
      </c>
      <c r="T591" s="36">
        <f>IFERROR(cadangan3[[#This Row],[Harga Asli B]]-(cadangan3[[#This Row],[Harga Asli B]]*cadangan3[[#This Row],[Diskon]]),cadangan3[[#This Row],[Harga Asli B]])</f>
        <v>800000</v>
      </c>
      <c r="U591" s="36">
        <f>IFERROR(INDEX(Katalog!$F$3:$F$12,MATCH(cadangan3[[#This Row],[ItemID B]],Katalog!$C$3:$C$12,0))*cadangan3[[#This Row],[Qty B]],0)</f>
        <v>400000</v>
      </c>
      <c r="V591" s="36">
        <f>IFERROR(cadangan3[[#This Row],[Profit B]]-(cadangan3[[#This Row],[Profit B]]*cadangan3[[#This Row],[Diskon]]),U591)</f>
        <v>320000</v>
      </c>
      <c r="W591" t="s">
        <v>66</v>
      </c>
      <c r="X591" t="str">
        <f>IFERROR(INDEX(Katalog!$A$3:$A$12,MATCH(cadangan3[[#This Row],[ItemID C]],Katalog!$C$3:$C$12,0)),"-")</f>
        <v>Sepatu Pria</v>
      </c>
      <c r="Y591" t="str">
        <f>IFERROR(INDEX(Katalog!$B$3:$B$12,MATCH(cadangan3[[#This Row],[ItemID C]],Katalog!$C$3:$C$12,0)),"-")</f>
        <v>Sandal Slip On</v>
      </c>
      <c r="Z591">
        <v>3</v>
      </c>
      <c r="AA591">
        <v>5</v>
      </c>
      <c r="AB591" s="36">
        <f>IFERROR(INDEX(Katalog!$D$3:$D$12,MATCH(cadangan3[[#This Row],[ItemID C]],Katalog!$C$3:$C$12,0))*cadangan3[[#This Row],[Qty C]],0)</f>
        <v>450000</v>
      </c>
      <c r="AC591" s="36">
        <f>IFERROR(INDEX(Katalog!$D$3:$D$12,MATCH(cadangan3[[#This Row],[Item C]],Katalog!$B$3:$B$12,0))*cadangan3[[#This Row],[Qty C]],0)</f>
        <v>450000</v>
      </c>
      <c r="AD591" s="36">
        <f>IFERROR(cadangan3[[#This Row],[Harga Asli C]]-(cadangan3[[#This Row],[Harga Asli C]]*cadangan3[[#This Row],[Diskon]]),cadangan3[[#This Row],[Harga Asli C]])</f>
        <v>360000</v>
      </c>
      <c r="AE591" s="36">
        <f>IFERROR(INDEX(Katalog!$F$3:$F$12,MATCH(cadangan3[[#This Row],[ItemID C]],Katalog!$C$3:$C$12,0))*cadangan3[[#This Row],[Qty C]],0)</f>
        <v>180000</v>
      </c>
      <c r="AF591" s="36">
        <f>IFERROR(cadangan3[[#This Row],[Profit C]]-(cadangan3[[#This Row],[Profit C]]*cadangan3[[#This Row],[Diskon]]),cadangan3[[#This Row],[Profit C]])</f>
        <v>144000</v>
      </c>
      <c r="AG591" s="21">
        <f>cadangan3[[#This Row],[Qty A]]+cadangan3[[#This Row],[Qty B]]+cadangan3[[#This Row],[Qty C]]</f>
        <v>6</v>
      </c>
      <c r="AH591" s="35">
        <f>cadangan3[[#This Row],[Harga A + Diskon]]+cadangan3[[#This Row],[Harga + Diskon B]]+cadangan3[[#This Row],[Harga + Diskon C]]</f>
        <v>1304000</v>
      </c>
      <c r="AI591" s="35">
        <f>(cadangan3[[#This Row],[Profit A]]+cadangan3[[#This Row],[Profit B]]+cadangan3[[#This Row],[Profit C]])</f>
        <v>650000</v>
      </c>
      <c r="AJ591" s="35">
        <f>cadangan3[[#This Row],[Provit A + Diskon]]+cadangan3[[#This Row],[Provit B + Diskon]]+cadangan3[[#This Row],[Provit C + Diskon]]</f>
        <v>520000</v>
      </c>
      <c r="AK591" s="23" t="s">
        <v>8</v>
      </c>
      <c r="AL591" s="37">
        <f>IFERROR(INDEX('Kode Diskon'!$D$3:$D$9,MATCH(cadangan3[[#This Row],[Kode diskon]],'Kode Diskon'!$C$3:$C$9,0)),"-")</f>
        <v>0.2</v>
      </c>
      <c r="AM591" s="23" t="s">
        <v>9</v>
      </c>
      <c r="AN591" s="23" t="s">
        <v>7</v>
      </c>
      <c r="AO591" s="23" t="s">
        <v>75</v>
      </c>
      <c r="AP591" s="24">
        <v>45041</v>
      </c>
      <c r="AQ591" s="23" t="str">
        <f>TEXT(cadangan3[[#This Row],[Tanggal terjual]],"dddd")</f>
        <v>Tuesday</v>
      </c>
    </row>
    <row r="592" spans="1:43" x14ac:dyDescent="0.2">
      <c r="A592" s="20">
        <v>591</v>
      </c>
      <c r="B592" s="21" t="str">
        <f>_xlfn.CONCAT("ORD-",INDEX(Helper!$B$2:$B$5,MATCH(cadangan3[[#This Row],[Marketplace]],Helper!$A$2:$A$5,0)),TEXT(cadangan3[[#This Row],[No]],"0000"),"-",TEXT(cadangan3[[#This Row],[Tanggal terjual]],"dd/mm/yy"))</f>
        <v>ORD-BL0591-11/04/23</v>
      </c>
      <c r="C592" t="s">
        <v>67</v>
      </c>
      <c r="D592" t="str">
        <f>IFERROR(INDEX(Katalog!$A$3:$A$12,MATCH(cadangan3[[#This Row],[ItemID A]],Katalog!$C$3:$C$12,0)),"-")</f>
        <v>Sepatu Wanita</v>
      </c>
      <c r="E592" t="str">
        <f>IFERROR(INDEX(Katalog!$B$3:$B$12,MATCH(cadangan3[[#This Row],[ItemID A]],Katalog!$C$3:$C$12,0)),"-")</f>
        <v>Flat Shoes</v>
      </c>
      <c r="F592">
        <v>1</v>
      </c>
      <c r="G592">
        <v>4</v>
      </c>
      <c r="H592" s="36">
        <f>IFERROR(INDEX(Katalog!$D$3:$D$12,MATCH(cadangan3[[#This Row],[ItemID A]],Katalog!$C$3:$C$12,0))*cadangan3[[#This Row],[Qty A]],0)</f>
        <v>250000</v>
      </c>
      <c r="I592" s="36">
        <f>IFERROR(INDEX(Katalog!$D$3:$D$12,MATCH(cadangan3[[#This Row],[Item A]],Katalog!$B$3:$B$12,0))*cadangan3[[#This Row],[Qty A]],0)</f>
        <v>250000</v>
      </c>
      <c r="J592" s="36">
        <f>IFERROR(cadangan3[[#This Row],[Harga Asli A]]-(cadangan3[[#This Row],[Harga Asli A]]*cadangan3[[#This Row],[Diskon]]),cadangan3[[#This Row],[Harga Asli A]])</f>
        <v>250000</v>
      </c>
      <c r="K592" s="36">
        <f>INDEX(Katalog!$F$3:$F$12,MATCH(cadangan3[[#This Row],[ItemID A]],Katalog!$C$3:$C$12,0))*cadangan3[[#This Row],[Qty A]]</f>
        <v>100000</v>
      </c>
      <c r="L592" s="36">
        <f>IFERROR(cadangan3[[#This Row],[Profit A]]-(cadangan3[[#This Row],[Profit A]]*cadangan3[[#This Row],[Diskon]]),K592)</f>
        <v>100000</v>
      </c>
      <c r="M592" t="s">
        <v>62</v>
      </c>
      <c r="N592" t="str">
        <f>IFERROR(INDEX(Katalog!$A$3:$A$12,MATCH(cadangan3[[#This Row],[ItemID B]],Katalog!$C$3:$C$12,0)),"-")</f>
        <v>Pakaian Pria</v>
      </c>
      <c r="O592" t="str">
        <f>IFERROR(INDEX(Katalog!$B$3:$B$12,MATCH(cadangan3[[#This Row],[ItemID B]],Katalog!$C$3:$C$12,0)),"-")</f>
        <v>Celana Pendek</v>
      </c>
      <c r="P592">
        <v>1</v>
      </c>
      <c r="Q592">
        <v>4</v>
      </c>
      <c r="R592" s="36">
        <f>IFERROR(INDEX(Katalog!$D$3:$D$12,MATCH(cadangan3[[#This Row],[ItemID B]],Katalog!$C$3:$C$12,0))*cadangan3[[#This Row],[Qty B]],0)</f>
        <v>180000</v>
      </c>
      <c r="S592" s="36">
        <f>IFERROR(INDEX(Katalog!$D$3:$D$12,MATCH(cadangan3[[#This Row],[Item B]],Katalog!$B$3:$B$12,0))*cadangan3[[#This Row],[Qty B]],0)</f>
        <v>180000</v>
      </c>
      <c r="T592" s="36">
        <f>IFERROR(cadangan3[[#This Row],[Harga Asli B]]-(cadangan3[[#This Row],[Harga Asli B]]*cadangan3[[#This Row],[Diskon]]),cadangan3[[#This Row],[Harga Asli B]])</f>
        <v>180000</v>
      </c>
      <c r="U592" s="36">
        <f>IFERROR(INDEX(Katalog!$F$3:$F$12,MATCH(cadangan3[[#This Row],[ItemID B]],Katalog!$C$3:$C$12,0))*cadangan3[[#This Row],[Qty B]],0)</f>
        <v>70000</v>
      </c>
      <c r="V592" s="36">
        <f>IFERROR(cadangan3[[#This Row],[Profit B]]-(cadangan3[[#This Row],[Profit B]]*cadangan3[[#This Row],[Diskon]]),U592)</f>
        <v>70000</v>
      </c>
      <c r="X592" t="str">
        <f>IFERROR(INDEX(Katalog!$A$3:$A$12,MATCH(cadangan3[[#This Row],[ItemID C]],Katalog!$C$3:$C$12,0)),"-")</f>
        <v>-</v>
      </c>
      <c r="Y592" t="str">
        <f>IFERROR(INDEX(Katalog!$B$3:$B$12,MATCH(cadangan3[[#This Row],[ItemID C]],Katalog!$C$3:$C$12,0)),"-")</f>
        <v>-</v>
      </c>
      <c r="AB592" s="36">
        <f>IFERROR(INDEX(Katalog!$D$3:$D$12,MATCH(cadangan3[[#This Row],[ItemID C]],Katalog!$C$3:$C$12,0))*cadangan3[[#This Row],[Qty C]],0)</f>
        <v>0</v>
      </c>
      <c r="AC592" s="36">
        <f>IFERROR(INDEX(Katalog!$D$3:$D$12,MATCH(cadangan3[[#This Row],[Item C]],Katalog!$B$3:$B$12,0))*cadangan3[[#This Row],[Qty C]],0)</f>
        <v>0</v>
      </c>
      <c r="AD592" s="36">
        <f>IFERROR(cadangan3[[#This Row],[Harga Asli C]]-(cadangan3[[#This Row],[Harga Asli C]]*cadangan3[[#This Row],[Diskon]]),cadangan3[[#This Row],[Harga Asli C]])</f>
        <v>0</v>
      </c>
      <c r="AE592" s="36">
        <f>IFERROR(INDEX(Katalog!$F$3:$F$12,MATCH(cadangan3[[#This Row],[ItemID C]],Katalog!$C$3:$C$12,0))*cadangan3[[#This Row],[Qty C]],0)</f>
        <v>0</v>
      </c>
      <c r="AF592" s="36">
        <f>IFERROR(cadangan3[[#This Row],[Profit C]]-(cadangan3[[#This Row],[Profit C]]*cadangan3[[#This Row],[Diskon]]),cadangan3[[#This Row],[Profit C]])</f>
        <v>0</v>
      </c>
      <c r="AG592" s="21">
        <f>cadangan3[[#This Row],[Qty A]]+cadangan3[[#This Row],[Qty B]]+cadangan3[[#This Row],[Qty C]]</f>
        <v>2</v>
      </c>
      <c r="AH592" s="35">
        <f>cadangan3[[#This Row],[Harga A + Diskon]]+cadangan3[[#This Row],[Harga + Diskon B]]+cadangan3[[#This Row],[Harga + Diskon C]]</f>
        <v>430000</v>
      </c>
      <c r="AI592" s="35">
        <f>(cadangan3[[#This Row],[Profit A]]+cadangan3[[#This Row],[Profit B]]+cadangan3[[#This Row],[Profit C]])</f>
        <v>170000</v>
      </c>
      <c r="AJ592" s="35">
        <f>cadangan3[[#This Row],[Provit A + Diskon]]+cadangan3[[#This Row],[Provit B + Diskon]]+cadangan3[[#This Row],[Provit C + Diskon]]</f>
        <v>170000</v>
      </c>
      <c r="AK592" s="23" t="s">
        <v>11</v>
      </c>
      <c r="AL592" s="37" t="str">
        <f>IFERROR(INDEX('Kode Diskon'!$D$3:$D$9,MATCH(cadangan3[[#This Row],[Kode diskon]],'Kode Diskon'!$C$3:$C$9,0)),"-")</f>
        <v>-</v>
      </c>
      <c r="AM592" s="23" t="s">
        <v>11</v>
      </c>
      <c r="AN592" s="23" t="s">
        <v>12</v>
      </c>
      <c r="AO592" s="23" t="s">
        <v>78</v>
      </c>
      <c r="AP592" s="24">
        <v>45027</v>
      </c>
      <c r="AQ592" s="23" t="str">
        <f>TEXT(cadangan3[[#This Row],[Tanggal terjual]],"dddd")</f>
        <v>Tuesday</v>
      </c>
    </row>
    <row r="593" spans="1:43" x14ac:dyDescent="0.2">
      <c r="A593" s="20">
        <v>592</v>
      </c>
      <c r="B593" s="21" t="str">
        <f>_xlfn.CONCAT("ORD-",INDEX(Helper!$B$2:$B$5,MATCH(cadangan3[[#This Row],[Marketplace]],Helper!$A$2:$A$5,0)),TEXT(cadangan3[[#This Row],[No]],"0000"),"-",TEXT(cadangan3[[#This Row],[Tanggal terjual]],"dd/mm/yy"))</f>
        <v>ORD-BL0592-30/04/23</v>
      </c>
      <c r="C593" t="s">
        <v>61</v>
      </c>
      <c r="D593" t="str">
        <f>IFERROR(INDEX(Katalog!$A$3:$A$12,MATCH(cadangan3[[#This Row],[ItemID A]],Katalog!$C$3:$C$12,0)),"-")</f>
        <v>Pakaian Pria</v>
      </c>
      <c r="E593" t="str">
        <f>IFERROR(INDEX(Katalog!$B$3:$B$12,MATCH(cadangan3[[#This Row],[ItemID A]],Katalog!$C$3:$C$12,0)),"-")</f>
        <v>Kaos Polo</v>
      </c>
      <c r="F593">
        <v>1</v>
      </c>
      <c r="G593">
        <v>1</v>
      </c>
      <c r="H593" s="36">
        <f>IFERROR(INDEX(Katalog!$D$3:$D$12,MATCH(cadangan3[[#This Row],[ItemID A]],Katalog!$C$3:$C$12,0))*cadangan3[[#This Row],[Qty A]],0)</f>
        <v>200000</v>
      </c>
      <c r="I593" s="36">
        <f>IFERROR(INDEX(Katalog!$D$3:$D$12,MATCH(cadangan3[[#This Row],[Item A]],Katalog!$B$3:$B$12,0))*cadangan3[[#This Row],[Qty A]],0)</f>
        <v>200000</v>
      </c>
      <c r="J593" s="36">
        <f>IFERROR(cadangan3[[#This Row],[Harga Asli A]]-(cadangan3[[#This Row],[Harga Asli A]]*cadangan3[[#This Row],[Diskon]]),cadangan3[[#This Row],[Harga Asli A]])</f>
        <v>170000</v>
      </c>
      <c r="K593" s="36">
        <f>INDEX(Katalog!$F$3:$F$12,MATCH(cadangan3[[#This Row],[ItemID A]],Katalog!$C$3:$C$12,0))*cadangan3[[#This Row],[Qty A]]</f>
        <v>80000</v>
      </c>
      <c r="L593" s="36">
        <f>IFERROR(cadangan3[[#This Row],[Profit A]]-(cadangan3[[#This Row],[Profit A]]*cadangan3[[#This Row],[Diskon]]),K593)</f>
        <v>68000</v>
      </c>
      <c r="N593" t="str">
        <f>IFERROR(INDEX(Katalog!$A$3:$A$12,MATCH(cadangan3[[#This Row],[ItemID B]],Katalog!$C$3:$C$12,0)),"-")</f>
        <v>-</v>
      </c>
      <c r="O593" t="str">
        <f>IFERROR(INDEX(Katalog!$B$3:$B$12,MATCH(cadangan3[[#This Row],[ItemID B]],Katalog!$C$3:$C$12,0)),"-")</f>
        <v>-</v>
      </c>
      <c r="R593" s="36">
        <f>IFERROR(INDEX(Katalog!$D$3:$D$12,MATCH(cadangan3[[#This Row],[ItemID B]],Katalog!$C$3:$C$12,0))*cadangan3[[#This Row],[Qty B]],0)</f>
        <v>0</v>
      </c>
      <c r="S593" s="36">
        <f>IFERROR(INDEX(Katalog!$D$3:$D$12,MATCH(cadangan3[[#This Row],[Item B]],Katalog!$B$3:$B$12,0))*cadangan3[[#This Row],[Qty B]],0)</f>
        <v>0</v>
      </c>
      <c r="T593" s="36">
        <f>IFERROR(cadangan3[[#This Row],[Harga Asli B]]-(cadangan3[[#This Row],[Harga Asli B]]*cadangan3[[#This Row],[Diskon]]),cadangan3[[#This Row],[Harga Asli B]])</f>
        <v>0</v>
      </c>
      <c r="U593" s="36">
        <f>IFERROR(INDEX(Katalog!$F$3:$F$12,MATCH(cadangan3[[#This Row],[ItemID B]],Katalog!$C$3:$C$12,0))*cadangan3[[#This Row],[Qty B]],0)</f>
        <v>0</v>
      </c>
      <c r="V593" s="36">
        <f>IFERROR(cadangan3[[#This Row],[Profit B]]-(cadangan3[[#This Row],[Profit B]]*cadangan3[[#This Row],[Diskon]]),U593)</f>
        <v>0</v>
      </c>
      <c r="X593" t="str">
        <f>IFERROR(INDEX(Katalog!$A$3:$A$12,MATCH(cadangan3[[#This Row],[ItemID C]],Katalog!$C$3:$C$12,0)),"-")</f>
        <v>-</v>
      </c>
      <c r="Y593" t="str">
        <f>IFERROR(INDEX(Katalog!$B$3:$B$12,MATCH(cadangan3[[#This Row],[ItemID C]],Katalog!$C$3:$C$12,0)),"-")</f>
        <v>-</v>
      </c>
      <c r="AB593" s="36">
        <f>IFERROR(INDEX(Katalog!$D$3:$D$12,MATCH(cadangan3[[#This Row],[ItemID C]],Katalog!$C$3:$C$12,0))*cadangan3[[#This Row],[Qty C]],0)</f>
        <v>0</v>
      </c>
      <c r="AC593" s="36">
        <f>IFERROR(INDEX(Katalog!$D$3:$D$12,MATCH(cadangan3[[#This Row],[Item C]],Katalog!$B$3:$B$12,0))*cadangan3[[#This Row],[Qty C]],0)</f>
        <v>0</v>
      </c>
      <c r="AD593" s="36">
        <f>IFERROR(cadangan3[[#This Row],[Harga Asli C]]-(cadangan3[[#This Row],[Harga Asli C]]*cadangan3[[#This Row],[Diskon]]),cadangan3[[#This Row],[Harga Asli C]])</f>
        <v>0</v>
      </c>
      <c r="AE593" s="36">
        <f>IFERROR(INDEX(Katalog!$F$3:$F$12,MATCH(cadangan3[[#This Row],[ItemID C]],Katalog!$C$3:$C$12,0))*cadangan3[[#This Row],[Qty C]],0)</f>
        <v>0</v>
      </c>
      <c r="AF593" s="36">
        <f>IFERROR(cadangan3[[#This Row],[Profit C]]-(cadangan3[[#This Row],[Profit C]]*cadangan3[[#This Row],[Diskon]]),cadangan3[[#This Row],[Profit C]])</f>
        <v>0</v>
      </c>
      <c r="AG593" s="21">
        <f>cadangan3[[#This Row],[Qty A]]+cadangan3[[#This Row],[Qty B]]+cadangan3[[#This Row],[Qty C]]</f>
        <v>1</v>
      </c>
      <c r="AH593" s="35">
        <f>cadangan3[[#This Row],[Harga A + Diskon]]+cadangan3[[#This Row],[Harga + Diskon B]]+cadangan3[[#This Row],[Harga + Diskon C]]</f>
        <v>170000</v>
      </c>
      <c r="AI593" s="35">
        <f>(cadangan3[[#This Row],[Profit A]]+cadangan3[[#This Row],[Profit B]]+cadangan3[[#This Row],[Profit C]])</f>
        <v>80000</v>
      </c>
      <c r="AJ593" s="35">
        <f>cadangan3[[#This Row],[Provit A + Diskon]]+cadangan3[[#This Row],[Provit B + Diskon]]+cadangan3[[#This Row],[Provit C + Diskon]]</f>
        <v>68000</v>
      </c>
      <c r="AK593" s="23" t="s">
        <v>32</v>
      </c>
      <c r="AL593" s="37">
        <f>IFERROR(INDEX('Kode Diskon'!$D$3:$D$9,MATCH(cadangan3[[#This Row],[Kode diskon]],'Kode Diskon'!$C$3:$C$9,0)),"-")</f>
        <v>0.15</v>
      </c>
      <c r="AM593" s="23" t="s">
        <v>9</v>
      </c>
      <c r="AN593" s="23" t="s">
        <v>12</v>
      </c>
      <c r="AO593" s="23" t="s">
        <v>75</v>
      </c>
      <c r="AP593" s="24">
        <v>45046</v>
      </c>
      <c r="AQ593" s="23" t="str">
        <f>TEXT(cadangan3[[#This Row],[Tanggal terjual]],"dddd")</f>
        <v>Sunday</v>
      </c>
    </row>
    <row r="594" spans="1:43" x14ac:dyDescent="0.2">
      <c r="A594" s="20">
        <v>593</v>
      </c>
      <c r="B594" s="21" t="str">
        <f>_xlfn.CONCAT("ORD-",INDEX(Helper!$B$2:$B$5,MATCH(cadangan3[[#This Row],[Marketplace]],Helper!$A$2:$A$5,0)),TEXT(cadangan3[[#This Row],[No]],"0000"),"-",TEXT(cadangan3[[#This Row],[Tanggal terjual]],"dd/mm/yy"))</f>
        <v>ORD-BL0593-30/04/23</v>
      </c>
      <c r="C594" t="s">
        <v>65</v>
      </c>
      <c r="D594" t="str">
        <f>IFERROR(INDEX(Katalog!$A$3:$A$12,MATCH(cadangan3[[#This Row],[ItemID A]],Katalog!$C$3:$C$12,0)),"-")</f>
        <v>Sepatu Pria</v>
      </c>
      <c r="E594" t="str">
        <f>IFERROR(INDEX(Katalog!$B$3:$B$12,MATCH(cadangan3[[#This Row],[ItemID A]],Katalog!$C$3:$C$12,0)),"-")</f>
        <v>Sneakers</v>
      </c>
      <c r="F594">
        <v>1</v>
      </c>
      <c r="G594">
        <v>3</v>
      </c>
      <c r="H594" s="36">
        <f>IFERROR(INDEX(Katalog!$D$3:$D$12,MATCH(cadangan3[[#This Row],[ItemID A]],Katalog!$C$3:$C$12,0))*cadangan3[[#This Row],[Qty A]],0)</f>
        <v>500000</v>
      </c>
      <c r="I594" s="36">
        <f>IFERROR(INDEX(Katalog!$D$3:$D$12,MATCH(cadangan3[[#This Row],[Item A]],Katalog!$B$3:$B$12,0))*cadangan3[[#This Row],[Qty A]],0)</f>
        <v>500000</v>
      </c>
      <c r="J594" s="36">
        <f>IFERROR(cadangan3[[#This Row],[Harga Asli A]]-(cadangan3[[#This Row],[Harga Asli A]]*cadangan3[[#This Row],[Diskon]]),cadangan3[[#This Row],[Harga Asli A]])</f>
        <v>425000</v>
      </c>
      <c r="K594" s="36">
        <f>INDEX(Katalog!$F$3:$F$12,MATCH(cadangan3[[#This Row],[ItemID A]],Katalog!$C$3:$C$12,0))*cadangan3[[#This Row],[Qty A]]</f>
        <v>200000</v>
      </c>
      <c r="L594" s="36">
        <f>IFERROR(cadangan3[[#This Row],[Profit A]]-(cadangan3[[#This Row],[Profit A]]*cadangan3[[#This Row],[Diskon]]),K594)</f>
        <v>170000</v>
      </c>
      <c r="M594" t="s">
        <v>66</v>
      </c>
      <c r="N594" t="str">
        <f>IFERROR(INDEX(Katalog!$A$3:$A$12,MATCH(cadangan3[[#This Row],[ItemID B]],Katalog!$C$3:$C$12,0)),"-")</f>
        <v>Sepatu Pria</v>
      </c>
      <c r="O594" t="str">
        <f>IFERROR(INDEX(Katalog!$B$3:$B$12,MATCH(cadangan3[[#This Row],[ItemID B]],Katalog!$C$3:$C$12,0)),"-")</f>
        <v>Sandal Slip On</v>
      </c>
      <c r="P594">
        <v>1</v>
      </c>
      <c r="Q594">
        <v>3</v>
      </c>
      <c r="R594" s="36">
        <f>IFERROR(INDEX(Katalog!$D$3:$D$12,MATCH(cadangan3[[#This Row],[ItemID B]],Katalog!$C$3:$C$12,0))*cadangan3[[#This Row],[Qty B]],0)</f>
        <v>150000</v>
      </c>
      <c r="S594" s="36">
        <f>IFERROR(INDEX(Katalog!$D$3:$D$12,MATCH(cadangan3[[#This Row],[Item B]],Katalog!$B$3:$B$12,0))*cadangan3[[#This Row],[Qty B]],0)</f>
        <v>150000</v>
      </c>
      <c r="T594" s="36">
        <f>IFERROR(cadangan3[[#This Row],[Harga Asli B]]-(cadangan3[[#This Row],[Harga Asli B]]*cadangan3[[#This Row],[Diskon]]),cadangan3[[#This Row],[Harga Asli B]])</f>
        <v>127500</v>
      </c>
      <c r="U594" s="36">
        <f>IFERROR(INDEX(Katalog!$F$3:$F$12,MATCH(cadangan3[[#This Row],[ItemID B]],Katalog!$C$3:$C$12,0))*cadangan3[[#This Row],[Qty B]],0)</f>
        <v>60000</v>
      </c>
      <c r="V594" s="36">
        <f>IFERROR(cadangan3[[#This Row],[Profit B]]-(cadangan3[[#This Row],[Profit B]]*cadangan3[[#This Row],[Diskon]]),U594)</f>
        <v>51000</v>
      </c>
      <c r="X594" t="str">
        <f>IFERROR(INDEX(Katalog!$A$3:$A$12,MATCH(cadangan3[[#This Row],[ItemID C]],Katalog!$C$3:$C$12,0)),"-")</f>
        <v>-</v>
      </c>
      <c r="Y594" t="str">
        <f>IFERROR(INDEX(Katalog!$B$3:$B$12,MATCH(cadangan3[[#This Row],[ItemID C]],Katalog!$C$3:$C$12,0)),"-")</f>
        <v>-</v>
      </c>
      <c r="AB594" s="36">
        <f>IFERROR(INDEX(Katalog!$D$3:$D$12,MATCH(cadangan3[[#This Row],[ItemID C]],Katalog!$C$3:$C$12,0))*cadangan3[[#This Row],[Qty C]],0)</f>
        <v>0</v>
      </c>
      <c r="AC594" s="36">
        <f>IFERROR(INDEX(Katalog!$D$3:$D$12,MATCH(cadangan3[[#This Row],[Item C]],Katalog!$B$3:$B$12,0))*cadangan3[[#This Row],[Qty C]],0)</f>
        <v>0</v>
      </c>
      <c r="AD594" s="36">
        <f>IFERROR(cadangan3[[#This Row],[Harga Asli C]]-(cadangan3[[#This Row],[Harga Asli C]]*cadangan3[[#This Row],[Diskon]]),cadangan3[[#This Row],[Harga Asli C]])</f>
        <v>0</v>
      </c>
      <c r="AE594" s="36">
        <f>IFERROR(INDEX(Katalog!$F$3:$F$12,MATCH(cadangan3[[#This Row],[ItemID C]],Katalog!$C$3:$C$12,0))*cadangan3[[#This Row],[Qty C]],0)</f>
        <v>0</v>
      </c>
      <c r="AF594" s="36">
        <f>IFERROR(cadangan3[[#This Row],[Profit C]]-(cadangan3[[#This Row],[Profit C]]*cadangan3[[#This Row],[Diskon]]),cadangan3[[#This Row],[Profit C]])</f>
        <v>0</v>
      </c>
      <c r="AG594" s="21">
        <f>cadangan3[[#This Row],[Qty A]]+cadangan3[[#This Row],[Qty B]]+cadangan3[[#This Row],[Qty C]]</f>
        <v>2</v>
      </c>
      <c r="AH594" s="35">
        <f>cadangan3[[#This Row],[Harga A + Diskon]]+cadangan3[[#This Row],[Harga + Diskon B]]+cadangan3[[#This Row],[Harga + Diskon C]]</f>
        <v>552500</v>
      </c>
      <c r="AI594" s="35">
        <f>(cadangan3[[#This Row],[Profit A]]+cadangan3[[#This Row],[Profit B]]+cadangan3[[#This Row],[Profit C]])</f>
        <v>260000</v>
      </c>
      <c r="AJ594" s="35">
        <f>cadangan3[[#This Row],[Provit A + Diskon]]+cadangan3[[#This Row],[Provit B + Diskon]]+cadangan3[[#This Row],[Provit C + Diskon]]</f>
        <v>221000</v>
      </c>
      <c r="AK594" s="23" t="s">
        <v>32</v>
      </c>
      <c r="AL594" s="37">
        <f>IFERROR(INDEX('Kode Diskon'!$D$3:$D$9,MATCH(cadangan3[[#This Row],[Kode diskon]],'Kode Diskon'!$C$3:$C$9,0)),"-")</f>
        <v>0.15</v>
      </c>
      <c r="AM594" s="23" t="s">
        <v>9</v>
      </c>
      <c r="AN594" s="23" t="s">
        <v>12</v>
      </c>
      <c r="AO594" s="23" t="s">
        <v>76</v>
      </c>
      <c r="AP594" s="24">
        <v>45046</v>
      </c>
      <c r="AQ594" s="23" t="str">
        <f>TEXT(cadangan3[[#This Row],[Tanggal terjual]],"dddd")</f>
        <v>Sunday</v>
      </c>
    </row>
    <row r="595" spans="1:43" x14ac:dyDescent="0.2">
      <c r="A595" s="20">
        <v>594</v>
      </c>
      <c r="B595" s="21" t="str">
        <f>_xlfn.CONCAT("ORD-",INDEX(Helper!$B$2:$B$5,MATCH(cadangan3[[#This Row],[Marketplace]],Helper!$A$2:$A$5,0)),TEXT(cadangan3[[#This Row],[No]],"0000"),"-",TEXT(cadangan3[[#This Row],[Tanggal terjual]],"dd/mm/yy"))</f>
        <v>ORD-BB0594-04/04/23</v>
      </c>
      <c r="C595" t="s">
        <v>65</v>
      </c>
      <c r="D595" t="str">
        <f>IFERROR(INDEX(Katalog!$A$3:$A$12,MATCH(cadangan3[[#This Row],[ItemID A]],Katalog!$C$3:$C$12,0)),"-")</f>
        <v>Sepatu Pria</v>
      </c>
      <c r="E595" t="str">
        <f>IFERROR(INDEX(Katalog!$B$3:$B$12,MATCH(cadangan3[[#This Row],[ItemID A]],Katalog!$C$3:$C$12,0)),"-")</f>
        <v>Sneakers</v>
      </c>
      <c r="F595">
        <v>3</v>
      </c>
      <c r="G595">
        <v>5</v>
      </c>
      <c r="H595" s="36">
        <f>IFERROR(INDEX(Katalog!$D$3:$D$12,MATCH(cadangan3[[#This Row],[ItemID A]],Katalog!$C$3:$C$12,0))*cadangan3[[#This Row],[Qty A]],0)</f>
        <v>1500000</v>
      </c>
      <c r="I595" s="36">
        <f>IFERROR(INDEX(Katalog!$D$3:$D$12,MATCH(cadangan3[[#This Row],[Item A]],Katalog!$B$3:$B$12,0))*cadangan3[[#This Row],[Qty A]],0)</f>
        <v>1500000</v>
      </c>
      <c r="J595" s="36">
        <f>IFERROR(cadangan3[[#This Row],[Harga Asli A]]-(cadangan3[[#This Row],[Harga Asli A]]*cadangan3[[#This Row],[Diskon]]),cadangan3[[#This Row],[Harga Asli A]])</f>
        <v>1275000</v>
      </c>
      <c r="K595" s="36">
        <f>INDEX(Katalog!$F$3:$F$12,MATCH(cadangan3[[#This Row],[ItemID A]],Katalog!$C$3:$C$12,0))*cadangan3[[#This Row],[Qty A]]</f>
        <v>600000</v>
      </c>
      <c r="L595" s="36">
        <f>IFERROR(cadangan3[[#This Row],[Profit A]]-(cadangan3[[#This Row],[Profit A]]*cadangan3[[#This Row],[Diskon]]),K595)</f>
        <v>510000</v>
      </c>
      <c r="M595" t="s">
        <v>64</v>
      </c>
      <c r="N595" t="str">
        <f>IFERROR(INDEX(Katalog!$A$3:$A$12,MATCH(cadangan3[[#This Row],[ItemID B]],Katalog!$C$3:$C$12,0)),"-")</f>
        <v>Pakaian Unisex</v>
      </c>
      <c r="O595" t="str">
        <f>IFERROR(INDEX(Katalog!$B$3:$B$12,MATCH(cadangan3[[#This Row],[ItemID B]],Katalog!$C$3:$C$12,0)),"-")</f>
        <v>Jaket Hoodie</v>
      </c>
      <c r="P595">
        <v>3</v>
      </c>
      <c r="Q595">
        <v>5</v>
      </c>
      <c r="R595" s="36">
        <f>IFERROR(INDEX(Katalog!$D$3:$D$12,MATCH(cadangan3[[#This Row],[ItemID B]],Katalog!$C$3:$C$12,0))*cadangan3[[#This Row],[Qty B]],0)</f>
        <v>1050000</v>
      </c>
      <c r="S595" s="36">
        <f>IFERROR(INDEX(Katalog!$D$3:$D$12,MATCH(cadangan3[[#This Row],[Item B]],Katalog!$B$3:$B$12,0))*cadangan3[[#This Row],[Qty B]],0)</f>
        <v>1050000</v>
      </c>
      <c r="T595" s="36">
        <f>IFERROR(cadangan3[[#This Row],[Harga Asli B]]-(cadangan3[[#This Row],[Harga Asli B]]*cadangan3[[#This Row],[Diskon]]),cadangan3[[#This Row],[Harga Asli B]])</f>
        <v>892500</v>
      </c>
      <c r="U595" s="36">
        <f>IFERROR(INDEX(Katalog!$F$3:$F$12,MATCH(cadangan3[[#This Row],[ItemID B]],Katalog!$C$3:$C$12,0))*cadangan3[[#This Row],[Qty B]],0)</f>
        <v>390000</v>
      </c>
      <c r="V595" s="36">
        <f>IFERROR(cadangan3[[#This Row],[Profit B]]-(cadangan3[[#This Row],[Profit B]]*cadangan3[[#This Row],[Diskon]]),U595)</f>
        <v>331500</v>
      </c>
      <c r="X595" t="str">
        <f>IFERROR(INDEX(Katalog!$A$3:$A$12,MATCH(cadangan3[[#This Row],[ItemID C]],Katalog!$C$3:$C$12,0)),"-")</f>
        <v>-</v>
      </c>
      <c r="Y595" t="str">
        <f>IFERROR(INDEX(Katalog!$B$3:$B$12,MATCH(cadangan3[[#This Row],[ItemID C]],Katalog!$C$3:$C$12,0)),"-")</f>
        <v>-</v>
      </c>
      <c r="AB595" s="36">
        <f>IFERROR(INDEX(Katalog!$D$3:$D$12,MATCH(cadangan3[[#This Row],[ItemID C]],Katalog!$C$3:$C$12,0))*cadangan3[[#This Row],[Qty C]],0)</f>
        <v>0</v>
      </c>
      <c r="AC595" s="36">
        <f>IFERROR(INDEX(Katalog!$D$3:$D$12,MATCH(cadangan3[[#This Row],[Item C]],Katalog!$B$3:$B$12,0))*cadangan3[[#This Row],[Qty C]],0)</f>
        <v>0</v>
      </c>
      <c r="AD595" s="36">
        <f>IFERROR(cadangan3[[#This Row],[Harga Asli C]]-(cadangan3[[#This Row],[Harga Asli C]]*cadangan3[[#This Row],[Diskon]]),cadangan3[[#This Row],[Harga Asli C]])</f>
        <v>0</v>
      </c>
      <c r="AE595" s="36">
        <f>IFERROR(INDEX(Katalog!$F$3:$F$12,MATCH(cadangan3[[#This Row],[ItemID C]],Katalog!$C$3:$C$12,0))*cadangan3[[#This Row],[Qty C]],0)</f>
        <v>0</v>
      </c>
      <c r="AF595" s="36">
        <f>IFERROR(cadangan3[[#This Row],[Profit C]]-(cadangan3[[#This Row],[Profit C]]*cadangan3[[#This Row],[Diskon]]),cadangan3[[#This Row],[Profit C]])</f>
        <v>0</v>
      </c>
      <c r="AG595" s="21">
        <f>cadangan3[[#This Row],[Qty A]]+cadangan3[[#This Row],[Qty B]]+cadangan3[[#This Row],[Qty C]]</f>
        <v>6</v>
      </c>
      <c r="AH595" s="35">
        <f>cadangan3[[#This Row],[Harga A + Diskon]]+cadangan3[[#This Row],[Harga + Diskon B]]+cadangan3[[#This Row],[Harga + Diskon C]]</f>
        <v>2167500</v>
      </c>
      <c r="AI595" s="35">
        <f>(cadangan3[[#This Row],[Profit A]]+cadangan3[[#This Row],[Profit B]]+cadangan3[[#This Row],[Profit C]])</f>
        <v>990000</v>
      </c>
      <c r="AJ595" s="35">
        <f>cadangan3[[#This Row],[Provit A + Diskon]]+cadangan3[[#This Row],[Provit B + Diskon]]+cadangan3[[#This Row],[Provit C + Diskon]]</f>
        <v>841500</v>
      </c>
      <c r="AK595" s="23" t="s">
        <v>28</v>
      </c>
      <c r="AL595" s="37">
        <f>IFERROR(INDEX('Kode Diskon'!$D$3:$D$9,MATCH(cadangan3[[#This Row],[Kode diskon]],'Kode Diskon'!$C$3:$C$9,0)),"-")</f>
        <v>0.15</v>
      </c>
      <c r="AM595" s="23" t="s">
        <v>29</v>
      </c>
      <c r="AN595" s="23" t="s">
        <v>14</v>
      </c>
      <c r="AO595" s="23" t="s">
        <v>79</v>
      </c>
      <c r="AP595" s="24">
        <v>45020</v>
      </c>
      <c r="AQ595" s="23" t="str">
        <f>TEXT(cadangan3[[#This Row],[Tanggal terjual]],"dddd")</f>
        <v>Tuesday</v>
      </c>
    </row>
    <row r="596" spans="1:43" x14ac:dyDescent="0.2">
      <c r="A596" s="20">
        <v>595</v>
      </c>
      <c r="B596" s="21" t="str">
        <f>_xlfn.CONCAT("ORD-",INDEX(Helper!$B$2:$B$5,MATCH(cadangan3[[#This Row],[Marketplace]],Helper!$A$2:$A$5,0)),TEXT(cadangan3[[#This Row],[No]],"0000"),"-",TEXT(cadangan3[[#This Row],[Tanggal terjual]],"dd/mm/yy"))</f>
        <v>ORD-BL0595-16/04/23</v>
      </c>
      <c r="C596" t="s">
        <v>59</v>
      </c>
      <c r="D596" t="str">
        <f>IFERROR(INDEX(Katalog!$A$3:$A$12,MATCH(cadangan3[[#This Row],[ItemID A]],Katalog!$C$3:$C$12,0)),"-")</f>
        <v>Pakaian Wanita</v>
      </c>
      <c r="E596" t="str">
        <f>IFERROR(INDEX(Katalog!$B$3:$B$12,MATCH(cadangan3[[#This Row],[ItemID A]],Katalog!$C$3:$C$12,0)),"-")</f>
        <v>Blouse</v>
      </c>
      <c r="F596">
        <v>2</v>
      </c>
      <c r="G596">
        <v>3</v>
      </c>
      <c r="H596" s="36">
        <f>IFERROR(INDEX(Katalog!$D$3:$D$12,MATCH(cadangan3[[#This Row],[ItemID A]],Katalog!$C$3:$C$12,0))*cadangan3[[#This Row],[Qty A]],0)</f>
        <v>300000</v>
      </c>
      <c r="I596" s="36">
        <f>IFERROR(INDEX(Katalog!$D$3:$D$12,MATCH(cadangan3[[#This Row],[Item A]],Katalog!$B$3:$B$12,0))*cadangan3[[#This Row],[Qty A]],0)</f>
        <v>300000</v>
      </c>
      <c r="J596" s="36">
        <f>IFERROR(cadangan3[[#This Row],[Harga Asli A]]-(cadangan3[[#This Row],[Harga Asli A]]*cadangan3[[#This Row],[Diskon]]),cadangan3[[#This Row],[Harga Asli A]])</f>
        <v>255000</v>
      </c>
      <c r="K596" s="36">
        <f>INDEX(Katalog!$F$3:$F$12,MATCH(cadangan3[[#This Row],[ItemID A]],Katalog!$C$3:$C$12,0))*cadangan3[[#This Row],[Qty A]]</f>
        <v>100000</v>
      </c>
      <c r="L596" s="36">
        <f>IFERROR(cadangan3[[#This Row],[Profit A]]-(cadangan3[[#This Row],[Profit A]]*cadangan3[[#This Row],[Diskon]]),K596)</f>
        <v>85000</v>
      </c>
      <c r="M596" t="s">
        <v>58</v>
      </c>
      <c r="N596" t="str">
        <f>IFERROR(INDEX(Katalog!$A$3:$A$12,MATCH(cadangan3[[#This Row],[ItemID B]],Katalog!$C$3:$C$12,0)),"-")</f>
        <v>Pakaian Wanita</v>
      </c>
      <c r="O596" t="str">
        <f>IFERROR(INDEX(Katalog!$B$3:$B$12,MATCH(cadangan3[[#This Row],[ItemID B]],Katalog!$C$3:$C$12,0)),"-")</f>
        <v>Dress</v>
      </c>
      <c r="P596">
        <v>2</v>
      </c>
      <c r="Q596">
        <v>2</v>
      </c>
      <c r="R596" s="36">
        <f>IFERROR(INDEX(Katalog!$D$3:$D$12,MATCH(cadangan3[[#This Row],[ItemID B]],Katalog!$C$3:$C$12,0))*cadangan3[[#This Row],[Qty B]],0)</f>
        <v>600000</v>
      </c>
      <c r="S596" s="36">
        <f>IFERROR(INDEX(Katalog!$D$3:$D$12,MATCH(cadangan3[[#This Row],[Item B]],Katalog!$B$3:$B$12,0))*cadangan3[[#This Row],[Qty B]],0)</f>
        <v>600000</v>
      </c>
      <c r="T596" s="36">
        <f>IFERROR(cadangan3[[#This Row],[Harga Asli B]]-(cadangan3[[#This Row],[Harga Asli B]]*cadangan3[[#This Row],[Diskon]]),cadangan3[[#This Row],[Harga Asli B]])</f>
        <v>510000</v>
      </c>
      <c r="U596" s="36">
        <f>IFERROR(INDEX(Katalog!$F$3:$F$12,MATCH(cadangan3[[#This Row],[ItemID B]],Katalog!$C$3:$C$12,0))*cadangan3[[#This Row],[Qty B]],0)</f>
        <v>200000</v>
      </c>
      <c r="V596" s="36">
        <f>IFERROR(cadangan3[[#This Row],[Profit B]]-(cadangan3[[#This Row],[Profit B]]*cadangan3[[#This Row],[Diskon]]),U596)</f>
        <v>170000</v>
      </c>
      <c r="W596" t="s">
        <v>65</v>
      </c>
      <c r="X596" t="str">
        <f>IFERROR(INDEX(Katalog!$A$3:$A$12,MATCH(cadangan3[[#This Row],[ItemID C]],Katalog!$C$3:$C$12,0)),"-")</f>
        <v>Sepatu Pria</v>
      </c>
      <c r="Y596" t="str">
        <f>IFERROR(INDEX(Katalog!$B$3:$B$12,MATCH(cadangan3[[#This Row],[ItemID C]],Katalog!$C$3:$C$12,0)),"-")</f>
        <v>Sneakers</v>
      </c>
      <c r="Z596">
        <v>2</v>
      </c>
      <c r="AA596">
        <v>2</v>
      </c>
      <c r="AB596" s="36">
        <f>IFERROR(INDEX(Katalog!$D$3:$D$12,MATCH(cadangan3[[#This Row],[ItemID C]],Katalog!$C$3:$C$12,0))*cadangan3[[#This Row],[Qty C]],0)</f>
        <v>1000000</v>
      </c>
      <c r="AC596" s="36">
        <f>IFERROR(INDEX(Katalog!$D$3:$D$12,MATCH(cadangan3[[#This Row],[Item C]],Katalog!$B$3:$B$12,0))*cadangan3[[#This Row],[Qty C]],0)</f>
        <v>1000000</v>
      </c>
      <c r="AD596" s="36">
        <f>IFERROR(cadangan3[[#This Row],[Harga Asli C]]-(cadangan3[[#This Row],[Harga Asli C]]*cadangan3[[#This Row],[Diskon]]),cadangan3[[#This Row],[Harga Asli C]])</f>
        <v>850000</v>
      </c>
      <c r="AE596" s="36">
        <f>IFERROR(INDEX(Katalog!$F$3:$F$12,MATCH(cadangan3[[#This Row],[ItemID C]],Katalog!$C$3:$C$12,0))*cadangan3[[#This Row],[Qty C]],0)</f>
        <v>400000</v>
      </c>
      <c r="AF596" s="36">
        <f>IFERROR(cadangan3[[#This Row],[Profit C]]-(cadangan3[[#This Row],[Profit C]]*cadangan3[[#This Row],[Diskon]]),cadangan3[[#This Row],[Profit C]])</f>
        <v>340000</v>
      </c>
      <c r="AG596" s="21">
        <f>cadangan3[[#This Row],[Qty A]]+cadangan3[[#This Row],[Qty B]]+cadangan3[[#This Row],[Qty C]]</f>
        <v>6</v>
      </c>
      <c r="AH596" s="35">
        <f>cadangan3[[#This Row],[Harga A + Diskon]]+cadangan3[[#This Row],[Harga + Diskon B]]+cadangan3[[#This Row],[Harga + Diskon C]]</f>
        <v>1615000</v>
      </c>
      <c r="AI596" s="35">
        <f>(cadangan3[[#This Row],[Profit A]]+cadangan3[[#This Row],[Profit B]]+cadangan3[[#This Row],[Profit C]])</f>
        <v>700000</v>
      </c>
      <c r="AJ596" s="35">
        <f>cadangan3[[#This Row],[Provit A + Diskon]]+cadangan3[[#This Row],[Provit B + Diskon]]+cadangan3[[#This Row],[Provit C + Diskon]]</f>
        <v>595000</v>
      </c>
      <c r="AK596" s="23" t="s">
        <v>32</v>
      </c>
      <c r="AL596" s="37">
        <f>IFERROR(INDEX('Kode Diskon'!$D$3:$D$9,MATCH(cadangan3[[#This Row],[Kode diskon]],'Kode Diskon'!$C$3:$C$9,0)),"-")</f>
        <v>0.15</v>
      </c>
      <c r="AM596" s="23" t="s">
        <v>9</v>
      </c>
      <c r="AN596" s="23" t="s">
        <v>12</v>
      </c>
      <c r="AO596" s="23" t="s">
        <v>75</v>
      </c>
      <c r="AP596" s="24">
        <v>45032</v>
      </c>
      <c r="AQ596" s="23" t="str">
        <f>TEXT(cadangan3[[#This Row],[Tanggal terjual]],"dddd")</f>
        <v>Sunday</v>
      </c>
    </row>
    <row r="597" spans="1:43" x14ac:dyDescent="0.2">
      <c r="A597" s="20">
        <v>596</v>
      </c>
      <c r="B597" s="21" t="str">
        <f>_xlfn.CONCAT("ORD-",INDEX(Helper!$B$2:$B$5,MATCH(cadangan3[[#This Row],[Marketplace]],Helper!$A$2:$A$5,0)),TEXT(cadangan3[[#This Row],[No]],"0000"),"-",TEXT(cadangan3[[#This Row],[Tanggal terjual]],"dd/mm/yy"))</f>
        <v>ORD-SP0596-04/04/23</v>
      </c>
      <c r="C597" t="s">
        <v>60</v>
      </c>
      <c r="D597" t="str">
        <f>IFERROR(INDEX(Katalog!$A$3:$A$12,MATCH(cadangan3[[#This Row],[ItemID A]],Katalog!$C$3:$C$12,0)),"-")</f>
        <v>Pakaian Wanita</v>
      </c>
      <c r="E597" t="str">
        <f>IFERROR(INDEX(Katalog!$B$3:$B$12,MATCH(cadangan3[[#This Row],[ItemID A]],Katalog!$C$3:$C$12,0)),"-")</f>
        <v>Kaftan</v>
      </c>
      <c r="F597">
        <v>1</v>
      </c>
      <c r="G597">
        <v>3</v>
      </c>
      <c r="H597" s="36">
        <f>IFERROR(INDEX(Katalog!$D$3:$D$12,MATCH(cadangan3[[#This Row],[ItemID A]],Katalog!$C$3:$C$12,0))*cadangan3[[#This Row],[Qty A]],0)</f>
        <v>250000</v>
      </c>
      <c r="I597" s="36">
        <f>IFERROR(INDEX(Katalog!$D$3:$D$12,MATCH(cadangan3[[#This Row],[Item A]],Katalog!$B$3:$B$12,0))*cadangan3[[#This Row],[Qty A]],0)</f>
        <v>250000</v>
      </c>
      <c r="J597" s="36">
        <f>IFERROR(cadangan3[[#This Row],[Harga Asli A]]-(cadangan3[[#This Row],[Harga Asli A]]*cadangan3[[#This Row],[Diskon]]),cadangan3[[#This Row],[Harga Asli A]])</f>
        <v>212500</v>
      </c>
      <c r="K597" s="36">
        <f>INDEX(Katalog!$F$3:$F$12,MATCH(cadangan3[[#This Row],[ItemID A]],Katalog!$C$3:$C$12,0))*cadangan3[[#This Row],[Qty A]]</f>
        <v>100000</v>
      </c>
      <c r="L597" s="36">
        <f>IFERROR(cadangan3[[#This Row],[Profit A]]-(cadangan3[[#This Row],[Profit A]]*cadangan3[[#This Row],[Diskon]]),K597)</f>
        <v>85000</v>
      </c>
      <c r="M597" t="s">
        <v>62</v>
      </c>
      <c r="N597" t="str">
        <f>IFERROR(INDEX(Katalog!$A$3:$A$12,MATCH(cadangan3[[#This Row],[ItemID B]],Katalog!$C$3:$C$12,0)),"-")</f>
        <v>Pakaian Pria</v>
      </c>
      <c r="O597" t="str">
        <f>IFERROR(INDEX(Katalog!$B$3:$B$12,MATCH(cadangan3[[#This Row],[ItemID B]],Katalog!$C$3:$C$12,0)),"-")</f>
        <v>Celana Pendek</v>
      </c>
      <c r="P597">
        <v>5</v>
      </c>
      <c r="Q597">
        <v>2</v>
      </c>
      <c r="R597" s="36">
        <f>IFERROR(INDEX(Katalog!$D$3:$D$12,MATCH(cadangan3[[#This Row],[ItemID B]],Katalog!$C$3:$C$12,0))*cadangan3[[#This Row],[Qty B]],0)</f>
        <v>900000</v>
      </c>
      <c r="S597" s="36">
        <f>IFERROR(INDEX(Katalog!$D$3:$D$12,MATCH(cadangan3[[#This Row],[Item B]],Katalog!$B$3:$B$12,0))*cadangan3[[#This Row],[Qty B]],0)</f>
        <v>900000</v>
      </c>
      <c r="T597" s="36">
        <f>IFERROR(cadangan3[[#This Row],[Harga Asli B]]-(cadangan3[[#This Row],[Harga Asli B]]*cadangan3[[#This Row],[Diskon]]),cadangan3[[#This Row],[Harga Asli B]])</f>
        <v>765000</v>
      </c>
      <c r="U597" s="36">
        <f>IFERROR(INDEX(Katalog!$F$3:$F$12,MATCH(cadangan3[[#This Row],[ItemID B]],Katalog!$C$3:$C$12,0))*cadangan3[[#This Row],[Qty B]],0)</f>
        <v>350000</v>
      </c>
      <c r="V597" s="36">
        <f>IFERROR(cadangan3[[#This Row],[Profit B]]-(cadangan3[[#This Row],[Profit B]]*cadangan3[[#This Row],[Diskon]]),U597)</f>
        <v>297500</v>
      </c>
      <c r="X597" t="str">
        <f>IFERROR(INDEX(Katalog!$A$3:$A$12,MATCH(cadangan3[[#This Row],[ItemID C]],Katalog!$C$3:$C$12,0)),"-")</f>
        <v>-</v>
      </c>
      <c r="Y597" t="str">
        <f>IFERROR(INDEX(Katalog!$B$3:$B$12,MATCH(cadangan3[[#This Row],[ItemID C]],Katalog!$C$3:$C$12,0)),"-")</f>
        <v>-</v>
      </c>
      <c r="AB597" s="36">
        <f>IFERROR(INDEX(Katalog!$D$3:$D$12,MATCH(cadangan3[[#This Row],[ItemID C]],Katalog!$C$3:$C$12,0))*cadangan3[[#This Row],[Qty C]],0)</f>
        <v>0</v>
      </c>
      <c r="AC597" s="36">
        <f>IFERROR(INDEX(Katalog!$D$3:$D$12,MATCH(cadangan3[[#This Row],[Item C]],Katalog!$B$3:$B$12,0))*cadangan3[[#This Row],[Qty C]],0)</f>
        <v>0</v>
      </c>
      <c r="AD597" s="36">
        <f>IFERROR(cadangan3[[#This Row],[Harga Asli C]]-(cadangan3[[#This Row],[Harga Asli C]]*cadangan3[[#This Row],[Diskon]]),cadangan3[[#This Row],[Harga Asli C]])</f>
        <v>0</v>
      </c>
      <c r="AE597" s="36">
        <f>IFERROR(INDEX(Katalog!$F$3:$F$12,MATCH(cadangan3[[#This Row],[ItemID C]],Katalog!$C$3:$C$12,0))*cadangan3[[#This Row],[Qty C]],0)</f>
        <v>0</v>
      </c>
      <c r="AF597" s="36">
        <f>IFERROR(cadangan3[[#This Row],[Profit C]]-(cadangan3[[#This Row],[Profit C]]*cadangan3[[#This Row],[Diskon]]),cadangan3[[#This Row],[Profit C]])</f>
        <v>0</v>
      </c>
      <c r="AG597" s="21">
        <f>cadangan3[[#This Row],[Qty A]]+cadangan3[[#This Row],[Qty B]]+cadangan3[[#This Row],[Qty C]]</f>
        <v>6</v>
      </c>
      <c r="AH597" s="35">
        <f>cadangan3[[#This Row],[Harga A + Diskon]]+cadangan3[[#This Row],[Harga + Diskon B]]+cadangan3[[#This Row],[Harga + Diskon C]]</f>
        <v>977500</v>
      </c>
      <c r="AI597" s="35">
        <f>(cadangan3[[#This Row],[Profit A]]+cadangan3[[#This Row],[Profit B]]+cadangan3[[#This Row],[Profit C]])</f>
        <v>450000</v>
      </c>
      <c r="AJ597" s="35">
        <f>cadangan3[[#This Row],[Provit A + Diskon]]+cadangan3[[#This Row],[Provit B + Diskon]]+cadangan3[[#This Row],[Provit C + Diskon]]</f>
        <v>382500</v>
      </c>
      <c r="AK597" s="23" t="s">
        <v>13</v>
      </c>
      <c r="AL597" s="37">
        <f>IFERROR(INDEX('Kode Diskon'!$D$3:$D$9,MATCH(cadangan3[[#This Row],[Kode diskon]],'Kode Diskon'!$C$3:$C$9,0)),"-")</f>
        <v>0.15</v>
      </c>
      <c r="AM597" s="23" t="s">
        <v>29</v>
      </c>
      <c r="AN597" s="23" t="s">
        <v>7</v>
      </c>
      <c r="AO597" s="23" t="s">
        <v>77</v>
      </c>
      <c r="AP597" s="24">
        <v>45020</v>
      </c>
      <c r="AQ597" s="23" t="str">
        <f>TEXT(cadangan3[[#This Row],[Tanggal terjual]],"dddd")</f>
        <v>Tuesday</v>
      </c>
    </row>
    <row r="598" spans="1:43" x14ac:dyDescent="0.2">
      <c r="A598" s="20">
        <v>597</v>
      </c>
      <c r="B598" s="21" t="str">
        <f>_xlfn.CONCAT("ORD-",INDEX(Helper!$B$2:$B$5,MATCH(cadangan3[[#This Row],[Marketplace]],Helper!$A$2:$A$5,0)),TEXT(cadangan3[[#This Row],[No]],"0000"),"-",TEXT(cadangan3[[#This Row],[Tanggal terjual]],"dd/mm/yy"))</f>
        <v>ORD-BL0597-17/04/23</v>
      </c>
      <c r="C598" t="s">
        <v>59</v>
      </c>
      <c r="D598" t="str">
        <f>IFERROR(INDEX(Katalog!$A$3:$A$12,MATCH(cadangan3[[#This Row],[ItemID A]],Katalog!$C$3:$C$12,0)),"-")</f>
        <v>Pakaian Wanita</v>
      </c>
      <c r="E598" t="str">
        <f>IFERROR(INDEX(Katalog!$B$3:$B$12,MATCH(cadangan3[[#This Row],[ItemID A]],Katalog!$C$3:$C$12,0)),"-")</f>
        <v>Blouse</v>
      </c>
      <c r="F598">
        <v>1</v>
      </c>
      <c r="G598">
        <v>5</v>
      </c>
      <c r="H598" s="36">
        <f>IFERROR(INDEX(Katalog!$D$3:$D$12,MATCH(cadangan3[[#This Row],[ItemID A]],Katalog!$C$3:$C$12,0))*cadangan3[[#This Row],[Qty A]],0)</f>
        <v>150000</v>
      </c>
      <c r="I598" s="36">
        <f>IFERROR(INDEX(Katalog!$D$3:$D$12,MATCH(cadangan3[[#This Row],[Item A]],Katalog!$B$3:$B$12,0))*cadangan3[[#This Row],[Qty A]],0)</f>
        <v>150000</v>
      </c>
      <c r="J598" s="36">
        <f>IFERROR(cadangan3[[#This Row],[Harga Asli A]]-(cadangan3[[#This Row],[Harga Asli A]]*cadangan3[[#This Row],[Diskon]]),cadangan3[[#This Row],[Harga Asli A]])</f>
        <v>127500</v>
      </c>
      <c r="K598" s="36">
        <f>INDEX(Katalog!$F$3:$F$12,MATCH(cadangan3[[#This Row],[ItemID A]],Katalog!$C$3:$C$12,0))*cadangan3[[#This Row],[Qty A]]</f>
        <v>50000</v>
      </c>
      <c r="L598" s="36">
        <f>IFERROR(cadangan3[[#This Row],[Profit A]]-(cadangan3[[#This Row],[Profit A]]*cadangan3[[#This Row],[Diskon]]),K598)</f>
        <v>42500</v>
      </c>
      <c r="N598" t="str">
        <f>IFERROR(INDEX(Katalog!$A$3:$A$12,MATCH(cadangan3[[#This Row],[ItemID B]],Katalog!$C$3:$C$12,0)),"-")</f>
        <v>-</v>
      </c>
      <c r="O598" t="str">
        <f>IFERROR(INDEX(Katalog!$B$3:$B$12,MATCH(cadangan3[[#This Row],[ItemID B]],Katalog!$C$3:$C$12,0)),"-")</f>
        <v>-</v>
      </c>
      <c r="R598" s="36">
        <f>IFERROR(INDEX(Katalog!$D$3:$D$12,MATCH(cadangan3[[#This Row],[ItemID B]],Katalog!$C$3:$C$12,0))*cadangan3[[#This Row],[Qty B]],0)</f>
        <v>0</v>
      </c>
      <c r="S598" s="36">
        <f>IFERROR(INDEX(Katalog!$D$3:$D$12,MATCH(cadangan3[[#This Row],[Item B]],Katalog!$B$3:$B$12,0))*cadangan3[[#This Row],[Qty B]],0)</f>
        <v>0</v>
      </c>
      <c r="T598" s="36">
        <f>IFERROR(cadangan3[[#This Row],[Harga Asli B]]-(cadangan3[[#This Row],[Harga Asli B]]*cadangan3[[#This Row],[Diskon]]),cadangan3[[#This Row],[Harga Asli B]])</f>
        <v>0</v>
      </c>
      <c r="U598" s="36">
        <f>IFERROR(INDEX(Katalog!$F$3:$F$12,MATCH(cadangan3[[#This Row],[ItemID B]],Katalog!$C$3:$C$12,0))*cadangan3[[#This Row],[Qty B]],0)</f>
        <v>0</v>
      </c>
      <c r="V598" s="36">
        <f>IFERROR(cadangan3[[#This Row],[Profit B]]-(cadangan3[[#This Row],[Profit B]]*cadangan3[[#This Row],[Diskon]]),U598)</f>
        <v>0</v>
      </c>
      <c r="X598" t="str">
        <f>IFERROR(INDEX(Katalog!$A$3:$A$12,MATCH(cadangan3[[#This Row],[ItemID C]],Katalog!$C$3:$C$12,0)),"-")</f>
        <v>-</v>
      </c>
      <c r="Y598" t="str">
        <f>IFERROR(INDEX(Katalog!$B$3:$B$12,MATCH(cadangan3[[#This Row],[ItemID C]],Katalog!$C$3:$C$12,0)),"-")</f>
        <v>-</v>
      </c>
      <c r="AB598" s="36">
        <f>IFERROR(INDEX(Katalog!$D$3:$D$12,MATCH(cadangan3[[#This Row],[ItemID C]],Katalog!$C$3:$C$12,0))*cadangan3[[#This Row],[Qty C]],0)</f>
        <v>0</v>
      </c>
      <c r="AC598" s="36">
        <f>IFERROR(INDEX(Katalog!$D$3:$D$12,MATCH(cadangan3[[#This Row],[Item C]],Katalog!$B$3:$B$12,0))*cadangan3[[#This Row],[Qty C]],0)</f>
        <v>0</v>
      </c>
      <c r="AD598" s="36">
        <f>IFERROR(cadangan3[[#This Row],[Harga Asli C]]-(cadangan3[[#This Row],[Harga Asli C]]*cadangan3[[#This Row],[Diskon]]),cadangan3[[#This Row],[Harga Asli C]])</f>
        <v>0</v>
      </c>
      <c r="AE598" s="36">
        <f>IFERROR(INDEX(Katalog!$F$3:$F$12,MATCH(cadangan3[[#This Row],[ItemID C]],Katalog!$C$3:$C$12,0))*cadangan3[[#This Row],[Qty C]],0)</f>
        <v>0</v>
      </c>
      <c r="AF598" s="36">
        <f>IFERROR(cadangan3[[#This Row],[Profit C]]-(cadangan3[[#This Row],[Profit C]]*cadangan3[[#This Row],[Diskon]]),cadangan3[[#This Row],[Profit C]])</f>
        <v>0</v>
      </c>
      <c r="AG598" s="21">
        <f>cadangan3[[#This Row],[Qty A]]+cadangan3[[#This Row],[Qty B]]+cadangan3[[#This Row],[Qty C]]</f>
        <v>1</v>
      </c>
      <c r="AH598" s="35">
        <f>cadangan3[[#This Row],[Harga A + Diskon]]+cadangan3[[#This Row],[Harga + Diskon B]]+cadangan3[[#This Row],[Harga + Diskon C]]</f>
        <v>127500</v>
      </c>
      <c r="AI598" s="35">
        <f>(cadangan3[[#This Row],[Profit A]]+cadangan3[[#This Row],[Profit B]]+cadangan3[[#This Row],[Profit C]])</f>
        <v>50000</v>
      </c>
      <c r="AJ598" s="35">
        <f>cadangan3[[#This Row],[Provit A + Diskon]]+cadangan3[[#This Row],[Provit B + Diskon]]+cadangan3[[#This Row],[Provit C + Diskon]]</f>
        <v>42500</v>
      </c>
      <c r="AK598" s="23" t="s">
        <v>32</v>
      </c>
      <c r="AL598" s="37">
        <f>IFERROR(INDEX('Kode Diskon'!$D$3:$D$9,MATCH(cadangan3[[#This Row],[Kode diskon]],'Kode Diskon'!$C$3:$C$9,0)),"-")</f>
        <v>0.15</v>
      </c>
      <c r="AM598" s="23" t="s">
        <v>9</v>
      </c>
      <c r="AN598" s="23" t="s">
        <v>12</v>
      </c>
      <c r="AO598" s="23" t="s">
        <v>75</v>
      </c>
      <c r="AP598" s="24">
        <v>45033</v>
      </c>
      <c r="AQ598" s="23" t="str">
        <f>TEXT(cadangan3[[#This Row],[Tanggal terjual]],"dddd")</f>
        <v>Monday</v>
      </c>
    </row>
    <row r="599" spans="1:43" x14ac:dyDescent="0.2">
      <c r="A599" s="20">
        <v>598</v>
      </c>
      <c r="B599" s="21" t="str">
        <f>_xlfn.CONCAT("ORD-",INDEX(Helper!$B$2:$B$5,MATCH(cadangan3[[#This Row],[Marketplace]],Helper!$A$2:$A$5,0)),TEXT(cadangan3[[#This Row],[No]],"0000"),"-",TEXT(cadangan3[[#This Row],[Tanggal terjual]],"dd/mm/yy"))</f>
        <v>ORD-BB0598-01/04/23</v>
      </c>
      <c r="C599" t="s">
        <v>63</v>
      </c>
      <c r="D599" t="str">
        <f>IFERROR(INDEX(Katalog!$A$3:$A$12,MATCH(cadangan3[[#This Row],[ItemID A]],Katalog!$C$3:$C$12,0)),"-")</f>
        <v>Pakaian Pria</v>
      </c>
      <c r="E599" t="str">
        <f>IFERROR(INDEX(Katalog!$B$3:$B$12,MATCH(cadangan3[[#This Row],[ItemID A]],Katalog!$C$3:$C$12,0)),"-")</f>
        <v>Jaket Jeans</v>
      </c>
      <c r="F599">
        <v>4</v>
      </c>
      <c r="G599">
        <v>3</v>
      </c>
      <c r="H599" s="36">
        <f>IFERROR(INDEX(Katalog!$D$3:$D$12,MATCH(cadangan3[[#This Row],[ItemID A]],Katalog!$C$3:$C$12,0))*cadangan3[[#This Row],[Qty A]],0)</f>
        <v>1600000</v>
      </c>
      <c r="I599" s="36">
        <f>IFERROR(INDEX(Katalog!$D$3:$D$12,MATCH(cadangan3[[#This Row],[Item A]],Katalog!$B$3:$B$12,0))*cadangan3[[#This Row],[Qty A]],0)</f>
        <v>1600000</v>
      </c>
      <c r="J599" s="36">
        <f>IFERROR(cadangan3[[#This Row],[Harga Asli A]]-(cadangan3[[#This Row],[Harga Asli A]]*cadangan3[[#This Row],[Diskon]]),cadangan3[[#This Row],[Harga Asli A]])</f>
        <v>1360000</v>
      </c>
      <c r="K599" s="36">
        <f>INDEX(Katalog!$F$3:$F$12,MATCH(cadangan3[[#This Row],[ItemID A]],Katalog!$C$3:$C$12,0))*cadangan3[[#This Row],[Qty A]]</f>
        <v>600000</v>
      </c>
      <c r="L599" s="36">
        <f>IFERROR(cadangan3[[#This Row],[Profit A]]-(cadangan3[[#This Row],[Profit A]]*cadangan3[[#This Row],[Diskon]]),K599)</f>
        <v>510000</v>
      </c>
      <c r="N599" t="str">
        <f>IFERROR(INDEX(Katalog!$A$3:$A$12,MATCH(cadangan3[[#This Row],[ItemID B]],Katalog!$C$3:$C$12,0)),"-")</f>
        <v>-</v>
      </c>
      <c r="O599" t="str">
        <f>IFERROR(INDEX(Katalog!$B$3:$B$12,MATCH(cadangan3[[#This Row],[ItemID B]],Katalog!$C$3:$C$12,0)),"-")</f>
        <v>-</v>
      </c>
      <c r="R599" s="36">
        <f>IFERROR(INDEX(Katalog!$D$3:$D$12,MATCH(cadangan3[[#This Row],[ItemID B]],Katalog!$C$3:$C$12,0))*cadangan3[[#This Row],[Qty B]],0)</f>
        <v>0</v>
      </c>
      <c r="S599" s="36">
        <f>IFERROR(INDEX(Katalog!$D$3:$D$12,MATCH(cadangan3[[#This Row],[Item B]],Katalog!$B$3:$B$12,0))*cadangan3[[#This Row],[Qty B]],0)</f>
        <v>0</v>
      </c>
      <c r="T599" s="36">
        <f>IFERROR(cadangan3[[#This Row],[Harga Asli B]]-(cadangan3[[#This Row],[Harga Asli B]]*cadangan3[[#This Row],[Diskon]]),cadangan3[[#This Row],[Harga Asli B]])</f>
        <v>0</v>
      </c>
      <c r="U599" s="36">
        <f>IFERROR(INDEX(Katalog!$F$3:$F$12,MATCH(cadangan3[[#This Row],[ItemID B]],Katalog!$C$3:$C$12,0))*cadangan3[[#This Row],[Qty B]],0)</f>
        <v>0</v>
      </c>
      <c r="V599" s="36">
        <f>IFERROR(cadangan3[[#This Row],[Profit B]]-(cadangan3[[#This Row],[Profit B]]*cadangan3[[#This Row],[Diskon]]),U599)</f>
        <v>0</v>
      </c>
      <c r="X599" t="str">
        <f>IFERROR(INDEX(Katalog!$A$3:$A$12,MATCH(cadangan3[[#This Row],[ItemID C]],Katalog!$C$3:$C$12,0)),"-")</f>
        <v>-</v>
      </c>
      <c r="Y599" t="str">
        <f>IFERROR(INDEX(Katalog!$B$3:$B$12,MATCH(cadangan3[[#This Row],[ItemID C]],Katalog!$C$3:$C$12,0)),"-")</f>
        <v>-</v>
      </c>
      <c r="AB599" s="36">
        <f>IFERROR(INDEX(Katalog!$D$3:$D$12,MATCH(cadangan3[[#This Row],[ItemID C]],Katalog!$C$3:$C$12,0))*cadangan3[[#This Row],[Qty C]],0)</f>
        <v>0</v>
      </c>
      <c r="AC599" s="36">
        <f>IFERROR(INDEX(Katalog!$D$3:$D$12,MATCH(cadangan3[[#This Row],[Item C]],Katalog!$B$3:$B$12,0))*cadangan3[[#This Row],[Qty C]],0)</f>
        <v>0</v>
      </c>
      <c r="AD599" s="36">
        <f>IFERROR(cadangan3[[#This Row],[Harga Asli C]]-(cadangan3[[#This Row],[Harga Asli C]]*cadangan3[[#This Row],[Diskon]]),cadangan3[[#This Row],[Harga Asli C]])</f>
        <v>0</v>
      </c>
      <c r="AE599" s="36">
        <f>IFERROR(INDEX(Katalog!$F$3:$F$12,MATCH(cadangan3[[#This Row],[ItemID C]],Katalog!$C$3:$C$12,0))*cadangan3[[#This Row],[Qty C]],0)</f>
        <v>0</v>
      </c>
      <c r="AF599" s="36">
        <f>IFERROR(cadangan3[[#This Row],[Profit C]]-(cadangan3[[#This Row],[Profit C]]*cadangan3[[#This Row],[Diskon]]),cadangan3[[#This Row],[Profit C]])</f>
        <v>0</v>
      </c>
      <c r="AG599" s="21">
        <f>cadangan3[[#This Row],[Qty A]]+cadangan3[[#This Row],[Qty B]]+cadangan3[[#This Row],[Qty C]]</f>
        <v>4</v>
      </c>
      <c r="AH599" s="35">
        <f>cadangan3[[#This Row],[Harga A + Diskon]]+cadangan3[[#This Row],[Harga + Diskon B]]+cadangan3[[#This Row],[Harga + Diskon C]]</f>
        <v>1360000</v>
      </c>
      <c r="AI599" s="35">
        <f>(cadangan3[[#This Row],[Profit A]]+cadangan3[[#This Row],[Profit B]]+cadangan3[[#This Row],[Profit C]])</f>
        <v>600000</v>
      </c>
      <c r="AJ599" s="35">
        <f>cadangan3[[#This Row],[Provit A + Diskon]]+cadangan3[[#This Row],[Provit B + Diskon]]+cadangan3[[#This Row],[Provit C + Diskon]]</f>
        <v>510000</v>
      </c>
      <c r="AK599" s="23" t="s">
        <v>28</v>
      </c>
      <c r="AL599" s="37">
        <f>IFERROR(INDEX('Kode Diskon'!$D$3:$D$9,MATCH(cadangan3[[#This Row],[Kode diskon]],'Kode Diskon'!$C$3:$C$9,0)),"-")</f>
        <v>0.15</v>
      </c>
      <c r="AM599" s="23" t="s">
        <v>29</v>
      </c>
      <c r="AN599" s="23" t="s">
        <v>14</v>
      </c>
      <c r="AO599" s="23" t="s">
        <v>80</v>
      </c>
      <c r="AP599" s="24">
        <v>45017</v>
      </c>
      <c r="AQ599" s="23" t="str">
        <f>TEXT(cadangan3[[#This Row],[Tanggal terjual]],"dddd")</f>
        <v>Saturday</v>
      </c>
    </row>
    <row r="600" spans="1:43" x14ac:dyDescent="0.2">
      <c r="A600" s="20">
        <v>599</v>
      </c>
      <c r="B600" s="21" t="str">
        <f>_xlfn.CONCAT("ORD-",INDEX(Helper!$B$2:$B$5,MATCH(cadangan3[[#This Row],[Marketplace]],Helper!$A$2:$A$5,0)),TEXT(cadangan3[[#This Row],[No]],"0000"),"-",TEXT(cadangan3[[#This Row],[Tanggal terjual]],"dd/mm/yy"))</f>
        <v>ORD-SP0599-14/04/23</v>
      </c>
      <c r="C600" t="s">
        <v>62</v>
      </c>
      <c r="D600" t="str">
        <f>IFERROR(INDEX(Katalog!$A$3:$A$12,MATCH(cadangan3[[#This Row],[ItemID A]],Katalog!$C$3:$C$12,0)),"-")</f>
        <v>Pakaian Pria</v>
      </c>
      <c r="E600" t="str">
        <f>IFERROR(INDEX(Katalog!$B$3:$B$12,MATCH(cadangan3[[#This Row],[ItemID A]],Katalog!$C$3:$C$12,0)),"-")</f>
        <v>Celana Pendek</v>
      </c>
      <c r="F600">
        <v>3</v>
      </c>
      <c r="G600">
        <v>5</v>
      </c>
      <c r="H600" s="36">
        <f>IFERROR(INDEX(Katalog!$D$3:$D$12,MATCH(cadangan3[[#This Row],[ItemID A]],Katalog!$C$3:$C$12,0))*cadangan3[[#This Row],[Qty A]],0)</f>
        <v>540000</v>
      </c>
      <c r="I600" s="36">
        <f>IFERROR(INDEX(Katalog!$D$3:$D$12,MATCH(cadangan3[[#This Row],[Item A]],Katalog!$B$3:$B$12,0))*cadangan3[[#This Row],[Qty A]],0)</f>
        <v>540000</v>
      </c>
      <c r="J600" s="36">
        <f>IFERROR(cadangan3[[#This Row],[Harga Asli A]]-(cadangan3[[#This Row],[Harga Asli A]]*cadangan3[[#This Row],[Diskon]]),cadangan3[[#This Row],[Harga Asli A]])</f>
        <v>540000</v>
      </c>
      <c r="K600" s="36">
        <f>INDEX(Katalog!$F$3:$F$12,MATCH(cadangan3[[#This Row],[ItemID A]],Katalog!$C$3:$C$12,0))*cadangan3[[#This Row],[Qty A]]</f>
        <v>210000</v>
      </c>
      <c r="L600" s="36">
        <f>IFERROR(cadangan3[[#This Row],[Profit A]]-(cadangan3[[#This Row],[Profit A]]*cadangan3[[#This Row],[Diskon]]),K600)</f>
        <v>210000</v>
      </c>
      <c r="M600" t="s">
        <v>66</v>
      </c>
      <c r="N600" t="str">
        <f>IFERROR(INDEX(Katalog!$A$3:$A$12,MATCH(cadangan3[[#This Row],[ItemID B]],Katalog!$C$3:$C$12,0)),"-")</f>
        <v>Sepatu Pria</v>
      </c>
      <c r="O600" t="str">
        <f>IFERROR(INDEX(Katalog!$B$3:$B$12,MATCH(cadangan3[[#This Row],[ItemID B]],Katalog!$C$3:$C$12,0)),"-")</f>
        <v>Sandal Slip On</v>
      </c>
      <c r="P600">
        <v>4</v>
      </c>
      <c r="Q600">
        <v>4</v>
      </c>
      <c r="R600" s="36">
        <f>IFERROR(INDEX(Katalog!$D$3:$D$12,MATCH(cadangan3[[#This Row],[ItemID B]],Katalog!$C$3:$C$12,0))*cadangan3[[#This Row],[Qty B]],0)</f>
        <v>600000</v>
      </c>
      <c r="S600" s="36">
        <f>IFERROR(INDEX(Katalog!$D$3:$D$12,MATCH(cadangan3[[#This Row],[Item B]],Katalog!$B$3:$B$12,0))*cadangan3[[#This Row],[Qty B]],0)</f>
        <v>600000</v>
      </c>
      <c r="T600" s="36">
        <f>IFERROR(cadangan3[[#This Row],[Harga Asli B]]-(cadangan3[[#This Row],[Harga Asli B]]*cadangan3[[#This Row],[Diskon]]),cadangan3[[#This Row],[Harga Asli B]])</f>
        <v>600000</v>
      </c>
      <c r="U600" s="36">
        <f>IFERROR(INDEX(Katalog!$F$3:$F$12,MATCH(cadangan3[[#This Row],[ItemID B]],Katalog!$C$3:$C$12,0))*cadangan3[[#This Row],[Qty B]],0)</f>
        <v>240000</v>
      </c>
      <c r="V600" s="36">
        <f>IFERROR(cadangan3[[#This Row],[Profit B]]-(cadangan3[[#This Row],[Profit B]]*cadangan3[[#This Row],[Diskon]]),U600)</f>
        <v>240000</v>
      </c>
      <c r="X600" t="str">
        <f>IFERROR(INDEX(Katalog!$A$3:$A$12,MATCH(cadangan3[[#This Row],[ItemID C]],Katalog!$C$3:$C$12,0)),"-")</f>
        <v>-</v>
      </c>
      <c r="Y600" t="str">
        <f>IFERROR(INDEX(Katalog!$B$3:$B$12,MATCH(cadangan3[[#This Row],[ItemID C]],Katalog!$C$3:$C$12,0)),"-")</f>
        <v>-</v>
      </c>
      <c r="AB600" s="36">
        <f>IFERROR(INDEX(Katalog!$D$3:$D$12,MATCH(cadangan3[[#This Row],[ItemID C]],Katalog!$C$3:$C$12,0))*cadangan3[[#This Row],[Qty C]],0)</f>
        <v>0</v>
      </c>
      <c r="AC600" s="36">
        <f>IFERROR(INDEX(Katalog!$D$3:$D$12,MATCH(cadangan3[[#This Row],[Item C]],Katalog!$B$3:$B$12,0))*cadangan3[[#This Row],[Qty C]],0)</f>
        <v>0</v>
      </c>
      <c r="AD600" s="36">
        <f>IFERROR(cadangan3[[#This Row],[Harga Asli C]]-(cadangan3[[#This Row],[Harga Asli C]]*cadangan3[[#This Row],[Diskon]]),cadangan3[[#This Row],[Harga Asli C]])</f>
        <v>0</v>
      </c>
      <c r="AE600" s="36">
        <f>IFERROR(INDEX(Katalog!$F$3:$F$12,MATCH(cadangan3[[#This Row],[ItemID C]],Katalog!$C$3:$C$12,0))*cadangan3[[#This Row],[Qty C]],0)</f>
        <v>0</v>
      </c>
      <c r="AF600" s="36">
        <f>IFERROR(cadangan3[[#This Row],[Profit C]]-(cadangan3[[#This Row],[Profit C]]*cadangan3[[#This Row],[Diskon]]),cadangan3[[#This Row],[Profit C]])</f>
        <v>0</v>
      </c>
      <c r="AG600" s="21">
        <f>cadangan3[[#This Row],[Qty A]]+cadangan3[[#This Row],[Qty B]]+cadangan3[[#This Row],[Qty C]]</f>
        <v>7</v>
      </c>
      <c r="AH600" s="35">
        <f>cadangan3[[#This Row],[Harga A + Diskon]]+cadangan3[[#This Row],[Harga + Diskon B]]+cadangan3[[#This Row],[Harga + Diskon C]]</f>
        <v>1140000</v>
      </c>
      <c r="AI600" s="35">
        <f>(cadangan3[[#This Row],[Profit A]]+cadangan3[[#This Row],[Profit B]]+cadangan3[[#This Row],[Profit C]])</f>
        <v>450000</v>
      </c>
      <c r="AJ600" s="35">
        <f>cadangan3[[#This Row],[Provit A + Diskon]]+cadangan3[[#This Row],[Provit B + Diskon]]+cadangan3[[#This Row],[Provit C + Diskon]]</f>
        <v>450000</v>
      </c>
      <c r="AK600" s="23" t="s">
        <v>11</v>
      </c>
      <c r="AL600" s="37" t="str">
        <f>IFERROR(INDEX('Kode Diskon'!$D$3:$D$9,MATCH(cadangan3[[#This Row],[Kode diskon]],'Kode Diskon'!$C$3:$C$9,0)),"-")</f>
        <v>-</v>
      </c>
      <c r="AM600" s="23" t="s">
        <v>11</v>
      </c>
      <c r="AN600" s="23" t="s">
        <v>7</v>
      </c>
      <c r="AO600" s="23" t="s">
        <v>79</v>
      </c>
      <c r="AP600" s="24">
        <v>45030</v>
      </c>
      <c r="AQ600" s="23" t="str">
        <f>TEXT(cadangan3[[#This Row],[Tanggal terjual]],"dddd")</f>
        <v>Friday</v>
      </c>
    </row>
    <row r="601" spans="1:43" x14ac:dyDescent="0.2">
      <c r="A601" s="20">
        <v>600</v>
      </c>
      <c r="B601" s="21" t="str">
        <f>_xlfn.CONCAT("ORD-",INDEX(Helper!$B$2:$B$5,MATCH(cadangan3[[#This Row],[Marketplace]],Helper!$A$2:$A$5,0)),TEXT(cadangan3[[#This Row],[No]],"0000"),"-",TEXT(cadangan3[[#This Row],[Tanggal terjual]],"dd/mm/yy"))</f>
        <v>ORD-TK0600-05/04/23</v>
      </c>
      <c r="C601" t="s">
        <v>62</v>
      </c>
      <c r="D601" t="str">
        <f>IFERROR(INDEX(Katalog!$A$3:$A$12,MATCH(cadangan3[[#This Row],[ItemID A]],Katalog!$C$3:$C$12,0)),"-")</f>
        <v>Pakaian Pria</v>
      </c>
      <c r="E601" t="str">
        <f>IFERROR(INDEX(Katalog!$B$3:$B$12,MATCH(cadangan3[[#This Row],[ItemID A]],Katalog!$C$3:$C$12,0)),"-")</f>
        <v>Celana Pendek</v>
      </c>
      <c r="F601">
        <v>1</v>
      </c>
      <c r="G601">
        <v>1</v>
      </c>
      <c r="H601" s="36">
        <f>IFERROR(INDEX(Katalog!$D$3:$D$12,MATCH(cadangan3[[#This Row],[ItemID A]],Katalog!$C$3:$C$12,0))*cadangan3[[#This Row],[Qty A]],0)</f>
        <v>180000</v>
      </c>
      <c r="I601" s="36">
        <f>IFERROR(INDEX(Katalog!$D$3:$D$12,MATCH(cadangan3[[#This Row],[Item A]],Katalog!$B$3:$B$12,0))*cadangan3[[#This Row],[Qty A]],0)</f>
        <v>180000</v>
      </c>
      <c r="J601" s="36">
        <f>IFERROR(cadangan3[[#This Row],[Harga Asli A]]-(cadangan3[[#This Row],[Harga Asli A]]*cadangan3[[#This Row],[Diskon]]),cadangan3[[#This Row],[Harga Asli A]])</f>
        <v>162000</v>
      </c>
      <c r="K601" s="36">
        <f>INDEX(Katalog!$F$3:$F$12,MATCH(cadangan3[[#This Row],[ItemID A]],Katalog!$C$3:$C$12,0))*cadangan3[[#This Row],[Qty A]]</f>
        <v>70000</v>
      </c>
      <c r="L601" s="36">
        <f>IFERROR(cadangan3[[#This Row],[Profit A]]-(cadangan3[[#This Row],[Profit A]]*cadangan3[[#This Row],[Diskon]]),K601)</f>
        <v>63000</v>
      </c>
      <c r="N601" t="str">
        <f>IFERROR(INDEX(Katalog!$A$3:$A$12,MATCH(cadangan3[[#This Row],[ItemID B]],Katalog!$C$3:$C$12,0)),"-")</f>
        <v>-</v>
      </c>
      <c r="O601" t="str">
        <f>IFERROR(INDEX(Katalog!$B$3:$B$12,MATCH(cadangan3[[#This Row],[ItemID B]],Katalog!$C$3:$C$12,0)),"-")</f>
        <v>-</v>
      </c>
      <c r="R601" s="36">
        <f>IFERROR(INDEX(Katalog!$D$3:$D$12,MATCH(cadangan3[[#This Row],[ItemID B]],Katalog!$C$3:$C$12,0))*cadangan3[[#This Row],[Qty B]],0)</f>
        <v>0</v>
      </c>
      <c r="S601" s="36">
        <f>IFERROR(INDEX(Katalog!$D$3:$D$12,MATCH(cadangan3[[#This Row],[Item B]],Katalog!$B$3:$B$12,0))*cadangan3[[#This Row],[Qty B]],0)</f>
        <v>0</v>
      </c>
      <c r="T601" s="36">
        <f>IFERROR(cadangan3[[#This Row],[Harga Asli B]]-(cadangan3[[#This Row],[Harga Asli B]]*cadangan3[[#This Row],[Diskon]]),cadangan3[[#This Row],[Harga Asli B]])</f>
        <v>0</v>
      </c>
      <c r="U601" s="36">
        <f>IFERROR(INDEX(Katalog!$F$3:$F$12,MATCH(cadangan3[[#This Row],[ItemID B]],Katalog!$C$3:$C$12,0))*cadangan3[[#This Row],[Qty B]],0)</f>
        <v>0</v>
      </c>
      <c r="V601" s="36">
        <f>IFERROR(cadangan3[[#This Row],[Profit B]]-(cadangan3[[#This Row],[Profit B]]*cadangan3[[#This Row],[Diskon]]),U601)</f>
        <v>0</v>
      </c>
      <c r="X601" t="str">
        <f>IFERROR(INDEX(Katalog!$A$3:$A$12,MATCH(cadangan3[[#This Row],[ItemID C]],Katalog!$C$3:$C$12,0)),"-")</f>
        <v>-</v>
      </c>
      <c r="Y601" t="str">
        <f>IFERROR(INDEX(Katalog!$B$3:$B$12,MATCH(cadangan3[[#This Row],[ItemID C]],Katalog!$C$3:$C$12,0)),"-")</f>
        <v>-</v>
      </c>
      <c r="AB601" s="36">
        <f>IFERROR(INDEX(Katalog!$D$3:$D$12,MATCH(cadangan3[[#This Row],[ItemID C]],Katalog!$C$3:$C$12,0))*cadangan3[[#This Row],[Qty C]],0)</f>
        <v>0</v>
      </c>
      <c r="AC601" s="36">
        <f>IFERROR(INDEX(Katalog!$D$3:$D$12,MATCH(cadangan3[[#This Row],[Item C]],Katalog!$B$3:$B$12,0))*cadangan3[[#This Row],[Qty C]],0)</f>
        <v>0</v>
      </c>
      <c r="AD601" s="36">
        <f>IFERROR(cadangan3[[#This Row],[Harga Asli C]]-(cadangan3[[#This Row],[Harga Asli C]]*cadangan3[[#This Row],[Diskon]]),cadangan3[[#This Row],[Harga Asli C]])</f>
        <v>0</v>
      </c>
      <c r="AE601" s="36">
        <f>IFERROR(INDEX(Katalog!$F$3:$F$12,MATCH(cadangan3[[#This Row],[ItemID C]],Katalog!$C$3:$C$12,0))*cadangan3[[#This Row],[Qty C]],0)</f>
        <v>0</v>
      </c>
      <c r="AF601" s="36">
        <f>IFERROR(cadangan3[[#This Row],[Profit C]]-(cadangan3[[#This Row],[Profit C]]*cadangan3[[#This Row],[Diskon]]),cadangan3[[#This Row],[Profit C]])</f>
        <v>0</v>
      </c>
      <c r="AG601" s="21">
        <f>cadangan3[[#This Row],[Qty A]]+cadangan3[[#This Row],[Qty B]]+cadangan3[[#This Row],[Qty C]]</f>
        <v>1</v>
      </c>
      <c r="AH601" s="35">
        <f>cadangan3[[#This Row],[Harga A + Diskon]]+cadangan3[[#This Row],[Harga + Diskon B]]+cadangan3[[#This Row],[Harga + Diskon C]]</f>
        <v>162000</v>
      </c>
      <c r="AI601" s="35">
        <f>(cadangan3[[#This Row],[Profit A]]+cadangan3[[#This Row],[Profit B]]+cadangan3[[#This Row],[Profit C]])</f>
        <v>70000</v>
      </c>
      <c r="AJ601" s="35">
        <f>cadangan3[[#This Row],[Provit A + Diskon]]+cadangan3[[#This Row],[Provit B + Diskon]]+cadangan3[[#This Row],[Provit C + Diskon]]</f>
        <v>63000</v>
      </c>
      <c r="AK601" s="23" t="s">
        <v>30</v>
      </c>
      <c r="AL601" s="37">
        <f>IFERROR(INDEX('Kode Diskon'!$D$3:$D$9,MATCH(cadangan3[[#This Row],[Kode diskon]],'Kode Diskon'!$C$3:$C$9,0)),"-")</f>
        <v>0.1</v>
      </c>
      <c r="AM601" s="23" t="s">
        <v>29</v>
      </c>
      <c r="AN601" s="23" t="s">
        <v>10</v>
      </c>
      <c r="AO601" s="23" t="s">
        <v>80</v>
      </c>
      <c r="AP601" s="24">
        <v>45021</v>
      </c>
      <c r="AQ601" s="23" t="str">
        <f>TEXT(cadangan3[[#This Row],[Tanggal terjual]],"dddd")</f>
        <v>Wednesday</v>
      </c>
    </row>
    <row r="602" spans="1:43" x14ac:dyDescent="0.2">
      <c r="A602" s="20">
        <v>601</v>
      </c>
      <c r="B602" s="21" t="str">
        <f>_xlfn.CONCAT("ORD-",INDEX(Helper!$B$2:$B$5,MATCH(cadangan3[[#This Row],[Marketplace]],Helper!$A$2:$A$5,0)),TEXT(cadangan3[[#This Row],[No]],"0000"),"-",TEXT(cadangan3[[#This Row],[Tanggal terjual]],"dd/mm/yy"))</f>
        <v>ORD-SP0601-27/04/23</v>
      </c>
      <c r="C602" t="s">
        <v>60</v>
      </c>
      <c r="D602" t="str">
        <f>IFERROR(INDEX(Katalog!$A$3:$A$12,MATCH(cadangan3[[#This Row],[ItemID A]],Katalog!$C$3:$C$12,0)),"-")</f>
        <v>Pakaian Wanita</v>
      </c>
      <c r="E602" t="str">
        <f>IFERROR(INDEX(Katalog!$B$3:$B$12,MATCH(cadangan3[[#This Row],[ItemID A]],Katalog!$C$3:$C$12,0)),"-")</f>
        <v>Kaftan</v>
      </c>
      <c r="F602">
        <v>1</v>
      </c>
      <c r="G602">
        <v>1</v>
      </c>
      <c r="H602" s="36">
        <f>IFERROR(INDEX(Katalog!$D$3:$D$12,MATCH(cadangan3[[#This Row],[ItemID A]],Katalog!$C$3:$C$12,0))*cadangan3[[#This Row],[Qty A]],0)</f>
        <v>250000</v>
      </c>
      <c r="I602" s="36">
        <f>IFERROR(INDEX(Katalog!$D$3:$D$12,MATCH(cadangan3[[#This Row],[Item A]],Katalog!$B$3:$B$12,0))*cadangan3[[#This Row],[Qty A]],0)</f>
        <v>250000</v>
      </c>
      <c r="J602" s="36">
        <f>IFERROR(cadangan3[[#This Row],[Harga Asli A]]-(cadangan3[[#This Row],[Harga Asli A]]*cadangan3[[#This Row],[Diskon]]),cadangan3[[#This Row],[Harga Asli A]])</f>
        <v>200000</v>
      </c>
      <c r="K602" s="36">
        <f>INDEX(Katalog!$F$3:$F$12,MATCH(cadangan3[[#This Row],[ItemID A]],Katalog!$C$3:$C$12,0))*cadangan3[[#This Row],[Qty A]]</f>
        <v>100000</v>
      </c>
      <c r="L602" s="36">
        <f>IFERROR(cadangan3[[#This Row],[Profit A]]-(cadangan3[[#This Row],[Profit A]]*cadangan3[[#This Row],[Diskon]]),K602)</f>
        <v>80000</v>
      </c>
      <c r="M602" t="s">
        <v>58</v>
      </c>
      <c r="N602" t="str">
        <f>IFERROR(INDEX(Katalog!$A$3:$A$12,MATCH(cadangan3[[#This Row],[ItemID B]],Katalog!$C$3:$C$12,0)),"-")</f>
        <v>Pakaian Wanita</v>
      </c>
      <c r="O602" t="str">
        <f>IFERROR(INDEX(Katalog!$B$3:$B$12,MATCH(cadangan3[[#This Row],[ItemID B]],Katalog!$C$3:$C$12,0)),"-")</f>
        <v>Dress</v>
      </c>
      <c r="P602">
        <v>2</v>
      </c>
      <c r="Q602">
        <v>3</v>
      </c>
      <c r="R602" s="36">
        <f>IFERROR(INDEX(Katalog!$D$3:$D$12,MATCH(cadangan3[[#This Row],[ItemID B]],Katalog!$C$3:$C$12,0))*cadangan3[[#This Row],[Qty B]],0)</f>
        <v>600000</v>
      </c>
      <c r="S602" s="36">
        <f>IFERROR(INDEX(Katalog!$D$3:$D$12,MATCH(cadangan3[[#This Row],[Item B]],Katalog!$B$3:$B$12,0))*cadangan3[[#This Row],[Qty B]],0)</f>
        <v>600000</v>
      </c>
      <c r="T602" s="36">
        <f>IFERROR(cadangan3[[#This Row],[Harga Asli B]]-(cadangan3[[#This Row],[Harga Asli B]]*cadangan3[[#This Row],[Diskon]]),cadangan3[[#This Row],[Harga Asli B]])</f>
        <v>480000</v>
      </c>
      <c r="U602" s="36">
        <f>IFERROR(INDEX(Katalog!$F$3:$F$12,MATCH(cadangan3[[#This Row],[ItemID B]],Katalog!$C$3:$C$12,0))*cadangan3[[#This Row],[Qty B]],0)</f>
        <v>200000</v>
      </c>
      <c r="V602" s="36">
        <f>IFERROR(cadangan3[[#This Row],[Profit B]]-(cadangan3[[#This Row],[Profit B]]*cadangan3[[#This Row],[Diskon]]),U602)</f>
        <v>160000</v>
      </c>
      <c r="W602" t="s">
        <v>61</v>
      </c>
      <c r="X602" t="str">
        <f>IFERROR(INDEX(Katalog!$A$3:$A$12,MATCH(cadangan3[[#This Row],[ItemID C]],Katalog!$C$3:$C$12,0)),"-")</f>
        <v>Pakaian Pria</v>
      </c>
      <c r="Y602" t="str">
        <f>IFERROR(INDEX(Katalog!$B$3:$B$12,MATCH(cadangan3[[#This Row],[ItemID C]],Katalog!$C$3:$C$12,0)),"-")</f>
        <v>Kaos Polo</v>
      </c>
      <c r="Z602">
        <v>3</v>
      </c>
      <c r="AA602">
        <v>4</v>
      </c>
      <c r="AB602" s="36">
        <f>IFERROR(INDEX(Katalog!$D$3:$D$12,MATCH(cadangan3[[#This Row],[ItemID C]],Katalog!$C$3:$C$12,0))*cadangan3[[#This Row],[Qty C]],0)</f>
        <v>600000</v>
      </c>
      <c r="AC602" s="36">
        <f>IFERROR(INDEX(Katalog!$D$3:$D$12,MATCH(cadangan3[[#This Row],[Item C]],Katalog!$B$3:$B$12,0))*cadangan3[[#This Row],[Qty C]],0)</f>
        <v>600000</v>
      </c>
      <c r="AD602" s="36">
        <f>IFERROR(cadangan3[[#This Row],[Harga Asli C]]-(cadangan3[[#This Row],[Harga Asli C]]*cadangan3[[#This Row],[Diskon]]),cadangan3[[#This Row],[Harga Asli C]])</f>
        <v>480000</v>
      </c>
      <c r="AE602" s="36">
        <f>IFERROR(INDEX(Katalog!$F$3:$F$12,MATCH(cadangan3[[#This Row],[ItemID C]],Katalog!$C$3:$C$12,0))*cadangan3[[#This Row],[Qty C]],0)</f>
        <v>240000</v>
      </c>
      <c r="AF602" s="36">
        <f>IFERROR(cadangan3[[#This Row],[Profit C]]-(cadangan3[[#This Row],[Profit C]]*cadangan3[[#This Row],[Diskon]]),cadangan3[[#This Row],[Profit C]])</f>
        <v>192000</v>
      </c>
      <c r="AG602" s="21">
        <f>cadangan3[[#This Row],[Qty A]]+cadangan3[[#This Row],[Qty B]]+cadangan3[[#This Row],[Qty C]]</f>
        <v>6</v>
      </c>
      <c r="AH602" s="35">
        <f>cadangan3[[#This Row],[Harga A + Diskon]]+cadangan3[[#This Row],[Harga + Diskon B]]+cadangan3[[#This Row],[Harga + Diskon C]]</f>
        <v>1160000</v>
      </c>
      <c r="AI602" s="35">
        <f>(cadangan3[[#This Row],[Profit A]]+cadangan3[[#This Row],[Profit B]]+cadangan3[[#This Row],[Profit C]])</f>
        <v>540000</v>
      </c>
      <c r="AJ602" s="35">
        <f>cadangan3[[#This Row],[Provit A + Diskon]]+cadangan3[[#This Row],[Provit B + Diskon]]+cadangan3[[#This Row],[Provit C + Diskon]]</f>
        <v>432000</v>
      </c>
      <c r="AK602" s="23" t="s">
        <v>8</v>
      </c>
      <c r="AL602" s="37">
        <f>IFERROR(INDEX('Kode Diskon'!$D$3:$D$9,MATCH(cadangan3[[#This Row],[Kode diskon]],'Kode Diskon'!$C$3:$C$9,0)),"-")</f>
        <v>0.2</v>
      </c>
      <c r="AM602" s="23" t="s">
        <v>9</v>
      </c>
      <c r="AN602" s="23" t="s">
        <v>7</v>
      </c>
      <c r="AO602" s="23" t="s">
        <v>80</v>
      </c>
      <c r="AP602" s="24">
        <v>45043</v>
      </c>
      <c r="AQ602" s="23" t="str">
        <f>TEXT(cadangan3[[#This Row],[Tanggal terjual]],"dddd")</f>
        <v>Thursday</v>
      </c>
    </row>
    <row r="603" spans="1:43" x14ac:dyDescent="0.2">
      <c r="A603" s="20">
        <v>602</v>
      </c>
      <c r="B603" s="21" t="str">
        <f>_xlfn.CONCAT("ORD-",INDEX(Helper!$B$2:$B$5,MATCH(cadangan3[[#This Row],[Marketplace]],Helper!$A$2:$A$5,0)),TEXT(cadangan3[[#This Row],[No]],"0000"),"-",TEXT(cadangan3[[#This Row],[Tanggal terjual]],"dd/mm/yy"))</f>
        <v>ORD-SP0602-13/04/23</v>
      </c>
      <c r="C603" t="s">
        <v>63</v>
      </c>
      <c r="D603" t="str">
        <f>IFERROR(INDEX(Katalog!$A$3:$A$12,MATCH(cadangan3[[#This Row],[ItemID A]],Katalog!$C$3:$C$12,0)),"-")</f>
        <v>Pakaian Pria</v>
      </c>
      <c r="E603" t="str">
        <f>IFERROR(INDEX(Katalog!$B$3:$B$12,MATCH(cadangan3[[#This Row],[ItemID A]],Katalog!$C$3:$C$12,0)),"-")</f>
        <v>Jaket Jeans</v>
      </c>
      <c r="F603">
        <v>5</v>
      </c>
      <c r="G603">
        <v>3</v>
      </c>
      <c r="H603" s="36">
        <f>IFERROR(INDEX(Katalog!$D$3:$D$12,MATCH(cadangan3[[#This Row],[ItemID A]],Katalog!$C$3:$C$12,0))*cadangan3[[#This Row],[Qty A]],0)</f>
        <v>2000000</v>
      </c>
      <c r="I603" s="36">
        <f>IFERROR(INDEX(Katalog!$D$3:$D$12,MATCH(cadangan3[[#This Row],[Item A]],Katalog!$B$3:$B$12,0))*cadangan3[[#This Row],[Qty A]],0)</f>
        <v>2000000</v>
      </c>
      <c r="J603" s="36">
        <f>IFERROR(cadangan3[[#This Row],[Harga Asli A]]-(cadangan3[[#This Row],[Harga Asli A]]*cadangan3[[#This Row],[Diskon]]),cadangan3[[#This Row],[Harga Asli A]])</f>
        <v>2000000</v>
      </c>
      <c r="K603" s="36">
        <f>INDEX(Katalog!$F$3:$F$12,MATCH(cadangan3[[#This Row],[ItemID A]],Katalog!$C$3:$C$12,0))*cadangan3[[#This Row],[Qty A]]</f>
        <v>750000</v>
      </c>
      <c r="L603" s="36">
        <f>IFERROR(cadangan3[[#This Row],[Profit A]]-(cadangan3[[#This Row],[Profit A]]*cadangan3[[#This Row],[Diskon]]),K603)</f>
        <v>750000</v>
      </c>
      <c r="M603" t="s">
        <v>67</v>
      </c>
      <c r="N603" t="str">
        <f>IFERROR(INDEX(Katalog!$A$3:$A$12,MATCH(cadangan3[[#This Row],[ItemID B]],Katalog!$C$3:$C$12,0)),"-")</f>
        <v>Sepatu Wanita</v>
      </c>
      <c r="O603" t="str">
        <f>IFERROR(INDEX(Katalog!$B$3:$B$12,MATCH(cadangan3[[#This Row],[ItemID B]],Katalog!$C$3:$C$12,0)),"-")</f>
        <v>Flat Shoes</v>
      </c>
      <c r="P603">
        <v>1</v>
      </c>
      <c r="Q603">
        <v>3</v>
      </c>
      <c r="R603" s="36">
        <f>IFERROR(INDEX(Katalog!$D$3:$D$12,MATCH(cadangan3[[#This Row],[ItemID B]],Katalog!$C$3:$C$12,0))*cadangan3[[#This Row],[Qty B]],0)</f>
        <v>250000</v>
      </c>
      <c r="S603" s="36">
        <f>IFERROR(INDEX(Katalog!$D$3:$D$12,MATCH(cadangan3[[#This Row],[Item B]],Katalog!$B$3:$B$12,0))*cadangan3[[#This Row],[Qty B]],0)</f>
        <v>250000</v>
      </c>
      <c r="T603" s="36">
        <f>IFERROR(cadangan3[[#This Row],[Harga Asli B]]-(cadangan3[[#This Row],[Harga Asli B]]*cadangan3[[#This Row],[Diskon]]),cadangan3[[#This Row],[Harga Asli B]])</f>
        <v>250000</v>
      </c>
      <c r="U603" s="36">
        <f>IFERROR(INDEX(Katalog!$F$3:$F$12,MATCH(cadangan3[[#This Row],[ItemID B]],Katalog!$C$3:$C$12,0))*cadangan3[[#This Row],[Qty B]],0)</f>
        <v>100000</v>
      </c>
      <c r="V603" s="36">
        <f>IFERROR(cadangan3[[#This Row],[Profit B]]-(cadangan3[[#This Row],[Profit B]]*cadangan3[[#This Row],[Diskon]]),U603)</f>
        <v>100000</v>
      </c>
      <c r="X603" t="str">
        <f>IFERROR(INDEX(Katalog!$A$3:$A$12,MATCH(cadangan3[[#This Row],[ItemID C]],Katalog!$C$3:$C$12,0)),"-")</f>
        <v>-</v>
      </c>
      <c r="Y603" t="str">
        <f>IFERROR(INDEX(Katalog!$B$3:$B$12,MATCH(cadangan3[[#This Row],[ItemID C]],Katalog!$C$3:$C$12,0)),"-")</f>
        <v>-</v>
      </c>
      <c r="AB603" s="36">
        <f>IFERROR(INDEX(Katalog!$D$3:$D$12,MATCH(cadangan3[[#This Row],[ItemID C]],Katalog!$C$3:$C$12,0))*cadangan3[[#This Row],[Qty C]],0)</f>
        <v>0</v>
      </c>
      <c r="AC603" s="36">
        <f>IFERROR(INDEX(Katalog!$D$3:$D$12,MATCH(cadangan3[[#This Row],[Item C]],Katalog!$B$3:$B$12,0))*cadangan3[[#This Row],[Qty C]],0)</f>
        <v>0</v>
      </c>
      <c r="AD603" s="36">
        <f>IFERROR(cadangan3[[#This Row],[Harga Asli C]]-(cadangan3[[#This Row],[Harga Asli C]]*cadangan3[[#This Row],[Diskon]]),cadangan3[[#This Row],[Harga Asli C]])</f>
        <v>0</v>
      </c>
      <c r="AE603" s="36">
        <f>IFERROR(INDEX(Katalog!$F$3:$F$12,MATCH(cadangan3[[#This Row],[ItemID C]],Katalog!$C$3:$C$12,0))*cadangan3[[#This Row],[Qty C]],0)</f>
        <v>0</v>
      </c>
      <c r="AF603" s="36">
        <f>IFERROR(cadangan3[[#This Row],[Profit C]]-(cadangan3[[#This Row],[Profit C]]*cadangan3[[#This Row],[Diskon]]),cadangan3[[#This Row],[Profit C]])</f>
        <v>0</v>
      </c>
      <c r="AG603" s="21">
        <f>cadangan3[[#This Row],[Qty A]]+cadangan3[[#This Row],[Qty B]]+cadangan3[[#This Row],[Qty C]]</f>
        <v>6</v>
      </c>
      <c r="AH603" s="35">
        <f>cadangan3[[#This Row],[Harga A + Diskon]]+cadangan3[[#This Row],[Harga + Diskon B]]+cadangan3[[#This Row],[Harga + Diskon C]]</f>
        <v>2250000</v>
      </c>
      <c r="AI603" s="35">
        <f>(cadangan3[[#This Row],[Profit A]]+cadangan3[[#This Row],[Profit B]]+cadangan3[[#This Row],[Profit C]])</f>
        <v>850000</v>
      </c>
      <c r="AJ603" s="35">
        <f>cadangan3[[#This Row],[Provit A + Diskon]]+cadangan3[[#This Row],[Provit B + Diskon]]+cadangan3[[#This Row],[Provit C + Diskon]]</f>
        <v>850000</v>
      </c>
      <c r="AK603" s="23" t="s">
        <v>11</v>
      </c>
      <c r="AL603" s="37" t="str">
        <f>IFERROR(INDEX('Kode Diskon'!$D$3:$D$9,MATCH(cadangan3[[#This Row],[Kode diskon]],'Kode Diskon'!$C$3:$C$9,0)),"-")</f>
        <v>-</v>
      </c>
      <c r="AM603" s="23" t="s">
        <v>11</v>
      </c>
      <c r="AN603" s="23" t="s">
        <v>7</v>
      </c>
      <c r="AO603" s="23" t="s">
        <v>77</v>
      </c>
      <c r="AP603" s="24">
        <v>45029</v>
      </c>
      <c r="AQ603" s="23" t="str">
        <f>TEXT(cadangan3[[#This Row],[Tanggal terjual]],"dddd")</f>
        <v>Thursday</v>
      </c>
    </row>
    <row r="604" spans="1:43" x14ac:dyDescent="0.2">
      <c r="A604" s="20">
        <v>603</v>
      </c>
      <c r="B604" s="21" t="str">
        <f>_xlfn.CONCAT("ORD-",INDEX(Helper!$B$2:$B$5,MATCH(cadangan3[[#This Row],[Marketplace]],Helper!$A$2:$A$5,0)),TEXT(cadangan3[[#This Row],[No]],"0000"),"-",TEXT(cadangan3[[#This Row],[Tanggal terjual]],"dd/mm/yy"))</f>
        <v>ORD-BB0603-02/04/23</v>
      </c>
      <c r="C604" t="s">
        <v>61</v>
      </c>
      <c r="D604" t="str">
        <f>IFERROR(INDEX(Katalog!$A$3:$A$12,MATCH(cadangan3[[#This Row],[ItemID A]],Katalog!$C$3:$C$12,0)),"-")</f>
        <v>Pakaian Pria</v>
      </c>
      <c r="E604" t="str">
        <f>IFERROR(INDEX(Katalog!$B$3:$B$12,MATCH(cadangan3[[#This Row],[ItemID A]],Katalog!$C$3:$C$12,0)),"-")</f>
        <v>Kaos Polo</v>
      </c>
      <c r="F604">
        <v>4</v>
      </c>
      <c r="G604">
        <v>2</v>
      </c>
      <c r="H604" s="36">
        <f>IFERROR(INDEX(Katalog!$D$3:$D$12,MATCH(cadangan3[[#This Row],[ItemID A]],Katalog!$C$3:$C$12,0))*cadangan3[[#This Row],[Qty A]],0)</f>
        <v>800000</v>
      </c>
      <c r="I604" s="36">
        <f>IFERROR(INDEX(Katalog!$D$3:$D$12,MATCH(cadangan3[[#This Row],[Item A]],Katalog!$B$3:$B$12,0))*cadangan3[[#This Row],[Qty A]],0)</f>
        <v>800000</v>
      </c>
      <c r="J604" s="36">
        <f>IFERROR(cadangan3[[#This Row],[Harga Asli A]]-(cadangan3[[#This Row],[Harga Asli A]]*cadangan3[[#This Row],[Diskon]]),cadangan3[[#This Row],[Harga Asli A]])</f>
        <v>680000</v>
      </c>
      <c r="K604" s="36">
        <f>INDEX(Katalog!$F$3:$F$12,MATCH(cadangan3[[#This Row],[ItemID A]],Katalog!$C$3:$C$12,0))*cadangan3[[#This Row],[Qty A]]</f>
        <v>320000</v>
      </c>
      <c r="L604" s="36">
        <f>IFERROR(cadangan3[[#This Row],[Profit A]]-(cadangan3[[#This Row],[Profit A]]*cadangan3[[#This Row],[Diskon]]),K604)</f>
        <v>272000</v>
      </c>
      <c r="M604" t="s">
        <v>66</v>
      </c>
      <c r="N604" t="str">
        <f>IFERROR(INDEX(Katalog!$A$3:$A$12,MATCH(cadangan3[[#This Row],[ItemID B]],Katalog!$C$3:$C$12,0)),"-")</f>
        <v>Sepatu Pria</v>
      </c>
      <c r="O604" t="str">
        <f>IFERROR(INDEX(Katalog!$B$3:$B$12,MATCH(cadangan3[[#This Row],[ItemID B]],Katalog!$C$3:$C$12,0)),"-")</f>
        <v>Sandal Slip On</v>
      </c>
      <c r="P604">
        <v>1</v>
      </c>
      <c r="Q604">
        <v>1</v>
      </c>
      <c r="R604" s="36">
        <f>IFERROR(INDEX(Katalog!$D$3:$D$12,MATCH(cadangan3[[#This Row],[ItemID B]],Katalog!$C$3:$C$12,0))*cadangan3[[#This Row],[Qty B]],0)</f>
        <v>150000</v>
      </c>
      <c r="S604" s="36">
        <f>IFERROR(INDEX(Katalog!$D$3:$D$12,MATCH(cadangan3[[#This Row],[Item B]],Katalog!$B$3:$B$12,0))*cadangan3[[#This Row],[Qty B]],0)</f>
        <v>150000</v>
      </c>
      <c r="T604" s="36">
        <f>IFERROR(cadangan3[[#This Row],[Harga Asli B]]-(cadangan3[[#This Row],[Harga Asli B]]*cadangan3[[#This Row],[Diskon]]),cadangan3[[#This Row],[Harga Asli B]])</f>
        <v>127500</v>
      </c>
      <c r="U604" s="36">
        <f>IFERROR(INDEX(Katalog!$F$3:$F$12,MATCH(cadangan3[[#This Row],[ItemID B]],Katalog!$C$3:$C$12,0))*cadangan3[[#This Row],[Qty B]],0)</f>
        <v>60000</v>
      </c>
      <c r="V604" s="36">
        <f>IFERROR(cadangan3[[#This Row],[Profit B]]-(cadangan3[[#This Row],[Profit B]]*cadangan3[[#This Row],[Diskon]]),U604)</f>
        <v>51000</v>
      </c>
      <c r="W604" t="s">
        <v>67</v>
      </c>
      <c r="X604" t="str">
        <f>IFERROR(INDEX(Katalog!$A$3:$A$12,MATCH(cadangan3[[#This Row],[ItemID C]],Katalog!$C$3:$C$12,0)),"-")</f>
        <v>Sepatu Wanita</v>
      </c>
      <c r="Y604" t="str">
        <f>IFERROR(INDEX(Katalog!$B$3:$B$12,MATCH(cadangan3[[#This Row],[ItemID C]],Katalog!$C$3:$C$12,0)),"-")</f>
        <v>Flat Shoes</v>
      </c>
      <c r="Z604">
        <v>2</v>
      </c>
      <c r="AA604">
        <v>2</v>
      </c>
      <c r="AB604" s="36">
        <f>IFERROR(INDEX(Katalog!$D$3:$D$12,MATCH(cadangan3[[#This Row],[ItemID C]],Katalog!$C$3:$C$12,0))*cadangan3[[#This Row],[Qty C]],0)</f>
        <v>500000</v>
      </c>
      <c r="AC604" s="36">
        <f>IFERROR(INDEX(Katalog!$D$3:$D$12,MATCH(cadangan3[[#This Row],[Item C]],Katalog!$B$3:$B$12,0))*cadangan3[[#This Row],[Qty C]],0)</f>
        <v>500000</v>
      </c>
      <c r="AD604" s="36">
        <f>IFERROR(cadangan3[[#This Row],[Harga Asli C]]-(cadangan3[[#This Row],[Harga Asli C]]*cadangan3[[#This Row],[Diskon]]),cadangan3[[#This Row],[Harga Asli C]])</f>
        <v>425000</v>
      </c>
      <c r="AE604" s="36">
        <f>IFERROR(INDEX(Katalog!$F$3:$F$12,MATCH(cadangan3[[#This Row],[ItemID C]],Katalog!$C$3:$C$12,0))*cadangan3[[#This Row],[Qty C]],0)</f>
        <v>200000</v>
      </c>
      <c r="AF604" s="36">
        <f>IFERROR(cadangan3[[#This Row],[Profit C]]-(cadangan3[[#This Row],[Profit C]]*cadangan3[[#This Row],[Diskon]]),cadangan3[[#This Row],[Profit C]])</f>
        <v>170000</v>
      </c>
      <c r="AG604" s="21">
        <f>cadangan3[[#This Row],[Qty A]]+cadangan3[[#This Row],[Qty B]]+cadangan3[[#This Row],[Qty C]]</f>
        <v>7</v>
      </c>
      <c r="AH604" s="35">
        <f>cadangan3[[#This Row],[Harga A + Diskon]]+cadangan3[[#This Row],[Harga + Diskon B]]+cadangan3[[#This Row],[Harga + Diskon C]]</f>
        <v>1232500</v>
      </c>
      <c r="AI604" s="35">
        <f>(cadangan3[[#This Row],[Profit A]]+cadangan3[[#This Row],[Profit B]]+cadangan3[[#This Row],[Profit C]])</f>
        <v>580000</v>
      </c>
      <c r="AJ604" s="35">
        <f>cadangan3[[#This Row],[Provit A + Diskon]]+cadangan3[[#This Row],[Provit B + Diskon]]+cadangan3[[#This Row],[Provit C + Diskon]]</f>
        <v>493000</v>
      </c>
      <c r="AK604" s="23" t="s">
        <v>28</v>
      </c>
      <c r="AL604" s="37">
        <f>IFERROR(INDEX('Kode Diskon'!$D$3:$D$9,MATCH(cadangan3[[#This Row],[Kode diskon]],'Kode Diskon'!$C$3:$C$9,0)),"-")</f>
        <v>0.15</v>
      </c>
      <c r="AM604" s="23" t="s">
        <v>29</v>
      </c>
      <c r="AN604" s="23" t="s">
        <v>14</v>
      </c>
      <c r="AO604" s="23" t="s">
        <v>75</v>
      </c>
      <c r="AP604" s="24">
        <v>45018</v>
      </c>
      <c r="AQ604" s="23" t="str">
        <f>TEXT(cadangan3[[#This Row],[Tanggal terjual]],"dddd")</f>
        <v>Sunday</v>
      </c>
    </row>
    <row r="605" spans="1:43" x14ac:dyDescent="0.2">
      <c r="A605" s="20">
        <v>604</v>
      </c>
      <c r="B605" s="21" t="str">
        <f>_xlfn.CONCAT("ORD-",INDEX(Helper!$B$2:$B$5,MATCH(cadangan3[[#This Row],[Marketplace]],Helper!$A$2:$A$5,0)),TEXT(cadangan3[[#This Row],[No]],"0000"),"-",TEXT(cadangan3[[#This Row],[Tanggal terjual]],"dd/mm/yy"))</f>
        <v>ORD-TK0604-08/04/23</v>
      </c>
      <c r="C605" t="s">
        <v>58</v>
      </c>
      <c r="D605" t="str">
        <f>IFERROR(INDEX(Katalog!$A$3:$A$12,MATCH(cadangan3[[#This Row],[ItemID A]],Katalog!$C$3:$C$12,0)),"-")</f>
        <v>Pakaian Wanita</v>
      </c>
      <c r="E605" t="str">
        <f>IFERROR(INDEX(Katalog!$B$3:$B$12,MATCH(cadangan3[[#This Row],[ItemID A]],Katalog!$C$3:$C$12,0)),"-")</f>
        <v>Dress</v>
      </c>
      <c r="F605">
        <v>3</v>
      </c>
      <c r="G605">
        <v>2</v>
      </c>
      <c r="H605" s="36">
        <f>IFERROR(INDEX(Katalog!$D$3:$D$12,MATCH(cadangan3[[#This Row],[ItemID A]],Katalog!$C$3:$C$12,0))*cadangan3[[#This Row],[Qty A]],0)</f>
        <v>900000</v>
      </c>
      <c r="I605" s="36">
        <f>IFERROR(INDEX(Katalog!$D$3:$D$12,MATCH(cadangan3[[#This Row],[Item A]],Katalog!$B$3:$B$12,0))*cadangan3[[#This Row],[Qty A]],0)</f>
        <v>900000</v>
      </c>
      <c r="J605" s="36">
        <f>IFERROR(cadangan3[[#This Row],[Harga Asli A]]-(cadangan3[[#This Row],[Harga Asli A]]*cadangan3[[#This Row],[Diskon]]),cadangan3[[#This Row],[Harga Asli A]])</f>
        <v>900000</v>
      </c>
      <c r="K605" s="36">
        <f>INDEX(Katalog!$F$3:$F$12,MATCH(cadangan3[[#This Row],[ItemID A]],Katalog!$C$3:$C$12,0))*cadangan3[[#This Row],[Qty A]]</f>
        <v>300000</v>
      </c>
      <c r="L605" s="36">
        <f>IFERROR(cadangan3[[#This Row],[Profit A]]-(cadangan3[[#This Row],[Profit A]]*cadangan3[[#This Row],[Diskon]]),K605)</f>
        <v>300000</v>
      </c>
      <c r="M605" t="s">
        <v>60</v>
      </c>
      <c r="N605" t="str">
        <f>IFERROR(INDEX(Katalog!$A$3:$A$12,MATCH(cadangan3[[#This Row],[ItemID B]],Katalog!$C$3:$C$12,0)),"-")</f>
        <v>Pakaian Wanita</v>
      </c>
      <c r="O605" t="str">
        <f>IFERROR(INDEX(Katalog!$B$3:$B$12,MATCH(cadangan3[[#This Row],[ItemID B]],Katalog!$C$3:$C$12,0)),"-")</f>
        <v>Kaftan</v>
      </c>
      <c r="P605">
        <v>1</v>
      </c>
      <c r="Q605">
        <v>1</v>
      </c>
      <c r="R605" s="36">
        <f>IFERROR(INDEX(Katalog!$D$3:$D$12,MATCH(cadangan3[[#This Row],[ItemID B]],Katalog!$C$3:$C$12,0))*cadangan3[[#This Row],[Qty B]],0)</f>
        <v>250000</v>
      </c>
      <c r="S605" s="36">
        <f>IFERROR(INDEX(Katalog!$D$3:$D$12,MATCH(cadangan3[[#This Row],[Item B]],Katalog!$B$3:$B$12,0))*cadangan3[[#This Row],[Qty B]],0)</f>
        <v>250000</v>
      </c>
      <c r="T605" s="36">
        <f>IFERROR(cadangan3[[#This Row],[Harga Asli B]]-(cadangan3[[#This Row],[Harga Asli B]]*cadangan3[[#This Row],[Diskon]]),cadangan3[[#This Row],[Harga Asli B]])</f>
        <v>250000</v>
      </c>
      <c r="U605" s="36">
        <f>IFERROR(INDEX(Katalog!$F$3:$F$12,MATCH(cadangan3[[#This Row],[ItemID B]],Katalog!$C$3:$C$12,0))*cadangan3[[#This Row],[Qty B]],0)</f>
        <v>100000</v>
      </c>
      <c r="V605" s="36">
        <f>IFERROR(cadangan3[[#This Row],[Profit B]]-(cadangan3[[#This Row],[Profit B]]*cadangan3[[#This Row],[Diskon]]),U605)</f>
        <v>100000</v>
      </c>
      <c r="X605" t="str">
        <f>IFERROR(INDEX(Katalog!$A$3:$A$12,MATCH(cadangan3[[#This Row],[ItemID C]],Katalog!$C$3:$C$12,0)),"-")</f>
        <v>-</v>
      </c>
      <c r="Y605" t="str">
        <f>IFERROR(INDEX(Katalog!$B$3:$B$12,MATCH(cadangan3[[#This Row],[ItemID C]],Katalog!$C$3:$C$12,0)),"-")</f>
        <v>-</v>
      </c>
      <c r="AB605" s="36">
        <f>IFERROR(INDEX(Katalog!$D$3:$D$12,MATCH(cadangan3[[#This Row],[ItemID C]],Katalog!$C$3:$C$12,0))*cadangan3[[#This Row],[Qty C]],0)</f>
        <v>0</v>
      </c>
      <c r="AC605" s="36">
        <f>IFERROR(INDEX(Katalog!$D$3:$D$12,MATCH(cadangan3[[#This Row],[Item C]],Katalog!$B$3:$B$12,0))*cadangan3[[#This Row],[Qty C]],0)</f>
        <v>0</v>
      </c>
      <c r="AD605" s="36">
        <f>IFERROR(cadangan3[[#This Row],[Harga Asli C]]-(cadangan3[[#This Row],[Harga Asli C]]*cadangan3[[#This Row],[Diskon]]),cadangan3[[#This Row],[Harga Asli C]])</f>
        <v>0</v>
      </c>
      <c r="AE605" s="36">
        <f>IFERROR(INDEX(Katalog!$F$3:$F$12,MATCH(cadangan3[[#This Row],[ItemID C]],Katalog!$C$3:$C$12,0))*cadangan3[[#This Row],[Qty C]],0)</f>
        <v>0</v>
      </c>
      <c r="AF605" s="36">
        <f>IFERROR(cadangan3[[#This Row],[Profit C]]-(cadangan3[[#This Row],[Profit C]]*cadangan3[[#This Row],[Diskon]]),cadangan3[[#This Row],[Profit C]])</f>
        <v>0</v>
      </c>
      <c r="AG605" s="21">
        <f>cadangan3[[#This Row],[Qty A]]+cadangan3[[#This Row],[Qty B]]+cadangan3[[#This Row],[Qty C]]</f>
        <v>4</v>
      </c>
      <c r="AH605" s="35">
        <f>cadangan3[[#This Row],[Harga A + Diskon]]+cadangan3[[#This Row],[Harga + Diskon B]]+cadangan3[[#This Row],[Harga + Diskon C]]</f>
        <v>1150000</v>
      </c>
      <c r="AI605" s="35">
        <f>(cadangan3[[#This Row],[Profit A]]+cadangan3[[#This Row],[Profit B]]+cadangan3[[#This Row],[Profit C]])</f>
        <v>400000</v>
      </c>
      <c r="AJ605" s="35">
        <f>cadangan3[[#This Row],[Provit A + Diskon]]+cadangan3[[#This Row],[Provit B + Diskon]]+cadangan3[[#This Row],[Provit C + Diskon]]</f>
        <v>400000</v>
      </c>
      <c r="AK605" s="23" t="s">
        <v>11</v>
      </c>
      <c r="AL605" s="37" t="str">
        <f>IFERROR(INDEX('Kode Diskon'!$D$3:$D$9,MATCH(cadangan3[[#This Row],[Kode diskon]],'Kode Diskon'!$C$3:$C$9,0)),"-")</f>
        <v>-</v>
      </c>
      <c r="AM605" s="23" t="s">
        <v>11</v>
      </c>
      <c r="AN605" s="23" t="s">
        <v>10</v>
      </c>
      <c r="AO605" s="23" t="s">
        <v>76</v>
      </c>
      <c r="AP605" s="24">
        <v>45024</v>
      </c>
      <c r="AQ605" s="23" t="str">
        <f>TEXT(cadangan3[[#This Row],[Tanggal terjual]],"dddd")</f>
        <v>Saturday</v>
      </c>
    </row>
    <row r="606" spans="1:43" x14ac:dyDescent="0.2">
      <c r="A606" s="20">
        <v>605</v>
      </c>
      <c r="B606" s="21" t="str">
        <f>_xlfn.CONCAT("ORD-",INDEX(Helper!$B$2:$B$5,MATCH(cadangan3[[#This Row],[Marketplace]],Helper!$A$2:$A$5,0)),TEXT(cadangan3[[#This Row],[No]],"0000"),"-",TEXT(cadangan3[[#This Row],[Tanggal terjual]],"dd/mm/yy"))</f>
        <v>ORD-BL0605-17/04/23</v>
      </c>
      <c r="C606" t="s">
        <v>59</v>
      </c>
      <c r="D606" t="str">
        <f>IFERROR(INDEX(Katalog!$A$3:$A$12,MATCH(cadangan3[[#This Row],[ItemID A]],Katalog!$C$3:$C$12,0)),"-")</f>
        <v>Pakaian Wanita</v>
      </c>
      <c r="E606" t="str">
        <f>IFERROR(INDEX(Katalog!$B$3:$B$12,MATCH(cadangan3[[#This Row],[ItemID A]],Katalog!$C$3:$C$12,0)),"-")</f>
        <v>Blouse</v>
      </c>
      <c r="F606">
        <v>7</v>
      </c>
      <c r="G606">
        <v>3</v>
      </c>
      <c r="H606" s="36">
        <f>IFERROR(INDEX(Katalog!$D$3:$D$12,MATCH(cadangan3[[#This Row],[ItemID A]],Katalog!$C$3:$C$12,0))*cadangan3[[#This Row],[Qty A]],0)</f>
        <v>1050000</v>
      </c>
      <c r="I606" s="36">
        <f>IFERROR(INDEX(Katalog!$D$3:$D$12,MATCH(cadangan3[[#This Row],[Item A]],Katalog!$B$3:$B$12,0))*cadangan3[[#This Row],[Qty A]],0)</f>
        <v>1050000</v>
      </c>
      <c r="J606" s="36">
        <f>IFERROR(cadangan3[[#This Row],[Harga Asli A]]-(cadangan3[[#This Row],[Harga Asli A]]*cadangan3[[#This Row],[Diskon]]),cadangan3[[#This Row],[Harga Asli A]])</f>
        <v>892500</v>
      </c>
      <c r="K606" s="36">
        <f>INDEX(Katalog!$F$3:$F$12,MATCH(cadangan3[[#This Row],[ItemID A]],Katalog!$C$3:$C$12,0))*cadangan3[[#This Row],[Qty A]]</f>
        <v>350000</v>
      </c>
      <c r="L606" s="36">
        <f>IFERROR(cadangan3[[#This Row],[Profit A]]-(cadangan3[[#This Row],[Profit A]]*cadangan3[[#This Row],[Diskon]]),K606)</f>
        <v>297500</v>
      </c>
      <c r="N606" t="str">
        <f>IFERROR(INDEX(Katalog!$A$3:$A$12,MATCH(cadangan3[[#This Row],[ItemID B]],Katalog!$C$3:$C$12,0)),"-")</f>
        <v>-</v>
      </c>
      <c r="O606" t="str">
        <f>IFERROR(INDEX(Katalog!$B$3:$B$12,MATCH(cadangan3[[#This Row],[ItemID B]],Katalog!$C$3:$C$12,0)),"-")</f>
        <v>-</v>
      </c>
      <c r="R606" s="36">
        <f>IFERROR(INDEX(Katalog!$D$3:$D$12,MATCH(cadangan3[[#This Row],[ItemID B]],Katalog!$C$3:$C$12,0))*cadangan3[[#This Row],[Qty B]],0)</f>
        <v>0</v>
      </c>
      <c r="S606" s="36">
        <f>IFERROR(INDEX(Katalog!$D$3:$D$12,MATCH(cadangan3[[#This Row],[Item B]],Katalog!$B$3:$B$12,0))*cadangan3[[#This Row],[Qty B]],0)</f>
        <v>0</v>
      </c>
      <c r="T606" s="36">
        <f>IFERROR(cadangan3[[#This Row],[Harga Asli B]]-(cadangan3[[#This Row],[Harga Asli B]]*cadangan3[[#This Row],[Diskon]]),cadangan3[[#This Row],[Harga Asli B]])</f>
        <v>0</v>
      </c>
      <c r="U606" s="36">
        <f>IFERROR(INDEX(Katalog!$F$3:$F$12,MATCH(cadangan3[[#This Row],[ItemID B]],Katalog!$C$3:$C$12,0))*cadangan3[[#This Row],[Qty B]],0)</f>
        <v>0</v>
      </c>
      <c r="V606" s="36">
        <f>IFERROR(cadangan3[[#This Row],[Profit B]]-(cadangan3[[#This Row],[Profit B]]*cadangan3[[#This Row],[Diskon]]),U606)</f>
        <v>0</v>
      </c>
      <c r="X606" t="str">
        <f>IFERROR(INDEX(Katalog!$A$3:$A$12,MATCH(cadangan3[[#This Row],[ItemID C]],Katalog!$C$3:$C$12,0)),"-")</f>
        <v>-</v>
      </c>
      <c r="Y606" t="str">
        <f>IFERROR(INDEX(Katalog!$B$3:$B$12,MATCH(cadangan3[[#This Row],[ItemID C]],Katalog!$C$3:$C$12,0)),"-")</f>
        <v>-</v>
      </c>
      <c r="AB606" s="36">
        <f>IFERROR(INDEX(Katalog!$D$3:$D$12,MATCH(cadangan3[[#This Row],[ItemID C]],Katalog!$C$3:$C$12,0))*cadangan3[[#This Row],[Qty C]],0)</f>
        <v>0</v>
      </c>
      <c r="AC606" s="36">
        <f>IFERROR(INDEX(Katalog!$D$3:$D$12,MATCH(cadangan3[[#This Row],[Item C]],Katalog!$B$3:$B$12,0))*cadangan3[[#This Row],[Qty C]],0)</f>
        <v>0</v>
      </c>
      <c r="AD606" s="36">
        <f>IFERROR(cadangan3[[#This Row],[Harga Asli C]]-(cadangan3[[#This Row],[Harga Asli C]]*cadangan3[[#This Row],[Diskon]]),cadangan3[[#This Row],[Harga Asli C]])</f>
        <v>0</v>
      </c>
      <c r="AE606" s="36">
        <f>IFERROR(INDEX(Katalog!$F$3:$F$12,MATCH(cadangan3[[#This Row],[ItemID C]],Katalog!$C$3:$C$12,0))*cadangan3[[#This Row],[Qty C]],0)</f>
        <v>0</v>
      </c>
      <c r="AF606" s="36">
        <f>IFERROR(cadangan3[[#This Row],[Profit C]]-(cadangan3[[#This Row],[Profit C]]*cadangan3[[#This Row],[Diskon]]),cadangan3[[#This Row],[Profit C]])</f>
        <v>0</v>
      </c>
      <c r="AG606" s="21">
        <f>cadangan3[[#This Row],[Qty A]]+cadangan3[[#This Row],[Qty B]]+cadangan3[[#This Row],[Qty C]]</f>
        <v>7</v>
      </c>
      <c r="AH606" s="35">
        <f>cadangan3[[#This Row],[Harga A + Diskon]]+cadangan3[[#This Row],[Harga + Diskon B]]+cadangan3[[#This Row],[Harga + Diskon C]]</f>
        <v>892500</v>
      </c>
      <c r="AI606" s="35">
        <f>(cadangan3[[#This Row],[Profit A]]+cadangan3[[#This Row],[Profit B]]+cadangan3[[#This Row],[Profit C]])</f>
        <v>350000</v>
      </c>
      <c r="AJ606" s="35">
        <f>cadangan3[[#This Row],[Provit A + Diskon]]+cadangan3[[#This Row],[Provit B + Diskon]]+cadangan3[[#This Row],[Provit C + Diskon]]</f>
        <v>297500</v>
      </c>
      <c r="AK606" s="23" t="s">
        <v>32</v>
      </c>
      <c r="AL606" s="37">
        <f>IFERROR(INDEX('Kode Diskon'!$D$3:$D$9,MATCH(cadangan3[[#This Row],[Kode diskon]],'Kode Diskon'!$C$3:$C$9,0)),"-")</f>
        <v>0.15</v>
      </c>
      <c r="AM606" s="23" t="s">
        <v>9</v>
      </c>
      <c r="AN606" s="23" t="s">
        <v>12</v>
      </c>
      <c r="AO606" s="23" t="s">
        <v>79</v>
      </c>
      <c r="AP606" s="24">
        <v>45033</v>
      </c>
      <c r="AQ606" s="23" t="str">
        <f>TEXT(cadangan3[[#This Row],[Tanggal terjual]],"dddd")</f>
        <v>Monday</v>
      </c>
    </row>
    <row r="607" spans="1:43" x14ac:dyDescent="0.2">
      <c r="A607" s="20">
        <v>606</v>
      </c>
      <c r="B607" s="21" t="str">
        <f>_xlfn.CONCAT("ORD-",INDEX(Helper!$B$2:$B$5,MATCH(cadangan3[[#This Row],[Marketplace]],Helper!$A$2:$A$5,0)),TEXT(cadangan3[[#This Row],[No]],"0000"),"-",TEXT(cadangan3[[#This Row],[Tanggal terjual]],"dd/mm/yy"))</f>
        <v>ORD-BL0606-11/04/23</v>
      </c>
      <c r="C607" t="s">
        <v>66</v>
      </c>
      <c r="D607" t="str">
        <f>IFERROR(INDEX(Katalog!$A$3:$A$12,MATCH(cadangan3[[#This Row],[ItemID A]],Katalog!$C$3:$C$12,0)),"-")</f>
        <v>Sepatu Pria</v>
      </c>
      <c r="E607" t="str">
        <f>IFERROR(INDEX(Katalog!$B$3:$B$12,MATCH(cadangan3[[#This Row],[ItemID A]],Katalog!$C$3:$C$12,0)),"-")</f>
        <v>Sandal Slip On</v>
      </c>
      <c r="F607">
        <v>4</v>
      </c>
      <c r="G607">
        <v>5</v>
      </c>
      <c r="H607" s="36">
        <f>IFERROR(INDEX(Katalog!$D$3:$D$12,MATCH(cadangan3[[#This Row],[ItemID A]],Katalog!$C$3:$C$12,0))*cadangan3[[#This Row],[Qty A]],0)</f>
        <v>600000</v>
      </c>
      <c r="I607" s="36">
        <f>IFERROR(INDEX(Katalog!$D$3:$D$12,MATCH(cadangan3[[#This Row],[Item A]],Katalog!$B$3:$B$12,0))*cadangan3[[#This Row],[Qty A]],0)</f>
        <v>600000</v>
      </c>
      <c r="J607" s="36">
        <f>IFERROR(cadangan3[[#This Row],[Harga Asli A]]-(cadangan3[[#This Row],[Harga Asli A]]*cadangan3[[#This Row],[Diskon]]),cadangan3[[#This Row],[Harga Asli A]])</f>
        <v>600000</v>
      </c>
      <c r="K607" s="36">
        <f>INDEX(Katalog!$F$3:$F$12,MATCH(cadangan3[[#This Row],[ItemID A]],Katalog!$C$3:$C$12,0))*cadangan3[[#This Row],[Qty A]]</f>
        <v>240000</v>
      </c>
      <c r="L607" s="36">
        <f>IFERROR(cadangan3[[#This Row],[Profit A]]-(cadangan3[[#This Row],[Profit A]]*cadangan3[[#This Row],[Diskon]]),K607)</f>
        <v>240000</v>
      </c>
      <c r="M607" t="s">
        <v>62</v>
      </c>
      <c r="N607" t="str">
        <f>IFERROR(INDEX(Katalog!$A$3:$A$12,MATCH(cadangan3[[#This Row],[ItemID B]],Katalog!$C$3:$C$12,0)),"-")</f>
        <v>Pakaian Pria</v>
      </c>
      <c r="O607" t="str">
        <f>IFERROR(INDEX(Katalog!$B$3:$B$12,MATCH(cadangan3[[#This Row],[ItemID B]],Katalog!$C$3:$C$12,0)),"-")</f>
        <v>Celana Pendek</v>
      </c>
      <c r="P607">
        <v>3</v>
      </c>
      <c r="Q607">
        <v>1</v>
      </c>
      <c r="R607" s="36">
        <f>IFERROR(INDEX(Katalog!$D$3:$D$12,MATCH(cadangan3[[#This Row],[ItemID B]],Katalog!$C$3:$C$12,0))*cadangan3[[#This Row],[Qty B]],0)</f>
        <v>540000</v>
      </c>
      <c r="S607" s="36">
        <f>IFERROR(INDEX(Katalog!$D$3:$D$12,MATCH(cadangan3[[#This Row],[Item B]],Katalog!$B$3:$B$12,0))*cadangan3[[#This Row],[Qty B]],0)</f>
        <v>540000</v>
      </c>
      <c r="T607" s="36">
        <f>IFERROR(cadangan3[[#This Row],[Harga Asli B]]-(cadangan3[[#This Row],[Harga Asli B]]*cadangan3[[#This Row],[Diskon]]),cadangan3[[#This Row],[Harga Asli B]])</f>
        <v>540000</v>
      </c>
      <c r="U607" s="36">
        <f>IFERROR(INDEX(Katalog!$F$3:$F$12,MATCH(cadangan3[[#This Row],[ItemID B]],Katalog!$C$3:$C$12,0))*cadangan3[[#This Row],[Qty B]],0)</f>
        <v>210000</v>
      </c>
      <c r="V607" s="36">
        <f>IFERROR(cadangan3[[#This Row],[Profit B]]-(cadangan3[[#This Row],[Profit B]]*cadangan3[[#This Row],[Diskon]]),U607)</f>
        <v>210000</v>
      </c>
      <c r="X607" t="str">
        <f>IFERROR(INDEX(Katalog!$A$3:$A$12,MATCH(cadangan3[[#This Row],[ItemID C]],Katalog!$C$3:$C$12,0)),"-")</f>
        <v>-</v>
      </c>
      <c r="Y607" t="str">
        <f>IFERROR(INDEX(Katalog!$B$3:$B$12,MATCH(cadangan3[[#This Row],[ItemID C]],Katalog!$C$3:$C$12,0)),"-")</f>
        <v>-</v>
      </c>
      <c r="AB607" s="36">
        <f>IFERROR(INDEX(Katalog!$D$3:$D$12,MATCH(cadangan3[[#This Row],[ItemID C]],Katalog!$C$3:$C$12,0))*cadangan3[[#This Row],[Qty C]],0)</f>
        <v>0</v>
      </c>
      <c r="AC607" s="36">
        <f>IFERROR(INDEX(Katalog!$D$3:$D$12,MATCH(cadangan3[[#This Row],[Item C]],Katalog!$B$3:$B$12,0))*cadangan3[[#This Row],[Qty C]],0)</f>
        <v>0</v>
      </c>
      <c r="AD607" s="36">
        <f>IFERROR(cadangan3[[#This Row],[Harga Asli C]]-(cadangan3[[#This Row],[Harga Asli C]]*cadangan3[[#This Row],[Diskon]]),cadangan3[[#This Row],[Harga Asli C]])</f>
        <v>0</v>
      </c>
      <c r="AE607" s="36">
        <f>IFERROR(INDEX(Katalog!$F$3:$F$12,MATCH(cadangan3[[#This Row],[ItemID C]],Katalog!$C$3:$C$12,0))*cadangan3[[#This Row],[Qty C]],0)</f>
        <v>0</v>
      </c>
      <c r="AF607" s="36">
        <f>IFERROR(cadangan3[[#This Row],[Profit C]]-(cadangan3[[#This Row],[Profit C]]*cadangan3[[#This Row],[Diskon]]),cadangan3[[#This Row],[Profit C]])</f>
        <v>0</v>
      </c>
      <c r="AG607" s="21">
        <f>cadangan3[[#This Row],[Qty A]]+cadangan3[[#This Row],[Qty B]]+cadangan3[[#This Row],[Qty C]]</f>
        <v>7</v>
      </c>
      <c r="AH607" s="35">
        <f>cadangan3[[#This Row],[Harga A + Diskon]]+cadangan3[[#This Row],[Harga + Diskon B]]+cadangan3[[#This Row],[Harga + Diskon C]]</f>
        <v>1140000</v>
      </c>
      <c r="AI607" s="35">
        <f>(cadangan3[[#This Row],[Profit A]]+cadangan3[[#This Row],[Profit B]]+cadangan3[[#This Row],[Profit C]])</f>
        <v>450000</v>
      </c>
      <c r="AJ607" s="35">
        <f>cadangan3[[#This Row],[Provit A + Diskon]]+cadangan3[[#This Row],[Provit B + Diskon]]+cadangan3[[#This Row],[Provit C + Diskon]]</f>
        <v>450000</v>
      </c>
      <c r="AK607" s="23" t="s">
        <v>11</v>
      </c>
      <c r="AL607" s="37" t="str">
        <f>IFERROR(INDEX('Kode Diskon'!$D$3:$D$9,MATCH(cadangan3[[#This Row],[Kode diskon]],'Kode Diskon'!$C$3:$C$9,0)),"-")</f>
        <v>-</v>
      </c>
      <c r="AM607" s="23" t="s">
        <v>11</v>
      </c>
      <c r="AN607" s="23" t="s">
        <v>12</v>
      </c>
      <c r="AO607" s="23" t="s">
        <v>77</v>
      </c>
      <c r="AP607" s="24">
        <v>45027</v>
      </c>
      <c r="AQ607" s="23" t="str">
        <f>TEXT(cadangan3[[#This Row],[Tanggal terjual]],"dddd")</f>
        <v>Tuesday</v>
      </c>
    </row>
    <row r="608" spans="1:43" x14ac:dyDescent="0.2">
      <c r="A608" s="20">
        <v>607</v>
      </c>
      <c r="B608" s="21" t="str">
        <f>_xlfn.CONCAT("ORD-",INDEX(Helper!$B$2:$B$5,MATCH(cadangan3[[#This Row],[Marketplace]],Helper!$A$2:$A$5,0)),TEXT(cadangan3[[#This Row],[No]],"0000"),"-",TEXT(cadangan3[[#This Row],[Tanggal terjual]],"dd/mm/yy"))</f>
        <v>ORD-SP0607-02/04/23</v>
      </c>
      <c r="C608" t="s">
        <v>67</v>
      </c>
      <c r="D608" t="str">
        <f>IFERROR(INDEX(Katalog!$A$3:$A$12,MATCH(cadangan3[[#This Row],[ItemID A]],Katalog!$C$3:$C$12,0)),"-")</f>
        <v>Sepatu Wanita</v>
      </c>
      <c r="E608" t="str">
        <f>IFERROR(INDEX(Katalog!$B$3:$B$12,MATCH(cadangan3[[#This Row],[ItemID A]],Katalog!$C$3:$C$12,0)),"-")</f>
        <v>Flat Shoes</v>
      </c>
      <c r="F608">
        <v>3</v>
      </c>
      <c r="G608">
        <v>3</v>
      </c>
      <c r="H608" s="36">
        <f>IFERROR(INDEX(Katalog!$D$3:$D$12,MATCH(cadangan3[[#This Row],[ItemID A]],Katalog!$C$3:$C$12,0))*cadangan3[[#This Row],[Qty A]],0)</f>
        <v>750000</v>
      </c>
      <c r="I608" s="36">
        <f>IFERROR(INDEX(Katalog!$D$3:$D$12,MATCH(cadangan3[[#This Row],[Item A]],Katalog!$B$3:$B$12,0))*cadangan3[[#This Row],[Qty A]],0)</f>
        <v>750000</v>
      </c>
      <c r="J608" s="36">
        <f>IFERROR(cadangan3[[#This Row],[Harga Asli A]]-(cadangan3[[#This Row],[Harga Asli A]]*cadangan3[[#This Row],[Diskon]]),cadangan3[[#This Row],[Harga Asli A]])</f>
        <v>675000</v>
      </c>
      <c r="K608" s="36">
        <f>INDEX(Katalog!$F$3:$F$12,MATCH(cadangan3[[#This Row],[ItemID A]],Katalog!$C$3:$C$12,0))*cadangan3[[#This Row],[Qty A]]</f>
        <v>300000</v>
      </c>
      <c r="L608" s="36">
        <f>IFERROR(cadangan3[[#This Row],[Profit A]]-(cadangan3[[#This Row],[Profit A]]*cadangan3[[#This Row],[Diskon]]),K608)</f>
        <v>270000</v>
      </c>
      <c r="M608" t="s">
        <v>66</v>
      </c>
      <c r="N608" t="str">
        <f>IFERROR(INDEX(Katalog!$A$3:$A$12,MATCH(cadangan3[[#This Row],[ItemID B]],Katalog!$C$3:$C$12,0)),"-")</f>
        <v>Sepatu Pria</v>
      </c>
      <c r="O608" t="str">
        <f>IFERROR(INDEX(Katalog!$B$3:$B$12,MATCH(cadangan3[[#This Row],[ItemID B]],Katalog!$C$3:$C$12,0)),"-")</f>
        <v>Sandal Slip On</v>
      </c>
      <c r="P608">
        <v>1</v>
      </c>
      <c r="Q608">
        <v>3</v>
      </c>
      <c r="R608" s="36">
        <f>IFERROR(INDEX(Katalog!$D$3:$D$12,MATCH(cadangan3[[#This Row],[ItemID B]],Katalog!$C$3:$C$12,0))*cadangan3[[#This Row],[Qty B]],0)</f>
        <v>150000</v>
      </c>
      <c r="S608" s="36">
        <f>IFERROR(INDEX(Katalog!$D$3:$D$12,MATCH(cadangan3[[#This Row],[Item B]],Katalog!$B$3:$B$12,0))*cadangan3[[#This Row],[Qty B]],0)</f>
        <v>150000</v>
      </c>
      <c r="T608" s="36">
        <f>IFERROR(cadangan3[[#This Row],[Harga Asli B]]-(cadangan3[[#This Row],[Harga Asli B]]*cadangan3[[#This Row],[Diskon]]),cadangan3[[#This Row],[Harga Asli B]])</f>
        <v>135000</v>
      </c>
      <c r="U608" s="36">
        <f>IFERROR(INDEX(Katalog!$F$3:$F$12,MATCH(cadangan3[[#This Row],[ItemID B]],Katalog!$C$3:$C$12,0))*cadangan3[[#This Row],[Qty B]],0)</f>
        <v>60000</v>
      </c>
      <c r="V608" s="36">
        <f>IFERROR(cadangan3[[#This Row],[Profit B]]-(cadangan3[[#This Row],[Profit B]]*cadangan3[[#This Row],[Diskon]]),U608)</f>
        <v>54000</v>
      </c>
      <c r="X608" t="str">
        <f>IFERROR(INDEX(Katalog!$A$3:$A$12,MATCH(cadangan3[[#This Row],[ItemID C]],Katalog!$C$3:$C$12,0)),"-")</f>
        <v>-</v>
      </c>
      <c r="Y608" t="str">
        <f>IFERROR(INDEX(Katalog!$B$3:$B$12,MATCH(cadangan3[[#This Row],[ItemID C]],Katalog!$C$3:$C$12,0)),"-")</f>
        <v>-</v>
      </c>
      <c r="AB608" s="36">
        <f>IFERROR(INDEX(Katalog!$D$3:$D$12,MATCH(cadangan3[[#This Row],[ItemID C]],Katalog!$C$3:$C$12,0))*cadangan3[[#This Row],[Qty C]],0)</f>
        <v>0</v>
      </c>
      <c r="AC608" s="36">
        <f>IFERROR(INDEX(Katalog!$D$3:$D$12,MATCH(cadangan3[[#This Row],[Item C]],Katalog!$B$3:$B$12,0))*cadangan3[[#This Row],[Qty C]],0)</f>
        <v>0</v>
      </c>
      <c r="AD608" s="36">
        <f>IFERROR(cadangan3[[#This Row],[Harga Asli C]]-(cadangan3[[#This Row],[Harga Asli C]]*cadangan3[[#This Row],[Diskon]]),cadangan3[[#This Row],[Harga Asli C]])</f>
        <v>0</v>
      </c>
      <c r="AE608" s="36">
        <f>IFERROR(INDEX(Katalog!$F$3:$F$12,MATCH(cadangan3[[#This Row],[ItemID C]],Katalog!$C$3:$C$12,0))*cadangan3[[#This Row],[Qty C]],0)</f>
        <v>0</v>
      </c>
      <c r="AF608" s="36">
        <f>IFERROR(cadangan3[[#This Row],[Profit C]]-(cadangan3[[#This Row],[Profit C]]*cadangan3[[#This Row],[Diskon]]),cadangan3[[#This Row],[Profit C]])</f>
        <v>0</v>
      </c>
      <c r="AG608" s="21">
        <f>cadangan3[[#This Row],[Qty A]]+cadangan3[[#This Row],[Qty B]]+cadangan3[[#This Row],[Qty C]]</f>
        <v>4</v>
      </c>
      <c r="AH608" s="35">
        <f>cadangan3[[#This Row],[Harga A + Diskon]]+cadangan3[[#This Row],[Harga + Diskon B]]+cadangan3[[#This Row],[Harga + Diskon C]]</f>
        <v>810000</v>
      </c>
      <c r="AI608" s="35">
        <f>(cadangan3[[#This Row],[Profit A]]+cadangan3[[#This Row],[Profit B]]+cadangan3[[#This Row],[Profit C]])</f>
        <v>360000</v>
      </c>
      <c r="AJ608" s="35">
        <f>cadangan3[[#This Row],[Provit A + Diskon]]+cadangan3[[#This Row],[Provit B + Diskon]]+cadangan3[[#This Row],[Provit C + Diskon]]</f>
        <v>324000</v>
      </c>
      <c r="AK608" s="23" t="s">
        <v>6</v>
      </c>
      <c r="AL608" s="37">
        <f>IFERROR(INDEX('Kode Diskon'!$D$3:$D$9,MATCH(cadangan3[[#This Row],[Kode diskon]],'Kode Diskon'!$C$3:$C$9,0)),"-")</f>
        <v>0.1</v>
      </c>
      <c r="AM608" s="23" t="s">
        <v>29</v>
      </c>
      <c r="AN608" s="23" t="s">
        <v>7</v>
      </c>
      <c r="AO608" s="23" t="s">
        <v>80</v>
      </c>
      <c r="AP608" s="24">
        <v>45018</v>
      </c>
      <c r="AQ608" s="23" t="str">
        <f>TEXT(cadangan3[[#This Row],[Tanggal terjual]],"dddd")</f>
        <v>Sunday</v>
      </c>
    </row>
    <row r="609" spans="1:43" x14ac:dyDescent="0.2">
      <c r="A609" s="20">
        <v>608</v>
      </c>
      <c r="B609" s="21" t="str">
        <f>_xlfn.CONCAT("ORD-",INDEX(Helper!$B$2:$B$5,MATCH(cadangan3[[#This Row],[Marketplace]],Helper!$A$2:$A$5,0)),TEXT(cadangan3[[#This Row],[No]],"0000"),"-",TEXT(cadangan3[[#This Row],[Tanggal terjual]],"dd/mm/yy"))</f>
        <v>ORD-BL0608-29/04/23</v>
      </c>
      <c r="C609" t="s">
        <v>62</v>
      </c>
      <c r="D609" t="str">
        <f>IFERROR(INDEX(Katalog!$A$3:$A$12,MATCH(cadangan3[[#This Row],[ItemID A]],Katalog!$C$3:$C$12,0)),"-")</f>
        <v>Pakaian Pria</v>
      </c>
      <c r="E609" t="str">
        <f>IFERROR(INDEX(Katalog!$B$3:$B$12,MATCH(cadangan3[[#This Row],[ItemID A]],Katalog!$C$3:$C$12,0)),"-")</f>
        <v>Celana Pendek</v>
      </c>
      <c r="F609">
        <v>1</v>
      </c>
      <c r="G609">
        <v>5</v>
      </c>
      <c r="H609" s="36">
        <f>IFERROR(INDEX(Katalog!$D$3:$D$12,MATCH(cadangan3[[#This Row],[ItemID A]],Katalog!$C$3:$C$12,0))*cadangan3[[#This Row],[Qty A]],0)</f>
        <v>180000</v>
      </c>
      <c r="I609" s="36">
        <f>IFERROR(INDEX(Katalog!$D$3:$D$12,MATCH(cadangan3[[#This Row],[Item A]],Katalog!$B$3:$B$12,0))*cadangan3[[#This Row],[Qty A]],0)</f>
        <v>180000</v>
      </c>
      <c r="J609" s="36">
        <f>IFERROR(cadangan3[[#This Row],[Harga Asli A]]-(cadangan3[[#This Row],[Harga Asli A]]*cadangan3[[#This Row],[Diskon]]),cadangan3[[#This Row],[Harga Asli A]])</f>
        <v>153000</v>
      </c>
      <c r="K609" s="36">
        <f>INDEX(Katalog!$F$3:$F$12,MATCH(cadangan3[[#This Row],[ItemID A]],Katalog!$C$3:$C$12,0))*cadangan3[[#This Row],[Qty A]]</f>
        <v>70000</v>
      </c>
      <c r="L609" s="36">
        <f>IFERROR(cadangan3[[#This Row],[Profit A]]-(cadangan3[[#This Row],[Profit A]]*cadangan3[[#This Row],[Diskon]]),K609)</f>
        <v>59500</v>
      </c>
      <c r="M609" t="s">
        <v>61</v>
      </c>
      <c r="N609" t="str">
        <f>IFERROR(INDEX(Katalog!$A$3:$A$12,MATCH(cadangan3[[#This Row],[ItemID B]],Katalog!$C$3:$C$12,0)),"-")</f>
        <v>Pakaian Pria</v>
      </c>
      <c r="O609" t="str">
        <f>IFERROR(INDEX(Katalog!$B$3:$B$12,MATCH(cadangan3[[#This Row],[ItemID B]],Katalog!$C$3:$C$12,0)),"-")</f>
        <v>Kaos Polo</v>
      </c>
      <c r="P609">
        <v>1</v>
      </c>
      <c r="Q609">
        <v>2</v>
      </c>
      <c r="R609" s="36">
        <f>IFERROR(INDEX(Katalog!$D$3:$D$12,MATCH(cadangan3[[#This Row],[ItemID B]],Katalog!$C$3:$C$12,0))*cadangan3[[#This Row],[Qty B]],0)</f>
        <v>200000</v>
      </c>
      <c r="S609" s="36">
        <f>IFERROR(INDEX(Katalog!$D$3:$D$12,MATCH(cadangan3[[#This Row],[Item B]],Katalog!$B$3:$B$12,0))*cadangan3[[#This Row],[Qty B]],0)</f>
        <v>200000</v>
      </c>
      <c r="T609" s="36">
        <f>IFERROR(cadangan3[[#This Row],[Harga Asli B]]-(cadangan3[[#This Row],[Harga Asli B]]*cadangan3[[#This Row],[Diskon]]),cadangan3[[#This Row],[Harga Asli B]])</f>
        <v>170000</v>
      </c>
      <c r="U609" s="36">
        <f>IFERROR(INDEX(Katalog!$F$3:$F$12,MATCH(cadangan3[[#This Row],[ItemID B]],Katalog!$C$3:$C$12,0))*cadangan3[[#This Row],[Qty B]],0)</f>
        <v>80000</v>
      </c>
      <c r="V609" s="36">
        <f>IFERROR(cadangan3[[#This Row],[Profit B]]-(cadangan3[[#This Row],[Profit B]]*cadangan3[[#This Row],[Diskon]]),U609)</f>
        <v>68000</v>
      </c>
      <c r="W609" t="s">
        <v>62</v>
      </c>
      <c r="X609" t="str">
        <f>IFERROR(INDEX(Katalog!$A$3:$A$12,MATCH(cadangan3[[#This Row],[ItemID C]],Katalog!$C$3:$C$12,0)),"-")</f>
        <v>Pakaian Pria</v>
      </c>
      <c r="Y609" t="str">
        <f>IFERROR(INDEX(Katalog!$B$3:$B$12,MATCH(cadangan3[[#This Row],[ItemID C]],Katalog!$C$3:$C$12,0)),"-")</f>
        <v>Celana Pendek</v>
      </c>
      <c r="Z609">
        <v>1</v>
      </c>
      <c r="AA609">
        <v>4</v>
      </c>
      <c r="AB609" s="36">
        <f>IFERROR(INDEX(Katalog!$D$3:$D$12,MATCH(cadangan3[[#This Row],[ItemID C]],Katalog!$C$3:$C$12,0))*cadangan3[[#This Row],[Qty C]],0)</f>
        <v>180000</v>
      </c>
      <c r="AC609" s="36">
        <f>IFERROR(INDEX(Katalog!$D$3:$D$12,MATCH(cadangan3[[#This Row],[Item C]],Katalog!$B$3:$B$12,0))*cadangan3[[#This Row],[Qty C]],0)</f>
        <v>180000</v>
      </c>
      <c r="AD609" s="36">
        <f>IFERROR(cadangan3[[#This Row],[Harga Asli C]]-(cadangan3[[#This Row],[Harga Asli C]]*cadangan3[[#This Row],[Diskon]]),cadangan3[[#This Row],[Harga Asli C]])</f>
        <v>153000</v>
      </c>
      <c r="AE609" s="36">
        <f>IFERROR(INDEX(Katalog!$F$3:$F$12,MATCH(cadangan3[[#This Row],[ItemID C]],Katalog!$C$3:$C$12,0))*cadangan3[[#This Row],[Qty C]],0)</f>
        <v>70000</v>
      </c>
      <c r="AF609" s="36">
        <f>IFERROR(cadangan3[[#This Row],[Profit C]]-(cadangan3[[#This Row],[Profit C]]*cadangan3[[#This Row],[Diskon]]),cadangan3[[#This Row],[Profit C]])</f>
        <v>59500</v>
      </c>
      <c r="AG609" s="21">
        <f>cadangan3[[#This Row],[Qty A]]+cadangan3[[#This Row],[Qty B]]+cadangan3[[#This Row],[Qty C]]</f>
        <v>3</v>
      </c>
      <c r="AH609" s="35">
        <f>cadangan3[[#This Row],[Harga A + Diskon]]+cadangan3[[#This Row],[Harga + Diskon B]]+cadangan3[[#This Row],[Harga + Diskon C]]</f>
        <v>476000</v>
      </c>
      <c r="AI609" s="35">
        <f>(cadangan3[[#This Row],[Profit A]]+cadangan3[[#This Row],[Profit B]]+cadangan3[[#This Row],[Profit C]])</f>
        <v>220000</v>
      </c>
      <c r="AJ609" s="35">
        <f>cadangan3[[#This Row],[Provit A + Diskon]]+cadangan3[[#This Row],[Provit B + Diskon]]+cadangan3[[#This Row],[Provit C + Diskon]]</f>
        <v>187000</v>
      </c>
      <c r="AK609" s="23" t="s">
        <v>32</v>
      </c>
      <c r="AL609" s="37">
        <f>IFERROR(INDEX('Kode Diskon'!$D$3:$D$9,MATCH(cadangan3[[#This Row],[Kode diskon]],'Kode Diskon'!$C$3:$C$9,0)),"-")</f>
        <v>0.15</v>
      </c>
      <c r="AM609" s="23" t="s">
        <v>9</v>
      </c>
      <c r="AN609" s="23" t="s">
        <v>12</v>
      </c>
      <c r="AO609" s="23" t="s">
        <v>79</v>
      </c>
      <c r="AP609" s="24">
        <v>45045</v>
      </c>
      <c r="AQ609" s="23" t="str">
        <f>TEXT(cadangan3[[#This Row],[Tanggal terjual]],"dddd")</f>
        <v>Saturday</v>
      </c>
    </row>
    <row r="610" spans="1:43" x14ac:dyDescent="0.2">
      <c r="A610" s="20">
        <v>609</v>
      </c>
      <c r="B610" s="21" t="str">
        <f>_xlfn.CONCAT("ORD-",INDEX(Helper!$B$2:$B$5,MATCH(cadangan3[[#This Row],[Marketplace]],Helper!$A$2:$A$5,0)),TEXT(cadangan3[[#This Row],[No]],"0000"),"-",TEXT(cadangan3[[#This Row],[Tanggal terjual]],"dd/mm/yy"))</f>
        <v>ORD-TK0609-01/04/23</v>
      </c>
      <c r="C610" t="s">
        <v>64</v>
      </c>
      <c r="D610" t="str">
        <f>IFERROR(INDEX(Katalog!$A$3:$A$12,MATCH(cadangan3[[#This Row],[ItemID A]],Katalog!$C$3:$C$12,0)),"-")</f>
        <v>Pakaian Unisex</v>
      </c>
      <c r="E610" t="str">
        <f>IFERROR(INDEX(Katalog!$B$3:$B$12,MATCH(cadangan3[[#This Row],[ItemID A]],Katalog!$C$3:$C$12,0)),"-")</f>
        <v>Jaket Hoodie</v>
      </c>
      <c r="F610">
        <v>3</v>
      </c>
      <c r="G610">
        <v>4</v>
      </c>
      <c r="H610" s="36">
        <f>IFERROR(INDEX(Katalog!$D$3:$D$12,MATCH(cadangan3[[#This Row],[ItemID A]],Katalog!$C$3:$C$12,0))*cadangan3[[#This Row],[Qty A]],0)</f>
        <v>1050000</v>
      </c>
      <c r="I610" s="36">
        <f>IFERROR(INDEX(Katalog!$D$3:$D$12,MATCH(cadangan3[[#This Row],[Item A]],Katalog!$B$3:$B$12,0))*cadangan3[[#This Row],[Qty A]],0)</f>
        <v>1050000</v>
      </c>
      <c r="J610" s="36">
        <f>IFERROR(cadangan3[[#This Row],[Harga Asli A]]-(cadangan3[[#This Row],[Harga Asli A]]*cadangan3[[#This Row],[Diskon]]),cadangan3[[#This Row],[Harga Asli A]])</f>
        <v>945000</v>
      </c>
      <c r="K610" s="36">
        <f>INDEX(Katalog!$F$3:$F$12,MATCH(cadangan3[[#This Row],[ItemID A]],Katalog!$C$3:$C$12,0))*cadangan3[[#This Row],[Qty A]]</f>
        <v>390000</v>
      </c>
      <c r="L610" s="36">
        <f>IFERROR(cadangan3[[#This Row],[Profit A]]-(cadangan3[[#This Row],[Profit A]]*cadangan3[[#This Row],[Diskon]]),K610)</f>
        <v>351000</v>
      </c>
      <c r="M610" t="s">
        <v>63</v>
      </c>
      <c r="N610" t="str">
        <f>IFERROR(INDEX(Katalog!$A$3:$A$12,MATCH(cadangan3[[#This Row],[ItemID B]],Katalog!$C$3:$C$12,0)),"-")</f>
        <v>Pakaian Pria</v>
      </c>
      <c r="O610" t="str">
        <f>IFERROR(INDEX(Katalog!$B$3:$B$12,MATCH(cadangan3[[#This Row],[ItemID B]],Katalog!$C$3:$C$12,0)),"-")</f>
        <v>Jaket Jeans</v>
      </c>
      <c r="P610">
        <v>1</v>
      </c>
      <c r="Q610">
        <v>5</v>
      </c>
      <c r="R610" s="36">
        <f>IFERROR(INDEX(Katalog!$D$3:$D$12,MATCH(cadangan3[[#This Row],[ItemID B]],Katalog!$C$3:$C$12,0))*cadangan3[[#This Row],[Qty B]],0)</f>
        <v>400000</v>
      </c>
      <c r="S610" s="36">
        <f>IFERROR(INDEX(Katalog!$D$3:$D$12,MATCH(cadangan3[[#This Row],[Item B]],Katalog!$B$3:$B$12,0))*cadangan3[[#This Row],[Qty B]],0)</f>
        <v>400000</v>
      </c>
      <c r="T610" s="36">
        <f>IFERROR(cadangan3[[#This Row],[Harga Asli B]]-(cadangan3[[#This Row],[Harga Asli B]]*cadangan3[[#This Row],[Diskon]]),cadangan3[[#This Row],[Harga Asli B]])</f>
        <v>360000</v>
      </c>
      <c r="U610" s="36">
        <f>IFERROR(INDEX(Katalog!$F$3:$F$12,MATCH(cadangan3[[#This Row],[ItemID B]],Katalog!$C$3:$C$12,0))*cadangan3[[#This Row],[Qty B]],0)</f>
        <v>150000</v>
      </c>
      <c r="V610" s="36">
        <f>IFERROR(cadangan3[[#This Row],[Profit B]]-(cadangan3[[#This Row],[Profit B]]*cadangan3[[#This Row],[Diskon]]),U610)</f>
        <v>135000</v>
      </c>
      <c r="X610" t="str">
        <f>IFERROR(INDEX(Katalog!$A$3:$A$12,MATCH(cadangan3[[#This Row],[ItemID C]],Katalog!$C$3:$C$12,0)),"-")</f>
        <v>-</v>
      </c>
      <c r="Y610" t="str">
        <f>IFERROR(INDEX(Katalog!$B$3:$B$12,MATCH(cadangan3[[#This Row],[ItemID C]],Katalog!$C$3:$C$12,0)),"-")</f>
        <v>-</v>
      </c>
      <c r="AB610" s="36">
        <f>IFERROR(INDEX(Katalog!$D$3:$D$12,MATCH(cadangan3[[#This Row],[ItemID C]],Katalog!$C$3:$C$12,0))*cadangan3[[#This Row],[Qty C]],0)</f>
        <v>0</v>
      </c>
      <c r="AC610" s="36">
        <f>IFERROR(INDEX(Katalog!$D$3:$D$12,MATCH(cadangan3[[#This Row],[Item C]],Katalog!$B$3:$B$12,0))*cadangan3[[#This Row],[Qty C]],0)</f>
        <v>0</v>
      </c>
      <c r="AD610" s="36">
        <f>IFERROR(cadangan3[[#This Row],[Harga Asli C]]-(cadangan3[[#This Row],[Harga Asli C]]*cadangan3[[#This Row],[Diskon]]),cadangan3[[#This Row],[Harga Asli C]])</f>
        <v>0</v>
      </c>
      <c r="AE610" s="36">
        <f>IFERROR(INDEX(Katalog!$F$3:$F$12,MATCH(cadangan3[[#This Row],[ItemID C]],Katalog!$C$3:$C$12,0))*cadangan3[[#This Row],[Qty C]],0)</f>
        <v>0</v>
      </c>
      <c r="AF610" s="36">
        <f>IFERROR(cadangan3[[#This Row],[Profit C]]-(cadangan3[[#This Row],[Profit C]]*cadangan3[[#This Row],[Diskon]]),cadangan3[[#This Row],[Profit C]])</f>
        <v>0</v>
      </c>
      <c r="AG610" s="21">
        <f>cadangan3[[#This Row],[Qty A]]+cadangan3[[#This Row],[Qty B]]+cadangan3[[#This Row],[Qty C]]</f>
        <v>4</v>
      </c>
      <c r="AH610" s="35">
        <f>cadangan3[[#This Row],[Harga A + Diskon]]+cadangan3[[#This Row],[Harga + Diskon B]]+cadangan3[[#This Row],[Harga + Diskon C]]</f>
        <v>1305000</v>
      </c>
      <c r="AI610" s="35">
        <f>(cadangan3[[#This Row],[Profit A]]+cadangan3[[#This Row],[Profit B]]+cadangan3[[#This Row],[Profit C]])</f>
        <v>540000</v>
      </c>
      <c r="AJ610" s="35">
        <f>cadangan3[[#This Row],[Provit A + Diskon]]+cadangan3[[#This Row],[Provit B + Diskon]]+cadangan3[[#This Row],[Provit C + Diskon]]</f>
        <v>486000</v>
      </c>
      <c r="AK610" s="23" t="s">
        <v>30</v>
      </c>
      <c r="AL610" s="37">
        <f>IFERROR(INDEX('Kode Diskon'!$D$3:$D$9,MATCH(cadangan3[[#This Row],[Kode diskon]],'Kode Diskon'!$C$3:$C$9,0)),"-")</f>
        <v>0.1</v>
      </c>
      <c r="AM610" s="23" t="s">
        <v>29</v>
      </c>
      <c r="AN610" s="23" t="s">
        <v>10</v>
      </c>
      <c r="AO610" s="23" t="s">
        <v>80</v>
      </c>
      <c r="AP610" s="24">
        <v>45017</v>
      </c>
      <c r="AQ610" s="23" t="str">
        <f>TEXT(cadangan3[[#This Row],[Tanggal terjual]],"dddd")</f>
        <v>Saturday</v>
      </c>
    </row>
    <row r="611" spans="1:43" x14ac:dyDescent="0.2">
      <c r="A611" s="20">
        <v>610</v>
      </c>
      <c r="B611" s="21" t="str">
        <f>_xlfn.CONCAT("ORD-",INDEX(Helper!$B$2:$B$5,MATCH(cadangan3[[#This Row],[Marketplace]],Helper!$A$2:$A$5,0)),TEXT(cadangan3[[#This Row],[No]],"0000"),"-",TEXT(cadangan3[[#This Row],[Tanggal terjual]],"dd/mm/yy"))</f>
        <v>ORD-TK0610-12/04/23</v>
      </c>
      <c r="C611" t="s">
        <v>61</v>
      </c>
      <c r="D611" t="str">
        <f>IFERROR(INDEX(Katalog!$A$3:$A$12,MATCH(cadangan3[[#This Row],[ItemID A]],Katalog!$C$3:$C$12,0)),"-")</f>
        <v>Pakaian Pria</v>
      </c>
      <c r="E611" t="str">
        <f>IFERROR(INDEX(Katalog!$B$3:$B$12,MATCH(cadangan3[[#This Row],[ItemID A]],Katalog!$C$3:$C$12,0)),"-")</f>
        <v>Kaos Polo</v>
      </c>
      <c r="F611">
        <v>6</v>
      </c>
      <c r="G611">
        <v>1</v>
      </c>
      <c r="H611" s="36">
        <f>IFERROR(INDEX(Katalog!$D$3:$D$12,MATCH(cadangan3[[#This Row],[ItemID A]],Katalog!$C$3:$C$12,0))*cadangan3[[#This Row],[Qty A]],0)</f>
        <v>1200000</v>
      </c>
      <c r="I611" s="36">
        <f>IFERROR(INDEX(Katalog!$D$3:$D$12,MATCH(cadangan3[[#This Row],[Item A]],Katalog!$B$3:$B$12,0))*cadangan3[[#This Row],[Qty A]],0)</f>
        <v>1200000</v>
      </c>
      <c r="J611" s="36">
        <f>IFERROR(cadangan3[[#This Row],[Harga Asli A]]-(cadangan3[[#This Row],[Harga Asli A]]*cadangan3[[#This Row],[Diskon]]),cadangan3[[#This Row],[Harga Asli A]])</f>
        <v>1200000</v>
      </c>
      <c r="K611" s="36">
        <f>INDEX(Katalog!$F$3:$F$12,MATCH(cadangan3[[#This Row],[ItemID A]],Katalog!$C$3:$C$12,0))*cadangan3[[#This Row],[Qty A]]</f>
        <v>480000</v>
      </c>
      <c r="L611" s="36">
        <f>IFERROR(cadangan3[[#This Row],[Profit A]]-(cadangan3[[#This Row],[Profit A]]*cadangan3[[#This Row],[Diskon]]),K611)</f>
        <v>480000</v>
      </c>
      <c r="M611" t="s">
        <v>60</v>
      </c>
      <c r="N611" t="str">
        <f>IFERROR(INDEX(Katalog!$A$3:$A$12,MATCH(cadangan3[[#This Row],[ItemID B]],Katalog!$C$3:$C$12,0)),"-")</f>
        <v>Pakaian Wanita</v>
      </c>
      <c r="O611" t="str">
        <f>IFERROR(INDEX(Katalog!$B$3:$B$12,MATCH(cadangan3[[#This Row],[ItemID B]],Katalog!$C$3:$C$12,0)),"-")</f>
        <v>Kaftan</v>
      </c>
      <c r="P611">
        <v>1</v>
      </c>
      <c r="Q611">
        <v>2</v>
      </c>
      <c r="R611" s="36">
        <f>IFERROR(INDEX(Katalog!$D$3:$D$12,MATCH(cadangan3[[#This Row],[ItemID B]],Katalog!$C$3:$C$12,0))*cadangan3[[#This Row],[Qty B]],0)</f>
        <v>250000</v>
      </c>
      <c r="S611" s="36">
        <f>IFERROR(INDEX(Katalog!$D$3:$D$12,MATCH(cadangan3[[#This Row],[Item B]],Katalog!$B$3:$B$12,0))*cadangan3[[#This Row],[Qty B]],0)</f>
        <v>250000</v>
      </c>
      <c r="T611" s="36">
        <f>IFERROR(cadangan3[[#This Row],[Harga Asli B]]-(cadangan3[[#This Row],[Harga Asli B]]*cadangan3[[#This Row],[Diskon]]),cadangan3[[#This Row],[Harga Asli B]])</f>
        <v>250000</v>
      </c>
      <c r="U611" s="36">
        <f>IFERROR(INDEX(Katalog!$F$3:$F$12,MATCH(cadangan3[[#This Row],[ItemID B]],Katalog!$C$3:$C$12,0))*cadangan3[[#This Row],[Qty B]],0)</f>
        <v>100000</v>
      </c>
      <c r="V611" s="36">
        <f>IFERROR(cadangan3[[#This Row],[Profit B]]-(cadangan3[[#This Row],[Profit B]]*cadangan3[[#This Row],[Diskon]]),U611)</f>
        <v>100000</v>
      </c>
      <c r="X611" t="str">
        <f>IFERROR(INDEX(Katalog!$A$3:$A$12,MATCH(cadangan3[[#This Row],[ItemID C]],Katalog!$C$3:$C$12,0)),"-")</f>
        <v>-</v>
      </c>
      <c r="Y611" t="str">
        <f>IFERROR(INDEX(Katalog!$B$3:$B$12,MATCH(cadangan3[[#This Row],[ItemID C]],Katalog!$C$3:$C$12,0)),"-")</f>
        <v>-</v>
      </c>
      <c r="AB611" s="36">
        <f>IFERROR(INDEX(Katalog!$D$3:$D$12,MATCH(cadangan3[[#This Row],[ItemID C]],Katalog!$C$3:$C$12,0))*cadangan3[[#This Row],[Qty C]],0)</f>
        <v>0</v>
      </c>
      <c r="AC611" s="36">
        <f>IFERROR(INDEX(Katalog!$D$3:$D$12,MATCH(cadangan3[[#This Row],[Item C]],Katalog!$B$3:$B$12,0))*cadangan3[[#This Row],[Qty C]],0)</f>
        <v>0</v>
      </c>
      <c r="AD611" s="36">
        <f>IFERROR(cadangan3[[#This Row],[Harga Asli C]]-(cadangan3[[#This Row],[Harga Asli C]]*cadangan3[[#This Row],[Diskon]]),cadangan3[[#This Row],[Harga Asli C]])</f>
        <v>0</v>
      </c>
      <c r="AE611" s="36">
        <f>IFERROR(INDEX(Katalog!$F$3:$F$12,MATCH(cadangan3[[#This Row],[ItemID C]],Katalog!$C$3:$C$12,0))*cadangan3[[#This Row],[Qty C]],0)</f>
        <v>0</v>
      </c>
      <c r="AF611" s="36">
        <f>IFERROR(cadangan3[[#This Row],[Profit C]]-(cadangan3[[#This Row],[Profit C]]*cadangan3[[#This Row],[Diskon]]),cadangan3[[#This Row],[Profit C]])</f>
        <v>0</v>
      </c>
      <c r="AG611" s="21">
        <f>cadangan3[[#This Row],[Qty A]]+cadangan3[[#This Row],[Qty B]]+cadangan3[[#This Row],[Qty C]]</f>
        <v>7</v>
      </c>
      <c r="AH611" s="35">
        <f>cadangan3[[#This Row],[Harga A + Diskon]]+cadangan3[[#This Row],[Harga + Diskon B]]+cadangan3[[#This Row],[Harga + Diskon C]]</f>
        <v>1450000</v>
      </c>
      <c r="AI611" s="35">
        <f>(cadangan3[[#This Row],[Profit A]]+cadangan3[[#This Row],[Profit B]]+cadangan3[[#This Row],[Profit C]])</f>
        <v>580000</v>
      </c>
      <c r="AJ611" s="35">
        <f>cadangan3[[#This Row],[Provit A + Diskon]]+cadangan3[[#This Row],[Provit B + Diskon]]+cadangan3[[#This Row],[Provit C + Diskon]]</f>
        <v>580000</v>
      </c>
      <c r="AK611" s="23" t="s">
        <v>11</v>
      </c>
      <c r="AL611" s="37" t="str">
        <f>IFERROR(INDEX('Kode Diskon'!$D$3:$D$9,MATCH(cadangan3[[#This Row],[Kode diskon]],'Kode Diskon'!$C$3:$C$9,0)),"-")</f>
        <v>-</v>
      </c>
      <c r="AM611" s="23" t="s">
        <v>11</v>
      </c>
      <c r="AN611" s="23" t="s">
        <v>10</v>
      </c>
      <c r="AO611" s="23" t="s">
        <v>79</v>
      </c>
      <c r="AP611" s="24">
        <v>45028</v>
      </c>
      <c r="AQ611" s="23" t="str">
        <f>TEXT(cadangan3[[#This Row],[Tanggal terjual]],"dddd")</f>
        <v>Wednesday</v>
      </c>
    </row>
    <row r="612" spans="1:43" x14ac:dyDescent="0.2">
      <c r="A612" s="20">
        <v>611</v>
      </c>
      <c r="B612" s="21" t="str">
        <f>_xlfn.CONCAT("ORD-",INDEX(Helper!$B$2:$B$5,MATCH(cadangan3[[#This Row],[Marketplace]],Helper!$A$2:$A$5,0)),TEXT(cadangan3[[#This Row],[No]],"0000"),"-",TEXT(cadangan3[[#This Row],[Tanggal terjual]],"dd/mm/yy"))</f>
        <v>ORD-TK0611-01/04/23</v>
      </c>
      <c r="C612" t="s">
        <v>64</v>
      </c>
      <c r="D612" t="str">
        <f>IFERROR(INDEX(Katalog!$A$3:$A$12,MATCH(cadangan3[[#This Row],[ItemID A]],Katalog!$C$3:$C$12,0)),"-")</f>
        <v>Pakaian Unisex</v>
      </c>
      <c r="E612" t="str">
        <f>IFERROR(INDEX(Katalog!$B$3:$B$12,MATCH(cadangan3[[#This Row],[ItemID A]],Katalog!$C$3:$C$12,0)),"-")</f>
        <v>Jaket Hoodie</v>
      </c>
      <c r="F612">
        <v>2</v>
      </c>
      <c r="G612">
        <v>1</v>
      </c>
      <c r="H612" s="36">
        <f>IFERROR(INDEX(Katalog!$D$3:$D$12,MATCH(cadangan3[[#This Row],[ItemID A]],Katalog!$C$3:$C$12,0))*cadangan3[[#This Row],[Qty A]],0)</f>
        <v>700000</v>
      </c>
      <c r="I612" s="36">
        <f>IFERROR(INDEX(Katalog!$D$3:$D$12,MATCH(cadangan3[[#This Row],[Item A]],Katalog!$B$3:$B$12,0))*cadangan3[[#This Row],[Qty A]],0)</f>
        <v>700000</v>
      </c>
      <c r="J612" s="36">
        <f>IFERROR(cadangan3[[#This Row],[Harga Asli A]]-(cadangan3[[#This Row],[Harga Asli A]]*cadangan3[[#This Row],[Diskon]]),cadangan3[[#This Row],[Harga Asli A]])</f>
        <v>630000</v>
      </c>
      <c r="K612" s="36">
        <f>INDEX(Katalog!$F$3:$F$12,MATCH(cadangan3[[#This Row],[ItemID A]],Katalog!$C$3:$C$12,0))*cadangan3[[#This Row],[Qty A]]</f>
        <v>260000</v>
      </c>
      <c r="L612" s="36">
        <f>IFERROR(cadangan3[[#This Row],[Profit A]]-(cadangan3[[#This Row],[Profit A]]*cadangan3[[#This Row],[Diskon]]),K612)</f>
        <v>234000</v>
      </c>
      <c r="M612" t="s">
        <v>59</v>
      </c>
      <c r="N612" t="str">
        <f>IFERROR(INDEX(Katalog!$A$3:$A$12,MATCH(cadangan3[[#This Row],[ItemID B]],Katalog!$C$3:$C$12,0)),"-")</f>
        <v>Pakaian Wanita</v>
      </c>
      <c r="O612" t="str">
        <f>IFERROR(INDEX(Katalog!$B$3:$B$12,MATCH(cadangan3[[#This Row],[ItemID B]],Katalog!$C$3:$C$12,0)),"-")</f>
        <v>Blouse</v>
      </c>
      <c r="P612">
        <v>3</v>
      </c>
      <c r="Q612">
        <v>4</v>
      </c>
      <c r="R612" s="36">
        <f>IFERROR(INDEX(Katalog!$D$3:$D$12,MATCH(cadangan3[[#This Row],[ItemID B]],Katalog!$C$3:$C$12,0))*cadangan3[[#This Row],[Qty B]],0)</f>
        <v>450000</v>
      </c>
      <c r="S612" s="36">
        <f>IFERROR(INDEX(Katalog!$D$3:$D$12,MATCH(cadangan3[[#This Row],[Item B]],Katalog!$B$3:$B$12,0))*cadangan3[[#This Row],[Qty B]],0)</f>
        <v>450000</v>
      </c>
      <c r="T612" s="36">
        <f>IFERROR(cadangan3[[#This Row],[Harga Asli B]]-(cadangan3[[#This Row],[Harga Asli B]]*cadangan3[[#This Row],[Diskon]]),cadangan3[[#This Row],[Harga Asli B]])</f>
        <v>405000</v>
      </c>
      <c r="U612" s="36">
        <f>IFERROR(INDEX(Katalog!$F$3:$F$12,MATCH(cadangan3[[#This Row],[ItemID B]],Katalog!$C$3:$C$12,0))*cadangan3[[#This Row],[Qty B]],0)</f>
        <v>150000</v>
      </c>
      <c r="V612" s="36">
        <f>IFERROR(cadangan3[[#This Row],[Profit B]]-(cadangan3[[#This Row],[Profit B]]*cadangan3[[#This Row],[Diskon]]),U612)</f>
        <v>135000</v>
      </c>
      <c r="X612" t="str">
        <f>IFERROR(INDEX(Katalog!$A$3:$A$12,MATCH(cadangan3[[#This Row],[ItemID C]],Katalog!$C$3:$C$12,0)),"-")</f>
        <v>-</v>
      </c>
      <c r="Y612" t="str">
        <f>IFERROR(INDEX(Katalog!$B$3:$B$12,MATCH(cadangan3[[#This Row],[ItemID C]],Katalog!$C$3:$C$12,0)),"-")</f>
        <v>-</v>
      </c>
      <c r="AB612" s="36">
        <f>IFERROR(INDEX(Katalog!$D$3:$D$12,MATCH(cadangan3[[#This Row],[ItemID C]],Katalog!$C$3:$C$12,0))*cadangan3[[#This Row],[Qty C]],0)</f>
        <v>0</v>
      </c>
      <c r="AC612" s="36">
        <f>IFERROR(INDEX(Katalog!$D$3:$D$12,MATCH(cadangan3[[#This Row],[Item C]],Katalog!$B$3:$B$12,0))*cadangan3[[#This Row],[Qty C]],0)</f>
        <v>0</v>
      </c>
      <c r="AD612" s="36">
        <f>IFERROR(cadangan3[[#This Row],[Harga Asli C]]-(cadangan3[[#This Row],[Harga Asli C]]*cadangan3[[#This Row],[Diskon]]),cadangan3[[#This Row],[Harga Asli C]])</f>
        <v>0</v>
      </c>
      <c r="AE612" s="36">
        <f>IFERROR(INDEX(Katalog!$F$3:$F$12,MATCH(cadangan3[[#This Row],[ItemID C]],Katalog!$C$3:$C$12,0))*cadangan3[[#This Row],[Qty C]],0)</f>
        <v>0</v>
      </c>
      <c r="AF612" s="36">
        <f>IFERROR(cadangan3[[#This Row],[Profit C]]-(cadangan3[[#This Row],[Profit C]]*cadangan3[[#This Row],[Diskon]]),cadangan3[[#This Row],[Profit C]])</f>
        <v>0</v>
      </c>
      <c r="AG612" s="21">
        <f>cadangan3[[#This Row],[Qty A]]+cadangan3[[#This Row],[Qty B]]+cadangan3[[#This Row],[Qty C]]</f>
        <v>5</v>
      </c>
      <c r="AH612" s="35">
        <f>cadangan3[[#This Row],[Harga A + Diskon]]+cadangan3[[#This Row],[Harga + Diskon B]]+cadangan3[[#This Row],[Harga + Diskon C]]</f>
        <v>1035000</v>
      </c>
      <c r="AI612" s="35">
        <f>(cadangan3[[#This Row],[Profit A]]+cadangan3[[#This Row],[Profit B]]+cadangan3[[#This Row],[Profit C]])</f>
        <v>410000</v>
      </c>
      <c r="AJ612" s="35">
        <f>cadangan3[[#This Row],[Provit A + Diskon]]+cadangan3[[#This Row],[Provit B + Diskon]]+cadangan3[[#This Row],[Provit C + Diskon]]</f>
        <v>369000</v>
      </c>
      <c r="AK612" s="23" t="s">
        <v>30</v>
      </c>
      <c r="AL612" s="37">
        <f>IFERROR(INDEX('Kode Diskon'!$D$3:$D$9,MATCH(cadangan3[[#This Row],[Kode diskon]],'Kode Diskon'!$C$3:$C$9,0)),"-")</f>
        <v>0.1</v>
      </c>
      <c r="AM612" s="23" t="s">
        <v>29</v>
      </c>
      <c r="AN612" s="23" t="s">
        <v>10</v>
      </c>
      <c r="AO612" s="23" t="s">
        <v>75</v>
      </c>
      <c r="AP612" s="24">
        <v>45017</v>
      </c>
      <c r="AQ612" s="23" t="str">
        <f>TEXT(cadangan3[[#This Row],[Tanggal terjual]],"dddd")</f>
        <v>Saturday</v>
      </c>
    </row>
    <row r="613" spans="1:43" x14ac:dyDescent="0.2">
      <c r="A613" s="20">
        <v>612</v>
      </c>
      <c r="B613" s="21" t="str">
        <f>_xlfn.CONCAT("ORD-",INDEX(Helper!$B$2:$B$5,MATCH(cadangan3[[#This Row],[Marketplace]],Helper!$A$2:$A$5,0)),TEXT(cadangan3[[#This Row],[No]],"0000"),"-",TEXT(cadangan3[[#This Row],[Tanggal terjual]],"dd/mm/yy"))</f>
        <v>ORD-BL0612-17/04/23</v>
      </c>
      <c r="C613" t="s">
        <v>61</v>
      </c>
      <c r="D613" t="str">
        <f>IFERROR(INDEX(Katalog!$A$3:$A$12,MATCH(cadangan3[[#This Row],[ItemID A]],Katalog!$C$3:$C$12,0)),"-")</f>
        <v>Pakaian Pria</v>
      </c>
      <c r="E613" t="str">
        <f>IFERROR(INDEX(Katalog!$B$3:$B$12,MATCH(cadangan3[[#This Row],[ItemID A]],Katalog!$C$3:$C$12,0)),"-")</f>
        <v>Kaos Polo</v>
      </c>
      <c r="F613">
        <v>4</v>
      </c>
      <c r="G613">
        <v>2</v>
      </c>
      <c r="H613" s="36">
        <f>IFERROR(INDEX(Katalog!$D$3:$D$12,MATCH(cadangan3[[#This Row],[ItemID A]],Katalog!$C$3:$C$12,0))*cadangan3[[#This Row],[Qty A]],0)</f>
        <v>800000</v>
      </c>
      <c r="I613" s="36">
        <f>IFERROR(INDEX(Katalog!$D$3:$D$12,MATCH(cadangan3[[#This Row],[Item A]],Katalog!$B$3:$B$12,0))*cadangan3[[#This Row],[Qty A]],0)</f>
        <v>800000</v>
      </c>
      <c r="J613" s="36">
        <f>IFERROR(cadangan3[[#This Row],[Harga Asli A]]-(cadangan3[[#This Row],[Harga Asli A]]*cadangan3[[#This Row],[Diskon]]),cadangan3[[#This Row],[Harga Asli A]])</f>
        <v>680000</v>
      </c>
      <c r="K613" s="36">
        <f>INDEX(Katalog!$F$3:$F$12,MATCH(cadangan3[[#This Row],[ItemID A]],Katalog!$C$3:$C$12,0))*cadangan3[[#This Row],[Qty A]]</f>
        <v>320000</v>
      </c>
      <c r="L613" s="36">
        <f>IFERROR(cadangan3[[#This Row],[Profit A]]-(cadangan3[[#This Row],[Profit A]]*cadangan3[[#This Row],[Diskon]]),K613)</f>
        <v>272000</v>
      </c>
      <c r="N613" t="str">
        <f>IFERROR(INDEX(Katalog!$A$3:$A$12,MATCH(cadangan3[[#This Row],[ItemID B]],Katalog!$C$3:$C$12,0)),"-")</f>
        <v>-</v>
      </c>
      <c r="O613" t="str">
        <f>IFERROR(INDEX(Katalog!$B$3:$B$12,MATCH(cadangan3[[#This Row],[ItemID B]],Katalog!$C$3:$C$12,0)),"-")</f>
        <v>-</v>
      </c>
      <c r="R613" s="36">
        <f>IFERROR(INDEX(Katalog!$D$3:$D$12,MATCH(cadangan3[[#This Row],[ItemID B]],Katalog!$C$3:$C$12,0))*cadangan3[[#This Row],[Qty B]],0)</f>
        <v>0</v>
      </c>
      <c r="S613" s="36">
        <f>IFERROR(INDEX(Katalog!$D$3:$D$12,MATCH(cadangan3[[#This Row],[Item B]],Katalog!$B$3:$B$12,0))*cadangan3[[#This Row],[Qty B]],0)</f>
        <v>0</v>
      </c>
      <c r="T613" s="36">
        <f>IFERROR(cadangan3[[#This Row],[Harga Asli B]]-(cadangan3[[#This Row],[Harga Asli B]]*cadangan3[[#This Row],[Diskon]]),cadangan3[[#This Row],[Harga Asli B]])</f>
        <v>0</v>
      </c>
      <c r="U613" s="36">
        <f>IFERROR(INDEX(Katalog!$F$3:$F$12,MATCH(cadangan3[[#This Row],[ItemID B]],Katalog!$C$3:$C$12,0))*cadangan3[[#This Row],[Qty B]],0)</f>
        <v>0</v>
      </c>
      <c r="V613" s="36">
        <f>IFERROR(cadangan3[[#This Row],[Profit B]]-(cadangan3[[#This Row],[Profit B]]*cadangan3[[#This Row],[Diskon]]),U613)</f>
        <v>0</v>
      </c>
      <c r="X613" t="str">
        <f>IFERROR(INDEX(Katalog!$A$3:$A$12,MATCH(cadangan3[[#This Row],[ItemID C]],Katalog!$C$3:$C$12,0)),"-")</f>
        <v>-</v>
      </c>
      <c r="Y613" t="str">
        <f>IFERROR(INDEX(Katalog!$B$3:$B$12,MATCH(cadangan3[[#This Row],[ItemID C]],Katalog!$C$3:$C$12,0)),"-")</f>
        <v>-</v>
      </c>
      <c r="AB613" s="36">
        <f>IFERROR(INDEX(Katalog!$D$3:$D$12,MATCH(cadangan3[[#This Row],[ItemID C]],Katalog!$C$3:$C$12,0))*cadangan3[[#This Row],[Qty C]],0)</f>
        <v>0</v>
      </c>
      <c r="AC613" s="36">
        <f>IFERROR(INDEX(Katalog!$D$3:$D$12,MATCH(cadangan3[[#This Row],[Item C]],Katalog!$B$3:$B$12,0))*cadangan3[[#This Row],[Qty C]],0)</f>
        <v>0</v>
      </c>
      <c r="AD613" s="36">
        <f>IFERROR(cadangan3[[#This Row],[Harga Asli C]]-(cadangan3[[#This Row],[Harga Asli C]]*cadangan3[[#This Row],[Diskon]]),cadangan3[[#This Row],[Harga Asli C]])</f>
        <v>0</v>
      </c>
      <c r="AE613" s="36">
        <f>IFERROR(INDEX(Katalog!$F$3:$F$12,MATCH(cadangan3[[#This Row],[ItemID C]],Katalog!$C$3:$C$12,0))*cadangan3[[#This Row],[Qty C]],0)</f>
        <v>0</v>
      </c>
      <c r="AF613" s="36">
        <f>IFERROR(cadangan3[[#This Row],[Profit C]]-(cadangan3[[#This Row],[Profit C]]*cadangan3[[#This Row],[Diskon]]),cadangan3[[#This Row],[Profit C]])</f>
        <v>0</v>
      </c>
      <c r="AG613" s="21">
        <f>cadangan3[[#This Row],[Qty A]]+cadangan3[[#This Row],[Qty B]]+cadangan3[[#This Row],[Qty C]]</f>
        <v>4</v>
      </c>
      <c r="AH613" s="35">
        <f>cadangan3[[#This Row],[Harga A + Diskon]]+cadangan3[[#This Row],[Harga + Diskon B]]+cadangan3[[#This Row],[Harga + Diskon C]]</f>
        <v>680000</v>
      </c>
      <c r="AI613" s="35">
        <f>(cadangan3[[#This Row],[Profit A]]+cadangan3[[#This Row],[Profit B]]+cadangan3[[#This Row],[Profit C]])</f>
        <v>320000</v>
      </c>
      <c r="AJ613" s="35">
        <f>cadangan3[[#This Row],[Provit A + Diskon]]+cadangan3[[#This Row],[Provit B + Diskon]]+cadangan3[[#This Row],[Provit C + Diskon]]</f>
        <v>272000</v>
      </c>
      <c r="AK613" s="23" t="s">
        <v>32</v>
      </c>
      <c r="AL613" s="37">
        <f>IFERROR(INDEX('Kode Diskon'!$D$3:$D$9,MATCH(cadangan3[[#This Row],[Kode diskon]],'Kode Diskon'!$C$3:$C$9,0)),"-")</f>
        <v>0.15</v>
      </c>
      <c r="AM613" s="23" t="s">
        <v>9</v>
      </c>
      <c r="AN613" s="23" t="s">
        <v>12</v>
      </c>
      <c r="AO613" s="23" t="s">
        <v>75</v>
      </c>
      <c r="AP613" s="24">
        <v>45033</v>
      </c>
      <c r="AQ613" s="23" t="str">
        <f>TEXT(cadangan3[[#This Row],[Tanggal terjual]],"dddd")</f>
        <v>Monday</v>
      </c>
    </row>
    <row r="614" spans="1:43" x14ac:dyDescent="0.2">
      <c r="A614" s="20">
        <v>613</v>
      </c>
      <c r="B614" s="21" t="str">
        <f>_xlfn.CONCAT("ORD-",INDEX(Helper!$B$2:$B$5,MATCH(cadangan3[[#This Row],[Marketplace]],Helper!$A$2:$A$5,0)),TEXT(cadangan3[[#This Row],[No]],"0000"),"-",TEXT(cadangan3[[#This Row],[Tanggal terjual]],"dd/mm/yy"))</f>
        <v>ORD-BL0613-20/04/23</v>
      </c>
      <c r="C614" t="s">
        <v>61</v>
      </c>
      <c r="D614" t="str">
        <f>IFERROR(INDEX(Katalog!$A$3:$A$12,MATCH(cadangan3[[#This Row],[ItemID A]],Katalog!$C$3:$C$12,0)),"-")</f>
        <v>Pakaian Pria</v>
      </c>
      <c r="E614" t="str">
        <f>IFERROR(INDEX(Katalog!$B$3:$B$12,MATCH(cadangan3[[#This Row],[ItemID A]],Katalog!$C$3:$C$12,0)),"-")</f>
        <v>Kaos Polo</v>
      </c>
      <c r="F614">
        <v>3</v>
      </c>
      <c r="G614">
        <v>4</v>
      </c>
      <c r="H614" s="36">
        <f>IFERROR(INDEX(Katalog!$D$3:$D$12,MATCH(cadangan3[[#This Row],[ItemID A]],Katalog!$C$3:$C$12,0))*cadangan3[[#This Row],[Qty A]],0)</f>
        <v>600000</v>
      </c>
      <c r="I614" s="36">
        <f>IFERROR(INDEX(Katalog!$D$3:$D$12,MATCH(cadangan3[[#This Row],[Item A]],Katalog!$B$3:$B$12,0))*cadangan3[[#This Row],[Qty A]],0)</f>
        <v>600000</v>
      </c>
      <c r="J614" s="36">
        <f>IFERROR(cadangan3[[#This Row],[Harga Asli A]]-(cadangan3[[#This Row],[Harga Asli A]]*cadangan3[[#This Row],[Diskon]]),cadangan3[[#This Row],[Harga Asli A]])</f>
        <v>510000</v>
      </c>
      <c r="K614" s="36">
        <f>INDEX(Katalog!$F$3:$F$12,MATCH(cadangan3[[#This Row],[ItemID A]],Katalog!$C$3:$C$12,0))*cadangan3[[#This Row],[Qty A]]</f>
        <v>240000</v>
      </c>
      <c r="L614" s="36">
        <f>IFERROR(cadangan3[[#This Row],[Profit A]]-(cadangan3[[#This Row],[Profit A]]*cadangan3[[#This Row],[Diskon]]),K614)</f>
        <v>204000</v>
      </c>
      <c r="N614" t="str">
        <f>IFERROR(INDEX(Katalog!$A$3:$A$12,MATCH(cadangan3[[#This Row],[ItemID B]],Katalog!$C$3:$C$12,0)),"-")</f>
        <v>-</v>
      </c>
      <c r="O614" t="str">
        <f>IFERROR(INDEX(Katalog!$B$3:$B$12,MATCH(cadangan3[[#This Row],[ItemID B]],Katalog!$C$3:$C$12,0)),"-")</f>
        <v>-</v>
      </c>
      <c r="R614" s="36">
        <f>IFERROR(INDEX(Katalog!$D$3:$D$12,MATCH(cadangan3[[#This Row],[ItemID B]],Katalog!$C$3:$C$12,0))*cadangan3[[#This Row],[Qty B]],0)</f>
        <v>0</v>
      </c>
      <c r="S614" s="36">
        <f>IFERROR(INDEX(Katalog!$D$3:$D$12,MATCH(cadangan3[[#This Row],[Item B]],Katalog!$B$3:$B$12,0))*cadangan3[[#This Row],[Qty B]],0)</f>
        <v>0</v>
      </c>
      <c r="T614" s="36">
        <f>IFERROR(cadangan3[[#This Row],[Harga Asli B]]-(cadangan3[[#This Row],[Harga Asli B]]*cadangan3[[#This Row],[Diskon]]),cadangan3[[#This Row],[Harga Asli B]])</f>
        <v>0</v>
      </c>
      <c r="U614" s="36">
        <f>IFERROR(INDEX(Katalog!$F$3:$F$12,MATCH(cadangan3[[#This Row],[ItemID B]],Katalog!$C$3:$C$12,0))*cadangan3[[#This Row],[Qty B]],0)</f>
        <v>0</v>
      </c>
      <c r="V614" s="36">
        <f>IFERROR(cadangan3[[#This Row],[Profit B]]-(cadangan3[[#This Row],[Profit B]]*cadangan3[[#This Row],[Diskon]]),U614)</f>
        <v>0</v>
      </c>
      <c r="X614" t="str">
        <f>IFERROR(INDEX(Katalog!$A$3:$A$12,MATCH(cadangan3[[#This Row],[ItemID C]],Katalog!$C$3:$C$12,0)),"-")</f>
        <v>-</v>
      </c>
      <c r="Y614" t="str">
        <f>IFERROR(INDEX(Katalog!$B$3:$B$12,MATCH(cadangan3[[#This Row],[ItemID C]],Katalog!$C$3:$C$12,0)),"-")</f>
        <v>-</v>
      </c>
      <c r="AB614" s="36">
        <f>IFERROR(INDEX(Katalog!$D$3:$D$12,MATCH(cadangan3[[#This Row],[ItemID C]],Katalog!$C$3:$C$12,0))*cadangan3[[#This Row],[Qty C]],0)</f>
        <v>0</v>
      </c>
      <c r="AC614" s="36">
        <f>IFERROR(INDEX(Katalog!$D$3:$D$12,MATCH(cadangan3[[#This Row],[Item C]],Katalog!$B$3:$B$12,0))*cadangan3[[#This Row],[Qty C]],0)</f>
        <v>0</v>
      </c>
      <c r="AD614" s="36">
        <f>IFERROR(cadangan3[[#This Row],[Harga Asli C]]-(cadangan3[[#This Row],[Harga Asli C]]*cadangan3[[#This Row],[Diskon]]),cadangan3[[#This Row],[Harga Asli C]])</f>
        <v>0</v>
      </c>
      <c r="AE614" s="36">
        <f>IFERROR(INDEX(Katalog!$F$3:$F$12,MATCH(cadangan3[[#This Row],[ItemID C]],Katalog!$C$3:$C$12,0))*cadangan3[[#This Row],[Qty C]],0)</f>
        <v>0</v>
      </c>
      <c r="AF614" s="36">
        <f>IFERROR(cadangan3[[#This Row],[Profit C]]-(cadangan3[[#This Row],[Profit C]]*cadangan3[[#This Row],[Diskon]]),cadangan3[[#This Row],[Profit C]])</f>
        <v>0</v>
      </c>
      <c r="AG614" s="21">
        <f>cadangan3[[#This Row],[Qty A]]+cadangan3[[#This Row],[Qty B]]+cadangan3[[#This Row],[Qty C]]</f>
        <v>3</v>
      </c>
      <c r="AH614" s="35">
        <f>cadangan3[[#This Row],[Harga A + Diskon]]+cadangan3[[#This Row],[Harga + Diskon B]]+cadangan3[[#This Row],[Harga + Diskon C]]</f>
        <v>510000</v>
      </c>
      <c r="AI614" s="35">
        <f>(cadangan3[[#This Row],[Profit A]]+cadangan3[[#This Row],[Profit B]]+cadangan3[[#This Row],[Profit C]])</f>
        <v>240000</v>
      </c>
      <c r="AJ614" s="35">
        <f>cadangan3[[#This Row],[Provit A + Diskon]]+cadangan3[[#This Row],[Provit B + Diskon]]+cadangan3[[#This Row],[Provit C + Diskon]]</f>
        <v>204000</v>
      </c>
      <c r="AK614" s="23" t="s">
        <v>32</v>
      </c>
      <c r="AL614" s="37">
        <f>IFERROR(INDEX('Kode Diskon'!$D$3:$D$9,MATCH(cadangan3[[#This Row],[Kode diskon]],'Kode Diskon'!$C$3:$C$9,0)),"-")</f>
        <v>0.15</v>
      </c>
      <c r="AM614" s="23" t="s">
        <v>9</v>
      </c>
      <c r="AN614" s="23" t="s">
        <v>12</v>
      </c>
      <c r="AO614" s="23" t="s">
        <v>80</v>
      </c>
      <c r="AP614" s="24">
        <v>45036</v>
      </c>
      <c r="AQ614" s="23" t="str">
        <f>TEXT(cadangan3[[#This Row],[Tanggal terjual]],"dddd")</f>
        <v>Thursday</v>
      </c>
    </row>
    <row r="615" spans="1:43" x14ac:dyDescent="0.2">
      <c r="A615" s="20">
        <v>614</v>
      </c>
      <c r="B615" s="21" t="str">
        <f>_xlfn.CONCAT("ORD-",INDEX(Helper!$B$2:$B$5,MATCH(cadangan3[[#This Row],[Marketplace]],Helper!$A$2:$A$5,0)),TEXT(cadangan3[[#This Row],[No]],"0000"),"-",TEXT(cadangan3[[#This Row],[Tanggal terjual]],"dd/mm/yy"))</f>
        <v>ORD-SP0614-30/04/23</v>
      </c>
      <c r="C615" t="s">
        <v>62</v>
      </c>
      <c r="D615" t="str">
        <f>IFERROR(INDEX(Katalog!$A$3:$A$12,MATCH(cadangan3[[#This Row],[ItemID A]],Katalog!$C$3:$C$12,0)),"-")</f>
        <v>Pakaian Pria</v>
      </c>
      <c r="E615" t="str">
        <f>IFERROR(INDEX(Katalog!$B$3:$B$12,MATCH(cadangan3[[#This Row],[ItemID A]],Katalog!$C$3:$C$12,0)),"-")</f>
        <v>Celana Pendek</v>
      </c>
      <c r="F615">
        <v>1</v>
      </c>
      <c r="G615">
        <v>5</v>
      </c>
      <c r="H615" s="36">
        <f>IFERROR(INDEX(Katalog!$D$3:$D$12,MATCH(cadangan3[[#This Row],[ItemID A]],Katalog!$C$3:$C$12,0))*cadangan3[[#This Row],[Qty A]],0)</f>
        <v>180000</v>
      </c>
      <c r="I615" s="36">
        <f>IFERROR(INDEX(Katalog!$D$3:$D$12,MATCH(cadangan3[[#This Row],[Item A]],Katalog!$B$3:$B$12,0))*cadangan3[[#This Row],[Qty A]],0)</f>
        <v>180000</v>
      </c>
      <c r="J615" s="36">
        <f>IFERROR(cadangan3[[#This Row],[Harga Asli A]]-(cadangan3[[#This Row],[Harga Asli A]]*cadangan3[[#This Row],[Diskon]]),cadangan3[[#This Row],[Harga Asli A]])</f>
        <v>144000</v>
      </c>
      <c r="K615" s="36">
        <f>INDEX(Katalog!$F$3:$F$12,MATCH(cadangan3[[#This Row],[ItemID A]],Katalog!$C$3:$C$12,0))*cadangan3[[#This Row],[Qty A]]</f>
        <v>70000</v>
      </c>
      <c r="L615" s="36">
        <f>IFERROR(cadangan3[[#This Row],[Profit A]]-(cadangan3[[#This Row],[Profit A]]*cadangan3[[#This Row],[Diskon]]),K615)</f>
        <v>56000</v>
      </c>
      <c r="M615" t="s">
        <v>66</v>
      </c>
      <c r="N615" t="str">
        <f>IFERROR(INDEX(Katalog!$A$3:$A$12,MATCH(cadangan3[[#This Row],[ItemID B]],Katalog!$C$3:$C$12,0)),"-")</f>
        <v>Sepatu Pria</v>
      </c>
      <c r="O615" t="str">
        <f>IFERROR(INDEX(Katalog!$B$3:$B$12,MATCH(cadangan3[[#This Row],[ItemID B]],Katalog!$C$3:$C$12,0)),"-")</f>
        <v>Sandal Slip On</v>
      </c>
      <c r="P615">
        <v>1</v>
      </c>
      <c r="Q615">
        <v>3</v>
      </c>
      <c r="R615" s="36">
        <f>IFERROR(INDEX(Katalog!$D$3:$D$12,MATCH(cadangan3[[#This Row],[ItemID B]],Katalog!$C$3:$C$12,0))*cadangan3[[#This Row],[Qty B]],0)</f>
        <v>150000</v>
      </c>
      <c r="S615" s="36">
        <f>IFERROR(INDEX(Katalog!$D$3:$D$12,MATCH(cadangan3[[#This Row],[Item B]],Katalog!$B$3:$B$12,0))*cadangan3[[#This Row],[Qty B]],0)</f>
        <v>150000</v>
      </c>
      <c r="T615" s="36">
        <f>IFERROR(cadangan3[[#This Row],[Harga Asli B]]-(cadangan3[[#This Row],[Harga Asli B]]*cadangan3[[#This Row],[Diskon]]),cadangan3[[#This Row],[Harga Asli B]])</f>
        <v>120000</v>
      </c>
      <c r="U615" s="36">
        <f>IFERROR(INDEX(Katalog!$F$3:$F$12,MATCH(cadangan3[[#This Row],[ItemID B]],Katalog!$C$3:$C$12,0))*cadangan3[[#This Row],[Qty B]],0)</f>
        <v>60000</v>
      </c>
      <c r="V615" s="36">
        <f>IFERROR(cadangan3[[#This Row],[Profit B]]-(cadangan3[[#This Row],[Profit B]]*cadangan3[[#This Row],[Diskon]]),U615)</f>
        <v>48000</v>
      </c>
      <c r="X615" t="str">
        <f>IFERROR(INDEX(Katalog!$A$3:$A$12,MATCH(cadangan3[[#This Row],[ItemID C]],Katalog!$C$3:$C$12,0)),"-")</f>
        <v>-</v>
      </c>
      <c r="Y615" t="str">
        <f>IFERROR(INDEX(Katalog!$B$3:$B$12,MATCH(cadangan3[[#This Row],[ItemID C]],Katalog!$C$3:$C$12,0)),"-")</f>
        <v>-</v>
      </c>
      <c r="AB615" s="36">
        <f>IFERROR(INDEX(Katalog!$D$3:$D$12,MATCH(cadangan3[[#This Row],[ItemID C]],Katalog!$C$3:$C$12,0))*cadangan3[[#This Row],[Qty C]],0)</f>
        <v>0</v>
      </c>
      <c r="AC615" s="36">
        <f>IFERROR(INDEX(Katalog!$D$3:$D$12,MATCH(cadangan3[[#This Row],[Item C]],Katalog!$B$3:$B$12,0))*cadangan3[[#This Row],[Qty C]],0)</f>
        <v>0</v>
      </c>
      <c r="AD615" s="36">
        <f>IFERROR(cadangan3[[#This Row],[Harga Asli C]]-(cadangan3[[#This Row],[Harga Asli C]]*cadangan3[[#This Row],[Diskon]]),cadangan3[[#This Row],[Harga Asli C]])</f>
        <v>0</v>
      </c>
      <c r="AE615" s="36">
        <f>IFERROR(INDEX(Katalog!$F$3:$F$12,MATCH(cadangan3[[#This Row],[ItemID C]],Katalog!$C$3:$C$12,0))*cadangan3[[#This Row],[Qty C]],0)</f>
        <v>0</v>
      </c>
      <c r="AF615" s="36">
        <f>IFERROR(cadangan3[[#This Row],[Profit C]]-(cadangan3[[#This Row],[Profit C]]*cadangan3[[#This Row],[Diskon]]),cadangan3[[#This Row],[Profit C]])</f>
        <v>0</v>
      </c>
      <c r="AG615" s="21">
        <f>cadangan3[[#This Row],[Qty A]]+cadangan3[[#This Row],[Qty B]]+cadangan3[[#This Row],[Qty C]]</f>
        <v>2</v>
      </c>
      <c r="AH615" s="35">
        <f>cadangan3[[#This Row],[Harga A + Diskon]]+cadangan3[[#This Row],[Harga + Diskon B]]+cadangan3[[#This Row],[Harga + Diskon C]]</f>
        <v>264000</v>
      </c>
      <c r="AI615" s="35">
        <f>(cadangan3[[#This Row],[Profit A]]+cadangan3[[#This Row],[Profit B]]+cadangan3[[#This Row],[Profit C]])</f>
        <v>130000</v>
      </c>
      <c r="AJ615" s="35">
        <f>cadangan3[[#This Row],[Provit A + Diskon]]+cadangan3[[#This Row],[Provit B + Diskon]]+cadangan3[[#This Row],[Provit C + Diskon]]</f>
        <v>104000</v>
      </c>
      <c r="AK615" s="23" t="s">
        <v>8</v>
      </c>
      <c r="AL615" s="37">
        <f>IFERROR(INDEX('Kode Diskon'!$D$3:$D$9,MATCH(cadangan3[[#This Row],[Kode diskon]],'Kode Diskon'!$C$3:$C$9,0)),"-")</f>
        <v>0.2</v>
      </c>
      <c r="AM615" s="23" t="s">
        <v>9</v>
      </c>
      <c r="AN615" s="23" t="s">
        <v>7</v>
      </c>
      <c r="AO615" s="23" t="s">
        <v>80</v>
      </c>
      <c r="AP615" s="24">
        <v>45046</v>
      </c>
      <c r="AQ615" s="23" t="str">
        <f>TEXT(cadangan3[[#This Row],[Tanggal terjual]],"dddd")</f>
        <v>Sunday</v>
      </c>
    </row>
    <row r="616" spans="1:43" x14ac:dyDescent="0.2">
      <c r="A616" s="20">
        <v>615</v>
      </c>
      <c r="B616" s="21" t="str">
        <f>_xlfn.CONCAT("ORD-",INDEX(Helper!$B$2:$B$5,MATCH(cadangan3[[#This Row],[Marketplace]],Helper!$A$2:$A$5,0)),TEXT(cadangan3[[#This Row],[No]],"0000"),"-",TEXT(cadangan3[[#This Row],[Tanggal terjual]],"dd/mm/yy"))</f>
        <v>ORD-BL0615-25/04/23</v>
      </c>
      <c r="C616" t="s">
        <v>64</v>
      </c>
      <c r="D616" t="str">
        <f>IFERROR(INDEX(Katalog!$A$3:$A$12,MATCH(cadangan3[[#This Row],[ItemID A]],Katalog!$C$3:$C$12,0)),"-")</f>
        <v>Pakaian Unisex</v>
      </c>
      <c r="E616" t="str">
        <f>IFERROR(INDEX(Katalog!$B$3:$B$12,MATCH(cadangan3[[#This Row],[ItemID A]],Katalog!$C$3:$C$12,0)),"-")</f>
        <v>Jaket Hoodie</v>
      </c>
      <c r="F616">
        <v>4</v>
      </c>
      <c r="G616">
        <v>1</v>
      </c>
      <c r="H616" s="36">
        <f>IFERROR(INDEX(Katalog!$D$3:$D$12,MATCH(cadangan3[[#This Row],[ItemID A]],Katalog!$C$3:$C$12,0))*cadangan3[[#This Row],[Qty A]],0)</f>
        <v>1400000</v>
      </c>
      <c r="I616" s="36">
        <f>IFERROR(INDEX(Katalog!$D$3:$D$12,MATCH(cadangan3[[#This Row],[Item A]],Katalog!$B$3:$B$12,0))*cadangan3[[#This Row],[Qty A]],0)</f>
        <v>1400000</v>
      </c>
      <c r="J616" s="36">
        <f>IFERROR(cadangan3[[#This Row],[Harga Asli A]]-(cadangan3[[#This Row],[Harga Asli A]]*cadangan3[[#This Row],[Diskon]]),cadangan3[[#This Row],[Harga Asli A]])</f>
        <v>1190000</v>
      </c>
      <c r="K616" s="36">
        <f>INDEX(Katalog!$F$3:$F$12,MATCH(cadangan3[[#This Row],[ItemID A]],Katalog!$C$3:$C$12,0))*cadangan3[[#This Row],[Qty A]]</f>
        <v>520000</v>
      </c>
      <c r="L616" s="36">
        <f>IFERROR(cadangan3[[#This Row],[Profit A]]-(cadangan3[[#This Row],[Profit A]]*cadangan3[[#This Row],[Diskon]]),K616)</f>
        <v>442000</v>
      </c>
      <c r="M616" t="s">
        <v>66</v>
      </c>
      <c r="N616" t="str">
        <f>IFERROR(INDEX(Katalog!$A$3:$A$12,MATCH(cadangan3[[#This Row],[ItemID B]],Katalog!$C$3:$C$12,0)),"-")</f>
        <v>Sepatu Pria</v>
      </c>
      <c r="O616" t="str">
        <f>IFERROR(INDEX(Katalog!$B$3:$B$12,MATCH(cadangan3[[#This Row],[ItemID B]],Katalog!$C$3:$C$12,0)),"-")</f>
        <v>Sandal Slip On</v>
      </c>
      <c r="P616">
        <v>2</v>
      </c>
      <c r="Q616">
        <v>5</v>
      </c>
      <c r="R616" s="36">
        <f>IFERROR(INDEX(Katalog!$D$3:$D$12,MATCH(cadangan3[[#This Row],[ItemID B]],Katalog!$C$3:$C$12,0))*cadangan3[[#This Row],[Qty B]],0)</f>
        <v>300000</v>
      </c>
      <c r="S616" s="36">
        <f>IFERROR(INDEX(Katalog!$D$3:$D$12,MATCH(cadangan3[[#This Row],[Item B]],Katalog!$B$3:$B$12,0))*cadangan3[[#This Row],[Qty B]],0)</f>
        <v>300000</v>
      </c>
      <c r="T616" s="36">
        <f>IFERROR(cadangan3[[#This Row],[Harga Asli B]]-(cadangan3[[#This Row],[Harga Asli B]]*cadangan3[[#This Row],[Diskon]]),cadangan3[[#This Row],[Harga Asli B]])</f>
        <v>255000</v>
      </c>
      <c r="U616" s="36">
        <f>IFERROR(INDEX(Katalog!$F$3:$F$12,MATCH(cadangan3[[#This Row],[ItemID B]],Katalog!$C$3:$C$12,0))*cadangan3[[#This Row],[Qty B]],0)</f>
        <v>120000</v>
      </c>
      <c r="V616" s="36">
        <f>IFERROR(cadangan3[[#This Row],[Profit B]]-(cadangan3[[#This Row],[Profit B]]*cadangan3[[#This Row],[Diskon]]),U616)</f>
        <v>102000</v>
      </c>
      <c r="W616" t="s">
        <v>63</v>
      </c>
      <c r="X616" t="str">
        <f>IFERROR(INDEX(Katalog!$A$3:$A$12,MATCH(cadangan3[[#This Row],[ItemID C]],Katalog!$C$3:$C$12,0)),"-")</f>
        <v>Pakaian Pria</v>
      </c>
      <c r="Y616" t="str">
        <f>IFERROR(INDEX(Katalog!$B$3:$B$12,MATCH(cadangan3[[#This Row],[ItemID C]],Katalog!$C$3:$C$12,0)),"-")</f>
        <v>Jaket Jeans</v>
      </c>
      <c r="Z616">
        <v>1</v>
      </c>
      <c r="AA616">
        <v>3</v>
      </c>
      <c r="AB616" s="36">
        <f>IFERROR(INDEX(Katalog!$D$3:$D$12,MATCH(cadangan3[[#This Row],[ItemID C]],Katalog!$C$3:$C$12,0))*cadangan3[[#This Row],[Qty C]],0)</f>
        <v>400000</v>
      </c>
      <c r="AC616" s="36">
        <f>IFERROR(INDEX(Katalog!$D$3:$D$12,MATCH(cadangan3[[#This Row],[Item C]],Katalog!$B$3:$B$12,0))*cadangan3[[#This Row],[Qty C]],0)</f>
        <v>400000</v>
      </c>
      <c r="AD616" s="36">
        <f>IFERROR(cadangan3[[#This Row],[Harga Asli C]]-(cadangan3[[#This Row],[Harga Asli C]]*cadangan3[[#This Row],[Diskon]]),cadangan3[[#This Row],[Harga Asli C]])</f>
        <v>340000</v>
      </c>
      <c r="AE616" s="36">
        <f>IFERROR(INDEX(Katalog!$F$3:$F$12,MATCH(cadangan3[[#This Row],[ItemID C]],Katalog!$C$3:$C$12,0))*cadangan3[[#This Row],[Qty C]],0)</f>
        <v>150000</v>
      </c>
      <c r="AF616" s="36">
        <f>IFERROR(cadangan3[[#This Row],[Profit C]]-(cadangan3[[#This Row],[Profit C]]*cadangan3[[#This Row],[Diskon]]),cadangan3[[#This Row],[Profit C]])</f>
        <v>127500</v>
      </c>
      <c r="AG616" s="21">
        <f>cadangan3[[#This Row],[Qty A]]+cadangan3[[#This Row],[Qty B]]+cadangan3[[#This Row],[Qty C]]</f>
        <v>7</v>
      </c>
      <c r="AH616" s="35">
        <f>cadangan3[[#This Row],[Harga A + Diskon]]+cadangan3[[#This Row],[Harga + Diskon B]]+cadangan3[[#This Row],[Harga + Diskon C]]</f>
        <v>1785000</v>
      </c>
      <c r="AI616" s="35">
        <f>(cadangan3[[#This Row],[Profit A]]+cadangan3[[#This Row],[Profit B]]+cadangan3[[#This Row],[Profit C]])</f>
        <v>790000</v>
      </c>
      <c r="AJ616" s="35">
        <f>cadangan3[[#This Row],[Provit A + Diskon]]+cadangan3[[#This Row],[Provit B + Diskon]]+cadangan3[[#This Row],[Provit C + Diskon]]</f>
        <v>671500</v>
      </c>
      <c r="AK616" s="23" t="s">
        <v>32</v>
      </c>
      <c r="AL616" s="37">
        <f>IFERROR(INDEX('Kode Diskon'!$D$3:$D$9,MATCH(cadangan3[[#This Row],[Kode diskon]],'Kode Diskon'!$C$3:$C$9,0)),"-")</f>
        <v>0.15</v>
      </c>
      <c r="AM616" s="23" t="s">
        <v>9</v>
      </c>
      <c r="AN616" s="23" t="s">
        <v>12</v>
      </c>
      <c r="AO616" s="23" t="s">
        <v>76</v>
      </c>
      <c r="AP616" s="24">
        <v>45041</v>
      </c>
      <c r="AQ616" s="23" t="str">
        <f>TEXT(cadangan3[[#This Row],[Tanggal terjual]],"dddd")</f>
        <v>Tuesday</v>
      </c>
    </row>
    <row r="617" spans="1:43" x14ac:dyDescent="0.2">
      <c r="A617" s="20">
        <v>616</v>
      </c>
      <c r="B617" s="21" t="str">
        <f>_xlfn.CONCAT("ORD-",INDEX(Helper!$B$2:$B$5,MATCH(cadangan3[[#This Row],[Marketplace]],Helper!$A$2:$A$5,0)),TEXT(cadangan3[[#This Row],[No]],"0000"),"-",TEXT(cadangan3[[#This Row],[Tanggal terjual]],"dd/mm/yy"))</f>
        <v>ORD-SP0616-04/04/23</v>
      </c>
      <c r="C617" t="s">
        <v>58</v>
      </c>
      <c r="D617" t="str">
        <f>IFERROR(INDEX(Katalog!$A$3:$A$12,MATCH(cadangan3[[#This Row],[ItemID A]],Katalog!$C$3:$C$12,0)),"-")</f>
        <v>Pakaian Wanita</v>
      </c>
      <c r="E617" t="str">
        <f>IFERROR(INDEX(Katalog!$B$3:$B$12,MATCH(cadangan3[[#This Row],[ItemID A]],Katalog!$C$3:$C$12,0)),"-")</f>
        <v>Dress</v>
      </c>
      <c r="F617">
        <v>1</v>
      </c>
      <c r="G617">
        <v>2</v>
      </c>
      <c r="H617" s="36">
        <f>IFERROR(INDEX(Katalog!$D$3:$D$12,MATCH(cadangan3[[#This Row],[ItemID A]],Katalog!$C$3:$C$12,0))*cadangan3[[#This Row],[Qty A]],0)</f>
        <v>300000</v>
      </c>
      <c r="I617" s="36">
        <f>IFERROR(INDEX(Katalog!$D$3:$D$12,MATCH(cadangan3[[#This Row],[Item A]],Katalog!$B$3:$B$12,0))*cadangan3[[#This Row],[Qty A]],0)</f>
        <v>300000</v>
      </c>
      <c r="J617" s="36">
        <f>IFERROR(cadangan3[[#This Row],[Harga Asli A]]-(cadangan3[[#This Row],[Harga Asli A]]*cadangan3[[#This Row],[Diskon]]),cadangan3[[#This Row],[Harga Asli A]])</f>
        <v>255000</v>
      </c>
      <c r="K617" s="36">
        <f>INDEX(Katalog!$F$3:$F$12,MATCH(cadangan3[[#This Row],[ItemID A]],Katalog!$C$3:$C$12,0))*cadangan3[[#This Row],[Qty A]]</f>
        <v>100000</v>
      </c>
      <c r="L617" s="36">
        <f>IFERROR(cadangan3[[#This Row],[Profit A]]-(cadangan3[[#This Row],[Profit A]]*cadangan3[[#This Row],[Diskon]]),K617)</f>
        <v>85000</v>
      </c>
      <c r="N617" t="str">
        <f>IFERROR(INDEX(Katalog!$A$3:$A$12,MATCH(cadangan3[[#This Row],[ItemID B]],Katalog!$C$3:$C$12,0)),"-")</f>
        <v>-</v>
      </c>
      <c r="O617" t="str">
        <f>IFERROR(INDEX(Katalog!$B$3:$B$12,MATCH(cadangan3[[#This Row],[ItemID B]],Katalog!$C$3:$C$12,0)),"-")</f>
        <v>-</v>
      </c>
      <c r="R617" s="36">
        <f>IFERROR(INDEX(Katalog!$D$3:$D$12,MATCH(cadangan3[[#This Row],[ItemID B]],Katalog!$C$3:$C$12,0))*cadangan3[[#This Row],[Qty B]],0)</f>
        <v>0</v>
      </c>
      <c r="S617" s="36">
        <f>IFERROR(INDEX(Katalog!$D$3:$D$12,MATCH(cadangan3[[#This Row],[Item B]],Katalog!$B$3:$B$12,0))*cadangan3[[#This Row],[Qty B]],0)</f>
        <v>0</v>
      </c>
      <c r="T617" s="36">
        <f>IFERROR(cadangan3[[#This Row],[Harga Asli B]]-(cadangan3[[#This Row],[Harga Asli B]]*cadangan3[[#This Row],[Diskon]]),cadangan3[[#This Row],[Harga Asli B]])</f>
        <v>0</v>
      </c>
      <c r="U617" s="36">
        <f>IFERROR(INDEX(Katalog!$F$3:$F$12,MATCH(cadangan3[[#This Row],[ItemID B]],Katalog!$C$3:$C$12,0))*cadangan3[[#This Row],[Qty B]],0)</f>
        <v>0</v>
      </c>
      <c r="V617" s="36">
        <f>IFERROR(cadangan3[[#This Row],[Profit B]]-(cadangan3[[#This Row],[Profit B]]*cadangan3[[#This Row],[Diskon]]),U617)</f>
        <v>0</v>
      </c>
      <c r="X617" t="str">
        <f>IFERROR(INDEX(Katalog!$A$3:$A$12,MATCH(cadangan3[[#This Row],[ItemID C]],Katalog!$C$3:$C$12,0)),"-")</f>
        <v>-</v>
      </c>
      <c r="Y617" t="str">
        <f>IFERROR(INDEX(Katalog!$B$3:$B$12,MATCH(cadangan3[[#This Row],[ItemID C]],Katalog!$C$3:$C$12,0)),"-")</f>
        <v>-</v>
      </c>
      <c r="AB617" s="36">
        <f>IFERROR(INDEX(Katalog!$D$3:$D$12,MATCH(cadangan3[[#This Row],[ItemID C]],Katalog!$C$3:$C$12,0))*cadangan3[[#This Row],[Qty C]],0)</f>
        <v>0</v>
      </c>
      <c r="AC617" s="36">
        <f>IFERROR(INDEX(Katalog!$D$3:$D$12,MATCH(cadangan3[[#This Row],[Item C]],Katalog!$B$3:$B$12,0))*cadangan3[[#This Row],[Qty C]],0)</f>
        <v>0</v>
      </c>
      <c r="AD617" s="36">
        <f>IFERROR(cadangan3[[#This Row],[Harga Asli C]]-(cadangan3[[#This Row],[Harga Asli C]]*cadangan3[[#This Row],[Diskon]]),cadangan3[[#This Row],[Harga Asli C]])</f>
        <v>0</v>
      </c>
      <c r="AE617" s="36">
        <f>IFERROR(INDEX(Katalog!$F$3:$F$12,MATCH(cadangan3[[#This Row],[ItemID C]],Katalog!$C$3:$C$12,0))*cadangan3[[#This Row],[Qty C]],0)</f>
        <v>0</v>
      </c>
      <c r="AF617" s="36">
        <f>IFERROR(cadangan3[[#This Row],[Profit C]]-(cadangan3[[#This Row],[Profit C]]*cadangan3[[#This Row],[Diskon]]),cadangan3[[#This Row],[Profit C]])</f>
        <v>0</v>
      </c>
      <c r="AG617" s="21">
        <f>cadangan3[[#This Row],[Qty A]]+cadangan3[[#This Row],[Qty B]]+cadangan3[[#This Row],[Qty C]]</f>
        <v>1</v>
      </c>
      <c r="AH617" s="35">
        <f>cadangan3[[#This Row],[Harga A + Diskon]]+cadangan3[[#This Row],[Harga + Diskon B]]+cadangan3[[#This Row],[Harga + Diskon C]]</f>
        <v>255000</v>
      </c>
      <c r="AI617" s="35">
        <f>(cadangan3[[#This Row],[Profit A]]+cadangan3[[#This Row],[Profit B]]+cadangan3[[#This Row],[Profit C]])</f>
        <v>100000</v>
      </c>
      <c r="AJ617" s="35">
        <f>cadangan3[[#This Row],[Provit A + Diskon]]+cadangan3[[#This Row],[Provit B + Diskon]]+cadangan3[[#This Row],[Provit C + Diskon]]</f>
        <v>85000</v>
      </c>
      <c r="AK617" s="23" t="s">
        <v>13</v>
      </c>
      <c r="AL617" s="37">
        <f>IFERROR(INDEX('Kode Diskon'!$D$3:$D$9,MATCH(cadangan3[[#This Row],[Kode diskon]],'Kode Diskon'!$C$3:$C$9,0)),"-")</f>
        <v>0.15</v>
      </c>
      <c r="AM617" s="23" t="s">
        <v>29</v>
      </c>
      <c r="AN617" s="23" t="s">
        <v>7</v>
      </c>
      <c r="AO617" s="23" t="s">
        <v>76</v>
      </c>
      <c r="AP617" s="24">
        <v>45020</v>
      </c>
      <c r="AQ617" s="23" t="str">
        <f>TEXT(cadangan3[[#This Row],[Tanggal terjual]],"dddd")</f>
        <v>Tuesday</v>
      </c>
    </row>
    <row r="618" spans="1:43" x14ac:dyDescent="0.2">
      <c r="A618" s="20">
        <v>617</v>
      </c>
      <c r="B618" s="21" t="str">
        <f>_xlfn.CONCAT("ORD-",INDEX(Helper!$B$2:$B$5,MATCH(cadangan3[[#This Row],[Marketplace]],Helper!$A$2:$A$5,0)),TEXT(cadangan3[[#This Row],[No]],"0000"),"-",TEXT(cadangan3[[#This Row],[Tanggal terjual]],"dd/mm/yy"))</f>
        <v>ORD-TK0617-12/04/23</v>
      </c>
      <c r="C618" t="s">
        <v>60</v>
      </c>
      <c r="D618" t="str">
        <f>IFERROR(INDEX(Katalog!$A$3:$A$12,MATCH(cadangan3[[#This Row],[ItemID A]],Katalog!$C$3:$C$12,0)),"-")</f>
        <v>Pakaian Wanita</v>
      </c>
      <c r="E618" t="str">
        <f>IFERROR(INDEX(Katalog!$B$3:$B$12,MATCH(cadangan3[[#This Row],[ItemID A]],Katalog!$C$3:$C$12,0)),"-")</f>
        <v>Kaftan</v>
      </c>
      <c r="F618">
        <v>2</v>
      </c>
      <c r="G618">
        <v>4</v>
      </c>
      <c r="H618" s="36">
        <f>IFERROR(INDEX(Katalog!$D$3:$D$12,MATCH(cadangan3[[#This Row],[ItemID A]],Katalog!$C$3:$C$12,0))*cadangan3[[#This Row],[Qty A]],0)</f>
        <v>500000</v>
      </c>
      <c r="I618" s="36">
        <f>IFERROR(INDEX(Katalog!$D$3:$D$12,MATCH(cadangan3[[#This Row],[Item A]],Katalog!$B$3:$B$12,0))*cadangan3[[#This Row],[Qty A]],0)</f>
        <v>500000</v>
      </c>
      <c r="J618" s="36">
        <f>IFERROR(cadangan3[[#This Row],[Harga Asli A]]-(cadangan3[[#This Row],[Harga Asli A]]*cadangan3[[#This Row],[Diskon]]),cadangan3[[#This Row],[Harga Asli A]])</f>
        <v>500000</v>
      </c>
      <c r="K618" s="36">
        <f>INDEX(Katalog!$F$3:$F$12,MATCH(cadangan3[[#This Row],[ItemID A]],Katalog!$C$3:$C$12,0))*cadangan3[[#This Row],[Qty A]]</f>
        <v>200000</v>
      </c>
      <c r="L618" s="36">
        <f>IFERROR(cadangan3[[#This Row],[Profit A]]-(cadangan3[[#This Row],[Profit A]]*cadangan3[[#This Row],[Diskon]]),K618)</f>
        <v>200000</v>
      </c>
      <c r="N618" t="str">
        <f>IFERROR(INDEX(Katalog!$A$3:$A$12,MATCH(cadangan3[[#This Row],[ItemID B]],Katalog!$C$3:$C$12,0)),"-")</f>
        <v>-</v>
      </c>
      <c r="O618" t="str">
        <f>IFERROR(INDEX(Katalog!$B$3:$B$12,MATCH(cadangan3[[#This Row],[ItemID B]],Katalog!$C$3:$C$12,0)),"-")</f>
        <v>-</v>
      </c>
      <c r="R618" s="36">
        <f>IFERROR(INDEX(Katalog!$D$3:$D$12,MATCH(cadangan3[[#This Row],[ItemID B]],Katalog!$C$3:$C$12,0))*cadangan3[[#This Row],[Qty B]],0)</f>
        <v>0</v>
      </c>
      <c r="S618" s="36">
        <f>IFERROR(INDEX(Katalog!$D$3:$D$12,MATCH(cadangan3[[#This Row],[Item B]],Katalog!$B$3:$B$12,0))*cadangan3[[#This Row],[Qty B]],0)</f>
        <v>0</v>
      </c>
      <c r="T618" s="36">
        <f>IFERROR(cadangan3[[#This Row],[Harga Asli B]]-(cadangan3[[#This Row],[Harga Asli B]]*cadangan3[[#This Row],[Diskon]]),cadangan3[[#This Row],[Harga Asli B]])</f>
        <v>0</v>
      </c>
      <c r="U618" s="36">
        <f>IFERROR(INDEX(Katalog!$F$3:$F$12,MATCH(cadangan3[[#This Row],[ItemID B]],Katalog!$C$3:$C$12,0))*cadangan3[[#This Row],[Qty B]],0)</f>
        <v>0</v>
      </c>
      <c r="V618" s="36">
        <f>IFERROR(cadangan3[[#This Row],[Profit B]]-(cadangan3[[#This Row],[Profit B]]*cadangan3[[#This Row],[Diskon]]),U618)</f>
        <v>0</v>
      </c>
      <c r="X618" t="str">
        <f>IFERROR(INDEX(Katalog!$A$3:$A$12,MATCH(cadangan3[[#This Row],[ItemID C]],Katalog!$C$3:$C$12,0)),"-")</f>
        <v>-</v>
      </c>
      <c r="Y618" t="str">
        <f>IFERROR(INDEX(Katalog!$B$3:$B$12,MATCH(cadangan3[[#This Row],[ItemID C]],Katalog!$C$3:$C$12,0)),"-")</f>
        <v>-</v>
      </c>
      <c r="AB618" s="36">
        <f>IFERROR(INDEX(Katalog!$D$3:$D$12,MATCH(cadangan3[[#This Row],[ItemID C]],Katalog!$C$3:$C$12,0))*cadangan3[[#This Row],[Qty C]],0)</f>
        <v>0</v>
      </c>
      <c r="AC618" s="36">
        <f>IFERROR(INDEX(Katalog!$D$3:$D$12,MATCH(cadangan3[[#This Row],[Item C]],Katalog!$B$3:$B$12,0))*cadangan3[[#This Row],[Qty C]],0)</f>
        <v>0</v>
      </c>
      <c r="AD618" s="36">
        <f>IFERROR(cadangan3[[#This Row],[Harga Asli C]]-(cadangan3[[#This Row],[Harga Asli C]]*cadangan3[[#This Row],[Diskon]]),cadangan3[[#This Row],[Harga Asli C]])</f>
        <v>0</v>
      </c>
      <c r="AE618" s="36">
        <f>IFERROR(INDEX(Katalog!$F$3:$F$12,MATCH(cadangan3[[#This Row],[ItemID C]],Katalog!$C$3:$C$12,0))*cadangan3[[#This Row],[Qty C]],0)</f>
        <v>0</v>
      </c>
      <c r="AF618" s="36">
        <f>IFERROR(cadangan3[[#This Row],[Profit C]]-(cadangan3[[#This Row],[Profit C]]*cadangan3[[#This Row],[Diskon]]),cadangan3[[#This Row],[Profit C]])</f>
        <v>0</v>
      </c>
      <c r="AG618" s="21">
        <f>cadangan3[[#This Row],[Qty A]]+cadangan3[[#This Row],[Qty B]]+cadangan3[[#This Row],[Qty C]]</f>
        <v>2</v>
      </c>
      <c r="AH618" s="35">
        <f>cadangan3[[#This Row],[Harga A + Diskon]]+cadangan3[[#This Row],[Harga + Diskon B]]+cadangan3[[#This Row],[Harga + Diskon C]]</f>
        <v>500000</v>
      </c>
      <c r="AI618" s="35">
        <f>(cadangan3[[#This Row],[Profit A]]+cadangan3[[#This Row],[Profit B]]+cadangan3[[#This Row],[Profit C]])</f>
        <v>200000</v>
      </c>
      <c r="AJ618" s="35">
        <f>cadangan3[[#This Row],[Provit A + Diskon]]+cadangan3[[#This Row],[Provit B + Diskon]]+cadangan3[[#This Row],[Provit C + Diskon]]</f>
        <v>200000</v>
      </c>
      <c r="AK618" s="23" t="s">
        <v>11</v>
      </c>
      <c r="AL618" s="37" t="str">
        <f>IFERROR(INDEX('Kode Diskon'!$D$3:$D$9,MATCH(cadangan3[[#This Row],[Kode diskon]],'Kode Diskon'!$C$3:$C$9,0)),"-")</f>
        <v>-</v>
      </c>
      <c r="AM618" s="23" t="s">
        <v>11</v>
      </c>
      <c r="AN618" s="23" t="s">
        <v>10</v>
      </c>
      <c r="AO618" s="23" t="s">
        <v>76</v>
      </c>
      <c r="AP618" s="24">
        <v>45028</v>
      </c>
      <c r="AQ618" s="23" t="str">
        <f>TEXT(cadangan3[[#This Row],[Tanggal terjual]],"dddd")</f>
        <v>Wednesday</v>
      </c>
    </row>
    <row r="619" spans="1:43" x14ac:dyDescent="0.2">
      <c r="A619" s="20">
        <v>618</v>
      </c>
      <c r="B619" s="21" t="str">
        <f>_xlfn.CONCAT("ORD-",INDEX(Helper!$B$2:$B$5,MATCH(cadangan3[[#This Row],[Marketplace]],Helper!$A$2:$A$5,0)),TEXT(cadangan3[[#This Row],[No]],"0000"),"-",TEXT(cadangan3[[#This Row],[Tanggal terjual]],"dd/mm/yy"))</f>
        <v>ORD-BL0618-12/04/23</v>
      </c>
      <c r="C619" t="s">
        <v>66</v>
      </c>
      <c r="D619" t="str">
        <f>IFERROR(INDEX(Katalog!$A$3:$A$12,MATCH(cadangan3[[#This Row],[ItemID A]],Katalog!$C$3:$C$12,0)),"-")</f>
        <v>Sepatu Pria</v>
      </c>
      <c r="E619" t="str">
        <f>IFERROR(INDEX(Katalog!$B$3:$B$12,MATCH(cadangan3[[#This Row],[ItemID A]],Katalog!$C$3:$C$12,0)),"-")</f>
        <v>Sandal Slip On</v>
      </c>
      <c r="F619">
        <v>1</v>
      </c>
      <c r="G619">
        <v>5</v>
      </c>
      <c r="H619" s="36">
        <f>IFERROR(INDEX(Katalog!$D$3:$D$12,MATCH(cadangan3[[#This Row],[ItemID A]],Katalog!$C$3:$C$12,0))*cadangan3[[#This Row],[Qty A]],0)</f>
        <v>150000</v>
      </c>
      <c r="I619" s="36">
        <f>IFERROR(INDEX(Katalog!$D$3:$D$12,MATCH(cadangan3[[#This Row],[Item A]],Katalog!$B$3:$B$12,0))*cadangan3[[#This Row],[Qty A]],0)</f>
        <v>150000</v>
      </c>
      <c r="J619" s="36">
        <f>IFERROR(cadangan3[[#This Row],[Harga Asli A]]-(cadangan3[[#This Row],[Harga Asli A]]*cadangan3[[#This Row],[Diskon]]),cadangan3[[#This Row],[Harga Asli A]])</f>
        <v>150000</v>
      </c>
      <c r="K619" s="36">
        <f>INDEX(Katalog!$F$3:$F$12,MATCH(cadangan3[[#This Row],[ItemID A]],Katalog!$C$3:$C$12,0))*cadangan3[[#This Row],[Qty A]]</f>
        <v>60000</v>
      </c>
      <c r="L619" s="36">
        <f>IFERROR(cadangan3[[#This Row],[Profit A]]-(cadangan3[[#This Row],[Profit A]]*cadangan3[[#This Row],[Diskon]]),K619)</f>
        <v>60000</v>
      </c>
      <c r="M619" t="s">
        <v>63</v>
      </c>
      <c r="N619" t="str">
        <f>IFERROR(INDEX(Katalog!$A$3:$A$12,MATCH(cadangan3[[#This Row],[ItemID B]],Katalog!$C$3:$C$12,0)),"-")</f>
        <v>Pakaian Pria</v>
      </c>
      <c r="O619" t="str">
        <f>IFERROR(INDEX(Katalog!$B$3:$B$12,MATCH(cadangan3[[#This Row],[ItemID B]],Katalog!$C$3:$C$12,0)),"-")</f>
        <v>Jaket Jeans</v>
      </c>
      <c r="P619">
        <v>1</v>
      </c>
      <c r="Q619">
        <v>2</v>
      </c>
      <c r="R619" s="36">
        <f>IFERROR(INDEX(Katalog!$D$3:$D$12,MATCH(cadangan3[[#This Row],[ItemID B]],Katalog!$C$3:$C$12,0))*cadangan3[[#This Row],[Qty B]],0)</f>
        <v>400000</v>
      </c>
      <c r="S619" s="36">
        <f>IFERROR(INDEX(Katalog!$D$3:$D$12,MATCH(cadangan3[[#This Row],[Item B]],Katalog!$B$3:$B$12,0))*cadangan3[[#This Row],[Qty B]],0)</f>
        <v>400000</v>
      </c>
      <c r="T619" s="36">
        <f>IFERROR(cadangan3[[#This Row],[Harga Asli B]]-(cadangan3[[#This Row],[Harga Asli B]]*cadangan3[[#This Row],[Diskon]]),cadangan3[[#This Row],[Harga Asli B]])</f>
        <v>400000</v>
      </c>
      <c r="U619" s="36">
        <f>IFERROR(INDEX(Katalog!$F$3:$F$12,MATCH(cadangan3[[#This Row],[ItemID B]],Katalog!$C$3:$C$12,0))*cadangan3[[#This Row],[Qty B]],0)</f>
        <v>150000</v>
      </c>
      <c r="V619" s="36">
        <f>IFERROR(cadangan3[[#This Row],[Profit B]]-(cadangan3[[#This Row],[Profit B]]*cadangan3[[#This Row],[Diskon]]),U619)</f>
        <v>150000</v>
      </c>
      <c r="W619" t="s">
        <v>58</v>
      </c>
      <c r="X619" t="str">
        <f>IFERROR(INDEX(Katalog!$A$3:$A$12,MATCH(cadangan3[[#This Row],[ItemID C]],Katalog!$C$3:$C$12,0)),"-")</f>
        <v>Pakaian Wanita</v>
      </c>
      <c r="Y619" t="str">
        <f>IFERROR(INDEX(Katalog!$B$3:$B$12,MATCH(cadangan3[[#This Row],[ItemID C]],Katalog!$C$3:$C$12,0)),"-")</f>
        <v>Dress</v>
      </c>
      <c r="Z619">
        <v>4</v>
      </c>
      <c r="AA619">
        <v>5</v>
      </c>
      <c r="AB619" s="36">
        <f>IFERROR(INDEX(Katalog!$D$3:$D$12,MATCH(cadangan3[[#This Row],[ItemID C]],Katalog!$C$3:$C$12,0))*cadangan3[[#This Row],[Qty C]],0)</f>
        <v>1200000</v>
      </c>
      <c r="AC619" s="36">
        <f>IFERROR(INDEX(Katalog!$D$3:$D$12,MATCH(cadangan3[[#This Row],[Item C]],Katalog!$B$3:$B$12,0))*cadangan3[[#This Row],[Qty C]],0)</f>
        <v>1200000</v>
      </c>
      <c r="AD619" s="36">
        <f>IFERROR(cadangan3[[#This Row],[Harga Asli C]]-(cadangan3[[#This Row],[Harga Asli C]]*cadangan3[[#This Row],[Diskon]]),cadangan3[[#This Row],[Harga Asli C]])</f>
        <v>1200000</v>
      </c>
      <c r="AE619" s="36">
        <f>IFERROR(INDEX(Katalog!$F$3:$F$12,MATCH(cadangan3[[#This Row],[ItemID C]],Katalog!$C$3:$C$12,0))*cadangan3[[#This Row],[Qty C]],0)</f>
        <v>400000</v>
      </c>
      <c r="AF619" s="36">
        <f>IFERROR(cadangan3[[#This Row],[Profit C]]-(cadangan3[[#This Row],[Profit C]]*cadangan3[[#This Row],[Diskon]]),cadangan3[[#This Row],[Profit C]])</f>
        <v>400000</v>
      </c>
      <c r="AG619" s="21">
        <f>cadangan3[[#This Row],[Qty A]]+cadangan3[[#This Row],[Qty B]]+cadangan3[[#This Row],[Qty C]]</f>
        <v>6</v>
      </c>
      <c r="AH619" s="35">
        <f>cadangan3[[#This Row],[Harga A + Diskon]]+cadangan3[[#This Row],[Harga + Diskon B]]+cadangan3[[#This Row],[Harga + Diskon C]]</f>
        <v>1750000</v>
      </c>
      <c r="AI619" s="35">
        <f>(cadangan3[[#This Row],[Profit A]]+cadangan3[[#This Row],[Profit B]]+cadangan3[[#This Row],[Profit C]])</f>
        <v>610000</v>
      </c>
      <c r="AJ619" s="35">
        <f>cadangan3[[#This Row],[Provit A + Diskon]]+cadangan3[[#This Row],[Provit B + Diskon]]+cadangan3[[#This Row],[Provit C + Diskon]]</f>
        <v>610000</v>
      </c>
      <c r="AK619" s="23" t="s">
        <v>11</v>
      </c>
      <c r="AL619" s="37" t="str">
        <f>IFERROR(INDEX('Kode Diskon'!$D$3:$D$9,MATCH(cadangan3[[#This Row],[Kode diskon]],'Kode Diskon'!$C$3:$C$9,0)),"-")</f>
        <v>-</v>
      </c>
      <c r="AM619" s="23" t="s">
        <v>11</v>
      </c>
      <c r="AN619" s="23" t="s">
        <v>12</v>
      </c>
      <c r="AO619" s="23" t="s">
        <v>80</v>
      </c>
      <c r="AP619" s="24">
        <v>45028</v>
      </c>
      <c r="AQ619" s="23" t="str">
        <f>TEXT(cadangan3[[#This Row],[Tanggal terjual]],"dddd")</f>
        <v>Wednesday</v>
      </c>
    </row>
    <row r="620" spans="1:43" x14ac:dyDescent="0.2">
      <c r="A620" s="20">
        <v>619</v>
      </c>
      <c r="B620" s="21" t="str">
        <f>_xlfn.CONCAT("ORD-",INDEX(Helper!$B$2:$B$5,MATCH(cadangan3[[#This Row],[Marketplace]],Helper!$A$2:$A$5,0)),TEXT(cadangan3[[#This Row],[No]],"0000"),"-",TEXT(cadangan3[[#This Row],[Tanggal terjual]],"dd/mm/yy"))</f>
        <v>ORD-TK0619-12/04/23</v>
      </c>
      <c r="C620" t="s">
        <v>59</v>
      </c>
      <c r="D620" t="str">
        <f>IFERROR(INDEX(Katalog!$A$3:$A$12,MATCH(cadangan3[[#This Row],[ItemID A]],Katalog!$C$3:$C$12,0)),"-")</f>
        <v>Pakaian Wanita</v>
      </c>
      <c r="E620" t="str">
        <f>IFERROR(INDEX(Katalog!$B$3:$B$12,MATCH(cadangan3[[#This Row],[ItemID A]],Katalog!$C$3:$C$12,0)),"-")</f>
        <v>Blouse</v>
      </c>
      <c r="F620">
        <v>5</v>
      </c>
      <c r="G620">
        <v>4</v>
      </c>
      <c r="H620" s="36">
        <f>IFERROR(INDEX(Katalog!$D$3:$D$12,MATCH(cadangan3[[#This Row],[ItemID A]],Katalog!$C$3:$C$12,0))*cadangan3[[#This Row],[Qty A]],0)</f>
        <v>750000</v>
      </c>
      <c r="I620" s="36">
        <f>IFERROR(INDEX(Katalog!$D$3:$D$12,MATCH(cadangan3[[#This Row],[Item A]],Katalog!$B$3:$B$12,0))*cadangan3[[#This Row],[Qty A]],0)</f>
        <v>750000</v>
      </c>
      <c r="J620" s="36">
        <f>IFERROR(cadangan3[[#This Row],[Harga Asli A]]-(cadangan3[[#This Row],[Harga Asli A]]*cadangan3[[#This Row],[Diskon]]),cadangan3[[#This Row],[Harga Asli A]])</f>
        <v>750000</v>
      </c>
      <c r="K620" s="36">
        <f>INDEX(Katalog!$F$3:$F$12,MATCH(cadangan3[[#This Row],[ItemID A]],Katalog!$C$3:$C$12,0))*cadangan3[[#This Row],[Qty A]]</f>
        <v>250000</v>
      </c>
      <c r="L620" s="36">
        <f>IFERROR(cadangan3[[#This Row],[Profit A]]-(cadangan3[[#This Row],[Profit A]]*cadangan3[[#This Row],[Diskon]]),K620)</f>
        <v>250000</v>
      </c>
      <c r="M620" t="s">
        <v>63</v>
      </c>
      <c r="N620" t="str">
        <f>IFERROR(INDEX(Katalog!$A$3:$A$12,MATCH(cadangan3[[#This Row],[ItemID B]],Katalog!$C$3:$C$12,0)),"-")</f>
        <v>Pakaian Pria</v>
      </c>
      <c r="O620" t="str">
        <f>IFERROR(INDEX(Katalog!$B$3:$B$12,MATCH(cadangan3[[#This Row],[ItemID B]],Katalog!$C$3:$C$12,0)),"-")</f>
        <v>Jaket Jeans</v>
      </c>
      <c r="P620">
        <v>1</v>
      </c>
      <c r="Q620">
        <v>1</v>
      </c>
      <c r="R620" s="36">
        <f>IFERROR(INDEX(Katalog!$D$3:$D$12,MATCH(cadangan3[[#This Row],[ItemID B]],Katalog!$C$3:$C$12,0))*cadangan3[[#This Row],[Qty B]],0)</f>
        <v>400000</v>
      </c>
      <c r="S620" s="36">
        <f>IFERROR(INDEX(Katalog!$D$3:$D$12,MATCH(cadangan3[[#This Row],[Item B]],Katalog!$B$3:$B$12,0))*cadangan3[[#This Row],[Qty B]],0)</f>
        <v>400000</v>
      </c>
      <c r="T620" s="36">
        <f>IFERROR(cadangan3[[#This Row],[Harga Asli B]]-(cadangan3[[#This Row],[Harga Asli B]]*cadangan3[[#This Row],[Diskon]]),cadangan3[[#This Row],[Harga Asli B]])</f>
        <v>400000</v>
      </c>
      <c r="U620" s="36">
        <f>IFERROR(INDEX(Katalog!$F$3:$F$12,MATCH(cadangan3[[#This Row],[ItemID B]],Katalog!$C$3:$C$12,0))*cadangan3[[#This Row],[Qty B]],0)</f>
        <v>150000</v>
      </c>
      <c r="V620" s="36">
        <f>IFERROR(cadangan3[[#This Row],[Profit B]]-(cadangan3[[#This Row],[Profit B]]*cadangan3[[#This Row],[Diskon]]),U620)</f>
        <v>150000</v>
      </c>
      <c r="X620" t="str">
        <f>IFERROR(INDEX(Katalog!$A$3:$A$12,MATCH(cadangan3[[#This Row],[ItemID C]],Katalog!$C$3:$C$12,0)),"-")</f>
        <v>-</v>
      </c>
      <c r="Y620" t="str">
        <f>IFERROR(INDEX(Katalog!$B$3:$B$12,MATCH(cadangan3[[#This Row],[ItemID C]],Katalog!$C$3:$C$12,0)),"-")</f>
        <v>-</v>
      </c>
      <c r="AB620" s="36">
        <f>IFERROR(INDEX(Katalog!$D$3:$D$12,MATCH(cadangan3[[#This Row],[ItemID C]],Katalog!$C$3:$C$12,0))*cadangan3[[#This Row],[Qty C]],0)</f>
        <v>0</v>
      </c>
      <c r="AC620" s="36">
        <f>IFERROR(INDEX(Katalog!$D$3:$D$12,MATCH(cadangan3[[#This Row],[Item C]],Katalog!$B$3:$B$12,0))*cadangan3[[#This Row],[Qty C]],0)</f>
        <v>0</v>
      </c>
      <c r="AD620" s="36">
        <f>IFERROR(cadangan3[[#This Row],[Harga Asli C]]-(cadangan3[[#This Row],[Harga Asli C]]*cadangan3[[#This Row],[Diskon]]),cadangan3[[#This Row],[Harga Asli C]])</f>
        <v>0</v>
      </c>
      <c r="AE620" s="36">
        <f>IFERROR(INDEX(Katalog!$F$3:$F$12,MATCH(cadangan3[[#This Row],[ItemID C]],Katalog!$C$3:$C$12,0))*cadangan3[[#This Row],[Qty C]],0)</f>
        <v>0</v>
      </c>
      <c r="AF620" s="36">
        <f>IFERROR(cadangan3[[#This Row],[Profit C]]-(cadangan3[[#This Row],[Profit C]]*cadangan3[[#This Row],[Diskon]]),cadangan3[[#This Row],[Profit C]])</f>
        <v>0</v>
      </c>
      <c r="AG620" s="21">
        <f>cadangan3[[#This Row],[Qty A]]+cadangan3[[#This Row],[Qty B]]+cadangan3[[#This Row],[Qty C]]</f>
        <v>6</v>
      </c>
      <c r="AH620" s="35">
        <f>cadangan3[[#This Row],[Harga A + Diskon]]+cadangan3[[#This Row],[Harga + Diskon B]]+cadangan3[[#This Row],[Harga + Diskon C]]</f>
        <v>1150000</v>
      </c>
      <c r="AI620" s="35">
        <f>(cadangan3[[#This Row],[Profit A]]+cadangan3[[#This Row],[Profit B]]+cadangan3[[#This Row],[Profit C]])</f>
        <v>400000</v>
      </c>
      <c r="AJ620" s="35">
        <f>cadangan3[[#This Row],[Provit A + Diskon]]+cadangan3[[#This Row],[Provit B + Diskon]]+cadangan3[[#This Row],[Provit C + Diskon]]</f>
        <v>400000</v>
      </c>
      <c r="AK620" s="23" t="s">
        <v>11</v>
      </c>
      <c r="AL620" s="37" t="str">
        <f>IFERROR(INDEX('Kode Diskon'!$D$3:$D$9,MATCH(cadangan3[[#This Row],[Kode diskon]],'Kode Diskon'!$C$3:$C$9,0)),"-")</f>
        <v>-</v>
      </c>
      <c r="AM620" s="23" t="s">
        <v>11</v>
      </c>
      <c r="AN620" s="23" t="s">
        <v>10</v>
      </c>
      <c r="AO620" s="23" t="s">
        <v>80</v>
      </c>
      <c r="AP620" s="24">
        <v>45028</v>
      </c>
      <c r="AQ620" s="23" t="str">
        <f>TEXT(cadangan3[[#This Row],[Tanggal terjual]],"dddd")</f>
        <v>Wednesday</v>
      </c>
    </row>
    <row r="621" spans="1:43" x14ac:dyDescent="0.2">
      <c r="A621" s="20">
        <v>620</v>
      </c>
      <c r="B621" s="21" t="str">
        <f>_xlfn.CONCAT("ORD-",INDEX(Helper!$B$2:$B$5,MATCH(cadangan3[[#This Row],[Marketplace]],Helper!$A$2:$A$5,0)),TEXT(cadangan3[[#This Row],[No]],"0000"),"-",TEXT(cadangan3[[#This Row],[Tanggal terjual]],"dd/mm/yy"))</f>
        <v>ORD-TK0620-16/04/23</v>
      </c>
      <c r="C621" t="s">
        <v>61</v>
      </c>
      <c r="D621" t="str">
        <f>IFERROR(INDEX(Katalog!$A$3:$A$12,MATCH(cadangan3[[#This Row],[ItemID A]],Katalog!$C$3:$C$12,0)),"-")</f>
        <v>Pakaian Pria</v>
      </c>
      <c r="E621" t="str">
        <f>IFERROR(INDEX(Katalog!$B$3:$B$12,MATCH(cadangan3[[#This Row],[ItemID A]],Katalog!$C$3:$C$12,0)),"-")</f>
        <v>Kaos Polo</v>
      </c>
      <c r="F621">
        <v>5</v>
      </c>
      <c r="G621">
        <v>2</v>
      </c>
      <c r="H621" s="36">
        <f>IFERROR(INDEX(Katalog!$D$3:$D$12,MATCH(cadangan3[[#This Row],[ItemID A]],Katalog!$C$3:$C$12,0))*cadangan3[[#This Row],[Qty A]],0)</f>
        <v>1000000</v>
      </c>
      <c r="I621" s="36">
        <f>IFERROR(INDEX(Katalog!$D$3:$D$12,MATCH(cadangan3[[#This Row],[Item A]],Katalog!$B$3:$B$12,0))*cadangan3[[#This Row],[Qty A]],0)</f>
        <v>1000000</v>
      </c>
      <c r="J621" s="36">
        <f>IFERROR(cadangan3[[#This Row],[Harga Asli A]]-(cadangan3[[#This Row],[Harga Asli A]]*cadangan3[[#This Row],[Diskon]]),cadangan3[[#This Row],[Harga Asli A]])</f>
        <v>900000</v>
      </c>
      <c r="K621" s="36">
        <f>INDEX(Katalog!$F$3:$F$12,MATCH(cadangan3[[#This Row],[ItemID A]],Katalog!$C$3:$C$12,0))*cadangan3[[#This Row],[Qty A]]</f>
        <v>400000</v>
      </c>
      <c r="L621" s="36">
        <f>IFERROR(cadangan3[[#This Row],[Profit A]]-(cadangan3[[#This Row],[Profit A]]*cadangan3[[#This Row],[Diskon]]),K621)</f>
        <v>360000</v>
      </c>
      <c r="N621" t="str">
        <f>IFERROR(INDEX(Katalog!$A$3:$A$12,MATCH(cadangan3[[#This Row],[ItemID B]],Katalog!$C$3:$C$12,0)),"-")</f>
        <v>-</v>
      </c>
      <c r="O621" t="str">
        <f>IFERROR(INDEX(Katalog!$B$3:$B$12,MATCH(cadangan3[[#This Row],[ItemID B]],Katalog!$C$3:$C$12,0)),"-")</f>
        <v>-</v>
      </c>
      <c r="R621" s="36">
        <f>IFERROR(INDEX(Katalog!$D$3:$D$12,MATCH(cadangan3[[#This Row],[ItemID B]],Katalog!$C$3:$C$12,0))*cadangan3[[#This Row],[Qty B]],0)</f>
        <v>0</v>
      </c>
      <c r="S621" s="36">
        <f>IFERROR(INDEX(Katalog!$D$3:$D$12,MATCH(cadangan3[[#This Row],[Item B]],Katalog!$B$3:$B$12,0))*cadangan3[[#This Row],[Qty B]],0)</f>
        <v>0</v>
      </c>
      <c r="T621" s="36">
        <f>IFERROR(cadangan3[[#This Row],[Harga Asli B]]-(cadangan3[[#This Row],[Harga Asli B]]*cadangan3[[#This Row],[Diskon]]),cadangan3[[#This Row],[Harga Asli B]])</f>
        <v>0</v>
      </c>
      <c r="U621" s="36">
        <f>IFERROR(INDEX(Katalog!$F$3:$F$12,MATCH(cadangan3[[#This Row],[ItemID B]],Katalog!$C$3:$C$12,0))*cadangan3[[#This Row],[Qty B]],0)</f>
        <v>0</v>
      </c>
      <c r="V621" s="36">
        <f>IFERROR(cadangan3[[#This Row],[Profit B]]-(cadangan3[[#This Row],[Profit B]]*cadangan3[[#This Row],[Diskon]]),U621)</f>
        <v>0</v>
      </c>
      <c r="X621" t="str">
        <f>IFERROR(INDEX(Katalog!$A$3:$A$12,MATCH(cadangan3[[#This Row],[ItemID C]],Katalog!$C$3:$C$12,0)),"-")</f>
        <v>-</v>
      </c>
      <c r="Y621" t="str">
        <f>IFERROR(INDEX(Katalog!$B$3:$B$12,MATCH(cadangan3[[#This Row],[ItemID C]],Katalog!$C$3:$C$12,0)),"-")</f>
        <v>-</v>
      </c>
      <c r="AB621" s="36">
        <f>IFERROR(INDEX(Katalog!$D$3:$D$12,MATCH(cadangan3[[#This Row],[ItemID C]],Katalog!$C$3:$C$12,0))*cadangan3[[#This Row],[Qty C]],0)</f>
        <v>0</v>
      </c>
      <c r="AC621" s="36">
        <f>IFERROR(INDEX(Katalog!$D$3:$D$12,MATCH(cadangan3[[#This Row],[Item C]],Katalog!$B$3:$B$12,0))*cadangan3[[#This Row],[Qty C]],0)</f>
        <v>0</v>
      </c>
      <c r="AD621" s="36">
        <f>IFERROR(cadangan3[[#This Row],[Harga Asli C]]-(cadangan3[[#This Row],[Harga Asli C]]*cadangan3[[#This Row],[Diskon]]),cadangan3[[#This Row],[Harga Asli C]])</f>
        <v>0</v>
      </c>
      <c r="AE621" s="36">
        <f>IFERROR(INDEX(Katalog!$F$3:$F$12,MATCH(cadangan3[[#This Row],[ItemID C]],Katalog!$C$3:$C$12,0))*cadangan3[[#This Row],[Qty C]],0)</f>
        <v>0</v>
      </c>
      <c r="AF621" s="36">
        <f>IFERROR(cadangan3[[#This Row],[Profit C]]-(cadangan3[[#This Row],[Profit C]]*cadangan3[[#This Row],[Diskon]]),cadangan3[[#This Row],[Profit C]])</f>
        <v>0</v>
      </c>
      <c r="AG621" s="21">
        <f>cadangan3[[#This Row],[Qty A]]+cadangan3[[#This Row],[Qty B]]+cadangan3[[#This Row],[Qty C]]</f>
        <v>5</v>
      </c>
      <c r="AH621" s="35">
        <f>cadangan3[[#This Row],[Harga A + Diskon]]+cadangan3[[#This Row],[Harga + Diskon B]]+cadangan3[[#This Row],[Harga + Diskon C]]</f>
        <v>900000</v>
      </c>
      <c r="AI621" s="35">
        <f>(cadangan3[[#This Row],[Profit A]]+cadangan3[[#This Row],[Profit B]]+cadangan3[[#This Row],[Profit C]])</f>
        <v>400000</v>
      </c>
      <c r="AJ621" s="35">
        <f>cadangan3[[#This Row],[Provit A + Diskon]]+cadangan3[[#This Row],[Provit B + Diskon]]+cadangan3[[#This Row],[Provit C + Diskon]]</f>
        <v>360000</v>
      </c>
      <c r="AK621" s="23" t="s">
        <v>31</v>
      </c>
      <c r="AL621" s="37">
        <f>IFERROR(INDEX('Kode Diskon'!$D$3:$D$9,MATCH(cadangan3[[#This Row],[Kode diskon]],'Kode Diskon'!$C$3:$C$9,0)),"-")</f>
        <v>0.1</v>
      </c>
      <c r="AM621" s="23" t="s">
        <v>9</v>
      </c>
      <c r="AN621" s="23" t="s">
        <v>10</v>
      </c>
      <c r="AO621" s="23" t="s">
        <v>75</v>
      </c>
      <c r="AP621" s="24">
        <v>45032</v>
      </c>
      <c r="AQ621" s="23" t="str">
        <f>TEXT(cadangan3[[#This Row],[Tanggal terjual]],"dddd")</f>
        <v>Sunday</v>
      </c>
    </row>
    <row r="622" spans="1:43" x14ac:dyDescent="0.2">
      <c r="A622" s="20">
        <v>621</v>
      </c>
      <c r="B622" s="21" t="str">
        <f>_xlfn.CONCAT("ORD-",INDEX(Helper!$B$2:$B$5,MATCH(cadangan3[[#This Row],[Marketplace]],Helper!$A$2:$A$5,0)),TEXT(cadangan3[[#This Row],[No]],"0000"),"-",TEXT(cadangan3[[#This Row],[Tanggal terjual]],"dd/mm/yy"))</f>
        <v>ORD-SP0621-05/04/23</v>
      </c>
      <c r="C622" t="s">
        <v>67</v>
      </c>
      <c r="D622" t="str">
        <f>IFERROR(INDEX(Katalog!$A$3:$A$12,MATCH(cadangan3[[#This Row],[ItemID A]],Katalog!$C$3:$C$12,0)),"-")</f>
        <v>Sepatu Wanita</v>
      </c>
      <c r="E622" t="str">
        <f>IFERROR(INDEX(Katalog!$B$3:$B$12,MATCH(cadangan3[[#This Row],[ItemID A]],Katalog!$C$3:$C$12,0)),"-")</f>
        <v>Flat Shoes</v>
      </c>
      <c r="F622">
        <v>7</v>
      </c>
      <c r="G622">
        <v>4</v>
      </c>
      <c r="H622" s="36">
        <f>IFERROR(INDEX(Katalog!$D$3:$D$12,MATCH(cadangan3[[#This Row],[ItemID A]],Katalog!$C$3:$C$12,0))*cadangan3[[#This Row],[Qty A]],0)</f>
        <v>1750000</v>
      </c>
      <c r="I622" s="36">
        <f>IFERROR(INDEX(Katalog!$D$3:$D$12,MATCH(cadangan3[[#This Row],[Item A]],Katalog!$B$3:$B$12,0))*cadangan3[[#This Row],[Qty A]],0)</f>
        <v>1750000</v>
      </c>
      <c r="J622" s="36">
        <f>IFERROR(cadangan3[[#This Row],[Harga Asli A]]-(cadangan3[[#This Row],[Harga Asli A]]*cadangan3[[#This Row],[Diskon]]),cadangan3[[#This Row],[Harga Asli A]])</f>
        <v>1487500</v>
      </c>
      <c r="K622" s="36">
        <f>INDEX(Katalog!$F$3:$F$12,MATCH(cadangan3[[#This Row],[ItemID A]],Katalog!$C$3:$C$12,0))*cadangan3[[#This Row],[Qty A]]</f>
        <v>700000</v>
      </c>
      <c r="L622" s="36">
        <f>IFERROR(cadangan3[[#This Row],[Profit A]]-(cadangan3[[#This Row],[Profit A]]*cadangan3[[#This Row],[Diskon]]),K622)</f>
        <v>595000</v>
      </c>
      <c r="N622" t="str">
        <f>IFERROR(INDEX(Katalog!$A$3:$A$12,MATCH(cadangan3[[#This Row],[ItemID B]],Katalog!$C$3:$C$12,0)),"-")</f>
        <v>-</v>
      </c>
      <c r="O622" t="str">
        <f>IFERROR(INDEX(Katalog!$B$3:$B$12,MATCH(cadangan3[[#This Row],[ItemID B]],Katalog!$C$3:$C$12,0)),"-")</f>
        <v>-</v>
      </c>
      <c r="R622" s="36">
        <f>IFERROR(INDEX(Katalog!$D$3:$D$12,MATCH(cadangan3[[#This Row],[ItemID B]],Katalog!$C$3:$C$12,0))*cadangan3[[#This Row],[Qty B]],0)</f>
        <v>0</v>
      </c>
      <c r="S622" s="36">
        <f>IFERROR(INDEX(Katalog!$D$3:$D$12,MATCH(cadangan3[[#This Row],[Item B]],Katalog!$B$3:$B$12,0))*cadangan3[[#This Row],[Qty B]],0)</f>
        <v>0</v>
      </c>
      <c r="T622" s="36">
        <f>IFERROR(cadangan3[[#This Row],[Harga Asli B]]-(cadangan3[[#This Row],[Harga Asli B]]*cadangan3[[#This Row],[Diskon]]),cadangan3[[#This Row],[Harga Asli B]])</f>
        <v>0</v>
      </c>
      <c r="U622" s="36">
        <f>IFERROR(INDEX(Katalog!$F$3:$F$12,MATCH(cadangan3[[#This Row],[ItemID B]],Katalog!$C$3:$C$12,0))*cadangan3[[#This Row],[Qty B]],0)</f>
        <v>0</v>
      </c>
      <c r="V622" s="36">
        <f>IFERROR(cadangan3[[#This Row],[Profit B]]-(cadangan3[[#This Row],[Profit B]]*cadangan3[[#This Row],[Diskon]]),U622)</f>
        <v>0</v>
      </c>
      <c r="X622" t="str">
        <f>IFERROR(INDEX(Katalog!$A$3:$A$12,MATCH(cadangan3[[#This Row],[ItemID C]],Katalog!$C$3:$C$12,0)),"-")</f>
        <v>-</v>
      </c>
      <c r="Y622" t="str">
        <f>IFERROR(INDEX(Katalog!$B$3:$B$12,MATCH(cadangan3[[#This Row],[ItemID C]],Katalog!$C$3:$C$12,0)),"-")</f>
        <v>-</v>
      </c>
      <c r="AB622" s="36">
        <f>IFERROR(INDEX(Katalog!$D$3:$D$12,MATCH(cadangan3[[#This Row],[ItemID C]],Katalog!$C$3:$C$12,0))*cadangan3[[#This Row],[Qty C]],0)</f>
        <v>0</v>
      </c>
      <c r="AC622" s="36">
        <f>IFERROR(INDEX(Katalog!$D$3:$D$12,MATCH(cadangan3[[#This Row],[Item C]],Katalog!$B$3:$B$12,0))*cadangan3[[#This Row],[Qty C]],0)</f>
        <v>0</v>
      </c>
      <c r="AD622" s="36">
        <f>IFERROR(cadangan3[[#This Row],[Harga Asli C]]-(cadangan3[[#This Row],[Harga Asli C]]*cadangan3[[#This Row],[Diskon]]),cadangan3[[#This Row],[Harga Asli C]])</f>
        <v>0</v>
      </c>
      <c r="AE622" s="36">
        <f>IFERROR(INDEX(Katalog!$F$3:$F$12,MATCH(cadangan3[[#This Row],[ItemID C]],Katalog!$C$3:$C$12,0))*cadangan3[[#This Row],[Qty C]],0)</f>
        <v>0</v>
      </c>
      <c r="AF622" s="36">
        <f>IFERROR(cadangan3[[#This Row],[Profit C]]-(cadangan3[[#This Row],[Profit C]]*cadangan3[[#This Row],[Diskon]]),cadangan3[[#This Row],[Profit C]])</f>
        <v>0</v>
      </c>
      <c r="AG622" s="21">
        <f>cadangan3[[#This Row],[Qty A]]+cadangan3[[#This Row],[Qty B]]+cadangan3[[#This Row],[Qty C]]</f>
        <v>7</v>
      </c>
      <c r="AH622" s="35">
        <f>cadangan3[[#This Row],[Harga A + Diskon]]+cadangan3[[#This Row],[Harga + Diskon B]]+cadangan3[[#This Row],[Harga + Diskon C]]</f>
        <v>1487500</v>
      </c>
      <c r="AI622" s="35">
        <f>(cadangan3[[#This Row],[Profit A]]+cadangan3[[#This Row],[Profit B]]+cadangan3[[#This Row],[Profit C]])</f>
        <v>700000</v>
      </c>
      <c r="AJ622" s="35">
        <f>cadangan3[[#This Row],[Provit A + Diskon]]+cadangan3[[#This Row],[Provit B + Diskon]]+cadangan3[[#This Row],[Provit C + Diskon]]</f>
        <v>595000</v>
      </c>
      <c r="AK622" s="23" t="s">
        <v>13</v>
      </c>
      <c r="AL622" s="37">
        <f>IFERROR(INDEX('Kode Diskon'!$D$3:$D$9,MATCH(cadangan3[[#This Row],[Kode diskon]],'Kode Diskon'!$C$3:$C$9,0)),"-")</f>
        <v>0.15</v>
      </c>
      <c r="AM622" s="23" t="s">
        <v>29</v>
      </c>
      <c r="AN622" s="23" t="s">
        <v>7</v>
      </c>
      <c r="AO622" s="23" t="s">
        <v>75</v>
      </c>
      <c r="AP622" s="24">
        <v>45021</v>
      </c>
      <c r="AQ622" s="23" t="str">
        <f>TEXT(cadangan3[[#This Row],[Tanggal terjual]],"dddd")</f>
        <v>Wednesday</v>
      </c>
    </row>
    <row r="623" spans="1:43" x14ac:dyDescent="0.2">
      <c r="A623" s="20">
        <v>622</v>
      </c>
      <c r="B623" s="21" t="str">
        <f>_xlfn.CONCAT("ORD-",INDEX(Helper!$B$2:$B$5,MATCH(cadangan3[[#This Row],[Marketplace]],Helper!$A$2:$A$5,0)),TEXT(cadangan3[[#This Row],[No]],"0000"),"-",TEXT(cadangan3[[#This Row],[Tanggal terjual]],"dd/mm/yy"))</f>
        <v>ORD-BL0622-25/04/23</v>
      </c>
      <c r="C623" t="s">
        <v>67</v>
      </c>
      <c r="D623" t="str">
        <f>IFERROR(INDEX(Katalog!$A$3:$A$12,MATCH(cadangan3[[#This Row],[ItemID A]],Katalog!$C$3:$C$12,0)),"-")</f>
        <v>Sepatu Wanita</v>
      </c>
      <c r="E623" t="str">
        <f>IFERROR(INDEX(Katalog!$B$3:$B$12,MATCH(cadangan3[[#This Row],[ItemID A]],Katalog!$C$3:$C$12,0)),"-")</f>
        <v>Flat Shoes</v>
      </c>
      <c r="F623">
        <v>3</v>
      </c>
      <c r="G623">
        <v>4</v>
      </c>
      <c r="H623" s="36">
        <f>IFERROR(INDEX(Katalog!$D$3:$D$12,MATCH(cadangan3[[#This Row],[ItemID A]],Katalog!$C$3:$C$12,0))*cadangan3[[#This Row],[Qty A]],0)</f>
        <v>750000</v>
      </c>
      <c r="I623" s="36">
        <f>IFERROR(INDEX(Katalog!$D$3:$D$12,MATCH(cadangan3[[#This Row],[Item A]],Katalog!$B$3:$B$12,0))*cadangan3[[#This Row],[Qty A]],0)</f>
        <v>750000</v>
      </c>
      <c r="J623" s="36">
        <f>IFERROR(cadangan3[[#This Row],[Harga Asli A]]-(cadangan3[[#This Row],[Harga Asli A]]*cadangan3[[#This Row],[Diskon]]),cadangan3[[#This Row],[Harga Asli A]])</f>
        <v>637500</v>
      </c>
      <c r="K623" s="36">
        <f>INDEX(Katalog!$F$3:$F$12,MATCH(cadangan3[[#This Row],[ItemID A]],Katalog!$C$3:$C$12,0))*cadangan3[[#This Row],[Qty A]]</f>
        <v>300000</v>
      </c>
      <c r="L623" s="36">
        <f>IFERROR(cadangan3[[#This Row],[Profit A]]-(cadangan3[[#This Row],[Profit A]]*cadangan3[[#This Row],[Diskon]]),K623)</f>
        <v>255000</v>
      </c>
      <c r="M623" t="s">
        <v>64</v>
      </c>
      <c r="N623" t="str">
        <f>IFERROR(INDEX(Katalog!$A$3:$A$12,MATCH(cadangan3[[#This Row],[ItemID B]],Katalog!$C$3:$C$12,0)),"-")</f>
        <v>Pakaian Unisex</v>
      </c>
      <c r="O623" t="str">
        <f>IFERROR(INDEX(Katalog!$B$3:$B$12,MATCH(cadangan3[[#This Row],[ItemID B]],Katalog!$C$3:$C$12,0)),"-")</f>
        <v>Jaket Hoodie</v>
      </c>
      <c r="P623">
        <v>1</v>
      </c>
      <c r="Q623">
        <v>1</v>
      </c>
      <c r="R623" s="36">
        <f>IFERROR(INDEX(Katalog!$D$3:$D$12,MATCH(cadangan3[[#This Row],[ItemID B]],Katalog!$C$3:$C$12,0))*cadangan3[[#This Row],[Qty B]],0)</f>
        <v>350000</v>
      </c>
      <c r="S623" s="36">
        <f>IFERROR(INDEX(Katalog!$D$3:$D$12,MATCH(cadangan3[[#This Row],[Item B]],Katalog!$B$3:$B$12,0))*cadangan3[[#This Row],[Qty B]],0)</f>
        <v>350000</v>
      </c>
      <c r="T623" s="36">
        <f>IFERROR(cadangan3[[#This Row],[Harga Asli B]]-(cadangan3[[#This Row],[Harga Asli B]]*cadangan3[[#This Row],[Diskon]]),cadangan3[[#This Row],[Harga Asli B]])</f>
        <v>297500</v>
      </c>
      <c r="U623" s="36">
        <f>IFERROR(INDEX(Katalog!$F$3:$F$12,MATCH(cadangan3[[#This Row],[ItemID B]],Katalog!$C$3:$C$12,0))*cadangan3[[#This Row],[Qty B]],0)</f>
        <v>130000</v>
      </c>
      <c r="V623" s="36">
        <f>IFERROR(cadangan3[[#This Row],[Profit B]]-(cadangan3[[#This Row],[Profit B]]*cadangan3[[#This Row],[Diskon]]),U623)</f>
        <v>110500</v>
      </c>
      <c r="X623" t="str">
        <f>IFERROR(INDEX(Katalog!$A$3:$A$12,MATCH(cadangan3[[#This Row],[ItemID C]],Katalog!$C$3:$C$12,0)),"-")</f>
        <v>-</v>
      </c>
      <c r="Y623" t="str">
        <f>IFERROR(INDEX(Katalog!$B$3:$B$12,MATCH(cadangan3[[#This Row],[ItemID C]],Katalog!$C$3:$C$12,0)),"-")</f>
        <v>-</v>
      </c>
      <c r="AB623" s="36">
        <f>IFERROR(INDEX(Katalog!$D$3:$D$12,MATCH(cadangan3[[#This Row],[ItemID C]],Katalog!$C$3:$C$12,0))*cadangan3[[#This Row],[Qty C]],0)</f>
        <v>0</v>
      </c>
      <c r="AC623" s="36">
        <f>IFERROR(INDEX(Katalog!$D$3:$D$12,MATCH(cadangan3[[#This Row],[Item C]],Katalog!$B$3:$B$12,0))*cadangan3[[#This Row],[Qty C]],0)</f>
        <v>0</v>
      </c>
      <c r="AD623" s="36">
        <f>IFERROR(cadangan3[[#This Row],[Harga Asli C]]-(cadangan3[[#This Row],[Harga Asli C]]*cadangan3[[#This Row],[Diskon]]),cadangan3[[#This Row],[Harga Asli C]])</f>
        <v>0</v>
      </c>
      <c r="AE623" s="36">
        <f>IFERROR(INDEX(Katalog!$F$3:$F$12,MATCH(cadangan3[[#This Row],[ItemID C]],Katalog!$C$3:$C$12,0))*cadangan3[[#This Row],[Qty C]],0)</f>
        <v>0</v>
      </c>
      <c r="AF623" s="36">
        <f>IFERROR(cadangan3[[#This Row],[Profit C]]-(cadangan3[[#This Row],[Profit C]]*cadangan3[[#This Row],[Diskon]]),cadangan3[[#This Row],[Profit C]])</f>
        <v>0</v>
      </c>
      <c r="AG623" s="21">
        <f>cadangan3[[#This Row],[Qty A]]+cadangan3[[#This Row],[Qty B]]+cadangan3[[#This Row],[Qty C]]</f>
        <v>4</v>
      </c>
      <c r="AH623" s="35">
        <f>cadangan3[[#This Row],[Harga A + Diskon]]+cadangan3[[#This Row],[Harga + Diskon B]]+cadangan3[[#This Row],[Harga + Diskon C]]</f>
        <v>935000</v>
      </c>
      <c r="AI623" s="35">
        <f>(cadangan3[[#This Row],[Profit A]]+cadangan3[[#This Row],[Profit B]]+cadangan3[[#This Row],[Profit C]])</f>
        <v>430000</v>
      </c>
      <c r="AJ623" s="35">
        <f>cadangan3[[#This Row],[Provit A + Diskon]]+cadangan3[[#This Row],[Provit B + Diskon]]+cadangan3[[#This Row],[Provit C + Diskon]]</f>
        <v>365500</v>
      </c>
      <c r="AK623" s="23" t="s">
        <v>32</v>
      </c>
      <c r="AL623" s="37">
        <f>IFERROR(INDEX('Kode Diskon'!$D$3:$D$9,MATCH(cadangan3[[#This Row],[Kode diskon]],'Kode Diskon'!$C$3:$C$9,0)),"-")</f>
        <v>0.15</v>
      </c>
      <c r="AM623" s="23" t="s">
        <v>9</v>
      </c>
      <c r="AN623" s="23" t="s">
        <v>12</v>
      </c>
      <c r="AO623" s="23" t="s">
        <v>77</v>
      </c>
      <c r="AP623" s="24">
        <v>45041</v>
      </c>
      <c r="AQ623" s="23" t="str">
        <f>TEXT(cadangan3[[#This Row],[Tanggal terjual]],"dddd")</f>
        <v>Tuesday</v>
      </c>
    </row>
    <row r="624" spans="1:43" x14ac:dyDescent="0.2">
      <c r="A624" s="20">
        <v>623</v>
      </c>
      <c r="B624" s="21" t="str">
        <f>_xlfn.CONCAT("ORD-",INDEX(Helper!$B$2:$B$5,MATCH(cadangan3[[#This Row],[Marketplace]],Helper!$A$2:$A$5,0)),TEXT(cadangan3[[#This Row],[No]],"0000"),"-",TEXT(cadangan3[[#This Row],[Tanggal terjual]],"dd/mm/yy"))</f>
        <v>ORD-SP0623-03/04/23</v>
      </c>
      <c r="C624" t="s">
        <v>60</v>
      </c>
      <c r="D624" t="str">
        <f>IFERROR(INDEX(Katalog!$A$3:$A$12,MATCH(cadangan3[[#This Row],[ItemID A]],Katalog!$C$3:$C$12,0)),"-")</f>
        <v>Pakaian Wanita</v>
      </c>
      <c r="E624" t="str">
        <f>IFERROR(INDEX(Katalog!$B$3:$B$12,MATCH(cadangan3[[#This Row],[ItemID A]],Katalog!$C$3:$C$12,0)),"-")</f>
        <v>Kaftan</v>
      </c>
      <c r="F624">
        <v>6</v>
      </c>
      <c r="G624">
        <v>1</v>
      </c>
      <c r="H624" s="36">
        <f>IFERROR(INDEX(Katalog!$D$3:$D$12,MATCH(cadangan3[[#This Row],[ItemID A]],Katalog!$C$3:$C$12,0))*cadangan3[[#This Row],[Qty A]],0)</f>
        <v>1500000</v>
      </c>
      <c r="I624" s="36">
        <f>IFERROR(INDEX(Katalog!$D$3:$D$12,MATCH(cadangan3[[#This Row],[Item A]],Katalog!$B$3:$B$12,0))*cadangan3[[#This Row],[Qty A]],0)</f>
        <v>1500000</v>
      </c>
      <c r="J624" s="36">
        <f>IFERROR(cadangan3[[#This Row],[Harga Asli A]]-(cadangan3[[#This Row],[Harga Asli A]]*cadangan3[[#This Row],[Diskon]]),cadangan3[[#This Row],[Harga Asli A]])</f>
        <v>1275000</v>
      </c>
      <c r="K624" s="36">
        <f>INDEX(Katalog!$F$3:$F$12,MATCH(cadangan3[[#This Row],[ItemID A]],Katalog!$C$3:$C$12,0))*cadangan3[[#This Row],[Qty A]]</f>
        <v>600000</v>
      </c>
      <c r="L624" s="36">
        <f>IFERROR(cadangan3[[#This Row],[Profit A]]-(cadangan3[[#This Row],[Profit A]]*cadangan3[[#This Row],[Diskon]]),K624)</f>
        <v>510000</v>
      </c>
      <c r="M624" t="s">
        <v>65</v>
      </c>
      <c r="N624" t="str">
        <f>IFERROR(INDEX(Katalog!$A$3:$A$12,MATCH(cadangan3[[#This Row],[ItemID B]],Katalog!$C$3:$C$12,0)),"-")</f>
        <v>Sepatu Pria</v>
      </c>
      <c r="O624" t="str">
        <f>IFERROR(INDEX(Katalog!$B$3:$B$12,MATCH(cadangan3[[#This Row],[ItemID B]],Katalog!$C$3:$C$12,0)),"-")</f>
        <v>Sneakers</v>
      </c>
      <c r="P624">
        <v>1</v>
      </c>
      <c r="Q624">
        <v>5</v>
      </c>
      <c r="R624" s="36">
        <f>IFERROR(INDEX(Katalog!$D$3:$D$12,MATCH(cadangan3[[#This Row],[ItemID B]],Katalog!$C$3:$C$12,0))*cadangan3[[#This Row],[Qty B]],0)</f>
        <v>500000</v>
      </c>
      <c r="S624" s="36">
        <f>IFERROR(INDEX(Katalog!$D$3:$D$12,MATCH(cadangan3[[#This Row],[Item B]],Katalog!$B$3:$B$12,0))*cadangan3[[#This Row],[Qty B]],0)</f>
        <v>500000</v>
      </c>
      <c r="T624" s="36">
        <f>IFERROR(cadangan3[[#This Row],[Harga Asli B]]-(cadangan3[[#This Row],[Harga Asli B]]*cadangan3[[#This Row],[Diskon]]),cadangan3[[#This Row],[Harga Asli B]])</f>
        <v>425000</v>
      </c>
      <c r="U624" s="36">
        <f>IFERROR(INDEX(Katalog!$F$3:$F$12,MATCH(cadangan3[[#This Row],[ItemID B]],Katalog!$C$3:$C$12,0))*cadangan3[[#This Row],[Qty B]],0)</f>
        <v>200000</v>
      </c>
      <c r="V624" s="36">
        <f>IFERROR(cadangan3[[#This Row],[Profit B]]-(cadangan3[[#This Row],[Profit B]]*cadangan3[[#This Row],[Diskon]]),U624)</f>
        <v>170000</v>
      </c>
      <c r="X624" t="str">
        <f>IFERROR(INDEX(Katalog!$A$3:$A$12,MATCH(cadangan3[[#This Row],[ItemID C]],Katalog!$C$3:$C$12,0)),"-")</f>
        <v>-</v>
      </c>
      <c r="Y624" t="str">
        <f>IFERROR(INDEX(Katalog!$B$3:$B$12,MATCH(cadangan3[[#This Row],[ItemID C]],Katalog!$C$3:$C$12,0)),"-")</f>
        <v>-</v>
      </c>
      <c r="AB624" s="36">
        <f>IFERROR(INDEX(Katalog!$D$3:$D$12,MATCH(cadangan3[[#This Row],[ItemID C]],Katalog!$C$3:$C$12,0))*cadangan3[[#This Row],[Qty C]],0)</f>
        <v>0</v>
      </c>
      <c r="AC624" s="36">
        <f>IFERROR(INDEX(Katalog!$D$3:$D$12,MATCH(cadangan3[[#This Row],[Item C]],Katalog!$B$3:$B$12,0))*cadangan3[[#This Row],[Qty C]],0)</f>
        <v>0</v>
      </c>
      <c r="AD624" s="36">
        <f>IFERROR(cadangan3[[#This Row],[Harga Asli C]]-(cadangan3[[#This Row],[Harga Asli C]]*cadangan3[[#This Row],[Diskon]]),cadangan3[[#This Row],[Harga Asli C]])</f>
        <v>0</v>
      </c>
      <c r="AE624" s="36">
        <f>IFERROR(INDEX(Katalog!$F$3:$F$12,MATCH(cadangan3[[#This Row],[ItemID C]],Katalog!$C$3:$C$12,0))*cadangan3[[#This Row],[Qty C]],0)</f>
        <v>0</v>
      </c>
      <c r="AF624" s="36">
        <f>IFERROR(cadangan3[[#This Row],[Profit C]]-(cadangan3[[#This Row],[Profit C]]*cadangan3[[#This Row],[Diskon]]),cadangan3[[#This Row],[Profit C]])</f>
        <v>0</v>
      </c>
      <c r="AG624" s="21">
        <f>cadangan3[[#This Row],[Qty A]]+cadangan3[[#This Row],[Qty B]]+cadangan3[[#This Row],[Qty C]]</f>
        <v>7</v>
      </c>
      <c r="AH624" s="35">
        <f>cadangan3[[#This Row],[Harga A + Diskon]]+cadangan3[[#This Row],[Harga + Diskon B]]+cadangan3[[#This Row],[Harga + Diskon C]]</f>
        <v>1700000</v>
      </c>
      <c r="AI624" s="35">
        <f>(cadangan3[[#This Row],[Profit A]]+cadangan3[[#This Row],[Profit B]]+cadangan3[[#This Row],[Profit C]])</f>
        <v>800000</v>
      </c>
      <c r="AJ624" s="35">
        <f>cadangan3[[#This Row],[Provit A + Diskon]]+cadangan3[[#This Row],[Provit B + Diskon]]+cadangan3[[#This Row],[Provit C + Diskon]]</f>
        <v>680000</v>
      </c>
      <c r="AK624" s="23" t="s">
        <v>13</v>
      </c>
      <c r="AL624" s="37">
        <f>IFERROR(INDEX('Kode Diskon'!$D$3:$D$9,MATCH(cadangan3[[#This Row],[Kode diskon]],'Kode Diskon'!$C$3:$C$9,0)),"-")</f>
        <v>0.15</v>
      </c>
      <c r="AM624" s="23" t="s">
        <v>29</v>
      </c>
      <c r="AN624" s="23" t="s">
        <v>7</v>
      </c>
      <c r="AO624" s="23" t="s">
        <v>80</v>
      </c>
      <c r="AP624" s="24">
        <v>45019</v>
      </c>
      <c r="AQ624" s="23" t="str">
        <f>TEXT(cadangan3[[#This Row],[Tanggal terjual]],"dddd")</f>
        <v>Monday</v>
      </c>
    </row>
    <row r="625" spans="1:43" x14ac:dyDescent="0.2">
      <c r="A625" s="20">
        <v>624</v>
      </c>
      <c r="B625" s="21" t="str">
        <f>_xlfn.CONCAT("ORD-",INDEX(Helper!$B$2:$B$5,MATCH(cadangan3[[#This Row],[Marketplace]],Helper!$A$2:$A$5,0)),TEXT(cadangan3[[#This Row],[No]],"0000"),"-",TEXT(cadangan3[[#This Row],[Tanggal terjual]],"dd/mm/yy"))</f>
        <v>ORD-TK0624-26/04/23</v>
      </c>
      <c r="C625" t="s">
        <v>62</v>
      </c>
      <c r="D625" t="str">
        <f>IFERROR(INDEX(Katalog!$A$3:$A$12,MATCH(cadangan3[[#This Row],[ItemID A]],Katalog!$C$3:$C$12,0)),"-")</f>
        <v>Pakaian Pria</v>
      </c>
      <c r="E625" t="str">
        <f>IFERROR(INDEX(Katalog!$B$3:$B$12,MATCH(cadangan3[[#This Row],[ItemID A]],Katalog!$C$3:$C$12,0)),"-")</f>
        <v>Celana Pendek</v>
      </c>
      <c r="F625">
        <v>2</v>
      </c>
      <c r="G625">
        <v>1</v>
      </c>
      <c r="H625" s="36">
        <f>IFERROR(INDEX(Katalog!$D$3:$D$12,MATCH(cadangan3[[#This Row],[ItemID A]],Katalog!$C$3:$C$12,0))*cadangan3[[#This Row],[Qty A]],0)</f>
        <v>360000</v>
      </c>
      <c r="I625" s="36">
        <f>IFERROR(INDEX(Katalog!$D$3:$D$12,MATCH(cadangan3[[#This Row],[Item A]],Katalog!$B$3:$B$12,0))*cadangan3[[#This Row],[Qty A]],0)</f>
        <v>360000</v>
      </c>
      <c r="J625" s="36">
        <f>IFERROR(cadangan3[[#This Row],[Harga Asli A]]-(cadangan3[[#This Row],[Harga Asli A]]*cadangan3[[#This Row],[Diskon]]),cadangan3[[#This Row],[Harga Asli A]])</f>
        <v>324000</v>
      </c>
      <c r="K625" s="36">
        <f>INDEX(Katalog!$F$3:$F$12,MATCH(cadangan3[[#This Row],[ItemID A]],Katalog!$C$3:$C$12,0))*cadangan3[[#This Row],[Qty A]]</f>
        <v>140000</v>
      </c>
      <c r="L625" s="36">
        <f>IFERROR(cadangan3[[#This Row],[Profit A]]-(cadangan3[[#This Row],[Profit A]]*cadangan3[[#This Row],[Diskon]]),K625)</f>
        <v>126000</v>
      </c>
      <c r="M625" t="s">
        <v>65</v>
      </c>
      <c r="N625" t="str">
        <f>IFERROR(INDEX(Katalog!$A$3:$A$12,MATCH(cadangan3[[#This Row],[ItemID B]],Katalog!$C$3:$C$12,0)),"-")</f>
        <v>Sepatu Pria</v>
      </c>
      <c r="O625" t="str">
        <f>IFERROR(INDEX(Katalog!$B$3:$B$12,MATCH(cadangan3[[#This Row],[ItemID B]],Katalog!$C$3:$C$12,0)),"-")</f>
        <v>Sneakers</v>
      </c>
      <c r="P625">
        <v>3</v>
      </c>
      <c r="Q625">
        <v>2</v>
      </c>
      <c r="R625" s="36">
        <f>IFERROR(INDEX(Katalog!$D$3:$D$12,MATCH(cadangan3[[#This Row],[ItemID B]],Katalog!$C$3:$C$12,0))*cadangan3[[#This Row],[Qty B]],0)</f>
        <v>1500000</v>
      </c>
      <c r="S625" s="36">
        <f>IFERROR(INDEX(Katalog!$D$3:$D$12,MATCH(cadangan3[[#This Row],[Item B]],Katalog!$B$3:$B$12,0))*cadangan3[[#This Row],[Qty B]],0)</f>
        <v>1500000</v>
      </c>
      <c r="T625" s="36">
        <f>IFERROR(cadangan3[[#This Row],[Harga Asli B]]-(cadangan3[[#This Row],[Harga Asli B]]*cadangan3[[#This Row],[Diskon]]),cadangan3[[#This Row],[Harga Asli B]])</f>
        <v>1350000</v>
      </c>
      <c r="U625" s="36">
        <f>IFERROR(INDEX(Katalog!$F$3:$F$12,MATCH(cadangan3[[#This Row],[ItemID B]],Katalog!$C$3:$C$12,0))*cadangan3[[#This Row],[Qty B]],0)</f>
        <v>600000</v>
      </c>
      <c r="V625" s="36">
        <f>IFERROR(cadangan3[[#This Row],[Profit B]]-(cadangan3[[#This Row],[Profit B]]*cadangan3[[#This Row],[Diskon]]),U625)</f>
        <v>540000</v>
      </c>
      <c r="X625" t="str">
        <f>IFERROR(INDEX(Katalog!$A$3:$A$12,MATCH(cadangan3[[#This Row],[ItemID C]],Katalog!$C$3:$C$12,0)),"-")</f>
        <v>-</v>
      </c>
      <c r="Y625" t="str">
        <f>IFERROR(INDEX(Katalog!$B$3:$B$12,MATCH(cadangan3[[#This Row],[ItemID C]],Katalog!$C$3:$C$12,0)),"-")</f>
        <v>-</v>
      </c>
      <c r="AB625" s="36">
        <f>IFERROR(INDEX(Katalog!$D$3:$D$12,MATCH(cadangan3[[#This Row],[ItemID C]],Katalog!$C$3:$C$12,0))*cadangan3[[#This Row],[Qty C]],0)</f>
        <v>0</v>
      </c>
      <c r="AC625" s="36">
        <f>IFERROR(INDEX(Katalog!$D$3:$D$12,MATCH(cadangan3[[#This Row],[Item C]],Katalog!$B$3:$B$12,0))*cadangan3[[#This Row],[Qty C]],0)</f>
        <v>0</v>
      </c>
      <c r="AD625" s="36">
        <f>IFERROR(cadangan3[[#This Row],[Harga Asli C]]-(cadangan3[[#This Row],[Harga Asli C]]*cadangan3[[#This Row],[Diskon]]),cadangan3[[#This Row],[Harga Asli C]])</f>
        <v>0</v>
      </c>
      <c r="AE625" s="36">
        <f>IFERROR(INDEX(Katalog!$F$3:$F$12,MATCH(cadangan3[[#This Row],[ItemID C]],Katalog!$C$3:$C$12,0))*cadangan3[[#This Row],[Qty C]],0)</f>
        <v>0</v>
      </c>
      <c r="AF625" s="36">
        <f>IFERROR(cadangan3[[#This Row],[Profit C]]-(cadangan3[[#This Row],[Profit C]]*cadangan3[[#This Row],[Diskon]]),cadangan3[[#This Row],[Profit C]])</f>
        <v>0</v>
      </c>
      <c r="AG625" s="21">
        <f>cadangan3[[#This Row],[Qty A]]+cadangan3[[#This Row],[Qty B]]+cadangan3[[#This Row],[Qty C]]</f>
        <v>5</v>
      </c>
      <c r="AH625" s="35">
        <f>cadangan3[[#This Row],[Harga A + Diskon]]+cadangan3[[#This Row],[Harga + Diskon B]]+cadangan3[[#This Row],[Harga + Diskon C]]</f>
        <v>1674000</v>
      </c>
      <c r="AI625" s="35">
        <f>(cadangan3[[#This Row],[Profit A]]+cadangan3[[#This Row],[Profit B]]+cadangan3[[#This Row],[Profit C]])</f>
        <v>740000</v>
      </c>
      <c r="AJ625" s="35">
        <f>cadangan3[[#This Row],[Provit A + Diskon]]+cadangan3[[#This Row],[Provit B + Diskon]]+cadangan3[[#This Row],[Provit C + Diskon]]</f>
        <v>666000</v>
      </c>
      <c r="AK625" s="23" t="s">
        <v>31</v>
      </c>
      <c r="AL625" s="37">
        <f>IFERROR(INDEX('Kode Diskon'!$D$3:$D$9,MATCH(cadangan3[[#This Row],[Kode diskon]],'Kode Diskon'!$C$3:$C$9,0)),"-")</f>
        <v>0.1</v>
      </c>
      <c r="AM625" s="23" t="s">
        <v>9</v>
      </c>
      <c r="AN625" s="23" t="s">
        <v>10</v>
      </c>
      <c r="AO625" s="23" t="s">
        <v>80</v>
      </c>
      <c r="AP625" s="24">
        <v>45042</v>
      </c>
      <c r="AQ625" s="23" t="str">
        <f>TEXT(cadangan3[[#This Row],[Tanggal terjual]],"dddd")</f>
        <v>Wednesday</v>
      </c>
    </row>
    <row r="626" spans="1:43" x14ac:dyDescent="0.2">
      <c r="A626" s="20">
        <v>625</v>
      </c>
      <c r="B626" s="21" t="str">
        <f>_xlfn.CONCAT("ORD-",INDEX(Helper!$B$2:$B$5,MATCH(cadangan3[[#This Row],[Marketplace]],Helper!$A$2:$A$5,0)),TEXT(cadangan3[[#This Row],[No]],"0000"),"-",TEXT(cadangan3[[#This Row],[Tanggal terjual]],"dd/mm/yy"))</f>
        <v>ORD-SP0625-03/04/23</v>
      </c>
      <c r="C626" t="s">
        <v>67</v>
      </c>
      <c r="D626" t="str">
        <f>IFERROR(INDEX(Katalog!$A$3:$A$12,MATCH(cadangan3[[#This Row],[ItemID A]],Katalog!$C$3:$C$12,0)),"-")</f>
        <v>Sepatu Wanita</v>
      </c>
      <c r="E626" t="str">
        <f>IFERROR(INDEX(Katalog!$B$3:$B$12,MATCH(cadangan3[[#This Row],[ItemID A]],Katalog!$C$3:$C$12,0)),"-")</f>
        <v>Flat Shoes</v>
      </c>
      <c r="F626">
        <v>3</v>
      </c>
      <c r="G626">
        <v>1</v>
      </c>
      <c r="H626" s="36">
        <f>IFERROR(INDEX(Katalog!$D$3:$D$12,MATCH(cadangan3[[#This Row],[ItemID A]],Katalog!$C$3:$C$12,0))*cadangan3[[#This Row],[Qty A]],0)</f>
        <v>750000</v>
      </c>
      <c r="I626" s="36">
        <f>IFERROR(INDEX(Katalog!$D$3:$D$12,MATCH(cadangan3[[#This Row],[Item A]],Katalog!$B$3:$B$12,0))*cadangan3[[#This Row],[Qty A]],0)</f>
        <v>750000</v>
      </c>
      <c r="J626" s="36">
        <f>IFERROR(cadangan3[[#This Row],[Harga Asli A]]-(cadangan3[[#This Row],[Harga Asli A]]*cadangan3[[#This Row],[Diskon]]),cadangan3[[#This Row],[Harga Asli A]])</f>
        <v>637500</v>
      </c>
      <c r="K626" s="36">
        <f>INDEX(Katalog!$F$3:$F$12,MATCH(cadangan3[[#This Row],[ItemID A]],Katalog!$C$3:$C$12,0))*cadangan3[[#This Row],[Qty A]]</f>
        <v>300000</v>
      </c>
      <c r="L626" s="36">
        <f>IFERROR(cadangan3[[#This Row],[Profit A]]-(cadangan3[[#This Row],[Profit A]]*cadangan3[[#This Row],[Diskon]]),K626)</f>
        <v>255000</v>
      </c>
      <c r="M626" t="s">
        <v>60</v>
      </c>
      <c r="N626" t="str">
        <f>IFERROR(INDEX(Katalog!$A$3:$A$12,MATCH(cadangan3[[#This Row],[ItemID B]],Katalog!$C$3:$C$12,0)),"-")</f>
        <v>Pakaian Wanita</v>
      </c>
      <c r="O626" t="str">
        <f>IFERROR(INDEX(Katalog!$B$3:$B$12,MATCH(cadangan3[[#This Row],[ItemID B]],Katalog!$C$3:$C$12,0)),"-")</f>
        <v>Kaftan</v>
      </c>
      <c r="P626">
        <v>1</v>
      </c>
      <c r="Q626">
        <v>4</v>
      </c>
      <c r="R626" s="36">
        <f>IFERROR(INDEX(Katalog!$D$3:$D$12,MATCH(cadangan3[[#This Row],[ItemID B]],Katalog!$C$3:$C$12,0))*cadangan3[[#This Row],[Qty B]],0)</f>
        <v>250000</v>
      </c>
      <c r="S626" s="36">
        <f>IFERROR(INDEX(Katalog!$D$3:$D$12,MATCH(cadangan3[[#This Row],[Item B]],Katalog!$B$3:$B$12,0))*cadangan3[[#This Row],[Qty B]],0)</f>
        <v>250000</v>
      </c>
      <c r="T626" s="36">
        <f>IFERROR(cadangan3[[#This Row],[Harga Asli B]]-(cadangan3[[#This Row],[Harga Asli B]]*cadangan3[[#This Row],[Diskon]]),cadangan3[[#This Row],[Harga Asli B]])</f>
        <v>212500</v>
      </c>
      <c r="U626" s="36">
        <f>IFERROR(INDEX(Katalog!$F$3:$F$12,MATCH(cadangan3[[#This Row],[ItemID B]],Katalog!$C$3:$C$12,0))*cadangan3[[#This Row],[Qty B]],0)</f>
        <v>100000</v>
      </c>
      <c r="V626" s="36">
        <f>IFERROR(cadangan3[[#This Row],[Profit B]]-(cadangan3[[#This Row],[Profit B]]*cadangan3[[#This Row],[Diskon]]),U626)</f>
        <v>85000</v>
      </c>
      <c r="W626" t="s">
        <v>64</v>
      </c>
      <c r="X626" t="str">
        <f>IFERROR(INDEX(Katalog!$A$3:$A$12,MATCH(cadangan3[[#This Row],[ItemID C]],Katalog!$C$3:$C$12,0)),"-")</f>
        <v>Pakaian Unisex</v>
      </c>
      <c r="Y626" t="str">
        <f>IFERROR(INDEX(Katalog!$B$3:$B$12,MATCH(cadangan3[[#This Row],[ItemID C]],Katalog!$C$3:$C$12,0)),"-")</f>
        <v>Jaket Hoodie</v>
      </c>
      <c r="Z626">
        <v>1</v>
      </c>
      <c r="AA626">
        <v>2</v>
      </c>
      <c r="AB626" s="36">
        <f>IFERROR(INDEX(Katalog!$D$3:$D$12,MATCH(cadangan3[[#This Row],[ItemID C]],Katalog!$C$3:$C$12,0))*cadangan3[[#This Row],[Qty C]],0)</f>
        <v>350000</v>
      </c>
      <c r="AC626" s="36">
        <f>IFERROR(INDEX(Katalog!$D$3:$D$12,MATCH(cadangan3[[#This Row],[Item C]],Katalog!$B$3:$B$12,0))*cadangan3[[#This Row],[Qty C]],0)</f>
        <v>350000</v>
      </c>
      <c r="AD626" s="36">
        <f>IFERROR(cadangan3[[#This Row],[Harga Asli C]]-(cadangan3[[#This Row],[Harga Asli C]]*cadangan3[[#This Row],[Diskon]]),cadangan3[[#This Row],[Harga Asli C]])</f>
        <v>297500</v>
      </c>
      <c r="AE626" s="36">
        <f>IFERROR(INDEX(Katalog!$F$3:$F$12,MATCH(cadangan3[[#This Row],[ItemID C]],Katalog!$C$3:$C$12,0))*cadangan3[[#This Row],[Qty C]],0)</f>
        <v>130000</v>
      </c>
      <c r="AF626" s="36">
        <f>IFERROR(cadangan3[[#This Row],[Profit C]]-(cadangan3[[#This Row],[Profit C]]*cadangan3[[#This Row],[Diskon]]),cadangan3[[#This Row],[Profit C]])</f>
        <v>110500</v>
      </c>
      <c r="AG626" s="21">
        <f>cadangan3[[#This Row],[Qty A]]+cadangan3[[#This Row],[Qty B]]+cadangan3[[#This Row],[Qty C]]</f>
        <v>5</v>
      </c>
      <c r="AH626" s="35">
        <f>cadangan3[[#This Row],[Harga A + Diskon]]+cadangan3[[#This Row],[Harga + Diskon B]]+cadangan3[[#This Row],[Harga + Diskon C]]</f>
        <v>1147500</v>
      </c>
      <c r="AI626" s="35">
        <f>(cadangan3[[#This Row],[Profit A]]+cadangan3[[#This Row],[Profit B]]+cadangan3[[#This Row],[Profit C]])</f>
        <v>530000</v>
      </c>
      <c r="AJ626" s="35">
        <f>cadangan3[[#This Row],[Provit A + Diskon]]+cadangan3[[#This Row],[Provit B + Diskon]]+cadangan3[[#This Row],[Provit C + Diskon]]</f>
        <v>450500</v>
      </c>
      <c r="AK626" s="23" t="s">
        <v>13</v>
      </c>
      <c r="AL626" s="37">
        <f>IFERROR(INDEX('Kode Diskon'!$D$3:$D$9,MATCH(cadangan3[[#This Row],[Kode diskon]],'Kode Diskon'!$C$3:$C$9,0)),"-")</f>
        <v>0.15</v>
      </c>
      <c r="AM626" s="23" t="s">
        <v>29</v>
      </c>
      <c r="AN626" s="23" t="s">
        <v>7</v>
      </c>
      <c r="AO626" s="23" t="s">
        <v>76</v>
      </c>
      <c r="AP626" s="24">
        <v>45019</v>
      </c>
      <c r="AQ626" s="23" t="str">
        <f>TEXT(cadangan3[[#This Row],[Tanggal terjual]],"dddd")</f>
        <v>Monday</v>
      </c>
    </row>
    <row r="627" spans="1:43" x14ac:dyDescent="0.2">
      <c r="A627" s="20">
        <v>626</v>
      </c>
      <c r="B627" s="21" t="str">
        <f>_xlfn.CONCAT("ORD-",INDEX(Helper!$B$2:$B$5,MATCH(cadangan3[[#This Row],[Marketplace]],Helper!$A$2:$A$5,0)),TEXT(cadangan3[[#This Row],[No]],"0000"),"-",TEXT(cadangan3[[#This Row],[Tanggal terjual]],"dd/mm/yy"))</f>
        <v>ORD-TK0626-01/04/23</v>
      </c>
      <c r="C627" t="s">
        <v>64</v>
      </c>
      <c r="D627" t="str">
        <f>IFERROR(INDEX(Katalog!$A$3:$A$12,MATCH(cadangan3[[#This Row],[ItemID A]],Katalog!$C$3:$C$12,0)),"-")</f>
        <v>Pakaian Unisex</v>
      </c>
      <c r="E627" t="str">
        <f>IFERROR(INDEX(Katalog!$B$3:$B$12,MATCH(cadangan3[[#This Row],[ItemID A]],Katalog!$C$3:$C$12,0)),"-")</f>
        <v>Jaket Hoodie</v>
      </c>
      <c r="F627">
        <v>1</v>
      </c>
      <c r="G627">
        <v>5</v>
      </c>
      <c r="H627" s="36">
        <f>IFERROR(INDEX(Katalog!$D$3:$D$12,MATCH(cadangan3[[#This Row],[ItemID A]],Katalog!$C$3:$C$12,0))*cadangan3[[#This Row],[Qty A]],0)</f>
        <v>350000</v>
      </c>
      <c r="I627" s="36">
        <f>IFERROR(INDEX(Katalog!$D$3:$D$12,MATCH(cadangan3[[#This Row],[Item A]],Katalog!$B$3:$B$12,0))*cadangan3[[#This Row],[Qty A]],0)</f>
        <v>350000</v>
      </c>
      <c r="J627" s="36">
        <f>IFERROR(cadangan3[[#This Row],[Harga Asli A]]-(cadangan3[[#This Row],[Harga Asli A]]*cadangan3[[#This Row],[Diskon]]),cadangan3[[#This Row],[Harga Asli A]])</f>
        <v>315000</v>
      </c>
      <c r="K627" s="36">
        <f>INDEX(Katalog!$F$3:$F$12,MATCH(cadangan3[[#This Row],[ItemID A]],Katalog!$C$3:$C$12,0))*cadangan3[[#This Row],[Qty A]]</f>
        <v>130000</v>
      </c>
      <c r="L627" s="36">
        <f>IFERROR(cadangan3[[#This Row],[Profit A]]-(cadangan3[[#This Row],[Profit A]]*cadangan3[[#This Row],[Diskon]]),K627)</f>
        <v>117000</v>
      </c>
      <c r="M627" t="s">
        <v>67</v>
      </c>
      <c r="N627" t="str">
        <f>IFERROR(INDEX(Katalog!$A$3:$A$12,MATCH(cadangan3[[#This Row],[ItemID B]],Katalog!$C$3:$C$12,0)),"-")</f>
        <v>Sepatu Wanita</v>
      </c>
      <c r="O627" t="str">
        <f>IFERROR(INDEX(Katalog!$B$3:$B$12,MATCH(cadangan3[[#This Row],[ItemID B]],Katalog!$C$3:$C$12,0)),"-")</f>
        <v>Flat Shoes</v>
      </c>
      <c r="P627">
        <v>1</v>
      </c>
      <c r="Q627">
        <v>1</v>
      </c>
      <c r="R627" s="36">
        <f>IFERROR(INDEX(Katalog!$D$3:$D$12,MATCH(cadangan3[[#This Row],[ItemID B]],Katalog!$C$3:$C$12,0))*cadangan3[[#This Row],[Qty B]],0)</f>
        <v>250000</v>
      </c>
      <c r="S627" s="36">
        <f>IFERROR(INDEX(Katalog!$D$3:$D$12,MATCH(cadangan3[[#This Row],[Item B]],Katalog!$B$3:$B$12,0))*cadangan3[[#This Row],[Qty B]],0)</f>
        <v>250000</v>
      </c>
      <c r="T627" s="36">
        <f>IFERROR(cadangan3[[#This Row],[Harga Asli B]]-(cadangan3[[#This Row],[Harga Asli B]]*cadangan3[[#This Row],[Diskon]]),cadangan3[[#This Row],[Harga Asli B]])</f>
        <v>225000</v>
      </c>
      <c r="U627" s="36">
        <f>IFERROR(INDEX(Katalog!$F$3:$F$12,MATCH(cadangan3[[#This Row],[ItemID B]],Katalog!$C$3:$C$12,0))*cadangan3[[#This Row],[Qty B]],0)</f>
        <v>100000</v>
      </c>
      <c r="V627" s="36">
        <f>IFERROR(cadangan3[[#This Row],[Profit B]]-(cadangan3[[#This Row],[Profit B]]*cadangan3[[#This Row],[Diskon]]),U627)</f>
        <v>90000</v>
      </c>
      <c r="W627" t="s">
        <v>63</v>
      </c>
      <c r="X627" t="str">
        <f>IFERROR(INDEX(Katalog!$A$3:$A$12,MATCH(cadangan3[[#This Row],[ItemID C]],Katalog!$C$3:$C$12,0)),"-")</f>
        <v>Pakaian Pria</v>
      </c>
      <c r="Y627" t="str">
        <f>IFERROR(INDEX(Katalog!$B$3:$B$12,MATCH(cadangan3[[#This Row],[ItemID C]],Katalog!$C$3:$C$12,0)),"-")</f>
        <v>Jaket Jeans</v>
      </c>
      <c r="Z627">
        <v>2</v>
      </c>
      <c r="AA627">
        <v>1</v>
      </c>
      <c r="AB627" s="36">
        <f>IFERROR(INDEX(Katalog!$D$3:$D$12,MATCH(cadangan3[[#This Row],[ItemID C]],Katalog!$C$3:$C$12,0))*cadangan3[[#This Row],[Qty C]],0)</f>
        <v>800000</v>
      </c>
      <c r="AC627" s="36">
        <f>IFERROR(INDEX(Katalog!$D$3:$D$12,MATCH(cadangan3[[#This Row],[Item C]],Katalog!$B$3:$B$12,0))*cadangan3[[#This Row],[Qty C]],0)</f>
        <v>800000</v>
      </c>
      <c r="AD627" s="36">
        <f>IFERROR(cadangan3[[#This Row],[Harga Asli C]]-(cadangan3[[#This Row],[Harga Asli C]]*cadangan3[[#This Row],[Diskon]]),cadangan3[[#This Row],[Harga Asli C]])</f>
        <v>720000</v>
      </c>
      <c r="AE627" s="36">
        <f>IFERROR(INDEX(Katalog!$F$3:$F$12,MATCH(cadangan3[[#This Row],[ItemID C]],Katalog!$C$3:$C$12,0))*cadangan3[[#This Row],[Qty C]],0)</f>
        <v>300000</v>
      </c>
      <c r="AF627" s="36">
        <f>IFERROR(cadangan3[[#This Row],[Profit C]]-(cadangan3[[#This Row],[Profit C]]*cadangan3[[#This Row],[Diskon]]),cadangan3[[#This Row],[Profit C]])</f>
        <v>270000</v>
      </c>
      <c r="AG627" s="21">
        <f>cadangan3[[#This Row],[Qty A]]+cadangan3[[#This Row],[Qty B]]+cadangan3[[#This Row],[Qty C]]</f>
        <v>4</v>
      </c>
      <c r="AH627" s="35">
        <f>cadangan3[[#This Row],[Harga A + Diskon]]+cadangan3[[#This Row],[Harga + Diskon B]]+cadangan3[[#This Row],[Harga + Diskon C]]</f>
        <v>1260000</v>
      </c>
      <c r="AI627" s="35">
        <f>(cadangan3[[#This Row],[Profit A]]+cadangan3[[#This Row],[Profit B]]+cadangan3[[#This Row],[Profit C]])</f>
        <v>530000</v>
      </c>
      <c r="AJ627" s="35">
        <f>cadangan3[[#This Row],[Provit A + Diskon]]+cadangan3[[#This Row],[Provit B + Diskon]]+cadangan3[[#This Row],[Provit C + Diskon]]</f>
        <v>477000</v>
      </c>
      <c r="AK627" s="23" t="s">
        <v>30</v>
      </c>
      <c r="AL627" s="37">
        <f>IFERROR(INDEX('Kode Diskon'!$D$3:$D$9,MATCH(cadangan3[[#This Row],[Kode diskon]],'Kode Diskon'!$C$3:$C$9,0)),"-")</f>
        <v>0.1</v>
      </c>
      <c r="AM627" s="23" t="s">
        <v>29</v>
      </c>
      <c r="AN627" s="23" t="s">
        <v>10</v>
      </c>
      <c r="AO627" s="23" t="s">
        <v>76</v>
      </c>
      <c r="AP627" s="24">
        <v>45017</v>
      </c>
      <c r="AQ627" s="23" t="str">
        <f>TEXT(cadangan3[[#This Row],[Tanggal terjual]],"dddd")</f>
        <v>Saturday</v>
      </c>
    </row>
    <row r="628" spans="1:43" x14ac:dyDescent="0.2">
      <c r="A628" s="20">
        <v>627</v>
      </c>
      <c r="B628" s="21" t="str">
        <f>_xlfn.CONCAT("ORD-",INDEX(Helper!$B$2:$B$5,MATCH(cadangan3[[#This Row],[Marketplace]],Helper!$A$2:$A$5,0)),TEXT(cadangan3[[#This Row],[No]],"0000"),"-",TEXT(cadangan3[[#This Row],[Tanggal terjual]],"dd/mm/yy"))</f>
        <v>ORD-SP0627-21/04/23</v>
      </c>
      <c r="C628" t="s">
        <v>66</v>
      </c>
      <c r="D628" t="str">
        <f>IFERROR(INDEX(Katalog!$A$3:$A$12,MATCH(cadangan3[[#This Row],[ItemID A]],Katalog!$C$3:$C$12,0)),"-")</f>
        <v>Sepatu Pria</v>
      </c>
      <c r="E628" t="str">
        <f>IFERROR(INDEX(Katalog!$B$3:$B$12,MATCH(cadangan3[[#This Row],[ItemID A]],Katalog!$C$3:$C$12,0)),"-")</f>
        <v>Sandal Slip On</v>
      </c>
      <c r="F628">
        <v>7</v>
      </c>
      <c r="G628">
        <v>5</v>
      </c>
      <c r="H628" s="36">
        <f>IFERROR(INDEX(Katalog!$D$3:$D$12,MATCH(cadangan3[[#This Row],[ItemID A]],Katalog!$C$3:$C$12,0))*cadangan3[[#This Row],[Qty A]],0)</f>
        <v>1050000</v>
      </c>
      <c r="I628" s="36">
        <f>IFERROR(INDEX(Katalog!$D$3:$D$12,MATCH(cadangan3[[#This Row],[Item A]],Katalog!$B$3:$B$12,0))*cadangan3[[#This Row],[Qty A]],0)</f>
        <v>1050000</v>
      </c>
      <c r="J628" s="36">
        <f>IFERROR(cadangan3[[#This Row],[Harga Asli A]]-(cadangan3[[#This Row],[Harga Asli A]]*cadangan3[[#This Row],[Diskon]]),cadangan3[[#This Row],[Harga Asli A]])</f>
        <v>840000</v>
      </c>
      <c r="K628" s="36">
        <f>INDEX(Katalog!$F$3:$F$12,MATCH(cadangan3[[#This Row],[ItemID A]],Katalog!$C$3:$C$12,0))*cadangan3[[#This Row],[Qty A]]</f>
        <v>420000</v>
      </c>
      <c r="L628" s="36">
        <f>IFERROR(cadangan3[[#This Row],[Profit A]]-(cadangan3[[#This Row],[Profit A]]*cadangan3[[#This Row],[Diskon]]),K628)</f>
        <v>336000</v>
      </c>
      <c r="N628" t="str">
        <f>IFERROR(INDEX(Katalog!$A$3:$A$12,MATCH(cadangan3[[#This Row],[ItemID B]],Katalog!$C$3:$C$12,0)),"-")</f>
        <v>-</v>
      </c>
      <c r="O628" t="str">
        <f>IFERROR(INDEX(Katalog!$B$3:$B$12,MATCH(cadangan3[[#This Row],[ItemID B]],Katalog!$C$3:$C$12,0)),"-")</f>
        <v>-</v>
      </c>
      <c r="R628" s="36">
        <f>IFERROR(INDEX(Katalog!$D$3:$D$12,MATCH(cadangan3[[#This Row],[ItemID B]],Katalog!$C$3:$C$12,0))*cadangan3[[#This Row],[Qty B]],0)</f>
        <v>0</v>
      </c>
      <c r="S628" s="36">
        <f>IFERROR(INDEX(Katalog!$D$3:$D$12,MATCH(cadangan3[[#This Row],[Item B]],Katalog!$B$3:$B$12,0))*cadangan3[[#This Row],[Qty B]],0)</f>
        <v>0</v>
      </c>
      <c r="T628" s="36">
        <f>IFERROR(cadangan3[[#This Row],[Harga Asli B]]-(cadangan3[[#This Row],[Harga Asli B]]*cadangan3[[#This Row],[Diskon]]),cadangan3[[#This Row],[Harga Asli B]])</f>
        <v>0</v>
      </c>
      <c r="U628" s="36">
        <f>IFERROR(INDEX(Katalog!$F$3:$F$12,MATCH(cadangan3[[#This Row],[ItemID B]],Katalog!$C$3:$C$12,0))*cadangan3[[#This Row],[Qty B]],0)</f>
        <v>0</v>
      </c>
      <c r="V628" s="36">
        <f>IFERROR(cadangan3[[#This Row],[Profit B]]-(cadangan3[[#This Row],[Profit B]]*cadangan3[[#This Row],[Diskon]]),U628)</f>
        <v>0</v>
      </c>
      <c r="X628" t="str">
        <f>IFERROR(INDEX(Katalog!$A$3:$A$12,MATCH(cadangan3[[#This Row],[ItemID C]],Katalog!$C$3:$C$12,0)),"-")</f>
        <v>-</v>
      </c>
      <c r="Y628" t="str">
        <f>IFERROR(INDEX(Katalog!$B$3:$B$12,MATCH(cadangan3[[#This Row],[ItemID C]],Katalog!$C$3:$C$12,0)),"-")</f>
        <v>-</v>
      </c>
      <c r="AB628" s="36">
        <f>IFERROR(INDEX(Katalog!$D$3:$D$12,MATCH(cadangan3[[#This Row],[ItemID C]],Katalog!$C$3:$C$12,0))*cadangan3[[#This Row],[Qty C]],0)</f>
        <v>0</v>
      </c>
      <c r="AC628" s="36">
        <f>IFERROR(INDEX(Katalog!$D$3:$D$12,MATCH(cadangan3[[#This Row],[Item C]],Katalog!$B$3:$B$12,0))*cadangan3[[#This Row],[Qty C]],0)</f>
        <v>0</v>
      </c>
      <c r="AD628" s="36">
        <f>IFERROR(cadangan3[[#This Row],[Harga Asli C]]-(cadangan3[[#This Row],[Harga Asli C]]*cadangan3[[#This Row],[Diskon]]),cadangan3[[#This Row],[Harga Asli C]])</f>
        <v>0</v>
      </c>
      <c r="AE628" s="36">
        <f>IFERROR(INDEX(Katalog!$F$3:$F$12,MATCH(cadangan3[[#This Row],[ItemID C]],Katalog!$C$3:$C$12,0))*cadangan3[[#This Row],[Qty C]],0)</f>
        <v>0</v>
      </c>
      <c r="AF628" s="36">
        <f>IFERROR(cadangan3[[#This Row],[Profit C]]-(cadangan3[[#This Row],[Profit C]]*cadangan3[[#This Row],[Diskon]]),cadangan3[[#This Row],[Profit C]])</f>
        <v>0</v>
      </c>
      <c r="AG628" s="21">
        <f>cadangan3[[#This Row],[Qty A]]+cadangan3[[#This Row],[Qty B]]+cadangan3[[#This Row],[Qty C]]</f>
        <v>7</v>
      </c>
      <c r="AH628" s="35">
        <f>cadangan3[[#This Row],[Harga A + Diskon]]+cadangan3[[#This Row],[Harga + Diskon B]]+cadangan3[[#This Row],[Harga + Diskon C]]</f>
        <v>840000</v>
      </c>
      <c r="AI628" s="35">
        <f>(cadangan3[[#This Row],[Profit A]]+cadangan3[[#This Row],[Profit B]]+cadangan3[[#This Row],[Profit C]])</f>
        <v>420000</v>
      </c>
      <c r="AJ628" s="35">
        <f>cadangan3[[#This Row],[Provit A + Diskon]]+cadangan3[[#This Row],[Provit B + Diskon]]+cadangan3[[#This Row],[Provit C + Diskon]]</f>
        <v>336000</v>
      </c>
      <c r="AK628" s="23" t="s">
        <v>8</v>
      </c>
      <c r="AL628" s="37">
        <f>IFERROR(INDEX('Kode Diskon'!$D$3:$D$9,MATCH(cadangan3[[#This Row],[Kode diskon]],'Kode Diskon'!$C$3:$C$9,0)),"-")</f>
        <v>0.2</v>
      </c>
      <c r="AM628" s="23" t="s">
        <v>9</v>
      </c>
      <c r="AN628" s="23" t="s">
        <v>7</v>
      </c>
      <c r="AO628" s="23" t="s">
        <v>78</v>
      </c>
      <c r="AP628" s="24">
        <v>45037</v>
      </c>
      <c r="AQ628" s="23" t="str">
        <f>TEXT(cadangan3[[#This Row],[Tanggal terjual]],"dddd")</f>
        <v>Friday</v>
      </c>
    </row>
    <row r="629" spans="1:43" x14ac:dyDescent="0.2">
      <c r="A629" s="20">
        <v>628</v>
      </c>
      <c r="B629" s="21" t="str">
        <f>_xlfn.CONCAT("ORD-",INDEX(Helper!$B$2:$B$5,MATCH(cadangan3[[#This Row],[Marketplace]],Helper!$A$2:$A$5,0)),TEXT(cadangan3[[#This Row],[No]],"0000"),"-",TEXT(cadangan3[[#This Row],[Tanggal terjual]],"dd/mm/yy"))</f>
        <v>ORD-SP0628-25/04/23</v>
      </c>
      <c r="C629" t="s">
        <v>65</v>
      </c>
      <c r="D629" t="str">
        <f>IFERROR(INDEX(Katalog!$A$3:$A$12,MATCH(cadangan3[[#This Row],[ItemID A]],Katalog!$C$3:$C$12,0)),"-")</f>
        <v>Sepatu Pria</v>
      </c>
      <c r="E629" t="str">
        <f>IFERROR(INDEX(Katalog!$B$3:$B$12,MATCH(cadangan3[[#This Row],[ItemID A]],Katalog!$C$3:$C$12,0)),"-")</f>
        <v>Sneakers</v>
      </c>
      <c r="F629">
        <v>1</v>
      </c>
      <c r="G629">
        <v>1</v>
      </c>
      <c r="H629" s="36">
        <f>IFERROR(INDEX(Katalog!$D$3:$D$12,MATCH(cadangan3[[#This Row],[ItemID A]],Katalog!$C$3:$C$12,0))*cadangan3[[#This Row],[Qty A]],0)</f>
        <v>500000</v>
      </c>
      <c r="I629" s="36">
        <f>IFERROR(INDEX(Katalog!$D$3:$D$12,MATCH(cadangan3[[#This Row],[Item A]],Katalog!$B$3:$B$12,0))*cadangan3[[#This Row],[Qty A]],0)</f>
        <v>500000</v>
      </c>
      <c r="J629" s="36">
        <f>IFERROR(cadangan3[[#This Row],[Harga Asli A]]-(cadangan3[[#This Row],[Harga Asli A]]*cadangan3[[#This Row],[Diskon]]),cadangan3[[#This Row],[Harga Asli A]])</f>
        <v>400000</v>
      </c>
      <c r="K629" s="36">
        <f>INDEX(Katalog!$F$3:$F$12,MATCH(cadangan3[[#This Row],[ItemID A]],Katalog!$C$3:$C$12,0))*cadangan3[[#This Row],[Qty A]]</f>
        <v>200000</v>
      </c>
      <c r="L629" s="36">
        <f>IFERROR(cadangan3[[#This Row],[Profit A]]-(cadangan3[[#This Row],[Profit A]]*cadangan3[[#This Row],[Diskon]]),K629)</f>
        <v>160000</v>
      </c>
      <c r="M629" t="s">
        <v>60</v>
      </c>
      <c r="N629" t="str">
        <f>IFERROR(INDEX(Katalog!$A$3:$A$12,MATCH(cadangan3[[#This Row],[ItemID B]],Katalog!$C$3:$C$12,0)),"-")</f>
        <v>Pakaian Wanita</v>
      </c>
      <c r="O629" t="str">
        <f>IFERROR(INDEX(Katalog!$B$3:$B$12,MATCH(cadangan3[[#This Row],[ItemID B]],Katalog!$C$3:$C$12,0)),"-")</f>
        <v>Kaftan</v>
      </c>
      <c r="P629">
        <v>1</v>
      </c>
      <c r="Q629">
        <v>2</v>
      </c>
      <c r="R629" s="36">
        <f>IFERROR(INDEX(Katalog!$D$3:$D$12,MATCH(cadangan3[[#This Row],[ItemID B]],Katalog!$C$3:$C$12,0))*cadangan3[[#This Row],[Qty B]],0)</f>
        <v>250000</v>
      </c>
      <c r="S629" s="36">
        <f>IFERROR(INDEX(Katalog!$D$3:$D$12,MATCH(cadangan3[[#This Row],[Item B]],Katalog!$B$3:$B$12,0))*cadangan3[[#This Row],[Qty B]],0)</f>
        <v>250000</v>
      </c>
      <c r="T629" s="36">
        <f>IFERROR(cadangan3[[#This Row],[Harga Asli B]]-(cadangan3[[#This Row],[Harga Asli B]]*cadangan3[[#This Row],[Diskon]]),cadangan3[[#This Row],[Harga Asli B]])</f>
        <v>200000</v>
      </c>
      <c r="U629" s="36">
        <f>IFERROR(INDEX(Katalog!$F$3:$F$12,MATCH(cadangan3[[#This Row],[ItemID B]],Katalog!$C$3:$C$12,0))*cadangan3[[#This Row],[Qty B]],0)</f>
        <v>100000</v>
      </c>
      <c r="V629" s="36">
        <f>IFERROR(cadangan3[[#This Row],[Profit B]]-(cadangan3[[#This Row],[Profit B]]*cadangan3[[#This Row],[Diskon]]),U629)</f>
        <v>80000</v>
      </c>
      <c r="W629" t="s">
        <v>62</v>
      </c>
      <c r="X629" t="str">
        <f>IFERROR(INDEX(Katalog!$A$3:$A$12,MATCH(cadangan3[[#This Row],[ItemID C]],Katalog!$C$3:$C$12,0)),"-")</f>
        <v>Pakaian Pria</v>
      </c>
      <c r="Y629" t="str">
        <f>IFERROR(INDEX(Katalog!$B$3:$B$12,MATCH(cadangan3[[#This Row],[ItemID C]],Katalog!$C$3:$C$12,0)),"-")</f>
        <v>Celana Pendek</v>
      </c>
      <c r="Z629">
        <v>4</v>
      </c>
      <c r="AA629">
        <v>4</v>
      </c>
      <c r="AB629" s="36">
        <f>IFERROR(INDEX(Katalog!$D$3:$D$12,MATCH(cadangan3[[#This Row],[ItemID C]],Katalog!$C$3:$C$12,0))*cadangan3[[#This Row],[Qty C]],0)</f>
        <v>720000</v>
      </c>
      <c r="AC629" s="36">
        <f>IFERROR(INDEX(Katalog!$D$3:$D$12,MATCH(cadangan3[[#This Row],[Item C]],Katalog!$B$3:$B$12,0))*cadangan3[[#This Row],[Qty C]],0)</f>
        <v>720000</v>
      </c>
      <c r="AD629" s="36">
        <f>IFERROR(cadangan3[[#This Row],[Harga Asli C]]-(cadangan3[[#This Row],[Harga Asli C]]*cadangan3[[#This Row],[Diskon]]),cadangan3[[#This Row],[Harga Asli C]])</f>
        <v>576000</v>
      </c>
      <c r="AE629" s="36">
        <f>IFERROR(INDEX(Katalog!$F$3:$F$12,MATCH(cadangan3[[#This Row],[ItemID C]],Katalog!$C$3:$C$12,0))*cadangan3[[#This Row],[Qty C]],0)</f>
        <v>280000</v>
      </c>
      <c r="AF629" s="36">
        <f>IFERROR(cadangan3[[#This Row],[Profit C]]-(cadangan3[[#This Row],[Profit C]]*cadangan3[[#This Row],[Diskon]]),cadangan3[[#This Row],[Profit C]])</f>
        <v>224000</v>
      </c>
      <c r="AG629" s="21">
        <f>cadangan3[[#This Row],[Qty A]]+cadangan3[[#This Row],[Qty B]]+cadangan3[[#This Row],[Qty C]]</f>
        <v>6</v>
      </c>
      <c r="AH629" s="35">
        <f>cadangan3[[#This Row],[Harga A + Diskon]]+cadangan3[[#This Row],[Harga + Diskon B]]+cadangan3[[#This Row],[Harga + Diskon C]]</f>
        <v>1176000</v>
      </c>
      <c r="AI629" s="35">
        <f>(cadangan3[[#This Row],[Profit A]]+cadangan3[[#This Row],[Profit B]]+cadangan3[[#This Row],[Profit C]])</f>
        <v>580000</v>
      </c>
      <c r="AJ629" s="35">
        <f>cadangan3[[#This Row],[Provit A + Diskon]]+cadangan3[[#This Row],[Provit B + Diskon]]+cadangan3[[#This Row],[Provit C + Diskon]]</f>
        <v>464000</v>
      </c>
      <c r="AK629" s="23" t="s">
        <v>8</v>
      </c>
      <c r="AL629" s="37">
        <f>IFERROR(INDEX('Kode Diskon'!$D$3:$D$9,MATCH(cadangan3[[#This Row],[Kode diskon]],'Kode Diskon'!$C$3:$C$9,0)),"-")</f>
        <v>0.2</v>
      </c>
      <c r="AM629" s="23" t="s">
        <v>9</v>
      </c>
      <c r="AN629" s="23" t="s">
        <v>7</v>
      </c>
      <c r="AO629" s="23" t="s">
        <v>80</v>
      </c>
      <c r="AP629" s="24">
        <v>45041</v>
      </c>
      <c r="AQ629" s="23" t="str">
        <f>TEXT(cadangan3[[#This Row],[Tanggal terjual]],"dddd")</f>
        <v>Tuesday</v>
      </c>
    </row>
    <row r="630" spans="1:43" x14ac:dyDescent="0.2">
      <c r="A630" s="20">
        <v>629</v>
      </c>
      <c r="B630" s="21" t="str">
        <f>_xlfn.CONCAT("ORD-",INDEX(Helper!$B$2:$B$5,MATCH(cadangan3[[#This Row],[Marketplace]],Helper!$A$2:$A$5,0)),TEXT(cadangan3[[#This Row],[No]],"0000"),"-",TEXT(cadangan3[[#This Row],[Tanggal terjual]],"dd/mm/yy"))</f>
        <v>ORD-TK0629-23/04/23</v>
      </c>
      <c r="C630" t="s">
        <v>66</v>
      </c>
      <c r="D630" t="str">
        <f>IFERROR(INDEX(Katalog!$A$3:$A$12,MATCH(cadangan3[[#This Row],[ItemID A]],Katalog!$C$3:$C$12,0)),"-")</f>
        <v>Sepatu Pria</v>
      </c>
      <c r="E630" t="str">
        <f>IFERROR(INDEX(Katalog!$B$3:$B$12,MATCH(cadangan3[[#This Row],[ItemID A]],Katalog!$C$3:$C$12,0)),"-")</f>
        <v>Sandal Slip On</v>
      </c>
      <c r="F630">
        <v>3</v>
      </c>
      <c r="G630">
        <v>5</v>
      </c>
      <c r="H630" s="36">
        <f>IFERROR(INDEX(Katalog!$D$3:$D$12,MATCH(cadangan3[[#This Row],[ItemID A]],Katalog!$C$3:$C$12,0))*cadangan3[[#This Row],[Qty A]],0)</f>
        <v>450000</v>
      </c>
      <c r="I630" s="36">
        <f>IFERROR(INDEX(Katalog!$D$3:$D$12,MATCH(cadangan3[[#This Row],[Item A]],Katalog!$B$3:$B$12,0))*cadangan3[[#This Row],[Qty A]],0)</f>
        <v>450000</v>
      </c>
      <c r="J630" s="36">
        <f>IFERROR(cadangan3[[#This Row],[Harga Asli A]]-(cadangan3[[#This Row],[Harga Asli A]]*cadangan3[[#This Row],[Diskon]]),cadangan3[[#This Row],[Harga Asli A]])</f>
        <v>405000</v>
      </c>
      <c r="K630" s="36">
        <f>INDEX(Katalog!$F$3:$F$12,MATCH(cadangan3[[#This Row],[ItemID A]],Katalog!$C$3:$C$12,0))*cadangan3[[#This Row],[Qty A]]</f>
        <v>180000</v>
      </c>
      <c r="L630" s="36">
        <f>IFERROR(cadangan3[[#This Row],[Profit A]]-(cadangan3[[#This Row],[Profit A]]*cadangan3[[#This Row],[Diskon]]),K630)</f>
        <v>162000</v>
      </c>
      <c r="M630" t="s">
        <v>65</v>
      </c>
      <c r="N630" t="str">
        <f>IFERROR(INDEX(Katalog!$A$3:$A$12,MATCH(cadangan3[[#This Row],[ItemID B]],Katalog!$C$3:$C$12,0)),"-")</f>
        <v>Sepatu Pria</v>
      </c>
      <c r="O630" t="str">
        <f>IFERROR(INDEX(Katalog!$B$3:$B$12,MATCH(cadangan3[[#This Row],[ItemID B]],Katalog!$C$3:$C$12,0)),"-")</f>
        <v>Sneakers</v>
      </c>
      <c r="P630">
        <v>2</v>
      </c>
      <c r="Q630">
        <v>3</v>
      </c>
      <c r="R630" s="36">
        <f>IFERROR(INDEX(Katalog!$D$3:$D$12,MATCH(cadangan3[[#This Row],[ItemID B]],Katalog!$C$3:$C$12,0))*cadangan3[[#This Row],[Qty B]],0)</f>
        <v>1000000</v>
      </c>
      <c r="S630" s="36">
        <f>IFERROR(INDEX(Katalog!$D$3:$D$12,MATCH(cadangan3[[#This Row],[Item B]],Katalog!$B$3:$B$12,0))*cadangan3[[#This Row],[Qty B]],0)</f>
        <v>1000000</v>
      </c>
      <c r="T630" s="36">
        <f>IFERROR(cadangan3[[#This Row],[Harga Asli B]]-(cadangan3[[#This Row],[Harga Asli B]]*cadangan3[[#This Row],[Diskon]]),cadangan3[[#This Row],[Harga Asli B]])</f>
        <v>900000</v>
      </c>
      <c r="U630" s="36">
        <f>IFERROR(INDEX(Katalog!$F$3:$F$12,MATCH(cadangan3[[#This Row],[ItemID B]],Katalog!$C$3:$C$12,0))*cadangan3[[#This Row],[Qty B]],0)</f>
        <v>400000</v>
      </c>
      <c r="V630" s="36">
        <f>IFERROR(cadangan3[[#This Row],[Profit B]]-(cadangan3[[#This Row],[Profit B]]*cadangan3[[#This Row],[Diskon]]),U630)</f>
        <v>360000</v>
      </c>
      <c r="X630" t="str">
        <f>IFERROR(INDEX(Katalog!$A$3:$A$12,MATCH(cadangan3[[#This Row],[ItemID C]],Katalog!$C$3:$C$12,0)),"-")</f>
        <v>-</v>
      </c>
      <c r="Y630" t="str">
        <f>IFERROR(INDEX(Katalog!$B$3:$B$12,MATCH(cadangan3[[#This Row],[ItemID C]],Katalog!$C$3:$C$12,0)),"-")</f>
        <v>-</v>
      </c>
      <c r="AB630" s="36">
        <f>IFERROR(INDEX(Katalog!$D$3:$D$12,MATCH(cadangan3[[#This Row],[ItemID C]],Katalog!$C$3:$C$12,0))*cadangan3[[#This Row],[Qty C]],0)</f>
        <v>0</v>
      </c>
      <c r="AC630" s="36">
        <f>IFERROR(INDEX(Katalog!$D$3:$D$12,MATCH(cadangan3[[#This Row],[Item C]],Katalog!$B$3:$B$12,0))*cadangan3[[#This Row],[Qty C]],0)</f>
        <v>0</v>
      </c>
      <c r="AD630" s="36">
        <f>IFERROR(cadangan3[[#This Row],[Harga Asli C]]-(cadangan3[[#This Row],[Harga Asli C]]*cadangan3[[#This Row],[Diskon]]),cadangan3[[#This Row],[Harga Asli C]])</f>
        <v>0</v>
      </c>
      <c r="AE630" s="36">
        <f>IFERROR(INDEX(Katalog!$F$3:$F$12,MATCH(cadangan3[[#This Row],[ItemID C]],Katalog!$C$3:$C$12,0))*cadangan3[[#This Row],[Qty C]],0)</f>
        <v>0</v>
      </c>
      <c r="AF630" s="36">
        <f>IFERROR(cadangan3[[#This Row],[Profit C]]-(cadangan3[[#This Row],[Profit C]]*cadangan3[[#This Row],[Diskon]]),cadangan3[[#This Row],[Profit C]])</f>
        <v>0</v>
      </c>
      <c r="AG630" s="21">
        <f>cadangan3[[#This Row],[Qty A]]+cadangan3[[#This Row],[Qty B]]+cadangan3[[#This Row],[Qty C]]</f>
        <v>5</v>
      </c>
      <c r="AH630" s="35">
        <f>cadangan3[[#This Row],[Harga A + Diskon]]+cadangan3[[#This Row],[Harga + Diskon B]]+cadangan3[[#This Row],[Harga + Diskon C]]</f>
        <v>1305000</v>
      </c>
      <c r="AI630" s="35">
        <f>(cadangan3[[#This Row],[Profit A]]+cadangan3[[#This Row],[Profit B]]+cadangan3[[#This Row],[Profit C]])</f>
        <v>580000</v>
      </c>
      <c r="AJ630" s="35">
        <f>cadangan3[[#This Row],[Provit A + Diskon]]+cadangan3[[#This Row],[Provit B + Diskon]]+cadangan3[[#This Row],[Provit C + Diskon]]</f>
        <v>522000</v>
      </c>
      <c r="AK630" s="23" t="s">
        <v>31</v>
      </c>
      <c r="AL630" s="37">
        <f>IFERROR(INDEX('Kode Diskon'!$D$3:$D$9,MATCH(cadangan3[[#This Row],[Kode diskon]],'Kode Diskon'!$C$3:$C$9,0)),"-")</f>
        <v>0.1</v>
      </c>
      <c r="AM630" s="23" t="s">
        <v>9</v>
      </c>
      <c r="AN630" s="23" t="s">
        <v>10</v>
      </c>
      <c r="AO630" s="23" t="s">
        <v>78</v>
      </c>
      <c r="AP630" s="24">
        <v>45039</v>
      </c>
      <c r="AQ630" s="23" t="str">
        <f>TEXT(cadangan3[[#This Row],[Tanggal terjual]],"dddd")</f>
        <v>Sunday</v>
      </c>
    </row>
    <row r="631" spans="1:43" x14ac:dyDescent="0.2">
      <c r="A631" s="20">
        <v>630</v>
      </c>
      <c r="B631" s="21" t="str">
        <f>_xlfn.CONCAT("ORD-",INDEX(Helper!$B$2:$B$5,MATCH(cadangan3[[#This Row],[Marketplace]],Helper!$A$2:$A$5,0)),TEXT(cadangan3[[#This Row],[No]],"0000"),"-",TEXT(cadangan3[[#This Row],[Tanggal terjual]],"dd/mm/yy"))</f>
        <v>ORD-SP0630-24/04/23</v>
      </c>
      <c r="C631" t="s">
        <v>66</v>
      </c>
      <c r="D631" t="str">
        <f>IFERROR(INDEX(Katalog!$A$3:$A$12,MATCH(cadangan3[[#This Row],[ItemID A]],Katalog!$C$3:$C$12,0)),"-")</f>
        <v>Sepatu Pria</v>
      </c>
      <c r="E631" t="str">
        <f>IFERROR(INDEX(Katalog!$B$3:$B$12,MATCH(cadangan3[[#This Row],[ItemID A]],Katalog!$C$3:$C$12,0)),"-")</f>
        <v>Sandal Slip On</v>
      </c>
      <c r="F631">
        <v>3</v>
      </c>
      <c r="G631">
        <v>2</v>
      </c>
      <c r="H631" s="36">
        <f>IFERROR(INDEX(Katalog!$D$3:$D$12,MATCH(cadangan3[[#This Row],[ItemID A]],Katalog!$C$3:$C$12,0))*cadangan3[[#This Row],[Qty A]],0)</f>
        <v>450000</v>
      </c>
      <c r="I631" s="36">
        <f>IFERROR(INDEX(Katalog!$D$3:$D$12,MATCH(cadangan3[[#This Row],[Item A]],Katalog!$B$3:$B$12,0))*cadangan3[[#This Row],[Qty A]],0)</f>
        <v>450000</v>
      </c>
      <c r="J631" s="36">
        <f>IFERROR(cadangan3[[#This Row],[Harga Asli A]]-(cadangan3[[#This Row],[Harga Asli A]]*cadangan3[[#This Row],[Diskon]]),cadangan3[[#This Row],[Harga Asli A]])</f>
        <v>360000</v>
      </c>
      <c r="K631" s="36">
        <f>INDEX(Katalog!$F$3:$F$12,MATCH(cadangan3[[#This Row],[ItemID A]],Katalog!$C$3:$C$12,0))*cadangan3[[#This Row],[Qty A]]</f>
        <v>180000</v>
      </c>
      <c r="L631" s="36">
        <f>IFERROR(cadangan3[[#This Row],[Profit A]]-(cadangan3[[#This Row],[Profit A]]*cadangan3[[#This Row],[Diskon]]),K631)</f>
        <v>144000</v>
      </c>
      <c r="M631" t="s">
        <v>67</v>
      </c>
      <c r="N631" t="str">
        <f>IFERROR(INDEX(Katalog!$A$3:$A$12,MATCH(cadangan3[[#This Row],[ItemID B]],Katalog!$C$3:$C$12,0)),"-")</f>
        <v>Sepatu Wanita</v>
      </c>
      <c r="O631" t="str">
        <f>IFERROR(INDEX(Katalog!$B$3:$B$12,MATCH(cadangan3[[#This Row],[ItemID B]],Katalog!$C$3:$C$12,0)),"-")</f>
        <v>Flat Shoes</v>
      </c>
      <c r="P631">
        <v>1</v>
      </c>
      <c r="Q631">
        <v>2</v>
      </c>
      <c r="R631" s="36">
        <f>IFERROR(INDEX(Katalog!$D$3:$D$12,MATCH(cadangan3[[#This Row],[ItemID B]],Katalog!$C$3:$C$12,0))*cadangan3[[#This Row],[Qty B]],0)</f>
        <v>250000</v>
      </c>
      <c r="S631" s="36">
        <f>IFERROR(INDEX(Katalog!$D$3:$D$12,MATCH(cadangan3[[#This Row],[Item B]],Katalog!$B$3:$B$12,0))*cadangan3[[#This Row],[Qty B]],0)</f>
        <v>250000</v>
      </c>
      <c r="T631" s="36">
        <f>IFERROR(cadangan3[[#This Row],[Harga Asli B]]-(cadangan3[[#This Row],[Harga Asli B]]*cadangan3[[#This Row],[Diskon]]),cadangan3[[#This Row],[Harga Asli B]])</f>
        <v>200000</v>
      </c>
      <c r="U631" s="36">
        <f>IFERROR(INDEX(Katalog!$F$3:$F$12,MATCH(cadangan3[[#This Row],[ItemID B]],Katalog!$C$3:$C$12,0))*cadangan3[[#This Row],[Qty B]],0)</f>
        <v>100000</v>
      </c>
      <c r="V631" s="36">
        <f>IFERROR(cadangan3[[#This Row],[Profit B]]-(cadangan3[[#This Row],[Profit B]]*cadangan3[[#This Row],[Diskon]]),U631)</f>
        <v>80000</v>
      </c>
      <c r="W631" t="s">
        <v>67</v>
      </c>
      <c r="X631" t="str">
        <f>IFERROR(INDEX(Katalog!$A$3:$A$12,MATCH(cadangan3[[#This Row],[ItemID C]],Katalog!$C$3:$C$12,0)),"-")</f>
        <v>Sepatu Wanita</v>
      </c>
      <c r="Y631" t="str">
        <f>IFERROR(INDEX(Katalog!$B$3:$B$12,MATCH(cadangan3[[#This Row],[ItemID C]],Katalog!$C$3:$C$12,0)),"-")</f>
        <v>Flat Shoes</v>
      </c>
      <c r="Z631">
        <v>2</v>
      </c>
      <c r="AA631">
        <v>2</v>
      </c>
      <c r="AB631" s="36">
        <f>IFERROR(INDEX(Katalog!$D$3:$D$12,MATCH(cadangan3[[#This Row],[ItemID C]],Katalog!$C$3:$C$12,0))*cadangan3[[#This Row],[Qty C]],0)</f>
        <v>500000</v>
      </c>
      <c r="AC631" s="36">
        <f>IFERROR(INDEX(Katalog!$D$3:$D$12,MATCH(cadangan3[[#This Row],[Item C]],Katalog!$B$3:$B$12,0))*cadangan3[[#This Row],[Qty C]],0)</f>
        <v>500000</v>
      </c>
      <c r="AD631" s="36">
        <f>IFERROR(cadangan3[[#This Row],[Harga Asli C]]-(cadangan3[[#This Row],[Harga Asli C]]*cadangan3[[#This Row],[Diskon]]),cadangan3[[#This Row],[Harga Asli C]])</f>
        <v>400000</v>
      </c>
      <c r="AE631" s="36">
        <f>IFERROR(INDEX(Katalog!$F$3:$F$12,MATCH(cadangan3[[#This Row],[ItemID C]],Katalog!$C$3:$C$12,0))*cadangan3[[#This Row],[Qty C]],0)</f>
        <v>200000</v>
      </c>
      <c r="AF631" s="36">
        <f>IFERROR(cadangan3[[#This Row],[Profit C]]-(cadangan3[[#This Row],[Profit C]]*cadangan3[[#This Row],[Diskon]]),cadangan3[[#This Row],[Profit C]])</f>
        <v>160000</v>
      </c>
      <c r="AG631" s="21">
        <f>cadangan3[[#This Row],[Qty A]]+cadangan3[[#This Row],[Qty B]]+cadangan3[[#This Row],[Qty C]]</f>
        <v>6</v>
      </c>
      <c r="AH631" s="35">
        <f>cadangan3[[#This Row],[Harga A + Diskon]]+cadangan3[[#This Row],[Harga + Diskon B]]+cadangan3[[#This Row],[Harga + Diskon C]]</f>
        <v>960000</v>
      </c>
      <c r="AI631" s="35">
        <f>(cadangan3[[#This Row],[Profit A]]+cadangan3[[#This Row],[Profit B]]+cadangan3[[#This Row],[Profit C]])</f>
        <v>480000</v>
      </c>
      <c r="AJ631" s="35">
        <f>cadangan3[[#This Row],[Provit A + Diskon]]+cadangan3[[#This Row],[Provit B + Diskon]]+cadangan3[[#This Row],[Provit C + Diskon]]</f>
        <v>384000</v>
      </c>
      <c r="AK631" s="23" t="s">
        <v>8</v>
      </c>
      <c r="AL631" s="37">
        <f>IFERROR(INDEX('Kode Diskon'!$D$3:$D$9,MATCH(cadangan3[[#This Row],[Kode diskon]],'Kode Diskon'!$C$3:$C$9,0)),"-")</f>
        <v>0.2</v>
      </c>
      <c r="AM631" s="23" t="s">
        <v>9</v>
      </c>
      <c r="AN631" s="23" t="s">
        <v>7</v>
      </c>
      <c r="AO631" s="23" t="s">
        <v>80</v>
      </c>
      <c r="AP631" s="24">
        <v>45040</v>
      </c>
      <c r="AQ631" s="23" t="str">
        <f>TEXT(cadangan3[[#This Row],[Tanggal terjual]],"dddd")</f>
        <v>Monday</v>
      </c>
    </row>
    <row r="632" spans="1:43" x14ac:dyDescent="0.2">
      <c r="A632" s="20">
        <v>631</v>
      </c>
      <c r="B632" s="21" t="str">
        <f>_xlfn.CONCAT("ORD-",INDEX(Helper!$B$2:$B$5,MATCH(cadangan3[[#This Row],[Marketplace]],Helper!$A$2:$A$5,0)),TEXT(cadangan3[[#This Row],[No]],"0000"),"-",TEXT(cadangan3[[#This Row],[Tanggal terjual]],"dd/mm/yy"))</f>
        <v>ORD-TK0631-05/04/23</v>
      </c>
      <c r="C632" t="s">
        <v>67</v>
      </c>
      <c r="D632" t="str">
        <f>IFERROR(INDEX(Katalog!$A$3:$A$12,MATCH(cadangan3[[#This Row],[ItemID A]],Katalog!$C$3:$C$12,0)),"-")</f>
        <v>Sepatu Wanita</v>
      </c>
      <c r="E632" t="str">
        <f>IFERROR(INDEX(Katalog!$B$3:$B$12,MATCH(cadangan3[[#This Row],[ItemID A]],Katalog!$C$3:$C$12,0)),"-")</f>
        <v>Flat Shoes</v>
      </c>
      <c r="F632">
        <v>1</v>
      </c>
      <c r="G632">
        <v>4</v>
      </c>
      <c r="H632" s="36">
        <f>IFERROR(INDEX(Katalog!$D$3:$D$12,MATCH(cadangan3[[#This Row],[ItemID A]],Katalog!$C$3:$C$12,0))*cadangan3[[#This Row],[Qty A]],0)</f>
        <v>250000</v>
      </c>
      <c r="I632" s="36">
        <f>IFERROR(INDEX(Katalog!$D$3:$D$12,MATCH(cadangan3[[#This Row],[Item A]],Katalog!$B$3:$B$12,0))*cadangan3[[#This Row],[Qty A]],0)</f>
        <v>250000</v>
      </c>
      <c r="J632" s="36">
        <f>IFERROR(cadangan3[[#This Row],[Harga Asli A]]-(cadangan3[[#This Row],[Harga Asli A]]*cadangan3[[#This Row],[Diskon]]),cadangan3[[#This Row],[Harga Asli A]])</f>
        <v>225000</v>
      </c>
      <c r="K632" s="36">
        <f>INDEX(Katalog!$F$3:$F$12,MATCH(cadangan3[[#This Row],[ItemID A]],Katalog!$C$3:$C$12,0))*cadangan3[[#This Row],[Qty A]]</f>
        <v>100000</v>
      </c>
      <c r="L632" s="36">
        <f>IFERROR(cadangan3[[#This Row],[Profit A]]-(cadangan3[[#This Row],[Profit A]]*cadangan3[[#This Row],[Diskon]]),K632)</f>
        <v>90000</v>
      </c>
      <c r="M632" t="s">
        <v>58</v>
      </c>
      <c r="N632" t="str">
        <f>IFERROR(INDEX(Katalog!$A$3:$A$12,MATCH(cadangan3[[#This Row],[ItemID B]],Katalog!$C$3:$C$12,0)),"-")</f>
        <v>Pakaian Wanita</v>
      </c>
      <c r="O632" t="str">
        <f>IFERROR(INDEX(Katalog!$B$3:$B$12,MATCH(cadangan3[[#This Row],[ItemID B]],Katalog!$C$3:$C$12,0)),"-")</f>
        <v>Dress</v>
      </c>
      <c r="P632">
        <v>1</v>
      </c>
      <c r="Q632">
        <v>1</v>
      </c>
      <c r="R632" s="36">
        <f>IFERROR(INDEX(Katalog!$D$3:$D$12,MATCH(cadangan3[[#This Row],[ItemID B]],Katalog!$C$3:$C$12,0))*cadangan3[[#This Row],[Qty B]],0)</f>
        <v>300000</v>
      </c>
      <c r="S632" s="36">
        <f>IFERROR(INDEX(Katalog!$D$3:$D$12,MATCH(cadangan3[[#This Row],[Item B]],Katalog!$B$3:$B$12,0))*cadangan3[[#This Row],[Qty B]],0)</f>
        <v>300000</v>
      </c>
      <c r="T632" s="36">
        <f>IFERROR(cadangan3[[#This Row],[Harga Asli B]]-(cadangan3[[#This Row],[Harga Asli B]]*cadangan3[[#This Row],[Diskon]]),cadangan3[[#This Row],[Harga Asli B]])</f>
        <v>270000</v>
      </c>
      <c r="U632" s="36">
        <f>IFERROR(INDEX(Katalog!$F$3:$F$12,MATCH(cadangan3[[#This Row],[ItemID B]],Katalog!$C$3:$C$12,0))*cadangan3[[#This Row],[Qty B]],0)</f>
        <v>100000</v>
      </c>
      <c r="V632" s="36">
        <f>IFERROR(cadangan3[[#This Row],[Profit B]]-(cadangan3[[#This Row],[Profit B]]*cadangan3[[#This Row],[Diskon]]),U632)</f>
        <v>90000</v>
      </c>
      <c r="X632" t="str">
        <f>IFERROR(INDEX(Katalog!$A$3:$A$12,MATCH(cadangan3[[#This Row],[ItemID C]],Katalog!$C$3:$C$12,0)),"-")</f>
        <v>-</v>
      </c>
      <c r="Y632" t="str">
        <f>IFERROR(INDEX(Katalog!$B$3:$B$12,MATCH(cadangan3[[#This Row],[ItemID C]],Katalog!$C$3:$C$12,0)),"-")</f>
        <v>-</v>
      </c>
      <c r="AB632" s="36">
        <f>IFERROR(INDEX(Katalog!$D$3:$D$12,MATCH(cadangan3[[#This Row],[ItemID C]],Katalog!$C$3:$C$12,0))*cadangan3[[#This Row],[Qty C]],0)</f>
        <v>0</v>
      </c>
      <c r="AC632" s="36">
        <f>IFERROR(INDEX(Katalog!$D$3:$D$12,MATCH(cadangan3[[#This Row],[Item C]],Katalog!$B$3:$B$12,0))*cadangan3[[#This Row],[Qty C]],0)</f>
        <v>0</v>
      </c>
      <c r="AD632" s="36">
        <f>IFERROR(cadangan3[[#This Row],[Harga Asli C]]-(cadangan3[[#This Row],[Harga Asli C]]*cadangan3[[#This Row],[Diskon]]),cadangan3[[#This Row],[Harga Asli C]])</f>
        <v>0</v>
      </c>
      <c r="AE632" s="36">
        <f>IFERROR(INDEX(Katalog!$F$3:$F$12,MATCH(cadangan3[[#This Row],[ItemID C]],Katalog!$C$3:$C$12,0))*cadangan3[[#This Row],[Qty C]],0)</f>
        <v>0</v>
      </c>
      <c r="AF632" s="36">
        <f>IFERROR(cadangan3[[#This Row],[Profit C]]-(cadangan3[[#This Row],[Profit C]]*cadangan3[[#This Row],[Diskon]]),cadangan3[[#This Row],[Profit C]])</f>
        <v>0</v>
      </c>
      <c r="AG632" s="21">
        <f>cadangan3[[#This Row],[Qty A]]+cadangan3[[#This Row],[Qty B]]+cadangan3[[#This Row],[Qty C]]</f>
        <v>2</v>
      </c>
      <c r="AH632" s="35">
        <f>cadangan3[[#This Row],[Harga A + Diskon]]+cadangan3[[#This Row],[Harga + Diskon B]]+cadangan3[[#This Row],[Harga + Diskon C]]</f>
        <v>495000</v>
      </c>
      <c r="AI632" s="35">
        <f>(cadangan3[[#This Row],[Profit A]]+cadangan3[[#This Row],[Profit B]]+cadangan3[[#This Row],[Profit C]])</f>
        <v>200000</v>
      </c>
      <c r="AJ632" s="35">
        <f>cadangan3[[#This Row],[Provit A + Diskon]]+cadangan3[[#This Row],[Provit B + Diskon]]+cadangan3[[#This Row],[Provit C + Diskon]]</f>
        <v>180000</v>
      </c>
      <c r="AK632" s="23" t="s">
        <v>30</v>
      </c>
      <c r="AL632" s="37">
        <f>IFERROR(INDEX('Kode Diskon'!$D$3:$D$9,MATCH(cadangan3[[#This Row],[Kode diskon]],'Kode Diskon'!$C$3:$C$9,0)),"-")</f>
        <v>0.1</v>
      </c>
      <c r="AM632" s="23" t="s">
        <v>29</v>
      </c>
      <c r="AN632" s="23" t="s">
        <v>10</v>
      </c>
      <c r="AO632" s="23" t="s">
        <v>78</v>
      </c>
      <c r="AP632" s="24">
        <v>45021</v>
      </c>
      <c r="AQ632" s="23" t="str">
        <f>TEXT(cadangan3[[#This Row],[Tanggal terjual]],"dddd")</f>
        <v>Wednesday</v>
      </c>
    </row>
    <row r="633" spans="1:43" x14ac:dyDescent="0.2">
      <c r="A633" s="20">
        <v>632</v>
      </c>
      <c r="B633" s="21" t="str">
        <f>_xlfn.CONCAT("ORD-",INDEX(Helper!$B$2:$B$5,MATCH(cadangan3[[#This Row],[Marketplace]],Helper!$A$2:$A$5,0)),TEXT(cadangan3[[#This Row],[No]],"0000"),"-",TEXT(cadangan3[[#This Row],[Tanggal terjual]],"dd/mm/yy"))</f>
        <v>ORD-SP0632-26/04/23</v>
      </c>
      <c r="C633" t="s">
        <v>60</v>
      </c>
      <c r="D633" t="str">
        <f>IFERROR(INDEX(Katalog!$A$3:$A$12,MATCH(cadangan3[[#This Row],[ItemID A]],Katalog!$C$3:$C$12,0)),"-")</f>
        <v>Pakaian Wanita</v>
      </c>
      <c r="E633" t="str">
        <f>IFERROR(INDEX(Katalog!$B$3:$B$12,MATCH(cadangan3[[#This Row],[ItemID A]],Katalog!$C$3:$C$12,0)),"-")</f>
        <v>Kaftan</v>
      </c>
      <c r="F633">
        <v>1</v>
      </c>
      <c r="G633">
        <v>4</v>
      </c>
      <c r="H633" s="36">
        <f>IFERROR(INDEX(Katalog!$D$3:$D$12,MATCH(cadangan3[[#This Row],[ItemID A]],Katalog!$C$3:$C$12,0))*cadangan3[[#This Row],[Qty A]],0)</f>
        <v>250000</v>
      </c>
      <c r="I633" s="36">
        <f>IFERROR(INDEX(Katalog!$D$3:$D$12,MATCH(cadangan3[[#This Row],[Item A]],Katalog!$B$3:$B$12,0))*cadangan3[[#This Row],[Qty A]],0)</f>
        <v>250000</v>
      </c>
      <c r="J633" s="36">
        <f>IFERROR(cadangan3[[#This Row],[Harga Asli A]]-(cadangan3[[#This Row],[Harga Asli A]]*cadangan3[[#This Row],[Diskon]]),cadangan3[[#This Row],[Harga Asli A]])</f>
        <v>200000</v>
      </c>
      <c r="K633" s="36">
        <f>INDEX(Katalog!$F$3:$F$12,MATCH(cadangan3[[#This Row],[ItemID A]],Katalog!$C$3:$C$12,0))*cadangan3[[#This Row],[Qty A]]</f>
        <v>100000</v>
      </c>
      <c r="L633" s="36">
        <f>IFERROR(cadangan3[[#This Row],[Profit A]]-(cadangan3[[#This Row],[Profit A]]*cadangan3[[#This Row],[Diskon]]),K633)</f>
        <v>80000</v>
      </c>
      <c r="M633" t="s">
        <v>58</v>
      </c>
      <c r="N633" t="str">
        <f>IFERROR(INDEX(Katalog!$A$3:$A$12,MATCH(cadangan3[[#This Row],[ItemID B]],Katalog!$C$3:$C$12,0)),"-")</f>
        <v>Pakaian Wanita</v>
      </c>
      <c r="O633" t="str">
        <f>IFERROR(INDEX(Katalog!$B$3:$B$12,MATCH(cadangan3[[#This Row],[ItemID B]],Katalog!$C$3:$C$12,0)),"-")</f>
        <v>Dress</v>
      </c>
      <c r="P633">
        <v>3</v>
      </c>
      <c r="Q633">
        <v>2</v>
      </c>
      <c r="R633" s="36">
        <f>IFERROR(INDEX(Katalog!$D$3:$D$12,MATCH(cadangan3[[#This Row],[ItemID B]],Katalog!$C$3:$C$12,0))*cadangan3[[#This Row],[Qty B]],0)</f>
        <v>900000</v>
      </c>
      <c r="S633" s="36">
        <f>IFERROR(INDEX(Katalog!$D$3:$D$12,MATCH(cadangan3[[#This Row],[Item B]],Katalog!$B$3:$B$12,0))*cadangan3[[#This Row],[Qty B]],0)</f>
        <v>900000</v>
      </c>
      <c r="T633" s="36">
        <f>IFERROR(cadangan3[[#This Row],[Harga Asli B]]-(cadangan3[[#This Row],[Harga Asli B]]*cadangan3[[#This Row],[Diskon]]),cadangan3[[#This Row],[Harga Asli B]])</f>
        <v>720000</v>
      </c>
      <c r="U633" s="36">
        <f>IFERROR(INDEX(Katalog!$F$3:$F$12,MATCH(cadangan3[[#This Row],[ItemID B]],Katalog!$C$3:$C$12,0))*cadangan3[[#This Row],[Qty B]],0)</f>
        <v>300000</v>
      </c>
      <c r="V633" s="36">
        <f>IFERROR(cadangan3[[#This Row],[Profit B]]-(cadangan3[[#This Row],[Profit B]]*cadangan3[[#This Row],[Diskon]]),U633)</f>
        <v>240000</v>
      </c>
      <c r="X633" t="str">
        <f>IFERROR(INDEX(Katalog!$A$3:$A$12,MATCH(cadangan3[[#This Row],[ItemID C]],Katalog!$C$3:$C$12,0)),"-")</f>
        <v>-</v>
      </c>
      <c r="Y633" t="str">
        <f>IFERROR(INDEX(Katalog!$B$3:$B$12,MATCH(cadangan3[[#This Row],[ItemID C]],Katalog!$C$3:$C$12,0)),"-")</f>
        <v>-</v>
      </c>
      <c r="AB633" s="36">
        <f>IFERROR(INDEX(Katalog!$D$3:$D$12,MATCH(cadangan3[[#This Row],[ItemID C]],Katalog!$C$3:$C$12,0))*cadangan3[[#This Row],[Qty C]],0)</f>
        <v>0</v>
      </c>
      <c r="AC633" s="36">
        <f>IFERROR(INDEX(Katalog!$D$3:$D$12,MATCH(cadangan3[[#This Row],[Item C]],Katalog!$B$3:$B$12,0))*cadangan3[[#This Row],[Qty C]],0)</f>
        <v>0</v>
      </c>
      <c r="AD633" s="36">
        <f>IFERROR(cadangan3[[#This Row],[Harga Asli C]]-(cadangan3[[#This Row],[Harga Asli C]]*cadangan3[[#This Row],[Diskon]]),cadangan3[[#This Row],[Harga Asli C]])</f>
        <v>0</v>
      </c>
      <c r="AE633" s="36">
        <f>IFERROR(INDEX(Katalog!$F$3:$F$12,MATCH(cadangan3[[#This Row],[ItemID C]],Katalog!$C$3:$C$12,0))*cadangan3[[#This Row],[Qty C]],0)</f>
        <v>0</v>
      </c>
      <c r="AF633" s="36">
        <f>IFERROR(cadangan3[[#This Row],[Profit C]]-(cadangan3[[#This Row],[Profit C]]*cadangan3[[#This Row],[Diskon]]),cadangan3[[#This Row],[Profit C]])</f>
        <v>0</v>
      </c>
      <c r="AG633" s="21">
        <f>cadangan3[[#This Row],[Qty A]]+cadangan3[[#This Row],[Qty B]]+cadangan3[[#This Row],[Qty C]]</f>
        <v>4</v>
      </c>
      <c r="AH633" s="35">
        <f>cadangan3[[#This Row],[Harga A + Diskon]]+cadangan3[[#This Row],[Harga + Diskon B]]+cadangan3[[#This Row],[Harga + Diskon C]]</f>
        <v>920000</v>
      </c>
      <c r="AI633" s="35">
        <f>(cadangan3[[#This Row],[Profit A]]+cadangan3[[#This Row],[Profit B]]+cadangan3[[#This Row],[Profit C]])</f>
        <v>400000</v>
      </c>
      <c r="AJ633" s="35">
        <f>cadangan3[[#This Row],[Provit A + Diskon]]+cadangan3[[#This Row],[Provit B + Diskon]]+cadangan3[[#This Row],[Provit C + Diskon]]</f>
        <v>320000</v>
      </c>
      <c r="AK633" s="23" t="s">
        <v>8</v>
      </c>
      <c r="AL633" s="37">
        <f>IFERROR(INDEX('Kode Diskon'!$D$3:$D$9,MATCH(cadangan3[[#This Row],[Kode diskon]],'Kode Diskon'!$C$3:$C$9,0)),"-")</f>
        <v>0.2</v>
      </c>
      <c r="AM633" s="23" t="s">
        <v>9</v>
      </c>
      <c r="AN633" s="23" t="s">
        <v>7</v>
      </c>
      <c r="AO633" s="23" t="s">
        <v>80</v>
      </c>
      <c r="AP633" s="24">
        <v>45042</v>
      </c>
      <c r="AQ633" s="23" t="str">
        <f>TEXT(cadangan3[[#This Row],[Tanggal terjual]],"dddd")</f>
        <v>Wednesday</v>
      </c>
    </row>
    <row r="634" spans="1:43" x14ac:dyDescent="0.2">
      <c r="A634" s="20">
        <v>633</v>
      </c>
      <c r="B634" s="21" t="str">
        <f>_xlfn.CONCAT("ORD-",INDEX(Helper!$B$2:$B$5,MATCH(cadangan3[[#This Row],[Marketplace]],Helper!$A$2:$A$5,0)),TEXT(cadangan3[[#This Row],[No]],"0000"),"-",TEXT(cadangan3[[#This Row],[Tanggal terjual]],"dd/mm/yy"))</f>
        <v>ORD-BL0633-15/04/23</v>
      </c>
      <c r="C634" t="s">
        <v>59</v>
      </c>
      <c r="D634" t="str">
        <f>IFERROR(INDEX(Katalog!$A$3:$A$12,MATCH(cadangan3[[#This Row],[ItemID A]],Katalog!$C$3:$C$12,0)),"-")</f>
        <v>Pakaian Wanita</v>
      </c>
      <c r="E634" t="str">
        <f>IFERROR(INDEX(Katalog!$B$3:$B$12,MATCH(cadangan3[[#This Row],[ItemID A]],Katalog!$C$3:$C$12,0)),"-")</f>
        <v>Blouse</v>
      </c>
      <c r="F634">
        <v>1</v>
      </c>
      <c r="G634">
        <v>5</v>
      </c>
      <c r="H634" s="36">
        <f>IFERROR(INDEX(Katalog!$D$3:$D$12,MATCH(cadangan3[[#This Row],[ItemID A]],Katalog!$C$3:$C$12,0))*cadangan3[[#This Row],[Qty A]],0)</f>
        <v>150000</v>
      </c>
      <c r="I634" s="36">
        <f>IFERROR(INDEX(Katalog!$D$3:$D$12,MATCH(cadangan3[[#This Row],[Item A]],Katalog!$B$3:$B$12,0))*cadangan3[[#This Row],[Qty A]],0)</f>
        <v>150000</v>
      </c>
      <c r="J634" s="36">
        <f>IFERROR(cadangan3[[#This Row],[Harga Asli A]]-(cadangan3[[#This Row],[Harga Asli A]]*cadangan3[[#This Row],[Diskon]]),cadangan3[[#This Row],[Harga Asli A]])</f>
        <v>150000</v>
      </c>
      <c r="K634" s="36">
        <f>INDEX(Katalog!$F$3:$F$12,MATCH(cadangan3[[#This Row],[ItemID A]],Katalog!$C$3:$C$12,0))*cadangan3[[#This Row],[Qty A]]</f>
        <v>50000</v>
      </c>
      <c r="L634" s="36">
        <f>IFERROR(cadangan3[[#This Row],[Profit A]]-(cadangan3[[#This Row],[Profit A]]*cadangan3[[#This Row],[Diskon]]),K634)</f>
        <v>50000</v>
      </c>
      <c r="M634" t="s">
        <v>63</v>
      </c>
      <c r="N634" t="str">
        <f>IFERROR(INDEX(Katalog!$A$3:$A$12,MATCH(cadangan3[[#This Row],[ItemID B]],Katalog!$C$3:$C$12,0)),"-")</f>
        <v>Pakaian Pria</v>
      </c>
      <c r="O634" t="str">
        <f>IFERROR(INDEX(Katalog!$B$3:$B$12,MATCH(cadangan3[[#This Row],[ItemID B]],Katalog!$C$3:$C$12,0)),"-")</f>
        <v>Jaket Jeans</v>
      </c>
      <c r="P634">
        <v>1</v>
      </c>
      <c r="Q634">
        <v>5</v>
      </c>
      <c r="R634" s="36">
        <f>IFERROR(INDEX(Katalog!$D$3:$D$12,MATCH(cadangan3[[#This Row],[ItemID B]],Katalog!$C$3:$C$12,0))*cadangan3[[#This Row],[Qty B]],0)</f>
        <v>400000</v>
      </c>
      <c r="S634" s="36">
        <f>IFERROR(INDEX(Katalog!$D$3:$D$12,MATCH(cadangan3[[#This Row],[Item B]],Katalog!$B$3:$B$12,0))*cadangan3[[#This Row],[Qty B]],0)</f>
        <v>400000</v>
      </c>
      <c r="T634" s="36">
        <f>IFERROR(cadangan3[[#This Row],[Harga Asli B]]-(cadangan3[[#This Row],[Harga Asli B]]*cadangan3[[#This Row],[Diskon]]),cadangan3[[#This Row],[Harga Asli B]])</f>
        <v>400000</v>
      </c>
      <c r="U634" s="36">
        <f>IFERROR(INDEX(Katalog!$F$3:$F$12,MATCH(cadangan3[[#This Row],[ItemID B]],Katalog!$C$3:$C$12,0))*cadangan3[[#This Row],[Qty B]],0)</f>
        <v>150000</v>
      </c>
      <c r="V634" s="36">
        <f>IFERROR(cadangan3[[#This Row],[Profit B]]-(cadangan3[[#This Row],[Profit B]]*cadangan3[[#This Row],[Diskon]]),U634)</f>
        <v>150000</v>
      </c>
      <c r="X634" t="str">
        <f>IFERROR(INDEX(Katalog!$A$3:$A$12,MATCH(cadangan3[[#This Row],[ItemID C]],Katalog!$C$3:$C$12,0)),"-")</f>
        <v>-</v>
      </c>
      <c r="Y634" t="str">
        <f>IFERROR(INDEX(Katalog!$B$3:$B$12,MATCH(cadangan3[[#This Row],[ItemID C]],Katalog!$C$3:$C$12,0)),"-")</f>
        <v>-</v>
      </c>
      <c r="AB634" s="36">
        <f>IFERROR(INDEX(Katalog!$D$3:$D$12,MATCH(cadangan3[[#This Row],[ItemID C]],Katalog!$C$3:$C$12,0))*cadangan3[[#This Row],[Qty C]],0)</f>
        <v>0</v>
      </c>
      <c r="AC634" s="36">
        <f>IFERROR(INDEX(Katalog!$D$3:$D$12,MATCH(cadangan3[[#This Row],[Item C]],Katalog!$B$3:$B$12,0))*cadangan3[[#This Row],[Qty C]],0)</f>
        <v>0</v>
      </c>
      <c r="AD634" s="36">
        <f>IFERROR(cadangan3[[#This Row],[Harga Asli C]]-(cadangan3[[#This Row],[Harga Asli C]]*cadangan3[[#This Row],[Diskon]]),cadangan3[[#This Row],[Harga Asli C]])</f>
        <v>0</v>
      </c>
      <c r="AE634" s="36">
        <f>IFERROR(INDEX(Katalog!$F$3:$F$12,MATCH(cadangan3[[#This Row],[ItemID C]],Katalog!$C$3:$C$12,0))*cadangan3[[#This Row],[Qty C]],0)</f>
        <v>0</v>
      </c>
      <c r="AF634" s="36">
        <f>IFERROR(cadangan3[[#This Row],[Profit C]]-(cadangan3[[#This Row],[Profit C]]*cadangan3[[#This Row],[Diskon]]),cadangan3[[#This Row],[Profit C]])</f>
        <v>0</v>
      </c>
      <c r="AG634" s="21">
        <f>cadangan3[[#This Row],[Qty A]]+cadangan3[[#This Row],[Qty B]]+cadangan3[[#This Row],[Qty C]]</f>
        <v>2</v>
      </c>
      <c r="AH634" s="35">
        <f>cadangan3[[#This Row],[Harga A + Diskon]]+cadangan3[[#This Row],[Harga + Diskon B]]+cadangan3[[#This Row],[Harga + Diskon C]]</f>
        <v>550000</v>
      </c>
      <c r="AI634" s="35">
        <f>(cadangan3[[#This Row],[Profit A]]+cadangan3[[#This Row],[Profit B]]+cadangan3[[#This Row],[Profit C]])</f>
        <v>200000</v>
      </c>
      <c r="AJ634" s="35">
        <f>cadangan3[[#This Row],[Provit A + Diskon]]+cadangan3[[#This Row],[Provit B + Diskon]]+cadangan3[[#This Row],[Provit C + Diskon]]</f>
        <v>200000</v>
      </c>
      <c r="AK634" s="23" t="s">
        <v>11</v>
      </c>
      <c r="AL634" s="37" t="str">
        <f>IFERROR(INDEX('Kode Diskon'!$D$3:$D$9,MATCH(cadangan3[[#This Row],[Kode diskon]],'Kode Diskon'!$C$3:$C$9,0)),"-")</f>
        <v>-</v>
      </c>
      <c r="AM634" s="23" t="s">
        <v>11</v>
      </c>
      <c r="AN634" s="23" t="s">
        <v>12</v>
      </c>
      <c r="AO634" s="23" t="s">
        <v>79</v>
      </c>
      <c r="AP634" s="24">
        <v>45031</v>
      </c>
      <c r="AQ634" s="23" t="str">
        <f>TEXT(cadangan3[[#This Row],[Tanggal terjual]],"dddd")</f>
        <v>Saturday</v>
      </c>
    </row>
    <row r="635" spans="1:43" x14ac:dyDescent="0.2">
      <c r="A635" s="20">
        <v>634</v>
      </c>
      <c r="B635" s="21" t="str">
        <f>_xlfn.CONCAT("ORD-",INDEX(Helper!$B$2:$B$5,MATCH(cadangan3[[#This Row],[Marketplace]],Helper!$A$2:$A$5,0)),TEXT(cadangan3[[#This Row],[No]],"0000"),"-",TEXT(cadangan3[[#This Row],[Tanggal terjual]],"dd/mm/yy"))</f>
        <v>ORD-TK0634-01/04/23</v>
      </c>
      <c r="C635" t="s">
        <v>66</v>
      </c>
      <c r="D635" t="str">
        <f>IFERROR(INDEX(Katalog!$A$3:$A$12,MATCH(cadangan3[[#This Row],[ItemID A]],Katalog!$C$3:$C$12,0)),"-")</f>
        <v>Sepatu Pria</v>
      </c>
      <c r="E635" t="str">
        <f>IFERROR(INDEX(Katalog!$B$3:$B$12,MATCH(cadangan3[[#This Row],[ItemID A]],Katalog!$C$3:$C$12,0)),"-")</f>
        <v>Sandal Slip On</v>
      </c>
      <c r="F635">
        <v>1</v>
      </c>
      <c r="G635">
        <v>5</v>
      </c>
      <c r="H635" s="36">
        <f>IFERROR(INDEX(Katalog!$D$3:$D$12,MATCH(cadangan3[[#This Row],[ItemID A]],Katalog!$C$3:$C$12,0))*cadangan3[[#This Row],[Qty A]],0)</f>
        <v>150000</v>
      </c>
      <c r="I635" s="36">
        <f>IFERROR(INDEX(Katalog!$D$3:$D$12,MATCH(cadangan3[[#This Row],[Item A]],Katalog!$B$3:$B$12,0))*cadangan3[[#This Row],[Qty A]],0)</f>
        <v>150000</v>
      </c>
      <c r="J635" s="36">
        <f>IFERROR(cadangan3[[#This Row],[Harga Asli A]]-(cadangan3[[#This Row],[Harga Asli A]]*cadangan3[[#This Row],[Diskon]]),cadangan3[[#This Row],[Harga Asli A]])</f>
        <v>135000</v>
      </c>
      <c r="K635" s="36">
        <f>INDEX(Katalog!$F$3:$F$12,MATCH(cadangan3[[#This Row],[ItemID A]],Katalog!$C$3:$C$12,0))*cadangan3[[#This Row],[Qty A]]</f>
        <v>60000</v>
      </c>
      <c r="L635" s="36">
        <f>IFERROR(cadangan3[[#This Row],[Profit A]]-(cadangan3[[#This Row],[Profit A]]*cadangan3[[#This Row],[Diskon]]),K635)</f>
        <v>54000</v>
      </c>
      <c r="N635" t="str">
        <f>IFERROR(INDEX(Katalog!$A$3:$A$12,MATCH(cadangan3[[#This Row],[ItemID B]],Katalog!$C$3:$C$12,0)),"-")</f>
        <v>-</v>
      </c>
      <c r="O635" t="str">
        <f>IFERROR(INDEX(Katalog!$B$3:$B$12,MATCH(cadangan3[[#This Row],[ItemID B]],Katalog!$C$3:$C$12,0)),"-")</f>
        <v>-</v>
      </c>
      <c r="R635" s="36">
        <f>IFERROR(INDEX(Katalog!$D$3:$D$12,MATCH(cadangan3[[#This Row],[ItemID B]],Katalog!$C$3:$C$12,0))*cadangan3[[#This Row],[Qty B]],0)</f>
        <v>0</v>
      </c>
      <c r="S635" s="36">
        <f>IFERROR(INDEX(Katalog!$D$3:$D$12,MATCH(cadangan3[[#This Row],[Item B]],Katalog!$B$3:$B$12,0))*cadangan3[[#This Row],[Qty B]],0)</f>
        <v>0</v>
      </c>
      <c r="T635" s="36">
        <f>IFERROR(cadangan3[[#This Row],[Harga Asli B]]-(cadangan3[[#This Row],[Harga Asli B]]*cadangan3[[#This Row],[Diskon]]),cadangan3[[#This Row],[Harga Asli B]])</f>
        <v>0</v>
      </c>
      <c r="U635" s="36">
        <f>IFERROR(INDEX(Katalog!$F$3:$F$12,MATCH(cadangan3[[#This Row],[ItemID B]],Katalog!$C$3:$C$12,0))*cadangan3[[#This Row],[Qty B]],0)</f>
        <v>0</v>
      </c>
      <c r="V635" s="36">
        <f>IFERROR(cadangan3[[#This Row],[Profit B]]-(cadangan3[[#This Row],[Profit B]]*cadangan3[[#This Row],[Diskon]]),U635)</f>
        <v>0</v>
      </c>
      <c r="X635" t="str">
        <f>IFERROR(INDEX(Katalog!$A$3:$A$12,MATCH(cadangan3[[#This Row],[ItemID C]],Katalog!$C$3:$C$12,0)),"-")</f>
        <v>-</v>
      </c>
      <c r="Y635" t="str">
        <f>IFERROR(INDEX(Katalog!$B$3:$B$12,MATCH(cadangan3[[#This Row],[ItemID C]],Katalog!$C$3:$C$12,0)),"-")</f>
        <v>-</v>
      </c>
      <c r="AB635" s="36">
        <f>IFERROR(INDEX(Katalog!$D$3:$D$12,MATCH(cadangan3[[#This Row],[ItemID C]],Katalog!$C$3:$C$12,0))*cadangan3[[#This Row],[Qty C]],0)</f>
        <v>0</v>
      </c>
      <c r="AC635" s="36">
        <f>IFERROR(INDEX(Katalog!$D$3:$D$12,MATCH(cadangan3[[#This Row],[Item C]],Katalog!$B$3:$B$12,0))*cadangan3[[#This Row],[Qty C]],0)</f>
        <v>0</v>
      </c>
      <c r="AD635" s="36">
        <f>IFERROR(cadangan3[[#This Row],[Harga Asli C]]-(cadangan3[[#This Row],[Harga Asli C]]*cadangan3[[#This Row],[Diskon]]),cadangan3[[#This Row],[Harga Asli C]])</f>
        <v>0</v>
      </c>
      <c r="AE635" s="36">
        <f>IFERROR(INDEX(Katalog!$F$3:$F$12,MATCH(cadangan3[[#This Row],[ItemID C]],Katalog!$C$3:$C$12,0))*cadangan3[[#This Row],[Qty C]],0)</f>
        <v>0</v>
      </c>
      <c r="AF635" s="36">
        <f>IFERROR(cadangan3[[#This Row],[Profit C]]-(cadangan3[[#This Row],[Profit C]]*cadangan3[[#This Row],[Diskon]]),cadangan3[[#This Row],[Profit C]])</f>
        <v>0</v>
      </c>
      <c r="AG635" s="21">
        <f>cadangan3[[#This Row],[Qty A]]+cadangan3[[#This Row],[Qty B]]+cadangan3[[#This Row],[Qty C]]</f>
        <v>1</v>
      </c>
      <c r="AH635" s="35">
        <f>cadangan3[[#This Row],[Harga A + Diskon]]+cadangan3[[#This Row],[Harga + Diskon B]]+cadangan3[[#This Row],[Harga + Diskon C]]</f>
        <v>135000</v>
      </c>
      <c r="AI635" s="35">
        <f>(cadangan3[[#This Row],[Profit A]]+cadangan3[[#This Row],[Profit B]]+cadangan3[[#This Row],[Profit C]])</f>
        <v>60000</v>
      </c>
      <c r="AJ635" s="35">
        <f>cadangan3[[#This Row],[Provit A + Diskon]]+cadangan3[[#This Row],[Provit B + Diskon]]+cadangan3[[#This Row],[Provit C + Diskon]]</f>
        <v>54000</v>
      </c>
      <c r="AK635" s="23" t="s">
        <v>30</v>
      </c>
      <c r="AL635" s="37">
        <f>IFERROR(INDEX('Kode Diskon'!$D$3:$D$9,MATCH(cadangan3[[#This Row],[Kode diskon]],'Kode Diskon'!$C$3:$C$9,0)),"-")</f>
        <v>0.1</v>
      </c>
      <c r="AM635" s="23" t="s">
        <v>29</v>
      </c>
      <c r="AN635" s="23" t="s">
        <v>10</v>
      </c>
      <c r="AO635" s="23" t="s">
        <v>75</v>
      </c>
      <c r="AP635" s="24">
        <v>45017</v>
      </c>
      <c r="AQ635" s="23" t="str">
        <f>TEXT(cadangan3[[#This Row],[Tanggal terjual]],"dddd")</f>
        <v>Saturday</v>
      </c>
    </row>
    <row r="636" spans="1:43" x14ac:dyDescent="0.2">
      <c r="A636" s="20">
        <v>635</v>
      </c>
      <c r="B636" s="21" t="str">
        <f>_xlfn.CONCAT("ORD-",INDEX(Helper!$B$2:$B$5,MATCH(cadangan3[[#This Row],[Marketplace]],Helper!$A$2:$A$5,0)),TEXT(cadangan3[[#This Row],[No]],"0000"),"-",TEXT(cadangan3[[#This Row],[Tanggal terjual]],"dd/mm/yy"))</f>
        <v>ORD-TK0635-06/04/23</v>
      </c>
      <c r="C636" t="s">
        <v>62</v>
      </c>
      <c r="D636" t="str">
        <f>IFERROR(INDEX(Katalog!$A$3:$A$12,MATCH(cadangan3[[#This Row],[ItemID A]],Katalog!$C$3:$C$12,0)),"-")</f>
        <v>Pakaian Pria</v>
      </c>
      <c r="E636" t="str">
        <f>IFERROR(INDEX(Katalog!$B$3:$B$12,MATCH(cadangan3[[#This Row],[ItemID A]],Katalog!$C$3:$C$12,0)),"-")</f>
        <v>Celana Pendek</v>
      </c>
      <c r="F636">
        <v>3</v>
      </c>
      <c r="G636">
        <v>2</v>
      </c>
      <c r="H636" s="36">
        <f>IFERROR(INDEX(Katalog!$D$3:$D$12,MATCH(cadangan3[[#This Row],[ItemID A]],Katalog!$C$3:$C$12,0))*cadangan3[[#This Row],[Qty A]],0)</f>
        <v>540000</v>
      </c>
      <c r="I636" s="36">
        <f>IFERROR(INDEX(Katalog!$D$3:$D$12,MATCH(cadangan3[[#This Row],[Item A]],Katalog!$B$3:$B$12,0))*cadangan3[[#This Row],[Qty A]],0)</f>
        <v>540000</v>
      </c>
      <c r="J636" s="36">
        <f>IFERROR(cadangan3[[#This Row],[Harga Asli A]]-(cadangan3[[#This Row],[Harga Asli A]]*cadangan3[[#This Row],[Diskon]]),cadangan3[[#This Row],[Harga Asli A]])</f>
        <v>486000</v>
      </c>
      <c r="K636" s="36">
        <f>INDEX(Katalog!$F$3:$F$12,MATCH(cadangan3[[#This Row],[ItemID A]],Katalog!$C$3:$C$12,0))*cadangan3[[#This Row],[Qty A]]</f>
        <v>210000</v>
      </c>
      <c r="L636" s="36">
        <f>IFERROR(cadangan3[[#This Row],[Profit A]]-(cadangan3[[#This Row],[Profit A]]*cadangan3[[#This Row],[Diskon]]),K636)</f>
        <v>189000</v>
      </c>
      <c r="M636" t="s">
        <v>65</v>
      </c>
      <c r="N636" t="str">
        <f>IFERROR(INDEX(Katalog!$A$3:$A$12,MATCH(cadangan3[[#This Row],[ItemID B]],Katalog!$C$3:$C$12,0)),"-")</f>
        <v>Sepatu Pria</v>
      </c>
      <c r="O636" t="str">
        <f>IFERROR(INDEX(Katalog!$B$3:$B$12,MATCH(cadangan3[[#This Row],[ItemID B]],Katalog!$C$3:$C$12,0)),"-")</f>
        <v>Sneakers</v>
      </c>
      <c r="P636">
        <v>1</v>
      </c>
      <c r="Q636">
        <v>3</v>
      </c>
      <c r="R636" s="36">
        <f>IFERROR(INDEX(Katalog!$D$3:$D$12,MATCH(cadangan3[[#This Row],[ItemID B]],Katalog!$C$3:$C$12,0))*cadangan3[[#This Row],[Qty B]],0)</f>
        <v>500000</v>
      </c>
      <c r="S636" s="36">
        <f>IFERROR(INDEX(Katalog!$D$3:$D$12,MATCH(cadangan3[[#This Row],[Item B]],Katalog!$B$3:$B$12,0))*cadangan3[[#This Row],[Qty B]],0)</f>
        <v>500000</v>
      </c>
      <c r="T636" s="36">
        <f>IFERROR(cadangan3[[#This Row],[Harga Asli B]]-(cadangan3[[#This Row],[Harga Asli B]]*cadangan3[[#This Row],[Diskon]]),cadangan3[[#This Row],[Harga Asli B]])</f>
        <v>450000</v>
      </c>
      <c r="U636" s="36">
        <f>IFERROR(INDEX(Katalog!$F$3:$F$12,MATCH(cadangan3[[#This Row],[ItemID B]],Katalog!$C$3:$C$12,0))*cadangan3[[#This Row],[Qty B]],0)</f>
        <v>200000</v>
      </c>
      <c r="V636" s="36">
        <f>IFERROR(cadangan3[[#This Row],[Profit B]]-(cadangan3[[#This Row],[Profit B]]*cadangan3[[#This Row],[Diskon]]),U636)</f>
        <v>180000</v>
      </c>
      <c r="X636" t="str">
        <f>IFERROR(INDEX(Katalog!$A$3:$A$12,MATCH(cadangan3[[#This Row],[ItemID C]],Katalog!$C$3:$C$12,0)),"-")</f>
        <v>-</v>
      </c>
      <c r="Y636" t="str">
        <f>IFERROR(INDEX(Katalog!$B$3:$B$12,MATCH(cadangan3[[#This Row],[ItemID C]],Katalog!$C$3:$C$12,0)),"-")</f>
        <v>-</v>
      </c>
      <c r="AB636" s="36">
        <f>IFERROR(INDEX(Katalog!$D$3:$D$12,MATCH(cadangan3[[#This Row],[ItemID C]],Katalog!$C$3:$C$12,0))*cadangan3[[#This Row],[Qty C]],0)</f>
        <v>0</v>
      </c>
      <c r="AC636" s="36">
        <f>IFERROR(INDEX(Katalog!$D$3:$D$12,MATCH(cadangan3[[#This Row],[Item C]],Katalog!$B$3:$B$12,0))*cadangan3[[#This Row],[Qty C]],0)</f>
        <v>0</v>
      </c>
      <c r="AD636" s="36">
        <f>IFERROR(cadangan3[[#This Row],[Harga Asli C]]-(cadangan3[[#This Row],[Harga Asli C]]*cadangan3[[#This Row],[Diskon]]),cadangan3[[#This Row],[Harga Asli C]])</f>
        <v>0</v>
      </c>
      <c r="AE636" s="36">
        <f>IFERROR(INDEX(Katalog!$F$3:$F$12,MATCH(cadangan3[[#This Row],[ItemID C]],Katalog!$C$3:$C$12,0))*cadangan3[[#This Row],[Qty C]],0)</f>
        <v>0</v>
      </c>
      <c r="AF636" s="36">
        <f>IFERROR(cadangan3[[#This Row],[Profit C]]-(cadangan3[[#This Row],[Profit C]]*cadangan3[[#This Row],[Diskon]]),cadangan3[[#This Row],[Profit C]])</f>
        <v>0</v>
      </c>
      <c r="AG636" s="21">
        <f>cadangan3[[#This Row],[Qty A]]+cadangan3[[#This Row],[Qty B]]+cadangan3[[#This Row],[Qty C]]</f>
        <v>4</v>
      </c>
      <c r="AH636" s="35">
        <f>cadangan3[[#This Row],[Harga A + Diskon]]+cadangan3[[#This Row],[Harga + Diskon B]]+cadangan3[[#This Row],[Harga + Diskon C]]</f>
        <v>936000</v>
      </c>
      <c r="AI636" s="35">
        <f>(cadangan3[[#This Row],[Profit A]]+cadangan3[[#This Row],[Profit B]]+cadangan3[[#This Row],[Profit C]])</f>
        <v>410000</v>
      </c>
      <c r="AJ636" s="35">
        <f>cadangan3[[#This Row],[Provit A + Diskon]]+cadangan3[[#This Row],[Provit B + Diskon]]+cadangan3[[#This Row],[Provit C + Diskon]]</f>
        <v>369000</v>
      </c>
      <c r="AK636" s="23" t="s">
        <v>30</v>
      </c>
      <c r="AL636" s="37">
        <f>IFERROR(INDEX('Kode Diskon'!$D$3:$D$9,MATCH(cadangan3[[#This Row],[Kode diskon]],'Kode Diskon'!$C$3:$C$9,0)),"-")</f>
        <v>0.1</v>
      </c>
      <c r="AM636" s="23" t="s">
        <v>29</v>
      </c>
      <c r="AN636" s="23" t="s">
        <v>10</v>
      </c>
      <c r="AO636" s="23" t="s">
        <v>80</v>
      </c>
      <c r="AP636" s="24">
        <v>45022</v>
      </c>
      <c r="AQ636" s="23" t="str">
        <f>TEXT(cadangan3[[#This Row],[Tanggal terjual]],"dddd")</f>
        <v>Thursday</v>
      </c>
    </row>
    <row r="637" spans="1:43" x14ac:dyDescent="0.2">
      <c r="A637" s="20">
        <v>636</v>
      </c>
      <c r="B637" s="21" t="str">
        <f>_xlfn.CONCAT("ORD-",INDEX(Helper!$B$2:$B$5,MATCH(cadangan3[[#This Row],[Marketplace]],Helper!$A$2:$A$5,0)),TEXT(cadangan3[[#This Row],[No]],"0000"),"-",TEXT(cadangan3[[#This Row],[Tanggal terjual]],"dd/mm/yy"))</f>
        <v>ORD-TK0636-08/04/23</v>
      </c>
      <c r="C637" t="s">
        <v>58</v>
      </c>
      <c r="D637" t="str">
        <f>IFERROR(INDEX(Katalog!$A$3:$A$12,MATCH(cadangan3[[#This Row],[ItemID A]],Katalog!$C$3:$C$12,0)),"-")</f>
        <v>Pakaian Wanita</v>
      </c>
      <c r="E637" t="str">
        <f>IFERROR(INDEX(Katalog!$B$3:$B$12,MATCH(cadangan3[[#This Row],[ItemID A]],Katalog!$C$3:$C$12,0)),"-")</f>
        <v>Dress</v>
      </c>
      <c r="F637">
        <v>1</v>
      </c>
      <c r="G637">
        <v>5</v>
      </c>
      <c r="H637" s="36">
        <f>IFERROR(INDEX(Katalog!$D$3:$D$12,MATCH(cadangan3[[#This Row],[ItemID A]],Katalog!$C$3:$C$12,0))*cadangan3[[#This Row],[Qty A]],0)</f>
        <v>300000</v>
      </c>
      <c r="I637" s="36">
        <f>IFERROR(INDEX(Katalog!$D$3:$D$12,MATCH(cadangan3[[#This Row],[Item A]],Katalog!$B$3:$B$12,0))*cadangan3[[#This Row],[Qty A]],0)</f>
        <v>300000</v>
      </c>
      <c r="J637" s="36">
        <f>IFERROR(cadangan3[[#This Row],[Harga Asli A]]-(cadangan3[[#This Row],[Harga Asli A]]*cadangan3[[#This Row],[Diskon]]),cadangan3[[#This Row],[Harga Asli A]])</f>
        <v>300000</v>
      </c>
      <c r="K637" s="36">
        <f>INDEX(Katalog!$F$3:$F$12,MATCH(cadangan3[[#This Row],[ItemID A]],Katalog!$C$3:$C$12,0))*cadangan3[[#This Row],[Qty A]]</f>
        <v>100000</v>
      </c>
      <c r="L637" s="36">
        <f>IFERROR(cadangan3[[#This Row],[Profit A]]-(cadangan3[[#This Row],[Profit A]]*cadangan3[[#This Row],[Diskon]]),K637)</f>
        <v>100000</v>
      </c>
      <c r="N637" t="str">
        <f>IFERROR(INDEX(Katalog!$A$3:$A$12,MATCH(cadangan3[[#This Row],[ItemID B]],Katalog!$C$3:$C$12,0)),"-")</f>
        <v>-</v>
      </c>
      <c r="O637" t="str">
        <f>IFERROR(INDEX(Katalog!$B$3:$B$12,MATCH(cadangan3[[#This Row],[ItemID B]],Katalog!$C$3:$C$12,0)),"-")</f>
        <v>-</v>
      </c>
      <c r="R637" s="36">
        <f>IFERROR(INDEX(Katalog!$D$3:$D$12,MATCH(cadangan3[[#This Row],[ItemID B]],Katalog!$C$3:$C$12,0))*cadangan3[[#This Row],[Qty B]],0)</f>
        <v>0</v>
      </c>
      <c r="S637" s="36">
        <f>IFERROR(INDEX(Katalog!$D$3:$D$12,MATCH(cadangan3[[#This Row],[Item B]],Katalog!$B$3:$B$12,0))*cadangan3[[#This Row],[Qty B]],0)</f>
        <v>0</v>
      </c>
      <c r="T637" s="36">
        <f>IFERROR(cadangan3[[#This Row],[Harga Asli B]]-(cadangan3[[#This Row],[Harga Asli B]]*cadangan3[[#This Row],[Diskon]]),cadangan3[[#This Row],[Harga Asli B]])</f>
        <v>0</v>
      </c>
      <c r="U637" s="36">
        <f>IFERROR(INDEX(Katalog!$F$3:$F$12,MATCH(cadangan3[[#This Row],[ItemID B]],Katalog!$C$3:$C$12,0))*cadangan3[[#This Row],[Qty B]],0)</f>
        <v>0</v>
      </c>
      <c r="V637" s="36">
        <f>IFERROR(cadangan3[[#This Row],[Profit B]]-(cadangan3[[#This Row],[Profit B]]*cadangan3[[#This Row],[Diskon]]),U637)</f>
        <v>0</v>
      </c>
      <c r="X637" t="str">
        <f>IFERROR(INDEX(Katalog!$A$3:$A$12,MATCH(cadangan3[[#This Row],[ItemID C]],Katalog!$C$3:$C$12,0)),"-")</f>
        <v>-</v>
      </c>
      <c r="Y637" t="str">
        <f>IFERROR(INDEX(Katalog!$B$3:$B$12,MATCH(cadangan3[[#This Row],[ItemID C]],Katalog!$C$3:$C$12,0)),"-")</f>
        <v>-</v>
      </c>
      <c r="AB637" s="36">
        <f>IFERROR(INDEX(Katalog!$D$3:$D$12,MATCH(cadangan3[[#This Row],[ItemID C]],Katalog!$C$3:$C$12,0))*cadangan3[[#This Row],[Qty C]],0)</f>
        <v>0</v>
      </c>
      <c r="AC637" s="36">
        <f>IFERROR(INDEX(Katalog!$D$3:$D$12,MATCH(cadangan3[[#This Row],[Item C]],Katalog!$B$3:$B$12,0))*cadangan3[[#This Row],[Qty C]],0)</f>
        <v>0</v>
      </c>
      <c r="AD637" s="36">
        <f>IFERROR(cadangan3[[#This Row],[Harga Asli C]]-(cadangan3[[#This Row],[Harga Asli C]]*cadangan3[[#This Row],[Diskon]]),cadangan3[[#This Row],[Harga Asli C]])</f>
        <v>0</v>
      </c>
      <c r="AE637" s="36">
        <f>IFERROR(INDEX(Katalog!$F$3:$F$12,MATCH(cadangan3[[#This Row],[ItemID C]],Katalog!$C$3:$C$12,0))*cadangan3[[#This Row],[Qty C]],0)</f>
        <v>0</v>
      </c>
      <c r="AF637" s="36">
        <f>IFERROR(cadangan3[[#This Row],[Profit C]]-(cadangan3[[#This Row],[Profit C]]*cadangan3[[#This Row],[Diskon]]),cadangan3[[#This Row],[Profit C]])</f>
        <v>0</v>
      </c>
      <c r="AG637" s="21">
        <f>cadangan3[[#This Row],[Qty A]]+cadangan3[[#This Row],[Qty B]]+cadangan3[[#This Row],[Qty C]]</f>
        <v>1</v>
      </c>
      <c r="AH637" s="35">
        <f>cadangan3[[#This Row],[Harga A + Diskon]]+cadangan3[[#This Row],[Harga + Diskon B]]+cadangan3[[#This Row],[Harga + Diskon C]]</f>
        <v>300000</v>
      </c>
      <c r="AI637" s="35">
        <f>(cadangan3[[#This Row],[Profit A]]+cadangan3[[#This Row],[Profit B]]+cadangan3[[#This Row],[Profit C]])</f>
        <v>100000</v>
      </c>
      <c r="AJ637" s="35">
        <f>cadangan3[[#This Row],[Provit A + Diskon]]+cadangan3[[#This Row],[Provit B + Diskon]]+cadangan3[[#This Row],[Provit C + Diskon]]</f>
        <v>100000</v>
      </c>
      <c r="AK637" s="23" t="s">
        <v>11</v>
      </c>
      <c r="AL637" s="37" t="str">
        <f>IFERROR(INDEX('Kode Diskon'!$D$3:$D$9,MATCH(cadangan3[[#This Row],[Kode diskon]],'Kode Diskon'!$C$3:$C$9,0)),"-")</f>
        <v>-</v>
      </c>
      <c r="AM637" s="23" t="s">
        <v>11</v>
      </c>
      <c r="AN637" s="23" t="s">
        <v>10</v>
      </c>
      <c r="AO637" s="23" t="s">
        <v>77</v>
      </c>
      <c r="AP637" s="24">
        <v>45024</v>
      </c>
      <c r="AQ637" s="23" t="str">
        <f>TEXT(cadangan3[[#This Row],[Tanggal terjual]],"dddd")</f>
        <v>Saturday</v>
      </c>
    </row>
    <row r="638" spans="1:43" x14ac:dyDescent="0.2">
      <c r="A638" s="20">
        <v>637</v>
      </c>
      <c r="B638" s="21" t="str">
        <f>_xlfn.CONCAT("ORD-",INDEX(Helper!$B$2:$B$5,MATCH(cadangan3[[#This Row],[Marketplace]],Helper!$A$2:$A$5,0)),TEXT(cadangan3[[#This Row],[No]],"0000"),"-",TEXT(cadangan3[[#This Row],[Tanggal terjual]],"dd/mm/yy"))</f>
        <v>ORD-BB0637-01/04/23</v>
      </c>
      <c r="C638" t="s">
        <v>64</v>
      </c>
      <c r="D638" t="str">
        <f>IFERROR(INDEX(Katalog!$A$3:$A$12,MATCH(cadangan3[[#This Row],[ItemID A]],Katalog!$C$3:$C$12,0)),"-")</f>
        <v>Pakaian Unisex</v>
      </c>
      <c r="E638" t="str">
        <f>IFERROR(INDEX(Katalog!$B$3:$B$12,MATCH(cadangan3[[#This Row],[ItemID A]],Katalog!$C$3:$C$12,0)),"-")</f>
        <v>Jaket Hoodie</v>
      </c>
      <c r="F638">
        <v>1</v>
      </c>
      <c r="G638">
        <v>5</v>
      </c>
      <c r="H638" s="36">
        <f>IFERROR(INDEX(Katalog!$D$3:$D$12,MATCH(cadangan3[[#This Row],[ItemID A]],Katalog!$C$3:$C$12,0))*cadangan3[[#This Row],[Qty A]],0)</f>
        <v>350000</v>
      </c>
      <c r="I638" s="36">
        <f>IFERROR(INDEX(Katalog!$D$3:$D$12,MATCH(cadangan3[[#This Row],[Item A]],Katalog!$B$3:$B$12,0))*cadangan3[[#This Row],[Qty A]],0)</f>
        <v>350000</v>
      </c>
      <c r="J638" s="36">
        <f>IFERROR(cadangan3[[#This Row],[Harga Asli A]]-(cadangan3[[#This Row],[Harga Asli A]]*cadangan3[[#This Row],[Diskon]]),cadangan3[[#This Row],[Harga Asli A]])</f>
        <v>297500</v>
      </c>
      <c r="K638" s="36">
        <f>INDEX(Katalog!$F$3:$F$12,MATCH(cadangan3[[#This Row],[ItemID A]],Katalog!$C$3:$C$12,0))*cadangan3[[#This Row],[Qty A]]</f>
        <v>130000</v>
      </c>
      <c r="L638" s="36">
        <f>IFERROR(cadangan3[[#This Row],[Profit A]]-(cadangan3[[#This Row],[Profit A]]*cadangan3[[#This Row],[Diskon]]),K638)</f>
        <v>110500</v>
      </c>
      <c r="M638" t="s">
        <v>61</v>
      </c>
      <c r="N638" t="str">
        <f>IFERROR(INDEX(Katalog!$A$3:$A$12,MATCH(cadangan3[[#This Row],[ItemID B]],Katalog!$C$3:$C$12,0)),"-")</f>
        <v>Pakaian Pria</v>
      </c>
      <c r="O638" t="str">
        <f>IFERROR(INDEX(Katalog!$B$3:$B$12,MATCH(cadangan3[[#This Row],[ItemID B]],Katalog!$C$3:$C$12,0)),"-")</f>
        <v>Kaos Polo</v>
      </c>
      <c r="P638">
        <v>2</v>
      </c>
      <c r="Q638">
        <v>3</v>
      </c>
      <c r="R638" s="36">
        <f>IFERROR(INDEX(Katalog!$D$3:$D$12,MATCH(cadangan3[[#This Row],[ItemID B]],Katalog!$C$3:$C$12,0))*cadangan3[[#This Row],[Qty B]],0)</f>
        <v>400000</v>
      </c>
      <c r="S638" s="36">
        <f>IFERROR(INDEX(Katalog!$D$3:$D$12,MATCH(cadangan3[[#This Row],[Item B]],Katalog!$B$3:$B$12,0))*cadangan3[[#This Row],[Qty B]],0)</f>
        <v>400000</v>
      </c>
      <c r="T638" s="36">
        <f>IFERROR(cadangan3[[#This Row],[Harga Asli B]]-(cadangan3[[#This Row],[Harga Asli B]]*cadangan3[[#This Row],[Diskon]]),cadangan3[[#This Row],[Harga Asli B]])</f>
        <v>340000</v>
      </c>
      <c r="U638" s="36">
        <f>IFERROR(INDEX(Katalog!$F$3:$F$12,MATCH(cadangan3[[#This Row],[ItemID B]],Katalog!$C$3:$C$12,0))*cadangan3[[#This Row],[Qty B]],0)</f>
        <v>160000</v>
      </c>
      <c r="V638" s="36">
        <f>IFERROR(cadangan3[[#This Row],[Profit B]]-(cadangan3[[#This Row],[Profit B]]*cadangan3[[#This Row],[Diskon]]),U638)</f>
        <v>136000</v>
      </c>
      <c r="W638" t="s">
        <v>62</v>
      </c>
      <c r="X638" t="str">
        <f>IFERROR(INDEX(Katalog!$A$3:$A$12,MATCH(cadangan3[[#This Row],[ItemID C]],Katalog!$C$3:$C$12,0)),"-")</f>
        <v>Pakaian Pria</v>
      </c>
      <c r="Y638" t="str">
        <f>IFERROR(INDEX(Katalog!$B$3:$B$12,MATCH(cadangan3[[#This Row],[ItemID C]],Katalog!$C$3:$C$12,0)),"-")</f>
        <v>Celana Pendek</v>
      </c>
      <c r="Z638">
        <v>3</v>
      </c>
      <c r="AA638">
        <v>1</v>
      </c>
      <c r="AB638" s="36">
        <f>IFERROR(INDEX(Katalog!$D$3:$D$12,MATCH(cadangan3[[#This Row],[ItemID C]],Katalog!$C$3:$C$12,0))*cadangan3[[#This Row],[Qty C]],0)</f>
        <v>540000</v>
      </c>
      <c r="AC638" s="36">
        <f>IFERROR(INDEX(Katalog!$D$3:$D$12,MATCH(cadangan3[[#This Row],[Item C]],Katalog!$B$3:$B$12,0))*cadangan3[[#This Row],[Qty C]],0)</f>
        <v>540000</v>
      </c>
      <c r="AD638" s="36">
        <f>IFERROR(cadangan3[[#This Row],[Harga Asli C]]-(cadangan3[[#This Row],[Harga Asli C]]*cadangan3[[#This Row],[Diskon]]),cadangan3[[#This Row],[Harga Asli C]])</f>
        <v>459000</v>
      </c>
      <c r="AE638" s="36">
        <f>IFERROR(INDEX(Katalog!$F$3:$F$12,MATCH(cadangan3[[#This Row],[ItemID C]],Katalog!$C$3:$C$12,0))*cadangan3[[#This Row],[Qty C]],0)</f>
        <v>210000</v>
      </c>
      <c r="AF638" s="36">
        <f>IFERROR(cadangan3[[#This Row],[Profit C]]-(cadangan3[[#This Row],[Profit C]]*cadangan3[[#This Row],[Diskon]]),cadangan3[[#This Row],[Profit C]])</f>
        <v>178500</v>
      </c>
      <c r="AG638" s="21">
        <f>cadangan3[[#This Row],[Qty A]]+cadangan3[[#This Row],[Qty B]]+cadangan3[[#This Row],[Qty C]]</f>
        <v>6</v>
      </c>
      <c r="AH638" s="35">
        <f>cadangan3[[#This Row],[Harga A + Diskon]]+cadangan3[[#This Row],[Harga + Diskon B]]+cadangan3[[#This Row],[Harga + Diskon C]]</f>
        <v>1096500</v>
      </c>
      <c r="AI638" s="35">
        <f>(cadangan3[[#This Row],[Profit A]]+cadangan3[[#This Row],[Profit B]]+cadangan3[[#This Row],[Profit C]])</f>
        <v>500000</v>
      </c>
      <c r="AJ638" s="35">
        <f>cadangan3[[#This Row],[Provit A + Diskon]]+cadangan3[[#This Row],[Provit B + Diskon]]+cadangan3[[#This Row],[Provit C + Diskon]]</f>
        <v>425000</v>
      </c>
      <c r="AK638" s="23" t="s">
        <v>28</v>
      </c>
      <c r="AL638" s="37">
        <f>IFERROR(INDEX('Kode Diskon'!$D$3:$D$9,MATCH(cadangan3[[#This Row],[Kode diskon]],'Kode Diskon'!$C$3:$C$9,0)),"-")</f>
        <v>0.15</v>
      </c>
      <c r="AM638" s="23" t="s">
        <v>29</v>
      </c>
      <c r="AN638" s="23" t="s">
        <v>14</v>
      </c>
      <c r="AO638" s="23" t="s">
        <v>76</v>
      </c>
      <c r="AP638" s="24">
        <v>45017</v>
      </c>
      <c r="AQ638" s="23" t="str">
        <f>TEXT(cadangan3[[#This Row],[Tanggal terjual]],"dddd")</f>
        <v>Saturday</v>
      </c>
    </row>
    <row r="639" spans="1:43" x14ac:dyDescent="0.2">
      <c r="A639" s="20">
        <v>638</v>
      </c>
      <c r="B639" s="21" t="str">
        <f>_xlfn.CONCAT("ORD-",INDEX(Helper!$B$2:$B$5,MATCH(cadangan3[[#This Row],[Marketplace]],Helper!$A$2:$A$5,0)),TEXT(cadangan3[[#This Row],[No]],"0000"),"-",TEXT(cadangan3[[#This Row],[Tanggal terjual]],"dd/mm/yy"))</f>
        <v>ORD-BB0638-04/04/23</v>
      </c>
      <c r="C639" t="s">
        <v>58</v>
      </c>
      <c r="D639" t="str">
        <f>IFERROR(INDEX(Katalog!$A$3:$A$12,MATCH(cadangan3[[#This Row],[ItemID A]],Katalog!$C$3:$C$12,0)),"-")</f>
        <v>Pakaian Wanita</v>
      </c>
      <c r="E639" t="str">
        <f>IFERROR(INDEX(Katalog!$B$3:$B$12,MATCH(cadangan3[[#This Row],[ItemID A]],Katalog!$C$3:$C$12,0)),"-")</f>
        <v>Dress</v>
      </c>
      <c r="F639">
        <v>4</v>
      </c>
      <c r="G639">
        <v>4</v>
      </c>
      <c r="H639" s="36">
        <f>IFERROR(INDEX(Katalog!$D$3:$D$12,MATCH(cadangan3[[#This Row],[ItemID A]],Katalog!$C$3:$C$12,0))*cadangan3[[#This Row],[Qty A]],0)</f>
        <v>1200000</v>
      </c>
      <c r="I639" s="36">
        <f>IFERROR(INDEX(Katalog!$D$3:$D$12,MATCH(cadangan3[[#This Row],[Item A]],Katalog!$B$3:$B$12,0))*cadangan3[[#This Row],[Qty A]],0)</f>
        <v>1200000</v>
      </c>
      <c r="J639" s="36">
        <f>IFERROR(cadangan3[[#This Row],[Harga Asli A]]-(cadangan3[[#This Row],[Harga Asli A]]*cadangan3[[#This Row],[Diskon]]),cadangan3[[#This Row],[Harga Asli A]])</f>
        <v>1020000</v>
      </c>
      <c r="K639" s="36">
        <f>INDEX(Katalog!$F$3:$F$12,MATCH(cadangan3[[#This Row],[ItemID A]],Katalog!$C$3:$C$12,0))*cadangan3[[#This Row],[Qty A]]</f>
        <v>400000</v>
      </c>
      <c r="L639" s="36">
        <f>IFERROR(cadangan3[[#This Row],[Profit A]]-(cadangan3[[#This Row],[Profit A]]*cadangan3[[#This Row],[Diskon]]),K639)</f>
        <v>340000</v>
      </c>
      <c r="N639" t="str">
        <f>IFERROR(INDEX(Katalog!$A$3:$A$12,MATCH(cadangan3[[#This Row],[ItemID B]],Katalog!$C$3:$C$12,0)),"-")</f>
        <v>-</v>
      </c>
      <c r="O639" t="str">
        <f>IFERROR(INDEX(Katalog!$B$3:$B$12,MATCH(cadangan3[[#This Row],[ItemID B]],Katalog!$C$3:$C$12,0)),"-")</f>
        <v>-</v>
      </c>
      <c r="R639" s="36">
        <f>IFERROR(INDEX(Katalog!$D$3:$D$12,MATCH(cadangan3[[#This Row],[ItemID B]],Katalog!$C$3:$C$12,0))*cadangan3[[#This Row],[Qty B]],0)</f>
        <v>0</v>
      </c>
      <c r="S639" s="36">
        <f>IFERROR(INDEX(Katalog!$D$3:$D$12,MATCH(cadangan3[[#This Row],[Item B]],Katalog!$B$3:$B$12,0))*cadangan3[[#This Row],[Qty B]],0)</f>
        <v>0</v>
      </c>
      <c r="T639" s="36">
        <f>IFERROR(cadangan3[[#This Row],[Harga Asli B]]-(cadangan3[[#This Row],[Harga Asli B]]*cadangan3[[#This Row],[Diskon]]),cadangan3[[#This Row],[Harga Asli B]])</f>
        <v>0</v>
      </c>
      <c r="U639" s="36">
        <f>IFERROR(INDEX(Katalog!$F$3:$F$12,MATCH(cadangan3[[#This Row],[ItemID B]],Katalog!$C$3:$C$12,0))*cadangan3[[#This Row],[Qty B]],0)</f>
        <v>0</v>
      </c>
      <c r="V639" s="36">
        <f>IFERROR(cadangan3[[#This Row],[Profit B]]-(cadangan3[[#This Row],[Profit B]]*cadangan3[[#This Row],[Diskon]]),U639)</f>
        <v>0</v>
      </c>
      <c r="X639" t="str">
        <f>IFERROR(INDEX(Katalog!$A$3:$A$12,MATCH(cadangan3[[#This Row],[ItemID C]],Katalog!$C$3:$C$12,0)),"-")</f>
        <v>-</v>
      </c>
      <c r="Y639" t="str">
        <f>IFERROR(INDEX(Katalog!$B$3:$B$12,MATCH(cadangan3[[#This Row],[ItemID C]],Katalog!$C$3:$C$12,0)),"-")</f>
        <v>-</v>
      </c>
      <c r="AB639" s="36">
        <f>IFERROR(INDEX(Katalog!$D$3:$D$12,MATCH(cadangan3[[#This Row],[ItemID C]],Katalog!$C$3:$C$12,0))*cadangan3[[#This Row],[Qty C]],0)</f>
        <v>0</v>
      </c>
      <c r="AC639" s="36">
        <f>IFERROR(INDEX(Katalog!$D$3:$D$12,MATCH(cadangan3[[#This Row],[Item C]],Katalog!$B$3:$B$12,0))*cadangan3[[#This Row],[Qty C]],0)</f>
        <v>0</v>
      </c>
      <c r="AD639" s="36">
        <f>IFERROR(cadangan3[[#This Row],[Harga Asli C]]-(cadangan3[[#This Row],[Harga Asli C]]*cadangan3[[#This Row],[Diskon]]),cadangan3[[#This Row],[Harga Asli C]])</f>
        <v>0</v>
      </c>
      <c r="AE639" s="36">
        <f>IFERROR(INDEX(Katalog!$F$3:$F$12,MATCH(cadangan3[[#This Row],[ItemID C]],Katalog!$C$3:$C$12,0))*cadangan3[[#This Row],[Qty C]],0)</f>
        <v>0</v>
      </c>
      <c r="AF639" s="36">
        <f>IFERROR(cadangan3[[#This Row],[Profit C]]-(cadangan3[[#This Row],[Profit C]]*cadangan3[[#This Row],[Diskon]]),cadangan3[[#This Row],[Profit C]])</f>
        <v>0</v>
      </c>
      <c r="AG639" s="21">
        <f>cadangan3[[#This Row],[Qty A]]+cadangan3[[#This Row],[Qty B]]+cadangan3[[#This Row],[Qty C]]</f>
        <v>4</v>
      </c>
      <c r="AH639" s="35">
        <f>cadangan3[[#This Row],[Harga A + Diskon]]+cadangan3[[#This Row],[Harga + Diskon B]]+cadangan3[[#This Row],[Harga + Diskon C]]</f>
        <v>1020000</v>
      </c>
      <c r="AI639" s="35">
        <f>(cadangan3[[#This Row],[Profit A]]+cadangan3[[#This Row],[Profit B]]+cadangan3[[#This Row],[Profit C]])</f>
        <v>400000</v>
      </c>
      <c r="AJ639" s="35">
        <f>cadangan3[[#This Row],[Provit A + Diskon]]+cadangan3[[#This Row],[Provit B + Diskon]]+cadangan3[[#This Row],[Provit C + Diskon]]</f>
        <v>340000</v>
      </c>
      <c r="AK639" s="23" t="s">
        <v>28</v>
      </c>
      <c r="AL639" s="37">
        <f>IFERROR(INDEX('Kode Diskon'!$D$3:$D$9,MATCH(cadangan3[[#This Row],[Kode diskon]],'Kode Diskon'!$C$3:$C$9,0)),"-")</f>
        <v>0.15</v>
      </c>
      <c r="AM639" s="23" t="s">
        <v>29</v>
      </c>
      <c r="AN639" s="23" t="s">
        <v>14</v>
      </c>
      <c r="AO639" s="23" t="s">
        <v>80</v>
      </c>
      <c r="AP639" s="24">
        <v>45020</v>
      </c>
      <c r="AQ639" s="23" t="str">
        <f>TEXT(cadangan3[[#This Row],[Tanggal terjual]],"dddd")</f>
        <v>Tuesday</v>
      </c>
    </row>
    <row r="640" spans="1:43" x14ac:dyDescent="0.2">
      <c r="A640" s="20">
        <v>639</v>
      </c>
      <c r="B640" s="21" t="str">
        <f>_xlfn.CONCAT("ORD-",INDEX(Helper!$B$2:$B$5,MATCH(cadangan3[[#This Row],[Marketplace]],Helper!$A$2:$A$5,0)),TEXT(cadangan3[[#This Row],[No]],"0000"),"-",TEXT(cadangan3[[#This Row],[Tanggal terjual]],"dd/mm/yy"))</f>
        <v>ORD-TK0639-28/04/23</v>
      </c>
      <c r="C640" t="s">
        <v>59</v>
      </c>
      <c r="D640" t="str">
        <f>IFERROR(INDEX(Katalog!$A$3:$A$12,MATCH(cadangan3[[#This Row],[ItemID A]],Katalog!$C$3:$C$12,0)),"-")</f>
        <v>Pakaian Wanita</v>
      </c>
      <c r="E640" t="str">
        <f>IFERROR(INDEX(Katalog!$B$3:$B$12,MATCH(cadangan3[[#This Row],[ItemID A]],Katalog!$C$3:$C$12,0)),"-")</f>
        <v>Blouse</v>
      </c>
      <c r="F640">
        <v>1</v>
      </c>
      <c r="G640">
        <v>1</v>
      </c>
      <c r="H640" s="36">
        <f>IFERROR(INDEX(Katalog!$D$3:$D$12,MATCH(cadangan3[[#This Row],[ItemID A]],Katalog!$C$3:$C$12,0))*cadangan3[[#This Row],[Qty A]],0)</f>
        <v>150000</v>
      </c>
      <c r="I640" s="36">
        <f>IFERROR(INDEX(Katalog!$D$3:$D$12,MATCH(cadangan3[[#This Row],[Item A]],Katalog!$B$3:$B$12,0))*cadangan3[[#This Row],[Qty A]],0)</f>
        <v>150000</v>
      </c>
      <c r="J640" s="36">
        <f>IFERROR(cadangan3[[#This Row],[Harga Asli A]]-(cadangan3[[#This Row],[Harga Asli A]]*cadangan3[[#This Row],[Diskon]]),cadangan3[[#This Row],[Harga Asli A]])</f>
        <v>135000</v>
      </c>
      <c r="K640" s="36">
        <f>INDEX(Katalog!$F$3:$F$12,MATCH(cadangan3[[#This Row],[ItemID A]],Katalog!$C$3:$C$12,0))*cadangan3[[#This Row],[Qty A]]</f>
        <v>50000</v>
      </c>
      <c r="L640" s="36">
        <f>IFERROR(cadangan3[[#This Row],[Profit A]]-(cadangan3[[#This Row],[Profit A]]*cadangan3[[#This Row],[Diskon]]),K640)</f>
        <v>45000</v>
      </c>
      <c r="N640" t="str">
        <f>IFERROR(INDEX(Katalog!$A$3:$A$12,MATCH(cadangan3[[#This Row],[ItemID B]],Katalog!$C$3:$C$12,0)),"-")</f>
        <v>-</v>
      </c>
      <c r="O640" t="str">
        <f>IFERROR(INDEX(Katalog!$B$3:$B$12,MATCH(cadangan3[[#This Row],[ItemID B]],Katalog!$C$3:$C$12,0)),"-")</f>
        <v>-</v>
      </c>
      <c r="R640" s="36">
        <f>IFERROR(INDEX(Katalog!$D$3:$D$12,MATCH(cadangan3[[#This Row],[ItemID B]],Katalog!$C$3:$C$12,0))*cadangan3[[#This Row],[Qty B]],0)</f>
        <v>0</v>
      </c>
      <c r="S640" s="36">
        <f>IFERROR(INDEX(Katalog!$D$3:$D$12,MATCH(cadangan3[[#This Row],[Item B]],Katalog!$B$3:$B$12,0))*cadangan3[[#This Row],[Qty B]],0)</f>
        <v>0</v>
      </c>
      <c r="T640" s="36">
        <f>IFERROR(cadangan3[[#This Row],[Harga Asli B]]-(cadangan3[[#This Row],[Harga Asli B]]*cadangan3[[#This Row],[Diskon]]),cadangan3[[#This Row],[Harga Asli B]])</f>
        <v>0</v>
      </c>
      <c r="U640" s="36">
        <f>IFERROR(INDEX(Katalog!$F$3:$F$12,MATCH(cadangan3[[#This Row],[ItemID B]],Katalog!$C$3:$C$12,0))*cadangan3[[#This Row],[Qty B]],0)</f>
        <v>0</v>
      </c>
      <c r="V640" s="36">
        <f>IFERROR(cadangan3[[#This Row],[Profit B]]-(cadangan3[[#This Row],[Profit B]]*cadangan3[[#This Row],[Diskon]]),U640)</f>
        <v>0</v>
      </c>
      <c r="X640" t="str">
        <f>IFERROR(INDEX(Katalog!$A$3:$A$12,MATCH(cadangan3[[#This Row],[ItemID C]],Katalog!$C$3:$C$12,0)),"-")</f>
        <v>-</v>
      </c>
      <c r="Y640" t="str">
        <f>IFERROR(INDEX(Katalog!$B$3:$B$12,MATCH(cadangan3[[#This Row],[ItemID C]],Katalog!$C$3:$C$12,0)),"-")</f>
        <v>-</v>
      </c>
      <c r="AB640" s="36">
        <f>IFERROR(INDEX(Katalog!$D$3:$D$12,MATCH(cadangan3[[#This Row],[ItemID C]],Katalog!$C$3:$C$12,0))*cadangan3[[#This Row],[Qty C]],0)</f>
        <v>0</v>
      </c>
      <c r="AC640" s="36">
        <f>IFERROR(INDEX(Katalog!$D$3:$D$12,MATCH(cadangan3[[#This Row],[Item C]],Katalog!$B$3:$B$12,0))*cadangan3[[#This Row],[Qty C]],0)</f>
        <v>0</v>
      </c>
      <c r="AD640" s="36">
        <f>IFERROR(cadangan3[[#This Row],[Harga Asli C]]-(cadangan3[[#This Row],[Harga Asli C]]*cadangan3[[#This Row],[Diskon]]),cadangan3[[#This Row],[Harga Asli C]])</f>
        <v>0</v>
      </c>
      <c r="AE640" s="36">
        <f>IFERROR(INDEX(Katalog!$F$3:$F$12,MATCH(cadangan3[[#This Row],[ItemID C]],Katalog!$C$3:$C$12,0))*cadangan3[[#This Row],[Qty C]],0)</f>
        <v>0</v>
      </c>
      <c r="AF640" s="36">
        <f>IFERROR(cadangan3[[#This Row],[Profit C]]-(cadangan3[[#This Row],[Profit C]]*cadangan3[[#This Row],[Diskon]]),cadangan3[[#This Row],[Profit C]])</f>
        <v>0</v>
      </c>
      <c r="AG640" s="21">
        <f>cadangan3[[#This Row],[Qty A]]+cadangan3[[#This Row],[Qty B]]+cadangan3[[#This Row],[Qty C]]</f>
        <v>1</v>
      </c>
      <c r="AH640" s="35">
        <f>cadangan3[[#This Row],[Harga A + Diskon]]+cadangan3[[#This Row],[Harga + Diskon B]]+cadangan3[[#This Row],[Harga + Diskon C]]</f>
        <v>135000</v>
      </c>
      <c r="AI640" s="35">
        <f>(cadangan3[[#This Row],[Profit A]]+cadangan3[[#This Row],[Profit B]]+cadangan3[[#This Row],[Profit C]])</f>
        <v>50000</v>
      </c>
      <c r="AJ640" s="35">
        <f>cadangan3[[#This Row],[Provit A + Diskon]]+cadangan3[[#This Row],[Provit B + Diskon]]+cadangan3[[#This Row],[Provit C + Diskon]]</f>
        <v>45000</v>
      </c>
      <c r="AK640" s="23" t="s">
        <v>31</v>
      </c>
      <c r="AL640" s="37">
        <f>IFERROR(INDEX('Kode Diskon'!$D$3:$D$9,MATCH(cadangan3[[#This Row],[Kode diskon]],'Kode Diskon'!$C$3:$C$9,0)),"-")</f>
        <v>0.1</v>
      </c>
      <c r="AM640" s="23" t="s">
        <v>9</v>
      </c>
      <c r="AN640" s="23" t="s">
        <v>10</v>
      </c>
      <c r="AO640" s="23" t="s">
        <v>80</v>
      </c>
      <c r="AP640" s="24">
        <v>45044</v>
      </c>
      <c r="AQ640" s="23" t="str">
        <f>TEXT(cadangan3[[#This Row],[Tanggal terjual]],"dddd")</f>
        <v>Friday</v>
      </c>
    </row>
    <row r="641" spans="1:43" x14ac:dyDescent="0.2">
      <c r="A641" s="20">
        <v>640</v>
      </c>
      <c r="B641" s="21" t="str">
        <f>_xlfn.CONCAT("ORD-",INDEX(Helper!$B$2:$B$5,MATCH(cadangan3[[#This Row],[Marketplace]],Helper!$A$2:$A$5,0)),TEXT(cadangan3[[#This Row],[No]],"0000"),"-",TEXT(cadangan3[[#This Row],[Tanggal terjual]],"dd/mm/yy"))</f>
        <v>ORD-SP0640-05/04/23</v>
      </c>
      <c r="C641" t="s">
        <v>63</v>
      </c>
      <c r="D641" t="str">
        <f>IFERROR(INDEX(Katalog!$A$3:$A$12,MATCH(cadangan3[[#This Row],[ItemID A]],Katalog!$C$3:$C$12,0)),"-")</f>
        <v>Pakaian Pria</v>
      </c>
      <c r="E641" t="str">
        <f>IFERROR(INDEX(Katalog!$B$3:$B$12,MATCH(cadangan3[[#This Row],[ItemID A]],Katalog!$C$3:$C$12,0)),"-")</f>
        <v>Jaket Jeans</v>
      </c>
      <c r="F641">
        <v>6</v>
      </c>
      <c r="G641">
        <v>3</v>
      </c>
      <c r="H641" s="36">
        <f>IFERROR(INDEX(Katalog!$D$3:$D$12,MATCH(cadangan3[[#This Row],[ItemID A]],Katalog!$C$3:$C$12,0))*cadangan3[[#This Row],[Qty A]],0)</f>
        <v>2400000</v>
      </c>
      <c r="I641" s="36">
        <f>IFERROR(INDEX(Katalog!$D$3:$D$12,MATCH(cadangan3[[#This Row],[Item A]],Katalog!$B$3:$B$12,0))*cadangan3[[#This Row],[Qty A]],0)</f>
        <v>2400000</v>
      </c>
      <c r="J641" s="36">
        <f>IFERROR(cadangan3[[#This Row],[Harga Asli A]]-(cadangan3[[#This Row],[Harga Asli A]]*cadangan3[[#This Row],[Diskon]]),cadangan3[[#This Row],[Harga Asli A]])</f>
        <v>2040000</v>
      </c>
      <c r="K641" s="36">
        <f>INDEX(Katalog!$F$3:$F$12,MATCH(cadangan3[[#This Row],[ItemID A]],Katalog!$C$3:$C$12,0))*cadangan3[[#This Row],[Qty A]]</f>
        <v>900000</v>
      </c>
      <c r="L641" s="36">
        <f>IFERROR(cadangan3[[#This Row],[Profit A]]-(cadangan3[[#This Row],[Profit A]]*cadangan3[[#This Row],[Diskon]]),K641)</f>
        <v>765000</v>
      </c>
      <c r="N641" t="str">
        <f>IFERROR(INDEX(Katalog!$A$3:$A$12,MATCH(cadangan3[[#This Row],[ItemID B]],Katalog!$C$3:$C$12,0)),"-")</f>
        <v>-</v>
      </c>
      <c r="O641" t="str">
        <f>IFERROR(INDEX(Katalog!$B$3:$B$12,MATCH(cadangan3[[#This Row],[ItemID B]],Katalog!$C$3:$C$12,0)),"-")</f>
        <v>-</v>
      </c>
      <c r="R641" s="36">
        <f>IFERROR(INDEX(Katalog!$D$3:$D$12,MATCH(cadangan3[[#This Row],[ItemID B]],Katalog!$C$3:$C$12,0))*cadangan3[[#This Row],[Qty B]],0)</f>
        <v>0</v>
      </c>
      <c r="S641" s="36">
        <f>IFERROR(INDEX(Katalog!$D$3:$D$12,MATCH(cadangan3[[#This Row],[Item B]],Katalog!$B$3:$B$12,0))*cadangan3[[#This Row],[Qty B]],0)</f>
        <v>0</v>
      </c>
      <c r="T641" s="36">
        <f>IFERROR(cadangan3[[#This Row],[Harga Asli B]]-(cadangan3[[#This Row],[Harga Asli B]]*cadangan3[[#This Row],[Diskon]]),cadangan3[[#This Row],[Harga Asli B]])</f>
        <v>0</v>
      </c>
      <c r="U641" s="36">
        <f>IFERROR(INDEX(Katalog!$F$3:$F$12,MATCH(cadangan3[[#This Row],[ItemID B]],Katalog!$C$3:$C$12,0))*cadangan3[[#This Row],[Qty B]],0)</f>
        <v>0</v>
      </c>
      <c r="V641" s="36">
        <f>IFERROR(cadangan3[[#This Row],[Profit B]]-(cadangan3[[#This Row],[Profit B]]*cadangan3[[#This Row],[Diskon]]),U641)</f>
        <v>0</v>
      </c>
      <c r="X641" t="str">
        <f>IFERROR(INDEX(Katalog!$A$3:$A$12,MATCH(cadangan3[[#This Row],[ItemID C]],Katalog!$C$3:$C$12,0)),"-")</f>
        <v>-</v>
      </c>
      <c r="Y641" t="str">
        <f>IFERROR(INDEX(Katalog!$B$3:$B$12,MATCH(cadangan3[[#This Row],[ItemID C]],Katalog!$C$3:$C$12,0)),"-")</f>
        <v>-</v>
      </c>
      <c r="AB641" s="36">
        <f>IFERROR(INDEX(Katalog!$D$3:$D$12,MATCH(cadangan3[[#This Row],[ItemID C]],Katalog!$C$3:$C$12,0))*cadangan3[[#This Row],[Qty C]],0)</f>
        <v>0</v>
      </c>
      <c r="AC641" s="36">
        <f>IFERROR(INDEX(Katalog!$D$3:$D$12,MATCH(cadangan3[[#This Row],[Item C]],Katalog!$B$3:$B$12,0))*cadangan3[[#This Row],[Qty C]],0)</f>
        <v>0</v>
      </c>
      <c r="AD641" s="36">
        <f>IFERROR(cadangan3[[#This Row],[Harga Asli C]]-(cadangan3[[#This Row],[Harga Asli C]]*cadangan3[[#This Row],[Diskon]]),cadangan3[[#This Row],[Harga Asli C]])</f>
        <v>0</v>
      </c>
      <c r="AE641" s="36">
        <f>IFERROR(INDEX(Katalog!$F$3:$F$12,MATCH(cadangan3[[#This Row],[ItemID C]],Katalog!$C$3:$C$12,0))*cadangan3[[#This Row],[Qty C]],0)</f>
        <v>0</v>
      </c>
      <c r="AF641" s="36">
        <f>IFERROR(cadangan3[[#This Row],[Profit C]]-(cadangan3[[#This Row],[Profit C]]*cadangan3[[#This Row],[Diskon]]),cadangan3[[#This Row],[Profit C]])</f>
        <v>0</v>
      </c>
      <c r="AG641" s="21">
        <f>cadangan3[[#This Row],[Qty A]]+cadangan3[[#This Row],[Qty B]]+cadangan3[[#This Row],[Qty C]]</f>
        <v>6</v>
      </c>
      <c r="AH641" s="35">
        <f>cadangan3[[#This Row],[Harga A + Diskon]]+cadangan3[[#This Row],[Harga + Diskon B]]+cadangan3[[#This Row],[Harga + Diskon C]]</f>
        <v>2040000</v>
      </c>
      <c r="AI641" s="35">
        <f>(cadangan3[[#This Row],[Profit A]]+cadangan3[[#This Row],[Profit B]]+cadangan3[[#This Row],[Profit C]])</f>
        <v>900000</v>
      </c>
      <c r="AJ641" s="35">
        <f>cadangan3[[#This Row],[Provit A + Diskon]]+cadangan3[[#This Row],[Provit B + Diskon]]+cadangan3[[#This Row],[Provit C + Diskon]]</f>
        <v>765000</v>
      </c>
      <c r="AK641" s="23" t="s">
        <v>13</v>
      </c>
      <c r="AL641" s="37">
        <f>IFERROR(INDEX('Kode Diskon'!$D$3:$D$9,MATCH(cadangan3[[#This Row],[Kode diskon]],'Kode Diskon'!$C$3:$C$9,0)),"-")</f>
        <v>0.15</v>
      </c>
      <c r="AM641" s="23" t="s">
        <v>29</v>
      </c>
      <c r="AN641" s="23" t="s">
        <v>7</v>
      </c>
      <c r="AO641" s="23" t="s">
        <v>76</v>
      </c>
      <c r="AP641" s="24">
        <v>45021</v>
      </c>
      <c r="AQ641" s="23" t="str">
        <f>TEXT(cadangan3[[#This Row],[Tanggal terjual]],"dddd")</f>
        <v>Wednesday</v>
      </c>
    </row>
    <row r="642" spans="1:43" x14ac:dyDescent="0.2">
      <c r="A642" s="20">
        <v>641</v>
      </c>
      <c r="B642" s="21" t="str">
        <f>_xlfn.CONCAT("ORD-",INDEX(Helper!$B$2:$B$5,MATCH(cadangan3[[#This Row],[Marketplace]],Helper!$A$2:$A$5,0)),TEXT(cadangan3[[#This Row],[No]],"0000"),"-",TEXT(cadangan3[[#This Row],[Tanggal terjual]],"dd/mm/yy"))</f>
        <v>ORD-TK0641-01/04/23</v>
      </c>
      <c r="C642" t="s">
        <v>64</v>
      </c>
      <c r="D642" t="str">
        <f>IFERROR(INDEX(Katalog!$A$3:$A$12,MATCH(cadangan3[[#This Row],[ItemID A]],Katalog!$C$3:$C$12,0)),"-")</f>
        <v>Pakaian Unisex</v>
      </c>
      <c r="E642" t="str">
        <f>IFERROR(INDEX(Katalog!$B$3:$B$12,MATCH(cadangan3[[#This Row],[ItemID A]],Katalog!$C$3:$C$12,0)),"-")</f>
        <v>Jaket Hoodie</v>
      </c>
      <c r="F642">
        <v>2</v>
      </c>
      <c r="G642">
        <v>2</v>
      </c>
      <c r="H642" s="36">
        <f>IFERROR(INDEX(Katalog!$D$3:$D$12,MATCH(cadangan3[[#This Row],[ItemID A]],Katalog!$C$3:$C$12,0))*cadangan3[[#This Row],[Qty A]],0)</f>
        <v>700000</v>
      </c>
      <c r="I642" s="36">
        <f>IFERROR(INDEX(Katalog!$D$3:$D$12,MATCH(cadangan3[[#This Row],[Item A]],Katalog!$B$3:$B$12,0))*cadangan3[[#This Row],[Qty A]],0)</f>
        <v>700000</v>
      </c>
      <c r="J642" s="36">
        <f>IFERROR(cadangan3[[#This Row],[Harga Asli A]]-(cadangan3[[#This Row],[Harga Asli A]]*cadangan3[[#This Row],[Diskon]]),cadangan3[[#This Row],[Harga Asli A]])</f>
        <v>630000</v>
      </c>
      <c r="K642" s="36">
        <f>INDEX(Katalog!$F$3:$F$12,MATCH(cadangan3[[#This Row],[ItemID A]],Katalog!$C$3:$C$12,0))*cadangan3[[#This Row],[Qty A]]</f>
        <v>260000</v>
      </c>
      <c r="L642" s="36">
        <f>IFERROR(cadangan3[[#This Row],[Profit A]]-(cadangan3[[#This Row],[Profit A]]*cadangan3[[#This Row],[Diskon]]),K642)</f>
        <v>234000</v>
      </c>
      <c r="N642" t="str">
        <f>IFERROR(INDEX(Katalog!$A$3:$A$12,MATCH(cadangan3[[#This Row],[ItemID B]],Katalog!$C$3:$C$12,0)),"-")</f>
        <v>-</v>
      </c>
      <c r="O642" t="str">
        <f>IFERROR(INDEX(Katalog!$B$3:$B$12,MATCH(cadangan3[[#This Row],[ItemID B]],Katalog!$C$3:$C$12,0)),"-")</f>
        <v>-</v>
      </c>
      <c r="R642" s="36">
        <f>IFERROR(INDEX(Katalog!$D$3:$D$12,MATCH(cadangan3[[#This Row],[ItemID B]],Katalog!$C$3:$C$12,0))*cadangan3[[#This Row],[Qty B]],0)</f>
        <v>0</v>
      </c>
      <c r="S642" s="36">
        <f>IFERROR(INDEX(Katalog!$D$3:$D$12,MATCH(cadangan3[[#This Row],[Item B]],Katalog!$B$3:$B$12,0))*cadangan3[[#This Row],[Qty B]],0)</f>
        <v>0</v>
      </c>
      <c r="T642" s="36">
        <f>IFERROR(cadangan3[[#This Row],[Harga Asli B]]-(cadangan3[[#This Row],[Harga Asli B]]*cadangan3[[#This Row],[Diskon]]),cadangan3[[#This Row],[Harga Asli B]])</f>
        <v>0</v>
      </c>
      <c r="U642" s="36">
        <f>IFERROR(INDEX(Katalog!$F$3:$F$12,MATCH(cadangan3[[#This Row],[ItemID B]],Katalog!$C$3:$C$12,0))*cadangan3[[#This Row],[Qty B]],0)</f>
        <v>0</v>
      </c>
      <c r="V642" s="36">
        <f>IFERROR(cadangan3[[#This Row],[Profit B]]-(cadangan3[[#This Row],[Profit B]]*cadangan3[[#This Row],[Diskon]]),U642)</f>
        <v>0</v>
      </c>
      <c r="X642" t="str">
        <f>IFERROR(INDEX(Katalog!$A$3:$A$12,MATCH(cadangan3[[#This Row],[ItemID C]],Katalog!$C$3:$C$12,0)),"-")</f>
        <v>-</v>
      </c>
      <c r="Y642" t="str">
        <f>IFERROR(INDEX(Katalog!$B$3:$B$12,MATCH(cadangan3[[#This Row],[ItemID C]],Katalog!$C$3:$C$12,0)),"-")</f>
        <v>-</v>
      </c>
      <c r="AB642" s="36">
        <f>IFERROR(INDEX(Katalog!$D$3:$D$12,MATCH(cadangan3[[#This Row],[ItemID C]],Katalog!$C$3:$C$12,0))*cadangan3[[#This Row],[Qty C]],0)</f>
        <v>0</v>
      </c>
      <c r="AC642" s="36">
        <f>IFERROR(INDEX(Katalog!$D$3:$D$12,MATCH(cadangan3[[#This Row],[Item C]],Katalog!$B$3:$B$12,0))*cadangan3[[#This Row],[Qty C]],0)</f>
        <v>0</v>
      </c>
      <c r="AD642" s="36">
        <f>IFERROR(cadangan3[[#This Row],[Harga Asli C]]-(cadangan3[[#This Row],[Harga Asli C]]*cadangan3[[#This Row],[Diskon]]),cadangan3[[#This Row],[Harga Asli C]])</f>
        <v>0</v>
      </c>
      <c r="AE642" s="36">
        <f>IFERROR(INDEX(Katalog!$F$3:$F$12,MATCH(cadangan3[[#This Row],[ItemID C]],Katalog!$C$3:$C$12,0))*cadangan3[[#This Row],[Qty C]],0)</f>
        <v>0</v>
      </c>
      <c r="AF642" s="36">
        <f>IFERROR(cadangan3[[#This Row],[Profit C]]-(cadangan3[[#This Row],[Profit C]]*cadangan3[[#This Row],[Diskon]]),cadangan3[[#This Row],[Profit C]])</f>
        <v>0</v>
      </c>
      <c r="AG642" s="21">
        <f>cadangan3[[#This Row],[Qty A]]+cadangan3[[#This Row],[Qty B]]+cadangan3[[#This Row],[Qty C]]</f>
        <v>2</v>
      </c>
      <c r="AH642" s="35">
        <f>cadangan3[[#This Row],[Harga A + Diskon]]+cadangan3[[#This Row],[Harga + Diskon B]]+cadangan3[[#This Row],[Harga + Diskon C]]</f>
        <v>630000</v>
      </c>
      <c r="AI642" s="35">
        <f>(cadangan3[[#This Row],[Profit A]]+cadangan3[[#This Row],[Profit B]]+cadangan3[[#This Row],[Profit C]])</f>
        <v>260000</v>
      </c>
      <c r="AJ642" s="35">
        <f>cadangan3[[#This Row],[Provit A + Diskon]]+cadangan3[[#This Row],[Provit B + Diskon]]+cadangan3[[#This Row],[Provit C + Diskon]]</f>
        <v>234000</v>
      </c>
      <c r="AK642" s="23" t="s">
        <v>30</v>
      </c>
      <c r="AL642" s="37">
        <f>IFERROR(INDEX('Kode Diskon'!$D$3:$D$9,MATCH(cadangan3[[#This Row],[Kode diskon]],'Kode Diskon'!$C$3:$C$9,0)),"-")</f>
        <v>0.1</v>
      </c>
      <c r="AM642" s="23" t="s">
        <v>29</v>
      </c>
      <c r="AN642" s="23" t="s">
        <v>10</v>
      </c>
      <c r="AO642" s="23" t="s">
        <v>75</v>
      </c>
      <c r="AP642" s="24">
        <v>45017</v>
      </c>
      <c r="AQ642" s="23" t="str">
        <f>TEXT(cadangan3[[#This Row],[Tanggal terjual]],"dddd")</f>
        <v>Saturday</v>
      </c>
    </row>
    <row r="643" spans="1:43" x14ac:dyDescent="0.2">
      <c r="A643" s="20">
        <v>642</v>
      </c>
      <c r="B643" s="21" t="str">
        <f>_xlfn.CONCAT("ORD-",INDEX(Helper!$B$2:$B$5,MATCH(cadangan3[[#This Row],[Marketplace]],Helper!$A$2:$A$5,0)),TEXT(cadangan3[[#This Row],[No]],"0000"),"-",TEXT(cadangan3[[#This Row],[Tanggal terjual]],"dd/mm/yy"))</f>
        <v>ORD-SP0642-06/04/23</v>
      </c>
      <c r="C643" t="s">
        <v>67</v>
      </c>
      <c r="D643" t="str">
        <f>IFERROR(INDEX(Katalog!$A$3:$A$12,MATCH(cadangan3[[#This Row],[ItemID A]],Katalog!$C$3:$C$12,0)),"-")</f>
        <v>Sepatu Wanita</v>
      </c>
      <c r="E643" t="str">
        <f>IFERROR(INDEX(Katalog!$B$3:$B$12,MATCH(cadangan3[[#This Row],[ItemID A]],Katalog!$C$3:$C$12,0)),"-")</f>
        <v>Flat Shoes</v>
      </c>
      <c r="F643">
        <v>1</v>
      </c>
      <c r="G643">
        <v>3</v>
      </c>
      <c r="H643" s="36">
        <f>IFERROR(INDEX(Katalog!$D$3:$D$12,MATCH(cadangan3[[#This Row],[ItemID A]],Katalog!$C$3:$C$12,0))*cadangan3[[#This Row],[Qty A]],0)</f>
        <v>250000</v>
      </c>
      <c r="I643" s="36">
        <f>IFERROR(INDEX(Katalog!$D$3:$D$12,MATCH(cadangan3[[#This Row],[Item A]],Katalog!$B$3:$B$12,0))*cadangan3[[#This Row],[Qty A]],0)</f>
        <v>250000</v>
      </c>
      <c r="J643" s="36">
        <f>IFERROR(cadangan3[[#This Row],[Harga Asli A]]-(cadangan3[[#This Row],[Harga Asli A]]*cadangan3[[#This Row],[Diskon]]),cadangan3[[#This Row],[Harga Asli A]])</f>
        <v>225000</v>
      </c>
      <c r="K643" s="36">
        <f>INDEX(Katalog!$F$3:$F$12,MATCH(cadangan3[[#This Row],[ItemID A]],Katalog!$C$3:$C$12,0))*cadangan3[[#This Row],[Qty A]]</f>
        <v>100000</v>
      </c>
      <c r="L643" s="36">
        <f>IFERROR(cadangan3[[#This Row],[Profit A]]-(cadangan3[[#This Row],[Profit A]]*cadangan3[[#This Row],[Diskon]]),K643)</f>
        <v>90000</v>
      </c>
      <c r="N643" t="str">
        <f>IFERROR(INDEX(Katalog!$A$3:$A$12,MATCH(cadangan3[[#This Row],[ItemID B]],Katalog!$C$3:$C$12,0)),"-")</f>
        <v>-</v>
      </c>
      <c r="O643" t="str">
        <f>IFERROR(INDEX(Katalog!$B$3:$B$12,MATCH(cadangan3[[#This Row],[ItemID B]],Katalog!$C$3:$C$12,0)),"-")</f>
        <v>-</v>
      </c>
      <c r="R643" s="36">
        <f>IFERROR(INDEX(Katalog!$D$3:$D$12,MATCH(cadangan3[[#This Row],[ItemID B]],Katalog!$C$3:$C$12,0))*cadangan3[[#This Row],[Qty B]],0)</f>
        <v>0</v>
      </c>
      <c r="S643" s="36">
        <f>IFERROR(INDEX(Katalog!$D$3:$D$12,MATCH(cadangan3[[#This Row],[Item B]],Katalog!$B$3:$B$12,0))*cadangan3[[#This Row],[Qty B]],0)</f>
        <v>0</v>
      </c>
      <c r="T643" s="36">
        <f>IFERROR(cadangan3[[#This Row],[Harga Asli B]]-(cadangan3[[#This Row],[Harga Asli B]]*cadangan3[[#This Row],[Diskon]]),cadangan3[[#This Row],[Harga Asli B]])</f>
        <v>0</v>
      </c>
      <c r="U643" s="36">
        <f>IFERROR(INDEX(Katalog!$F$3:$F$12,MATCH(cadangan3[[#This Row],[ItemID B]],Katalog!$C$3:$C$12,0))*cadangan3[[#This Row],[Qty B]],0)</f>
        <v>0</v>
      </c>
      <c r="V643" s="36">
        <f>IFERROR(cadangan3[[#This Row],[Profit B]]-(cadangan3[[#This Row],[Profit B]]*cadangan3[[#This Row],[Diskon]]),U643)</f>
        <v>0</v>
      </c>
      <c r="X643" t="str">
        <f>IFERROR(INDEX(Katalog!$A$3:$A$12,MATCH(cadangan3[[#This Row],[ItemID C]],Katalog!$C$3:$C$12,0)),"-")</f>
        <v>-</v>
      </c>
      <c r="Y643" t="str">
        <f>IFERROR(INDEX(Katalog!$B$3:$B$12,MATCH(cadangan3[[#This Row],[ItemID C]],Katalog!$C$3:$C$12,0)),"-")</f>
        <v>-</v>
      </c>
      <c r="AB643" s="36">
        <f>IFERROR(INDEX(Katalog!$D$3:$D$12,MATCH(cadangan3[[#This Row],[ItemID C]],Katalog!$C$3:$C$12,0))*cadangan3[[#This Row],[Qty C]],0)</f>
        <v>0</v>
      </c>
      <c r="AC643" s="36">
        <f>IFERROR(INDEX(Katalog!$D$3:$D$12,MATCH(cadangan3[[#This Row],[Item C]],Katalog!$B$3:$B$12,0))*cadangan3[[#This Row],[Qty C]],0)</f>
        <v>0</v>
      </c>
      <c r="AD643" s="36">
        <f>IFERROR(cadangan3[[#This Row],[Harga Asli C]]-(cadangan3[[#This Row],[Harga Asli C]]*cadangan3[[#This Row],[Diskon]]),cadangan3[[#This Row],[Harga Asli C]])</f>
        <v>0</v>
      </c>
      <c r="AE643" s="36">
        <f>IFERROR(INDEX(Katalog!$F$3:$F$12,MATCH(cadangan3[[#This Row],[ItemID C]],Katalog!$C$3:$C$12,0))*cadangan3[[#This Row],[Qty C]],0)</f>
        <v>0</v>
      </c>
      <c r="AF643" s="36">
        <f>IFERROR(cadangan3[[#This Row],[Profit C]]-(cadangan3[[#This Row],[Profit C]]*cadangan3[[#This Row],[Diskon]]),cadangan3[[#This Row],[Profit C]])</f>
        <v>0</v>
      </c>
      <c r="AG643" s="21">
        <f>cadangan3[[#This Row],[Qty A]]+cadangan3[[#This Row],[Qty B]]+cadangan3[[#This Row],[Qty C]]</f>
        <v>1</v>
      </c>
      <c r="AH643" s="35">
        <f>cadangan3[[#This Row],[Harga A + Diskon]]+cadangan3[[#This Row],[Harga + Diskon B]]+cadangan3[[#This Row],[Harga + Diskon C]]</f>
        <v>225000</v>
      </c>
      <c r="AI643" s="35">
        <f>(cadangan3[[#This Row],[Profit A]]+cadangan3[[#This Row],[Profit B]]+cadangan3[[#This Row],[Profit C]])</f>
        <v>100000</v>
      </c>
      <c r="AJ643" s="35">
        <f>cadangan3[[#This Row],[Provit A + Diskon]]+cadangan3[[#This Row],[Provit B + Diskon]]+cadangan3[[#This Row],[Provit C + Diskon]]</f>
        <v>90000</v>
      </c>
      <c r="AK643" s="23" t="s">
        <v>6</v>
      </c>
      <c r="AL643" s="37">
        <f>IFERROR(INDEX('Kode Diskon'!$D$3:$D$9,MATCH(cadangan3[[#This Row],[Kode diskon]],'Kode Diskon'!$C$3:$C$9,0)),"-")</f>
        <v>0.1</v>
      </c>
      <c r="AM643" s="23" t="s">
        <v>29</v>
      </c>
      <c r="AN643" s="23" t="s">
        <v>7</v>
      </c>
      <c r="AO643" s="23" t="s">
        <v>77</v>
      </c>
      <c r="AP643" s="24">
        <v>45022</v>
      </c>
      <c r="AQ643" s="23" t="str">
        <f>TEXT(cadangan3[[#This Row],[Tanggal terjual]],"dddd")</f>
        <v>Thursday</v>
      </c>
    </row>
    <row r="644" spans="1:43" x14ac:dyDescent="0.2">
      <c r="A644" s="20">
        <v>643</v>
      </c>
      <c r="B644" s="21" t="str">
        <f>_xlfn.CONCAT("ORD-",INDEX(Helper!$B$2:$B$5,MATCH(cadangan3[[#This Row],[Marketplace]],Helper!$A$2:$A$5,0)),TEXT(cadangan3[[#This Row],[No]],"0000"),"-",TEXT(cadangan3[[#This Row],[Tanggal terjual]],"dd/mm/yy"))</f>
        <v>ORD-SP0643-16/04/23</v>
      </c>
      <c r="C644" t="s">
        <v>62</v>
      </c>
      <c r="D644" t="str">
        <f>IFERROR(INDEX(Katalog!$A$3:$A$12,MATCH(cadangan3[[#This Row],[ItemID A]],Katalog!$C$3:$C$12,0)),"-")</f>
        <v>Pakaian Pria</v>
      </c>
      <c r="E644" t="str">
        <f>IFERROR(INDEX(Katalog!$B$3:$B$12,MATCH(cadangan3[[#This Row],[ItemID A]],Katalog!$C$3:$C$12,0)),"-")</f>
        <v>Celana Pendek</v>
      </c>
      <c r="F644">
        <v>1</v>
      </c>
      <c r="G644">
        <v>3</v>
      </c>
      <c r="H644" s="36">
        <f>IFERROR(INDEX(Katalog!$D$3:$D$12,MATCH(cadangan3[[#This Row],[ItemID A]],Katalog!$C$3:$C$12,0))*cadangan3[[#This Row],[Qty A]],0)</f>
        <v>180000</v>
      </c>
      <c r="I644" s="36">
        <f>IFERROR(INDEX(Katalog!$D$3:$D$12,MATCH(cadangan3[[#This Row],[Item A]],Katalog!$B$3:$B$12,0))*cadangan3[[#This Row],[Qty A]],0)</f>
        <v>180000</v>
      </c>
      <c r="J644" s="36">
        <f>IFERROR(cadangan3[[#This Row],[Harga Asli A]]-(cadangan3[[#This Row],[Harga Asli A]]*cadangan3[[#This Row],[Diskon]]),cadangan3[[#This Row],[Harga Asli A]])</f>
        <v>144000</v>
      </c>
      <c r="K644" s="36">
        <f>INDEX(Katalog!$F$3:$F$12,MATCH(cadangan3[[#This Row],[ItemID A]],Katalog!$C$3:$C$12,0))*cadangan3[[#This Row],[Qty A]]</f>
        <v>70000</v>
      </c>
      <c r="L644" s="36">
        <f>IFERROR(cadangan3[[#This Row],[Profit A]]-(cadangan3[[#This Row],[Profit A]]*cadangan3[[#This Row],[Diskon]]),K644)</f>
        <v>56000</v>
      </c>
      <c r="N644" t="str">
        <f>IFERROR(INDEX(Katalog!$A$3:$A$12,MATCH(cadangan3[[#This Row],[ItemID B]],Katalog!$C$3:$C$12,0)),"-")</f>
        <v>-</v>
      </c>
      <c r="O644" t="str">
        <f>IFERROR(INDEX(Katalog!$B$3:$B$12,MATCH(cadangan3[[#This Row],[ItemID B]],Katalog!$C$3:$C$12,0)),"-")</f>
        <v>-</v>
      </c>
      <c r="R644" s="36">
        <f>IFERROR(INDEX(Katalog!$D$3:$D$12,MATCH(cadangan3[[#This Row],[ItemID B]],Katalog!$C$3:$C$12,0))*cadangan3[[#This Row],[Qty B]],0)</f>
        <v>0</v>
      </c>
      <c r="S644" s="36">
        <f>IFERROR(INDEX(Katalog!$D$3:$D$12,MATCH(cadangan3[[#This Row],[Item B]],Katalog!$B$3:$B$12,0))*cadangan3[[#This Row],[Qty B]],0)</f>
        <v>0</v>
      </c>
      <c r="T644" s="36">
        <f>IFERROR(cadangan3[[#This Row],[Harga Asli B]]-(cadangan3[[#This Row],[Harga Asli B]]*cadangan3[[#This Row],[Diskon]]),cadangan3[[#This Row],[Harga Asli B]])</f>
        <v>0</v>
      </c>
      <c r="U644" s="36">
        <f>IFERROR(INDEX(Katalog!$F$3:$F$12,MATCH(cadangan3[[#This Row],[ItemID B]],Katalog!$C$3:$C$12,0))*cadangan3[[#This Row],[Qty B]],0)</f>
        <v>0</v>
      </c>
      <c r="V644" s="36">
        <f>IFERROR(cadangan3[[#This Row],[Profit B]]-(cadangan3[[#This Row],[Profit B]]*cadangan3[[#This Row],[Diskon]]),U644)</f>
        <v>0</v>
      </c>
      <c r="X644" t="str">
        <f>IFERROR(INDEX(Katalog!$A$3:$A$12,MATCH(cadangan3[[#This Row],[ItemID C]],Katalog!$C$3:$C$12,0)),"-")</f>
        <v>-</v>
      </c>
      <c r="Y644" t="str">
        <f>IFERROR(INDEX(Katalog!$B$3:$B$12,MATCH(cadangan3[[#This Row],[ItemID C]],Katalog!$C$3:$C$12,0)),"-")</f>
        <v>-</v>
      </c>
      <c r="AB644" s="36">
        <f>IFERROR(INDEX(Katalog!$D$3:$D$12,MATCH(cadangan3[[#This Row],[ItemID C]],Katalog!$C$3:$C$12,0))*cadangan3[[#This Row],[Qty C]],0)</f>
        <v>0</v>
      </c>
      <c r="AC644" s="36">
        <f>IFERROR(INDEX(Katalog!$D$3:$D$12,MATCH(cadangan3[[#This Row],[Item C]],Katalog!$B$3:$B$12,0))*cadangan3[[#This Row],[Qty C]],0)</f>
        <v>0</v>
      </c>
      <c r="AD644" s="36">
        <f>IFERROR(cadangan3[[#This Row],[Harga Asli C]]-(cadangan3[[#This Row],[Harga Asli C]]*cadangan3[[#This Row],[Diskon]]),cadangan3[[#This Row],[Harga Asli C]])</f>
        <v>0</v>
      </c>
      <c r="AE644" s="36">
        <f>IFERROR(INDEX(Katalog!$F$3:$F$12,MATCH(cadangan3[[#This Row],[ItemID C]],Katalog!$C$3:$C$12,0))*cadangan3[[#This Row],[Qty C]],0)</f>
        <v>0</v>
      </c>
      <c r="AF644" s="36">
        <f>IFERROR(cadangan3[[#This Row],[Profit C]]-(cadangan3[[#This Row],[Profit C]]*cadangan3[[#This Row],[Diskon]]),cadangan3[[#This Row],[Profit C]])</f>
        <v>0</v>
      </c>
      <c r="AG644" s="21">
        <f>cadangan3[[#This Row],[Qty A]]+cadangan3[[#This Row],[Qty B]]+cadangan3[[#This Row],[Qty C]]</f>
        <v>1</v>
      </c>
      <c r="AH644" s="35">
        <f>cadangan3[[#This Row],[Harga A + Diskon]]+cadangan3[[#This Row],[Harga + Diskon B]]+cadangan3[[#This Row],[Harga + Diskon C]]</f>
        <v>144000</v>
      </c>
      <c r="AI644" s="35">
        <f>(cadangan3[[#This Row],[Profit A]]+cadangan3[[#This Row],[Profit B]]+cadangan3[[#This Row],[Profit C]])</f>
        <v>70000</v>
      </c>
      <c r="AJ644" s="35">
        <f>cadangan3[[#This Row],[Provit A + Diskon]]+cadangan3[[#This Row],[Provit B + Diskon]]+cadangan3[[#This Row],[Provit C + Diskon]]</f>
        <v>56000</v>
      </c>
      <c r="AK644" s="23" t="s">
        <v>8</v>
      </c>
      <c r="AL644" s="37">
        <f>IFERROR(INDEX('Kode Diskon'!$D$3:$D$9,MATCH(cadangan3[[#This Row],[Kode diskon]],'Kode Diskon'!$C$3:$C$9,0)),"-")</f>
        <v>0.2</v>
      </c>
      <c r="AM644" s="23" t="s">
        <v>9</v>
      </c>
      <c r="AN644" s="23" t="s">
        <v>7</v>
      </c>
      <c r="AO644" s="23" t="s">
        <v>80</v>
      </c>
      <c r="AP644" s="24">
        <v>45032</v>
      </c>
      <c r="AQ644" s="23" t="str">
        <f>TEXT(cadangan3[[#This Row],[Tanggal terjual]],"dddd")</f>
        <v>Sunday</v>
      </c>
    </row>
    <row r="645" spans="1:43" x14ac:dyDescent="0.2">
      <c r="A645" s="20">
        <v>644</v>
      </c>
      <c r="B645" s="21" t="str">
        <f>_xlfn.CONCAT("ORD-",INDEX(Helper!$B$2:$B$5,MATCH(cadangan3[[#This Row],[Marketplace]],Helper!$A$2:$A$5,0)),TEXT(cadangan3[[#This Row],[No]],"0000"),"-",TEXT(cadangan3[[#This Row],[Tanggal terjual]],"dd/mm/yy"))</f>
        <v>ORD-TK0644-20/04/23</v>
      </c>
      <c r="C645" t="s">
        <v>65</v>
      </c>
      <c r="D645" t="str">
        <f>IFERROR(INDEX(Katalog!$A$3:$A$12,MATCH(cadangan3[[#This Row],[ItemID A]],Katalog!$C$3:$C$12,0)),"-")</f>
        <v>Sepatu Pria</v>
      </c>
      <c r="E645" t="str">
        <f>IFERROR(INDEX(Katalog!$B$3:$B$12,MATCH(cadangan3[[#This Row],[ItemID A]],Katalog!$C$3:$C$12,0)),"-")</f>
        <v>Sneakers</v>
      </c>
      <c r="F645">
        <v>4</v>
      </c>
      <c r="G645">
        <v>2</v>
      </c>
      <c r="H645" s="36">
        <f>IFERROR(INDEX(Katalog!$D$3:$D$12,MATCH(cadangan3[[#This Row],[ItemID A]],Katalog!$C$3:$C$12,0))*cadangan3[[#This Row],[Qty A]],0)</f>
        <v>2000000</v>
      </c>
      <c r="I645" s="36">
        <f>IFERROR(INDEX(Katalog!$D$3:$D$12,MATCH(cadangan3[[#This Row],[Item A]],Katalog!$B$3:$B$12,0))*cadangan3[[#This Row],[Qty A]],0)</f>
        <v>2000000</v>
      </c>
      <c r="J645" s="36">
        <f>IFERROR(cadangan3[[#This Row],[Harga Asli A]]-(cadangan3[[#This Row],[Harga Asli A]]*cadangan3[[#This Row],[Diskon]]),cadangan3[[#This Row],[Harga Asli A]])</f>
        <v>1800000</v>
      </c>
      <c r="K645" s="36">
        <f>INDEX(Katalog!$F$3:$F$12,MATCH(cadangan3[[#This Row],[ItemID A]],Katalog!$C$3:$C$12,0))*cadangan3[[#This Row],[Qty A]]</f>
        <v>800000</v>
      </c>
      <c r="L645" s="36">
        <f>IFERROR(cadangan3[[#This Row],[Profit A]]-(cadangan3[[#This Row],[Profit A]]*cadangan3[[#This Row],[Diskon]]),K645)</f>
        <v>720000</v>
      </c>
      <c r="M645" t="s">
        <v>64</v>
      </c>
      <c r="N645" t="str">
        <f>IFERROR(INDEX(Katalog!$A$3:$A$12,MATCH(cadangan3[[#This Row],[ItemID B]],Katalog!$C$3:$C$12,0)),"-")</f>
        <v>Pakaian Unisex</v>
      </c>
      <c r="O645" t="str">
        <f>IFERROR(INDEX(Katalog!$B$3:$B$12,MATCH(cadangan3[[#This Row],[ItemID B]],Katalog!$C$3:$C$12,0)),"-")</f>
        <v>Jaket Hoodie</v>
      </c>
      <c r="P645">
        <v>2</v>
      </c>
      <c r="Q645">
        <v>1</v>
      </c>
      <c r="R645" s="36">
        <f>IFERROR(INDEX(Katalog!$D$3:$D$12,MATCH(cadangan3[[#This Row],[ItemID B]],Katalog!$C$3:$C$12,0))*cadangan3[[#This Row],[Qty B]],0)</f>
        <v>700000</v>
      </c>
      <c r="S645" s="36">
        <f>IFERROR(INDEX(Katalog!$D$3:$D$12,MATCH(cadangan3[[#This Row],[Item B]],Katalog!$B$3:$B$12,0))*cadangan3[[#This Row],[Qty B]],0)</f>
        <v>700000</v>
      </c>
      <c r="T645" s="36">
        <f>IFERROR(cadangan3[[#This Row],[Harga Asli B]]-(cadangan3[[#This Row],[Harga Asli B]]*cadangan3[[#This Row],[Diskon]]),cadangan3[[#This Row],[Harga Asli B]])</f>
        <v>630000</v>
      </c>
      <c r="U645" s="36">
        <f>IFERROR(INDEX(Katalog!$F$3:$F$12,MATCH(cadangan3[[#This Row],[ItemID B]],Katalog!$C$3:$C$12,0))*cadangan3[[#This Row],[Qty B]],0)</f>
        <v>260000</v>
      </c>
      <c r="V645" s="36">
        <f>IFERROR(cadangan3[[#This Row],[Profit B]]-(cadangan3[[#This Row],[Profit B]]*cadangan3[[#This Row],[Diskon]]),U645)</f>
        <v>234000</v>
      </c>
      <c r="X645" t="str">
        <f>IFERROR(INDEX(Katalog!$A$3:$A$12,MATCH(cadangan3[[#This Row],[ItemID C]],Katalog!$C$3:$C$12,0)),"-")</f>
        <v>-</v>
      </c>
      <c r="Y645" t="str">
        <f>IFERROR(INDEX(Katalog!$B$3:$B$12,MATCH(cadangan3[[#This Row],[ItemID C]],Katalog!$C$3:$C$12,0)),"-")</f>
        <v>-</v>
      </c>
      <c r="AB645" s="36">
        <f>IFERROR(INDEX(Katalog!$D$3:$D$12,MATCH(cadangan3[[#This Row],[ItemID C]],Katalog!$C$3:$C$12,0))*cadangan3[[#This Row],[Qty C]],0)</f>
        <v>0</v>
      </c>
      <c r="AC645" s="36">
        <f>IFERROR(INDEX(Katalog!$D$3:$D$12,MATCH(cadangan3[[#This Row],[Item C]],Katalog!$B$3:$B$12,0))*cadangan3[[#This Row],[Qty C]],0)</f>
        <v>0</v>
      </c>
      <c r="AD645" s="36">
        <f>IFERROR(cadangan3[[#This Row],[Harga Asli C]]-(cadangan3[[#This Row],[Harga Asli C]]*cadangan3[[#This Row],[Diskon]]),cadangan3[[#This Row],[Harga Asli C]])</f>
        <v>0</v>
      </c>
      <c r="AE645" s="36">
        <f>IFERROR(INDEX(Katalog!$F$3:$F$12,MATCH(cadangan3[[#This Row],[ItemID C]],Katalog!$C$3:$C$12,0))*cadangan3[[#This Row],[Qty C]],0)</f>
        <v>0</v>
      </c>
      <c r="AF645" s="36">
        <f>IFERROR(cadangan3[[#This Row],[Profit C]]-(cadangan3[[#This Row],[Profit C]]*cadangan3[[#This Row],[Diskon]]),cadangan3[[#This Row],[Profit C]])</f>
        <v>0</v>
      </c>
      <c r="AG645" s="21">
        <f>cadangan3[[#This Row],[Qty A]]+cadangan3[[#This Row],[Qty B]]+cadangan3[[#This Row],[Qty C]]</f>
        <v>6</v>
      </c>
      <c r="AH645" s="35">
        <f>cadangan3[[#This Row],[Harga A + Diskon]]+cadangan3[[#This Row],[Harga + Diskon B]]+cadangan3[[#This Row],[Harga + Diskon C]]</f>
        <v>2430000</v>
      </c>
      <c r="AI645" s="35">
        <f>(cadangan3[[#This Row],[Profit A]]+cadangan3[[#This Row],[Profit B]]+cadangan3[[#This Row],[Profit C]])</f>
        <v>1060000</v>
      </c>
      <c r="AJ645" s="35">
        <f>cadangan3[[#This Row],[Provit A + Diskon]]+cadangan3[[#This Row],[Provit B + Diskon]]+cadangan3[[#This Row],[Provit C + Diskon]]</f>
        <v>954000</v>
      </c>
      <c r="AK645" s="23" t="s">
        <v>31</v>
      </c>
      <c r="AL645" s="37">
        <f>IFERROR(INDEX('Kode Diskon'!$D$3:$D$9,MATCH(cadangan3[[#This Row],[Kode diskon]],'Kode Diskon'!$C$3:$C$9,0)),"-")</f>
        <v>0.1</v>
      </c>
      <c r="AM645" s="23" t="s">
        <v>9</v>
      </c>
      <c r="AN645" s="23" t="s">
        <v>10</v>
      </c>
      <c r="AO645" s="23" t="s">
        <v>75</v>
      </c>
      <c r="AP645" s="24">
        <v>45036</v>
      </c>
      <c r="AQ645" s="23" t="str">
        <f>TEXT(cadangan3[[#This Row],[Tanggal terjual]],"dddd")</f>
        <v>Thursday</v>
      </c>
    </row>
    <row r="646" spans="1:43" x14ac:dyDescent="0.2">
      <c r="A646" s="20">
        <v>645</v>
      </c>
      <c r="B646" s="21" t="str">
        <f>_xlfn.CONCAT("ORD-",INDEX(Helper!$B$2:$B$5,MATCH(cadangan3[[#This Row],[Marketplace]],Helper!$A$2:$A$5,0)),TEXT(cadangan3[[#This Row],[No]],"0000"),"-",TEXT(cadangan3[[#This Row],[Tanggal terjual]],"dd/mm/yy"))</f>
        <v>ORD-SP0645-05/04/23</v>
      </c>
      <c r="C646" t="s">
        <v>65</v>
      </c>
      <c r="D646" t="str">
        <f>IFERROR(INDEX(Katalog!$A$3:$A$12,MATCH(cadangan3[[#This Row],[ItemID A]],Katalog!$C$3:$C$12,0)),"-")</f>
        <v>Sepatu Pria</v>
      </c>
      <c r="E646" t="str">
        <f>IFERROR(INDEX(Katalog!$B$3:$B$12,MATCH(cadangan3[[#This Row],[ItemID A]],Katalog!$C$3:$C$12,0)),"-")</f>
        <v>Sneakers</v>
      </c>
      <c r="F646">
        <v>1</v>
      </c>
      <c r="G646">
        <v>1</v>
      </c>
      <c r="H646" s="36">
        <f>IFERROR(INDEX(Katalog!$D$3:$D$12,MATCH(cadangan3[[#This Row],[ItemID A]],Katalog!$C$3:$C$12,0))*cadangan3[[#This Row],[Qty A]],0)</f>
        <v>500000</v>
      </c>
      <c r="I646" s="36">
        <f>IFERROR(INDEX(Katalog!$D$3:$D$12,MATCH(cadangan3[[#This Row],[Item A]],Katalog!$B$3:$B$12,0))*cadangan3[[#This Row],[Qty A]],0)</f>
        <v>500000</v>
      </c>
      <c r="J646" s="36">
        <f>IFERROR(cadangan3[[#This Row],[Harga Asli A]]-(cadangan3[[#This Row],[Harga Asli A]]*cadangan3[[#This Row],[Diskon]]),cadangan3[[#This Row],[Harga Asli A]])</f>
        <v>450000</v>
      </c>
      <c r="K646" s="36">
        <f>INDEX(Katalog!$F$3:$F$12,MATCH(cadangan3[[#This Row],[ItemID A]],Katalog!$C$3:$C$12,0))*cadangan3[[#This Row],[Qty A]]</f>
        <v>200000</v>
      </c>
      <c r="L646" s="36">
        <f>IFERROR(cadangan3[[#This Row],[Profit A]]-(cadangan3[[#This Row],[Profit A]]*cadangan3[[#This Row],[Diskon]]),K646)</f>
        <v>180000</v>
      </c>
      <c r="M646" t="s">
        <v>59</v>
      </c>
      <c r="N646" t="str">
        <f>IFERROR(INDEX(Katalog!$A$3:$A$12,MATCH(cadangan3[[#This Row],[ItemID B]],Katalog!$C$3:$C$12,0)),"-")</f>
        <v>Pakaian Wanita</v>
      </c>
      <c r="O646" t="str">
        <f>IFERROR(INDEX(Katalog!$B$3:$B$12,MATCH(cadangan3[[#This Row],[ItemID B]],Katalog!$C$3:$C$12,0)),"-")</f>
        <v>Blouse</v>
      </c>
      <c r="P646">
        <v>2</v>
      </c>
      <c r="Q646">
        <v>1</v>
      </c>
      <c r="R646" s="36">
        <f>IFERROR(INDEX(Katalog!$D$3:$D$12,MATCH(cadangan3[[#This Row],[ItemID B]],Katalog!$C$3:$C$12,0))*cadangan3[[#This Row],[Qty B]],0)</f>
        <v>300000</v>
      </c>
      <c r="S646" s="36">
        <f>IFERROR(INDEX(Katalog!$D$3:$D$12,MATCH(cadangan3[[#This Row],[Item B]],Katalog!$B$3:$B$12,0))*cadangan3[[#This Row],[Qty B]],0)</f>
        <v>300000</v>
      </c>
      <c r="T646" s="36">
        <f>IFERROR(cadangan3[[#This Row],[Harga Asli B]]-(cadangan3[[#This Row],[Harga Asli B]]*cadangan3[[#This Row],[Diskon]]),cadangan3[[#This Row],[Harga Asli B]])</f>
        <v>270000</v>
      </c>
      <c r="U646" s="36">
        <f>IFERROR(INDEX(Katalog!$F$3:$F$12,MATCH(cadangan3[[#This Row],[ItemID B]],Katalog!$C$3:$C$12,0))*cadangan3[[#This Row],[Qty B]],0)</f>
        <v>100000</v>
      </c>
      <c r="V646" s="36">
        <f>IFERROR(cadangan3[[#This Row],[Profit B]]-(cadangan3[[#This Row],[Profit B]]*cadangan3[[#This Row],[Diskon]]),U646)</f>
        <v>90000</v>
      </c>
      <c r="W646" t="s">
        <v>61</v>
      </c>
      <c r="X646" t="str">
        <f>IFERROR(INDEX(Katalog!$A$3:$A$12,MATCH(cadangan3[[#This Row],[ItemID C]],Katalog!$C$3:$C$12,0)),"-")</f>
        <v>Pakaian Pria</v>
      </c>
      <c r="Y646" t="str">
        <f>IFERROR(INDEX(Katalog!$B$3:$B$12,MATCH(cadangan3[[#This Row],[ItemID C]],Katalog!$C$3:$C$12,0)),"-")</f>
        <v>Kaos Polo</v>
      </c>
      <c r="Z646">
        <v>1</v>
      </c>
      <c r="AA646">
        <v>2</v>
      </c>
      <c r="AB646" s="36">
        <f>IFERROR(INDEX(Katalog!$D$3:$D$12,MATCH(cadangan3[[#This Row],[ItemID C]],Katalog!$C$3:$C$12,0))*cadangan3[[#This Row],[Qty C]],0)</f>
        <v>200000</v>
      </c>
      <c r="AC646" s="36">
        <f>IFERROR(INDEX(Katalog!$D$3:$D$12,MATCH(cadangan3[[#This Row],[Item C]],Katalog!$B$3:$B$12,0))*cadangan3[[#This Row],[Qty C]],0)</f>
        <v>200000</v>
      </c>
      <c r="AD646" s="36">
        <f>IFERROR(cadangan3[[#This Row],[Harga Asli C]]-(cadangan3[[#This Row],[Harga Asli C]]*cadangan3[[#This Row],[Diskon]]),cadangan3[[#This Row],[Harga Asli C]])</f>
        <v>180000</v>
      </c>
      <c r="AE646" s="36">
        <f>IFERROR(INDEX(Katalog!$F$3:$F$12,MATCH(cadangan3[[#This Row],[ItemID C]],Katalog!$C$3:$C$12,0))*cadangan3[[#This Row],[Qty C]],0)</f>
        <v>80000</v>
      </c>
      <c r="AF646" s="36">
        <f>IFERROR(cadangan3[[#This Row],[Profit C]]-(cadangan3[[#This Row],[Profit C]]*cadangan3[[#This Row],[Diskon]]),cadangan3[[#This Row],[Profit C]])</f>
        <v>72000</v>
      </c>
      <c r="AG646" s="21">
        <f>cadangan3[[#This Row],[Qty A]]+cadangan3[[#This Row],[Qty B]]+cadangan3[[#This Row],[Qty C]]</f>
        <v>4</v>
      </c>
      <c r="AH646" s="35">
        <f>cadangan3[[#This Row],[Harga A + Diskon]]+cadangan3[[#This Row],[Harga + Diskon B]]+cadangan3[[#This Row],[Harga + Diskon C]]</f>
        <v>900000</v>
      </c>
      <c r="AI646" s="35">
        <f>(cadangan3[[#This Row],[Profit A]]+cadangan3[[#This Row],[Profit B]]+cadangan3[[#This Row],[Profit C]])</f>
        <v>380000</v>
      </c>
      <c r="AJ646" s="35">
        <f>cadangan3[[#This Row],[Provit A + Diskon]]+cadangan3[[#This Row],[Provit B + Diskon]]+cadangan3[[#This Row],[Provit C + Diskon]]</f>
        <v>342000</v>
      </c>
      <c r="AK646" s="23" t="s">
        <v>6</v>
      </c>
      <c r="AL646" s="37">
        <f>IFERROR(INDEX('Kode Diskon'!$D$3:$D$9,MATCH(cadangan3[[#This Row],[Kode diskon]],'Kode Diskon'!$C$3:$C$9,0)),"-")</f>
        <v>0.1</v>
      </c>
      <c r="AM646" s="23" t="s">
        <v>29</v>
      </c>
      <c r="AN646" s="23" t="s">
        <v>7</v>
      </c>
      <c r="AO646" s="23" t="s">
        <v>75</v>
      </c>
      <c r="AP646" s="24">
        <v>45021</v>
      </c>
      <c r="AQ646" s="23" t="str">
        <f>TEXT(cadangan3[[#This Row],[Tanggal terjual]],"dddd")</f>
        <v>Wednesday</v>
      </c>
    </row>
    <row r="647" spans="1:43" x14ac:dyDescent="0.2">
      <c r="A647" s="20">
        <v>646</v>
      </c>
      <c r="B647" s="21" t="str">
        <f>_xlfn.CONCAT("ORD-",INDEX(Helper!$B$2:$B$5,MATCH(cadangan3[[#This Row],[Marketplace]],Helper!$A$2:$A$5,0)),TEXT(cadangan3[[#This Row],[No]],"0000"),"-",TEXT(cadangan3[[#This Row],[Tanggal terjual]],"dd/mm/yy"))</f>
        <v>ORD-TK0646-03/04/23</v>
      </c>
      <c r="C647" t="s">
        <v>59</v>
      </c>
      <c r="D647" t="str">
        <f>IFERROR(INDEX(Katalog!$A$3:$A$12,MATCH(cadangan3[[#This Row],[ItemID A]],Katalog!$C$3:$C$12,0)),"-")</f>
        <v>Pakaian Wanita</v>
      </c>
      <c r="E647" t="str">
        <f>IFERROR(INDEX(Katalog!$B$3:$B$12,MATCH(cadangan3[[#This Row],[ItemID A]],Katalog!$C$3:$C$12,0)),"-")</f>
        <v>Blouse</v>
      </c>
      <c r="F647">
        <v>2</v>
      </c>
      <c r="G647">
        <v>2</v>
      </c>
      <c r="H647" s="36">
        <f>IFERROR(INDEX(Katalog!$D$3:$D$12,MATCH(cadangan3[[#This Row],[ItemID A]],Katalog!$C$3:$C$12,0))*cadangan3[[#This Row],[Qty A]],0)</f>
        <v>300000</v>
      </c>
      <c r="I647" s="36">
        <f>IFERROR(INDEX(Katalog!$D$3:$D$12,MATCH(cadangan3[[#This Row],[Item A]],Katalog!$B$3:$B$12,0))*cadangan3[[#This Row],[Qty A]],0)</f>
        <v>300000</v>
      </c>
      <c r="J647" s="36">
        <f>IFERROR(cadangan3[[#This Row],[Harga Asli A]]-(cadangan3[[#This Row],[Harga Asli A]]*cadangan3[[#This Row],[Diskon]]),cadangan3[[#This Row],[Harga Asli A]])</f>
        <v>270000</v>
      </c>
      <c r="K647" s="36">
        <f>INDEX(Katalog!$F$3:$F$12,MATCH(cadangan3[[#This Row],[ItemID A]],Katalog!$C$3:$C$12,0))*cadangan3[[#This Row],[Qty A]]</f>
        <v>100000</v>
      </c>
      <c r="L647" s="36">
        <f>IFERROR(cadangan3[[#This Row],[Profit A]]-(cadangan3[[#This Row],[Profit A]]*cadangan3[[#This Row],[Diskon]]),K647)</f>
        <v>90000</v>
      </c>
      <c r="N647" t="str">
        <f>IFERROR(INDEX(Katalog!$A$3:$A$12,MATCH(cadangan3[[#This Row],[ItemID B]],Katalog!$C$3:$C$12,0)),"-")</f>
        <v>-</v>
      </c>
      <c r="O647" t="str">
        <f>IFERROR(INDEX(Katalog!$B$3:$B$12,MATCH(cadangan3[[#This Row],[ItemID B]],Katalog!$C$3:$C$12,0)),"-")</f>
        <v>-</v>
      </c>
      <c r="R647" s="36">
        <f>IFERROR(INDEX(Katalog!$D$3:$D$12,MATCH(cadangan3[[#This Row],[ItemID B]],Katalog!$C$3:$C$12,0))*cadangan3[[#This Row],[Qty B]],0)</f>
        <v>0</v>
      </c>
      <c r="S647" s="36">
        <f>IFERROR(INDEX(Katalog!$D$3:$D$12,MATCH(cadangan3[[#This Row],[Item B]],Katalog!$B$3:$B$12,0))*cadangan3[[#This Row],[Qty B]],0)</f>
        <v>0</v>
      </c>
      <c r="T647" s="36">
        <f>IFERROR(cadangan3[[#This Row],[Harga Asli B]]-(cadangan3[[#This Row],[Harga Asli B]]*cadangan3[[#This Row],[Diskon]]),cadangan3[[#This Row],[Harga Asli B]])</f>
        <v>0</v>
      </c>
      <c r="U647" s="36">
        <f>IFERROR(INDEX(Katalog!$F$3:$F$12,MATCH(cadangan3[[#This Row],[ItemID B]],Katalog!$C$3:$C$12,0))*cadangan3[[#This Row],[Qty B]],0)</f>
        <v>0</v>
      </c>
      <c r="V647" s="36">
        <f>IFERROR(cadangan3[[#This Row],[Profit B]]-(cadangan3[[#This Row],[Profit B]]*cadangan3[[#This Row],[Diskon]]),U647)</f>
        <v>0</v>
      </c>
      <c r="X647" t="str">
        <f>IFERROR(INDEX(Katalog!$A$3:$A$12,MATCH(cadangan3[[#This Row],[ItemID C]],Katalog!$C$3:$C$12,0)),"-")</f>
        <v>-</v>
      </c>
      <c r="Y647" t="str">
        <f>IFERROR(INDEX(Katalog!$B$3:$B$12,MATCH(cadangan3[[#This Row],[ItemID C]],Katalog!$C$3:$C$12,0)),"-")</f>
        <v>-</v>
      </c>
      <c r="AB647" s="36">
        <f>IFERROR(INDEX(Katalog!$D$3:$D$12,MATCH(cadangan3[[#This Row],[ItemID C]],Katalog!$C$3:$C$12,0))*cadangan3[[#This Row],[Qty C]],0)</f>
        <v>0</v>
      </c>
      <c r="AC647" s="36">
        <f>IFERROR(INDEX(Katalog!$D$3:$D$12,MATCH(cadangan3[[#This Row],[Item C]],Katalog!$B$3:$B$12,0))*cadangan3[[#This Row],[Qty C]],0)</f>
        <v>0</v>
      </c>
      <c r="AD647" s="36">
        <f>IFERROR(cadangan3[[#This Row],[Harga Asli C]]-(cadangan3[[#This Row],[Harga Asli C]]*cadangan3[[#This Row],[Diskon]]),cadangan3[[#This Row],[Harga Asli C]])</f>
        <v>0</v>
      </c>
      <c r="AE647" s="36">
        <f>IFERROR(INDEX(Katalog!$F$3:$F$12,MATCH(cadangan3[[#This Row],[ItemID C]],Katalog!$C$3:$C$12,0))*cadangan3[[#This Row],[Qty C]],0)</f>
        <v>0</v>
      </c>
      <c r="AF647" s="36">
        <f>IFERROR(cadangan3[[#This Row],[Profit C]]-(cadangan3[[#This Row],[Profit C]]*cadangan3[[#This Row],[Diskon]]),cadangan3[[#This Row],[Profit C]])</f>
        <v>0</v>
      </c>
      <c r="AG647" s="21">
        <f>cadangan3[[#This Row],[Qty A]]+cadangan3[[#This Row],[Qty B]]+cadangan3[[#This Row],[Qty C]]</f>
        <v>2</v>
      </c>
      <c r="AH647" s="35">
        <f>cadangan3[[#This Row],[Harga A + Diskon]]+cadangan3[[#This Row],[Harga + Diskon B]]+cadangan3[[#This Row],[Harga + Diskon C]]</f>
        <v>270000</v>
      </c>
      <c r="AI647" s="35">
        <f>(cadangan3[[#This Row],[Profit A]]+cadangan3[[#This Row],[Profit B]]+cadangan3[[#This Row],[Profit C]])</f>
        <v>100000</v>
      </c>
      <c r="AJ647" s="35">
        <f>cadangan3[[#This Row],[Provit A + Diskon]]+cadangan3[[#This Row],[Provit B + Diskon]]+cadangan3[[#This Row],[Provit C + Diskon]]</f>
        <v>90000</v>
      </c>
      <c r="AK647" s="23" t="s">
        <v>30</v>
      </c>
      <c r="AL647" s="37">
        <f>IFERROR(INDEX('Kode Diskon'!$D$3:$D$9,MATCH(cadangan3[[#This Row],[Kode diskon]],'Kode Diskon'!$C$3:$C$9,0)),"-")</f>
        <v>0.1</v>
      </c>
      <c r="AM647" s="23" t="s">
        <v>29</v>
      </c>
      <c r="AN647" s="23" t="s">
        <v>10</v>
      </c>
      <c r="AO647" s="23" t="s">
        <v>75</v>
      </c>
      <c r="AP647" s="24">
        <v>45019</v>
      </c>
      <c r="AQ647" s="23" t="str">
        <f>TEXT(cadangan3[[#This Row],[Tanggal terjual]],"dddd")</f>
        <v>Monday</v>
      </c>
    </row>
    <row r="648" spans="1:43" x14ac:dyDescent="0.2">
      <c r="A648" s="20">
        <v>647</v>
      </c>
      <c r="B648" s="21" t="str">
        <f>_xlfn.CONCAT("ORD-",INDEX(Helper!$B$2:$B$5,MATCH(cadangan3[[#This Row],[Marketplace]],Helper!$A$2:$A$5,0)),TEXT(cadangan3[[#This Row],[No]],"0000"),"-",TEXT(cadangan3[[#This Row],[Tanggal terjual]],"dd/mm/yy"))</f>
        <v>ORD-BL0647-27/04/23</v>
      </c>
      <c r="C648" t="s">
        <v>59</v>
      </c>
      <c r="D648" t="str">
        <f>IFERROR(INDEX(Katalog!$A$3:$A$12,MATCH(cadangan3[[#This Row],[ItemID A]],Katalog!$C$3:$C$12,0)),"-")</f>
        <v>Pakaian Wanita</v>
      </c>
      <c r="E648" t="str">
        <f>IFERROR(INDEX(Katalog!$B$3:$B$12,MATCH(cadangan3[[#This Row],[ItemID A]],Katalog!$C$3:$C$12,0)),"-")</f>
        <v>Blouse</v>
      </c>
      <c r="F648">
        <v>1</v>
      </c>
      <c r="G648">
        <v>1</v>
      </c>
      <c r="H648" s="36">
        <f>IFERROR(INDEX(Katalog!$D$3:$D$12,MATCH(cadangan3[[#This Row],[ItemID A]],Katalog!$C$3:$C$12,0))*cadangan3[[#This Row],[Qty A]],0)</f>
        <v>150000</v>
      </c>
      <c r="I648" s="36">
        <f>IFERROR(INDEX(Katalog!$D$3:$D$12,MATCH(cadangan3[[#This Row],[Item A]],Katalog!$B$3:$B$12,0))*cadangan3[[#This Row],[Qty A]],0)</f>
        <v>150000</v>
      </c>
      <c r="J648" s="36">
        <f>IFERROR(cadangan3[[#This Row],[Harga Asli A]]-(cadangan3[[#This Row],[Harga Asli A]]*cadangan3[[#This Row],[Diskon]]),cadangan3[[#This Row],[Harga Asli A]])</f>
        <v>127500</v>
      </c>
      <c r="K648" s="36">
        <f>INDEX(Katalog!$F$3:$F$12,MATCH(cadangan3[[#This Row],[ItemID A]],Katalog!$C$3:$C$12,0))*cadangan3[[#This Row],[Qty A]]</f>
        <v>50000</v>
      </c>
      <c r="L648" s="36">
        <f>IFERROR(cadangan3[[#This Row],[Profit A]]-(cadangan3[[#This Row],[Profit A]]*cadangan3[[#This Row],[Diskon]]),K648)</f>
        <v>42500</v>
      </c>
      <c r="M648" t="s">
        <v>66</v>
      </c>
      <c r="N648" t="str">
        <f>IFERROR(INDEX(Katalog!$A$3:$A$12,MATCH(cadangan3[[#This Row],[ItemID B]],Katalog!$C$3:$C$12,0)),"-")</f>
        <v>Sepatu Pria</v>
      </c>
      <c r="O648" t="str">
        <f>IFERROR(INDEX(Katalog!$B$3:$B$12,MATCH(cadangan3[[#This Row],[ItemID B]],Katalog!$C$3:$C$12,0)),"-")</f>
        <v>Sandal Slip On</v>
      </c>
      <c r="P648">
        <v>1</v>
      </c>
      <c r="Q648">
        <v>1</v>
      </c>
      <c r="R648" s="36">
        <f>IFERROR(INDEX(Katalog!$D$3:$D$12,MATCH(cadangan3[[#This Row],[ItemID B]],Katalog!$C$3:$C$12,0))*cadangan3[[#This Row],[Qty B]],0)</f>
        <v>150000</v>
      </c>
      <c r="S648" s="36">
        <f>IFERROR(INDEX(Katalog!$D$3:$D$12,MATCH(cadangan3[[#This Row],[Item B]],Katalog!$B$3:$B$12,0))*cadangan3[[#This Row],[Qty B]],0)</f>
        <v>150000</v>
      </c>
      <c r="T648" s="36">
        <f>IFERROR(cadangan3[[#This Row],[Harga Asli B]]-(cadangan3[[#This Row],[Harga Asli B]]*cadangan3[[#This Row],[Diskon]]),cadangan3[[#This Row],[Harga Asli B]])</f>
        <v>127500</v>
      </c>
      <c r="U648" s="36">
        <f>IFERROR(INDEX(Katalog!$F$3:$F$12,MATCH(cadangan3[[#This Row],[ItemID B]],Katalog!$C$3:$C$12,0))*cadangan3[[#This Row],[Qty B]],0)</f>
        <v>60000</v>
      </c>
      <c r="V648" s="36">
        <f>IFERROR(cadangan3[[#This Row],[Profit B]]-(cadangan3[[#This Row],[Profit B]]*cadangan3[[#This Row],[Diskon]]),U648)</f>
        <v>51000</v>
      </c>
      <c r="X648" t="str">
        <f>IFERROR(INDEX(Katalog!$A$3:$A$12,MATCH(cadangan3[[#This Row],[ItemID C]],Katalog!$C$3:$C$12,0)),"-")</f>
        <v>-</v>
      </c>
      <c r="Y648" t="str">
        <f>IFERROR(INDEX(Katalog!$B$3:$B$12,MATCH(cadangan3[[#This Row],[ItemID C]],Katalog!$C$3:$C$12,0)),"-")</f>
        <v>-</v>
      </c>
      <c r="AB648" s="36">
        <f>IFERROR(INDEX(Katalog!$D$3:$D$12,MATCH(cadangan3[[#This Row],[ItemID C]],Katalog!$C$3:$C$12,0))*cadangan3[[#This Row],[Qty C]],0)</f>
        <v>0</v>
      </c>
      <c r="AC648" s="36">
        <f>IFERROR(INDEX(Katalog!$D$3:$D$12,MATCH(cadangan3[[#This Row],[Item C]],Katalog!$B$3:$B$12,0))*cadangan3[[#This Row],[Qty C]],0)</f>
        <v>0</v>
      </c>
      <c r="AD648" s="36">
        <f>IFERROR(cadangan3[[#This Row],[Harga Asli C]]-(cadangan3[[#This Row],[Harga Asli C]]*cadangan3[[#This Row],[Diskon]]),cadangan3[[#This Row],[Harga Asli C]])</f>
        <v>0</v>
      </c>
      <c r="AE648" s="36">
        <f>IFERROR(INDEX(Katalog!$F$3:$F$12,MATCH(cadangan3[[#This Row],[ItemID C]],Katalog!$C$3:$C$12,0))*cadangan3[[#This Row],[Qty C]],0)</f>
        <v>0</v>
      </c>
      <c r="AF648" s="36">
        <f>IFERROR(cadangan3[[#This Row],[Profit C]]-(cadangan3[[#This Row],[Profit C]]*cadangan3[[#This Row],[Diskon]]),cadangan3[[#This Row],[Profit C]])</f>
        <v>0</v>
      </c>
      <c r="AG648" s="21">
        <f>cadangan3[[#This Row],[Qty A]]+cadangan3[[#This Row],[Qty B]]+cadangan3[[#This Row],[Qty C]]</f>
        <v>2</v>
      </c>
      <c r="AH648" s="35">
        <f>cadangan3[[#This Row],[Harga A + Diskon]]+cadangan3[[#This Row],[Harga + Diskon B]]+cadangan3[[#This Row],[Harga + Diskon C]]</f>
        <v>255000</v>
      </c>
      <c r="AI648" s="35">
        <f>(cadangan3[[#This Row],[Profit A]]+cadangan3[[#This Row],[Profit B]]+cadangan3[[#This Row],[Profit C]])</f>
        <v>110000</v>
      </c>
      <c r="AJ648" s="35">
        <f>cadangan3[[#This Row],[Provit A + Diskon]]+cadangan3[[#This Row],[Provit B + Diskon]]+cadangan3[[#This Row],[Provit C + Diskon]]</f>
        <v>93500</v>
      </c>
      <c r="AK648" s="23" t="s">
        <v>32</v>
      </c>
      <c r="AL648" s="37">
        <f>IFERROR(INDEX('Kode Diskon'!$D$3:$D$9,MATCH(cadangan3[[#This Row],[Kode diskon]],'Kode Diskon'!$C$3:$C$9,0)),"-")</f>
        <v>0.15</v>
      </c>
      <c r="AM648" s="23" t="s">
        <v>9</v>
      </c>
      <c r="AN648" s="23" t="s">
        <v>12</v>
      </c>
      <c r="AO648" s="23" t="s">
        <v>76</v>
      </c>
      <c r="AP648" s="24">
        <v>45043</v>
      </c>
      <c r="AQ648" s="23" t="str">
        <f>TEXT(cadangan3[[#This Row],[Tanggal terjual]],"dddd")</f>
        <v>Thursday</v>
      </c>
    </row>
    <row r="649" spans="1:43" x14ac:dyDescent="0.2">
      <c r="A649" s="20">
        <v>648</v>
      </c>
      <c r="B649" s="21" t="str">
        <f>_xlfn.CONCAT("ORD-",INDEX(Helper!$B$2:$B$5,MATCH(cadangan3[[#This Row],[Marketplace]],Helper!$A$2:$A$5,0)),TEXT(cadangan3[[#This Row],[No]],"0000"),"-",TEXT(cadangan3[[#This Row],[Tanggal terjual]],"dd/mm/yy"))</f>
        <v>ORD-BL0648-29/04/23</v>
      </c>
      <c r="C649" t="s">
        <v>59</v>
      </c>
      <c r="D649" t="str">
        <f>IFERROR(INDEX(Katalog!$A$3:$A$12,MATCH(cadangan3[[#This Row],[ItemID A]],Katalog!$C$3:$C$12,0)),"-")</f>
        <v>Pakaian Wanita</v>
      </c>
      <c r="E649" t="str">
        <f>IFERROR(INDEX(Katalog!$B$3:$B$12,MATCH(cadangan3[[#This Row],[ItemID A]],Katalog!$C$3:$C$12,0)),"-")</f>
        <v>Blouse</v>
      </c>
      <c r="F649">
        <v>3</v>
      </c>
      <c r="G649">
        <v>5</v>
      </c>
      <c r="H649" s="36">
        <f>IFERROR(INDEX(Katalog!$D$3:$D$12,MATCH(cadangan3[[#This Row],[ItemID A]],Katalog!$C$3:$C$12,0))*cadangan3[[#This Row],[Qty A]],0)</f>
        <v>450000</v>
      </c>
      <c r="I649" s="36">
        <f>IFERROR(INDEX(Katalog!$D$3:$D$12,MATCH(cadangan3[[#This Row],[Item A]],Katalog!$B$3:$B$12,0))*cadangan3[[#This Row],[Qty A]],0)</f>
        <v>450000</v>
      </c>
      <c r="J649" s="36">
        <f>IFERROR(cadangan3[[#This Row],[Harga Asli A]]-(cadangan3[[#This Row],[Harga Asli A]]*cadangan3[[#This Row],[Diskon]]),cadangan3[[#This Row],[Harga Asli A]])</f>
        <v>382500</v>
      </c>
      <c r="K649" s="36">
        <f>INDEX(Katalog!$F$3:$F$12,MATCH(cadangan3[[#This Row],[ItemID A]],Katalog!$C$3:$C$12,0))*cadangan3[[#This Row],[Qty A]]</f>
        <v>150000</v>
      </c>
      <c r="L649" s="36">
        <f>IFERROR(cadangan3[[#This Row],[Profit A]]-(cadangan3[[#This Row],[Profit A]]*cadangan3[[#This Row],[Diskon]]),K649)</f>
        <v>127500</v>
      </c>
      <c r="M649" t="s">
        <v>67</v>
      </c>
      <c r="N649" t="str">
        <f>IFERROR(INDEX(Katalog!$A$3:$A$12,MATCH(cadangan3[[#This Row],[ItemID B]],Katalog!$C$3:$C$12,0)),"-")</f>
        <v>Sepatu Wanita</v>
      </c>
      <c r="O649" t="str">
        <f>IFERROR(INDEX(Katalog!$B$3:$B$12,MATCH(cadangan3[[#This Row],[ItemID B]],Katalog!$C$3:$C$12,0)),"-")</f>
        <v>Flat Shoes</v>
      </c>
      <c r="P649">
        <v>3</v>
      </c>
      <c r="Q649">
        <v>1</v>
      </c>
      <c r="R649" s="36">
        <f>IFERROR(INDEX(Katalog!$D$3:$D$12,MATCH(cadangan3[[#This Row],[ItemID B]],Katalog!$C$3:$C$12,0))*cadangan3[[#This Row],[Qty B]],0)</f>
        <v>750000</v>
      </c>
      <c r="S649" s="36">
        <f>IFERROR(INDEX(Katalog!$D$3:$D$12,MATCH(cadangan3[[#This Row],[Item B]],Katalog!$B$3:$B$12,0))*cadangan3[[#This Row],[Qty B]],0)</f>
        <v>750000</v>
      </c>
      <c r="T649" s="36">
        <f>IFERROR(cadangan3[[#This Row],[Harga Asli B]]-(cadangan3[[#This Row],[Harga Asli B]]*cadangan3[[#This Row],[Diskon]]),cadangan3[[#This Row],[Harga Asli B]])</f>
        <v>637500</v>
      </c>
      <c r="U649" s="36">
        <f>IFERROR(INDEX(Katalog!$F$3:$F$12,MATCH(cadangan3[[#This Row],[ItemID B]],Katalog!$C$3:$C$12,0))*cadangan3[[#This Row],[Qty B]],0)</f>
        <v>300000</v>
      </c>
      <c r="V649" s="36">
        <f>IFERROR(cadangan3[[#This Row],[Profit B]]-(cadangan3[[#This Row],[Profit B]]*cadangan3[[#This Row],[Diskon]]),U649)</f>
        <v>255000</v>
      </c>
      <c r="X649" t="str">
        <f>IFERROR(INDEX(Katalog!$A$3:$A$12,MATCH(cadangan3[[#This Row],[ItemID C]],Katalog!$C$3:$C$12,0)),"-")</f>
        <v>-</v>
      </c>
      <c r="Y649" t="str">
        <f>IFERROR(INDEX(Katalog!$B$3:$B$12,MATCH(cadangan3[[#This Row],[ItemID C]],Katalog!$C$3:$C$12,0)),"-")</f>
        <v>-</v>
      </c>
      <c r="AB649" s="36">
        <f>IFERROR(INDEX(Katalog!$D$3:$D$12,MATCH(cadangan3[[#This Row],[ItemID C]],Katalog!$C$3:$C$12,0))*cadangan3[[#This Row],[Qty C]],0)</f>
        <v>0</v>
      </c>
      <c r="AC649" s="36">
        <f>IFERROR(INDEX(Katalog!$D$3:$D$12,MATCH(cadangan3[[#This Row],[Item C]],Katalog!$B$3:$B$12,0))*cadangan3[[#This Row],[Qty C]],0)</f>
        <v>0</v>
      </c>
      <c r="AD649" s="36">
        <f>IFERROR(cadangan3[[#This Row],[Harga Asli C]]-(cadangan3[[#This Row],[Harga Asli C]]*cadangan3[[#This Row],[Diskon]]),cadangan3[[#This Row],[Harga Asli C]])</f>
        <v>0</v>
      </c>
      <c r="AE649" s="36">
        <f>IFERROR(INDEX(Katalog!$F$3:$F$12,MATCH(cadangan3[[#This Row],[ItemID C]],Katalog!$C$3:$C$12,0))*cadangan3[[#This Row],[Qty C]],0)</f>
        <v>0</v>
      </c>
      <c r="AF649" s="36">
        <f>IFERROR(cadangan3[[#This Row],[Profit C]]-(cadangan3[[#This Row],[Profit C]]*cadangan3[[#This Row],[Diskon]]),cadangan3[[#This Row],[Profit C]])</f>
        <v>0</v>
      </c>
      <c r="AG649" s="21">
        <f>cadangan3[[#This Row],[Qty A]]+cadangan3[[#This Row],[Qty B]]+cadangan3[[#This Row],[Qty C]]</f>
        <v>6</v>
      </c>
      <c r="AH649" s="35">
        <f>cadangan3[[#This Row],[Harga A + Diskon]]+cadangan3[[#This Row],[Harga + Diskon B]]+cadangan3[[#This Row],[Harga + Diskon C]]</f>
        <v>1020000</v>
      </c>
      <c r="AI649" s="35">
        <f>(cadangan3[[#This Row],[Profit A]]+cadangan3[[#This Row],[Profit B]]+cadangan3[[#This Row],[Profit C]])</f>
        <v>450000</v>
      </c>
      <c r="AJ649" s="35">
        <f>cadangan3[[#This Row],[Provit A + Diskon]]+cadangan3[[#This Row],[Provit B + Diskon]]+cadangan3[[#This Row],[Provit C + Diskon]]</f>
        <v>382500</v>
      </c>
      <c r="AK649" s="23" t="s">
        <v>32</v>
      </c>
      <c r="AL649" s="37">
        <f>IFERROR(INDEX('Kode Diskon'!$D$3:$D$9,MATCH(cadangan3[[#This Row],[Kode diskon]],'Kode Diskon'!$C$3:$C$9,0)),"-")</f>
        <v>0.15</v>
      </c>
      <c r="AM649" s="23" t="s">
        <v>9</v>
      </c>
      <c r="AN649" s="23" t="s">
        <v>12</v>
      </c>
      <c r="AO649" s="23" t="s">
        <v>79</v>
      </c>
      <c r="AP649" s="24">
        <v>45045</v>
      </c>
      <c r="AQ649" s="23" t="str">
        <f>TEXT(cadangan3[[#This Row],[Tanggal terjual]],"dddd")</f>
        <v>Saturday</v>
      </c>
    </row>
    <row r="650" spans="1:43" x14ac:dyDescent="0.2">
      <c r="A650" s="20">
        <v>649</v>
      </c>
      <c r="B650" s="21" t="str">
        <f>_xlfn.CONCAT("ORD-",INDEX(Helper!$B$2:$B$5,MATCH(cadangan3[[#This Row],[Marketplace]],Helper!$A$2:$A$5,0)),TEXT(cadangan3[[#This Row],[No]],"0000"),"-",TEXT(cadangan3[[#This Row],[Tanggal terjual]],"dd/mm/yy"))</f>
        <v>ORD-SP0649-15/04/23</v>
      </c>
      <c r="C650" t="s">
        <v>64</v>
      </c>
      <c r="D650" t="str">
        <f>IFERROR(INDEX(Katalog!$A$3:$A$12,MATCH(cadangan3[[#This Row],[ItemID A]],Katalog!$C$3:$C$12,0)),"-")</f>
        <v>Pakaian Unisex</v>
      </c>
      <c r="E650" t="str">
        <f>IFERROR(INDEX(Katalog!$B$3:$B$12,MATCH(cadangan3[[#This Row],[ItemID A]],Katalog!$C$3:$C$12,0)),"-")</f>
        <v>Jaket Hoodie</v>
      </c>
      <c r="F650">
        <v>4</v>
      </c>
      <c r="G650">
        <v>2</v>
      </c>
      <c r="H650" s="36">
        <f>IFERROR(INDEX(Katalog!$D$3:$D$12,MATCH(cadangan3[[#This Row],[ItemID A]],Katalog!$C$3:$C$12,0))*cadangan3[[#This Row],[Qty A]],0)</f>
        <v>1400000</v>
      </c>
      <c r="I650" s="36">
        <f>IFERROR(INDEX(Katalog!$D$3:$D$12,MATCH(cadangan3[[#This Row],[Item A]],Katalog!$B$3:$B$12,0))*cadangan3[[#This Row],[Qty A]],0)</f>
        <v>1400000</v>
      </c>
      <c r="J650" s="36">
        <f>IFERROR(cadangan3[[#This Row],[Harga Asli A]]-(cadangan3[[#This Row],[Harga Asli A]]*cadangan3[[#This Row],[Diskon]]),cadangan3[[#This Row],[Harga Asli A]])</f>
        <v>1400000</v>
      </c>
      <c r="K650" s="36">
        <f>INDEX(Katalog!$F$3:$F$12,MATCH(cadangan3[[#This Row],[ItemID A]],Katalog!$C$3:$C$12,0))*cadangan3[[#This Row],[Qty A]]</f>
        <v>520000</v>
      </c>
      <c r="L650" s="36">
        <f>IFERROR(cadangan3[[#This Row],[Profit A]]-(cadangan3[[#This Row],[Profit A]]*cadangan3[[#This Row],[Diskon]]),K650)</f>
        <v>520000</v>
      </c>
      <c r="M650" t="s">
        <v>66</v>
      </c>
      <c r="N650" t="str">
        <f>IFERROR(INDEX(Katalog!$A$3:$A$12,MATCH(cadangan3[[#This Row],[ItemID B]],Katalog!$C$3:$C$12,0)),"-")</f>
        <v>Sepatu Pria</v>
      </c>
      <c r="O650" t="str">
        <f>IFERROR(INDEX(Katalog!$B$3:$B$12,MATCH(cadangan3[[#This Row],[ItemID B]],Katalog!$C$3:$C$12,0)),"-")</f>
        <v>Sandal Slip On</v>
      </c>
      <c r="P650">
        <v>1</v>
      </c>
      <c r="Q650">
        <v>4</v>
      </c>
      <c r="R650" s="36">
        <f>IFERROR(INDEX(Katalog!$D$3:$D$12,MATCH(cadangan3[[#This Row],[ItemID B]],Katalog!$C$3:$C$12,0))*cadangan3[[#This Row],[Qty B]],0)</f>
        <v>150000</v>
      </c>
      <c r="S650" s="36">
        <f>IFERROR(INDEX(Katalog!$D$3:$D$12,MATCH(cadangan3[[#This Row],[Item B]],Katalog!$B$3:$B$12,0))*cadangan3[[#This Row],[Qty B]],0)</f>
        <v>150000</v>
      </c>
      <c r="T650" s="36">
        <f>IFERROR(cadangan3[[#This Row],[Harga Asli B]]-(cadangan3[[#This Row],[Harga Asli B]]*cadangan3[[#This Row],[Diskon]]),cadangan3[[#This Row],[Harga Asli B]])</f>
        <v>150000</v>
      </c>
      <c r="U650" s="36">
        <f>IFERROR(INDEX(Katalog!$F$3:$F$12,MATCH(cadangan3[[#This Row],[ItemID B]],Katalog!$C$3:$C$12,0))*cadangan3[[#This Row],[Qty B]],0)</f>
        <v>60000</v>
      </c>
      <c r="V650" s="36">
        <f>IFERROR(cadangan3[[#This Row],[Profit B]]-(cadangan3[[#This Row],[Profit B]]*cadangan3[[#This Row],[Diskon]]),U650)</f>
        <v>60000</v>
      </c>
      <c r="W650" t="s">
        <v>63</v>
      </c>
      <c r="X650" t="str">
        <f>IFERROR(INDEX(Katalog!$A$3:$A$12,MATCH(cadangan3[[#This Row],[ItemID C]],Katalog!$C$3:$C$12,0)),"-")</f>
        <v>Pakaian Pria</v>
      </c>
      <c r="Y650" t="str">
        <f>IFERROR(INDEX(Katalog!$B$3:$B$12,MATCH(cadangan3[[#This Row],[ItemID C]],Katalog!$C$3:$C$12,0)),"-")</f>
        <v>Jaket Jeans</v>
      </c>
      <c r="Z650">
        <v>2</v>
      </c>
      <c r="AA650">
        <v>3</v>
      </c>
      <c r="AB650" s="36">
        <f>IFERROR(INDEX(Katalog!$D$3:$D$12,MATCH(cadangan3[[#This Row],[ItemID C]],Katalog!$C$3:$C$12,0))*cadangan3[[#This Row],[Qty C]],0)</f>
        <v>800000</v>
      </c>
      <c r="AC650" s="36">
        <f>IFERROR(INDEX(Katalog!$D$3:$D$12,MATCH(cadangan3[[#This Row],[Item C]],Katalog!$B$3:$B$12,0))*cadangan3[[#This Row],[Qty C]],0)</f>
        <v>800000</v>
      </c>
      <c r="AD650" s="36">
        <f>IFERROR(cadangan3[[#This Row],[Harga Asli C]]-(cadangan3[[#This Row],[Harga Asli C]]*cadangan3[[#This Row],[Diskon]]),cadangan3[[#This Row],[Harga Asli C]])</f>
        <v>800000</v>
      </c>
      <c r="AE650" s="36">
        <f>IFERROR(INDEX(Katalog!$F$3:$F$12,MATCH(cadangan3[[#This Row],[ItemID C]],Katalog!$C$3:$C$12,0))*cadangan3[[#This Row],[Qty C]],0)</f>
        <v>300000</v>
      </c>
      <c r="AF650" s="36">
        <f>IFERROR(cadangan3[[#This Row],[Profit C]]-(cadangan3[[#This Row],[Profit C]]*cadangan3[[#This Row],[Diskon]]),cadangan3[[#This Row],[Profit C]])</f>
        <v>300000</v>
      </c>
      <c r="AG650" s="21">
        <f>cadangan3[[#This Row],[Qty A]]+cadangan3[[#This Row],[Qty B]]+cadangan3[[#This Row],[Qty C]]</f>
        <v>7</v>
      </c>
      <c r="AH650" s="35">
        <f>cadangan3[[#This Row],[Harga A + Diskon]]+cadangan3[[#This Row],[Harga + Diskon B]]+cadangan3[[#This Row],[Harga + Diskon C]]</f>
        <v>2350000</v>
      </c>
      <c r="AI650" s="35">
        <f>(cadangan3[[#This Row],[Profit A]]+cadangan3[[#This Row],[Profit B]]+cadangan3[[#This Row],[Profit C]])</f>
        <v>880000</v>
      </c>
      <c r="AJ650" s="35">
        <f>cadangan3[[#This Row],[Provit A + Diskon]]+cadangan3[[#This Row],[Provit B + Diskon]]+cadangan3[[#This Row],[Provit C + Diskon]]</f>
        <v>880000</v>
      </c>
      <c r="AK650" s="23" t="s">
        <v>11</v>
      </c>
      <c r="AL650" s="37" t="str">
        <f>IFERROR(INDEX('Kode Diskon'!$D$3:$D$9,MATCH(cadangan3[[#This Row],[Kode diskon]],'Kode Diskon'!$C$3:$C$9,0)),"-")</f>
        <v>-</v>
      </c>
      <c r="AM650" s="23" t="s">
        <v>11</v>
      </c>
      <c r="AN650" s="23" t="s">
        <v>7</v>
      </c>
      <c r="AO650" s="23" t="s">
        <v>76</v>
      </c>
      <c r="AP650" s="24">
        <v>45031</v>
      </c>
      <c r="AQ650" s="23" t="str">
        <f>TEXT(cadangan3[[#This Row],[Tanggal terjual]],"dddd")</f>
        <v>Saturday</v>
      </c>
    </row>
    <row r="651" spans="1:43" x14ac:dyDescent="0.2">
      <c r="A651" s="20">
        <v>650</v>
      </c>
      <c r="B651" s="21" t="str">
        <f>_xlfn.CONCAT("ORD-",INDEX(Helper!$B$2:$B$5,MATCH(cadangan3[[#This Row],[Marketplace]],Helper!$A$2:$A$5,0)),TEXT(cadangan3[[#This Row],[No]],"0000"),"-",TEXT(cadangan3[[#This Row],[Tanggal terjual]],"dd/mm/yy"))</f>
        <v>ORD-SP0650-05/04/23</v>
      </c>
      <c r="C651" t="s">
        <v>63</v>
      </c>
      <c r="D651" t="str">
        <f>IFERROR(INDEX(Katalog!$A$3:$A$12,MATCH(cadangan3[[#This Row],[ItemID A]],Katalog!$C$3:$C$12,0)),"-")</f>
        <v>Pakaian Pria</v>
      </c>
      <c r="E651" t="str">
        <f>IFERROR(INDEX(Katalog!$B$3:$B$12,MATCH(cadangan3[[#This Row],[ItemID A]],Katalog!$C$3:$C$12,0)),"-")</f>
        <v>Jaket Jeans</v>
      </c>
      <c r="F651">
        <v>3</v>
      </c>
      <c r="G651">
        <v>1</v>
      </c>
      <c r="H651" s="36">
        <f>IFERROR(INDEX(Katalog!$D$3:$D$12,MATCH(cadangan3[[#This Row],[ItemID A]],Katalog!$C$3:$C$12,0))*cadangan3[[#This Row],[Qty A]],0)</f>
        <v>1200000</v>
      </c>
      <c r="I651" s="36">
        <f>IFERROR(INDEX(Katalog!$D$3:$D$12,MATCH(cadangan3[[#This Row],[Item A]],Katalog!$B$3:$B$12,0))*cadangan3[[#This Row],[Qty A]],0)</f>
        <v>1200000</v>
      </c>
      <c r="J651" s="36">
        <f>IFERROR(cadangan3[[#This Row],[Harga Asli A]]-(cadangan3[[#This Row],[Harga Asli A]]*cadangan3[[#This Row],[Diskon]]),cadangan3[[#This Row],[Harga Asli A]])</f>
        <v>1080000</v>
      </c>
      <c r="K651" s="36">
        <f>INDEX(Katalog!$F$3:$F$12,MATCH(cadangan3[[#This Row],[ItemID A]],Katalog!$C$3:$C$12,0))*cadangan3[[#This Row],[Qty A]]</f>
        <v>450000</v>
      </c>
      <c r="L651" s="36">
        <f>IFERROR(cadangan3[[#This Row],[Profit A]]-(cadangan3[[#This Row],[Profit A]]*cadangan3[[#This Row],[Diskon]]),K651)</f>
        <v>405000</v>
      </c>
      <c r="N651" t="str">
        <f>IFERROR(INDEX(Katalog!$A$3:$A$12,MATCH(cadangan3[[#This Row],[ItemID B]],Katalog!$C$3:$C$12,0)),"-")</f>
        <v>-</v>
      </c>
      <c r="O651" t="str">
        <f>IFERROR(INDEX(Katalog!$B$3:$B$12,MATCH(cadangan3[[#This Row],[ItemID B]],Katalog!$C$3:$C$12,0)),"-")</f>
        <v>-</v>
      </c>
      <c r="R651" s="36">
        <f>IFERROR(INDEX(Katalog!$D$3:$D$12,MATCH(cadangan3[[#This Row],[ItemID B]],Katalog!$C$3:$C$12,0))*cadangan3[[#This Row],[Qty B]],0)</f>
        <v>0</v>
      </c>
      <c r="S651" s="36">
        <f>IFERROR(INDEX(Katalog!$D$3:$D$12,MATCH(cadangan3[[#This Row],[Item B]],Katalog!$B$3:$B$12,0))*cadangan3[[#This Row],[Qty B]],0)</f>
        <v>0</v>
      </c>
      <c r="T651" s="36">
        <f>IFERROR(cadangan3[[#This Row],[Harga Asli B]]-(cadangan3[[#This Row],[Harga Asli B]]*cadangan3[[#This Row],[Diskon]]),cadangan3[[#This Row],[Harga Asli B]])</f>
        <v>0</v>
      </c>
      <c r="U651" s="36">
        <f>IFERROR(INDEX(Katalog!$F$3:$F$12,MATCH(cadangan3[[#This Row],[ItemID B]],Katalog!$C$3:$C$12,0))*cadangan3[[#This Row],[Qty B]],0)</f>
        <v>0</v>
      </c>
      <c r="V651" s="36">
        <f>IFERROR(cadangan3[[#This Row],[Profit B]]-(cadangan3[[#This Row],[Profit B]]*cadangan3[[#This Row],[Diskon]]),U651)</f>
        <v>0</v>
      </c>
      <c r="X651" t="str">
        <f>IFERROR(INDEX(Katalog!$A$3:$A$12,MATCH(cadangan3[[#This Row],[ItemID C]],Katalog!$C$3:$C$12,0)),"-")</f>
        <v>-</v>
      </c>
      <c r="Y651" t="str">
        <f>IFERROR(INDEX(Katalog!$B$3:$B$12,MATCH(cadangan3[[#This Row],[ItemID C]],Katalog!$C$3:$C$12,0)),"-")</f>
        <v>-</v>
      </c>
      <c r="AB651" s="36">
        <f>IFERROR(INDEX(Katalog!$D$3:$D$12,MATCH(cadangan3[[#This Row],[ItemID C]],Katalog!$C$3:$C$12,0))*cadangan3[[#This Row],[Qty C]],0)</f>
        <v>0</v>
      </c>
      <c r="AC651" s="36">
        <f>IFERROR(INDEX(Katalog!$D$3:$D$12,MATCH(cadangan3[[#This Row],[Item C]],Katalog!$B$3:$B$12,0))*cadangan3[[#This Row],[Qty C]],0)</f>
        <v>0</v>
      </c>
      <c r="AD651" s="36">
        <f>IFERROR(cadangan3[[#This Row],[Harga Asli C]]-(cadangan3[[#This Row],[Harga Asli C]]*cadangan3[[#This Row],[Diskon]]),cadangan3[[#This Row],[Harga Asli C]])</f>
        <v>0</v>
      </c>
      <c r="AE651" s="36">
        <f>IFERROR(INDEX(Katalog!$F$3:$F$12,MATCH(cadangan3[[#This Row],[ItemID C]],Katalog!$C$3:$C$12,0))*cadangan3[[#This Row],[Qty C]],0)</f>
        <v>0</v>
      </c>
      <c r="AF651" s="36">
        <f>IFERROR(cadangan3[[#This Row],[Profit C]]-(cadangan3[[#This Row],[Profit C]]*cadangan3[[#This Row],[Diskon]]),cadangan3[[#This Row],[Profit C]])</f>
        <v>0</v>
      </c>
      <c r="AG651" s="21">
        <f>cadangan3[[#This Row],[Qty A]]+cadangan3[[#This Row],[Qty B]]+cadangan3[[#This Row],[Qty C]]</f>
        <v>3</v>
      </c>
      <c r="AH651" s="35">
        <f>cadangan3[[#This Row],[Harga A + Diskon]]+cadangan3[[#This Row],[Harga + Diskon B]]+cadangan3[[#This Row],[Harga + Diskon C]]</f>
        <v>1080000</v>
      </c>
      <c r="AI651" s="35">
        <f>(cadangan3[[#This Row],[Profit A]]+cadangan3[[#This Row],[Profit B]]+cadangan3[[#This Row],[Profit C]])</f>
        <v>450000</v>
      </c>
      <c r="AJ651" s="35">
        <f>cadangan3[[#This Row],[Provit A + Diskon]]+cadangan3[[#This Row],[Provit B + Diskon]]+cadangan3[[#This Row],[Provit C + Diskon]]</f>
        <v>405000</v>
      </c>
      <c r="AK651" s="23" t="s">
        <v>6</v>
      </c>
      <c r="AL651" s="37">
        <f>IFERROR(INDEX('Kode Diskon'!$D$3:$D$9,MATCH(cadangan3[[#This Row],[Kode diskon]],'Kode Diskon'!$C$3:$C$9,0)),"-")</f>
        <v>0.1</v>
      </c>
      <c r="AM651" s="23" t="s">
        <v>29</v>
      </c>
      <c r="AN651" s="23" t="s">
        <v>7</v>
      </c>
      <c r="AO651" s="23" t="s">
        <v>79</v>
      </c>
      <c r="AP651" s="24">
        <v>45021</v>
      </c>
      <c r="AQ651" s="23" t="str">
        <f>TEXT(cadangan3[[#This Row],[Tanggal terjual]],"dddd")</f>
        <v>Wednesday</v>
      </c>
    </row>
    <row r="652" spans="1:43" x14ac:dyDescent="0.2">
      <c r="A652" s="20">
        <v>651</v>
      </c>
      <c r="B652" s="21" t="str">
        <f>_xlfn.CONCAT("ORD-",INDEX(Helper!$B$2:$B$5,MATCH(cadangan3[[#This Row],[Marketplace]],Helper!$A$2:$A$5,0)),TEXT(cadangan3[[#This Row],[No]],"0000"),"-",TEXT(cadangan3[[#This Row],[Tanggal terjual]],"dd/mm/yy"))</f>
        <v>ORD-BL0651-28/04/23</v>
      </c>
      <c r="C652" t="s">
        <v>66</v>
      </c>
      <c r="D652" t="str">
        <f>IFERROR(INDEX(Katalog!$A$3:$A$12,MATCH(cadangan3[[#This Row],[ItemID A]],Katalog!$C$3:$C$12,0)),"-")</f>
        <v>Sepatu Pria</v>
      </c>
      <c r="E652" t="str">
        <f>IFERROR(INDEX(Katalog!$B$3:$B$12,MATCH(cadangan3[[#This Row],[ItemID A]],Katalog!$C$3:$C$12,0)),"-")</f>
        <v>Sandal Slip On</v>
      </c>
      <c r="F652">
        <v>1</v>
      </c>
      <c r="G652">
        <v>5</v>
      </c>
      <c r="H652" s="36">
        <f>IFERROR(INDEX(Katalog!$D$3:$D$12,MATCH(cadangan3[[#This Row],[ItemID A]],Katalog!$C$3:$C$12,0))*cadangan3[[#This Row],[Qty A]],0)</f>
        <v>150000</v>
      </c>
      <c r="I652" s="36">
        <f>IFERROR(INDEX(Katalog!$D$3:$D$12,MATCH(cadangan3[[#This Row],[Item A]],Katalog!$B$3:$B$12,0))*cadangan3[[#This Row],[Qty A]],0)</f>
        <v>150000</v>
      </c>
      <c r="J652" s="36">
        <f>IFERROR(cadangan3[[#This Row],[Harga Asli A]]-(cadangan3[[#This Row],[Harga Asli A]]*cadangan3[[#This Row],[Diskon]]),cadangan3[[#This Row],[Harga Asli A]])</f>
        <v>127500</v>
      </c>
      <c r="K652" s="36">
        <f>INDEX(Katalog!$F$3:$F$12,MATCH(cadangan3[[#This Row],[ItemID A]],Katalog!$C$3:$C$12,0))*cadangan3[[#This Row],[Qty A]]</f>
        <v>60000</v>
      </c>
      <c r="L652" s="36">
        <f>IFERROR(cadangan3[[#This Row],[Profit A]]-(cadangan3[[#This Row],[Profit A]]*cadangan3[[#This Row],[Diskon]]),K652)</f>
        <v>51000</v>
      </c>
      <c r="M652" t="s">
        <v>59</v>
      </c>
      <c r="N652" t="str">
        <f>IFERROR(INDEX(Katalog!$A$3:$A$12,MATCH(cadangan3[[#This Row],[ItemID B]],Katalog!$C$3:$C$12,0)),"-")</f>
        <v>Pakaian Wanita</v>
      </c>
      <c r="O652" t="str">
        <f>IFERROR(INDEX(Katalog!$B$3:$B$12,MATCH(cadangan3[[#This Row],[ItemID B]],Katalog!$C$3:$C$12,0)),"-")</f>
        <v>Blouse</v>
      </c>
      <c r="P652">
        <v>2</v>
      </c>
      <c r="Q652">
        <v>2</v>
      </c>
      <c r="R652" s="36">
        <f>IFERROR(INDEX(Katalog!$D$3:$D$12,MATCH(cadangan3[[#This Row],[ItemID B]],Katalog!$C$3:$C$12,0))*cadangan3[[#This Row],[Qty B]],0)</f>
        <v>300000</v>
      </c>
      <c r="S652" s="36">
        <f>IFERROR(INDEX(Katalog!$D$3:$D$12,MATCH(cadangan3[[#This Row],[Item B]],Katalog!$B$3:$B$12,0))*cadangan3[[#This Row],[Qty B]],0)</f>
        <v>300000</v>
      </c>
      <c r="T652" s="36">
        <f>IFERROR(cadangan3[[#This Row],[Harga Asli B]]-(cadangan3[[#This Row],[Harga Asli B]]*cadangan3[[#This Row],[Diskon]]),cadangan3[[#This Row],[Harga Asli B]])</f>
        <v>255000</v>
      </c>
      <c r="U652" s="36">
        <f>IFERROR(INDEX(Katalog!$F$3:$F$12,MATCH(cadangan3[[#This Row],[ItemID B]],Katalog!$C$3:$C$12,0))*cadangan3[[#This Row],[Qty B]],0)</f>
        <v>100000</v>
      </c>
      <c r="V652" s="36">
        <f>IFERROR(cadangan3[[#This Row],[Profit B]]-(cadangan3[[#This Row],[Profit B]]*cadangan3[[#This Row],[Diskon]]),U652)</f>
        <v>85000</v>
      </c>
      <c r="X652" t="str">
        <f>IFERROR(INDEX(Katalog!$A$3:$A$12,MATCH(cadangan3[[#This Row],[ItemID C]],Katalog!$C$3:$C$12,0)),"-")</f>
        <v>-</v>
      </c>
      <c r="Y652" t="str">
        <f>IFERROR(INDEX(Katalog!$B$3:$B$12,MATCH(cadangan3[[#This Row],[ItemID C]],Katalog!$C$3:$C$12,0)),"-")</f>
        <v>-</v>
      </c>
      <c r="AB652" s="36">
        <f>IFERROR(INDEX(Katalog!$D$3:$D$12,MATCH(cadangan3[[#This Row],[ItemID C]],Katalog!$C$3:$C$12,0))*cadangan3[[#This Row],[Qty C]],0)</f>
        <v>0</v>
      </c>
      <c r="AC652" s="36">
        <f>IFERROR(INDEX(Katalog!$D$3:$D$12,MATCH(cadangan3[[#This Row],[Item C]],Katalog!$B$3:$B$12,0))*cadangan3[[#This Row],[Qty C]],0)</f>
        <v>0</v>
      </c>
      <c r="AD652" s="36">
        <f>IFERROR(cadangan3[[#This Row],[Harga Asli C]]-(cadangan3[[#This Row],[Harga Asli C]]*cadangan3[[#This Row],[Diskon]]),cadangan3[[#This Row],[Harga Asli C]])</f>
        <v>0</v>
      </c>
      <c r="AE652" s="36">
        <f>IFERROR(INDEX(Katalog!$F$3:$F$12,MATCH(cadangan3[[#This Row],[ItemID C]],Katalog!$C$3:$C$12,0))*cadangan3[[#This Row],[Qty C]],0)</f>
        <v>0</v>
      </c>
      <c r="AF652" s="36">
        <f>IFERROR(cadangan3[[#This Row],[Profit C]]-(cadangan3[[#This Row],[Profit C]]*cadangan3[[#This Row],[Diskon]]),cadangan3[[#This Row],[Profit C]])</f>
        <v>0</v>
      </c>
      <c r="AG652" s="21">
        <f>cadangan3[[#This Row],[Qty A]]+cadangan3[[#This Row],[Qty B]]+cadangan3[[#This Row],[Qty C]]</f>
        <v>3</v>
      </c>
      <c r="AH652" s="35">
        <f>cadangan3[[#This Row],[Harga A + Diskon]]+cadangan3[[#This Row],[Harga + Diskon B]]+cadangan3[[#This Row],[Harga + Diskon C]]</f>
        <v>382500</v>
      </c>
      <c r="AI652" s="35">
        <f>(cadangan3[[#This Row],[Profit A]]+cadangan3[[#This Row],[Profit B]]+cadangan3[[#This Row],[Profit C]])</f>
        <v>160000</v>
      </c>
      <c r="AJ652" s="35">
        <f>cadangan3[[#This Row],[Provit A + Diskon]]+cadangan3[[#This Row],[Provit B + Diskon]]+cadangan3[[#This Row],[Provit C + Diskon]]</f>
        <v>136000</v>
      </c>
      <c r="AK652" s="23" t="s">
        <v>32</v>
      </c>
      <c r="AL652" s="37">
        <f>IFERROR(INDEX('Kode Diskon'!$D$3:$D$9,MATCH(cadangan3[[#This Row],[Kode diskon]],'Kode Diskon'!$C$3:$C$9,0)),"-")</f>
        <v>0.15</v>
      </c>
      <c r="AM652" s="23" t="s">
        <v>9</v>
      </c>
      <c r="AN652" s="23" t="s">
        <v>12</v>
      </c>
      <c r="AO652" s="23" t="s">
        <v>76</v>
      </c>
      <c r="AP652" s="24">
        <v>45044</v>
      </c>
      <c r="AQ652" s="23" t="str">
        <f>TEXT(cadangan3[[#This Row],[Tanggal terjual]],"dddd")</f>
        <v>Friday</v>
      </c>
    </row>
    <row r="653" spans="1:43" x14ac:dyDescent="0.2">
      <c r="A653" s="20">
        <v>652</v>
      </c>
      <c r="B653" s="21" t="str">
        <f>_xlfn.CONCAT("ORD-",INDEX(Helper!$B$2:$B$5,MATCH(cadangan3[[#This Row],[Marketplace]],Helper!$A$2:$A$5,0)),TEXT(cadangan3[[#This Row],[No]],"0000"),"-",TEXT(cadangan3[[#This Row],[Tanggal terjual]],"dd/mm/yy"))</f>
        <v>ORD-BL0652-14/04/23</v>
      </c>
      <c r="C653" t="s">
        <v>59</v>
      </c>
      <c r="D653" t="str">
        <f>IFERROR(INDEX(Katalog!$A$3:$A$12,MATCH(cadangan3[[#This Row],[ItemID A]],Katalog!$C$3:$C$12,0)),"-")</f>
        <v>Pakaian Wanita</v>
      </c>
      <c r="E653" t="str">
        <f>IFERROR(INDEX(Katalog!$B$3:$B$12,MATCH(cadangan3[[#This Row],[ItemID A]],Katalog!$C$3:$C$12,0)),"-")</f>
        <v>Blouse</v>
      </c>
      <c r="F653">
        <v>2</v>
      </c>
      <c r="G653">
        <v>1</v>
      </c>
      <c r="H653" s="36">
        <f>IFERROR(INDEX(Katalog!$D$3:$D$12,MATCH(cadangan3[[#This Row],[ItemID A]],Katalog!$C$3:$C$12,0))*cadangan3[[#This Row],[Qty A]],0)</f>
        <v>300000</v>
      </c>
      <c r="I653" s="36">
        <f>IFERROR(INDEX(Katalog!$D$3:$D$12,MATCH(cadangan3[[#This Row],[Item A]],Katalog!$B$3:$B$12,0))*cadangan3[[#This Row],[Qty A]],0)</f>
        <v>300000</v>
      </c>
      <c r="J653" s="36">
        <f>IFERROR(cadangan3[[#This Row],[Harga Asli A]]-(cadangan3[[#This Row],[Harga Asli A]]*cadangan3[[#This Row],[Diskon]]),cadangan3[[#This Row],[Harga Asli A]])</f>
        <v>300000</v>
      </c>
      <c r="K653" s="36">
        <f>INDEX(Katalog!$F$3:$F$12,MATCH(cadangan3[[#This Row],[ItemID A]],Katalog!$C$3:$C$12,0))*cadangan3[[#This Row],[Qty A]]</f>
        <v>100000</v>
      </c>
      <c r="L653" s="36">
        <f>IFERROR(cadangan3[[#This Row],[Profit A]]-(cadangan3[[#This Row],[Profit A]]*cadangan3[[#This Row],[Diskon]]),K653)</f>
        <v>100000</v>
      </c>
      <c r="M653" t="s">
        <v>63</v>
      </c>
      <c r="N653" t="str">
        <f>IFERROR(INDEX(Katalog!$A$3:$A$12,MATCH(cadangan3[[#This Row],[ItemID B]],Katalog!$C$3:$C$12,0)),"-")</f>
        <v>Pakaian Pria</v>
      </c>
      <c r="O653" t="str">
        <f>IFERROR(INDEX(Katalog!$B$3:$B$12,MATCH(cadangan3[[#This Row],[ItemID B]],Katalog!$C$3:$C$12,0)),"-")</f>
        <v>Jaket Jeans</v>
      </c>
      <c r="P653">
        <v>3</v>
      </c>
      <c r="Q653">
        <v>3</v>
      </c>
      <c r="R653" s="36">
        <f>IFERROR(INDEX(Katalog!$D$3:$D$12,MATCH(cadangan3[[#This Row],[ItemID B]],Katalog!$C$3:$C$12,0))*cadangan3[[#This Row],[Qty B]],0)</f>
        <v>1200000</v>
      </c>
      <c r="S653" s="36">
        <f>IFERROR(INDEX(Katalog!$D$3:$D$12,MATCH(cadangan3[[#This Row],[Item B]],Katalog!$B$3:$B$12,0))*cadangan3[[#This Row],[Qty B]],0)</f>
        <v>1200000</v>
      </c>
      <c r="T653" s="36">
        <f>IFERROR(cadangan3[[#This Row],[Harga Asli B]]-(cadangan3[[#This Row],[Harga Asli B]]*cadangan3[[#This Row],[Diskon]]),cadangan3[[#This Row],[Harga Asli B]])</f>
        <v>1200000</v>
      </c>
      <c r="U653" s="36">
        <f>IFERROR(INDEX(Katalog!$F$3:$F$12,MATCH(cadangan3[[#This Row],[ItemID B]],Katalog!$C$3:$C$12,0))*cadangan3[[#This Row],[Qty B]],0)</f>
        <v>450000</v>
      </c>
      <c r="V653" s="36">
        <f>IFERROR(cadangan3[[#This Row],[Profit B]]-(cadangan3[[#This Row],[Profit B]]*cadangan3[[#This Row],[Diskon]]),U653)</f>
        <v>450000</v>
      </c>
      <c r="W653" t="s">
        <v>58</v>
      </c>
      <c r="X653" t="str">
        <f>IFERROR(INDEX(Katalog!$A$3:$A$12,MATCH(cadangan3[[#This Row],[ItemID C]],Katalog!$C$3:$C$12,0)),"-")</f>
        <v>Pakaian Wanita</v>
      </c>
      <c r="Y653" t="str">
        <f>IFERROR(INDEX(Katalog!$B$3:$B$12,MATCH(cadangan3[[#This Row],[ItemID C]],Katalog!$C$3:$C$12,0)),"-")</f>
        <v>Dress</v>
      </c>
      <c r="Z653">
        <v>1</v>
      </c>
      <c r="AA653">
        <v>3</v>
      </c>
      <c r="AB653" s="36">
        <f>IFERROR(INDEX(Katalog!$D$3:$D$12,MATCH(cadangan3[[#This Row],[ItemID C]],Katalog!$C$3:$C$12,0))*cadangan3[[#This Row],[Qty C]],0)</f>
        <v>300000</v>
      </c>
      <c r="AC653" s="36">
        <f>IFERROR(INDEX(Katalog!$D$3:$D$12,MATCH(cadangan3[[#This Row],[Item C]],Katalog!$B$3:$B$12,0))*cadangan3[[#This Row],[Qty C]],0)</f>
        <v>300000</v>
      </c>
      <c r="AD653" s="36">
        <f>IFERROR(cadangan3[[#This Row],[Harga Asli C]]-(cadangan3[[#This Row],[Harga Asli C]]*cadangan3[[#This Row],[Diskon]]),cadangan3[[#This Row],[Harga Asli C]])</f>
        <v>300000</v>
      </c>
      <c r="AE653" s="36">
        <f>IFERROR(INDEX(Katalog!$F$3:$F$12,MATCH(cadangan3[[#This Row],[ItemID C]],Katalog!$C$3:$C$12,0))*cadangan3[[#This Row],[Qty C]],0)</f>
        <v>100000</v>
      </c>
      <c r="AF653" s="36">
        <f>IFERROR(cadangan3[[#This Row],[Profit C]]-(cadangan3[[#This Row],[Profit C]]*cadangan3[[#This Row],[Diskon]]),cadangan3[[#This Row],[Profit C]])</f>
        <v>100000</v>
      </c>
      <c r="AG653" s="21">
        <f>cadangan3[[#This Row],[Qty A]]+cadangan3[[#This Row],[Qty B]]+cadangan3[[#This Row],[Qty C]]</f>
        <v>6</v>
      </c>
      <c r="AH653" s="35">
        <f>cadangan3[[#This Row],[Harga A + Diskon]]+cadangan3[[#This Row],[Harga + Diskon B]]+cadangan3[[#This Row],[Harga + Diskon C]]</f>
        <v>1800000</v>
      </c>
      <c r="AI653" s="35">
        <f>(cadangan3[[#This Row],[Profit A]]+cadangan3[[#This Row],[Profit B]]+cadangan3[[#This Row],[Profit C]])</f>
        <v>650000</v>
      </c>
      <c r="AJ653" s="35">
        <f>cadangan3[[#This Row],[Provit A + Diskon]]+cadangan3[[#This Row],[Provit B + Diskon]]+cadangan3[[#This Row],[Provit C + Diskon]]</f>
        <v>650000</v>
      </c>
      <c r="AK653" s="23" t="s">
        <v>11</v>
      </c>
      <c r="AL653" s="37" t="str">
        <f>IFERROR(INDEX('Kode Diskon'!$D$3:$D$9,MATCH(cadangan3[[#This Row],[Kode diskon]],'Kode Diskon'!$C$3:$C$9,0)),"-")</f>
        <v>-</v>
      </c>
      <c r="AM653" s="23" t="s">
        <v>11</v>
      </c>
      <c r="AN653" s="23" t="s">
        <v>12</v>
      </c>
      <c r="AO653" s="23" t="s">
        <v>78</v>
      </c>
      <c r="AP653" s="24">
        <v>45030</v>
      </c>
      <c r="AQ653" s="23" t="str">
        <f>TEXT(cadangan3[[#This Row],[Tanggal terjual]],"dddd")</f>
        <v>Friday</v>
      </c>
    </row>
    <row r="654" spans="1:43" x14ac:dyDescent="0.2">
      <c r="A654" s="20">
        <v>653</v>
      </c>
      <c r="B654" s="21" t="str">
        <f>_xlfn.CONCAT("ORD-",INDEX(Helper!$B$2:$B$5,MATCH(cadangan3[[#This Row],[Marketplace]],Helper!$A$2:$A$5,0)),TEXT(cadangan3[[#This Row],[No]],"0000"),"-",TEXT(cadangan3[[#This Row],[Tanggal terjual]],"dd/mm/yy"))</f>
        <v>ORD-BL0653-27/04/23</v>
      </c>
      <c r="C654" t="s">
        <v>62</v>
      </c>
      <c r="D654" t="str">
        <f>IFERROR(INDEX(Katalog!$A$3:$A$12,MATCH(cadangan3[[#This Row],[ItemID A]],Katalog!$C$3:$C$12,0)),"-")</f>
        <v>Pakaian Pria</v>
      </c>
      <c r="E654" t="str">
        <f>IFERROR(INDEX(Katalog!$B$3:$B$12,MATCH(cadangan3[[#This Row],[ItemID A]],Katalog!$C$3:$C$12,0)),"-")</f>
        <v>Celana Pendek</v>
      </c>
      <c r="F654">
        <v>1</v>
      </c>
      <c r="G654">
        <v>5</v>
      </c>
      <c r="H654" s="36">
        <f>IFERROR(INDEX(Katalog!$D$3:$D$12,MATCH(cadangan3[[#This Row],[ItemID A]],Katalog!$C$3:$C$12,0))*cadangan3[[#This Row],[Qty A]],0)</f>
        <v>180000</v>
      </c>
      <c r="I654" s="36">
        <f>IFERROR(INDEX(Katalog!$D$3:$D$12,MATCH(cadangan3[[#This Row],[Item A]],Katalog!$B$3:$B$12,0))*cadangan3[[#This Row],[Qty A]],0)</f>
        <v>180000</v>
      </c>
      <c r="J654" s="36">
        <f>IFERROR(cadangan3[[#This Row],[Harga Asli A]]-(cadangan3[[#This Row],[Harga Asli A]]*cadangan3[[#This Row],[Diskon]]),cadangan3[[#This Row],[Harga Asli A]])</f>
        <v>153000</v>
      </c>
      <c r="K654" s="36">
        <f>INDEX(Katalog!$F$3:$F$12,MATCH(cadangan3[[#This Row],[ItemID A]],Katalog!$C$3:$C$12,0))*cadangan3[[#This Row],[Qty A]]</f>
        <v>70000</v>
      </c>
      <c r="L654" s="36">
        <f>IFERROR(cadangan3[[#This Row],[Profit A]]-(cadangan3[[#This Row],[Profit A]]*cadangan3[[#This Row],[Diskon]]),K654)</f>
        <v>59500</v>
      </c>
      <c r="M654" t="s">
        <v>63</v>
      </c>
      <c r="N654" t="str">
        <f>IFERROR(INDEX(Katalog!$A$3:$A$12,MATCH(cadangan3[[#This Row],[ItemID B]],Katalog!$C$3:$C$12,0)),"-")</f>
        <v>Pakaian Pria</v>
      </c>
      <c r="O654" t="str">
        <f>IFERROR(INDEX(Katalog!$B$3:$B$12,MATCH(cadangan3[[#This Row],[ItemID B]],Katalog!$C$3:$C$12,0)),"-")</f>
        <v>Jaket Jeans</v>
      </c>
      <c r="P654">
        <v>3</v>
      </c>
      <c r="Q654">
        <v>2</v>
      </c>
      <c r="R654" s="36">
        <f>IFERROR(INDEX(Katalog!$D$3:$D$12,MATCH(cadangan3[[#This Row],[ItemID B]],Katalog!$C$3:$C$12,0))*cadangan3[[#This Row],[Qty B]],0)</f>
        <v>1200000</v>
      </c>
      <c r="S654" s="36">
        <f>IFERROR(INDEX(Katalog!$D$3:$D$12,MATCH(cadangan3[[#This Row],[Item B]],Katalog!$B$3:$B$12,0))*cadangan3[[#This Row],[Qty B]],0)</f>
        <v>1200000</v>
      </c>
      <c r="T654" s="36">
        <f>IFERROR(cadangan3[[#This Row],[Harga Asli B]]-(cadangan3[[#This Row],[Harga Asli B]]*cadangan3[[#This Row],[Diskon]]),cadangan3[[#This Row],[Harga Asli B]])</f>
        <v>1020000</v>
      </c>
      <c r="U654" s="36">
        <f>IFERROR(INDEX(Katalog!$F$3:$F$12,MATCH(cadangan3[[#This Row],[ItemID B]],Katalog!$C$3:$C$12,0))*cadangan3[[#This Row],[Qty B]],0)</f>
        <v>450000</v>
      </c>
      <c r="V654" s="36">
        <f>IFERROR(cadangan3[[#This Row],[Profit B]]-(cadangan3[[#This Row],[Profit B]]*cadangan3[[#This Row],[Diskon]]),U654)</f>
        <v>382500</v>
      </c>
      <c r="W654" t="s">
        <v>60</v>
      </c>
      <c r="X654" t="str">
        <f>IFERROR(INDEX(Katalog!$A$3:$A$12,MATCH(cadangan3[[#This Row],[ItemID C]],Katalog!$C$3:$C$12,0)),"-")</f>
        <v>Pakaian Wanita</v>
      </c>
      <c r="Y654" t="str">
        <f>IFERROR(INDEX(Katalog!$B$3:$B$12,MATCH(cadangan3[[#This Row],[ItemID C]],Katalog!$C$3:$C$12,0)),"-")</f>
        <v>Kaftan</v>
      </c>
      <c r="Z654">
        <v>1</v>
      </c>
      <c r="AA654">
        <v>3</v>
      </c>
      <c r="AB654" s="36">
        <f>IFERROR(INDEX(Katalog!$D$3:$D$12,MATCH(cadangan3[[#This Row],[ItemID C]],Katalog!$C$3:$C$12,0))*cadangan3[[#This Row],[Qty C]],0)</f>
        <v>250000</v>
      </c>
      <c r="AC654" s="36">
        <f>IFERROR(INDEX(Katalog!$D$3:$D$12,MATCH(cadangan3[[#This Row],[Item C]],Katalog!$B$3:$B$12,0))*cadangan3[[#This Row],[Qty C]],0)</f>
        <v>250000</v>
      </c>
      <c r="AD654" s="36">
        <f>IFERROR(cadangan3[[#This Row],[Harga Asli C]]-(cadangan3[[#This Row],[Harga Asli C]]*cadangan3[[#This Row],[Diskon]]),cadangan3[[#This Row],[Harga Asli C]])</f>
        <v>212500</v>
      </c>
      <c r="AE654" s="36">
        <f>IFERROR(INDEX(Katalog!$F$3:$F$12,MATCH(cadangan3[[#This Row],[ItemID C]],Katalog!$C$3:$C$12,0))*cadangan3[[#This Row],[Qty C]],0)</f>
        <v>100000</v>
      </c>
      <c r="AF654" s="36">
        <f>IFERROR(cadangan3[[#This Row],[Profit C]]-(cadangan3[[#This Row],[Profit C]]*cadangan3[[#This Row],[Diskon]]),cadangan3[[#This Row],[Profit C]])</f>
        <v>85000</v>
      </c>
      <c r="AG654" s="21">
        <f>cadangan3[[#This Row],[Qty A]]+cadangan3[[#This Row],[Qty B]]+cadangan3[[#This Row],[Qty C]]</f>
        <v>5</v>
      </c>
      <c r="AH654" s="35">
        <f>cadangan3[[#This Row],[Harga A + Diskon]]+cadangan3[[#This Row],[Harga + Diskon B]]+cadangan3[[#This Row],[Harga + Diskon C]]</f>
        <v>1385500</v>
      </c>
      <c r="AI654" s="35">
        <f>(cadangan3[[#This Row],[Profit A]]+cadangan3[[#This Row],[Profit B]]+cadangan3[[#This Row],[Profit C]])</f>
        <v>620000</v>
      </c>
      <c r="AJ654" s="35">
        <f>cadangan3[[#This Row],[Provit A + Diskon]]+cadangan3[[#This Row],[Provit B + Diskon]]+cadangan3[[#This Row],[Provit C + Diskon]]</f>
        <v>527000</v>
      </c>
      <c r="AK654" s="23" t="s">
        <v>32</v>
      </c>
      <c r="AL654" s="37">
        <f>IFERROR(INDEX('Kode Diskon'!$D$3:$D$9,MATCH(cadangan3[[#This Row],[Kode diskon]],'Kode Diskon'!$C$3:$C$9,0)),"-")</f>
        <v>0.15</v>
      </c>
      <c r="AM654" s="23" t="s">
        <v>9</v>
      </c>
      <c r="AN654" s="23" t="s">
        <v>12</v>
      </c>
      <c r="AO654" s="23" t="s">
        <v>80</v>
      </c>
      <c r="AP654" s="24">
        <v>45043</v>
      </c>
      <c r="AQ654" s="23" t="str">
        <f>TEXT(cadangan3[[#This Row],[Tanggal terjual]],"dddd")</f>
        <v>Thursday</v>
      </c>
    </row>
    <row r="655" spans="1:43" x14ac:dyDescent="0.2">
      <c r="A655" s="20">
        <v>654</v>
      </c>
      <c r="B655" s="21" t="str">
        <f>_xlfn.CONCAT("ORD-",INDEX(Helper!$B$2:$B$5,MATCH(cadangan3[[#This Row],[Marketplace]],Helper!$A$2:$A$5,0)),TEXT(cadangan3[[#This Row],[No]],"0000"),"-",TEXT(cadangan3[[#This Row],[Tanggal terjual]],"dd/mm/yy"))</f>
        <v>ORD-SP0654-30/04/23</v>
      </c>
      <c r="C655" t="s">
        <v>67</v>
      </c>
      <c r="D655" t="str">
        <f>IFERROR(INDEX(Katalog!$A$3:$A$12,MATCH(cadangan3[[#This Row],[ItemID A]],Katalog!$C$3:$C$12,0)),"-")</f>
        <v>Sepatu Wanita</v>
      </c>
      <c r="E655" t="str">
        <f>IFERROR(INDEX(Katalog!$B$3:$B$12,MATCH(cadangan3[[#This Row],[ItemID A]],Katalog!$C$3:$C$12,0)),"-")</f>
        <v>Flat Shoes</v>
      </c>
      <c r="F655">
        <v>1</v>
      </c>
      <c r="G655">
        <v>2</v>
      </c>
      <c r="H655" s="36">
        <f>IFERROR(INDEX(Katalog!$D$3:$D$12,MATCH(cadangan3[[#This Row],[ItemID A]],Katalog!$C$3:$C$12,0))*cadangan3[[#This Row],[Qty A]],0)</f>
        <v>250000</v>
      </c>
      <c r="I655" s="36">
        <f>IFERROR(INDEX(Katalog!$D$3:$D$12,MATCH(cadangan3[[#This Row],[Item A]],Katalog!$B$3:$B$12,0))*cadangan3[[#This Row],[Qty A]],0)</f>
        <v>250000</v>
      </c>
      <c r="J655" s="36">
        <f>IFERROR(cadangan3[[#This Row],[Harga Asli A]]-(cadangan3[[#This Row],[Harga Asli A]]*cadangan3[[#This Row],[Diskon]]),cadangan3[[#This Row],[Harga Asli A]])</f>
        <v>200000</v>
      </c>
      <c r="K655" s="36">
        <f>INDEX(Katalog!$F$3:$F$12,MATCH(cadangan3[[#This Row],[ItemID A]],Katalog!$C$3:$C$12,0))*cadangan3[[#This Row],[Qty A]]</f>
        <v>100000</v>
      </c>
      <c r="L655" s="36">
        <f>IFERROR(cadangan3[[#This Row],[Profit A]]-(cadangan3[[#This Row],[Profit A]]*cadangan3[[#This Row],[Diskon]]),K655)</f>
        <v>80000</v>
      </c>
      <c r="N655" t="str">
        <f>IFERROR(INDEX(Katalog!$A$3:$A$12,MATCH(cadangan3[[#This Row],[ItemID B]],Katalog!$C$3:$C$12,0)),"-")</f>
        <v>-</v>
      </c>
      <c r="O655" t="str">
        <f>IFERROR(INDEX(Katalog!$B$3:$B$12,MATCH(cadangan3[[#This Row],[ItemID B]],Katalog!$C$3:$C$12,0)),"-")</f>
        <v>-</v>
      </c>
      <c r="R655" s="36">
        <f>IFERROR(INDEX(Katalog!$D$3:$D$12,MATCH(cadangan3[[#This Row],[ItemID B]],Katalog!$C$3:$C$12,0))*cadangan3[[#This Row],[Qty B]],0)</f>
        <v>0</v>
      </c>
      <c r="S655" s="36">
        <f>IFERROR(INDEX(Katalog!$D$3:$D$12,MATCH(cadangan3[[#This Row],[Item B]],Katalog!$B$3:$B$12,0))*cadangan3[[#This Row],[Qty B]],0)</f>
        <v>0</v>
      </c>
      <c r="T655" s="36">
        <f>IFERROR(cadangan3[[#This Row],[Harga Asli B]]-(cadangan3[[#This Row],[Harga Asli B]]*cadangan3[[#This Row],[Diskon]]),cadangan3[[#This Row],[Harga Asli B]])</f>
        <v>0</v>
      </c>
      <c r="U655" s="36">
        <f>IFERROR(INDEX(Katalog!$F$3:$F$12,MATCH(cadangan3[[#This Row],[ItemID B]],Katalog!$C$3:$C$12,0))*cadangan3[[#This Row],[Qty B]],0)</f>
        <v>0</v>
      </c>
      <c r="V655" s="36">
        <f>IFERROR(cadangan3[[#This Row],[Profit B]]-(cadangan3[[#This Row],[Profit B]]*cadangan3[[#This Row],[Diskon]]),U655)</f>
        <v>0</v>
      </c>
      <c r="X655" t="str">
        <f>IFERROR(INDEX(Katalog!$A$3:$A$12,MATCH(cadangan3[[#This Row],[ItemID C]],Katalog!$C$3:$C$12,0)),"-")</f>
        <v>-</v>
      </c>
      <c r="Y655" t="str">
        <f>IFERROR(INDEX(Katalog!$B$3:$B$12,MATCH(cadangan3[[#This Row],[ItemID C]],Katalog!$C$3:$C$12,0)),"-")</f>
        <v>-</v>
      </c>
      <c r="AB655" s="36">
        <f>IFERROR(INDEX(Katalog!$D$3:$D$12,MATCH(cadangan3[[#This Row],[ItemID C]],Katalog!$C$3:$C$12,0))*cadangan3[[#This Row],[Qty C]],0)</f>
        <v>0</v>
      </c>
      <c r="AC655" s="36">
        <f>IFERROR(INDEX(Katalog!$D$3:$D$12,MATCH(cadangan3[[#This Row],[Item C]],Katalog!$B$3:$B$12,0))*cadangan3[[#This Row],[Qty C]],0)</f>
        <v>0</v>
      </c>
      <c r="AD655" s="36">
        <f>IFERROR(cadangan3[[#This Row],[Harga Asli C]]-(cadangan3[[#This Row],[Harga Asli C]]*cadangan3[[#This Row],[Diskon]]),cadangan3[[#This Row],[Harga Asli C]])</f>
        <v>0</v>
      </c>
      <c r="AE655" s="36">
        <f>IFERROR(INDEX(Katalog!$F$3:$F$12,MATCH(cadangan3[[#This Row],[ItemID C]],Katalog!$C$3:$C$12,0))*cadangan3[[#This Row],[Qty C]],0)</f>
        <v>0</v>
      </c>
      <c r="AF655" s="36">
        <f>IFERROR(cadangan3[[#This Row],[Profit C]]-(cadangan3[[#This Row],[Profit C]]*cadangan3[[#This Row],[Diskon]]),cadangan3[[#This Row],[Profit C]])</f>
        <v>0</v>
      </c>
      <c r="AG655" s="21">
        <f>cadangan3[[#This Row],[Qty A]]+cadangan3[[#This Row],[Qty B]]+cadangan3[[#This Row],[Qty C]]</f>
        <v>1</v>
      </c>
      <c r="AH655" s="35">
        <f>cadangan3[[#This Row],[Harga A + Diskon]]+cadangan3[[#This Row],[Harga + Diskon B]]+cadangan3[[#This Row],[Harga + Diskon C]]</f>
        <v>200000</v>
      </c>
      <c r="AI655" s="35">
        <f>(cadangan3[[#This Row],[Profit A]]+cadangan3[[#This Row],[Profit B]]+cadangan3[[#This Row],[Profit C]])</f>
        <v>100000</v>
      </c>
      <c r="AJ655" s="35">
        <f>cadangan3[[#This Row],[Provit A + Diskon]]+cadangan3[[#This Row],[Provit B + Diskon]]+cadangan3[[#This Row],[Provit C + Diskon]]</f>
        <v>80000</v>
      </c>
      <c r="AK655" s="23" t="s">
        <v>8</v>
      </c>
      <c r="AL655" s="37">
        <f>IFERROR(INDEX('Kode Diskon'!$D$3:$D$9,MATCH(cadangan3[[#This Row],[Kode diskon]],'Kode Diskon'!$C$3:$C$9,0)),"-")</f>
        <v>0.2</v>
      </c>
      <c r="AM655" s="23" t="s">
        <v>9</v>
      </c>
      <c r="AN655" s="23" t="s">
        <v>7</v>
      </c>
      <c r="AO655" s="23" t="s">
        <v>80</v>
      </c>
      <c r="AP655" s="24">
        <v>45046</v>
      </c>
      <c r="AQ655" s="23" t="str">
        <f>TEXT(cadangan3[[#This Row],[Tanggal terjual]],"dddd")</f>
        <v>Sunday</v>
      </c>
    </row>
    <row r="656" spans="1:43" x14ac:dyDescent="0.2">
      <c r="A656" s="20">
        <v>655</v>
      </c>
      <c r="B656" s="21" t="str">
        <f>_xlfn.CONCAT("ORD-",INDEX(Helper!$B$2:$B$5,MATCH(cadangan3[[#This Row],[Marketplace]],Helper!$A$2:$A$5,0)),TEXT(cadangan3[[#This Row],[No]],"0000"),"-",TEXT(cadangan3[[#This Row],[Tanggal terjual]],"dd/mm/yy"))</f>
        <v>ORD-SP0655-05/04/23</v>
      </c>
      <c r="C656" t="s">
        <v>58</v>
      </c>
      <c r="D656" t="str">
        <f>IFERROR(INDEX(Katalog!$A$3:$A$12,MATCH(cadangan3[[#This Row],[ItemID A]],Katalog!$C$3:$C$12,0)),"-")</f>
        <v>Pakaian Wanita</v>
      </c>
      <c r="E656" t="str">
        <f>IFERROR(INDEX(Katalog!$B$3:$B$12,MATCH(cadangan3[[#This Row],[ItemID A]],Katalog!$C$3:$C$12,0)),"-")</f>
        <v>Dress</v>
      </c>
      <c r="F656">
        <v>1</v>
      </c>
      <c r="G656">
        <v>2</v>
      </c>
      <c r="H656" s="36">
        <f>IFERROR(INDEX(Katalog!$D$3:$D$12,MATCH(cadangan3[[#This Row],[ItemID A]],Katalog!$C$3:$C$12,0))*cadangan3[[#This Row],[Qty A]],0)</f>
        <v>300000</v>
      </c>
      <c r="I656" s="36">
        <f>IFERROR(INDEX(Katalog!$D$3:$D$12,MATCH(cadangan3[[#This Row],[Item A]],Katalog!$B$3:$B$12,0))*cadangan3[[#This Row],[Qty A]],0)</f>
        <v>300000</v>
      </c>
      <c r="J656" s="36">
        <f>IFERROR(cadangan3[[#This Row],[Harga Asli A]]-(cadangan3[[#This Row],[Harga Asli A]]*cadangan3[[#This Row],[Diskon]]),cadangan3[[#This Row],[Harga Asli A]])</f>
        <v>255000</v>
      </c>
      <c r="K656" s="36">
        <f>INDEX(Katalog!$F$3:$F$12,MATCH(cadangan3[[#This Row],[ItemID A]],Katalog!$C$3:$C$12,0))*cadangan3[[#This Row],[Qty A]]</f>
        <v>100000</v>
      </c>
      <c r="L656" s="36">
        <f>IFERROR(cadangan3[[#This Row],[Profit A]]-(cadangan3[[#This Row],[Profit A]]*cadangan3[[#This Row],[Diskon]]),K656)</f>
        <v>85000</v>
      </c>
      <c r="M656" t="s">
        <v>65</v>
      </c>
      <c r="N656" t="str">
        <f>IFERROR(INDEX(Katalog!$A$3:$A$12,MATCH(cadangan3[[#This Row],[ItemID B]],Katalog!$C$3:$C$12,0)),"-")</f>
        <v>Sepatu Pria</v>
      </c>
      <c r="O656" t="str">
        <f>IFERROR(INDEX(Katalog!$B$3:$B$12,MATCH(cadangan3[[#This Row],[ItemID B]],Katalog!$C$3:$C$12,0)),"-")</f>
        <v>Sneakers</v>
      </c>
      <c r="P656">
        <v>2</v>
      </c>
      <c r="Q656">
        <v>1</v>
      </c>
      <c r="R656" s="36">
        <f>IFERROR(INDEX(Katalog!$D$3:$D$12,MATCH(cadangan3[[#This Row],[ItemID B]],Katalog!$C$3:$C$12,0))*cadangan3[[#This Row],[Qty B]],0)</f>
        <v>1000000</v>
      </c>
      <c r="S656" s="36">
        <f>IFERROR(INDEX(Katalog!$D$3:$D$12,MATCH(cadangan3[[#This Row],[Item B]],Katalog!$B$3:$B$12,0))*cadangan3[[#This Row],[Qty B]],0)</f>
        <v>1000000</v>
      </c>
      <c r="T656" s="36">
        <f>IFERROR(cadangan3[[#This Row],[Harga Asli B]]-(cadangan3[[#This Row],[Harga Asli B]]*cadangan3[[#This Row],[Diskon]]),cadangan3[[#This Row],[Harga Asli B]])</f>
        <v>850000</v>
      </c>
      <c r="U656" s="36">
        <f>IFERROR(INDEX(Katalog!$F$3:$F$12,MATCH(cadangan3[[#This Row],[ItemID B]],Katalog!$C$3:$C$12,0))*cadangan3[[#This Row],[Qty B]],0)</f>
        <v>400000</v>
      </c>
      <c r="V656" s="36">
        <f>IFERROR(cadangan3[[#This Row],[Profit B]]-(cadangan3[[#This Row],[Profit B]]*cadangan3[[#This Row],[Diskon]]),U656)</f>
        <v>340000</v>
      </c>
      <c r="X656" t="str">
        <f>IFERROR(INDEX(Katalog!$A$3:$A$12,MATCH(cadangan3[[#This Row],[ItemID C]],Katalog!$C$3:$C$12,0)),"-")</f>
        <v>-</v>
      </c>
      <c r="Y656" t="str">
        <f>IFERROR(INDEX(Katalog!$B$3:$B$12,MATCH(cadangan3[[#This Row],[ItemID C]],Katalog!$C$3:$C$12,0)),"-")</f>
        <v>-</v>
      </c>
      <c r="AB656" s="36">
        <f>IFERROR(INDEX(Katalog!$D$3:$D$12,MATCH(cadangan3[[#This Row],[ItemID C]],Katalog!$C$3:$C$12,0))*cadangan3[[#This Row],[Qty C]],0)</f>
        <v>0</v>
      </c>
      <c r="AC656" s="36">
        <f>IFERROR(INDEX(Katalog!$D$3:$D$12,MATCH(cadangan3[[#This Row],[Item C]],Katalog!$B$3:$B$12,0))*cadangan3[[#This Row],[Qty C]],0)</f>
        <v>0</v>
      </c>
      <c r="AD656" s="36">
        <f>IFERROR(cadangan3[[#This Row],[Harga Asli C]]-(cadangan3[[#This Row],[Harga Asli C]]*cadangan3[[#This Row],[Diskon]]),cadangan3[[#This Row],[Harga Asli C]])</f>
        <v>0</v>
      </c>
      <c r="AE656" s="36">
        <f>IFERROR(INDEX(Katalog!$F$3:$F$12,MATCH(cadangan3[[#This Row],[ItemID C]],Katalog!$C$3:$C$12,0))*cadangan3[[#This Row],[Qty C]],0)</f>
        <v>0</v>
      </c>
      <c r="AF656" s="36">
        <f>IFERROR(cadangan3[[#This Row],[Profit C]]-(cadangan3[[#This Row],[Profit C]]*cadangan3[[#This Row],[Diskon]]),cadangan3[[#This Row],[Profit C]])</f>
        <v>0</v>
      </c>
      <c r="AG656" s="21">
        <f>cadangan3[[#This Row],[Qty A]]+cadangan3[[#This Row],[Qty B]]+cadangan3[[#This Row],[Qty C]]</f>
        <v>3</v>
      </c>
      <c r="AH656" s="35">
        <f>cadangan3[[#This Row],[Harga A + Diskon]]+cadangan3[[#This Row],[Harga + Diskon B]]+cadangan3[[#This Row],[Harga + Diskon C]]</f>
        <v>1105000</v>
      </c>
      <c r="AI656" s="35">
        <f>(cadangan3[[#This Row],[Profit A]]+cadangan3[[#This Row],[Profit B]]+cadangan3[[#This Row],[Profit C]])</f>
        <v>500000</v>
      </c>
      <c r="AJ656" s="35">
        <f>cadangan3[[#This Row],[Provit A + Diskon]]+cadangan3[[#This Row],[Provit B + Diskon]]+cadangan3[[#This Row],[Provit C + Diskon]]</f>
        <v>425000</v>
      </c>
      <c r="AK656" s="23" t="s">
        <v>13</v>
      </c>
      <c r="AL656" s="37">
        <f>IFERROR(INDEX('Kode Diskon'!$D$3:$D$9,MATCH(cadangan3[[#This Row],[Kode diskon]],'Kode Diskon'!$C$3:$C$9,0)),"-")</f>
        <v>0.15</v>
      </c>
      <c r="AM656" s="23" t="s">
        <v>29</v>
      </c>
      <c r="AN656" s="23" t="s">
        <v>7</v>
      </c>
      <c r="AO656" s="23" t="s">
        <v>75</v>
      </c>
      <c r="AP656" s="24">
        <v>45021</v>
      </c>
      <c r="AQ656" s="23" t="str">
        <f>TEXT(cadangan3[[#This Row],[Tanggal terjual]],"dddd")</f>
        <v>Wednesday</v>
      </c>
    </row>
    <row r="657" spans="1:43" x14ac:dyDescent="0.2">
      <c r="A657" s="20">
        <v>656</v>
      </c>
      <c r="B657" s="21" t="str">
        <f>_xlfn.CONCAT("ORD-",INDEX(Helper!$B$2:$B$5,MATCH(cadangan3[[#This Row],[Marketplace]],Helper!$A$2:$A$5,0)),TEXT(cadangan3[[#This Row],[No]],"0000"),"-",TEXT(cadangan3[[#This Row],[Tanggal terjual]],"dd/mm/yy"))</f>
        <v>ORD-BB0656-04/04/23</v>
      </c>
      <c r="C657" t="s">
        <v>59</v>
      </c>
      <c r="D657" t="str">
        <f>IFERROR(INDEX(Katalog!$A$3:$A$12,MATCH(cadangan3[[#This Row],[ItemID A]],Katalog!$C$3:$C$12,0)),"-")</f>
        <v>Pakaian Wanita</v>
      </c>
      <c r="E657" t="str">
        <f>IFERROR(INDEX(Katalog!$B$3:$B$12,MATCH(cadangan3[[#This Row],[ItemID A]],Katalog!$C$3:$C$12,0)),"-")</f>
        <v>Blouse</v>
      </c>
      <c r="F657">
        <v>2</v>
      </c>
      <c r="G657">
        <v>5</v>
      </c>
      <c r="H657" s="36">
        <f>IFERROR(INDEX(Katalog!$D$3:$D$12,MATCH(cadangan3[[#This Row],[ItemID A]],Katalog!$C$3:$C$12,0))*cadangan3[[#This Row],[Qty A]],0)</f>
        <v>300000</v>
      </c>
      <c r="I657" s="36">
        <f>IFERROR(INDEX(Katalog!$D$3:$D$12,MATCH(cadangan3[[#This Row],[Item A]],Katalog!$B$3:$B$12,0))*cadangan3[[#This Row],[Qty A]],0)</f>
        <v>300000</v>
      </c>
      <c r="J657" s="36">
        <f>IFERROR(cadangan3[[#This Row],[Harga Asli A]]-(cadangan3[[#This Row],[Harga Asli A]]*cadangan3[[#This Row],[Diskon]]),cadangan3[[#This Row],[Harga Asli A]])</f>
        <v>255000</v>
      </c>
      <c r="K657" s="36">
        <f>INDEX(Katalog!$F$3:$F$12,MATCH(cadangan3[[#This Row],[ItemID A]],Katalog!$C$3:$C$12,0))*cadangan3[[#This Row],[Qty A]]</f>
        <v>100000</v>
      </c>
      <c r="L657" s="36">
        <f>IFERROR(cadangan3[[#This Row],[Profit A]]-(cadangan3[[#This Row],[Profit A]]*cadangan3[[#This Row],[Diskon]]),K657)</f>
        <v>85000</v>
      </c>
      <c r="N657" t="str">
        <f>IFERROR(INDEX(Katalog!$A$3:$A$12,MATCH(cadangan3[[#This Row],[ItemID B]],Katalog!$C$3:$C$12,0)),"-")</f>
        <v>-</v>
      </c>
      <c r="O657" t="str">
        <f>IFERROR(INDEX(Katalog!$B$3:$B$12,MATCH(cadangan3[[#This Row],[ItemID B]],Katalog!$C$3:$C$12,0)),"-")</f>
        <v>-</v>
      </c>
      <c r="R657" s="36">
        <f>IFERROR(INDEX(Katalog!$D$3:$D$12,MATCH(cadangan3[[#This Row],[ItemID B]],Katalog!$C$3:$C$12,0))*cadangan3[[#This Row],[Qty B]],0)</f>
        <v>0</v>
      </c>
      <c r="S657" s="36">
        <f>IFERROR(INDEX(Katalog!$D$3:$D$12,MATCH(cadangan3[[#This Row],[Item B]],Katalog!$B$3:$B$12,0))*cadangan3[[#This Row],[Qty B]],0)</f>
        <v>0</v>
      </c>
      <c r="T657" s="36">
        <f>IFERROR(cadangan3[[#This Row],[Harga Asli B]]-(cadangan3[[#This Row],[Harga Asli B]]*cadangan3[[#This Row],[Diskon]]),cadangan3[[#This Row],[Harga Asli B]])</f>
        <v>0</v>
      </c>
      <c r="U657" s="36">
        <f>IFERROR(INDEX(Katalog!$F$3:$F$12,MATCH(cadangan3[[#This Row],[ItemID B]],Katalog!$C$3:$C$12,0))*cadangan3[[#This Row],[Qty B]],0)</f>
        <v>0</v>
      </c>
      <c r="V657" s="36">
        <f>IFERROR(cadangan3[[#This Row],[Profit B]]-(cadangan3[[#This Row],[Profit B]]*cadangan3[[#This Row],[Diskon]]),U657)</f>
        <v>0</v>
      </c>
      <c r="X657" t="str">
        <f>IFERROR(INDEX(Katalog!$A$3:$A$12,MATCH(cadangan3[[#This Row],[ItemID C]],Katalog!$C$3:$C$12,0)),"-")</f>
        <v>-</v>
      </c>
      <c r="Y657" t="str">
        <f>IFERROR(INDEX(Katalog!$B$3:$B$12,MATCH(cadangan3[[#This Row],[ItemID C]],Katalog!$C$3:$C$12,0)),"-")</f>
        <v>-</v>
      </c>
      <c r="AB657" s="36">
        <f>IFERROR(INDEX(Katalog!$D$3:$D$12,MATCH(cadangan3[[#This Row],[ItemID C]],Katalog!$C$3:$C$12,0))*cadangan3[[#This Row],[Qty C]],0)</f>
        <v>0</v>
      </c>
      <c r="AC657" s="36">
        <f>IFERROR(INDEX(Katalog!$D$3:$D$12,MATCH(cadangan3[[#This Row],[Item C]],Katalog!$B$3:$B$12,0))*cadangan3[[#This Row],[Qty C]],0)</f>
        <v>0</v>
      </c>
      <c r="AD657" s="36">
        <f>IFERROR(cadangan3[[#This Row],[Harga Asli C]]-(cadangan3[[#This Row],[Harga Asli C]]*cadangan3[[#This Row],[Diskon]]),cadangan3[[#This Row],[Harga Asli C]])</f>
        <v>0</v>
      </c>
      <c r="AE657" s="36">
        <f>IFERROR(INDEX(Katalog!$F$3:$F$12,MATCH(cadangan3[[#This Row],[ItemID C]],Katalog!$C$3:$C$12,0))*cadangan3[[#This Row],[Qty C]],0)</f>
        <v>0</v>
      </c>
      <c r="AF657" s="36">
        <f>IFERROR(cadangan3[[#This Row],[Profit C]]-(cadangan3[[#This Row],[Profit C]]*cadangan3[[#This Row],[Diskon]]),cadangan3[[#This Row],[Profit C]])</f>
        <v>0</v>
      </c>
      <c r="AG657" s="21">
        <f>cadangan3[[#This Row],[Qty A]]+cadangan3[[#This Row],[Qty B]]+cadangan3[[#This Row],[Qty C]]</f>
        <v>2</v>
      </c>
      <c r="AH657" s="35">
        <f>cadangan3[[#This Row],[Harga A + Diskon]]+cadangan3[[#This Row],[Harga + Diskon B]]+cadangan3[[#This Row],[Harga + Diskon C]]</f>
        <v>255000</v>
      </c>
      <c r="AI657" s="35">
        <f>(cadangan3[[#This Row],[Profit A]]+cadangan3[[#This Row],[Profit B]]+cadangan3[[#This Row],[Profit C]])</f>
        <v>100000</v>
      </c>
      <c r="AJ657" s="35">
        <f>cadangan3[[#This Row],[Provit A + Diskon]]+cadangan3[[#This Row],[Provit B + Diskon]]+cadangan3[[#This Row],[Provit C + Diskon]]</f>
        <v>85000</v>
      </c>
      <c r="AK657" s="23" t="s">
        <v>28</v>
      </c>
      <c r="AL657" s="37">
        <f>IFERROR(INDEX('Kode Diskon'!$D$3:$D$9,MATCH(cadangan3[[#This Row],[Kode diskon]],'Kode Diskon'!$C$3:$C$9,0)),"-")</f>
        <v>0.15</v>
      </c>
      <c r="AM657" s="23" t="s">
        <v>29</v>
      </c>
      <c r="AN657" s="23" t="s">
        <v>14</v>
      </c>
      <c r="AO657" s="23" t="s">
        <v>80</v>
      </c>
      <c r="AP657" s="24">
        <v>45020</v>
      </c>
      <c r="AQ657" s="23" t="str">
        <f>TEXT(cadangan3[[#This Row],[Tanggal terjual]],"dddd")</f>
        <v>Tuesday</v>
      </c>
    </row>
    <row r="658" spans="1:43" x14ac:dyDescent="0.2">
      <c r="A658" s="20">
        <v>657</v>
      </c>
      <c r="B658" s="21" t="str">
        <f>_xlfn.CONCAT("ORD-",INDEX(Helper!$B$2:$B$5,MATCH(cadangan3[[#This Row],[Marketplace]],Helper!$A$2:$A$5,0)),TEXT(cadangan3[[#This Row],[No]],"0000"),"-",TEXT(cadangan3[[#This Row],[Tanggal terjual]],"dd/mm/yy"))</f>
        <v>ORD-TK0657-03/04/23</v>
      </c>
      <c r="C658" t="s">
        <v>66</v>
      </c>
      <c r="D658" t="str">
        <f>IFERROR(INDEX(Katalog!$A$3:$A$12,MATCH(cadangan3[[#This Row],[ItemID A]],Katalog!$C$3:$C$12,0)),"-")</f>
        <v>Sepatu Pria</v>
      </c>
      <c r="E658" t="str">
        <f>IFERROR(INDEX(Katalog!$B$3:$B$12,MATCH(cadangan3[[#This Row],[ItemID A]],Katalog!$C$3:$C$12,0)),"-")</f>
        <v>Sandal Slip On</v>
      </c>
      <c r="F658">
        <v>5</v>
      </c>
      <c r="G658">
        <v>2</v>
      </c>
      <c r="H658" s="36">
        <f>IFERROR(INDEX(Katalog!$D$3:$D$12,MATCH(cadangan3[[#This Row],[ItemID A]],Katalog!$C$3:$C$12,0))*cadangan3[[#This Row],[Qty A]],0)</f>
        <v>750000</v>
      </c>
      <c r="I658" s="36">
        <f>IFERROR(INDEX(Katalog!$D$3:$D$12,MATCH(cadangan3[[#This Row],[Item A]],Katalog!$B$3:$B$12,0))*cadangan3[[#This Row],[Qty A]],0)</f>
        <v>750000</v>
      </c>
      <c r="J658" s="36">
        <f>IFERROR(cadangan3[[#This Row],[Harga Asli A]]-(cadangan3[[#This Row],[Harga Asli A]]*cadangan3[[#This Row],[Diskon]]),cadangan3[[#This Row],[Harga Asli A]])</f>
        <v>675000</v>
      </c>
      <c r="K658" s="36">
        <f>INDEX(Katalog!$F$3:$F$12,MATCH(cadangan3[[#This Row],[ItemID A]],Katalog!$C$3:$C$12,0))*cadangan3[[#This Row],[Qty A]]</f>
        <v>300000</v>
      </c>
      <c r="L658" s="36">
        <f>IFERROR(cadangan3[[#This Row],[Profit A]]-(cadangan3[[#This Row],[Profit A]]*cadangan3[[#This Row],[Diskon]]),K658)</f>
        <v>270000</v>
      </c>
      <c r="M658" t="s">
        <v>67</v>
      </c>
      <c r="N658" t="str">
        <f>IFERROR(INDEX(Katalog!$A$3:$A$12,MATCH(cadangan3[[#This Row],[ItemID B]],Katalog!$C$3:$C$12,0)),"-")</f>
        <v>Sepatu Wanita</v>
      </c>
      <c r="O658" t="str">
        <f>IFERROR(INDEX(Katalog!$B$3:$B$12,MATCH(cadangan3[[#This Row],[ItemID B]],Katalog!$C$3:$C$12,0)),"-")</f>
        <v>Flat Shoes</v>
      </c>
      <c r="P658">
        <v>1</v>
      </c>
      <c r="Q658">
        <v>2</v>
      </c>
      <c r="R658" s="36">
        <f>IFERROR(INDEX(Katalog!$D$3:$D$12,MATCH(cadangan3[[#This Row],[ItemID B]],Katalog!$C$3:$C$12,0))*cadangan3[[#This Row],[Qty B]],0)</f>
        <v>250000</v>
      </c>
      <c r="S658" s="36">
        <f>IFERROR(INDEX(Katalog!$D$3:$D$12,MATCH(cadangan3[[#This Row],[Item B]],Katalog!$B$3:$B$12,0))*cadangan3[[#This Row],[Qty B]],0)</f>
        <v>250000</v>
      </c>
      <c r="T658" s="36">
        <f>IFERROR(cadangan3[[#This Row],[Harga Asli B]]-(cadangan3[[#This Row],[Harga Asli B]]*cadangan3[[#This Row],[Diskon]]),cadangan3[[#This Row],[Harga Asli B]])</f>
        <v>225000</v>
      </c>
      <c r="U658" s="36">
        <f>IFERROR(INDEX(Katalog!$F$3:$F$12,MATCH(cadangan3[[#This Row],[ItemID B]],Katalog!$C$3:$C$12,0))*cadangan3[[#This Row],[Qty B]],0)</f>
        <v>100000</v>
      </c>
      <c r="V658" s="36">
        <f>IFERROR(cadangan3[[#This Row],[Profit B]]-(cadangan3[[#This Row],[Profit B]]*cadangan3[[#This Row],[Diskon]]),U658)</f>
        <v>90000</v>
      </c>
      <c r="X658" t="str">
        <f>IFERROR(INDEX(Katalog!$A$3:$A$12,MATCH(cadangan3[[#This Row],[ItemID C]],Katalog!$C$3:$C$12,0)),"-")</f>
        <v>-</v>
      </c>
      <c r="Y658" t="str">
        <f>IFERROR(INDEX(Katalog!$B$3:$B$12,MATCH(cadangan3[[#This Row],[ItemID C]],Katalog!$C$3:$C$12,0)),"-")</f>
        <v>-</v>
      </c>
      <c r="AB658" s="36">
        <f>IFERROR(INDEX(Katalog!$D$3:$D$12,MATCH(cadangan3[[#This Row],[ItemID C]],Katalog!$C$3:$C$12,0))*cadangan3[[#This Row],[Qty C]],0)</f>
        <v>0</v>
      </c>
      <c r="AC658" s="36">
        <f>IFERROR(INDEX(Katalog!$D$3:$D$12,MATCH(cadangan3[[#This Row],[Item C]],Katalog!$B$3:$B$12,0))*cadangan3[[#This Row],[Qty C]],0)</f>
        <v>0</v>
      </c>
      <c r="AD658" s="36">
        <f>IFERROR(cadangan3[[#This Row],[Harga Asli C]]-(cadangan3[[#This Row],[Harga Asli C]]*cadangan3[[#This Row],[Diskon]]),cadangan3[[#This Row],[Harga Asli C]])</f>
        <v>0</v>
      </c>
      <c r="AE658" s="36">
        <f>IFERROR(INDEX(Katalog!$F$3:$F$12,MATCH(cadangan3[[#This Row],[ItemID C]],Katalog!$C$3:$C$12,0))*cadangan3[[#This Row],[Qty C]],0)</f>
        <v>0</v>
      </c>
      <c r="AF658" s="36">
        <f>IFERROR(cadangan3[[#This Row],[Profit C]]-(cadangan3[[#This Row],[Profit C]]*cadangan3[[#This Row],[Diskon]]),cadangan3[[#This Row],[Profit C]])</f>
        <v>0</v>
      </c>
      <c r="AG658" s="21">
        <f>cadangan3[[#This Row],[Qty A]]+cadangan3[[#This Row],[Qty B]]+cadangan3[[#This Row],[Qty C]]</f>
        <v>6</v>
      </c>
      <c r="AH658" s="35">
        <f>cadangan3[[#This Row],[Harga A + Diskon]]+cadangan3[[#This Row],[Harga + Diskon B]]+cadangan3[[#This Row],[Harga + Diskon C]]</f>
        <v>900000</v>
      </c>
      <c r="AI658" s="35">
        <f>(cadangan3[[#This Row],[Profit A]]+cadangan3[[#This Row],[Profit B]]+cadangan3[[#This Row],[Profit C]])</f>
        <v>400000</v>
      </c>
      <c r="AJ658" s="35">
        <f>cadangan3[[#This Row],[Provit A + Diskon]]+cadangan3[[#This Row],[Provit B + Diskon]]+cadangan3[[#This Row],[Provit C + Diskon]]</f>
        <v>360000</v>
      </c>
      <c r="AK658" s="23" t="s">
        <v>30</v>
      </c>
      <c r="AL658" s="37">
        <f>IFERROR(INDEX('Kode Diskon'!$D$3:$D$9,MATCH(cadangan3[[#This Row],[Kode diskon]],'Kode Diskon'!$C$3:$C$9,0)),"-")</f>
        <v>0.1</v>
      </c>
      <c r="AM658" s="23" t="s">
        <v>29</v>
      </c>
      <c r="AN658" s="23" t="s">
        <v>10</v>
      </c>
      <c r="AO658" s="23" t="s">
        <v>75</v>
      </c>
      <c r="AP658" s="24">
        <v>45019</v>
      </c>
      <c r="AQ658" s="23" t="str">
        <f>TEXT(cadangan3[[#This Row],[Tanggal terjual]],"dddd")</f>
        <v>Monday</v>
      </c>
    </row>
    <row r="659" spans="1:43" x14ac:dyDescent="0.2">
      <c r="A659" s="20">
        <v>658</v>
      </c>
      <c r="B659" s="21" t="str">
        <f>_xlfn.CONCAT("ORD-",INDEX(Helper!$B$2:$B$5,MATCH(cadangan3[[#This Row],[Marketplace]],Helper!$A$2:$A$5,0)),TEXT(cadangan3[[#This Row],[No]],"0000"),"-",TEXT(cadangan3[[#This Row],[Tanggal terjual]],"dd/mm/yy"))</f>
        <v>ORD-BL0658-16/04/23</v>
      </c>
      <c r="C659" t="s">
        <v>63</v>
      </c>
      <c r="D659" t="str">
        <f>IFERROR(INDEX(Katalog!$A$3:$A$12,MATCH(cadangan3[[#This Row],[ItemID A]],Katalog!$C$3:$C$12,0)),"-")</f>
        <v>Pakaian Pria</v>
      </c>
      <c r="E659" t="str">
        <f>IFERROR(INDEX(Katalog!$B$3:$B$12,MATCH(cadangan3[[#This Row],[ItemID A]],Katalog!$C$3:$C$12,0)),"-")</f>
        <v>Jaket Jeans</v>
      </c>
      <c r="F659">
        <v>2</v>
      </c>
      <c r="G659">
        <v>3</v>
      </c>
      <c r="H659" s="36">
        <f>IFERROR(INDEX(Katalog!$D$3:$D$12,MATCH(cadangan3[[#This Row],[ItemID A]],Katalog!$C$3:$C$12,0))*cadangan3[[#This Row],[Qty A]],0)</f>
        <v>800000</v>
      </c>
      <c r="I659" s="36">
        <f>IFERROR(INDEX(Katalog!$D$3:$D$12,MATCH(cadangan3[[#This Row],[Item A]],Katalog!$B$3:$B$12,0))*cadangan3[[#This Row],[Qty A]],0)</f>
        <v>800000</v>
      </c>
      <c r="J659" s="36">
        <f>IFERROR(cadangan3[[#This Row],[Harga Asli A]]-(cadangan3[[#This Row],[Harga Asli A]]*cadangan3[[#This Row],[Diskon]]),cadangan3[[#This Row],[Harga Asli A]])</f>
        <v>680000</v>
      </c>
      <c r="K659" s="36">
        <f>INDEX(Katalog!$F$3:$F$12,MATCH(cadangan3[[#This Row],[ItemID A]],Katalog!$C$3:$C$12,0))*cadangan3[[#This Row],[Qty A]]</f>
        <v>300000</v>
      </c>
      <c r="L659" s="36">
        <f>IFERROR(cadangan3[[#This Row],[Profit A]]-(cadangan3[[#This Row],[Profit A]]*cadangan3[[#This Row],[Diskon]]),K659)</f>
        <v>255000</v>
      </c>
      <c r="M659" t="s">
        <v>58</v>
      </c>
      <c r="N659" t="str">
        <f>IFERROR(INDEX(Katalog!$A$3:$A$12,MATCH(cadangan3[[#This Row],[ItemID B]],Katalog!$C$3:$C$12,0)),"-")</f>
        <v>Pakaian Wanita</v>
      </c>
      <c r="O659" t="str">
        <f>IFERROR(INDEX(Katalog!$B$3:$B$12,MATCH(cadangan3[[#This Row],[ItemID B]],Katalog!$C$3:$C$12,0)),"-")</f>
        <v>Dress</v>
      </c>
      <c r="P659">
        <v>2</v>
      </c>
      <c r="Q659">
        <v>5</v>
      </c>
      <c r="R659" s="36">
        <f>IFERROR(INDEX(Katalog!$D$3:$D$12,MATCH(cadangan3[[#This Row],[ItemID B]],Katalog!$C$3:$C$12,0))*cadangan3[[#This Row],[Qty B]],0)</f>
        <v>600000</v>
      </c>
      <c r="S659" s="36">
        <f>IFERROR(INDEX(Katalog!$D$3:$D$12,MATCH(cadangan3[[#This Row],[Item B]],Katalog!$B$3:$B$12,0))*cadangan3[[#This Row],[Qty B]],0)</f>
        <v>600000</v>
      </c>
      <c r="T659" s="36">
        <f>IFERROR(cadangan3[[#This Row],[Harga Asli B]]-(cadangan3[[#This Row],[Harga Asli B]]*cadangan3[[#This Row],[Diskon]]),cadangan3[[#This Row],[Harga Asli B]])</f>
        <v>510000</v>
      </c>
      <c r="U659" s="36">
        <f>IFERROR(INDEX(Katalog!$F$3:$F$12,MATCH(cadangan3[[#This Row],[ItemID B]],Katalog!$C$3:$C$12,0))*cadangan3[[#This Row],[Qty B]],0)</f>
        <v>200000</v>
      </c>
      <c r="V659" s="36">
        <f>IFERROR(cadangan3[[#This Row],[Profit B]]-(cadangan3[[#This Row],[Profit B]]*cadangan3[[#This Row],[Diskon]]),U659)</f>
        <v>170000</v>
      </c>
      <c r="W659" t="s">
        <v>66</v>
      </c>
      <c r="X659" t="str">
        <f>IFERROR(INDEX(Katalog!$A$3:$A$12,MATCH(cadangan3[[#This Row],[ItemID C]],Katalog!$C$3:$C$12,0)),"-")</f>
        <v>Sepatu Pria</v>
      </c>
      <c r="Y659" t="str">
        <f>IFERROR(INDEX(Katalog!$B$3:$B$12,MATCH(cadangan3[[#This Row],[ItemID C]],Katalog!$C$3:$C$12,0)),"-")</f>
        <v>Sandal Slip On</v>
      </c>
      <c r="Z659">
        <v>1</v>
      </c>
      <c r="AA659">
        <v>4</v>
      </c>
      <c r="AB659" s="36">
        <f>IFERROR(INDEX(Katalog!$D$3:$D$12,MATCH(cadangan3[[#This Row],[ItemID C]],Katalog!$C$3:$C$12,0))*cadangan3[[#This Row],[Qty C]],0)</f>
        <v>150000</v>
      </c>
      <c r="AC659" s="36">
        <f>IFERROR(INDEX(Katalog!$D$3:$D$12,MATCH(cadangan3[[#This Row],[Item C]],Katalog!$B$3:$B$12,0))*cadangan3[[#This Row],[Qty C]],0)</f>
        <v>150000</v>
      </c>
      <c r="AD659" s="36">
        <f>IFERROR(cadangan3[[#This Row],[Harga Asli C]]-(cadangan3[[#This Row],[Harga Asli C]]*cadangan3[[#This Row],[Diskon]]),cadangan3[[#This Row],[Harga Asli C]])</f>
        <v>127500</v>
      </c>
      <c r="AE659" s="36">
        <f>IFERROR(INDEX(Katalog!$F$3:$F$12,MATCH(cadangan3[[#This Row],[ItemID C]],Katalog!$C$3:$C$12,0))*cadangan3[[#This Row],[Qty C]],0)</f>
        <v>60000</v>
      </c>
      <c r="AF659" s="36">
        <f>IFERROR(cadangan3[[#This Row],[Profit C]]-(cadangan3[[#This Row],[Profit C]]*cadangan3[[#This Row],[Diskon]]),cadangan3[[#This Row],[Profit C]])</f>
        <v>51000</v>
      </c>
      <c r="AG659" s="21">
        <f>cadangan3[[#This Row],[Qty A]]+cadangan3[[#This Row],[Qty B]]+cadangan3[[#This Row],[Qty C]]</f>
        <v>5</v>
      </c>
      <c r="AH659" s="35">
        <f>cadangan3[[#This Row],[Harga A + Diskon]]+cadangan3[[#This Row],[Harga + Diskon B]]+cadangan3[[#This Row],[Harga + Diskon C]]</f>
        <v>1317500</v>
      </c>
      <c r="AI659" s="35">
        <f>(cadangan3[[#This Row],[Profit A]]+cadangan3[[#This Row],[Profit B]]+cadangan3[[#This Row],[Profit C]])</f>
        <v>560000</v>
      </c>
      <c r="AJ659" s="35">
        <f>cadangan3[[#This Row],[Provit A + Diskon]]+cadangan3[[#This Row],[Provit B + Diskon]]+cadangan3[[#This Row],[Provit C + Diskon]]</f>
        <v>476000</v>
      </c>
      <c r="AK659" s="23" t="s">
        <v>32</v>
      </c>
      <c r="AL659" s="37">
        <f>IFERROR(INDEX('Kode Diskon'!$D$3:$D$9,MATCH(cadangan3[[#This Row],[Kode diskon]],'Kode Diskon'!$C$3:$C$9,0)),"-")</f>
        <v>0.15</v>
      </c>
      <c r="AM659" s="23" t="s">
        <v>9</v>
      </c>
      <c r="AN659" s="23" t="s">
        <v>12</v>
      </c>
      <c r="AO659" s="23" t="s">
        <v>76</v>
      </c>
      <c r="AP659" s="24">
        <v>45032</v>
      </c>
      <c r="AQ659" s="23" t="str">
        <f>TEXT(cadangan3[[#This Row],[Tanggal terjual]],"dddd")</f>
        <v>Sunday</v>
      </c>
    </row>
    <row r="660" spans="1:43" x14ac:dyDescent="0.2">
      <c r="A660" s="20">
        <v>659</v>
      </c>
      <c r="B660" s="21" t="str">
        <f>_xlfn.CONCAT("ORD-",INDEX(Helper!$B$2:$B$5,MATCH(cadangan3[[#This Row],[Marketplace]],Helper!$A$2:$A$5,0)),TEXT(cadangan3[[#This Row],[No]],"0000"),"-",TEXT(cadangan3[[#This Row],[Tanggal terjual]],"dd/mm/yy"))</f>
        <v>ORD-TK0659-30/04/23</v>
      </c>
      <c r="C660" t="s">
        <v>59</v>
      </c>
      <c r="D660" t="str">
        <f>IFERROR(INDEX(Katalog!$A$3:$A$12,MATCH(cadangan3[[#This Row],[ItemID A]],Katalog!$C$3:$C$12,0)),"-")</f>
        <v>Pakaian Wanita</v>
      </c>
      <c r="E660" t="str">
        <f>IFERROR(INDEX(Katalog!$B$3:$B$12,MATCH(cadangan3[[#This Row],[ItemID A]],Katalog!$C$3:$C$12,0)),"-")</f>
        <v>Blouse</v>
      </c>
      <c r="F660">
        <v>2</v>
      </c>
      <c r="G660">
        <v>1</v>
      </c>
      <c r="H660" s="36">
        <f>IFERROR(INDEX(Katalog!$D$3:$D$12,MATCH(cadangan3[[#This Row],[ItemID A]],Katalog!$C$3:$C$12,0))*cadangan3[[#This Row],[Qty A]],0)</f>
        <v>300000</v>
      </c>
      <c r="I660" s="36">
        <f>IFERROR(INDEX(Katalog!$D$3:$D$12,MATCH(cadangan3[[#This Row],[Item A]],Katalog!$B$3:$B$12,0))*cadangan3[[#This Row],[Qty A]],0)</f>
        <v>300000</v>
      </c>
      <c r="J660" s="36">
        <f>IFERROR(cadangan3[[#This Row],[Harga Asli A]]-(cadangan3[[#This Row],[Harga Asli A]]*cadangan3[[#This Row],[Diskon]]),cadangan3[[#This Row],[Harga Asli A]])</f>
        <v>270000</v>
      </c>
      <c r="K660" s="36">
        <f>INDEX(Katalog!$F$3:$F$12,MATCH(cadangan3[[#This Row],[ItemID A]],Katalog!$C$3:$C$12,0))*cadangan3[[#This Row],[Qty A]]</f>
        <v>100000</v>
      </c>
      <c r="L660" s="36">
        <f>IFERROR(cadangan3[[#This Row],[Profit A]]-(cadangan3[[#This Row],[Profit A]]*cadangan3[[#This Row],[Diskon]]),K660)</f>
        <v>90000</v>
      </c>
      <c r="M660" t="s">
        <v>63</v>
      </c>
      <c r="N660" t="str">
        <f>IFERROR(INDEX(Katalog!$A$3:$A$12,MATCH(cadangan3[[#This Row],[ItemID B]],Katalog!$C$3:$C$12,0)),"-")</f>
        <v>Pakaian Pria</v>
      </c>
      <c r="O660" t="str">
        <f>IFERROR(INDEX(Katalog!$B$3:$B$12,MATCH(cadangan3[[#This Row],[ItemID B]],Katalog!$C$3:$C$12,0)),"-")</f>
        <v>Jaket Jeans</v>
      </c>
      <c r="P660">
        <v>2</v>
      </c>
      <c r="Q660">
        <v>2</v>
      </c>
      <c r="R660" s="36">
        <f>IFERROR(INDEX(Katalog!$D$3:$D$12,MATCH(cadangan3[[#This Row],[ItemID B]],Katalog!$C$3:$C$12,0))*cadangan3[[#This Row],[Qty B]],0)</f>
        <v>800000</v>
      </c>
      <c r="S660" s="36">
        <f>IFERROR(INDEX(Katalog!$D$3:$D$12,MATCH(cadangan3[[#This Row],[Item B]],Katalog!$B$3:$B$12,0))*cadangan3[[#This Row],[Qty B]],0)</f>
        <v>800000</v>
      </c>
      <c r="T660" s="36">
        <f>IFERROR(cadangan3[[#This Row],[Harga Asli B]]-(cadangan3[[#This Row],[Harga Asli B]]*cadangan3[[#This Row],[Diskon]]),cadangan3[[#This Row],[Harga Asli B]])</f>
        <v>720000</v>
      </c>
      <c r="U660" s="36">
        <f>IFERROR(INDEX(Katalog!$F$3:$F$12,MATCH(cadangan3[[#This Row],[ItemID B]],Katalog!$C$3:$C$12,0))*cadangan3[[#This Row],[Qty B]],0)</f>
        <v>300000</v>
      </c>
      <c r="V660" s="36">
        <f>IFERROR(cadangan3[[#This Row],[Profit B]]-(cadangan3[[#This Row],[Profit B]]*cadangan3[[#This Row],[Diskon]]),U660)</f>
        <v>270000</v>
      </c>
      <c r="W660" t="s">
        <v>65</v>
      </c>
      <c r="X660" t="str">
        <f>IFERROR(INDEX(Katalog!$A$3:$A$12,MATCH(cadangan3[[#This Row],[ItemID C]],Katalog!$C$3:$C$12,0)),"-")</f>
        <v>Sepatu Pria</v>
      </c>
      <c r="Y660" t="str">
        <f>IFERROR(INDEX(Katalog!$B$3:$B$12,MATCH(cadangan3[[#This Row],[ItemID C]],Katalog!$C$3:$C$12,0)),"-")</f>
        <v>Sneakers</v>
      </c>
      <c r="Z660">
        <v>2</v>
      </c>
      <c r="AA660">
        <v>3</v>
      </c>
      <c r="AB660" s="36">
        <f>IFERROR(INDEX(Katalog!$D$3:$D$12,MATCH(cadangan3[[#This Row],[ItemID C]],Katalog!$C$3:$C$12,0))*cadangan3[[#This Row],[Qty C]],0)</f>
        <v>1000000</v>
      </c>
      <c r="AC660" s="36">
        <f>IFERROR(INDEX(Katalog!$D$3:$D$12,MATCH(cadangan3[[#This Row],[Item C]],Katalog!$B$3:$B$12,0))*cadangan3[[#This Row],[Qty C]],0)</f>
        <v>1000000</v>
      </c>
      <c r="AD660" s="36">
        <f>IFERROR(cadangan3[[#This Row],[Harga Asli C]]-(cadangan3[[#This Row],[Harga Asli C]]*cadangan3[[#This Row],[Diskon]]),cadangan3[[#This Row],[Harga Asli C]])</f>
        <v>900000</v>
      </c>
      <c r="AE660" s="36">
        <f>IFERROR(INDEX(Katalog!$F$3:$F$12,MATCH(cadangan3[[#This Row],[ItemID C]],Katalog!$C$3:$C$12,0))*cadangan3[[#This Row],[Qty C]],0)</f>
        <v>400000</v>
      </c>
      <c r="AF660" s="36">
        <f>IFERROR(cadangan3[[#This Row],[Profit C]]-(cadangan3[[#This Row],[Profit C]]*cadangan3[[#This Row],[Diskon]]),cadangan3[[#This Row],[Profit C]])</f>
        <v>360000</v>
      </c>
      <c r="AG660" s="21">
        <f>cadangan3[[#This Row],[Qty A]]+cadangan3[[#This Row],[Qty B]]+cadangan3[[#This Row],[Qty C]]</f>
        <v>6</v>
      </c>
      <c r="AH660" s="35">
        <f>cadangan3[[#This Row],[Harga A + Diskon]]+cadangan3[[#This Row],[Harga + Diskon B]]+cadangan3[[#This Row],[Harga + Diskon C]]</f>
        <v>1890000</v>
      </c>
      <c r="AI660" s="35">
        <f>(cadangan3[[#This Row],[Profit A]]+cadangan3[[#This Row],[Profit B]]+cadangan3[[#This Row],[Profit C]])</f>
        <v>800000</v>
      </c>
      <c r="AJ660" s="35">
        <f>cadangan3[[#This Row],[Provit A + Diskon]]+cadangan3[[#This Row],[Provit B + Diskon]]+cadangan3[[#This Row],[Provit C + Diskon]]</f>
        <v>720000</v>
      </c>
      <c r="AK660" s="23" t="s">
        <v>31</v>
      </c>
      <c r="AL660" s="37">
        <f>IFERROR(INDEX('Kode Diskon'!$D$3:$D$9,MATCH(cadangan3[[#This Row],[Kode diskon]],'Kode Diskon'!$C$3:$C$9,0)),"-")</f>
        <v>0.1</v>
      </c>
      <c r="AM660" s="23" t="s">
        <v>9</v>
      </c>
      <c r="AN660" s="23" t="s">
        <v>10</v>
      </c>
      <c r="AO660" s="23" t="s">
        <v>77</v>
      </c>
      <c r="AP660" s="24">
        <v>45046</v>
      </c>
      <c r="AQ660" s="23" t="str">
        <f>TEXT(cadangan3[[#This Row],[Tanggal terjual]],"dddd")</f>
        <v>Sunday</v>
      </c>
    </row>
    <row r="661" spans="1:43" x14ac:dyDescent="0.2">
      <c r="A661" s="20">
        <v>660</v>
      </c>
      <c r="B661" s="21" t="str">
        <f>_xlfn.CONCAT("ORD-",INDEX(Helper!$B$2:$B$5,MATCH(cadangan3[[#This Row],[Marketplace]],Helper!$A$2:$A$5,0)),TEXT(cadangan3[[#This Row],[No]],"0000"),"-",TEXT(cadangan3[[#This Row],[Tanggal terjual]],"dd/mm/yy"))</f>
        <v>ORD-BL0660-14/04/23</v>
      </c>
      <c r="C661" t="s">
        <v>67</v>
      </c>
      <c r="D661" t="str">
        <f>IFERROR(INDEX(Katalog!$A$3:$A$12,MATCH(cadangan3[[#This Row],[ItemID A]],Katalog!$C$3:$C$12,0)),"-")</f>
        <v>Sepatu Wanita</v>
      </c>
      <c r="E661" t="str">
        <f>IFERROR(INDEX(Katalog!$B$3:$B$12,MATCH(cadangan3[[#This Row],[ItemID A]],Katalog!$C$3:$C$12,0)),"-")</f>
        <v>Flat Shoes</v>
      </c>
      <c r="F661">
        <v>3</v>
      </c>
      <c r="G661">
        <v>1</v>
      </c>
      <c r="H661" s="36">
        <f>IFERROR(INDEX(Katalog!$D$3:$D$12,MATCH(cadangan3[[#This Row],[ItemID A]],Katalog!$C$3:$C$12,0))*cadangan3[[#This Row],[Qty A]],0)</f>
        <v>750000</v>
      </c>
      <c r="I661" s="36">
        <f>IFERROR(INDEX(Katalog!$D$3:$D$12,MATCH(cadangan3[[#This Row],[Item A]],Katalog!$B$3:$B$12,0))*cadangan3[[#This Row],[Qty A]],0)</f>
        <v>750000</v>
      </c>
      <c r="J661" s="36">
        <f>IFERROR(cadangan3[[#This Row],[Harga Asli A]]-(cadangan3[[#This Row],[Harga Asli A]]*cadangan3[[#This Row],[Diskon]]),cadangan3[[#This Row],[Harga Asli A]])</f>
        <v>750000</v>
      </c>
      <c r="K661" s="36">
        <f>INDEX(Katalog!$F$3:$F$12,MATCH(cadangan3[[#This Row],[ItemID A]],Katalog!$C$3:$C$12,0))*cadangan3[[#This Row],[Qty A]]</f>
        <v>300000</v>
      </c>
      <c r="L661" s="36">
        <f>IFERROR(cadangan3[[#This Row],[Profit A]]-(cadangan3[[#This Row],[Profit A]]*cadangan3[[#This Row],[Diskon]]),K661)</f>
        <v>300000</v>
      </c>
      <c r="M661" t="s">
        <v>60</v>
      </c>
      <c r="N661" t="str">
        <f>IFERROR(INDEX(Katalog!$A$3:$A$12,MATCH(cadangan3[[#This Row],[ItemID B]],Katalog!$C$3:$C$12,0)),"-")</f>
        <v>Pakaian Wanita</v>
      </c>
      <c r="O661" t="str">
        <f>IFERROR(INDEX(Katalog!$B$3:$B$12,MATCH(cadangan3[[#This Row],[ItemID B]],Katalog!$C$3:$C$12,0)),"-")</f>
        <v>Kaftan</v>
      </c>
      <c r="P661">
        <v>2</v>
      </c>
      <c r="Q661">
        <v>1</v>
      </c>
      <c r="R661" s="36">
        <f>IFERROR(INDEX(Katalog!$D$3:$D$12,MATCH(cadangan3[[#This Row],[ItemID B]],Katalog!$C$3:$C$12,0))*cadangan3[[#This Row],[Qty B]],0)</f>
        <v>500000</v>
      </c>
      <c r="S661" s="36">
        <f>IFERROR(INDEX(Katalog!$D$3:$D$12,MATCH(cadangan3[[#This Row],[Item B]],Katalog!$B$3:$B$12,0))*cadangan3[[#This Row],[Qty B]],0)</f>
        <v>500000</v>
      </c>
      <c r="T661" s="36">
        <f>IFERROR(cadangan3[[#This Row],[Harga Asli B]]-(cadangan3[[#This Row],[Harga Asli B]]*cadangan3[[#This Row],[Diskon]]),cadangan3[[#This Row],[Harga Asli B]])</f>
        <v>500000</v>
      </c>
      <c r="U661" s="36">
        <f>IFERROR(INDEX(Katalog!$F$3:$F$12,MATCH(cadangan3[[#This Row],[ItemID B]],Katalog!$C$3:$C$12,0))*cadangan3[[#This Row],[Qty B]],0)</f>
        <v>200000</v>
      </c>
      <c r="V661" s="36">
        <f>IFERROR(cadangan3[[#This Row],[Profit B]]-(cadangan3[[#This Row],[Profit B]]*cadangan3[[#This Row],[Diskon]]),U661)</f>
        <v>200000</v>
      </c>
      <c r="W661" t="s">
        <v>59</v>
      </c>
      <c r="X661" t="str">
        <f>IFERROR(INDEX(Katalog!$A$3:$A$12,MATCH(cadangan3[[#This Row],[ItemID C]],Katalog!$C$3:$C$12,0)),"-")</f>
        <v>Pakaian Wanita</v>
      </c>
      <c r="Y661" t="str">
        <f>IFERROR(INDEX(Katalog!$B$3:$B$12,MATCH(cadangan3[[#This Row],[ItemID C]],Katalog!$C$3:$C$12,0)),"-")</f>
        <v>Blouse</v>
      </c>
      <c r="Z661">
        <v>1</v>
      </c>
      <c r="AA661">
        <v>2</v>
      </c>
      <c r="AB661" s="36">
        <f>IFERROR(INDEX(Katalog!$D$3:$D$12,MATCH(cadangan3[[#This Row],[ItemID C]],Katalog!$C$3:$C$12,0))*cadangan3[[#This Row],[Qty C]],0)</f>
        <v>150000</v>
      </c>
      <c r="AC661" s="36">
        <f>IFERROR(INDEX(Katalog!$D$3:$D$12,MATCH(cadangan3[[#This Row],[Item C]],Katalog!$B$3:$B$12,0))*cadangan3[[#This Row],[Qty C]],0)</f>
        <v>150000</v>
      </c>
      <c r="AD661" s="36">
        <f>IFERROR(cadangan3[[#This Row],[Harga Asli C]]-(cadangan3[[#This Row],[Harga Asli C]]*cadangan3[[#This Row],[Diskon]]),cadangan3[[#This Row],[Harga Asli C]])</f>
        <v>150000</v>
      </c>
      <c r="AE661" s="36">
        <f>IFERROR(INDEX(Katalog!$F$3:$F$12,MATCH(cadangan3[[#This Row],[ItemID C]],Katalog!$C$3:$C$12,0))*cadangan3[[#This Row],[Qty C]],0)</f>
        <v>50000</v>
      </c>
      <c r="AF661" s="36">
        <f>IFERROR(cadangan3[[#This Row],[Profit C]]-(cadangan3[[#This Row],[Profit C]]*cadangan3[[#This Row],[Diskon]]),cadangan3[[#This Row],[Profit C]])</f>
        <v>50000</v>
      </c>
      <c r="AG661" s="21">
        <f>cadangan3[[#This Row],[Qty A]]+cadangan3[[#This Row],[Qty B]]+cadangan3[[#This Row],[Qty C]]</f>
        <v>6</v>
      </c>
      <c r="AH661" s="35">
        <f>cadangan3[[#This Row],[Harga A + Diskon]]+cadangan3[[#This Row],[Harga + Diskon B]]+cadangan3[[#This Row],[Harga + Diskon C]]</f>
        <v>1400000</v>
      </c>
      <c r="AI661" s="35">
        <f>(cadangan3[[#This Row],[Profit A]]+cadangan3[[#This Row],[Profit B]]+cadangan3[[#This Row],[Profit C]])</f>
        <v>550000</v>
      </c>
      <c r="AJ661" s="35">
        <f>cadangan3[[#This Row],[Provit A + Diskon]]+cadangan3[[#This Row],[Provit B + Diskon]]+cadangan3[[#This Row],[Provit C + Diskon]]</f>
        <v>550000</v>
      </c>
      <c r="AK661" s="23" t="s">
        <v>11</v>
      </c>
      <c r="AL661" s="37" t="str">
        <f>IFERROR(INDEX('Kode Diskon'!$D$3:$D$9,MATCH(cadangan3[[#This Row],[Kode diskon]],'Kode Diskon'!$C$3:$C$9,0)),"-")</f>
        <v>-</v>
      </c>
      <c r="AM661" s="23" t="s">
        <v>11</v>
      </c>
      <c r="AN661" s="23" t="s">
        <v>12</v>
      </c>
      <c r="AO661" s="23" t="s">
        <v>76</v>
      </c>
      <c r="AP661" s="24">
        <v>45030</v>
      </c>
      <c r="AQ661" s="23" t="str">
        <f>TEXT(cadangan3[[#This Row],[Tanggal terjual]],"dddd")</f>
        <v>Friday</v>
      </c>
    </row>
    <row r="662" spans="1:43" x14ac:dyDescent="0.2">
      <c r="A662" s="20">
        <v>661</v>
      </c>
      <c r="B662" s="21" t="str">
        <f>_xlfn.CONCAT("ORD-",INDEX(Helper!$B$2:$B$5,MATCH(cadangan3[[#This Row],[Marketplace]],Helper!$A$2:$A$5,0)),TEXT(cadangan3[[#This Row],[No]],"0000"),"-",TEXT(cadangan3[[#This Row],[Tanggal terjual]],"dd/mm/yy"))</f>
        <v>ORD-SP0661-06/04/23</v>
      </c>
      <c r="C662" t="s">
        <v>66</v>
      </c>
      <c r="D662" t="str">
        <f>IFERROR(INDEX(Katalog!$A$3:$A$12,MATCH(cadangan3[[#This Row],[ItemID A]],Katalog!$C$3:$C$12,0)),"-")</f>
        <v>Sepatu Pria</v>
      </c>
      <c r="E662" t="str">
        <f>IFERROR(INDEX(Katalog!$B$3:$B$12,MATCH(cadangan3[[#This Row],[ItemID A]],Katalog!$C$3:$C$12,0)),"-")</f>
        <v>Sandal Slip On</v>
      </c>
      <c r="F662">
        <v>1</v>
      </c>
      <c r="G662">
        <v>4</v>
      </c>
      <c r="H662" s="36">
        <f>IFERROR(INDEX(Katalog!$D$3:$D$12,MATCH(cadangan3[[#This Row],[ItemID A]],Katalog!$C$3:$C$12,0))*cadangan3[[#This Row],[Qty A]],0)</f>
        <v>150000</v>
      </c>
      <c r="I662" s="36">
        <f>IFERROR(INDEX(Katalog!$D$3:$D$12,MATCH(cadangan3[[#This Row],[Item A]],Katalog!$B$3:$B$12,0))*cadangan3[[#This Row],[Qty A]],0)</f>
        <v>150000</v>
      </c>
      <c r="J662" s="36">
        <f>IFERROR(cadangan3[[#This Row],[Harga Asli A]]-(cadangan3[[#This Row],[Harga Asli A]]*cadangan3[[#This Row],[Diskon]]),cadangan3[[#This Row],[Harga Asli A]])</f>
        <v>135000</v>
      </c>
      <c r="K662" s="36">
        <f>INDEX(Katalog!$F$3:$F$12,MATCH(cadangan3[[#This Row],[ItemID A]],Katalog!$C$3:$C$12,0))*cadangan3[[#This Row],[Qty A]]</f>
        <v>60000</v>
      </c>
      <c r="L662" s="36">
        <f>IFERROR(cadangan3[[#This Row],[Profit A]]-(cadangan3[[#This Row],[Profit A]]*cadangan3[[#This Row],[Diskon]]),K662)</f>
        <v>54000</v>
      </c>
      <c r="M662" t="s">
        <v>63</v>
      </c>
      <c r="N662" t="str">
        <f>IFERROR(INDEX(Katalog!$A$3:$A$12,MATCH(cadangan3[[#This Row],[ItemID B]],Katalog!$C$3:$C$12,0)),"-")</f>
        <v>Pakaian Pria</v>
      </c>
      <c r="O662" t="str">
        <f>IFERROR(INDEX(Katalog!$B$3:$B$12,MATCH(cadangan3[[#This Row],[ItemID B]],Katalog!$C$3:$C$12,0)),"-")</f>
        <v>Jaket Jeans</v>
      </c>
      <c r="P662">
        <v>2</v>
      </c>
      <c r="Q662">
        <v>3</v>
      </c>
      <c r="R662" s="36">
        <f>IFERROR(INDEX(Katalog!$D$3:$D$12,MATCH(cadangan3[[#This Row],[ItemID B]],Katalog!$C$3:$C$12,0))*cadangan3[[#This Row],[Qty B]],0)</f>
        <v>800000</v>
      </c>
      <c r="S662" s="36">
        <f>IFERROR(INDEX(Katalog!$D$3:$D$12,MATCH(cadangan3[[#This Row],[Item B]],Katalog!$B$3:$B$12,0))*cadangan3[[#This Row],[Qty B]],0)</f>
        <v>800000</v>
      </c>
      <c r="T662" s="36">
        <f>IFERROR(cadangan3[[#This Row],[Harga Asli B]]-(cadangan3[[#This Row],[Harga Asli B]]*cadangan3[[#This Row],[Diskon]]),cadangan3[[#This Row],[Harga Asli B]])</f>
        <v>720000</v>
      </c>
      <c r="U662" s="36">
        <f>IFERROR(INDEX(Katalog!$F$3:$F$12,MATCH(cadangan3[[#This Row],[ItemID B]],Katalog!$C$3:$C$12,0))*cadangan3[[#This Row],[Qty B]],0)</f>
        <v>300000</v>
      </c>
      <c r="V662" s="36">
        <f>IFERROR(cadangan3[[#This Row],[Profit B]]-(cadangan3[[#This Row],[Profit B]]*cadangan3[[#This Row],[Diskon]]),U662)</f>
        <v>270000</v>
      </c>
      <c r="W662" t="s">
        <v>65</v>
      </c>
      <c r="X662" t="str">
        <f>IFERROR(INDEX(Katalog!$A$3:$A$12,MATCH(cadangan3[[#This Row],[ItemID C]],Katalog!$C$3:$C$12,0)),"-")</f>
        <v>Sepatu Pria</v>
      </c>
      <c r="Y662" t="str">
        <f>IFERROR(INDEX(Katalog!$B$3:$B$12,MATCH(cadangan3[[#This Row],[ItemID C]],Katalog!$C$3:$C$12,0)),"-")</f>
        <v>Sneakers</v>
      </c>
      <c r="Z662">
        <v>2</v>
      </c>
      <c r="AA662">
        <v>3</v>
      </c>
      <c r="AB662" s="36">
        <f>IFERROR(INDEX(Katalog!$D$3:$D$12,MATCH(cadangan3[[#This Row],[ItemID C]],Katalog!$C$3:$C$12,0))*cadangan3[[#This Row],[Qty C]],0)</f>
        <v>1000000</v>
      </c>
      <c r="AC662" s="36">
        <f>IFERROR(INDEX(Katalog!$D$3:$D$12,MATCH(cadangan3[[#This Row],[Item C]],Katalog!$B$3:$B$12,0))*cadangan3[[#This Row],[Qty C]],0)</f>
        <v>1000000</v>
      </c>
      <c r="AD662" s="36">
        <f>IFERROR(cadangan3[[#This Row],[Harga Asli C]]-(cadangan3[[#This Row],[Harga Asli C]]*cadangan3[[#This Row],[Diskon]]),cadangan3[[#This Row],[Harga Asli C]])</f>
        <v>900000</v>
      </c>
      <c r="AE662" s="36">
        <f>IFERROR(INDEX(Katalog!$F$3:$F$12,MATCH(cadangan3[[#This Row],[ItemID C]],Katalog!$C$3:$C$12,0))*cadangan3[[#This Row],[Qty C]],0)</f>
        <v>400000</v>
      </c>
      <c r="AF662" s="36">
        <f>IFERROR(cadangan3[[#This Row],[Profit C]]-(cadangan3[[#This Row],[Profit C]]*cadangan3[[#This Row],[Diskon]]),cadangan3[[#This Row],[Profit C]])</f>
        <v>360000</v>
      </c>
      <c r="AG662" s="21">
        <f>cadangan3[[#This Row],[Qty A]]+cadangan3[[#This Row],[Qty B]]+cadangan3[[#This Row],[Qty C]]</f>
        <v>5</v>
      </c>
      <c r="AH662" s="35">
        <f>cadangan3[[#This Row],[Harga A + Diskon]]+cadangan3[[#This Row],[Harga + Diskon B]]+cadangan3[[#This Row],[Harga + Diskon C]]</f>
        <v>1755000</v>
      </c>
      <c r="AI662" s="35">
        <f>(cadangan3[[#This Row],[Profit A]]+cadangan3[[#This Row],[Profit B]]+cadangan3[[#This Row],[Profit C]])</f>
        <v>760000</v>
      </c>
      <c r="AJ662" s="35">
        <f>cadangan3[[#This Row],[Provit A + Diskon]]+cadangan3[[#This Row],[Provit B + Diskon]]+cadangan3[[#This Row],[Provit C + Diskon]]</f>
        <v>684000</v>
      </c>
      <c r="AK662" s="23" t="s">
        <v>6</v>
      </c>
      <c r="AL662" s="37">
        <f>IFERROR(INDEX('Kode Diskon'!$D$3:$D$9,MATCH(cadangan3[[#This Row],[Kode diskon]],'Kode Diskon'!$C$3:$C$9,0)),"-")</f>
        <v>0.1</v>
      </c>
      <c r="AM662" s="23" t="s">
        <v>29</v>
      </c>
      <c r="AN662" s="23" t="s">
        <v>7</v>
      </c>
      <c r="AO662" s="23" t="s">
        <v>78</v>
      </c>
      <c r="AP662" s="24">
        <v>45022</v>
      </c>
      <c r="AQ662" s="23" t="str">
        <f>TEXT(cadangan3[[#This Row],[Tanggal terjual]],"dddd")</f>
        <v>Thursday</v>
      </c>
    </row>
    <row r="663" spans="1:43" x14ac:dyDescent="0.2">
      <c r="A663" s="20">
        <v>662</v>
      </c>
      <c r="B663" s="21" t="str">
        <f>_xlfn.CONCAT("ORD-",INDEX(Helper!$B$2:$B$5,MATCH(cadangan3[[#This Row],[Marketplace]],Helper!$A$2:$A$5,0)),TEXT(cadangan3[[#This Row],[No]],"0000"),"-",TEXT(cadangan3[[#This Row],[Tanggal terjual]],"dd/mm/yy"))</f>
        <v>ORD-SP0662-01/04/23</v>
      </c>
      <c r="C663" t="s">
        <v>60</v>
      </c>
      <c r="D663" t="str">
        <f>IFERROR(INDEX(Katalog!$A$3:$A$12,MATCH(cadangan3[[#This Row],[ItemID A]],Katalog!$C$3:$C$12,0)),"-")</f>
        <v>Pakaian Wanita</v>
      </c>
      <c r="E663" t="str">
        <f>IFERROR(INDEX(Katalog!$B$3:$B$12,MATCH(cadangan3[[#This Row],[ItemID A]],Katalog!$C$3:$C$12,0)),"-")</f>
        <v>Kaftan</v>
      </c>
      <c r="F663">
        <v>1</v>
      </c>
      <c r="G663">
        <v>5</v>
      </c>
      <c r="H663" s="36">
        <f>IFERROR(INDEX(Katalog!$D$3:$D$12,MATCH(cadangan3[[#This Row],[ItemID A]],Katalog!$C$3:$C$12,0))*cadangan3[[#This Row],[Qty A]],0)</f>
        <v>250000</v>
      </c>
      <c r="I663" s="36">
        <f>IFERROR(INDEX(Katalog!$D$3:$D$12,MATCH(cadangan3[[#This Row],[Item A]],Katalog!$B$3:$B$12,0))*cadangan3[[#This Row],[Qty A]],0)</f>
        <v>250000</v>
      </c>
      <c r="J663" s="36">
        <f>IFERROR(cadangan3[[#This Row],[Harga Asli A]]-(cadangan3[[#This Row],[Harga Asli A]]*cadangan3[[#This Row],[Diskon]]),cadangan3[[#This Row],[Harga Asli A]])</f>
        <v>212500</v>
      </c>
      <c r="K663" s="36">
        <f>INDEX(Katalog!$F$3:$F$12,MATCH(cadangan3[[#This Row],[ItemID A]],Katalog!$C$3:$C$12,0))*cadangan3[[#This Row],[Qty A]]</f>
        <v>100000</v>
      </c>
      <c r="L663" s="36">
        <f>IFERROR(cadangan3[[#This Row],[Profit A]]-(cadangan3[[#This Row],[Profit A]]*cadangan3[[#This Row],[Diskon]]),K663)</f>
        <v>85000</v>
      </c>
      <c r="M663" t="s">
        <v>64</v>
      </c>
      <c r="N663" t="str">
        <f>IFERROR(INDEX(Katalog!$A$3:$A$12,MATCH(cadangan3[[#This Row],[ItemID B]],Katalog!$C$3:$C$12,0)),"-")</f>
        <v>Pakaian Unisex</v>
      </c>
      <c r="O663" t="str">
        <f>IFERROR(INDEX(Katalog!$B$3:$B$12,MATCH(cadangan3[[#This Row],[ItemID B]],Katalog!$C$3:$C$12,0)),"-")</f>
        <v>Jaket Hoodie</v>
      </c>
      <c r="P663">
        <v>1</v>
      </c>
      <c r="Q663">
        <v>4</v>
      </c>
      <c r="R663" s="36">
        <f>IFERROR(INDEX(Katalog!$D$3:$D$12,MATCH(cadangan3[[#This Row],[ItemID B]],Katalog!$C$3:$C$12,0))*cadangan3[[#This Row],[Qty B]],0)</f>
        <v>350000</v>
      </c>
      <c r="S663" s="36">
        <f>IFERROR(INDEX(Katalog!$D$3:$D$12,MATCH(cadangan3[[#This Row],[Item B]],Katalog!$B$3:$B$12,0))*cadangan3[[#This Row],[Qty B]],0)</f>
        <v>350000</v>
      </c>
      <c r="T663" s="36">
        <f>IFERROR(cadangan3[[#This Row],[Harga Asli B]]-(cadangan3[[#This Row],[Harga Asli B]]*cadangan3[[#This Row],[Diskon]]),cadangan3[[#This Row],[Harga Asli B]])</f>
        <v>297500</v>
      </c>
      <c r="U663" s="36">
        <f>IFERROR(INDEX(Katalog!$F$3:$F$12,MATCH(cadangan3[[#This Row],[ItemID B]],Katalog!$C$3:$C$12,0))*cadangan3[[#This Row],[Qty B]],0)</f>
        <v>130000</v>
      </c>
      <c r="V663" s="36">
        <f>IFERROR(cadangan3[[#This Row],[Profit B]]-(cadangan3[[#This Row],[Profit B]]*cadangan3[[#This Row],[Diskon]]),U663)</f>
        <v>110500</v>
      </c>
      <c r="X663" t="str">
        <f>IFERROR(INDEX(Katalog!$A$3:$A$12,MATCH(cadangan3[[#This Row],[ItemID C]],Katalog!$C$3:$C$12,0)),"-")</f>
        <v>-</v>
      </c>
      <c r="Y663" t="str">
        <f>IFERROR(INDEX(Katalog!$B$3:$B$12,MATCH(cadangan3[[#This Row],[ItemID C]],Katalog!$C$3:$C$12,0)),"-")</f>
        <v>-</v>
      </c>
      <c r="AB663" s="36">
        <f>IFERROR(INDEX(Katalog!$D$3:$D$12,MATCH(cadangan3[[#This Row],[ItemID C]],Katalog!$C$3:$C$12,0))*cadangan3[[#This Row],[Qty C]],0)</f>
        <v>0</v>
      </c>
      <c r="AC663" s="36">
        <f>IFERROR(INDEX(Katalog!$D$3:$D$12,MATCH(cadangan3[[#This Row],[Item C]],Katalog!$B$3:$B$12,0))*cadangan3[[#This Row],[Qty C]],0)</f>
        <v>0</v>
      </c>
      <c r="AD663" s="36">
        <f>IFERROR(cadangan3[[#This Row],[Harga Asli C]]-(cadangan3[[#This Row],[Harga Asli C]]*cadangan3[[#This Row],[Diskon]]),cadangan3[[#This Row],[Harga Asli C]])</f>
        <v>0</v>
      </c>
      <c r="AE663" s="36">
        <f>IFERROR(INDEX(Katalog!$F$3:$F$12,MATCH(cadangan3[[#This Row],[ItemID C]],Katalog!$C$3:$C$12,0))*cadangan3[[#This Row],[Qty C]],0)</f>
        <v>0</v>
      </c>
      <c r="AF663" s="36">
        <f>IFERROR(cadangan3[[#This Row],[Profit C]]-(cadangan3[[#This Row],[Profit C]]*cadangan3[[#This Row],[Diskon]]),cadangan3[[#This Row],[Profit C]])</f>
        <v>0</v>
      </c>
      <c r="AG663" s="21">
        <f>cadangan3[[#This Row],[Qty A]]+cadangan3[[#This Row],[Qty B]]+cadangan3[[#This Row],[Qty C]]</f>
        <v>2</v>
      </c>
      <c r="AH663" s="35">
        <f>cadangan3[[#This Row],[Harga A + Diskon]]+cadangan3[[#This Row],[Harga + Diskon B]]+cadangan3[[#This Row],[Harga + Diskon C]]</f>
        <v>510000</v>
      </c>
      <c r="AI663" s="35">
        <f>(cadangan3[[#This Row],[Profit A]]+cadangan3[[#This Row],[Profit B]]+cadangan3[[#This Row],[Profit C]])</f>
        <v>230000</v>
      </c>
      <c r="AJ663" s="35">
        <f>cadangan3[[#This Row],[Provit A + Diskon]]+cadangan3[[#This Row],[Provit B + Diskon]]+cadangan3[[#This Row],[Provit C + Diskon]]</f>
        <v>195500</v>
      </c>
      <c r="AK663" s="23" t="s">
        <v>13</v>
      </c>
      <c r="AL663" s="37">
        <f>IFERROR(INDEX('Kode Diskon'!$D$3:$D$9,MATCH(cadangan3[[#This Row],[Kode diskon]],'Kode Diskon'!$C$3:$C$9,0)),"-")</f>
        <v>0.15</v>
      </c>
      <c r="AM663" s="23" t="s">
        <v>29</v>
      </c>
      <c r="AN663" s="23" t="s">
        <v>7</v>
      </c>
      <c r="AO663" s="23" t="s">
        <v>75</v>
      </c>
      <c r="AP663" s="24">
        <v>45017</v>
      </c>
      <c r="AQ663" s="23" t="str">
        <f>TEXT(cadangan3[[#This Row],[Tanggal terjual]],"dddd")</f>
        <v>Saturday</v>
      </c>
    </row>
    <row r="664" spans="1:43" x14ac:dyDescent="0.2">
      <c r="A664" s="20">
        <v>663</v>
      </c>
      <c r="B664" s="21" t="str">
        <f>_xlfn.CONCAT("ORD-",INDEX(Helper!$B$2:$B$5,MATCH(cadangan3[[#This Row],[Marketplace]],Helper!$A$2:$A$5,0)),TEXT(cadangan3[[#This Row],[No]],"0000"),"-",TEXT(cadangan3[[#This Row],[Tanggal terjual]],"dd/mm/yy"))</f>
        <v>ORD-TK0663-21/04/23</v>
      </c>
      <c r="C664" t="s">
        <v>66</v>
      </c>
      <c r="D664" t="str">
        <f>IFERROR(INDEX(Katalog!$A$3:$A$12,MATCH(cadangan3[[#This Row],[ItemID A]],Katalog!$C$3:$C$12,0)),"-")</f>
        <v>Sepatu Pria</v>
      </c>
      <c r="E664" t="str">
        <f>IFERROR(INDEX(Katalog!$B$3:$B$12,MATCH(cadangan3[[#This Row],[ItemID A]],Katalog!$C$3:$C$12,0)),"-")</f>
        <v>Sandal Slip On</v>
      </c>
      <c r="F664">
        <v>3</v>
      </c>
      <c r="G664">
        <v>4</v>
      </c>
      <c r="H664" s="36">
        <f>IFERROR(INDEX(Katalog!$D$3:$D$12,MATCH(cadangan3[[#This Row],[ItemID A]],Katalog!$C$3:$C$12,0))*cadangan3[[#This Row],[Qty A]],0)</f>
        <v>450000</v>
      </c>
      <c r="I664" s="36">
        <f>IFERROR(INDEX(Katalog!$D$3:$D$12,MATCH(cadangan3[[#This Row],[Item A]],Katalog!$B$3:$B$12,0))*cadangan3[[#This Row],[Qty A]],0)</f>
        <v>450000</v>
      </c>
      <c r="J664" s="36">
        <f>IFERROR(cadangan3[[#This Row],[Harga Asli A]]-(cadangan3[[#This Row],[Harga Asli A]]*cadangan3[[#This Row],[Diskon]]),cadangan3[[#This Row],[Harga Asli A]])</f>
        <v>405000</v>
      </c>
      <c r="K664" s="36">
        <f>INDEX(Katalog!$F$3:$F$12,MATCH(cadangan3[[#This Row],[ItemID A]],Katalog!$C$3:$C$12,0))*cadangan3[[#This Row],[Qty A]]</f>
        <v>180000</v>
      </c>
      <c r="L664" s="36">
        <f>IFERROR(cadangan3[[#This Row],[Profit A]]-(cadangan3[[#This Row],[Profit A]]*cadangan3[[#This Row],[Diskon]]),K664)</f>
        <v>162000</v>
      </c>
      <c r="M664" t="s">
        <v>63</v>
      </c>
      <c r="N664" t="str">
        <f>IFERROR(INDEX(Katalog!$A$3:$A$12,MATCH(cadangan3[[#This Row],[ItemID B]],Katalog!$C$3:$C$12,0)),"-")</f>
        <v>Pakaian Pria</v>
      </c>
      <c r="O664" t="str">
        <f>IFERROR(INDEX(Katalog!$B$3:$B$12,MATCH(cadangan3[[#This Row],[ItemID B]],Katalog!$C$3:$C$12,0)),"-")</f>
        <v>Jaket Jeans</v>
      </c>
      <c r="P664">
        <v>1</v>
      </c>
      <c r="Q664">
        <v>2</v>
      </c>
      <c r="R664" s="36">
        <f>IFERROR(INDEX(Katalog!$D$3:$D$12,MATCH(cadangan3[[#This Row],[ItemID B]],Katalog!$C$3:$C$12,0))*cadangan3[[#This Row],[Qty B]],0)</f>
        <v>400000</v>
      </c>
      <c r="S664" s="36">
        <f>IFERROR(INDEX(Katalog!$D$3:$D$12,MATCH(cadangan3[[#This Row],[Item B]],Katalog!$B$3:$B$12,0))*cadangan3[[#This Row],[Qty B]],0)</f>
        <v>400000</v>
      </c>
      <c r="T664" s="36">
        <f>IFERROR(cadangan3[[#This Row],[Harga Asli B]]-(cadangan3[[#This Row],[Harga Asli B]]*cadangan3[[#This Row],[Diskon]]),cadangan3[[#This Row],[Harga Asli B]])</f>
        <v>360000</v>
      </c>
      <c r="U664" s="36">
        <f>IFERROR(INDEX(Katalog!$F$3:$F$12,MATCH(cadangan3[[#This Row],[ItemID B]],Katalog!$C$3:$C$12,0))*cadangan3[[#This Row],[Qty B]],0)</f>
        <v>150000</v>
      </c>
      <c r="V664" s="36">
        <f>IFERROR(cadangan3[[#This Row],[Profit B]]-(cadangan3[[#This Row],[Profit B]]*cadangan3[[#This Row],[Diskon]]),U664)</f>
        <v>135000</v>
      </c>
      <c r="X664" t="str">
        <f>IFERROR(INDEX(Katalog!$A$3:$A$12,MATCH(cadangan3[[#This Row],[ItemID C]],Katalog!$C$3:$C$12,0)),"-")</f>
        <v>-</v>
      </c>
      <c r="Y664" t="str">
        <f>IFERROR(INDEX(Katalog!$B$3:$B$12,MATCH(cadangan3[[#This Row],[ItemID C]],Katalog!$C$3:$C$12,0)),"-")</f>
        <v>-</v>
      </c>
      <c r="AB664" s="36">
        <f>IFERROR(INDEX(Katalog!$D$3:$D$12,MATCH(cadangan3[[#This Row],[ItemID C]],Katalog!$C$3:$C$12,0))*cadangan3[[#This Row],[Qty C]],0)</f>
        <v>0</v>
      </c>
      <c r="AC664" s="36">
        <f>IFERROR(INDEX(Katalog!$D$3:$D$12,MATCH(cadangan3[[#This Row],[Item C]],Katalog!$B$3:$B$12,0))*cadangan3[[#This Row],[Qty C]],0)</f>
        <v>0</v>
      </c>
      <c r="AD664" s="36">
        <f>IFERROR(cadangan3[[#This Row],[Harga Asli C]]-(cadangan3[[#This Row],[Harga Asli C]]*cadangan3[[#This Row],[Diskon]]),cadangan3[[#This Row],[Harga Asli C]])</f>
        <v>0</v>
      </c>
      <c r="AE664" s="36">
        <f>IFERROR(INDEX(Katalog!$F$3:$F$12,MATCH(cadangan3[[#This Row],[ItemID C]],Katalog!$C$3:$C$12,0))*cadangan3[[#This Row],[Qty C]],0)</f>
        <v>0</v>
      </c>
      <c r="AF664" s="36">
        <f>IFERROR(cadangan3[[#This Row],[Profit C]]-(cadangan3[[#This Row],[Profit C]]*cadangan3[[#This Row],[Diskon]]),cadangan3[[#This Row],[Profit C]])</f>
        <v>0</v>
      </c>
      <c r="AG664" s="21">
        <f>cadangan3[[#This Row],[Qty A]]+cadangan3[[#This Row],[Qty B]]+cadangan3[[#This Row],[Qty C]]</f>
        <v>4</v>
      </c>
      <c r="AH664" s="35">
        <f>cadangan3[[#This Row],[Harga A + Diskon]]+cadangan3[[#This Row],[Harga + Diskon B]]+cadangan3[[#This Row],[Harga + Diskon C]]</f>
        <v>765000</v>
      </c>
      <c r="AI664" s="35">
        <f>(cadangan3[[#This Row],[Profit A]]+cadangan3[[#This Row],[Profit B]]+cadangan3[[#This Row],[Profit C]])</f>
        <v>330000</v>
      </c>
      <c r="AJ664" s="35">
        <f>cadangan3[[#This Row],[Provit A + Diskon]]+cadangan3[[#This Row],[Provit B + Diskon]]+cadangan3[[#This Row],[Provit C + Diskon]]</f>
        <v>297000</v>
      </c>
      <c r="AK664" s="23" t="s">
        <v>31</v>
      </c>
      <c r="AL664" s="37">
        <f>IFERROR(INDEX('Kode Diskon'!$D$3:$D$9,MATCH(cadangan3[[#This Row],[Kode diskon]],'Kode Diskon'!$C$3:$C$9,0)),"-")</f>
        <v>0.1</v>
      </c>
      <c r="AM664" s="23" t="s">
        <v>9</v>
      </c>
      <c r="AN664" s="23" t="s">
        <v>10</v>
      </c>
      <c r="AO664" s="23" t="s">
        <v>80</v>
      </c>
      <c r="AP664" s="24">
        <v>45037</v>
      </c>
      <c r="AQ664" s="23" t="str">
        <f>TEXT(cadangan3[[#This Row],[Tanggal terjual]],"dddd")</f>
        <v>Friday</v>
      </c>
    </row>
    <row r="665" spans="1:43" x14ac:dyDescent="0.2">
      <c r="A665" s="20">
        <v>664</v>
      </c>
      <c r="B665" s="21" t="str">
        <f>_xlfn.CONCAT("ORD-",INDEX(Helper!$B$2:$B$5,MATCH(cadangan3[[#This Row],[Marketplace]],Helper!$A$2:$A$5,0)),TEXT(cadangan3[[#This Row],[No]],"0000"),"-",TEXT(cadangan3[[#This Row],[Tanggal terjual]],"dd/mm/yy"))</f>
        <v>ORD-TK0664-26/04/23</v>
      </c>
      <c r="C665" t="s">
        <v>63</v>
      </c>
      <c r="D665" t="str">
        <f>IFERROR(INDEX(Katalog!$A$3:$A$12,MATCH(cadangan3[[#This Row],[ItemID A]],Katalog!$C$3:$C$12,0)),"-")</f>
        <v>Pakaian Pria</v>
      </c>
      <c r="E665" t="str">
        <f>IFERROR(INDEX(Katalog!$B$3:$B$12,MATCH(cadangan3[[#This Row],[ItemID A]],Katalog!$C$3:$C$12,0)),"-")</f>
        <v>Jaket Jeans</v>
      </c>
      <c r="F665">
        <v>1</v>
      </c>
      <c r="G665">
        <v>1</v>
      </c>
      <c r="H665" s="36">
        <f>IFERROR(INDEX(Katalog!$D$3:$D$12,MATCH(cadangan3[[#This Row],[ItemID A]],Katalog!$C$3:$C$12,0))*cadangan3[[#This Row],[Qty A]],0)</f>
        <v>400000</v>
      </c>
      <c r="I665" s="36">
        <f>IFERROR(INDEX(Katalog!$D$3:$D$12,MATCH(cadangan3[[#This Row],[Item A]],Katalog!$B$3:$B$12,0))*cadangan3[[#This Row],[Qty A]],0)</f>
        <v>400000</v>
      </c>
      <c r="J665" s="36">
        <f>IFERROR(cadangan3[[#This Row],[Harga Asli A]]-(cadangan3[[#This Row],[Harga Asli A]]*cadangan3[[#This Row],[Diskon]]),cadangan3[[#This Row],[Harga Asli A]])</f>
        <v>360000</v>
      </c>
      <c r="K665" s="36">
        <f>INDEX(Katalog!$F$3:$F$12,MATCH(cadangan3[[#This Row],[ItemID A]],Katalog!$C$3:$C$12,0))*cadangan3[[#This Row],[Qty A]]</f>
        <v>150000</v>
      </c>
      <c r="L665" s="36">
        <f>IFERROR(cadangan3[[#This Row],[Profit A]]-(cadangan3[[#This Row],[Profit A]]*cadangan3[[#This Row],[Diskon]]),K665)</f>
        <v>135000</v>
      </c>
      <c r="M665" t="s">
        <v>58</v>
      </c>
      <c r="N665" t="str">
        <f>IFERROR(INDEX(Katalog!$A$3:$A$12,MATCH(cadangan3[[#This Row],[ItemID B]],Katalog!$C$3:$C$12,0)),"-")</f>
        <v>Pakaian Wanita</v>
      </c>
      <c r="O665" t="str">
        <f>IFERROR(INDEX(Katalog!$B$3:$B$12,MATCH(cadangan3[[#This Row],[ItemID B]],Katalog!$C$3:$C$12,0)),"-")</f>
        <v>Dress</v>
      </c>
      <c r="P665">
        <v>3</v>
      </c>
      <c r="Q665">
        <v>4</v>
      </c>
      <c r="R665" s="36">
        <f>IFERROR(INDEX(Katalog!$D$3:$D$12,MATCH(cadangan3[[#This Row],[ItemID B]],Katalog!$C$3:$C$12,0))*cadangan3[[#This Row],[Qty B]],0)</f>
        <v>900000</v>
      </c>
      <c r="S665" s="36">
        <f>IFERROR(INDEX(Katalog!$D$3:$D$12,MATCH(cadangan3[[#This Row],[Item B]],Katalog!$B$3:$B$12,0))*cadangan3[[#This Row],[Qty B]],0)</f>
        <v>900000</v>
      </c>
      <c r="T665" s="36">
        <f>IFERROR(cadangan3[[#This Row],[Harga Asli B]]-(cadangan3[[#This Row],[Harga Asli B]]*cadangan3[[#This Row],[Diskon]]),cadangan3[[#This Row],[Harga Asli B]])</f>
        <v>810000</v>
      </c>
      <c r="U665" s="36">
        <f>IFERROR(INDEX(Katalog!$F$3:$F$12,MATCH(cadangan3[[#This Row],[ItemID B]],Katalog!$C$3:$C$12,0))*cadangan3[[#This Row],[Qty B]],0)</f>
        <v>300000</v>
      </c>
      <c r="V665" s="36">
        <f>IFERROR(cadangan3[[#This Row],[Profit B]]-(cadangan3[[#This Row],[Profit B]]*cadangan3[[#This Row],[Diskon]]),U665)</f>
        <v>270000</v>
      </c>
      <c r="W665" t="s">
        <v>62</v>
      </c>
      <c r="X665" t="str">
        <f>IFERROR(INDEX(Katalog!$A$3:$A$12,MATCH(cadangan3[[#This Row],[ItemID C]],Katalog!$C$3:$C$12,0)),"-")</f>
        <v>Pakaian Pria</v>
      </c>
      <c r="Y665" t="str">
        <f>IFERROR(INDEX(Katalog!$B$3:$B$12,MATCH(cadangan3[[#This Row],[ItemID C]],Katalog!$C$3:$C$12,0)),"-")</f>
        <v>Celana Pendek</v>
      </c>
      <c r="Z665">
        <v>1</v>
      </c>
      <c r="AA665">
        <v>3</v>
      </c>
      <c r="AB665" s="36">
        <f>IFERROR(INDEX(Katalog!$D$3:$D$12,MATCH(cadangan3[[#This Row],[ItemID C]],Katalog!$C$3:$C$12,0))*cadangan3[[#This Row],[Qty C]],0)</f>
        <v>180000</v>
      </c>
      <c r="AC665" s="36">
        <f>IFERROR(INDEX(Katalog!$D$3:$D$12,MATCH(cadangan3[[#This Row],[Item C]],Katalog!$B$3:$B$12,0))*cadangan3[[#This Row],[Qty C]],0)</f>
        <v>180000</v>
      </c>
      <c r="AD665" s="36">
        <f>IFERROR(cadangan3[[#This Row],[Harga Asli C]]-(cadangan3[[#This Row],[Harga Asli C]]*cadangan3[[#This Row],[Diskon]]),cadangan3[[#This Row],[Harga Asli C]])</f>
        <v>162000</v>
      </c>
      <c r="AE665" s="36">
        <f>IFERROR(INDEX(Katalog!$F$3:$F$12,MATCH(cadangan3[[#This Row],[ItemID C]],Katalog!$C$3:$C$12,0))*cadangan3[[#This Row],[Qty C]],0)</f>
        <v>70000</v>
      </c>
      <c r="AF665" s="36">
        <f>IFERROR(cadangan3[[#This Row],[Profit C]]-(cadangan3[[#This Row],[Profit C]]*cadangan3[[#This Row],[Diskon]]),cadangan3[[#This Row],[Profit C]])</f>
        <v>63000</v>
      </c>
      <c r="AG665" s="21">
        <f>cadangan3[[#This Row],[Qty A]]+cadangan3[[#This Row],[Qty B]]+cadangan3[[#This Row],[Qty C]]</f>
        <v>5</v>
      </c>
      <c r="AH665" s="35">
        <f>cadangan3[[#This Row],[Harga A + Diskon]]+cadangan3[[#This Row],[Harga + Diskon B]]+cadangan3[[#This Row],[Harga + Diskon C]]</f>
        <v>1332000</v>
      </c>
      <c r="AI665" s="35">
        <f>(cadangan3[[#This Row],[Profit A]]+cadangan3[[#This Row],[Profit B]]+cadangan3[[#This Row],[Profit C]])</f>
        <v>520000</v>
      </c>
      <c r="AJ665" s="35">
        <f>cadangan3[[#This Row],[Provit A + Diskon]]+cadangan3[[#This Row],[Provit B + Diskon]]+cadangan3[[#This Row],[Provit C + Diskon]]</f>
        <v>468000</v>
      </c>
      <c r="AK665" s="23" t="s">
        <v>31</v>
      </c>
      <c r="AL665" s="37">
        <f>IFERROR(INDEX('Kode Diskon'!$D$3:$D$9,MATCH(cadangan3[[#This Row],[Kode diskon]],'Kode Diskon'!$C$3:$C$9,0)),"-")</f>
        <v>0.1</v>
      </c>
      <c r="AM665" s="23" t="s">
        <v>9</v>
      </c>
      <c r="AN665" s="23" t="s">
        <v>10</v>
      </c>
      <c r="AO665" s="23" t="s">
        <v>76</v>
      </c>
      <c r="AP665" s="24">
        <v>45042</v>
      </c>
      <c r="AQ665" s="23" t="str">
        <f>TEXT(cadangan3[[#This Row],[Tanggal terjual]],"dddd")</f>
        <v>Wednesday</v>
      </c>
    </row>
    <row r="666" spans="1:43" x14ac:dyDescent="0.2">
      <c r="A666" s="20">
        <v>665</v>
      </c>
      <c r="B666" s="21" t="str">
        <f>_xlfn.CONCAT("ORD-",INDEX(Helper!$B$2:$B$5,MATCH(cadangan3[[#This Row],[Marketplace]],Helper!$A$2:$A$5,0)),TEXT(cadangan3[[#This Row],[No]],"0000"),"-",TEXT(cadangan3[[#This Row],[Tanggal terjual]],"dd/mm/yy"))</f>
        <v>ORD-SP0665-02/04/23</v>
      </c>
      <c r="C666" t="s">
        <v>63</v>
      </c>
      <c r="D666" t="str">
        <f>IFERROR(INDEX(Katalog!$A$3:$A$12,MATCH(cadangan3[[#This Row],[ItemID A]],Katalog!$C$3:$C$12,0)),"-")</f>
        <v>Pakaian Pria</v>
      </c>
      <c r="E666" t="str">
        <f>IFERROR(INDEX(Katalog!$B$3:$B$12,MATCH(cadangan3[[#This Row],[ItemID A]],Katalog!$C$3:$C$12,0)),"-")</f>
        <v>Jaket Jeans</v>
      </c>
      <c r="F666">
        <v>2</v>
      </c>
      <c r="G666">
        <v>5</v>
      </c>
      <c r="H666" s="36">
        <f>IFERROR(INDEX(Katalog!$D$3:$D$12,MATCH(cadangan3[[#This Row],[ItemID A]],Katalog!$C$3:$C$12,0))*cadangan3[[#This Row],[Qty A]],0)</f>
        <v>800000</v>
      </c>
      <c r="I666" s="36">
        <f>IFERROR(INDEX(Katalog!$D$3:$D$12,MATCH(cadangan3[[#This Row],[Item A]],Katalog!$B$3:$B$12,0))*cadangan3[[#This Row],[Qty A]],0)</f>
        <v>800000</v>
      </c>
      <c r="J666" s="36">
        <f>IFERROR(cadangan3[[#This Row],[Harga Asli A]]-(cadangan3[[#This Row],[Harga Asli A]]*cadangan3[[#This Row],[Diskon]]),cadangan3[[#This Row],[Harga Asli A]])</f>
        <v>680000</v>
      </c>
      <c r="K666" s="36">
        <f>INDEX(Katalog!$F$3:$F$12,MATCH(cadangan3[[#This Row],[ItemID A]],Katalog!$C$3:$C$12,0))*cadangan3[[#This Row],[Qty A]]</f>
        <v>300000</v>
      </c>
      <c r="L666" s="36">
        <f>IFERROR(cadangan3[[#This Row],[Profit A]]-(cadangan3[[#This Row],[Profit A]]*cadangan3[[#This Row],[Diskon]]),K666)</f>
        <v>255000</v>
      </c>
      <c r="M666" t="s">
        <v>62</v>
      </c>
      <c r="N666" t="str">
        <f>IFERROR(INDEX(Katalog!$A$3:$A$12,MATCH(cadangan3[[#This Row],[ItemID B]],Katalog!$C$3:$C$12,0)),"-")</f>
        <v>Pakaian Pria</v>
      </c>
      <c r="O666" t="str">
        <f>IFERROR(INDEX(Katalog!$B$3:$B$12,MATCH(cadangan3[[#This Row],[ItemID B]],Katalog!$C$3:$C$12,0)),"-")</f>
        <v>Celana Pendek</v>
      </c>
      <c r="P666">
        <v>2</v>
      </c>
      <c r="Q666">
        <v>4</v>
      </c>
      <c r="R666" s="36">
        <f>IFERROR(INDEX(Katalog!$D$3:$D$12,MATCH(cadangan3[[#This Row],[ItemID B]],Katalog!$C$3:$C$12,0))*cadangan3[[#This Row],[Qty B]],0)</f>
        <v>360000</v>
      </c>
      <c r="S666" s="36">
        <f>IFERROR(INDEX(Katalog!$D$3:$D$12,MATCH(cadangan3[[#This Row],[Item B]],Katalog!$B$3:$B$12,0))*cadangan3[[#This Row],[Qty B]],0)</f>
        <v>360000</v>
      </c>
      <c r="T666" s="36">
        <f>IFERROR(cadangan3[[#This Row],[Harga Asli B]]-(cadangan3[[#This Row],[Harga Asli B]]*cadangan3[[#This Row],[Diskon]]),cadangan3[[#This Row],[Harga Asli B]])</f>
        <v>306000</v>
      </c>
      <c r="U666" s="36">
        <f>IFERROR(INDEX(Katalog!$F$3:$F$12,MATCH(cadangan3[[#This Row],[ItemID B]],Katalog!$C$3:$C$12,0))*cadangan3[[#This Row],[Qty B]],0)</f>
        <v>140000</v>
      </c>
      <c r="V666" s="36">
        <f>IFERROR(cadangan3[[#This Row],[Profit B]]-(cadangan3[[#This Row],[Profit B]]*cadangan3[[#This Row],[Diskon]]),U666)</f>
        <v>119000</v>
      </c>
      <c r="W666" t="s">
        <v>67</v>
      </c>
      <c r="X666" t="str">
        <f>IFERROR(INDEX(Katalog!$A$3:$A$12,MATCH(cadangan3[[#This Row],[ItemID C]],Katalog!$C$3:$C$12,0)),"-")</f>
        <v>Sepatu Wanita</v>
      </c>
      <c r="Y666" t="str">
        <f>IFERROR(INDEX(Katalog!$B$3:$B$12,MATCH(cadangan3[[#This Row],[ItemID C]],Katalog!$C$3:$C$12,0)),"-")</f>
        <v>Flat Shoes</v>
      </c>
      <c r="Z666">
        <v>1</v>
      </c>
      <c r="AA666">
        <v>5</v>
      </c>
      <c r="AB666" s="36">
        <f>IFERROR(INDEX(Katalog!$D$3:$D$12,MATCH(cadangan3[[#This Row],[ItemID C]],Katalog!$C$3:$C$12,0))*cadangan3[[#This Row],[Qty C]],0)</f>
        <v>250000</v>
      </c>
      <c r="AC666" s="36">
        <f>IFERROR(INDEX(Katalog!$D$3:$D$12,MATCH(cadangan3[[#This Row],[Item C]],Katalog!$B$3:$B$12,0))*cadangan3[[#This Row],[Qty C]],0)</f>
        <v>250000</v>
      </c>
      <c r="AD666" s="36">
        <f>IFERROR(cadangan3[[#This Row],[Harga Asli C]]-(cadangan3[[#This Row],[Harga Asli C]]*cadangan3[[#This Row],[Diskon]]),cadangan3[[#This Row],[Harga Asli C]])</f>
        <v>212500</v>
      </c>
      <c r="AE666" s="36">
        <f>IFERROR(INDEX(Katalog!$F$3:$F$12,MATCH(cadangan3[[#This Row],[ItemID C]],Katalog!$C$3:$C$12,0))*cadangan3[[#This Row],[Qty C]],0)</f>
        <v>100000</v>
      </c>
      <c r="AF666" s="36">
        <f>IFERROR(cadangan3[[#This Row],[Profit C]]-(cadangan3[[#This Row],[Profit C]]*cadangan3[[#This Row],[Diskon]]),cadangan3[[#This Row],[Profit C]])</f>
        <v>85000</v>
      </c>
      <c r="AG666" s="21">
        <f>cadangan3[[#This Row],[Qty A]]+cadangan3[[#This Row],[Qty B]]+cadangan3[[#This Row],[Qty C]]</f>
        <v>5</v>
      </c>
      <c r="AH666" s="35">
        <f>cadangan3[[#This Row],[Harga A + Diskon]]+cadangan3[[#This Row],[Harga + Diskon B]]+cadangan3[[#This Row],[Harga + Diskon C]]</f>
        <v>1198500</v>
      </c>
      <c r="AI666" s="35">
        <f>(cadangan3[[#This Row],[Profit A]]+cadangan3[[#This Row],[Profit B]]+cadangan3[[#This Row],[Profit C]])</f>
        <v>540000</v>
      </c>
      <c r="AJ666" s="35">
        <f>cadangan3[[#This Row],[Provit A + Diskon]]+cadangan3[[#This Row],[Provit B + Diskon]]+cadangan3[[#This Row],[Provit C + Diskon]]</f>
        <v>459000</v>
      </c>
      <c r="AK666" s="23" t="s">
        <v>13</v>
      </c>
      <c r="AL666" s="37">
        <f>IFERROR(INDEX('Kode Diskon'!$D$3:$D$9,MATCH(cadangan3[[#This Row],[Kode diskon]],'Kode Diskon'!$C$3:$C$9,0)),"-")</f>
        <v>0.15</v>
      </c>
      <c r="AM666" s="23" t="s">
        <v>29</v>
      </c>
      <c r="AN666" s="23" t="s">
        <v>7</v>
      </c>
      <c r="AO666" s="23" t="s">
        <v>80</v>
      </c>
      <c r="AP666" s="24">
        <v>45018</v>
      </c>
      <c r="AQ666" s="23" t="str">
        <f>TEXT(cadangan3[[#This Row],[Tanggal terjual]],"dddd")</f>
        <v>Sunday</v>
      </c>
    </row>
    <row r="667" spans="1:43" x14ac:dyDescent="0.2">
      <c r="A667" s="20">
        <v>666</v>
      </c>
      <c r="B667" s="21" t="str">
        <f>_xlfn.CONCAT("ORD-",INDEX(Helper!$B$2:$B$5,MATCH(cadangan3[[#This Row],[Marketplace]],Helper!$A$2:$A$5,0)),TEXT(cadangan3[[#This Row],[No]],"0000"),"-",TEXT(cadangan3[[#This Row],[Tanggal terjual]],"dd/mm/yy"))</f>
        <v>ORD-SP0666-11/04/23</v>
      </c>
      <c r="C667" t="s">
        <v>66</v>
      </c>
      <c r="D667" t="str">
        <f>IFERROR(INDEX(Katalog!$A$3:$A$12,MATCH(cadangan3[[#This Row],[ItemID A]],Katalog!$C$3:$C$12,0)),"-")</f>
        <v>Sepatu Pria</v>
      </c>
      <c r="E667" t="str">
        <f>IFERROR(INDEX(Katalog!$B$3:$B$12,MATCH(cadangan3[[#This Row],[ItemID A]],Katalog!$C$3:$C$12,0)),"-")</f>
        <v>Sandal Slip On</v>
      </c>
      <c r="F667">
        <v>6</v>
      </c>
      <c r="G667">
        <v>1</v>
      </c>
      <c r="H667" s="36">
        <f>IFERROR(INDEX(Katalog!$D$3:$D$12,MATCH(cadangan3[[#This Row],[ItemID A]],Katalog!$C$3:$C$12,0))*cadangan3[[#This Row],[Qty A]],0)</f>
        <v>900000</v>
      </c>
      <c r="I667" s="36">
        <f>IFERROR(INDEX(Katalog!$D$3:$D$12,MATCH(cadangan3[[#This Row],[Item A]],Katalog!$B$3:$B$12,0))*cadangan3[[#This Row],[Qty A]],0)</f>
        <v>900000</v>
      </c>
      <c r="J667" s="36">
        <f>IFERROR(cadangan3[[#This Row],[Harga Asli A]]-(cadangan3[[#This Row],[Harga Asli A]]*cadangan3[[#This Row],[Diskon]]),cadangan3[[#This Row],[Harga Asli A]])</f>
        <v>900000</v>
      </c>
      <c r="K667" s="36">
        <f>INDEX(Katalog!$F$3:$F$12,MATCH(cadangan3[[#This Row],[ItemID A]],Katalog!$C$3:$C$12,0))*cadangan3[[#This Row],[Qty A]]</f>
        <v>360000</v>
      </c>
      <c r="L667" s="36">
        <f>IFERROR(cadangan3[[#This Row],[Profit A]]-(cadangan3[[#This Row],[Profit A]]*cadangan3[[#This Row],[Diskon]]),K667)</f>
        <v>360000</v>
      </c>
      <c r="N667" t="str">
        <f>IFERROR(INDEX(Katalog!$A$3:$A$12,MATCH(cadangan3[[#This Row],[ItemID B]],Katalog!$C$3:$C$12,0)),"-")</f>
        <v>-</v>
      </c>
      <c r="O667" t="str">
        <f>IFERROR(INDEX(Katalog!$B$3:$B$12,MATCH(cadangan3[[#This Row],[ItemID B]],Katalog!$C$3:$C$12,0)),"-")</f>
        <v>-</v>
      </c>
      <c r="R667" s="36">
        <f>IFERROR(INDEX(Katalog!$D$3:$D$12,MATCH(cadangan3[[#This Row],[ItemID B]],Katalog!$C$3:$C$12,0))*cadangan3[[#This Row],[Qty B]],0)</f>
        <v>0</v>
      </c>
      <c r="S667" s="36">
        <f>IFERROR(INDEX(Katalog!$D$3:$D$12,MATCH(cadangan3[[#This Row],[Item B]],Katalog!$B$3:$B$12,0))*cadangan3[[#This Row],[Qty B]],0)</f>
        <v>0</v>
      </c>
      <c r="T667" s="36">
        <f>IFERROR(cadangan3[[#This Row],[Harga Asli B]]-(cadangan3[[#This Row],[Harga Asli B]]*cadangan3[[#This Row],[Diskon]]),cadangan3[[#This Row],[Harga Asli B]])</f>
        <v>0</v>
      </c>
      <c r="U667" s="36">
        <f>IFERROR(INDEX(Katalog!$F$3:$F$12,MATCH(cadangan3[[#This Row],[ItemID B]],Katalog!$C$3:$C$12,0))*cadangan3[[#This Row],[Qty B]],0)</f>
        <v>0</v>
      </c>
      <c r="V667" s="36">
        <f>IFERROR(cadangan3[[#This Row],[Profit B]]-(cadangan3[[#This Row],[Profit B]]*cadangan3[[#This Row],[Diskon]]),U667)</f>
        <v>0</v>
      </c>
      <c r="X667" t="str">
        <f>IFERROR(INDEX(Katalog!$A$3:$A$12,MATCH(cadangan3[[#This Row],[ItemID C]],Katalog!$C$3:$C$12,0)),"-")</f>
        <v>-</v>
      </c>
      <c r="Y667" t="str">
        <f>IFERROR(INDEX(Katalog!$B$3:$B$12,MATCH(cadangan3[[#This Row],[ItemID C]],Katalog!$C$3:$C$12,0)),"-")</f>
        <v>-</v>
      </c>
      <c r="AB667" s="36">
        <f>IFERROR(INDEX(Katalog!$D$3:$D$12,MATCH(cadangan3[[#This Row],[ItemID C]],Katalog!$C$3:$C$12,0))*cadangan3[[#This Row],[Qty C]],0)</f>
        <v>0</v>
      </c>
      <c r="AC667" s="36">
        <f>IFERROR(INDEX(Katalog!$D$3:$D$12,MATCH(cadangan3[[#This Row],[Item C]],Katalog!$B$3:$B$12,0))*cadangan3[[#This Row],[Qty C]],0)</f>
        <v>0</v>
      </c>
      <c r="AD667" s="36">
        <f>IFERROR(cadangan3[[#This Row],[Harga Asli C]]-(cadangan3[[#This Row],[Harga Asli C]]*cadangan3[[#This Row],[Diskon]]),cadangan3[[#This Row],[Harga Asli C]])</f>
        <v>0</v>
      </c>
      <c r="AE667" s="36">
        <f>IFERROR(INDEX(Katalog!$F$3:$F$12,MATCH(cadangan3[[#This Row],[ItemID C]],Katalog!$C$3:$C$12,0))*cadangan3[[#This Row],[Qty C]],0)</f>
        <v>0</v>
      </c>
      <c r="AF667" s="36">
        <f>IFERROR(cadangan3[[#This Row],[Profit C]]-(cadangan3[[#This Row],[Profit C]]*cadangan3[[#This Row],[Diskon]]),cadangan3[[#This Row],[Profit C]])</f>
        <v>0</v>
      </c>
      <c r="AG667" s="21">
        <f>cadangan3[[#This Row],[Qty A]]+cadangan3[[#This Row],[Qty B]]+cadangan3[[#This Row],[Qty C]]</f>
        <v>6</v>
      </c>
      <c r="AH667" s="35">
        <f>cadangan3[[#This Row],[Harga A + Diskon]]+cadangan3[[#This Row],[Harga + Diskon B]]+cadangan3[[#This Row],[Harga + Diskon C]]</f>
        <v>900000</v>
      </c>
      <c r="AI667" s="35">
        <f>(cadangan3[[#This Row],[Profit A]]+cadangan3[[#This Row],[Profit B]]+cadangan3[[#This Row],[Profit C]])</f>
        <v>360000</v>
      </c>
      <c r="AJ667" s="35">
        <f>cadangan3[[#This Row],[Provit A + Diskon]]+cadangan3[[#This Row],[Provit B + Diskon]]+cadangan3[[#This Row],[Provit C + Diskon]]</f>
        <v>360000</v>
      </c>
      <c r="AK667" s="23" t="s">
        <v>11</v>
      </c>
      <c r="AL667" s="37" t="str">
        <f>IFERROR(INDEX('Kode Diskon'!$D$3:$D$9,MATCH(cadangan3[[#This Row],[Kode diskon]],'Kode Diskon'!$C$3:$C$9,0)),"-")</f>
        <v>-</v>
      </c>
      <c r="AM667" s="23" t="s">
        <v>11</v>
      </c>
      <c r="AN667" s="23" t="s">
        <v>7</v>
      </c>
      <c r="AO667" s="23" t="s">
        <v>80</v>
      </c>
      <c r="AP667" s="24">
        <v>45027</v>
      </c>
      <c r="AQ667" s="23" t="str">
        <f>TEXT(cadangan3[[#This Row],[Tanggal terjual]],"dddd")</f>
        <v>Tuesday</v>
      </c>
    </row>
    <row r="668" spans="1:43" x14ac:dyDescent="0.2">
      <c r="A668" s="20">
        <v>667</v>
      </c>
      <c r="B668" s="21" t="str">
        <f>_xlfn.CONCAT("ORD-",INDEX(Helper!$B$2:$B$5,MATCH(cadangan3[[#This Row],[Marketplace]],Helper!$A$2:$A$5,0)),TEXT(cadangan3[[#This Row],[No]],"0000"),"-",TEXT(cadangan3[[#This Row],[Tanggal terjual]],"dd/mm/yy"))</f>
        <v>ORD-BL0667-25/04/23</v>
      </c>
      <c r="C668" t="s">
        <v>59</v>
      </c>
      <c r="D668" t="str">
        <f>IFERROR(INDEX(Katalog!$A$3:$A$12,MATCH(cadangan3[[#This Row],[ItemID A]],Katalog!$C$3:$C$12,0)),"-")</f>
        <v>Pakaian Wanita</v>
      </c>
      <c r="E668" t="str">
        <f>IFERROR(INDEX(Katalog!$B$3:$B$12,MATCH(cadangan3[[#This Row],[ItemID A]],Katalog!$C$3:$C$12,0)),"-")</f>
        <v>Blouse</v>
      </c>
      <c r="F668">
        <v>5</v>
      </c>
      <c r="G668">
        <v>4</v>
      </c>
      <c r="H668" s="36">
        <f>IFERROR(INDEX(Katalog!$D$3:$D$12,MATCH(cadangan3[[#This Row],[ItemID A]],Katalog!$C$3:$C$12,0))*cadangan3[[#This Row],[Qty A]],0)</f>
        <v>750000</v>
      </c>
      <c r="I668" s="36">
        <f>IFERROR(INDEX(Katalog!$D$3:$D$12,MATCH(cadangan3[[#This Row],[Item A]],Katalog!$B$3:$B$12,0))*cadangan3[[#This Row],[Qty A]],0)</f>
        <v>750000</v>
      </c>
      <c r="J668" s="36">
        <f>IFERROR(cadangan3[[#This Row],[Harga Asli A]]-(cadangan3[[#This Row],[Harga Asli A]]*cadangan3[[#This Row],[Diskon]]),cadangan3[[#This Row],[Harga Asli A]])</f>
        <v>637500</v>
      </c>
      <c r="K668" s="36">
        <f>INDEX(Katalog!$F$3:$F$12,MATCH(cadangan3[[#This Row],[ItemID A]],Katalog!$C$3:$C$12,0))*cadangan3[[#This Row],[Qty A]]</f>
        <v>250000</v>
      </c>
      <c r="L668" s="36">
        <f>IFERROR(cadangan3[[#This Row],[Profit A]]-(cadangan3[[#This Row],[Profit A]]*cadangan3[[#This Row],[Diskon]]),K668)</f>
        <v>212500</v>
      </c>
      <c r="N668" t="str">
        <f>IFERROR(INDEX(Katalog!$A$3:$A$12,MATCH(cadangan3[[#This Row],[ItemID B]],Katalog!$C$3:$C$12,0)),"-")</f>
        <v>-</v>
      </c>
      <c r="O668" t="str">
        <f>IFERROR(INDEX(Katalog!$B$3:$B$12,MATCH(cadangan3[[#This Row],[ItemID B]],Katalog!$C$3:$C$12,0)),"-")</f>
        <v>-</v>
      </c>
      <c r="R668" s="36">
        <f>IFERROR(INDEX(Katalog!$D$3:$D$12,MATCH(cadangan3[[#This Row],[ItemID B]],Katalog!$C$3:$C$12,0))*cadangan3[[#This Row],[Qty B]],0)</f>
        <v>0</v>
      </c>
      <c r="S668" s="36">
        <f>IFERROR(INDEX(Katalog!$D$3:$D$12,MATCH(cadangan3[[#This Row],[Item B]],Katalog!$B$3:$B$12,0))*cadangan3[[#This Row],[Qty B]],0)</f>
        <v>0</v>
      </c>
      <c r="T668" s="36">
        <f>IFERROR(cadangan3[[#This Row],[Harga Asli B]]-(cadangan3[[#This Row],[Harga Asli B]]*cadangan3[[#This Row],[Diskon]]),cadangan3[[#This Row],[Harga Asli B]])</f>
        <v>0</v>
      </c>
      <c r="U668" s="36">
        <f>IFERROR(INDEX(Katalog!$F$3:$F$12,MATCH(cadangan3[[#This Row],[ItemID B]],Katalog!$C$3:$C$12,0))*cadangan3[[#This Row],[Qty B]],0)</f>
        <v>0</v>
      </c>
      <c r="V668" s="36">
        <f>IFERROR(cadangan3[[#This Row],[Profit B]]-(cadangan3[[#This Row],[Profit B]]*cadangan3[[#This Row],[Diskon]]),U668)</f>
        <v>0</v>
      </c>
      <c r="X668" t="str">
        <f>IFERROR(INDEX(Katalog!$A$3:$A$12,MATCH(cadangan3[[#This Row],[ItemID C]],Katalog!$C$3:$C$12,0)),"-")</f>
        <v>-</v>
      </c>
      <c r="Y668" t="str">
        <f>IFERROR(INDEX(Katalog!$B$3:$B$12,MATCH(cadangan3[[#This Row],[ItemID C]],Katalog!$C$3:$C$12,0)),"-")</f>
        <v>-</v>
      </c>
      <c r="AB668" s="36">
        <f>IFERROR(INDEX(Katalog!$D$3:$D$12,MATCH(cadangan3[[#This Row],[ItemID C]],Katalog!$C$3:$C$12,0))*cadangan3[[#This Row],[Qty C]],0)</f>
        <v>0</v>
      </c>
      <c r="AC668" s="36">
        <f>IFERROR(INDEX(Katalog!$D$3:$D$12,MATCH(cadangan3[[#This Row],[Item C]],Katalog!$B$3:$B$12,0))*cadangan3[[#This Row],[Qty C]],0)</f>
        <v>0</v>
      </c>
      <c r="AD668" s="36">
        <f>IFERROR(cadangan3[[#This Row],[Harga Asli C]]-(cadangan3[[#This Row],[Harga Asli C]]*cadangan3[[#This Row],[Diskon]]),cadangan3[[#This Row],[Harga Asli C]])</f>
        <v>0</v>
      </c>
      <c r="AE668" s="36">
        <f>IFERROR(INDEX(Katalog!$F$3:$F$12,MATCH(cadangan3[[#This Row],[ItemID C]],Katalog!$C$3:$C$12,0))*cadangan3[[#This Row],[Qty C]],0)</f>
        <v>0</v>
      </c>
      <c r="AF668" s="36">
        <f>IFERROR(cadangan3[[#This Row],[Profit C]]-(cadangan3[[#This Row],[Profit C]]*cadangan3[[#This Row],[Diskon]]),cadangan3[[#This Row],[Profit C]])</f>
        <v>0</v>
      </c>
      <c r="AG668" s="21">
        <f>cadangan3[[#This Row],[Qty A]]+cadangan3[[#This Row],[Qty B]]+cadangan3[[#This Row],[Qty C]]</f>
        <v>5</v>
      </c>
      <c r="AH668" s="35">
        <f>cadangan3[[#This Row],[Harga A + Diskon]]+cadangan3[[#This Row],[Harga + Diskon B]]+cadangan3[[#This Row],[Harga + Diskon C]]</f>
        <v>637500</v>
      </c>
      <c r="AI668" s="35">
        <f>(cadangan3[[#This Row],[Profit A]]+cadangan3[[#This Row],[Profit B]]+cadangan3[[#This Row],[Profit C]])</f>
        <v>250000</v>
      </c>
      <c r="AJ668" s="35">
        <f>cadangan3[[#This Row],[Provit A + Diskon]]+cadangan3[[#This Row],[Provit B + Diskon]]+cadangan3[[#This Row],[Provit C + Diskon]]</f>
        <v>212500</v>
      </c>
      <c r="AK668" s="23" t="s">
        <v>32</v>
      </c>
      <c r="AL668" s="37">
        <f>IFERROR(INDEX('Kode Diskon'!$D$3:$D$9,MATCH(cadangan3[[#This Row],[Kode diskon]],'Kode Diskon'!$C$3:$C$9,0)),"-")</f>
        <v>0.15</v>
      </c>
      <c r="AM668" s="23" t="s">
        <v>9</v>
      </c>
      <c r="AN668" s="23" t="s">
        <v>12</v>
      </c>
      <c r="AO668" s="23" t="s">
        <v>76</v>
      </c>
      <c r="AP668" s="24">
        <v>45041</v>
      </c>
      <c r="AQ668" s="23" t="str">
        <f>TEXT(cadangan3[[#This Row],[Tanggal terjual]],"dddd")</f>
        <v>Tuesday</v>
      </c>
    </row>
    <row r="669" spans="1:43" x14ac:dyDescent="0.2">
      <c r="A669" s="20">
        <v>668</v>
      </c>
      <c r="B669" s="21" t="str">
        <f>_xlfn.CONCAT("ORD-",INDEX(Helper!$B$2:$B$5,MATCH(cadangan3[[#This Row],[Marketplace]],Helper!$A$2:$A$5,0)),TEXT(cadangan3[[#This Row],[No]],"0000"),"-",TEXT(cadangan3[[#This Row],[Tanggal terjual]],"dd/mm/yy"))</f>
        <v>ORD-BL0668-20/04/23</v>
      </c>
      <c r="C669" t="s">
        <v>67</v>
      </c>
      <c r="D669" t="str">
        <f>IFERROR(INDEX(Katalog!$A$3:$A$12,MATCH(cadangan3[[#This Row],[ItemID A]],Katalog!$C$3:$C$12,0)),"-")</f>
        <v>Sepatu Wanita</v>
      </c>
      <c r="E669" t="str">
        <f>IFERROR(INDEX(Katalog!$B$3:$B$12,MATCH(cadangan3[[#This Row],[ItemID A]],Katalog!$C$3:$C$12,0)),"-")</f>
        <v>Flat Shoes</v>
      </c>
      <c r="F669">
        <v>3</v>
      </c>
      <c r="G669">
        <v>1</v>
      </c>
      <c r="H669" s="36">
        <f>IFERROR(INDEX(Katalog!$D$3:$D$12,MATCH(cadangan3[[#This Row],[ItemID A]],Katalog!$C$3:$C$12,0))*cadangan3[[#This Row],[Qty A]],0)</f>
        <v>750000</v>
      </c>
      <c r="I669" s="36">
        <f>IFERROR(INDEX(Katalog!$D$3:$D$12,MATCH(cadangan3[[#This Row],[Item A]],Katalog!$B$3:$B$12,0))*cadangan3[[#This Row],[Qty A]],0)</f>
        <v>750000</v>
      </c>
      <c r="J669" s="36">
        <f>IFERROR(cadangan3[[#This Row],[Harga Asli A]]-(cadangan3[[#This Row],[Harga Asli A]]*cadangan3[[#This Row],[Diskon]]),cadangan3[[#This Row],[Harga Asli A]])</f>
        <v>637500</v>
      </c>
      <c r="K669" s="36">
        <f>INDEX(Katalog!$F$3:$F$12,MATCH(cadangan3[[#This Row],[ItemID A]],Katalog!$C$3:$C$12,0))*cadangan3[[#This Row],[Qty A]]</f>
        <v>300000</v>
      </c>
      <c r="L669" s="36">
        <f>IFERROR(cadangan3[[#This Row],[Profit A]]-(cadangan3[[#This Row],[Profit A]]*cadangan3[[#This Row],[Diskon]]),K669)</f>
        <v>255000</v>
      </c>
      <c r="M669" t="s">
        <v>66</v>
      </c>
      <c r="N669" t="str">
        <f>IFERROR(INDEX(Katalog!$A$3:$A$12,MATCH(cadangan3[[#This Row],[ItemID B]],Katalog!$C$3:$C$12,0)),"-")</f>
        <v>Sepatu Pria</v>
      </c>
      <c r="O669" t="str">
        <f>IFERROR(INDEX(Katalog!$B$3:$B$12,MATCH(cadangan3[[#This Row],[ItemID B]],Katalog!$C$3:$C$12,0)),"-")</f>
        <v>Sandal Slip On</v>
      </c>
      <c r="P669">
        <v>1</v>
      </c>
      <c r="Q669">
        <v>2</v>
      </c>
      <c r="R669" s="36">
        <f>IFERROR(INDEX(Katalog!$D$3:$D$12,MATCH(cadangan3[[#This Row],[ItemID B]],Katalog!$C$3:$C$12,0))*cadangan3[[#This Row],[Qty B]],0)</f>
        <v>150000</v>
      </c>
      <c r="S669" s="36">
        <f>IFERROR(INDEX(Katalog!$D$3:$D$12,MATCH(cadangan3[[#This Row],[Item B]],Katalog!$B$3:$B$12,0))*cadangan3[[#This Row],[Qty B]],0)</f>
        <v>150000</v>
      </c>
      <c r="T669" s="36">
        <f>IFERROR(cadangan3[[#This Row],[Harga Asli B]]-(cadangan3[[#This Row],[Harga Asli B]]*cadangan3[[#This Row],[Diskon]]),cadangan3[[#This Row],[Harga Asli B]])</f>
        <v>127500</v>
      </c>
      <c r="U669" s="36">
        <f>IFERROR(INDEX(Katalog!$F$3:$F$12,MATCH(cadangan3[[#This Row],[ItemID B]],Katalog!$C$3:$C$12,0))*cadangan3[[#This Row],[Qty B]],0)</f>
        <v>60000</v>
      </c>
      <c r="V669" s="36">
        <f>IFERROR(cadangan3[[#This Row],[Profit B]]-(cadangan3[[#This Row],[Profit B]]*cadangan3[[#This Row],[Diskon]]),U669)</f>
        <v>51000</v>
      </c>
      <c r="X669" t="str">
        <f>IFERROR(INDEX(Katalog!$A$3:$A$12,MATCH(cadangan3[[#This Row],[ItemID C]],Katalog!$C$3:$C$12,0)),"-")</f>
        <v>-</v>
      </c>
      <c r="Y669" t="str">
        <f>IFERROR(INDEX(Katalog!$B$3:$B$12,MATCH(cadangan3[[#This Row],[ItemID C]],Katalog!$C$3:$C$12,0)),"-")</f>
        <v>-</v>
      </c>
      <c r="AB669" s="36">
        <f>IFERROR(INDEX(Katalog!$D$3:$D$12,MATCH(cadangan3[[#This Row],[ItemID C]],Katalog!$C$3:$C$12,0))*cadangan3[[#This Row],[Qty C]],0)</f>
        <v>0</v>
      </c>
      <c r="AC669" s="36">
        <f>IFERROR(INDEX(Katalog!$D$3:$D$12,MATCH(cadangan3[[#This Row],[Item C]],Katalog!$B$3:$B$12,0))*cadangan3[[#This Row],[Qty C]],0)</f>
        <v>0</v>
      </c>
      <c r="AD669" s="36">
        <f>IFERROR(cadangan3[[#This Row],[Harga Asli C]]-(cadangan3[[#This Row],[Harga Asli C]]*cadangan3[[#This Row],[Diskon]]),cadangan3[[#This Row],[Harga Asli C]])</f>
        <v>0</v>
      </c>
      <c r="AE669" s="36">
        <f>IFERROR(INDEX(Katalog!$F$3:$F$12,MATCH(cadangan3[[#This Row],[ItemID C]],Katalog!$C$3:$C$12,0))*cadangan3[[#This Row],[Qty C]],0)</f>
        <v>0</v>
      </c>
      <c r="AF669" s="36">
        <f>IFERROR(cadangan3[[#This Row],[Profit C]]-(cadangan3[[#This Row],[Profit C]]*cadangan3[[#This Row],[Diskon]]),cadangan3[[#This Row],[Profit C]])</f>
        <v>0</v>
      </c>
      <c r="AG669" s="21">
        <f>cadangan3[[#This Row],[Qty A]]+cadangan3[[#This Row],[Qty B]]+cadangan3[[#This Row],[Qty C]]</f>
        <v>4</v>
      </c>
      <c r="AH669" s="35">
        <f>cadangan3[[#This Row],[Harga A + Diskon]]+cadangan3[[#This Row],[Harga + Diskon B]]+cadangan3[[#This Row],[Harga + Diskon C]]</f>
        <v>765000</v>
      </c>
      <c r="AI669" s="35">
        <f>(cadangan3[[#This Row],[Profit A]]+cadangan3[[#This Row],[Profit B]]+cadangan3[[#This Row],[Profit C]])</f>
        <v>360000</v>
      </c>
      <c r="AJ669" s="35">
        <f>cadangan3[[#This Row],[Provit A + Diskon]]+cadangan3[[#This Row],[Provit B + Diskon]]+cadangan3[[#This Row],[Provit C + Diskon]]</f>
        <v>306000</v>
      </c>
      <c r="AK669" s="23" t="s">
        <v>32</v>
      </c>
      <c r="AL669" s="37">
        <f>IFERROR(INDEX('Kode Diskon'!$D$3:$D$9,MATCH(cadangan3[[#This Row],[Kode diskon]],'Kode Diskon'!$C$3:$C$9,0)),"-")</f>
        <v>0.15</v>
      </c>
      <c r="AM669" s="23" t="s">
        <v>9</v>
      </c>
      <c r="AN669" s="23" t="s">
        <v>12</v>
      </c>
      <c r="AO669" s="23" t="s">
        <v>76</v>
      </c>
      <c r="AP669" s="24">
        <v>45036</v>
      </c>
      <c r="AQ669" s="23" t="str">
        <f>TEXT(cadangan3[[#This Row],[Tanggal terjual]],"dddd")</f>
        <v>Thursday</v>
      </c>
    </row>
    <row r="670" spans="1:43" x14ac:dyDescent="0.2">
      <c r="A670" s="20">
        <v>669</v>
      </c>
      <c r="B670" s="21" t="str">
        <f>_xlfn.CONCAT("ORD-",INDEX(Helper!$B$2:$B$5,MATCH(cadangan3[[#This Row],[Marketplace]],Helper!$A$2:$A$5,0)),TEXT(cadangan3[[#This Row],[No]],"0000"),"-",TEXT(cadangan3[[#This Row],[Tanggal terjual]],"dd/mm/yy"))</f>
        <v>ORD-SP0669-26/04/23</v>
      </c>
      <c r="C670" t="s">
        <v>67</v>
      </c>
      <c r="D670" t="str">
        <f>IFERROR(INDEX(Katalog!$A$3:$A$12,MATCH(cadangan3[[#This Row],[ItemID A]],Katalog!$C$3:$C$12,0)),"-")</f>
        <v>Sepatu Wanita</v>
      </c>
      <c r="E670" t="str">
        <f>IFERROR(INDEX(Katalog!$B$3:$B$12,MATCH(cadangan3[[#This Row],[ItemID A]],Katalog!$C$3:$C$12,0)),"-")</f>
        <v>Flat Shoes</v>
      </c>
      <c r="F670">
        <v>2</v>
      </c>
      <c r="G670">
        <v>1</v>
      </c>
      <c r="H670" s="36">
        <f>IFERROR(INDEX(Katalog!$D$3:$D$12,MATCH(cadangan3[[#This Row],[ItemID A]],Katalog!$C$3:$C$12,0))*cadangan3[[#This Row],[Qty A]],0)</f>
        <v>500000</v>
      </c>
      <c r="I670" s="36">
        <f>IFERROR(INDEX(Katalog!$D$3:$D$12,MATCH(cadangan3[[#This Row],[Item A]],Katalog!$B$3:$B$12,0))*cadangan3[[#This Row],[Qty A]],0)</f>
        <v>500000</v>
      </c>
      <c r="J670" s="36">
        <f>IFERROR(cadangan3[[#This Row],[Harga Asli A]]-(cadangan3[[#This Row],[Harga Asli A]]*cadangan3[[#This Row],[Diskon]]),cadangan3[[#This Row],[Harga Asli A]])</f>
        <v>400000</v>
      </c>
      <c r="K670" s="36">
        <f>INDEX(Katalog!$F$3:$F$12,MATCH(cadangan3[[#This Row],[ItemID A]],Katalog!$C$3:$C$12,0))*cadangan3[[#This Row],[Qty A]]</f>
        <v>200000</v>
      </c>
      <c r="L670" s="36">
        <f>IFERROR(cadangan3[[#This Row],[Profit A]]-(cadangan3[[#This Row],[Profit A]]*cadangan3[[#This Row],[Diskon]]),K670)</f>
        <v>160000</v>
      </c>
      <c r="N670" t="str">
        <f>IFERROR(INDEX(Katalog!$A$3:$A$12,MATCH(cadangan3[[#This Row],[ItemID B]],Katalog!$C$3:$C$12,0)),"-")</f>
        <v>-</v>
      </c>
      <c r="O670" t="str">
        <f>IFERROR(INDEX(Katalog!$B$3:$B$12,MATCH(cadangan3[[#This Row],[ItemID B]],Katalog!$C$3:$C$12,0)),"-")</f>
        <v>-</v>
      </c>
      <c r="R670" s="36">
        <f>IFERROR(INDEX(Katalog!$D$3:$D$12,MATCH(cadangan3[[#This Row],[ItemID B]],Katalog!$C$3:$C$12,0))*cadangan3[[#This Row],[Qty B]],0)</f>
        <v>0</v>
      </c>
      <c r="S670" s="36">
        <f>IFERROR(INDEX(Katalog!$D$3:$D$12,MATCH(cadangan3[[#This Row],[Item B]],Katalog!$B$3:$B$12,0))*cadangan3[[#This Row],[Qty B]],0)</f>
        <v>0</v>
      </c>
      <c r="T670" s="36">
        <f>IFERROR(cadangan3[[#This Row],[Harga Asli B]]-(cadangan3[[#This Row],[Harga Asli B]]*cadangan3[[#This Row],[Diskon]]),cadangan3[[#This Row],[Harga Asli B]])</f>
        <v>0</v>
      </c>
      <c r="U670" s="36">
        <f>IFERROR(INDEX(Katalog!$F$3:$F$12,MATCH(cadangan3[[#This Row],[ItemID B]],Katalog!$C$3:$C$12,0))*cadangan3[[#This Row],[Qty B]],0)</f>
        <v>0</v>
      </c>
      <c r="V670" s="36">
        <f>IFERROR(cadangan3[[#This Row],[Profit B]]-(cadangan3[[#This Row],[Profit B]]*cadangan3[[#This Row],[Diskon]]),U670)</f>
        <v>0</v>
      </c>
      <c r="X670" t="str">
        <f>IFERROR(INDEX(Katalog!$A$3:$A$12,MATCH(cadangan3[[#This Row],[ItemID C]],Katalog!$C$3:$C$12,0)),"-")</f>
        <v>-</v>
      </c>
      <c r="Y670" t="str">
        <f>IFERROR(INDEX(Katalog!$B$3:$B$12,MATCH(cadangan3[[#This Row],[ItemID C]],Katalog!$C$3:$C$12,0)),"-")</f>
        <v>-</v>
      </c>
      <c r="AB670" s="36">
        <f>IFERROR(INDEX(Katalog!$D$3:$D$12,MATCH(cadangan3[[#This Row],[ItemID C]],Katalog!$C$3:$C$12,0))*cadangan3[[#This Row],[Qty C]],0)</f>
        <v>0</v>
      </c>
      <c r="AC670" s="36">
        <f>IFERROR(INDEX(Katalog!$D$3:$D$12,MATCH(cadangan3[[#This Row],[Item C]],Katalog!$B$3:$B$12,0))*cadangan3[[#This Row],[Qty C]],0)</f>
        <v>0</v>
      </c>
      <c r="AD670" s="36">
        <f>IFERROR(cadangan3[[#This Row],[Harga Asli C]]-(cadangan3[[#This Row],[Harga Asli C]]*cadangan3[[#This Row],[Diskon]]),cadangan3[[#This Row],[Harga Asli C]])</f>
        <v>0</v>
      </c>
      <c r="AE670" s="36">
        <f>IFERROR(INDEX(Katalog!$F$3:$F$12,MATCH(cadangan3[[#This Row],[ItemID C]],Katalog!$C$3:$C$12,0))*cadangan3[[#This Row],[Qty C]],0)</f>
        <v>0</v>
      </c>
      <c r="AF670" s="36">
        <f>IFERROR(cadangan3[[#This Row],[Profit C]]-(cadangan3[[#This Row],[Profit C]]*cadangan3[[#This Row],[Diskon]]),cadangan3[[#This Row],[Profit C]])</f>
        <v>0</v>
      </c>
      <c r="AG670" s="21">
        <f>cadangan3[[#This Row],[Qty A]]+cadangan3[[#This Row],[Qty B]]+cadangan3[[#This Row],[Qty C]]</f>
        <v>2</v>
      </c>
      <c r="AH670" s="35">
        <f>cadangan3[[#This Row],[Harga A + Diskon]]+cadangan3[[#This Row],[Harga + Diskon B]]+cadangan3[[#This Row],[Harga + Diskon C]]</f>
        <v>400000</v>
      </c>
      <c r="AI670" s="35">
        <f>(cadangan3[[#This Row],[Profit A]]+cadangan3[[#This Row],[Profit B]]+cadangan3[[#This Row],[Profit C]])</f>
        <v>200000</v>
      </c>
      <c r="AJ670" s="35">
        <f>cadangan3[[#This Row],[Provit A + Diskon]]+cadangan3[[#This Row],[Provit B + Diskon]]+cadangan3[[#This Row],[Provit C + Diskon]]</f>
        <v>160000</v>
      </c>
      <c r="AK670" s="23" t="s">
        <v>8</v>
      </c>
      <c r="AL670" s="37">
        <f>IFERROR(INDEX('Kode Diskon'!$D$3:$D$9,MATCH(cadangan3[[#This Row],[Kode diskon]],'Kode Diskon'!$C$3:$C$9,0)),"-")</f>
        <v>0.2</v>
      </c>
      <c r="AM670" s="23" t="s">
        <v>9</v>
      </c>
      <c r="AN670" s="23" t="s">
        <v>7</v>
      </c>
      <c r="AO670" s="23" t="s">
        <v>80</v>
      </c>
      <c r="AP670" s="24">
        <v>45042</v>
      </c>
      <c r="AQ670" s="23" t="str">
        <f>TEXT(cadangan3[[#This Row],[Tanggal terjual]],"dddd")</f>
        <v>Wednesday</v>
      </c>
    </row>
    <row r="671" spans="1:43" x14ac:dyDescent="0.2">
      <c r="A671" s="20">
        <v>670</v>
      </c>
      <c r="B671" s="21" t="str">
        <f>_xlfn.CONCAT("ORD-",INDEX(Helper!$B$2:$B$5,MATCH(cadangan3[[#This Row],[Marketplace]],Helper!$A$2:$A$5,0)),TEXT(cadangan3[[#This Row],[No]],"0000"),"-",TEXT(cadangan3[[#This Row],[Tanggal terjual]],"dd/mm/yy"))</f>
        <v>ORD-BB0670-04/04/23</v>
      </c>
      <c r="C671" t="s">
        <v>64</v>
      </c>
      <c r="D671" t="str">
        <f>IFERROR(INDEX(Katalog!$A$3:$A$12,MATCH(cadangan3[[#This Row],[ItemID A]],Katalog!$C$3:$C$12,0)),"-")</f>
        <v>Pakaian Unisex</v>
      </c>
      <c r="E671" t="str">
        <f>IFERROR(INDEX(Katalog!$B$3:$B$12,MATCH(cadangan3[[#This Row],[ItemID A]],Katalog!$C$3:$C$12,0)),"-")</f>
        <v>Jaket Hoodie</v>
      </c>
      <c r="F671">
        <v>4</v>
      </c>
      <c r="G671">
        <v>5</v>
      </c>
      <c r="H671" s="36">
        <f>IFERROR(INDEX(Katalog!$D$3:$D$12,MATCH(cadangan3[[#This Row],[ItemID A]],Katalog!$C$3:$C$12,0))*cadangan3[[#This Row],[Qty A]],0)</f>
        <v>1400000</v>
      </c>
      <c r="I671" s="36">
        <f>IFERROR(INDEX(Katalog!$D$3:$D$12,MATCH(cadangan3[[#This Row],[Item A]],Katalog!$B$3:$B$12,0))*cadangan3[[#This Row],[Qty A]],0)</f>
        <v>1400000</v>
      </c>
      <c r="J671" s="36">
        <f>IFERROR(cadangan3[[#This Row],[Harga Asli A]]-(cadangan3[[#This Row],[Harga Asli A]]*cadangan3[[#This Row],[Diskon]]),cadangan3[[#This Row],[Harga Asli A]])</f>
        <v>1190000</v>
      </c>
      <c r="K671" s="36">
        <f>INDEX(Katalog!$F$3:$F$12,MATCH(cadangan3[[#This Row],[ItemID A]],Katalog!$C$3:$C$12,0))*cadangan3[[#This Row],[Qty A]]</f>
        <v>520000</v>
      </c>
      <c r="L671" s="36">
        <f>IFERROR(cadangan3[[#This Row],[Profit A]]-(cadangan3[[#This Row],[Profit A]]*cadangan3[[#This Row],[Diskon]]),K671)</f>
        <v>442000</v>
      </c>
      <c r="M671" t="s">
        <v>65</v>
      </c>
      <c r="N671" t="str">
        <f>IFERROR(INDEX(Katalog!$A$3:$A$12,MATCH(cadangan3[[#This Row],[ItemID B]],Katalog!$C$3:$C$12,0)),"-")</f>
        <v>Sepatu Pria</v>
      </c>
      <c r="O671" t="str">
        <f>IFERROR(INDEX(Katalog!$B$3:$B$12,MATCH(cadangan3[[#This Row],[ItemID B]],Katalog!$C$3:$C$12,0)),"-")</f>
        <v>Sneakers</v>
      </c>
      <c r="P671">
        <v>1</v>
      </c>
      <c r="Q671">
        <v>4</v>
      </c>
      <c r="R671" s="36">
        <f>IFERROR(INDEX(Katalog!$D$3:$D$12,MATCH(cadangan3[[#This Row],[ItemID B]],Katalog!$C$3:$C$12,0))*cadangan3[[#This Row],[Qty B]],0)</f>
        <v>500000</v>
      </c>
      <c r="S671" s="36">
        <f>IFERROR(INDEX(Katalog!$D$3:$D$12,MATCH(cadangan3[[#This Row],[Item B]],Katalog!$B$3:$B$12,0))*cadangan3[[#This Row],[Qty B]],0)</f>
        <v>500000</v>
      </c>
      <c r="T671" s="36">
        <f>IFERROR(cadangan3[[#This Row],[Harga Asli B]]-(cadangan3[[#This Row],[Harga Asli B]]*cadangan3[[#This Row],[Diskon]]),cadangan3[[#This Row],[Harga Asli B]])</f>
        <v>425000</v>
      </c>
      <c r="U671" s="36">
        <f>IFERROR(INDEX(Katalog!$F$3:$F$12,MATCH(cadangan3[[#This Row],[ItemID B]],Katalog!$C$3:$C$12,0))*cadangan3[[#This Row],[Qty B]],0)</f>
        <v>200000</v>
      </c>
      <c r="V671" s="36">
        <f>IFERROR(cadangan3[[#This Row],[Profit B]]-(cadangan3[[#This Row],[Profit B]]*cadangan3[[#This Row],[Diskon]]),U671)</f>
        <v>170000</v>
      </c>
      <c r="W671" t="s">
        <v>66</v>
      </c>
      <c r="X671" t="str">
        <f>IFERROR(INDEX(Katalog!$A$3:$A$12,MATCH(cadangan3[[#This Row],[ItemID C]],Katalog!$C$3:$C$12,0)),"-")</f>
        <v>Sepatu Pria</v>
      </c>
      <c r="Y671" t="str">
        <f>IFERROR(INDEX(Katalog!$B$3:$B$12,MATCH(cadangan3[[#This Row],[ItemID C]],Katalog!$C$3:$C$12,0)),"-")</f>
        <v>Sandal Slip On</v>
      </c>
      <c r="Z671">
        <v>1</v>
      </c>
      <c r="AA671">
        <v>2</v>
      </c>
      <c r="AB671" s="36">
        <f>IFERROR(INDEX(Katalog!$D$3:$D$12,MATCH(cadangan3[[#This Row],[ItemID C]],Katalog!$C$3:$C$12,0))*cadangan3[[#This Row],[Qty C]],0)</f>
        <v>150000</v>
      </c>
      <c r="AC671" s="36">
        <f>IFERROR(INDEX(Katalog!$D$3:$D$12,MATCH(cadangan3[[#This Row],[Item C]],Katalog!$B$3:$B$12,0))*cadangan3[[#This Row],[Qty C]],0)</f>
        <v>150000</v>
      </c>
      <c r="AD671" s="36">
        <f>IFERROR(cadangan3[[#This Row],[Harga Asli C]]-(cadangan3[[#This Row],[Harga Asli C]]*cadangan3[[#This Row],[Diskon]]),cadangan3[[#This Row],[Harga Asli C]])</f>
        <v>127500</v>
      </c>
      <c r="AE671" s="36">
        <f>IFERROR(INDEX(Katalog!$F$3:$F$12,MATCH(cadangan3[[#This Row],[ItemID C]],Katalog!$C$3:$C$12,0))*cadangan3[[#This Row],[Qty C]],0)</f>
        <v>60000</v>
      </c>
      <c r="AF671" s="36">
        <f>IFERROR(cadangan3[[#This Row],[Profit C]]-(cadangan3[[#This Row],[Profit C]]*cadangan3[[#This Row],[Diskon]]),cadangan3[[#This Row],[Profit C]])</f>
        <v>51000</v>
      </c>
      <c r="AG671" s="21">
        <f>cadangan3[[#This Row],[Qty A]]+cadangan3[[#This Row],[Qty B]]+cadangan3[[#This Row],[Qty C]]</f>
        <v>6</v>
      </c>
      <c r="AH671" s="35">
        <f>cadangan3[[#This Row],[Harga A + Diskon]]+cadangan3[[#This Row],[Harga + Diskon B]]+cadangan3[[#This Row],[Harga + Diskon C]]</f>
        <v>1742500</v>
      </c>
      <c r="AI671" s="35">
        <f>(cadangan3[[#This Row],[Profit A]]+cadangan3[[#This Row],[Profit B]]+cadangan3[[#This Row],[Profit C]])</f>
        <v>780000</v>
      </c>
      <c r="AJ671" s="35">
        <f>cadangan3[[#This Row],[Provit A + Diskon]]+cadangan3[[#This Row],[Provit B + Diskon]]+cadangan3[[#This Row],[Provit C + Diskon]]</f>
        <v>663000</v>
      </c>
      <c r="AK671" s="23" t="s">
        <v>28</v>
      </c>
      <c r="AL671" s="37">
        <f>IFERROR(INDEX('Kode Diskon'!$D$3:$D$9,MATCH(cadangan3[[#This Row],[Kode diskon]],'Kode Diskon'!$C$3:$C$9,0)),"-")</f>
        <v>0.15</v>
      </c>
      <c r="AM671" s="23" t="s">
        <v>29</v>
      </c>
      <c r="AN671" s="23" t="s">
        <v>14</v>
      </c>
      <c r="AO671" s="23" t="s">
        <v>75</v>
      </c>
      <c r="AP671" s="24">
        <v>45020</v>
      </c>
      <c r="AQ671" s="23" t="str">
        <f>TEXT(cadangan3[[#This Row],[Tanggal terjual]],"dddd")</f>
        <v>Tuesday</v>
      </c>
    </row>
    <row r="672" spans="1:43" x14ac:dyDescent="0.2">
      <c r="A672" s="20">
        <v>671</v>
      </c>
      <c r="B672" s="21" t="str">
        <f>_xlfn.CONCAT("ORD-",INDEX(Helper!$B$2:$B$5,MATCH(cadangan3[[#This Row],[Marketplace]],Helper!$A$2:$A$5,0)),TEXT(cadangan3[[#This Row],[No]],"0000"),"-",TEXT(cadangan3[[#This Row],[Tanggal terjual]],"dd/mm/yy"))</f>
        <v>ORD-TK0671-03/04/23</v>
      </c>
      <c r="C672" t="s">
        <v>63</v>
      </c>
      <c r="D672" t="str">
        <f>IFERROR(INDEX(Katalog!$A$3:$A$12,MATCH(cadangan3[[#This Row],[ItemID A]],Katalog!$C$3:$C$12,0)),"-")</f>
        <v>Pakaian Pria</v>
      </c>
      <c r="E672" t="str">
        <f>IFERROR(INDEX(Katalog!$B$3:$B$12,MATCH(cadangan3[[#This Row],[ItemID A]],Katalog!$C$3:$C$12,0)),"-")</f>
        <v>Jaket Jeans</v>
      </c>
      <c r="F672">
        <v>1</v>
      </c>
      <c r="G672">
        <v>1</v>
      </c>
      <c r="H672" s="36">
        <f>IFERROR(INDEX(Katalog!$D$3:$D$12,MATCH(cadangan3[[#This Row],[ItemID A]],Katalog!$C$3:$C$12,0))*cadangan3[[#This Row],[Qty A]],0)</f>
        <v>400000</v>
      </c>
      <c r="I672" s="36">
        <f>IFERROR(INDEX(Katalog!$D$3:$D$12,MATCH(cadangan3[[#This Row],[Item A]],Katalog!$B$3:$B$12,0))*cadangan3[[#This Row],[Qty A]],0)</f>
        <v>400000</v>
      </c>
      <c r="J672" s="36">
        <f>IFERROR(cadangan3[[#This Row],[Harga Asli A]]-(cadangan3[[#This Row],[Harga Asli A]]*cadangan3[[#This Row],[Diskon]]),cadangan3[[#This Row],[Harga Asli A]])</f>
        <v>360000</v>
      </c>
      <c r="K672" s="36">
        <f>INDEX(Katalog!$F$3:$F$12,MATCH(cadangan3[[#This Row],[ItemID A]],Katalog!$C$3:$C$12,0))*cadangan3[[#This Row],[Qty A]]</f>
        <v>150000</v>
      </c>
      <c r="L672" s="36">
        <f>IFERROR(cadangan3[[#This Row],[Profit A]]-(cadangan3[[#This Row],[Profit A]]*cadangan3[[#This Row],[Diskon]]),K672)</f>
        <v>135000</v>
      </c>
      <c r="N672" t="str">
        <f>IFERROR(INDEX(Katalog!$A$3:$A$12,MATCH(cadangan3[[#This Row],[ItemID B]],Katalog!$C$3:$C$12,0)),"-")</f>
        <v>-</v>
      </c>
      <c r="O672" t="str">
        <f>IFERROR(INDEX(Katalog!$B$3:$B$12,MATCH(cadangan3[[#This Row],[ItemID B]],Katalog!$C$3:$C$12,0)),"-")</f>
        <v>-</v>
      </c>
      <c r="R672" s="36">
        <f>IFERROR(INDEX(Katalog!$D$3:$D$12,MATCH(cadangan3[[#This Row],[ItemID B]],Katalog!$C$3:$C$12,0))*cadangan3[[#This Row],[Qty B]],0)</f>
        <v>0</v>
      </c>
      <c r="S672" s="36">
        <f>IFERROR(INDEX(Katalog!$D$3:$D$12,MATCH(cadangan3[[#This Row],[Item B]],Katalog!$B$3:$B$12,0))*cadangan3[[#This Row],[Qty B]],0)</f>
        <v>0</v>
      </c>
      <c r="T672" s="36">
        <f>IFERROR(cadangan3[[#This Row],[Harga Asli B]]-(cadangan3[[#This Row],[Harga Asli B]]*cadangan3[[#This Row],[Diskon]]),cadangan3[[#This Row],[Harga Asli B]])</f>
        <v>0</v>
      </c>
      <c r="U672" s="36">
        <f>IFERROR(INDEX(Katalog!$F$3:$F$12,MATCH(cadangan3[[#This Row],[ItemID B]],Katalog!$C$3:$C$12,0))*cadangan3[[#This Row],[Qty B]],0)</f>
        <v>0</v>
      </c>
      <c r="V672" s="36">
        <f>IFERROR(cadangan3[[#This Row],[Profit B]]-(cadangan3[[#This Row],[Profit B]]*cadangan3[[#This Row],[Diskon]]),U672)</f>
        <v>0</v>
      </c>
      <c r="X672" t="str">
        <f>IFERROR(INDEX(Katalog!$A$3:$A$12,MATCH(cadangan3[[#This Row],[ItemID C]],Katalog!$C$3:$C$12,0)),"-")</f>
        <v>-</v>
      </c>
      <c r="Y672" t="str">
        <f>IFERROR(INDEX(Katalog!$B$3:$B$12,MATCH(cadangan3[[#This Row],[ItemID C]],Katalog!$C$3:$C$12,0)),"-")</f>
        <v>-</v>
      </c>
      <c r="AB672" s="36">
        <f>IFERROR(INDEX(Katalog!$D$3:$D$12,MATCH(cadangan3[[#This Row],[ItemID C]],Katalog!$C$3:$C$12,0))*cadangan3[[#This Row],[Qty C]],0)</f>
        <v>0</v>
      </c>
      <c r="AC672" s="36">
        <f>IFERROR(INDEX(Katalog!$D$3:$D$12,MATCH(cadangan3[[#This Row],[Item C]],Katalog!$B$3:$B$12,0))*cadangan3[[#This Row],[Qty C]],0)</f>
        <v>0</v>
      </c>
      <c r="AD672" s="36">
        <f>IFERROR(cadangan3[[#This Row],[Harga Asli C]]-(cadangan3[[#This Row],[Harga Asli C]]*cadangan3[[#This Row],[Diskon]]),cadangan3[[#This Row],[Harga Asli C]])</f>
        <v>0</v>
      </c>
      <c r="AE672" s="36">
        <f>IFERROR(INDEX(Katalog!$F$3:$F$12,MATCH(cadangan3[[#This Row],[ItemID C]],Katalog!$C$3:$C$12,0))*cadangan3[[#This Row],[Qty C]],0)</f>
        <v>0</v>
      </c>
      <c r="AF672" s="36">
        <f>IFERROR(cadangan3[[#This Row],[Profit C]]-(cadangan3[[#This Row],[Profit C]]*cadangan3[[#This Row],[Diskon]]),cadangan3[[#This Row],[Profit C]])</f>
        <v>0</v>
      </c>
      <c r="AG672" s="21">
        <f>cadangan3[[#This Row],[Qty A]]+cadangan3[[#This Row],[Qty B]]+cadangan3[[#This Row],[Qty C]]</f>
        <v>1</v>
      </c>
      <c r="AH672" s="35">
        <f>cadangan3[[#This Row],[Harga A + Diskon]]+cadangan3[[#This Row],[Harga + Diskon B]]+cadangan3[[#This Row],[Harga + Diskon C]]</f>
        <v>360000</v>
      </c>
      <c r="AI672" s="35">
        <f>(cadangan3[[#This Row],[Profit A]]+cadangan3[[#This Row],[Profit B]]+cadangan3[[#This Row],[Profit C]])</f>
        <v>150000</v>
      </c>
      <c r="AJ672" s="35">
        <f>cadangan3[[#This Row],[Provit A + Diskon]]+cadangan3[[#This Row],[Provit B + Diskon]]+cadangan3[[#This Row],[Provit C + Diskon]]</f>
        <v>135000</v>
      </c>
      <c r="AK672" s="23" t="s">
        <v>30</v>
      </c>
      <c r="AL672" s="37">
        <f>IFERROR(INDEX('Kode Diskon'!$D$3:$D$9,MATCH(cadangan3[[#This Row],[Kode diskon]],'Kode Diskon'!$C$3:$C$9,0)),"-")</f>
        <v>0.1</v>
      </c>
      <c r="AM672" s="23" t="s">
        <v>29</v>
      </c>
      <c r="AN672" s="23" t="s">
        <v>10</v>
      </c>
      <c r="AO672" s="23" t="s">
        <v>79</v>
      </c>
      <c r="AP672" s="24">
        <v>45019</v>
      </c>
      <c r="AQ672" s="23" t="str">
        <f>TEXT(cadangan3[[#This Row],[Tanggal terjual]],"dddd")</f>
        <v>Monday</v>
      </c>
    </row>
    <row r="673" spans="1:43" x14ac:dyDescent="0.2">
      <c r="A673" s="20">
        <v>672</v>
      </c>
      <c r="B673" s="21" t="str">
        <f>_xlfn.CONCAT("ORD-",INDEX(Helper!$B$2:$B$5,MATCH(cadangan3[[#This Row],[Marketplace]],Helper!$A$2:$A$5,0)),TEXT(cadangan3[[#This Row],[No]],"0000"),"-",TEXT(cadangan3[[#This Row],[Tanggal terjual]],"dd/mm/yy"))</f>
        <v>ORD-TK0672-01/04/23</v>
      </c>
      <c r="C673" t="s">
        <v>61</v>
      </c>
      <c r="D673" t="str">
        <f>IFERROR(INDEX(Katalog!$A$3:$A$12,MATCH(cadangan3[[#This Row],[ItemID A]],Katalog!$C$3:$C$12,0)),"-")</f>
        <v>Pakaian Pria</v>
      </c>
      <c r="E673" t="str">
        <f>IFERROR(INDEX(Katalog!$B$3:$B$12,MATCH(cadangan3[[#This Row],[ItemID A]],Katalog!$C$3:$C$12,0)),"-")</f>
        <v>Kaos Polo</v>
      </c>
      <c r="F673">
        <v>1</v>
      </c>
      <c r="G673">
        <v>3</v>
      </c>
      <c r="H673" s="36">
        <f>IFERROR(INDEX(Katalog!$D$3:$D$12,MATCH(cadangan3[[#This Row],[ItemID A]],Katalog!$C$3:$C$12,0))*cadangan3[[#This Row],[Qty A]],0)</f>
        <v>200000</v>
      </c>
      <c r="I673" s="36">
        <f>IFERROR(INDEX(Katalog!$D$3:$D$12,MATCH(cadangan3[[#This Row],[Item A]],Katalog!$B$3:$B$12,0))*cadangan3[[#This Row],[Qty A]],0)</f>
        <v>200000</v>
      </c>
      <c r="J673" s="36">
        <f>IFERROR(cadangan3[[#This Row],[Harga Asli A]]-(cadangan3[[#This Row],[Harga Asli A]]*cadangan3[[#This Row],[Diskon]]),cadangan3[[#This Row],[Harga Asli A]])</f>
        <v>180000</v>
      </c>
      <c r="K673" s="36">
        <f>INDEX(Katalog!$F$3:$F$12,MATCH(cadangan3[[#This Row],[ItemID A]],Katalog!$C$3:$C$12,0))*cadangan3[[#This Row],[Qty A]]</f>
        <v>80000</v>
      </c>
      <c r="L673" s="36">
        <f>IFERROR(cadangan3[[#This Row],[Profit A]]-(cadangan3[[#This Row],[Profit A]]*cadangan3[[#This Row],[Diskon]]),K673)</f>
        <v>72000</v>
      </c>
      <c r="N673" t="str">
        <f>IFERROR(INDEX(Katalog!$A$3:$A$12,MATCH(cadangan3[[#This Row],[ItemID B]],Katalog!$C$3:$C$12,0)),"-")</f>
        <v>-</v>
      </c>
      <c r="O673" t="str">
        <f>IFERROR(INDEX(Katalog!$B$3:$B$12,MATCH(cadangan3[[#This Row],[ItemID B]],Katalog!$C$3:$C$12,0)),"-")</f>
        <v>-</v>
      </c>
      <c r="R673" s="36">
        <f>IFERROR(INDEX(Katalog!$D$3:$D$12,MATCH(cadangan3[[#This Row],[ItemID B]],Katalog!$C$3:$C$12,0))*cadangan3[[#This Row],[Qty B]],0)</f>
        <v>0</v>
      </c>
      <c r="S673" s="36">
        <f>IFERROR(INDEX(Katalog!$D$3:$D$12,MATCH(cadangan3[[#This Row],[Item B]],Katalog!$B$3:$B$12,0))*cadangan3[[#This Row],[Qty B]],0)</f>
        <v>0</v>
      </c>
      <c r="T673" s="36">
        <f>IFERROR(cadangan3[[#This Row],[Harga Asli B]]-(cadangan3[[#This Row],[Harga Asli B]]*cadangan3[[#This Row],[Diskon]]),cadangan3[[#This Row],[Harga Asli B]])</f>
        <v>0</v>
      </c>
      <c r="U673" s="36">
        <f>IFERROR(INDEX(Katalog!$F$3:$F$12,MATCH(cadangan3[[#This Row],[ItemID B]],Katalog!$C$3:$C$12,0))*cadangan3[[#This Row],[Qty B]],0)</f>
        <v>0</v>
      </c>
      <c r="V673" s="36">
        <f>IFERROR(cadangan3[[#This Row],[Profit B]]-(cadangan3[[#This Row],[Profit B]]*cadangan3[[#This Row],[Diskon]]),U673)</f>
        <v>0</v>
      </c>
      <c r="X673" t="str">
        <f>IFERROR(INDEX(Katalog!$A$3:$A$12,MATCH(cadangan3[[#This Row],[ItemID C]],Katalog!$C$3:$C$12,0)),"-")</f>
        <v>-</v>
      </c>
      <c r="Y673" t="str">
        <f>IFERROR(INDEX(Katalog!$B$3:$B$12,MATCH(cadangan3[[#This Row],[ItemID C]],Katalog!$C$3:$C$12,0)),"-")</f>
        <v>-</v>
      </c>
      <c r="AB673" s="36">
        <f>IFERROR(INDEX(Katalog!$D$3:$D$12,MATCH(cadangan3[[#This Row],[ItemID C]],Katalog!$C$3:$C$12,0))*cadangan3[[#This Row],[Qty C]],0)</f>
        <v>0</v>
      </c>
      <c r="AC673" s="36">
        <f>IFERROR(INDEX(Katalog!$D$3:$D$12,MATCH(cadangan3[[#This Row],[Item C]],Katalog!$B$3:$B$12,0))*cadangan3[[#This Row],[Qty C]],0)</f>
        <v>0</v>
      </c>
      <c r="AD673" s="36">
        <f>IFERROR(cadangan3[[#This Row],[Harga Asli C]]-(cadangan3[[#This Row],[Harga Asli C]]*cadangan3[[#This Row],[Diskon]]),cadangan3[[#This Row],[Harga Asli C]])</f>
        <v>0</v>
      </c>
      <c r="AE673" s="36">
        <f>IFERROR(INDEX(Katalog!$F$3:$F$12,MATCH(cadangan3[[#This Row],[ItemID C]],Katalog!$C$3:$C$12,0))*cadangan3[[#This Row],[Qty C]],0)</f>
        <v>0</v>
      </c>
      <c r="AF673" s="36">
        <f>IFERROR(cadangan3[[#This Row],[Profit C]]-(cadangan3[[#This Row],[Profit C]]*cadangan3[[#This Row],[Diskon]]),cadangan3[[#This Row],[Profit C]])</f>
        <v>0</v>
      </c>
      <c r="AG673" s="21">
        <f>cadangan3[[#This Row],[Qty A]]+cadangan3[[#This Row],[Qty B]]+cadangan3[[#This Row],[Qty C]]</f>
        <v>1</v>
      </c>
      <c r="AH673" s="35">
        <f>cadangan3[[#This Row],[Harga A + Diskon]]+cadangan3[[#This Row],[Harga + Diskon B]]+cadangan3[[#This Row],[Harga + Diskon C]]</f>
        <v>180000</v>
      </c>
      <c r="AI673" s="35">
        <f>(cadangan3[[#This Row],[Profit A]]+cadangan3[[#This Row],[Profit B]]+cadangan3[[#This Row],[Profit C]])</f>
        <v>80000</v>
      </c>
      <c r="AJ673" s="35">
        <f>cadangan3[[#This Row],[Provit A + Diskon]]+cadangan3[[#This Row],[Provit B + Diskon]]+cadangan3[[#This Row],[Provit C + Diskon]]</f>
        <v>72000</v>
      </c>
      <c r="AK673" s="23" t="s">
        <v>30</v>
      </c>
      <c r="AL673" s="37">
        <f>IFERROR(INDEX('Kode Diskon'!$D$3:$D$9,MATCH(cadangan3[[#This Row],[Kode diskon]],'Kode Diskon'!$C$3:$C$9,0)),"-")</f>
        <v>0.1</v>
      </c>
      <c r="AM673" s="23" t="s">
        <v>29</v>
      </c>
      <c r="AN673" s="23" t="s">
        <v>10</v>
      </c>
      <c r="AO673" s="23" t="s">
        <v>75</v>
      </c>
      <c r="AP673" s="24">
        <v>45017</v>
      </c>
      <c r="AQ673" s="23" t="str">
        <f>TEXT(cadangan3[[#This Row],[Tanggal terjual]],"dddd")</f>
        <v>Saturday</v>
      </c>
    </row>
    <row r="674" spans="1:43" x14ac:dyDescent="0.2">
      <c r="A674" s="20">
        <v>673</v>
      </c>
      <c r="B674" s="21" t="str">
        <f>_xlfn.CONCAT("ORD-",INDEX(Helper!$B$2:$B$5,MATCH(cadangan3[[#This Row],[Marketplace]],Helper!$A$2:$A$5,0)),TEXT(cadangan3[[#This Row],[No]],"0000"),"-",TEXT(cadangan3[[#This Row],[Tanggal terjual]],"dd/mm/yy"))</f>
        <v>ORD-TK0673-26/04/23</v>
      </c>
      <c r="C674" t="s">
        <v>60</v>
      </c>
      <c r="D674" t="str">
        <f>IFERROR(INDEX(Katalog!$A$3:$A$12,MATCH(cadangan3[[#This Row],[ItemID A]],Katalog!$C$3:$C$12,0)),"-")</f>
        <v>Pakaian Wanita</v>
      </c>
      <c r="E674" t="str">
        <f>IFERROR(INDEX(Katalog!$B$3:$B$12,MATCH(cadangan3[[#This Row],[ItemID A]],Katalog!$C$3:$C$12,0)),"-")</f>
        <v>Kaftan</v>
      </c>
      <c r="F674">
        <v>1</v>
      </c>
      <c r="G674">
        <v>2</v>
      </c>
      <c r="H674" s="36">
        <f>IFERROR(INDEX(Katalog!$D$3:$D$12,MATCH(cadangan3[[#This Row],[ItemID A]],Katalog!$C$3:$C$12,0))*cadangan3[[#This Row],[Qty A]],0)</f>
        <v>250000</v>
      </c>
      <c r="I674" s="36">
        <f>IFERROR(INDEX(Katalog!$D$3:$D$12,MATCH(cadangan3[[#This Row],[Item A]],Katalog!$B$3:$B$12,0))*cadangan3[[#This Row],[Qty A]],0)</f>
        <v>250000</v>
      </c>
      <c r="J674" s="36">
        <f>IFERROR(cadangan3[[#This Row],[Harga Asli A]]-(cadangan3[[#This Row],[Harga Asli A]]*cadangan3[[#This Row],[Diskon]]),cadangan3[[#This Row],[Harga Asli A]])</f>
        <v>225000</v>
      </c>
      <c r="K674" s="36">
        <f>INDEX(Katalog!$F$3:$F$12,MATCH(cadangan3[[#This Row],[ItemID A]],Katalog!$C$3:$C$12,0))*cadangan3[[#This Row],[Qty A]]</f>
        <v>100000</v>
      </c>
      <c r="L674" s="36">
        <f>IFERROR(cadangan3[[#This Row],[Profit A]]-(cadangan3[[#This Row],[Profit A]]*cadangan3[[#This Row],[Diskon]]),K674)</f>
        <v>90000</v>
      </c>
      <c r="N674" t="str">
        <f>IFERROR(INDEX(Katalog!$A$3:$A$12,MATCH(cadangan3[[#This Row],[ItemID B]],Katalog!$C$3:$C$12,0)),"-")</f>
        <v>-</v>
      </c>
      <c r="O674" t="str">
        <f>IFERROR(INDEX(Katalog!$B$3:$B$12,MATCH(cadangan3[[#This Row],[ItemID B]],Katalog!$C$3:$C$12,0)),"-")</f>
        <v>-</v>
      </c>
      <c r="R674" s="36">
        <f>IFERROR(INDEX(Katalog!$D$3:$D$12,MATCH(cadangan3[[#This Row],[ItemID B]],Katalog!$C$3:$C$12,0))*cadangan3[[#This Row],[Qty B]],0)</f>
        <v>0</v>
      </c>
      <c r="S674" s="36">
        <f>IFERROR(INDEX(Katalog!$D$3:$D$12,MATCH(cadangan3[[#This Row],[Item B]],Katalog!$B$3:$B$12,0))*cadangan3[[#This Row],[Qty B]],0)</f>
        <v>0</v>
      </c>
      <c r="T674" s="36">
        <f>IFERROR(cadangan3[[#This Row],[Harga Asli B]]-(cadangan3[[#This Row],[Harga Asli B]]*cadangan3[[#This Row],[Diskon]]),cadangan3[[#This Row],[Harga Asli B]])</f>
        <v>0</v>
      </c>
      <c r="U674" s="36">
        <f>IFERROR(INDEX(Katalog!$F$3:$F$12,MATCH(cadangan3[[#This Row],[ItemID B]],Katalog!$C$3:$C$12,0))*cadangan3[[#This Row],[Qty B]],0)</f>
        <v>0</v>
      </c>
      <c r="V674" s="36">
        <f>IFERROR(cadangan3[[#This Row],[Profit B]]-(cadangan3[[#This Row],[Profit B]]*cadangan3[[#This Row],[Diskon]]),U674)</f>
        <v>0</v>
      </c>
      <c r="X674" t="str">
        <f>IFERROR(INDEX(Katalog!$A$3:$A$12,MATCH(cadangan3[[#This Row],[ItemID C]],Katalog!$C$3:$C$12,0)),"-")</f>
        <v>-</v>
      </c>
      <c r="Y674" t="str">
        <f>IFERROR(INDEX(Katalog!$B$3:$B$12,MATCH(cadangan3[[#This Row],[ItemID C]],Katalog!$C$3:$C$12,0)),"-")</f>
        <v>-</v>
      </c>
      <c r="AB674" s="36">
        <f>IFERROR(INDEX(Katalog!$D$3:$D$12,MATCH(cadangan3[[#This Row],[ItemID C]],Katalog!$C$3:$C$12,0))*cadangan3[[#This Row],[Qty C]],0)</f>
        <v>0</v>
      </c>
      <c r="AC674" s="36">
        <f>IFERROR(INDEX(Katalog!$D$3:$D$12,MATCH(cadangan3[[#This Row],[Item C]],Katalog!$B$3:$B$12,0))*cadangan3[[#This Row],[Qty C]],0)</f>
        <v>0</v>
      </c>
      <c r="AD674" s="36">
        <f>IFERROR(cadangan3[[#This Row],[Harga Asli C]]-(cadangan3[[#This Row],[Harga Asli C]]*cadangan3[[#This Row],[Diskon]]),cadangan3[[#This Row],[Harga Asli C]])</f>
        <v>0</v>
      </c>
      <c r="AE674" s="36">
        <f>IFERROR(INDEX(Katalog!$F$3:$F$12,MATCH(cadangan3[[#This Row],[ItemID C]],Katalog!$C$3:$C$12,0))*cadangan3[[#This Row],[Qty C]],0)</f>
        <v>0</v>
      </c>
      <c r="AF674" s="36">
        <f>IFERROR(cadangan3[[#This Row],[Profit C]]-(cadangan3[[#This Row],[Profit C]]*cadangan3[[#This Row],[Diskon]]),cadangan3[[#This Row],[Profit C]])</f>
        <v>0</v>
      </c>
      <c r="AG674" s="21">
        <f>cadangan3[[#This Row],[Qty A]]+cadangan3[[#This Row],[Qty B]]+cadangan3[[#This Row],[Qty C]]</f>
        <v>1</v>
      </c>
      <c r="AH674" s="35">
        <f>cadangan3[[#This Row],[Harga A + Diskon]]+cadangan3[[#This Row],[Harga + Diskon B]]+cadangan3[[#This Row],[Harga + Diskon C]]</f>
        <v>225000</v>
      </c>
      <c r="AI674" s="35">
        <f>(cadangan3[[#This Row],[Profit A]]+cadangan3[[#This Row],[Profit B]]+cadangan3[[#This Row],[Profit C]])</f>
        <v>100000</v>
      </c>
      <c r="AJ674" s="35">
        <f>cadangan3[[#This Row],[Provit A + Diskon]]+cadangan3[[#This Row],[Provit B + Diskon]]+cadangan3[[#This Row],[Provit C + Diskon]]</f>
        <v>90000</v>
      </c>
      <c r="AK674" s="23" t="s">
        <v>31</v>
      </c>
      <c r="AL674" s="37">
        <f>IFERROR(INDEX('Kode Diskon'!$D$3:$D$9,MATCH(cadangan3[[#This Row],[Kode diskon]],'Kode Diskon'!$C$3:$C$9,0)),"-")</f>
        <v>0.1</v>
      </c>
      <c r="AM674" s="23" t="s">
        <v>9</v>
      </c>
      <c r="AN674" s="23" t="s">
        <v>10</v>
      </c>
      <c r="AO674" s="23" t="s">
        <v>78</v>
      </c>
      <c r="AP674" s="24">
        <v>45042</v>
      </c>
      <c r="AQ674" s="23" t="str">
        <f>TEXT(cadangan3[[#This Row],[Tanggal terjual]],"dddd")</f>
        <v>Wednesday</v>
      </c>
    </row>
    <row r="675" spans="1:43" x14ac:dyDescent="0.2">
      <c r="A675" s="20">
        <v>674</v>
      </c>
      <c r="B675" s="21" t="str">
        <f>_xlfn.CONCAT("ORD-",INDEX(Helper!$B$2:$B$5,MATCH(cadangan3[[#This Row],[Marketplace]],Helper!$A$2:$A$5,0)),TEXT(cadangan3[[#This Row],[No]],"0000"),"-",TEXT(cadangan3[[#This Row],[Tanggal terjual]],"dd/mm/yy"))</f>
        <v>ORD-SP0674-04/04/23</v>
      </c>
      <c r="C675" t="s">
        <v>64</v>
      </c>
      <c r="D675" t="str">
        <f>IFERROR(INDEX(Katalog!$A$3:$A$12,MATCH(cadangan3[[#This Row],[ItemID A]],Katalog!$C$3:$C$12,0)),"-")</f>
        <v>Pakaian Unisex</v>
      </c>
      <c r="E675" t="str">
        <f>IFERROR(INDEX(Katalog!$B$3:$B$12,MATCH(cadangan3[[#This Row],[ItemID A]],Katalog!$C$3:$C$12,0)),"-")</f>
        <v>Jaket Hoodie</v>
      </c>
      <c r="F675">
        <v>3</v>
      </c>
      <c r="G675">
        <v>4</v>
      </c>
      <c r="H675" s="36">
        <f>IFERROR(INDEX(Katalog!$D$3:$D$12,MATCH(cadangan3[[#This Row],[ItemID A]],Katalog!$C$3:$C$12,0))*cadangan3[[#This Row],[Qty A]],0)</f>
        <v>1050000</v>
      </c>
      <c r="I675" s="36">
        <f>IFERROR(INDEX(Katalog!$D$3:$D$12,MATCH(cadangan3[[#This Row],[Item A]],Katalog!$B$3:$B$12,0))*cadangan3[[#This Row],[Qty A]],0)</f>
        <v>1050000</v>
      </c>
      <c r="J675" s="36">
        <f>IFERROR(cadangan3[[#This Row],[Harga Asli A]]-(cadangan3[[#This Row],[Harga Asli A]]*cadangan3[[#This Row],[Diskon]]),cadangan3[[#This Row],[Harga Asli A]])</f>
        <v>892500</v>
      </c>
      <c r="K675" s="36">
        <f>INDEX(Katalog!$F$3:$F$12,MATCH(cadangan3[[#This Row],[ItemID A]],Katalog!$C$3:$C$12,0))*cadangan3[[#This Row],[Qty A]]</f>
        <v>390000</v>
      </c>
      <c r="L675" s="36">
        <f>IFERROR(cadangan3[[#This Row],[Profit A]]-(cadangan3[[#This Row],[Profit A]]*cadangan3[[#This Row],[Diskon]]),K675)</f>
        <v>331500</v>
      </c>
      <c r="N675" t="str">
        <f>IFERROR(INDEX(Katalog!$A$3:$A$12,MATCH(cadangan3[[#This Row],[ItemID B]],Katalog!$C$3:$C$12,0)),"-")</f>
        <v>-</v>
      </c>
      <c r="O675" t="str">
        <f>IFERROR(INDEX(Katalog!$B$3:$B$12,MATCH(cadangan3[[#This Row],[ItemID B]],Katalog!$C$3:$C$12,0)),"-")</f>
        <v>-</v>
      </c>
      <c r="R675" s="36">
        <f>IFERROR(INDEX(Katalog!$D$3:$D$12,MATCH(cadangan3[[#This Row],[ItemID B]],Katalog!$C$3:$C$12,0))*cadangan3[[#This Row],[Qty B]],0)</f>
        <v>0</v>
      </c>
      <c r="S675" s="36">
        <f>IFERROR(INDEX(Katalog!$D$3:$D$12,MATCH(cadangan3[[#This Row],[Item B]],Katalog!$B$3:$B$12,0))*cadangan3[[#This Row],[Qty B]],0)</f>
        <v>0</v>
      </c>
      <c r="T675" s="36">
        <f>IFERROR(cadangan3[[#This Row],[Harga Asli B]]-(cadangan3[[#This Row],[Harga Asli B]]*cadangan3[[#This Row],[Diskon]]),cadangan3[[#This Row],[Harga Asli B]])</f>
        <v>0</v>
      </c>
      <c r="U675" s="36">
        <f>IFERROR(INDEX(Katalog!$F$3:$F$12,MATCH(cadangan3[[#This Row],[ItemID B]],Katalog!$C$3:$C$12,0))*cadangan3[[#This Row],[Qty B]],0)</f>
        <v>0</v>
      </c>
      <c r="V675" s="36">
        <f>IFERROR(cadangan3[[#This Row],[Profit B]]-(cadangan3[[#This Row],[Profit B]]*cadangan3[[#This Row],[Diskon]]),U675)</f>
        <v>0</v>
      </c>
      <c r="X675" t="str">
        <f>IFERROR(INDEX(Katalog!$A$3:$A$12,MATCH(cadangan3[[#This Row],[ItemID C]],Katalog!$C$3:$C$12,0)),"-")</f>
        <v>-</v>
      </c>
      <c r="Y675" t="str">
        <f>IFERROR(INDEX(Katalog!$B$3:$B$12,MATCH(cadangan3[[#This Row],[ItemID C]],Katalog!$C$3:$C$12,0)),"-")</f>
        <v>-</v>
      </c>
      <c r="AB675" s="36">
        <f>IFERROR(INDEX(Katalog!$D$3:$D$12,MATCH(cadangan3[[#This Row],[ItemID C]],Katalog!$C$3:$C$12,0))*cadangan3[[#This Row],[Qty C]],0)</f>
        <v>0</v>
      </c>
      <c r="AC675" s="36">
        <f>IFERROR(INDEX(Katalog!$D$3:$D$12,MATCH(cadangan3[[#This Row],[Item C]],Katalog!$B$3:$B$12,0))*cadangan3[[#This Row],[Qty C]],0)</f>
        <v>0</v>
      </c>
      <c r="AD675" s="36">
        <f>IFERROR(cadangan3[[#This Row],[Harga Asli C]]-(cadangan3[[#This Row],[Harga Asli C]]*cadangan3[[#This Row],[Diskon]]),cadangan3[[#This Row],[Harga Asli C]])</f>
        <v>0</v>
      </c>
      <c r="AE675" s="36">
        <f>IFERROR(INDEX(Katalog!$F$3:$F$12,MATCH(cadangan3[[#This Row],[ItemID C]],Katalog!$C$3:$C$12,0))*cadangan3[[#This Row],[Qty C]],0)</f>
        <v>0</v>
      </c>
      <c r="AF675" s="36">
        <f>IFERROR(cadangan3[[#This Row],[Profit C]]-(cadangan3[[#This Row],[Profit C]]*cadangan3[[#This Row],[Diskon]]),cadangan3[[#This Row],[Profit C]])</f>
        <v>0</v>
      </c>
      <c r="AG675" s="21">
        <f>cadangan3[[#This Row],[Qty A]]+cadangan3[[#This Row],[Qty B]]+cadangan3[[#This Row],[Qty C]]</f>
        <v>3</v>
      </c>
      <c r="AH675" s="35">
        <f>cadangan3[[#This Row],[Harga A + Diskon]]+cadangan3[[#This Row],[Harga + Diskon B]]+cadangan3[[#This Row],[Harga + Diskon C]]</f>
        <v>892500</v>
      </c>
      <c r="AI675" s="35">
        <f>(cadangan3[[#This Row],[Profit A]]+cadangan3[[#This Row],[Profit B]]+cadangan3[[#This Row],[Profit C]])</f>
        <v>390000</v>
      </c>
      <c r="AJ675" s="35">
        <f>cadangan3[[#This Row],[Provit A + Diskon]]+cadangan3[[#This Row],[Provit B + Diskon]]+cadangan3[[#This Row],[Provit C + Diskon]]</f>
        <v>331500</v>
      </c>
      <c r="AK675" s="23" t="s">
        <v>13</v>
      </c>
      <c r="AL675" s="37">
        <f>IFERROR(INDEX('Kode Diskon'!$D$3:$D$9,MATCH(cadangan3[[#This Row],[Kode diskon]],'Kode Diskon'!$C$3:$C$9,0)),"-")</f>
        <v>0.15</v>
      </c>
      <c r="AM675" s="23" t="s">
        <v>29</v>
      </c>
      <c r="AN675" s="23" t="s">
        <v>7</v>
      </c>
      <c r="AO675" s="23" t="s">
        <v>78</v>
      </c>
      <c r="AP675" s="24">
        <v>45020</v>
      </c>
      <c r="AQ675" s="23" t="str">
        <f>TEXT(cadangan3[[#This Row],[Tanggal terjual]],"dddd")</f>
        <v>Tuesday</v>
      </c>
    </row>
    <row r="676" spans="1:43" x14ac:dyDescent="0.2">
      <c r="A676" s="20">
        <v>675</v>
      </c>
      <c r="B676" s="21" t="str">
        <f>_xlfn.CONCAT("ORD-",INDEX(Helper!$B$2:$B$5,MATCH(cadangan3[[#This Row],[Marketplace]],Helper!$A$2:$A$5,0)),TEXT(cadangan3[[#This Row],[No]],"0000"),"-",TEXT(cadangan3[[#This Row],[Tanggal terjual]],"dd/mm/yy"))</f>
        <v>ORD-TK0675-01/04/23</v>
      </c>
      <c r="C676" t="s">
        <v>59</v>
      </c>
      <c r="D676" t="str">
        <f>IFERROR(INDEX(Katalog!$A$3:$A$12,MATCH(cadangan3[[#This Row],[ItemID A]],Katalog!$C$3:$C$12,0)),"-")</f>
        <v>Pakaian Wanita</v>
      </c>
      <c r="E676" t="str">
        <f>IFERROR(INDEX(Katalog!$B$3:$B$12,MATCH(cadangan3[[#This Row],[ItemID A]],Katalog!$C$3:$C$12,0)),"-")</f>
        <v>Blouse</v>
      </c>
      <c r="F676">
        <v>1</v>
      </c>
      <c r="G676">
        <v>2</v>
      </c>
      <c r="H676" s="36">
        <f>IFERROR(INDEX(Katalog!$D$3:$D$12,MATCH(cadangan3[[#This Row],[ItemID A]],Katalog!$C$3:$C$12,0))*cadangan3[[#This Row],[Qty A]],0)</f>
        <v>150000</v>
      </c>
      <c r="I676" s="36">
        <f>IFERROR(INDEX(Katalog!$D$3:$D$12,MATCH(cadangan3[[#This Row],[Item A]],Katalog!$B$3:$B$12,0))*cadangan3[[#This Row],[Qty A]],0)</f>
        <v>150000</v>
      </c>
      <c r="J676" s="36">
        <f>IFERROR(cadangan3[[#This Row],[Harga Asli A]]-(cadangan3[[#This Row],[Harga Asli A]]*cadangan3[[#This Row],[Diskon]]),cadangan3[[#This Row],[Harga Asli A]])</f>
        <v>135000</v>
      </c>
      <c r="K676" s="36">
        <f>INDEX(Katalog!$F$3:$F$12,MATCH(cadangan3[[#This Row],[ItemID A]],Katalog!$C$3:$C$12,0))*cadangan3[[#This Row],[Qty A]]</f>
        <v>50000</v>
      </c>
      <c r="L676" s="36">
        <f>IFERROR(cadangan3[[#This Row],[Profit A]]-(cadangan3[[#This Row],[Profit A]]*cadangan3[[#This Row],[Diskon]]),K676)</f>
        <v>45000</v>
      </c>
      <c r="M676" t="s">
        <v>67</v>
      </c>
      <c r="N676" t="str">
        <f>IFERROR(INDEX(Katalog!$A$3:$A$12,MATCH(cadangan3[[#This Row],[ItemID B]],Katalog!$C$3:$C$12,0)),"-")</f>
        <v>Sepatu Wanita</v>
      </c>
      <c r="O676" t="str">
        <f>IFERROR(INDEX(Katalog!$B$3:$B$12,MATCH(cadangan3[[#This Row],[ItemID B]],Katalog!$C$3:$C$12,0)),"-")</f>
        <v>Flat Shoes</v>
      </c>
      <c r="P676">
        <v>4</v>
      </c>
      <c r="Q676">
        <v>5</v>
      </c>
      <c r="R676" s="36">
        <f>IFERROR(INDEX(Katalog!$D$3:$D$12,MATCH(cadangan3[[#This Row],[ItemID B]],Katalog!$C$3:$C$12,0))*cadangan3[[#This Row],[Qty B]],0)</f>
        <v>1000000</v>
      </c>
      <c r="S676" s="36">
        <f>IFERROR(INDEX(Katalog!$D$3:$D$12,MATCH(cadangan3[[#This Row],[Item B]],Katalog!$B$3:$B$12,0))*cadangan3[[#This Row],[Qty B]],0)</f>
        <v>1000000</v>
      </c>
      <c r="T676" s="36">
        <f>IFERROR(cadangan3[[#This Row],[Harga Asli B]]-(cadangan3[[#This Row],[Harga Asli B]]*cadangan3[[#This Row],[Diskon]]),cadangan3[[#This Row],[Harga Asli B]])</f>
        <v>900000</v>
      </c>
      <c r="U676" s="36">
        <f>IFERROR(INDEX(Katalog!$F$3:$F$12,MATCH(cadangan3[[#This Row],[ItemID B]],Katalog!$C$3:$C$12,0))*cadangan3[[#This Row],[Qty B]],0)</f>
        <v>400000</v>
      </c>
      <c r="V676" s="36">
        <f>IFERROR(cadangan3[[#This Row],[Profit B]]-(cadangan3[[#This Row],[Profit B]]*cadangan3[[#This Row],[Diskon]]),U676)</f>
        <v>360000</v>
      </c>
      <c r="W676" t="s">
        <v>66</v>
      </c>
      <c r="X676" t="str">
        <f>IFERROR(INDEX(Katalog!$A$3:$A$12,MATCH(cadangan3[[#This Row],[ItemID C]],Katalog!$C$3:$C$12,0)),"-")</f>
        <v>Sepatu Pria</v>
      </c>
      <c r="Y676" t="str">
        <f>IFERROR(INDEX(Katalog!$B$3:$B$12,MATCH(cadangan3[[#This Row],[ItemID C]],Katalog!$C$3:$C$12,0)),"-")</f>
        <v>Sandal Slip On</v>
      </c>
      <c r="Z676">
        <v>1</v>
      </c>
      <c r="AA676">
        <v>4</v>
      </c>
      <c r="AB676" s="36">
        <f>IFERROR(INDEX(Katalog!$D$3:$D$12,MATCH(cadangan3[[#This Row],[ItemID C]],Katalog!$C$3:$C$12,0))*cadangan3[[#This Row],[Qty C]],0)</f>
        <v>150000</v>
      </c>
      <c r="AC676" s="36">
        <f>IFERROR(INDEX(Katalog!$D$3:$D$12,MATCH(cadangan3[[#This Row],[Item C]],Katalog!$B$3:$B$12,0))*cadangan3[[#This Row],[Qty C]],0)</f>
        <v>150000</v>
      </c>
      <c r="AD676" s="36">
        <f>IFERROR(cadangan3[[#This Row],[Harga Asli C]]-(cadangan3[[#This Row],[Harga Asli C]]*cadangan3[[#This Row],[Diskon]]),cadangan3[[#This Row],[Harga Asli C]])</f>
        <v>135000</v>
      </c>
      <c r="AE676" s="36">
        <f>IFERROR(INDEX(Katalog!$F$3:$F$12,MATCH(cadangan3[[#This Row],[ItemID C]],Katalog!$C$3:$C$12,0))*cadangan3[[#This Row],[Qty C]],0)</f>
        <v>60000</v>
      </c>
      <c r="AF676" s="36">
        <f>IFERROR(cadangan3[[#This Row],[Profit C]]-(cadangan3[[#This Row],[Profit C]]*cadangan3[[#This Row],[Diskon]]),cadangan3[[#This Row],[Profit C]])</f>
        <v>54000</v>
      </c>
      <c r="AG676" s="21">
        <f>cadangan3[[#This Row],[Qty A]]+cadangan3[[#This Row],[Qty B]]+cadangan3[[#This Row],[Qty C]]</f>
        <v>6</v>
      </c>
      <c r="AH676" s="35">
        <f>cadangan3[[#This Row],[Harga A + Diskon]]+cadangan3[[#This Row],[Harga + Diskon B]]+cadangan3[[#This Row],[Harga + Diskon C]]</f>
        <v>1170000</v>
      </c>
      <c r="AI676" s="35">
        <f>(cadangan3[[#This Row],[Profit A]]+cadangan3[[#This Row],[Profit B]]+cadangan3[[#This Row],[Profit C]])</f>
        <v>510000</v>
      </c>
      <c r="AJ676" s="35">
        <f>cadangan3[[#This Row],[Provit A + Diskon]]+cadangan3[[#This Row],[Provit B + Diskon]]+cadangan3[[#This Row],[Provit C + Diskon]]</f>
        <v>459000</v>
      </c>
      <c r="AK676" s="23" t="s">
        <v>30</v>
      </c>
      <c r="AL676" s="37">
        <f>IFERROR(INDEX('Kode Diskon'!$D$3:$D$9,MATCH(cadangan3[[#This Row],[Kode diskon]],'Kode Diskon'!$C$3:$C$9,0)),"-")</f>
        <v>0.1</v>
      </c>
      <c r="AM676" s="23" t="s">
        <v>29</v>
      </c>
      <c r="AN676" s="23" t="s">
        <v>10</v>
      </c>
      <c r="AO676" s="23" t="s">
        <v>80</v>
      </c>
      <c r="AP676" s="24">
        <v>45017</v>
      </c>
      <c r="AQ676" s="23" t="str">
        <f>TEXT(cadangan3[[#This Row],[Tanggal terjual]],"dddd")</f>
        <v>Saturday</v>
      </c>
    </row>
    <row r="677" spans="1:43" x14ac:dyDescent="0.2">
      <c r="A677" s="20">
        <v>676</v>
      </c>
      <c r="B677" s="21" t="str">
        <f>_xlfn.CONCAT("ORD-",INDEX(Helper!$B$2:$B$5,MATCH(cadangan3[[#This Row],[Marketplace]],Helper!$A$2:$A$5,0)),TEXT(cadangan3[[#This Row],[No]],"0000"),"-",TEXT(cadangan3[[#This Row],[Tanggal terjual]],"dd/mm/yy"))</f>
        <v>ORD-TK0676-30/04/23</v>
      </c>
      <c r="C677" t="s">
        <v>61</v>
      </c>
      <c r="D677" t="str">
        <f>IFERROR(INDEX(Katalog!$A$3:$A$12,MATCH(cadangan3[[#This Row],[ItemID A]],Katalog!$C$3:$C$12,0)),"-")</f>
        <v>Pakaian Pria</v>
      </c>
      <c r="E677" t="str">
        <f>IFERROR(INDEX(Katalog!$B$3:$B$12,MATCH(cadangan3[[#This Row],[ItemID A]],Katalog!$C$3:$C$12,0)),"-")</f>
        <v>Kaos Polo</v>
      </c>
      <c r="F677">
        <v>3</v>
      </c>
      <c r="G677">
        <v>4</v>
      </c>
      <c r="H677" s="36">
        <f>IFERROR(INDEX(Katalog!$D$3:$D$12,MATCH(cadangan3[[#This Row],[ItemID A]],Katalog!$C$3:$C$12,0))*cadangan3[[#This Row],[Qty A]],0)</f>
        <v>600000</v>
      </c>
      <c r="I677" s="36">
        <f>IFERROR(INDEX(Katalog!$D$3:$D$12,MATCH(cadangan3[[#This Row],[Item A]],Katalog!$B$3:$B$12,0))*cadangan3[[#This Row],[Qty A]],0)</f>
        <v>600000</v>
      </c>
      <c r="J677" s="36">
        <f>IFERROR(cadangan3[[#This Row],[Harga Asli A]]-(cadangan3[[#This Row],[Harga Asli A]]*cadangan3[[#This Row],[Diskon]]),cadangan3[[#This Row],[Harga Asli A]])</f>
        <v>540000</v>
      </c>
      <c r="K677" s="36">
        <f>INDEX(Katalog!$F$3:$F$12,MATCH(cadangan3[[#This Row],[ItemID A]],Katalog!$C$3:$C$12,0))*cadangan3[[#This Row],[Qty A]]</f>
        <v>240000</v>
      </c>
      <c r="L677" s="36">
        <f>IFERROR(cadangan3[[#This Row],[Profit A]]-(cadangan3[[#This Row],[Profit A]]*cadangan3[[#This Row],[Diskon]]),K677)</f>
        <v>216000</v>
      </c>
      <c r="M677" t="s">
        <v>63</v>
      </c>
      <c r="N677" t="str">
        <f>IFERROR(INDEX(Katalog!$A$3:$A$12,MATCH(cadangan3[[#This Row],[ItemID B]],Katalog!$C$3:$C$12,0)),"-")</f>
        <v>Pakaian Pria</v>
      </c>
      <c r="O677" t="str">
        <f>IFERROR(INDEX(Katalog!$B$3:$B$12,MATCH(cadangan3[[#This Row],[ItemID B]],Katalog!$C$3:$C$12,0)),"-")</f>
        <v>Jaket Jeans</v>
      </c>
      <c r="P677">
        <v>2</v>
      </c>
      <c r="Q677">
        <v>4</v>
      </c>
      <c r="R677" s="36">
        <f>IFERROR(INDEX(Katalog!$D$3:$D$12,MATCH(cadangan3[[#This Row],[ItemID B]],Katalog!$C$3:$C$12,0))*cadangan3[[#This Row],[Qty B]],0)</f>
        <v>800000</v>
      </c>
      <c r="S677" s="36">
        <f>IFERROR(INDEX(Katalog!$D$3:$D$12,MATCH(cadangan3[[#This Row],[Item B]],Katalog!$B$3:$B$12,0))*cadangan3[[#This Row],[Qty B]],0)</f>
        <v>800000</v>
      </c>
      <c r="T677" s="36">
        <f>IFERROR(cadangan3[[#This Row],[Harga Asli B]]-(cadangan3[[#This Row],[Harga Asli B]]*cadangan3[[#This Row],[Diskon]]),cadangan3[[#This Row],[Harga Asli B]])</f>
        <v>720000</v>
      </c>
      <c r="U677" s="36">
        <f>IFERROR(INDEX(Katalog!$F$3:$F$12,MATCH(cadangan3[[#This Row],[ItemID B]],Katalog!$C$3:$C$12,0))*cadangan3[[#This Row],[Qty B]],0)</f>
        <v>300000</v>
      </c>
      <c r="V677" s="36">
        <f>IFERROR(cadangan3[[#This Row],[Profit B]]-(cadangan3[[#This Row],[Profit B]]*cadangan3[[#This Row],[Diskon]]),U677)</f>
        <v>270000</v>
      </c>
      <c r="X677" t="str">
        <f>IFERROR(INDEX(Katalog!$A$3:$A$12,MATCH(cadangan3[[#This Row],[ItemID C]],Katalog!$C$3:$C$12,0)),"-")</f>
        <v>-</v>
      </c>
      <c r="Y677" t="str">
        <f>IFERROR(INDEX(Katalog!$B$3:$B$12,MATCH(cadangan3[[#This Row],[ItemID C]],Katalog!$C$3:$C$12,0)),"-")</f>
        <v>-</v>
      </c>
      <c r="AB677" s="36">
        <f>IFERROR(INDEX(Katalog!$D$3:$D$12,MATCH(cadangan3[[#This Row],[ItemID C]],Katalog!$C$3:$C$12,0))*cadangan3[[#This Row],[Qty C]],0)</f>
        <v>0</v>
      </c>
      <c r="AC677" s="36">
        <f>IFERROR(INDEX(Katalog!$D$3:$D$12,MATCH(cadangan3[[#This Row],[Item C]],Katalog!$B$3:$B$12,0))*cadangan3[[#This Row],[Qty C]],0)</f>
        <v>0</v>
      </c>
      <c r="AD677" s="36">
        <f>IFERROR(cadangan3[[#This Row],[Harga Asli C]]-(cadangan3[[#This Row],[Harga Asli C]]*cadangan3[[#This Row],[Diskon]]),cadangan3[[#This Row],[Harga Asli C]])</f>
        <v>0</v>
      </c>
      <c r="AE677" s="36">
        <f>IFERROR(INDEX(Katalog!$F$3:$F$12,MATCH(cadangan3[[#This Row],[ItemID C]],Katalog!$C$3:$C$12,0))*cadangan3[[#This Row],[Qty C]],0)</f>
        <v>0</v>
      </c>
      <c r="AF677" s="36">
        <f>IFERROR(cadangan3[[#This Row],[Profit C]]-(cadangan3[[#This Row],[Profit C]]*cadangan3[[#This Row],[Diskon]]),cadangan3[[#This Row],[Profit C]])</f>
        <v>0</v>
      </c>
      <c r="AG677" s="21">
        <f>cadangan3[[#This Row],[Qty A]]+cadangan3[[#This Row],[Qty B]]+cadangan3[[#This Row],[Qty C]]</f>
        <v>5</v>
      </c>
      <c r="AH677" s="35">
        <f>cadangan3[[#This Row],[Harga A + Diskon]]+cadangan3[[#This Row],[Harga + Diskon B]]+cadangan3[[#This Row],[Harga + Diskon C]]</f>
        <v>1260000</v>
      </c>
      <c r="AI677" s="35">
        <f>(cadangan3[[#This Row],[Profit A]]+cadangan3[[#This Row],[Profit B]]+cadangan3[[#This Row],[Profit C]])</f>
        <v>540000</v>
      </c>
      <c r="AJ677" s="35">
        <f>cadangan3[[#This Row],[Provit A + Diskon]]+cadangan3[[#This Row],[Provit B + Diskon]]+cadangan3[[#This Row],[Provit C + Diskon]]</f>
        <v>486000</v>
      </c>
      <c r="AK677" s="23" t="s">
        <v>31</v>
      </c>
      <c r="AL677" s="37">
        <f>IFERROR(INDEX('Kode Diskon'!$D$3:$D$9,MATCH(cadangan3[[#This Row],[Kode diskon]],'Kode Diskon'!$C$3:$C$9,0)),"-")</f>
        <v>0.1</v>
      </c>
      <c r="AM677" s="23" t="s">
        <v>9</v>
      </c>
      <c r="AN677" s="23" t="s">
        <v>10</v>
      </c>
      <c r="AO677" s="23" t="s">
        <v>79</v>
      </c>
      <c r="AP677" s="24">
        <v>45046</v>
      </c>
      <c r="AQ677" s="23" t="str">
        <f>TEXT(cadangan3[[#This Row],[Tanggal terjual]],"dddd")</f>
        <v>Sunday</v>
      </c>
    </row>
    <row r="678" spans="1:43" x14ac:dyDescent="0.2">
      <c r="A678" s="20">
        <v>677</v>
      </c>
      <c r="B678" s="21" t="str">
        <f>_xlfn.CONCAT("ORD-",INDEX(Helper!$B$2:$B$5,MATCH(cadangan3[[#This Row],[Marketplace]],Helper!$A$2:$A$5,0)),TEXT(cadangan3[[#This Row],[No]],"0000"),"-",TEXT(cadangan3[[#This Row],[Tanggal terjual]],"dd/mm/yy"))</f>
        <v>ORD-TK0677-04/04/23</v>
      </c>
      <c r="C678" t="s">
        <v>62</v>
      </c>
      <c r="D678" t="str">
        <f>IFERROR(INDEX(Katalog!$A$3:$A$12,MATCH(cadangan3[[#This Row],[ItemID A]],Katalog!$C$3:$C$12,0)),"-")</f>
        <v>Pakaian Pria</v>
      </c>
      <c r="E678" t="str">
        <f>IFERROR(INDEX(Katalog!$B$3:$B$12,MATCH(cadangan3[[#This Row],[ItemID A]],Katalog!$C$3:$C$12,0)),"-")</f>
        <v>Celana Pendek</v>
      </c>
      <c r="F678">
        <v>1</v>
      </c>
      <c r="G678">
        <v>4</v>
      </c>
      <c r="H678" s="36">
        <f>IFERROR(INDEX(Katalog!$D$3:$D$12,MATCH(cadangan3[[#This Row],[ItemID A]],Katalog!$C$3:$C$12,0))*cadangan3[[#This Row],[Qty A]],0)</f>
        <v>180000</v>
      </c>
      <c r="I678" s="36">
        <f>IFERROR(INDEX(Katalog!$D$3:$D$12,MATCH(cadangan3[[#This Row],[Item A]],Katalog!$B$3:$B$12,0))*cadangan3[[#This Row],[Qty A]],0)</f>
        <v>180000</v>
      </c>
      <c r="J678" s="36">
        <f>IFERROR(cadangan3[[#This Row],[Harga Asli A]]-(cadangan3[[#This Row],[Harga Asli A]]*cadangan3[[#This Row],[Diskon]]),cadangan3[[#This Row],[Harga Asli A]])</f>
        <v>162000</v>
      </c>
      <c r="K678" s="36">
        <f>INDEX(Katalog!$F$3:$F$12,MATCH(cadangan3[[#This Row],[ItemID A]],Katalog!$C$3:$C$12,0))*cadangan3[[#This Row],[Qty A]]</f>
        <v>70000</v>
      </c>
      <c r="L678" s="36">
        <f>IFERROR(cadangan3[[#This Row],[Profit A]]-(cadangan3[[#This Row],[Profit A]]*cadangan3[[#This Row],[Diskon]]),K678)</f>
        <v>63000</v>
      </c>
      <c r="N678" t="str">
        <f>IFERROR(INDEX(Katalog!$A$3:$A$12,MATCH(cadangan3[[#This Row],[ItemID B]],Katalog!$C$3:$C$12,0)),"-")</f>
        <v>-</v>
      </c>
      <c r="O678" t="str">
        <f>IFERROR(INDEX(Katalog!$B$3:$B$12,MATCH(cadangan3[[#This Row],[ItemID B]],Katalog!$C$3:$C$12,0)),"-")</f>
        <v>-</v>
      </c>
      <c r="R678" s="36">
        <f>IFERROR(INDEX(Katalog!$D$3:$D$12,MATCH(cadangan3[[#This Row],[ItemID B]],Katalog!$C$3:$C$12,0))*cadangan3[[#This Row],[Qty B]],0)</f>
        <v>0</v>
      </c>
      <c r="S678" s="36">
        <f>IFERROR(INDEX(Katalog!$D$3:$D$12,MATCH(cadangan3[[#This Row],[Item B]],Katalog!$B$3:$B$12,0))*cadangan3[[#This Row],[Qty B]],0)</f>
        <v>0</v>
      </c>
      <c r="T678" s="36">
        <f>IFERROR(cadangan3[[#This Row],[Harga Asli B]]-(cadangan3[[#This Row],[Harga Asli B]]*cadangan3[[#This Row],[Diskon]]),cadangan3[[#This Row],[Harga Asli B]])</f>
        <v>0</v>
      </c>
      <c r="U678" s="36">
        <f>IFERROR(INDEX(Katalog!$F$3:$F$12,MATCH(cadangan3[[#This Row],[ItemID B]],Katalog!$C$3:$C$12,0))*cadangan3[[#This Row],[Qty B]],0)</f>
        <v>0</v>
      </c>
      <c r="V678" s="36">
        <f>IFERROR(cadangan3[[#This Row],[Profit B]]-(cadangan3[[#This Row],[Profit B]]*cadangan3[[#This Row],[Diskon]]),U678)</f>
        <v>0</v>
      </c>
      <c r="X678" t="str">
        <f>IFERROR(INDEX(Katalog!$A$3:$A$12,MATCH(cadangan3[[#This Row],[ItemID C]],Katalog!$C$3:$C$12,0)),"-")</f>
        <v>-</v>
      </c>
      <c r="Y678" t="str">
        <f>IFERROR(INDEX(Katalog!$B$3:$B$12,MATCH(cadangan3[[#This Row],[ItemID C]],Katalog!$C$3:$C$12,0)),"-")</f>
        <v>-</v>
      </c>
      <c r="AB678" s="36">
        <f>IFERROR(INDEX(Katalog!$D$3:$D$12,MATCH(cadangan3[[#This Row],[ItemID C]],Katalog!$C$3:$C$12,0))*cadangan3[[#This Row],[Qty C]],0)</f>
        <v>0</v>
      </c>
      <c r="AC678" s="36">
        <f>IFERROR(INDEX(Katalog!$D$3:$D$12,MATCH(cadangan3[[#This Row],[Item C]],Katalog!$B$3:$B$12,0))*cadangan3[[#This Row],[Qty C]],0)</f>
        <v>0</v>
      </c>
      <c r="AD678" s="36">
        <f>IFERROR(cadangan3[[#This Row],[Harga Asli C]]-(cadangan3[[#This Row],[Harga Asli C]]*cadangan3[[#This Row],[Diskon]]),cadangan3[[#This Row],[Harga Asli C]])</f>
        <v>0</v>
      </c>
      <c r="AE678" s="36">
        <f>IFERROR(INDEX(Katalog!$F$3:$F$12,MATCH(cadangan3[[#This Row],[ItemID C]],Katalog!$C$3:$C$12,0))*cadangan3[[#This Row],[Qty C]],0)</f>
        <v>0</v>
      </c>
      <c r="AF678" s="36">
        <f>IFERROR(cadangan3[[#This Row],[Profit C]]-(cadangan3[[#This Row],[Profit C]]*cadangan3[[#This Row],[Diskon]]),cadangan3[[#This Row],[Profit C]])</f>
        <v>0</v>
      </c>
      <c r="AG678" s="21">
        <f>cadangan3[[#This Row],[Qty A]]+cadangan3[[#This Row],[Qty B]]+cadangan3[[#This Row],[Qty C]]</f>
        <v>1</v>
      </c>
      <c r="AH678" s="35">
        <f>cadangan3[[#This Row],[Harga A + Diskon]]+cadangan3[[#This Row],[Harga + Diskon B]]+cadangan3[[#This Row],[Harga + Diskon C]]</f>
        <v>162000</v>
      </c>
      <c r="AI678" s="35">
        <f>(cadangan3[[#This Row],[Profit A]]+cadangan3[[#This Row],[Profit B]]+cadangan3[[#This Row],[Profit C]])</f>
        <v>70000</v>
      </c>
      <c r="AJ678" s="35">
        <f>cadangan3[[#This Row],[Provit A + Diskon]]+cadangan3[[#This Row],[Provit B + Diskon]]+cadangan3[[#This Row],[Provit C + Diskon]]</f>
        <v>63000</v>
      </c>
      <c r="AK678" s="23" t="s">
        <v>30</v>
      </c>
      <c r="AL678" s="37">
        <f>IFERROR(INDEX('Kode Diskon'!$D$3:$D$9,MATCH(cadangan3[[#This Row],[Kode diskon]],'Kode Diskon'!$C$3:$C$9,0)),"-")</f>
        <v>0.1</v>
      </c>
      <c r="AM678" s="23" t="s">
        <v>29</v>
      </c>
      <c r="AN678" s="23" t="s">
        <v>10</v>
      </c>
      <c r="AO678" s="23" t="s">
        <v>79</v>
      </c>
      <c r="AP678" s="24">
        <v>45020</v>
      </c>
      <c r="AQ678" s="23" t="str">
        <f>TEXT(cadangan3[[#This Row],[Tanggal terjual]],"dddd")</f>
        <v>Tuesday</v>
      </c>
    </row>
    <row r="679" spans="1:43" x14ac:dyDescent="0.2">
      <c r="A679" s="20">
        <v>678</v>
      </c>
      <c r="B679" s="21" t="str">
        <f>_xlfn.CONCAT("ORD-",INDEX(Helper!$B$2:$B$5,MATCH(cadangan3[[#This Row],[Marketplace]],Helper!$A$2:$A$5,0)),TEXT(cadangan3[[#This Row],[No]],"0000"),"-",TEXT(cadangan3[[#This Row],[Tanggal terjual]],"dd/mm/yy"))</f>
        <v>ORD-BB0678-04/04/23</v>
      </c>
      <c r="C679" t="s">
        <v>66</v>
      </c>
      <c r="D679" t="str">
        <f>IFERROR(INDEX(Katalog!$A$3:$A$12,MATCH(cadangan3[[#This Row],[ItemID A]],Katalog!$C$3:$C$12,0)),"-")</f>
        <v>Sepatu Pria</v>
      </c>
      <c r="E679" t="str">
        <f>IFERROR(INDEX(Katalog!$B$3:$B$12,MATCH(cadangan3[[#This Row],[ItemID A]],Katalog!$C$3:$C$12,0)),"-")</f>
        <v>Sandal Slip On</v>
      </c>
      <c r="F679">
        <v>3</v>
      </c>
      <c r="G679">
        <v>5</v>
      </c>
      <c r="H679" s="36">
        <f>IFERROR(INDEX(Katalog!$D$3:$D$12,MATCH(cadangan3[[#This Row],[ItemID A]],Katalog!$C$3:$C$12,0))*cadangan3[[#This Row],[Qty A]],0)</f>
        <v>450000</v>
      </c>
      <c r="I679" s="36">
        <f>IFERROR(INDEX(Katalog!$D$3:$D$12,MATCH(cadangan3[[#This Row],[Item A]],Katalog!$B$3:$B$12,0))*cadangan3[[#This Row],[Qty A]],0)</f>
        <v>450000</v>
      </c>
      <c r="J679" s="36">
        <f>IFERROR(cadangan3[[#This Row],[Harga Asli A]]-(cadangan3[[#This Row],[Harga Asli A]]*cadangan3[[#This Row],[Diskon]]),cadangan3[[#This Row],[Harga Asli A]])</f>
        <v>382500</v>
      </c>
      <c r="K679" s="36">
        <f>INDEX(Katalog!$F$3:$F$12,MATCH(cadangan3[[#This Row],[ItemID A]],Katalog!$C$3:$C$12,0))*cadangan3[[#This Row],[Qty A]]</f>
        <v>180000</v>
      </c>
      <c r="L679" s="36">
        <f>IFERROR(cadangan3[[#This Row],[Profit A]]-(cadangan3[[#This Row],[Profit A]]*cadangan3[[#This Row],[Diskon]]),K679)</f>
        <v>153000</v>
      </c>
      <c r="M679" t="s">
        <v>63</v>
      </c>
      <c r="N679" t="str">
        <f>IFERROR(INDEX(Katalog!$A$3:$A$12,MATCH(cadangan3[[#This Row],[ItemID B]],Katalog!$C$3:$C$12,0)),"-")</f>
        <v>Pakaian Pria</v>
      </c>
      <c r="O679" t="str">
        <f>IFERROR(INDEX(Katalog!$B$3:$B$12,MATCH(cadangan3[[#This Row],[ItemID B]],Katalog!$C$3:$C$12,0)),"-")</f>
        <v>Jaket Jeans</v>
      </c>
      <c r="P679">
        <v>2</v>
      </c>
      <c r="Q679">
        <v>2</v>
      </c>
      <c r="R679" s="36">
        <f>IFERROR(INDEX(Katalog!$D$3:$D$12,MATCH(cadangan3[[#This Row],[ItemID B]],Katalog!$C$3:$C$12,0))*cadangan3[[#This Row],[Qty B]],0)</f>
        <v>800000</v>
      </c>
      <c r="S679" s="36">
        <f>IFERROR(INDEX(Katalog!$D$3:$D$12,MATCH(cadangan3[[#This Row],[Item B]],Katalog!$B$3:$B$12,0))*cadangan3[[#This Row],[Qty B]],0)</f>
        <v>800000</v>
      </c>
      <c r="T679" s="36">
        <f>IFERROR(cadangan3[[#This Row],[Harga Asli B]]-(cadangan3[[#This Row],[Harga Asli B]]*cadangan3[[#This Row],[Diskon]]),cadangan3[[#This Row],[Harga Asli B]])</f>
        <v>680000</v>
      </c>
      <c r="U679" s="36">
        <f>IFERROR(INDEX(Katalog!$F$3:$F$12,MATCH(cadangan3[[#This Row],[ItemID B]],Katalog!$C$3:$C$12,0))*cadangan3[[#This Row],[Qty B]],0)</f>
        <v>300000</v>
      </c>
      <c r="V679" s="36">
        <f>IFERROR(cadangan3[[#This Row],[Profit B]]-(cadangan3[[#This Row],[Profit B]]*cadangan3[[#This Row],[Diskon]]),U679)</f>
        <v>255000</v>
      </c>
      <c r="W679" t="s">
        <v>65</v>
      </c>
      <c r="X679" t="str">
        <f>IFERROR(INDEX(Katalog!$A$3:$A$12,MATCH(cadangan3[[#This Row],[ItemID C]],Katalog!$C$3:$C$12,0)),"-")</f>
        <v>Sepatu Pria</v>
      </c>
      <c r="Y679" t="str">
        <f>IFERROR(INDEX(Katalog!$B$3:$B$12,MATCH(cadangan3[[#This Row],[ItemID C]],Katalog!$C$3:$C$12,0)),"-")</f>
        <v>Sneakers</v>
      </c>
      <c r="Z679">
        <v>1</v>
      </c>
      <c r="AA679">
        <v>1</v>
      </c>
      <c r="AB679" s="36">
        <f>IFERROR(INDEX(Katalog!$D$3:$D$12,MATCH(cadangan3[[#This Row],[ItemID C]],Katalog!$C$3:$C$12,0))*cadangan3[[#This Row],[Qty C]],0)</f>
        <v>500000</v>
      </c>
      <c r="AC679" s="36">
        <f>IFERROR(INDEX(Katalog!$D$3:$D$12,MATCH(cadangan3[[#This Row],[Item C]],Katalog!$B$3:$B$12,0))*cadangan3[[#This Row],[Qty C]],0)</f>
        <v>500000</v>
      </c>
      <c r="AD679" s="36">
        <f>IFERROR(cadangan3[[#This Row],[Harga Asli C]]-(cadangan3[[#This Row],[Harga Asli C]]*cadangan3[[#This Row],[Diskon]]),cadangan3[[#This Row],[Harga Asli C]])</f>
        <v>425000</v>
      </c>
      <c r="AE679" s="36">
        <f>IFERROR(INDEX(Katalog!$F$3:$F$12,MATCH(cadangan3[[#This Row],[ItemID C]],Katalog!$C$3:$C$12,0))*cadangan3[[#This Row],[Qty C]],0)</f>
        <v>200000</v>
      </c>
      <c r="AF679" s="36">
        <f>IFERROR(cadangan3[[#This Row],[Profit C]]-(cadangan3[[#This Row],[Profit C]]*cadangan3[[#This Row],[Diskon]]),cadangan3[[#This Row],[Profit C]])</f>
        <v>170000</v>
      </c>
      <c r="AG679" s="21">
        <f>cadangan3[[#This Row],[Qty A]]+cadangan3[[#This Row],[Qty B]]+cadangan3[[#This Row],[Qty C]]</f>
        <v>6</v>
      </c>
      <c r="AH679" s="35">
        <f>cadangan3[[#This Row],[Harga A + Diskon]]+cadangan3[[#This Row],[Harga + Diskon B]]+cadangan3[[#This Row],[Harga + Diskon C]]</f>
        <v>1487500</v>
      </c>
      <c r="AI679" s="35">
        <f>(cadangan3[[#This Row],[Profit A]]+cadangan3[[#This Row],[Profit B]]+cadangan3[[#This Row],[Profit C]])</f>
        <v>680000</v>
      </c>
      <c r="AJ679" s="35">
        <f>cadangan3[[#This Row],[Provit A + Diskon]]+cadangan3[[#This Row],[Provit B + Diskon]]+cadangan3[[#This Row],[Provit C + Diskon]]</f>
        <v>578000</v>
      </c>
      <c r="AK679" s="23" t="s">
        <v>28</v>
      </c>
      <c r="AL679" s="37">
        <f>IFERROR(INDEX('Kode Diskon'!$D$3:$D$9,MATCH(cadangan3[[#This Row],[Kode diskon]],'Kode Diskon'!$C$3:$C$9,0)),"-")</f>
        <v>0.15</v>
      </c>
      <c r="AM679" s="23" t="s">
        <v>29</v>
      </c>
      <c r="AN679" s="23" t="s">
        <v>14</v>
      </c>
      <c r="AO679" s="23" t="s">
        <v>78</v>
      </c>
      <c r="AP679" s="24">
        <v>45020</v>
      </c>
      <c r="AQ679" s="23" t="str">
        <f>TEXT(cadangan3[[#This Row],[Tanggal terjual]],"dddd")</f>
        <v>Tuesday</v>
      </c>
    </row>
    <row r="680" spans="1:43" x14ac:dyDescent="0.2">
      <c r="A680" s="20">
        <v>679</v>
      </c>
      <c r="B680" s="21" t="str">
        <f>_xlfn.CONCAT("ORD-",INDEX(Helper!$B$2:$B$5,MATCH(cadangan3[[#This Row],[Marketplace]],Helper!$A$2:$A$5,0)),TEXT(cadangan3[[#This Row],[No]],"0000"),"-",TEXT(cadangan3[[#This Row],[Tanggal terjual]],"dd/mm/yy"))</f>
        <v>ORD-BL0679-13/04/23</v>
      </c>
      <c r="C680" t="s">
        <v>66</v>
      </c>
      <c r="D680" t="str">
        <f>IFERROR(INDEX(Katalog!$A$3:$A$12,MATCH(cadangan3[[#This Row],[ItemID A]],Katalog!$C$3:$C$12,0)),"-")</f>
        <v>Sepatu Pria</v>
      </c>
      <c r="E680" t="str">
        <f>IFERROR(INDEX(Katalog!$B$3:$B$12,MATCH(cadangan3[[#This Row],[ItemID A]],Katalog!$C$3:$C$12,0)),"-")</f>
        <v>Sandal Slip On</v>
      </c>
      <c r="F680">
        <v>1</v>
      </c>
      <c r="G680">
        <v>3</v>
      </c>
      <c r="H680" s="36">
        <f>IFERROR(INDEX(Katalog!$D$3:$D$12,MATCH(cadangan3[[#This Row],[ItemID A]],Katalog!$C$3:$C$12,0))*cadangan3[[#This Row],[Qty A]],0)</f>
        <v>150000</v>
      </c>
      <c r="I680" s="36">
        <f>IFERROR(INDEX(Katalog!$D$3:$D$12,MATCH(cadangan3[[#This Row],[Item A]],Katalog!$B$3:$B$12,0))*cadangan3[[#This Row],[Qty A]],0)</f>
        <v>150000</v>
      </c>
      <c r="J680" s="36">
        <f>IFERROR(cadangan3[[#This Row],[Harga Asli A]]-(cadangan3[[#This Row],[Harga Asli A]]*cadangan3[[#This Row],[Diskon]]),cadangan3[[#This Row],[Harga Asli A]])</f>
        <v>150000</v>
      </c>
      <c r="K680" s="36">
        <f>INDEX(Katalog!$F$3:$F$12,MATCH(cadangan3[[#This Row],[ItemID A]],Katalog!$C$3:$C$12,0))*cadangan3[[#This Row],[Qty A]]</f>
        <v>60000</v>
      </c>
      <c r="L680" s="36">
        <f>IFERROR(cadangan3[[#This Row],[Profit A]]-(cadangan3[[#This Row],[Profit A]]*cadangan3[[#This Row],[Diskon]]),K680)</f>
        <v>60000</v>
      </c>
      <c r="M680" t="s">
        <v>62</v>
      </c>
      <c r="N680" t="str">
        <f>IFERROR(INDEX(Katalog!$A$3:$A$12,MATCH(cadangan3[[#This Row],[ItemID B]],Katalog!$C$3:$C$12,0)),"-")</f>
        <v>Pakaian Pria</v>
      </c>
      <c r="O680" t="str">
        <f>IFERROR(INDEX(Katalog!$B$3:$B$12,MATCH(cadangan3[[#This Row],[ItemID B]],Katalog!$C$3:$C$12,0)),"-")</f>
        <v>Celana Pendek</v>
      </c>
      <c r="P680">
        <v>1</v>
      </c>
      <c r="Q680">
        <v>3</v>
      </c>
      <c r="R680" s="36">
        <f>IFERROR(INDEX(Katalog!$D$3:$D$12,MATCH(cadangan3[[#This Row],[ItemID B]],Katalog!$C$3:$C$12,0))*cadangan3[[#This Row],[Qty B]],0)</f>
        <v>180000</v>
      </c>
      <c r="S680" s="36">
        <f>IFERROR(INDEX(Katalog!$D$3:$D$12,MATCH(cadangan3[[#This Row],[Item B]],Katalog!$B$3:$B$12,0))*cadangan3[[#This Row],[Qty B]],0)</f>
        <v>180000</v>
      </c>
      <c r="T680" s="36">
        <f>IFERROR(cadangan3[[#This Row],[Harga Asli B]]-(cadangan3[[#This Row],[Harga Asli B]]*cadangan3[[#This Row],[Diskon]]),cadangan3[[#This Row],[Harga Asli B]])</f>
        <v>180000</v>
      </c>
      <c r="U680" s="36">
        <f>IFERROR(INDEX(Katalog!$F$3:$F$12,MATCH(cadangan3[[#This Row],[ItemID B]],Katalog!$C$3:$C$12,0))*cadangan3[[#This Row],[Qty B]],0)</f>
        <v>70000</v>
      </c>
      <c r="V680" s="36">
        <f>IFERROR(cadangan3[[#This Row],[Profit B]]-(cadangan3[[#This Row],[Profit B]]*cadangan3[[#This Row],[Diskon]]),U680)</f>
        <v>70000</v>
      </c>
      <c r="W680" t="s">
        <v>66</v>
      </c>
      <c r="X680" t="str">
        <f>IFERROR(INDEX(Katalog!$A$3:$A$12,MATCH(cadangan3[[#This Row],[ItemID C]],Katalog!$C$3:$C$12,0)),"-")</f>
        <v>Sepatu Pria</v>
      </c>
      <c r="Y680" t="str">
        <f>IFERROR(INDEX(Katalog!$B$3:$B$12,MATCH(cadangan3[[#This Row],[ItemID C]],Katalog!$C$3:$C$12,0)),"-")</f>
        <v>Sandal Slip On</v>
      </c>
      <c r="Z680">
        <v>2</v>
      </c>
      <c r="AA680">
        <v>2</v>
      </c>
      <c r="AB680" s="36">
        <f>IFERROR(INDEX(Katalog!$D$3:$D$12,MATCH(cadangan3[[#This Row],[ItemID C]],Katalog!$C$3:$C$12,0))*cadangan3[[#This Row],[Qty C]],0)</f>
        <v>300000</v>
      </c>
      <c r="AC680" s="36">
        <f>IFERROR(INDEX(Katalog!$D$3:$D$12,MATCH(cadangan3[[#This Row],[Item C]],Katalog!$B$3:$B$12,0))*cadangan3[[#This Row],[Qty C]],0)</f>
        <v>300000</v>
      </c>
      <c r="AD680" s="36">
        <f>IFERROR(cadangan3[[#This Row],[Harga Asli C]]-(cadangan3[[#This Row],[Harga Asli C]]*cadangan3[[#This Row],[Diskon]]),cadangan3[[#This Row],[Harga Asli C]])</f>
        <v>300000</v>
      </c>
      <c r="AE680" s="36">
        <f>IFERROR(INDEX(Katalog!$F$3:$F$12,MATCH(cadangan3[[#This Row],[ItemID C]],Katalog!$C$3:$C$12,0))*cadangan3[[#This Row],[Qty C]],0)</f>
        <v>120000</v>
      </c>
      <c r="AF680" s="36">
        <f>IFERROR(cadangan3[[#This Row],[Profit C]]-(cadangan3[[#This Row],[Profit C]]*cadangan3[[#This Row],[Diskon]]),cadangan3[[#This Row],[Profit C]])</f>
        <v>120000</v>
      </c>
      <c r="AG680" s="21">
        <f>cadangan3[[#This Row],[Qty A]]+cadangan3[[#This Row],[Qty B]]+cadangan3[[#This Row],[Qty C]]</f>
        <v>4</v>
      </c>
      <c r="AH680" s="35">
        <f>cadangan3[[#This Row],[Harga A + Diskon]]+cadangan3[[#This Row],[Harga + Diskon B]]+cadangan3[[#This Row],[Harga + Diskon C]]</f>
        <v>630000</v>
      </c>
      <c r="AI680" s="35">
        <f>(cadangan3[[#This Row],[Profit A]]+cadangan3[[#This Row],[Profit B]]+cadangan3[[#This Row],[Profit C]])</f>
        <v>250000</v>
      </c>
      <c r="AJ680" s="35">
        <f>cadangan3[[#This Row],[Provit A + Diskon]]+cadangan3[[#This Row],[Provit B + Diskon]]+cadangan3[[#This Row],[Provit C + Diskon]]</f>
        <v>250000</v>
      </c>
      <c r="AK680" s="23" t="s">
        <v>11</v>
      </c>
      <c r="AL680" s="37" t="str">
        <f>IFERROR(INDEX('Kode Diskon'!$D$3:$D$9,MATCH(cadangan3[[#This Row],[Kode diskon]],'Kode Diskon'!$C$3:$C$9,0)),"-")</f>
        <v>-</v>
      </c>
      <c r="AM680" s="23" t="s">
        <v>11</v>
      </c>
      <c r="AN680" s="23" t="s">
        <v>12</v>
      </c>
      <c r="AO680" s="23" t="s">
        <v>80</v>
      </c>
      <c r="AP680" s="24">
        <v>45029</v>
      </c>
      <c r="AQ680" s="23" t="str">
        <f>TEXT(cadangan3[[#This Row],[Tanggal terjual]],"dddd")</f>
        <v>Thursday</v>
      </c>
    </row>
    <row r="681" spans="1:43" x14ac:dyDescent="0.2">
      <c r="A681" s="20">
        <v>680</v>
      </c>
      <c r="B681" s="21" t="str">
        <f>_xlfn.CONCAT("ORD-",INDEX(Helper!$B$2:$B$5,MATCH(cadangan3[[#This Row],[Marketplace]],Helper!$A$2:$A$5,0)),TEXT(cadangan3[[#This Row],[No]],"0000"),"-",TEXT(cadangan3[[#This Row],[Tanggal terjual]],"dd/mm/yy"))</f>
        <v>ORD-TK0680-03/04/23</v>
      </c>
      <c r="C681" t="s">
        <v>59</v>
      </c>
      <c r="D681" t="str">
        <f>IFERROR(INDEX(Katalog!$A$3:$A$12,MATCH(cadangan3[[#This Row],[ItemID A]],Katalog!$C$3:$C$12,0)),"-")</f>
        <v>Pakaian Wanita</v>
      </c>
      <c r="E681" t="str">
        <f>IFERROR(INDEX(Katalog!$B$3:$B$12,MATCH(cadangan3[[#This Row],[ItemID A]],Katalog!$C$3:$C$12,0)),"-")</f>
        <v>Blouse</v>
      </c>
      <c r="F681">
        <v>2</v>
      </c>
      <c r="G681">
        <v>1</v>
      </c>
      <c r="H681" s="36">
        <f>IFERROR(INDEX(Katalog!$D$3:$D$12,MATCH(cadangan3[[#This Row],[ItemID A]],Katalog!$C$3:$C$12,0))*cadangan3[[#This Row],[Qty A]],0)</f>
        <v>300000</v>
      </c>
      <c r="I681" s="36">
        <f>IFERROR(INDEX(Katalog!$D$3:$D$12,MATCH(cadangan3[[#This Row],[Item A]],Katalog!$B$3:$B$12,0))*cadangan3[[#This Row],[Qty A]],0)</f>
        <v>300000</v>
      </c>
      <c r="J681" s="36">
        <f>IFERROR(cadangan3[[#This Row],[Harga Asli A]]-(cadangan3[[#This Row],[Harga Asli A]]*cadangan3[[#This Row],[Diskon]]),cadangan3[[#This Row],[Harga Asli A]])</f>
        <v>270000</v>
      </c>
      <c r="K681" s="36">
        <f>INDEX(Katalog!$F$3:$F$12,MATCH(cadangan3[[#This Row],[ItemID A]],Katalog!$C$3:$C$12,0))*cadangan3[[#This Row],[Qty A]]</f>
        <v>100000</v>
      </c>
      <c r="L681" s="36">
        <f>IFERROR(cadangan3[[#This Row],[Profit A]]-(cadangan3[[#This Row],[Profit A]]*cadangan3[[#This Row],[Diskon]]),K681)</f>
        <v>90000</v>
      </c>
      <c r="M681" t="s">
        <v>63</v>
      </c>
      <c r="N681" t="str">
        <f>IFERROR(INDEX(Katalog!$A$3:$A$12,MATCH(cadangan3[[#This Row],[ItemID B]],Katalog!$C$3:$C$12,0)),"-")</f>
        <v>Pakaian Pria</v>
      </c>
      <c r="O681" t="str">
        <f>IFERROR(INDEX(Katalog!$B$3:$B$12,MATCH(cadangan3[[#This Row],[ItemID B]],Katalog!$C$3:$C$12,0)),"-")</f>
        <v>Jaket Jeans</v>
      </c>
      <c r="P681">
        <v>1</v>
      </c>
      <c r="Q681">
        <v>1</v>
      </c>
      <c r="R681" s="36">
        <f>IFERROR(INDEX(Katalog!$D$3:$D$12,MATCH(cadangan3[[#This Row],[ItemID B]],Katalog!$C$3:$C$12,0))*cadangan3[[#This Row],[Qty B]],0)</f>
        <v>400000</v>
      </c>
      <c r="S681" s="36">
        <f>IFERROR(INDEX(Katalog!$D$3:$D$12,MATCH(cadangan3[[#This Row],[Item B]],Katalog!$B$3:$B$12,0))*cadangan3[[#This Row],[Qty B]],0)</f>
        <v>400000</v>
      </c>
      <c r="T681" s="36">
        <f>IFERROR(cadangan3[[#This Row],[Harga Asli B]]-(cadangan3[[#This Row],[Harga Asli B]]*cadangan3[[#This Row],[Diskon]]),cadangan3[[#This Row],[Harga Asli B]])</f>
        <v>360000</v>
      </c>
      <c r="U681" s="36">
        <f>IFERROR(INDEX(Katalog!$F$3:$F$12,MATCH(cadangan3[[#This Row],[ItemID B]],Katalog!$C$3:$C$12,0))*cadangan3[[#This Row],[Qty B]],0)</f>
        <v>150000</v>
      </c>
      <c r="V681" s="36">
        <f>IFERROR(cadangan3[[#This Row],[Profit B]]-(cadangan3[[#This Row],[Profit B]]*cadangan3[[#This Row],[Diskon]]),U681)</f>
        <v>135000</v>
      </c>
      <c r="X681" t="str">
        <f>IFERROR(INDEX(Katalog!$A$3:$A$12,MATCH(cadangan3[[#This Row],[ItemID C]],Katalog!$C$3:$C$12,0)),"-")</f>
        <v>-</v>
      </c>
      <c r="Y681" t="str">
        <f>IFERROR(INDEX(Katalog!$B$3:$B$12,MATCH(cadangan3[[#This Row],[ItemID C]],Katalog!$C$3:$C$12,0)),"-")</f>
        <v>-</v>
      </c>
      <c r="AB681" s="36">
        <f>IFERROR(INDEX(Katalog!$D$3:$D$12,MATCH(cadangan3[[#This Row],[ItemID C]],Katalog!$C$3:$C$12,0))*cadangan3[[#This Row],[Qty C]],0)</f>
        <v>0</v>
      </c>
      <c r="AC681" s="36">
        <f>IFERROR(INDEX(Katalog!$D$3:$D$12,MATCH(cadangan3[[#This Row],[Item C]],Katalog!$B$3:$B$12,0))*cadangan3[[#This Row],[Qty C]],0)</f>
        <v>0</v>
      </c>
      <c r="AD681" s="36">
        <f>IFERROR(cadangan3[[#This Row],[Harga Asli C]]-(cadangan3[[#This Row],[Harga Asli C]]*cadangan3[[#This Row],[Diskon]]),cadangan3[[#This Row],[Harga Asli C]])</f>
        <v>0</v>
      </c>
      <c r="AE681" s="36">
        <f>IFERROR(INDEX(Katalog!$F$3:$F$12,MATCH(cadangan3[[#This Row],[ItemID C]],Katalog!$C$3:$C$12,0))*cadangan3[[#This Row],[Qty C]],0)</f>
        <v>0</v>
      </c>
      <c r="AF681" s="36">
        <f>IFERROR(cadangan3[[#This Row],[Profit C]]-(cadangan3[[#This Row],[Profit C]]*cadangan3[[#This Row],[Diskon]]),cadangan3[[#This Row],[Profit C]])</f>
        <v>0</v>
      </c>
      <c r="AG681" s="21">
        <f>cadangan3[[#This Row],[Qty A]]+cadangan3[[#This Row],[Qty B]]+cadangan3[[#This Row],[Qty C]]</f>
        <v>3</v>
      </c>
      <c r="AH681" s="35">
        <f>cadangan3[[#This Row],[Harga A + Diskon]]+cadangan3[[#This Row],[Harga + Diskon B]]+cadangan3[[#This Row],[Harga + Diskon C]]</f>
        <v>630000</v>
      </c>
      <c r="AI681" s="35">
        <f>(cadangan3[[#This Row],[Profit A]]+cadangan3[[#This Row],[Profit B]]+cadangan3[[#This Row],[Profit C]])</f>
        <v>250000</v>
      </c>
      <c r="AJ681" s="35">
        <f>cadangan3[[#This Row],[Provit A + Diskon]]+cadangan3[[#This Row],[Provit B + Diskon]]+cadangan3[[#This Row],[Provit C + Diskon]]</f>
        <v>225000</v>
      </c>
      <c r="AK681" s="23" t="s">
        <v>30</v>
      </c>
      <c r="AL681" s="37">
        <f>IFERROR(INDEX('Kode Diskon'!$D$3:$D$9,MATCH(cadangan3[[#This Row],[Kode diskon]],'Kode Diskon'!$C$3:$C$9,0)),"-")</f>
        <v>0.1</v>
      </c>
      <c r="AM681" s="23" t="s">
        <v>29</v>
      </c>
      <c r="AN681" s="23" t="s">
        <v>10</v>
      </c>
      <c r="AO681" s="23" t="s">
        <v>77</v>
      </c>
      <c r="AP681" s="24">
        <v>45019</v>
      </c>
      <c r="AQ681" s="23" t="str">
        <f>TEXT(cadangan3[[#This Row],[Tanggal terjual]],"dddd")</f>
        <v>Monday</v>
      </c>
    </row>
    <row r="682" spans="1:43" x14ac:dyDescent="0.2">
      <c r="A682" s="20">
        <v>681</v>
      </c>
      <c r="B682" s="21" t="str">
        <f>_xlfn.CONCAT("ORD-",INDEX(Helper!$B$2:$B$5,MATCH(cadangan3[[#This Row],[Marketplace]],Helper!$A$2:$A$5,0)),TEXT(cadangan3[[#This Row],[No]],"0000"),"-",TEXT(cadangan3[[#This Row],[Tanggal terjual]],"dd/mm/yy"))</f>
        <v>ORD-BL0681-21/04/23</v>
      </c>
      <c r="C682" t="s">
        <v>58</v>
      </c>
      <c r="D682" t="str">
        <f>IFERROR(INDEX(Katalog!$A$3:$A$12,MATCH(cadangan3[[#This Row],[ItemID A]],Katalog!$C$3:$C$12,0)),"-")</f>
        <v>Pakaian Wanita</v>
      </c>
      <c r="E682" t="str">
        <f>IFERROR(INDEX(Katalog!$B$3:$B$12,MATCH(cadangan3[[#This Row],[ItemID A]],Katalog!$C$3:$C$12,0)),"-")</f>
        <v>Dress</v>
      </c>
      <c r="F682">
        <v>1</v>
      </c>
      <c r="G682">
        <v>4</v>
      </c>
      <c r="H682" s="36">
        <f>IFERROR(INDEX(Katalog!$D$3:$D$12,MATCH(cadangan3[[#This Row],[ItemID A]],Katalog!$C$3:$C$12,0))*cadangan3[[#This Row],[Qty A]],0)</f>
        <v>300000</v>
      </c>
      <c r="I682" s="36">
        <f>IFERROR(INDEX(Katalog!$D$3:$D$12,MATCH(cadangan3[[#This Row],[Item A]],Katalog!$B$3:$B$12,0))*cadangan3[[#This Row],[Qty A]],0)</f>
        <v>300000</v>
      </c>
      <c r="J682" s="36">
        <f>IFERROR(cadangan3[[#This Row],[Harga Asli A]]-(cadangan3[[#This Row],[Harga Asli A]]*cadangan3[[#This Row],[Diskon]]),cadangan3[[#This Row],[Harga Asli A]])</f>
        <v>255000</v>
      </c>
      <c r="K682" s="36">
        <f>INDEX(Katalog!$F$3:$F$12,MATCH(cadangan3[[#This Row],[ItemID A]],Katalog!$C$3:$C$12,0))*cadangan3[[#This Row],[Qty A]]</f>
        <v>100000</v>
      </c>
      <c r="L682" s="36">
        <f>IFERROR(cadangan3[[#This Row],[Profit A]]-(cadangan3[[#This Row],[Profit A]]*cadangan3[[#This Row],[Diskon]]),K682)</f>
        <v>85000</v>
      </c>
      <c r="M682" t="s">
        <v>63</v>
      </c>
      <c r="N682" t="str">
        <f>IFERROR(INDEX(Katalog!$A$3:$A$12,MATCH(cadangan3[[#This Row],[ItemID B]],Katalog!$C$3:$C$12,0)),"-")</f>
        <v>Pakaian Pria</v>
      </c>
      <c r="O682" t="str">
        <f>IFERROR(INDEX(Katalog!$B$3:$B$12,MATCH(cadangan3[[#This Row],[ItemID B]],Katalog!$C$3:$C$12,0)),"-")</f>
        <v>Jaket Jeans</v>
      </c>
      <c r="P682">
        <v>3</v>
      </c>
      <c r="Q682">
        <v>4</v>
      </c>
      <c r="R682" s="36">
        <f>IFERROR(INDEX(Katalog!$D$3:$D$12,MATCH(cadangan3[[#This Row],[ItemID B]],Katalog!$C$3:$C$12,0))*cadangan3[[#This Row],[Qty B]],0)</f>
        <v>1200000</v>
      </c>
      <c r="S682" s="36">
        <f>IFERROR(INDEX(Katalog!$D$3:$D$12,MATCH(cadangan3[[#This Row],[Item B]],Katalog!$B$3:$B$12,0))*cadangan3[[#This Row],[Qty B]],0)</f>
        <v>1200000</v>
      </c>
      <c r="T682" s="36">
        <f>IFERROR(cadangan3[[#This Row],[Harga Asli B]]-(cadangan3[[#This Row],[Harga Asli B]]*cadangan3[[#This Row],[Diskon]]),cadangan3[[#This Row],[Harga Asli B]])</f>
        <v>1020000</v>
      </c>
      <c r="U682" s="36">
        <f>IFERROR(INDEX(Katalog!$F$3:$F$12,MATCH(cadangan3[[#This Row],[ItemID B]],Katalog!$C$3:$C$12,0))*cadangan3[[#This Row],[Qty B]],0)</f>
        <v>450000</v>
      </c>
      <c r="V682" s="36">
        <f>IFERROR(cadangan3[[#This Row],[Profit B]]-(cadangan3[[#This Row],[Profit B]]*cadangan3[[#This Row],[Diskon]]),U682)</f>
        <v>382500</v>
      </c>
      <c r="X682" t="str">
        <f>IFERROR(INDEX(Katalog!$A$3:$A$12,MATCH(cadangan3[[#This Row],[ItemID C]],Katalog!$C$3:$C$12,0)),"-")</f>
        <v>-</v>
      </c>
      <c r="Y682" t="str">
        <f>IFERROR(INDEX(Katalog!$B$3:$B$12,MATCH(cadangan3[[#This Row],[ItemID C]],Katalog!$C$3:$C$12,0)),"-")</f>
        <v>-</v>
      </c>
      <c r="AB682" s="36">
        <f>IFERROR(INDEX(Katalog!$D$3:$D$12,MATCH(cadangan3[[#This Row],[ItemID C]],Katalog!$C$3:$C$12,0))*cadangan3[[#This Row],[Qty C]],0)</f>
        <v>0</v>
      </c>
      <c r="AC682" s="36">
        <f>IFERROR(INDEX(Katalog!$D$3:$D$12,MATCH(cadangan3[[#This Row],[Item C]],Katalog!$B$3:$B$12,0))*cadangan3[[#This Row],[Qty C]],0)</f>
        <v>0</v>
      </c>
      <c r="AD682" s="36">
        <f>IFERROR(cadangan3[[#This Row],[Harga Asli C]]-(cadangan3[[#This Row],[Harga Asli C]]*cadangan3[[#This Row],[Diskon]]),cadangan3[[#This Row],[Harga Asli C]])</f>
        <v>0</v>
      </c>
      <c r="AE682" s="36">
        <f>IFERROR(INDEX(Katalog!$F$3:$F$12,MATCH(cadangan3[[#This Row],[ItemID C]],Katalog!$C$3:$C$12,0))*cadangan3[[#This Row],[Qty C]],0)</f>
        <v>0</v>
      </c>
      <c r="AF682" s="36">
        <f>IFERROR(cadangan3[[#This Row],[Profit C]]-(cadangan3[[#This Row],[Profit C]]*cadangan3[[#This Row],[Diskon]]),cadangan3[[#This Row],[Profit C]])</f>
        <v>0</v>
      </c>
      <c r="AG682" s="21">
        <f>cadangan3[[#This Row],[Qty A]]+cadangan3[[#This Row],[Qty B]]+cadangan3[[#This Row],[Qty C]]</f>
        <v>4</v>
      </c>
      <c r="AH682" s="35">
        <f>cadangan3[[#This Row],[Harga A + Diskon]]+cadangan3[[#This Row],[Harga + Diskon B]]+cadangan3[[#This Row],[Harga + Diskon C]]</f>
        <v>1275000</v>
      </c>
      <c r="AI682" s="35">
        <f>(cadangan3[[#This Row],[Profit A]]+cadangan3[[#This Row],[Profit B]]+cadangan3[[#This Row],[Profit C]])</f>
        <v>550000</v>
      </c>
      <c r="AJ682" s="35">
        <f>cadangan3[[#This Row],[Provit A + Diskon]]+cadangan3[[#This Row],[Provit B + Diskon]]+cadangan3[[#This Row],[Provit C + Diskon]]</f>
        <v>467500</v>
      </c>
      <c r="AK682" s="23" t="s">
        <v>32</v>
      </c>
      <c r="AL682" s="37">
        <f>IFERROR(INDEX('Kode Diskon'!$D$3:$D$9,MATCH(cadangan3[[#This Row],[Kode diskon]],'Kode Diskon'!$C$3:$C$9,0)),"-")</f>
        <v>0.15</v>
      </c>
      <c r="AM682" s="23" t="s">
        <v>9</v>
      </c>
      <c r="AN682" s="23" t="s">
        <v>12</v>
      </c>
      <c r="AO682" s="23" t="s">
        <v>80</v>
      </c>
      <c r="AP682" s="24">
        <v>45037</v>
      </c>
      <c r="AQ682" s="23" t="str">
        <f>TEXT(cadangan3[[#This Row],[Tanggal terjual]],"dddd")</f>
        <v>Friday</v>
      </c>
    </row>
    <row r="683" spans="1:43" x14ac:dyDescent="0.2">
      <c r="A683" s="20">
        <v>682</v>
      </c>
      <c r="B683" s="21" t="str">
        <f>_xlfn.CONCAT("ORD-",INDEX(Helper!$B$2:$B$5,MATCH(cadangan3[[#This Row],[Marketplace]],Helper!$A$2:$A$5,0)),TEXT(cadangan3[[#This Row],[No]],"0000"),"-",TEXT(cadangan3[[#This Row],[Tanggal terjual]],"dd/mm/yy"))</f>
        <v>ORD-SP0682-01/04/23</v>
      </c>
      <c r="C683" t="s">
        <v>63</v>
      </c>
      <c r="D683" t="str">
        <f>IFERROR(INDEX(Katalog!$A$3:$A$12,MATCH(cadangan3[[#This Row],[ItemID A]],Katalog!$C$3:$C$12,0)),"-")</f>
        <v>Pakaian Pria</v>
      </c>
      <c r="E683" t="str">
        <f>IFERROR(INDEX(Katalog!$B$3:$B$12,MATCH(cadangan3[[#This Row],[ItemID A]],Katalog!$C$3:$C$12,0)),"-")</f>
        <v>Jaket Jeans</v>
      </c>
      <c r="F683">
        <v>4</v>
      </c>
      <c r="G683">
        <v>4</v>
      </c>
      <c r="H683" s="36">
        <f>IFERROR(INDEX(Katalog!$D$3:$D$12,MATCH(cadangan3[[#This Row],[ItemID A]],Katalog!$C$3:$C$12,0))*cadangan3[[#This Row],[Qty A]],0)</f>
        <v>1600000</v>
      </c>
      <c r="I683" s="36">
        <f>IFERROR(INDEX(Katalog!$D$3:$D$12,MATCH(cadangan3[[#This Row],[Item A]],Katalog!$B$3:$B$12,0))*cadangan3[[#This Row],[Qty A]],0)</f>
        <v>1600000</v>
      </c>
      <c r="J683" s="36">
        <f>IFERROR(cadangan3[[#This Row],[Harga Asli A]]-(cadangan3[[#This Row],[Harga Asli A]]*cadangan3[[#This Row],[Diskon]]),cadangan3[[#This Row],[Harga Asli A]])</f>
        <v>1440000</v>
      </c>
      <c r="K683" s="36">
        <f>INDEX(Katalog!$F$3:$F$12,MATCH(cadangan3[[#This Row],[ItemID A]],Katalog!$C$3:$C$12,0))*cadangan3[[#This Row],[Qty A]]</f>
        <v>600000</v>
      </c>
      <c r="L683" s="36">
        <f>IFERROR(cadangan3[[#This Row],[Profit A]]-(cadangan3[[#This Row],[Profit A]]*cadangan3[[#This Row],[Diskon]]),K683)</f>
        <v>540000</v>
      </c>
      <c r="M683" t="s">
        <v>67</v>
      </c>
      <c r="N683" t="str">
        <f>IFERROR(INDEX(Katalog!$A$3:$A$12,MATCH(cadangan3[[#This Row],[ItemID B]],Katalog!$C$3:$C$12,0)),"-")</f>
        <v>Sepatu Wanita</v>
      </c>
      <c r="O683" t="str">
        <f>IFERROR(INDEX(Katalog!$B$3:$B$12,MATCH(cadangan3[[#This Row],[ItemID B]],Katalog!$C$3:$C$12,0)),"-")</f>
        <v>Flat Shoes</v>
      </c>
      <c r="P683">
        <v>2</v>
      </c>
      <c r="Q683">
        <v>3</v>
      </c>
      <c r="R683" s="36">
        <f>IFERROR(INDEX(Katalog!$D$3:$D$12,MATCH(cadangan3[[#This Row],[ItemID B]],Katalog!$C$3:$C$12,0))*cadangan3[[#This Row],[Qty B]],0)</f>
        <v>500000</v>
      </c>
      <c r="S683" s="36">
        <f>IFERROR(INDEX(Katalog!$D$3:$D$12,MATCH(cadangan3[[#This Row],[Item B]],Katalog!$B$3:$B$12,0))*cadangan3[[#This Row],[Qty B]],0)</f>
        <v>500000</v>
      </c>
      <c r="T683" s="36">
        <f>IFERROR(cadangan3[[#This Row],[Harga Asli B]]-(cadangan3[[#This Row],[Harga Asli B]]*cadangan3[[#This Row],[Diskon]]),cadangan3[[#This Row],[Harga Asli B]])</f>
        <v>450000</v>
      </c>
      <c r="U683" s="36">
        <f>IFERROR(INDEX(Katalog!$F$3:$F$12,MATCH(cadangan3[[#This Row],[ItemID B]],Katalog!$C$3:$C$12,0))*cadangan3[[#This Row],[Qty B]],0)</f>
        <v>200000</v>
      </c>
      <c r="V683" s="36">
        <f>IFERROR(cadangan3[[#This Row],[Profit B]]-(cadangan3[[#This Row],[Profit B]]*cadangan3[[#This Row],[Diskon]]),U683)</f>
        <v>180000</v>
      </c>
      <c r="X683" t="str">
        <f>IFERROR(INDEX(Katalog!$A$3:$A$12,MATCH(cadangan3[[#This Row],[ItemID C]],Katalog!$C$3:$C$12,0)),"-")</f>
        <v>-</v>
      </c>
      <c r="Y683" t="str">
        <f>IFERROR(INDEX(Katalog!$B$3:$B$12,MATCH(cadangan3[[#This Row],[ItemID C]],Katalog!$C$3:$C$12,0)),"-")</f>
        <v>-</v>
      </c>
      <c r="AB683" s="36">
        <f>IFERROR(INDEX(Katalog!$D$3:$D$12,MATCH(cadangan3[[#This Row],[ItemID C]],Katalog!$C$3:$C$12,0))*cadangan3[[#This Row],[Qty C]],0)</f>
        <v>0</v>
      </c>
      <c r="AC683" s="36">
        <f>IFERROR(INDEX(Katalog!$D$3:$D$12,MATCH(cadangan3[[#This Row],[Item C]],Katalog!$B$3:$B$12,0))*cadangan3[[#This Row],[Qty C]],0)</f>
        <v>0</v>
      </c>
      <c r="AD683" s="36">
        <f>IFERROR(cadangan3[[#This Row],[Harga Asli C]]-(cadangan3[[#This Row],[Harga Asli C]]*cadangan3[[#This Row],[Diskon]]),cadangan3[[#This Row],[Harga Asli C]])</f>
        <v>0</v>
      </c>
      <c r="AE683" s="36">
        <f>IFERROR(INDEX(Katalog!$F$3:$F$12,MATCH(cadangan3[[#This Row],[ItemID C]],Katalog!$C$3:$C$12,0))*cadangan3[[#This Row],[Qty C]],0)</f>
        <v>0</v>
      </c>
      <c r="AF683" s="36">
        <f>IFERROR(cadangan3[[#This Row],[Profit C]]-(cadangan3[[#This Row],[Profit C]]*cadangan3[[#This Row],[Diskon]]),cadangan3[[#This Row],[Profit C]])</f>
        <v>0</v>
      </c>
      <c r="AG683" s="21">
        <f>cadangan3[[#This Row],[Qty A]]+cadangan3[[#This Row],[Qty B]]+cadangan3[[#This Row],[Qty C]]</f>
        <v>6</v>
      </c>
      <c r="AH683" s="35">
        <f>cadangan3[[#This Row],[Harga A + Diskon]]+cadangan3[[#This Row],[Harga + Diskon B]]+cadangan3[[#This Row],[Harga + Diskon C]]</f>
        <v>1890000</v>
      </c>
      <c r="AI683" s="35">
        <f>(cadangan3[[#This Row],[Profit A]]+cadangan3[[#This Row],[Profit B]]+cadangan3[[#This Row],[Profit C]])</f>
        <v>800000</v>
      </c>
      <c r="AJ683" s="35">
        <f>cadangan3[[#This Row],[Provit A + Diskon]]+cadangan3[[#This Row],[Provit B + Diskon]]+cadangan3[[#This Row],[Provit C + Diskon]]</f>
        <v>720000</v>
      </c>
      <c r="AK683" s="23" t="s">
        <v>6</v>
      </c>
      <c r="AL683" s="37">
        <f>IFERROR(INDEX('Kode Diskon'!$D$3:$D$9,MATCH(cadangan3[[#This Row],[Kode diskon]],'Kode Diskon'!$C$3:$C$9,0)),"-")</f>
        <v>0.1</v>
      </c>
      <c r="AM683" s="23" t="s">
        <v>29</v>
      </c>
      <c r="AN683" s="23" t="s">
        <v>7</v>
      </c>
      <c r="AO683" s="23" t="s">
        <v>77</v>
      </c>
      <c r="AP683" s="24">
        <v>45017</v>
      </c>
      <c r="AQ683" s="23" t="str">
        <f>TEXT(cadangan3[[#This Row],[Tanggal terjual]],"dddd")</f>
        <v>Saturday</v>
      </c>
    </row>
    <row r="684" spans="1:43" x14ac:dyDescent="0.2">
      <c r="A684" s="20">
        <v>683</v>
      </c>
      <c r="B684" s="21" t="str">
        <f>_xlfn.CONCAT("ORD-",INDEX(Helper!$B$2:$B$5,MATCH(cadangan3[[#This Row],[Marketplace]],Helper!$A$2:$A$5,0)),TEXT(cadangan3[[#This Row],[No]],"0000"),"-",TEXT(cadangan3[[#This Row],[Tanggal terjual]],"dd/mm/yy"))</f>
        <v>ORD-SP0683-16/04/23</v>
      </c>
      <c r="C684" t="s">
        <v>61</v>
      </c>
      <c r="D684" t="str">
        <f>IFERROR(INDEX(Katalog!$A$3:$A$12,MATCH(cadangan3[[#This Row],[ItemID A]],Katalog!$C$3:$C$12,0)),"-")</f>
        <v>Pakaian Pria</v>
      </c>
      <c r="E684" t="str">
        <f>IFERROR(INDEX(Katalog!$B$3:$B$12,MATCH(cadangan3[[#This Row],[ItemID A]],Katalog!$C$3:$C$12,0)),"-")</f>
        <v>Kaos Polo</v>
      </c>
      <c r="F684">
        <v>5</v>
      </c>
      <c r="G684">
        <v>4</v>
      </c>
      <c r="H684" s="36">
        <f>IFERROR(INDEX(Katalog!$D$3:$D$12,MATCH(cadangan3[[#This Row],[ItemID A]],Katalog!$C$3:$C$12,0))*cadangan3[[#This Row],[Qty A]],0)</f>
        <v>1000000</v>
      </c>
      <c r="I684" s="36">
        <f>IFERROR(INDEX(Katalog!$D$3:$D$12,MATCH(cadangan3[[#This Row],[Item A]],Katalog!$B$3:$B$12,0))*cadangan3[[#This Row],[Qty A]],0)</f>
        <v>1000000</v>
      </c>
      <c r="J684" s="36">
        <f>IFERROR(cadangan3[[#This Row],[Harga Asli A]]-(cadangan3[[#This Row],[Harga Asli A]]*cadangan3[[#This Row],[Diskon]]),cadangan3[[#This Row],[Harga Asli A]])</f>
        <v>800000</v>
      </c>
      <c r="K684" s="36">
        <f>INDEX(Katalog!$F$3:$F$12,MATCH(cadangan3[[#This Row],[ItemID A]],Katalog!$C$3:$C$12,0))*cadangan3[[#This Row],[Qty A]]</f>
        <v>400000</v>
      </c>
      <c r="L684" s="36">
        <f>IFERROR(cadangan3[[#This Row],[Profit A]]-(cadangan3[[#This Row],[Profit A]]*cadangan3[[#This Row],[Diskon]]),K684)</f>
        <v>320000</v>
      </c>
      <c r="M684" t="s">
        <v>66</v>
      </c>
      <c r="N684" t="str">
        <f>IFERROR(INDEX(Katalog!$A$3:$A$12,MATCH(cadangan3[[#This Row],[ItemID B]],Katalog!$C$3:$C$12,0)),"-")</f>
        <v>Sepatu Pria</v>
      </c>
      <c r="O684" t="str">
        <f>IFERROR(INDEX(Katalog!$B$3:$B$12,MATCH(cadangan3[[#This Row],[ItemID B]],Katalog!$C$3:$C$12,0)),"-")</f>
        <v>Sandal Slip On</v>
      </c>
      <c r="P684">
        <v>1</v>
      </c>
      <c r="Q684">
        <v>4</v>
      </c>
      <c r="R684" s="36">
        <f>IFERROR(INDEX(Katalog!$D$3:$D$12,MATCH(cadangan3[[#This Row],[ItemID B]],Katalog!$C$3:$C$12,0))*cadangan3[[#This Row],[Qty B]],0)</f>
        <v>150000</v>
      </c>
      <c r="S684" s="36">
        <f>IFERROR(INDEX(Katalog!$D$3:$D$12,MATCH(cadangan3[[#This Row],[Item B]],Katalog!$B$3:$B$12,0))*cadangan3[[#This Row],[Qty B]],0)</f>
        <v>150000</v>
      </c>
      <c r="T684" s="36">
        <f>IFERROR(cadangan3[[#This Row],[Harga Asli B]]-(cadangan3[[#This Row],[Harga Asli B]]*cadangan3[[#This Row],[Diskon]]),cadangan3[[#This Row],[Harga Asli B]])</f>
        <v>120000</v>
      </c>
      <c r="U684" s="36">
        <f>IFERROR(INDEX(Katalog!$F$3:$F$12,MATCH(cadangan3[[#This Row],[ItemID B]],Katalog!$C$3:$C$12,0))*cadangan3[[#This Row],[Qty B]],0)</f>
        <v>60000</v>
      </c>
      <c r="V684" s="36">
        <f>IFERROR(cadangan3[[#This Row],[Profit B]]-(cadangan3[[#This Row],[Profit B]]*cadangan3[[#This Row],[Diskon]]),U684)</f>
        <v>48000</v>
      </c>
      <c r="X684" t="str">
        <f>IFERROR(INDEX(Katalog!$A$3:$A$12,MATCH(cadangan3[[#This Row],[ItemID C]],Katalog!$C$3:$C$12,0)),"-")</f>
        <v>-</v>
      </c>
      <c r="Y684" t="str">
        <f>IFERROR(INDEX(Katalog!$B$3:$B$12,MATCH(cadangan3[[#This Row],[ItemID C]],Katalog!$C$3:$C$12,0)),"-")</f>
        <v>-</v>
      </c>
      <c r="AB684" s="36">
        <f>IFERROR(INDEX(Katalog!$D$3:$D$12,MATCH(cadangan3[[#This Row],[ItemID C]],Katalog!$C$3:$C$12,0))*cadangan3[[#This Row],[Qty C]],0)</f>
        <v>0</v>
      </c>
      <c r="AC684" s="36">
        <f>IFERROR(INDEX(Katalog!$D$3:$D$12,MATCH(cadangan3[[#This Row],[Item C]],Katalog!$B$3:$B$12,0))*cadangan3[[#This Row],[Qty C]],0)</f>
        <v>0</v>
      </c>
      <c r="AD684" s="36">
        <f>IFERROR(cadangan3[[#This Row],[Harga Asli C]]-(cadangan3[[#This Row],[Harga Asli C]]*cadangan3[[#This Row],[Diskon]]),cadangan3[[#This Row],[Harga Asli C]])</f>
        <v>0</v>
      </c>
      <c r="AE684" s="36">
        <f>IFERROR(INDEX(Katalog!$F$3:$F$12,MATCH(cadangan3[[#This Row],[ItemID C]],Katalog!$C$3:$C$12,0))*cadangan3[[#This Row],[Qty C]],0)</f>
        <v>0</v>
      </c>
      <c r="AF684" s="36">
        <f>IFERROR(cadangan3[[#This Row],[Profit C]]-(cadangan3[[#This Row],[Profit C]]*cadangan3[[#This Row],[Diskon]]),cadangan3[[#This Row],[Profit C]])</f>
        <v>0</v>
      </c>
      <c r="AG684" s="21">
        <f>cadangan3[[#This Row],[Qty A]]+cadangan3[[#This Row],[Qty B]]+cadangan3[[#This Row],[Qty C]]</f>
        <v>6</v>
      </c>
      <c r="AH684" s="35">
        <f>cadangan3[[#This Row],[Harga A + Diskon]]+cadangan3[[#This Row],[Harga + Diskon B]]+cadangan3[[#This Row],[Harga + Diskon C]]</f>
        <v>920000</v>
      </c>
      <c r="AI684" s="35">
        <f>(cadangan3[[#This Row],[Profit A]]+cadangan3[[#This Row],[Profit B]]+cadangan3[[#This Row],[Profit C]])</f>
        <v>460000</v>
      </c>
      <c r="AJ684" s="35">
        <f>cadangan3[[#This Row],[Provit A + Diskon]]+cadangan3[[#This Row],[Provit B + Diskon]]+cadangan3[[#This Row],[Provit C + Diskon]]</f>
        <v>368000</v>
      </c>
      <c r="AK684" s="23" t="s">
        <v>8</v>
      </c>
      <c r="AL684" s="37">
        <f>IFERROR(INDEX('Kode Diskon'!$D$3:$D$9,MATCH(cadangan3[[#This Row],[Kode diskon]],'Kode Diskon'!$C$3:$C$9,0)),"-")</f>
        <v>0.2</v>
      </c>
      <c r="AM684" s="23" t="s">
        <v>9</v>
      </c>
      <c r="AN684" s="23" t="s">
        <v>7</v>
      </c>
      <c r="AO684" s="23" t="s">
        <v>78</v>
      </c>
      <c r="AP684" s="24">
        <v>45032</v>
      </c>
      <c r="AQ684" s="23" t="str">
        <f>TEXT(cadangan3[[#This Row],[Tanggal terjual]],"dddd")</f>
        <v>Sunday</v>
      </c>
    </row>
    <row r="685" spans="1:43" x14ac:dyDescent="0.2">
      <c r="A685" s="20">
        <v>684</v>
      </c>
      <c r="B685" s="21" t="str">
        <f>_xlfn.CONCAT("ORD-",INDEX(Helper!$B$2:$B$5,MATCH(cadangan3[[#This Row],[Marketplace]],Helper!$A$2:$A$5,0)),TEXT(cadangan3[[#This Row],[No]],"0000"),"-",TEXT(cadangan3[[#This Row],[Tanggal terjual]],"dd/mm/yy"))</f>
        <v>ORD-SP0684-29/04/23</v>
      </c>
      <c r="C685" t="s">
        <v>64</v>
      </c>
      <c r="D685" t="str">
        <f>IFERROR(INDEX(Katalog!$A$3:$A$12,MATCH(cadangan3[[#This Row],[ItemID A]],Katalog!$C$3:$C$12,0)),"-")</f>
        <v>Pakaian Unisex</v>
      </c>
      <c r="E685" t="str">
        <f>IFERROR(INDEX(Katalog!$B$3:$B$12,MATCH(cadangan3[[#This Row],[ItemID A]],Katalog!$C$3:$C$12,0)),"-")</f>
        <v>Jaket Hoodie</v>
      </c>
      <c r="F685">
        <v>2</v>
      </c>
      <c r="G685">
        <v>4</v>
      </c>
      <c r="H685" s="36">
        <f>IFERROR(INDEX(Katalog!$D$3:$D$12,MATCH(cadangan3[[#This Row],[ItemID A]],Katalog!$C$3:$C$12,0))*cadangan3[[#This Row],[Qty A]],0)</f>
        <v>700000</v>
      </c>
      <c r="I685" s="36">
        <f>IFERROR(INDEX(Katalog!$D$3:$D$12,MATCH(cadangan3[[#This Row],[Item A]],Katalog!$B$3:$B$12,0))*cadangan3[[#This Row],[Qty A]],0)</f>
        <v>700000</v>
      </c>
      <c r="J685" s="36">
        <f>IFERROR(cadangan3[[#This Row],[Harga Asli A]]-(cadangan3[[#This Row],[Harga Asli A]]*cadangan3[[#This Row],[Diskon]]),cadangan3[[#This Row],[Harga Asli A]])</f>
        <v>560000</v>
      </c>
      <c r="K685" s="36">
        <f>INDEX(Katalog!$F$3:$F$12,MATCH(cadangan3[[#This Row],[ItemID A]],Katalog!$C$3:$C$12,0))*cadangan3[[#This Row],[Qty A]]</f>
        <v>260000</v>
      </c>
      <c r="L685" s="36">
        <f>IFERROR(cadangan3[[#This Row],[Profit A]]-(cadangan3[[#This Row],[Profit A]]*cadangan3[[#This Row],[Diskon]]),K685)</f>
        <v>208000</v>
      </c>
      <c r="M685" t="s">
        <v>65</v>
      </c>
      <c r="N685" t="str">
        <f>IFERROR(INDEX(Katalog!$A$3:$A$12,MATCH(cadangan3[[#This Row],[ItemID B]],Katalog!$C$3:$C$12,0)),"-")</f>
        <v>Sepatu Pria</v>
      </c>
      <c r="O685" t="str">
        <f>IFERROR(INDEX(Katalog!$B$3:$B$12,MATCH(cadangan3[[#This Row],[ItemID B]],Katalog!$C$3:$C$12,0)),"-")</f>
        <v>Sneakers</v>
      </c>
      <c r="P685">
        <v>1</v>
      </c>
      <c r="Q685">
        <v>2</v>
      </c>
      <c r="R685" s="36">
        <f>IFERROR(INDEX(Katalog!$D$3:$D$12,MATCH(cadangan3[[#This Row],[ItemID B]],Katalog!$C$3:$C$12,0))*cadangan3[[#This Row],[Qty B]],0)</f>
        <v>500000</v>
      </c>
      <c r="S685" s="36">
        <f>IFERROR(INDEX(Katalog!$D$3:$D$12,MATCH(cadangan3[[#This Row],[Item B]],Katalog!$B$3:$B$12,0))*cadangan3[[#This Row],[Qty B]],0)</f>
        <v>500000</v>
      </c>
      <c r="T685" s="36">
        <f>IFERROR(cadangan3[[#This Row],[Harga Asli B]]-(cadangan3[[#This Row],[Harga Asli B]]*cadangan3[[#This Row],[Diskon]]),cadangan3[[#This Row],[Harga Asli B]])</f>
        <v>400000</v>
      </c>
      <c r="U685" s="36">
        <f>IFERROR(INDEX(Katalog!$F$3:$F$12,MATCH(cadangan3[[#This Row],[ItemID B]],Katalog!$C$3:$C$12,0))*cadangan3[[#This Row],[Qty B]],0)</f>
        <v>200000</v>
      </c>
      <c r="V685" s="36">
        <f>IFERROR(cadangan3[[#This Row],[Profit B]]-(cadangan3[[#This Row],[Profit B]]*cadangan3[[#This Row],[Diskon]]),U685)</f>
        <v>160000</v>
      </c>
      <c r="X685" t="str">
        <f>IFERROR(INDEX(Katalog!$A$3:$A$12,MATCH(cadangan3[[#This Row],[ItemID C]],Katalog!$C$3:$C$12,0)),"-")</f>
        <v>-</v>
      </c>
      <c r="Y685" t="str">
        <f>IFERROR(INDEX(Katalog!$B$3:$B$12,MATCH(cadangan3[[#This Row],[ItemID C]],Katalog!$C$3:$C$12,0)),"-")</f>
        <v>-</v>
      </c>
      <c r="AB685" s="36">
        <f>IFERROR(INDEX(Katalog!$D$3:$D$12,MATCH(cadangan3[[#This Row],[ItemID C]],Katalog!$C$3:$C$12,0))*cadangan3[[#This Row],[Qty C]],0)</f>
        <v>0</v>
      </c>
      <c r="AC685" s="36">
        <f>IFERROR(INDEX(Katalog!$D$3:$D$12,MATCH(cadangan3[[#This Row],[Item C]],Katalog!$B$3:$B$12,0))*cadangan3[[#This Row],[Qty C]],0)</f>
        <v>0</v>
      </c>
      <c r="AD685" s="36">
        <f>IFERROR(cadangan3[[#This Row],[Harga Asli C]]-(cadangan3[[#This Row],[Harga Asli C]]*cadangan3[[#This Row],[Diskon]]),cadangan3[[#This Row],[Harga Asli C]])</f>
        <v>0</v>
      </c>
      <c r="AE685" s="36">
        <f>IFERROR(INDEX(Katalog!$F$3:$F$12,MATCH(cadangan3[[#This Row],[ItemID C]],Katalog!$C$3:$C$12,0))*cadangan3[[#This Row],[Qty C]],0)</f>
        <v>0</v>
      </c>
      <c r="AF685" s="36">
        <f>IFERROR(cadangan3[[#This Row],[Profit C]]-(cadangan3[[#This Row],[Profit C]]*cadangan3[[#This Row],[Diskon]]),cadangan3[[#This Row],[Profit C]])</f>
        <v>0</v>
      </c>
      <c r="AG685" s="21">
        <f>cadangan3[[#This Row],[Qty A]]+cadangan3[[#This Row],[Qty B]]+cadangan3[[#This Row],[Qty C]]</f>
        <v>3</v>
      </c>
      <c r="AH685" s="35">
        <f>cadangan3[[#This Row],[Harga A + Diskon]]+cadangan3[[#This Row],[Harga + Diskon B]]+cadangan3[[#This Row],[Harga + Diskon C]]</f>
        <v>960000</v>
      </c>
      <c r="AI685" s="35">
        <f>(cadangan3[[#This Row],[Profit A]]+cadangan3[[#This Row],[Profit B]]+cadangan3[[#This Row],[Profit C]])</f>
        <v>460000</v>
      </c>
      <c r="AJ685" s="35">
        <f>cadangan3[[#This Row],[Provit A + Diskon]]+cadangan3[[#This Row],[Provit B + Diskon]]+cadangan3[[#This Row],[Provit C + Diskon]]</f>
        <v>368000</v>
      </c>
      <c r="AK685" s="23" t="s">
        <v>8</v>
      </c>
      <c r="AL685" s="37">
        <f>IFERROR(INDEX('Kode Diskon'!$D$3:$D$9,MATCH(cadangan3[[#This Row],[Kode diskon]],'Kode Diskon'!$C$3:$C$9,0)),"-")</f>
        <v>0.2</v>
      </c>
      <c r="AM685" s="23" t="s">
        <v>9</v>
      </c>
      <c r="AN685" s="23" t="s">
        <v>7</v>
      </c>
      <c r="AO685" s="23" t="s">
        <v>80</v>
      </c>
      <c r="AP685" s="24">
        <v>45045</v>
      </c>
      <c r="AQ685" s="23" t="str">
        <f>TEXT(cadangan3[[#This Row],[Tanggal terjual]],"dddd")</f>
        <v>Saturday</v>
      </c>
    </row>
    <row r="686" spans="1:43" x14ac:dyDescent="0.2">
      <c r="A686" s="20">
        <v>685</v>
      </c>
      <c r="B686" s="21" t="str">
        <f>_xlfn.CONCAT("ORD-",INDEX(Helper!$B$2:$B$5,MATCH(cadangan3[[#This Row],[Marketplace]],Helper!$A$2:$A$5,0)),TEXT(cadangan3[[#This Row],[No]],"0000"),"-",TEXT(cadangan3[[#This Row],[Tanggal terjual]],"dd/mm/yy"))</f>
        <v>ORD-BL0685-30/04/23</v>
      </c>
      <c r="C686" t="s">
        <v>66</v>
      </c>
      <c r="D686" t="str">
        <f>IFERROR(INDEX(Katalog!$A$3:$A$12,MATCH(cadangan3[[#This Row],[ItemID A]],Katalog!$C$3:$C$12,0)),"-")</f>
        <v>Sepatu Pria</v>
      </c>
      <c r="E686" t="str">
        <f>IFERROR(INDEX(Katalog!$B$3:$B$12,MATCH(cadangan3[[#This Row],[ItemID A]],Katalog!$C$3:$C$12,0)),"-")</f>
        <v>Sandal Slip On</v>
      </c>
      <c r="F686">
        <v>3</v>
      </c>
      <c r="G686">
        <v>1</v>
      </c>
      <c r="H686" s="36">
        <f>IFERROR(INDEX(Katalog!$D$3:$D$12,MATCH(cadangan3[[#This Row],[ItemID A]],Katalog!$C$3:$C$12,0))*cadangan3[[#This Row],[Qty A]],0)</f>
        <v>450000</v>
      </c>
      <c r="I686" s="36">
        <f>IFERROR(INDEX(Katalog!$D$3:$D$12,MATCH(cadangan3[[#This Row],[Item A]],Katalog!$B$3:$B$12,0))*cadangan3[[#This Row],[Qty A]],0)</f>
        <v>450000</v>
      </c>
      <c r="J686" s="36">
        <f>IFERROR(cadangan3[[#This Row],[Harga Asli A]]-(cadangan3[[#This Row],[Harga Asli A]]*cadangan3[[#This Row],[Diskon]]),cadangan3[[#This Row],[Harga Asli A]])</f>
        <v>382500</v>
      </c>
      <c r="K686" s="36">
        <f>INDEX(Katalog!$F$3:$F$12,MATCH(cadangan3[[#This Row],[ItemID A]],Katalog!$C$3:$C$12,0))*cadangan3[[#This Row],[Qty A]]</f>
        <v>180000</v>
      </c>
      <c r="L686" s="36">
        <f>IFERROR(cadangan3[[#This Row],[Profit A]]-(cadangan3[[#This Row],[Profit A]]*cadangan3[[#This Row],[Diskon]]),K686)</f>
        <v>153000</v>
      </c>
      <c r="N686" t="str">
        <f>IFERROR(INDEX(Katalog!$A$3:$A$12,MATCH(cadangan3[[#This Row],[ItemID B]],Katalog!$C$3:$C$12,0)),"-")</f>
        <v>-</v>
      </c>
      <c r="O686" t="str">
        <f>IFERROR(INDEX(Katalog!$B$3:$B$12,MATCH(cadangan3[[#This Row],[ItemID B]],Katalog!$C$3:$C$12,0)),"-")</f>
        <v>-</v>
      </c>
      <c r="R686" s="36">
        <f>IFERROR(INDEX(Katalog!$D$3:$D$12,MATCH(cadangan3[[#This Row],[ItemID B]],Katalog!$C$3:$C$12,0))*cadangan3[[#This Row],[Qty B]],0)</f>
        <v>0</v>
      </c>
      <c r="S686" s="36">
        <f>IFERROR(INDEX(Katalog!$D$3:$D$12,MATCH(cadangan3[[#This Row],[Item B]],Katalog!$B$3:$B$12,0))*cadangan3[[#This Row],[Qty B]],0)</f>
        <v>0</v>
      </c>
      <c r="T686" s="36">
        <f>IFERROR(cadangan3[[#This Row],[Harga Asli B]]-(cadangan3[[#This Row],[Harga Asli B]]*cadangan3[[#This Row],[Diskon]]),cadangan3[[#This Row],[Harga Asli B]])</f>
        <v>0</v>
      </c>
      <c r="U686" s="36">
        <f>IFERROR(INDEX(Katalog!$F$3:$F$12,MATCH(cadangan3[[#This Row],[ItemID B]],Katalog!$C$3:$C$12,0))*cadangan3[[#This Row],[Qty B]],0)</f>
        <v>0</v>
      </c>
      <c r="V686" s="36">
        <f>IFERROR(cadangan3[[#This Row],[Profit B]]-(cadangan3[[#This Row],[Profit B]]*cadangan3[[#This Row],[Diskon]]),U686)</f>
        <v>0</v>
      </c>
      <c r="X686" t="str">
        <f>IFERROR(INDEX(Katalog!$A$3:$A$12,MATCH(cadangan3[[#This Row],[ItemID C]],Katalog!$C$3:$C$12,0)),"-")</f>
        <v>-</v>
      </c>
      <c r="Y686" t="str">
        <f>IFERROR(INDEX(Katalog!$B$3:$B$12,MATCH(cadangan3[[#This Row],[ItemID C]],Katalog!$C$3:$C$12,0)),"-")</f>
        <v>-</v>
      </c>
      <c r="AB686" s="36">
        <f>IFERROR(INDEX(Katalog!$D$3:$D$12,MATCH(cadangan3[[#This Row],[ItemID C]],Katalog!$C$3:$C$12,0))*cadangan3[[#This Row],[Qty C]],0)</f>
        <v>0</v>
      </c>
      <c r="AC686" s="36">
        <f>IFERROR(INDEX(Katalog!$D$3:$D$12,MATCH(cadangan3[[#This Row],[Item C]],Katalog!$B$3:$B$12,0))*cadangan3[[#This Row],[Qty C]],0)</f>
        <v>0</v>
      </c>
      <c r="AD686" s="36">
        <f>IFERROR(cadangan3[[#This Row],[Harga Asli C]]-(cadangan3[[#This Row],[Harga Asli C]]*cadangan3[[#This Row],[Diskon]]),cadangan3[[#This Row],[Harga Asli C]])</f>
        <v>0</v>
      </c>
      <c r="AE686" s="36">
        <f>IFERROR(INDEX(Katalog!$F$3:$F$12,MATCH(cadangan3[[#This Row],[ItemID C]],Katalog!$C$3:$C$12,0))*cadangan3[[#This Row],[Qty C]],0)</f>
        <v>0</v>
      </c>
      <c r="AF686" s="36">
        <f>IFERROR(cadangan3[[#This Row],[Profit C]]-(cadangan3[[#This Row],[Profit C]]*cadangan3[[#This Row],[Diskon]]),cadangan3[[#This Row],[Profit C]])</f>
        <v>0</v>
      </c>
      <c r="AG686" s="21">
        <f>cadangan3[[#This Row],[Qty A]]+cadangan3[[#This Row],[Qty B]]+cadangan3[[#This Row],[Qty C]]</f>
        <v>3</v>
      </c>
      <c r="AH686" s="35">
        <f>cadangan3[[#This Row],[Harga A + Diskon]]+cadangan3[[#This Row],[Harga + Diskon B]]+cadangan3[[#This Row],[Harga + Diskon C]]</f>
        <v>382500</v>
      </c>
      <c r="AI686" s="35">
        <f>(cadangan3[[#This Row],[Profit A]]+cadangan3[[#This Row],[Profit B]]+cadangan3[[#This Row],[Profit C]])</f>
        <v>180000</v>
      </c>
      <c r="AJ686" s="35">
        <f>cadangan3[[#This Row],[Provit A + Diskon]]+cadangan3[[#This Row],[Provit B + Diskon]]+cadangan3[[#This Row],[Provit C + Diskon]]</f>
        <v>153000</v>
      </c>
      <c r="AK686" s="23" t="s">
        <v>32</v>
      </c>
      <c r="AL686" s="37">
        <f>IFERROR(INDEX('Kode Diskon'!$D$3:$D$9,MATCH(cadangan3[[#This Row],[Kode diskon]],'Kode Diskon'!$C$3:$C$9,0)),"-")</f>
        <v>0.15</v>
      </c>
      <c r="AM686" s="23" t="s">
        <v>9</v>
      </c>
      <c r="AN686" s="23" t="s">
        <v>12</v>
      </c>
      <c r="AO686" s="23" t="s">
        <v>80</v>
      </c>
      <c r="AP686" s="24">
        <v>45046</v>
      </c>
      <c r="AQ686" s="23" t="str">
        <f>TEXT(cadangan3[[#This Row],[Tanggal terjual]],"dddd")</f>
        <v>Sunday</v>
      </c>
    </row>
    <row r="687" spans="1:43" x14ac:dyDescent="0.2">
      <c r="A687" s="20">
        <v>686</v>
      </c>
      <c r="B687" s="21" t="str">
        <f>_xlfn.CONCAT("ORD-",INDEX(Helper!$B$2:$B$5,MATCH(cadangan3[[#This Row],[Marketplace]],Helper!$A$2:$A$5,0)),TEXT(cadangan3[[#This Row],[No]],"0000"),"-",TEXT(cadangan3[[#This Row],[Tanggal terjual]],"dd/mm/yy"))</f>
        <v>ORD-SP0686-09/04/23</v>
      </c>
      <c r="C687" t="s">
        <v>58</v>
      </c>
      <c r="D687" t="str">
        <f>IFERROR(INDEX(Katalog!$A$3:$A$12,MATCH(cadangan3[[#This Row],[ItemID A]],Katalog!$C$3:$C$12,0)),"-")</f>
        <v>Pakaian Wanita</v>
      </c>
      <c r="E687" t="str">
        <f>IFERROR(INDEX(Katalog!$B$3:$B$12,MATCH(cadangan3[[#This Row],[ItemID A]],Katalog!$C$3:$C$12,0)),"-")</f>
        <v>Dress</v>
      </c>
      <c r="F687">
        <v>2</v>
      </c>
      <c r="G687">
        <v>5</v>
      </c>
      <c r="H687" s="36">
        <f>IFERROR(INDEX(Katalog!$D$3:$D$12,MATCH(cadangan3[[#This Row],[ItemID A]],Katalog!$C$3:$C$12,0))*cadangan3[[#This Row],[Qty A]],0)</f>
        <v>600000</v>
      </c>
      <c r="I687" s="36">
        <f>IFERROR(INDEX(Katalog!$D$3:$D$12,MATCH(cadangan3[[#This Row],[Item A]],Katalog!$B$3:$B$12,0))*cadangan3[[#This Row],[Qty A]],0)</f>
        <v>600000</v>
      </c>
      <c r="J687" s="36">
        <f>IFERROR(cadangan3[[#This Row],[Harga Asli A]]-(cadangan3[[#This Row],[Harga Asli A]]*cadangan3[[#This Row],[Diskon]]),cadangan3[[#This Row],[Harga Asli A]])</f>
        <v>600000</v>
      </c>
      <c r="K687" s="36">
        <f>INDEX(Katalog!$F$3:$F$12,MATCH(cadangan3[[#This Row],[ItemID A]],Katalog!$C$3:$C$12,0))*cadangan3[[#This Row],[Qty A]]</f>
        <v>200000</v>
      </c>
      <c r="L687" s="36">
        <f>IFERROR(cadangan3[[#This Row],[Profit A]]-(cadangan3[[#This Row],[Profit A]]*cadangan3[[#This Row],[Diskon]]),K687)</f>
        <v>200000</v>
      </c>
      <c r="M687" t="s">
        <v>64</v>
      </c>
      <c r="N687" t="str">
        <f>IFERROR(INDEX(Katalog!$A$3:$A$12,MATCH(cadangan3[[#This Row],[ItemID B]],Katalog!$C$3:$C$12,0)),"-")</f>
        <v>Pakaian Unisex</v>
      </c>
      <c r="O687" t="str">
        <f>IFERROR(INDEX(Katalog!$B$3:$B$12,MATCH(cadangan3[[#This Row],[ItemID B]],Katalog!$C$3:$C$12,0)),"-")</f>
        <v>Jaket Hoodie</v>
      </c>
      <c r="P687">
        <v>5</v>
      </c>
      <c r="Q687">
        <v>5</v>
      </c>
      <c r="R687" s="36">
        <f>IFERROR(INDEX(Katalog!$D$3:$D$12,MATCH(cadangan3[[#This Row],[ItemID B]],Katalog!$C$3:$C$12,0))*cadangan3[[#This Row],[Qty B]],0)</f>
        <v>1750000</v>
      </c>
      <c r="S687" s="36">
        <f>IFERROR(INDEX(Katalog!$D$3:$D$12,MATCH(cadangan3[[#This Row],[Item B]],Katalog!$B$3:$B$12,0))*cadangan3[[#This Row],[Qty B]],0)</f>
        <v>1750000</v>
      </c>
      <c r="T687" s="36">
        <f>IFERROR(cadangan3[[#This Row],[Harga Asli B]]-(cadangan3[[#This Row],[Harga Asli B]]*cadangan3[[#This Row],[Diskon]]),cadangan3[[#This Row],[Harga Asli B]])</f>
        <v>1750000</v>
      </c>
      <c r="U687" s="36">
        <f>IFERROR(INDEX(Katalog!$F$3:$F$12,MATCH(cadangan3[[#This Row],[ItemID B]],Katalog!$C$3:$C$12,0))*cadangan3[[#This Row],[Qty B]],0)</f>
        <v>650000</v>
      </c>
      <c r="V687" s="36">
        <f>IFERROR(cadangan3[[#This Row],[Profit B]]-(cadangan3[[#This Row],[Profit B]]*cadangan3[[#This Row],[Diskon]]),U687)</f>
        <v>650000</v>
      </c>
      <c r="X687" t="str">
        <f>IFERROR(INDEX(Katalog!$A$3:$A$12,MATCH(cadangan3[[#This Row],[ItemID C]],Katalog!$C$3:$C$12,0)),"-")</f>
        <v>-</v>
      </c>
      <c r="Y687" t="str">
        <f>IFERROR(INDEX(Katalog!$B$3:$B$12,MATCH(cadangan3[[#This Row],[ItemID C]],Katalog!$C$3:$C$12,0)),"-")</f>
        <v>-</v>
      </c>
      <c r="AB687" s="36">
        <f>IFERROR(INDEX(Katalog!$D$3:$D$12,MATCH(cadangan3[[#This Row],[ItemID C]],Katalog!$C$3:$C$12,0))*cadangan3[[#This Row],[Qty C]],0)</f>
        <v>0</v>
      </c>
      <c r="AC687" s="36">
        <f>IFERROR(INDEX(Katalog!$D$3:$D$12,MATCH(cadangan3[[#This Row],[Item C]],Katalog!$B$3:$B$12,0))*cadangan3[[#This Row],[Qty C]],0)</f>
        <v>0</v>
      </c>
      <c r="AD687" s="36">
        <f>IFERROR(cadangan3[[#This Row],[Harga Asli C]]-(cadangan3[[#This Row],[Harga Asli C]]*cadangan3[[#This Row],[Diskon]]),cadangan3[[#This Row],[Harga Asli C]])</f>
        <v>0</v>
      </c>
      <c r="AE687" s="36">
        <f>IFERROR(INDEX(Katalog!$F$3:$F$12,MATCH(cadangan3[[#This Row],[ItemID C]],Katalog!$C$3:$C$12,0))*cadangan3[[#This Row],[Qty C]],0)</f>
        <v>0</v>
      </c>
      <c r="AF687" s="36">
        <f>IFERROR(cadangan3[[#This Row],[Profit C]]-(cadangan3[[#This Row],[Profit C]]*cadangan3[[#This Row],[Diskon]]),cadangan3[[#This Row],[Profit C]])</f>
        <v>0</v>
      </c>
      <c r="AG687" s="21">
        <f>cadangan3[[#This Row],[Qty A]]+cadangan3[[#This Row],[Qty B]]+cadangan3[[#This Row],[Qty C]]</f>
        <v>7</v>
      </c>
      <c r="AH687" s="35">
        <f>cadangan3[[#This Row],[Harga A + Diskon]]+cadangan3[[#This Row],[Harga + Diskon B]]+cadangan3[[#This Row],[Harga + Diskon C]]</f>
        <v>2350000</v>
      </c>
      <c r="AI687" s="35">
        <f>(cadangan3[[#This Row],[Profit A]]+cadangan3[[#This Row],[Profit B]]+cadangan3[[#This Row],[Profit C]])</f>
        <v>850000</v>
      </c>
      <c r="AJ687" s="35">
        <f>cadangan3[[#This Row],[Provit A + Diskon]]+cadangan3[[#This Row],[Provit B + Diskon]]+cadangan3[[#This Row],[Provit C + Diskon]]</f>
        <v>850000</v>
      </c>
      <c r="AK687" s="23" t="s">
        <v>11</v>
      </c>
      <c r="AL687" s="37" t="str">
        <f>IFERROR(INDEX('Kode Diskon'!$D$3:$D$9,MATCH(cadangan3[[#This Row],[Kode diskon]],'Kode Diskon'!$C$3:$C$9,0)),"-")</f>
        <v>-</v>
      </c>
      <c r="AM687" s="23" t="s">
        <v>11</v>
      </c>
      <c r="AN687" s="23" t="s">
        <v>7</v>
      </c>
      <c r="AO687" s="23" t="s">
        <v>75</v>
      </c>
      <c r="AP687" s="24">
        <v>45025</v>
      </c>
      <c r="AQ687" s="23" t="str">
        <f>TEXT(cadangan3[[#This Row],[Tanggal terjual]],"dddd")</f>
        <v>Sunday</v>
      </c>
    </row>
    <row r="688" spans="1:43" x14ac:dyDescent="0.2">
      <c r="A688" s="20">
        <v>687</v>
      </c>
      <c r="B688" s="21" t="str">
        <f>_xlfn.CONCAT("ORD-",INDEX(Helper!$B$2:$B$5,MATCH(cadangan3[[#This Row],[Marketplace]],Helper!$A$2:$A$5,0)),TEXT(cadangan3[[#This Row],[No]],"0000"),"-",TEXT(cadangan3[[#This Row],[Tanggal terjual]],"dd/mm/yy"))</f>
        <v>ORD-SP0687-23/04/23</v>
      </c>
      <c r="C688" t="s">
        <v>60</v>
      </c>
      <c r="D688" t="str">
        <f>IFERROR(INDEX(Katalog!$A$3:$A$12,MATCH(cadangan3[[#This Row],[ItemID A]],Katalog!$C$3:$C$12,0)),"-")</f>
        <v>Pakaian Wanita</v>
      </c>
      <c r="E688" t="str">
        <f>IFERROR(INDEX(Katalog!$B$3:$B$12,MATCH(cadangan3[[#This Row],[ItemID A]],Katalog!$C$3:$C$12,0)),"-")</f>
        <v>Kaftan</v>
      </c>
      <c r="F688">
        <v>3</v>
      </c>
      <c r="G688">
        <v>3</v>
      </c>
      <c r="H688" s="36">
        <f>IFERROR(INDEX(Katalog!$D$3:$D$12,MATCH(cadangan3[[#This Row],[ItemID A]],Katalog!$C$3:$C$12,0))*cadangan3[[#This Row],[Qty A]],0)</f>
        <v>750000</v>
      </c>
      <c r="I688" s="36">
        <f>IFERROR(INDEX(Katalog!$D$3:$D$12,MATCH(cadangan3[[#This Row],[Item A]],Katalog!$B$3:$B$12,0))*cadangan3[[#This Row],[Qty A]],0)</f>
        <v>750000</v>
      </c>
      <c r="J688" s="36">
        <f>IFERROR(cadangan3[[#This Row],[Harga Asli A]]-(cadangan3[[#This Row],[Harga Asli A]]*cadangan3[[#This Row],[Diskon]]),cadangan3[[#This Row],[Harga Asli A]])</f>
        <v>600000</v>
      </c>
      <c r="K688" s="36">
        <f>INDEX(Katalog!$F$3:$F$12,MATCH(cadangan3[[#This Row],[ItemID A]],Katalog!$C$3:$C$12,0))*cadangan3[[#This Row],[Qty A]]</f>
        <v>300000</v>
      </c>
      <c r="L688" s="36">
        <f>IFERROR(cadangan3[[#This Row],[Profit A]]-(cadangan3[[#This Row],[Profit A]]*cadangan3[[#This Row],[Diskon]]),K688)</f>
        <v>240000</v>
      </c>
      <c r="N688" t="str">
        <f>IFERROR(INDEX(Katalog!$A$3:$A$12,MATCH(cadangan3[[#This Row],[ItemID B]],Katalog!$C$3:$C$12,0)),"-")</f>
        <v>-</v>
      </c>
      <c r="O688" t="str">
        <f>IFERROR(INDEX(Katalog!$B$3:$B$12,MATCH(cadangan3[[#This Row],[ItemID B]],Katalog!$C$3:$C$12,0)),"-")</f>
        <v>-</v>
      </c>
      <c r="R688" s="36">
        <f>IFERROR(INDEX(Katalog!$D$3:$D$12,MATCH(cadangan3[[#This Row],[ItemID B]],Katalog!$C$3:$C$12,0))*cadangan3[[#This Row],[Qty B]],0)</f>
        <v>0</v>
      </c>
      <c r="S688" s="36">
        <f>IFERROR(INDEX(Katalog!$D$3:$D$12,MATCH(cadangan3[[#This Row],[Item B]],Katalog!$B$3:$B$12,0))*cadangan3[[#This Row],[Qty B]],0)</f>
        <v>0</v>
      </c>
      <c r="T688" s="36">
        <f>IFERROR(cadangan3[[#This Row],[Harga Asli B]]-(cadangan3[[#This Row],[Harga Asli B]]*cadangan3[[#This Row],[Diskon]]),cadangan3[[#This Row],[Harga Asli B]])</f>
        <v>0</v>
      </c>
      <c r="U688" s="36">
        <f>IFERROR(INDEX(Katalog!$F$3:$F$12,MATCH(cadangan3[[#This Row],[ItemID B]],Katalog!$C$3:$C$12,0))*cadangan3[[#This Row],[Qty B]],0)</f>
        <v>0</v>
      </c>
      <c r="V688" s="36">
        <f>IFERROR(cadangan3[[#This Row],[Profit B]]-(cadangan3[[#This Row],[Profit B]]*cadangan3[[#This Row],[Diskon]]),U688)</f>
        <v>0</v>
      </c>
      <c r="X688" t="str">
        <f>IFERROR(INDEX(Katalog!$A$3:$A$12,MATCH(cadangan3[[#This Row],[ItemID C]],Katalog!$C$3:$C$12,0)),"-")</f>
        <v>-</v>
      </c>
      <c r="Y688" t="str">
        <f>IFERROR(INDEX(Katalog!$B$3:$B$12,MATCH(cadangan3[[#This Row],[ItemID C]],Katalog!$C$3:$C$12,0)),"-")</f>
        <v>-</v>
      </c>
      <c r="AB688" s="36">
        <f>IFERROR(INDEX(Katalog!$D$3:$D$12,MATCH(cadangan3[[#This Row],[ItemID C]],Katalog!$C$3:$C$12,0))*cadangan3[[#This Row],[Qty C]],0)</f>
        <v>0</v>
      </c>
      <c r="AC688" s="36">
        <f>IFERROR(INDEX(Katalog!$D$3:$D$12,MATCH(cadangan3[[#This Row],[Item C]],Katalog!$B$3:$B$12,0))*cadangan3[[#This Row],[Qty C]],0)</f>
        <v>0</v>
      </c>
      <c r="AD688" s="36">
        <f>IFERROR(cadangan3[[#This Row],[Harga Asli C]]-(cadangan3[[#This Row],[Harga Asli C]]*cadangan3[[#This Row],[Diskon]]),cadangan3[[#This Row],[Harga Asli C]])</f>
        <v>0</v>
      </c>
      <c r="AE688" s="36">
        <f>IFERROR(INDEX(Katalog!$F$3:$F$12,MATCH(cadangan3[[#This Row],[ItemID C]],Katalog!$C$3:$C$12,0))*cadangan3[[#This Row],[Qty C]],0)</f>
        <v>0</v>
      </c>
      <c r="AF688" s="36">
        <f>IFERROR(cadangan3[[#This Row],[Profit C]]-(cadangan3[[#This Row],[Profit C]]*cadangan3[[#This Row],[Diskon]]),cadangan3[[#This Row],[Profit C]])</f>
        <v>0</v>
      </c>
      <c r="AG688" s="21">
        <f>cadangan3[[#This Row],[Qty A]]+cadangan3[[#This Row],[Qty B]]+cadangan3[[#This Row],[Qty C]]</f>
        <v>3</v>
      </c>
      <c r="AH688" s="35">
        <f>cadangan3[[#This Row],[Harga A + Diskon]]+cadangan3[[#This Row],[Harga + Diskon B]]+cadangan3[[#This Row],[Harga + Diskon C]]</f>
        <v>600000</v>
      </c>
      <c r="AI688" s="35">
        <f>(cadangan3[[#This Row],[Profit A]]+cadangan3[[#This Row],[Profit B]]+cadangan3[[#This Row],[Profit C]])</f>
        <v>300000</v>
      </c>
      <c r="AJ688" s="35">
        <f>cadangan3[[#This Row],[Provit A + Diskon]]+cadangan3[[#This Row],[Provit B + Diskon]]+cadangan3[[#This Row],[Provit C + Diskon]]</f>
        <v>240000</v>
      </c>
      <c r="AK688" s="23" t="s">
        <v>8</v>
      </c>
      <c r="AL688" s="37">
        <f>IFERROR(INDEX('Kode Diskon'!$D$3:$D$9,MATCH(cadangan3[[#This Row],[Kode diskon]],'Kode Diskon'!$C$3:$C$9,0)),"-")</f>
        <v>0.2</v>
      </c>
      <c r="AM688" s="23" t="s">
        <v>9</v>
      </c>
      <c r="AN688" s="23" t="s">
        <v>7</v>
      </c>
      <c r="AO688" s="23" t="s">
        <v>80</v>
      </c>
      <c r="AP688" s="24">
        <v>45039</v>
      </c>
      <c r="AQ688" s="23" t="str">
        <f>TEXT(cadangan3[[#This Row],[Tanggal terjual]],"dddd")</f>
        <v>Sunday</v>
      </c>
    </row>
    <row r="689" spans="1:43" x14ac:dyDescent="0.2">
      <c r="A689" s="20">
        <v>688</v>
      </c>
      <c r="B689" s="21" t="str">
        <f>_xlfn.CONCAT("ORD-",INDEX(Helper!$B$2:$B$5,MATCH(cadangan3[[#This Row],[Marketplace]],Helper!$A$2:$A$5,0)),TEXT(cadangan3[[#This Row],[No]],"0000"),"-",TEXT(cadangan3[[#This Row],[Tanggal terjual]],"dd/mm/yy"))</f>
        <v>ORD-SP0688-26/04/23</v>
      </c>
      <c r="C689" t="s">
        <v>64</v>
      </c>
      <c r="D689" t="str">
        <f>IFERROR(INDEX(Katalog!$A$3:$A$12,MATCH(cadangan3[[#This Row],[ItemID A]],Katalog!$C$3:$C$12,0)),"-")</f>
        <v>Pakaian Unisex</v>
      </c>
      <c r="E689" t="str">
        <f>IFERROR(INDEX(Katalog!$B$3:$B$12,MATCH(cadangan3[[#This Row],[ItemID A]],Katalog!$C$3:$C$12,0)),"-")</f>
        <v>Jaket Hoodie</v>
      </c>
      <c r="F689">
        <v>4</v>
      </c>
      <c r="G689">
        <v>2</v>
      </c>
      <c r="H689" s="36">
        <f>IFERROR(INDEX(Katalog!$D$3:$D$12,MATCH(cadangan3[[#This Row],[ItemID A]],Katalog!$C$3:$C$12,0))*cadangan3[[#This Row],[Qty A]],0)</f>
        <v>1400000</v>
      </c>
      <c r="I689" s="36">
        <f>IFERROR(INDEX(Katalog!$D$3:$D$12,MATCH(cadangan3[[#This Row],[Item A]],Katalog!$B$3:$B$12,0))*cadangan3[[#This Row],[Qty A]],0)</f>
        <v>1400000</v>
      </c>
      <c r="J689" s="36">
        <f>IFERROR(cadangan3[[#This Row],[Harga Asli A]]-(cadangan3[[#This Row],[Harga Asli A]]*cadangan3[[#This Row],[Diskon]]),cadangan3[[#This Row],[Harga Asli A]])</f>
        <v>1120000</v>
      </c>
      <c r="K689" s="36">
        <f>INDEX(Katalog!$F$3:$F$12,MATCH(cadangan3[[#This Row],[ItemID A]],Katalog!$C$3:$C$12,0))*cadangan3[[#This Row],[Qty A]]</f>
        <v>520000</v>
      </c>
      <c r="L689" s="36">
        <f>IFERROR(cadangan3[[#This Row],[Profit A]]-(cadangan3[[#This Row],[Profit A]]*cadangan3[[#This Row],[Diskon]]),K689)</f>
        <v>416000</v>
      </c>
      <c r="M689" t="s">
        <v>62</v>
      </c>
      <c r="N689" t="str">
        <f>IFERROR(INDEX(Katalog!$A$3:$A$12,MATCH(cadangan3[[#This Row],[ItemID B]],Katalog!$C$3:$C$12,0)),"-")</f>
        <v>Pakaian Pria</v>
      </c>
      <c r="O689" t="str">
        <f>IFERROR(INDEX(Katalog!$B$3:$B$12,MATCH(cadangan3[[#This Row],[ItemID B]],Katalog!$C$3:$C$12,0)),"-")</f>
        <v>Celana Pendek</v>
      </c>
      <c r="P689">
        <v>1</v>
      </c>
      <c r="Q689">
        <v>2</v>
      </c>
      <c r="R689" s="36">
        <f>IFERROR(INDEX(Katalog!$D$3:$D$12,MATCH(cadangan3[[#This Row],[ItemID B]],Katalog!$C$3:$C$12,0))*cadangan3[[#This Row],[Qty B]],0)</f>
        <v>180000</v>
      </c>
      <c r="S689" s="36">
        <f>IFERROR(INDEX(Katalog!$D$3:$D$12,MATCH(cadangan3[[#This Row],[Item B]],Katalog!$B$3:$B$12,0))*cadangan3[[#This Row],[Qty B]],0)</f>
        <v>180000</v>
      </c>
      <c r="T689" s="36">
        <f>IFERROR(cadangan3[[#This Row],[Harga Asli B]]-(cadangan3[[#This Row],[Harga Asli B]]*cadangan3[[#This Row],[Diskon]]),cadangan3[[#This Row],[Harga Asli B]])</f>
        <v>144000</v>
      </c>
      <c r="U689" s="36">
        <f>IFERROR(INDEX(Katalog!$F$3:$F$12,MATCH(cadangan3[[#This Row],[ItemID B]],Katalog!$C$3:$C$12,0))*cadangan3[[#This Row],[Qty B]],0)</f>
        <v>70000</v>
      </c>
      <c r="V689" s="36">
        <f>IFERROR(cadangan3[[#This Row],[Profit B]]-(cadangan3[[#This Row],[Profit B]]*cadangan3[[#This Row],[Diskon]]),U689)</f>
        <v>56000</v>
      </c>
      <c r="X689" t="str">
        <f>IFERROR(INDEX(Katalog!$A$3:$A$12,MATCH(cadangan3[[#This Row],[ItemID C]],Katalog!$C$3:$C$12,0)),"-")</f>
        <v>-</v>
      </c>
      <c r="Y689" t="str">
        <f>IFERROR(INDEX(Katalog!$B$3:$B$12,MATCH(cadangan3[[#This Row],[ItemID C]],Katalog!$C$3:$C$12,0)),"-")</f>
        <v>-</v>
      </c>
      <c r="AB689" s="36">
        <f>IFERROR(INDEX(Katalog!$D$3:$D$12,MATCH(cadangan3[[#This Row],[ItemID C]],Katalog!$C$3:$C$12,0))*cadangan3[[#This Row],[Qty C]],0)</f>
        <v>0</v>
      </c>
      <c r="AC689" s="36">
        <f>IFERROR(INDEX(Katalog!$D$3:$D$12,MATCH(cadangan3[[#This Row],[Item C]],Katalog!$B$3:$B$12,0))*cadangan3[[#This Row],[Qty C]],0)</f>
        <v>0</v>
      </c>
      <c r="AD689" s="36">
        <f>IFERROR(cadangan3[[#This Row],[Harga Asli C]]-(cadangan3[[#This Row],[Harga Asli C]]*cadangan3[[#This Row],[Diskon]]),cadangan3[[#This Row],[Harga Asli C]])</f>
        <v>0</v>
      </c>
      <c r="AE689" s="36">
        <f>IFERROR(INDEX(Katalog!$F$3:$F$12,MATCH(cadangan3[[#This Row],[ItemID C]],Katalog!$C$3:$C$12,0))*cadangan3[[#This Row],[Qty C]],0)</f>
        <v>0</v>
      </c>
      <c r="AF689" s="36">
        <f>IFERROR(cadangan3[[#This Row],[Profit C]]-(cadangan3[[#This Row],[Profit C]]*cadangan3[[#This Row],[Diskon]]),cadangan3[[#This Row],[Profit C]])</f>
        <v>0</v>
      </c>
      <c r="AG689" s="21">
        <f>cadangan3[[#This Row],[Qty A]]+cadangan3[[#This Row],[Qty B]]+cadangan3[[#This Row],[Qty C]]</f>
        <v>5</v>
      </c>
      <c r="AH689" s="35">
        <f>cadangan3[[#This Row],[Harga A + Diskon]]+cadangan3[[#This Row],[Harga + Diskon B]]+cadangan3[[#This Row],[Harga + Diskon C]]</f>
        <v>1264000</v>
      </c>
      <c r="AI689" s="35">
        <f>(cadangan3[[#This Row],[Profit A]]+cadangan3[[#This Row],[Profit B]]+cadangan3[[#This Row],[Profit C]])</f>
        <v>590000</v>
      </c>
      <c r="AJ689" s="35">
        <f>cadangan3[[#This Row],[Provit A + Diskon]]+cadangan3[[#This Row],[Provit B + Diskon]]+cadangan3[[#This Row],[Provit C + Diskon]]</f>
        <v>472000</v>
      </c>
      <c r="AK689" s="23" t="s">
        <v>8</v>
      </c>
      <c r="AL689" s="37">
        <f>IFERROR(INDEX('Kode Diskon'!$D$3:$D$9,MATCH(cadangan3[[#This Row],[Kode diskon]],'Kode Diskon'!$C$3:$C$9,0)),"-")</f>
        <v>0.2</v>
      </c>
      <c r="AM689" s="23" t="s">
        <v>9</v>
      </c>
      <c r="AN689" s="23" t="s">
        <v>7</v>
      </c>
      <c r="AO689" s="23" t="s">
        <v>79</v>
      </c>
      <c r="AP689" s="24">
        <v>45042</v>
      </c>
      <c r="AQ689" s="23" t="str">
        <f>TEXT(cadangan3[[#This Row],[Tanggal terjual]],"dddd")</f>
        <v>Wednesday</v>
      </c>
    </row>
    <row r="690" spans="1:43" x14ac:dyDescent="0.2">
      <c r="A690" s="20">
        <v>689</v>
      </c>
      <c r="B690" s="21" t="str">
        <f>_xlfn.CONCAT("ORD-",INDEX(Helper!$B$2:$B$5,MATCH(cadangan3[[#This Row],[Marketplace]],Helper!$A$2:$A$5,0)),TEXT(cadangan3[[#This Row],[No]],"0000"),"-",TEXT(cadangan3[[#This Row],[Tanggal terjual]],"dd/mm/yy"))</f>
        <v>ORD-BB0689-09/04/23</v>
      </c>
      <c r="C690" t="s">
        <v>64</v>
      </c>
      <c r="D690" t="str">
        <f>IFERROR(INDEX(Katalog!$A$3:$A$12,MATCH(cadangan3[[#This Row],[ItemID A]],Katalog!$C$3:$C$12,0)),"-")</f>
        <v>Pakaian Unisex</v>
      </c>
      <c r="E690" t="str">
        <f>IFERROR(INDEX(Katalog!$B$3:$B$12,MATCH(cadangan3[[#This Row],[ItemID A]],Katalog!$C$3:$C$12,0)),"-")</f>
        <v>Jaket Hoodie</v>
      </c>
      <c r="F690">
        <v>1</v>
      </c>
      <c r="G690">
        <v>4</v>
      </c>
      <c r="H690" s="36">
        <f>IFERROR(INDEX(Katalog!$D$3:$D$12,MATCH(cadangan3[[#This Row],[ItemID A]],Katalog!$C$3:$C$12,0))*cadangan3[[#This Row],[Qty A]],0)</f>
        <v>350000</v>
      </c>
      <c r="I690" s="36">
        <f>IFERROR(INDEX(Katalog!$D$3:$D$12,MATCH(cadangan3[[#This Row],[Item A]],Katalog!$B$3:$B$12,0))*cadangan3[[#This Row],[Qty A]],0)</f>
        <v>350000</v>
      </c>
      <c r="J690" s="36">
        <f>IFERROR(cadangan3[[#This Row],[Harga Asli A]]-(cadangan3[[#This Row],[Harga Asli A]]*cadangan3[[#This Row],[Diskon]]),cadangan3[[#This Row],[Harga Asli A]])</f>
        <v>350000</v>
      </c>
      <c r="K690" s="36">
        <f>INDEX(Katalog!$F$3:$F$12,MATCH(cadangan3[[#This Row],[ItemID A]],Katalog!$C$3:$C$12,0))*cadangan3[[#This Row],[Qty A]]</f>
        <v>130000</v>
      </c>
      <c r="L690" s="36">
        <f>IFERROR(cadangan3[[#This Row],[Profit A]]-(cadangan3[[#This Row],[Profit A]]*cadangan3[[#This Row],[Diskon]]),K690)</f>
        <v>130000</v>
      </c>
      <c r="N690" t="str">
        <f>IFERROR(INDEX(Katalog!$A$3:$A$12,MATCH(cadangan3[[#This Row],[ItemID B]],Katalog!$C$3:$C$12,0)),"-")</f>
        <v>-</v>
      </c>
      <c r="O690" t="str">
        <f>IFERROR(INDEX(Katalog!$B$3:$B$12,MATCH(cadangan3[[#This Row],[ItemID B]],Katalog!$C$3:$C$12,0)),"-")</f>
        <v>-</v>
      </c>
      <c r="R690" s="36">
        <f>IFERROR(INDEX(Katalog!$D$3:$D$12,MATCH(cadangan3[[#This Row],[ItemID B]],Katalog!$C$3:$C$12,0))*cadangan3[[#This Row],[Qty B]],0)</f>
        <v>0</v>
      </c>
      <c r="S690" s="36">
        <f>IFERROR(INDEX(Katalog!$D$3:$D$12,MATCH(cadangan3[[#This Row],[Item B]],Katalog!$B$3:$B$12,0))*cadangan3[[#This Row],[Qty B]],0)</f>
        <v>0</v>
      </c>
      <c r="T690" s="36">
        <f>IFERROR(cadangan3[[#This Row],[Harga Asli B]]-(cadangan3[[#This Row],[Harga Asli B]]*cadangan3[[#This Row],[Diskon]]),cadangan3[[#This Row],[Harga Asli B]])</f>
        <v>0</v>
      </c>
      <c r="U690" s="36">
        <f>IFERROR(INDEX(Katalog!$F$3:$F$12,MATCH(cadangan3[[#This Row],[ItemID B]],Katalog!$C$3:$C$12,0))*cadangan3[[#This Row],[Qty B]],0)</f>
        <v>0</v>
      </c>
      <c r="V690" s="36">
        <f>IFERROR(cadangan3[[#This Row],[Profit B]]-(cadangan3[[#This Row],[Profit B]]*cadangan3[[#This Row],[Diskon]]),U690)</f>
        <v>0</v>
      </c>
      <c r="X690" t="str">
        <f>IFERROR(INDEX(Katalog!$A$3:$A$12,MATCH(cadangan3[[#This Row],[ItemID C]],Katalog!$C$3:$C$12,0)),"-")</f>
        <v>-</v>
      </c>
      <c r="Y690" t="str">
        <f>IFERROR(INDEX(Katalog!$B$3:$B$12,MATCH(cadangan3[[#This Row],[ItemID C]],Katalog!$C$3:$C$12,0)),"-")</f>
        <v>-</v>
      </c>
      <c r="AB690" s="36">
        <f>IFERROR(INDEX(Katalog!$D$3:$D$12,MATCH(cadangan3[[#This Row],[ItemID C]],Katalog!$C$3:$C$12,0))*cadangan3[[#This Row],[Qty C]],0)</f>
        <v>0</v>
      </c>
      <c r="AC690" s="36">
        <f>IFERROR(INDEX(Katalog!$D$3:$D$12,MATCH(cadangan3[[#This Row],[Item C]],Katalog!$B$3:$B$12,0))*cadangan3[[#This Row],[Qty C]],0)</f>
        <v>0</v>
      </c>
      <c r="AD690" s="36">
        <f>IFERROR(cadangan3[[#This Row],[Harga Asli C]]-(cadangan3[[#This Row],[Harga Asli C]]*cadangan3[[#This Row],[Diskon]]),cadangan3[[#This Row],[Harga Asli C]])</f>
        <v>0</v>
      </c>
      <c r="AE690" s="36">
        <f>IFERROR(INDEX(Katalog!$F$3:$F$12,MATCH(cadangan3[[#This Row],[ItemID C]],Katalog!$C$3:$C$12,0))*cadangan3[[#This Row],[Qty C]],0)</f>
        <v>0</v>
      </c>
      <c r="AF690" s="36">
        <f>IFERROR(cadangan3[[#This Row],[Profit C]]-(cadangan3[[#This Row],[Profit C]]*cadangan3[[#This Row],[Diskon]]),cadangan3[[#This Row],[Profit C]])</f>
        <v>0</v>
      </c>
      <c r="AG690" s="21">
        <f>cadangan3[[#This Row],[Qty A]]+cadangan3[[#This Row],[Qty B]]+cadangan3[[#This Row],[Qty C]]</f>
        <v>1</v>
      </c>
      <c r="AH690" s="35">
        <f>cadangan3[[#This Row],[Harga A + Diskon]]+cadangan3[[#This Row],[Harga + Diskon B]]+cadangan3[[#This Row],[Harga + Diskon C]]</f>
        <v>350000</v>
      </c>
      <c r="AI690" s="35">
        <f>(cadangan3[[#This Row],[Profit A]]+cadangan3[[#This Row],[Profit B]]+cadangan3[[#This Row],[Profit C]])</f>
        <v>130000</v>
      </c>
      <c r="AJ690" s="35">
        <f>cadangan3[[#This Row],[Provit A + Diskon]]+cadangan3[[#This Row],[Provit B + Diskon]]+cadangan3[[#This Row],[Provit C + Diskon]]</f>
        <v>130000</v>
      </c>
      <c r="AK690" s="23" t="s">
        <v>11</v>
      </c>
      <c r="AL690" s="37" t="str">
        <f>IFERROR(INDEX('Kode Diskon'!$D$3:$D$9,MATCH(cadangan3[[#This Row],[Kode diskon]],'Kode Diskon'!$C$3:$C$9,0)),"-")</f>
        <v>-</v>
      </c>
      <c r="AM690" s="23" t="s">
        <v>11</v>
      </c>
      <c r="AN690" s="23" t="s">
        <v>14</v>
      </c>
      <c r="AO690" s="23" t="s">
        <v>79</v>
      </c>
      <c r="AP690" s="24">
        <v>45025</v>
      </c>
      <c r="AQ690" s="23" t="str">
        <f>TEXT(cadangan3[[#This Row],[Tanggal terjual]],"dddd")</f>
        <v>Sunday</v>
      </c>
    </row>
    <row r="691" spans="1:43" x14ac:dyDescent="0.2">
      <c r="A691" s="20">
        <v>690</v>
      </c>
      <c r="B691" s="21" t="str">
        <f>_xlfn.CONCAT("ORD-",INDEX(Helper!$B$2:$B$5,MATCH(cadangan3[[#This Row],[Marketplace]],Helper!$A$2:$A$5,0)),TEXT(cadangan3[[#This Row],[No]],"0000"),"-",TEXT(cadangan3[[#This Row],[Tanggal terjual]],"dd/mm/yy"))</f>
        <v>ORD-SP0690-26/04/23</v>
      </c>
      <c r="C691" t="s">
        <v>63</v>
      </c>
      <c r="D691" t="str">
        <f>IFERROR(INDEX(Katalog!$A$3:$A$12,MATCH(cadangan3[[#This Row],[ItemID A]],Katalog!$C$3:$C$12,0)),"-")</f>
        <v>Pakaian Pria</v>
      </c>
      <c r="E691" t="str">
        <f>IFERROR(INDEX(Katalog!$B$3:$B$12,MATCH(cadangan3[[#This Row],[ItemID A]],Katalog!$C$3:$C$12,0)),"-")</f>
        <v>Jaket Jeans</v>
      </c>
      <c r="F691">
        <v>3</v>
      </c>
      <c r="G691">
        <v>4</v>
      </c>
      <c r="H691" s="36">
        <f>IFERROR(INDEX(Katalog!$D$3:$D$12,MATCH(cadangan3[[#This Row],[ItemID A]],Katalog!$C$3:$C$12,0))*cadangan3[[#This Row],[Qty A]],0)</f>
        <v>1200000</v>
      </c>
      <c r="I691" s="36">
        <f>IFERROR(INDEX(Katalog!$D$3:$D$12,MATCH(cadangan3[[#This Row],[Item A]],Katalog!$B$3:$B$12,0))*cadangan3[[#This Row],[Qty A]],0)</f>
        <v>1200000</v>
      </c>
      <c r="J691" s="36">
        <f>IFERROR(cadangan3[[#This Row],[Harga Asli A]]-(cadangan3[[#This Row],[Harga Asli A]]*cadangan3[[#This Row],[Diskon]]),cadangan3[[#This Row],[Harga Asli A]])</f>
        <v>960000</v>
      </c>
      <c r="K691" s="36">
        <f>INDEX(Katalog!$F$3:$F$12,MATCH(cadangan3[[#This Row],[ItemID A]],Katalog!$C$3:$C$12,0))*cadangan3[[#This Row],[Qty A]]</f>
        <v>450000</v>
      </c>
      <c r="L691" s="36">
        <f>IFERROR(cadangan3[[#This Row],[Profit A]]-(cadangan3[[#This Row],[Profit A]]*cadangan3[[#This Row],[Diskon]]),K691)</f>
        <v>360000</v>
      </c>
      <c r="M691" t="s">
        <v>61</v>
      </c>
      <c r="N691" t="str">
        <f>IFERROR(INDEX(Katalog!$A$3:$A$12,MATCH(cadangan3[[#This Row],[ItemID B]],Katalog!$C$3:$C$12,0)),"-")</f>
        <v>Pakaian Pria</v>
      </c>
      <c r="O691" t="str">
        <f>IFERROR(INDEX(Katalog!$B$3:$B$12,MATCH(cadangan3[[#This Row],[ItemID B]],Katalog!$C$3:$C$12,0)),"-")</f>
        <v>Kaos Polo</v>
      </c>
      <c r="P691">
        <v>2</v>
      </c>
      <c r="Q691">
        <v>5</v>
      </c>
      <c r="R691" s="36">
        <f>IFERROR(INDEX(Katalog!$D$3:$D$12,MATCH(cadangan3[[#This Row],[ItemID B]],Katalog!$C$3:$C$12,0))*cadangan3[[#This Row],[Qty B]],0)</f>
        <v>400000</v>
      </c>
      <c r="S691" s="36">
        <f>IFERROR(INDEX(Katalog!$D$3:$D$12,MATCH(cadangan3[[#This Row],[Item B]],Katalog!$B$3:$B$12,0))*cadangan3[[#This Row],[Qty B]],0)</f>
        <v>400000</v>
      </c>
      <c r="T691" s="36">
        <f>IFERROR(cadangan3[[#This Row],[Harga Asli B]]-(cadangan3[[#This Row],[Harga Asli B]]*cadangan3[[#This Row],[Diskon]]),cadangan3[[#This Row],[Harga Asli B]])</f>
        <v>320000</v>
      </c>
      <c r="U691" s="36">
        <f>IFERROR(INDEX(Katalog!$F$3:$F$12,MATCH(cadangan3[[#This Row],[ItemID B]],Katalog!$C$3:$C$12,0))*cadangan3[[#This Row],[Qty B]],0)</f>
        <v>160000</v>
      </c>
      <c r="V691" s="36">
        <f>IFERROR(cadangan3[[#This Row],[Profit B]]-(cadangan3[[#This Row],[Profit B]]*cadangan3[[#This Row],[Diskon]]),U691)</f>
        <v>128000</v>
      </c>
      <c r="X691" t="str">
        <f>IFERROR(INDEX(Katalog!$A$3:$A$12,MATCH(cadangan3[[#This Row],[ItemID C]],Katalog!$C$3:$C$12,0)),"-")</f>
        <v>-</v>
      </c>
      <c r="Y691" t="str">
        <f>IFERROR(INDEX(Katalog!$B$3:$B$12,MATCH(cadangan3[[#This Row],[ItemID C]],Katalog!$C$3:$C$12,0)),"-")</f>
        <v>-</v>
      </c>
      <c r="AB691" s="36">
        <f>IFERROR(INDEX(Katalog!$D$3:$D$12,MATCH(cadangan3[[#This Row],[ItemID C]],Katalog!$C$3:$C$12,0))*cadangan3[[#This Row],[Qty C]],0)</f>
        <v>0</v>
      </c>
      <c r="AC691" s="36">
        <f>IFERROR(INDEX(Katalog!$D$3:$D$12,MATCH(cadangan3[[#This Row],[Item C]],Katalog!$B$3:$B$12,0))*cadangan3[[#This Row],[Qty C]],0)</f>
        <v>0</v>
      </c>
      <c r="AD691" s="36">
        <f>IFERROR(cadangan3[[#This Row],[Harga Asli C]]-(cadangan3[[#This Row],[Harga Asli C]]*cadangan3[[#This Row],[Diskon]]),cadangan3[[#This Row],[Harga Asli C]])</f>
        <v>0</v>
      </c>
      <c r="AE691" s="36">
        <f>IFERROR(INDEX(Katalog!$F$3:$F$12,MATCH(cadangan3[[#This Row],[ItemID C]],Katalog!$C$3:$C$12,0))*cadangan3[[#This Row],[Qty C]],0)</f>
        <v>0</v>
      </c>
      <c r="AF691" s="36">
        <f>IFERROR(cadangan3[[#This Row],[Profit C]]-(cadangan3[[#This Row],[Profit C]]*cadangan3[[#This Row],[Diskon]]),cadangan3[[#This Row],[Profit C]])</f>
        <v>0</v>
      </c>
      <c r="AG691" s="21">
        <f>cadangan3[[#This Row],[Qty A]]+cadangan3[[#This Row],[Qty B]]+cadangan3[[#This Row],[Qty C]]</f>
        <v>5</v>
      </c>
      <c r="AH691" s="35">
        <f>cadangan3[[#This Row],[Harga A + Diskon]]+cadangan3[[#This Row],[Harga + Diskon B]]+cadangan3[[#This Row],[Harga + Diskon C]]</f>
        <v>1280000</v>
      </c>
      <c r="AI691" s="35">
        <f>(cadangan3[[#This Row],[Profit A]]+cadangan3[[#This Row],[Profit B]]+cadangan3[[#This Row],[Profit C]])</f>
        <v>610000</v>
      </c>
      <c r="AJ691" s="35">
        <f>cadangan3[[#This Row],[Provit A + Diskon]]+cadangan3[[#This Row],[Provit B + Diskon]]+cadangan3[[#This Row],[Provit C + Diskon]]</f>
        <v>488000</v>
      </c>
      <c r="AK691" s="23" t="s">
        <v>8</v>
      </c>
      <c r="AL691" s="37">
        <f>IFERROR(INDEX('Kode Diskon'!$D$3:$D$9,MATCH(cadangan3[[#This Row],[Kode diskon]],'Kode Diskon'!$C$3:$C$9,0)),"-")</f>
        <v>0.2</v>
      </c>
      <c r="AM691" s="23" t="s">
        <v>9</v>
      </c>
      <c r="AN691" s="23" t="s">
        <v>7</v>
      </c>
      <c r="AO691" s="23" t="s">
        <v>80</v>
      </c>
      <c r="AP691" s="24">
        <v>45042</v>
      </c>
      <c r="AQ691" s="23" t="str">
        <f>TEXT(cadangan3[[#This Row],[Tanggal terjual]],"dddd")</f>
        <v>Wednesday</v>
      </c>
    </row>
    <row r="692" spans="1:43" x14ac:dyDescent="0.2">
      <c r="A692" s="20">
        <v>691</v>
      </c>
      <c r="B692" s="21" t="str">
        <f>_xlfn.CONCAT("ORD-",INDEX(Helper!$B$2:$B$5,MATCH(cadangan3[[#This Row],[Marketplace]],Helper!$A$2:$A$5,0)),TEXT(cadangan3[[#This Row],[No]],"0000"),"-",TEXT(cadangan3[[#This Row],[Tanggal terjual]],"dd/mm/yy"))</f>
        <v>ORD-SP0691-04/04/23</v>
      </c>
      <c r="C692" t="s">
        <v>60</v>
      </c>
      <c r="D692" t="str">
        <f>IFERROR(INDEX(Katalog!$A$3:$A$12,MATCH(cadangan3[[#This Row],[ItemID A]],Katalog!$C$3:$C$12,0)),"-")</f>
        <v>Pakaian Wanita</v>
      </c>
      <c r="E692" t="str">
        <f>IFERROR(INDEX(Katalog!$B$3:$B$12,MATCH(cadangan3[[#This Row],[ItemID A]],Katalog!$C$3:$C$12,0)),"-")</f>
        <v>Kaftan</v>
      </c>
      <c r="F692">
        <v>3</v>
      </c>
      <c r="G692">
        <v>4</v>
      </c>
      <c r="H692" s="36">
        <f>IFERROR(INDEX(Katalog!$D$3:$D$12,MATCH(cadangan3[[#This Row],[ItemID A]],Katalog!$C$3:$C$12,0))*cadangan3[[#This Row],[Qty A]],0)</f>
        <v>750000</v>
      </c>
      <c r="I692" s="36">
        <f>IFERROR(INDEX(Katalog!$D$3:$D$12,MATCH(cadangan3[[#This Row],[Item A]],Katalog!$B$3:$B$12,0))*cadangan3[[#This Row],[Qty A]],0)</f>
        <v>750000</v>
      </c>
      <c r="J692" s="36">
        <f>IFERROR(cadangan3[[#This Row],[Harga Asli A]]-(cadangan3[[#This Row],[Harga Asli A]]*cadangan3[[#This Row],[Diskon]]),cadangan3[[#This Row],[Harga Asli A]])</f>
        <v>637500</v>
      </c>
      <c r="K692" s="36">
        <f>INDEX(Katalog!$F$3:$F$12,MATCH(cadangan3[[#This Row],[ItemID A]],Katalog!$C$3:$C$12,0))*cadangan3[[#This Row],[Qty A]]</f>
        <v>300000</v>
      </c>
      <c r="L692" s="36">
        <f>IFERROR(cadangan3[[#This Row],[Profit A]]-(cadangan3[[#This Row],[Profit A]]*cadangan3[[#This Row],[Diskon]]),K692)</f>
        <v>255000</v>
      </c>
      <c r="M692" t="s">
        <v>65</v>
      </c>
      <c r="N692" t="str">
        <f>IFERROR(INDEX(Katalog!$A$3:$A$12,MATCH(cadangan3[[#This Row],[ItemID B]],Katalog!$C$3:$C$12,0)),"-")</f>
        <v>Sepatu Pria</v>
      </c>
      <c r="O692" t="str">
        <f>IFERROR(INDEX(Katalog!$B$3:$B$12,MATCH(cadangan3[[#This Row],[ItemID B]],Katalog!$C$3:$C$12,0)),"-")</f>
        <v>Sneakers</v>
      </c>
      <c r="P692">
        <v>3</v>
      </c>
      <c r="Q692">
        <v>3</v>
      </c>
      <c r="R692" s="36">
        <f>IFERROR(INDEX(Katalog!$D$3:$D$12,MATCH(cadangan3[[#This Row],[ItemID B]],Katalog!$C$3:$C$12,0))*cadangan3[[#This Row],[Qty B]],0)</f>
        <v>1500000</v>
      </c>
      <c r="S692" s="36">
        <f>IFERROR(INDEX(Katalog!$D$3:$D$12,MATCH(cadangan3[[#This Row],[Item B]],Katalog!$B$3:$B$12,0))*cadangan3[[#This Row],[Qty B]],0)</f>
        <v>1500000</v>
      </c>
      <c r="T692" s="36">
        <f>IFERROR(cadangan3[[#This Row],[Harga Asli B]]-(cadangan3[[#This Row],[Harga Asli B]]*cadangan3[[#This Row],[Diskon]]),cadangan3[[#This Row],[Harga Asli B]])</f>
        <v>1275000</v>
      </c>
      <c r="U692" s="36">
        <f>IFERROR(INDEX(Katalog!$F$3:$F$12,MATCH(cadangan3[[#This Row],[ItemID B]],Katalog!$C$3:$C$12,0))*cadangan3[[#This Row],[Qty B]],0)</f>
        <v>600000</v>
      </c>
      <c r="V692" s="36">
        <f>IFERROR(cadangan3[[#This Row],[Profit B]]-(cadangan3[[#This Row],[Profit B]]*cadangan3[[#This Row],[Diskon]]),U692)</f>
        <v>510000</v>
      </c>
      <c r="W692" t="s">
        <v>58</v>
      </c>
      <c r="X692" t="str">
        <f>IFERROR(INDEX(Katalog!$A$3:$A$12,MATCH(cadangan3[[#This Row],[ItemID C]],Katalog!$C$3:$C$12,0)),"-")</f>
        <v>Pakaian Wanita</v>
      </c>
      <c r="Y692" t="str">
        <f>IFERROR(INDEX(Katalog!$B$3:$B$12,MATCH(cadangan3[[#This Row],[ItemID C]],Katalog!$C$3:$C$12,0)),"-")</f>
        <v>Dress</v>
      </c>
      <c r="Z692">
        <v>1</v>
      </c>
      <c r="AA692">
        <v>2</v>
      </c>
      <c r="AB692" s="36">
        <f>IFERROR(INDEX(Katalog!$D$3:$D$12,MATCH(cadangan3[[#This Row],[ItemID C]],Katalog!$C$3:$C$12,0))*cadangan3[[#This Row],[Qty C]],0)</f>
        <v>300000</v>
      </c>
      <c r="AC692" s="36">
        <f>IFERROR(INDEX(Katalog!$D$3:$D$12,MATCH(cadangan3[[#This Row],[Item C]],Katalog!$B$3:$B$12,0))*cadangan3[[#This Row],[Qty C]],0)</f>
        <v>300000</v>
      </c>
      <c r="AD692" s="36">
        <f>IFERROR(cadangan3[[#This Row],[Harga Asli C]]-(cadangan3[[#This Row],[Harga Asli C]]*cadangan3[[#This Row],[Diskon]]),cadangan3[[#This Row],[Harga Asli C]])</f>
        <v>255000</v>
      </c>
      <c r="AE692" s="36">
        <f>IFERROR(INDEX(Katalog!$F$3:$F$12,MATCH(cadangan3[[#This Row],[ItemID C]],Katalog!$C$3:$C$12,0))*cadangan3[[#This Row],[Qty C]],0)</f>
        <v>100000</v>
      </c>
      <c r="AF692" s="36">
        <f>IFERROR(cadangan3[[#This Row],[Profit C]]-(cadangan3[[#This Row],[Profit C]]*cadangan3[[#This Row],[Diskon]]),cadangan3[[#This Row],[Profit C]])</f>
        <v>85000</v>
      </c>
      <c r="AG692" s="21">
        <f>cadangan3[[#This Row],[Qty A]]+cadangan3[[#This Row],[Qty B]]+cadangan3[[#This Row],[Qty C]]</f>
        <v>7</v>
      </c>
      <c r="AH692" s="35">
        <f>cadangan3[[#This Row],[Harga A + Diskon]]+cadangan3[[#This Row],[Harga + Diskon B]]+cadangan3[[#This Row],[Harga + Diskon C]]</f>
        <v>2167500</v>
      </c>
      <c r="AI692" s="35">
        <f>(cadangan3[[#This Row],[Profit A]]+cadangan3[[#This Row],[Profit B]]+cadangan3[[#This Row],[Profit C]])</f>
        <v>1000000</v>
      </c>
      <c r="AJ692" s="35">
        <f>cadangan3[[#This Row],[Provit A + Diskon]]+cadangan3[[#This Row],[Provit B + Diskon]]+cadangan3[[#This Row],[Provit C + Diskon]]</f>
        <v>850000</v>
      </c>
      <c r="AK692" s="23" t="s">
        <v>13</v>
      </c>
      <c r="AL692" s="37">
        <f>IFERROR(INDEX('Kode Diskon'!$D$3:$D$9,MATCH(cadangan3[[#This Row],[Kode diskon]],'Kode Diskon'!$C$3:$C$9,0)),"-")</f>
        <v>0.15</v>
      </c>
      <c r="AM692" s="23" t="s">
        <v>29</v>
      </c>
      <c r="AN692" s="23" t="s">
        <v>7</v>
      </c>
      <c r="AO692" s="23" t="s">
        <v>76</v>
      </c>
      <c r="AP692" s="24">
        <v>45020</v>
      </c>
      <c r="AQ692" s="23" t="str">
        <f>TEXT(cadangan3[[#This Row],[Tanggal terjual]],"dddd")</f>
        <v>Tuesday</v>
      </c>
    </row>
    <row r="693" spans="1:43" x14ac:dyDescent="0.2">
      <c r="A693" s="20">
        <v>692</v>
      </c>
      <c r="B693" s="21" t="str">
        <f>_xlfn.CONCAT("ORD-",INDEX(Helper!$B$2:$B$5,MATCH(cadangan3[[#This Row],[Marketplace]],Helper!$A$2:$A$5,0)),TEXT(cadangan3[[#This Row],[No]],"0000"),"-",TEXT(cadangan3[[#This Row],[Tanggal terjual]],"dd/mm/yy"))</f>
        <v>ORD-SP0692-04/04/23</v>
      </c>
      <c r="C693" t="s">
        <v>66</v>
      </c>
      <c r="D693" t="str">
        <f>IFERROR(INDEX(Katalog!$A$3:$A$12,MATCH(cadangan3[[#This Row],[ItemID A]],Katalog!$C$3:$C$12,0)),"-")</f>
        <v>Sepatu Pria</v>
      </c>
      <c r="E693" t="str">
        <f>IFERROR(INDEX(Katalog!$B$3:$B$12,MATCH(cadangan3[[#This Row],[ItemID A]],Katalog!$C$3:$C$12,0)),"-")</f>
        <v>Sandal Slip On</v>
      </c>
      <c r="F693">
        <v>1</v>
      </c>
      <c r="G693">
        <v>3</v>
      </c>
      <c r="H693" s="36">
        <f>IFERROR(INDEX(Katalog!$D$3:$D$12,MATCH(cadangan3[[#This Row],[ItemID A]],Katalog!$C$3:$C$12,0))*cadangan3[[#This Row],[Qty A]],0)</f>
        <v>150000</v>
      </c>
      <c r="I693" s="36">
        <f>IFERROR(INDEX(Katalog!$D$3:$D$12,MATCH(cadangan3[[#This Row],[Item A]],Katalog!$B$3:$B$12,0))*cadangan3[[#This Row],[Qty A]],0)</f>
        <v>150000</v>
      </c>
      <c r="J693" s="36">
        <f>IFERROR(cadangan3[[#This Row],[Harga Asli A]]-(cadangan3[[#This Row],[Harga Asli A]]*cadangan3[[#This Row],[Diskon]]),cadangan3[[#This Row],[Harga Asli A]])</f>
        <v>127500</v>
      </c>
      <c r="K693" s="36">
        <f>INDEX(Katalog!$F$3:$F$12,MATCH(cadangan3[[#This Row],[ItemID A]],Katalog!$C$3:$C$12,0))*cadangan3[[#This Row],[Qty A]]</f>
        <v>60000</v>
      </c>
      <c r="L693" s="36">
        <f>IFERROR(cadangan3[[#This Row],[Profit A]]-(cadangan3[[#This Row],[Profit A]]*cadangan3[[#This Row],[Diskon]]),K693)</f>
        <v>51000</v>
      </c>
      <c r="M693" t="s">
        <v>65</v>
      </c>
      <c r="N693" t="str">
        <f>IFERROR(INDEX(Katalog!$A$3:$A$12,MATCH(cadangan3[[#This Row],[ItemID B]],Katalog!$C$3:$C$12,0)),"-")</f>
        <v>Sepatu Pria</v>
      </c>
      <c r="O693" t="str">
        <f>IFERROR(INDEX(Katalog!$B$3:$B$12,MATCH(cadangan3[[#This Row],[ItemID B]],Katalog!$C$3:$C$12,0)),"-")</f>
        <v>Sneakers</v>
      </c>
      <c r="P693">
        <v>2</v>
      </c>
      <c r="Q693">
        <v>2</v>
      </c>
      <c r="R693" s="36">
        <f>IFERROR(INDEX(Katalog!$D$3:$D$12,MATCH(cadangan3[[#This Row],[ItemID B]],Katalog!$C$3:$C$12,0))*cadangan3[[#This Row],[Qty B]],0)</f>
        <v>1000000</v>
      </c>
      <c r="S693" s="36">
        <f>IFERROR(INDEX(Katalog!$D$3:$D$12,MATCH(cadangan3[[#This Row],[Item B]],Katalog!$B$3:$B$12,0))*cadangan3[[#This Row],[Qty B]],0)</f>
        <v>1000000</v>
      </c>
      <c r="T693" s="36">
        <f>IFERROR(cadangan3[[#This Row],[Harga Asli B]]-(cadangan3[[#This Row],[Harga Asli B]]*cadangan3[[#This Row],[Diskon]]),cadangan3[[#This Row],[Harga Asli B]])</f>
        <v>850000</v>
      </c>
      <c r="U693" s="36">
        <f>IFERROR(INDEX(Katalog!$F$3:$F$12,MATCH(cadangan3[[#This Row],[ItemID B]],Katalog!$C$3:$C$12,0))*cadangan3[[#This Row],[Qty B]],0)</f>
        <v>400000</v>
      </c>
      <c r="V693" s="36">
        <f>IFERROR(cadangan3[[#This Row],[Profit B]]-(cadangan3[[#This Row],[Profit B]]*cadangan3[[#This Row],[Diskon]]),U693)</f>
        <v>340000</v>
      </c>
      <c r="W693" t="s">
        <v>58</v>
      </c>
      <c r="X693" t="str">
        <f>IFERROR(INDEX(Katalog!$A$3:$A$12,MATCH(cadangan3[[#This Row],[ItemID C]],Katalog!$C$3:$C$12,0)),"-")</f>
        <v>Pakaian Wanita</v>
      </c>
      <c r="Y693" t="str">
        <f>IFERROR(INDEX(Katalog!$B$3:$B$12,MATCH(cadangan3[[#This Row],[ItemID C]],Katalog!$C$3:$C$12,0)),"-")</f>
        <v>Dress</v>
      </c>
      <c r="Z693">
        <v>3</v>
      </c>
      <c r="AA693">
        <v>4</v>
      </c>
      <c r="AB693" s="36">
        <f>IFERROR(INDEX(Katalog!$D$3:$D$12,MATCH(cadangan3[[#This Row],[ItemID C]],Katalog!$C$3:$C$12,0))*cadangan3[[#This Row],[Qty C]],0)</f>
        <v>900000</v>
      </c>
      <c r="AC693" s="36">
        <f>IFERROR(INDEX(Katalog!$D$3:$D$12,MATCH(cadangan3[[#This Row],[Item C]],Katalog!$B$3:$B$12,0))*cadangan3[[#This Row],[Qty C]],0)</f>
        <v>900000</v>
      </c>
      <c r="AD693" s="36">
        <f>IFERROR(cadangan3[[#This Row],[Harga Asli C]]-(cadangan3[[#This Row],[Harga Asli C]]*cadangan3[[#This Row],[Diskon]]),cadangan3[[#This Row],[Harga Asli C]])</f>
        <v>765000</v>
      </c>
      <c r="AE693" s="36">
        <f>IFERROR(INDEX(Katalog!$F$3:$F$12,MATCH(cadangan3[[#This Row],[ItemID C]],Katalog!$C$3:$C$12,0))*cadangan3[[#This Row],[Qty C]],0)</f>
        <v>300000</v>
      </c>
      <c r="AF693" s="36">
        <f>IFERROR(cadangan3[[#This Row],[Profit C]]-(cadangan3[[#This Row],[Profit C]]*cadangan3[[#This Row],[Diskon]]),cadangan3[[#This Row],[Profit C]])</f>
        <v>255000</v>
      </c>
      <c r="AG693" s="21">
        <f>cadangan3[[#This Row],[Qty A]]+cadangan3[[#This Row],[Qty B]]+cadangan3[[#This Row],[Qty C]]</f>
        <v>6</v>
      </c>
      <c r="AH693" s="35">
        <f>cadangan3[[#This Row],[Harga A + Diskon]]+cadangan3[[#This Row],[Harga + Diskon B]]+cadangan3[[#This Row],[Harga + Diskon C]]</f>
        <v>1742500</v>
      </c>
      <c r="AI693" s="35">
        <f>(cadangan3[[#This Row],[Profit A]]+cadangan3[[#This Row],[Profit B]]+cadangan3[[#This Row],[Profit C]])</f>
        <v>760000</v>
      </c>
      <c r="AJ693" s="35">
        <f>cadangan3[[#This Row],[Provit A + Diskon]]+cadangan3[[#This Row],[Provit B + Diskon]]+cadangan3[[#This Row],[Provit C + Diskon]]</f>
        <v>646000</v>
      </c>
      <c r="AK693" s="23" t="s">
        <v>13</v>
      </c>
      <c r="AL693" s="37">
        <f>IFERROR(INDEX('Kode Diskon'!$D$3:$D$9,MATCH(cadangan3[[#This Row],[Kode diskon]],'Kode Diskon'!$C$3:$C$9,0)),"-")</f>
        <v>0.15</v>
      </c>
      <c r="AM693" s="23" t="s">
        <v>29</v>
      </c>
      <c r="AN693" s="23" t="s">
        <v>7</v>
      </c>
      <c r="AO693" s="23" t="s">
        <v>78</v>
      </c>
      <c r="AP693" s="24">
        <v>45020</v>
      </c>
      <c r="AQ693" s="23" t="str">
        <f>TEXT(cadangan3[[#This Row],[Tanggal terjual]],"dddd")</f>
        <v>Tuesday</v>
      </c>
    </row>
    <row r="694" spans="1:43" x14ac:dyDescent="0.2">
      <c r="A694" s="20">
        <v>693</v>
      </c>
      <c r="B694" s="21" t="str">
        <f>_xlfn.CONCAT("ORD-",INDEX(Helper!$B$2:$B$5,MATCH(cadangan3[[#This Row],[Marketplace]],Helper!$A$2:$A$5,0)),TEXT(cadangan3[[#This Row],[No]],"0000"),"-",TEXT(cadangan3[[#This Row],[Tanggal terjual]],"dd/mm/yy"))</f>
        <v>ORD-SP0693-04/04/23</v>
      </c>
      <c r="C694" t="s">
        <v>60</v>
      </c>
      <c r="D694" t="str">
        <f>IFERROR(INDEX(Katalog!$A$3:$A$12,MATCH(cadangan3[[#This Row],[ItemID A]],Katalog!$C$3:$C$12,0)),"-")</f>
        <v>Pakaian Wanita</v>
      </c>
      <c r="E694" t="str">
        <f>IFERROR(INDEX(Katalog!$B$3:$B$12,MATCH(cadangan3[[#This Row],[ItemID A]],Katalog!$C$3:$C$12,0)),"-")</f>
        <v>Kaftan</v>
      </c>
      <c r="F694">
        <v>4</v>
      </c>
      <c r="G694">
        <v>2</v>
      </c>
      <c r="H694" s="36">
        <f>IFERROR(INDEX(Katalog!$D$3:$D$12,MATCH(cadangan3[[#This Row],[ItemID A]],Katalog!$C$3:$C$12,0))*cadangan3[[#This Row],[Qty A]],0)</f>
        <v>1000000</v>
      </c>
      <c r="I694" s="36">
        <f>IFERROR(INDEX(Katalog!$D$3:$D$12,MATCH(cadangan3[[#This Row],[Item A]],Katalog!$B$3:$B$12,0))*cadangan3[[#This Row],[Qty A]],0)</f>
        <v>1000000</v>
      </c>
      <c r="J694" s="36">
        <f>IFERROR(cadangan3[[#This Row],[Harga Asli A]]-(cadangan3[[#This Row],[Harga Asli A]]*cadangan3[[#This Row],[Diskon]]),cadangan3[[#This Row],[Harga Asli A]])</f>
        <v>850000</v>
      </c>
      <c r="K694" s="36">
        <f>INDEX(Katalog!$F$3:$F$12,MATCH(cadangan3[[#This Row],[ItemID A]],Katalog!$C$3:$C$12,0))*cadangan3[[#This Row],[Qty A]]</f>
        <v>400000</v>
      </c>
      <c r="L694" s="36">
        <f>IFERROR(cadangan3[[#This Row],[Profit A]]-(cadangan3[[#This Row],[Profit A]]*cadangan3[[#This Row],[Diskon]]),K694)</f>
        <v>340000</v>
      </c>
      <c r="M694" t="s">
        <v>59</v>
      </c>
      <c r="N694" t="str">
        <f>IFERROR(INDEX(Katalog!$A$3:$A$12,MATCH(cadangan3[[#This Row],[ItemID B]],Katalog!$C$3:$C$12,0)),"-")</f>
        <v>Pakaian Wanita</v>
      </c>
      <c r="O694" t="str">
        <f>IFERROR(INDEX(Katalog!$B$3:$B$12,MATCH(cadangan3[[#This Row],[ItemID B]],Katalog!$C$3:$C$12,0)),"-")</f>
        <v>Blouse</v>
      </c>
      <c r="P694">
        <v>1</v>
      </c>
      <c r="Q694">
        <v>5</v>
      </c>
      <c r="R694" s="36">
        <f>IFERROR(INDEX(Katalog!$D$3:$D$12,MATCH(cadangan3[[#This Row],[ItemID B]],Katalog!$C$3:$C$12,0))*cadangan3[[#This Row],[Qty B]],0)</f>
        <v>150000</v>
      </c>
      <c r="S694" s="36">
        <f>IFERROR(INDEX(Katalog!$D$3:$D$12,MATCH(cadangan3[[#This Row],[Item B]],Katalog!$B$3:$B$12,0))*cadangan3[[#This Row],[Qty B]],0)</f>
        <v>150000</v>
      </c>
      <c r="T694" s="36">
        <f>IFERROR(cadangan3[[#This Row],[Harga Asli B]]-(cadangan3[[#This Row],[Harga Asli B]]*cadangan3[[#This Row],[Diskon]]),cadangan3[[#This Row],[Harga Asli B]])</f>
        <v>127500</v>
      </c>
      <c r="U694" s="36">
        <f>IFERROR(INDEX(Katalog!$F$3:$F$12,MATCH(cadangan3[[#This Row],[ItemID B]],Katalog!$C$3:$C$12,0))*cadangan3[[#This Row],[Qty B]],0)</f>
        <v>50000</v>
      </c>
      <c r="V694" s="36">
        <f>IFERROR(cadangan3[[#This Row],[Profit B]]-(cadangan3[[#This Row],[Profit B]]*cadangan3[[#This Row],[Diskon]]),U694)</f>
        <v>42500</v>
      </c>
      <c r="X694" t="str">
        <f>IFERROR(INDEX(Katalog!$A$3:$A$12,MATCH(cadangan3[[#This Row],[ItemID C]],Katalog!$C$3:$C$12,0)),"-")</f>
        <v>-</v>
      </c>
      <c r="Y694" t="str">
        <f>IFERROR(INDEX(Katalog!$B$3:$B$12,MATCH(cadangan3[[#This Row],[ItemID C]],Katalog!$C$3:$C$12,0)),"-")</f>
        <v>-</v>
      </c>
      <c r="AB694" s="36">
        <f>IFERROR(INDEX(Katalog!$D$3:$D$12,MATCH(cadangan3[[#This Row],[ItemID C]],Katalog!$C$3:$C$12,0))*cadangan3[[#This Row],[Qty C]],0)</f>
        <v>0</v>
      </c>
      <c r="AC694" s="36">
        <f>IFERROR(INDEX(Katalog!$D$3:$D$12,MATCH(cadangan3[[#This Row],[Item C]],Katalog!$B$3:$B$12,0))*cadangan3[[#This Row],[Qty C]],0)</f>
        <v>0</v>
      </c>
      <c r="AD694" s="36">
        <f>IFERROR(cadangan3[[#This Row],[Harga Asli C]]-(cadangan3[[#This Row],[Harga Asli C]]*cadangan3[[#This Row],[Diskon]]),cadangan3[[#This Row],[Harga Asli C]])</f>
        <v>0</v>
      </c>
      <c r="AE694" s="36">
        <f>IFERROR(INDEX(Katalog!$F$3:$F$12,MATCH(cadangan3[[#This Row],[ItemID C]],Katalog!$C$3:$C$12,0))*cadangan3[[#This Row],[Qty C]],0)</f>
        <v>0</v>
      </c>
      <c r="AF694" s="36">
        <f>IFERROR(cadangan3[[#This Row],[Profit C]]-(cadangan3[[#This Row],[Profit C]]*cadangan3[[#This Row],[Diskon]]),cadangan3[[#This Row],[Profit C]])</f>
        <v>0</v>
      </c>
      <c r="AG694" s="21">
        <f>cadangan3[[#This Row],[Qty A]]+cadangan3[[#This Row],[Qty B]]+cadangan3[[#This Row],[Qty C]]</f>
        <v>5</v>
      </c>
      <c r="AH694" s="35">
        <f>cadangan3[[#This Row],[Harga A + Diskon]]+cadangan3[[#This Row],[Harga + Diskon B]]+cadangan3[[#This Row],[Harga + Diskon C]]</f>
        <v>977500</v>
      </c>
      <c r="AI694" s="35">
        <f>(cadangan3[[#This Row],[Profit A]]+cadangan3[[#This Row],[Profit B]]+cadangan3[[#This Row],[Profit C]])</f>
        <v>450000</v>
      </c>
      <c r="AJ694" s="35">
        <f>cadangan3[[#This Row],[Provit A + Diskon]]+cadangan3[[#This Row],[Provit B + Diskon]]+cadangan3[[#This Row],[Provit C + Diskon]]</f>
        <v>382500</v>
      </c>
      <c r="AK694" s="23" t="s">
        <v>13</v>
      </c>
      <c r="AL694" s="37">
        <f>IFERROR(INDEX('Kode Diskon'!$D$3:$D$9,MATCH(cadangan3[[#This Row],[Kode diskon]],'Kode Diskon'!$C$3:$C$9,0)),"-")</f>
        <v>0.15</v>
      </c>
      <c r="AM694" s="23" t="s">
        <v>29</v>
      </c>
      <c r="AN694" s="23" t="s">
        <v>7</v>
      </c>
      <c r="AO694" s="23" t="s">
        <v>78</v>
      </c>
      <c r="AP694" s="24">
        <v>45020</v>
      </c>
      <c r="AQ694" s="23" t="str">
        <f>TEXT(cadangan3[[#This Row],[Tanggal terjual]],"dddd")</f>
        <v>Tuesday</v>
      </c>
    </row>
    <row r="695" spans="1:43" x14ac:dyDescent="0.2">
      <c r="A695" s="20">
        <v>694</v>
      </c>
      <c r="B695" s="21" t="str">
        <f>_xlfn.CONCAT("ORD-",INDEX(Helper!$B$2:$B$5,MATCH(cadangan3[[#This Row],[Marketplace]],Helper!$A$2:$A$5,0)),TEXT(cadangan3[[#This Row],[No]],"0000"),"-",TEXT(cadangan3[[#This Row],[Tanggal terjual]],"dd/mm/yy"))</f>
        <v>ORD-SP0694-01/04/23</v>
      </c>
      <c r="C695" t="s">
        <v>58</v>
      </c>
      <c r="D695" t="str">
        <f>IFERROR(INDEX(Katalog!$A$3:$A$12,MATCH(cadangan3[[#This Row],[ItemID A]],Katalog!$C$3:$C$12,0)),"-")</f>
        <v>Pakaian Wanita</v>
      </c>
      <c r="E695" t="str">
        <f>IFERROR(INDEX(Katalog!$B$3:$B$12,MATCH(cadangan3[[#This Row],[ItemID A]],Katalog!$C$3:$C$12,0)),"-")</f>
        <v>Dress</v>
      </c>
      <c r="F695">
        <v>3</v>
      </c>
      <c r="G695">
        <v>4</v>
      </c>
      <c r="H695" s="36">
        <f>IFERROR(INDEX(Katalog!$D$3:$D$12,MATCH(cadangan3[[#This Row],[ItemID A]],Katalog!$C$3:$C$12,0))*cadangan3[[#This Row],[Qty A]],0)</f>
        <v>900000</v>
      </c>
      <c r="I695" s="36">
        <f>IFERROR(INDEX(Katalog!$D$3:$D$12,MATCH(cadangan3[[#This Row],[Item A]],Katalog!$B$3:$B$12,0))*cadangan3[[#This Row],[Qty A]],0)</f>
        <v>900000</v>
      </c>
      <c r="J695" s="36">
        <f>IFERROR(cadangan3[[#This Row],[Harga Asli A]]-(cadangan3[[#This Row],[Harga Asli A]]*cadangan3[[#This Row],[Diskon]]),cadangan3[[#This Row],[Harga Asli A]])</f>
        <v>765000</v>
      </c>
      <c r="K695" s="36">
        <f>INDEX(Katalog!$F$3:$F$12,MATCH(cadangan3[[#This Row],[ItemID A]],Katalog!$C$3:$C$12,0))*cadangan3[[#This Row],[Qty A]]</f>
        <v>300000</v>
      </c>
      <c r="L695" s="36">
        <f>IFERROR(cadangan3[[#This Row],[Profit A]]-(cadangan3[[#This Row],[Profit A]]*cadangan3[[#This Row],[Diskon]]),K695)</f>
        <v>255000</v>
      </c>
      <c r="N695" t="str">
        <f>IFERROR(INDEX(Katalog!$A$3:$A$12,MATCH(cadangan3[[#This Row],[ItemID B]],Katalog!$C$3:$C$12,0)),"-")</f>
        <v>-</v>
      </c>
      <c r="O695" t="str">
        <f>IFERROR(INDEX(Katalog!$B$3:$B$12,MATCH(cadangan3[[#This Row],[ItemID B]],Katalog!$C$3:$C$12,0)),"-")</f>
        <v>-</v>
      </c>
      <c r="R695" s="36">
        <f>IFERROR(INDEX(Katalog!$D$3:$D$12,MATCH(cadangan3[[#This Row],[ItemID B]],Katalog!$C$3:$C$12,0))*cadangan3[[#This Row],[Qty B]],0)</f>
        <v>0</v>
      </c>
      <c r="S695" s="36">
        <f>IFERROR(INDEX(Katalog!$D$3:$D$12,MATCH(cadangan3[[#This Row],[Item B]],Katalog!$B$3:$B$12,0))*cadangan3[[#This Row],[Qty B]],0)</f>
        <v>0</v>
      </c>
      <c r="T695" s="36">
        <f>IFERROR(cadangan3[[#This Row],[Harga Asli B]]-(cadangan3[[#This Row],[Harga Asli B]]*cadangan3[[#This Row],[Diskon]]),cadangan3[[#This Row],[Harga Asli B]])</f>
        <v>0</v>
      </c>
      <c r="U695" s="36">
        <f>IFERROR(INDEX(Katalog!$F$3:$F$12,MATCH(cadangan3[[#This Row],[ItemID B]],Katalog!$C$3:$C$12,0))*cadangan3[[#This Row],[Qty B]],0)</f>
        <v>0</v>
      </c>
      <c r="V695" s="36">
        <f>IFERROR(cadangan3[[#This Row],[Profit B]]-(cadangan3[[#This Row],[Profit B]]*cadangan3[[#This Row],[Diskon]]),U695)</f>
        <v>0</v>
      </c>
      <c r="X695" t="str">
        <f>IFERROR(INDEX(Katalog!$A$3:$A$12,MATCH(cadangan3[[#This Row],[ItemID C]],Katalog!$C$3:$C$12,0)),"-")</f>
        <v>-</v>
      </c>
      <c r="Y695" t="str">
        <f>IFERROR(INDEX(Katalog!$B$3:$B$12,MATCH(cadangan3[[#This Row],[ItemID C]],Katalog!$C$3:$C$12,0)),"-")</f>
        <v>-</v>
      </c>
      <c r="AB695" s="36">
        <f>IFERROR(INDEX(Katalog!$D$3:$D$12,MATCH(cadangan3[[#This Row],[ItemID C]],Katalog!$C$3:$C$12,0))*cadangan3[[#This Row],[Qty C]],0)</f>
        <v>0</v>
      </c>
      <c r="AC695" s="36">
        <f>IFERROR(INDEX(Katalog!$D$3:$D$12,MATCH(cadangan3[[#This Row],[Item C]],Katalog!$B$3:$B$12,0))*cadangan3[[#This Row],[Qty C]],0)</f>
        <v>0</v>
      </c>
      <c r="AD695" s="36">
        <f>IFERROR(cadangan3[[#This Row],[Harga Asli C]]-(cadangan3[[#This Row],[Harga Asli C]]*cadangan3[[#This Row],[Diskon]]),cadangan3[[#This Row],[Harga Asli C]])</f>
        <v>0</v>
      </c>
      <c r="AE695" s="36">
        <f>IFERROR(INDEX(Katalog!$F$3:$F$12,MATCH(cadangan3[[#This Row],[ItemID C]],Katalog!$C$3:$C$12,0))*cadangan3[[#This Row],[Qty C]],0)</f>
        <v>0</v>
      </c>
      <c r="AF695" s="36">
        <f>IFERROR(cadangan3[[#This Row],[Profit C]]-(cadangan3[[#This Row],[Profit C]]*cadangan3[[#This Row],[Diskon]]),cadangan3[[#This Row],[Profit C]])</f>
        <v>0</v>
      </c>
      <c r="AG695" s="21">
        <f>cadangan3[[#This Row],[Qty A]]+cadangan3[[#This Row],[Qty B]]+cadangan3[[#This Row],[Qty C]]</f>
        <v>3</v>
      </c>
      <c r="AH695" s="35">
        <f>cadangan3[[#This Row],[Harga A + Diskon]]+cadangan3[[#This Row],[Harga + Diskon B]]+cadangan3[[#This Row],[Harga + Diskon C]]</f>
        <v>765000</v>
      </c>
      <c r="AI695" s="35">
        <f>(cadangan3[[#This Row],[Profit A]]+cadangan3[[#This Row],[Profit B]]+cadangan3[[#This Row],[Profit C]])</f>
        <v>300000</v>
      </c>
      <c r="AJ695" s="35">
        <f>cadangan3[[#This Row],[Provit A + Diskon]]+cadangan3[[#This Row],[Provit B + Diskon]]+cadangan3[[#This Row],[Provit C + Diskon]]</f>
        <v>255000</v>
      </c>
      <c r="AK695" s="23" t="s">
        <v>13</v>
      </c>
      <c r="AL695" s="37">
        <f>IFERROR(INDEX('Kode Diskon'!$D$3:$D$9,MATCH(cadangan3[[#This Row],[Kode diskon]],'Kode Diskon'!$C$3:$C$9,0)),"-")</f>
        <v>0.15</v>
      </c>
      <c r="AM695" s="23" t="s">
        <v>29</v>
      </c>
      <c r="AN695" s="23" t="s">
        <v>7</v>
      </c>
      <c r="AO695" s="23" t="s">
        <v>75</v>
      </c>
      <c r="AP695" s="24">
        <v>45017</v>
      </c>
      <c r="AQ695" s="23" t="str">
        <f>TEXT(cadangan3[[#This Row],[Tanggal terjual]],"dddd")</f>
        <v>Saturday</v>
      </c>
    </row>
    <row r="696" spans="1:43" x14ac:dyDescent="0.2">
      <c r="A696" s="20">
        <v>695</v>
      </c>
      <c r="B696" s="21" t="str">
        <f>_xlfn.CONCAT("ORD-",INDEX(Helper!$B$2:$B$5,MATCH(cadangan3[[#This Row],[Marketplace]],Helper!$A$2:$A$5,0)),TEXT(cadangan3[[#This Row],[No]],"0000"),"-",TEXT(cadangan3[[#This Row],[Tanggal terjual]],"dd/mm/yy"))</f>
        <v>ORD-BB0695-15/04/23</v>
      </c>
      <c r="C696" t="s">
        <v>63</v>
      </c>
      <c r="D696" t="str">
        <f>IFERROR(INDEX(Katalog!$A$3:$A$12,MATCH(cadangan3[[#This Row],[ItemID A]],Katalog!$C$3:$C$12,0)),"-")</f>
        <v>Pakaian Pria</v>
      </c>
      <c r="E696" t="str">
        <f>IFERROR(INDEX(Katalog!$B$3:$B$12,MATCH(cadangan3[[#This Row],[ItemID A]],Katalog!$C$3:$C$12,0)),"-")</f>
        <v>Jaket Jeans</v>
      </c>
      <c r="F696">
        <v>1</v>
      </c>
      <c r="G696">
        <v>5</v>
      </c>
      <c r="H696" s="36">
        <f>IFERROR(INDEX(Katalog!$D$3:$D$12,MATCH(cadangan3[[#This Row],[ItemID A]],Katalog!$C$3:$C$12,0))*cadangan3[[#This Row],[Qty A]],0)</f>
        <v>400000</v>
      </c>
      <c r="I696" s="36">
        <f>IFERROR(INDEX(Katalog!$D$3:$D$12,MATCH(cadangan3[[#This Row],[Item A]],Katalog!$B$3:$B$12,0))*cadangan3[[#This Row],[Qty A]],0)</f>
        <v>400000</v>
      </c>
      <c r="J696" s="36">
        <f>IFERROR(cadangan3[[#This Row],[Harga Asli A]]-(cadangan3[[#This Row],[Harga Asli A]]*cadangan3[[#This Row],[Diskon]]),cadangan3[[#This Row],[Harga Asli A]])</f>
        <v>400000</v>
      </c>
      <c r="K696" s="36">
        <f>INDEX(Katalog!$F$3:$F$12,MATCH(cadangan3[[#This Row],[ItemID A]],Katalog!$C$3:$C$12,0))*cadangan3[[#This Row],[Qty A]]</f>
        <v>150000</v>
      </c>
      <c r="L696" s="36">
        <f>IFERROR(cadangan3[[#This Row],[Profit A]]-(cadangan3[[#This Row],[Profit A]]*cadangan3[[#This Row],[Diskon]]),K696)</f>
        <v>150000</v>
      </c>
      <c r="M696" t="s">
        <v>66</v>
      </c>
      <c r="N696" t="str">
        <f>IFERROR(INDEX(Katalog!$A$3:$A$12,MATCH(cadangan3[[#This Row],[ItemID B]],Katalog!$C$3:$C$12,0)),"-")</f>
        <v>Sepatu Pria</v>
      </c>
      <c r="O696" t="str">
        <f>IFERROR(INDEX(Katalog!$B$3:$B$12,MATCH(cadangan3[[#This Row],[ItemID B]],Katalog!$C$3:$C$12,0)),"-")</f>
        <v>Sandal Slip On</v>
      </c>
      <c r="P696">
        <v>1</v>
      </c>
      <c r="Q696">
        <v>4</v>
      </c>
      <c r="R696" s="36">
        <f>IFERROR(INDEX(Katalog!$D$3:$D$12,MATCH(cadangan3[[#This Row],[ItemID B]],Katalog!$C$3:$C$12,0))*cadangan3[[#This Row],[Qty B]],0)</f>
        <v>150000</v>
      </c>
      <c r="S696" s="36">
        <f>IFERROR(INDEX(Katalog!$D$3:$D$12,MATCH(cadangan3[[#This Row],[Item B]],Katalog!$B$3:$B$12,0))*cadangan3[[#This Row],[Qty B]],0)</f>
        <v>150000</v>
      </c>
      <c r="T696" s="36">
        <f>IFERROR(cadangan3[[#This Row],[Harga Asli B]]-(cadangan3[[#This Row],[Harga Asli B]]*cadangan3[[#This Row],[Diskon]]),cadangan3[[#This Row],[Harga Asli B]])</f>
        <v>150000</v>
      </c>
      <c r="U696" s="36">
        <f>IFERROR(INDEX(Katalog!$F$3:$F$12,MATCH(cadangan3[[#This Row],[ItemID B]],Katalog!$C$3:$C$12,0))*cadangan3[[#This Row],[Qty B]],0)</f>
        <v>60000</v>
      </c>
      <c r="V696" s="36">
        <f>IFERROR(cadangan3[[#This Row],[Profit B]]-(cadangan3[[#This Row],[Profit B]]*cadangan3[[#This Row],[Diskon]]),U696)</f>
        <v>60000</v>
      </c>
      <c r="X696" t="str">
        <f>IFERROR(INDEX(Katalog!$A$3:$A$12,MATCH(cadangan3[[#This Row],[ItemID C]],Katalog!$C$3:$C$12,0)),"-")</f>
        <v>-</v>
      </c>
      <c r="Y696" t="str">
        <f>IFERROR(INDEX(Katalog!$B$3:$B$12,MATCH(cadangan3[[#This Row],[ItemID C]],Katalog!$C$3:$C$12,0)),"-")</f>
        <v>-</v>
      </c>
      <c r="AB696" s="36">
        <f>IFERROR(INDEX(Katalog!$D$3:$D$12,MATCH(cadangan3[[#This Row],[ItemID C]],Katalog!$C$3:$C$12,0))*cadangan3[[#This Row],[Qty C]],0)</f>
        <v>0</v>
      </c>
      <c r="AC696" s="36">
        <f>IFERROR(INDEX(Katalog!$D$3:$D$12,MATCH(cadangan3[[#This Row],[Item C]],Katalog!$B$3:$B$12,0))*cadangan3[[#This Row],[Qty C]],0)</f>
        <v>0</v>
      </c>
      <c r="AD696" s="36">
        <f>IFERROR(cadangan3[[#This Row],[Harga Asli C]]-(cadangan3[[#This Row],[Harga Asli C]]*cadangan3[[#This Row],[Diskon]]),cadangan3[[#This Row],[Harga Asli C]])</f>
        <v>0</v>
      </c>
      <c r="AE696" s="36">
        <f>IFERROR(INDEX(Katalog!$F$3:$F$12,MATCH(cadangan3[[#This Row],[ItemID C]],Katalog!$C$3:$C$12,0))*cadangan3[[#This Row],[Qty C]],0)</f>
        <v>0</v>
      </c>
      <c r="AF696" s="36">
        <f>IFERROR(cadangan3[[#This Row],[Profit C]]-(cadangan3[[#This Row],[Profit C]]*cadangan3[[#This Row],[Diskon]]),cadangan3[[#This Row],[Profit C]])</f>
        <v>0</v>
      </c>
      <c r="AG696" s="21">
        <f>cadangan3[[#This Row],[Qty A]]+cadangan3[[#This Row],[Qty B]]+cadangan3[[#This Row],[Qty C]]</f>
        <v>2</v>
      </c>
      <c r="AH696" s="35">
        <f>cadangan3[[#This Row],[Harga A + Diskon]]+cadangan3[[#This Row],[Harga + Diskon B]]+cadangan3[[#This Row],[Harga + Diskon C]]</f>
        <v>550000</v>
      </c>
      <c r="AI696" s="35">
        <f>(cadangan3[[#This Row],[Profit A]]+cadangan3[[#This Row],[Profit B]]+cadangan3[[#This Row],[Profit C]])</f>
        <v>210000</v>
      </c>
      <c r="AJ696" s="35">
        <f>cadangan3[[#This Row],[Provit A + Diskon]]+cadangan3[[#This Row],[Provit B + Diskon]]+cadangan3[[#This Row],[Provit C + Diskon]]</f>
        <v>210000</v>
      </c>
      <c r="AK696" s="23" t="s">
        <v>11</v>
      </c>
      <c r="AL696" s="37" t="str">
        <f>IFERROR(INDEX('Kode Diskon'!$D$3:$D$9,MATCH(cadangan3[[#This Row],[Kode diskon]],'Kode Diskon'!$C$3:$C$9,0)),"-")</f>
        <v>-</v>
      </c>
      <c r="AM696" s="23" t="s">
        <v>11</v>
      </c>
      <c r="AN696" s="23" t="s">
        <v>14</v>
      </c>
      <c r="AO696" s="23" t="s">
        <v>75</v>
      </c>
      <c r="AP696" s="24">
        <v>45031</v>
      </c>
      <c r="AQ696" s="23" t="str">
        <f>TEXT(cadangan3[[#This Row],[Tanggal terjual]],"dddd")</f>
        <v>Saturday</v>
      </c>
    </row>
    <row r="697" spans="1:43" x14ac:dyDescent="0.2">
      <c r="A697" s="20">
        <v>696</v>
      </c>
      <c r="B697" s="21" t="str">
        <f>_xlfn.CONCAT("ORD-",INDEX(Helper!$B$2:$B$5,MATCH(cadangan3[[#This Row],[Marketplace]],Helper!$A$2:$A$5,0)),TEXT(cadangan3[[#This Row],[No]],"0000"),"-",TEXT(cadangan3[[#This Row],[Tanggal terjual]],"dd/mm/yy"))</f>
        <v>ORD-SP0696-06/04/23</v>
      </c>
      <c r="C697" t="s">
        <v>58</v>
      </c>
      <c r="D697" t="str">
        <f>IFERROR(INDEX(Katalog!$A$3:$A$12,MATCH(cadangan3[[#This Row],[ItemID A]],Katalog!$C$3:$C$12,0)),"-")</f>
        <v>Pakaian Wanita</v>
      </c>
      <c r="E697" t="str">
        <f>IFERROR(INDEX(Katalog!$B$3:$B$12,MATCH(cadangan3[[#This Row],[ItemID A]],Katalog!$C$3:$C$12,0)),"-")</f>
        <v>Dress</v>
      </c>
      <c r="F697">
        <v>1</v>
      </c>
      <c r="G697">
        <v>4</v>
      </c>
      <c r="H697" s="36">
        <f>IFERROR(INDEX(Katalog!$D$3:$D$12,MATCH(cadangan3[[#This Row],[ItemID A]],Katalog!$C$3:$C$12,0))*cadangan3[[#This Row],[Qty A]],0)</f>
        <v>300000</v>
      </c>
      <c r="I697" s="36">
        <f>IFERROR(INDEX(Katalog!$D$3:$D$12,MATCH(cadangan3[[#This Row],[Item A]],Katalog!$B$3:$B$12,0))*cadangan3[[#This Row],[Qty A]],0)</f>
        <v>300000</v>
      </c>
      <c r="J697" s="36">
        <f>IFERROR(cadangan3[[#This Row],[Harga Asli A]]-(cadangan3[[#This Row],[Harga Asli A]]*cadangan3[[#This Row],[Diskon]]),cadangan3[[#This Row],[Harga Asli A]])</f>
        <v>255000</v>
      </c>
      <c r="K697" s="36">
        <f>INDEX(Katalog!$F$3:$F$12,MATCH(cadangan3[[#This Row],[ItemID A]],Katalog!$C$3:$C$12,0))*cadangan3[[#This Row],[Qty A]]</f>
        <v>100000</v>
      </c>
      <c r="L697" s="36">
        <f>IFERROR(cadangan3[[#This Row],[Profit A]]-(cadangan3[[#This Row],[Profit A]]*cadangan3[[#This Row],[Diskon]]),K697)</f>
        <v>85000</v>
      </c>
      <c r="N697" t="str">
        <f>IFERROR(INDEX(Katalog!$A$3:$A$12,MATCH(cadangan3[[#This Row],[ItemID B]],Katalog!$C$3:$C$12,0)),"-")</f>
        <v>-</v>
      </c>
      <c r="O697" t="str">
        <f>IFERROR(INDEX(Katalog!$B$3:$B$12,MATCH(cadangan3[[#This Row],[ItemID B]],Katalog!$C$3:$C$12,0)),"-")</f>
        <v>-</v>
      </c>
      <c r="R697" s="36">
        <f>IFERROR(INDEX(Katalog!$D$3:$D$12,MATCH(cadangan3[[#This Row],[ItemID B]],Katalog!$C$3:$C$12,0))*cadangan3[[#This Row],[Qty B]],0)</f>
        <v>0</v>
      </c>
      <c r="S697" s="36">
        <f>IFERROR(INDEX(Katalog!$D$3:$D$12,MATCH(cadangan3[[#This Row],[Item B]],Katalog!$B$3:$B$12,0))*cadangan3[[#This Row],[Qty B]],0)</f>
        <v>0</v>
      </c>
      <c r="T697" s="36">
        <f>IFERROR(cadangan3[[#This Row],[Harga Asli B]]-(cadangan3[[#This Row],[Harga Asli B]]*cadangan3[[#This Row],[Diskon]]),cadangan3[[#This Row],[Harga Asli B]])</f>
        <v>0</v>
      </c>
      <c r="U697" s="36">
        <f>IFERROR(INDEX(Katalog!$F$3:$F$12,MATCH(cadangan3[[#This Row],[ItemID B]],Katalog!$C$3:$C$12,0))*cadangan3[[#This Row],[Qty B]],0)</f>
        <v>0</v>
      </c>
      <c r="V697" s="36">
        <f>IFERROR(cadangan3[[#This Row],[Profit B]]-(cadangan3[[#This Row],[Profit B]]*cadangan3[[#This Row],[Diskon]]),U697)</f>
        <v>0</v>
      </c>
      <c r="X697" t="str">
        <f>IFERROR(INDEX(Katalog!$A$3:$A$12,MATCH(cadangan3[[#This Row],[ItemID C]],Katalog!$C$3:$C$12,0)),"-")</f>
        <v>-</v>
      </c>
      <c r="Y697" t="str">
        <f>IFERROR(INDEX(Katalog!$B$3:$B$12,MATCH(cadangan3[[#This Row],[ItemID C]],Katalog!$C$3:$C$12,0)),"-")</f>
        <v>-</v>
      </c>
      <c r="AB697" s="36">
        <f>IFERROR(INDEX(Katalog!$D$3:$D$12,MATCH(cadangan3[[#This Row],[ItemID C]],Katalog!$C$3:$C$12,0))*cadangan3[[#This Row],[Qty C]],0)</f>
        <v>0</v>
      </c>
      <c r="AC697" s="36">
        <f>IFERROR(INDEX(Katalog!$D$3:$D$12,MATCH(cadangan3[[#This Row],[Item C]],Katalog!$B$3:$B$12,0))*cadangan3[[#This Row],[Qty C]],0)</f>
        <v>0</v>
      </c>
      <c r="AD697" s="36">
        <f>IFERROR(cadangan3[[#This Row],[Harga Asli C]]-(cadangan3[[#This Row],[Harga Asli C]]*cadangan3[[#This Row],[Diskon]]),cadangan3[[#This Row],[Harga Asli C]])</f>
        <v>0</v>
      </c>
      <c r="AE697" s="36">
        <f>IFERROR(INDEX(Katalog!$F$3:$F$12,MATCH(cadangan3[[#This Row],[ItemID C]],Katalog!$C$3:$C$12,0))*cadangan3[[#This Row],[Qty C]],0)</f>
        <v>0</v>
      </c>
      <c r="AF697" s="36">
        <f>IFERROR(cadangan3[[#This Row],[Profit C]]-(cadangan3[[#This Row],[Profit C]]*cadangan3[[#This Row],[Diskon]]),cadangan3[[#This Row],[Profit C]])</f>
        <v>0</v>
      </c>
      <c r="AG697" s="21">
        <f>cadangan3[[#This Row],[Qty A]]+cadangan3[[#This Row],[Qty B]]+cadangan3[[#This Row],[Qty C]]</f>
        <v>1</v>
      </c>
      <c r="AH697" s="35">
        <f>cadangan3[[#This Row],[Harga A + Diskon]]+cadangan3[[#This Row],[Harga + Diskon B]]+cadangan3[[#This Row],[Harga + Diskon C]]</f>
        <v>255000</v>
      </c>
      <c r="AI697" s="35">
        <f>(cadangan3[[#This Row],[Profit A]]+cadangan3[[#This Row],[Profit B]]+cadangan3[[#This Row],[Profit C]])</f>
        <v>100000</v>
      </c>
      <c r="AJ697" s="35">
        <f>cadangan3[[#This Row],[Provit A + Diskon]]+cadangan3[[#This Row],[Provit B + Diskon]]+cadangan3[[#This Row],[Provit C + Diskon]]</f>
        <v>85000</v>
      </c>
      <c r="AK697" s="23" t="s">
        <v>13</v>
      </c>
      <c r="AL697" s="37">
        <f>IFERROR(INDEX('Kode Diskon'!$D$3:$D$9,MATCH(cadangan3[[#This Row],[Kode diskon]],'Kode Diskon'!$C$3:$C$9,0)),"-")</f>
        <v>0.15</v>
      </c>
      <c r="AM697" s="23" t="s">
        <v>29</v>
      </c>
      <c r="AN697" s="23" t="s">
        <v>7</v>
      </c>
      <c r="AO697" s="23" t="s">
        <v>77</v>
      </c>
      <c r="AP697" s="24">
        <v>45022</v>
      </c>
      <c r="AQ697" s="23" t="str">
        <f>TEXT(cadangan3[[#This Row],[Tanggal terjual]],"dddd")</f>
        <v>Thursday</v>
      </c>
    </row>
    <row r="698" spans="1:43" x14ac:dyDescent="0.2">
      <c r="A698" s="20">
        <v>697</v>
      </c>
      <c r="B698" s="21" t="str">
        <f>_xlfn.CONCAT("ORD-",INDEX(Helper!$B$2:$B$5,MATCH(cadangan3[[#This Row],[Marketplace]],Helper!$A$2:$A$5,0)),TEXT(cadangan3[[#This Row],[No]],"0000"),"-",TEXT(cadangan3[[#This Row],[Tanggal terjual]],"dd/mm/yy"))</f>
        <v>ORD-TK0697-03/04/23</v>
      </c>
      <c r="C698" t="s">
        <v>65</v>
      </c>
      <c r="D698" t="str">
        <f>IFERROR(INDEX(Katalog!$A$3:$A$12,MATCH(cadangan3[[#This Row],[ItemID A]],Katalog!$C$3:$C$12,0)),"-")</f>
        <v>Sepatu Pria</v>
      </c>
      <c r="E698" t="str">
        <f>IFERROR(INDEX(Katalog!$B$3:$B$12,MATCH(cadangan3[[#This Row],[ItemID A]],Katalog!$C$3:$C$12,0)),"-")</f>
        <v>Sneakers</v>
      </c>
      <c r="F698">
        <v>2</v>
      </c>
      <c r="G698">
        <v>3</v>
      </c>
      <c r="H698" s="36">
        <f>IFERROR(INDEX(Katalog!$D$3:$D$12,MATCH(cadangan3[[#This Row],[ItemID A]],Katalog!$C$3:$C$12,0))*cadangan3[[#This Row],[Qty A]],0)</f>
        <v>1000000</v>
      </c>
      <c r="I698" s="36">
        <f>IFERROR(INDEX(Katalog!$D$3:$D$12,MATCH(cadangan3[[#This Row],[Item A]],Katalog!$B$3:$B$12,0))*cadangan3[[#This Row],[Qty A]],0)</f>
        <v>1000000</v>
      </c>
      <c r="J698" s="36">
        <f>IFERROR(cadangan3[[#This Row],[Harga Asli A]]-(cadangan3[[#This Row],[Harga Asli A]]*cadangan3[[#This Row],[Diskon]]),cadangan3[[#This Row],[Harga Asli A]])</f>
        <v>900000</v>
      </c>
      <c r="K698" s="36">
        <f>INDEX(Katalog!$F$3:$F$12,MATCH(cadangan3[[#This Row],[ItemID A]],Katalog!$C$3:$C$12,0))*cadangan3[[#This Row],[Qty A]]</f>
        <v>400000</v>
      </c>
      <c r="L698" s="36">
        <f>IFERROR(cadangan3[[#This Row],[Profit A]]-(cadangan3[[#This Row],[Profit A]]*cadangan3[[#This Row],[Diskon]]),K698)</f>
        <v>360000</v>
      </c>
      <c r="N698" t="str">
        <f>IFERROR(INDEX(Katalog!$A$3:$A$12,MATCH(cadangan3[[#This Row],[ItemID B]],Katalog!$C$3:$C$12,0)),"-")</f>
        <v>-</v>
      </c>
      <c r="O698" t="str">
        <f>IFERROR(INDEX(Katalog!$B$3:$B$12,MATCH(cadangan3[[#This Row],[ItemID B]],Katalog!$C$3:$C$12,0)),"-")</f>
        <v>-</v>
      </c>
      <c r="R698" s="36">
        <f>IFERROR(INDEX(Katalog!$D$3:$D$12,MATCH(cadangan3[[#This Row],[ItemID B]],Katalog!$C$3:$C$12,0))*cadangan3[[#This Row],[Qty B]],0)</f>
        <v>0</v>
      </c>
      <c r="S698" s="36">
        <f>IFERROR(INDEX(Katalog!$D$3:$D$12,MATCH(cadangan3[[#This Row],[Item B]],Katalog!$B$3:$B$12,0))*cadangan3[[#This Row],[Qty B]],0)</f>
        <v>0</v>
      </c>
      <c r="T698" s="36">
        <f>IFERROR(cadangan3[[#This Row],[Harga Asli B]]-(cadangan3[[#This Row],[Harga Asli B]]*cadangan3[[#This Row],[Diskon]]),cadangan3[[#This Row],[Harga Asli B]])</f>
        <v>0</v>
      </c>
      <c r="U698" s="36">
        <f>IFERROR(INDEX(Katalog!$F$3:$F$12,MATCH(cadangan3[[#This Row],[ItemID B]],Katalog!$C$3:$C$12,0))*cadangan3[[#This Row],[Qty B]],0)</f>
        <v>0</v>
      </c>
      <c r="V698" s="36">
        <f>IFERROR(cadangan3[[#This Row],[Profit B]]-(cadangan3[[#This Row],[Profit B]]*cadangan3[[#This Row],[Diskon]]),U698)</f>
        <v>0</v>
      </c>
      <c r="X698" t="str">
        <f>IFERROR(INDEX(Katalog!$A$3:$A$12,MATCH(cadangan3[[#This Row],[ItemID C]],Katalog!$C$3:$C$12,0)),"-")</f>
        <v>-</v>
      </c>
      <c r="Y698" t="str">
        <f>IFERROR(INDEX(Katalog!$B$3:$B$12,MATCH(cadangan3[[#This Row],[ItemID C]],Katalog!$C$3:$C$12,0)),"-")</f>
        <v>-</v>
      </c>
      <c r="AB698" s="36">
        <f>IFERROR(INDEX(Katalog!$D$3:$D$12,MATCH(cadangan3[[#This Row],[ItemID C]],Katalog!$C$3:$C$12,0))*cadangan3[[#This Row],[Qty C]],0)</f>
        <v>0</v>
      </c>
      <c r="AC698" s="36">
        <f>IFERROR(INDEX(Katalog!$D$3:$D$12,MATCH(cadangan3[[#This Row],[Item C]],Katalog!$B$3:$B$12,0))*cadangan3[[#This Row],[Qty C]],0)</f>
        <v>0</v>
      </c>
      <c r="AD698" s="36">
        <f>IFERROR(cadangan3[[#This Row],[Harga Asli C]]-(cadangan3[[#This Row],[Harga Asli C]]*cadangan3[[#This Row],[Diskon]]),cadangan3[[#This Row],[Harga Asli C]])</f>
        <v>0</v>
      </c>
      <c r="AE698" s="36">
        <f>IFERROR(INDEX(Katalog!$F$3:$F$12,MATCH(cadangan3[[#This Row],[ItemID C]],Katalog!$C$3:$C$12,0))*cadangan3[[#This Row],[Qty C]],0)</f>
        <v>0</v>
      </c>
      <c r="AF698" s="36">
        <f>IFERROR(cadangan3[[#This Row],[Profit C]]-(cadangan3[[#This Row],[Profit C]]*cadangan3[[#This Row],[Diskon]]),cadangan3[[#This Row],[Profit C]])</f>
        <v>0</v>
      </c>
      <c r="AG698" s="21">
        <f>cadangan3[[#This Row],[Qty A]]+cadangan3[[#This Row],[Qty B]]+cadangan3[[#This Row],[Qty C]]</f>
        <v>2</v>
      </c>
      <c r="AH698" s="35">
        <f>cadangan3[[#This Row],[Harga A + Diskon]]+cadangan3[[#This Row],[Harga + Diskon B]]+cadangan3[[#This Row],[Harga + Diskon C]]</f>
        <v>900000</v>
      </c>
      <c r="AI698" s="35">
        <f>(cadangan3[[#This Row],[Profit A]]+cadangan3[[#This Row],[Profit B]]+cadangan3[[#This Row],[Profit C]])</f>
        <v>400000</v>
      </c>
      <c r="AJ698" s="35">
        <f>cadangan3[[#This Row],[Provit A + Diskon]]+cadangan3[[#This Row],[Provit B + Diskon]]+cadangan3[[#This Row],[Provit C + Diskon]]</f>
        <v>360000</v>
      </c>
      <c r="AK698" s="23" t="s">
        <v>30</v>
      </c>
      <c r="AL698" s="37">
        <f>IFERROR(INDEX('Kode Diskon'!$D$3:$D$9,MATCH(cadangan3[[#This Row],[Kode diskon]],'Kode Diskon'!$C$3:$C$9,0)),"-")</f>
        <v>0.1</v>
      </c>
      <c r="AM698" s="23" t="s">
        <v>29</v>
      </c>
      <c r="AN698" s="23" t="s">
        <v>10</v>
      </c>
      <c r="AO698" s="23" t="s">
        <v>76</v>
      </c>
      <c r="AP698" s="24">
        <v>45019</v>
      </c>
      <c r="AQ698" s="23" t="str">
        <f>TEXT(cadangan3[[#This Row],[Tanggal terjual]],"dddd")</f>
        <v>Monday</v>
      </c>
    </row>
    <row r="699" spans="1:43" x14ac:dyDescent="0.2">
      <c r="A699" s="20">
        <v>698</v>
      </c>
      <c r="B699" s="21" t="str">
        <f>_xlfn.CONCAT("ORD-",INDEX(Helper!$B$2:$B$5,MATCH(cadangan3[[#This Row],[Marketplace]],Helper!$A$2:$A$5,0)),TEXT(cadangan3[[#This Row],[No]],"0000"),"-",TEXT(cadangan3[[#This Row],[Tanggal terjual]],"dd/mm/yy"))</f>
        <v>ORD-BL0698-30/04/23</v>
      </c>
      <c r="C699" t="s">
        <v>62</v>
      </c>
      <c r="D699" t="str">
        <f>IFERROR(INDEX(Katalog!$A$3:$A$12,MATCH(cadangan3[[#This Row],[ItemID A]],Katalog!$C$3:$C$12,0)),"-")</f>
        <v>Pakaian Pria</v>
      </c>
      <c r="E699" t="str">
        <f>IFERROR(INDEX(Katalog!$B$3:$B$12,MATCH(cadangan3[[#This Row],[ItemID A]],Katalog!$C$3:$C$12,0)),"-")</f>
        <v>Celana Pendek</v>
      </c>
      <c r="F699">
        <v>2</v>
      </c>
      <c r="G699">
        <v>5</v>
      </c>
      <c r="H699" s="36">
        <f>IFERROR(INDEX(Katalog!$D$3:$D$12,MATCH(cadangan3[[#This Row],[ItemID A]],Katalog!$C$3:$C$12,0))*cadangan3[[#This Row],[Qty A]],0)</f>
        <v>360000</v>
      </c>
      <c r="I699" s="36">
        <f>IFERROR(INDEX(Katalog!$D$3:$D$12,MATCH(cadangan3[[#This Row],[Item A]],Katalog!$B$3:$B$12,0))*cadangan3[[#This Row],[Qty A]],0)</f>
        <v>360000</v>
      </c>
      <c r="J699" s="36">
        <f>IFERROR(cadangan3[[#This Row],[Harga Asli A]]-(cadangan3[[#This Row],[Harga Asli A]]*cadangan3[[#This Row],[Diskon]]),cadangan3[[#This Row],[Harga Asli A]])</f>
        <v>306000</v>
      </c>
      <c r="K699" s="36">
        <f>INDEX(Katalog!$F$3:$F$12,MATCH(cadangan3[[#This Row],[ItemID A]],Katalog!$C$3:$C$12,0))*cadangan3[[#This Row],[Qty A]]</f>
        <v>140000</v>
      </c>
      <c r="L699" s="36">
        <f>IFERROR(cadangan3[[#This Row],[Profit A]]-(cadangan3[[#This Row],[Profit A]]*cadangan3[[#This Row],[Diskon]]),K699)</f>
        <v>119000</v>
      </c>
      <c r="N699" t="str">
        <f>IFERROR(INDEX(Katalog!$A$3:$A$12,MATCH(cadangan3[[#This Row],[ItemID B]],Katalog!$C$3:$C$12,0)),"-")</f>
        <v>-</v>
      </c>
      <c r="O699" t="str">
        <f>IFERROR(INDEX(Katalog!$B$3:$B$12,MATCH(cadangan3[[#This Row],[ItemID B]],Katalog!$C$3:$C$12,0)),"-")</f>
        <v>-</v>
      </c>
      <c r="R699" s="36">
        <f>IFERROR(INDEX(Katalog!$D$3:$D$12,MATCH(cadangan3[[#This Row],[ItemID B]],Katalog!$C$3:$C$12,0))*cadangan3[[#This Row],[Qty B]],0)</f>
        <v>0</v>
      </c>
      <c r="S699" s="36">
        <f>IFERROR(INDEX(Katalog!$D$3:$D$12,MATCH(cadangan3[[#This Row],[Item B]],Katalog!$B$3:$B$12,0))*cadangan3[[#This Row],[Qty B]],0)</f>
        <v>0</v>
      </c>
      <c r="T699" s="36">
        <f>IFERROR(cadangan3[[#This Row],[Harga Asli B]]-(cadangan3[[#This Row],[Harga Asli B]]*cadangan3[[#This Row],[Diskon]]),cadangan3[[#This Row],[Harga Asli B]])</f>
        <v>0</v>
      </c>
      <c r="U699" s="36">
        <f>IFERROR(INDEX(Katalog!$F$3:$F$12,MATCH(cadangan3[[#This Row],[ItemID B]],Katalog!$C$3:$C$12,0))*cadangan3[[#This Row],[Qty B]],0)</f>
        <v>0</v>
      </c>
      <c r="V699" s="36">
        <f>IFERROR(cadangan3[[#This Row],[Profit B]]-(cadangan3[[#This Row],[Profit B]]*cadangan3[[#This Row],[Diskon]]),U699)</f>
        <v>0</v>
      </c>
      <c r="X699" t="str">
        <f>IFERROR(INDEX(Katalog!$A$3:$A$12,MATCH(cadangan3[[#This Row],[ItemID C]],Katalog!$C$3:$C$12,0)),"-")</f>
        <v>-</v>
      </c>
      <c r="Y699" t="str">
        <f>IFERROR(INDEX(Katalog!$B$3:$B$12,MATCH(cadangan3[[#This Row],[ItemID C]],Katalog!$C$3:$C$12,0)),"-")</f>
        <v>-</v>
      </c>
      <c r="AB699" s="36">
        <f>IFERROR(INDEX(Katalog!$D$3:$D$12,MATCH(cadangan3[[#This Row],[ItemID C]],Katalog!$C$3:$C$12,0))*cadangan3[[#This Row],[Qty C]],0)</f>
        <v>0</v>
      </c>
      <c r="AC699" s="36">
        <f>IFERROR(INDEX(Katalog!$D$3:$D$12,MATCH(cadangan3[[#This Row],[Item C]],Katalog!$B$3:$B$12,0))*cadangan3[[#This Row],[Qty C]],0)</f>
        <v>0</v>
      </c>
      <c r="AD699" s="36">
        <f>IFERROR(cadangan3[[#This Row],[Harga Asli C]]-(cadangan3[[#This Row],[Harga Asli C]]*cadangan3[[#This Row],[Diskon]]),cadangan3[[#This Row],[Harga Asli C]])</f>
        <v>0</v>
      </c>
      <c r="AE699" s="36">
        <f>IFERROR(INDEX(Katalog!$F$3:$F$12,MATCH(cadangan3[[#This Row],[ItemID C]],Katalog!$C$3:$C$12,0))*cadangan3[[#This Row],[Qty C]],0)</f>
        <v>0</v>
      </c>
      <c r="AF699" s="36">
        <f>IFERROR(cadangan3[[#This Row],[Profit C]]-(cadangan3[[#This Row],[Profit C]]*cadangan3[[#This Row],[Diskon]]),cadangan3[[#This Row],[Profit C]])</f>
        <v>0</v>
      </c>
      <c r="AG699" s="21">
        <f>cadangan3[[#This Row],[Qty A]]+cadangan3[[#This Row],[Qty B]]+cadangan3[[#This Row],[Qty C]]</f>
        <v>2</v>
      </c>
      <c r="AH699" s="35">
        <f>cadangan3[[#This Row],[Harga A + Diskon]]+cadangan3[[#This Row],[Harga + Diskon B]]+cadangan3[[#This Row],[Harga + Diskon C]]</f>
        <v>306000</v>
      </c>
      <c r="AI699" s="35">
        <f>(cadangan3[[#This Row],[Profit A]]+cadangan3[[#This Row],[Profit B]]+cadangan3[[#This Row],[Profit C]])</f>
        <v>140000</v>
      </c>
      <c r="AJ699" s="35">
        <f>cadangan3[[#This Row],[Provit A + Diskon]]+cadangan3[[#This Row],[Provit B + Diskon]]+cadangan3[[#This Row],[Provit C + Diskon]]</f>
        <v>119000</v>
      </c>
      <c r="AK699" s="23" t="s">
        <v>32</v>
      </c>
      <c r="AL699" s="37">
        <f>IFERROR(INDEX('Kode Diskon'!$D$3:$D$9,MATCH(cadangan3[[#This Row],[Kode diskon]],'Kode Diskon'!$C$3:$C$9,0)),"-")</f>
        <v>0.15</v>
      </c>
      <c r="AM699" s="23" t="s">
        <v>9</v>
      </c>
      <c r="AN699" s="23" t="s">
        <v>12</v>
      </c>
      <c r="AO699" s="23" t="s">
        <v>79</v>
      </c>
      <c r="AP699" s="24">
        <v>45046</v>
      </c>
      <c r="AQ699" s="23" t="str">
        <f>TEXT(cadangan3[[#This Row],[Tanggal terjual]],"dddd")</f>
        <v>Sunday</v>
      </c>
    </row>
    <row r="700" spans="1:43" x14ac:dyDescent="0.2">
      <c r="A700" s="20">
        <v>699</v>
      </c>
      <c r="B700" s="21" t="str">
        <f>_xlfn.CONCAT("ORD-",INDEX(Helper!$B$2:$B$5,MATCH(cadangan3[[#This Row],[Marketplace]],Helper!$A$2:$A$5,0)),TEXT(cadangan3[[#This Row],[No]],"0000"),"-",TEXT(cadangan3[[#This Row],[Tanggal terjual]],"dd/mm/yy"))</f>
        <v>ORD-TK0699-25/04/23</v>
      </c>
      <c r="C700" t="s">
        <v>61</v>
      </c>
      <c r="D700" t="str">
        <f>IFERROR(INDEX(Katalog!$A$3:$A$12,MATCH(cadangan3[[#This Row],[ItemID A]],Katalog!$C$3:$C$12,0)),"-")</f>
        <v>Pakaian Pria</v>
      </c>
      <c r="E700" t="str">
        <f>IFERROR(INDEX(Katalog!$B$3:$B$12,MATCH(cadangan3[[#This Row],[ItemID A]],Katalog!$C$3:$C$12,0)),"-")</f>
        <v>Kaos Polo</v>
      </c>
      <c r="F700">
        <v>4</v>
      </c>
      <c r="G700">
        <v>2</v>
      </c>
      <c r="H700" s="36">
        <f>IFERROR(INDEX(Katalog!$D$3:$D$12,MATCH(cadangan3[[#This Row],[ItemID A]],Katalog!$C$3:$C$12,0))*cadangan3[[#This Row],[Qty A]],0)</f>
        <v>800000</v>
      </c>
      <c r="I700" s="36">
        <f>IFERROR(INDEX(Katalog!$D$3:$D$12,MATCH(cadangan3[[#This Row],[Item A]],Katalog!$B$3:$B$12,0))*cadangan3[[#This Row],[Qty A]],0)</f>
        <v>800000</v>
      </c>
      <c r="J700" s="36">
        <f>IFERROR(cadangan3[[#This Row],[Harga Asli A]]-(cadangan3[[#This Row],[Harga Asli A]]*cadangan3[[#This Row],[Diskon]]),cadangan3[[#This Row],[Harga Asli A]])</f>
        <v>720000</v>
      </c>
      <c r="K700" s="36">
        <f>INDEX(Katalog!$F$3:$F$12,MATCH(cadangan3[[#This Row],[ItemID A]],Katalog!$C$3:$C$12,0))*cadangan3[[#This Row],[Qty A]]</f>
        <v>320000</v>
      </c>
      <c r="L700" s="36">
        <f>IFERROR(cadangan3[[#This Row],[Profit A]]-(cadangan3[[#This Row],[Profit A]]*cadangan3[[#This Row],[Diskon]]),K700)</f>
        <v>288000</v>
      </c>
      <c r="M700" t="s">
        <v>66</v>
      </c>
      <c r="N700" t="str">
        <f>IFERROR(INDEX(Katalog!$A$3:$A$12,MATCH(cadangan3[[#This Row],[ItemID B]],Katalog!$C$3:$C$12,0)),"-")</f>
        <v>Sepatu Pria</v>
      </c>
      <c r="O700" t="str">
        <f>IFERROR(INDEX(Katalog!$B$3:$B$12,MATCH(cadangan3[[#This Row],[ItemID B]],Katalog!$C$3:$C$12,0)),"-")</f>
        <v>Sandal Slip On</v>
      </c>
      <c r="P700">
        <v>1</v>
      </c>
      <c r="Q700">
        <v>1</v>
      </c>
      <c r="R700" s="36">
        <f>IFERROR(INDEX(Katalog!$D$3:$D$12,MATCH(cadangan3[[#This Row],[ItemID B]],Katalog!$C$3:$C$12,0))*cadangan3[[#This Row],[Qty B]],0)</f>
        <v>150000</v>
      </c>
      <c r="S700" s="36">
        <f>IFERROR(INDEX(Katalog!$D$3:$D$12,MATCH(cadangan3[[#This Row],[Item B]],Katalog!$B$3:$B$12,0))*cadangan3[[#This Row],[Qty B]],0)</f>
        <v>150000</v>
      </c>
      <c r="T700" s="36">
        <f>IFERROR(cadangan3[[#This Row],[Harga Asli B]]-(cadangan3[[#This Row],[Harga Asli B]]*cadangan3[[#This Row],[Diskon]]),cadangan3[[#This Row],[Harga Asli B]])</f>
        <v>135000</v>
      </c>
      <c r="U700" s="36">
        <f>IFERROR(INDEX(Katalog!$F$3:$F$12,MATCH(cadangan3[[#This Row],[ItemID B]],Katalog!$C$3:$C$12,0))*cadangan3[[#This Row],[Qty B]],0)</f>
        <v>60000</v>
      </c>
      <c r="V700" s="36">
        <f>IFERROR(cadangan3[[#This Row],[Profit B]]-(cadangan3[[#This Row],[Profit B]]*cadangan3[[#This Row],[Diskon]]),U700)</f>
        <v>54000</v>
      </c>
      <c r="W700" t="s">
        <v>58</v>
      </c>
      <c r="X700" t="str">
        <f>IFERROR(INDEX(Katalog!$A$3:$A$12,MATCH(cadangan3[[#This Row],[ItemID C]],Katalog!$C$3:$C$12,0)),"-")</f>
        <v>Pakaian Wanita</v>
      </c>
      <c r="Y700" t="str">
        <f>IFERROR(INDEX(Katalog!$B$3:$B$12,MATCH(cadangan3[[#This Row],[ItemID C]],Katalog!$C$3:$C$12,0)),"-")</f>
        <v>Dress</v>
      </c>
      <c r="Z700">
        <v>2</v>
      </c>
      <c r="AA700">
        <v>1</v>
      </c>
      <c r="AB700" s="36">
        <f>IFERROR(INDEX(Katalog!$D$3:$D$12,MATCH(cadangan3[[#This Row],[ItemID C]],Katalog!$C$3:$C$12,0))*cadangan3[[#This Row],[Qty C]],0)</f>
        <v>600000</v>
      </c>
      <c r="AC700" s="36">
        <f>IFERROR(INDEX(Katalog!$D$3:$D$12,MATCH(cadangan3[[#This Row],[Item C]],Katalog!$B$3:$B$12,0))*cadangan3[[#This Row],[Qty C]],0)</f>
        <v>600000</v>
      </c>
      <c r="AD700" s="36">
        <f>IFERROR(cadangan3[[#This Row],[Harga Asli C]]-(cadangan3[[#This Row],[Harga Asli C]]*cadangan3[[#This Row],[Diskon]]),cadangan3[[#This Row],[Harga Asli C]])</f>
        <v>540000</v>
      </c>
      <c r="AE700" s="36">
        <f>IFERROR(INDEX(Katalog!$F$3:$F$12,MATCH(cadangan3[[#This Row],[ItemID C]],Katalog!$C$3:$C$12,0))*cadangan3[[#This Row],[Qty C]],0)</f>
        <v>200000</v>
      </c>
      <c r="AF700" s="36">
        <f>IFERROR(cadangan3[[#This Row],[Profit C]]-(cadangan3[[#This Row],[Profit C]]*cadangan3[[#This Row],[Diskon]]),cadangan3[[#This Row],[Profit C]])</f>
        <v>180000</v>
      </c>
      <c r="AG700" s="21">
        <f>cadangan3[[#This Row],[Qty A]]+cadangan3[[#This Row],[Qty B]]+cadangan3[[#This Row],[Qty C]]</f>
        <v>7</v>
      </c>
      <c r="AH700" s="35">
        <f>cadangan3[[#This Row],[Harga A + Diskon]]+cadangan3[[#This Row],[Harga + Diskon B]]+cadangan3[[#This Row],[Harga + Diskon C]]</f>
        <v>1395000</v>
      </c>
      <c r="AI700" s="35">
        <f>(cadangan3[[#This Row],[Profit A]]+cadangan3[[#This Row],[Profit B]]+cadangan3[[#This Row],[Profit C]])</f>
        <v>580000</v>
      </c>
      <c r="AJ700" s="35">
        <f>cadangan3[[#This Row],[Provit A + Diskon]]+cadangan3[[#This Row],[Provit B + Diskon]]+cadangan3[[#This Row],[Provit C + Diskon]]</f>
        <v>522000</v>
      </c>
      <c r="AK700" s="23" t="s">
        <v>31</v>
      </c>
      <c r="AL700" s="37">
        <f>IFERROR(INDEX('Kode Diskon'!$D$3:$D$9,MATCH(cadangan3[[#This Row],[Kode diskon]],'Kode Diskon'!$C$3:$C$9,0)),"-")</f>
        <v>0.1</v>
      </c>
      <c r="AM700" s="23" t="s">
        <v>9</v>
      </c>
      <c r="AN700" s="23" t="s">
        <v>10</v>
      </c>
      <c r="AO700" s="23" t="s">
        <v>79</v>
      </c>
      <c r="AP700" s="24">
        <v>45041</v>
      </c>
      <c r="AQ700" s="23" t="str">
        <f>TEXT(cadangan3[[#This Row],[Tanggal terjual]],"dddd")</f>
        <v>Tuesday</v>
      </c>
    </row>
    <row r="701" spans="1:43" x14ac:dyDescent="0.2">
      <c r="A701" s="20">
        <v>700</v>
      </c>
      <c r="B701" s="21" t="str">
        <f>_xlfn.CONCAT("ORD-",INDEX(Helper!$B$2:$B$5,MATCH(cadangan3[[#This Row],[Marketplace]],Helper!$A$2:$A$5,0)),TEXT(cadangan3[[#This Row],[No]],"0000"),"-",TEXT(cadangan3[[#This Row],[Tanggal terjual]],"dd/mm/yy"))</f>
        <v>ORD-SP0700-04/04/23</v>
      </c>
      <c r="C701" t="s">
        <v>67</v>
      </c>
      <c r="D701" t="str">
        <f>IFERROR(INDEX(Katalog!$A$3:$A$12,MATCH(cadangan3[[#This Row],[ItemID A]],Katalog!$C$3:$C$12,0)),"-")</f>
        <v>Sepatu Wanita</v>
      </c>
      <c r="E701" t="str">
        <f>IFERROR(INDEX(Katalog!$B$3:$B$12,MATCH(cadangan3[[#This Row],[ItemID A]],Katalog!$C$3:$C$12,0)),"-")</f>
        <v>Flat Shoes</v>
      </c>
      <c r="F701">
        <v>6</v>
      </c>
      <c r="G701">
        <v>4</v>
      </c>
      <c r="H701" s="36">
        <f>IFERROR(INDEX(Katalog!$D$3:$D$12,MATCH(cadangan3[[#This Row],[ItemID A]],Katalog!$C$3:$C$12,0))*cadangan3[[#This Row],[Qty A]],0)</f>
        <v>1500000</v>
      </c>
      <c r="I701" s="36">
        <f>IFERROR(INDEX(Katalog!$D$3:$D$12,MATCH(cadangan3[[#This Row],[Item A]],Katalog!$B$3:$B$12,0))*cadangan3[[#This Row],[Qty A]],0)</f>
        <v>1500000</v>
      </c>
      <c r="J701" s="36">
        <f>IFERROR(cadangan3[[#This Row],[Harga Asli A]]-(cadangan3[[#This Row],[Harga Asli A]]*cadangan3[[#This Row],[Diskon]]),cadangan3[[#This Row],[Harga Asli A]])</f>
        <v>1350000</v>
      </c>
      <c r="K701" s="36">
        <f>INDEX(Katalog!$F$3:$F$12,MATCH(cadangan3[[#This Row],[ItemID A]],Katalog!$C$3:$C$12,0))*cadangan3[[#This Row],[Qty A]]</f>
        <v>600000</v>
      </c>
      <c r="L701" s="36">
        <f>IFERROR(cadangan3[[#This Row],[Profit A]]-(cadangan3[[#This Row],[Profit A]]*cadangan3[[#This Row],[Diskon]]),K701)</f>
        <v>540000</v>
      </c>
      <c r="M701" t="s">
        <v>66</v>
      </c>
      <c r="N701" t="str">
        <f>IFERROR(INDEX(Katalog!$A$3:$A$12,MATCH(cadangan3[[#This Row],[ItemID B]],Katalog!$C$3:$C$12,0)),"-")</f>
        <v>Sepatu Pria</v>
      </c>
      <c r="O701" t="str">
        <f>IFERROR(INDEX(Katalog!$B$3:$B$12,MATCH(cadangan3[[#This Row],[ItemID B]],Katalog!$C$3:$C$12,0)),"-")</f>
        <v>Sandal Slip On</v>
      </c>
      <c r="P701">
        <v>1</v>
      </c>
      <c r="Q701">
        <v>3</v>
      </c>
      <c r="R701" s="36">
        <f>IFERROR(INDEX(Katalog!$D$3:$D$12,MATCH(cadangan3[[#This Row],[ItemID B]],Katalog!$C$3:$C$12,0))*cadangan3[[#This Row],[Qty B]],0)</f>
        <v>150000</v>
      </c>
      <c r="S701" s="36">
        <f>IFERROR(INDEX(Katalog!$D$3:$D$12,MATCH(cadangan3[[#This Row],[Item B]],Katalog!$B$3:$B$12,0))*cadangan3[[#This Row],[Qty B]],0)</f>
        <v>150000</v>
      </c>
      <c r="T701" s="36">
        <f>IFERROR(cadangan3[[#This Row],[Harga Asli B]]-(cadangan3[[#This Row],[Harga Asli B]]*cadangan3[[#This Row],[Diskon]]),cadangan3[[#This Row],[Harga Asli B]])</f>
        <v>135000</v>
      </c>
      <c r="U701" s="36">
        <f>IFERROR(INDEX(Katalog!$F$3:$F$12,MATCH(cadangan3[[#This Row],[ItemID B]],Katalog!$C$3:$C$12,0))*cadangan3[[#This Row],[Qty B]],0)</f>
        <v>60000</v>
      </c>
      <c r="V701" s="36">
        <f>IFERROR(cadangan3[[#This Row],[Profit B]]-(cadangan3[[#This Row],[Profit B]]*cadangan3[[#This Row],[Diskon]]),U701)</f>
        <v>54000</v>
      </c>
      <c r="X701" t="str">
        <f>IFERROR(INDEX(Katalog!$A$3:$A$12,MATCH(cadangan3[[#This Row],[ItemID C]],Katalog!$C$3:$C$12,0)),"-")</f>
        <v>-</v>
      </c>
      <c r="Y701" t="str">
        <f>IFERROR(INDEX(Katalog!$B$3:$B$12,MATCH(cadangan3[[#This Row],[ItemID C]],Katalog!$C$3:$C$12,0)),"-")</f>
        <v>-</v>
      </c>
      <c r="AB701" s="36">
        <f>IFERROR(INDEX(Katalog!$D$3:$D$12,MATCH(cadangan3[[#This Row],[ItemID C]],Katalog!$C$3:$C$12,0))*cadangan3[[#This Row],[Qty C]],0)</f>
        <v>0</v>
      </c>
      <c r="AC701" s="36">
        <f>IFERROR(INDEX(Katalog!$D$3:$D$12,MATCH(cadangan3[[#This Row],[Item C]],Katalog!$B$3:$B$12,0))*cadangan3[[#This Row],[Qty C]],0)</f>
        <v>0</v>
      </c>
      <c r="AD701" s="36">
        <f>IFERROR(cadangan3[[#This Row],[Harga Asli C]]-(cadangan3[[#This Row],[Harga Asli C]]*cadangan3[[#This Row],[Diskon]]),cadangan3[[#This Row],[Harga Asli C]])</f>
        <v>0</v>
      </c>
      <c r="AE701" s="36">
        <f>IFERROR(INDEX(Katalog!$F$3:$F$12,MATCH(cadangan3[[#This Row],[ItemID C]],Katalog!$C$3:$C$12,0))*cadangan3[[#This Row],[Qty C]],0)</f>
        <v>0</v>
      </c>
      <c r="AF701" s="36">
        <f>IFERROR(cadangan3[[#This Row],[Profit C]]-(cadangan3[[#This Row],[Profit C]]*cadangan3[[#This Row],[Diskon]]),cadangan3[[#This Row],[Profit C]])</f>
        <v>0</v>
      </c>
      <c r="AG701" s="21">
        <f>cadangan3[[#This Row],[Qty A]]+cadangan3[[#This Row],[Qty B]]+cadangan3[[#This Row],[Qty C]]</f>
        <v>7</v>
      </c>
      <c r="AH701" s="35">
        <f>cadangan3[[#This Row],[Harga A + Diskon]]+cadangan3[[#This Row],[Harga + Diskon B]]+cadangan3[[#This Row],[Harga + Diskon C]]</f>
        <v>1485000</v>
      </c>
      <c r="AI701" s="35">
        <f>(cadangan3[[#This Row],[Profit A]]+cadangan3[[#This Row],[Profit B]]+cadangan3[[#This Row],[Profit C]])</f>
        <v>660000</v>
      </c>
      <c r="AJ701" s="35">
        <f>cadangan3[[#This Row],[Provit A + Diskon]]+cadangan3[[#This Row],[Provit B + Diskon]]+cadangan3[[#This Row],[Provit C + Diskon]]</f>
        <v>594000</v>
      </c>
      <c r="AK701" s="23" t="s">
        <v>6</v>
      </c>
      <c r="AL701" s="37">
        <f>IFERROR(INDEX('Kode Diskon'!$D$3:$D$9,MATCH(cadangan3[[#This Row],[Kode diskon]],'Kode Diskon'!$C$3:$C$9,0)),"-")</f>
        <v>0.1</v>
      </c>
      <c r="AM701" s="23" t="s">
        <v>29</v>
      </c>
      <c r="AN701" s="23" t="s">
        <v>7</v>
      </c>
      <c r="AO701" s="23" t="s">
        <v>75</v>
      </c>
      <c r="AP701" s="24">
        <v>45020</v>
      </c>
      <c r="AQ701" s="23" t="str">
        <f>TEXT(cadangan3[[#This Row],[Tanggal terjual]],"dddd")</f>
        <v>Tuesday</v>
      </c>
    </row>
    <row r="702" spans="1:43" x14ac:dyDescent="0.2">
      <c r="A702" s="20">
        <v>701</v>
      </c>
      <c r="B702" s="21" t="str">
        <f>_xlfn.CONCAT("ORD-",INDEX(Helper!$B$2:$B$5,MATCH(cadangan3[[#This Row],[Marketplace]],Helper!$A$2:$A$5,0)),TEXT(cadangan3[[#This Row],[No]],"0000"),"-",TEXT(cadangan3[[#This Row],[Tanggal terjual]],"dd/mm/yy"))</f>
        <v>ORD-TK0701-19/04/23</v>
      </c>
      <c r="C702" t="s">
        <v>63</v>
      </c>
      <c r="D702" t="str">
        <f>IFERROR(INDEX(Katalog!$A$3:$A$12,MATCH(cadangan3[[#This Row],[ItemID A]],Katalog!$C$3:$C$12,0)),"-")</f>
        <v>Pakaian Pria</v>
      </c>
      <c r="E702" t="str">
        <f>IFERROR(INDEX(Katalog!$B$3:$B$12,MATCH(cadangan3[[#This Row],[ItemID A]],Katalog!$C$3:$C$12,0)),"-")</f>
        <v>Jaket Jeans</v>
      </c>
      <c r="F702">
        <v>1</v>
      </c>
      <c r="G702">
        <v>5</v>
      </c>
      <c r="H702" s="36">
        <f>IFERROR(INDEX(Katalog!$D$3:$D$12,MATCH(cadangan3[[#This Row],[ItemID A]],Katalog!$C$3:$C$12,0))*cadangan3[[#This Row],[Qty A]],0)</f>
        <v>400000</v>
      </c>
      <c r="I702" s="36">
        <f>IFERROR(INDEX(Katalog!$D$3:$D$12,MATCH(cadangan3[[#This Row],[Item A]],Katalog!$B$3:$B$12,0))*cadangan3[[#This Row],[Qty A]],0)</f>
        <v>400000</v>
      </c>
      <c r="J702" s="36">
        <f>IFERROR(cadangan3[[#This Row],[Harga Asli A]]-(cadangan3[[#This Row],[Harga Asli A]]*cadangan3[[#This Row],[Diskon]]),cadangan3[[#This Row],[Harga Asli A]])</f>
        <v>360000</v>
      </c>
      <c r="K702" s="36">
        <f>INDEX(Katalog!$F$3:$F$12,MATCH(cadangan3[[#This Row],[ItemID A]],Katalog!$C$3:$C$12,0))*cadangan3[[#This Row],[Qty A]]</f>
        <v>150000</v>
      </c>
      <c r="L702" s="36">
        <f>IFERROR(cadangan3[[#This Row],[Profit A]]-(cadangan3[[#This Row],[Profit A]]*cadangan3[[#This Row],[Diskon]]),K702)</f>
        <v>135000</v>
      </c>
      <c r="N702" t="str">
        <f>IFERROR(INDEX(Katalog!$A$3:$A$12,MATCH(cadangan3[[#This Row],[ItemID B]],Katalog!$C$3:$C$12,0)),"-")</f>
        <v>-</v>
      </c>
      <c r="O702" t="str">
        <f>IFERROR(INDEX(Katalog!$B$3:$B$12,MATCH(cadangan3[[#This Row],[ItemID B]],Katalog!$C$3:$C$12,0)),"-")</f>
        <v>-</v>
      </c>
      <c r="R702" s="36">
        <f>IFERROR(INDEX(Katalog!$D$3:$D$12,MATCH(cadangan3[[#This Row],[ItemID B]],Katalog!$C$3:$C$12,0))*cadangan3[[#This Row],[Qty B]],0)</f>
        <v>0</v>
      </c>
      <c r="S702" s="36">
        <f>IFERROR(INDEX(Katalog!$D$3:$D$12,MATCH(cadangan3[[#This Row],[Item B]],Katalog!$B$3:$B$12,0))*cadangan3[[#This Row],[Qty B]],0)</f>
        <v>0</v>
      </c>
      <c r="T702" s="36">
        <f>IFERROR(cadangan3[[#This Row],[Harga Asli B]]-(cadangan3[[#This Row],[Harga Asli B]]*cadangan3[[#This Row],[Diskon]]),cadangan3[[#This Row],[Harga Asli B]])</f>
        <v>0</v>
      </c>
      <c r="U702" s="36">
        <f>IFERROR(INDEX(Katalog!$F$3:$F$12,MATCH(cadangan3[[#This Row],[ItemID B]],Katalog!$C$3:$C$12,0))*cadangan3[[#This Row],[Qty B]],0)</f>
        <v>0</v>
      </c>
      <c r="V702" s="36">
        <f>IFERROR(cadangan3[[#This Row],[Profit B]]-(cadangan3[[#This Row],[Profit B]]*cadangan3[[#This Row],[Diskon]]),U702)</f>
        <v>0</v>
      </c>
      <c r="X702" t="str">
        <f>IFERROR(INDEX(Katalog!$A$3:$A$12,MATCH(cadangan3[[#This Row],[ItemID C]],Katalog!$C$3:$C$12,0)),"-")</f>
        <v>-</v>
      </c>
      <c r="Y702" t="str">
        <f>IFERROR(INDEX(Katalog!$B$3:$B$12,MATCH(cadangan3[[#This Row],[ItemID C]],Katalog!$C$3:$C$12,0)),"-")</f>
        <v>-</v>
      </c>
      <c r="AB702" s="36">
        <f>IFERROR(INDEX(Katalog!$D$3:$D$12,MATCH(cadangan3[[#This Row],[ItemID C]],Katalog!$C$3:$C$12,0))*cadangan3[[#This Row],[Qty C]],0)</f>
        <v>0</v>
      </c>
      <c r="AC702" s="36">
        <f>IFERROR(INDEX(Katalog!$D$3:$D$12,MATCH(cadangan3[[#This Row],[Item C]],Katalog!$B$3:$B$12,0))*cadangan3[[#This Row],[Qty C]],0)</f>
        <v>0</v>
      </c>
      <c r="AD702" s="36">
        <f>IFERROR(cadangan3[[#This Row],[Harga Asli C]]-(cadangan3[[#This Row],[Harga Asli C]]*cadangan3[[#This Row],[Diskon]]),cadangan3[[#This Row],[Harga Asli C]])</f>
        <v>0</v>
      </c>
      <c r="AE702" s="36">
        <f>IFERROR(INDEX(Katalog!$F$3:$F$12,MATCH(cadangan3[[#This Row],[ItemID C]],Katalog!$C$3:$C$12,0))*cadangan3[[#This Row],[Qty C]],0)</f>
        <v>0</v>
      </c>
      <c r="AF702" s="36">
        <f>IFERROR(cadangan3[[#This Row],[Profit C]]-(cadangan3[[#This Row],[Profit C]]*cadangan3[[#This Row],[Diskon]]),cadangan3[[#This Row],[Profit C]])</f>
        <v>0</v>
      </c>
      <c r="AG702" s="21">
        <f>cadangan3[[#This Row],[Qty A]]+cadangan3[[#This Row],[Qty B]]+cadangan3[[#This Row],[Qty C]]</f>
        <v>1</v>
      </c>
      <c r="AH702" s="35">
        <f>cadangan3[[#This Row],[Harga A + Diskon]]+cadangan3[[#This Row],[Harga + Diskon B]]+cadangan3[[#This Row],[Harga + Diskon C]]</f>
        <v>360000</v>
      </c>
      <c r="AI702" s="35">
        <f>(cadangan3[[#This Row],[Profit A]]+cadangan3[[#This Row],[Profit B]]+cadangan3[[#This Row],[Profit C]])</f>
        <v>150000</v>
      </c>
      <c r="AJ702" s="35">
        <f>cadangan3[[#This Row],[Provit A + Diskon]]+cadangan3[[#This Row],[Provit B + Diskon]]+cadangan3[[#This Row],[Provit C + Diskon]]</f>
        <v>135000</v>
      </c>
      <c r="AK702" s="23" t="s">
        <v>31</v>
      </c>
      <c r="AL702" s="37">
        <f>IFERROR(INDEX('Kode Diskon'!$D$3:$D$9,MATCH(cadangan3[[#This Row],[Kode diskon]],'Kode Diskon'!$C$3:$C$9,0)),"-")</f>
        <v>0.1</v>
      </c>
      <c r="AM702" s="23" t="s">
        <v>9</v>
      </c>
      <c r="AN702" s="23" t="s">
        <v>10</v>
      </c>
      <c r="AO702" s="23" t="s">
        <v>80</v>
      </c>
      <c r="AP702" s="24">
        <v>45035</v>
      </c>
      <c r="AQ702" s="23" t="str">
        <f>TEXT(cadangan3[[#This Row],[Tanggal terjual]],"dddd")</f>
        <v>Wednesday</v>
      </c>
    </row>
    <row r="703" spans="1:43" x14ac:dyDescent="0.2">
      <c r="A703" s="20">
        <v>702</v>
      </c>
      <c r="B703" s="21" t="str">
        <f>_xlfn.CONCAT("ORD-",INDEX(Helper!$B$2:$B$5,MATCH(cadangan3[[#This Row],[Marketplace]],Helper!$A$2:$A$5,0)),TEXT(cadangan3[[#This Row],[No]],"0000"),"-",TEXT(cadangan3[[#This Row],[Tanggal terjual]],"dd/mm/yy"))</f>
        <v>ORD-SP0702-28/04/23</v>
      </c>
      <c r="C703" t="s">
        <v>67</v>
      </c>
      <c r="D703" t="str">
        <f>IFERROR(INDEX(Katalog!$A$3:$A$12,MATCH(cadangan3[[#This Row],[ItemID A]],Katalog!$C$3:$C$12,0)),"-")</f>
        <v>Sepatu Wanita</v>
      </c>
      <c r="E703" t="str">
        <f>IFERROR(INDEX(Katalog!$B$3:$B$12,MATCH(cadangan3[[#This Row],[ItemID A]],Katalog!$C$3:$C$12,0)),"-")</f>
        <v>Flat Shoes</v>
      </c>
      <c r="F703">
        <v>1</v>
      </c>
      <c r="G703">
        <v>1</v>
      </c>
      <c r="H703" s="36">
        <f>IFERROR(INDEX(Katalog!$D$3:$D$12,MATCH(cadangan3[[#This Row],[ItemID A]],Katalog!$C$3:$C$12,0))*cadangan3[[#This Row],[Qty A]],0)</f>
        <v>250000</v>
      </c>
      <c r="I703" s="36">
        <f>IFERROR(INDEX(Katalog!$D$3:$D$12,MATCH(cadangan3[[#This Row],[Item A]],Katalog!$B$3:$B$12,0))*cadangan3[[#This Row],[Qty A]],0)</f>
        <v>250000</v>
      </c>
      <c r="J703" s="36">
        <f>IFERROR(cadangan3[[#This Row],[Harga Asli A]]-(cadangan3[[#This Row],[Harga Asli A]]*cadangan3[[#This Row],[Diskon]]),cadangan3[[#This Row],[Harga Asli A]])</f>
        <v>200000</v>
      </c>
      <c r="K703" s="36">
        <f>INDEX(Katalog!$F$3:$F$12,MATCH(cadangan3[[#This Row],[ItemID A]],Katalog!$C$3:$C$12,0))*cadangan3[[#This Row],[Qty A]]</f>
        <v>100000</v>
      </c>
      <c r="L703" s="36">
        <f>IFERROR(cadangan3[[#This Row],[Profit A]]-(cadangan3[[#This Row],[Profit A]]*cadangan3[[#This Row],[Diskon]]),K703)</f>
        <v>80000</v>
      </c>
      <c r="M703" t="s">
        <v>58</v>
      </c>
      <c r="N703" t="str">
        <f>IFERROR(INDEX(Katalog!$A$3:$A$12,MATCH(cadangan3[[#This Row],[ItemID B]],Katalog!$C$3:$C$12,0)),"-")</f>
        <v>Pakaian Wanita</v>
      </c>
      <c r="O703" t="str">
        <f>IFERROR(INDEX(Katalog!$B$3:$B$12,MATCH(cadangan3[[#This Row],[ItemID B]],Katalog!$C$3:$C$12,0)),"-")</f>
        <v>Dress</v>
      </c>
      <c r="P703">
        <v>2</v>
      </c>
      <c r="Q703">
        <v>3</v>
      </c>
      <c r="R703" s="36">
        <f>IFERROR(INDEX(Katalog!$D$3:$D$12,MATCH(cadangan3[[#This Row],[ItemID B]],Katalog!$C$3:$C$12,0))*cadangan3[[#This Row],[Qty B]],0)</f>
        <v>600000</v>
      </c>
      <c r="S703" s="36">
        <f>IFERROR(INDEX(Katalog!$D$3:$D$12,MATCH(cadangan3[[#This Row],[Item B]],Katalog!$B$3:$B$12,0))*cadangan3[[#This Row],[Qty B]],0)</f>
        <v>600000</v>
      </c>
      <c r="T703" s="36">
        <f>IFERROR(cadangan3[[#This Row],[Harga Asli B]]-(cadangan3[[#This Row],[Harga Asli B]]*cadangan3[[#This Row],[Diskon]]),cadangan3[[#This Row],[Harga Asli B]])</f>
        <v>480000</v>
      </c>
      <c r="U703" s="36">
        <f>IFERROR(INDEX(Katalog!$F$3:$F$12,MATCH(cadangan3[[#This Row],[ItemID B]],Katalog!$C$3:$C$12,0))*cadangan3[[#This Row],[Qty B]],0)</f>
        <v>200000</v>
      </c>
      <c r="V703" s="36">
        <f>IFERROR(cadangan3[[#This Row],[Profit B]]-(cadangan3[[#This Row],[Profit B]]*cadangan3[[#This Row],[Diskon]]),U703)</f>
        <v>160000</v>
      </c>
      <c r="W703" t="s">
        <v>62</v>
      </c>
      <c r="X703" t="str">
        <f>IFERROR(INDEX(Katalog!$A$3:$A$12,MATCH(cadangan3[[#This Row],[ItemID C]],Katalog!$C$3:$C$12,0)),"-")</f>
        <v>Pakaian Pria</v>
      </c>
      <c r="Y703" t="str">
        <f>IFERROR(INDEX(Katalog!$B$3:$B$12,MATCH(cadangan3[[#This Row],[ItemID C]],Katalog!$C$3:$C$12,0)),"-")</f>
        <v>Celana Pendek</v>
      </c>
      <c r="Z703">
        <v>1</v>
      </c>
      <c r="AA703">
        <v>4</v>
      </c>
      <c r="AB703" s="36">
        <f>IFERROR(INDEX(Katalog!$D$3:$D$12,MATCH(cadangan3[[#This Row],[ItemID C]],Katalog!$C$3:$C$12,0))*cadangan3[[#This Row],[Qty C]],0)</f>
        <v>180000</v>
      </c>
      <c r="AC703" s="36">
        <f>IFERROR(INDEX(Katalog!$D$3:$D$12,MATCH(cadangan3[[#This Row],[Item C]],Katalog!$B$3:$B$12,0))*cadangan3[[#This Row],[Qty C]],0)</f>
        <v>180000</v>
      </c>
      <c r="AD703" s="36">
        <f>IFERROR(cadangan3[[#This Row],[Harga Asli C]]-(cadangan3[[#This Row],[Harga Asli C]]*cadangan3[[#This Row],[Diskon]]),cadangan3[[#This Row],[Harga Asli C]])</f>
        <v>144000</v>
      </c>
      <c r="AE703" s="36">
        <f>IFERROR(INDEX(Katalog!$F$3:$F$12,MATCH(cadangan3[[#This Row],[ItemID C]],Katalog!$C$3:$C$12,0))*cadangan3[[#This Row],[Qty C]],0)</f>
        <v>70000</v>
      </c>
      <c r="AF703" s="36">
        <f>IFERROR(cadangan3[[#This Row],[Profit C]]-(cadangan3[[#This Row],[Profit C]]*cadangan3[[#This Row],[Diskon]]),cadangan3[[#This Row],[Profit C]])</f>
        <v>56000</v>
      </c>
      <c r="AG703" s="21">
        <f>cadangan3[[#This Row],[Qty A]]+cadangan3[[#This Row],[Qty B]]+cadangan3[[#This Row],[Qty C]]</f>
        <v>4</v>
      </c>
      <c r="AH703" s="35">
        <f>cadangan3[[#This Row],[Harga A + Diskon]]+cadangan3[[#This Row],[Harga + Diskon B]]+cadangan3[[#This Row],[Harga + Diskon C]]</f>
        <v>824000</v>
      </c>
      <c r="AI703" s="35">
        <f>(cadangan3[[#This Row],[Profit A]]+cadangan3[[#This Row],[Profit B]]+cadangan3[[#This Row],[Profit C]])</f>
        <v>370000</v>
      </c>
      <c r="AJ703" s="35">
        <f>cadangan3[[#This Row],[Provit A + Diskon]]+cadangan3[[#This Row],[Provit B + Diskon]]+cadangan3[[#This Row],[Provit C + Diskon]]</f>
        <v>296000</v>
      </c>
      <c r="AK703" s="23" t="s">
        <v>8</v>
      </c>
      <c r="AL703" s="37">
        <f>IFERROR(INDEX('Kode Diskon'!$D$3:$D$9,MATCH(cadangan3[[#This Row],[Kode diskon]],'Kode Diskon'!$C$3:$C$9,0)),"-")</f>
        <v>0.2</v>
      </c>
      <c r="AM703" s="23" t="s">
        <v>9</v>
      </c>
      <c r="AN703" s="23" t="s">
        <v>7</v>
      </c>
      <c r="AO703" s="23" t="s">
        <v>75</v>
      </c>
      <c r="AP703" s="24">
        <v>45044</v>
      </c>
      <c r="AQ703" s="23" t="str">
        <f>TEXT(cadangan3[[#This Row],[Tanggal terjual]],"dddd")</f>
        <v>Friday</v>
      </c>
    </row>
    <row r="704" spans="1:43" x14ac:dyDescent="0.2">
      <c r="A704" s="20">
        <v>703</v>
      </c>
      <c r="B704" s="21" t="str">
        <f>_xlfn.CONCAT("ORD-",INDEX(Helper!$B$2:$B$5,MATCH(cadangan3[[#This Row],[Marketplace]],Helper!$A$2:$A$5,0)),TEXT(cadangan3[[#This Row],[No]],"0000"),"-",TEXT(cadangan3[[#This Row],[Tanggal terjual]],"dd/mm/yy"))</f>
        <v>ORD-TK0703-06/04/23</v>
      </c>
      <c r="C704" t="s">
        <v>61</v>
      </c>
      <c r="D704" t="str">
        <f>IFERROR(INDEX(Katalog!$A$3:$A$12,MATCH(cadangan3[[#This Row],[ItemID A]],Katalog!$C$3:$C$12,0)),"-")</f>
        <v>Pakaian Pria</v>
      </c>
      <c r="E704" t="str">
        <f>IFERROR(INDEX(Katalog!$B$3:$B$12,MATCH(cadangan3[[#This Row],[ItemID A]],Katalog!$C$3:$C$12,0)),"-")</f>
        <v>Kaos Polo</v>
      </c>
      <c r="F704">
        <v>1</v>
      </c>
      <c r="G704">
        <v>2</v>
      </c>
      <c r="H704" s="36">
        <f>IFERROR(INDEX(Katalog!$D$3:$D$12,MATCH(cadangan3[[#This Row],[ItemID A]],Katalog!$C$3:$C$12,0))*cadangan3[[#This Row],[Qty A]],0)</f>
        <v>200000</v>
      </c>
      <c r="I704" s="36">
        <f>IFERROR(INDEX(Katalog!$D$3:$D$12,MATCH(cadangan3[[#This Row],[Item A]],Katalog!$B$3:$B$12,0))*cadangan3[[#This Row],[Qty A]],0)</f>
        <v>200000</v>
      </c>
      <c r="J704" s="36">
        <f>IFERROR(cadangan3[[#This Row],[Harga Asli A]]-(cadangan3[[#This Row],[Harga Asli A]]*cadangan3[[#This Row],[Diskon]]),cadangan3[[#This Row],[Harga Asli A]])</f>
        <v>180000</v>
      </c>
      <c r="K704" s="36">
        <f>INDEX(Katalog!$F$3:$F$12,MATCH(cadangan3[[#This Row],[ItemID A]],Katalog!$C$3:$C$12,0))*cadangan3[[#This Row],[Qty A]]</f>
        <v>80000</v>
      </c>
      <c r="L704" s="36">
        <f>IFERROR(cadangan3[[#This Row],[Profit A]]-(cadangan3[[#This Row],[Profit A]]*cadangan3[[#This Row],[Diskon]]),K704)</f>
        <v>72000</v>
      </c>
      <c r="N704" t="str">
        <f>IFERROR(INDEX(Katalog!$A$3:$A$12,MATCH(cadangan3[[#This Row],[ItemID B]],Katalog!$C$3:$C$12,0)),"-")</f>
        <v>-</v>
      </c>
      <c r="O704" t="str">
        <f>IFERROR(INDEX(Katalog!$B$3:$B$12,MATCH(cadangan3[[#This Row],[ItemID B]],Katalog!$C$3:$C$12,0)),"-")</f>
        <v>-</v>
      </c>
      <c r="R704" s="36">
        <f>IFERROR(INDEX(Katalog!$D$3:$D$12,MATCH(cadangan3[[#This Row],[ItemID B]],Katalog!$C$3:$C$12,0))*cadangan3[[#This Row],[Qty B]],0)</f>
        <v>0</v>
      </c>
      <c r="S704" s="36">
        <f>IFERROR(INDEX(Katalog!$D$3:$D$12,MATCH(cadangan3[[#This Row],[Item B]],Katalog!$B$3:$B$12,0))*cadangan3[[#This Row],[Qty B]],0)</f>
        <v>0</v>
      </c>
      <c r="T704" s="36">
        <f>IFERROR(cadangan3[[#This Row],[Harga Asli B]]-(cadangan3[[#This Row],[Harga Asli B]]*cadangan3[[#This Row],[Diskon]]),cadangan3[[#This Row],[Harga Asli B]])</f>
        <v>0</v>
      </c>
      <c r="U704" s="36">
        <f>IFERROR(INDEX(Katalog!$F$3:$F$12,MATCH(cadangan3[[#This Row],[ItemID B]],Katalog!$C$3:$C$12,0))*cadangan3[[#This Row],[Qty B]],0)</f>
        <v>0</v>
      </c>
      <c r="V704" s="36">
        <f>IFERROR(cadangan3[[#This Row],[Profit B]]-(cadangan3[[#This Row],[Profit B]]*cadangan3[[#This Row],[Diskon]]),U704)</f>
        <v>0</v>
      </c>
      <c r="X704" t="str">
        <f>IFERROR(INDEX(Katalog!$A$3:$A$12,MATCH(cadangan3[[#This Row],[ItemID C]],Katalog!$C$3:$C$12,0)),"-")</f>
        <v>-</v>
      </c>
      <c r="Y704" t="str">
        <f>IFERROR(INDEX(Katalog!$B$3:$B$12,MATCH(cadangan3[[#This Row],[ItemID C]],Katalog!$C$3:$C$12,0)),"-")</f>
        <v>-</v>
      </c>
      <c r="AB704" s="36">
        <f>IFERROR(INDEX(Katalog!$D$3:$D$12,MATCH(cadangan3[[#This Row],[ItemID C]],Katalog!$C$3:$C$12,0))*cadangan3[[#This Row],[Qty C]],0)</f>
        <v>0</v>
      </c>
      <c r="AC704" s="36">
        <f>IFERROR(INDEX(Katalog!$D$3:$D$12,MATCH(cadangan3[[#This Row],[Item C]],Katalog!$B$3:$B$12,0))*cadangan3[[#This Row],[Qty C]],0)</f>
        <v>0</v>
      </c>
      <c r="AD704" s="36">
        <f>IFERROR(cadangan3[[#This Row],[Harga Asli C]]-(cadangan3[[#This Row],[Harga Asli C]]*cadangan3[[#This Row],[Diskon]]),cadangan3[[#This Row],[Harga Asli C]])</f>
        <v>0</v>
      </c>
      <c r="AE704" s="36">
        <f>IFERROR(INDEX(Katalog!$F$3:$F$12,MATCH(cadangan3[[#This Row],[ItemID C]],Katalog!$C$3:$C$12,0))*cadangan3[[#This Row],[Qty C]],0)</f>
        <v>0</v>
      </c>
      <c r="AF704" s="36">
        <f>IFERROR(cadangan3[[#This Row],[Profit C]]-(cadangan3[[#This Row],[Profit C]]*cadangan3[[#This Row],[Diskon]]),cadangan3[[#This Row],[Profit C]])</f>
        <v>0</v>
      </c>
      <c r="AG704" s="21">
        <f>cadangan3[[#This Row],[Qty A]]+cadangan3[[#This Row],[Qty B]]+cadangan3[[#This Row],[Qty C]]</f>
        <v>1</v>
      </c>
      <c r="AH704" s="35">
        <f>cadangan3[[#This Row],[Harga A + Diskon]]+cadangan3[[#This Row],[Harga + Diskon B]]+cadangan3[[#This Row],[Harga + Diskon C]]</f>
        <v>180000</v>
      </c>
      <c r="AI704" s="35">
        <f>(cadangan3[[#This Row],[Profit A]]+cadangan3[[#This Row],[Profit B]]+cadangan3[[#This Row],[Profit C]])</f>
        <v>80000</v>
      </c>
      <c r="AJ704" s="35">
        <f>cadangan3[[#This Row],[Provit A + Diskon]]+cadangan3[[#This Row],[Provit B + Diskon]]+cadangan3[[#This Row],[Provit C + Diskon]]</f>
        <v>72000</v>
      </c>
      <c r="AK704" s="23" t="s">
        <v>30</v>
      </c>
      <c r="AL704" s="37">
        <f>IFERROR(INDEX('Kode Diskon'!$D$3:$D$9,MATCH(cadangan3[[#This Row],[Kode diskon]],'Kode Diskon'!$C$3:$C$9,0)),"-")</f>
        <v>0.1</v>
      </c>
      <c r="AM704" s="23" t="s">
        <v>29</v>
      </c>
      <c r="AN704" s="23" t="s">
        <v>10</v>
      </c>
      <c r="AO704" s="23" t="s">
        <v>76</v>
      </c>
      <c r="AP704" s="24">
        <v>45022</v>
      </c>
      <c r="AQ704" s="23" t="str">
        <f>TEXT(cadangan3[[#This Row],[Tanggal terjual]],"dddd")</f>
        <v>Thursday</v>
      </c>
    </row>
    <row r="705" spans="1:43" x14ac:dyDescent="0.2">
      <c r="A705" s="20">
        <v>704</v>
      </c>
      <c r="B705" s="21" t="str">
        <f>_xlfn.CONCAT("ORD-",INDEX(Helper!$B$2:$B$5,MATCH(cadangan3[[#This Row],[Marketplace]],Helper!$A$2:$A$5,0)),TEXT(cadangan3[[#This Row],[No]],"0000"),"-",TEXT(cadangan3[[#This Row],[Tanggal terjual]],"dd/mm/yy"))</f>
        <v>ORD-TK0704-01/04/23</v>
      </c>
      <c r="C705" t="s">
        <v>58</v>
      </c>
      <c r="D705" t="str">
        <f>IFERROR(INDEX(Katalog!$A$3:$A$12,MATCH(cadangan3[[#This Row],[ItemID A]],Katalog!$C$3:$C$12,0)),"-")</f>
        <v>Pakaian Wanita</v>
      </c>
      <c r="E705" t="str">
        <f>IFERROR(INDEX(Katalog!$B$3:$B$12,MATCH(cadangan3[[#This Row],[ItemID A]],Katalog!$C$3:$C$12,0)),"-")</f>
        <v>Dress</v>
      </c>
      <c r="F705">
        <v>4</v>
      </c>
      <c r="G705">
        <v>2</v>
      </c>
      <c r="H705" s="36">
        <f>IFERROR(INDEX(Katalog!$D$3:$D$12,MATCH(cadangan3[[#This Row],[ItemID A]],Katalog!$C$3:$C$12,0))*cadangan3[[#This Row],[Qty A]],0)</f>
        <v>1200000</v>
      </c>
      <c r="I705" s="36">
        <f>IFERROR(INDEX(Katalog!$D$3:$D$12,MATCH(cadangan3[[#This Row],[Item A]],Katalog!$B$3:$B$12,0))*cadangan3[[#This Row],[Qty A]],0)</f>
        <v>1200000</v>
      </c>
      <c r="J705" s="36">
        <f>IFERROR(cadangan3[[#This Row],[Harga Asli A]]-(cadangan3[[#This Row],[Harga Asli A]]*cadangan3[[#This Row],[Diskon]]),cadangan3[[#This Row],[Harga Asli A]])</f>
        <v>1080000</v>
      </c>
      <c r="K705" s="36">
        <f>INDEX(Katalog!$F$3:$F$12,MATCH(cadangan3[[#This Row],[ItemID A]],Katalog!$C$3:$C$12,0))*cadangan3[[#This Row],[Qty A]]</f>
        <v>400000</v>
      </c>
      <c r="L705" s="36">
        <f>IFERROR(cadangan3[[#This Row],[Profit A]]-(cadangan3[[#This Row],[Profit A]]*cadangan3[[#This Row],[Diskon]]),K705)</f>
        <v>360000</v>
      </c>
      <c r="M705" t="s">
        <v>65</v>
      </c>
      <c r="N705" t="str">
        <f>IFERROR(INDEX(Katalog!$A$3:$A$12,MATCH(cadangan3[[#This Row],[ItemID B]],Katalog!$C$3:$C$12,0)),"-")</f>
        <v>Sepatu Pria</v>
      </c>
      <c r="O705" t="str">
        <f>IFERROR(INDEX(Katalog!$B$3:$B$12,MATCH(cadangan3[[#This Row],[ItemID B]],Katalog!$C$3:$C$12,0)),"-")</f>
        <v>Sneakers</v>
      </c>
      <c r="P705">
        <v>3</v>
      </c>
      <c r="Q705">
        <v>2</v>
      </c>
      <c r="R705" s="36">
        <f>IFERROR(INDEX(Katalog!$D$3:$D$12,MATCH(cadangan3[[#This Row],[ItemID B]],Katalog!$C$3:$C$12,0))*cadangan3[[#This Row],[Qty B]],0)</f>
        <v>1500000</v>
      </c>
      <c r="S705" s="36">
        <f>IFERROR(INDEX(Katalog!$D$3:$D$12,MATCH(cadangan3[[#This Row],[Item B]],Katalog!$B$3:$B$12,0))*cadangan3[[#This Row],[Qty B]],0)</f>
        <v>1500000</v>
      </c>
      <c r="T705" s="36">
        <f>IFERROR(cadangan3[[#This Row],[Harga Asli B]]-(cadangan3[[#This Row],[Harga Asli B]]*cadangan3[[#This Row],[Diskon]]),cadangan3[[#This Row],[Harga Asli B]])</f>
        <v>1350000</v>
      </c>
      <c r="U705" s="36">
        <f>IFERROR(INDEX(Katalog!$F$3:$F$12,MATCH(cadangan3[[#This Row],[ItemID B]],Katalog!$C$3:$C$12,0))*cadangan3[[#This Row],[Qty B]],0)</f>
        <v>600000</v>
      </c>
      <c r="V705" s="36">
        <f>IFERROR(cadangan3[[#This Row],[Profit B]]-(cadangan3[[#This Row],[Profit B]]*cadangan3[[#This Row],[Diskon]]),U705)</f>
        <v>540000</v>
      </c>
      <c r="X705" t="str">
        <f>IFERROR(INDEX(Katalog!$A$3:$A$12,MATCH(cadangan3[[#This Row],[ItemID C]],Katalog!$C$3:$C$12,0)),"-")</f>
        <v>-</v>
      </c>
      <c r="Y705" t="str">
        <f>IFERROR(INDEX(Katalog!$B$3:$B$12,MATCH(cadangan3[[#This Row],[ItemID C]],Katalog!$C$3:$C$12,0)),"-")</f>
        <v>-</v>
      </c>
      <c r="AB705" s="36">
        <f>IFERROR(INDEX(Katalog!$D$3:$D$12,MATCH(cadangan3[[#This Row],[ItemID C]],Katalog!$C$3:$C$12,0))*cadangan3[[#This Row],[Qty C]],0)</f>
        <v>0</v>
      </c>
      <c r="AC705" s="36">
        <f>IFERROR(INDEX(Katalog!$D$3:$D$12,MATCH(cadangan3[[#This Row],[Item C]],Katalog!$B$3:$B$12,0))*cadangan3[[#This Row],[Qty C]],0)</f>
        <v>0</v>
      </c>
      <c r="AD705" s="36">
        <f>IFERROR(cadangan3[[#This Row],[Harga Asli C]]-(cadangan3[[#This Row],[Harga Asli C]]*cadangan3[[#This Row],[Diskon]]),cadangan3[[#This Row],[Harga Asli C]])</f>
        <v>0</v>
      </c>
      <c r="AE705" s="36">
        <f>IFERROR(INDEX(Katalog!$F$3:$F$12,MATCH(cadangan3[[#This Row],[ItemID C]],Katalog!$C$3:$C$12,0))*cadangan3[[#This Row],[Qty C]],0)</f>
        <v>0</v>
      </c>
      <c r="AF705" s="36">
        <f>IFERROR(cadangan3[[#This Row],[Profit C]]-(cadangan3[[#This Row],[Profit C]]*cadangan3[[#This Row],[Diskon]]),cadangan3[[#This Row],[Profit C]])</f>
        <v>0</v>
      </c>
      <c r="AG705" s="21">
        <f>cadangan3[[#This Row],[Qty A]]+cadangan3[[#This Row],[Qty B]]+cadangan3[[#This Row],[Qty C]]</f>
        <v>7</v>
      </c>
      <c r="AH705" s="35">
        <f>cadangan3[[#This Row],[Harga A + Diskon]]+cadangan3[[#This Row],[Harga + Diskon B]]+cadangan3[[#This Row],[Harga + Diskon C]]</f>
        <v>2430000</v>
      </c>
      <c r="AI705" s="35">
        <f>(cadangan3[[#This Row],[Profit A]]+cadangan3[[#This Row],[Profit B]]+cadangan3[[#This Row],[Profit C]])</f>
        <v>1000000</v>
      </c>
      <c r="AJ705" s="35">
        <f>cadangan3[[#This Row],[Provit A + Diskon]]+cadangan3[[#This Row],[Provit B + Diskon]]+cadangan3[[#This Row],[Provit C + Diskon]]</f>
        <v>900000</v>
      </c>
      <c r="AK705" s="23" t="s">
        <v>30</v>
      </c>
      <c r="AL705" s="37">
        <f>IFERROR(INDEX('Kode Diskon'!$D$3:$D$9,MATCH(cadangan3[[#This Row],[Kode diskon]],'Kode Diskon'!$C$3:$C$9,0)),"-")</f>
        <v>0.1</v>
      </c>
      <c r="AM705" s="23" t="s">
        <v>29</v>
      </c>
      <c r="AN705" s="23" t="s">
        <v>10</v>
      </c>
      <c r="AO705" s="23" t="s">
        <v>76</v>
      </c>
      <c r="AP705" s="24">
        <v>45017</v>
      </c>
      <c r="AQ705" s="23" t="str">
        <f>TEXT(cadangan3[[#This Row],[Tanggal terjual]],"dddd")</f>
        <v>Saturday</v>
      </c>
    </row>
    <row r="706" spans="1:43" x14ac:dyDescent="0.2">
      <c r="A706" s="20">
        <v>705</v>
      </c>
      <c r="B706" s="21" t="str">
        <f>_xlfn.CONCAT("ORD-",INDEX(Helper!$B$2:$B$5,MATCH(cadangan3[[#This Row],[Marketplace]],Helper!$A$2:$A$5,0)),TEXT(cadangan3[[#This Row],[No]],"0000"),"-",TEXT(cadangan3[[#This Row],[Tanggal terjual]],"dd/mm/yy"))</f>
        <v>ORD-TK0705-30/04/23</v>
      </c>
      <c r="C706" t="s">
        <v>61</v>
      </c>
      <c r="D706" t="str">
        <f>IFERROR(INDEX(Katalog!$A$3:$A$12,MATCH(cadangan3[[#This Row],[ItemID A]],Katalog!$C$3:$C$12,0)),"-")</f>
        <v>Pakaian Pria</v>
      </c>
      <c r="E706" t="str">
        <f>IFERROR(INDEX(Katalog!$B$3:$B$12,MATCH(cadangan3[[#This Row],[ItemID A]],Katalog!$C$3:$C$12,0)),"-")</f>
        <v>Kaos Polo</v>
      </c>
      <c r="F706">
        <v>2</v>
      </c>
      <c r="G706">
        <v>3</v>
      </c>
      <c r="H706" s="36">
        <f>IFERROR(INDEX(Katalog!$D$3:$D$12,MATCH(cadangan3[[#This Row],[ItemID A]],Katalog!$C$3:$C$12,0))*cadangan3[[#This Row],[Qty A]],0)</f>
        <v>400000</v>
      </c>
      <c r="I706" s="36">
        <f>IFERROR(INDEX(Katalog!$D$3:$D$12,MATCH(cadangan3[[#This Row],[Item A]],Katalog!$B$3:$B$12,0))*cadangan3[[#This Row],[Qty A]],0)</f>
        <v>400000</v>
      </c>
      <c r="J706" s="36">
        <f>IFERROR(cadangan3[[#This Row],[Harga Asli A]]-(cadangan3[[#This Row],[Harga Asli A]]*cadangan3[[#This Row],[Diskon]]),cadangan3[[#This Row],[Harga Asli A]])</f>
        <v>360000</v>
      </c>
      <c r="K706" s="36">
        <f>INDEX(Katalog!$F$3:$F$12,MATCH(cadangan3[[#This Row],[ItemID A]],Katalog!$C$3:$C$12,0))*cadangan3[[#This Row],[Qty A]]</f>
        <v>160000</v>
      </c>
      <c r="L706" s="36">
        <f>IFERROR(cadangan3[[#This Row],[Profit A]]-(cadangan3[[#This Row],[Profit A]]*cadangan3[[#This Row],[Diskon]]),K706)</f>
        <v>144000</v>
      </c>
      <c r="N706" t="str">
        <f>IFERROR(INDEX(Katalog!$A$3:$A$12,MATCH(cadangan3[[#This Row],[ItemID B]],Katalog!$C$3:$C$12,0)),"-")</f>
        <v>-</v>
      </c>
      <c r="O706" t="str">
        <f>IFERROR(INDEX(Katalog!$B$3:$B$12,MATCH(cadangan3[[#This Row],[ItemID B]],Katalog!$C$3:$C$12,0)),"-")</f>
        <v>-</v>
      </c>
      <c r="R706" s="36">
        <f>IFERROR(INDEX(Katalog!$D$3:$D$12,MATCH(cadangan3[[#This Row],[ItemID B]],Katalog!$C$3:$C$12,0))*cadangan3[[#This Row],[Qty B]],0)</f>
        <v>0</v>
      </c>
      <c r="S706" s="36">
        <f>IFERROR(INDEX(Katalog!$D$3:$D$12,MATCH(cadangan3[[#This Row],[Item B]],Katalog!$B$3:$B$12,0))*cadangan3[[#This Row],[Qty B]],0)</f>
        <v>0</v>
      </c>
      <c r="T706" s="36">
        <f>IFERROR(cadangan3[[#This Row],[Harga Asli B]]-(cadangan3[[#This Row],[Harga Asli B]]*cadangan3[[#This Row],[Diskon]]),cadangan3[[#This Row],[Harga Asli B]])</f>
        <v>0</v>
      </c>
      <c r="U706" s="36">
        <f>IFERROR(INDEX(Katalog!$F$3:$F$12,MATCH(cadangan3[[#This Row],[ItemID B]],Katalog!$C$3:$C$12,0))*cadangan3[[#This Row],[Qty B]],0)</f>
        <v>0</v>
      </c>
      <c r="V706" s="36">
        <f>IFERROR(cadangan3[[#This Row],[Profit B]]-(cadangan3[[#This Row],[Profit B]]*cadangan3[[#This Row],[Diskon]]),U706)</f>
        <v>0</v>
      </c>
      <c r="X706" t="str">
        <f>IFERROR(INDEX(Katalog!$A$3:$A$12,MATCH(cadangan3[[#This Row],[ItemID C]],Katalog!$C$3:$C$12,0)),"-")</f>
        <v>-</v>
      </c>
      <c r="Y706" t="str">
        <f>IFERROR(INDEX(Katalog!$B$3:$B$12,MATCH(cadangan3[[#This Row],[ItemID C]],Katalog!$C$3:$C$12,0)),"-")</f>
        <v>-</v>
      </c>
      <c r="AB706" s="36">
        <f>IFERROR(INDEX(Katalog!$D$3:$D$12,MATCH(cadangan3[[#This Row],[ItemID C]],Katalog!$C$3:$C$12,0))*cadangan3[[#This Row],[Qty C]],0)</f>
        <v>0</v>
      </c>
      <c r="AC706" s="36">
        <f>IFERROR(INDEX(Katalog!$D$3:$D$12,MATCH(cadangan3[[#This Row],[Item C]],Katalog!$B$3:$B$12,0))*cadangan3[[#This Row],[Qty C]],0)</f>
        <v>0</v>
      </c>
      <c r="AD706" s="36">
        <f>IFERROR(cadangan3[[#This Row],[Harga Asli C]]-(cadangan3[[#This Row],[Harga Asli C]]*cadangan3[[#This Row],[Diskon]]),cadangan3[[#This Row],[Harga Asli C]])</f>
        <v>0</v>
      </c>
      <c r="AE706" s="36">
        <f>IFERROR(INDEX(Katalog!$F$3:$F$12,MATCH(cadangan3[[#This Row],[ItemID C]],Katalog!$C$3:$C$12,0))*cadangan3[[#This Row],[Qty C]],0)</f>
        <v>0</v>
      </c>
      <c r="AF706" s="36">
        <f>IFERROR(cadangan3[[#This Row],[Profit C]]-(cadangan3[[#This Row],[Profit C]]*cadangan3[[#This Row],[Diskon]]),cadangan3[[#This Row],[Profit C]])</f>
        <v>0</v>
      </c>
      <c r="AG706" s="21">
        <f>cadangan3[[#This Row],[Qty A]]+cadangan3[[#This Row],[Qty B]]+cadangan3[[#This Row],[Qty C]]</f>
        <v>2</v>
      </c>
      <c r="AH706" s="35">
        <f>cadangan3[[#This Row],[Harga A + Diskon]]+cadangan3[[#This Row],[Harga + Diskon B]]+cadangan3[[#This Row],[Harga + Diskon C]]</f>
        <v>360000</v>
      </c>
      <c r="AI706" s="35">
        <f>(cadangan3[[#This Row],[Profit A]]+cadangan3[[#This Row],[Profit B]]+cadangan3[[#This Row],[Profit C]])</f>
        <v>160000</v>
      </c>
      <c r="AJ706" s="35">
        <f>cadangan3[[#This Row],[Provit A + Diskon]]+cadangan3[[#This Row],[Provit B + Diskon]]+cadangan3[[#This Row],[Provit C + Diskon]]</f>
        <v>144000</v>
      </c>
      <c r="AK706" s="23" t="s">
        <v>31</v>
      </c>
      <c r="AL706" s="37">
        <f>IFERROR(INDEX('Kode Diskon'!$D$3:$D$9,MATCH(cadangan3[[#This Row],[Kode diskon]],'Kode Diskon'!$C$3:$C$9,0)),"-")</f>
        <v>0.1</v>
      </c>
      <c r="AM706" s="23" t="s">
        <v>9</v>
      </c>
      <c r="AN706" s="23" t="s">
        <v>10</v>
      </c>
      <c r="AO706" s="23" t="s">
        <v>77</v>
      </c>
      <c r="AP706" s="24">
        <v>45046</v>
      </c>
      <c r="AQ706" s="23" t="str">
        <f>TEXT(cadangan3[[#This Row],[Tanggal terjual]],"dddd")</f>
        <v>Sunday</v>
      </c>
    </row>
    <row r="707" spans="1:43" x14ac:dyDescent="0.2">
      <c r="A707" s="20">
        <v>706</v>
      </c>
      <c r="B707" s="21" t="str">
        <f>_xlfn.CONCAT("ORD-",INDEX(Helper!$B$2:$B$5,MATCH(cadangan3[[#This Row],[Marketplace]],Helper!$A$2:$A$5,0)),TEXT(cadangan3[[#This Row],[No]],"0000"),"-",TEXT(cadangan3[[#This Row],[Tanggal terjual]],"dd/mm/yy"))</f>
        <v>ORD-TK0706-02/04/23</v>
      </c>
      <c r="C707" t="s">
        <v>63</v>
      </c>
      <c r="D707" t="str">
        <f>IFERROR(INDEX(Katalog!$A$3:$A$12,MATCH(cadangan3[[#This Row],[ItemID A]],Katalog!$C$3:$C$12,0)),"-")</f>
        <v>Pakaian Pria</v>
      </c>
      <c r="E707" t="str">
        <f>IFERROR(INDEX(Katalog!$B$3:$B$12,MATCH(cadangan3[[#This Row],[ItemID A]],Katalog!$C$3:$C$12,0)),"-")</f>
        <v>Jaket Jeans</v>
      </c>
      <c r="F707">
        <v>2</v>
      </c>
      <c r="G707">
        <v>2</v>
      </c>
      <c r="H707" s="36">
        <f>IFERROR(INDEX(Katalog!$D$3:$D$12,MATCH(cadangan3[[#This Row],[ItemID A]],Katalog!$C$3:$C$12,0))*cadangan3[[#This Row],[Qty A]],0)</f>
        <v>800000</v>
      </c>
      <c r="I707" s="36">
        <f>IFERROR(INDEX(Katalog!$D$3:$D$12,MATCH(cadangan3[[#This Row],[Item A]],Katalog!$B$3:$B$12,0))*cadangan3[[#This Row],[Qty A]],0)</f>
        <v>800000</v>
      </c>
      <c r="J707" s="36">
        <f>IFERROR(cadangan3[[#This Row],[Harga Asli A]]-(cadangan3[[#This Row],[Harga Asli A]]*cadangan3[[#This Row],[Diskon]]),cadangan3[[#This Row],[Harga Asli A]])</f>
        <v>720000</v>
      </c>
      <c r="K707" s="36">
        <f>INDEX(Katalog!$F$3:$F$12,MATCH(cadangan3[[#This Row],[ItemID A]],Katalog!$C$3:$C$12,0))*cadangan3[[#This Row],[Qty A]]</f>
        <v>300000</v>
      </c>
      <c r="L707" s="36">
        <f>IFERROR(cadangan3[[#This Row],[Profit A]]-(cadangan3[[#This Row],[Profit A]]*cadangan3[[#This Row],[Diskon]]),K707)</f>
        <v>270000</v>
      </c>
      <c r="M707" t="s">
        <v>58</v>
      </c>
      <c r="N707" t="str">
        <f>IFERROR(INDEX(Katalog!$A$3:$A$12,MATCH(cadangan3[[#This Row],[ItemID B]],Katalog!$C$3:$C$12,0)),"-")</f>
        <v>Pakaian Wanita</v>
      </c>
      <c r="O707" t="str">
        <f>IFERROR(INDEX(Katalog!$B$3:$B$12,MATCH(cadangan3[[#This Row],[ItemID B]],Katalog!$C$3:$C$12,0)),"-")</f>
        <v>Dress</v>
      </c>
      <c r="P707">
        <v>4</v>
      </c>
      <c r="Q707">
        <v>5</v>
      </c>
      <c r="R707" s="36">
        <f>IFERROR(INDEX(Katalog!$D$3:$D$12,MATCH(cadangan3[[#This Row],[ItemID B]],Katalog!$C$3:$C$12,0))*cadangan3[[#This Row],[Qty B]],0)</f>
        <v>1200000</v>
      </c>
      <c r="S707" s="36">
        <f>IFERROR(INDEX(Katalog!$D$3:$D$12,MATCH(cadangan3[[#This Row],[Item B]],Katalog!$B$3:$B$12,0))*cadangan3[[#This Row],[Qty B]],0)</f>
        <v>1200000</v>
      </c>
      <c r="T707" s="36">
        <f>IFERROR(cadangan3[[#This Row],[Harga Asli B]]-(cadangan3[[#This Row],[Harga Asli B]]*cadangan3[[#This Row],[Diskon]]),cadangan3[[#This Row],[Harga Asli B]])</f>
        <v>1080000</v>
      </c>
      <c r="U707" s="36">
        <f>IFERROR(INDEX(Katalog!$F$3:$F$12,MATCH(cadangan3[[#This Row],[ItemID B]],Katalog!$C$3:$C$12,0))*cadangan3[[#This Row],[Qty B]],0)</f>
        <v>400000</v>
      </c>
      <c r="V707" s="36">
        <f>IFERROR(cadangan3[[#This Row],[Profit B]]-(cadangan3[[#This Row],[Profit B]]*cadangan3[[#This Row],[Diskon]]),U707)</f>
        <v>360000</v>
      </c>
      <c r="X707" t="str">
        <f>IFERROR(INDEX(Katalog!$A$3:$A$12,MATCH(cadangan3[[#This Row],[ItemID C]],Katalog!$C$3:$C$12,0)),"-")</f>
        <v>-</v>
      </c>
      <c r="Y707" t="str">
        <f>IFERROR(INDEX(Katalog!$B$3:$B$12,MATCH(cadangan3[[#This Row],[ItemID C]],Katalog!$C$3:$C$12,0)),"-")</f>
        <v>-</v>
      </c>
      <c r="AB707" s="36">
        <f>IFERROR(INDEX(Katalog!$D$3:$D$12,MATCH(cadangan3[[#This Row],[ItemID C]],Katalog!$C$3:$C$12,0))*cadangan3[[#This Row],[Qty C]],0)</f>
        <v>0</v>
      </c>
      <c r="AC707" s="36">
        <f>IFERROR(INDEX(Katalog!$D$3:$D$12,MATCH(cadangan3[[#This Row],[Item C]],Katalog!$B$3:$B$12,0))*cadangan3[[#This Row],[Qty C]],0)</f>
        <v>0</v>
      </c>
      <c r="AD707" s="36">
        <f>IFERROR(cadangan3[[#This Row],[Harga Asli C]]-(cadangan3[[#This Row],[Harga Asli C]]*cadangan3[[#This Row],[Diskon]]),cadangan3[[#This Row],[Harga Asli C]])</f>
        <v>0</v>
      </c>
      <c r="AE707" s="36">
        <f>IFERROR(INDEX(Katalog!$F$3:$F$12,MATCH(cadangan3[[#This Row],[ItemID C]],Katalog!$C$3:$C$12,0))*cadangan3[[#This Row],[Qty C]],0)</f>
        <v>0</v>
      </c>
      <c r="AF707" s="36">
        <f>IFERROR(cadangan3[[#This Row],[Profit C]]-(cadangan3[[#This Row],[Profit C]]*cadangan3[[#This Row],[Diskon]]),cadangan3[[#This Row],[Profit C]])</f>
        <v>0</v>
      </c>
      <c r="AG707" s="21">
        <f>cadangan3[[#This Row],[Qty A]]+cadangan3[[#This Row],[Qty B]]+cadangan3[[#This Row],[Qty C]]</f>
        <v>6</v>
      </c>
      <c r="AH707" s="35">
        <f>cadangan3[[#This Row],[Harga A + Diskon]]+cadangan3[[#This Row],[Harga + Diskon B]]+cadangan3[[#This Row],[Harga + Diskon C]]</f>
        <v>1800000</v>
      </c>
      <c r="AI707" s="35">
        <f>(cadangan3[[#This Row],[Profit A]]+cadangan3[[#This Row],[Profit B]]+cadangan3[[#This Row],[Profit C]])</f>
        <v>700000</v>
      </c>
      <c r="AJ707" s="35">
        <f>cadangan3[[#This Row],[Provit A + Diskon]]+cadangan3[[#This Row],[Provit B + Diskon]]+cadangan3[[#This Row],[Provit C + Diskon]]</f>
        <v>630000</v>
      </c>
      <c r="AK707" s="23" t="s">
        <v>30</v>
      </c>
      <c r="AL707" s="37">
        <f>IFERROR(INDEX('Kode Diskon'!$D$3:$D$9,MATCH(cadangan3[[#This Row],[Kode diskon]],'Kode Diskon'!$C$3:$C$9,0)),"-")</f>
        <v>0.1</v>
      </c>
      <c r="AM707" s="23" t="s">
        <v>29</v>
      </c>
      <c r="AN707" s="23" t="s">
        <v>10</v>
      </c>
      <c r="AO707" s="23" t="s">
        <v>79</v>
      </c>
      <c r="AP707" s="24">
        <v>45018</v>
      </c>
      <c r="AQ707" s="23" t="str">
        <f>TEXT(cadangan3[[#This Row],[Tanggal terjual]],"dddd")</f>
        <v>Sunday</v>
      </c>
    </row>
    <row r="708" spans="1:43" x14ac:dyDescent="0.2">
      <c r="A708" s="20">
        <v>707</v>
      </c>
      <c r="B708" s="21" t="str">
        <f>_xlfn.CONCAT("ORD-",INDEX(Helper!$B$2:$B$5,MATCH(cadangan3[[#This Row],[Marketplace]],Helper!$A$2:$A$5,0)),TEXT(cadangan3[[#This Row],[No]],"0000"),"-",TEXT(cadangan3[[#This Row],[Tanggal terjual]],"dd/mm/yy"))</f>
        <v>ORD-SP0707-06/04/23</v>
      </c>
      <c r="C708" t="s">
        <v>59</v>
      </c>
      <c r="D708" t="str">
        <f>IFERROR(INDEX(Katalog!$A$3:$A$12,MATCH(cadangan3[[#This Row],[ItemID A]],Katalog!$C$3:$C$12,0)),"-")</f>
        <v>Pakaian Wanita</v>
      </c>
      <c r="E708" t="str">
        <f>IFERROR(INDEX(Katalog!$B$3:$B$12,MATCH(cadangan3[[#This Row],[ItemID A]],Katalog!$C$3:$C$12,0)),"-")</f>
        <v>Blouse</v>
      </c>
      <c r="F708">
        <v>4</v>
      </c>
      <c r="G708">
        <v>3</v>
      </c>
      <c r="H708" s="36">
        <f>IFERROR(INDEX(Katalog!$D$3:$D$12,MATCH(cadangan3[[#This Row],[ItemID A]],Katalog!$C$3:$C$12,0))*cadangan3[[#This Row],[Qty A]],0)</f>
        <v>600000</v>
      </c>
      <c r="I708" s="36">
        <f>IFERROR(INDEX(Katalog!$D$3:$D$12,MATCH(cadangan3[[#This Row],[Item A]],Katalog!$B$3:$B$12,0))*cadangan3[[#This Row],[Qty A]],0)</f>
        <v>600000</v>
      </c>
      <c r="J708" s="36">
        <f>IFERROR(cadangan3[[#This Row],[Harga Asli A]]-(cadangan3[[#This Row],[Harga Asli A]]*cadangan3[[#This Row],[Diskon]]),cadangan3[[#This Row],[Harga Asli A]])</f>
        <v>540000</v>
      </c>
      <c r="K708" s="36">
        <f>INDEX(Katalog!$F$3:$F$12,MATCH(cadangan3[[#This Row],[ItemID A]],Katalog!$C$3:$C$12,0))*cadangan3[[#This Row],[Qty A]]</f>
        <v>200000</v>
      </c>
      <c r="L708" s="36">
        <f>IFERROR(cadangan3[[#This Row],[Profit A]]-(cadangan3[[#This Row],[Profit A]]*cadangan3[[#This Row],[Diskon]]),K708)</f>
        <v>180000</v>
      </c>
      <c r="N708" t="str">
        <f>IFERROR(INDEX(Katalog!$A$3:$A$12,MATCH(cadangan3[[#This Row],[ItemID B]],Katalog!$C$3:$C$12,0)),"-")</f>
        <v>-</v>
      </c>
      <c r="O708" t="str">
        <f>IFERROR(INDEX(Katalog!$B$3:$B$12,MATCH(cadangan3[[#This Row],[ItemID B]],Katalog!$C$3:$C$12,0)),"-")</f>
        <v>-</v>
      </c>
      <c r="R708" s="36">
        <f>IFERROR(INDEX(Katalog!$D$3:$D$12,MATCH(cadangan3[[#This Row],[ItemID B]],Katalog!$C$3:$C$12,0))*cadangan3[[#This Row],[Qty B]],0)</f>
        <v>0</v>
      </c>
      <c r="S708" s="36">
        <f>IFERROR(INDEX(Katalog!$D$3:$D$12,MATCH(cadangan3[[#This Row],[Item B]],Katalog!$B$3:$B$12,0))*cadangan3[[#This Row],[Qty B]],0)</f>
        <v>0</v>
      </c>
      <c r="T708" s="36">
        <f>IFERROR(cadangan3[[#This Row],[Harga Asli B]]-(cadangan3[[#This Row],[Harga Asli B]]*cadangan3[[#This Row],[Diskon]]),cadangan3[[#This Row],[Harga Asli B]])</f>
        <v>0</v>
      </c>
      <c r="U708" s="36">
        <f>IFERROR(INDEX(Katalog!$F$3:$F$12,MATCH(cadangan3[[#This Row],[ItemID B]],Katalog!$C$3:$C$12,0))*cadangan3[[#This Row],[Qty B]],0)</f>
        <v>0</v>
      </c>
      <c r="V708" s="36">
        <f>IFERROR(cadangan3[[#This Row],[Profit B]]-(cadangan3[[#This Row],[Profit B]]*cadangan3[[#This Row],[Diskon]]),U708)</f>
        <v>0</v>
      </c>
      <c r="X708" t="str">
        <f>IFERROR(INDEX(Katalog!$A$3:$A$12,MATCH(cadangan3[[#This Row],[ItemID C]],Katalog!$C$3:$C$12,0)),"-")</f>
        <v>-</v>
      </c>
      <c r="Y708" t="str">
        <f>IFERROR(INDEX(Katalog!$B$3:$B$12,MATCH(cadangan3[[#This Row],[ItemID C]],Katalog!$C$3:$C$12,0)),"-")</f>
        <v>-</v>
      </c>
      <c r="AB708" s="36">
        <f>IFERROR(INDEX(Katalog!$D$3:$D$12,MATCH(cadangan3[[#This Row],[ItemID C]],Katalog!$C$3:$C$12,0))*cadangan3[[#This Row],[Qty C]],0)</f>
        <v>0</v>
      </c>
      <c r="AC708" s="36">
        <f>IFERROR(INDEX(Katalog!$D$3:$D$12,MATCH(cadangan3[[#This Row],[Item C]],Katalog!$B$3:$B$12,0))*cadangan3[[#This Row],[Qty C]],0)</f>
        <v>0</v>
      </c>
      <c r="AD708" s="36">
        <f>IFERROR(cadangan3[[#This Row],[Harga Asli C]]-(cadangan3[[#This Row],[Harga Asli C]]*cadangan3[[#This Row],[Diskon]]),cadangan3[[#This Row],[Harga Asli C]])</f>
        <v>0</v>
      </c>
      <c r="AE708" s="36">
        <f>IFERROR(INDEX(Katalog!$F$3:$F$12,MATCH(cadangan3[[#This Row],[ItemID C]],Katalog!$C$3:$C$12,0))*cadangan3[[#This Row],[Qty C]],0)</f>
        <v>0</v>
      </c>
      <c r="AF708" s="36">
        <f>IFERROR(cadangan3[[#This Row],[Profit C]]-(cadangan3[[#This Row],[Profit C]]*cadangan3[[#This Row],[Diskon]]),cadangan3[[#This Row],[Profit C]])</f>
        <v>0</v>
      </c>
      <c r="AG708" s="21">
        <f>cadangan3[[#This Row],[Qty A]]+cadangan3[[#This Row],[Qty B]]+cadangan3[[#This Row],[Qty C]]</f>
        <v>4</v>
      </c>
      <c r="AH708" s="35">
        <f>cadangan3[[#This Row],[Harga A + Diskon]]+cadangan3[[#This Row],[Harga + Diskon B]]+cadangan3[[#This Row],[Harga + Diskon C]]</f>
        <v>540000</v>
      </c>
      <c r="AI708" s="35">
        <f>(cadangan3[[#This Row],[Profit A]]+cadangan3[[#This Row],[Profit B]]+cadangan3[[#This Row],[Profit C]])</f>
        <v>200000</v>
      </c>
      <c r="AJ708" s="35">
        <f>cadangan3[[#This Row],[Provit A + Diskon]]+cadangan3[[#This Row],[Provit B + Diskon]]+cadangan3[[#This Row],[Provit C + Diskon]]</f>
        <v>180000</v>
      </c>
      <c r="AK708" s="23" t="s">
        <v>6</v>
      </c>
      <c r="AL708" s="37">
        <f>IFERROR(INDEX('Kode Diskon'!$D$3:$D$9,MATCH(cadangan3[[#This Row],[Kode diskon]],'Kode Diskon'!$C$3:$C$9,0)),"-")</f>
        <v>0.1</v>
      </c>
      <c r="AM708" s="23" t="s">
        <v>29</v>
      </c>
      <c r="AN708" s="23" t="s">
        <v>7</v>
      </c>
      <c r="AO708" s="23" t="s">
        <v>79</v>
      </c>
      <c r="AP708" s="24">
        <v>45022</v>
      </c>
      <c r="AQ708" s="23" t="str">
        <f>TEXT(cadangan3[[#This Row],[Tanggal terjual]],"dddd")</f>
        <v>Thursday</v>
      </c>
    </row>
    <row r="709" spans="1:43" x14ac:dyDescent="0.2">
      <c r="A709" s="20">
        <v>708</v>
      </c>
      <c r="B709" s="21" t="str">
        <f>_xlfn.CONCAT("ORD-",INDEX(Helper!$B$2:$B$5,MATCH(cadangan3[[#This Row],[Marketplace]],Helper!$A$2:$A$5,0)),TEXT(cadangan3[[#This Row],[No]],"0000"),"-",TEXT(cadangan3[[#This Row],[Tanggal terjual]],"dd/mm/yy"))</f>
        <v>ORD-SP0708-05/04/23</v>
      </c>
      <c r="C709" t="s">
        <v>67</v>
      </c>
      <c r="D709" t="str">
        <f>IFERROR(INDEX(Katalog!$A$3:$A$12,MATCH(cadangan3[[#This Row],[ItemID A]],Katalog!$C$3:$C$12,0)),"-")</f>
        <v>Sepatu Wanita</v>
      </c>
      <c r="E709" t="str">
        <f>IFERROR(INDEX(Katalog!$B$3:$B$12,MATCH(cadangan3[[#This Row],[ItemID A]],Katalog!$C$3:$C$12,0)),"-")</f>
        <v>Flat Shoes</v>
      </c>
      <c r="F709">
        <v>2</v>
      </c>
      <c r="G709">
        <v>4</v>
      </c>
      <c r="H709" s="36">
        <f>IFERROR(INDEX(Katalog!$D$3:$D$12,MATCH(cadangan3[[#This Row],[ItemID A]],Katalog!$C$3:$C$12,0))*cadangan3[[#This Row],[Qty A]],0)</f>
        <v>500000</v>
      </c>
      <c r="I709" s="36">
        <f>IFERROR(INDEX(Katalog!$D$3:$D$12,MATCH(cadangan3[[#This Row],[Item A]],Katalog!$B$3:$B$12,0))*cadangan3[[#This Row],[Qty A]],0)</f>
        <v>500000</v>
      </c>
      <c r="J709" s="36">
        <f>IFERROR(cadangan3[[#This Row],[Harga Asli A]]-(cadangan3[[#This Row],[Harga Asli A]]*cadangan3[[#This Row],[Diskon]]),cadangan3[[#This Row],[Harga Asli A]])</f>
        <v>450000</v>
      </c>
      <c r="K709" s="36">
        <f>INDEX(Katalog!$F$3:$F$12,MATCH(cadangan3[[#This Row],[ItemID A]],Katalog!$C$3:$C$12,0))*cadangan3[[#This Row],[Qty A]]</f>
        <v>200000</v>
      </c>
      <c r="L709" s="36">
        <f>IFERROR(cadangan3[[#This Row],[Profit A]]-(cadangan3[[#This Row],[Profit A]]*cadangan3[[#This Row],[Diskon]]),K709)</f>
        <v>180000</v>
      </c>
      <c r="M709" t="s">
        <v>63</v>
      </c>
      <c r="N709" t="str">
        <f>IFERROR(INDEX(Katalog!$A$3:$A$12,MATCH(cadangan3[[#This Row],[ItemID B]],Katalog!$C$3:$C$12,0)),"-")</f>
        <v>Pakaian Pria</v>
      </c>
      <c r="O709" t="str">
        <f>IFERROR(INDEX(Katalog!$B$3:$B$12,MATCH(cadangan3[[#This Row],[ItemID B]],Katalog!$C$3:$C$12,0)),"-")</f>
        <v>Jaket Jeans</v>
      </c>
      <c r="P709">
        <v>3</v>
      </c>
      <c r="Q709">
        <v>4</v>
      </c>
      <c r="R709" s="36">
        <f>IFERROR(INDEX(Katalog!$D$3:$D$12,MATCH(cadangan3[[#This Row],[ItemID B]],Katalog!$C$3:$C$12,0))*cadangan3[[#This Row],[Qty B]],0)</f>
        <v>1200000</v>
      </c>
      <c r="S709" s="36">
        <f>IFERROR(INDEX(Katalog!$D$3:$D$12,MATCH(cadangan3[[#This Row],[Item B]],Katalog!$B$3:$B$12,0))*cadangan3[[#This Row],[Qty B]],0)</f>
        <v>1200000</v>
      </c>
      <c r="T709" s="36">
        <f>IFERROR(cadangan3[[#This Row],[Harga Asli B]]-(cadangan3[[#This Row],[Harga Asli B]]*cadangan3[[#This Row],[Diskon]]),cadangan3[[#This Row],[Harga Asli B]])</f>
        <v>1080000</v>
      </c>
      <c r="U709" s="36">
        <f>IFERROR(INDEX(Katalog!$F$3:$F$12,MATCH(cadangan3[[#This Row],[ItemID B]],Katalog!$C$3:$C$12,0))*cadangan3[[#This Row],[Qty B]],0)</f>
        <v>450000</v>
      </c>
      <c r="V709" s="36">
        <f>IFERROR(cadangan3[[#This Row],[Profit B]]-(cadangan3[[#This Row],[Profit B]]*cadangan3[[#This Row],[Diskon]]),U709)</f>
        <v>405000</v>
      </c>
      <c r="W709" t="s">
        <v>67</v>
      </c>
      <c r="X709" t="str">
        <f>IFERROR(INDEX(Katalog!$A$3:$A$12,MATCH(cadangan3[[#This Row],[ItemID C]],Katalog!$C$3:$C$12,0)),"-")</f>
        <v>Sepatu Wanita</v>
      </c>
      <c r="Y709" t="str">
        <f>IFERROR(INDEX(Katalog!$B$3:$B$12,MATCH(cadangan3[[#This Row],[ItemID C]],Katalog!$C$3:$C$12,0)),"-")</f>
        <v>Flat Shoes</v>
      </c>
      <c r="Z709">
        <v>2</v>
      </c>
      <c r="AA709">
        <v>3</v>
      </c>
      <c r="AB709" s="36">
        <f>IFERROR(INDEX(Katalog!$D$3:$D$12,MATCH(cadangan3[[#This Row],[ItemID C]],Katalog!$C$3:$C$12,0))*cadangan3[[#This Row],[Qty C]],0)</f>
        <v>500000</v>
      </c>
      <c r="AC709" s="36">
        <f>IFERROR(INDEX(Katalog!$D$3:$D$12,MATCH(cadangan3[[#This Row],[Item C]],Katalog!$B$3:$B$12,0))*cadangan3[[#This Row],[Qty C]],0)</f>
        <v>500000</v>
      </c>
      <c r="AD709" s="36">
        <f>IFERROR(cadangan3[[#This Row],[Harga Asli C]]-(cadangan3[[#This Row],[Harga Asli C]]*cadangan3[[#This Row],[Diskon]]),cadangan3[[#This Row],[Harga Asli C]])</f>
        <v>450000</v>
      </c>
      <c r="AE709" s="36">
        <f>IFERROR(INDEX(Katalog!$F$3:$F$12,MATCH(cadangan3[[#This Row],[ItemID C]],Katalog!$C$3:$C$12,0))*cadangan3[[#This Row],[Qty C]],0)</f>
        <v>200000</v>
      </c>
      <c r="AF709" s="36">
        <f>IFERROR(cadangan3[[#This Row],[Profit C]]-(cadangan3[[#This Row],[Profit C]]*cadangan3[[#This Row],[Diskon]]),cadangan3[[#This Row],[Profit C]])</f>
        <v>180000</v>
      </c>
      <c r="AG709" s="21">
        <f>cadangan3[[#This Row],[Qty A]]+cadangan3[[#This Row],[Qty B]]+cadangan3[[#This Row],[Qty C]]</f>
        <v>7</v>
      </c>
      <c r="AH709" s="35">
        <f>cadangan3[[#This Row],[Harga A + Diskon]]+cadangan3[[#This Row],[Harga + Diskon B]]+cadangan3[[#This Row],[Harga + Diskon C]]</f>
        <v>1980000</v>
      </c>
      <c r="AI709" s="35">
        <f>(cadangan3[[#This Row],[Profit A]]+cadangan3[[#This Row],[Profit B]]+cadangan3[[#This Row],[Profit C]])</f>
        <v>850000</v>
      </c>
      <c r="AJ709" s="35">
        <f>cadangan3[[#This Row],[Provit A + Diskon]]+cadangan3[[#This Row],[Provit B + Diskon]]+cadangan3[[#This Row],[Provit C + Diskon]]</f>
        <v>765000</v>
      </c>
      <c r="AK709" s="23" t="s">
        <v>6</v>
      </c>
      <c r="AL709" s="37">
        <f>IFERROR(INDEX('Kode Diskon'!$D$3:$D$9,MATCH(cadangan3[[#This Row],[Kode diskon]],'Kode Diskon'!$C$3:$C$9,0)),"-")</f>
        <v>0.1</v>
      </c>
      <c r="AM709" s="23" t="s">
        <v>29</v>
      </c>
      <c r="AN709" s="23" t="s">
        <v>7</v>
      </c>
      <c r="AO709" s="23" t="s">
        <v>79</v>
      </c>
      <c r="AP709" s="24">
        <v>45021</v>
      </c>
      <c r="AQ709" s="23" t="str">
        <f>TEXT(cadangan3[[#This Row],[Tanggal terjual]],"dddd")</f>
        <v>Wednesday</v>
      </c>
    </row>
    <row r="710" spans="1:43" x14ac:dyDescent="0.2">
      <c r="A710" s="20">
        <v>709</v>
      </c>
      <c r="B710" s="21" t="str">
        <f>_xlfn.CONCAT("ORD-",INDEX(Helper!$B$2:$B$5,MATCH(cadangan3[[#This Row],[Marketplace]],Helper!$A$2:$A$5,0)),TEXT(cadangan3[[#This Row],[No]],"0000"),"-",TEXT(cadangan3[[#This Row],[Tanggal terjual]],"dd/mm/yy"))</f>
        <v>ORD-BB0709-06/04/23</v>
      </c>
      <c r="C710" t="s">
        <v>66</v>
      </c>
      <c r="D710" t="str">
        <f>IFERROR(INDEX(Katalog!$A$3:$A$12,MATCH(cadangan3[[#This Row],[ItemID A]],Katalog!$C$3:$C$12,0)),"-")</f>
        <v>Sepatu Pria</v>
      </c>
      <c r="E710" t="str">
        <f>IFERROR(INDEX(Katalog!$B$3:$B$12,MATCH(cadangan3[[#This Row],[ItemID A]],Katalog!$C$3:$C$12,0)),"-")</f>
        <v>Sandal Slip On</v>
      </c>
      <c r="F710">
        <v>1</v>
      </c>
      <c r="G710">
        <v>2</v>
      </c>
      <c r="H710" s="36">
        <f>IFERROR(INDEX(Katalog!$D$3:$D$12,MATCH(cadangan3[[#This Row],[ItemID A]],Katalog!$C$3:$C$12,0))*cadangan3[[#This Row],[Qty A]],0)</f>
        <v>150000</v>
      </c>
      <c r="I710" s="36">
        <f>IFERROR(INDEX(Katalog!$D$3:$D$12,MATCH(cadangan3[[#This Row],[Item A]],Katalog!$B$3:$B$12,0))*cadangan3[[#This Row],[Qty A]],0)</f>
        <v>150000</v>
      </c>
      <c r="J710" s="36">
        <f>IFERROR(cadangan3[[#This Row],[Harga Asli A]]-(cadangan3[[#This Row],[Harga Asli A]]*cadangan3[[#This Row],[Diskon]]),cadangan3[[#This Row],[Harga Asli A]])</f>
        <v>127500</v>
      </c>
      <c r="K710" s="36">
        <f>INDEX(Katalog!$F$3:$F$12,MATCH(cadangan3[[#This Row],[ItemID A]],Katalog!$C$3:$C$12,0))*cadangan3[[#This Row],[Qty A]]</f>
        <v>60000</v>
      </c>
      <c r="L710" s="36">
        <f>IFERROR(cadangan3[[#This Row],[Profit A]]-(cadangan3[[#This Row],[Profit A]]*cadangan3[[#This Row],[Diskon]]),K710)</f>
        <v>51000</v>
      </c>
      <c r="M710" t="s">
        <v>60</v>
      </c>
      <c r="N710" t="str">
        <f>IFERROR(INDEX(Katalog!$A$3:$A$12,MATCH(cadangan3[[#This Row],[ItemID B]],Katalog!$C$3:$C$12,0)),"-")</f>
        <v>Pakaian Wanita</v>
      </c>
      <c r="O710" t="str">
        <f>IFERROR(INDEX(Katalog!$B$3:$B$12,MATCH(cadangan3[[#This Row],[ItemID B]],Katalog!$C$3:$C$12,0)),"-")</f>
        <v>Kaftan</v>
      </c>
      <c r="P710">
        <v>1</v>
      </c>
      <c r="Q710">
        <v>5</v>
      </c>
      <c r="R710" s="36">
        <f>IFERROR(INDEX(Katalog!$D$3:$D$12,MATCH(cadangan3[[#This Row],[ItemID B]],Katalog!$C$3:$C$12,0))*cadangan3[[#This Row],[Qty B]],0)</f>
        <v>250000</v>
      </c>
      <c r="S710" s="36">
        <f>IFERROR(INDEX(Katalog!$D$3:$D$12,MATCH(cadangan3[[#This Row],[Item B]],Katalog!$B$3:$B$12,0))*cadangan3[[#This Row],[Qty B]],0)</f>
        <v>250000</v>
      </c>
      <c r="T710" s="36">
        <f>IFERROR(cadangan3[[#This Row],[Harga Asli B]]-(cadangan3[[#This Row],[Harga Asli B]]*cadangan3[[#This Row],[Diskon]]),cadangan3[[#This Row],[Harga Asli B]])</f>
        <v>212500</v>
      </c>
      <c r="U710" s="36">
        <f>IFERROR(INDEX(Katalog!$F$3:$F$12,MATCH(cadangan3[[#This Row],[ItemID B]],Katalog!$C$3:$C$12,0))*cadangan3[[#This Row],[Qty B]],0)</f>
        <v>100000</v>
      </c>
      <c r="V710" s="36">
        <f>IFERROR(cadangan3[[#This Row],[Profit B]]-(cadangan3[[#This Row],[Profit B]]*cadangan3[[#This Row],[Diskon]]),U710)</f>
        <v>85000</v>
      </c>
      <c r="X710" t="str">
        <f>IFERROR(INDEX(Katalog!$A$3:$A$12,MATCH(cadangan3[[#This Row],[ItemID C]],Katalog!$C$3:$C$12,0)),"-")</f>
        <v>-</v>
      </c>
      <c r="Y710" t="str">
        <f>IFERROR(INDEX(Katalog!$B$3:$B$12,MATCH(cadangan3[[#This Row],[ItemID C]],Katalog!$C$3:$C$12,0)),"-")</f>
        <v>-</v>
      </c>
      <c r="AB710" s="36">
        <f>IFERROR(INDEX(Katalog!$D$3:$D$12,MATCH(cadangan3[[#This Row],[ItemID C]],Katalog!$C$3:$C$12,0))*cadangan3[[#This Row],[Qty C]],0)</f>
        <v>0</v>
      </c>
      <c r="AC710" s="36">
        <f>IFERROR(INDEX(Katalog!$D$3:$D$12,MATCH(cadangan3[[#This Row],[Item C]],Katalog!$B$3:$B$12,0))*cadangan3[[#This Row],[Qty C]],0)</f>
        <v>0</v>
      </c>
      <c r="AD710" s="36">
        <f>IFERROR(cadangan3[[#This Row],[Harga Asli C]]-(cadangan3[[#This Row],[Harga Asli C]]*cadangan3[[#This Row],[Diskon]]),cadangan3[[#This Row],[Harga Asli C]])</f>
        <v>0</v>
      </c>
      <c r="AE710" s="36">
        <f>IFERROR(INDEX(Katalog!$F$3:$F$12,MATCH(cadangan3[[#This Row],[ItemID C]],Katalog!$C$3:$C$12,0))*cadangan3[[#This Row],[Qty C]],0)</f>
        <v>0</v>
      </c>
      <c r="AF710" s="36">
        <f>IFERROR(cadangan3[[#This Row],[Profit C]]-(cadangan3[[#This Row],[Profit C]]*cadangan3[[#This Row],[Diskon]]),cadangan3[[#This Row],[Profit C]])</f>
        <v>0</v>
      </c>
      <c r="AG710" s="21">
        <f>cadangan3[[#This Row],[Qty A]]+cadangan3[[#This Row],[Qty B]]+cadangan3[[#This Row],[Qty C]]</f>
        <v>2</v>
      </c>
      <c r="AH710" s="35">
        <f>cadangan3[[#This Row],[Harga A + Diskon]]+cadangan3[[#This Row],[Harga + Diskon B]]+cadangan3[[#This Row],[Harga + Diskon C]]</f>
        <v>340000</v>
      </c>
      <c r="AI710" s="35">
        <f>(cadangan3[[#This Row],[Profit A]]+cadangan3[[#This Row],[Profit B]]+cadangan3[[#This Row],[Profit C]])</f>
        <v>160000</v>
      </c>
      <c r="AJ710" s="35">
        <f>cadangan3[[#This Row],[Provit A + Diskon]]+cadangan3[[#This Row],[Provit B + Diskon]]+cadangan3[[#This Row],[Provit C + Diskon]]</f>
        <v>136000</v>
      </c>
      <c r="AK710" s="23" t="s">
        <v>28</v>
      </c>
      <c r="AL710" s="37">
        <f>IFERROR(INDEX('Kode Diskon'!$D$3:$D$9,MATCH(cadangan3[[#This Row],[Kode diskon]],'Kode Diskon'!$C$3:$C$9,0)),"-")</f>
        <v>0.15</v>
      </c>
      <c r="AM710" s="23" t="s">
        <v>29</v>
      </c>
      <c r="AN710" s="23" t="s">
        <v>14</v>
      </c>
      <c r="AO710" s="23" t="s">
        <v>80</v>
      </c>
      <c r="AP710" s="24">
        <v>45022</v>
      </c>
      <c r="AQ710" s="23" t="str">
        <f>TEXT(cadangan3[[#This Row],[Tanggal terjual]],"dddd")</f>
        <v>Thursday</v>
      </c>
    </row>
    <row r="711" spans="1:43" x14ac:dyDescent="0.2">
      <c r="A711" s="20">
        <v>710</v>
      </c>
      <c r="B711" s="21" t="str">
        <f>_xlfn.CONCAT("ORD-",INDEX(Helper!$B$2:$B$5,MATCH(cadangan3[[#This Row],[Marketplace]],Helper!$A$2:$A$5,0)),TEXT(cadangan3[[#This Row],[No]],"0000"),"-",TEXT(cadangan3[[#This Row],[Tanggal terjual]],"dd/mm/yy"))</f>
        <v>ORD-SP0710-19/04/23</v>
      </c>
      <c r="C711" t="s">
        <v>63</v>
      </c>
      <c r="D711" t="str">
        <f>IFERROR(INDEX(Katalog!$A$3:$A$12,MATCH(cadangan3[[#This Row],[ItemID A]],Katalog!$C$3:$C$12,0)),"-")</f>
        <v>Pakaian Pria</v>
      </c>
      <c r="E711" t="str">
        <f>IFERROR(INDEX(Katalog!$B$3:$B$12,MATCH(cadangan3[[#This Row],[ItemID A]],Katalog!$C$3:$C$12,0)),"-")</f>
        <v>Jaket Jeans</v>
      </c>
      <c r="F711">
        <v>2</v>
      </c>
      <c r="G711">
        <v>4</v>
      </c>
      <c r="H711" s="36">
        <f>IFERROR(INDEX(Katalog!$D$3:$D$12,MATCH(cadangan3[[#This Row],[ItemID A]],Katalog!$C$3:$C$12,0))*cadangan3[[#This Row],[Qty A]],0)</f>
        <v>800000</v>
      </c>
      <c r="I711" s="36">
        <f>IFERROR(INDEX(Katalog!$D$3:$D$12,MATCH(cadangan3[[#This Row],[Item A]],Katalog!$B$3:$B$12,0))*cadangan3[[#This Row],[Qty A]],0)</f>
        <v>800000</v>
      </c>
      <c r="J711" s="36">
        <f>IFERROR(cadangan3[[#This Row],[Harga Asli A]]-(cadangan3[[#This Row],[Harga Asli A]]*cadangan3[[#This Row],[Diskon]]),cadangan3[[#This Row],[Harga Asli A]])</f>
        <v>640000</v>
      </c>
      <c r="K711" s="36">
        <f>INDEX(Katalog!$F$3:$F$12,MATCH(cadangan3[[#This Row],[ItemID A]],Katalog!$C$3:$C$12,0))*cadangan3[[#This Row],[Qty A]]</f>
        <v>300000</v>
      </c>
      <c r="L711" s="36">
        <f>IFERROR(cadangan3[[#This Row],[Profit A]]-(cadangan3[[#This Row],[Profit A]]*cadangan3[[#This Row],[Diskon]]),K711)</f>
        <v>240000</v>
      </c>
      <c r="N711" t="str">
        <f>IFERROR(INDEX(Katalog!$A$3:$A$12,MATCH(cadangan3[[#This Row],[ItemID B]],Katalog!$C$3:$C$12,0)),"-")</f>
        <v>-</v>
      </c>
      <c r="O711" t="str">
        <f>IFERROR(INDEX(Katalog!$B$3:$B$12,MATCH(cadangan3[[#This Row],[ItemID B]],Katalog!$C$3:$C$12,0)),"-")</f>
        <v>-</v>
      </c>
      <c r="R711" s="36">
        <f>IFERROR(INDEX(Katalog!$D$3:$D$12,MATCH(cadangan3[[#This Row],[ItemID B]],Katalog!$C$3:$C$12,0))*cadangan3[[#This Row],[Qty B]],0)</f>
        <v>0</v>
      </c>
      <c r="S711" s="36">
        <f>IFERROR(INDEX(Katalog!$D$3:$D$12,MATCH(cadangan3[[#This Row],[Item B]],Katalog!$B$3:$B$12,0))*cadangan3[[#This Row],[Qty B]],0)</f>
        <v>0</v>
      </c>
      <c r="T711" s="36">
        <f>IFERROR(cadangan3[[#This Row],[Harga Asli B]]-(cadangan3[[#This Row],[Harga Asli B]]*cadangan3[[#This Row],[Diskon]]),cadangan3[[#This Row],[Harga Asli B]])</f>
        <v>0</v>
      </c>
      <c r="U711" s="36">
        <f>IFERROR(INDEX(Katalog!$F$3:$F$12,MATCH(cadangan3[[#This Row],[ItemID B]],Katalog!$C$3:$C$12,0))*cadangan3[[#This Row],[Qty B]],0)</f>
        <v>0</v>
      </c>
      <c r="V711" s="36">
        <f>IFERROR(cadangan3[[#This Row],[Profit B]]-(cadangan3[[#This Row],[Profit B]]*cadangan3[[#This Row],[Diskon]]),U711)</f>
        <v>0</v>
      </c>
      <c r="X711" t="str">
        <f>IFERROR(INDEX(Katalog!$A$3:$A$12,MATCH(cadangan3[[#This Row],[ItemID C]],Katalog!$C$3:$C$12,0)),"-")</f>
        <v>-</v>
      </c>
      <c r="Y711" t="str">
        <f>IFERROR(INDEX(Katalog!$B$3:$B$12,MATCH(cadangan3[[#This Row],[ItemID C]],Katalog!$C$3:$C$12,0)),"-")</f>
        <v>-</v>
      </c>
      <c r="AB711" s="36">
        <f>IFERROR(INDEX(Katalog!$D$3:$D$12,MATCH(cadangan3[[#This Row],[ItemID C]],Katalog!$C$3:$C$12,0))*cadangan3[[#This Row],[Qty C]],0)</f>
        <v>0</v>
      </c>
      <c r="AC711" s="36">
        <f>IFERROR(INDEX(Katalog!$D$3:$D$12,MATCH(cadangan3[[#This Row],[Item C]],Katalog!$B$3:$B$12,0))*cadangan3[[#This Row],[Qty C]],0)</f>
        <v>0</v>
      </c>
      <c r="AD711" s="36">
        <f>IFERROR(cadangan3[[#This Row],[Harga Asli C]]-(cadangan3[[#This Row],[Harga Asli C]]*cadangan3[[#This Row],[Diskon]]),cadangan3[[#This Row],[Harga Asli C]])</f>
        <v>0</v>
      </c>
      <c r="AE711" s="36">
        <f>IFERROR(INDEX(Katalog!$F$3:$F$12,MATCH(cadangan3[[#This Row],[ItemID C]],Katalog!$C$3:$C$12,0))*cadangan3[[#This Row],[Qty C]],0)</f>
        <v>0</v>
      </c>
      <c r="AF711" s="36">
        <f>IFERROR(cadangan3[[#This Row],[Profit C]]-(cadangan3[[#This Row],[Profit C]]*cadangan3[[#This Row],[Diskon]]),cadangan3[[#This Row],[Profit C]])</f>
        <v>0</v>
      </c>
      <c r="AG711" s="21">
        <f>cadangan3[[#This Row],[Qty A]]+cadangan3[[#This Row],[Qty B]]+cadangan3[[#This Row],[Qty C]]</f>
        <v>2</v>
      </c>
      <c r="AH711" s="35">
        <f>cadangan3[[#This Row],[Harga A + Diskon]]+cadangan3[[#This Row],[Harga + Diskon B]]+cadangan3[[#This Row],[Harga + Diskon C]]</f>
        <v>640000</v>
      </c>
      <c r="AI711" s="35">
        <f>(cadangan3[[#This Row],[Profit A]]+cadangan3[[#This Row],[Profit B]]+cadangan3[[#This Row],[Profit C]])</f>
        <v>300000</v>
      </c>
      <c r="AJ711" s="35">
        <f>cadangan3[[#This Row],[Provit A + Diskon]]+cadangan3[[#This Row],[Provit B + Diskon]]+cadangan3[[#This Row],[Provit C + Diskon]]</f>
        <v>240000</v>
      </c>
      <c r="AK711" s="23" t="s">
        <v>8</v>
      </c>
      <c r="AL711" s="37">
        <f>IFERROR(INDEX('Kode Diskon'!$D$3:$D$9,MATCH(cadangan3[[#This Row],[Kode diskon]],'Kode Diskon'!$C$3:$C$9,0)),"-")</f>
        <v>0.2</v>
      </c>
      <c r="AM711" s="23" t="s">
        <v>9</v>
      </c>
      <c r="AN711" s="23" t="s">
        <v>7</v>
      </c>
      <c r="AO711" s="23" t="s">
        <v>80</v>
      </c>
      <c r="AP711" s="24">
        <v>45035</v>
      </c>
      <c r="AQ711" s="23" t="str">
        <f>TEXT(cadangan3[[#This Row],[Tanggal terjual]],"dddd")</f>
        <v>Wednesday</v>
      </c>
    </row>
    <row r="712" spans="1:43" x14ac:dyDescent="0.2">
      <c r="A712" s="20">
        <v>711</v>
      </c>
      <c r="B712" s="21" t="str">
        <f>_xlfn.CONCAT("ORD-",INDEX(Helper!$B$2:$B$5,MATCH(cadangan3[[#This Row],[Marketplace]],Helper!$A$2:$A$5,0)),TEXT(cadangan3[[#This Row],[No]],"0000"),"-",TEXT(cadangan3[[#This Row],[Tanggal terjual]],"dd/mm/yy"))</f>
        <v>ORD-TK0711-23/04/23</v>
      </c>
      <c r="C712" t="s">
        <v>58</v>
      </c>
      <c r="D712" t="str">
        <f>IFERROR(INDEX(Katalog!$A$3:$A$12,MATCH(cadangan3[[#This Row],[ItemID A]],Katalog!$C$3:$C$12,0)),"-")</f>
        <v>Pakaian Wanita</v>
      </c>
      <c r="E712" t="str">
        <f>IFERROR(INDEX(Katalog!$B$3:$B$12,MATCH(cadangan3[[#This Row],[ItemID A]],Katalog!$C$3:$C$12,0)),"-")</f>
        <v>Dress</v>
      </c>
      <c r="F712">
        <v>2</v>
      </c>
      <c r="G712">
        <v>5</v>
      </c>
      <c r="H712" s="36">
        <f>IFERROR(INDEX(Katalog!$D$3:$D$12,MATCH(cadangan3[[#This Row],[ItemID A]],Katalog!$C$3:$C$12,0))*cadangan3[[#This Row],[Qty A]],0)</f>
        <v>600000</v>
      </c>
      <c r="I712" s="36">
        <f>IFERROR(INDEX(Katalog!$D$3:$D$12,MATCH(cadangan3[[#This Row],[Item A]],Katalog!$B$3:$B$12,0))*cadangan3[[#This Row],[Qty A]],0)</f>
        <v>600000</v>
      </c>
      <c r="J712" s="36">
        <f>IFERROR(cadangan3[[#This Row],[Harga Asli A]]-(cadangan3[[#This Row],[Harga Asli A]]*cadangan3[[#This Row],[Diskon]]),cadangan3[[#This Row],[Harga Asli A]])</f>
        <v>540000</v>
      </c>
      <c r="K712" s="36">
        <f>INDEX(Katalog!$F$3:$F$12,MATCH(cadangan3[[#This Row],[ItemID A]],Katalog!$C$3:$C$12,0))*cadangan3[[#This Row],[Qty A]]</f>
        <v>200000</v>
      </c>
      <c r="L712" s="36">
        <f>IFERROR(cadangan3[[#This Row],[Profit A]]-(cadangan3[[#This Row],[Profit A]]*cadangan3[[#This Row],[Diskon]]),K712)</f>
        <v>180000</v>
      </c>
      <c r="M712" t="s">
        <v>66</v>
      </c>
      <c r="N712" t="str">
        <f>IFERROR(INDEX(Katalog!$A$3:$A$12,MATCH(cadangan3[[#This Row],[ItemID B]],Katalog!$C$3:$C$12,0)),"-")</f>
        <v>Sepatu Pria</v>
      </c>
      <c r="O712" t="str">
        <f>IFERROR(INDEX(Katalog!$B$3:$B$12,MATCH(cadangan3[[#This Row],[ItemID B]],Katalog!$C$3:$C$12,0)),"-")</f>
        <v>Sandal Slip On</v>
      </c>
      <c r="P712">
        <v>3</v>
      </c>
      <c r="Q712">
        <v>2</v>
      </c>
      <c r="R712" s="36">
        <f>IFERROR(INDEX(Katalog!$D$3:$D$12,MATCH(cadangan3[[#This Row],[ItemID B]],Katalog!$C$3:$C$12,0))*cadangan3[[#This Row],[Qty B]],0)</f>
        <v>450000</v>
      </c>
      <c r="S712" s="36">
        <f>IFERROR(INDEX(Katalog!$D$3:$D$12,MATCH(cadangan3[[#This Row],[Item B]],Katalog!$B$3:$B$12,0))*cadangan3[[#This Row],[Qty B]],0)</f>
        <v>450000</v>
      </c>
      <c r="T712" s="36">
        <f>IFERROR(cadangan3[[#This Row],[Harga Asli B]]-(cadangan3[[#This Row],[Harga Asli B]]*cadangan3[[#This Row],[Diskon]]),cadangan3[[#This Row],[Harga Asli B]])</f>
        <v>405000</v>
      </c>
      <c r="U712" s="36">
        <f>IFERROR(INDEX(Katalog!$F$3:$F$12,MATCH(cadangan3[[#This Row],[ItemID B]],Katalog!$C$3:$C$12,0))*cadangan3[[#This Row],[Qty B]],0)</f>
        <v>180000</v>
      </c>
      <c r="V712" s="36">
        <f>IFERROR(cadangan3[[#This Row],[Profit B]]-(cadangan3[[#This Row],[Profit B]]*cadangan3[[#This Row],[Diskon]]),U712)</f>
        <v>162000</v>
      </c>
      <c r="W712" t="s">
        <v>60</v>
      </c>
      <c r="X712" t="str">
        <f>IFERROR(INDEX(Katalog!$A$3:$A$12,MATCH(cadangan3[[#This Row],[ItemID C]],Katalog!$C$3:$C$12,0)),"-")</f>
        <v>Pakaian Wanita</v>
      </c>
      <c r="Y712" t="str">
        <f>IFERROR(INDEX(Katalog!$B$3:$B$12,MATCH(cadangan3[[#This Row],[ItemID C]],Katalog!$C$3:$C$12,0)),"-")</f>
        <v>Kaftan</v>
      </c>
      <c r="Z712">
        <v>2</v>
      </c>
      <c r="AA712">
        <v>4</v>
      </c>
      <c r="AB712" s="36">
        <f>IFERROR(INDEX(Katalog!$D$3:$D$12,MATCH(cadangan3[[#This Row],[ItemID C]],Katalog!$C$3:$C$12,0))*cadangan3[[#This Row],[Qty C]],0)</f>
        <v>500000</v>
      </c>
      <c r="AC712" s="36">
        <f>IFERROR(INDEX(Katalog!$D$3:$D$12,MATCH(cadangan3[[#This Row],[Item C]],Katalog!$B$3:$B$12,0))*cadangan3[[#This Row],[Qty C]],0)</f>
        <v>500000</v>
      </c>
      <c r="AD712" s="36">
        <f>IFERROR(cadangan3[[#This Row],[Harga Asli C]]-(cadangan3[[#This Row],[Harga Asli C]]*cadangan3[[#This Row],[Diskon]]),cadangan3[[#This Row],[Harga Asli C]])</f>
        <v>450000</v>
      </c>
      <c r="AE712" s="36">
        <f>IFERROR(INDEX(Katalog!$F$3:$F$12,MATCH(cadangan3[[#This Row],[ItemID C]],Katalog!$C$3:$C$12,0))*cadangan3[[#This Row],[Qty C]],0)</f>
        <v>200000</v>
      </c>
      <c r="AF712" s="36">
        <f>IFERROR(cadangan3[[#This Row],[Profit C]]-(cadangan3[[#This Row],[Profit C]]*cadangan3[[#This Row],[Diskon]]),cadangan3[[#This Row],[Profit C]])</f>
        <v>180000</v>
      </c>
      <c r="AG712" s="21">
        <f>cadangan3[[#This Row],[Qty A]]+cadangan3[[#This Row],[Qty B]]+cadangan3[[#This Row],[Qty C]]</f>
        <v>7</v>
      </c>
      <c r="AH712" s="35">
        <f>cadangan3[[#This Row],[Harga A + Diskon]]+cadangan3[[#This Row],[Harga + Diskon B]]+cadangan3[[#This Row],[Harga + Diskon C]]</f>
        <v>1395000</v>
      </c>
      <c r="AI712" s="35">
        <f>(cadangan3[[#This Row],[Profit A]]+cadangan3[[#This Row],[Profit B]]+cadangan3[[#This Row],[Profit C]])</f>
        <v>580000</v>
      </c>
      <c r="AJ712" s="35">
        <f>cadangan3[[#This Row],[Provit A + Diskon]]+cadangan3[[#This Row],[Provit B + Diskon]]+cadangan3[[#This Row],[Provit C + Diskon]]</f>
        <v>522000</v>
      </c>
      <c r="AK712" s="23" t="s">
        <v>31</v>
      </c>
      <c r="AL712" s="37">
        <f>IFERROR(INDEX('Kode Diskon'!$D$3:$D$9,MATCH(cadangan3[[#This Row],[Kode diskon]],'Kode Diskon'!$C$3:$C$9,0)),"-")</f>
        <v>0.1</v>
      </c>
      <c r="AM712" s="23" t="s">
        <v>9</v>
      </c>
      <c r="AN712" s="23" t="s">
        <v>10</v>
      </c>
      <c r="AO712" s="23" t="s">
        <v>76</v>
      </c>
      <c r="AP712" s="24">
        <v>45039</v>
      </c>
      <c r="AQ712" s="23" t="str">
        <f>TEXT(cadangan3[[#This Row],[Tanggal terjual]],"dddd")</f>
        <v>Sunday</v>
      </c>
    </row>
    <row r="713" spans="1:43" x14ac:dyDescent="0.2">
      <c r="A713" s="20">
        <v>712</v>
      </c>
      <c r="B713" s="21" t="str">
        <f>_xlfn.CONCAT("ORD-",INDEX(Helper!$B$2:$B$5,MATCH(cadangan3[[#This Row],[Marketplace]],Helper!$A$2:$A$5,0)),TEXT(cadangan3[[#This Row],[No]],"0000"),"-",TEXT(cadangan3[[#This Row],[Tanggal terjual]],"dd/mm/yy"))</f>
        <v>ORD-BB0712-06/04/23</v>
      </c>
      <c r="C713" t="s">
        <v>65</v>
      </c>
      <c r="D713" t="str">
        <f>IFERROR(INDEX(Katalog!$A$3:$A$12,MATCH(cadangan3[[#This Row],[ItemID A]],Katalog!$C$3:$C$12,0)),"-")</f>
        <v>Sepatu Pria</v>
      </c>
      <c r="E713" t="str">
        <f>IFERROR(INDEX(Katalog!$B$3:$B$12,MATCH(cadangan3[[#This Row],[ItemID A]],Katalog!$C$3:$C$12,0)),"-")</f>
        <v>Sneakers</v>
      </c>
      <c r="F713">
        <v>4</v>
      </c>
      <c r="G713">
        <v>5</v>
      </c>
      <c r="H713" s="36">
        <f>IFERROR(INDEX(Katalog!$D$3:$D$12,MATCH(cadangan3[[#This Row],[ItemID A]],Katalog!$C$3:$C$12,0))*cadangan3[[#This Row],[Qty A]],0)</f>
        <v>2000000</v>
      </c>
      <c r="I713" s="36">
        <f>IFERROR(INDEX(Katalog!$D$3:$D$12,MATCH(cadangan3[[#This Row],[Item A]],Katalog!$B$3:$B$12,0))*cadangan3[[#This Row],[Qty A]],0)</f>
        <v>2000000</v>
      </c>
      <c r="J713" s="36">
        <f>IFERROR(cadangan3[[#This Row],[Harga Asli A]]-(cadangan3[[#This Row],[Harga Asli A]]*cadangan3[[#This Row],[Diskon]]),cadangan3[[#This Row],[Harga Asli A]])</f>
        <v>1700000</v>
      </c>
      <c r="K713" s="36">
        <f>INDEX(Katalog!$F$3:$F$12,MATCH(cadangan3[[#This Row],[ItemID A]],Katalog!$C$3:$C$12,0))*cadangan3[[#This Row],[Qty A]]</f>
        <v>800000</v>
      </c>
      <c r="L713" s="36">
        <f>IFERROR(cadangan3[[#This Row],[Profit A]]-(cadangan3[[#This Row],[Profit A]]*cadangan3[[#This Row],[Diskon]]),K713)</f>
        <v>680000</v>
      </c>
      <c r="N713" t="str">
        <f>IFERROR(INDEX(Katalog!$A$3:$A$12,MATCH(cadangan3[[#This Row],[ItemID B]],Katalog!$C$3:$C$12,0)),"-")</f>
        <v>-</v>
      </c>
      <c r="O713" t="str">
        <f>IFERROR(INDEX(Katalog!$B$3:$B$12,MATCH(cadangan3[[#This Row],[ItemID B]],Katalog!$C$3:$C$12,0)),"-")</f>
        <v>-</v>
      </c>
      <c r="R713" s="36">
        <f>IFERROR(INDEX(Katalog!$D$3:$D$12,MATCH(cadangan3[[#This Row],[ItemID B]],Katalog!$C$3:$C$12,0))*cadangan3[[#This Row],[Qty B]],0)</f>
        <v>0</v>
      </c>
      <c r="S713" s="36">
        <f>IFERROR(INDEX(Katalog!$D$3:$D$12,MATCH(cadangan3[[#This Row],[Item B]],Katalog!$B$3:$B$12,0))*cadangan3[[#This Row],[Qty B]],0)</f>
        <v>0</v>
      </c>
      <c r="T713" s="36">
        <f>IFERROR(cadangan3[[#This Row],[Harga Asli B]]-(cadangan3[[#This Row],[Harga Asli B]]*cadangan3[[#This Row],[Diskon]]),cadangan3[[#This Row],[Harga Asli B]])</f>
        <v>0</v>
      </c>
      <c r="U713" s="36">
        <f>IFERROR(INDEX(Katalog!$F$3:$F$12,MATCH(cadangan3[[#This Row],[ItemID B]],Katalog!$C$3:$C$12,0))*cadangan3[[#This Row],[Qty B]],0)</f>
        <v>0</v>
      </c>
      <c r="V713" s="36">
        <f>IFERROR(cadangan3[[#This Row],[Profit B]]-(cadangan3[[#This Row],[Profit B]]*cadangan3[[#This Row],[Diskon]]),U713)</f>
        <v>0</v>
      </c>
      <c r="X713" t="str">
        <f>IFERROR(INDEX(Katalog!$A$3:$A$12,MATCH(cadangan3[[#This Row],[ItemID C]],Katalog!$C$3:$C$12,0)),"-")</f>
        <v>-</v>
      </c>
      <c r="Y713" t="str">
        <f>IFERROR(INDEX(Katalog!$B$3:$B$12,MATCH(cadangan3[[#This Row],[ItemID C]],Katalog!$C$3:$C$12,0)),"-")</f>
        <v>-</v>
      </c>
      <c r="AB713" s="36">
        <f>IFERROR(INDEX(Katalog!$D$3:$D$12,MATCH(cadangan3[[#This Row],[ItemID C]],Katalog!$C$3:$C$12,0))*cadangan3[[#This Row],[Qty C]],0)</f>
        <v>0</v>
      </c>
      <c r="AC713" s="36">
        <f>IFERROR(INDEX(Katalog!$D$3:$D$12,MATCH(cadangan3[[#This Row],[Item C]],Katalog!$B$3:$B$12,0))*cadangan3[[#This Row],[Qty C]],0)</f>
        <v>0</v>
      </c>
      <c r="AD713" s="36">
        <f>IFERROR(cadangan3[[#This Row],[Harga Asli C]]-(cadangan3[[#This Row],[Harga Asli C]]*cadangan3[[#This Row],[Diskon]]),cadangan3[[#This Row],[Harga Asli C]])</f>
        <v>0</v>
      </c>
      <c r="AE713" s="36">
        <f>IFERROR(INDEX(Katalog!$F$3:$F$12,MATCH(cadangan3[[#This Row],[ItemID C]],Katalog!$C$3:$C$12,0))*cadangan3[[#This Row],[Qty C]],0)</f>
        <v>0</v>
      </c>
      <c r="AF713" s="36">
        <f>IFERROR(cadangan3[[#This Row],[Profit C]]-(cadangan3[[#This Row],[Profit C]]*cadangan3[[#This Row],[Diskon]]),cadangan3[[#This Row],[Profit C]])</f>
        <v>0</v>
      </c>
      <c r="AG713" s="21">
        <f>cadangan3[[#This Row],[Qty A]]+cadangan3[[#This Row],[Qty B]]+cadangan3[[#This Row],[Qty C]]</f>
        <v>4</v>
      </c>
      <c r="AH713" s="35">
        <f>cadangan3[[#This Row],[Harga A + Diskon]]+cadangan3[[#This Row],[Harga + Diskon B]]+cadangan3[[#This Row],[Harga + Diskon C]]</f>
        <v>1700000</v>
      </c>
      <c r="AI713" s="35">
        <f>(cadangan3[[#This Row],[Profit A]]+cadangan3[[#This Row],[Profit B]]+cadangan3[[#This Row],[Profit C]])</f>
        <v>800000</v>
      </c>
      <c r="AJ713" s="35">
        <f>cadangan3[[#This Row],[Provit A + Diskon]]+cadangan3[[#This Row],[Provit B + Diskon]]+cadangan3[[#This Row],[Provit C + Diskon]]</f>
        <v>680000</v>
      </c>
      <c r="AK713" s="23" t="s">
        <v>28</v>
      </c>
      <c r="AL713" s="37">
        <f>IFERROR(INDEX('Kode Diskon'!$D$3:$D$9,MATCH(cadangan3[[#This Row],[Kode diskon]],'Kode Diskon'!$C$3:$C$9,0)),"-")</f>
        <v>0.15</v>
      </c>
      <c r="AM713" s="23" t="s">
        <v>29</v>
      </c>
      <c r="AN713" s="23" t="s">
        <v>14</v>
      </c>
      <c r="AO713" s="23" t="s">
        <v>80</v>
      </c>
      <c r="AP713" s="24">
        <v>45022</v>
      </c>
      <c r="AQ713" s="23" t="str">
        <f>TEXT(cadangan3[[#This Row],[Tanggal terjual]],"dddd")</f>
        <v>Thursday</v>
      </c>
    </row>
    <row r="714" spans="1:43" x14ac:dyDescent="0.2">
      <c r="A714" s="20">
        <v>713</v>
      </c>
      <c r="B714" s="21" t="str">
        <f>_xlfn.CONCAT("ORD-",INDEX(Helper!$B$2:$B$5,MATCH(cadangan3[[#This Row],[Marketplace]],Helper!$A$2:$A$5,0)),TEXT(cadangan3[[#This Row],[No]],"0000"),"-",TEXT(cadangan3[[#This Row],[Tanggal terjual]],"dd/mm/yy"))</f>
        <v>ORD-SP0713-06/04/23</v>
      </c>
      <c r="C714" t="s">
        <v>62</v>
      </c>
      <c r="D714" t="str">
        <f>IFERROR(INDEX(Katalog!$A$3:$A$12,MATCH(cadangan3[[#This Row],[ItemID A]],Katalog!$C$3:$C$12,0)),"-")</f>
        <v>Pakaian Pria</v>
      </c>
      <c r="E714" t="str">
        <f>IFERROR(INDEX(Katalog!$B$3:$B$12,MATCH(cadangan3[[#This Row],[ItemID A]],Katalog!$C$3:$C$12,0)),"-")</f>
        <v>Celana Pendek</v>
      </c>
      <c r="F714">
        <v>4</v>
      </c>
      <c r="G714">
        <v>1</v>
      </c>
      <c r="H714" s="36">
        <f>IFERROR(INDEX(Katalog!$D$3:$D$12,MATCH(cadangan3[[#This Row],[ItemID A]],Katalog!$C$3:$C$12,0))*cadangan3[[#This Row],[Qty A]],0)</f>
        <v>720000</v>
      </c>
      <c r="I714" s="36">
        <f>IFERROR(INDEX(Katalog!$D$3:$D$12,MATCH(cadangan3[[#This Row],[Item A]],Katalog!$B$3:$B$12,0))*cadangan3[[#This Row],[Qty A]],0)</f>
        <v>720000</v>
      </c>
      <c r="J714" s="36">
        <f>IFERROR(cadangan3[[#This Row],[Harga Asli A]]-(cadangan3[[#This Row],[Harga Asli A]]*cadangan3[[#This Row],[Diskon]]),cadangan3[[#This Row],[Harga Asli A]])</f>
        <v>612000</v>
      </c>
      <c r="K714" s="36">
        <f>INDEX(Katalog!$F$3:$F$12,MATCH(cadangan3[[#This Row],[ItemID A]],Katalog!$C$3:$C$12,0))*cadangan3[[#This Row],[Qty A]]</f>
        <v>280000</v>
      </c>
      <c r="L714" s="36">
        <f>IFERROR(cadangan3[[#This Row],[Profit A]]-(cadangan3[[#This Row],[Profit A]]*cadangan3[[#This Row],[Diskon]]),K714)</f>
        <v>238000</v>
      </c>
      <c r="M714" t="s">
        <v>61</v>
      </c>
      <c r="N714" t="str">
        <f>IFERROR(INDEX(Katalog!$A$3:$A$12,MATCH(cadangan3[[#This Row],[ItemID B]],Katalog!$C$3:$C$12,0)),"-")</f>
        <v>Pakaian Pria</v>
      </c>
      <c r="O714" t="str">
        <f>IFERROR(INDEX(Katalog!$B$3:$B$12,MATCH(cadangan3[[#This Row],[ItemID B]],Katalog!$C$3:$C$12,0)),"-")</f>
        <v>Kaos Polo</v>
      </c>
      <c r="P714">
        <v>3</v>
      </c>
      <c r="Q714">
        <v>2</v>
      </c>
      <c r="R714" s="36">
        <f>IFERROR(INDEX(Katalog!$D$3:$D$12,MATCH(cadangan3[[#This Row],[ItemID B]],Katalog!$C$3:$C$12,0))*cadangan3[[#This Row],[Qty B]],0)</f>
        <v>600000</v>
      </c>
      <c r="S714" s="36">
        <f>IFERROR(INDEX(Katalog!$D$3:$D$12,MATCH(cadangan3[[#This Row],[Item B]],Katalog!$B$3:$B$12,0))*cadangan3[[#This Row],[Qty B]],0)</f>
        <v>600000</v>
      </c>
      <c r="T714" s="36">
        <f>IFERROR(cadangan3[[#This Row],[Harga Asli B]]-(cadangan3[[#This Row],[Harga Asli B]]*cadangan3[[#This Row],[Diskon]]),cadangan3[[#This Row],[Harga Asli B]])</f>
        <v>510000</v>
      </c>
      <c r="U714" s="36">
        <f>IFERROR(INDEX(Katalog!$F$3:$F$12,MATCH(cadangan3[[#This Row],[ItemID B]],Katalog!$C$3:$C$12,0))*cadangan3[[#This Row],[Qty B]],0)</f>
        <v>240000</v>
      </c>
      <c r="V714" s="36">
        <f>IFERROR(cadangan3[[#This Row],[Profit B]]-(cadangan3[[#This Row],[Profit B]]*cadangan3[[#This Row],[Diskon]]),U714)</f>
        <v>204000</v>
      </c>
      <c r="X714" t="str">
        <f>IFERROR(INDEX(Katalog!$A$3:$A$12,MATCH(cadangan3[[#This Row],[ItemID C]],Katalog!$C$3:$C$12,0)),"-")</f>
        <v>-</v>
      </c>
      <c r="Y714" t="str">
        <f>IFERROR(INDEX(Katalog!$B$3:$B$12,MATCH(cadangan3[[#This Row],[ItemID C]],Katalog!$C$3:$C$12,0)),"-")</f>
        <v>-</v>
      </c>
      <c r="AB714" s="36">
        <f>IFERROR(INDEX(Katalog!$D$3:$D$12,MATCH(cadangan3[[#This Row],[ItemID C]],Katalog!$C$3:$C$12,0))*cadangan3[[#This Row],[Qty C]],0)</f>
        <v>0</v>
      </c>
      <c r="AC714" s="36">
        <f>IFERROR(INDEX(Katalog!$D$3:$D$12,MATCH(cadangan3[[#This Row],[Item C]],Katalog!$B$3:$B$12,0))*cadangan3[[#This Row],[Qty C]],0)</f>
        <v>0</v>
      </c>
      <c r="AD714" s="36">
        <f>IFERROR(cadangan3[[#This Row],[Harga Asli C]]-(cadangan3[[#This Row],[Harga Asli C]]*cadangan3[[#This Row],[Diskon]]),cadangan3[[#This Row],[Harga Asli C]])</f>
        <v>0</v>
      </c>
      <c r="AE714" s="36">
        <f>IFERROR(INDEX(Katalog!$F$3:$F$12,MATCH(cadangan3[[#This Row],[ItemID C]],Katalog!$C$3:$C$12,0))*cadangan3[[#This Row],[Qty C]],0)</f>
        <v>0</v>
      </c>
      <c r="AF714" s="36">
        <f>IFERROR(cadangan3[[#This Row],[Profit C]]-(cadangan3[[#This Row],[Profit C]]*cadangan3[[#This Row],[Diskon]]),cadangan3[[#This Row],[Profit C]])</f>
        <v>0</v>
      </c>
      <c r="AG714" s="21">
        <f>cadangan3[[#This Row],[Qty A]]+cadangan3[[#This Row],[Qty B]]+cadangan3[[#This Row],[Qty C]]</f>
        <v>7</v>
      </c>
      <c r="AH714" s="35">
        <f>cadangan3[[#This Row],[Harga A + Diskon]]+cadangan3[[#This Row],[Harga + Diskon B]]+cadangan3[[#This Row],[Harga + Diskon C]]</f>
        <v>1122000</v>
      </c>
      <c r="AI714" s="35">
        <f>(cadangan3[[#This Row],[Profit A]]+cadangan3[[#This Row],[Profit B]]+cadangan3[[#This Row],[Profit C]])</f>
        <v>520000</v>
      </c>
      <c r="AJ714" s="35">
        <f>cadangan3[[#This Row],[Provit A + Diskon]]+cadangan3[[#This Row],[Provit B + Diskon]]+cadangan3[[#This Row],[Provit C + Diskon]]</f>
        <v>442000</v>
      </c>
      <c r="AK714" s="23" t="s">
        <v>13</v>
      </c>
      <c r="AL714" s="37">
        <f>IFERROR(INDEX('Kode Diskon'!$D$3:$D$9,MATCH(cadangan3[[#This Row],[Kode diskon]],'Kode Diskon'!$C$3:$C$9,0)),"-")</f>
        <v>0.15</v>
      </c>
      <c r="AM714" s="23" t="s">
        <v>29</v>
      </c>
      <c r="AN714" s="23" t="s">
        <v>7</v>
      </c>
      <c r="AO714" s="23" t="s">
        <v>78</v>
      </c>
      <c r="AP714" s="24">
        <v>45022</v>
      </c>
      <c r="AQ714" s="23" t="str">
        <f>TEXT(cadangan3[[#This Row],[Tanggal terjual]],"dddd")</f>
        <v>Thursday</v>
      </c>
    </row>
    <row r="715" spans="1:43" x14ac:dyDescent="0.2">
      <c r="A715" s="20">
        <v>714</v>
      </c>
      <c r="B715" s="21" t="str">
        <f>_xlfn.CONCAT("ORD-",INDEX(Helper!$B$2:$B$5,MATCH(cadangan3[[#This Row],[Marketplace]],Helper!$A$2:$A$5,0)),TEXT(cadangan3[[#This Row],[No]],"0000"),"-",TEXT(cadangan3[[#This Row],[Tanggal terjual]],"dd/mm/yy"))</f>
        <v>ORD-SP0714-17/04/23</v>
      </c>
      <c r="C715" t="s">
        <v>61</v>
      </c>
      <c r="D715" t="str">
        <f>IFERROR(INDEX(Katalog!$A$3:$A$12,MATCH(cadangan3[[#This Row],[ItemID A]],Katalog!$C$3:$C$12,0)),"-")</f>
        <v>Pakaian Pria</v>
      </c>
      <c r="E715" t="str">
        <f>IFERROR(INDEX(Katalog!$B$3:$B$12,MATCH(cadangan3[[#This Row],[ItemID A]],Katalog!$C$3:$C$12,0)),"-")</f>
        <v>Kaos Polo</v>
      </c>
      <c r="F715">
        <v>2</v>
      </c>
      <c r="G715">
        <v>2</v>
      </c>
      <c r="H715" s="36">
        <f>IFERROR(INDEX(Katalog!$D$3:$D$12,MATCH(cadangan3[[#This Row],[ItemID A]],Katalog!$C$3:$C$12,0))*cadangan3[[#This Row],[Qty A]],0)</f>
        <v>400000</v>
      </c>
      <c r="I715" s="36">
        <f>IFERROR(INDEX(Katalog!$D$3:$D$12,MATCH(cadangan3[[#This Row],[Item A]],Katalog!$B$3:$B$12,0))*cadangan3[[#This Row],[Qty A]],0)</f>
        <v>400000</v>
      </c>
      <c r="J715" s="36">
        <f>IFERROR(cadangan3[[#This Row],[Harga Asli A]]-(cadangan3[[#This Row],[Harga Asli A]]*cadangan3[[#This Row],[Diskon]]),cadangan3[[#This Row],[Harga Asli A]])</f>
        <v>320000</v>
      </c>
      <c r="K715" s="36">
        <f>INDEX(Katalog!$F$3:$F$12,MATCH(cadangan3[[#This Row],[ItemID A]],Katalog!$C$3:$C$12,0))*cadangan3[[#This Row],[Qty A]]</f>
        <v>160000</v>
      </c>
      <c r="L715" s="36">
        <f>IFERROR(cadangan3[[#This Row],[Profit A]]-(cadangan3[[#This Row],[Profit A]]*cadangan3[[#This Row],[Diskon]]),K715)</f>
        <v>128000</v>
      </c>
      <c r="M715" t="s">
        <v>66</v>
      </c>
      <c r="N715" t="str">
        <f>IFERROR(INDEX(Katalog!$A$3:$A$12,MATCH(cadangan3[[#This Row],[ItemID B]],Katalog!$C$3:$C$12,0)),"-")</f>
        <v>Sepatu Pria</v>
      </c>
      <c r="O715" t="str">
        <f>IFERROR(INDEX(Katalog!$B$3:$B$12,MATCH(cadangan3[[#This Row],[ItemID B]],Katalog!$C$3:$C$12,0)),"-")</f>
        <v>Sandal Slip On</v>
      </c>
      <c r="P715">
        <v>1</v>
      </c>
      <c r="Q715">
        <v>3</v>
      </c>
      <c r="R715" s="36">
        <f>IFERROR(INDEX(Katalog!$D$3:$D$12,MATCH(cadangan3[[#This Row],[ItemID B]],Katalog!$C$3:$C$12,0))*cadangan3[[#This Row],[Qty B]],0)</f>
        <v>150000</v>
      </c>
      <c r="S715" s="36">
        <f>IFERROR(INDEX(Katalog!$D$3:$D$12,MATCH(cadangan3[[#This Row],[Item B]],Katalog!$B$3:$B$12,0))*cadangan3[[#This Row],[Qty B]],0)</f>
        <v>150000</v>
      </c>
      <c r="T715" s="36">
        <f>IFERROR(cadangan3[[#This Row],[Harga Asli B]]-(cadangan3[[#This Row],[Harga Asli B]]*cadangan3[[#This Row],[Diskon]]),cadangan3[[#This Row],[Harga Asli B]])</f>
        <v>120000</v>
      </c>
      <c r="U715" s="36">
        <f>IFERROR(INDEX(Katalog!$F$3:$F$12,MATCH(cadangan3[[#This Row],[ItemID B]],Katalog!$C$3:$C$12,0))*cadangan3[[#This Row],[Qty B]],0)</f>
        <v>60000</v>
      </c>
      <c r="V715" s="36">
        <f>IFERROR(cadangan3[[#This Row],[Profit B]]-(cadangan3[[#This Row],[Profit B]]*cadangan3[[#This Row],[Diskon]]),U715)</f>
        <v>48000</v>
      </c>
      <c r="X715" t="str">
        <f>IFERROR(INDEX(Katalog!$A$3:$A$12,MATCH(cadangan3[[#This Row],[ItemID C]],Katalog!$C$3:$C$12,0)),"-")</f>
        <v>-</v>
      </c>
      <c r="Y715" t="str">
        <f>IFERROR(INDEX(Katalog!$B$3:$B$12,MATCH(cadangan3[[#This Row],[ItemID C]],Katalog!$C$3:$C$12,0)),"-")</f>
        <v>-</v>
      </c>
      <c r="AB715" s="36">
        <f>IFERROR(INDEX(Katalog!$D$3:$D$12,MATCH(cadangan3[[#This Row],[ItemID C]],Katalog!$C$3:$C$12,0))*cadangan3[[#This Row],[Qty C]],0)</f>
        <v>0</v>
      </c>
      <c r="AC715" s="36">
        <f>IFERROR(INDEX(Katalog!$D$3:$D$12,MATCH(cadangan3[[#This Row],[Item C]],Katalog!$B$3:$B$12,0))*cadangan3[[#This Row],[Qty C]],0)</f>
        <v>0</v>
      </c>
      <c r="AD715" s="36">
        <f>IFERROR(cadangan3[[#This Row],[Harga Asli C]]-(cadangan3[[#This Row],[Harga Asli C]]*cadangan3[[#This Row],[Diskon]]),cadangan3[[#This Row],[Harga Asli C]])</f>
        <v>0</v>
      </c>
      <c r="AE715" s="36">
        <f>IFERROR(INDEX(Katalog!$F$3:$F$12,MATCH(cadangan3[[#This Row],[ItemID C]],Katalog!$C$3:$C$12,0))*cadangan3[[#This Row],[Qty C]],0)</f>
        <v>0</v>
      </c>
      <c r="AF715" s="36">
        <f>IFERROR(cadangan3[[#This Row],[Profit C]]-(cadangan3[[#This Row],[Profit C]]*cadangan3[[#This Row],[Diskon]]),cadangan3[[#This Row],[Profit C]])</f>
        <v>0</v>
      </c>
      <c r="AG715" s="21">
        <f>cadangan3[[#This Row],[Qty A]]+cadangan3[[#This Row],[Qty B]]+cadangan3[[#This Row],[Qty C]]</f>
        <v>3</v>
      </c>
      <c r="AH715" s="35">
        <f>cadangan3[[#This Row],[Harga A + Diskon]]+cadangan3[[#This Row],[Harga + Diskon B]]+cadangan3[[#This Row],[Harga + Diskon C]]</f>
        <v>440000</v>
      </c>
      <c r="AI715" s="35">
        <f>(cadangan3[[#This Row],[Profit A]]+cadangan3[[#This Row],[Profit B]]+cadangan3[[#This Row],[Profit C]])</f>
        <v>220000</v>
      </c>
      <c r="AJ715" s="35">
        <f>cadangan3[[#This Row],[Provit A + Diskon]]+cadangan3[[#This Row],[Provit B + Diskon]]+cadangan3[[#This Row],[Provit C + Diskon]]</f>
        <v>176000</v>
      </c>
      <c r="AK715" s="23" t="s">
        <v>8</v>
      </c>
      <c r="AL715" s="37">
        <f>IFERROR(INDEX('Kode Diskon'!$D$3:$D$9,MATCH(cadangan3[[#This Row],[Kode diskon]],'Kode Diskon'!$C$3:$C$9,0)),"-")</f>
        <v>0.2</v>
      </c>
      <c r="AM715" s="23" t="s">
        <v>9</v>
      </c>
      <c r="AN715" s="23" t="s">
        <v>7</v>
      </c>
      <c r="AO715" s="23" t="s">
        <v>78</v>
      </c>
      <c r="AP715" s="24">
        <v>45033</v>
      </c>
      <c r="AQ715" s="23" t="str">
        <f>TEXT(cadangan3[[#This Row],[Tanggal terjual]],"dddd")</f>
        <v>Monday</v>
      </c>
    </row>
    <row r="716" spans="1:43" x14ac:dyDescent="0.2">
      <c r="A716" s="20">
        <v>715</v>
      </c>
      <c r="B716" s="21" t="str">
        <f>_xlfn.CONCAT("ORD-",INDEX(Helper!$B$2:$B$5,MATCH(cadangan3[[#This Row],[Marketplace]],Helper!$A$2:$A$5,0)),TEXT(cadangan3[[#This Row],[No]],"0000"),"-",TEXT(cadangan3[[#This Row],[Tanggal terjual]],"dd/mm/yy"))</f>
        <v>ORD-SP0715-21/04/23</v>
      </c>
      <c r="C716" t="s">
        <v>58</v>
      </c>
      <c r="D716" t="str">
        <f>IFERROR(INDEX(Katalog!$A$3:$A$12,MATCH(cadangan3[[#This Row],[ItemID A]],Katalog!$C$3:$C$12,0)),"-")</f>
        <v>Pakaian Wanita</v>
      </c>
      <c r="E716" t="str">
        <f>IFERROR(INDEX(Katalog!$B$3:$B$12,MATCH(cadangan3[[#This Row],[ItemID A]],Katalog!$C$3:$C$12,0)),"-")</f>
        <v>Dress</v>
      </c>
      <c r="F716">
        <v>2</v>
      </c>
      <c r="G716">
        <v>5</v>
      </c>
      <c r="H716" s="36">
        <f>IFERROR(INDEX(Katalog!$D$3:$D$12,MATCH(cadangan3[[#This Row],[ItemID A]],Katalog!$C$3:$C$12,0))*cadangan3[[#This Row],[Qty A]],0)</f>
        <v>600000</v>
      </c>
      <c r="I716" s="36">
        <f>IFERROR(INDEX(Katalog!$D$3:$D$12,MATCH(cadangan3[[#This Row],[Item A]],Katalog!$B$3:$B$12,0))*cadangan3[[#This Row],[Qty A]],0)</f>
        <v>600000</v>
      </c>
      <c r="J716" s="36">
        <f>IFERROR(cadangan3[[#This Row],[Harga Asli A]]-(cadangan3[[#This Row],[Harga Asli A]]*cadangan3[[#This Row],[Diskon]]),cadangan3[[#This Row],[Harga Asli A]])</f>
        <v>480000</v>
      </c>
      <c r="K716" s="36">
        <f>INDEX(Katalog!$F$3:$F$12,MATCH(cadangan3[[#This Row],[ItemID A]],Katalog!$C$3:$C$12,0))*cadangan3[[#This Row],[Qty A]]</f>
        <v>200000</v>
      </c>
      <c r="L716" s="36">
        <f>IFERROR(cadangan3[[#This Row],[Profit A]]-(cadangan3[[#This Row],[Profit A]]*cadangan3[[#This Row],[Diskon]]),K716)</f>
        <v>160000</v>
      </c>
      <c r="M716" t="s">
        <v>67</v>
      </c>
      <c r="N716" t="str">
        <f>IFERROR(INDEX(Katalog!$A$3:$A$12,MATCH(cadangan3[[#This Row],[ItemID B]],Katalog!$C$3:$C$12,0)),"-")</f>
        <v>Sepatu Wanita</v>
      </c>
      <c r="O716" t="str">
        <f>IFERROR(INDEX(Katalog!$B$3:$B$12,MATCH(cadangan3[[#This Row],[ItemID B]],Katalog!$C$3:$C$12,0)),"-")</f>
        <v>Flat Shoes</v>
      </c>
      <c r="P716">
        <v>2</v>
      </c>
      <c r="Q716">
        <v>1</v>
      </c>
      <c r="R716" s="36">
        <f>IFERROR(INDEX(Katalog!$D$3:$D$12,MATCH(cadangan3[[#This Row],[ItemID B]],Katalog!$C$3:$C$12,0))*cadangan3[[#This Row],[Qty B]],0)</f>
        <v>500000</v>
      </c>
      <c r="S716" s="36">
        <f>IFERROR(INDEX(Katalog!$D$3:$D$12,MATCH(cadangan3[[#This Row],[Item B]],Katalog!$B$3:$B$12,0))*cadangan3[[#This Row],[Qty B]],0)</f>
        <v>500000</v>
      </c>
      <c r="T716" s="36">
        <f>IFERROR(cadangan3[[#This Row],[Harga Asli B]]-(cadangan3[[#This Row],[Harga Asli B]]*cadangan3[[#This Row],[Diskon]]),cadangan3[[#This Row],[Harga Asli B]])</f>
        <v>400000</v>
      </c>
      <c r="U716" s="36">
        <f>IFERROR(INDEX(Katalog!$F$3:$F$12,MATCH(cadangan3[[#This Row],[ItemID B]],Katalog!$C$3:$C$12,0))*cadangan3[[#This Row],[Qty B]],0)</f>
        <v>200000</v>
      </c>
      <c r="V716" s="36">
        <f>IFERROR(cadangan3[[#This Row],[Profit B]]-(cadangan3[[#This Row],[Profit B]]*cadangan3[[#This Row],[Diskon]]),U716)</f>
        <v>160000</v>
      </c>
      <c r="W716" t="s">
        <v>66</v>
      </c>
      <c r="X716" t="str">
        <f>IFERROR(INDEX(Katalog!$A$3:$A$12,MATCH(cadangan3[[#This Row],[ItemID C]],Katalog!$C$3:$C$12,0)),"-")</f>
        <v>Sepatu Pria</v>
      </c>
      <c r="Y716" t="str">
        <f>IFERROR(INDEX(Katalog!$B$3:$B$12,MATCH(cadangan3[[#This Row],[ItemID C]],Katalog!$C$3:$C$12,0)),"-")</f>
        <v>Sandal Slip On</v>
      </c>
      <c r="Z716">
        <v>3</v>
      </c>
      <c r="AA716">
        <v>5</v>
      </c>
      <c r="AB716" s="36">
        <f>IFERROR(INDEX(Katalog!$D$3:$D$12,MATCH(cadangan3[[#This Row],[ItemID C]],Katalog!$C$3:$C$12,0))*cadangan3[[#This Row],[Qty C]],0)</f>
        <v>450000</v>
      </c>
      <c r="AC716" s="36">
        <f>IFERROR(INDEX(Katalog!$D$3:$D$12,MATCH(cadangan3[[#This Row],[Item C]],Katalog!$B$3:$B$12,0))*cadangan3[[#This Row],[Qty C]],0)</f>
        <v>450000</v>
      </c>
      <c r="AD716" s="36">
        <f>IFERROR(cadangan3[[#This Row],[Harga Asli C]]-(cadangan3[[#This Row],[Harga Asli C]]*cadangan3[[#This Row],[Diskon]]),cadangan3[[#This Row],[Harga Asli C]])</f>
        <v>360000</v>
      </c>
      <c r="AE716" s="36">
        <f>IFERROR(INDEX(Katalog!$F$3:$F$12,MATCH(cadangan3[[#This Row],[ItemID C]],Katalog!$C$3:$C$12,0))*cadangan3[[#This Row],[Qty C]],0)</f>
        <v>180000</v>
      </c>
      <c r="AF716" s="36">
        <f>IFERROR(cadangan3[[#This Row],[Profit C]]-(cadangan3[[#This Row],[Profit C]]*cadangan3[[#This Row],[Diskon]]),cadangan3[[#This Row],[Profit C]])</f>
        <v>144000</v>
      </c>
      <c r="AG716" s="21">
        <f>cadangan3[[#This Row],[Qty A]]+cadangan3[[#This Row],[Qty B]]+cadangan3[[#This Row],[Qty C]]</f>
        <v>7</v>
      </c>
      <c r="AH716" s="35">
        <f>cadangan3[[#This Row],[Harga A + Diskon]]+cadangan3[[#This Row],[Harga + Diskon B]]+cadangan3[[#This Row],[Harga + Diskon C]]</f>
        <v>1240000</v>
      </c>
      <c r="AI716" s="35">
        <f>(cadangan3[[#This Row],[Profit A]]+cadangan3[[#This Row],[Profit B]]+cadangan3[[#This Row],[Profit C]])</f>
        <v>580000</v>
      </c>
      <c r="AJ716" s="35">
        <f>cadangan3[[#This Row],[Provit A + Diskon]]+cadangan3[[#This Row],[Provit B + Diskon]]+cadangan3[[#This Row],[Provit C + Diskon]]</f>
        <v>464000</v>
      </c>
      <c r="AK716" s="23" t="s">
        <v>8</v>
      </c>
      <c r="AL716" s="37">
        <f>IFERROR(INDEX('Kode Diskon'!$D$3:$D$9,MATCH(cadangan3[[#This Row],[Kode diskon]],'Kode Diskon'!$C$3:$C$9,0)),"-")</f>
        <v>0.2</v>
      </c>
      <c r="AM716" s="23" t="s">
        <v>9</v>
      </c>
      <c r="AN716" s="23" t="s">
        <v>7</v>
      </c>
      <c r="AO716" s="23" t="s">
        <v>80</v>
      </c>
      <c r="AP716" s="24">
        <v>45037</v>
      </c>
      <c r="AQ716" s="23" t="str">
        <f>TEXT(cadangan3[[#This Row],[Tanggal terjual]],"dddd")</f>
        <v>Friday</v>
      </c>
    </row>
    <row r="717" spans="1:43" x14ac:dyDescent="0.2">
      <c r="A717" s="20">
        <v>716</v>
      </c>
      <c r="B717" s="21" t="str">
        <f>_xlfn.CONCAT("ORD-",INDEX(Helper!$B$2:$B$5,MATCH(cadangan3[[#This Row],[Marketplace]],Helper!$A$2:$A$5,0)),TEXT(cadangan3[[#This Row],[No]],"0000"),"-",TEXT(cadangan3[[#This Row],[Tanggal terjual]],"dd/mm/yy"))</f>
        <v>ORD-SP0716-06/04/23</v>
      </c>
      <c r="C717" t="s">
        <v>65</v>
      </c>
      <c r="D717" t="str">
        <f>IFERROR(INDEX(Katalog!$A$3:$A$12,MATCH(cadangan3[[#This Row],[ItemID A]],Katalog!$C$3:$C$12,0)),"-")</f>
        <v>Sepatu Pria</v>
      </c>
      <c r="E717" t="str">
        <f>IFERROR(INDEX(Katalog!$B$3:$B$12,MATCH(cadangan3[[#This Row],[ItemID A]],Katalog!$C$3:$C$12,0)),"-")</f>
        <v>Sneakers</v>
      </c>
      <c r="F717">
        <v>7</v>
      </c>
      <c r="G717">
        <v>4</v>
      </c>
      <c r="H717" s="36">
        <f>IFERROR(INDEX(Katalog!$D$3:$D$12,MATCH(cadangan3[[#This Row],[ItemID A]],Katalog!$C$3:$C$12,0))*cadangan3[[#This Row],[Qty A]],0)</f>
        <v>3500000</v>
      </c>
      <c r="I717" s="36">
        <f>IFERROR(INDEX(Katalog!$D$3:$D$12,MATCH(cadangan3[[#This Row],[Item A]],Katalog!$B$3:$B$12,0))*cadangan3[[#This Row],[Qty A]],0)</f>
        <v>3500000</v>
      </c>
      <c r="J717" s="36">
        <f>IFERROR(cadangan3[[#This Row],[Harga Asli A]]-(cadangan3[[#This Row],[Harga Asli A]]*cadangan3[[#This Row],[Diskon]]),cadangan3[[#This Row],[Harga Asli A]])</f>
        <v>2975000</v>
      </c>
      <c r="K717" s="36">
        <f>INDEX(Katalog!$F$3:$F$12,MATCH(cadangan3[[#This Row],[ItemID A]],Katalog!$C$3:$C$12,0))*cadangan3[[#This Row],[Qty A]]</f>
        <v>1400000</v>
      </c>
      <c r="L717" s="36">
        <f>IFERROR(cadangan3[[#This Row],[Profit A]]-(cadangan3[[#This Row],[Profit A]]*cadangan3[[#This Row],[Diskon]]),K717)</f>
        <v>1190000</v>
      </c>
      <c r="N717" t="str">
        <f>IFERROR(INDEX(Katalog!$A$3:$A$12,MATCH(cadangan3[[#This Row],[ItemID B]],Katalog!$C$3:$C$12,0)),"-")</f>
        <v>-</v>
      </c>
      <c r="O717" t="str">
        <f>IFERROR(INDEX(Katalog!$B$3:$B$12,MATCH(cadangan3[[#This Row],[ItemID B]],Katalog!$C$3:$C$12,0)),"-")</f>
        <v>-</v>
      </c>
      <c r="R717" s="36">
        <f>IFERROR(INDEX(Katalog!$D$3:$D$12,MATCH(cadangan3[[#This Row],[ItemID B]],Katalog!$C$3:$C$12,0))*cadangan3[[#This Row],[Qty B]],0)</f>
        <v>0</v>
      </c>
      <c r="S717" s="36">
        <f>IFERROR(INDEX(Katalog!$D$3:$D$12,MATCH(cadangan3[[#This Row],[Item B]],Katalog!$B$3:$B$12,0))*cadangan3[[#This Row],[Qty B]],0)</f>
        <v>0</v>
      </c>
      <c r="T717" s="36">
        <f>IFERROR(cadangan3[[#This Row],[Harga Asli B]]-(cadangan3[[#This Row],[Harga Asli B]]*cadangan3[[#This Row],[Diskon]]),cadangan3[[#This Row],[Harga Asli B]])</f>
        <v>0</v>
      </c>
      <c r="U717" s="36">
        <f>IFERROR(INDEX(Katalog!$F$3:$F$12,MATCH(cadangan3[[#This Row],[ItemID B]],Katalog!$C$3:$C$12,0))*cadangan3[[#This Row],[Qty B]],0)</f>
        <v>0</v>
      </c>
      <c r="V717" s="36">
        <f>IFERROR(cadangan3[[#This Row],[Profit B]]-(cadangan3[[#This Row],[Profit B]]*cadangan3[[#This Row],[Diskon]]),U717)</f>
        <v>0</v>
      </c>
      <c r="X717" t="str">
        <f>IFERROR(INDEX(Katalog!$A$3:$A$12,MATCH(cadangan3[[#This Row],[ItemID C]],Katalog!$C$3:$C$12,0)),"-")</f>
        <v>-</v>
      </c>
      <c r="Y717" t="str">
        <f>IFERROR(INDEX(Katalog!$B$3:$B$12,MATCH(cadangan3[[#This Row],[ItemID C]],Katalog!$C$3:$C$12,0)),"-")</f>
        <v>-</v>
      </c>
      <c r="AB717" s="36">
        <f>IFERROR(INDEX(Katalog!$D$3:$D$12,MATCH(cadangan3[[#This Row],[ItemID C]],Katalog!$C$3:$C$12,0))*cadangan3[[#This Row],[Qty C]],0)</f>
        <v>0</v>
      </c>
      <c r="AC717" s="36">
        <f>IFERROR(INDEX(Katalog!$D$3:$D$12,MATCH(cadangan3[[#This Row],[Item C]],Katalog!$B$3:$B$12,0))*cadangan3[[#This Row],[Qty C]],0)</f>
        <v>0</v>
      </c>
      <c r="AD717" s="36">
        <f>IFERROR(cadangan3[[#This Row],[Harga Asli C]]-(cadangan3[[#This Row],[Harga Asli C]]*cadangan3[[#This Row],[Diskon]]),cadangan3[[#This Row],[Harga Asli C]])</f>
        <v>0</v>
      </c>
      <c r="AE717" s="36">
        <f>IFERROR(INDEX(Katalog!$F$3:$F$12,MATCH(cadangan3[[#This Row],[ItemID C]],Katalog!$C$3:$C$12,0))*cadangan3[[#This Row],[Qty C]],0)</f>
        <v>0</v>
      </c>
      <c r="AF717" s="36">
        <f>IFERROR(cadangan3[[#This Row],[Profit C]]-(cadangan3[[#This Row],[Profit C]]*cadangan3[[#This Row],[Diskon]]),cadangan3[[#This Row],[Profit C]])</f>
        <v>0</v>
      </c>
      <c r="AG717" s="21">
        <f>cadangan3[[#This Row],[Qty A]]+cadangan3[[#This Row],[Qty B]]+cadangan3[[#This Row],[Qty C]]</f>
        <v>7</v>
      </c>
      <c r="AH717" s="35">
        <f>cadangan3[[#This Row],[Harga A + Diskon]]+cadangan3[[#This Row],[Harga + Diskon B]]+cadangan3[[#This Row],[Harga + Diskon C]]</f>
        <v>2975000</v>
      </c>
      <c r="AI717" s="35">
        <f>(cadangan3[[#This Row],[Profit A]]+cadangan3[[#This Row],[Profit B]]+cadangan3[[#This Row],[Profit C]])</f>
        <v>1400000</v>
      </c>
      <c r="AJ717" s="35">
        <f>cadangan3[[#This Row],[Provit A + Diskon]]+cadangan3[[#This Row],[Provit B + Diskon]]+cadangan3[[#This Row],[Provit C + Diskon]]</f>
        <v>1190000</v>
      </c>
      <c r="AK717" s="23" t="s">
        <v>13</v>
      </c>
      <c r="AL717" s="37">
        <f>IFERROR(INDEX('Kode Diskon'!$D$3:$D$9,MATCH(cadangan3[[#This Row],[Kode diskon]],'Kode Diskon'!$C$3:$C$9,0)),"-")</f>
        <v>0.15</v>
      </c>
      <c r="AM717" s="23" t="s">
        <v>29</v>
      </c>
      <c r="AN717" s="23" t="s">
        <v>7</v>
      </c>
      <c r="AO717" s="23" t="s">
        <v>80</v>
      </c>
      <c r="AP717" s="24">
        <v>45022</v>
      </c>
      <c r="AQ717" s="23" t="str">
        <f>TEXT(cadangan3[[#This Row],[Tanggal terjual]],"dddd")</f>
        <v>Thursday</v>
      </c>
    </row>
    <row r="718" spans="1:43" x14ac:dyDescent="0.2">
      <c r="A718" s="20">
        <v>717</v>
      </c>
      <c r="B718" s="21" t="str">
        <f>_xlfn.CONCAT("ORD-",INDEX(Helper!$B$2:$B$5,MATCH(cadangan3[[#This Row],[Marketplace]],Helper!$A$2:$A$5,0)),TEXT(cadangan3[[#This Row],[No]],"0000"),"-",TEXT(cadangan3[[#This Row],[Tanggal terjual]],"dd/mm/yy"))</f>
        <v>ORD-TK0717-05/04/23</v>
      </c>
      <c r="C718" t="s">
        <v>62</v>
      </c>
      <c r="D718" t="str">
        <f>IFERROR(INDEX(Katalog!$A$3:$A$12,MATCH(cadangan3[[#This Row],[ItemID A]],Katalog!$C$3:$C$12,0)),"-")</f>
        <v>Pakaian Pria</v>
      </c>
      <c r="E718" t="str">
        <f>IFERROR(INDEX(Katalog!$B$3:$B$12,MATCH(cadangan3[[#This Row],[ItemID A]],Katalog!$C$3:$C$12,0)),"-")</f>
        <v>Celana Pendek</v>
      </c>
      <c r="F718">
        <v>3</v>
      </c>
      <c r="G718">
        <v>3</v>
      </c>
      <c r="H718" s="36">
        <f>IFERROR(INDEX(Katalog!$D$3:$D$12,MATCH(cadangan3[[#This Row],[ItemID A]],Katalog!$C$3:$C$12,0))*cadangan3[[#This Row],[Qty A]],0)</f>
        <v>540000</v>
      </c>
      <c r="I718" s="36">
        <f>IFERROR(INDEX(Katalog!$D$3:$D$12,MATCH(cadangan3[[#This Row],[Item A]],Katalog!$B$3:$B$12,0))*cadangan3[[#This Row],[Qty A]],0)</f>
        <v>540000</v>
      </c>
      <c r="J718" s="36">
        <f>IFERROR(cadangan3[[#This Row],[Harga Asli A]]-(cadangan3[[#This Row],[Harga Asli A]]*cadangan3[[#This Row],[Diskon]]),cadangan3[[#This Row],[Harga Asli A]])</f>
        <v>486000</v>
      </c>
      <c r="K718" s="36">
        <f>INDEX(Katalog!$F$3:$F$12,MATCH(cadangan3[[#This Row],[ItemID A]],Katalog!$C$3:$C$12,0))*cadangan3[[#This Row],[Qty A]]</f>
        <v>210000</v>
      </c>
      <c r="L718" s="36">
        <f>IFERROR(cadangan3[[#This Row],[Profit A]]-(cadangan3[[#This Row],[Profit A]]*cadangan3[[#This Row],[Diskon]]),K718)</f>
        <v>189000</v>
      </c>
      <c r="M718" t="s">
        <v>62</v>
      </c>
      <c r="N718" t="str">
        <f>IFERROR(INDEX(Katalog!$A$3:$A$12,MATCH(cadangan3[[#This Row],[ItemID B]],Katalog!$C$3:$C$12,0)),"-")</f>
        <v>Pakaian Pria</v>
      </c>
      <c r="O718" t="str">
        <f>IFERROR(INDEX(Katalog!$B$3:$B$12,MATCH(cadangan3[[#This Row],[ItemID B]],Katalog!$C$3:$C$12,0)),"-")</f>
        <v>Celana Pendek</v>
      </c>
      <c r="P718">
        <v>2</v>
      </c>
      <c r="Q718">
        <v>5</v>
      </c>
      <c r="R718" s="36">
        <f>IFERROR(INDEX(Katalog!$D$3:$D$12,MATCH(cadangan3[[#This Row],[ItemID B]],Katalog!$C$3:$C$12,0))*cadangan3[[#This Row],[Qty B]],0)</f>
        <v>360000</v>
      </c>
      <c r="S718" s="36">
        <f>IFERROR(INDEX(Katalog!$D$3:$D$12,MATCH(cadangan3[[#This Row],[Item B]],Katalog!$B$3:$B$12,0))*cadangan3[[#This Row],[Qty B]],0)</f>
        <v>360000</v>
      </c>
      <c r="T718" s="36">
        <f>IFERROR(cadangan3[[#This Row],[Harga Asli B]]-(cadangan3[[#This Row],[Harga Asli B]]*cadangan3[[#This Row],[Diskon]]),cadangan3[[#This Row],[Harga Asli B]])</f>
        <v>324000</v>
      </c>
      <c r="U718" s="36">
        <f>IFERROR(INDEX(Katalog!$F$3:$F$12,MATCH(cadangan3[[#This Row],[ItemID B]],Katalog!$C$3:$C$12,0))*cadangan3[[#This Row],[Qty B]],0)</f>
        <v>140000</v>
      </c>
      <c r="V718" s="36">
        <f>IFERROR(cadangan3[[#This Row],[Profit B]]-(cadangan3[[#This Row],[Profit B]]*cadangan3[[#This Row],[Diskon]]),U718)</f>
        <v>126000</v>
      </c>
      <c r="W718" t="s">
        <v>58</v>
      </c>
      <c r="X718" t="str">
        <f>IFERROR(INDEX(Katalog!$A$3:$A$12,MATCH(cadangan3[[#This Row],[ItemID C]],Katalog!$C$3:$C$12,0)),"-")</f>
        <v>Pakaian Wanita</v>
      </c>
      <c r="Y718" t="str">
        <f>IFERROR(INDEX(Katalog!$B$3:$B$12,MATCH(cadangan3[[#This Row],[ItemID C]],Katalog!$C$3:$C$12,0)),"-")</f>
        <v>Dress</v>
      </c>
      <c r="Z718">
        <v>2</v>
      </c>
      <c r="AA718">
        <v>2</v>
      </c>
      <c r="AB718" s="36">
        <f>IFERROR(INDEX(Katalog!$D$3:$D$12,MATCH(cadangan3[[#This Row],[ItemID C]],Katalog!$C$3:$C$12,0))*cadangan3[[#This Row],[Qty C]],0)</f>
        <v>600000</v>
      </c>
      <c r="AC718" s="36">
        <f>IFERROR(INDEX(Katalog!$D$3:$D$12,MATCH(cadangan3[[#This Row],[Item C]],Katalog!$B$3:$B$12,0))*cadangan3[[#This Row],[Qty C]],0)</f>
        <v>600000</v>
      </c>
      <c r="AD718" s="36">
        <f>IFERROR(cadangan3[[#This Row],[Harga Asli C]]-(cadangan3[[#This Row],[Harga Asli C]]*cadangan3[[#This Row],[Diskon]]),cadangan3[[#This Row],[Harga Asli C]])</f>
        <v>540000</v>
      </c>
      <c r="AE718" s="36">
        <f>IFERROR(INDEX(Katalog!$F$3:$F$12,MATCH(cadangan3[[#This Row],[ItemID C]],Katalog!$C$3:$C$12,0))*cadangan3[[#This Row],[Qty C]],0)</f>
        <v>200000</v>
      </c>
      <c r="AF718" s="36">
        <f>IFERROR(cadangan3[[#This Row],[Profit C]]-(cadangan3[[#This Row],[Profit C]]*cadangan3[[#This Row],[Diskon]]),cadangan3[[#This Row],[Profit C]])</f>
        <v>180000</v>
      </c>
      <c r="AG718" s="21">
        <f>cadangan3[[#This Row],[Qty A]]+cadangan3[[#This Row],[Qty B]]+cadangan3[[#This Row],[Qty C]]</f>
        <v>7</v>
      </c>
      <c r="AH718" s="35">
        <f>cadangan3[[#This Row],[Harga A + Diskon]]+cadangan3[[#This Row],[Harga + Diskon B]]+cadangan3[[#This Row],[Harga + Diskon C]]</f>
        <v>1350000</v>
      </c>
      <c r="AI718" s="35">
        <f>(cadangan3[[#This Row],[Profit A]]+cadangan3[[#This Row],[Profit B]]+cadangan3[[#This Row],[Profit C]])</f>
        <v>550000</v>
      </c>
      <c r="AJ718" s="35">
        <f>cadangan3[[#This Row],[Provit A + Diskon]]+cadangan3[[#This Row],[Provit B + Diskon]]+cadangan3[[#This Row],[Provit C + Diskon]]</f>
        <v>495000</v>
      </c>
      <c r="AK718" s="23" t="s">
        <v>30</v>
      </c>
      <c r="AL718" s="37">
        <f>IFERROR(INDEX('Kode Diskon'!$D$3:$D$9,MATCH(cadangan3[[#This Row],[Kode diskon]],'Kode Diskon'!$C$3:$C$9,0)),"-")</f>
        <v>0.1</v>
      </c>
      <c r="AM718" s="23" t="s">
        <v>29</v>
      </c>
      <c r="AN718" s="23" t="s">
        <v>10</v>
      </c>
      <c r="AO718" s="23" t="s">
        <v>80</v>
      </c>
      <c r="AP718" s="24">
        <v>45021</v>
      </c>
      <c r="AQ718" s="23" t="str">
        <f>TEXT(cadangan3[[#This Row],[Tanggal terjual]],"dddd")</f>
        <v>Wednesday</v>
      </c>
    </row>
    <row r="719" spans="1:43" x14ac:dyDescent="0.2">
      <c r="A719" s="20">
        <v>718</v>
      </c>
      <c r="B719" s="21" t="str">
        <f>_xlfn.CONCAT("ORD-",INDEX(Helper!$B$2:$B$5,MATCH(cadangan3[[#This Row],[Marketplace]],Helper!$A$2:$A$5,0)),TEXT(cadangan3[[#This Row],[No]],"0000"),"-",TEXT(cadangan3[[#This Row],[Tanggal terjual]],"dd/mm/yy"))</f>
        <v>ORD-SP0718-26/04/23</v>
      </c>
      <c r="C719" t="s">
        <v>60</v>
      </c>
      <c r="D719" t="str">
        <f>IFERROR(INDEX(Katalog!$A$3:$A$12,MATCH(cadangan3[[#This Row],[ItemID A]],Katalog!$C$3:$C$12,0)),"-")</f>
        <v>Pakaian Wanita</v>
      </c>
      <c r="E719" t="str">
        <f>IFERROR(INDEX(Katalog!$B$3:$B$12,MATCH(cadangan3[[#This Row],[ItemID A]],Katalog!$C$3:$C$12,0)),"-")</f>
        <v>Kaftan</v>
      </c>
      <c r="F719">
        <v>3</v>
      </c>
      <c r="G719">
        <v>2</v>
      </c>
      <c r="H719" s="36">
        <f>IFERROR(INDEX(Katalog!$D$3:$D$12,MATCH(cadangan3[[#This Row],[ItemID A]],Katalog!$C$3:$C$12,0))*cadangan3[[#This Row],[Qty A]],0)</f>
        <v>750000</v>
      </c>
      <c r="I719" s="36">
        <f>IFERROR(INDEX(Katalog!$D$3:$D$12,MATCH(cadangan3[[#This Row],[Item A]],Katalog!$B$3:$B$12,0))*cadangan3[[#This Row],[Qty A]],0)</f>
        <v>750000</v>
      </c>
      <c r="J719" s="36">
        <f>IFERROR(cadangan3[[#This Row],[Harga Asli A]]-(cadangan3[[#This Row],[Harga Asli A]]*cadangan3[[#This Row],[Diskon]]),cadangan3[[#This Row],[Harga Asli A]])</f>
        <v>600000</v>
      </c>
      <c r="K719" s="36">
        <f>INDEX(Katalog!$F$3:$F$12,MATCH(cadangan3[[#This Row],[ItemID A]],Katalog!$C$3:$C$12,0))*cadangan3[[#This Row],[Qty A]]</f>
        <v>300000</v>
      </c>
      <c r="L719" s="36">
        <f>IFERROR(cadangan3[[#This Row],[Profit A]]-(cadangan3[[#This Row],[Profit A]]*cadangan3[[#This Row],[Diskon]]),K719)</f>
        <v>240000</v>
      </c>
      <c r="M719" t="s">
        <v>64</v>
      </c>
      <c r="N719" t="str">
        <f>IFERROR(INDEX(Katalog!$A$3:$A$12,MATCH(cadangan3[[#This Row],[ItemID B]],Katalog!$C$3:$C$12,0)),"-")</f>
        <v>Pakaian Unisex</v>
      </c>
      <c r="O719" t="str">
        <f>IFERROR(INDEX(Katalog!$B$3:$B$12,MATCH(cadangan3[[#This Row],[ItemID B]],Katalog!$C$3:$C$12,0)),"-")</f>
        <v>Jaket Hoodie</v>
      </c>
      <c r="P719">
        <v>3</v>
      </c>
      <c r="Q719">
        <v>1</v>
      </c>
      <c r="R719" s="36">
        <f>IFERROR(INDEX(Katalog!$D$3:$D$12,MATCH(cadangan3[[#This Row],[ItemID B]],Katalog!$C$3:$C$12,0))*cadangan3[[#This Row],[Qty B]],0)</f>
        <v>1050000</v>
      </c>
      <c r="S719" s="36">
        <f>IFERROR(INDEX(Katalog!$D$3:$D$12,MATCH(cadangan3[[#This Row],[Item B]],Katalog!$B$3:$B$12,0))*cadangan3[[#This Row],[Qty B]],0)</f>
        <v>1050000</v>
      </c>
      <c r="T719" s="36">
        <f>IFERROR(cadangan3[[#This Row],[Harga Asli B]]-(cadangan3[[#This Row],[Harga Asli B]]*cadangan3[[#This Row],[Diskon]]),cadangan3[[#This Row],[Harga Asli B]])</f>
        <v>840000</v>
      </c>
      <c r="U719" s="36">
        <f>IFERROR(INDEX(Katalog!$F$3:$F$12,MATCH(cadangan3[[#This Row],[ItemID B]],Katalog!$C$3:$C$12,0))*cadangan3[[#This Row],[Qty B]],0)</f>
        <v>390000</v>
      </c>
      <c r="V719" s="36">
        <f>IFERROR(cadangan3[[#This Row],[Profit B]]-(cadangan3[[#This Row],[Profit B]]*cadangan3[[#This Row],[Diskon]]),U719)</f>
        <v>312000</v>
      </c>
      <c r="X719" t="str">
        <f>IFERROR(INDEX(Katalog!$A$3:$A$12,MATCH(cadangan3[[#This Row],[ItemID C]],Katalog!$C$3:$C$12,0)),"-")</f>
        <v>-</v>
      </c>
      <c r="Y719" t="str">
        <f>IFERROR(INDEX(Katalog!$B$3:$B$12,MATCH(cadangan3[[#This Row],[ItemID C]],Katalog!$C$3:$C$12,0)),"-")</f>
        <v>-</v>
      </c>
      <c r="AB719" s="36">
        <f>IFERROR(INDEX(Katalog!$D$3:$D$12,MATCH(cadangan3[[#This Row],[ItemID C]],Katalog!$C$3:$C$12,0))*cadangan3[[#This Row],[Qty C]],0)</f>
        <v>0</v>
      </c>
      <c r="AC719" s="36">
        <f>IFERROR(INDEX(Katalog!$D$3:$D$12,MATCH(cadangan3[[#This Row],[Item C]],Katalog!$B$3:$B$12,0))*cadangan3[[#This Row],[Qty C]],0)</f>
        <v>0</v>
      </c>
      <c r="AD719" s="36">
        <f>IFERROR(cadangan3[[#This Row],[Harga Asli C]]-(cadangan3[[#This Row],[Harga Asli C]]*cadangan3[[#This Row],[Diskon]]),cadangan3[[#This Row],[Harga Asli C]])</f>
        <v>0</v>
      </c>
      <c r="AE719" s="36">
        <f>IFERROR(INDEX(Katalog!$F$3:$F$12,MATCH(cadangan3[[#This Row],[ItemID C]],Katalog!$C$3:$C$12,0))*cadangan3[[#This Row],[Qty C]],0)</f>
        <v>0</v>
      </c>
      <c r="AF719" s="36">
        <f>IFERROR(cadangan3[[#This Row],[Profit C]]-(cadangan3[[#This Row],[Profit C]]*cadangan3[[#This Row],[Diskon]]),cadangan3[[#This Row],[Profit C]])</f>
        <v>0</v>
      </c>
      <c r="AG719" s="21">
        <f>cadangan3[[#This Row],[Qty A]]+cadangan3[[#This Row],[Qty B]]+cadangan3[[#This Row],[Qty C]]</f>
        <v>6</v>
      </c>
      <c r="AH719" s="35">
        <f>cadangan3[[#This Row],[Harga A + Diskon]]+cadangan3[[#This Row],[Harga + Diskon B]]+cadangan3[[#This Row],[Harga + Diskon C]]</f>
        <v>1440000</v>
      </c>
      <c r="AI719" s="35">
        <f>(cadangan3[[#This Row],[Profit A]]+cadangan3[[#This Row],[Profit B]]+cadangan3[[#This Row],[Profit C]])</f>
        <v>690000</v>
      </c>
      <c r="AJ719" s="35">
        <f>cadangan3[[#This Row],[Provit A + Diskon]]+cadangan3[[#This Row],[Provit B + Diskon]]+cadangan3[[#This Row],[Provit C + Diskon]]</f>
        <v>552000</v>
      </c>
      <c r="AK719" s="23" t="s">
        <v>8</v>
      </c>
      <c r="AL719" s="37">
        <f>IFERROR(INDEX('Kode Diskon'!$D$3:$D$9,MATCH(cadangan3[[#This Row],[Kode diskon]],'Kode Diskon'!$C$3:$C$9,0)),"-")</f>
        <v>0.2</v>
      </c>
      <c r="AM719" s="23" t="s">
        <v>9</v>
      </c>
      <c r="AN719" s="23" t="s">
        <v>7</v>
      </c>
      <c r="AO719" s="23" t="s">
        <v>80</v>
      </c>
      <c r="AP719" s="24">
        <v>45042</v>
      </c>
      <c r="AQ719" s="23" t="str">
        <f>TEXT(cadangan3[[#This Row],[Tanggal terjual]],"dddd")</f>
        <v>Wednesday</v>
      </c>
    </row>
    <row r="720" spans="1:43" x14ac:dyDescent="0.2">
      <c r="A720" s="20">
        <v>719</v>
      </c>
      <c r="B720" s="21" t="str">
        <f>_xlfn.CONCAT("ORD-",INDEX(Helper!$B$2:$B$5,MATCH(cadangan3[[#This Row],[Marketplace]],Helper!$A$2:$A$5,0)),TEXT(cadangan3[[#This Row],[No]],"0000"),"-",TEXT(cadangan3[[#This Row],[Tanggal terjual]],"dd/mm/yy"))</f>
        <v>ORD-TK0719-04/04/23</v>
      </c>
      <c r="C720" t="s">
        <v>60</v>
      </c>
      <c r="D720" t="str">
        <f>IFERROR(INDEX(Katalog!$A$3:$A$12,MATCH(cadangan3[[#This Row],[ItemID A]],Katalog!$C$3:$C$12,0)),"-")</f>
        <v>Pakaian Wanita</v>
      </c>
      <c r="E720" t="str">
        <f>IFERROR(INDEX(Katalog!$B$3:$B$12,MATCH(cadangan3[[#This Row],[ItemID A]],Katalog!$C$3:$C$12,0)),"-")</f>
        <v>Kaftan</v>
      </c>
      <c r="F720">
        <v>1</v>
      </c>
      <c r="G720">
        <v>2</v>
      </c>
      <c r="H720" s="36">
        <f>IFERROR(INDEX(Katalog!$D$3:$D$12,MATCH(cadangan3[[#This Row],[ItemID A]],Katalog!$C$3:$C$12,0))*cadangan3[[#This Row],[Qty A]],0)</f>
        <v>250000</v>
      </c>
      <c r="I720" s="36">
        <f>IFERROR(INDEX(Katalog!$D$3:$D$12,MATCH(cadangan3[[#This Row],[Item A]],Katalog!$B$3:$B$12,0))*cadangan3[[#This Row],[Qty A]],0)</f>
        <v>250000</v>
      </c>
      <c r="J720" s="36">
        <f>IFERROR(cadangan3[[#This Row],[Harga Asli A]]-(cadangan3[[#This Row],[Harga Asli A]]*cadangan3[[#This Row],[Diskon]]),cadangan3[[#This Row],[Harga Asli A]])</f>
        <v>225000</v>
      </c>
      <c r="K720" s="36">
        <f>INDEX(Katalog!$F$3:$F$12,MATCH(cadangan3[[#This Row],[ItemID A]],Katalog!$C$3:$C$12,0))*cadangan3[[#This Row],[Qty A]]</f>
        <v>100000</v>
      </c>
      <c r="L720" s="36">
        <f>IFERROR(cadangan3[[#This Row],[Profit A]]-(cadangan3[[#This Row],[Profit A]]*cadangan3[[#This Row],[Diskon]]),K720)</f>
        <v>90000</v>
      </c>
      <c r="M720" t="s">
        <v>63</v>
      </c>
      <c r="N720" t="str">
        <f>IFERROR(INDEX(Katalog!$A$3:$A$12,MATCH(cadangan3[[#This Row],[ItemID B]],Katalog!$C$3:$C$12,0)),"-")</f>
        <v>Pakaian Pria</v>
      </c>
      <c r="O720" t="str">
        <f>IFERROR(INDEX(Katalog!$B$3:$B$12,MATCH(cadangan3[[#This Row],[ItemID B]],Katalog!$C$3:$C$12,0)),"-")</f>
        <v>Jaket Jeans</v>
      </c>
      <c r="P720">
        <v>4</v>
      </c>
      <c r="Q720">
        <v>1</v>
      </c>
      <c r="R720" s="36">
        <f>IFERROR(INDEX(Katalog!$D$3:$D$12,MATCH(cadangan3[[#This Row],[ItemID B]],Katalog!$C$3:$C$12,0))*cadangan3[[#This Row],[Qty B]],0)</f>
        <v>1600000</v>
      </c>
      <c r="S720" s="36">
        <f>IFERROR(INDEX(Katalog!$D$3:$D$12,MATCH(cadangan3[[#This Row],[Item B]],Katalog!$B$3:$B$12,0))*cadangan3[[#This Row],[Qty B]],0)</f>
        <v>1600000</v>
      </c>
      <c r="T720" s="36">
        <f>IFERROR(cadangan3[[#This Row],[Harga Asli B]]-(cadangan3[[#This Row],[Harga Asli B]]*cadangan3[[#This Row],[Diskon]]),cadangan3[[#This Row],[Harga Asli B]])</f>
        <v>1440000</v>
      </c>
      <c r="U720" s="36">
        <f>IFERROR(INDEX(Katalog!$F$3:$F$12,MATCH(cadangan3[[#This Row],[ItemID B]],Katalog!$C$3:$C$12,0))*cadangan3[[#This Row],[Qty B]],0)</f>
        <v>600000</v>
      </c>
      <c r="V720" s="36">
        <f>IFERROR(cadangan3[[#This Row],[Profit B]]-(cadangan3[[#This Row],[Profit B]]*cadangan3[[#This Row],[Diskon]]),U720)</f>
        <v>540000</v>
      </c>
      <c r="W720" t="s">
        <v>66</v>
      </c>
      <c r="X720" t="str">
        <f>IFERROR(INDEX(Katalog!$A$3:$A$12,MATCH(cadangan3[[#This Row],[ItemID C]],Katalog!$C$3:$C$12,0)),"-")</f>
        <v>Sepatu Pria</v>
      </c>
      <c r="Y720" t="str">
        <f>IFERROR(INDEX(Katalog!$B$3:$B$12,MATCH(cadangan3[[#This Row],[ItemID C]],Katalog!$C$3:$C$12,0)),"-")</f>
        <v>Sandal Slip On</v>
      </c>
      <c r="Z720">
        <v>1</v>
      </c>
      <c r="AA720">
        <v>5</v>
      </c>
      <c r="AB720" s="36">
        <f>IFERROR(INDEX(Katalog!$D$3:$D$12,MATCH(cadangan3[[#This Row],[ItemID C]],Katalog!$C$3:$C$12,0))*cadangan3[[#This Row],[Qty C]],0)</f>
        <v>150000</v>
      </c>
      <c r="AC720" s="36">
        <f>IFERROR(INDEX(Katalog!$D$3:$D$12,MATCH(cadangan3[[#This Row],[Item C]],Katalog!$B$3:$B$12,0))*cadangan3[[#This Row],[Qty C]],0)</f>
        <v>150000</v>
      </c>
      <c r="AD720" s="36">
        <f>IFERROR(cadangan3[[#This Row],[Harga Asli C]]-(cadangan3[[#This Row],[Harga Asli C]]*cadangan3[[#This Row],[Diskon]]),cadangan3[[#This Row],[Harga Asli C]])</f>
        <v>135000</v>
      </c>
      <c r="AE720" s="36">
        <f>IFERROR(INDEX(Katalog!$F$3:$F$12,MATCH(cadangan3[[#This Row],[ItemID C]],Katalog!$C$3:$C$12,0))*cadangan3[[#This Row],[Qty C]],0)</f>
        <v>60000</v>
      </c>
      <c r="AF720" s="36">
        <f>IFERROR(cadangan3[[#This Row],[Profit C]]-(cadangan3[[#This Row],[Profit C]]*cadangan3[[#This Row],[Diskon]]),cadangan3[[#This Row],[Profit C]])</f>
        <v>54000</v>
      </c>
      <c r="AG720" s="21">
        <f>cadangan3[[#This Row],[Qty A]]+cadangan3[[#This Row],[Qty B]]+cadangan3[[#This Row],[Qty C]]</f>
        <v>6</v>
      </c>
      <c r="AH720" s="35">
        <f>cadangan3[[#This Row],[Harga A + Diskon]]+cadangan3[[#This Row],[Harga + Diskon B]]+cadangan3[[#This Row],[Harga + Diskon C]]</f>
        <v>1800000</v>
      </c>
      <c r="AI720" s="35">
        <f>(cadangan3[[#This Row],[Profit A]]+cadangan3[[#This Row],[Profit B]]+cadangan3[[#This Row],[Profit C]])</f>
        <v>760000</v>
      </c>
      <c r="AJ720" s="35">
        <f>cadangan3[[#This Row],[Provit A + Diskon]]+cadangan3[[#This Row],[Provit B + Diskon]]+cadangan3[[#This Row],[Provit C + Diskon]]</f>
        <v>684000</v>
      </c>
      <c r="AK720" s="23" t="s">
        <v>30</v>
      </c>
      <c r="AL720" s="37">
        <f>IFERROR(INDEX('Kode Diskon'!$D$3:$D$9,MATCH(cadangan3[[#This Row],[Kode diskon]],'Kode Diskon'!$C$3:$C$9,0)),"-")</f>
        <v>0.1</v>
      </c>
      <c r="AM720" s="23" t="s">
        <v>29</v>
      </c>
      <c r="AN720" s="23" t="s">
        <v>10</v>
      </c>
      <c r="AO720" s="23" t="s">
        <v>80</v>
      </c>
      <c r="AP720" s="24">
        <v>45020</v>
      </c>
      <c r="AQ720" s="23" t="str">
        <f>TEXT(cadangan3[[#This Row],[Tanggal terjual]],"dddd")</f>
        <v>Tuesday</v>
      </c>
    </row>
    <row r="721" spans="1:43" x14ac:dyDescent="0.2">
      <c r="A721" s="20">
        <v>720</v>
      </c>
      <c r="B721" s="21" t="str">
        <f>_xlfn.CONCAT("ORD-",INDEX(Helper!$B$2:$B$5,MATCH(cadangan3[[#This Row],[Marketplace]],Helper!$A$2:$A$5,0)),TEXT(cadangan3[[#This Row],[No]],"0000"),"-",TEXT(cadangan3[[#This Row],[Tanggal terjual]],"dd/mm/yy"))</f>
        <v>ORD-TK0720-06/04/23</v>
      </c>
      <c r="C721" t="s">
        <v>59</v>
      </c>
      <c r="D721" t="str">
        <f>IFERROR(INDEX(Katalog!$A$3:$A$12,MATCH(cadangan3[[#This Row],[ItemID A]],Katalog!$C$3:$C$12,0)),"-")</f>
        <v>Pakaian Wanita</v>
      </c>
      <c r="E721" t="str">
        <f>IFERROR(INDEX(Katalog!$B$3:$B$12,MATCH(cadangan3[[#This Row],[ItemID A]],Katalog!$C$3:$C$12,0)),"-")</f>
        <v>Blouse</v>
      </c>
      <c r="F721">
        <v>1</v>
      </c>
      <c r="G721">
        <v>4</v>
      </c>
      <c r="H721" s="36">
        <f>IFERROR(INDEX(Katalog!$D$3:$D$12,MATCH(cadangan3[[#This Row],[ItemID A]],Katalog!$C$3:$C$12,0))*cadangan3[[#This Row],[Qty A]],0)</f>
        <v>150000</v>
      </c>
      <c r="I721" s="36">
        <f>IFERROR(INDEX(Katalog!$D$3:$D$12,MATCH(cadangan3[[#This Row],[Item A]],Katalog!$B$3:$B$12,0))*cadangan3[[#This Row],[Qty A]],0)</f>
        <v>150000</v>
      </c>
      <c r="J721" s="36">
        <f>IFERROR(cadangan3[[#This Row],[Harga Asli A]]-(cadangan3[[#This Row],[Harga Asli A]]*cadangan3[[#This Row],[Diskon]]),cadangan3[[#This Row],[Harga Asli A]])</f>
        <v>135000</v>
      </c>
      <c r="K721" s="36">
        <f>INDEX(Katalog!$F$3:$F$12,MATCH(cadangan3[[#This Row],[ItemID A]],Katalog!$C$3:$C$12,0))*cadangan3[[#This Row],[Qty A]]</f>
        <v>50000</v>
      </c>
      <c r="L721" s="36">
        <f>IFERROR(cadangan3[[#This Row],[Profit A]]-(cadangan3[[#This Row],[Profit A]]*cadangan3[[#This Row],[Diskon]]),K721)</f>
        <v>45000</v>
      </c>
      <c r="N721" t="str">
        <f>IFERROR(INDEX(Katalog!$A$3:$A$12,MATCH(cadangan3[[#This Row],[ItemID B]],Katalog!$C$3:$C$12,0)),"-")</f>
        <v>-</v>
      </c>
      <c r="O721" t="str">
        <f>IFERROR(INDEX(Katalog!$B$3:$B$12,MATCH(cadangan3[[#This Row],[ItemID B]],Katalog!$C$3:$C$12,0)),"-")</f>
        <v>-</v>
      </c>
      <c r="R721" s="36">
        <f>IFERROR(INDEX(Katalog!$D$3:$D$12,MATCH(cadangan3[[#This Row],[ItemID B]],Katalog!$C$3:$C$12,0))*cadangan3[[#This Row],[Qty B]],0)</f>
        <v>0</v>
      </c>
      <c r="S721" s="36">
        <f>IFERROR(INDEX(Katalog!$D$3:$D$12,MATCH(cadangan3[[#This Row],[Item B]],Katalog!$B$3:$B$12,0))*cadangan3[[#This Row],[Qty B]],0)</f>
        <v>0</v>
      </c>
      <c r="T721" s="36">
        <f>IFERROR(cadangan3[[#This Row],[Harga Asli B]]-(cadangan3[[#This Row],[Harga Asli B]]*cadangan3[[#This Row],[Diskon]]),cadangan3[[#This Row],[Harga Asli B]])</f>
        <v>0</v>
      </c>
      <c r="U721" s="36">
        <f>IFERROR(INDEX(Katalog!$F$3:$F$12,MATCH(cadangan3[[#This Row],[ItemID B]],Katalog!$C$3:$C$12,0))*cadangan3[[#This Row],[Qty B]],0)</f>
        <v>0</v>
      </c>
      <c r="V721" s="36">
        <f>IFERROR(cadangan3[[#This Row],[Profit B]]-(cadangan3[[#This Row],[Profit B]]*cadangan3[[#This Row],[Diskon]]),U721)</f>
        <v>0</v>
      </c>
      <c r="X721" t="str">
        <f>IFERROR(INDEX(Katalog!$A$3:$A$12,MATCH(cadangan3[[#This Row],[ItemID C]],Katalog!$C$3:$C$12,0)),"-")</f>
        <v>-</v>
      </c>
      <c r="Y721" t="str">
        <f>IFERROR(INDEX(Katalog!$B$3:$B$12,MATCH(cadangan3[[#This Row],[ItemID C]],Katalog!$C$3:$C$12,0)),"-")</f>
        <v>-</v>
      </c>
      <c r="AB721" s="36">
        <f>IFERROR(INDEX(Katalog!$D$3:$D$12,MATCH(cadangan3[[#This Row],[ItemID C]],Katalog!$C$3:$C$12,0))*cadangan3[[#This Row],[Qty C]],0)</f>
        <v>0</v>
      </c>
      <c r="AC721" s="36">
        <f>IFERROR(INDEX(Katalog!$D$3:$D$12,MATCH(cadangan3[[#This Row],[Item C]],Katalog!$B$3:$B$12,0))*cadangan3[[#This Row],[Qty C]],0)</f>
        <v>0</v>
      </c>
      <c r="AD721" s="36">
        <f>IFERROR(cadangan3[[#This Row],[Harga Asli C]]-(cadangan3[[#This Row],[Harga Asli C]]*cadangan3[[#This Row],[Diskon]]),cadangan3[[#This Row],[Harga Asli C]])</f>
        <v>0</v>
      </c>
      <c r="AE721" s="36">
        <f>IFERROR(INDEX(Katalog!$F$3:$F$12,MATCH(cadangan3[[#This Row],[ItemID C]],Katalog!$C$3:$C$12,0))*cadangan3[[#This Row],[Qty C]],0)</f>
        <v>0</v>
      </c>
      <c r="AF721" s="36">
        <f>IFERROR(cadangan3[[#This Row],[Profit C]]-(cadangan3[[#This Row],[Profit C]]*cadangan3[[#This Row],[Diskon]]),cadangan3[[#This Row],[Profit C]])</f>
        <v>0</v>
      </c>
      <c r="AG721" s="21">
        <f>cadangan3[[#This Row],[Qty A]]+cadangan3[[#This Row],[Qty B]]+cadangan3[[#This Row],[Qty C]]</f>
        <v>1</v>
      </c>
      <c r="AH721" s="35">
        <f>cadangan3[[#This Row],[Harga A + Diskon]]+cadangan3[[#This Row],[Harga + Diskon B]]+cadangan3[[#This Row],[Harga + Diskon C]]</f>
        <v>135000</v>
      </c>
      <c r="AI721" s="35">
        <f>(cadangan3[[#This Row],[Profit A]]+cadangan3[[#This Row],[Profit B]]+cadangan3[[#This Row],[Profit C]])</f>
        <v>50000</v>
      </c>
      <c r="AJ721" s="35">
        <f>cadangan3[[#This Row],[Provit A + Diskon]]+cadangan3[[#This Row],[Provit B + Diskon]]+cadangan3[[#This Row],[Provit C + Diskon]]</f>
        <v>45000</v>
      </c>
      <c r="AK721" s="23" t="s">
        <v>30</v>
      </c>
      <c r="AL721" s="37">
        <f>IFERROR(INDEX('Kode Diskon'!$D$3:$D$9,MATCH(cadangan3[[#This Row],[Kode diskon]],'Kode Diskon'!$C$3:$C$9,0)),"-")</f>
        <v>0.1</v>
      </c>
      <c r="AM721" s="23" t="s">
        <v>29</v>
      </c>
      <c r="AN721" s="23" t="s">
        <v>10</v>
      </c>
      <c r="AO721" s="23" t="s">
        <v>77</v>
      </c>
      <c r="AP721" s="24">
        <v>45022</v>
      </c>
      <c r="AQ721" s="23" t="str">
        <f>TEXT(cadangan3[[#This Row],[Tanggal terjual]],"dddd")</f>
        <v>Thursday</v>
      </c>
    </row>
    <row r="722" spans="1:43" x14ac:dyDescent="0.2">
      <c r="A722" s="20">
        <v>721</v>
      </c>
      <c r="B722" s="21" t="str">
        <f>_xlfn.CONCAT("ORD-",INDEX(Helper!$B$2:$B$5,MATCH(cadangan3[[#This Row],[Marketplace]],Helper!$A$2:$A$5,0)),TEXT(cadangan3[[#This Row],[No]],"0000"),"-",TEXT(cadangan3[[#This Row],[Tanggal terjual]],"dd/mm/yy"))</f>
        <v>ORD-TK0721-05/04/23</v>
      </c>
      <c r="C722" t="s">
        <v>67</v>
      </c>
      <c r="D722" t="str">
        <f>IFERROR(INDEX(Katalog!$A$3:$A$12,MATCH(cadangan3[[#This Row],[ItemID A]],Katalog!$C$3:$C$12,0)),"-")</f>
        <v>Sepatu Wanita</v>
      </c>
      <c r="E722" t="str">
        <f>IFERROR(INDEX(Katalog!$B$3:$B$12,MATCH(cadangan3[[#This Row],[ItemID A]],Katalog!$C$3:$C$12,0)),"-")</f>
        <v>Flat Shoes</v>
      </c>
      <c r="F722">
        <v>1</v>
      </c>
      <c r="G722">
        <v>1</v>
      </c>
      <c r="H722" s="36">
        <f>IFERROR(INDEX(Katalog!$D$3:$D$12,MATCH(cadangan3[[#This Row],[ItemID A]],Katalog!$C$3:$C$12,0))*cadangan3[[#This Row],[Qty A]],0)</f>
        <v>250000</v>
      </c>
      <c r="I722" s="36">
        <f>IFERROR(INDEX(Katalog!$D$3:$D$12,MATCH(cadangan3[[#This Row],[Item A]],Katalog!$B$3:$B$12,0))*cadangan3[[#This Row],[Qty A]],0)</f>
        <v>250000</v>
      </c>
      <c r="J722" s="36">
        <f>IFERROR(cadangan3[[#This Row],[Harga Asli A]]-(cadangan3[[#This Row],[Harga Asli A]]*cadangan3[[#This Row],[Diskon]]),cadangan3[[#This Row],[Harga Asli A]])</f>
        <v>225000</v>
      </c>
      <c r="K722" s="36">
        <f>INDEX(Katalog!$F$3:$F$12,MATCH(cadangan3[[#This Row],[ItemID A]],Katalog!$C$3:$C$12,0))*cadangan3[[#This Row],[Qty A]]</f>
        <v>100000</v>
      </c>
      <c r="L722" s="36">
        <f>IFERROR(cadangan3[[#This Row],[Profit A]]-(cadangan3[[#This Row],[Profit A]]*cadangan3[[#This Row],[Diskon]]),K722)</f>
        <v>90000</v>
      </c>
      <c r="N722" t="str">
        <f>IFERROR(INDEX(Katalog!$A$3:$A$12,MATCH(cadangan3[[#This Row],[ItemID B]],Katalog!$C$3:$C$12,0)),"-")</f>
        <v>-</v>
      </c>
      <c r="O722" t="str">
        <f>IFERROR(INDEX(Katalog!$B$3:$B$12,MATCH(cadangan3[[#This Row],[ItemID B]],Katalog!$C$3:$C$12,0)),"-")</f>
        <v>-</v>
      </c>
      <c r="R722" s="36">
        <f>IFERROR(INDEX(Katalog!$D$3:$D$12,MATCH(cadangan3[[#This Row],[ItemID B]],Katalog!$C$3:$C$12,0))*cadangan3[[#This Row],[Qty B]],0)</f>
        <v>0</v>
      </c>
      <c r="S722" s="36">
        <f>IFERROR(INDEX(Katalog!$D$3:$D$12,MATCH(cadangan3[[#This Row],[Item B]],Katalog!$B$3:$B$12,0))*cadangan3[[#This Row],[Qty B]],0)</f>
        <v>0</v>
      </c>
      <c r="T722" s="36">
        <f>IFERROR(cadangan3[[#This Row],[Harga Asli B]]-(cadangan3[[#This Row],[Harga Asli B]]*cadangan3[[#This Row],[Diskon]]),cadangan3[[#This Row],[Harga Asli B]])</f>
        <v>0</v>
      </c>
      <c r="U722" s="36">
        <f>IFERROR(INDEX(Katalog!$F$3:$F$12,MATCH(cadangan3[[#This Row],[ItemID B]],Katalog!$C$3:$C$12,0))*cadangan3[[#This Row],[Qty B]],0)</f>
        <v>0</v>
      </c>
      <c r="V722" s="36">
        <f>IFERROR(cadangan3[[#This Row],[Profit B]]-(cadangan3[[#This Row],[Profit B]]*cadangan3[[#This Row],[Diskon]]),U722)</f>
        <v>0</v>
      </c>
      <c r="X722" t="str">
        <f>IFERROR(INDEX(Katalog!$A$3:$A$12,MATCH(cadangan3[[#This Row],[ItemID C]],Katalog!$C$3:$C$12,0)),"-")</f>
        <v>-</v>
      </c>
      <c r="Y722" t="str">
        <f>IFERROR(INDEX(Katalog!$B$3:$B$12,MATCH(cadangan3[[#This Row],[ItemID C]],Katalog!$C$3:$C$12,0)),"-")</f>
        <v>-</v>
      </c>
      <c r="AB722" s="36">
        <f>IFERROR(INDEX(Katalog!$D$3:$D$12,MATCH(cadangan3[[#This Row],[ItemID C]],Katalog!$C$3:$C$12,0))*cadangan3[[#This Row],[Qty C]],0)</f>
        <v>0</v>
      </c>
      <c r="AC722" s="36">
        <f>IFERROR(INDEX(Katalog!$D$3:$D$12,MATCH(cadangan3[[#This Row],[Item C]],Katalog!$B$3:$B$12,0))*cadangan3[[#This Row],[Qty C]],0)</f>
        <v>0</v>
      </c>
      <c r="AD722" s="36">
        <f>IFERROR(cadangan3[[#This Row],[Harga Asli C]]-(cadangan3[[#This Row],[Harga Asli C]]*cadangan3[[#This Row],[Diskon]]),cadangan3[[#This Row],[Harga Asli C]])</f>
        <v>0</v>
      </c>
      <c r="AE722" s="36">
        <f>IFERROR(INDEX(Katalog!$F$3:$F$12,MATCH(cadangan3[[#This Row],[ItemID C]],Katalog!$C$3:$C$12,0))*cadangan3[[#This Row],[Qty C]],0)</f>
        <v>0</v>
      </c>
      <c r="AF722" s="36">
        <f>IFERROR(cadangan3[[#This Row],[Profit C]]-(cadangan3[[#This Row],[Profit C]]*cadangan3[[#This Row],[Diskon]]),cadangan3[[#This Row],[Profit C]])</f>
        <v>0</v>
      </c>
      <c r="AG722" s="21">
        <f>cadangan3[[#This Row],[Qty A]]+cadangan3[[#This Row],[Qty B]]+cadangan3[[#This Row],[Qty C]]</f>
        <v>1</v>
      </c>
      <c r="AH722" s="35">
        <f>cadangan3[[#This Row],[Harga A + Diskon]]+cadangan3[[#This Row],[Harga + Diskon B]]+cadangan3[[#This Row],[Harga + Diskon C]]</f>
        <v>225000</v>
      </c>
      <c r="AI722" s="35">
        <f>(cadangan3[[#This Row],[Profit A]]+cadangan3[[#This Row],[Profit B]]+cadangan3[[#This Row],[Profit C]])</f>
        <v>100000</v>
      </c>
      <c r="AJ722" s="35">
        <f>cadangan3[[#This Row],[Provit A + Diskon]]+cadangan3[[#This Row],[Provit B + Diskon]]+cadangan3[[#This Row],[Provit C + Diskon]]</f>
        <v>90000</v>
      </c>
      <c r="AK722" s="23" t="s">
        <v>30</v>
      </c>
      <c r="AL722" s="37">
        <f>IFERROR(INDEX('Kode Diskon'!$D$3:$D$9,MATCH(cadangan3[[#This Row],[Kode diskon]],'Kode Diskon'!$C$3:$C$9,0)),"-")</f>
        <v>0.1</v>
      </c>
      <c r="AM722" s="23" t="s">
        <v>29</v>
      </c>
      <c r="AN722" s="23" t="s">
        <v>10</v>
      </c>
      <c r="AO722" s="23" t="s">
        <v>80</v>
      </c>
      <c r="AP722" s="24">
        <v>45021</v>
      </c>
      <c r="AQ722" s="23" t="str">
        <f>TEXT(cadangan3[[#This Row],[Tanggal terjual]],"dddd")</f>
        <v>Wednesday</v>
      </c>
    </row>
    <row r="723" spans="1:43" x14ac:dyDescent="0.2">
      <c r="A723" s="20">
        <v>722</v>
      </c>
      <c r="B723" s="21" t="str">
        <f>_xlfn.CONCAT("ORD-",INDEX(Helper!$B$2:$B$5,MATCH(cadangan3[[#This Row],[Marketplace]],Helper!$A$2:$A$5,0)),TEXT(cadangan3[[#This Row],[No]],"0000"),"-",TEXT(cadangan3[[#This Row],[Tanggal terjual]],"dd/mm/yy"))</f>
        <v>ORD-TK0722-01/04/23</v>
      </c>
      <c r="C723" t="s">
        <v>66</v>
      </c>
      <c r="D723" t="str">
        <f>IFERROR(INDEX(Katalog!$A$3:$A$12,MATCH(cadangan3[[#This Row],[ItemID A]],Katalog!$C$3:$C$12,0)),"-")</f>
        <v>Sepatu Pria</v>
      </c>
      <c r="E723" t="str">
        <f>IFERROR(INDEX(Katalog!$B$3:$B$12,MATCH(cadangan3[[#This Row],[ItemID A]],Katalog!$C$3:$C$12,0)),"-")</f>
        <v>Sandal Slip On</v>
      </c>
      <c r="F723">
        <v>4</v>
      </c>
      <c r="G723">
        <v>2</v>
      </c>
      <c r="H723" s="36">
        <f>IFERROR(INDEX(Katalog!$D$3:$D$12,MATCH(cadangan3[[#This Row],[ItemID A]],Katalog!$C$3:$C$12,0))*cadangan3[[#This Row],[Qty A]],0)</f>
        <v>600000</v>
      </c>
      <c r="I723" s="36">
        <f>IFERROR(INDEX(Katalog!$D$3:$D$12,MATCH(cadangan3[[#This Row],[Item A]],Katalog!$B$3:$B$12,0))*cadangan3[[#This Row],[Qty A]],0)</f>
        <v>600000</v>
      </c>
      <c r="J723" s="36">
        <f>IFERROR(cadangan3[[#This Row],[Harga Asli A]]-(cadangan3[[#This Row],[Harga Asli A]]*cadangan3[[#This Row],[Diskon]]),cadangan3[[#This Row],[Harga Asli A]])</f>
        <v>540000</v>
      </c>
      <c r="K723" s="36">
        <f>INDEX(Katalog!$F$3:$F$12,MATCH(cadangan3[[#This Row],[ItemID A]],Katalog!$C$3:$C$12,0))*cadangan3[[#This Row],[Qty A]]</f>
        <v>240000</v>
      </c>
      <c r="L723" s="36">
        <f>IFERROR(cadangan3[[#This Row],[Profit A]]-(cadangan3[[#This Row],[Profit A]]*cadangan3[[#This Row],[Diskon]]),K723)</f>
        <v>216000</v>
      </c>
      <c r="N723" t="str">
        <f>IFERROR(INDEX(Katalog!$A$3:$A$12,MATCH(cadangan3[[#This Row],[ItemID B]],Katalog!$C$3:$C$12,0)),"-")</f>
        <v>-</v>
      </c>
      <c r="O723" t="str">
        <f>IFERROR(INDEX(Katalog!$B$3:$B$12,MATCH(cadangan3[[#This Row],[ItemID B]],Katalog!$C$3:$C$12,0)),"-")</f>
        <v>-</v>
      </c>
      <c r="R723" s="36">
        <f>IFERROR(INDEX(Katalog!$D$3:$D$12,MATCH(cadangan3[[#This Row],[ItemID B]],Katalog!$C$3:$C$12,0))*cadangan3[[#This Row],[Qty B]],0)</f>
        <v>0</v>
      </c>
      <c r="S723" s="36">
        <f>IFERROR(INDEX(Katalog!$D$3:$D$12,MATCH(cadangan3[[#This Row],[Item B]],Katalog!$B$3:$B$12,0))*cadangan3[[#This Row],[Qty B]],0)</f>
        <v>0</v>
      </c>
      <c r="T723" s="36">
        <f>IFERROR(cadangan3[[#This Row],[Harga Asli B]]-(cadangan3[[#This Row],[Harga Asli B]]*cadangan3[[#This Row],[Diskon]]),cadangan3[[#This Row],[Harga Asli B]])</f>
        <v>0</v>
      </c>
      <c r="U723" s="36">
        <f>IFERROR(INDEX(Katalog!$F$3:$F$12,MATCH(cadangan3[[#This Row],[ItemID B]],Katalog!$C$3:$C$12,0))*cadangan3[[#This Row],[Qty B]],0)</f>
        <v>0</v>
      </c>
      <c r="V723" s="36">
        <f>IFERROR(cadangan3[[#This Row],[Profit B]]-(cadangan3[[#This Row],[Profit B]]*cadangan3[[#This Row],[Diskon]]),U723)</f>
        <v>0</v>
      </c>
      <c r="X723" t="str">
        <f>IFERROR(INDEX(Katalog!$A$3:$A$12,MATCH(cadangan3[[#This Row],[ItemID C]],Katalog!$C$3:$C$12,0)),"-")</f>
        <v>-</v>
      </c>
      <c r="Y723" t="str">
        <f>IFERROR(INDEX(Katalog!$B$3:$B$12,MATCH(cadangan3[[#This Row],[ItemID C]],Katalog!$C$3:$C$12,0)),"-")</f>
        <v>-</v>
      </c>
      <c r="AB723" s="36">
        <f>IFERROR(INDEX(Katalog!$D$3:$D$12,MATCH(cadangan3[[#This Row],[ItemID C]],Katalog!$C$3:$C$12,0))*cadangan3[[#This Row],[Qty C]],0)</f>
        <v>0</v>
      </c>
      <c r="AC723" s="36">
        <f>IFERROR(INDEX(Katalog!$D$3:$D$12,MATCH(cadangan3[[#This Row],[Item C]],Katalog!$B$3:$B$12,0))*cadangan3[[#This Row],[Qty C]],0)</f>
        <v>0</v>
      </c>
      <c r="AD723" s="36">
        <f>IFERROR(cadangan3[[#This Row],[Harga Asli C]]-(cadangan3[[#This Row],[Harga Asli C]]*cadangan3[[#This Row],[Diskon]]),cadangan3[[#This Row],[Harga Asli C]])</f>
        <v>0</v>
      </c>
      <c r="AE723" s="36">
        <f>IFERROR(INDEX(Katalog!$F$3:$F$12,MATCH(cadangan3[[#This Row],[ItemID C]],Katalog!$C$3:$C$12,0))*cadangan3[[#This Row],[Qty C]],0)</f>
        <v>0</v>
      </c>
      <c r="AF723" s="36">
        <f>IFERROR(cadangan3[[#This Row],[Profit C]]-(cadangan3[[#This Row],[Profit C]]*cadangan3[[#This Row],[Diskon]]),cadangan3[[#This Row],[Profit C]])</f>
        <v>0</v>
      </c>
      <c r="AG723" s="21">
        <f>cadangan3[[#This Row],[Qty A]]+cadangan3[[#This Row],[Qty B]]+cadangan3[[#This Row],[Qty C]]</f>
        <v>4</v>
      </c>
      <c r="AH723" s="35">
        <f>cadangan3[[#This Row],[Harga A + Diskon]]+cadangan3[[#This Row],[Harga + Diskon B]]+cadangan3[[#This Row],[Harga + Diskon C]]</f>
        <v>540000</v>
      </c>
      <c r="AI723" s="35">
        <f>(cadangan3[[#This Row],[Profit A]]+cadangan3[[#This Row],[Profit B]]+cadangan3[[#This Row],[Profit C]])</f>
        <v>240000</v>
      </c>
      <c r="AJ723" s="35">
        <f>cadangan3[[#This Row],[Provit A + Diskon]]+cadangan3[[#This Row],[Provit B + Diskon]]+cadangan3[[#This Row],[Provit C + Diskon]]</f>
        <v>216000</v>
      </c>
      <c r="AK723" s="23" t="s">
        <v>30</v>
      </c>
      <c r="AL723" s="37">
        <f>IFERROR(INDEX('Kode Diskon'!$D$3:$D$9,MATCH(cadangan3[[#This Row],[Kode diskon]],'Kode Diskon'!$C$3:$C$9,0)),"-")</f>
        <v>0.1</v>
      </c>
      <c r="AM723" s="23" t="s">
        <v>29</v>
      </c>
      <c r="AN723" s="23" t="s">
        <v>10</v>
      </c>
      <c r="AO723" s="23" t="s">
        <v>80</v>
      </c>
      <c r="AP723" s="24">
        <v>45017</v>
      </c>
      <c r="AQ723" s="23" t="str">
        <f>TEXT(cadangan3[[#This Row],[Tanggal terjual]],"dddd")</f>
        <v>Saturday</v>
      </c>
    </row>
    <row r="724" spans="1:43" x14ac:dyDescent="0.2">
      <c r="A724" s="20">
        <v>723</v>
      </c>
      <c r="B724" s="21" t="str">
        <f>_xlfn.CONCAT("ORD-",INDEX(Helper!$B$2:$B$5,MATCH(cadangan3[[#This Row],[Marketplace]],Helper!$A$2:$A$5,0)),TEXT(cadangan3[[#This Row],[No]],"0000"),"-",TEXT(cadangan3[[#This Row],[Tanggal terjual]],"dd/mm/yy"))</f>
        <v>ORD-TK0723-23/04/23</v>
      </c>
      <c r="C724" t="s">
        <v>63</v>
      </c>
      <c r="D724" t="str">
        <f>IFERROR(INDEX(Katalog!$A$3:$A$12,MATCH(cadangan3[[#This Row],[ItemID A]],Katalog!$C$3:$C$12,0)),"-")</f>
        <v>Pakaian Pria</v>
      </c>
      <c r="E724" t="str">
        <f>IFERROR(INDEX(Katalog!$B$3:$B$12,MATCH(cadangan3[[#This Row],[ItemID A]],Katalog!$C$3:$C$12,0)),"-")</f>
        <v>Jaket Jeans</v>
      </c>
      <c r="F724">
        <v>2</v>
      </c>
      <c r="G724">
        <v>4</v>
      </c>
      <c r="H724" s="36">
        <f>IFERROR(INDEX(Katalog!$D$3:$D$12,MATCH(cadangan3[[#This Row],[ItemID A]],Katalog!$C$3:$C$12,0))*cadangan3[[#This Row],[Qty A]],0)</f>
        <v>800000</v>
      </c>
      <c r="I724" s="36">
        <f>IFERROR(INDEX(Katalog!$D$3:$D$12,MATCH(cadangan3[[#This Row],[Item A]],Katalog!$B$3:$B$12,0))*cadangan3[[#This Row],[Qty A]],0)</f>
        <v>800000</v>
      </c>
      <c r="J724" s="36">
        <f>IFERROR(cadangan3[[#This Row],[Harga Asli A]]-(cadangan3[[#This Row],[Harga Asli A]]*cadangan3[[#This Row],[Diskon]]),cadangan3[[#This Row],[Harga Asli A]])</f>
        <v>720000</v>
      </c>
      <c r="K724" s="36">
        <f>INDEX(Katalog!$F$3:$F$12,MATCH(cadangan3[[#This Row],[ItemID A]],Katalog!$C$3:$C$12,0))*cadangan3[[#This Row],[Qty A]]</f>
        <v>300000</v>
      </c>
      <c r="L724" s="36">
        <f>IFERROR(cadangan3[[#This Row],[Profit A]]-(cadangan3[[#This Row],[Profit A]]*cadangan3[[#This Row],[Diskon]]),K724)</f>
        <v>270000</v>
      </c>
      <c r="M724" t="s">
        <v>60</v>
      </c>
      <c r="N724" t="str">
        <f>IFERROR(INDEX(Katalog!$A$3:$A$12,MATCH(cadangan3[[#This Row],[ItemID B]],Katalog!$C$3:$C$12,0)),"-")</f>
        <v>Pakaian Wanita</v>
      </c>
      <c r="O724" t="str">
        <f>IFERROR(INDEX(Katalog!$B$3:$B$12,MATCH(cadangan3[[#This Row],[ItemID B]],Katalog!$C$3:$C$12,0)),"-")</f>
        <v>Kaftan</v>
      </c>
      <c r="P724">
        <v>1</v>
      </c>
      <c r="Q724">
        <v>2</v>
      </c>
      <c r="R724" s="36">
        <f>IFERROR(INDEX(Katalog!$D$3:$D$12,MATCH(cadangan3[[#This Row],[ItemID B]],Katalog!$C$3:$C$12,0))*cadangan3[[#This Row],[Qty B]],0)</f>
        <v>250000</v>
      </c>
      <c r="S724" s="36">
        <f>IFERROR(INDEX(Katalog!$D$3:$D$12,MATCH(cadangan3[[#This Row],[Item B]],Katalog!$B$3:$B$12,0))*cadangan3[[#This Row],[Qty B]],0)</f>
        <v>250000</v>
      </c>
      <c r="T724" s="36">
        <f>IFERROR(cadangan3[[#This Row],[Harga Asli B]]-(cadangan3[[#This Row],[Harga Asli B]]*cadangan3[[#This Row],[Diskon]]),cadangan3[[#This Row],[Harga Asli B]])</f>
        <v>225000</v>
      </c>
      <c r="U724" s="36">
        <f>IFERROR(INDEX(Katalog!$F$3:$F$12,MATCH(cadangan3[[#This Row],[ItemID B]],Katalog!$C$3:$C$12,0))*cadangan3[[#This Row],[Qty B]],0)</f>
        <v>100000</v>
      </c>
      <c r="V724" s="36">
        <f>IFERROR(cadangan3[[#This Row],[Profit B]]-(cadangan3[[#This Row],[Profit B]]*cadangan3[[#This Row],[Diskon]]),U724)</f>
        <v>90000</v>
      </c>
      <c r="W724" t="s">
        <v>63</v>
      </c>
      <c r="X724" t="str">
        <f>IFERROR(INDEX(Katalog!$A$3:$A$12,MATCH(cadangan3[[#This Row],[ItemID C]],Katalog!$C$3:$C$12,0)),"-")</f>
        <v>Pakaian Pria</v>
      </c>
      <c r="Y724" t="str">
        <f>IFERROR(INDEX(Katalog!$B$3:$B$12,MATCH(cadangan3[[#This Row],[ItemID C]],Katalog!$C$3:$C$12,0)),"-")</f>
        <v>Jaket Jeans</v>
      </c>
      <c r="Z724">
        <v>2</v>
      </c>
      <c r="AA724">
        <v>3</v>
      </c>
      <c r="AB724" s="36">
        <f>IFERROR(INDEX(Katalog!$D$3:$D$12,MATCH(cadangan3[[#This Row],[ItemID C]],Katalog!$C$3:$C$12,0))*cadangan3[[#This Row],[Qty C]],0)</f>
        <v>800000</v>
      </c>
      <c r="AC724" s="36">
        <f>IFERROR(INDEX(Katalog!$D$3:$D$12,MATCH(cadangan3[[#This Row],[Item C]],Katalog!$B$3:$B$12,0))*cadangan3[[#This Row],[Qty C]],0)</f>
        <v>800000</v>
      </c>
      <c r="AD724" s="36">
        <f>IFERROR(cadangan3[[#This Row],[Harga Asli C]]-(cadangan3[[#This Row],[Harga Asli C]]*cadangan3[[#This Row],[Diskon]]),cadangan3[[#This Row],[Harga Asli C]])</f>
        <v>720000</v>
      </c>
      <c r="AE724" s="36">
        <f>IFERROR(INDEX(Katalog!$F$3:$F$12,MATCH(cadangan3[[#This Row],[ItemID C]],Katalog!$C$3:$C$12,0))*cadangan3[[#This Row],[Qty C]],0)</f>
        <v>300000</v>
      </c>
      <c r="AF724" s="36">
        <f>IFERROR(cadangan3[[#This Row],[Profit C]]-(cadangan3[[#This Row],[Profit C]]*cadangan3[[#This Row],[Diskon]]),cadangan3[[#This Row],[Profit C]])</f>
        <v>270000</v>
      </c>
      <c r="AG724" s="21">
        <f>cadangan3[[#This Row],[Qty A]]+cadangan3[[#This Row],[Qty B]]+cadangan3[[#This Row],[Qty C]]</f>
        <v>5</v>
      </c>
      <c r="AH724" s="35">
        <f>cadangan3[[#This Row],[Harga A + Diskon]]+cadangan3[[#This Row],[Harga + Diskon B]]+cadangan3[[#This Row],[Harga + Diskon C]]</f>
        <v>1665000</v>
      </c>
      <c r="AI724" s="35">
        <f>(cadangan3[[#This Row],[Profit A]]+cadangan3[[#This Row],[Profit B]]+cadangan3[[#This Row],[Profit C]])</f>
        <v>700000</v>
      </c>
      <c r="AJ724" s="35">
        <f>cadangan3[[#This Row],[Provit A + Diskon]]+cadangan3[[#This Row],[Provit B + Diskon]]+cadangan3[[#This Row],[Provit C + Diskon]]</f>
        <v>630000</v>
      </c>
      <c r="AK724" s="23" t="s">
        <v>31</v>
      </c>
      <c r="AL724" s="37">
        <f>IFERROR(INDEX('Kode Diskon'!$D$3:$D$9,MATCH(cadangan3[[#This Row],[Kode diskon]],'Kode Diskon'!$C$3:$C$9,0)),"-")</f>
        <v>0.1</v>
      </c>
      <c r="AM724" s="23" t="s">
        <v>9</v>
      </c>
      <c r="AN724" s="23" t="s">
        <v>10</v>
      </c>
      <c r="AO724" s="23" t="s">
        <v>79</v>
      </c>
      <c r="AP724" s="24">
        <v>45039</v>
      </c>
      <c r="AQ724" s="23" t="str">
        <f>TEXT(cadangan3[[#This Row],[Tanggal terjual]],"dddd")</f>
        <v>Sunday</v>
      </c>
    </row>
    <row r="725" spans="1:43" x14ac:dyDescent="0.2">
      <c r="A725" s="20">
        <v>724</v>
      </c>
      <c r="B725" s="21" t="str">
        <f>_xlfn.CONCAT("ORD-",INDEX(Helper!$B$2:$B$5,MATCH(cadangan3[[#This Row],[Marketplace]],Helper!$A$2:$A$5,0)),TEXT(cadangan3[[#This Row],[No]],"0000"),"-",TEXT(cadangan3[[#This Row],[Tanggal terjual]],"dd/mm/yy"))</f>
        <v>ORD-SP0724-28/04/23</v>
      </c>
      <c r="C725" t="s">
        <v>63</v>
      </c>
      <c r="D725" t="str">
        <f>IFERROR(INDEX(Katalog!$A$3:$A$12,MATCH(cadangan3[[#This Row],[ItemID A]],Katalog!$C$3:$C$12,0)),"-")</f>
        <v>Pakaian Pria</v>
      </c>
      <c r="E725" t="str">
        <f>IFERROR(INDEX(Katalog!$B$3:$B$12,MATCH(cadangan3[[#This Row],[ItemID A]],Katalog!$C$3:$C$12,0)),"-")</f>
        <v>Jaket Jeans</v>
      </c>
      <c r="F725">
        <v>4</v>
      </c>
      <c r="G725">
        <v>3</v>
      </c>
      <c r="H725" s="36">
        <f>IFERROR(INDEX(Katalog!$D$3:$D$12,MATCH(cadangan3[[#This Row],[ItemID A]],Katalog!$C$3:$C$12,0))*cadangan3[[#This Row],[Qty A]],0)</f>
        <v>1600000</v>
      </c>
      <c r="I725" s="36">
        <f>IFERROR(INDEX(Katalog!$D$3:$D$12,MATCH(cadangan3[[#This Row],[Item A]],Katalog!$B$3:$B$12,0))*cadangan3[[#This Row],[Qty A]],0)</f>
        <v>1600000</v>
      </c>
      <c r="J725" s="36">
        <f>IFERROR(cadangan3[[#This Row],[Harga Asli A]]-(cadangan3[[#This Row],[Harga Asli A]]*cadangan3[[#This Row],[Diskon]]),cadangan3[[#This Row],[Harga Asli A]])</f>
        <v>1280000</v>
      </c>
      <c r="K725" s="36">
        <f>INDEX(Katalog!$F$3:$F$12,MATCH(cadangan3[[#This Row],[ItemID A]],Katalog!$C$3:$C$12,0))*cadangan3[[#This Row],[Qty A]]</f>
        <v>600000</v>
      </c>
      <c r="L725" s="36">
        <f>IFERROR(cadangan3[[#This Row],[Profit A]]-(cadangan3[[#This Row],[Profit A]]*cadangan3[[#This Row],[Diskon]]),K725)</f>
        <v>480000</v>
      </c>
      <c r="M725" t="s">
        <v>66</v>
      </c>
      <c r="N725" t="str">
        <f>IFERROR(INDEX(Katalog!$A$3:$A$12,MATCH(cadangan3[[#This Row],[ItemID B]],Katalog!$C$3:$C$12,0)),"-")</f>
        <v>Sepatu Pria</v>
      </c>
      <c r="O725" t="str">
        <f>IFERROR(INDEX(Katalog!$B$3:$B$12,MATCH(cadangan3[[#This Row],[ItemID B]],Katalog!$C$3:$C$12,0)),"-")</f>
        <v>Sandal Slip On</v>
      </c>
      <c r="P725">
        <v>1</v>
      </c>
      <c r="Q725">
        <v>4</v>
      </c>
      <c r="R725" s="36">
        <f>IFERROR(INDEX(Katalog!$D$3:$D$12,MATCH(cadangan3[[#This Row],[ItemID B]],Katalog!$C$3:$C$12,0))*cadangan3[[#This Row],[Qty B]],0)</f>
        <v>150000</v>
      </c>
      <c r="S725" s="36">
        <f>IFERROR(INDEX(Katalog!$D$3:$D$12,MATCH(cadangan3[[#This Row],[Item B]],Katalog!$B$3:$B$12,0))*cadangan3[[#This Row],[Qty B]],0)</f>
        <v>150000</v>
      </c>
      <c r="T725" s="36">
        <f>IFERROR(cadangan3[[#This Row],[Harga Asli B]]-(cadangan3[[#This Row],[Harga Asli B]]*cadangan3[[#This Row],[Diskon]]),cadangan3[[#This Row],[Harga Asli B]])</f>
        <v>120000</v>
      </c>
      <c r="U725" s="36">
        <f>IFERROR(INDEX(Katalog!$F$3:$F$12,MATCH(cadangan3[[#This Row],[ItemID B]],Katalog!$C$3:$C$12,0))*cadangan3[[#This Row],[Qty B]],0)</f>
        <v>60000</v>
      </c>
      <c r="V725" s="36">
        <f>IFERROR(cadangan3[[#This Row],[Profit B]]-(cadangan3[[#This Row],[Profit B]]*cadangan3[[#This Row],[Diskon]]),U725)</f>
        <v>48000</v>
      </c>
      <c r="X725" t="str">
        <f>IFERROR(INDEX(Katalog!$A$3:$A$12,MATCH(cadangan3[[#This Row],[ItemID C]],Katalog!$C$3:$C$12,0)),"-")</f>
        <v>-</v>
      </c>
      <c r="Y725" t="str">
        <f>IFERROR(INDEX(Katalog!$B$3:$B$12,MATCH(cadangan3[[#This Row],[ItemID C]],Katalog!$C$3:$C$12,0)),"-")</f>
        <v>-</v>
      </c>
      <c r="AB725" s="36">
        <f>IFERROR(INDEX(Katalog!$D$3:$D$12,MATCH(cadangan3[[#This Row],[ItemID C]],Katalog!$C$3:$C$12,0))*cadangan3[[#This Row],[Qty C]],0)</f>
        <v>0</v>
      </c>
      <c r="AC725" s="36">
        <f>IFERROR(INDEX(Katalog!$D$3:$D$12,MATCH(cadangan3[[#This Row],[Item C]],Katalog!$B$3:$B$12,0))*cadangan3[[#This Row],[Qty C]],0)</f>
        <v>0</v>
      </c>
      <c r="AD725" s="36">
        <f>IFERROR(cadangan3[[#This Row],[Harga Asli C]]-(cadangan3[[#This Row],[Harga Asli C]]*cadangan3[[#This Row],[Diskon]]),cadangan3[[#This Row],[Harga Asli C]])</f>
        <v>0</v>
      </c>
      <c r="AE725" s="36">
        <f>IFERROR(INDEX(Katalog!$F$3:$F$12,MATCH(cadangan3[[#This Row],[ItemID C]],Katalog!$C$3:$C$12,0))*cadangan3[[#This Row],[Qty C]],0)</f>
        <v>0</v>
      </c>
      <c r="AF725" s="36">
        <f>IFERROR(cadangan3[[#This Row],[Profit C]]-(cadangan3[[#This Row],[Profit C]]*cadangan3[[#This Row],[Diskon]]),cadangan3[[#This Row],[Profit C]])</f>
        <v>0</v>
      </c>
      <c r="AG725" s="21">
        <f>cadangan3[[#This Row],[Qty A]]+cadangan3[[#This Row],[Qty B]]+cadangan3[[#This Row],[Qty C]]</f>
        <v>5</v>
      </c>
      <c r="AH725" s="35">
        <f>cadangan3[[#This Row],[Harga A + Diskon]]+cadangan3[[#This Row],[Harga + Diskon B]]+cadangan3[[#This Row],[Harga + Diskon C]]</f>
        <v>1400000</v>
      </c>
      <c r="AI725" s="35">
        <f>(cadangan3[[#This Row],[Profit A]]+cadangan3[[#This Row],[Profit B]]+cadangan3[[#This Row],[Profit C]])</f>
        <v>660000</v>
      </c>
      <c r="AJ725" s="35">
        <f>cadangan3[[#This Row],[Provit A + Diskon]]+cadangan3[[#This Row],[Provit B + Diskon]]+cadangan3[[#This Row],[Provit C + Diskon]]</f>
        <v>528000</v>
      </c>
      <c r="AK725" s="23" t="s">
        <v>8</v>
      </c>
      <c r="AL725" s="37">
        <f>IFERROR(INDEX('Kode Diskon'!$D$3:$D$9,MATCH(cadangan3[[#This Row],[Kode diskon]],'Kode Diskon'!$C$3:$C$9,0)),"-")</f>
        <v>0.2</v>
      </c>
      <c r="AM725" s="23" t="s">
        <v>9</v>
      </c>
      <c r="AN725" s="23" t="s">
        <v>7</v>
      </c>
      <c r="AO725" s="23" t="s">
        <v>76</v>
      </c>
      <c r="AP725" s="24">
        <v>45044</v>
      </c>
      <c r="AQ725" s="23" t="str">
        <f>TEXT(cadangan3[[#This Row],[Tanggal terjual]],"dddd")</f>
        <v>Friday</v>
      </c>
    </row>
    <row r="726" spans="1:43" x14ac:dyDescent="0.2">
      <c r="A726" s="20">
        <v>725</v>
      </c>
      <c r="B726" s="21" t="str">
        <f>_xlfn.CONCAT("ORD-",INDEX(Helper!$B$2:$B$5,MATCH(cadangan3[[#This Row],[Marketplace]],Helper!$A$2:$A$5,0)),TEXT(cadangan3[[#This Row],[No]],"0000"),"-",TEXT(cadangan3[[#This Row],[Tanggal terjual]],"dd/mm/yy"))</f>
        <v>ORD-SP0725-14/04/23</v>
      </c>
      <c r="C726" t="s">
        <v>62</v>
      </c>
      <c r="D726" t="str">
        <f>IFERROR(INDEX(Katalog!$A$3:$A$12,MATCH(cadangan3[[#This Row],[ItemID A]],Katalog!$C$3:$C$12,0)),"-")</f>
        <v>Pakaian Pria</v>
      </c>
      <c r="E726" t="str">
        <f>IFERROR(INDEX(Katalog!$B$3:$B$12,MATCH(cadangan3[[#This Row],[ItemID A]],Katalog!$C$3:$C$12,0)),"-")</f>
        <v>Celana Pendek</v>
      </c>
      <c r="F726">
        <v>1</v>
      </c>
      <c r="G726">
        <v>1</v>
      </c>
      <c r="H726" s="36">
        <f>IFERROR(INDEX(Katalog!$D$3:$D$12,MATCH(cadangan3[[#This Row],[ItemID A]],Katalog!$C$3:$C$12,0))*cadangan3[[#This Row],[Qty A]],0)</f>
        <v>180000</v>
      </c>
      <c r="I726" s="36">
        <f>IFERROR(INDEX(Katalog!$D$3:$D$12,MATCH(cadangan3[[#This Row],[Item A]],Katalog!$B$3:$B$12,0))*cadangan3[[#This Row],[Qty A]],0)</f>
        <v>180000</v>
      </c>
      <c r="J726" s="36">
        <f>IFERROR(cadangan3[[#This Row],[Harga Asli A]]-(cadangan3[[#This Row],[Harga Asli A]]*cadangan3[[#This Row],[Diskon]]),cadangan3[[#This Row],[Harga Asli A]])</f>
        <v>180000</v>
      </c>
      <c r="K726" s="36">
        <f>INDEX(Katalog!$F$3:$F$12,MATCH(cadangan3[[#This Row],[ItemID A]],Katalog!$C$3:$C$12,0))*cadangan3[[#This Row],[Qty A]]</f>
        <v>70000</v>
      </c>
      <c r="L726" s="36">
        <f>IFERROR(cadangan3[[#This Row],[Profit A]]-(cadangan3[[#This Row],[Profit A]]*cadangan3[[#This Row],[Diskon]]),K726)</f>
        <v>70000</v>
      </c>
      <c r="M726" t="s">
        <v>61</v>
      </c>
      <c r="N726" t="str">
        <f>IFERROR(INDEX(Katalog!$A$3:$A$12,MATCH(cadangan3[[#This Row],[ItemID B]],Katalog!$C$3:$C$12,0)),"-")</f>
        <v>Pakaian Pria</v>
      </c>
      <c r="O726" t="str">
        <f>IFERROR(INDEX(Katalog!$B$3:$B$12,MATCH(cadangan3[[#This Row],[ItemID B]],Katalog!$C$3:$C$12,0)),"-")</f>
        <v>Kaos Polo</v>
      </c>
      <c r="P726">
        <v>2</v>
      </c>
      <c r="Q726">
        <v>5</v>
      </c>
      <c r="R726" s="36">
        <f>IFERROR(INDEX(Katalog!$D$3:$D$12,MATCH(cadangan3[[#This Row],[ItemID B]],Katalog!$C$3:$C$12,0))*cadangan3[[#This Row],[Qty B]],0)</f>
        <v>400000</v>
      </c>
      <c r="S726" s="36">
        <f>IFERROR(INDEX(Katalog!$D$3:$D$12,MATCH(cadangan3[[#This Row],[Item B]],Katalog!$B$3:$B$12,0))*cadangan3[[#This Row],[Qty B]],0)</f>
        <v>400000</v>
      </c>
      <c r="T726" s="36">
        <f>IFERROR(cadangan3[[#This Row],[Harga Asli B]]-(cadangan3[[#This Row],[Harga Asli B]]*cadangan3[[#This Row],[Diskon]]),cadangan3[[#This Row],[Harga Asli B]])</f>
        <v>400000</v>
      </c>
      <c r="U726" s="36">
        <f>IFERROR(INDEX(Katalog!$F$3:$F$12,MATCH(cadangan3[[#This Row],[ItemID B]],Katalog!$C$3:$C$12,0))*cadangan3[[#This Row],[Qty B]],0)</f>
        <v>160000</v>
      </c>
      <c r="V726" s="36">
        <f>IFERROR(cadangan3[[#This Row],[Profit B]]-(cadangan3[[#This Row],[Profit B]]*cadangan3[[#This Row],[Diskon]]),U726)</f>
        <v>160000</v>
      </c>
      <c r="W726" t="s">
        <v>60</v>
      </c>
      <c r="X726" t="str">
        <f>IFERROR(INDEX(Katalog!$A$3:$A$12,MATCH(cadangan3[[#This Row],[ItemID C]],Katalog!$C$3:$C$12,0)),"-")</f>
        <v>Pakaian Wanita</v>
      </c>
      <c r="Y726" t="str">
        <f>IFERROR(INDEX(Katalog!$B$3:$B$12,MATCH(cadangan3[[#This Row],[ItemID C]],Katalog!$C$3:$C$12,0)),"-")</f>
        <v>Kaftan</v>
      </c>
      <c r="Z726">
        <v>3</v>
      </c>
      <c r="AA726">
        <v>5</v>
      </c>
      <c r="AB726" s="36">
        <f>IFERROR(INDEX(Katalog!$D$3:$D$12,MATCH(cadangan3[[#This Row],[ItemID C]],Katalog!$C$3:$C$12,0))*cadangan3[[#This Row],[Qty C]],0)</f>
        <v>750000</v>
      </c>
      <c r="AC726" s="36">
        <f>IFERROR(INDEX(Katalog!$D$3:$D$12,MATCH(cadangan3[[#This Row],[Item C]],Katalog!$B$3:$B$12,0))*cadangan3[[#This Row],[Qty C]],0)</f>
        <v>750000</v>
      </c>
      <c r="AD726" s="36">
        <f>IFERROR(cadangan3[[#This Row],[Harga Asli C]]-(cadangan3[[#This Row],[Harga Asli C]]*cadangan3[[#This Row],[Diskon]]),cadangan3[[#This Row],[Harga Asli C]])</f>
        <v>750000</v>
      </c>
      <c r="AE726" s="36">
        <f>IFERROR(INDEX(Katalog!$F$3:$F$12,MATCH(cadangan3[[#This Row],[ItemID C]],Katalog!$C$3:$C$12,0))*cadangan3[[#This Row],[Qty C]],0)</f>
        <v>300000</v>
      </c>
      <c r="AF726" s="36">
        <f>IFERROR(cadangan3[[#This Row],[Profit C]]-(cadangan3[[#This Row],[Profit C]]*cadangan3[[#This Row],[Diskon]]),cadangan3[[#This Row],[Profit C]])</f>
        <v>300000</v>
      </c>
      <c r="AG726" s="21">
        <f>cadangan3[[#This Row],[Qty A]]+cadangan3[[#This Row],[Qty B]]+cadangan3[[#This Row],[Qty C]]</f>
        <v>6</v>
      </c>
      <c r="AH726" s="35">
        <f>cadangan3[[#This Row],[Harga A + Diskon]]+cadangan3[[#This Row],[Harga + Diskon B]]+cadangan3[[#This Row],[Harga + Diskon C]]</f>
        <v>1330000</v>
      </c>
      <c r="AI726" s="35">
        <f>(cadangan3[[#This Row],[Profit A]]+cadangan3[[#This Row],[Profit B]]+cadangan3[[#This Row],[Profit C]])</f>
        <v>530000</v>
      </c>
      <c r="AJ726" s="35">
        <f>cadangan3[[#This Row],[Provit A + Diskon]]+cadangan3[[#This Row],[Provit B + Diskon]]+cadangan3[[#This Row],[Provit C + Diskon]]</f>
        <v>530000</v>
      </c>
      <c r="AK726" s="23" t="s">
        <v>11</v>
      </c>
      <c r="AL726" s="37" t="str">
        <f>IFERROR(INDEX('Kode Diskon'!$D$3:$D$9,MATCH(cadangan3[[#This Row],[Kode diskon]],'Kode Diskon'!$C$3:$C$9,0)),"-")</f>
        <v>-</v>
      </c>
      <c r="AM726" s="23" t="s">
        <v>11</v>
      </c>
      <c r="AN726" s="23" t="s">
        <v>7</v>
      </c>
      <c r="AO726" s="23" t="s">
        <v>77</v>
      </c>
      <c r="AP726" s="24">
        <v>45030</v>
      </c>
      <c r="AQ726" s="23" t="str">
        <f>TEXT(cadangan3[[#This Row],[Tanggal terjual]],"dddd")</f>
        <v>Friday</v>
      </c>
    </row>
    <row r="727" spans="1:43" x14ac:dyDescent="0.2">
      <c r="A727" s="20">
        <v>726</v>
      </c>
      <c r="B727" s="21" t="str">
        <f>_xlfn.CONCAT("ORD-",INDEX(Helper!$B$2:$B$5,MATCH(cadangan3[[#This Row],[Marketplace]],Helper!$A$2:$A$5,0)),TEXT(cadangan3[[#This Row],[No]],"0000"),"-",TEXT(cadangan3[[#This Row],[Tanggal terjual]],"dd/mm/yy"))</f>
        <v>ORD-BL0726-17/04/23</v>
      </c>
      <c r="C727" t="s">
        <v>64</v>
      </c>
      <c r="D727" t="str">
        <f>IFERROR(INDEX(Katalog!$A$3:$A$12,MATCH(cadangan3[[#This Row],[ItemID A]],Katalog!$C$3:$C$12,0)),"-")</f>
        <v>Pakaian Unisex</v>
      </c>
      <c r="E727" t="str">
        <f>IFERROR(INDEX(Katalog!$B$3:$B$12,MATCH(cadangan3[[#This Row],[ItemID A]],Katalog!$C$3:$C$12,0)),"-")</f>
        <v>Jaket Hoodie</v>
      </c>
      <c r="F727">
        <v>1</v>
      </c>
      <c r="G727">
        <v>1</v>
      </c>
      <c r="H727" s="36">
        <f>IFERROR(INDEX(Katalog!$D$3:$D$12,MATCH(cadangan3[[#This Row],[ItemID A]],Katalog!$C$3:$C$12,0))*cadangan3[[#This Row],[Qty A]],0)</f>
        <v>350000</v>
      </c>
      <c r="I727" s="36">
        <f>IFERROR(INDEX(Katalog!$D$3:$D$12,MATCH(cadangan3[[#This Row],[Item A]],Katalog!$B$3:$B$12,0))*cadangan3[[#This Row],[Qty A]],0)</f>
        <v>350000</v>
      </c>
      <c r="J727" s="36">
        <f>IFERROR(cadangan3[[#This Row],[Harga Asli A]]-(cadangan3[[#This Row],[Harga Asli A]]*cadangan3[[#This Row],[Diskon]]),cadangan3[[#This Row],[Harga Asli A]])</f>
        <v>297500</v>
      </c>
      <c r="K727" s="36">
        <f>INDEX(Katalog!$F$3:$F$12,MATCH(cadangan3[[#This Row],[ItemID A]],Katalog!$C$3:$C$12,0))*cadangan3[[#This Row],[Qty A]]</f>
        <v>130000</v>
      </c>
      <c r="L727" s="36">
        <f>IFERROR(cadangan3[[#This Row],[Profit A]]-(cadangan3[[#This Row],[Profit A]]*cadangan3[[#This Row],[Diskon]]),K727)</f>
        <v>110500</v>
      </c>
      <c r="N727" t="str">
        <f>IFERROR(INDEX(Katalog!$A$3:$A$12,MATCH(cadangan3[[#This Row],[ItemID B]],Katalog!$C$3:$C$12,0)),"-")</f>
        <v>-</v>
      </c>
      <c r="O727" t="str">
        <f>IFERROR(INDEX(Katalog!$B$3:$B$12,MATCH(cadangan3[[#This Row],[ItemID B]],Katalog!$C$3:$C$12,0)),"-")</f>
        <v>-</v>
      </c>
      <c r="R727" s="36">
        <f>IFERROR(INDEX(Katalog!$D$3:$D$12,MATCH(cadangan3[[#This Row],[ItemID B]],Katalog!$C$3:$C$12,0))*cadangan3[[#This Row],[Qty B]],0)</f>
        <v>0</v>
      </c>
      <c r="S727" s="36">
        <f>IFERROR(INDEX(Katalog!$D$3:$D$12,MATCH(cadangan3[[#This Row],[Item B]],Katalog!$B$3:$B$12,0))*cadangan3[[#This Row],[Qty B]],0)</f>
        <v>0</v>
      </c>
      <c r="T727" s="36">
        <f>IFERROR(cadangan3[[#This Row],[Harga Asli B]]-(cadangan3[[#This Row],[Harga Asli B]]*cadangan3[[#This Row],[Diskon]]),cadangan3[[#This Row],[Harga Asli B]])</f>
        <v>0</v>
      </c>
      <c r="U727" s="36">
        <f>IFERROR(INDEX(Katalog!$F$3:$F$12,MATCH(cadangan3[[#This Row],[ItemID B]],Katalog!$C$3:$C$12,0))*cadangan3[[#This Row],[Qty B]],0)</f>
        <v>0</v>
      </c>
      <c r="V727" s="36">
        <f>IFERROR(cadangan3[[#This Row],[Profit B]]-(cadangan3[[#This Row],[Profit B]]*cadangan3[[#This Row],[Diskon]]),U727)</f>
        <v>0</v>
      </c>
      <c r="X727" t="str">
        <f>IFERROR(INDEX(Katalog!$A$3:$A$12,MATCH(cadangan3[[#This Row],[ItemID C]],Katalog!$C$3:$C$12,0)),"-")</f>
        <v>-</v>
      </c>
      <c r="Y727" t="str">
        <f>IFERROR(INDEX(Katalog!$B$3:$B$12,MATCH(cadangan3[[#This Row],[ItemID C]],Katalog!$C$3:$C$12,0)),"-")</f>
        <v>-</v>
      </c>
      <c r="AB727" s="36">
        <f>IFERROR(INDEX(Katalog!$D$3:$D$12,MATCH(cadangan3[[#This Row],[ItemID C]],Katalog!$C$3:$C$12,0))*cadangan3[[#This Row],[Qty C]],0)</f>
        <v>0</v>
      </c>
      <c r="AC727" s="36">
        <f>IFERROR(INDEX(Katalog!$D$3:$D$12,MATCH(cadangan3[[#This Row],[Item C]],Katalog!$B$3:$B$12,0))*cadangan3[[#This Row],[Qty C]],0)</f>
        <v>0</v>
      </c>
      <c r="AD727" s="36">
        <f>IFERROR(cadangan3[[#This Row],[Harga Asli C]]-(cadangan3[[#This Row],[Harga Asli C]]*cadangan3[[#This Row],[Diskon]]),cadangan3[[#This Row],[Harga Asli C]])</f>
        <v>0</v>
      </c>
      <c r="AE727" s="36">
        <f>IFERROR(INDEX(Katalog!$F$3:$F$12,MATCH(cadangan3[[#This Row],[ItemID C]],Katalog!$C$3:$C$12,0))*cadangan3[[#This Row],[Qty C]],0)</f>
        <v>0</v>
      </c>
      <c r="AF727" s="36">
        <f>IFERROR(cadangan3[[#This Row],[Profit C]]-(cadangan3[[#This Row],[Profit C]]*cadangan3[[#This Row],[Diskon]]),cadangan3[[#This Row],[Profit C]])</f>
        <v>0</v>
      </c>
      <c r="AG727" s="21">
        <f>cadangan3[[#This Row],[Qty A]]+cadangan3[[#This Row],[Qty B]]+cadangan3[[#This Row],[Qty C]]</f>
        <v>1</v>
      </c>
      <c r="AH727" s="35">
        <f>cadangan3[[#This Row],[Harga A + Diskon]]+cadangan3[[#This Row],[Harga + Diskon B]]+cadangan3[[#This Row],[Harga + Diskon C]]</f>
        <v>297500</v>
      </c>
      <c r="AI727" s="35">
        <f>(cadangan3[[#This Row],[Profit A]]+cadangan3[[#This Row],[Profit B]]+cadangan3[[#This Row],[Profit C]])</f>
        <v>130000</v>
      </c>
      <c r="AJ727" s="35">
        <f>cadangan3[[#This Row],[Provit A + Diskon]]+cadangan3[[#This Row],[Provit B + Diskon]]+cadangan3[[#This Row],[Provit C + Diskon]]</f>
        <v>110500</v>
      </c>
      <c r="AK727" s="23" t="s">
        <v>32</v>
      </c>
      <c r="AL727" s="37">
        <f>IFERROR(INDEX('Kode Diskon'!$D$3:$D$9,MATCH(cadangan3[[#This Row],[Kode diskon]],'Kode Diskon'!$C$3:$C$9,0)),"-")</f>
        <v>0.15</v>
      </c>
      <c r="AM727" s="23" t="s">
        <v>9</v>
      </c>
      <c r="AN727" s="23" t="s">
        <v>12</v>
      </c>
      <c r="AO727" s="23" t="s">
        <v>80</v>
      </c>
      <c r="AP727" s="24">
        <v>45033</v>
      </c>
      <c r="AQ727" s="23" t="str">
        <f>TEXT(cadangan3[[#This Row],[Tanggal terjual]],"dddd")</f>
        <v>Monday</v>
      </c>
    </row>
    <row r="728" spans="1:43" x14ac:dyDescent="0.2">
      <c r="A728" s="20">
        <v>727</v>
      </c>
      <c r="B728" s="21" t="str">
        <f>_xlfn.CONCAT("ORD-",INDEX(Helper!$B$2:$B$5,MATCH(cadangan3[[#This Row],[Marketplace]],Helper!$A$2:$A$5,0)),TEXT(cadangan3[[#This Row],[No]],"0000"),"-",TEXT(cadangan3[[#This Row],[Tanggal terjual]],"dd/mm/yy"))</f>
        <v>ORD-SP0727-09/04/23</v>
      </c>
      <c r="C728" t="s">
        <v>61</v>
      </c>
      <c r="D728" t="str">
        <f>IFERROR(INDEX(Katalog!$A$3:$A$12,MATCH(cadangan3[[#This Row],[ItemID A]],Katalog!$C$3:$C$12,0)),"-")</f>
        <v>Pakaian Pria</v>
      </c>
      <c r="E728" t="str">
        <f>IFERROR(INDEX(Katalog!$B$3:$B$12,MATCH(cadangan3[[#This Row],[ItemID A]],Katalog!$C$3:$C$12,0)),"-")</f>
        <v>Kaos Polo</v>
      </c>
      <c r="F728">
        <v>3</v>
      </c>
      <c r="G728">
        <v>3</v>
      </c>
      <c r="H728" s="36">
        <f>IFERROR(INDEX(Katalog!$D$3:$D$12,MATCH(cadangan3[[#This Row],[ItemID A]],Katalog!$C$3:$C$12,0))*cadangan3[[#This Row],[Qty A]],0)</f>
        <v>600000</v>
      </c>
      <c r="I728" s="36">
        <f>IFERROR(INDEX(Katalog!$D$3:$D$12,MATCH(cadangan3[[#This Row],[Item A]],Katalog!$B$3:$B$12,0))*cadangan3[[#This Row],[Qty A]],0)</f>
        <v>600000</v>
      </c>
      <c r="J728" s="36">
        <f>IFERROR(cadangan3[[#This Row],[Harga Asli A]]-(cadangan3[[#This Row],[Harga Asli A]]*cadangan3[[#This Row],[Diskon]]),cadangan3[[#This Row],[Harga Asli A]])</f>
        <v>600000</v>
      </c>
      <c r="K728" s="36">
        <f>INDEX(Katalog!$F$3:$F$12,MATCH(cadangan3[[#This Row],[ItemID A]],Katalog!$C$3:$C$12,0))*cadangan3[[#This Row],[Qty A]]</f>
        <v>240000</v>
      </c>
      <c r="L728" s="36">
        <f>IFERROR(cadangan3[[#This Row],[Profit A]]-(cadangan3[[#This Row],[Profit A]]*cadangan3[[#This Row],[Diskon]]),K728)</f>
        <v>240000</v>
      </c>
      <c r="M728" t="s">
        <v>64</v>
      </c>
      <c r="N728" t="str">
        <f>IFERROR(INDEX(Katalog!$A$3:$A$12,MATCH(cadangan3[[#This Row],[ItemID B]],Katalog!$C$3:$C$12,0)),"-")</f>
        <v>Pakaian Unisex</v>
      </c>
      <c r="O728" t="str">
        <f>IFERROR(INDEX(Katalog!$B$3:$B$12,MATCH(cadangan3[[#This Row],[ItemID B]],Katalog!$C$3:$C$12,0)),"-")</f>
        <v>Jaket Hoodie</v>
      </c>
      <c r="P728">
        <v>1</v>
      </c>
      <c r="Q728">
        <v>3</v>
      </c>
      <c r="R728" s="36">
        <f>IFERROR(INDEX(Katalog!$D$3:$D$12,MATCH(cadangan3[[#This Row],[ItemID B]],Katalog!$C$3:$C$12,0))*cadangan3[[#This Row],[Qty B]],0)</f>
        <v>350000</v>
      </c>
      <c r="S728" s="36">
        <f>IFERROR(INDEX(Katalog!$D$3:$D$12,MATCH(cadangan3[[#This Row],[Item B]],Katalog!$B$3:$B$12,0))*cadangan3[[#This Row],[Qty B]],0)</f>
        <v>350000</v>
      </c>
      <c r="T728" s="36">
        <f>IFERROR(cadangan3[[#This Row],[Harga Asli B]]-(cadangan3[[#This Row],[Harga Asli B]]*cadangan3[[#This Row],[Diskon]]),cadangan3[[#This Row],[Harga Asli B]])</f>
        <v>350000</v>
      </c>
      <c r="U728" s="36">
        <f>IFERROR(INDEX(Katalog!$F$3:$F$12,MATCH(cadangan3[[#This Row],[ItemID B]],Katalog!$C$3:$C$12,0))*cadangan3[[#This Row],[Qty B]],0)</f>
        <v>130000</v>
      </c>
      <c r="V728" s="36">
        <f>IFERROR(cadangan3[[#This Row],[Profit B]]-(cadangan3[[#This Row],[Profit B]]*cadangan3[[#This Row],[Diskon]]),U728)</f>
        <v>130000</v>
      </c>
      <c r="X728" t="str">
        <f>IFERROR(INDEX(Katalog!$A$3:$A$12,MATCH(cadangan3[[#This Row],[ItemID C]],Katalog!$C$3:$C$12,0)),"-")</f>
        <v>-</v>
      </c>
      <c r="Y728" t="str">
        <f>IFERROR(INDEX(Katalog!$B$3:$B$12,MATCH(cadangan3[[#This Row],[ItemID C]],Katalog!$C$3:$C$12,0)),"-")</f>
        <v>-</v>
      </c>
      <c r="AB728" s="36">
        <f>IFERROR(INDEX(Katalog!$D$3:$D$12,MATCH(cadangan3[[#This Row],[ItemID C]],Katalog!$C$3:$C$12,0))*cadangan3[[#This Row],[Qty C]],0)</f>
        <v>0</v>
      </c>
      <c r="AC728" s="36">
        <f>IFERROR(INDEX(Katalog!$D$3:$D$12,MATCH(cadangan3[[#This Row],[Item C]],Katalog!$B$3:$B$12,0))*cadangan3[[#This Row],[Qty C]],0)</f>
        <v>0</v>
      </c>
      <c r="AD728" s="36">
        <f>IFERROR(cadangan3[[#This Row],[Harga Asli C]]-(cadangan3[[#This Row],[Harga Asli C]]*cadangan3[[#This Row],[Diskon]]),cadangan3[[#This Row],[Harga Asli C]])</f>
        <v>0</v>
      </c>
      <c r="AE728" s="36">
        <f>IFERROR(INDEX(Katalog!$F$3:$F$12,MATCH(cadangan3[[#This Row],[ItemID C]],Katalog!$C$3:$C$12,0))*cadangan3[[#This Row],[Qty C]],0)</f>
        <v>0</v>
      </c>
      <c r="AF728" s="36">
        <f>IFERROR(cadangan3[[#This Row],[Profit C]]-(cadangan3[[#This Row],[Profit C]]*cadangan3[[#This Row],[Diskon]]),cadangan3[[#This Row],[Profit C]])</f>
        <v>0</v>
      </c>
      <c r="AG728" s="21">
        <f>cadangan3[[#This Row],[Qty A]]+cadangan3[[#This Row],[Qty B]]+cadangan3[[#This Row],[Qty C]]</f>
        <v>4</v>
      </c>
      <c r="AH728" s="35">
        <f>cadangan3[[#This Row],[Harga A + Diskon]]+cadangan3[[#This Row],[Harga + Diskon B]]+cadangan3[[#This Row],[Harga + Diskon C]]</f>
        <v>950000</v>
      </c>
      <c r="AI728" s="35">
        <f>(cadangan3[[#This Row],[Profit A]]+cadangan3[[#This Row],[Profit B]]+cadangan3[[#This Row],[Profit C]])</f>
        <v>370000</v>
      </c>
      <c r="AJ728" s="35">
        <f>cadangan3[[#This Row],[Provit A + Diskon]]+cadangan3[[#This Row],[Provit B + Diskon]]+cadangan3[[#This Row],[Provit C + Diskon]]</f>
        <v>370000</v>
      </c>
      <c r="AK728" s="23" t="s">
        <v>11</v>
      </c>
      <c r="AL728" s="37" t="str">
        <f>IFERROR(INDEX('Kode Diskon'!$D$3:$D$9,MATCH(cadangan3[[#This Row],[Kode diskon]],'Kode Diskon'!$C$3:$C$9,0)),"-")</f>
        <v>-</v>
      </c>
      <c r="AM728" s="23" t="s">
        <v>11</v>
      </c>
      <c r="AN728" s="23" t="s">
        <v>7</v>
      </c>
      <c r="AO728" s="23" t="s">
        <v>79</v>
      </c>
      <c r="AP728" s="24">
        <v>45025</v>
      </c>
      <c r="AQ728" s="23" t="str">
        <f>TEXT(cadangan3[[#This Row],[Tanggal terjual]],"dddd")</f>
        <v>Sunday</v>
      </c>
    </row>
    <row r="729" spans="1:43" x14ac:dyDescent="0.2">
      <c r="A729" s="20">
        <v>728</v>
      </c>
      <c r="B729" s="21" t="str">
        <f>_xlfn.CONCAT("ORD-",INDEX(Helper!$B$2:$B$5,MATCH(cadangan3[[#This Row],[Marketplace]],Helper!$A$2:$A$5,0)),TEXT(cadangan3[[#This Row],[No]],"0000"),"-",TEXT(cadangan3[[#This Row],[Tanggal terjual]],"dd/mm/yy"))</f>
        <v>ORD-SP0728-11/04/23</v>
      </c>
      <c r="C729" t="s">
        <v>63</v>
      </c>
      <c r="D729" t="str">
        <f>IFERROR(INDEX(Katalog!$A$3:$A$12,MATCH(cadangan3[[#This Row],[ItemID A]],Katalog!$C$3:$C$12,0)),"-")</f>
        <v>Pakaian Pria</v>
      </c>
      <c r="E729" t="str">
        <f>IFERROR(INDEX(Katalog!$B$3:$B$12,MATCH(cadangan3[[#This Row],[ItemID A]],Katalog!$C$3:$C$12,0)),"-")</f>
        <v>Jaket Jeans</v>
      </c>
      <c r="F729">
        <v>1</v>
      </c>
      <c r="G729">
        <v>4</v>
      </c>
      <c r="H729" s="36">
        <f>IFERROR(INDEX(Katalog!$D$3:$D$12,MATCH(cadangan3[[#This Row],[ItemID A]],Katalog!$C$3:$C$12,0))*cadangan3[[#This Row],[Qty A]],0)</f>
        <v>400000</v>
      </c>
      <c r="I729" s="36">
        <f>IFERROR(INDEX(Katalog!$D$3:$D$12,MATCH(cadangan3[[#This Row],[Item A]],Katalog!$B$3:$B$12,0))*cadangan3[[#This Row],[Qty A]],0)</f>
        <v>400000</v>
      </c>
      <c r="J729" s="36">
        <f>IFERROR(cadangan3[[#This Row],[Harga Asli A]]-(cadangan3[[#This Row],[Harga Asli A]]*cadangan3[[#This Row],[Diskon]]),cadangan3[[#This Row],[Harga Asli A]])</f>
        <v>400000</v>
      </c>
      <c r="K729" s="36">
        <f>INDEX(Katalog!$F$3:$F$12,MATCH(cadangan3[[#This Row],[ItemID A]],Katalog!$C$3:$C$12,0))*cadangan3[[#This Row],[Qty A]]</f>
        <v>150000</v>
      </c>
      <c r="L729" s="36">
        <f>IFERROR(cadangan3[[#This Row],[Profit A]]-(cadangan3[[#This Row],[Profit A]]*cadangan3[[#This Row],[Diskon]]),K729)</f>
        <v>150000</v>
      </c>
      <c r="N729" t="str">
        <f>IFERROR(INDEX(Katalog!$A$3:$A$12,MATCH(cadangan3[[#This Row],[ItemID B]],Katalog!$C$3:$C$12,0)),"-")</f>
        <v>-</v>
      </c>
      <c r="O729" t="str">
        <f>IFERROR(INDEX(Katalog!$B$3:$B$12,MATCH(cadangan3[[#This Row],[ItemID B]],Katalog!$C$3:$C$12,0)),"-")</f>
        <v>-</v>
      </c>
      <c r="R729" s="36">
        <f>IFERROR(INDEX(Katalog!$D$3:$D$12,MATCH(cadangan3[[#This Row],[ItemID B]],Katalog!$C$3:$C$12,0))*cadangan3[[#This Row],[Qty B]],0)</f>
        <v>0</v>
      </c>
      <c r="S729" s="36">
        <f>IFERROR(INDEX(Katalog!$D$3:$D$12,MATCH(cadangan3[[#This Row],[Item B]],Katalog!$B$3:$B$12,0))*cadangan3[[#This Row],[Qty B]],0)</f>
        <v>0</v>
      </c>
      <c r="T729" s="36">
        <f>IFERROR(cadangan3[[#This Row],[Harga Asli B]]-(cadangan3[[#This Row],[Harga Asli B]]*cadangan3[[#This Row],[Diskon]]),cadangan3[[#This Row],[Harga Asli B]])</f>
        <v>0</v>
      </c>
      <c r="U729" s="36">
        <f>IFERROR(INDEX(Katalog!$F$3:$F$12,MATCH(cadangan3[[#This Row],[ItemID B]],Katalog!$C$3:$C$12,0))*cadangan3[[#This Row],[Qty B]],0)</f>
        <v>0</v>
      </c>
      <c r="V729" s="36">
        <f>IFERROR(cadangan3[[#This Row],[Profit B]]-(cadangan3[[#This Row],[Profit B]]*cadangan3[[#This Row],[Diskon]]),U729)</f>
        <v>0</v>
      </c>
      <c r="X729" t="str">
        <f>IFERROR(INDEX(Katalog!$A$3:$A$12,MATCH(cadangan3[[#This Row],[ItemID C]],Katalog!$C$3:$C$12,0)),"-")</f>
        <v>-</v>
      </c>
      <c r="Y729" t="str">
        <f>IFERROR(INDEX(Katalog!$B$3:$B$12,MATCH(cadangan3[[#This Row],[ItemID C]],Katalog!$C$3:$C$12,0)),"-")</f>
        <v>-</v>
      </c>
      <c r="AB729" s="36">
        <f>IFERROR(INDEX(Katalog!$D$3:$D$12,MATCH(cadangan3[[#This Row],[ItemID C]],Katalog!$C$3:$C$12,0))*cadangan3[[#This Row],[Qty C]],0)</f>
        <v>0</v>
      </c>
      <c r="AC729" s="36">
        <f>IFERROR(INDEX(Katalog!$D$3:$D$12,MATCH(cadangan3[[#This Row],[Item C]],Katalog!$B$3:$B$12,0))*cadangan3[[#This Row],[Qty C]],0)</f>
        <v>0</v>
      </c>
      <c r="AD729" s="36">
        <f>IFERROR(cadangan3[[#This Row],[Harga Asli C]]-(cadangan3[[#This Row],[Harga Asli C]]*cadangan3[[#This Row],[Diskon]]),cadangan3[[#This Row],[Harga Asli C]])</f>
        <v>0</v>
      </c>
      <c r="AE729" s="36">
        <f>IFERROR(INDEX(Katalog!$F$3:$F$12,MATCH(cadangan3[[#This Row],[ItemID C]],Katalog!$C$3:$C$12,0))*cadangan3[[#This Row],[Qty C]],0)</f>
        <v>0</v>
      </c>
      <c r="AF729" s="36">
        <f>IFERROR(cadangan3[[#This Row],[Profit C]]-(cadangan3[[#This Row],[Profit C]]*cadangan3[[#This Row],[Diskon]]),cadangan3[[#This Row],[Profit C]])</f>
        <v>0</v>
      </c>
      <c r="AG729" s="21">
        <f>cadangan3[[#This Row],[Qty A]]+cadangan3[[#This Row],[Qty B]]+cadangan3[[#This Row],[Qty C]]</f>
        <v>1</v>
      </c>
      <c r="AH729" s="35">
        <f>cadangan3[[#This Row],[Harga A + Diskon]]+cadangan3[[#This Row],[Harga + Diskon B]]+cadangan3[[#This Row],[Harga + Diskon C]]</f>
        <v>400000</v>
      </c>
      <c r="AI729" s="35">
        <f>(cadangan3[[#This Row],[Profit A]]+cadangan3[[#This Row],[Profit B]]+cadangan3[[#This Row],[Profit C]])</f>
        <v>150000</v>
      </c>
      <c r="AJ729" s="35">
        <f>cadangan3[[#This Row],[Provit A + Diskon]]+cadangan3[[#This Row],[Provit B + Diskon]]+cadangan3[[#This Row],[Provit C + Diskon]]</f>
        <v>150000</v>
      </c>
      <c r="AK729" s="23" t="s">
        <v>11</v>
      </c>
      <c r="AL729" s="37" t="str">
        <f>IFERROR(INDEX('Kode Diskon'!$D$3:$D$9,MATCH(cadangan3[[#This Row],[Kode diskon]],'Kode Diskon'!$C$3:$C$9,0)),"-")</f>
        <v>-</v>
      </c>
      <c r="AM729" s="23" t="s">
        <v>11</v>
      </c>
      <c r="AN729" s="23" t="s">
        <v>7</v>
      </c>
      <c r="AO729" s="23" t="s">
        <v>79</v>
      </c>
      <c r="AP729" s="24">
        <v>45027</v>
      </c>
      <c r="AQ729" s="23" t="str">
        <f>TEXT(cadangan3[[#This Row],[Tanggal terjual]],"dddd")</f>
        <v>Tuesday</v>
      </c>
    </row>
    <row r="730" spans="1:43" x14ac:dyDescent="0.2">
      <c r="A730" s="20">
        <v>729</v>
      </c>
      <c r="B730" s="21" t="str">
        <f>_xlfn.CONCAT("ORD-",INDEX(Helper!$B$2:$B$5,MATCH(cadangan3[[#This Row],[Marketplace]],Helper!$A$2:$A$5,0)),TEXT(cadangan3[[#This Row],[No]],"0000"),"-",TEXT(cadangan3[[#This Row],[Tanggal terjual]],"dd/mm/yy"))</f>
        <v>ORD-BB0729-08/04/23</v>
      </c>
      <c r="C730" t="s">
        <v>62</v>
      </c>
      <c r="D730" t="str">
        <f>IFERROR(INDEX(Katalog!$A$3:$A$12,MATCH(cadangan3[[#This Row],[ItemID A]],Katalog!$C$3:$C$12,0)),"-")</f>
        <v>Pakaian Pria</v>
      </c>
      <c r="E730" t="str">
        <f>IFERROR(INDEX(Katalog!$B$3:$B$12,MATCH(cadangan3[[#This Row],[ItemID A]],Katalog!$C$3:$C$12,0)),"-")</f>
        <v>Celana Pendek</v>
      </c>
      <c r="F730">
        <v>4</v>
      </c>
      <c r="G730">
        <v>4</v>
      </c>
      <c r="H730" s="36">
        <f>IFERROR(INDEX(Katalog!$D$3:$D$12,MATCH(cadangan3[[#This Row],[ItemID A]],Katalog!$C$3:$C$12,0))*cadangan3[[#This Row],[Qty A]],0)</f>
        <v>720000</v>
      </c>
      <c r="I730" s="36">
        <f>IFERROR(INDEX(Katalog!$D$3:$D$12,MATCH(cadangan3[[#This Row],[Item A]],Katalog!$B$3:$B$12,0))*cadangan3[[#This Row],[Qty A]],0)</f>
        <v>720000</v>
      </c>
      <c r="J730" s="36">
        <f>IFERROR(cadangan3[[#This Row],[Harga Asli A]]-(cadangan3[[#This Row],[Harga Asli A]]*cadangan3[[#This Row],[Diskon]]),cadangan3[[#This Row],[Harga Asli A]])</f>
        <v>720000</v>
      </c>
      <c r="K730" s="36">
        <f>INDEX(Katalog!$F$3:$F$12,MATCH(cadangan3[[#This Row],[ItemID A]],Katalog!$C$3:$C$12,0))*cadangan3[[#This Row],[Qty A]]</f>
        <v>280000</v>
      </c>
      <c r="L730" s="36">
        <f>IFERROR(cadangan3[[#This Row],[Profit A]]-(cadangan3[[#This Row],[Profit A]]*cadangan3[[#This Row],[Diskon]]),K730)</f>
        <v>280000</v>
      </c>
      <c r="N730" t="str">
        <f>IFERROR(INDEX(Katalog!$A$3:$A$12,MATCH(cadangan3[[#This Row],[ItemID B]],Katalog!$C$3:$C$12,0)),"-")</f>
        <v>-</v>
      </c>
      <c r="O730" t="str">
        <f>IFERROR(INDEX(Katalog!$B$3:$B$12,MATCH(cadangan3[[#This Row],[ItemID B]],Katalog!$C$3:$C$12,0)),"-")</f>
        <v>-</v>
      </c>
      <c r="R730" s="36">
        <f>IFERROR(INDEX(Katalog!$D$3:$D$12,MATCH(cadangan3[[#This Row],[ItemID B]],Katalog!$C$3:$C$12,0))*cadangan3[[#This Row],[Qty B]],0)</f>
        <v>0</v>
      </c>
      <c r="S730" s="36">
        <f>IFERROR(INDEX(Katalog!$D$3:$D$12,MATCH(cadangan3[[#This Row],[Item B]],Katalog!$B$3:$B$12,0))*cadangan3[[#This Row],[Qty B]],0)</f>
        <v>0</v>
      </c>
      <c r="T730" s="36">
        <f>IFERROR(cadangan3[[#This Row],[Harga Asli B]]-(cadangan3[[#This Row],[Harga Asli B]]*cadangan3[[#This Row],[Diskon]]),cadangan3[[#This Row],[Harga Asli B]])</f>
        <v>0</v>
      </c>
      <c r="U730" s="36">
        <f>IFERROR(INDEX(Katalog!$F$3:$F$12,MATCH(cadangan3[[#This Row],[ItemID B]],Katalog!$C$3:$C$12,0))*cadangan3[[#This Row],[Qty B]],0)</f>
        <v>0</v>
      </c>
      <c r="V730" s="36">
        <f>IFERROR(cadangan3[[#This Row],[Profit B]]-(cadangan3[[#This Row],[Profit B]]*cadangan3[[#This Row],[Diskon]]),U730)</f>
        <v>0</v>
      </c>
      <c r="X730" t="str">
        <f>IFERROR(INDEX(Katalog!$A$3:$A$12,MATCH(cadangan3[[#This Row],[ItemID C]],Katalog!$C$3:$C$12,0)),"-")</f>
        <v>-</v>
      </c>
      <c r="Y730" t="str">
        <f>IFERROR(INDEX(Katalog!$B$3:$B$12,MATCH(cadangan3[[#This Row],[ItemID C]],Katalog!$C$3:$C$12,0)),"-")</f>
        <v>-</v>
      </c>
      <c r="AB730" s="36">
        <f>IFERROR(INDEX(Katalog!$D$3:$D$12,MATCH(cadangan3[[#This Row],[ItemID C]],Katalog!$C$3:$C$12,0))*cadangan3[[#This Row],[Qty C]],0)</f>
        <v>0</v>
      </c>
      <c r="AC730" s="36">
        <f>IFERROR(INDEX(Katalog!$D$3:$D$12,MATCH(cadangan3[[#This Row],[Item C]],Katalog!$B$3:$B$12,0))*cadangan3[[#This Row],[Qty C]],0)</f>
        <v>0</v>
      </c>
      <c r="AD730" s="36">
        <f>IFERROR(cadangan3[[#This Row],[Harga Asli C]]-(cadangan3[[#This Row],[Harga Asli C]]*cadangan3[[#This Row],[Diskon]]),cadangan3[[#This Row],[Harga Asli C]])</f>
        <v>0</v>
      </c>
      <c r="AE730" s="36">
        <f>IFERROR(INDEX(Katalog!$F$3:$F$12,MATCH(cadangan3[[#This Row],[ItemID C]],Katalog!$C$3:$C$12,0))*cadangan3[[#This Row],[Qty C]],0)</f>
        <v>0</v>
      </c>
      <c r="AF730" s="36">
        <f>IFERROR(cadangan3[[#This Row],[Profit C]]-(cadangan3[[#This Row],[Profit C]]*cadangan3[[#This Row],[Diskon]]),cadangan3[[#This Row],[Profit C]])</f>
        <v>0</v>
      </c>
      <c r="AG730" s="21">
        <f>cadangan3[[#This Row],[Qty A]]+cadangan3[[#This Row],[Qty B]]+cadangan3[[#This Row],[Qty C]]</f>
        <v>4</v>
      </c>
      <c r="AH730" s="35">
        <f>cadangan3[[#This Row],[Harga A + Diskon]]+cadangan3[[#This Row],[Harga + Diskon B]]+cadangan3[[#This Row],[Harga + Diskon C]]</f>
        <v>720000</v>
      </c>
      <c r="AI730" s="35">
        <f>(cadangan3[[#This Row],[Profit A]]+cadangan3[[#This Row],[Profit B]]+cadangan3[[#This Row],[Profit C]])</f>
        <v>280000</v>
      </c>
      <c r="AJ730" s="35">
        <f>cadangan3[[#This Row],[Provit A + Diskon]]+cadangan3[[#This Row],[Provit B + Diskon]]+cadangan3[[#This Row],[Provit C + Diskon]]</f>
        <v>280000</v>
      </c>
      <c r="AK730" s="23" t="s">
        <v>11</v>
      </c>
      <c r="AL730" s="37" t="str">
        <f>IFERROR(INDEX('Kode Diskon'!$D$3:$D$9,MATCH(cadangan3[[#This Row],[Kode diskon]],'Kode Diskon'!$C$3:$C$9,0)),"-")</f>
        <v>-</v>
      </c>
      <c r="AM730" s="23" t="s">
        <v>11</v>
      </c>
      <c r="AN730" s="23" t="s">
        <v>14</v>
      </c>
      <c r="AO730" s="23" t="s">
        <v>76</v>
      </c>
      <c r="AP730" s="24">
        <v>45024</v>
      </c>
      <c r="AQ730" s="23" t="str">
        <f>TEXT(cadangan3[[#This Row],[Tanggal terjual]],"dddd")</f>
        <v>Saturday</v>
      </c>
    </row>
    <row r="731" spans="1:43" x14ac:dyDescent="0.2">
      <c r="A731" s="20">
        <v>730</v>
      </c>
      <c r="B731" s="21" t="str">
        <f>_xlfn.CONCAT("ORD-",INDEX(Helper!$B$2:$B$5,MATCH(cadangan3[[#This Row],[Marketplace]],Helper!$A$2:$A$5,0)),TEXT(cadangan3[[#This Row],[No]],"0000"),"-",TEXT(cadangan3[[#This Row],[Tanggal terjual]],"dd/mm/yy"))</f>
        <v>ORD-SP0730-19/04/23</v>
      </c>
      <c r="C731" t="s">
        <v>63</v>
      </c>
      <c r="D731" t="str">
        <f>IFERROR(INDEX(Katalog!$A$3:$A$12,MATCH(cadangan3[[#This Row],[ItemID A]],Katalog!$C$3:$C$12,0)),"-")</f>
        <v>Pakaian Pria</v>
      </c>
      <c r="E731" t="str">
        <f>IFERROR(INDEX(Katalog!$B$3:$B$12,MATCH(cadangan3[[#This Row],[ItemID A]],Katalog!$C$3:$C$12,0)),"-")</f>
        <v>Jaket Jeans</v>
      </c>
      <c r="F731">
        <v>5</v>
      </c>
      <c r="G731">
        <v>2</v>
      </c>
      <c r="H731" s="36">
        <f>IFERROR(INDEX(Katalog!$D$3:$D$12,MATCH(cadangan3[[#This Row],[ItemID A]],Katalog!$C$3:$C$12,0))*cadangan3[[#This Row],[Qty A]],0)</f>
        <v>2000000</v>
      </c>
      <c r="I731" s="36">
        <f>IFERROR(INDEX(Katalog!$D$3:$D$12,MATCH(cadangan3[[#This Row],[Item A]],Katalog!$B$3:$B$12,0))*cadangan3[[#This Row],[Qty A]],0)</f>
        <v>2000000</v>
      </c>
      <c r="J731" s="36">
        <f>IFERROR(cadangan3[[#This Row],[Harga Asli A]]-(cadangan3[[#This Row],[Harga Asli A]]*cadangan3[[#This Row],[Diskon]]),cadangan3[[#This Row],[Harga Asli A]])</f>
        <v>1600000</v>
      </c>
      <c r="K731" s="36">
        <f>INDEX(Katalog!$F$3:$F$12,MATCH(cadangan3[[#This Row],[ItemID A]],Katalog!$C$3:$C$12,0))*cadangan3[[#This Row],[Qty A]]</f>
        <v>750000</v>
      </c>
      <c r="L731" s="36">
        <f>IFERROR(cadangan3[[#This Row],[Profit A]]-(cadangan3[[#This Row],[Profit A]]*cadangan3[[#This Row],[Diskon]]),K731)</f>
        <v>600000</v>
      </c>
      <c r="M731" t="s">
        <v>66</v>
      </c>
      <c r="N731" t="str">
        <f>IFERROR(INDEX(Katalog!$A$3:$A$12,MATCH(cadangan3[[#This Row],[ItemID B]],Katalog!$C$3:$C$12,0)),"-")</f>
        <v>Sepatu Pria</v>
      </c>
      <c r="O731" t="str">
        <f>IFERROR(INDEX(Katalog!$B$3:$B$12,MATCH(cadangan3[[#This Row],[ItemID B]],Katalog!$C$3:$C$12,0)),"-")</f>
        <v>Sandal Slip On</v>
      </c>
      <c r="P731">
        <v>1</v>
      </c>
      <c r="Q731">
        <v>4</v>
      </c>
      <c r="R731" s="36">
        <f>IFERROR(INDEX(Katalog!$D$3:$D$12,MATCH(cadangan3[[#This Row],[ItemID B]],Katalog!$C$3:$C$12,0))*cadangan3[[#This Row],[Qty B]],0)</f>
        <v>150000</v>
      </c>
      <c r="S731" s="36">
        <f>IFERROR(INDEX(Katalog!$D$3:$D$12,MATCH(cadangan3[[#This Row],[Item B]],Katalog!$B$3:$B$12,0))*cadangan3[[#This Row],[Qty B]],0)</f>
        <v>150000</v>
      </c>
      <c r="T731" s="36">
        <f>IFERROR(cadangan3[[#This Row],[Harga Asli B]]-(cadangan3[[#This Row],[Harga Asli B]]*cadangan3[[#This Row],[Diskon]]),cadangan3[[#This Row],[Harga Asli B]])</f>
        <v>120000</v>
      </c>
      <c r="U731" s="36">
        <f>IFERROR(INDEX(Katalog!$F$3:$F$12,MATCH(cadangan3[[#This Row],[ItemID B]],Katalog!$C$3:$C$12,0))*cadangan3[[#This Row],[Qty B]],0)</f>
        <v>60000</v>
      </c>
      <c r="V731" s="36">
        <f>IFERROR(cadangan3[[#This Row],[Profit B]]-(cadangan3[[#This Row],[Profit B]]*cadangan3[[#This Row],[Diskon]]),U731)</f>
        <v>48000</v>
      </c>
      <c r="X731" t="str">
        <f>IFERROR(INDEX(Katalog!$A$3:$A$12,MATCH(cadangan3[[#This Row],[ItemID C]],Katalog!$C$3:$C$12,0)),"-")</f>
        <v>-</v>
      </c>
      <c r="Y731" t="str">
        <f>IFERROR(INDEX(Katalog!$B$3:$B$12,MATCH(cadangan3[[#This Row],[ItemID C]],Katalog!$C$3:$C$12,0)),"-")</f>
        <v>-</v>
      </c>
      <c r="AB731" s="36">
        <f>IFERROR(INDEX(Katalog!$D$3:$D$12,MATCH(cadangan3[[#This Row],[ItemID C]],Katalog!$C$3:$C$12,0))*cadangan3[[#This Row],[Qty C]],0)</f>
        <v>0</v>
      </c>
      <c r="AC731" s="36">
        <f>IFERROR(INDEX(Katalog!$D$3:$D$12,MATCH(cadangan3[[#This Row],[Item C]],Katalog!$B$3:$B$12,0))*cadangan3[[#This Row],[Qty C]],0)</f>
        <v>0</v>
      </c>
      <c r="AD731" s="36">
        <f>IFERROR(cadangan3[[#This Row],[Harga Asli C]]-(cadangan3[[#This Row],[Harga Asli C]]*cadangan3[[#This Row],[Diskon]]),cadangan3[[#This Row],[Harga Asli C]])</f>
        <v>0</v>
      </c>
      <c r="AE731" s="36">
        <f>IFERROR(INDEX(Katalog!$F$3:$F$12,MATCH(cadangan3[[#This Row],[ItemID C]],Katalog!$C$3:$C$12,0))*cadangan3[[#This Row],[Qty C]],0)</f>
        <v>0</v>
      </c>
      <c r="AF731" s="36">
        <f>IFERROR(cadangan3[[#This Row],[Profit C]]-(cadangan3[[#This Row],[Profit C]]*cadangan3[[#This Row],[Diskon]]),cadangan3[[#This Row],[Profit C]])</f>
        <v>0</v>
      </c>
      <c r="AG731" s="21">
        <f>cadangan3[[#This Row],[Qty A]]+cadangan3[[#This Row],[Qty B]]+cadangan3[[#This Row],[Qty C]]</f>
        <v>6</v>
      </c>
      <c r="AH731" s="35">
        <f>cadangan3[[#This Row],[Harga A + Diskon]]+cadangan3[[#This Row],[Harga + Diskon B]]+cadangan3[[#This Row],[Harga + Diskon C]]</f>
        <v>1720000</v>
      </c>
      <c r="AI731" s="35">
        <f>(cadangan3[[#This Row],[Profit A]]+cadangan3[[#This Row],[Profit B]]+cadangan3[[#This Row],[Profit C]])</f>
        <v>810000</v>
      </c>
      <c r="AJ731" s="35">
        <f>cadangan3[[#This Row],[Provit A + Diskon]]+cadangan3[[#This Row],[Provit B + Diskon]]+cadangan3[[#This Row],[Provit C + Diskon]]</f>
        <v>648000</v>
      </c>
      <c r="AK731" s="23" t="s">
        <v>8</v>
      </c>
      <c r="AL731" s="37">
        <f>IFERROR(INDEX('Kode Diskon'!$D$3:$D$9,MATCH(cadangan3[[#This Row],[Kode diskon]],'Kode Diskon'!$C$3:$C$9,0)),"-")</f>
        <v>0.2</v>
      </c>
      <c r="AM731" s="23" t="s">
        <v>9</v>
      </c>
      <c r="AN731" s="23" t="s">
        <v>7</v>
      </c>
      <c r="AO731" s="23" t="s">
        <v>80</v>
      </c>
      <c r="AP731" s="24">
        <v>45035</v>
      </c>
      <c r="AQ731" s="23" t="str">
        <f>TEXT(cadangan3[[#This Row],[Tanggal terjual]],"dddd")</f>
        <v>Wednesday</v>
      </c>
    </row>
    <row r="732" spans="1:43" x14ac:dyDescent="0.2">
      <c r="A732" s="20">
        <v>731</v>
      </c>
      <c r="B732" s="21" t="str">
        <f>_xlfn.CONCAT("ORD-",INDEX(Helper!$B$2:$B$5,MATCH(cadangan3[[#This Row],[Marketplace]],Helper!$A$2:$A$5,0)),TEXT(cadangan3[[#This Row],[No]],"0000"),"-",TEXT(cadangan3[[#This Row],[Tanggal terjual]],"dd/mm/yy"))</f>
        <v>ORD-SP0731-03/04/23</v>
      </c>
      <c r="C732" t="s">
        <v>66</v>
      </c>
      <c r="D732" t="str">
        <f>IFERROR(INDEX(Katalog!$A$3:$A$12,MATCH(cadangan3[[#This Row],[ItemID A]],Katalog!$C$3:$C$12,0)),"-")</f>
        <v>Sepatu Pria</v>
      </c>
      <c r="E732" t="str">
        <f>IFERROR(INDEX(Katalog!$B$3:$B$12,MATCH(cadangan3[[#This Row],[ItemID A]],Katalog!$C$3:$C$12,0)),"-")</f>
        <v>Sandal Slip On</v>
      </c>
      <c r="F732">
        <v>5</v>
      </c>
      <c r="G732">
        <v>1</v>
      </c>
      <c r="H732" s="36">
        <f>IFERROR(INDEX(Katalog!$D$3:$D$12,MATCH(cadangan3[[#This Row],[ItemID A]],Katalog!$C$3:$C$12,0))*cadangan3[[#This Row],[Qty A]],0)</f>
        <v>750000</v>
      </c>
      <c r="I732" s="36">
        <f>IFERROR(INDEX(Katalog!$D$3:$D$12,MATCH(cadangan3[[#This Row],[Item A]],Katalog!$B$3:$B$12,0))*cadangan3[[#This Row],[Qty A]],0)</f>
        <v>750000</v>
      </c>
      <c r="J732" s="36">
        <f>IFERROR(cadangan3[[#This Row],[Harga Asli A]]-(cadangan3[[#This Row],[Harga Asli A]]*cadangan3[[#This Row],[Diskon]]),cadangan3[[#This Row],[Harga Asli A]])</f>
        <v>637500</v>
      </c>
      <c r="K732" s="36">
        <f>INDEX(Katalog!$F$3:$F$12,MATCH(cadangan3[[#This Row],[ItemID A]],Katalog!$C$3:$C$12,0))*cadangan3[[#This Row],[Qty A]]</f>
        <v>300000</v>
      </c>
      <c r="L732" s="36">
        <f>IFERROR(cadangan3[[#This Row],[Profit A]]-(cadangan3[[#This Row],[Profit A]]*cadangan3[[#This Row],[Diskon]]),K732)</f>
        <v>255000</v>
      </c>
      <c r="M732" t="s">
        <v>67</v>
      </c>
      <c r="N732" t="str">
        <f>IFERROR(INDEX(Katalog!$A$3:$A$12,MATCH(cadangan3[[#This Row],[ItemID B]],Katalog!$C$3:$C$12,0)),"-")</f>
        <v>Sepatu Wanita</v>
      </c>
      <c r="O732" t="str">
        <f>IFERROR(INDEX(Katalog!$B$3:$B$12,MATCH(cadangan3[[#This Row],[ItemID B]],Katalog!$C$3:$C$12,0)),"-")</f>
        <v>Flat Shoes</v>
      </c>
      <c r="P732">
        <v>1</v>
      </c>
      <c r="Q732">
        <v>1</v>
      </c>
      <c r="R732" s="36">
        <f>IFERROR(INDEX(Katalog!$D$3:$D$12,MATCH(cadangan3[[#This Row],[ItemID B]],Katalog!$C$3:$C$12,0))*cadangan3[[#This Row],[Qty B]],0)</f>
        <v>250000</v>
      </c>
      <c r="S732" s="36">
        <f>IFERROR(INDEX(Katalog!$D$3:$D$12,MATCH(cadangan3[[#This Row],[Item B]],Katalog!$B$3:$B$12,0))*cadangan3[[#This Row],[Qty B]],0)</f>
        <v>250000</v>
      </c>
      <c r="T732" s="36">
        <f>IFERROR(cadangan3[[#This Row],[Harga Asli B]]-(cadangan3[[#This Row],[Harga Asli B]]*cadangan3[[#This Row],[Diskon]]),cadangan3[[#This Row],[Harga Asli B]])</f>
        <v>212500</v>
      </c>
      <c r="U732" s="36">
        <f>IFERROR(INDEX(Katalog!$F$3:$F$12,MATCH(cadangan3[[#This Row],[ItemID B]],Katalog!$C$3:$C$12,0))*cadangan3[[#This Row],[Qty B]],0)</f>
        <v>100000</v>
      </c>
      <c r="V732" s="36">
        <f>IFERROR(cadangan3[[#This Row],[Profit B]]-(cadangan3[[#This Row],[Profit B]]*cadangan3[[#This Row],[Diskon]]),U732)</f>
        <v>85000</v>
      </c>
      <c r="X732" t="str">
        <f>IFERROR(INDEX(Katalog!$A$3:$A$12,MATCH(cadangan3[[#This Row],[ItemID C]],Katalog!$C$3:$C$12,0)),"-")</f>
        <v>-</v>
      </c>
      <c r="Y732" t="str">
        <f>IFERROR(INDEX(Katalog!$B$3:$B$12,MATCH(cadangan3[[#This Row],[ItemID C]],Katalog!$C$3:$C$12,0)),"-")</f>
        <v>-</v>
      </c>
      <c r="AB732" s="36">
        <f>IFERROR(INDEX(Katalog!$D$3:$D$12,MATCH(cadangan3[[#This Row],[ItemID C]],Katalog!$C$3:$C$12,0))*cadangan3[[#This Row],[Qty C]],0)</f>
        <v>0</v>
      </c>
      <c r="AC732" s="36">
        <f>IFERROR(INDEX(Katalog!$D$3:$D$12,MATCH(cadangan3[[#This Row],[Item C]],Katalog!$B$3:$B$12,0))*cadangan3[[#This Row],[Qty C]],0)</f>
        <v>0</v>
      </c>
      <c r="AD732" s="36">
        <f>IFERROR(cadangan3[[#This Row],[Harga Asli C]]-(cadangan3[[#This Row],[Harga Asli C]]*cadangan3[[#This Row],[Diskon]]),cadangan3[[#This Row],[Harga Asli C]])</f>
        <v>0</v>
      </c>
      <c r="AE732" s="36">
        <f>IFERROR(INDEX(Katalog!$F$3:$F$12,MATCH(cadangan3[[#This Row],[ItemID C]],Katalog!$C$3:$C$12,0))*cadangan3[[#This Row],[Qty C]],0)</f>
        <v>0</v>
      </c>
      <c r="AF732" s="36">
        <f>IFERROR(cadangan3[[#This Row],[Profit C]]-(cadangan3[[#This Row],[Profit C]]*cadangan3[[#This Row],[Diskon]]),cadangan3[[#This Row],[Profit C]])</f>
        <v>0</v>
      </c>
      <c r="AG732" s="21">
        <f>cadangan3[[#This Row],[Qty A]]+cadangan3[[#This Row],[Qty B]]+cadangan3[[#This Row],[Qty C]]</f>
        <v>6</v>
      </c>
      <c r="AH732" s="35">
        <f>cadangan3[[#This Row],[Harga A + Diskon]]+cadangan3[[#This Row],[Harga + Diskon B]]+cadangan3[[#This Row],[Harga + Diskon C]]</f>
        <v>850000</v>
      </c>
      <c r="AI732" s="35">
        <f>(cadangan3[[#This Row],[Profit A]]+cadangan3[[#This Row],[Profit B]]+cadangan3[[#This Row],[Profit C]])</f>
        <v>400000</v>
      </c>
      <c r="AJ732" s="35">
        <f>cadangan3[[#This Row],[Provit A + Diskon]]+cadangan3[[#This Row],[Provit B + Diskon]]+cadangan3[[#This Row],[Provit C + Diskon]]</f>
        <v>340000</v>
      </c>
      <c r="AK732" s="23" t="s">
        <v>13</v>
      </c>
      <c r="AL732" s="37">
        <f>IFERROR(INDEX('Kode Diskon'!$D$3:$D$9,MATCH(cadangan3[[#This Row],[Kode diskon]],'Kode Diskon'!$C$3:$C$9,0)),"-")</f>
        <v>0.15</v>
      </c>
      <c r="AM732" s="23" t="s">
        <v>29</v>
      </c>
      <c r="AN732" s="23" t="s">
        <v>7</v>
      </c>
      <c r="AO732" s="23" t="s">
        <v>75</v>
      </c>
      <c r="AP732" s="24">
        <v>45019</v>
      </c>
      <c r="AQ732" s="23" t="str">
        <f>TEXT(cadangan3[[#This Row],[Tanggal terjual]],"dddd")</f>
        <v>Monday</v>
      </c>
    </row>
    <row r="733" spans="1:43" x14ac:dyDescent="0.2">
      <c r="A733" s="20">
        <v>732</v>
      </c>
      <c r="B733" s="21" t="str">
        <f>_xlfn.CONCAT("ORD-",INDEX(Helper!$B$2:$B$5,MATCH(cadangan3[[#This Row],[Marketplace]],Helper!$A$2:$A$5,0)),TEXT(cadangan3[[#This Row],[No]],"0000"),"-",TEXT(cadangan3[[#This Row],[Tanggal terjual]],"dd/mm/yy"))</f>
        <v>ORD-TK0732-07/04/23</v>
      </c>
      <c r="C733" t="s">
        <v>60</v>
      </c>
      <c r="D733" t="str">
        <f>IFERROR(INDEX(Katalog!$A$3:$A$12,MATCH(cadangan3[[#This Row],[ItemID A]],Katalog!$C$3:$C$12,0)),"-")</f>
        <v>Pakaian Wanita</v>
      </c>
      <c r="E733" t="str">
        <f>IFERROR(INDEX(Katalog!$B$3:$B$12,MATCH(cadangan3[[#This Row],[ItemID A]],Katalog!$C$3:$C$12,0)),"-")</f>
        <v>Kaftan</v>
      </c>
      <c r="F733">
        <v>1</v>
      </c>
      <c r="G733">
        <v>3</v>
      </c>
      <c r="H733" s="36">
        <f>IFERROR(INDEX(Katalog!$D$3:$D$12,MATCH(cadangan3[[#This Row],[ItemID A]],Katalog!$C$3:$C$12,0))*cadangan3[[#This Row],[Qty A]],0)</f>
        <v>250000</v>
      </c>
      <c r="I733" s="36">
        <f>IFERROR(INDEX(Katalog!$D$3:$D$12,MATCH(cadangan3[[#This Row],[Item A]],Katalog!$B$3:$B$12,0))*cadangan3[[#This Row],[Qty A]],0)</f>
        <v>250000</v>
      </c>
      <c r="J733" s="36">
        <f>IFERROR(cadangan3[[#This Row],[Harga Asli A]]-(cadangan3[[#This Row],[Harga Asli A]]*cadangan3[[#This Row],[Diskon]]),cadangan3[[#This Row],[Harga Asli A]])</f>
        <v>250000</v>
      </c>
      <c r="K733" s="36">
        <f>INDEX(Katalog!$F$3:$F$12,MATCH(cadangan3[[#This Row],[ItemID A]],Katalog!$C$3:$C$12,0))*cadangan3[[#This Row],[Qty A]]</f>
        <v>100000</v>
      </c>
      <c r="L733" s="36">
        <f>IFERROR(cadangan3[[#This Row],[Profit A]]-(cadangan3[[#This Row],[Profit A]]*cadangan3[[#This Row],[Diskon]]),K733)</f>
        <v>100000</v>
      </c>
      <c r="N733" t="str">
        <f>IFERROR(INDEX(Katalog!$A$3:$A$12,MATCH(cadangan3[[#This Row],[ItemID B]],Katalog!$C$3:$C$12,0)),"-")</f>
        <v>-</v>
      </c>
      <c r="O733" t="str">
        <f>IFERROR(INDEX(Katalog!$B$3:$B$12,MATCH(cadangan3[[#This Row],[ItemID B]],Katalog!$C$3:$C$12,0)),"-")</f>
        <v>-</v>
      </c>
      <c r="R733" s="36">
        <f>IFERROR(INDEX(Katalog!$D$3:$D$12,MATCH(cadangan3[[#This Row],[ItemID B]],Katalog!$C$3:$C$12,0))*cadangan3[[#This Row],[Qty B]],0)</f>
        <v>0</v>
      </c>
      <c r="S733" s="36">
        <f>IFERROR(INDEX(Katalog!$D$3:$D$12,MATCH(cadangan3[[#This Row],[Item B]],Katalog!$B$3:$B$12,0))*cadangan3[[#This Row],[Qty B]],0)</f>
        <v>0</v>
      </c>
      <c r="T733" s="36">
        <f>IFERROR(cadangan3[[#This Row],[Harga Asli B]]-(cadangan3[[#This Row],[Harga Asli B]]*cadangan3[[#This Row],[Diskon]]),cadangan3[[#This Row],[Harga Asli B]])</f>
        <v>0</v>
      </c>
      <c r="U733" s="36">
        <f>IFERROR(INDEX(Katalog!$F$3:$F$12,MATCH(cadangan3[[#This Row],[ItemID B]],Katalog!$C$3:$C$12,0))*cadangan3[[#This Row],[Qty B]],0)</f>
        <v>0</v>
      </c>
      <c r="V733" s="36">
        <f>IFERROR(cadangan3[[#This Row],[Profit B]]-(cadangan3[[#This Row],[Profit B]]*cadangan3[[#This Row],[Diskon]]),U733)</f>
        <v>0</v>
      </c>
      <c r="X733" t="str">
        <f>IFERROR(INDEX(Katalog!$A$3:$A$12,MATCH(cadangan3[[#This Row],[ItemID C]],Katalog!$C$3:$C$12,0)),"-")</f>
        <v>-</v>
      </c>
      <c r="Y733" t="str">
        <f>IFERROR(INDEX(Katalog!$B$3:$B$12,MATCH(cadangan3[[#This Row],[ItemID C]],Katalog!$C$3:$C$12,0)),"-")</f>
        <v>-</v>
      </c>
      <c r="AB733" s="36">
        <f>IFERROR(INDEX(Katalog!$D$3:$D$12,MATCH(cadangan3[[#This Row],[ItemID C]],Katalog!$C$3:$C$12,0))*cadangan3[[#This Row],[Qty C]],0)</f>
        <v>0</v>
      </c>
      <c r="AC733" s="36">
        <f>IFERROR(INDEX(Katalog!$D$3:$D$12,MATCH(cadangan3[[#This Row],[Item C]],Katalog!$B$3:$B$12,0))*cadangan3[[#This Row],[Qty C]],0)</f>
        <v>0</v>
      </c>
      <c r="AD733" s="36">
        <f>IFERROR(cadangan3[[#This Row],[Harga Asli C]]-(cadangan3[[#This Row],[Harga Asli C]]*cadangan3[[#This Row],[Diskon]]),cadangan3[[#This Row],[Harga Asli C]])</f>
        <v>0</v>
      </c>
      <c r="AE733" s="36">
        <f>IFERROR(INDEX(Katalog!$F$3:$F$12,MATCH(cadangan3[[#This Row],[ItemID C]],Katalog!$C$3:$C$12,0))*cadangan3[[#This Row],[Qty C]],0)</f>
        <v>0</v>
      </c>
      <c r="AF733" s="36">
        <f>IFERROR(cadangan3[[#This Row],[Profit C]]-(cadangan3[[#This Row],[Profit C]]*cadangan3[[#This Row],[Diskon]]),cadangan3[[#This Row],[Profit C]])</f>
        <v>0</v>
      </c>
      <c r="AG733" s="21">
        <f>cadangan3[[#This Row],[Qty A]]+cadangan3[[#This Row],[Qty B]]+cadangan3[[#This Row],[Qty C]]</f>
        <v>1</v>
      </c>
      <c r="AH733" s="35">
        <f>cadangan3[[#This Row],[Harga A + Diskon]]+cadangan3[[#This Row],[Harga + Diskon B]]+cadangan3[[#This Row],[Harga + Diskon C]]</f>
        <v>250000</v>
      </c>
      <c r="AI733" s="35">
        <f>(cadangan3[[#This Row],[Profit A]]+cadangan3[[#This Row],[Profit B]]+cadangan3[[#This Row],[Profit C]])</f>
        <v>100000</v>
      </c>
      <c r="AJ733" s="35">
        <f>cadangan3[[#This Row],[Provit A + Diskon]]+cadangan3[[#This Row],[Provit B + Diskon]]+cadangan3[[#This Row],[Provit C + Diskon]]</f>
        <v>100000</v>
      </c>
      <c r="AK733" s="23" t="s">
        <v>11</v>
      </c>
      <c r="AL733" s="37" t="str">
        <f>IFERROR(INDEX('Kode Diskon'!$D$3:$D$9,MATCH(cadangan3[[#This Row],[Kode diskon]],'Kode Diskon'!$C$3:$C$9,0)),"-")</f>
        <v>-</v>
      </c>
      <c r="AM733" s="23" t="s">
        <v>11</v>
      </c>
      <c r="AN733" s="23" t="s">
        <v>10</v>
      </c>
      <c r="AO733" s="23" t="s">
        <v>80</v>
      </c>
      <c r="AP733" s="24">
        <v>45023</v>
      </c>
      <c r="AQ733" s="23" t="str">
        <f>TEXT(cadangan3[[#This Row],[Tanggal terjual]],"dddd")</f>
        <v>Friday</v>
      </c>
    </row>
    <row r="734" spans="1:43" x14ac:dyDescent="0.2">
      <c r="A734" s="20">
        <v>733</v>
      </c>
      <c r="B734" s="21" t="str">
        <f>_xlfn.CONCAT("ORD-",INDEX(Helper!$B$2:$B$5,MATCH(cadangan3[[#This Row],[Marketplace]],Helper!$A$2:$A$5,0)),TEXT(cadangan3[[#This Row],[No]],"0000"),"-",TEXT(cadangan3[[#This Row],[Tanggal terjual]],"dd/mm/yy"))</f>
        <v>ORD-TK0733-16/04/23</v>
      </c>
      <c r="C734" t="s">
        <v>62</v>
      </c>
      <c r="D734" t="str">
        <f>IFERROR(INDEX(Katalog!$A$3:$A$12,MATCH(cadangan3[[#This Row],[ItemID A]],Katalog!$C$3:$C$12,0)),"-")</f>
        <v>Pakaian Pria</v>
      </c>
      <c r="E734" t="str">
        <f>IFERROR(INDEX(Katalog!$B$3:$B$12,MATCH(cadangan3[[#This Row],[ItemID A]],Katalog!$C$3:$C$12,0)),"-")</f>
        <v>Celana Pendek</v>
      </c>
      <c r="F734">
        <v>1</v>
      </c>
      <c r="G734">
        <v>2</v>
      </c>
      <c r="H734" s="36">
        <f>IFERROR(INDEX(Katalog!$D$3:$D$12,MATCH(cadangan3[[#This Row],[ItemID A]],Katalog!$C$3:$C$12,0))*cadangan3[[#This Row],[Qty A]],0)</f>
        <v>180000</v>
      </c>
      <c r="I734" s="36">
        <f>IFERROR(INDEX(Katalog!$D$3:$D$12,MATCH(cadangan3[[#This Row],[Item A]],Katalog!$B$3:$B$12,0))*cadangan3[[#This Row],[Qty A]],0)</f>
        <v>180000</v>
      </c>
      <c r="J734" s="36">
        <f>IFERROR(cadangan3[[#This Row],[Harga Asli A]]-(cadangan3[[#This Row],[Harga Asli A]]*cadangan3[[#This Row],[Diskon]]),cadangan3[[#This Row],[Harga Asli A]])</f>
        <v>162000</v>
      </c>
      <c r="K734" s="36">
        <f>INDEX(Katalog!$F$3:$F$12,MATCH(cadangan3[[#This Row],[ItemID A]],Katalog!$C$3:$C$12,0))*cadangan3[[#This Row],[Qty A]]</f>
        <v>70000</v>
      </c>
      <c r="L734" s="36">
        <f>IFERROR(cadangan3[[#This Row],[Profit A]]-(cadangan3[[#This Row],[Profit A]]*cadangan3[[#This Row],[Diskon]]),K734)</f>
        <v>63000</v>
      </c>
      <c r="M734" t="s">
        <v>66</v>
      </c>
      <c r="N734" t="str">
        <f>IFERROR(INDEX(Katalog!$A$3:$A$12,MATCH(cadangan3[[#This Row],[ItemID B]],Katalog!$C$3:$C$12,0)),"-")</f>
        <v>Sepatu Pria</v>
      </c>
      <c r="O734" t="str">
        <f>IFERROR(INDEX(Katalog!$B$3:$B$12,MATCH(cadangan3[[#This Row],[ItemID B]],Katalog!$C$3:$C$12,0)),"-")</f>
        <v>Sandal Slip On</v>
      </c>
      <c r="P734">
        <v>3</v>
      </c>
      <c r="Q734">
        <v>3</v>
      </c>
      <c r="R734" s="36">
        <f>IFERROR(INDEX(Katalog!$D$3:$D$12,MATCH(cadangan3[[#This Row],[ItemID B]],Katalog!$C$3:$C$12,0))*cadangan3[[#This Row],[Qty B]],0)</f>
        <v>450000</v>
      </c>
      <c r="S734" s="36">
        <f>IFERROR(INDEX(Katalog!$D$3:$D$12,MATCH(cadangan3[[#This Row],[Item B]],Katalog!$B$3:$B$12,0))*cadangan3[[#This Row],[Qty B]],0)</f>
        <v>450000</v>
      </c>
      <c r="T734" s="36">
        <f>IFERROR(cadangan3[[#This Row],[Harga Asli B]]-(cadangan3[[#This Row],[Harga Asli B]]*cadangan3[[#This Row],[Diskon]]),cadangan3[[#This Row],[Harga Asli B]])</f>
        <v>405000</v>
      </c>
      <c r="U734" s="36">
        <f>IFERROR(INDEX(Katalog!$F$3:$F$12,MATCH(cadangan3[[#This Row],[ItemID B]],Katalog!$C$3:$C$12,0))*cadangan3[[#This Row],[Qty B]],0)</f>
        <v>180000</v>
      </c>
      <c r="V734" s="36">
        <f>IFERROR(cadangan3[[#This Row],[Profit B]]-(cadangan3[[#This Row],[Profit B]]*cadangan3[[#This Row],[Diskon]]),U734)</f>
        <v>162000</v>
      </c>
      <c r="X734" t="str">
        <f>IFERROR(INDEX(Katalog!$A$3:$A$12,MATCH(cadangan3[[#This Row],[ItemID C]],Katalog!$C$3:$C$12,0)),"-")</f>
        <v>-</v>
      </c>
      <c r="Y734" t="str">
        <f>IFERROR(INDEX(Katalog!$B$3:$B$12,MATCH(cadangan3[[#This Row],[ItemID C]],Katalog!$C$3:$C$12,0)),"-")</f>
        <v>-</v>
      </c>
      <c r="AB734" s="36">
        <f>IFERROR(INDEX(Katalog!$D$3:$D$12,MATCH(cadangan3[[#This Row],[ItemID C]],Katalog!$C$3:$C$12,0))*cadangan3[[#This Row],[Qty C]],0)</f>
        <v>0</v>
      </c>
      <c r="AC734" s="36">
        <f>IFERROR(INDEX(Katalog!$D$3:$D$12,MATCH(cadangan3[[#This Row],[Item C]],Katalog!$B$3:$B$12,0))*cadangan3[[#This Row],[Qty C]],0)</f>
        <v>0</v>
      </c>
      <c r="AD734" s="36">
        <f>IFERROR(cadangan3[[#This Row],[Harga Asli C]]-(cadangan3[[#This Row],[Harga Asli C]]*cadangan3[[#This Row],[Diskon]]),cadangan3[[#This Row],[Harga Asli C]])</f>
        <v>0</v>
      </c>
      <c r="AE734" s="36">
        <f>IFERROR(INDEX(Katalog!$F$3:$F$12,MATCH(cadangan3[[#This Row],[ItemID C]],Katalog!$C$3:$C$12,0))*cadangan3[[#This Row],[Qty C]],0)</f>
        <v>0</v>
      </c>
      <c r="AF734" s="36">
        <f>IFERROR(cadangan3[[#This Row],[Profit C]]-(cadangan3[[#This Row],[Profit C]]*cadangan3[[#This Row],[Diskon]]),cadangan3[[#This Row],[Profit C]])</f>
        <v>0</v>
      </c>
      <c r="AG734" s="21">
        <f>cadangan3[[#This Row],[Qty A]]+cadangan3[[#This Row],[Qty B]]+cadangan3[[#This Row],[Qty C]]</f>
        <v>4</v>
      </c>
      <c r="AH734" s="35">
        <f>cadangan3[[#This Row],[Harga A + Diskon]]+cadangan3[[#This Row],[Harga + Diskon B]]+cadangan3[[#This Row],[Harga + Diskon C]]</f>
        <v>567000</v>
      </c>
      <c r="AI734" s="35">
        <f>(cadangan3[[#This Row],[Profit A]]+cadangan3[[#This Row],[Profit B]]+cadangan3[[#This Row],[Profit C]])</f>
        <v>250000</v>
      </c>
      <c r="AJ734" s="35">
        <f>cadangan3[[#This Row],[Provit A + Diskon]]+cadangan3[[#This Row],[Provit B + Diskon]]+cadangan3[[#This Row],[Provit C + Diskon]]</f>
        <v>225000</v>
      </c>
      <c r="AK734" s="23" t="s">
        <v>31</v>
      </c>
      <c r="AL734" s="37">
        <f>IFERROR(INDEX('Kode Diskon'!$D$3:$D$9,MATCH(cadangan3[[#This Row],[Kode diskon]],'Kode Diskon'!$C$3:$C$9,0)),"-")</f>
        <v>0.1</v>
      </c>
      <c r="AM734" s="23" t="s">
        <v>9</v>
      </c>
      <c r="AN734" s="23" t="s">
        <v>10</v>
      </c>
      <c r="AO734" s="23" t="s">
        <v>75</v>
      </c>
      <c r="AP734" s="24">
        <v>45032</v>
      </c>
      <c r="AQ734" s="23" t="str">
        <f>TEXT(cadangan3[[#This Row],[Tanggal terjual]],"dddd")</f>
        <v>Sunday</v>
      </c>
    </row>
    <row r="735" spans="1:43" x14ac:dyDescent="0.2">
      <c r="A735" s="20">
        <v>734</v>
      </c>
      <c r="B735" s="21" t="str">
        <f>_xlfn.CONCAT("ORD-",INDEX(Helper!$B$2:$B$5,MATCH(cadangan3[[#This Row],[Marketplace]],Helper!$A$2:$A$5,0)),TEXT(cadangan3[[#This Row],[No]],"0000"),"-",TEXT(cadangan3[[#This Row],[Tanggal terjual]],"dd/mm/yy"))</f>
        <v>ORD-TK0734-06/04/23</v>
      </c>
      <c r="C735" t="s">
        <v>65</v>
      </c>
      <c r="D735" t="str">
        <f>IFERROR(INDEX(Katalog!$A$3:$A$12,MATCH(cadangan3[[#This Row],[ItemID A]],Katalog!$C$3:$C$12,0)),"-")</f>
        <v>Sepatu Pria</v>
      </c>
      <c r="E735" t="str">
        <f>IFERROR(INDEX(Katalog!$B$3:$B$12,MATCH(cadangan3[[#This Row],[ItemID A]],Katalog!$C$3:$C$12,0)),"-")</f>
        <v>Sneakers</v>
      </c>
      <c r="F735">
        <v>2</v>
      </c>
      <c r="G735">
        <v>1</v>
      </c>
      <c r="H735" s="36">
        <f>IFERROR(INDEX(Katalog!$D$3:$D$12,MATCH(cadangan3[[#This Row],[ItemID A]],Katalog!$C$3:$C$12,0))*cadangan3[[#This Row],[Qty A]],0)</f>
        <v>1000000</v>
      </c>
      <c r="I735" s="36">
        <f>IFERROR(INDEX(Katalog!$D$3:$D$12,MATCH(cadangan3[[#This Row],[Item A]],Katalog!$B$3:$B$12,0))*cadangan3[[#This Row],[Qty A]],0)</f>
        <v>1000000</v>
      </c>
      <c r="J735" s="36">
        <f>IFERROR(cadangan3[[#This Row],[Harga Asli A]]-(cadangan3[[#This Row],[Harga Asli A]]*cadangan3[[#This Row],[Diskon]]),cadangan3[[#This Row],[Harga Asli A]])</f>
        <v>900000</v>
      </c>
      <c r="K735" s="36">
        <f>INDEX(Katalog!$F$3:$F$12,MATCH(cadangan3[[#This Row],[ItemID A]],Katalog!$C$3:$C$12,0))*cadangan3[[#This Row],[Qty A]]</f>
        <v>400000</v>
      </c>
      <c r="L735" s="36">
        <f>IFERROR(cadangan3[[#This Row],[Profit A]]-(cadangan3[[#This Row],[Profit A]]*cadangan3[[#This Row],[Diskon]]),K735)</f>
        <v>360000</v>
      </c>
      <c r="M735" t="s">
        <v>67</v>
      </c>
      <c r="N735" t="str">
        <f>IFERROR(INDEX(Katalog!$A$3:$A$12,MATCH(cadangan3[[#This Row],[ItemID B]],Katalog!$C$3:$C$12,0)),"-")</f>
        <v>Sepatu Wanita</v>
      </c>
      <c r="O735" t="str">
        <f>IFERROR(INDEX(Katalog!$B$3:$B$12,MATCH(cadangan3[[#This Row],[ItemID B]],Katalog!$C$3:$C$12,0)),"-")</f>
        <v>Flat Shoes</v>
      </c>
      <c r="P735">
        <v>2</v>
      </c>
      <c r="Q735">
        <v>3</v>
      </c>
      <c r="R735" s="36">
        <f>IFERROR(INDEX(Katalog!$D$3:$D$12,MATCH(cadangan3[[#This Row],[ItemID B]],Katalog!$C$3:$C$12,0))*cadangan3[[#This Row],[Qty B]],0)</f>
        <v>500000</v>
      </c>
      <c r="S735" s="36">
        <f>IFERROR(INDEX(Katalog!$D$3:$D$12,MATCH(cadangan3[[#This Row],[Item B]],Katalog!$B$3:$B$12,0))*cadangan3[[#This Row],[Qty B]],0)</f>
        <v>500000</v>
      </c>
      <c r="T735" s="36">
        <f>IFERROR(cadangan3[[#This Row],[Harga Asli B]]-(cadangan3[[#This Row],[Harga Asli B]]*cadangan3[[#This Row],[Diskon]]),cadangan3[[#This Row],[Harga Asli B]])</f>
        <v>450000</v>
      </c>
      <c r="U735" s="36">
        <f>IFERROR(INDEX(Katalog!$F$3:$F$12,MATCH(cadangan3[[#This Row],[ItemID B]],Katalog!$C$3:$C$12,0))*cadangan3[[#This Row],[Qty B]],0)</f>
        <v>200000</v>
      </c>
      <c r="V735" s="36">
        <f>IFERROR(cadangan3[[#This Row],[Profit B]]-(cadangan3[[#This Row],[Profit B]]*cadangan3[[#This Row],[Diskon]]),U735)</f>
        <v>180000</v>
      </c>
      <c r="X735" t="str">
        <f>IFERROR(INDEX(Katalog!$A$3:$A$12,MATCH(cadangan3[[#This Row],[ItemID C]],Katalog!$C$3:$C$12,0)),"-")</f>
        <v>-</v>
      </c>
      <c r="Y735" t="str">
        <f>IFERROR(INDEX(Katalog!$B$3:$B$12,MATCH(cadangan3[[#This Row],[ItemID C]],Katalog!$C$3:$C$12,0)),"-")</f>
        <v>-</v>
      </c>
      <c r="AB735" s="36">
        <f>IFERROR(INDEX(Katalog!$D$3:$D$12,MATCH(cadangan3[[#This Row],[ItemID C]],Katalog!$C$3:$C$12,0))*cadangan3[[#This Row],[Qty C]],0)</f>
        <v>0</v>
      </c>
      <c r="AC735" s="36">
        <f>IFERROR(INDEX(Katalog!$D$3:$D$12,MATCH(cadangan3[[#This Row],[Item C]],Katalog!$B$3:$B$12,0))*cadangan3[[#This Row],[Qty C]],0)</f>
        <v>0</v>
      </c>
      <c r="AD735" s="36">
        <f>IFERROR(cadangan3[[#This Row],[Harga Asli C]]-(cadangan3[[#This Row],[Harga Asli C]]*cadangan3[[#This Row],[Diskon]]),cadangan3[[#This Row],[Harga Asli C]])</f>
        <v>0</v>
      </c>
      <c r="AE735" s="36">
        <f>IFERROR(INDEX(Katalog!$F$3:$F$12,MATCH(cadangan3[[#This Row],[ItemID C]],Katalog!$C$3:$C$12,0))*cadangan3[[#This Row],[Qty C]],0)</f>
        <v>0</v>
      </c>
      <c r="AF735" s="36">
        <f>IFERROR(cadangan3[[#This Row],[Profit C]]-(cadangan3[[#This Row],[Profit C]]*cadangan3[[#This Row],[Diskon]]),cadangan3[[#This Row],[Profit C]])</f>
        <v>0</v>
      </c>
      <c r="AG735" s="21">
        <f>cadangan3[[#This Row],[Qty A]]+cadangan3[[#This Row],[Qty B]]+cadangan3[[#This Row],[Qty C]]</f>
        <v>4</v>
      </c>
      <c r="AH735" s="35">
        <f>cadangan3[[#This Row],[Harga A + Diskon]]+cadangan3[[#This Row],[Harga + Diskon B]]+cadangan3[[#This Row],[Harga + Diskon C]]</f>
        <v>1350000</v>
      </c>
      <c r="AI735" s="35">
        <f>(cadangan3[[#This Row],[Profit A]]+cadangan3[[#This Row],[Profit B]]+cadangan3[[#This Row],[Profit C]])</f>
        <v>600000</v>
      </c>
      <c r="AJ735" s="35">
        <f>cadangan3[[#This Row],[Provit A + Diskon]]+cadangan3[[#This Row],[Provit B + Diskon]]+cadangan3[[#This Row],[Provit C + Diskon]]</f>
        <v>540000</v>
      </c>
      <c r="AK735" s="23" t="s">
        <v>30</v>
      </c>
      <c r="AL735" s="37">
        <f>IFERROR(INDEX('Kode Diskon'!$D$3:$D$9,MATCH(cadangan3[[#This Row],[Kode diskon]],'Kode Diskon'!$C$3:$C$9,0)),"-")</f>
        <v>0.1</v>
      </c>
      <c r="AM735" s="23" t="s">
        <v>29</v>
      </c>
      <c r="AN735" s="23" t="s">
        <v>10</v>
      </c>
      <c r="AO735" s="23" t="s">
        <v>76</v>
      </c>
      <c r="AP735" s="24">
        <v>45022</v>
      </c>
      <c r="AQ735" s="23" t="str">
        <f>TEXT(cadangan3[[#This Row],[Tanggal terjual]],"dddd")</f>
        <v>Thursday</v>
      </c>
    </row>
    <row r="736" spans="1:43" x14ac:dyDescent="0.2">
      <c r="A736" s="20">
        <v>735</v>
      </c>
      <c r="B736" s="21" t="str">
        <f>_xlfn.CONCAT("ORD-",INDEX(Helper!$B$2:$B$5,MATCH(cadangan3[[#This Row],[Marketplace]],Helper!$A$2:$A$5,0)),TEXT(cadangan3[[#This Row],[No]],"0000"),"-",TEXT(cadangan3[[#This Row],[Tanggal terjual]],"dd/mm/yy"))</f>
        <v>ORD-TK0735-02/04/23</v>
      </c>
      <c r="C736" t="s">
        <v>58</v>
      </c>
      <c r="D736" t="str">
        <f>IFERROR(INDEX(Katalog!$A$3:$A$12,MATCH(cadangan3[[#This Row],[ItemID A]],Katalog!$C$3:$C$12,0)),"-")</f>
        <v>Pakaian Wanita</v>
      </c>
      <c r="E736" t="str">
        <f>IFERROR(INDEX(Katalog!$B$3:$B$12,MATCH(cadangan3[[#This Row],[ItemID A]],Katalog!$C$3:$C$12,0)),"-")</f>
        <v>Dress</v>
      </c>
      <c r="F736">
        <v>1</v>
      </c>
      <c r="G736">
        <v>4</v>
      </c>
      <c r="H736" s="36">
        <f>IFERROR(INDEX(Katalog!$D$3:$D$12,MATCH(cadangan3[[#This Row],[ItemID A]],Katalog!$C$3:$C$12,0))*cadangan3[[#This Row],[Qty A]],0)</f>
        <v>300000</v>
      </c>
      <c r="I736" s="36">
        <f>IFERROR(INDEX(Katalog!$D$3:$D$12,MATCH(cadangan3[[#This Row],[Item A]],Katalog!$B$3:$B$12,0))*cadangan3[[#This Row],[Qty A]],0)</f>
        <v>300000</v>
      </c>
      <c r="J736" s="36">
        <f>IFERROR(cadangan3[[#This Row],[Harga Asli A]]-(cadangan3[[#This Row],[Harga Asli A]]*cadangan3[[#This Row],[Diskon]]),cadangan3[[#This Row],[Harga Asli A]])</f>
        <v>270000</v>
      </c>
      <c r="K736" s="36">
        <f>INDEX(Katalog!$F$3:$F$12,MATCH(cadangan3[[#This Row],[ItemID A]],Katalog!$C$3:$C$12,0))*cadangan3[[#This Row],[Qty A]]</f>
        <v>100000</v>
      </c>
      <c r="L736" s="36">
        <f>IFERROR(cadangan3[[#This Row],[Profit A]]-(cadangan3[[#This Row],[Profit A]]*cadangan3[[#This Row],[Diskon]]),K736)</f>
        <v>90000</v>
      </c>
      <c r="M736" t="s">
        <v>64</v>
      </c>
      <c r="N736" t="str">
        <f>IFERROR(INDEX(Katalog!$A$3:$A$12,MATCH(cadangan3[[#This Row],[ItemID B]],Katalog!$C$3:$C$12,0)),"-")</f>
        <v>Pakaian Unisex</v>
      </c>
      <c r="O736" t="str">
        <f>IFERROR(INDEX(Katalog!$B$3:$B$12,MATCH(cadangan3[[#This Row],[ItemID B]],Katalog!$C$3:$C$12,0)),"-")</f>
        <v>Jaket Hoodie</v>
      </c>
      <c r="P736">
        <v>1</v>
      </c>
      <c r="Q736">
        <v>4</v>
      </c>
      <c r="R736" s="36">
        <f>IFERROR(INDEX(Katalog!$D$3:$D$12,MATCH(cadangan3[[#This Row],[ItemID B]],Katalog!$C$3:$C$12,0))*cadangan3[[#This Row],[Qty B]],0)</f>
        <v>350000</v>
      </c>
      <c r="S736" s="36">
        <f>IFERROR(INDEX(Katalog!$D$3:$D$12,MATCH(cadangan3[[#This Row],[Item B]],Katalog!$B$3:$B$12,0))*cadangan3[[#This Row],[Qty B]],0)</f>
        <v>350000</v>
      </c>
      <c r="T736" s="36">
        <f>IFERROR(cadangan3[[#This Row],[Harga Asli B]]-(cadangan3[[#This Row],[Harga Asli B]]*cadangan3[[#This Row],[Diskon]]),cadangan3[[#This Row],[Harga Asli B]])</f>
        <v>315000</v>
      </c>
      <c r="U736" s="36">
        <f>IFERROR(INDEX(Katalog!$F$3:$F$12,MATCH(cadangan3[[#This Row],[ItemID B]],Katalog!$C$3:$C$12,0))*cadangan3[[#This Row],[Qty B]],0)</f>
        <v>130000</v>
      </c>
      <c r="V736" s="36">
        <f>IFERROR(cadangan3[[#This Row],[Profit B]]-(cadangan3[[#This Row],[Profit B]]*cadangan3[[#This Row],[Diskon]]),U736)</f>
        <v>117000</v>
      </c>
      <c r="W736" t="s">
        <v>61</v>
      </c>
      <c r="X736" t="str">
        <f>IFERROR(INDEX(Katalog!$A$3:$A$12,MATCH(cadangan3[[#This Row],[ItemID C]],Katalog!$C$3:$C$12,0)),"-")</f>
        <v>Pakaian Pria</v>
      </c>
      <c r="Y736" t="str">
        <f>IFERROR(INDEX(Katalog!$B$3:$B$12,MATCH(cadangan3[[#This Row],[ItemID C]],Katalog!$C$3:$C$12,0)),"-")</f>
        <v>Kaos Polo</v>
      </c>
      <c r="Z736">
        <v>5</v>
      </c>
      <c r="AA736">
        <v>2</v>
      </c>
      <c r="AB736" s="36">
        <f>IFERROR(INDEX(Katalog!$D$3:$D$12,MATCH(cadangan3[[#This Row],[ItemID C]],Katalog!$C$3:$C$12,0))*cadangan3[[#This Row],[Qty C]],0)</f>
        <v>1000000</v>
      </c>
      <c r="AC736" s="36">
        <f>IFERROR(INDEX(Katalog!$D$3:$D$12,MATCH(cadangan3[[#This Row],[Item C]],Katalog!$B$3:$B$12,0))*cadangan3[[#This Row],[Qty C]],0)</f>
        <v>1000000</v>
      </c>
      <c r="AD736" s="36">
        <f>IFERROR(cadangan3[[#This Row],[Harga Asli C]]-(cadangan3[[#This Row],[Harga Asli C]]*cadangan3[[#This Row],[Diskon]]),cadangan3[[#This Row],[Harga Asli C]])</f>
        <v>900000</v>
      </c>
      <c r="AE736" s="36">
        <f>IFERROR(INDEX(Katalog!$F$3:$F$12,MATCH(cadangan3[[#This Row],[ItemID C]],Katalog!$C$3:$C$12,0))*cadangan3[[#This Row],[Qty C]],0)</f>
        <v>400000</v>
      </c>
      <c r="AF736" s="36">
        <f>IFERROR(cadangan3[[#This Row],[Profit C]]-(cadangan3[[#This Row],[Profit C]]*cadangan3[[#This Row],[Diskon]]),cadangan3[[#This Row],[Profit C]])</f>
        <v>360000</v>
      </c>
      <c r="AG736" s="21">
        <f>cadangan3[[#This Row],[Qty A]]+cadangan3[[#This Row],[Qty B]]+cadangan3[[#This Row],[Qty C]]</f>
        <v>7</v>
      </c>
      <c r="AH736" s="35">
        <f>cadangan3[[#This Row],[Harga A + Diskon]]+cadangan3[[#This Row],[Harga + Diskon B]]+cadangan3[[#This Row],[Harga + Diskon C]]</f>
        <v>1485000</v>
      </c>
      <c r="AI736" s="35">
        <f>(cadangan3[[#This Row],[Profit A]]+cadangan3[[#This Row],[Profit B]]+cadangan3[[#This Row],[Profit C]])</f>
        <v>630000</v>
      </c>
      <c r="AJ736" s="35">
        <f>cadangan3[[#This Row],[Provit A + Diskon]]+cadangan3[[#This Row],[Provit B + Diskon]]+cadangan3[[#This Row],[Provit C + Diskon]]</f>
        <v>567000</v>
      </c>
      <c r="AK736" s="23" t="s">
        <v>30</v>
      </c>
      <c r="AL736" s="37">
        <f>IFERROR(INDEX('Kode Diskon'!$D$3:$D$9,MATCH(cadangan3[[#This Row],[Kode diskon]],'Kode Diskon'!$C$3:$C$9,0)),"-")</f>
        <v>0.1</v>
      </c>
      <c r="AM736" s="23" t="s">
        <v>29</v>
      </c>
      <c r="AN736" s="23" t="s">
        <v>10</v>
      </c>
      <c r="AO736" s="23" t="s">
        <v>76</v>
      </c>
      <c r="AP736" s="24">
        <v>45018</v>
      </c>
      <c r="AQ736" s="23" t="str">
        <f>TEXT(cadangan3[[#This Row],[Tanggal terjual]],"dddd")</f>
        <v>Sunday</v>
      </c>
    </row>
    <row r="737" spans="1:43" x14ac:dyDescent="0.2">
      <c r="A737" s="20">
        <v>736</v>
      </c>
      <c r="B737" s="21" t="str">
        <f>_xlfn.CONCAT("ORD-",INDEX(Helper!$B$2:$B$5,MATCH(cadangan3[[#This Row],[Marketplace]],Helper!$A$2:$A$5,0)),TEXT(cadangan3[[#This Row],[No]],"0000"),"-",TEXT(cadangan3[[#This Row],[Tanggal terjual]],"dd/mm/yy"))</f>
        <v>ORD-TK0736-15/04/23</v>
      </c>
      <c r="C737" t="s">
        <v>58</v>
      </c>
      <c r="D737" t="str">
        <f>IFERROR(INDEX(Katalog!$A$3:$A$12,MATCH(cadangan3[[#This Row],[ItemID A]],Katalog!$C$3:$C$12,0)),"-")</f>
        <v>Pakaian Wanita</v>
      </c>
      <c r="E737" t="str">
        <f>IFERROR(INDEX(Katalog!$B$3:$B$12,MATCH(cadangan3[[#This Row],[ItemID A]],Katalog!$C$3:$C$12,0)),"-")</f>
        <v>Dress</v>
      </c>
      <c r="F737">
        <v>1</v>
      </c>
      <c r="G737">
        <v>3</v>
      </c>
      <c r="H737" s="36">
        <f>IFERROR(INDEX(Katalog!$D$3:$D$12,MATCH(cadangan3[[#This Row],[ItemID A]],Katalog!$C$3:$C$12,0))*cadangan3[[#This Row],[Qty A]],0)</f>
        <v>300000</v>
      </c>
      <c r="I737" s="36">
        <f>IFERROR(INDEX(Katalog!$D$3:$D$12,MATCH(cadangan3[[#This Row],[Item A]],Katalog!$B$3:$B$12,0))*cadangan3[[#This Row],[Qty A]],0)</f>
        <v>300000</v>
      </c>
      <c r="J737" s="36">
        <f>IFERROR(cadangan3[[#This Row],[Harga Asli A]]-(cadangan3[[#This Row],[Harga Asli A]]*cadangan3[[#This Row],[Diskon]]),cadangan3[[#This Row],[Harga Asli A]])</f>
        <v>300000</v>
      </c>
      <c r="K737" s="36">
        <f>INDEX(Katalog!$F$3:$F$12,MATCH(cadangan3[[#This Row],[ItemID A]],Katalog!$C$3:$C$12,0))*cadangan3[[#This Row],[Qty A]]</f>
        <v>100000</v>
      </c>
      <c r="L737" s="36">
        <f>IFERROR(cadangan3[[#This Row],[Profit A]]-(cadangan3[[#This Row],[Profit A]]*cadangan3[[#This Row],[Diskon]]),K737)</f>
        <v>100000</v>
      </c>
      <c r="N737" t="str">
        <f>IFERROR(INDEX(Katalog!$A$3:$A$12,MATCH(cadangan3[[#This Row],[ItemID B]],Katalog!$C$3:$C$12,0)),"-")</f>
        <v>-</v>
      </c>
      <c r="O737" t="str">
        <f>IFERROR(INDEX(Katalog!$B$3:$B$12,MATCH(cadangan3[[#This Row],[ItemID B]],Katalog!$C$3:$C$12,0)),"-")</f>
        <v>-</v>
      </c>
      <c r="R737" s="36">
        <f>IFERROR(INDEX(Katalog!$D$3:$D$12,MATCH(cadangan3[[#This Row],[ItemID B]],Katalog!$C$3:$C$12,0))*cadangan3[[#This Row],[Qty B]],0)</f>
        <v>0</v>
      </c>
      <c r="S737" s="36">
        <f>IFERROR(INDEX(Katalog!$D$3:$D$12,MATCH(cadangan3[[#This Row],[Item B]],Katalog!$B$3:$B$12,0))*cadangan3[[#This Row],[Qty B]],0)</f>
        <v>0</v>
      </c>
      <c r="T737" s="36">
        <f>IFERROR(cadangan3[[#This Row],[Harga Asli B]]-(cadangan3[[#This Row],[Harga Asli B]]*cadangan3[[#This Row],[Diskon]]),cadangan3[[#This Row],[Harga Asli B]])</f>
        <v>0</v>
      </c>
      <c r="U737" s="36">
        <f>IFERROR(INDEX(Katalog!$F$3:$F$12,MATCH(cadangan3[[#This Row],[ItemID B]],Katalog!$C$3:$C$12,0))*cadangan3[[#This Row],[Qty B]],0)</f>
        <v>0</v>
      </c>
      <c r="V737" s="36">
        <f>IFERROR(cadangan3[[#This Row],[Profit B]]-(cadangan3[[#This Row],[Profit B]]*cadangan3[[#This Row],[Diskon]]),U737)</f>
        <v>0</v>
      </c>
      <c r="X737" t="str">
        <f>IFERROR(INDEX(Katalog!$A$3:$A$12,MATCH(cadangan3[[#This Row],[ItemID C]],Katalog!$C$3:$C$12,0)),"-")</f>
        <v>-</v>
      </c>
      <c r="Y737" t="str">
        <f>IFERROR(INDEX(Katalog!$B$3:$B$12,MATCH(cadangan3[[#This Row],[ItemID C]],Katalog!$C$3:$C$12,0)),"-")</f>
        <v>-</v>
      </c>
      <c r="AB737" s="36">
        <f>IFERROR(INDEX(Katalog!$D$3:$D$12,MATCH(cadangan3[[#This Row],[ItemID C]],Katalog!$C$3:$C$12,0))*cadangan3[[#This Row],[Qty C]],0)</f>
        <v>0</v>
      </c>
      <c r="AC737" s="36">
        <f>IFERROR(INDEX(Katalog!$D$3:$D$12,MATCH(cadangan3[[#This Row],[Item C]],Katalog!$B$3:$B$12,0))*cadangan3[[#This Row],[Qty C]],0)</f>
        <v>0</v>
      </c>
      <c r="AD737" s="36">
        <f>IFERROR(cadangan3[[#This Row],[Harga Asli C]]-(cadangan3[[#This Row],[Harga Asli C]]*cadangan3[[#This Row],[Diskon]]),cadangan3[[#This Row],[Harga Asli C]])</f>
        <v>0</v>
      </c>
      <c r="AE737" s="36">
        <f>IFERROR(INDEX(Katalog!$F$3:$F$12,MATCH(cadangan3[[#This Row],[ItemID C]],Katalog!$C$3:$C$12,0))*cadangan3[[#This Row],[Qty C]],0)</f>
        <v>0</v>
      </c>
      <c r="AF737" s="36">
        <f>IFERROR(cadangan3[[#This Row],[Profit C]]-(cadangan3[[#This Row],[Profit C]]*cadangan3[[#This Row],[Diskon]]),cadangan3[[#This Row],[Profit C]])</f>
        <v>0</v>
      </c>
      <c r="AG737" s="21">
        <f>cadangan3[[#This Row],[Qty A]]+cadangan3[[#This Row],[Qty B]]+cadangan3[[#This Row],[Qty C]]</f>
        <v>1</v>
      </c>
      <c r="AH737" s="35">
        <f>cadangan3[[#This Row],[Harga A + Diskon]]+cadangan3[[#This Row],[Harga + Diskon B]]+cadangan3[[#This Row],[Harga + Diskon C]]</f>
        <v>300000</v>
      </c>
      <c r="AI737" s="35">
        <f>(cadangan3[[#This Row],[Profit A]]+cadangan3[[#This Row],[Profit B]]+cadangan3[[#This Row],[Profit C]])</f>
        <v>100000</v>
      </c>
      <c r="AJ737" s="35">
        <f>cadangan3[[#This Row],[Provit A + Diskon]]+cadangan3[[#This Row],[Provit B + Diskon]]+cadangan3[[#This Row],[Provit C + Diskon]]</f>
        <v>100000</v>
      </c>
      <c r="AK737" s="23" t="s">
        <v>11</v>
      </c>
      <c r="AL737" s="37" t="str">
        <f>IFERROR(INDEX('Kode Diskon'!$D$3:$D$9,MATCH(cadangan3[[#This Row],[Kode diskon]],'Kode Diskon'!$C$3:$C$9,0)),"-")</f>
        <v>-</v>
      </c>
      <c r="AM737" s="23" t="s">
        <v>11</v>
      </c>
      <c r="AN737" s="23" t="s">
        <v>10</v>
      </c>
      <c r="AO737" s="23" t="s">
        <v>77</v>
      </c>
      <c r="AP737" s="24">
        <v>45031</v>
      </c>
      <c r="AQ737" s="23" t="str">
        <f>TEXT(cadangan3[[#This Row],[Tanggal terjual]],"dddd")</f>
        <v>Saturday</v>
      </c>
    </row>
    <row r="738" spans="1:43" x14ac:dyDescent="0.2">
      <c r="A738" s="20">
        <v>737</v>
      </c>
      <c r="B738" s="21" t="str">
        <f>_xlfn.CONCAT("ORD-",INDEX(Helper!$B$2:$B$5,MATCH(cadangan3[[#This Row],[Marketplace]],Helper!$A$2:$A$5,0)),TEXT(cadangan3[[#This Row],[No]],"0000"),"-",TEXT(cadangan3[[#This Row],[Tanggal terjual]],"dd/mm/yy"))</f>
        <v>ORD-BB0737-06/04/23</v>
      </c>
      <c r="C738" t="s">
        <v>62</v>
      </c>
      <c r="D738" t="str">
        <f>IFERROR(INDEX(Katalog!$A$3:$A$12,MATCH(cadangan3[[#This Row],[ItemID A]],Katalog!$C$3:$C$12,0)),"-")</f>
        <v>Pakaian Pria</v>
      </c>
      <c r="E738" t="str">
        <f>IFERROR(INDEX(Katalog!$B$3:$B$12,MATCH(cadangan3[[#This Row],[ItemID A]],Katalog!$C$3:$C$12,0)),"-")</f>
        <v>Celana Pendek</v>
      </c>
      <c r="F738">
        <v>2</v>
      </c>
      <c r="G738">
        <v>1</v>
      </c>
      <c r="H738" s="36">
        <f>IFERROR(INDEX(Katalog!$D$3:$D$12,MATCH(cadangan3[[#This Row],[ItemID A]],Katalog!$C$3:$C$12,0))*cadangan3[[#This Row],[Qty A]],0)</f>
        <v>360000</v>
      </c>
      <c r="I738" s="36">
        <f>IFERROR(INDEX(Katalog!$D$3:$D$12,MATCH(cadangan3[[#This Row],[Item A]],Katalog!$B$3:$B$12,0))*cadangan3[[#This Row],[Qty A]],0)</f>
        <v>360000</v>
      </c>
      <c r="J738" s="36">
        <f>IFERROR(cadangan3[[#This Row],[Harga Asli A]]-(cadangan3[[#This Row],[Harga Asli A]]*cadangan3[[#This Row],[Diskon]]),cadangan3[[#This Row],[Harga Asli A]])</f>
        <v>306000</v>
      </c>
      <c r="K738" s="36">
        <f>INDEX(Katalog!$F$3:$F$12,MATCH(cadangan3[[#This Row],[ItemID A]],Katalog!$C$3:$C$12,0))*cadangan3[[#This Row],[Qty A]]</f>
        <v>140000</v>
      </c>
      <c r="L738" s="36">
        <f>IFERROR(cadangan3[[#This Row],[Profit A]]-(cadangan3[[#This Row],[Profit A]]*cadangan3[[#This Row],[Diskon]]),K738)</f>
        <v>119000</v>
      </c>
      <c r="M738" t="s">
        <v>61</v>
      </c>
      <c r="N738" t="str">
        <f>IFERROR(INDEX(Katalog!$A$3:$A$12,MATCH(cadangan3[[#This Row],[ItemID B]],Katalog!$C$3:$C$12,0)),"-")</f>
        <v>Pakaian Pria</v>
      </c>
      <c r="O738" t="str">
        <f>IFERROR(INDEX(Katalog!$B$3:$B$12,MATCH(cadangan3[[#This Row],[ItemID B]],Katalog!$C$3:$C$12,0)),"-")</f>
        <v>Kaos Polo</v>
      </c>
      <c r="P738">
        <v>1</v>
      </c>
      <c r="Q738">
        <v>5</v>
      </c>
      <c r="R738" s="36">
        <f>IFERROR(INDEX(Katalog!$D$3:$D$12,MATCH(cadangan3[[#This Row],[ItemID B]],Katalog!$C$3:$C$12,0))*cadangan3[[#This Row],[Qty B]],0)</f>
        <v>200000</v>
      </c>
      <c r="S738" s="36">
        <f>IFERROR(INDEX(Katalog!$D$3:$D$12,MATCH(cadangan3[[#This Row],[Item B]],Katalog!$B$3:$B$12,0))*cadangan3[[#This Row],[Qty B]],0)</f>
        <v>200000</v>
      </c>
      <c r="T738" s="36">
        <f>IFERROR(cadangan3[[#This Row],[Harga Asli B]]-(cadangan3[[#This Row],[Harga Asli B]]*cadangan3[[#This Row],[Diskon]]),cadangan3[[#This Row],[Harga Asli B]])</f>
        <v>170000</v>
      </c>
      <c r="U738" s="36">
        <f>IFERROR(INDEX(Katalog!$F$3:$F$12,MATCH(cadangan3[[#This Row],[ItemID B]],Katalog!$C$3:$C$12,0))*cadangan3[[#This Row],[Qty B]],0)</f>
        <v>80000</v>
      </c>
      <c r="V738" s="36">
        <f>IFERROR(cadangan3[[#This Row],[Profit B]]-(cadangan3[[#This Row],[Profit B]]*cadangan3[[#This Row],[Diskon]]),U738)</f>
        <v>68000</v>
      </c>
      <c r="X738" t="str">
        <f>IFERROR(INDEX(Katalog!$A$3:$A$12,MATCH(cadangan3[[#This Row],[ItemID C]],Katalog!$C$3:$C$12,0)),"-")</f>
        <v>-</v>
      </c>
      <c r="Y738" t="str">
        <f>IFERROR(INDEX(Katalog!$B$3:$B$12,MATCH(cadangan3[[#This Row],[ItemID C]],Katalog!$C$3:$C$12,0)),"-")</f>
        <v>-</v>
      </c>
      <c r="AB738" s="36">
        <f>IFERROR(INDEX(Katalog!$D$3:$D$12,MATCH(cadangan3[[#This Row],[ItemID C]],Katalog!$C$3:$C$12,0))*cadangan3[[#This Row],[Qty C]],0)</f>
        <v>0</v>
      </c>
      <c r="AC738" s="36">
        <f>IFERROR(INDEX(Katalog!$D$3:$D$12,MATCH(cadangan3[[#This Row],[Item C]],Katalog!$B$3:$B$12,0))*cadangan3[[#This Row],[Qty C]],0)</f>
        <v>0</v>
      </c>
      <c r="AD738" s="36">
        <f>IFERROR(cadangan3[[#This Row],[Harga Asli C]]-(cadangan3[[#This Row],[Harga Asli C]]*cadangan3[[#This Row],[Diskon]]),cadangan3[[#This Row],[Harga Asli C]])</f>
        <v>0</v>
      </c>
      <c r="AE738" s="36">
        <f>IFERROR(INDEX(Katalog!$F$3:$F$12,MATCH(cadangan3[[#This Row],[ItemID C]],Katalog!$C$3:$C$12,0))*cadangan3[[#This Row],[Qty C]],0)</f>
        <v>0</v>
      </c>
      <c r="AF738" s="36">
        <f>IFERROR(cadangan3[[#This Row],[Profit C]]-(cadangan3[[#This Row],[Profit C]]*cadangan3[[#This Row],[Diskon]]),cadangan3[[#This Row],[Profit C]])</f>
        <v>0</v>
      </c>
      <c r="AG738" s="21">
        <f>cadangan3[[#This Row],[Qty A]]+cadangan3[[#This Row],[Qty B]]+cadangan3[[#This Row],[Qty C]]</f>
        <v>3</v>
      </c>
      <c r="AH738" s="35">
        <f>cadangan3[[#This Row],[Harga A + Diskon]]+cadangan3[[#This Row],[Harga + Diskon B]]+cadangan3[[#This Row],[Harga + Diskon C]]</f>
        <v>476000</v>
      </c>
      <c r="AI738" s="35">
        <f>(cadangan3[[#This Row],[Profit A]]+cadangan3[[#This Row],[Profit B]]+cadangan3[[#This Row],[Profit C]])</f>
        <v>220000</v>
      </c>
      <c r="AJ738" s="35">
        <f>cadangan3[[#This Row],[Provit A + Diskon]]+cadangan3[[#This Row],[Provit B + Diskon]]+cadangan3[[#This Row],[Provit C + Diskon]]</f>
        <v>187000</v>
      </c>
      <c r="AK738" s="23" t="s">
        <v>28</v>
      </c>
      <c r="AL738" s="37">
        <f>IFERROR(INDEX('Kode Diskon'!$D$3:$D$9,MATCH(cadangan3[[#This Row],[Kode diskon]],'Kode Diskon'!$C$3:$C$9,0)),"-")</f>
        <v>0.15</v>
      </c>
      <c r="AM738" s="23" t="s">
        <v>29</v>
      </c>
      <c r="AN738" s="23" t="s">
        <v>14</v>
      </c>
      <c r="AO738" s="23" t="s">
        <v>76</v>
      </c>
      <c r="AP738" s="24">
        <v>45022</v>
      </c>
      <c r="AQ738" s="23" t="str">
        <f>TEXT(cadangan3[[#This Row],[Tanggal terjual]],"dddd")</f>
        <v>Thursday</v>
      </c>
    </row>
    <row r="739" spans="1:43" x14ac:dyDescent="0.2">
      <c r="A739" s="20">
        <v>738</v>
      </c>
      <c r="B739" s="21" t="str">
        <f>_xlfn.CONCAT("ORD-",INDEX(Helper!$B$2:$B$5,MATCH(cadangan3[[#This Row],[Marketplace]],Helper!$A$2:$A$5,0)),TEXT(cadangan3[[#This Row],[No]],"0000"),"-",TEXT(cadangan3[[#This Row],[Tanggal terjual]],"dd/mm/yy"))</f>
        <v>ORD-SP0738-03/04/23</v>
      </c>
      <c r="C739" t="s">
        <v>64</v>
      </c>
      <c r="D739" t="str">
        <f>IFERROR(INDEX(Katalog!$A$3:$A$12,MATCH(cadangan3[[#This Row],[ItemID A]],Katalog!$C$3:$C$12,0)),"-")</f>
        <v>Pakaian Unisex</v>
      </c>
      <c r="E739" t="str">
        <f>IFERROR(INDEX(Katalog!$B$3:$B$12,MATCH(cadangan3[[#This Row],[ItemID A]],Katalog!$C$3:$C$12,0)),"-")</f>
        <v>Jaket Hoodie</v>
      </c>
      <c r="F739">
        <v>4</v>
      </c>
      <c r="G739">
        <v>2</v>
      </c>
      <c r="H739" s="36">
        <f>IFERROR(INDEX(Katalog!$D$3:$D$12,MATCH(cadangan3[[#This Row],[ItemID A]],Katalog!$C$3:$C$12,0))*cadangan3[[#This Row],[Qty A]],0)</f>
        <v>1400000</v>
      </c>
      <c r="I739" s="36">
        <f>IFERROR(INDEX(Katalog!$D$3:$D$12,MATCH(cadangan3[[#This Row],[Item A]],Katalog!$B$3:$B$12,0))*cadangan3[[#This Row],[Qty A]],0)</f>
        <v>1400000</v>
      </c>
      <c r="J739" s="36">
        <f>IFERROR(cadangan3[[#This Row],[Harga Asli A]]-(cadangan3[[#This Row],[Harga Asli A]]*cadangan3[[#This Row],[Diskon]]),cadangan3[[#This Row],[Harga Asli A]])</f>
        <v>1190000</v>
      </c>
      <c r="K739" s="36">
        <f>INDEX(Katalog!$F$3:$F$12,MATCH(cadangan3[[#This Row],[ItemID A]],Katalog!$C$3:$C$12,0))*cadangan3[[#This Row],[Qty A]]</f>
        <v>520000</v>
      </c>
      <c r="L739" s="36">
        <f>IFERROR(cadangan3[[#This Row],[Profit A]]-(cadangan3[[#This Row],[Profit A]]*cadangan3[[#This Row],[Diskon]]),K739)</f>
        <v>442000</v>
      </c>
      <c r="M739" t="s">
        <v>65</v>
      </c>
      <c r="N739" t="str">
        <f>IFERROR(INDEX(Katalog!$A$3:$A$12,MATCH(cadangan3[[#This Row],[ItemID B]],Katalog!$C$3:$C$12,0)),"-")</f>
        <v>Sepatu Pria</v>
      </c>
      <c r="O739" t="str">
        <f>IFERROR(INDEX(Katalog!$B$3:$B$12,MATCH(cadangan3[[#This Row],[ItemID B]],Katalog!$C$3:$C$12,0)),"-")</f>
        <v>Sneakers</v>
      </c>
      <c r="P739">
        <v>2</v>
      </c>
      <c r="Q739">
        <v>4</v>
      </c>
      <c r="R739" s="36">
        <f>IFERROR(INDEX(Katalog!$D$3:$D$12,MATCH(cadangan3[[#This Row],[ItemID B]],Katalog!$C$3:$C$12,0))*cadangan3[[#This Row],[Qty B]],0)</f>
        <v>1000000</v>
      </c>
      <c r="S739" s="36">
        <f>IFERROR(INDEX(Katalog!$D$3:$D$12,MATCH(cadangan3[[#This Row],[Item B]],Katalog!$B$3:$B$12,0))*cadangan3[[#This Row],[Qty B]],0)</f>
        <v>1000000</v>
      </c>
      <c r="T739" s="36">
        <f>IFERROR(cadangan3[[#This Row],[Harga Asli B]]-(cadangan3[[#This Row],[Harga Asli B]]*cadangan3[[#This Row],[Diskon]]),cadangan3[[#This Row],[Harga Asli B]])</f>
        <v>850000</v>
      </c>
      <c r="U739" s="36">
        <f>IFERROR(INDEX(Katalog!$F$3:$F$12,MATCH(cadangan3[[#This Row],[ItemID B]],Katalog!$C$3:$C$12,0))*cadangan3[[#This Row],[Qty B]],0)</f>
        <v>400000</v>
      </c>
      <c r="V739" s="36">
        <f>IFERROR(cadangan3[[#This Row],[Profit B]]-(cadangan3[[#This Row],[Profit B]]*cadangan3[[#This Row],[Diskon]]),U739)</f>
        <v>340000</v>
      </c>
      <c r="W739" t="s">
        <v>59</v>
      </c>
      <c r="X739" t="str">
        <f>IFERROR(INDEX(Katalog!$A$3:$A$12,MATCH(cadangan3[[#This Row],[ItemID C]],Katalog!$C$3:$C$12,0)),"-")</f>
        <v>Pakaian Wanita</v>
      </c>
      <c r="Y739" t="str">
        <f>IFERROR(INDEX(Katalog!$B$3:$B$12,MATCH(cadangan3[[#This Row],[ItemID C]],Katalog!$C$3:$C$12,0)),"-")</f>
        <v>Blouse</v>
      </c>
      <c r="Z739">
        <v>1</v>
      </c>
      <c r="AA739">
        <v>1</v>
      </c>
      <c r="AB739" s="36">
        <f>IFERROR(INDEX(Katalog!$D$3:$D$12,MATCH(cadangan3[[#This Row],[ItemID C]],Katalog!$C$3:$C$12,0))*cadangan3[[#This Row],[Qty C]],0)</f>
        <v>150000</v>
      </c>
      <c r="AC739" s="36">
        <f>IFERROR(INDEX(Katalog!$D$3:$D$12,MATCH(cadangan3[[#This Row],[Item C]],Katalog!$B$3:$B$12,0))*cadangan3[[#This Row],[Qty C]],0)</f>
        <v>150000</v>
      </c>
      <c r="AD739" s="36">
        <f>IFERROR(cadangan3[[#This Row],[Harga Asli C]]-(cadangan3[[#This Row],[Harga Asli C]]*cadangan3[[#This Row],[Diskon]]),cadangan3[[#This Row],[Harga Asli C]])</f>
        <v>127500</v>
      </c>
      <c r="AE739" s="36">
        <f>IFERROR(INDEX(Katalog!$F$3:$F$12,MATCH(cadangan3[[#This Row],[ItemID C]],Katalog!$C$3:$C$12,0))*cadangan3[[#This Row],[Qty C]],0)</f>
        <v>50000</v>
      </c>
      <c r="AF739" s="36">
        <f>IFERROR(cadangan3[[#This Row],[Profit C]]-(cadangan3[[#This Row],[Profit C]]*cadangan3[[#This Row],[Diskon]]),cadangan3[[#This Row],[Profit C]])</f>
        <v>42500</v>
      </c>
      <c r="AG739" s="21">
        <f>cadangan3[[#This Row],[Qty A]]+cadangan3[[#This Row],[Qty B]]+cadangan3[[#This Row],[Qty C]]</f>
        <v>7</v>
      </c>
      <c r="AH739" s="35">
        <f>cadangan3[[#This Row],[Harga A + Diskon]]+cadangan3[[#This Row],[Harga + Diskon B]]+cadangan3[[#This Row],[Harga + Diskon C]]</f>
        <v>2167500</v>
      </c>
      <c r="AI739" s="35">
        <f>(cadangan3[[#This Row],[Profit A]]+cadangan3[[#This Row],[Profit B]]+cadangan3[[#This Row],[Profit C]])</f>
        <v>970000</v>
      </c>
      <c r="AJ739" s="35">
        <f>cadangan3[[#This Row],[Provit A + Diskon]]+cadangan3[[#This Row],[Provit B + Diskon]]+cadangan3[[#This Row],[Provit C + Diskon]]</f>
        <v>824500</v>
      </c>
      <c r="AK739" s="23" t="s">
        <v>13</v>
      </c>
      <c r="AL739" s="37">
        <f>IFERROR(INDEX('Kode Diskon'!$D$3:$D$9,MATCH(cadangan3[[#This Row],[Kode diskon]],'Kode Diskon'!$C$3:$C$9,0)),"-")</f>
        <v>0.15</v>
      </c>
      <c r="AM739" s="23" t="s">
        <v>29</v>
      </c>
      <c r="AN739" s="23" t="s">
        <v>7</v>
      </c>
      <c r="AO739" s="23" t="s">
        <v>77</v>
      </c>
      <c r="AP739" s="24">
        <v>45019</v>
      </c>
      <c r="AQ739" s="23" t="str">
        <f>TEXT(cadangan3[[#This Row],[Tanggal terjual]],"dddd")</f>
        <v>Monday</v>
      </c>
    </row>
    <row r="740" spans="1:43" x14ac:dyDescent="0.2">
      <c r="A740" s="20">
        <v>739</v>
      </c>
      <c r="B740" s="21" t="str">
        <f>_xlfn.CONCAT("ORD-",INDEX(Helper!$B$2:$B$5,MATCH(cadangan3[[#This Row],[Marketplace]],Helper!$A$2:$A$5,0)),TEXT(cadangan3[[#This Row],[No]],"0000"),"-",TEXT(cadangan3[[#This Row],[Tanggal terjual]],"dd/mm/yy"))</f>
        <v>ORD-TK0739-06/04/23</v>
      </c>
      <c r="C740" t="s">
        <v>65</v>
      </c>
      <c r="D740" t="str">
        <f>IFERROR(INDEX(Katalog!$A$3:$A$12,MATCH(cadangan3[[#This Row],[ItemID A]],Katalog!$C$3:$C$12,0)),"-")</f>
        <v>Sepatu Pria</v>
      </c>
      <c r="E740" t="str">
        <f>IFERROR(INDEX(Katalog!$B$3:$B$12,MATCH(cadangan3[[#This Row],[ItemID A]],Katalog!$C$3:$C$12,0)),"-")</f>
        <v>Sneakers</v>
      </c>
      <c r="F740">
        <v>1</v>
      </c>
      <c r="G740">
        <v>1</v>
      </c>
      <c r="H740" s="36">
        <f>IFERROR(INDEX(Katalog!$D$3:$D$12,MATCH(cadangan3[[#This Row],[ItemID A]],Katalog!$C$3:$C$12,0))*cadangan3[[#This Row],[Qty A]],0)</f>
        <v>500000</v>
      </c>
      <c r="I740" s="36">
        <f>IFERROR(INDEX(Katalog!$D$3:$D$12,MATCH(cadangan3[[#This Row],[Item A]],Katalog!$B$3:$B$12,0))*cadangan3[[#This Row],[Qty A]],0)</f>
        <v>500000</v>
      </c>
      <c r="J740" s="36">
        <f>IFERROR(cadangan3[[#This Row],[Harga Asli A]]-(cadangan3[[#This Row],[Harga Asli A]]*cadangan3[[#This Row],[Diskon]]),cadangan3[[#This Row],[Harga Asli A]])</f>
        <v>450000</v>
      </c>
      <c r="K740" s="36">
        <f>INDEX(Katalog!$F$3:$F$12,MATCH(cadangan3[[#This Row],[ItemID A]],Katalog!$C$3:$C$12,0))*cadangan3[[#This Row],[Qty A]]</f>
        <v>200000</v>
      </c>
      <c r="L740" s="36">
        <f>IFERROR(cadangan3[[#This Row],[Profit A]]-(cadangan3[[#This Row],[Profit A]]*cadangan3[[#This Row],[Diskon]]),K740)</f>
        <v>180000</v>
      </c>
      <c r="M740" t="s">
        <v>66</v>
      </c>
      <c r="N740" t="str">
        <f>IFERROR(INDEX(Katalog!$A$3:$A$12,MATCH(cadangan3[[#This Row],[ItemID B]],Katalog!$C$3:$C$12,0)),"-")</f>
        <v>Sepatu Pria</v>
      </c>
      <c r="O740" t="str">
        <f>IFERROR(INDEX(Katalog!$B$3:$B$12,MATCH(cadangan3[[#This Row],[ItemID B]],Katalog!$C$3:$C$12,0)),"-")</f>
        <v>Sandal Slip On</v>
      </c>
      <c r="P740">
        <v>1</v>
      </c>
      <c r="Q740">
        <v>2</v>
      </c>
      <c r="R740" s="36">
        <f>IFERROR(INDEX(Katalog!$D$3:$D$12,MATCH(cadangan3[[#This Row],[ItemID B]],Katalog!$C$3:$C$12,0))*cadangan3[[#This Row],[Qty B]],0)</f>
        <v>150000</v>
      </c>
      <c r="S740" s="36">
        <f>IFERROR(INDEX(Katalog!$D$3:$D$12,MATCH(cadangan3[[#This Row],[Item B]],Katalog!$B$3:$B$12,0))*cadangan3[[#This Row],[Qty B]],0)</f>
        <v>150000</v>
      </c>
      <c r="T740" s="36">
        <f>IFERROR(cadangan3[[#This Row],[Harga Asli B]]-(cadangan3[[#This Row],[Harga Asli B]]*cadangan3[[#This Row],[Diskon]]),cadangan3[[#This Row],[Harga Asli B]])</f>
        <v>135000</v>
      </c>
      <c r="U740" s="36">
        <f>IFERROR(INDEX(Katalog!$F$3:$F$12,MATCH(cadangan3[[#This Row],[ItemID B]],Katalog!$C$3:$C$12,0))*cadangan3[[#This Row],[Qty B]],0)</f>
        <v>60000</v>
      </c>
      <c r="V740" s="36">
        <f>IFERROR(cadangan3[[#This Row],[Profit B]]-(cadangan3[[#This Row],[Profit B]]*cadangan3[[#This Row],[Diskon]]),U740)</f>
        <v>54000</v>
      </c>
      <c r="W740" t="s">
        <v>64</v>
      </c>
      <c r="X740" t="str">
        <f>IFERROR(INDEX(Katalog!$A$3:$A$12,MATCH(cadangan3[[#This Row],[ItemID C]],Katalog!$C$3:$C$12,0)),"-")</f>
        <v>Pakaian Unisex</v>
      </c>
      <c r="Y740" t="str">
        <f>IFERROR(INDEX(Katalog!$B$3:$B$12,MATCH(cadangan3[[#This Row],[ItemID C]],Katalog!$C$3:$C$12,0)),"-")</f>
        <v>Jaket Hoodie</v>
      </c>
      <c r="Z740">
        <v>4</v>
      </c>
      <c r="AA740">
        <v>1</v>
      </c>
      <c r="AB740" s="36">
        <f>IFERROR(INDEX(Katalog!$D$3:$D$12,MATCH(cadangan3[[#This Row],[ItemID C]],Katalog!$C$3:$C$12,0))*cadangan3[[#This Row],[Qty C]],0)</f>
        <v>1400000</v>
      </c>
      <c r="AC740" s="36">
        <f>IFERROR(INDEX(Katalog!$D$3:$D$12,MATCH(cadangan3[[#This Row],[Item C]],Katalog!$B$3:$B$12,0))*cadangan3[[#This Row],[Qty C]],0)</f>
        <v>1400000</v>
      </c>
      <c r="AD740" s="36">
        <f>IFERROR(cadangan3[[#This Row],[Harga Asli C]]-(cadangan3[[#This Row],[Harga Asli C]]*cadangan3[[#This Row],[Diskon]]),cadangan3[[#This Row],[Harga Asli C]])</f>
        <v>1260000</v>
      </c>
      <c r="AE740" s="36">
        <f>IFERROR(INDEX(Katalog!$F$3:$F$12,MATCH(cadangan3[[#This Row],[ItemID C]],Katalog!$C$3:$C$12,0))*cadangan3[[#This Row],[Qty C]],0)</f>
        <v>520000</v>
      </c>
      <c r="AF740" s="36">
        <f>IFERROR(cadangan3[[#This Row],[Profit C]]-(cadangan3[[#This Row],[Profit C]]*cadangan3[[#This Row],[Diskon]]),cadangan3[[#This Row],[Profit C]])</f>
        <v>468000</v>
      </c>
      <c r="AG740" s="21">
        <f>cadangan3[[#This Row],[Qty A]]+cadangan3[[#This Row],[Qty B]]+cadangan3[[#This Row],[Qty C]]</f>
        <v>6</v>
      </c>
      <c r="AH740" s="35">
        <f>cadangan3[[#This Row],[Harga A + Diskon]]+cadangan3[[#This Row],[Harga + Diskon B]]+cadangan3[[#This Row],[Harga + Diskon C]]</f>
        <v>1845000</v>
      </c>
      <c r="AI740" s="35">
        <f>(cadangan3[[#This Row],[Profit A]]+cadangan3[[#This Row],[Profit B]]+cadangan3[[#This Row],[Profit C]])</f>
        <v>780000</v>
      </c>
      <c r="AJ740" s="35">
        <f>cadangan3[[#This Row],[Provit A + Diskon]]+cadangan3[[#This Row],[Provit B + Diskon]]+cadangan3[[#This Row],[Provit C + Diskon]]</f>
        <v>702000</v>
      </c>
      <c r="AK740" s="23" t="s">
        <v>30</v>
      </c>
      <c r="AL740" s="37">
        <f>IFERROR(INDEX('Kode Diskon'!$D$3:$D$9,MATCH(cadangan3[[#This Row],[Kode diskon]],'Kode Diskon'!$C$3:$C$9,0)),"-")</f>
        <v>0.1</v>
      </c>
      <c r="AM740" s="23" t="s">
        <v>29</v>
      </c>
      <c r="AN740" s="23" t="s">
        <v>10</v>
      </c>
      <c r="AO740" s="23" t="s">
        <v>80</v>
      </c>
      <c r="AP740" s="24">
        <v>45022</v>
      </c>
      <c r="AQ740" s="23" t="str">
        <f>TEXT(cadangan3[[#This Row],[Tanggal terjual]],"dddd")</f>
        <v>Thursday</v>
      </c>
    </row>
    <row r="741" spans="1:43" x14ac:dyDescent="0.2">
      <c r="A741" s="20">
        <v>740</v>
      </c>
      <c r="B741" s="21" t="str">
        <f>_xlfn.CONCAT("ORD-",INDEX(Helper!$B$2:$B$5,MATCH(cadangan3[[#This Row],[Marketplace]],Helper!$A$2:$A$5,0)),TEXT(cadangan3[[#This Row],[No]],"0000"),"-",TEXT(cadangan3[[#This Row],[Tanggal terjual]],"dd/mm/yy"))</f>
        <v>ORD-SP0740-01/04/23</v>
      </c>
      <c r="C741" t="s">
        <v>61</v>
      </c>
      <c r="D741" t="str">
        <f>IFERROR(INDEX(Katalog!$A$3:$A$12,MATCH(cadangan3[[#This Row],[ItemID A]],Katalog!$C$3:$C$12,0)),"-")</f>
        <v>Pakaian Pria</v>
      </c>
      <c r="E741" t="str">
        <f>IFERROR(INDEX(Katalog!$B$3:$B$12,MATCH(cadangan3[[#This Row],[ItemID A]],Katalog!$C$3:$C$12,0)),"-")</f>
        <v>Kaos Polo</v>
      </c>
      <c r="F741">
        <v>2</v>
      </c>
      <c r="G741">
        <v>4</v>
      </c>
      <c r="H741" s="36">
        <f>IFERROR(INDEX(Katalog!$D$3:$D$12,MATCH(cadangan3[[#This Row],[ItemID A]],Katalog!$C$3:$C$12,0))*cadangan3[[#This Row],[Qty A]],0)</f>
        <v>400000</v>
      </c>
      <c r="I741" s="36">
        <f>IFERROR(INDEX(Katalog!$D$3:$D$12,MATCH(cadangan3[[#This Row],[Item A]],Katalog!$B$3:$B$12,0))*cadangan3[[#This Row],[Qty A]],0)</f>
        <v>400000</v>
      </c>
      <c r="J741" s="36">
        <f>IFERROR(cadangan3[[#This Row],[Harga Asli A]]-(cadangan3[[#This Row],[Harga Asli A]]*cadangan3[[#This Row],[Diskon]]),cadangan3[[#This Row],[Harga Asli A]])</f>
        <v>360000</v>
      </c>
      <c r="K741" s="36">
        <f>INDEX(Katalog!$F$3:$F$12,MATCH(cadangan3[[#This Row],[ItemID A]],Katalog!$C$3:$C$12,0))*cadangan3[[#This Row],[Qty A]]</f>
        <v>160000</v>
      </c>
      <c r="L741" s="36">
        <f>IFERROR(cadangan3[[#This Row],[Profit A]]-(cadangan3[[#This Row],[Profit A]]*cadangan3[[#This Row],[Diskon]]),K741)</f>
        <v>144000</v>
      </c>
      <c r="M741" t="s">
        <v>65</v>
      </c>
      <c r="N741" t="str">
        <f>IFERROR(INDEX(Katalog!$A$3:$A$12,MATCH(cadangan3[[#This Row],[ItemID B]],Katalog!$C$3:$C$12,0)),"-")</f>
        <v>Sepatu Pria</v>
      </c>
      <c r="O741" t="str">
        <f>IFERROR(INDEX(Katalog!$B$3:$B$12,MATCH(cadangan3[[#This Row],[ItemID B]],Katalog!$C$3:$C$12,0)),"-")</f>
        <v>Sneakers</v>
      </c>
      <c r="P741">
        <v>2</v>
      </c>
      <c r="Q741">
        <v>4</v>
      </c>
      <c r="R741" s="36">
        <f>IFERROR(INDEX(Katalog!$D$3:$D$12,MATCH(cadangan3[[#This Row],[ItemID B]],Katalog!$C$3:$C$12,0))*cadangan3[[#This Row],[Qty B]],0)</f>
        <v>1000000</v>
      </c>
      <c r="S741" s="36">
        <f>IFERROR(INDEX(Katalog!$D$3:$D$12,MATCH(cadangan3[[#This Row],[Item B]],Katalog!$B$3:$B$12,0))*cadangan3[[#This Row],[Qty B]],0)</f>
        <v>1000000</v>
      </c>
      <c r="T741" s="36">
        <f>IFERROR(cadangan3[[#This Row],[Harga Asli B]]-(cadangan3[[#This Row],[Harga Asli B]]*cadangan3[[#This Row],[Diskon]]),cadangan3[[#This Row],[Harga Asli B]])</f>
        <v>900000</v>
      </c>
      <c r="U741" s="36">
        <f>IFERROR(INDEX(Katalog!$F$3:$F$12,MATCH(cadangan3[[#This Row],[ItemID B]],Katalog!$C$3:$C$12,0))*cadangan3[[#This Row],[Qty B]],0)</f>
        <v>400000</v>
      </c>
      <c r="V741" s="36">
        <f>IFERROR(cadangan3[[#This Row],[Profit B]]-(cadangan3[[#This Row],[Profit B]]*cadangan3[[#This Row],[Diskon]]),U741)</f>
        <v>360000</v>
      </c>
      <c r="X741" t="str">
        <f>IFERROR(INDEX(Katalog!$A$3:$A$12,MATCH(cadangan3[[#This Row],[ItemID C]],Katalog!$C$3:$C$12,0)),"-")</f>
        <v>-</v>
      </c>
      <c r="Y741" t="str">
        <f>IFERROR(INDEX(Katalog!$B$3:$B$12,MATCH(cadangan3[[#This Row],[ItemID C]],Katalog!$C$3:$C$12,0)),"-")</f>
        <v>-</v>
      </c>
      <c r="AB741" s="36">
        <f>IFERROR(INDEX(Katalog!$D$3:$D$12,MATCH(cadangan3[[#This Row],[ItemID C]],Katalog!$C$3:$C$12,0))*cadangan3[[#This Row],[Qty C]],0)</f>
        <v>0</v>
      </c>
      <c r="AC741" s="36">
        <f>IFERROR(INDEX(Katalog!$D$3:$D$12,MATCH(cadangan3[[#This Row],[Item C]],Katalog!$B$3:$B$12,0))*cadangan3[[#This Row],[Qty C]],0)</f>
        <v>0</v>
      </c>
      <c r="AD741" s="36">
        <f>IFERROR(cadangan3[[#This Row],[Harga Asli C]]-(cadangan3[[#This Row],[Harga Asli C]]*cadangan3[[#This Row],[Diskon]]),cadangan3[[#This Row],[Harga Asli C]])</f>
        <v>0</v>
      </c>
      <c r="AE741" s="36">
        <f>IFERROR(INDEX(Katalog!$F$3:$F$12,MATCH(cadangan3[[#This Row],[ItemID C]],Katalog!$C$3:$C$12,0))*cadangan3[[#This Row],[Qty C]],0)</f>
        <v>0</v>
      </c>
      <c r="AF741" s="36">
        <f>IFERROR(cadangan3[[#This Row],[Profit C]]-(cadangan3[[#This Row],[Profit C]]*cadangan3[[#This Row],[Diskon]]),cadangan3[[#This Row],[Profit C]])</f>
        <v>0</v>
      </c>
      <c r="AG741" s="21">
        <f>cadangan3[[#This Row],[Qty A]]+cadangan3[[#This Row],[Qty B]]+cadangan3[[#This Row],[Qty C]]</f>
        <v>4</v>
      </c>
      <c r="AH741" s="35">
        <f>cadangan3[[#This Row],[Harga A + Diskon]]+cadangan3[[#This Row],[Harga + Diskon B]]+cadangan3[[#This Row],[Harga + Diskon C]]</f>
        <v>1260000</v>
      </c>
      <c r="AI741" s="35">
        <f>(cadangan3[[#This Row],[Profit A]]+cadangan3[[#This Row],[Profit B]]+cadangan3[[#This Row],[Profit C]])</f>
        <v>560000</v>
      </c>
      <c r="AJ741" s="35">
        <f>cadangan3[[#This Row],[Provit A + Diskon]]+cadangan3[[#This Row],[Provit B + Diskon]]+cadangan3[[#This Row],[Provit C + Diskon]]</f>
        <v>504000</v>
      </c>
      <c r="AK741" s="23" t="s">
        <v>6</v>
      </c>
      <c r="AL741" s="37">
        <f>IFERROR(INDEX('Kode Diskon'!$D$3:$D$9,MATCH(cadangan3[[#This Row],[Kode diskon]],'Kode Diskon'!$C$3:$C$9,0)),"-")</f>
        <v>0.1</v>
      </c>
      <c r="AM741" s="23" t="s">
        <v>29</v>
      </c>
      <c r="AN741" s="23" t="s">
        <v>7</v>
      </c>
      <c r="AO741" s="23" t="s">
        <v>77</v>
      </c>
      <c r="AP741" s="24">
        <v>45017</v>
      </c>
      <c r="AQ741" s="23" t="str">
        <f>TEXT(cadangan3[[#This Row],[Tanggal terjual]],"dddd")</f>
        <v>Saturday</v>
      </c>
    </row>
    <row r="742" spans="1:43" x14ac:dyDescent="0.2">
      <c r="A742" s="20">
        <v>741</v>
      </c>
      <c r="B742" s="21" t="str">
        <f>_xlfn.CONCAT("ORD-",INDEX(Helper!$B$2:$B$5,MATCH(cadangan3[[#This Row],[Marketplace]],Helper!$A$2:$A$5,0)),TEXT(cadangan3[[#This Row],[No]],"0000"),"-",TEXT(cadangan3[[#This Row],[Tanggal terjual]],"dd/mm/yy"))</f>
        <v>ORD-SP0741-26/04/23</v>
      </c>
      <c r="C742" t="s">
        <v>62</v>
      </c>
      <c r="D742" t="str">
        <f>IFERROR(INDEX(Katalog!$A$3:$A$12,MATCH(cadangan3[[#This Row],[ItemID A]],Katalog!$C$3:$C$12,0)),"-")</f>
        <v>Pakaian Pria</v>
      </c>
      <c r="E742" t="str">
        <f>IFERROR(INDEX(Katalog!$B$3:$B$12,MATCH(cadangan3[[#This Row],[ItemID A]],Katalog!$C$3:$C$12,0)),"-")</f>
        <v>Celana Pendek</v>
      </c>
      <c r="F742">
        <v>2</v>
      </c>
      <c r="G742">
        <v>4</v>
      </c>
      <c r="H742" s="36">
        <f>IFERROR(INDEX(Katalog!$D$3:$D$12,MATCH(cadangan3[[#This Row],[ItemID A]],Katalog!$C$3:$C$12,0))*cadangan3[[#This Row],[Qty A]],0)</f>
        <v>360000</v>
      </c>
      <c r="I742" s="36">
        <f>IFERROR(INDEX(Katalog!$D$3:$D$12,MATCH(cadangan3[[#This Row],[Item A]],Katalog!$B$3:$B$12,0))*cadangan3[[#This Row],[Qty A]],0)</f>
        <v>360000</v>
      </c>
      <c r="J742" s="36">
        <f>IFERROR(cadangan3[[#This Row],[Harga Asli A]]-(cadangan3[[#This Row],[Harga Asli A]]*cadangan3[[#This Row],[Diskon]]),cadangan3[[#This Row],[Harga Asli A]])</f>
        <v>288000</v>
      </c>
      <c r="K742" s="36">
        <f>INDEX(Katalog!$F$3:$F$12,MATCH(cadangan3[[#This Row],[ItemID A]],Katalog!$C$3:$C$12,0))*cadangan3[[#This Row],[Qty A]]</f>
        <v>140000</v>
      </c>
      <c r="L742" s="36">
        <f>IFERROR(cadangan3[[#This Row],[Profit A]]-(cadangan3[[#This Row],[Profit A]]*cadangan3[[#This Row],[Diskon]]),K742)</f>
        <v>112000</v>
      </c>
      <c r="M742" t="s">
        <v>65</v>
      </c>
      <c r="N742" t="str">
        <f>IFERROR(INDEX(Katalog!$A$3:$A$12,MATCH(cadangan3[[#This Row],[ItemID B]],Katalog!$C$3:$C$12,0)),"-")</f>
        <v>Sepatu Pria</v>
      </c>
      <c r="O742" t="str">
        <f>IFERROR(INDEX(Katalog!$B$3:$B$12,MATCH(cadangan3[[#This Row],[ItemID B]],Katalog!$C$3:$C$12,0)),"-")</f>
        <v>Sneakers</v>
      </c>
      <c r="P742">
        <v>1</v>
      </c>
      <c r="Q742">
        <v>4</v>
      </c>
      <c r="R742" s="36">
        <f>IFERROR(INDEX(Katalog!$D$3:$D$12,MATCH(cadangan3[[#This Row],[ItemID B]],Katalog!$C$3:$C$12,0))*cadangan3[[#This Row],[Qty B]],0)</f>
        <v>500000</v>
      </c>
      <c r="S742" s="36">
        <f>IFERROR(INDEX(Katalog!$D$3:$D$12,MATCH(cadangan3[[#This Row],[Item B]],Katalog!$B$3:$B$12,0))*cadangan3[[#This Row],[Qty B]],0)</f>
        <v>500000</v>
      </c>
      <c r="T742" s="36">
        <f>IFERROR(cadangan3[[#This Row],[Harga Asli B]]-(cadangan3[[#This Row],[Harga Asli B]]*cadangan3[[#This Row],[Diskon]]),cadangan3[[#This Row],[Harga Asli B]])</f>
        <v>400000</v>
      </c>
      <c r="U742" s="36">
        <f>IFERROR(INDEX(Katalog!$F$3:$F$12,MATCH(cadangan3[[#This Row],[ItemID B]],Katalog!$C$3:$C$12,0))*cadangan3[[#This Row],[Qty B]],0)</f>
        <v>200000</v>
      </c>
      <c r="V742" s="36">
        <f>IFERROR(cadangan3[[#This Row],[Profit B]]-(cadangan3[[#This Row],[Profit B]]*cadangan3[[#This Row],[Diskon]]),U742)</f>
        <v>160000</v>
      </c>
      <c r="W742" t="s">
        <v>67</v>
      </c>
      <c r="X742" t="str">
        <f>IFERROR(INDEX(Katalog!$A$3:$A$12,MATCH(cadangan3[[#This Row],[ItemID C]],Katalog!$C$3:$C$12,0)),"-")</f>
        <v>Sepatu Wanita</v>
      </c>
      <c r="Y742" t="str">
        <f>IFERROR(INDEX(Katalog!$B$3:$B$12,MATCH(cadangan3[[#This Row],[ItemID C]],Katalog!$C$3:$C$12,0)),"-")</f>
        <v>Flat Shoes</v>
      </c>
      <c r="Z742">
        <v>1</v>
      </c>
      <c r="AA742">
        <v>3</v>
      </c>
      <c r="AB742" s="36">
        <f>IFERROR(INDEX(Katalog!$D$3:$D$12,MATCH(cadangan3[[#This Row],[ItemID C]],Katalog!$C$3:$C$12,0))*cadangan3[[#This Row],[Qty C]],0)</f>
        <v>250000</v>
      </c>
      <c r="AC742" s="36">
        <f>IFERROR(INDEX(Katalog!$D$3:$D$12,MATCH(cadangan3[[#This Row],[Item C]],Katalog!$B$3:$B$12,0))*cadangan3[[#This Row],[Qty C]],0)</f>
        <v>250000</v>
      </c>
      <c r="AD742" s="36">
        <f>IFERROR(cadangan3[[#This Row],[Harga Asli C]]-(cadangan3[[#This Row],[Harga Asli C]]*cadangan3[[#This Row],[Diskon]]),cadangan3[[#This Row],[Harga Asli C]])</f>
        <v>200000</v>
      </c>
      <c r="AE742" s="36">
        <f>IFERROR(INDEX(Katalog!$F$3:$F$12,MATCH(cadangan3[[#This Row],[ItemID C]],Katalog!$C$3:$C$12,0))*cadangan3[[#This Row],[Qty C]],0)</f>
        <v>100000</v>
      </c>
      <c r="AF742" s="36">
        <f>IFERROR(cadangan3[[#This Row],[Profit C]]-(cadangan3[[#This Row],[Profit C]]*cadangan3[[#This Row],[Diskon]]),cadangan3[[#This Row],[Profit C]])</f>
        <v>80000</v>
      </c>
      <c r="AG742" s="21">
        <f>cadangan3[[#This Row],[Qty A]]+cadangan3[[#This Row],[Qty B]]+cadangan3[[#This Row],[Qty C]]</f>
        <v>4</v>
      </c>
      <c r="AH742" s="35">
        <f>cadangan3[[#This Row],[Harga A + Diskon]]+cadangan3[[#This Row],[Harga + Diskon B]]+cadangan3[[#This Row],[Harga + Diskon C]]</f>
        <v>888000</v>
      </c>
      <c r="AI742" s="35">
        <f>(cadangan3[[#This Row],[Profit A]]+cadangan3[[#This Row],[Profit B]]+cadangan3[[#This Row],[Profit C]])</f>
        <v>440000</v>
      </c>
      <c r="AJ742" s="35">
        <f>cadangan3[[#This Row],[Provit A + Diskon]]+cadangan3[[#This Row],[Provit B + Diskon]]+cadangan3[[#This Row],[Provit C + Diskon]]</f>
        <v>352000</v>
      </c>
      <c r="AK742" s="23" t="s">
        <v>8</v>
      </c>
      <c r="AL742" s="37">
        <f>IFERROR(INDEX('Kode Diskon'!$D$3:$D$9,MATCH(cadangan3[[#This Row],[Kode diskon]],'Kode Diskon'!$C$3:$C$9,0)),"-")</f>
        <v>0.2</v>
      </c>
      <c r="AM742" s="23" t="s">
        <v>9</v>
      </c>
      <c r="AN742" s="23" t="s">
        <v>7</v>
      </c>
      <c r="AO742" s="23" t="s">
        <v>77</v>
      </c>
      <c r="AP742" s="24">
        <v>45042</v>
      </c>
      <c r="AQ742" s="23" t="str">
        <f>TEXT(cadangan3[[#This Row],[Tanggal terjual]],"dddd")</f>
        <v>Wednesday</v>
      </c>
    </row>
    <row r="743" spans="1:43" x14ac:dyDescent="0.2">
      <c r="A743" s="20">
        <v>742</v>
      </c>
      <c r="B743" s="21" t="str">
        <f>_xlfn.CONCAT("ORD-",INDEX(Helper!$B$2:$B$5,MATCH(cadangan3[[#This Row],[Marketplace]],Helper!$A$2:$A$5,0)),TEXT(cadangan3[[#This Row],[No]],"0000"),"-",TEXT(cadangan3[[#This Row],[Tanggal terjual]],"dd/mm/yy"))</f>
        <v>ORD-TK0742-03/04/23</v>
      </c>
      <c r="C743" t="s">
        <v>59</v>
      </c>
      <c r="D743" t="str">
        <f>IFERROR(INDEX(Katalog!$A$3:$A$12,MATCH(cadangan3[[#This Row],[ItemID A]],Katalog!$C$3:$C$12,0)),"-")</f>
        <v>Pakaian Wanita</v>
      </c>
      <c r="E743" t="str">
        <f>IFERROR(INDEX(Katalog!$B$3:$B$12,MATCH(cadangan3[[#This Row],[ItemID A]],Katalog!$C$3:$C$12,0)),"-")</f>
        <v>Blouse</v>
      </c>
      <c r="F743">
        <v>1</v>
      </c>
      <c r="G743">
        <v>1</v>
      </c>
      <c r="H743" s="36">
        <f>IFERROR(INDEX(Katalog!$D$3:$D$12,MATCH(cadangan3[[#This Row],[ItemID A]],Katalog!$C$3:$C$12,0))*cadangan3[[#This Row],[Qty A]],0)</f>
        <v>150000</v>
      </c>
      <c r="I743" s="36">
        <f>IFERROR(INDEX(Katalog!$D$3:$D$12,MATCH(cadangan3[[#This Row],[Item A]],Katalog!$B$3:$B$12,0))*cadangan3[[#This Row],[Qty A]],0)</f>
        <v>150000</v>
      </c>
      <c r="J743" s="36">
        <f>IFERROR(cadangan3[[#This Row],[Harga Asli A]]-(cadangan3[[#This Row],[Harga Asli A]]*cadangan3[[#This Row],[Diskon]]),cadangan3[[#This Row],[Harga Asli A]])</f>
        <v>135000</v>
      </c>
      <c r="K743" s="36">
        <f>INDEX(Katalog!$F$3:$F$12,MATCH(cadangan3[[#This Row],[ItemID A]],Katalog!$C$3:$C$12,0))*cadangan3[[#This Row],[Qty A]]</f>
        <v>50000</v>
      </c>
      <c r="L743" s="36">
        <f>IFERROR(cadangan3[[#This Row],[Profit A]]-(cadangan3[[#This Row],[Profit A]]*cadangan3[[#This Row],[Diskon]]),K743)</f>
        <v>45000</v>
      </c>
      <c r="M743" t="s">
        <v>62</v>
      </c>
      <c r="N743" t="str">
        <f>IFERROR(INDEX(Katalog!$A$3:$A$12,MATCH(cadangan3[[#This Row],[ItemID B]],Katalog!$C$3:$C$12,0)),"-")</f>
        <v>Pakaian Pria</v>
      </c>
      <c r="O743" t="str">
        <f>IFERROR(INDEX(Katalog!$B$3:$B$12,MATCH(cadangan3[[#This Row],[ItemID B]],Katalog!$C$3:$C$12,0)),"-")</f>
        <v>Celana Pendek</v>
      </c>
      <c r="P743">
        <v>2</v>
      </c>
      <c r="Q743">
        <v>4</v>
      </c>
      <c r="R743" s="36">
        <f>IFERROR(INDEX(Katalog!$D$3:$D$12,MATCH(cadangan3[[#This Row],[ItemID B]],Katalog!$C$3:$C$12,0))*cadangan3[[#This Row],[Qty B]],0)</f>
        <v>360000</v>
      </c>
      <c r="S743" s="36">
        <f>IFERROR(INDEX(Katalog!$D$3:$D$12,MATCH(cadangan3[[#This Row],[Item B]],Katalog!$B$3:$B$12,0))*cadangan3[[#This Row],[Qty B]],0)</f>
        <v>360000</v>
      </c>
      <c r="T743" s="36">
        <f>IFERROR(cadangan3[[#This Row],[Harga Asli B]]-(cadangan3[[#This Row],[Harga Asli B]]*cadangan3[[#This Row],[Diskon]]),cadangan3[[#This Row],[Harga Asli B]])</f>
        <v>324000</v>
      </c>
      <c r="U743" s="36">
        <f>IFERROR(INDEX(Katalog!$F$3:$F$12,MATCH(cadangan3[[#This Row],[ItemID B]],Katalog!$C$3:$C$12,0))*cadangan3[[#This Row],[Qty B]],0)</f>
        <v>140000</v>
      </c>
      <c r="V743" s="36">
        <f>IFERROR(cadangan3[[#This Row],[Profit B]]-(cadangan3[[#This Row],[Profit B]]*cadangan3[[#This Row],[Diskon]]),U743)</f>
        <v>126000</v>
      </c>
      <c r="W743" t="s">
        <v>66</v>
      </c>
      <c r="X743" t="str">
        <f>IFERROR(INDEX(Katalog!$A$3:$A$12,MATCH(cadangan3[[#This Row],[ItemID C]],Katalog!$C$3:$C$12,0)),"-")</f>
        <v>Sepatu Pria</v>
      </c>
      <c r="Y743" t="str">
        <f>IFERROR(INDEX(Katalog!$B$3:$B$12,MATCH(cadangan3[[#This Row],[ItemID C]],Katalog!$C$3:$C$12,0)),"-")</f>
        <v>Sandal Slip On</v>
      </c>
      <c r="Z743">
        <v>1</v>
      </c>
      <c r="AA743">
        <v>1</v>
      </c>
      <c r="AB743" s="36">
        <f>IFERROR(INDEX(Katalog!$D$3:$D$12,MATCH(cadangan3[[#This Row],[ItemID C]],Katalog!$C$3:$C$12,0))*cadangan3[[#This Row],[Qty C]],0)</f>
        <v>150000</v>
      </c>
      <c r="AC743" s="36">
        <f>IFERROR(INDEX(Katalog!$D$3:$D$12,MATCH(cadangan3[[#This Row],[Item C]],Katalog!$B$3:$B$12,0))*cadangan3[[#This Row],[Qty C]],0)</f>
        <v>150000</v>
      </c>
      <c r="AD743" s="36">
        <f>IFERROR(cadangan3[[#This Row],[Harga Asli C]]-(cadangan3[[#This Row],[Harga Asli C]]*cadangan3[[#This Row],[Diskon]]),cadangan3[[#This Row],[Harga Asli C]])</f>
        <v>135000</v>
      </c>
      <c r="AE743" s="36">
        <f>IFERROR(INDEX(Katalog!$F$3:$F$12,MATCH(cadangan3[[#This Row],[ItemID C]],Katalog!$C$3:$C$12,0))*cadangan3[[#This Row],[Qty C]],0)</f>
        <v>60000</v>
      </c>
      <c r="AF743" s="36">
        <f>IFERROR(cadangan3[[#This Row],[Profit C]]-(cadangan3[[#This Row],[Profit C]]*cadangan3[[#This Row],[Diskon]]),cadangan3[[#This Row],[Profit C]])</f>
        <v>54000</v>
      </c>
      <c r="AG743" s="21">
        <f>cadangan3[[#This Row],[Qty A]]+cadangan3[[#This Row],[Qty B]]+cadangan3[[#This Row],[Qty C]]</f>
        <v>4</v>
      </c>
      <c r="AH743" s="35">
        <f>cadangan3[[#This Row],[Harga A + Diskon]]+cadangan3[[#This Row],[Harga + Diskon B]]+cadangan3[[#This Row],[Harga + Diskon C]]</f>
        <v>594000</v>
      </c>
      <c r="AI743" s="35">
        <f>(cadangan3[[#This Row],[Profit A]]+cadangan3[[#This Row],[Profit B]]+cadangan3[[#This Row],[Profit C]])</f>
        <v>250000</v>
      </c>
      <c r="AJ743" s="35">
        <f>cadangan3[[#This Row],[Provit A + Diskon]]+cadangan3[[#This Row],[Provit B + Diskon]]+cadangan3[[#This Row],[Provit C + Diskon]]</f>
        <v>225000</v>
      </c>
      <c r="AK743" s="23" t="s">
        <v>30</v>
      </c>
      <c r="AL743" s="37">
        <f>IFERROR(INDEX('Kode Diskon'!$D$3:$D$9,MATCH(cadangan3[[#This Row],[Kode diskon]],'Kode Diskon'!$C$3:$C$9,0)),"-")</f>
        <v>0.1</v>
      </c>
      <c r="AM743" s="23" t="s">
        <v>29</v>
      </c>
      <c r="AN743" s="23" t="s">
        <v>10</v>
      </c>
      <c r="AO743" s="23" t="s">
        <v>80</v>
      </c>
      <c r="AP743" s="24">
        <v>45019</v>
      </c>
      <c r="AQ743" s="23" t="str">
        <f>TEXT(cadangan3[[#This Row],[Tanggal terjual]],"dddd")</f>
        <v>Monday</v>
      </c>
    </row>
    <row r="744" spans="1:43" x14ac:dyDescent="0.2">
      <c r="A744" s="20">
        <v>743</v>
      </c>
      <c r="B744" s="21" t="str">
        <f>_xlfn.CONCAT("ORD-",INDEX(Helper!$B$2:$B$5,MATCH(cadangan3[[#This Row],[Marketplace]],Helper!$A$2:$A$5,0)),TEXT(cadangan3[[#This Row],[No]],"0000"),"-",TEXT(cadangan3[[#This Row],[Tanggal terjual]],"dd/mm/yy"))</f>
        <v>ORD-BL0743-18/04/23</v>
      </c>
      <c r="C744" t="s">
        <v>64</v>
      </c>
      <c r="D744" t="str">
        <f>IFERROR(INDEX(Katalog!$A$3:$A$12,MATCH(cadangan3[[#This Row],[ItemID A]],Katalog!$C$3:$C$12,0)),"-")</f>
        <v>Pakaian Unisex</v>
      </c>
      <c r="E744" t="str">
        <f>IFERROR(INDEX(Katalog!$B$3:$B$12,MATCH(cadangan3[[#This Row],[ItemID A]],Katalog!$C$3:$C$12,0)),"-")</f>
        <v>Jaket Hoodie</v>
      </c>
      <c r="F744">
        <v>3</v>
      </c>
      <c r="G744">
        <v>2</v>
      </c>
      <c r="H744" s="36">
        <f>IFERROR(INDEX(Katalog!$D$3:$D$12,MATCH(cadangan3[[#This Row],[ItemID A]],Katalog!$C$3:$C$12,0))*cadangan3[[#This Row],[Qty A]],0)</f>
        <v>1050000</v>
      </c>
      <c r="I744" s="36">
        <f>IFERROR(INDEX(Katalog!$D$3:$D$12,MATCH(cadangan3[[#This Row],[Item A]],Katalog!$B$3:$B$12,0))*cadangan3[[#This Row],[Qty A]],0)</f>
        <v>1050000</v>
      </c>
      <c r="J744" s="36">
        <f>IFERROR(cadangan3[[#This Row],[Harga Asli A]]-(cadangan3[[#This Row],[Harga Asli A]]*cadangan3[[#This Row],[Diskon]]),cadangan3[[#This Row],[Harga Asli A]])</f>
        <v>892500</v>
      </c>
      <c r="K744" s="36">
        <f>INDEX(Katalog!$F$3:$F$12,MATCH(cadangan3[[#This Row],[ItemID A]],Katalog!$C$3:$C$12,0))*cadangan3[[#This Row],[Qty A]]</f>
        <v>390000</v>
      </c>
      <c r="L744" s="36">
        <f>IFERROR(cadangan3[[#This Row],[Profit A]]-(cadangan3[[#This Row],[Profit A]]*cadangan3[[#This Row],[Diskon]]),K744)</f>
        <v>331500</v>
      </c>
      <c r="N744" t="str">
        <f>IFERROR(INDEX(Katalog!$A$3:$A$12,MATCH(cadangan3[[#This Row],[ItemID B]],Katalog!$C$3:$C$12,0)),"-")</f>
        <v>-</v>
      </c>
      <c r="O744" t="str">
        <f>IFERROR(INDEX(Katalog!$B$3:$B$12,MATCH(cadangan3[[#This Row],[ItemID B]],Katalog!$C$3:$C$12,0)),"-")</f>
        <v>-</v>
      </c>
      <c r="R744" s="36">
        <f>IFERROR(INDEX(Katalog!$D$3:$D$12,MATCH(cadangan3[[#This Row],[ItemID B]],Katalog!$C$3:$C$12,0))*cadangan3[[#This Row],[Qty B]],0)</f>
        <v>0</v>
      </c>
      <c r="S744" s="36">
        <f>IFERROR(INDEX(Katalog!$D$3:$D$12,MATCH(cadangan3[[#This Row],[Item B]],Katalog!$B$3:$B$12,0))*cadangan3[[#This Row],[Qty B]],0)</f>
        <v>0</v>
      </c>
      <c r="T744" s="36">
        <f>IFERROR(cadangan3[[#This Row],[Harga Asli B]]-(cadangan3[[#This Row],[Harga Asli B]]*cadangan3[[#This Row],[Diskon]]),cadangan3[[#This Row],[Harga Asli B]])</f>
        <v>0</v>
      </c>
      <c r="U744" s="36">
        <f>IFERROR(INDEX(Katalog!$F$3:$F$12,MATCH(cadangan3[[#This Row],[ItemID B]],Katalog!$C$3:$C$12,0))*cadangan3[[#This Row],[Qty B]],0)</f>
        <v>0</v>
      </c>
      <c r="V744" s="36">
        <f>IFERROR(cadangan3[[#This Row],[Profit B]]-(cadangan3[[#This Row],[Profit B]]*cadangan3[[#This Row],[Diskon]]),U744)</f>
        <v>0</v>
      </c>
      <c r="X744" t="str">
        <f>IFERROR(INDEX(Katalog!$A$3:$A$12,MATCH(cadangan3[[#This Row],[ItemID C]],Katalog!$C$3:$C$12,0)),"-")</f>
        <v>-</v>
      </c>
      <c r="Y744" t="str">
        <f>IFERROR(INDEX(Katalog!$B$3:$B$12,MATCH(cadangan3[[#This Row],[ItemID C]],Katalog!$C$3:$C$12,0)),"-")</f>
        <v>-</v>
      </c>
      <c r="AB744" s="36">
        <f>IFERROR(INDEX(Katalog!$D$3:$D$12,MATCH(cadangan3[[#This Row],[ItemID C]],Katalog!$C$3:$C$12,0))*cadangan3[[#This Row],[Qty C]],0)</f>
        <v>0</v>
      </c>
      <c r="AC744" s="36">
        <f>IFERROR(INDEX(Katalog!$D$3:$D$12,MATCH(cadangan3[[#This Row],[Item C]],Katalog!$B$3:$B$12,0))*cadangan3[[#This Row],[Qty C]],0)</f>
        <v>0</v>
      </c>
      <c r="AD744" s="36">
        <f>IFERROR(cadangan3[[#This Row],[Harga Asli C]]-(cadangan3[[#This Row],[Harga Asli C]]*cadangan3[[#This Row],[Diskon]]),cadangan3[[#This Row],[Harga Asli C]])</f>
        <v>0</v>
      </c>
      <c r="AE744" s="36">
        <f>IFERROR(INDEX(Katalog!$F$3:$F$12,MATCH(cadangan3[[#This Row],[ItemID C]],Katalog!$C$3:$C$12,0))*cadangan3[[#This Row],[Qty C]],0)</f>
        <v>0</v>
      </c>
      <c r="AF744" s="36">
        <f>IFERROR(cadangan3[[#This Row],[Profit C]]-(cadangan3[[#This Row],[Profit C]]*cadangan3[[#This Row],[Diskon]]),cadangan3[[#This Row],[Profit C]])</f>
        <v>0</v>
      </c>
      <c r="AG744" s="21">
        <f>cadangan3[[#This Row],[Qty A]]+cadangan3[[#This Row],[Qty B]]+cadangan3[[#This Row],[Qty C]]</f>
        <v>3</v>
      </c>
      <c r="AH744" s="35">
        <f>cadangan3[[#This Row],[Harga A + Diskon]]+cadangan3[[#This Row],[Harga + Diskon B]]+cadangan3[[#This Row],[Harga + Diskon C]]</f>
        <v>892500</v>
      </c>
      <c r="AI744" s="35">
        <f>(cadangan3[[#This Row],[Profit A]]+cadangan3[[#This Row],[Profit B]]+cadangan3[[#This Row],[Profit C]])</f>
        <v>390000</v>
      </c>
      <c r="AJ744" s="35">
        <f>cadangan3[[#This Row],[Provit A + Diskon]]+cadangan3[[#This Row],[Provit B + Diskon]]+cadangan3[[#This Row],[Provit C + Diskon]]</f>
        <v>331500</v>
      </c>
      <c r="AK744" s="23" t="s">
        <v>32</v>
      </c>
      <c r="AL744" s="37">
        <f>IFERROR(INDEX('Kode Diskon'!$D$3:$D$9,MATCH(cadangan3[[#This Row],[Kode diskon]],'Kode Diskon'!$C$3:$C$9,0)),"-")</f>
        <v>0.15</v>
      </c>
      <c r="AM744" s="23" t="s">
        <v>9</v>
      </c>
      <c r="AN744" s="23" t="s">
        <v>12</v>
      </c>
      <c r="AO744" s="23" t="s">
        <v>76</v>
      </c>
      <c r="AP744" s="24">
        <v>45034</v>
      </c>
      <c r="AQ744" s="23" t="str">
        <f>TEXT(cadangan3[[#This Row],[Tanggal terjual]],"dddd")</f>
        <v>Tuesday</v>
      </c>
    </row>
    <row r="745" spans="1:43" x14ac:dyDescent="0.2">
      <c r="A745" s="20">
        <v>744</v>
      </c>
      <c r="B745" s="21" t="str">
        <f>_xlfn.CONCAT("ORD-",INDEX(Helper!$B$2:$B$5,MATCH(cadangan3[[#This Row],[Marketplace]],Helper!$A$2:$A$5,0)),TEXT(cadangan3[[#This Row],[No]],"0000"),"-",TEXT(cadangan3[[#This Row],[Tanggal terjual]],"dd/mm/yy"))</f>
        <v>ORD-BB0744-02/04/23</v>
      </c>
      <c r="C745" t="s">
        <v>63</v>
      </c>
      <c r="D745" t="str">
        <f>IFERROR(INDEX(Katalog!$A$3:$A$12,MATCH(cadangan3[[#This Row],[ItemID A]],Katalog!$C$3:$C$12,0)),"-")</f>
        <v>Pakaian Pria</v>
      </c>
      <c r="E745" t="str">
        <f>IFERROR(INDEX(Katalog!$B$3:$B$12,MATCH(cadangan3[[#This Row],[ItemID A]],Katalog!$C$3:$C$12,0)),"-")</f>
        <v>Jaket Jeans</v>
      </c>
      <c r="F745">
        <v>1</v>
      </c>
      <c r="G745">
        <v>1</v>
      </c>
      <c r="H745" s="36">
        <f>IFERROR(INDEX(Katalog!$D$3:$D$12,MATCH(cadangan3[[#This Row],[ItemID A]],Katalog!$C$3:$C$12,0))*cadangan3[[#This Row],[Qty A]],0)</f>
        <v>400000</v>
      </c>
      <c r="I745" s="36">
        <f>IFERROR(INDEX(Katalog!$D$3:$D$12,MATCH(cadangan3[[#This Row],[Item A]],Katalog!$B$3:$B$12,0))*cadangan3[[#This Row],[Qty A]],0)</f>
        <v>400000</v>
      </c>
      <c r="J745" s="36">
        <f>IFERROR(cadangan3[[#This Row],[Harga Asli A]]-(cadangan3[[#This Row],[Harga Asli A]]*cadangan3[[#This Row],[Diskon]]),cadangan3[[#This Row],[Harga Asli A]])</f>
        <v>340000</v>
      </c>
      <c r="K745" s="36">
        <f>INDEX(Katalog!$F$3:$F$12,MATCH(cadangan3[[#This Row],[ItemID A]],Katalog!$C$3:$C$12,0))*cadangan3[[#This Row],[Qty A]]</f>
        <v>150000</v>
      </c>
      <c r="L745" s="36">
        <f>IFERROR(cadangan3[[#This Row],[Profit A]]-(cadangan3[[#This Row],[Profit A]]*cadangan3[[#This Row],[Diskon]]),K745)</f>
        <v>127500</v>
      </c>
      <c r="M745" t="s">
        <v>61</v>
      </c>
      <c r="N745" t="str">
        <f>IFERROR(INDEX(Katalog!$A$3:$A$12,MATCH(cadangan3[[#This Row],[ItemID B]],Katalog!$C$3:$C$12,0)),"-")</f>
        <v>Pakaian Pria</v>
      </c>
      <c r="O745" t="str">
        <f>IFERROR(INDEX(Katalog!$B$3:$B$12,MATCH(cadangan3[[#This Row],[ItemID B]],Katalog!$C$3:$C$12,0)),"-")</f>
        <v>Kaos Polo</v>
      </c>
      <c r="P745">
        <v>1</v>
      </c>
      <c r="Q745">
        <v>4</v>
      </c>
      <c r="R745" s="36">
        <f>IFERROR(INDEX(Katalog!$D$3:$D$12,MATCH(cadangan3[[#This Row],[ItemID B]],Katalog!$C$3:$C$12,0))*cadangan3[[#This Row],[Qty B]],0)</f>
        <v>200000</v>
      </c>
      <c r="S745" s="36">
        <f>IFERROR(INDEX(Katalog!$D$3:$D$12,MATCH(cadangan3[[#This Row],[Item B]],Katalog!$B$3:$B$12,0))*cadangan3[[#This Row],[Qty B]],0)</f>
        <v>200000</v>
      </c>
      <c r="T745" s="36">
        <f>IFERROR(cadangan3[[#This Row],[Harga Asli B]]-(cadangan3[[#This Row],[Harga Asli B]]*cadangan3[[#This Row],[Diskon]]),cadangan3[[#This Row],[Harga Asli B]])</f>
        <v>170000</v>
      </c>
      <c r="U745" s="36">
        <f>IFERROR(INDEX(Katalog!$F$3:$F$12,MATCH(cadangan3[[#This Row],[ItemID B]],Katalog!$C$3:$C$12,0))*cadangan3[[#This Row],[Qty B]],0)</f>
        <v>80000</v>
      </c>
      <c r="V745" s="36">
        <f>IFERROR(cadangan3[[#This Row],[Profit B]]-(cadangan3[[#This Row],[Profit B]]*cadangan3[[#This Row],[Diskon]]),U745)</f>
        <v>68000</v>
      </c>
      <c r="W745" t="s">
        <v>60</v>
      </c>
      <c r="X745" t="str">
        <f>IFERROR(INDEX(Katalog!$A$3:$A$12,MATCH(cadangan3[[#This Row],[ItemID C]],Katalog!$C$3:$C$12,0)),"-")</f>
        <v>Pakaian Wanita</v>
      </c>
      <c r="Y745" t="str">
        <f>IFERROR(INDEX(Katalog!$B$3:$B$12,MATCH(cadangan3[[#This Row],[ItemID C]],Katalog!$C$3:$C$12,0)),"-")</f>
        <v>Kaftan</v>
      </c>
      <c r="Z745">
        <v>3</v>
      </c>
      <c r="AA745">
        <v>3</v>
      </c>
      <c r="AB745" s="36">
        <f>IFERROR(INDEX(Katalog!$D$3:$D$12,MATCH(cadangan3[[#This Row],[ItemID C]],Katalog!$C$3:$C$12,0))*cadangan3[[#This Row],[Qty C]],0)</f>
        <v>750000</v>
      </c>
      <c r="AC745" s="36">
        <f>IFERROR(INDEX(Katalog!$D$3:$D$12,MATCH(cadangan3[[#This Row],[Item C]],Katalog!$B$3:$B$12,0))*cadangan3[[#This Row],[Qty C]],0)</f>
        <v>750000</v>
      </c>
      <c r="AD745" s="36">
        <f>IFERROR(cadangan3[[#This Row],[Harga Asli C]]-(cadangan3[[#This Row],[Harga Asli C]]*cadangan3[[#This Row],[Diskon]]),cadangan3[[#This Row],[Harga Asli C]])</f>
        <v>637500</v>
      </c>
      <c r="AE745" s="36">
        <f>IFERROR(INDEX(Katalog!$F$3:$F$12,MATCH(cadangan3[[#This Row],[ItemID C]],Katalog!$C$3:$C$12,0))*cadangan3[[#This Row],[Qty C]],0)</f>
        <v>300000</v>
      </c>
      <c r="AF745" s="36">
        <f>IFERROR(cadangan3[[#This Row],[Profit C]]-(cadangan3[[#This Row],[Profit C]]*cadangan3[[#This Row],[Diskon]]),cadangan3[[#This Row],[Profit C]])</f>
        <v>255000</v>
      </c>
      <c r="AG745" s="21">
        <f>cadangan3[[#This Row],[Qty A]]+cadangan3[[#This Row],[Qty B]]+cadangan3[[#This Row],[Qty C]]</f>
        <v>5</v>
      </c>
      <c r="AH745" s="35">
        <f>cadangan3[[#This Row],[Harga A + Diskon]]+cadangan3[[#This Row],[Harga + Diskon B]]+cadangan3[[#This Row],[Harga + Diskon C]]</f>
        <v>1147500</v>
      </c>
      <c r="AI745" s="35">
        <f>(cadangan3[[#This Row],[Profit A]]+cadangan3[[#This Row],[Profit B]]+cadangan3[[#This Row],[Profit C]])</f>
        <v>530000</v>
      </c>
      <c r="AJ745" s="35">
        <f>cadangan3[[#This Row],[Provit A + Diskon]]+cadangan3[[#This Row],[Provit B + Diskon]]+cadangan3[[#This Row],[Provit C + Diskon]]</f>
        <v>450500</v>
      </c>
      <c r="AK745" s="23" t="s">
        <v>28</v>
      </c>
      <c r="AL745" s="37">
        <f>IFERROR(INDEX('Kode Diskon'!$D$3:$D$9,MATCH(cadangan3[[#This Row],[Kode diskon]],'Kode Diskon'!$C$3:$C$9,0)),"-")</f>
        <v>0.15</v>
      </c>
      <c r="AM745" s="23" t="s">
        <v>29</v>
      </c>
      <c r="AN745" s="23" t="s">
        <v>14</v>
      </c>
      <c r="AO745" s="23" t="s">
        <v>78</v>
      </c>
      <c r="AP745" s="24">
        <v>45018</v>
      </c>
      <c r="AQ745" s="23" t="str">
        <f>TEXT(cadangan3[[#This Row],[Tanggal terjual]],"dddd")</f>
        <v>Sunday</v>
      </c>
    </row>
    <row r="746" spans="1:43" x14ac:dyDescent="0.2">
      <c r="A746" s="20">
        <v>745</v>
      </c>
      <c r="B746" s="21" t="str">
        <f>_xlfn.CONCAT("ORD-",INDEX(Helper!$B$2:$B$5,MATCH(cadangan3[[#This Row],[Marketplace]],Helper!$A$2:$A$5,0)),TEXT(cadangan3[[#This Row],[No]],"0000"),"-",TEXT(cadangan3[[#This Row],[Tanggal terjual]],"dd/mm/yy"))</f>
        <v>ORD-SP0745-14/04/23</v>
      </c>
      <c r="C746" t="s">
        <v>59</v>
      </c>
      <c r="D746" t="str">
        <f>IFERROR(INDEX(Katalog!$A$3:$A$12,MATCH(cadangan3[[#This Row],[ItemID A]],Katalog!$C$3:$C$12,0)),"-")</f>
        <v>Pakaian Wanita</v>
      </c>
      <c r="E746" t="str">
        <f>IFERROR(INDEX(Katalog!$B$3:$B$12,MATCH(cadangan3[[#This Row],[ItemID A]],Katalog!$C$3:$C$12,0)),"-")</f>
        <v>Blouse</v>
      </c>
      <c r="F746">
        <v>1</v>
      </c>
      <c r="G746">
        <v>2</v>
      </c>
      <c r="H746" s="36">
        <f>IFERROR(INDEX(Katalog!$D$3:$D$12,MATCH(cadangan3[[#This Row],[ItemID A]],Katalog!$C$3:$C$12,0))*cadangan3[[#This Row],[Qty A]],0)</f>
        <v>150000</v>
      </c>
      <c r="I746" s="36">
        <f>IFERROR(INDEX(Katalog!$D$3:$D$12,MATCH(cadangan3[[#This Row],[Item A]],Katalog!$B$3:$B$12,0))*cadangan3[[#This Row],[Qty A]],0)</f>
        <v>150000</v>
      </c>
      <c r="J746" s="36">
        <f>IFERROR(cadangan3[[#This Row],[Harga Asli A]]-(cadangan3[[#This Row],[Harga Asli A]]*cadangan3[[#This Row],[Diskon]]),cadangan3[[#This Row],[Harga Asli A]])</f>
        <v>150000</v>
      </c>
      <c r="K746" s="36">
        <f>INDEX(Katalog!$F$3:$F$12,MATCH(cadangan3[[#This Row],[ItemID A]],Katalog!$C$3:$C$12,0))*cadangan3[[#This Row],[Qty A]]</f>
        <v>50000</v>
      </c>
      <c r="L746" s="36">
        <f>IFERROR(cadangan3[[#This Row],[Profit A]]-(cadangan3[[#This Row],[Profit A]]*cadangan3[[#This Row],[Diskon]]),K746)</f>
        <v>50000</v>
      </c>
      <c r="N746" t="str">
        <f>IFERROR(INDEX(Katalog!$A$3:$A$12,MATCH(cadangan3[[#This Row],[ItemID B]],Katalog!$C$3:$C$12,0)),"-")</f>
        <v>-</v>
      </c>
      <c r="O746" t="str">
        <f>IFERROR(INDEX(Katalog!$B$3:$B$12,MATCH(cadangan3[[#This Row],[ItemID B]],Katalog!$C$3:$C$12,0)),"-")</f>
        <v>-</v>
      </c>
      <c r="R746" s="36">
        <f>IFERROR(INDEX(Katalog!$D$3:$D$12,MATCH(cadangan3[[#This Row],[ItemID B]],Katalog!$C$3:$C$12,0))*cadangan3[[#This Row],[Qty B]],0)</f>
        <v>0</v>
      </c>
      <c r="S746" s="36">
        <f>IFERROR(INDEX(Katalog!$D$3:$D$12,MATCH(cadangan3[[#This Row],[Item B]],Katalog!$B$3:$B$12,0))*cadangan3[[#This Row],[Qty B]],0)</f>
        <v>0</v>
      </c>
      <c r="T746" s="36">
        <f>IFERROR(cadangan3[[#This Row],[Harga Asli B]]-(cadangan3[[#This Row],[Harga Asli B]]*cadangan3[[#This Row],[Diskon]]),cadangan3[[#This Row],[Harga Asli B]])</f>
        <v>0</v>
      </c>
      <c r="U746" s="36">
        <f>IFERROR(INDEX(Katalog!$F$3:$F$12,MATCH(cadangan3[[#This Row],[ItemID B]],Katalog!$C$3:$C$12,0))*cadangan3[[#This Row],[Qty B]],0)</f>
        <v>0</v>
      </c>
      <c r="V746" s="36">
        <f>IFERROR(cadangan3[[#This Row],[Profit B]]-(cadangan3[[#This Row],[Profit B]]*cadangan3[[#This Row],[Diskon]]),U746)</f>
        <v>0</v>
      </c>
      <c r="X746" t="str">
        <f>IFERROR(INDEX(Katalog!$A$3:$A$12,MATCH(cadangan3[[#This Row],[ItemID C]],Katalog!$C$3:$C$12,0)),"-")</f>
        <v>-</v>
      </c>
      <c r="Y746" t="str">
        <f>IFERROR(INDEX(Katalog!$B$3:$B$12,MATCH(cadangan3[[#This Row],[ItemID C]],Katalog!$C$3:$C$12,0)),"-")</f>
        <v>-</v>
      </c>
      <c r="AB746" s="36">
        <f>IFERROR(INDEX(Katalog!$D$3:$D$12,MATCH(cadangan3[[#This Row],[ItemID C]],Katalog!$C$3:$C$12,0))*cadangan3[[#This Row],[Qty C]],0)</f>
        <v>0</v>
      </c>
      <c r="AC746" s="36">
        <f>IFERROR(INDEX(Katalog!$D$3:$D$12,MATCH(cadangan3[[#This Row],[Item C]],Katalog!$B$3:$B$12,0))*cadangan3[[#This Row],[Qty C]],0)</f>
        <v>0</v>
      </c>
      <c r="AD746" s="36">
        <f>IFERROR(cadangan3[[#This Row],[Harga Asli C]]-(cadangan3[[#This Row],[Harga Asli C]]*cadangan3[[#This Row],[Diskon]]),cadangan3[[#This Row],[Harga Asli C]])</f>
        <v>0</v>
      </c>
      <c r="AE746" s="36">
        <f>IFERROR(INDEX(Katalog!$F$3:$F$12,MATCH(cadangan3[[#This Row],[ItemID C]],Katalog!$C$3:$C$12,0))*cadangan3[[#This Row],[Qty C]],0)</f>
        <v>0</v>
      </c>
      <c r="AF746" s="36">
        <f>IFERROR(cadangan3[[#This Row],[Profit C]]-(cadangan3[[#This Row],[Profit C]]*cadangan3[[#This Row],[Diskon]]),cadangan3[[#This Row],[Profit C]])</f>
        <v>0</v>
      </c>
      <c r="AG746" s="21">
        <f>cadangan3[[#This Row],[Qty A]]+cadangan3[[#This Row],[Qty B]]+cadangan3[[#This Row],[Qty C]]</f>
        <v>1</v>
      </c>
      <c r="AH746" s="35">
        <f>cadangan3[[#This Row],[Harga A + Diskon]]+cadangan3[[#This Row],[Harga + Diskon B]]+cadangan3[[#This Row],[Harga + Diskon C]]</f>
        <v>150000</v>
      </c>
      <c r="AI746" s="35">
        <f>(cadangan3[[#This Row],[Profit A]]+cadangan3[[#This Row],[Profit B]]+cadangan3[[#This Row],[Profit C]])</f>
        <v>50000</v>
      </c>
      <c r="AJ746" s="35">
        <f>cadangan3[[#This Row],[Provit A + Diskon]]+cadangan3[[#This Row],[Provit B + Diskon]]+cadangan3[[#This Row],[Provit C + Diskon]]</f>
        <v>50000</v>
      </c>
      <c r="AK746" s="23" t="s">
        <v>11</v>
      </c>
      <c r="AL746" s="37" t="str">
        <f>IFERROR(INDEX('Kode Diskon'!$D$3:$D$9,MATCH(cadangan3[[#This Row],[Kode diskon]],'Kode Diskon'!$C$3:$C$9,0)),"-")</f>
        <v>-</v>
      </c>
      <c r="AM746" s="23" t="s">
        <v>11</v>
      </c>
      <c r="AN746" s="23" t="s">
        <v>7</v>
      </c>
      <c r="AO746" s="23" t="s">
        <v>79</v>
      </c>
      <c r="AP746" s="24">
        <v>45030</v>
      </c>
      <c r="AQ746" s="23" t="str">
        <f>TEXT(cadangan3[[#This Row],[Tanggal terjual]],"dddd")</f>
        <v>Friday</v>
      </c>
    </row>
    <row r="747" spans="1:43" x14ac:dyDescent="0.2">
      <c r="A747" s="20">
        <v>746</v>
      </c>
      <c r="B747" s="21" t="str">
        <f>_xlfn.CONCAT("ORD-",INDEX(Helper!$B$2:$B$5,MATCH(cadangan3[[#This Row],[Marketplace]],Helper!$A$2:$A$5,0)),TEXT(cadangan3[[#This Row],[No]],"0000"),"-",TEXT(cadangan3[[#This Row],[Tanggal terjual]],"dd/mm/yy"))</f>
        <v>ORD-SP0746-05/04/23</v>
      </c>
      <c r="C747" t="s">
        <v>63</v>
      </c>
      <c r="D747" t="str">
        <f>IFERROR(INDEX(Katalog!$A$3:$A$12,MATCH(cadangan3[[#This Row],[ItemID A]],Katalog!$C$3:$C$12,0)),"-")</f>
        <v>Pakaian Pria</v>
      </c>
      <c r="E747" t="str">
        <f>IFERROR(INDEX(Katalog!$B$3:$B$12,MATCH(cadangan3[[#This Row],[ItemID A]],Katalog!$C$3:$C$12,0)),"-")</f>
        <v>Jaket Jeans</v>
      </c>
      <c r="F747">
        <v>6</v>
      </c>
      <c r="G747">
        <v>3</v>
      </c>
      <c r="H747" s="36">
        <f>IFERROR(INDEX(Katalog!$D$3:$D$12,MATCH(cadangan3[[#This Row],[ItemID A]],Katalog!$C$3:$C$12,0))*cadangan3[[#This Row],[Qty A]],0)</f>
        <v>2400000</v>
      </c>
      <c r="I747" s="36">
        <f>IFERROR(INDEX(Katalog!$D$3:$D$12,MATCH(cadangan3[[#This Row],[Item A]],Katalog!$B$3:$B$12,0))*cadangan3[[#This Row],[Qty A]],0)</f>
        <v>2400000</v>
      </c>
      <c r="J747" s="36">
        <f>IFERROR(cadangan3[[#This Row],[Harga Asli A]]-(cadangan3[[#This Row],[Harga Asli A]]*cadangan3[[#This Row],[Diskon]]),cadangan3[[#This Row],[Harga Asli A]])</f>
        <v>2160000</v>
      </c>
      <c r="K747" s="36">
        <f>INDEX(Katalog!$F$3:$F$12,MATCH(cadangan3[[#This Row],[ItemID A]],Katalog!$C$3:$C$12,0))*cadangan3[[#This Row],[Qty A]]</f>
        <v>900000</v>
      </c>
      <c r="L747" s="36">
        <f>IFERROR(cadangan3[[#This Row],[Profit A]]-(cadangan3[[#This Row],[Profit A]]*cadangan3[[#This Row],[Diskon]]),K747)</f>
        <v>810000</v>
      </c>
      <c r="N747" t="str">
        <f>IFERROR(INDEX(Katalog!$A$3:$A$12,MATCH(cadangan3[[#This Row],[ItemID B]],Katalog!$C$3:$C$12,0)),"-")</f>
        <v>-</v>
      </c>
      <c r="O747" t="str">
        <f>IFERROR(INDEX(Katalog!$B$3:$B$12,MATCH(cadangan3[[#This Row],[ItemID B]],Katalog!$C$3:$C$12,0)),"-")</f>
        <v>-</v>
      </c>
      <c r="R747" s="36">
        <f>IFERROR(INDEX(Katalog!$D$3:$D$12,MATCH(cadangan3[[#This Row],[ItemID B]],Katalog!$C$3:$C$12,0))*cadangan3[[#This Row],[Qty B]],0)</f>
        <v>0</v>
      </c>
      <c r="S747" s="36">
        <f>IFERROR(INDEX(Katalog!$D$3:$D$12,MATCH(cadangan3[[#This Row],[Item B]],Katalog!$B$3:$B$12,0))*cadangan3[[#This Row],[Qty B]],0)</f>
        <v>0</v>
      </c>
      <c r="T747" s="36">
        <f>IFERROR(cadangan3[[#This Row],[Harga Asli B]]-(cadangan3[[#This Row],[Harga Asli B]]*cadangan3[[#This Row],[Diskon]]),cadangan3[[#This Row],[Harga Asli B]])</f>
        <v>0</v>
      </c>
      <c r="U747" s="36">
        <f>IFERROR(INDEX(Katalog!$F$3:$F$12,MATCH(cadangan3[[#This Row],[ItemID B]],Katalog!$C$3:$C$12,0))*cadangan3[[#This Row],[Qty B]],0)</f>
        <v>0</v>
      </c>
      <c r="V747" s="36">
        <f>IFERROR(cadangan3[[#This Row],[Profit B]]-(cadangan3[[#This Row],[Profit B]]*cadangan3[[#This Row],[Diskon]]),U747)</f>
        <v>0</v>
      </c>
      <c r="X747" t="str">
        <f>IFERROR(INDEX(Katalog!$A$3:$A$12,MATCH(cadangan3[[#This Row],[ItemID C]],Katalog!$C$3:$C$12,0)),"-")</f>
        <v>-</v>
      </c>
      <c r="Y747" t="str">
        <f>IFERROR(INDEX(Katalog!$B$3:$B$12,MATCH(cadangan3[[#This Row],[ItemID C]],Katalog!$C$3:$C$12,0)),"-")</f>
        <v>-</v>
      </c>
      <c r="AB747" s="36">
        <f>IFERROR(INDEX(Katalog!$D$3:$D$12,MATCH(cadangan3[[#This Row],[ItemID C]],Katalog!$C$3:$C$12,0))*cadangan3[[#This Row],[Qty C]],0)</f>
        <v>0</v>
      </c>
      <c r="AC747" s="36">
        <f>IFERROR(INDEX(Katalog!$D$3:$D$12,MATCH(cadangan3[[#This Row],[Item C]],Katalog!$B$3:$B$12,0))*cadangan3[[#This Row],[Qty C]],0)</f>
        <v>0</v>
      </c>
      <c r="AD747" s="36">
        <f>IFERROR(cadangan3[[#This Row],[Harga Asli C]]-(cadangan3[[#This Row],[Harga Asli C]]*cadangan3[[#This Row],[Diskon]]),cadangan3[[#This Row],[Harga Asli C]])</f>
        <v>0</v>
      </c>
      <c r="AE747" s="36">
        <f>IFERROR(INDEX(Katalog!$F$3:$F$12,MATCH(cadangan3[[#This Row],[ItemID C]],Katalog!$C$3:$C$12,0))*cadangan3[[#This Row],[Qty C]],0)</f>
        <v>0</v>
      </c>
      <c r="AF747" s="36">
        <f>IFERROR(cadangan3[[#This Row],[Profit C]]-(cadangan3[[#This Row],[Profit C]]*cadangan3[[#This Row],[Diskon]]),cadangan3[[#This Row],[Profit C]])</f>
        <v>0</v>
      </c>
      <c r="AG747" s="21">
        <f>cadangan3[[#This Row],[Qty A]]+cadangan3[[#This Row],[Qty B]]+cadangan3[[#This Row],[Qty C]]</f>
        <v>6</v>
      </c>
      <c r="AH747" s="35">
        <f>cadangan3[[#This Row],[Harga A + Diskon]]+cadangan3[[#This Row],[Harga + Diskon B]]+cadangan3[[#This Row],[Harga + Diskon C]]</f>
        <v>2160000</v>
      </c>
      <c r="AI747" s="35">
        <f>(cadangan3[[#This Row],[Profit A]]+cadangan3[[#This Row],[Profit B]]+cadangan3[[#This Row],[Profit C]])</f>
        <v>900000</v>
      </c>
      <c r="AJ747" s="35">
        <f>cadangan3[[#This Row],[Provit A + Diskon]]+cadangan3[[#This Row],[Provit B + Diskon]]+cadangan3[[#This Row],[Provit C + Diskon]]</f>
        <v>810000</v>
      </c>
      <c r="AK747" s="23" t="s">
        <v>6</v>
      </c>
      <c r="AL747" s="37">
        <f>IFERROR(INDEX('Kode Diskon'!$D$3:$D$9,MATCH(cadangan3[[#This Row],[Kode diskon]],'Kode Diskon'!$C$3:$C$9,0)),"-")</f>
        <v>0.1</v>
      </c>
      <c r="AM747" s="23" t="s">
        <v>29</v>
      </c>
      <c r="AN747" s="23" t="s">
        <v>7</v>
      </c>
      <c r="AO747" s="23" t="s">
        <v>77</v>
      </c>
      <c r="AP747" s="24">
        <v>45021</v>
      </c>
      <c r="AQ747" s="23" t="str">
        <f>TEXT(cadangan3[[#This Row],[Tanggal terjual]],"dddd")</f>
        <v>Wednesday</v>
      </c>
    </row>
    <row r="748" spans="1:43" x14ac:dyDescent="0.2">
      <c r="A748" s="20">
        <v>747</v>
      </c>
      <c r="B748" s="21" t="str">
        <f>_xlfn.CONCAT("ORD-",INDEX(Helper!$B$2:$B$5,MATCH(cadangan3[[#This Row],[Marketplace]],Helper!$A$2:$A$5,0)),TEXT(cadangan3[[#This Row],[No]],"0000"),"-",TEXT(cadangan3[[#This Row],[Tanggal terjual]],"dd/mm/yy"))</f>
        <v>ORD-SP0747-26/04/23</v>
      </c>
      <c r="C748" t="s">
        <v>60</v>
      </c>
      <c r="D748" t="str">
        <f>IFERROR(INDEX(Katalog!$A$3:$A$12,MATCH(cadangan3[[#This Row],[ItemID A]],Katalog!$C$3:$C$12,0)),"-")</f>
        <v>Pakaian Wanita</v>
      </c>
      <c r="E748" t="str">
        <f>IFERROR(INDEX(Katalog!$B$3:$B$12,MATCH(cadangan3[[#This Row],[ItemID A]],Katalog!$C$3:$C$12,0)),"-")</f>
        <v>Kaftan</v>
      </c>
      <c r="F748">
        <v>2</v>
      </c>
      <c r="G748">
        <v>4</v>
      </c>
      <c r="H748" s="36">
        <f>IFERROR(INDEX(Katalog!$D$3:$D$12,MATCH(cadangan3[[#This Row],[ItemID A]],Katalog!$C$3:$C$12,0))*cadangan3[[#This Row],[Qty A]],0)</f>
        <v>500000</v>
      </c>
      <c r="I748" s="36">
        <f>IFERROR(INDEX(Katalog!$D$3:$D$12,MATCH(cadangan3[[#This Row],[Item A]],Katalog!$B$3:$B$12,0))*cadangan3[[#This Row],[Qty A]],0)</f>
        <v>500000</v>
      </c>
      <c r="J748" s="36">
        <f>IFERROR(cadangan3[[#This Row],[Harga Asli A]]-(cadangan3[[#This Row],[Harga Asli A]]*cadangan3[[#This Row],[Diskon]]),cadangan3[[#This Row],[Harga Asli A]])</f>
        <v>400000</v>
      </c>
      <c r="K748" s="36">
        <f>INDEX(Katalog!$F$3:$F$12,MATCH(cadangan3[[#This Row],[ItemID A]],Katalog!$C$3:$C$12,0))*cadangan3[[#This Row],[Qty A]]</f>
        <v>200000</v>
      </c>
      <c r="L748" s="36">
        <f>IFERROR(cadangan3[[#This Row],[Profit A]]-(cadangan3[[#This Row],[Profit A]]*cadangan3[[#This Row],[Diskon]]),K748)</f>
        <v>160000</v>
      </c>
      <c r="M748" t="s">
        <v>58</v>
      </c>
      <c r="N748" t="str">
        <f>IFERROR(INDEX(Katalog!$A$3:$A$12,MATCH(cadangan3[[#This Row],[ItemID B]],Katalog!$C$3:$C$12,0)),"-")</f>
        <v>Pakaian Wanita</v>
      </c>
      <c r="O748" t="str">
        <f>IFERROR(INDEX(Katalog!$B$3:$B$12,MATCH(cadangan3[[#This Row],[ItemID B]],Katalog!$C$3:$C$12,0)),"-")</f>
        <v>Dress</v>
      </c>
      <c r="P748">
        <v>1</v>
      </c>
      <c r="Q748">
        <v>3</v>
      </c>
      <c r="R748" s="36">
        <f>IFERROR(INDEX(Katalog!$D$3:$D$12,MATCH(cadangan3[[#This Row],[ItemID B]],Katalog!$C$3:$C$12,0))*cadangan3[[#This Row],[Qty B]],0)</f>
        <v>300000</v>
      </c>
      <c r="S748" s="36">
        <f>IFERROR(INDEX(Katalog!$D$3:$D$12,MATCH(cadangan3[[#This Row],[Item B]],Katalog!$B$3:$B$12,0))*cadangan3[[#This Row],[Qty B]],0)</f>
        <v>300000</v>
      </c>
      <c r="T748" s="36">
        <f>IFERROR(cadangan3[[#This Row],[Harga Asli B]]-(cadangan3[[#This Row],[Harga Asli B]]*cadangan3[[#This Row],[Diskon]]),cadangan3[[#This Row],[Harga Asli B]])</f>
        <v>240000</v>
      </c>
      <c r="U748" s="36">
        <f>IFERROR(INDEX(Katalog!$F$3:$F$12,MATCH(cadangan3[[#This Row],[ItemID B]],Katalog!$C$3:$C$12,0))*cadangan3[[#This Row],[Qty B]],0)</f>
        <v>100000</v>
      </c>
      <c r="V748" s="36">
        <f>IFERROR(cadangan3[[#This Row],[Profit B]]-(cadangan3[[#This Row],[Profit B]]*cadangan3[[#This Row],[Diskon]]),U748)</f>
        <v>80000</v>
      </c>
      <c r="W748" t="s">
        <v>67</v>
      </c>
      <c r="X748" t="str">
        <f>IFERROR(INDEX(Katalog!$A$3:$A$12,MATCH(cadangan3[[#This Row],[ItemID C]],Katalog!$C$3:$C$12,0)),"-")</f>
        <v>Sepatu Wanita</v>
      </c>
      <c r="Y748" t="str">
        <f>IFERROR(INDEX(Katalog!$B$3:$B$12,MATCH(cadangan3[[#This Row],[ItemID C]],Katalog!$C$3:$C$12,0)),"-")</f>
        <v>Flat Shoes</v>
      </c>
      <c r="Z748">
        <v>3</v>
      </c>
      <c r="AA748">
        <v>5</v>
      </c>
      <c r="AB748" s="36">
        <f>IFERROR(INDEX(Katalog!$D$3:$D$12,MATCH(cadangan3[[#This Row],[ItemID C]],Katalog!$C$3:$C$12,0))*cadangan3[[#This Row],[Qty C]],0)</f>
        <v>750000</v>
      </c>
      <c r="AC748" s="36">
        <f>IFERROR(INDEX(Katalog!$D$3:$D$12,MATCH(cadangan3[[#This Row],[Item C]],Katalog!$B$3:$B$12,0))*cadangan3[[#This Row],[Qty C]],0)</f>
        <v>750000</v>
      </c>
      <c r="AD748" s="36">
        <f>IFERROR(cadangan3[[#This Row],[Harga Asli C]]-(cadangan3[[#This Row],[Harga Asli C]]*cadangan3[[#This Row],[Diskon]]),cadangan3[[#This Row],[Harga Asli C]])</f>
        <v>600000</v>
      </c>
      <c r="AE748" s="36">
        <f>IFERROR(INDEX(Katalog!$F$3:$F$12,MATCH(cadangan3[[#This Row],[ItemID C]],Katalog!$C$3:$C$12,0))*cadangan3[[#This Row],[Qty C]],0)</f>
        <v>300000</v>
      </c>
      <c r="AF748" s="36">
        <f>IFERROR(cadangan3[[#This Row],[Profit C]]-(cadangan3[[#This Row],[Profit C]]*cadangan3[[#This Row],[Diskon]]),cadangan3[[#This Row],[Profit C]])</f>
        <v>240000</v>
      </c>
      <c r="AG748" s="21">
        <f>cadangan3[[#This Row],[Qty A]]+cadangan3[[#This Row],[Qty B]]+cadangan3[[#This Row],[Qty C]]</f>
        <v>6</v>
      </c>
      <c r="AH748" s="35">
        <f>cadangan3[[#This Row],[Harga A + Diskon]]+cadangan3[[#This Row],[Harga + Diskon B]]+cadangan3[[#This Row],[Harga + Diskon C]]</f>
        <v>1240000</v>
      </c>
      <c r="AI748" s="35">
        <f>(cadangan3[[#This Row],[Profit A]]+cadangan3[[#This Row],[Profit B]]+cadangan3[[#This Row],[Profit C]])</f>
        <v>600000</v>
      </c>
      <c r="AJ748" s="35">
        <f>cadangan3[[#This Row],[Provit A + Diskon]]+cadangan3[[#This Row],[Provit B + Diskon]]+cadangan3[[#This Row],[Provit C + Diskon]]</f>
        <v>480000</v>
      </c>
      <c r="AK748" s="23" t="s">
        <v>8</v>
      </c>
      <c r="AL748" s="37">
        <f>IFERROR(INDEX('Kode Diskon'!$D$3:$D$9,MATCH(cadangan3[[#This Row],[Kode diskon]],'Kode Diskon'!$C$3:$C$9,0)),"-")</f>
        <v>0.2</v>
      </c>
      <c r="AM748" s="23" t="s">
        <v>9</v>
      </c>
      <c r="AN748" s="23" t="s">
        <v>7</v>
      </c>
      <c r="AO748" s="23" t="s">
        <v>79</v>
      </c>
      <c r="AP748" s="24">
        <v>45042</v>
      </c>
      <c r="AQ748" s="23" t="str">
        <f>TEXT(cadangan3[[#This Row],[Tanggal terjual]],"dddd")</f>
        <v>Wednesday</v>
      </c>
    </row>
    <row r="749" spans="1:43" x14ac:dyDescent="0.2">
      <c r="A749" s="20">
        <v>748</v>
      </c>
      <c r="B749" s="21" t="str">
        <f>_xlfn.CONCAT("ORD-",INDEX(Helper!$B$2:$B$5,MATCH(cadangan3[[#This Row],[Marketplace]],Helper!$A$2:$A$5,0)),TEXT(cadangan3[[#This Row],[No]],"0000"),"-",TEXT(cadangan3[[#This Row],[Tanggal terjual]],"dd/mm/yy"))</f>
        <v>ORD-SP0748-04/04/23</v>
      </c>
      <c r="C749" t="s">
        <v>66</v>
      </c>
      <c r="D749" t="str">
        <f>IFERROR(INDEX(Katalog!$A$3:$A$12,MATCH(cadangan3[[#This Row],[ItemID A]],Katalog!$C$3:$C$12,0)),"-")</f>
        <v>Sepatu Pria</v>
      </c>
      <c r="E749" t="str">
        <f>IFERROR(INDEX(Katalog!$B$3:$B$12,MATCH(cadangan3[[#This Row],[ItemID A]],Katalog!$C$3:$C$12,0)),"-")</f>
        <v>Sandal Slip On</v>
      </c>
      <c r="F749">
        <v>2</v>
      </c>
      <c r="G749">
        <v>2</v>
      </c>
      <c r="H749" s="36">
        <f>IFERROR(INDEX(Katalog!$D$3:$D$12,MATCH(cadangan3[[#This Row],[ItemID A]],Katalog!$C$3:$C$12,0))*cadangan3[[#This Row],[Qty A]],0)</f>
        <v>300000</v>
      </c>
      <c r="I749" s="36">
        <f>IFERROR(INDEX(Katalog!$D$3:$D$12,MATCH(cadangan3[[#This Row],[Item A]],Katalog!$B$3:$B$12,0))*cadangan3[[#This Row],[Qty A]],0)</f>
        <v>300000</v>
      </c>
      <c r="J749" s="36">
        <f>IFERROR(cadangan3[[#This Row],[Harga Asli A]]-(cadangan3[[#This Row],[Harga Asli A]]*cadangan3[[#This Row],[Diskon]]),cadangan3[[#This Row],[Harga Asli A]])</f>
        <v>255000</v>
      </c>
      <c r="K749" s="36">
        <f>INDEX(Katalog!$F$3:$F$12,MATCH(cadangan3[[#This Row],[ItemID A]],Katalog!$C$3:$C$12,0))*cadangan3[[#This Row],[Qty A]]</f>
        <v>120000</v>
      </c>
      <c r="L749" s="36">
        <f>IFERROR(cadangan3[[#This Row],[Profit A]]-(cadangan3[[#This Row],[Profit A]]*cadangan3[[#This Row],[Diskon]]),K749)</f>
        <v>102000</v>
      </c>
      <c r="N749" t="str">
        <f>IFERROR(INDEX(Katalog!$A$3:$A$12,MATCH(cadangan3[[#This Row],[ItemID B]],Katalog!$C$3:$C$12,0)),"-")</f>
        <v>-</v>
      </c>
      <c r="O749" t="str">
        <f>IFERROR(INDEX(Katalog!$B$3:$B$12,MATCH(cadangan3[[#This Row],[ItemID B]],Katalog!$C$3:$C$12,0)),"-")</f>
        <v>-</v>
      </c>
      <c r="R749" s="36">
        <f>IFERROR(INDEX(Katalog!$D$3:$D$12,MATCH(cadangan3[[#This Row],[ItemID B]],Katalog!$C$3:$C$12,0))*cadangan3[[#This Row],[Qty B]],0)</f>
        <v>0</v>
      </c>
      <c r="S749" s="36">
        <f>IFERROR(INDEX(Katalog!$D$3:$D$12,MATCH(cadangan3[[#This Row],[Item B]],Katalog!$B$3:$B$12,0))*cadangan3[[#This Row],[Qty B]],0)</f>
        <v>0</v>
      </c>
      <c r="T749" s="36">
        <f>IFERROR(cadangan3[[#This Row],[Harga Asli B]]-(cadangan3[[#This Row],[Harga Asli B]]*cadangan3[[#This Row],[Diskon]]),cadangan3[[#This Row],[Harga Asli B]])</f>
        <v>0</v>
      </c>
      <c r="U749" s="36">
        <f>IFERROR(INDEX(Katalog!$F$3:$F$12,MATCH(cadangan3[[#This Row],[ItemID B]],Katalog!$C$3:$C$12,0))*cadangan3[[#This Row],[Qty B]],0)</f>
        <v>0</v>
      </c>
      <c r="V749" s="36">
        <f>IFERROR(cadangan3[[#This Row],[Profit B]]-(cadangan3[[#This Row],[Profit B]]*cadangan3[[#This Row],[Diskon]]),U749)</f>
        <v>0</v>
      </c>
      <c r="X749" t="str">
        <f>IFERROR(INDEX(Katalog!$A$3:$A$12,MATCH(cadangan3[[#This Row],[ItemID C]],Katalog!$C$3:$C$12,0)),"-")</f>
        <v>-</v>
      </c>
      <c r="Y749" t="str">
        <f>IFERROR(INDEX(Katalog!$B$3:$B$12,MATCH(cadangan3[[#This Row],[ItemID C]],Katalog!$C$3:$C$12,0)),"-")</f>
        <v>-</v>
      </c>
      <c r="AB749" s="36">
        <f>IFERROR(INDEX(Katalog!$D$3:$D$12,MATCH(cadangan3[[#This Row],[ItemID C]],Katalog!$C$3:$C$12,0))*cadangan3[[#This Row],[Qty C]],0)</f>
        <v>0</v>
      </c>
      <c r="AC749" s="36">
        <f>IFERROR(INDEX(Katalog!$D$3:$D$12,MATCH(cadangan3[[#This Row],[Item C]],Katalog!$B$3:$B$12,0))*cadangan3[[#This Row],[Qty C]],0)</f>
        <v>0</v>
      </c>
      <c r="AD749" s="36">
        <f>IFERROR(cadangan3[[#This Row],[Harga Asli C]]-(cadangan3[[#This Row],[Harga Asli C]]*cadangan3[[#This Row],[Diskon]]),cadangan3[[#This Row],[Harga Asli C]])</f>
        <v>0</v>
      </c>
      <c r="AE749" s="36">
        <f>IFERROR(INDEX(Katalog!$F$3:$F$12,MATCH(cadangan3[[#This Row],[ItemID C]],Katalog!$C$3:$C$12,0))*cadangan3[[#This Row],[Qty C]],0)</f>
        <v>0</v>
      </c>
      <c r="AF749" s="36">
        <f>IFERROR(cadangan3[[#This Row],[Profit C]]-(cadangan3[[#This Row],[Profit C]]*cadangan3[[#This Row],[Diskon]]),cadangan3[[#This Row],[Profit C]])</f>
        <v>0</v>
      </c>
      <c r="AG749" s="21">
        <f>cadangan3[[#This Row],[Qty A]]+cadangan3[[#This Row],[Qty B]]+cadangan3[[#This Row],[Qty C]]</f>
        <v>2</v>
      </c>
      <c r="AH749" s="35">
        <f>cadangan3[[#This Row],[Harga A + Diskon]]+cadangan3[[#This Row],[Harga + Diskon B]]+cadangan3[[#This Row],[Harga + Diskon C]]</f>
        <v>255000</v>
      </c>
      <c r="AI749" s="35">
        <f>(cadangan3[[#This Row],[Profit A]]+cadangan3[[#This Row],[Profit B]]+cadangan3[[#This Row],[Profit C]])</f>
        <v>120000</v>
      </c>
      <c r="AJ749" s="35">
        <f>cadangan3[[#This Row],[Provit A + Diskon]]+cadangan3[[#This Row],[Provit B + Diskon]]+cadangan3[[#This Row],[Provit C + Diskon]]</f>
        <v>102000</v>
      </c>
      <c r="AK749" s="23" t="s">
        <v>13</v>
      </c>
      <c r="AL749" s="37">
        <f>IFERROR(INDEX('Kode Diskon'!$D$3:$D$9,MATCH(cadangan3[[#This Row],[Kode diskon]],'Kode Diskon'!$C$3:$C$9,0)),"-")</f>
        <v>0.15</v>
      </c>
      <c r="AM749" s="23" t="s">
        <v>29</v>
      </c>
      <c r="AN749" s="23" t="s">
        <v>7</v>
      </c>
      <c r="AO749" s="23" t="s">
        <v>80</v>
      </c>
      <c r="AP749" s="24">
        <v>45020</v>
      </c>
      <c r="AQ749" s="23" t="str">
        <f>TEXT(cadangan3[[#This Row],[Tanggal terjual]],"dddd")</f>
        <v>Tuesday</v>
      </c>
    </row>
    <row r="750" spans="1:43" x14ac:dyDescent="0.2">
      <c r="A750" s="20">
        <v>749</v>
      </c>
      <c r="B750" s="21" t="str">
        <f>_xlfn.CONCAT("ORD-",INDEX(Helper!$B$2:$B$5,MATCH(cadangan3[[#This Row],[Marketplace]],Helper!$A$2:$A$5,0)),TEXT(cadangan3[[#This Row],[No]],"0000"),"-",TEXT(cadangan3[[#This Row],[Tanggal terjual]],"dd/mm/yy"))</f>
        <v>ORD-BB0749-14/04/23</v>
      </c>
      <c r="C750" t="s">
        <v>62</v>
      </c>
      <c r="D750" t="str">
        <f>IFERROR(INDEX(Katalog!$A$3:$A$12,MATCH(cadangan3[[#This Row],[ItemID A]],Katalog!$C$3:$C$12,0)),"-")</f>
        <v>Pakaian Pria</v>
      </c>
      <c r="E750" t="str">
        <f>IFERROR(INDEX(Katalog!$B$3:$B$12,MATCH(cadangan3[[#This Row],[ItemID A]],Katalog!$C$3:$C$12,0)),"-")</f>
        <v>Celana Pendek</v>
      </c>
      <c r="F750">
        <v>1</v>
      </c>
      <c r="G750">
        <v>3</v>
      </c>
      <c r="H750" s="36">
        <f>IFERROR(INDEX(Katalog!$D$3:$D$12,MATCH(cadangan3[[#This Row],[ItemID A]],Katalog!$C$3:$C$12,0))*cadangan3[[#This Row],[Qty A]],0)</f>
        <v>180000</v>
      </c>
      <c r="I750" s="36">
        <f>IFERROR(INDEX(Katalog!$D$3:$D$12,MATCH(cadangan3[[#This Row],[Item A]],Katalog!$B$3:$B$12,0))*cadangan3[[#This Row],[Qty A]],0)</f>
        <v>180000</v>
      </c>
      <c r="J750" s="36">
        <f>IFERROR(cadangan3[[#This Row],[Harga Asli A]]-(cadangan3[[#This Row],[Harga Asli A]]*cadangan3[[#This Row],[Diskon]]),cadangan3[[#This Row],[Harga Asli A]])</f>
        <v>180000</v>
      </c>
      <c r="K750" s="36">
        <f>INDEX(Katalog!$F$3:$F$12,MATCH(cadangan3[[#This Row],[ItemID A]],Katalog!$C$3:$C$12,0))*cadangan3[[#This Row],[Qty A]]</f>
        <v>70000</v>
      </c>
      <c r="L750" s="36">
        <f>IFERROR(cadangan3[[#This Row],[Profit A]]-(cadangan3[[#This Row],[Profit A]]*cadangan3[[#This Row],[Diskon]]),K750)</f>
        <v>70000</v>
      </c>
      <c r="M750" t="s">
        <v>66</v>
      </c>
      <c r="N750" t="str">
        <f>IFERROR(INDEX(Katalog!$A$3:$A$12,MATCH(cadangan3[[#This Row],[ItemID B]],Katalog!$C$3:$C$12,0)),"-")</f>
        <v>Sepatu Pria</v>
      </c>
      <c r="O750" t="str">
        <f>IFERROR(INDEX(Katalog!$B$3:$B$12,MATCH(cadangan3[[#This Row],[ItemID B]],Katalog!$C$3:$C$12,0)),"-")</f>
        <v>Sandal Slip On</v>
      </c>
      <c r="P750">
        <v>4</v>
      </c>
      <c r="Q750">
        <v>5</v>
      </c>
      <c r="R750" s="36">
        <f>IFERROR(INDEX(Katalog!$D$3:$D$12,MATCH(cadangan3[[#This Row],[ItemID B]],Katalog!$C$3:$C$12,0))*cadangan3[[#This Row],[Qty B]],0)</f>
        <v>600000</v>
      </c>
      <c r="S750" s="36">
        <f>IFERROR(INDEX(Katalog!$D$3:$D$12,MATCH(cadangan3[[#This Row],[Item B]],Katalog!$B$3:$B$12,0))*cadangan3[[#This Row],[Qty B]],0)</f>
        <v>600000</v>
      </c>
      <c r="T750" s="36">
        <f>IFERROR(cadangan3[[#This Row],[Harga Asli B]]-(cadangan3[[#This Row],[Harga Asli B]]*cadangan3[[#This Row],[Diskon]]),cadangan3[[#This Row],[Harga Asli B]])</f>
        <v>600000</v>
      </c>
      <c r="U750" s="36">
        <f>IFERROR(INDEX(Katalog!$F$3:$F$12,MATCH(cadangan3[[#This Row],[ItemID B]],Katalog!$C$3:$C$12,0))*cadangan3[[#This Row],[Qty B]],0)</f>
        <v>240000</v>
      </c>
      <c r="V750" s="36">
        <f>IFERROR(cadangan3[[#This Row],[Profit B]]-(cadangan3[[#This Row],[Profit B]]*cadangan3[[#This Row],[Diskon]]),U750)</f>
        <v>240000</v>
      </c>
      <c r="W750" t="s">
        <v>60</v>
      </c>
      <c r="X750" t="str">
        <f>IFERROR(INDEX(Katalog!$A$3:$A$12,MATCH(cadangan3[[#This Row],[ItemID C]],Katalog!$C$3:$C$12,0)),"-")</f>
        <v>Pakaian Wanita</v>
      </c>
      <c r="Y750" t="str">
        <f>IFERROR(INDEX(Katalog!$B$3:$B$12,MATCH(cadangan3[[#This Row],[ItemID C]],Katalog!$C$3:$C$12,0)),"-")</f>
        <v>Kaftan</v>
      </c>
      <c r="Z750">
        <v>2</v>
      </c>
      <c r="AA750">
        <v>2</v>
      </c>
      <c r="AB750" s="36">
        <f>IFERROR(INDEX(Katalog!$D$3:$D$12,MATCH(cadangan3[[#This Row],[ItemID C]],Katalog!$C$3:$C$12,0))*cadangan3[[#This Row],[Qty C]],0)</f>
        <v>500000</v>
      </c>
      <c r="AC750" s="36">
        <f>IFERROR(INDEX(Katalog!$D$3:$D$12,MATCH(cadangan3[[#This Row],[Item C]],Katalog!$B$3:$B$12,0))*cadangan3[[#This Row],[Qty C]],0)</f>
        <v>500000</v>
      </c>
      <c r="AD750" s="36">
        <f>IFERROR(cadangan3[[#This Row],[Harga Asli C]]-(cadangan3[[#This Row],[Harga Asli C]]*cadangan3[[#This Row],[Diskon]]),cadangan3[[#This Row],[Harga Asli C]])</f>
        <v>500000</v>
      </c>
      <c r="AE750" s="36">
        <f>IFERROR(INDEX(Katalog!$F$3:$F$12,MATCH(cadangan3[[#This Row],[ItemID C]],Katalog!$C$3:$C$12,0))*cadangan3[[#This Row],[Qty C]],0)</f>
        <v>200000</v>
      </c>
      <c r="AF750" s="36">
        <f>IFERROR(cadangan3[[#This Row],[Profit C]]-(cadangan3[[#This Row],[Profit C]]*cadangan3[[#This Row],[Diskon]]),cadangan3[[#This Row],[Profit C]])</f>
        <v>200000</v>
      </c>
      <c r="AG750" s="21">
        <f>cadangan3[[#This Row],[Qty A]]+cadangan3[[#This Row],[Qty B]]+cadangan3[[#This Row],[Qty C]]</f>
        <v>7</v>
      </c>
      <c r="AH750" s="35">
        <f>cadangan3[[#This Row],[Harga A + Diskon]]+cadangan3[[#This Row],[Harga + Diskon B]]+cadangan3[[#This Row],[Harga + Diskon C]]</f>
        <v>1280000</v>
      </c>
      <c r="AI750" s="35">
        <f>(cadangan3[[#This Row],[Profit A]]+cadangan3[[#This Row],[Profit B]]+cadangan3[[#This Row],[Profit C]])</f>
        <v>510000</v>
      </c>
      <c r="AJ750" s="35">
        <f>cadangan3[[#This Row],[Provit A + Diskon]]+cadangan3[[#This Row],[Provit B + Diskon]]+cadangan3[[#This Row],[Provit C + Diskon]]</f>
        <v>510000</v>
      </c>
      <c r="AK750" s="23" t="s">
        <v>11</v>
      </c>
      <c r="AL750" s="37" t="str">
        <f>IFERROR(INDEX('Kode Diskon'!$D$3:$D$9,MATCH(cadangan3[[#This Row],[Kode diskon]],'Kode Diskon'!$C$3:$C$9,0)),"-")</f>
        <v>-</v>
      </c>
      <c r="AM750" s="23" t="s">
        <v>11</v>
      </c>
      <c r="AN750" s="23" t="s">
        <v>14</v>
      </c>
      <c r="AO750" s="23" t="s">
        <v>79</v>
      </c>
      <c r="AP750" s="24">
        <v>45030</v>
      </c>
      <c r="AQ750" s="23" t="str">
        <f>TEXT(cadangan3[[#This Row],[Tanggal terjual]],"dddd")</f>
        <v>Friday</v>
      </c>
    </row>
    <row r="751" spans="1:43" x14ac:dyDescent="0.2">
      <c r="A751" s="20">
        <v>750</v>
      </c>
      <c r="B751" s="21" t="str">
        <f>_xlfn.CONCAT("ORD-",INDEX(Helper!$B$2:$B$5,MATCH(cadangan3[[#This Row],[Marketplace]],Helper!$A$2:$A$5,0)),TEXT(cadangan3[[#This Row],[No]],"0000"),"-",TEXT(cadangan3[[#This Row],[Tanggal terjual]],"dd/mm/yy"))</f>
        <v>ORD-SP0750-25/04/23</v>
      </c>
      <c r="C751" t="s">
        <v>64</v>
      </c>
      <c r="D751" t="str">
        <f>IFERROR(INDEX(Katalog!$A$3:$A$12,MATCH(cadangan3[[#This Row],[ItemID A]],Katalog!$C$3:$C$12,0)),"-")</f>
        <v>Pakaian Unisex</v>
      </c>
      <c r="E751" t="str">
        <f>IFERROR(INDEX(Katalog!$B$3:$B$12,MATCH(cadangan3[[#This Row],[ItemID A]],Katalog!$C$3:$C$12,0)),"-")</f>
        <v>Jaket Hoodie</v>
      </c>
      <c r="F751">
        <v>1</v>
      </c>
      <c r="G751">
        <v>1</v>
      </c>
      <c r="H751" s="36">
        <f>IFERROR(INDEX(Katalog!$D$3:$D$12,MATCH(cadangan3[[#This Row],[ItemID A]],Katalog!$C$3:$C$12,0))*cadangan3[[#This Row],[Qty A]],0)</f>
        <v>350000</v>
      </c>
      <c r="I751" s="36">
        <f>IFERROR(INDEX(Katalog!$D$3:$D$12,MATCH(cadangan3[[#This Row],[Item A]],Katalog!$B$3:$B$12,0))*cadangan3[[#This Row],[Qty A]],0)</f>
        <v>350000</v>
      </c>
      <c r="J751" s="36">
        <f>IFERROR(cadangan3[[#This Row],[Harga Asli A]]-(cadangan3[[#This Row],[Harga Asli A]]*cadangan3[[#This Row],[Diskon]]),cadangan3[[#This Row],[Harga Asli A]])</f>
        <v>280000</v>
      </c>
      <c r="K751" s="36">
        <f>INDEX(Katalog!$F$3:$F$12,MATCH(cadangan3[[#This Row],[ItemID A]],Katalog!$C$3:$C$12,0))*cadangan3[[#This Row],[Qty A]]</f>
        <v>130000</v>
      </c>
      <c r="L751" s="36">
        <f>IFERROR(cadangan3[[#This Row],[Profit A]]-(cadangan3[[#This Row],[Profit A]]*cadangan3[[#This Row],[Diskon]]),K751)</f>
        <v>104000</v>
      </c>
      <c r="M751" t="s">
        <v>67</v>
      </c>
      <c r="N751" t="str">
        <f>IFERROR(INDEX(Katalog!$A$3:$A$12,MATCH(cadangan3[[#This Row],[ItemID B]],Katalog!$C$3:$C$12,0)),"-")</f>
        <v>Sepatu Wanita</v>
      </c>
      <c r="O751" t="str">
        <f>IFERROR(INDEX(Katalog!$B$3:$B$12,MATCH(cadangan3[[#This Row],[ItemID B]],Katalog!$C$3:$C$12,0)),"-")</f>
        <v>Flat Shoes</v>
      </c>
      <c r="P751">
        <v>3</v>
      </c>
      <c r="Q751">
        <v>1</v>
      </c>
      <c r="R751" s="36">
        <f>IFERROR(INDEX(Katalog!$D$3:$D$12,MATCH(cadangan3[[#This Row],[ItemID B]],Katalog!$C$3:$C$12,0))*cadangan3[[#This Row],[Qty B]],0)</f>
        <v>750000</v>
      </c>
      <c r="S751" s="36">
        <f>IFERROR(INDEX(Katalog!$D$3:$D$12,MATCH(cadangan3[[#This Row],[Item B]],Katalog!$B$3:$B$12,0))*cadangan3[[#This Row],[Qty B]],0)</f>
        <v>750000</v>
      </c>
      <c r="T751" s="36">
        <f>IFERROR(cadangan3[[#This Row],[Harga Asli B]]-(cadangan3[[#This Row],[Harga Asli B]]*cadangan3[[#This Row],[Diskon]]),cadangan3[[#This Row],[Harga Asli B]])</f>
        <v>600000</v>
      </c>
      <c r="U751" s="36">
        <f>IFERROR(INDEX(Katalog!$F$3:$F$12,MATCH(cadangan3[[#This Row],[ItemID B]],Katalog!$C$3:$C$12,0))*cadangan3[[#This Row],[Qty B]],0)</f>
        <v>300000</v>
      </c>
      <c r="V751" s="36">
        <f>IFERROR(cadangan3[[#This Row],[Profit B]]-(cadangan3[[#This Row],[Profit B]]*cadangan3[[#This Row],[Diskon]]),U751)</f>
        <v>240000</v>
      </c>
      <c r="X751" t="str">
        <f>IFERROR(INDEX(Katalog!$A$3:$A$12,MATCH(cadangan3[[#This Row],[ItemID C]],Katalog!$C$3:$C$12,0)),"-")</f>
        <v>-</v>
      </c>
      <c r="Y751" t="str">
        <f>IFERROR(INDEX(Katalog!$B$3:$B$12,MATCH(cadangan3[[#This Row],[ItemID C]],Katalog!$C$3:$C$12,0)),"-")</f>
        <v>-</v>
      </c>
      <c r="AB751" s="36">
        <f>IFERROR(INDEX(Katalog!$D$3:$D$12,MATCH(cadangan3[[#This Row],[ItemID C]],Katalog!$C$3:$C$12,0))*cadangan3[[#This Row],[Qty C]],0)</f>
        <v>0</v>
      </c>
      <c r="AC751" s="36">
        <f>IFERROR(INDEX(Katalog!$D$3:$D$12,MATCH(cadangan3[[#This Row],[Item C]],Katalog!$B$3:$B$12,0))*cadangan3[[#This Row],[Qty C]],0)</f>
        <v>0</v>
      </c>
      <c r="AD751" s="36">
        <f>IFERROR(cadangan3[[#This Row],[Harga Asli C]]-(cadangan3[[#This Row],[Harga Asli C]]*cadangan3[[#This Row],[Diskon]]),cadangan3[[#This Row],[Harga Asli C]])</f>
        <v>0</v>
      </c>
      <c r="AE751" s="36">
        <f>IFERROR(INDEX(Katalog!$F$3:$F$12,MATCH(cadangan3[[#This Row],[ItemID C]],Katalog!$C$3:$C$12,0))*cadangan3[[#This Row],[Qty C]],0)</f>
        <v>0</v>
      </c>
      <c r="AF751" s="36">
        <f>IFERROR(cadangan3[[#This Row],[Profit C]]-(cadangan3[[#This Row],[Profit C]]*cadangan3[[#This Row],[Diskon]]),cadangan3[[#This Row],[Profit C]])</f>
        <v>0</v>
      </c>
      <c r="AG751" s="21">
        <f>cadangan3[[#This Row],[Qty A]]+cadangan3[[#This Row],[Qty B]]+cadangan3[[#This Row],[Qty C]]</f>
        <v>4</v>
      </c>
      <c r="AH751" s="35">
        <f>cadangan3[[#This Row],[Harga A + Diskon]]+cadangan3[[#This Row],[Harga + Diskon B]]+cadangan3[[#This Row],[Harga + Diskon C]]</f>
        <v>880000</v>
      </c>
      <c r="AI751" s="35">
        <f>(cadangan3[[#This Row],[Profit A]]+cadangan3[[#This Row],[Profit B]]+cadangan3[[#This Row],[Profit C]])</f>
        <v>430000</v>
      </c>
      <c r="AJ751" s="35">
        <f>cadangan3[[#This Row],[Provit A + Diskon]]+cadangan3[[#This Row],[Provit B + Diskon]]+cadangan3[[#This Row],[Provit C + Diskon]]</f>
        <v>344000</v>
      </c>
      <c r="AK751" s="23" t="s">
        <v>8</v>
      </c>
      <c r="AL751" s="37">
        <f>IFERROR(INDEX('Kode Diskon'!$D$3:$D$9,MATCH(cadangan3[[#This Row],[Kode diskon]],'Kode Diskon'!$C$3:$C$9,0)),"-")</f>
        <v>0.2</v>
      </c>
      <c r="AM751" s="23" t="s">
        <v>9</v>
      </c>
      <c r="AN751" s="23" t="s">
        <v>7</v>
      </c>
      <c r="AO751" s="23" t="s">
        <v>80</v>
      </c>
      <c r="AP751" s="24">
        <v>45041</v>
      </c>
      <c r="AQ751" s="23" t="str">
        <f>TEXT(cadangan3[[#This Row],[Tanggal terjual]],"dddd")</f>
        <v>Tuesday</v>
      </c>
    </row>
    <row r="752" spans="1:43" x14ac:dyDescent="0.2">
      <c r="A752" s="20">
        <v>751</v>
      </c>
      <c r="B752" s="21" t="str">
        <f>_xlfn.CONCAT("ORD-",INDEX(Helper!$B$2:$B$5,MATCH(cadangan3[[#This Row],[Marketplace]],Helper!$A$2:$A$5,0)),TEXT(cadangan3[[#This Row],[No]],"0000"),"-",TEXT(cadangan3[[#This Row],[Tanggal terjual]],"dd/mm/yy"))</f>
        <v>ORD-SP0751-13/04/23</v>
      </c>
      <c r="C752" t="s">
        <v>63</v>
      </c>
      <c r="D752" t="str">
        <f>IFERROR(INDEX(Katalog!$A$3:$A$12,MATCH(cadangan3[[#This Row],[ItemID A]],Katalog!$C$3:$C$12,0)),"-")</f>
        <v>Pakaian Pria</v>
      </c>
      <c r="E752" t="str">
        <f>IFERROR(INDEX(Katalog!$B$3:$B$12,MATCH(cadangan3[[#This Row],[ItemID A]],Katalog!$C$3:$C$12,0)),"-")</f>
        <v>Jaket Jeans</v>
      </c>
      <c r="F752">
        <v>2</v>
      </c>
      <c r="G752">
        <v>2</v>
      </c>
      <c r="H752" s="36">
        <f>IFERROR(INDEX(Katalog!$D$3:$D$12,MATCH(cadangan3[[#This Row],[ItemID A]],Katalog!$C$3:$C$12,0))*cadangan3[[#This Row],[Qty A]],0)</f>
        <v>800000</v>
      </c>
      <c r="I752" s="36">
        <f>IFERROR(INDEX(Katalog!$D$3:$D$12,MATCH(cadangan3[[#This Row],[Item A]],Katalog!$B$3:$B$12,0))*cadangan3[[#This Row],[Qty A]],0)</f>
        <v>800000</v>
      </c>
      <c r="J752" s="36">
        <f>IFERROR(cadangan3[[#This Row],[Harga Asli A]]-(cadangan3[[#This Row],[Harga Asli A]]*cadangan3[[#This Row],[Diskon]]),cadangan3[[#This Row],[Harga Asli A]])</f>
        <v>800000</v>
      </c>
      <c r="K752" s="36">
        <f>INDEX(Katalog!$F$3:$F$12,MATCH(cadangan3[[#This Row],[ItemID A]],Katalog!$C$3:$C$12,0))*cadangan3[[#This Row],[Qty A]]</f>
        <v>300000</v>
      </c>
      <c r="L752" s="36">
        <f>IFERROR(cadangan3[[#This Row],[Profit A]]-(cadangan3[[#This Row],[Profit A]]*cadangan3[[#This Row],[Diskon]]),K752)</f>
        <v>300000</v>
      </c>
      <c r="M752" t="s">
        <v>66</v>
      </c>
      <c r="N752" t="str">
        <f>IFERROR(INDEX(Katalog!$A$3:$A$12,MATCH(cadangan3[[#This Row],[ItemID B]],Katalog!$C$3:$C$12,0)),"-")</f>
        <v>Sepatu Pria</v>
      </c>
      <c r="O752" t="str">
        <f>IFERROR(INDEX(Katalog!$B$3:$B$12,MATCH(cadangan3[[#This Row],[ItemID B]],Katalog!$C$3:$C$12,0)),"-")</f>
        <v>Sandal Slip On</v>
      </c>
      <c r="P752">
        <v>5</v>
      </c>
      <c r="Q752">
        <v>2</v>
      </c>
      <c r="R752" s="36">
        <f>IFERROR(INDEX(Katalog!$D$3:$D$12,MATCH(cadangan3[[#This Row],[ItemID B]],Katalog!$C$3:$C$12,0))*cadangan3[[#This Row],[Qty B]],0)</f>
        <v>750000</v>
      </c>
      <c r="S752" s="36">
        <f>IFERROR(INDEX(Katalog!$D$3:$D$12,MATCH(cadangan3[[#This Row],[Item B]],Katalog!$B$3:$B$12,0))*cadangan3[[#This Row],[Qty B]],0)</f>
        <v>750000</v>
      </c>
      <c r="T752" s="36">
        <f>IFERROR(cadangan3[[#This Row],[Harga Asli B]]-(cadangan3[[#This Row],[Harga Asli B]]*cadangan3[[#This Row],[Diskon]]),cadangan3[[#This Row],[Harga Asli B]])</f>
        <v>750000</v>
      </c>
      <c r="U752" s="36">
        <f>IFERROR(INDEX(Katalog!$F$3:$F$12,MATCH(cadangan3[[#This Row],[ItemID B]],Katalog!$C$3:$C$12,0))*cadangan3[[#This Row],[Qty B]],0)</f>
        <v>300000</v>
      </c>
      <c r="V752" s="36">
        <f>IFERROR(cadangan3[[#This Row],[Profit B]]-(cadangan3[[#This Row],[Profit B]]*cadangan3[[#This Row],[Diskon]]),U752)</f>
        <v>300000</v>
      </c>
      <c r="X752" t="str">
        <f>IFERROR(INDEX(Katalog!$A$3:$A$12,MATCH(cadangan3[[#This Row],[ItemID C]],Katalog!$C$3:$C$12,0)),"-")</f>
        <v>-</v>
      </c>
      <c r="Y752" t="str">
        <f>IFERROR(INDEX(Katalog!$B$3:$B$12,MATCH(cadangan3[[#This Row],[ItemID C]],Katalog!$C$3:$C$12,0)),"-")</f>
        <v>-</v>
      </c>
      <c r="AB752" s="36">
        <f>IFERROR(INDEX(Katalog!$D$3:$D$12,MATCH(cadangan3[[#This Row],[ItemID C]],Katalog!$C$3:$C$12,0))*cadangan3[[#This Row],[Qty C]],0)</f>
        <v>0</v>
      </c>
      <c r="AC752" s="36">
        <f>IFERROR(INDEX(Katalog!$D$3:$D$12,MATCH(cadangan3[[#This Row],[Item C]],Katalog!$B$3:$B$12,0))*cadangan3[[#This Row],[Qty C]],0)</f>
        <v>0</v>
      </c>
      <c r="AD752" s="36">
        <f>IFERROR(cadangan3[[#This Row],[Harga Asli C]]-(cadangan3[[#This Row],[Harga Asli C]]*cadangan3[[#This Row],[Diskon]]),cadangan3[[#This Row],[Harga Asli C]])</f>
        <v>0</v>
      </c>
      <c r="AE752" s="36">
        <f>IFERROR(INDEX(Katalog!$F$3:$F$12,MATCH(cadangan3[[#This Row],[ItemID C]],Katalog!$C$3:$C$12,0))*cadangan3[[#This Row],[Qty C]],0)</f>
        <v>0</v>
      </c>
      <c r="AF752" s="36">
        <f>IFERROR(cadangan3[[#This Row],[Profit C]]-(cadangan3[[#This Row],[Profit C]]*cadangan3[[#This Row],[Diskon]]),cadangan3[[#This Row],[Profit C]])</f>
        <v>0</v>
      </c>
      <c r="AG752" s="21">
        <f>cadangan3[[#This Row],[Qty A]]+cadangan3[[#This Row],[Qty B]]+cadangan3[[#This Row],[Qty C]]</f>
        <v>7</v>
      </c>
      <c r="AH752" s="35">
        <f>cadangan3[[#This Row],[Harga A + Diskon]]+cadangan3[[#This Row],[Harga + Diskon B]]+cadangan3[[#This Row],[Harga + Diskon C]]</f>
        <v>1550000</v>
      </c>
      <c r="AI752" s="35">
        <f>(cadangan3[[#This Row],[Profit A]]+cadangan3[[#This Row],[Profit B]]+cadangan3[[#This Row],[Profit C]])</f>
        <v>600000</v>
      </c>
      <c r="AJ752" s="35">
        <f>cadangan3[[#This Row],[Provit A + Diskon]]+cadangan3[[#This Row],[Provit B + Diskon]]+cadangan3[[#This Row],[Provit C + Diskon]]</f>
        <v>600000</v>
      </c>
      <c r="AK752" s="23" t="s">
        <v>11</v>
      </c>
      <c r="AL752" s="37" t="str">
        <f>IFERROR(INDEX('Kode Diskon'!$D$3:$D$9,MATCH(cadangan3[[#This Row],[Kode diskon]],'Kode Diskon'!$C$3:$C$9,0)),"-")</f>
        <v>-</v>
      </c>
      <c r="AM752" s="23" t="s">
        <v>11</v>
      </c>
      <c r="AN752" s="23" t="s">
        <v>7</v>
      </c>
      <c r="AO752" s="23" t="s">
        <v>80</v>
      </c>
      <c r="AP752" s="24">
        <v>45029</v>
      </c>
      <c r="AQ752" s="23" t="str">
        <f>TEXT(cadangan3[[#This Row],[Tanggal terjual]],"dddd")</f>
        <v>Thursday</v>
      </c>
    </row>
    <row r="753" spans="1:43" x14ac:dyDescent="0.2">
      <c r="A753" s="20">
        <v>752</v>
      </c>
      <c r="B753" s="21" t="str">
        <f>_xlfn.CONCAT("ORD-",INDEX(Helper!$B$2:$B$5,MATCH(cadangan3[[#This Row],[Marketplace]],Helper!$A$2:$A$5,0)),TEXT(cadangan3[[#This Row],[No]],"0000"),"-",TEXT(cadangan3[[#This Row],[Tanggal terjual]],"dd/mm/yy"))</f>
        <v>ORD-SP0752-28/04/23</v>
      </c>
      <c r="C753" t="s">
        <v>60</v>
      </c>
      <c r="D753" t="str">
        <f>IFERROR(INDEX(Katalog!$A$3:$A$12,MATCH(cadangan3[[#This Row],[ItemID A]],Katalog!$C$3:$C$12,0)),"-")</f>
        <v>Pakaian Wanita</v>
      </c>
      <c r="E753" t="str">
        <f>IFERROR(INDEX(Katalog!$B$3:$B$12,MATCH(cadangan3[[#This Row],[ItemID A]],Katalog!$C$3:$C$12,0)),"-")</f>
        <v>Kaftan</v>
      </c>
      <c r="F753">
        <v>3</v>
      </c>
      <c r="G753">
        <v>4</v>
      </c>
      <c r="H753" s="36">
        <f>IFERROR(INDEX(Katalog!$D$3:$D$12,MATCH(cadangan3[[#This Row],[ItemID A]],Katalog!$C$3:$C$12,0))*cadangan3[[#This Row],[Qty A]],0)</f>
        <v>750000</v>
      </c>
      <c r="I753" s="36">
        <f>IFERROR(INDEX(Katalog!$D$3:$D$12,MATCH(cadangan3[[#This Row],[Item A]],Katalog!$B$3:$B$12,0))*cadangan3[[#This Row],[Qty A]],0)</f>
        <v>750000</v>
      </c>
      <c r="J753" s="36">
        <f>IFERROR(cadangan3[[#This Row],[Harga Asli A]]-(cadangan3[[#This Row],[Harga Asli A]]*cadangan3[[#This Row],[Diskon]]),cadangan3[[#This Row],[Harga Asli A]])</f>
        <v>600000</v>
      </c>
      <c r="K753" s="36">
        <f>INDEX(Katalog!$F$3:$F$12,MATCH(cadangan3[[#This Row],[ItemID A]],Katalog!$C$3:$C$12,0))*cadangan3[[#This Row],[Qty A]]</f>
        <v>300000</v>
      </c>
      <c r="L753" s="36">
        <f>IFERROR(cadangan3[[#This Row],[Profit A]]-(cadangan3[[#This Row],[Profit A]]*cadangan3[[#This Row],[Diskon]]),K753)</f>
        <v>240000</v>
      </c>
      <c r="M753" t="s">
        <v>66</v>
      </c>
      <c r="N753" t="str">
        <f>IFERROR(INDEX(Katalog!$A$3:$A$12,MATCH(cadangan3[[#This Row],[ItemID B]],Katalog!$C$3:$C$12,0)),"-")</f>
        <v>Sepatu Pria</v>
      </c>
      <c r="O753" t="str">
        <f>IFERROR(INDEX(Katalog!$B$3:$B$12,MATCH(cadangan3[[#This Row],[ItemID B]],Katalog!$C$3:$C$12,0)),"-")</f>
        <v>Sandal Slip On</v>
      </c>
      <c r="P753">
        <v>1</v>
      </c>
      <c r="Q753">
        <v>3</v>
      </c>
      <c r="R753" s="36">
        <f>IFERROR(INDEX(Katalog!$D$3:$D$12,MATCH(cadangan3[[#This Row],[ItemID B]],Katalog!$C$3:$C$12,0))*cadangan3[[#This Row],[Qty B]],0)</f>
        <v>150000</v>
      </c>
      <c r="S753" s="36">
        <f>IFERROR(INDEX(Katalog!$D$3:$D$12,MATCH(cadangan3[[#This Row],[Item B]],Katalog!$B$3:$B$12,0))*cadangan3[[#This Row],[Qty B]],0)</f>
        <v>150000</v>
      </c>
      <c r="T753" s="36">
        <f>IFERROR(cadangan3[[#This Row],[Harga Asli B]]-(cadangan3[[#This Row],[Harga Asli B]]*cadangan3[[#This Row],[Diskon]]),cadangan3[[#This Row],[Harga Asli B]])</f>
        <v>120000</v>
      </c>
      <c r="U753" s="36">
        <f>IFERROR(INDEX(Katalog!$F$3:$F$12,MATCH(cadangan3[[#This Row],[ItemID B]],Katalog!$C$3:$C$12,0))*cadangan3[[#This Row],[Qty B]],0)</f>
        <v>60000</v>
      </c>
      <c r="V753" s="36">
        <f>IFERROR(cadangan3[[#This Row],[Profit B]]-(cadangan3[[#This Row],[Profit B]]*cadangan3[[#This Row],[Diskon]]),U753)</f>
        <v>48000</v>
      </c>
      <c r="X753" t="str">
        <f>IFERROR(INDEX(Katalog!$A$3:$A$12,MATCH(cadangan3[[#This Row],[ItemID C]],Katalog!$C$3:$C$12,0)),"-")</f>
        <v>-</v>
      </c>
      <c r="Y753" t="str">
        <f>IFERROR(INDEX(Katalog!$B$3:$B$12,MATCH(cadangan3[[#This Row],[ItemID C]],Katalog!$C$3:$C$12,0)),"-")</f>
        <v>-</v>
      </c>
      <c r="AB753" s="36">
        <f>IFERROR(INDEX(Katalog!$D$3:$D$12,MATCH(cadangan3[[#This Row],[ItemID C]],Katalog!$C$3:$C$12,0))*cadangan3[[#This Row],[Qty C]],0)</f>
        <v>0</v>
      </c>
      <c r="AC753" s="36">
        <f>IFERROR(INDEX(Katalog!$D$3:$D$12,MATCH(cadangan3[[#This Row],[Item C]],Katalog!$B$3:$B$12,0))*cadangan3[[#This Row],[Qty C]],0)</f>
        <v>0</v>
      </c>
      <c r="AD753" s="36">
        <f>IFERROR(cadangan3[[#This Row],[Harga Asli C]]-(cadangan3[[#This Row],[Harga Asli C]]*cadangan3[[#This Row],[Diskon]]),cadangan3[[#This Row],[Harga Asli C]])</f>
        <v>0</v>
      </c>
      <c r="AE753" s="36">
        <f>IFERROR(INDEX(Katalog!$F$3:$F$12,MATCH(cadangan3[[#This Row],[ItemID C]],Katalog!$C$3:$C$12,0))*cadangan3[[#This Row],[Qty C]],0)</f>
        <v>0</v>
      </c>
      <c r="AF753" s="36">
        <f>IFERROR(cadangan3[[#This Row],[Profit C]]-(cadangan3[[#This Row],[Profit C]]*cadangan3[[#This Row],[Diskon]]),cadangan3[[#This Row],[Profit C]])</f>
        <v>0</v>
      </c>
      <c r="AG753" s="21">
        <f>cadangan3[[#This Row],[Qty A]]+cadangan3[[#This Row],[Qty B]]+cadangan3[[#This Row],[Qty C]]</f>
        <v>4</v>
      </c>
      <c r="AH753" s="35">
        <f>cadangan3[[#This Row],[Harga A + Diskon]]+cadangan3[[#This Row],[Harga + Diskon B]]+cadangan3[[#This Row],[Harga + Diskon C]]</f>
        <v>720000</v>
      </c>
      <c r="AI753" s="35">
        <f>(cadangan3[[#This Row],[Profit A]]+cadangan3[[#This Row],[Profit B]]+cadangan3[[#This Row],[Profit C]])</f>
        <v>360000</v>
      </c>
      <c r="AJ753" s="35">
        <f>cadangan3[[#This Row],[Provit A + Diskon]]+cadangan3[[#This Row],[Provit B + Diskon]]+cadangan3[[#This Row],[Provit C + Diskon]]</f>
        <v>288000</v>
      </c>
      <c r="AK753" s="23" t="s">
        <v>8</v>
      </c>
      <c r="AL753" s="37">
        <f>IFERROR(INDEX('Kode Diskon'!$D$3:$D$9,MATCH(cadangan3[[#This Row],[Kode diskon]],'Kode Diskon'!$C$3:$C$9,0)),"-")</f>
        <v>0.2</v>
      </c>
      <c r="AM753" s="23" t="s">
        <v>9</v>
      </c>
      <c r="AN753" s="23" t="s">
        <v>7</v>
      </c>
      <c r="AO753" s="23" t="s">
        <v>79</v>
      </c>
      <c r="AP753" s="24">
        <v>45044</v>
      </c>
      <c r="AQ753" s="23" t="str">
        <f>TEXT(cadangan3[[#This Row],[Tanggal terjual]],"dddd")</f>
        <v>Friday</v>
      </c>
    </row>
    <row r="754" spans="1:43" x14ac:dyDescent="0.2">
      <c r="A754" s="20">
        <v>753</v>
      </c>
      <c r="B754" s="21" t="str">
        <f>_xlfn.CONCAT("ORD-",INDEX(Helper!$B$2:$B$5,MATCH(cadangan3[[#This Row],[Marketplace]],Helper!$A$2:$A$5,0)),TEXT(cadangan3[[#This Row],[No]],"0000"),"-",TEXT(cadangan3[[#This Row],[Tanggal terjual]],"dd/mm/yy"))</f>
        <v>ORD-SP0753-07/04/23</v>
      </c>
      <c r="C754" t="s">
        <v>65</v>
      </c>
      <c r="D754" t="str">
        <f>IFERROR(INDEX(Katalog!$A$3:$A$12,MATCH(cadangan3[[#This Row],[ItemID A]],Katalog!$C$3:$C$12,0)),"-")</f>
        <v>Sepatu Pria</v>
      </c>
      <c r="E754" t="str">
        <f>IFERROR(INDEX(Katalog!$B$3:$B$12,MATCH(cadangan3[[#This Row],[ItemID A]],Katalog!$C$3:$C$12,0)),"-")</f>
        <v>Sneakers</v>
      </c>
      <c r="F754">
        <v>1</v>
      </c>
      <c r="G754">
        <v>2</v>
      </c>
      <c r="H754" s="36">
        <f>IFERROR(INDEX(Katalog!$D$3:$D$12,MATCH(cadangan3[[#This Row],[ItemID A]],Katalog!$C$3:$C$12,0))*cadangan3[[#This Row],[Qty A]],0)</f>
        <v>500000</v>
      </c>
      <c r="I754" s="36">
        <f>IFERROR(INDEX(Katalog!$D$3:$D$12,MATCH(cadangan3[[#This Row],[Item A]],Katalog!$B$3:$B$12,0))*cadangan3[[#This Row],[Qty A]],0)</f>
        <v>500000</v>
      </c>
      <c r="J754" s="36">
        <f>IFERROR(cadangan3[[#This Row],[Harga Asli A]]-(cadangan3[[#This Row],[Harga Asli A]]*cadangan3[[#This Row],[Diskon]]),cadangan3[[#This Row],[Harga Asli A]])</f>
        <v>500000</v>
      </c>
      <c r="K754" s="36">
        <f>INDEX(Katalog!$F$3:$F$12,MATCH(cadangan3[[#This Row],[ItemID A]],Katalog!$C$3:$C$12,0))*cadangan3[[#This Row],[Qty A]]</f>
        <v>200000</v>
      </c>
      <c r="L754" s="36">
        <f>IFERROR(cadangan3[[#This Row],[Profit A]]-(cadangan3[[#This Row],[Profit A]]*cadangan3[[#This Row],[Diskon]]),K754)</f>
        <v>200000</v>
      </c>
      <c r="N754" t="str">
        <f>IFERROR(INDEX(Katalog!$A$3:$A$12,MATCH(cadangan3[[#This Row],[ItemID B]],Katalog!$C$3:$C$12,0)),"-")</f>
        <v>-</v>
      </c>
      <c r="O754" t="str">
        <f>IFERROR(INDEX(Katalog!$B$3:$B$12,MATCH(cadangan3[[#This Row],[ItemID B]],Katalog!$C$3:$C$12,0)),"-")</f>
        <v>-</v>
      </c>
      <c r="R754" s="36">
        <f>IFERROR(INDEX(Katalog!$D$3:$D$12,MATCH(cadangan3[[#This Row],[ItemID B]],Katalog!$C$3:$C$12,0))*cadangan3[[#This Row],[Qty B]],0)</f>
        <v>0</v>
      </c>
      <c r="S754" s="36">
        <f>IFERROR(INDEX(Katalog!$D$3:$D$12,MATCH(cadangan3[[#This Row],[Item B]],Katalog!$B$3:$B$12,0))*cadangan3[[#This Row],[Qty B]],0)</f>
        <v>0</v>
      </c>
      <c r="T754" s="36">
        <f>IFERROR(cadangan3[[#This Row],[Harga Asli B]]-(cadangan3[[#This Row],[Harga Asli B]]*cadangan3[[#This Row],[Diskon]]),cadangan3[[#This Row],[Harga Asli B]])</f>
        <v>0</v>
      </c>
      <c r="U754" s="36">
        <f>IFERROR(INDEX(Katalog!$F$3:$F$12,MATCH(cadangan3[[#This Row],[ItemID B]],Katalog!$C$3:$C$12,0))*cadangan3[[#This Row],[Qty B]],0)</f>
        <v>0</v>
      </c>
      <c r="V754" s="36">
        <f>IFERROR(cadangan3[[#This Row],[Profit B]]-(cadangan3[[#This Row],[Profit B]]*cadangan3[[#This Row],[Diskon]]),U754)</f>
        <v>0</v>
      </c>
      <c r="X754" t="str">
        <f>IFERROR(INDEX(Katalog!$A$3:$A$12,MATCH(cadangan3[[#This Row],[ItemID C]],Katalog!$C$3:$C$12,0)),"-")</f>
        <v>-</v>
      </c>
      <c r="Y754" t="str">
        <f>IFERROR(INDEX(Katalog!$B$3:$B$12,MATCH(cadangan3[[#This Row],[ItemID C]],Katalog!$C$3:$C$12,0)),"-")</f>
        <v>-</v>
      </c>
      <c r="AB754" s="36">
        <f>IFERROR(INDEX(Katalog!$D$3:$D$12,MATCH(cadangan3[[#This Row],[ItemID C]],Katalog!$C$3:$C$12,0))*cadangan3[[#This Row],[Qty C]],0)</f>
        <v>0</v>
      </c>
      <c r="AC754" s="36">
        <f>IFERROR(INDEX(Katalog!$D$3:$D$12,MATCH(cadangan3[[#This Row],[Item C]],Katalog!$B$3:$B$12,0))*cadangan3[[#This Row],[Qty C]],0)</f>
        <v>0</v>
      </c>
      <c r="AD754" s="36">
        <f>IFERROR(cadangan3[[#This Row],[Harga Asli C]]-(cadangan3[[#This Row],[Harga Asli C]]*cadangan3[[#This Row],[Diskon]]),cadangan3[[#This Row],[Harga Asli C]])</f>
        <v>0</v>
      </c>
      <c r="AE754" s="36">
        <f>IFERROR(INDEX(Katalog!$F$3:$F$12,MATCH(cadangan3[[#This Row],[ItemID C]],Katalog!$C$3:$C$12,0))*cadangan3[[#This Row],[Qty C]],0)</f>
        <v>0</v>
      </c>
      <c r="AF754" s="36">
        <f>IFERROR(cadangan3[[#This Row],[Profit C]]-(cadangan3[[#This Row],[Profit C]]*cadangan3[[#This Row],[Diskon]]),cadangan3[[#This Row],[Profit C]])</f>
        <v>0</v>
      </c>
      <c r="AG754" s="21">
        <f>cadangan3[[#This Row],[Qty A]]+cadangan3[[#This Row],[Qty B]]+cadangan3[[#This Row],[Qty C]]</f>
        <v>1</v>
      </c>
      <c r="AH754" s="35">
        <f>cadangan3[[#This Row],[Harga A + Diskon]]+cadangan3[[#This Row],[Harga + Diskon B]]+cadangan3[[#This Row],[Harga + Diskon C]]</f>
        <v>500000</v>
      </c>
      <c r="AI754" s="35">
        <f>(cadangan3[[#This Row],[Profit A]]+cadangan3[[#This Row],[Profit B]]+cadangan3[[#This Row],[Profit C]])</f>
        <v>200000</v>
      </c>
      <c r="AJ754" s="35">
        <f>cadangan3[[#This Row],[Provit A + Diskon]]+cadangan3[[#This Row],[Provit B + Diskon]]+cadangan3[[#This Row],[Provit C + Diskon]]</f>
        <v>200000</v>
      </c>
      <c r="AK754" s="23" t="s">
        <v>11</v>
      </c>
      <c r="AL754" s="37" t="str">
        <f>IFERROR(INDEX('Kode Diskon'!$D$3:$D$9,MATCH(cadangan3[[#This Row],[Kode diskon]],'Kode Diskon'!$C$3:$C$9,0)),"-")</f>
        <v>-</v>
      </c>
      <c r="AM754" s="23" t="s">
        <v>11</v>
      </c>
      <c r="AN754" s="23" t="s">
        <v>7</v>
      </c>
      <c r="AO754" s="23" t="s">
        <v>80</v>
      </c>
      <c r="AP754" s="24">
        <v>45023</v>
      </c>
      <c r="AQ754" s="23" t="str">
        <f>TEXT(cadangan3[[#This Row],[Tanggal terjual]],"dddd")</f>
        <v>Friday</v>
      </c>
    </row>
    <row r="755" spans="1:43" x14ac:dyDescent="0.2">
      <c r="A755" s="20">
        <v>754</v>
      </c>
      <c r="B755" s="21" t="str">
        <f>_xlfn.CONCAT("ORD-",INDEX(Helper!$B$2:$B$5,MATCH(cadangan3[[#This Row],[Marketplace]],Helper!$A$2:$A$5,0)),TEXT(cadangan3[[#This Row],[No]],"0000"),"-",TEXT(cadangan3[[#This Row],[Tanggal terjual]],"dd/mm/yy"))</f>
        <v>ORD-SP0754-05/04/23</v>
      </c>
      <c r="C755" t="s">
        <v>63</v>
      </c>
      <c r="D755" t="str">
        <f>IFERROR(INDEX(Katalog!$A$3:$A$12,MATCH(cadangan3[[#This Row],[ItemID A]],Katalog!$C$3:$C$12,0)),"-")</f>
        <v>Pakaian Pria</v>
      </c>
      <c r="E755" t="str">
        <f>IFERROR(INDEX(Katalog!$B$3:$B$12,MATCH(cadangan3[[#This Row],[ItemID A]],Katalog!$C$3:$C$12,0)),"-")</f>
        <v>Jaket Jeans</v>
      </c>
      <c r="F755">
        <v>1</v>
      </c>
      <c r="G755">
        <v>5</v>
      </c>
      <c r="H755" s="36">
        <f>IFERROR(INDEX(Katalog!$D$3:$D$12,MATCH(cadangan3[[#This Row],[ItemID A]],Katalog!$C$3:$C$12,0))*cadangan3[[#This Row],[Qty A]],0)</f>
        <v>400000</v>
      </c>
      <c r="I755" s="36">
        <f>IFERROR(INDEX(Katalog!$D$3:$D$12,MATCH(cadangan3[[#This Row],[Item A]],Katalog!$B$3:$B$12,0))*cadangan3[[#This Row],[Qty A]],0)</f>
        <v>400000</v>
      </c>
      <c r="J755" s="36">
        <f>IFERROR(cadangan3[[#This Row],[Harga Asli A]]-(cadangan3[[#This Row],[Harga Asli A]]*cadangan3[[#This Row],[Diskon]]),cadangan3[[#This Row],[Harga Asli A]])</f>
        <v>340000</v>
      </c>
      <c r="K755" s="36">
        <f>INDEX(Katalog!$F$3:$F$12,MATCH(cadangan3[[#This Row],[ItemID A]],Katalog!$C$3:$C$12,0))*cadangan3[[#This Row],[Qty A]]</f>
        <v>150000</v>
      </c>
      <c r="L755" s="36">
        <f>IFERROR(cadangan3[[#This Row],[Profit A]]-(cadangan3[[#This Row],[Profit A]]*cadangan3[[#This Row],[Diskon]]),K755)</f>
        <v>127500</v>
      </c>
      <c r="M755" t="s">
        <v>62</v>
      </c>
      <c r="N755" t="str">
        <f>IFERROR(INDEX(Katalog!$A$3:$A$12,MATCH(cadangan3[[#This Row],[ItemID B]],Katalog!$C$3:$C$12,0)),"-")</f>
        <v>Pakaian Pria</v>
      </c>
      <c r="O755" t="str">
        <f>IFERROR(INDEX(Katalog!$B$3:$B$12,MATCH(cadangan3[[#This Row],[ItemID B]],Katalog!$C$3:$C$12,0)),"-")</f>
        <v>Celana Pendek</v>
      </c>
      <c r="P755">
        <v>1</v>
      </c>
      <c r="Q755">
        <v>4</v>
      </c>
      <c r="R755" s="36">
        <f>IFERROR(INDEX(Katalog!$D$3:$D$12,MATCH(cadangan3[[#This Row],[ItemID B]],Katalog!$C$3:$C$12,0))*cadangan3[[#This Row],[Qty B]],0)</f>
        <v>180000</v>
      </c>
      <c r="S755" s="36">
        <f>IFERROR(INDEX(Katalog!$D$3:$D$12,MATCH(cadangan3[[#This Row],[Item B]],Katalog!$B$3:$B$12,0))*cadangan3[[#This Row],[Qty B]],0)</f>
        <v>180000</v>
      </c>
      <c r="T755" s="36">
        <f>IFERROR(cadangan3[[#This Row],[Harga Asli B]]-(cadangan3[[#This Row],[Harga Asli B]]*cadangan3[[#This Row],[Diskon]]),cadangan3[[#This Row],[Harga Asli B]])</f>
        <v>153000</v>
      </c>
      <c r="U755" s="36">
        <f>IFERROR(INDEX(Katalog!$F$3:$F$12,MATCH(cadangan3[[#This Row],[ItemID B]],Katalog!$C$3:$C$12,0))*cadangan3[[#This Row],[Qty B]],0)</f>
        <v>70000</v>
      </c>
      <c r="V755" s="36">
        <f>IFERROR(cadangan3[[#This Row],[Profit B]]-(cadangan3[[#This Row],[Profit B]]*cadangan3[[#This Row],[Diskon]]),U755)</f>
        <v>59500</v>
      </c>
      <c r="W755" t="s">
        <v>66</v>
      </c>
      <c r="X755" t="str">
        <f>IFERROR(INDEX(Katalog!$A$3:$A$12,MATCH(cadangan3[[#This Row],[ItemID C]],Katalog!$C$3:$C$12,0)),"-")</f>
        <v>Sepatu Pria</v>
      </c>
      <c r="Y755" t="str">
        <f>IFERROR(INDEX(Katalog!$B$3:$B$12,MATCH(cadangan3[[#This Row],[ItemID C]],Katalog!$C$3:$C$12,0)),"-")</f>
        <v>Sandal Slip On</v>
      </c>
      <c r="Z755">
        <v>5</v>
      </c>
      <c r="AA755">
        <v>3</v>
      </c>
      <c r="AB755" s="36">
        <f>IFERROR(INDEX(Katalog!$D$3:$D$12,MATCH(cadangan3[[#This Row],[ItemID C]],Katalog!$C$3:$C$12,0))*cadangan3[[#This Row],[Qty C]],0)</f>
        <v>750000</v>
      </c>
      <c r="AC755" s="36">
        <f>IFERROR(INDEX(Katalog!$D$3:$D$12,MATCH(cadangan3[[#This Row],[Item C]],Katalog!$B$3:$B$12,0))*cadangan3[[#This Row],[Qty C]],0)</f>
        <v>750000</v>
      </c>
      <c r="AD755" s="36">
        <f>IFERROR(cadangan3[[#This Row],[Harga Asli C]]-(cadangan3[[#This Row],[Harga Asli C]]*cadangan3[[#This Row],[Diskon]]),cadangan3[[#This Row],[Harga Asli C]])</f>
        <v>637500</v>
      </c>
      <c r="AE755" s="36">
        <f>IFERROR(INDEX(Katalog!$F$3:$F$12,MATCH(cadangan3[[#This Row],[ItemID C]],Katalog!$C$3:$C$12,0))*cadangan3[[#This Row],[Qty C]],0)</f>
        <v>300000</v>
      </c>
      <c r="AF755" s="36">
        <f>IFERROR(cadangan3[[#This Row],[Profit C]]-(cadangan3[[#This Row],[Profit C]]*cadangan3[[#This Row],[Diskon]]),cadangan3[[#This Row],[Profit C]])</f>
        <v>255000</v>
      </c>
      <c r="AG755" s="21">
        <f>cadangan3[[#This Row],[Qty A]]+cadangan3[[#This Row],[Qty B]]+cadangan3[[#This Row],[Qty C]]</f>
        <v>7</v>
      </c>
      <c r="AH755" s="35">
        <f>cadangan3[[#This Row],[Harga A + Diskon]]+cadangan3[[#This Row],[Harga + Diskon B]]+cadangan3[[#This Row],[Harga + Diskon C]]</f>
        <v>1130500</v>
      </c>
      <c r="AI755" s="35">
        <f>(cadangan3[[#This Row],[Profit A]]+cadangan3[[#This Row],[Profit B]]+cadangan3[[#This Row],[Profit C]])</f>
        <v>520000</v>
      </c>
      <c r="AJ755" s="35">
        <f>cadangan3[[#This Row],[Provit A + Diskon]]+cadangan3[[#This Row],[Provit B + Diskon]]+cadangan3[[#This Row],[Provit C + Diskon]]</f>
        <v>442000</v>
      </c>
      <c r="AK755" s="23" t="s">
        <v>13</v>
      </c>
      <c r="AL755" s="37">
        <f>IFERROR(INDEX('Kode Diskon'!$D$3:$D$9,MATCH(cadangan3[[#This Row],[Kode diskon]],'Kode Diskon'!$C$3:$C$9,0)),"-")</f>
        <v>0.15</v>
      </c>
      <c r="AM755" s="23" t="s">
        <v>29</v>
      </c>
      <c r="AN755" s="23" t="s">
        <v>7</v>
      </c>
      <c r="AO755" s="23" t="s">
        <v>75</v>
      </c>
      <c r="AP755" s="24">
        <v>45021</v>
      </c>
      <c r="AQ755" s="23" t="str">
        <f>TEXT(cadangan3[[#This Row],[Tanggal terjual]],"dddd")</f>
        <v>Wednesday</v>
      </c>
    </row>
    <row r="756" spans="1:43" x14ac:dyDescent="0.2">
      <c r="A756" s="20">
        <v>755</v>
      </c>
      <c r="B756" s="21" t="str">
        <f>_xlfn.CONCAT("ORD-",INDEX(Helper!$B$2:$B$5,MATCH(cadangan3[[#This Row],[Marketplace]],Helper!$A$2:$A$5,0)),TEXT(cadangan3[[#This Row],[No]],"0000"),"-",TEXT(cadangan3[[#This Row],[Tanggal terjual]],"dd/mm/yy"))</f>
        <v>ORD-TK0755-05/04/23</v>
      </c>
      <c r="C756" t="s">
        <v>66</v>
      </c>
      <c r="D756" t="str">
        <f>IFERROR(INDEX(Katalog!$A$3:$A$12,MATCH(cadangan3[[#This Row],[ItemID A]],Katalog!$C$3:$C$12,0)),"-")</f>
        <v>Sepatu Pria</v>
      </c>
      <c r="E756" t="str">
        <f>IFERROR(INDEX(Katalog!$B$3:$B$12,MATCH(cadangan3[[#This Row],[ItemID A]],Katalog!$C$3:$C$12,0)),"-")</f>
        <v>Sandal Slip On</v>
      </c>
      <c r="F756">
        <v>2</v>
      </c>
      <c r="G756">
        <v>3</v>
      </c>
      <c r="H756" s="36">
        <f>IFERROR(INDEX(Katalog!$D$3:$D$12,MATCH(cadangan3[[#This Row],[ItemID A]],Katalog!$C$3:$C$12,0))*cadangan3[[#This Row],[Qty A]],0)</f>
        <v>300000</v>
      </c>
      <c r="I756" s="36">
        <f>IFERROR(INDEX(Katalog!$D$3:$D$12,MATCH(cadangan3[[#This Row],[Item A]],Katalog!$B$3:$B$12,0))*cadangan3[[#This Row],[Qty A]],0)</f>
        <v>300000</v>
      </c>
      <c r="J756" s="36">
        <f>IFERROR(cadangan3[[#This Row],[Harga Asli A]]-(cadangan3[[#This Row],[Harga Asli A]]*cadangan3[[#This Row],[Diskon]]),cadangan3[[#This Row],[Harga Asli A]])</f>
        <v>270000</v>
      </c>
      <c r="K756" s="36">
        <f>INDEX(Katalog!$F$3:$F$12,MATCH(cadangan3[[#This Row],[ItemID A]],Katalog!$C$3:$C$12,0))*cadangan3[[#This Row],[Qty A]]</f>
        <v>120000</v>
      </c>
      <c r="L756" s="36">
        <f>IFERROR(cadangan3[[#This Row],[Profit A]]-(cadangan3[[#This Row],[Profit A]]*cadangan3[[#This Row],[Diskon]]),K756)</f>
        <v>108000</v>
      </c>
      <c r="N756" t="str">
        <f>IFERROR(INDEX(Katalog!$A$3:$A$12,MATCH(cadangan3[[#This Row],[ItemID B]],Katalog!$C$3:$C$12,0)),"-")</f>
        <v>-</v>
      </c>
      <c r="O756" t="str">
        <f>IFERROR(INDEX(Katalog!$B$3:$B$12,MATCH(cadangan3[[#This Row],[ItemID B]],Katalog!$C$3:$C$12,0)),"-")</f>
        <v>-</v>
      </c>
      <c r="R756" s="36">
        <f>IFERROR(INDEX(Katalog!$D$3:$D$12,MATCH(cadangan3[[#This Row],[ItemID B]],Katalog!$C$3:$C$12,0))*cadangan3[[#This Row],[Qty B]],0)</f>
        <v>0</v>
      </c>
      <c r="S756" s="36">
        <f>IFERROR(INDEX(Katalog!$D$3:$D$12,MATCH(cadangan3[[#This Row],[Item B]],Katalog!$B$3:$B$12,0))*cadangan3[[#This Row],[Qty B]],0)</f>
        <v>0</v>
      </c>
      <c r="T756" s="36">
        <f>IFERROR(cadangan3[[#This Row],[Harga Asli B]]-(cadangan3[[#This Row],[Harga Asli B]]*cadangan3[[#This Row],[Diskon]]),cadangan3[[#This Row],[Harga Asli B]])</f>
        <v>0</v>
      </c>
      <c r="U756" s="36">
        <f>IFERROR(INDEX(Katalog!$F$3:$F$12,MATCH(cadangan3[[#This Row],[ItemID B]],Katalog!$C$3:$C$12,0))*cadangan3[[#This Row],[Qty B]],0)</f>
        <v>0</v>
      </c>
      <c r="V756" s="36">
        <f>IFERROR(cadangan3[[#This Row],[Profit B]]-(cadangan3[[#This Row],[Profit B]]*cadangan3[[#This Row],[Diskon]]),U756)</f>
        <v>0</v>
      </c>
      <c r="X756" t="str">
        <f>IFERROR(INDEX(Katalog!$A$3:$A$12,MATCH(cadangan3[[#This Row],[ItemID C]],Katalog!$C$3:$C$12,0)),"-")</f>
        <v>-</v>
      </c>
      <c r="Y756" t="str">
        <f>IFERROR(INDEX(Katalog!$B$3:$B$12,MATCH(cadangan3[[#This Row],[ItemID C]],Katalog!$C$3:$C$12,0)),"-")</f>
        <v>-</v>
      </c>
      <c r="AB756" s="36">
        <f>IFERROR(INDEX(Katalog!$D$3:$D$12,MATCH(cadangan3[[#This Row],[ItemID C]],Katalog!$C$3:$C$12,0))*cadangan3[[#This Row],[Qty C]],0)</f>
        <v>0</v>
      </c>
      <c r="AC756" s="36">
        <f>IFERROR(INDEX(Katalog!$D$3:$D$12,MATCH(cadangan3[[#This Row],[Item C]],Katalog!$B$3:$B$12,0))*cadangan3[[#This Row],[Qty C]],0)</f>
        <v>0</v>
      </c>
      <c r="AD756" s="36">
        <f>IFERROR(cadangan3[[#This Row],[Harga Asli C]]-(cadangan3[[#This Row],[Harga Asli C]]*cadangan3[[#This Row],[Diskon]]),cadangan3[[#This Row],[Harga Asli C]])</f>
        <v>0</v>
      </c>
      <c r="AE756" s="36">
        <f>IFERROR(INDEX(Katalog!$F$3:$F$12,MATCH(cadangan3[[#This Row],[ItemID C]],Katalog!$C$3:$C$12,0))*cadangan3[[#This Row],[Qty C]],0)</f>
        <v>0</v>
      </c>
      <c r="AF756" s="36">
        <f>IFERROR(cadangan3[[#This Row],[Profit C]]-(cadangan3[[#This Row],[Profit C]]*cadangan3[[#This Row],[Diskon]]),cadangan3[[#This Row],[Profit C]])</f>
        <v>0</v>
      </c>
      <c r="AG756" s="21">
        <f>cadangan3[[#This Row],[Qty A]]+cadangan3[[#This Row],[Qty B]]+cadangan3[[#This Row],[Qty C]]</f>
        <v>2</v>
      </c>
      <c r="AH756" s="35">
        <f>cadangan3[[#This Row],[Harga A + Diskon]]+cadangan3[[#This Row],[Harga + Diskon B]]+cadangan3[[#This Row],[Harga + Diskon C]]</f>
        <v>270000</v>
      </c>
      <c r="AI756" s="35">
        <f>(cadangan3[[#This Row],[Profit A]]+cadangan3[[#This Row],[Profit B]]+cadangan3[[#This Row],[Profit C]])</f>
        <v>120000</v>
      </c>
      <c r="AJ756" s="35">
        <f>cadangan3[[#This Row],[Provit A + Diskon]]+cadangan3[[#This Row],[Provit B + Diskon]]+cadangan3[[#This Row],[Provit C + Diskon]]</f>
        <v>108000</v>
      </c>
      <c r="AK756" s="23" t="s">
        <v>30</v>
      </c>
      <c r="AL756" s="37">
        <f>IFERROR(INDEX('Kode Diskon'!$D$3:$D$9,MATCH(cadangan3[[#This Row],[Kode diskon]],'Kode Diskon'!$C$3:$C$9,0)),"-")</f>
        <v>0.1</v>
      </c>
      <c r="AM756" s="23" t="s">
        <v>29</v>
      </c>
      <c r="AN756" s="23" t="s">
        <v>10</v>
      </c>
      <c r="AO756" s="23" t="s">
        <v>80</v>
      </c>
      <c r="AP756" s="24">
        <v>45021</v>
      </c>
      <c r="AQ756" s="23" t="str">
        <f>TEXT(cadangan3[[#This Row],[Tanggal terjual]],"dddd")</f>
        <v>Wednesday</v>
      </c>
    </row>
    <row r="757" spans="1:43" x14ac:dyDescent="0.2">
      <c r="A757" s="20">
        <v>756</v>
      </c>
      <c r="B757" s="21" t="str">
        <f>_xlfn.CONCAT("ORD-",INDEX(Helper!$B$2:$B$5,MATCH(cadangan3[[#This Row],[Marketplace]],Helper!$A$2:$A$5,0)),TEXT(cadangan3[[#This Row],[No]],"0000"),"-",TEXT(cadangan3[[#This Row],[Tanggal terjual]],"dd/mm/yy"))</f>
        <v>ORD-BL0756-28/04/23</v>
      </c>
      <c r="C757" t="s">
        <v>64</v>
      </c>
      <c r="D757" t="str">
        <f>IFERROR(INDEX(Katalog!$A$3:$A$12,MATCH(cadangan3[[#This Row],[ItemID A]],Katalog!$C$3:$C$12,0)),"-")</f>
        <v>Pakaian Unisex</v>
      </c>
      <c r="E757" t="str">
        <f>IFERROR(INDEX(Katalog!$B$3:$B$12,MATCH(cadangan3[[#This Row],[ItemID A]],Katalog!$C$3:$C$12,0)),"-")</f>
        <v>Jaket Hoodie</v>
      </c>
      <c r="F757">
        <v>1</v>
      </c>
      <c r="G757">
        <v>4</v>
      </c>
      <c r="H757" s="36">
        <f>IFERROR(INDEX(Katalog!$D$3:$D$12,MATCH(cadangan3[[#This Row],[ItemID A]],Katalog!$C$3:$C$12,0))*cadangan3[[#This Row],[Qty A]],0)</f>
        <v>350000</v>
      </c>
      <c r="I757" s="36">
        <f>IFERROR(INDEX(Katalog!$D$3:$D$12,MATCH(cadangan3[[#This Row],[Item A]],Katalog!$B$3:$B$12,0))*cadangan3[[#This Row],[Qty A]],0)</f>
        <v>350000</v>
      </c>
      <c r="J757" s="36">
        <f>IFERROR(cadangan3[[#This Row],[Harga Asli A]]-(cadangan3[[#This Row],[Harga Asli A]]*cadangan3[[#This Row],[Diskon]]),cadangan3[[#This Row],[Harga Asli A]])</f>
        <v>297500</v>
      </c>
      <c r="K757" s="36">
        <f>INDEX(Katalog!$F$3:$F$12,MATCH(cadangan3[[#This Row],[ItemID A]],Katalog!$C$3:$C$12,0))*cadangan3[[#This Row],[Qty A]]</f>
        <v>130000</v>
      </c>
      <c r="L757" s="36">
        <f>IFERROR(cadangan3[[#This Row],[Profit A]]-(cadangan3[[#This Row],[Profit A]]*cadangan3[[#This Row],[Diskon]]),K757)</f>
        <v>110500</v>
      </c>
      <c r="N757" t="str">
        <f>IFERROR(INDEX(Katalog!$A$3:$A$12,MATCH(cadangan3[[#This Row],[ItemID B]],Katalog!$C$3:$C$12,0)),"-")</f>
        <v>-</v>
      </c>
      <c r="O757" t="str">
        <f>IFERROR(INDEX(Katalog!$B$3:$B$12,MATCH(cadangan3[[#This Row],[ItemID B]],Katalog!$C$3:$C$12,0)),"-")</f>
        <v>-</v>
      </c>
      <c r="R757" s="36">
        <f>IFERROR(INDEX(Katalog!$D$3:$D$12,MATCH(cadangan3[[#This Row],[ItemID B]],Katalog!$C$3:$C$12,0))*cadangan3[[#This Row],[Qty B]],0)</f>
        <v>0</v>
      </c>
      <c r="S757" s="36">
        <f>IFERROR(INDEX(Katalog!$D$3:$D$12,MATCH(cadangan3[[#This Row],[Item B]],Katalog!$B$3:$B$12,0))*cadangan3[[#This Row],[Qty B]],0)</f>
        <v>0</v>
      </c>
      <c r="T757" s="36">
        <f>IFERROR(cadangan3[[#This Row],[Harga Asli B]]-(cadangan3[[#This Row],[Harga Asli B]]*cadangan3[[#This Row],[Diskon]]),cadangan3[[#This Row],[Harga Asli B]])</f>
        <v>0</v>
      </c>
      <c r="U757" s="36">
        <f>IFERROR(INDEX(Katalog!$F$3:$F$12,MATCH(cadangan3[[#This Row],[ItemID B]],Katalog!$C$3:$C$12,0))*cadangan3[[#This Row],[Qty B]],0)</f>
        <v>0</v>
      </c>
      <c r="V757" s="36">
        <f>IFERROR(cadangan3[[#This Row],[Profit B]]-(cadangan3[[#This Row],[Profit B]]*cadangan3[[#This Row],[Diskon]]),U757)</f>
        <v>0</v>
      </c>
      <c r="X757" t="str">
        <f>IFERROR(INDEX(Katalog!$A$3:$A$12,MATCH(cadangan3[[#This Row],[ItemID C]],Katalog!$C$3:$C$12,0)),"-")</f>
        <v>-</v>
      </c>
      <c r="Y757" t="str">
        <f>IFERROR(INDEX(Katalog!$B$3:$B$12,MATCH(cadangan3[[#This Row],[ItemID C]],Katalog!$C$3:$C$12,0)),"-")</f>
        <v>-</v>
      </c>
      <c r="AB757" s="36">
        <f>IFERROR(INDEX(Katalog!$D$3:$D$12,MATCH(cadangan3[[#This Row],[ItemID C]],Katalog!$C$3:$C$12,0))*cadangan3[[#This Row],[Qty C]],0)</f>
        <v>0</v>
      </c>
      <c r="AC757" s="36">
        <f>IFERROR(INDEX(Katalog!$D$3:$D$12,MATCH(cadangan3[[#This Row],[Item C]],Katalog!$B$3:$B$12,0))*cadangan3[[#This Row],[Qty C]],0)</f>
        <v>0</v>
      </c>
      <c r="AD757" s="36">
        <f>IFERROR(cadangan3[[#This Row],[Harga Asli C]]-(cadangan3[[#This Row],[Harga Asli C]]*cadangan3[[#This Row],[Diskon]]),cadangan3[[#This Row],[Harga Asli C]])</f>
        <v>0</v>
      </c>
      <c r="AE757" s="36">
        <f>IFERROR(INDEX(Katalog!$F$3:$F$12,MATCH(cadangan3[[#This Row],[ItemID C]],Katalog!$C$3:$C$12,0))*cadangan3[[#This Row],[Qty C]],0)</f>
        <v>0</v>
      </c>
      <c r="AF757" s="36">
        <f>IFERROR(cadangan3[[#This Row],[Profit C]]-(cadangan3[[#This Row],[Profit C]]*cadangan3[[#This Row],[Diskon]]),cadangan3[[#This Row],[Profit C]])</f>
        <v>0</v>
      </c>
      <c r="AG757" s="21">
        <f>cadangan3[[#This Row],[Qty A]]+cadangan3[[#This Row],[Qty B]]+cadangan3[[#This Row],[Qty C]]</f>
        <v>1</v>
      </c>
      <c r="AH757" s="35">
        <f>cadangan3[[#This Row],[Harga A + Diskon]]+cadangan3[[#This Row],[Harga + Diskon B]]+cadangan3[[#This Row],[Harga + Diskon C]]</f>
        <v>297500</v>
      </c>
      <c r="AI757" s="35">
        <f>(cadangan3[[#This Row],[Profit A]]+cadangan3[[#This Row],[Profit B]]+cadangan3[[#This Row],[Profit C]])</f>
        <v>130000</v>
      </c>
      <c r="AJ757" s="35">
        <f>cadangan3[[#This Row],[Provit A + Diskon]]+cadangan3[[#This Row],[Provit B + Diskon]]+cadangan3[[#This Row],[Provit C + Diskon]]</f>
        <v>110500</v>
      </c>
      <c r="AK757" s="23" t="s">
        <v>32</v>
      </c>
      <c r="AL757" s="37">
        <f>IFERROR(INDEX('Kode Diskon'!$D$3:$D$9,MATCH(cadangan3[[#This Row],[Kode diskon]],'Kode Diskon'!$C$3:$C$9,0)),"-")</f>
        <v>0.15</v>
      </c>
      <c r="AM757" s="23" t="s">
        <v>9</v>
      </c>
      <c r="AN757" s="23" t="s">
        <v>12</v>
      </c>
      <c r="AO757" s="23" t="s">
        <v>75</v>
      </c>
      <c r="AP757" s="24">
        <v>45044</v>
      </c>
      <c r="AQ757" s="23" t="str">
        <f>TEXT(cadangan3[[#This Row],[Tanggal terjual]],"dddd")</f>
        <v>Friday</v>
      </c>
    </row>
    <row r="758" spans="1:43" x14ac:dyDescent="0.2">
      <c r="A758" s="20">
        <v>757</v>
      </c>
      <c r="B758" s="21" t="str">
        <f>_xlfn.CONCAT("ORD-",INDEX(Helper!$B$2:$B$5,MATCH(cadangan3[[#This Row],[Marketplace]],Helper!$A$2:$A$5,0)),TEXT(cadangan3[[#This Row],[No]],"0000"),"-",TEXT(cadangan3[[#This Row],[Tanggal terjual]],"dd/mm/yy"))</f>
        <v>ORD-BB0757-06/04/23</v>
      </c>
      <c r="C758" t="s">
        <v>60</v>
      </c>
      <c r="D758" t="str">
        <f>IFERROR(INDEX(Katalog!$A$3:$A$12,MATCH(cadangan3[[#This Row],[ItemID A]],Katalog!$C$3:$C$12,0)),"-")</f>
        <v>Pakaian Wanita</v>
      </c>
      <c r="E758" t="str">
        <f>IFERROR(INDEX(Katalog!$B$3:$B$12,MATCH(cadangan3[[#This Row],[ItemID A]],Katalog!$C$3:$C$12,0)),"-")</f>
        <v>Kaftan</v>
      </c>
      <c r="F758">
        <v>3</v>
      </c>
      <c r="G758">
        <v>2</v>
      </c>
      <c r="H758" s="36">
        <f>IFERROR(INDEX(Katalog!$D$3:$D$12,MATCH(cadangan3[[#This Row],[ItemID A]],Katalog!$C$3:$C$12,0))*cadangan3[[#This Row],[Qty A]],0)</f>
        <v>750000</v>
      </c>
      <c r="I758" s="36">
        <f>IFERROR(INDEX(Katalog!$D$3:$D$12,MATCH(cadangan3[[#This Row],[Item A]],Katalog!$B$3:$B$12,0))*cadangan3[[#This Row],[Qty A]],0)</f>
        <v>750000</v>
      </c>
      <c r="J758" s="36">
        <f>IFERROR(cadangan3[[#This Row],[Harga Asli A]]-(cadangan3[[#This Row],[Harga Asli A]]*cadangan3[[#This Row],[Diskon]]),cadangan3[[#This Row],[Harga Asli A]])</f>
        <v>637500</v>
      </c>
      <c r="K758" s="36">
        <f>INDEX(Katalog!$F$3:$F$12,MATCH(cadangan3[[#This Row],[ItemID A]],Katalog!$C$3:$C$12,0))*cadangan3[[#This Row],[Qty A]]</f>
        <v>300000</v>
      </c>
      <c r="L758" s="36">
        <f>IFERROR(cadangan3[[#This Row],[Profit A]]-(cadangan3[[#This Row],[Profit A]]*cadangan3[[#This Row],[Diskon]]),K758)</f>
        <v>255000</v>
      </c>
      <c r="M758" t="s">
        <v>63</v>
      </c>
      <c r="N758" t="str">
        <f>IFERROR(INDEX(Katalog!$A$3:$A$12,MATCH(cadangan3[[#This Row],[ItemID B]],Katalog!$C$3:$C$12,0)),"-")</f>
        <v>Pakaian Pria</v>
      </c>
      <c r="O758" t="str">
        <f>IFERROR(INDEX(Katalog!$B$3:$B$12,MATCH(cadangan3[[#This Row],[ItemID B]],Katalog!$C$3:$C$12,0)),"-")</f>
        <v>Jaket Jeans</v>
      </c>
      <c r="P758">
        <v>1</v>
      </c>
      <c r="Q758">
        <v>4</v>
      </c>
      <c r="R758" s="36">
        <f>IFERROR(INDEX(Katalog!$D$3:$D$12,MATCH(cadangan3[[#This Row],[ItemID B]],Katalog!$C$3:$C$12,0))*cadangan3[[#This Row],[Qty B]],0)</f>
        <v>400000</v>
      </c>
      <c r="S758" s="36">
        <f>IFERROR(INDEX(Katalog!$D$3:$D$12,MATCH(cadangan3[[#This Row],[Item B]],Katalog!$B$3:$B$12,0))*cadangan3[[#This Row],[Qty B]],0)</f>
        <v>400000</v>
      </c>
      <c r="T758" s="36">
        <f>IFERROR(cadangan3[[#This Row],[Harga Asli B]]-(cadangan3[[#This Row],[Harga Asli B]]*cadangan3[[#This Row],[Diskon]]),cadangan3[[#This Row],[Harga Asli B]])</f>
        <v>340000</v>
      </c>
      <c r="U758" s="36">
        <f>IFERROR(INDEX(Katalog!$F$3:$F$12,MATCH(cadangan3[[#This Row],[ItemID B]],Katalog!$C$3:$C$12,0))*cadangan3[[#This Row],[Qty B]],0)</f>
        <v>150000</v>
      </c>
      <c r="V758" s="36">
        <f>IFERROR(cadangan3[[#This Row],[Profit B]]-(cadangan3[[#This Row],[Profit B]]*cadangan3[[#This Row],[Diskon]]),U758)</f>
        <v>127500</v>
      </c>
      <c r="X758" t="str">
        <f>IFERROR(INDEX(Katalog!$A$3:$A$12,MATCH(cadangan3[[#This Row],[ItemID C]],Katalog!$C$3:$C$12,0)),"-")</f>
        <v>-</v>
      </c>
      <c r="Y758" t="str">
        <f>IFERROR(INDEX(Katalog!$B$3:$B$12,MATCH(cadangan3[[#This Row],[ItemID C]],Katalog!$C$3:$C$12,0)),"-")</f>
        <v>-</v>
      </c>
      <c r="AB758" s="36">
        <f>IFERROR(INDEX(Katalog!$D$3:$D$12,MATCH(cadangan3[[#This Row],[ItemID C]],Katalog!$C$3:$C$12,0))*cadangan3[[#This Row],[Qty C]],0)</f>
        <v>0</v>
      </c>
      <c r="AC758" s="36">
        <f>IFERROR(INDEX(Katalog!$D$3:$D$12,MATCH(cadangan3[[#This Row],[Item C]],Katalog!$B$3:$B$12,0))*cadangan3[[#This Row],[Qty C]],0)</f>
        <v>0</v>
      </c>
      <c r="AD758" s="36">
        <f>IFERROR(cadangan3[[#This Row],[Harga Asli C]]-(cadangan3[[#This Row],[Harga Asli C]]*cadangan3[[#This Row],[Diskon]]),cadangan3[[#This Row],[Harga Asli C]])</f>
        <v>0</v>
      </c>
      <c r="AE758" s="36">
        <f>IFERROR(INDEX(Katalog!$F$3:$F$12,MATCH(cadangan3[[#This Row],[ItemID C]],Katalog!$C$3:$C$12,0))*cadangan3[[#This Row],[Qty C]],0)</f>
        <v>0</v>
      </c>
      <c r="AF758" s="36">
        <f>IFERROR(cadangan3[[#This Row],[Profit C]]-(cadangan3[[#This Row],[Profit C]]*cadangan3[[#This Row],[Diskon]]),cadangan3[[#This Row],[Profit C]])</f>
        <v>0</v>
      </c>
      <c r="AG758" s="21">
        <f>cadangan3[[#This Row],[Qty A]]+cadangan3[[#This Row],[Qty B]]+cadangan3[[#This Row],[Qty C]]</f>
        <v>4</v>
      </c>
      <c r="AH758" s="35">
        <f>cadangan3[[#This Row],[Harga A + Diskon]]+cadangan3[[#This Row],[Harga + Diskon B]]+cadangan3[[#This Row],[Harga + Diskon C]]</f>
        <v>977500</v>
      </c>
      <c r="AI758" s="35">
        <f>(cadangan3[[#This Row],[Profit A]]+cadangan3[[#This Row],[Profit B]]+cadangan3[[#This Row],[Profit C]])</f>
        <v>450000</v>
      </c>
      <c r="AJ758" s="35">
        <f>cadangan3[[#This Row],[Provit A + Diskon]]+cadangan3[[#This Row],[Provit B + Diskon]]+cadangan3[[#This Row],[Provit C + Diskon]]</f>
        <v>382500</v>
      </c>
      <c r="AK758" s="23" t="s">
        <v>28</v>
      </c>
      <c r="AL758" s="37">
        <f>IFERROR(INDEX('Kode Diskon'!$D$3:$D$9,MATCH(cadangan3[[#This Row],[Kode diskon]],'Kode Diskon'!$C$3:$C$9,0)),"-")</f>
        <v>0.15</v>
      </c>
      <c r="AM758" s="23" t="s">
        <v>29</v>
      </c>
      <c r="AN758" s="23" t="s">
        <v>14</v>
      </c>
      <c r="AO758" s="23" t="s">
        <v>80</v>
      </c>
      <c r="AP758" s="24">
        <v>45022</v>
      </c>
      <c r="AQ758" s="23" t="str">
        <f>TEXT(cadangan3[[#This Row],[Tanggal terjual]],"dddd")</f>
        <v>Thursday</v>
      </c>
    </row>
    <row r="759" spans="1:43" x14ac:dyDescent="0.2">
      <c r="A759" s="20">
        <v>758</v>
      </c>
      <c r="B759" s="21" t="str">
        <f>_xlfn.CONCAT("ORD-",INDEX(Helper!$B$2:$B$5,MATCH(cadangan3[[#This Row],[Marketplace]],Helper!$A$2:$A$5,0)),TEXT(cadangan3[[#This Row],[No]],"0000"),"-",TEXT(cadangan3[[#This Row],[Tanggal terjual]],"dd/mm/yy"))</f>
        <v>ORD-BL0758-17/04/23</v>
      </c>
      <c r="C759" t="s">
        <v>61</v>
      </c>
      <c r="D759" t="str">
        <f>IFERROR(INDEX(Katalog!$A$3:$A$12,MATCH(cadangan3[[#This Row],[ItemID A]],Katalog!$C$3:$C$12,0)),"-")</f>
        <v>Pakaian Pria</v>
      </c>
      <c r="E759" t="str">
        <f>IFERROR(INDEX(Katalog!$B$3:$B$12,MATCH(cadangan3[[#This Row],[ItemID A]],Katalog!$C$3:$C$12,0)),"-")</f>
        <v>Kaos Polo</v>
      </c>
      <c r="F759">
        <v>2</v>
      </c>
      <c r="G759">
        <v>1</v>
      </c>
      <c r="H759" s="36">
        <f>IFERROR(INDEX(Katalog!$D$3:$D$12,MATCH(cadangan3[[#This Row],[ItemID A]],Katalog!$C$3:$C$12,0))*cadangan3[[#This Row],[Qty A]],0)</f>
        <v>400000</v>
      </c>
      <c r="I759" s="36">
        <f>IFERROR(INDEX(Katalog!$D$3:$D$12,MATCH(cadangan3[[#This Row],[Item A]],Katalog!$B$3:$B$12,0))*cadangan3[[#This Row],[Qty A]],0)</f>
        <v>400000</v>
      </c>
      <c r="J759" s="36">
        <f>IFERROR(cadangan3[[#This Row],[Harga Asli A]]-(cadangan3[[#This Row],[Harga Asli A]]*cadangan3[[#This Row],[Diskon]]),cadangan3[[#This Row],[Harga Asli A]])</f>
        <v>340000</v>
      </c>
      <c r="K759" s="36">
        <f>INDEX(Katalog!$F$3:$F$12,MATCH(cadangan3[[#This Row],[ItemID A]],Katalog!$C$3:$C$12,0))*cadangan3[[#This Row],[Qty A]]</f>
        <v>160000</v>
      </c>
      <c r="L759" s="36">
        <f>IFERROR(cadangan3[[#This Row],[Profit A]]-(cadangan3[[#This Row],[Profit A]]*cadangan3[[#This Row],[Diskon]]),K759)</f>
        <v>136000</v>
      </c>
      <c r="M759" t="s">
        <v>60</v>
      </c>
      <c r="N759" t="str">
        <f>IFERROR(INDEX(Katalog!$A$3:$A$12,MATCH(cadangan3[[#This Row],[ItemID B]],Katalog!$C$3:$C$12,0)),"-")</f>
        <v>Pakaian Wanita</v>
      </c>
      <c r="O759" t="str">
        <f>IFERROR(INDEX(Katalog!$B$3:$B$12,MATCH(cadangan3[[#This Row],[ItemID B]],Katalog!$C$3:$C$12,0)),"-")</f>
        <v>Kaftan</v>
      </c>
      <c r="P759">
        <v>1</v>
      </c>
      <c r="Q759">
        <v>1</v>
      </c>
      <c r="R759" s="36">
        <f>IFERROR(INDEX(Katalog!$D$3:$D$12,MATCH(cadangan3[[#This Row],[ItemID B]],Katalog!$C$3:$C$12,0))*cadangan3[[#This Row],[Qty B]],0)</f>
        <v>250000</v>
      </c>
      <c r="S759" s="36">
        <f>IFERROR(INDEX(Katalog!$D$3:$D$12,MATCH(cadangan3[[#This Row],[Item B]],Katalog!$B$3:$B$12,0))*cadangan3[[#This Row],[Qty B]],0)</f>
        <v>250000</v>
      </c>
      <c r="T759" s="36">
        <f>IFERROR(cadangan3[[#This Row],[Harga Asli B]]-(cadangan3[[#This Row],[Harga Asli B]]*cadangan3[[#This Row],[Diskon]]),cadangan3[[#This Row],[Harga Asli B]])</f>
        <v>212500</v>
      </c>
      <c r="U759" s="36">
        <f>IFERROR(INDEX(Katalog!$F$3:$F$12,MATCH(cadangan3[[#This Row],[ItemID B]],Katalog!$C$3:$C$12,0))*cadangan3[[#This Row],[Qty B]],0)</f>
        <v>100000</v>
      </c>
      <c r="V759" s="36">
        <f>IFERROR(cadangan3[[#This Row],[Profit B]]-(cadangan3[[#This Row],[Profit B]]*cadangan3[[#This Row],[Diskon]]),U759)</f>
        <v>85000</v>
      </c>
      <c r="W759" t="s">
        <v>59</v>
      </c>
      <c r="X759" t="str">
        <f>IFERROR(INDEX(Katalog!$A$3:$A$12,MATCH(cadangan3[[#This Row],[ItemID C]],Katalog!$C$3:$C$12,0)),"-")</f>
        <v>Pakaian Wanita</v>
      </c>
      <c r="Y759" t="str">
        <f>IFERROR(INDEX(Katalog!$B$3:$B$12,MATCH(cadangan3[[#This Row],[ItemID C]],Katalog!$C$3:$C$12,0)),"-")</f>
        <v>Blouse</v>
      </c>
      <c r="Z759">
        <v>2</v>
      </c>
      <c r="AA759">
        <v>1</v>
      </c>
      <c r="AB759" s="36">
        <f>IFERROR(INDEX(Katalog!$D$3:$D$12,MATCH(cadangan3[[#This Row],[ItemID C]],Katalog!$C$3:$C$12,0))*cadangan3[[#This Row],[Qty C]],0)</f>
        <v>300000</v>
      </c>
      <c r="AC759" s="36">
        <f>IFERROR(INDEX(Katalog!$D$3:$D$12,MATCH(cadangan3[[#This Row],[Item C]],Katalog!$B$3:$B$12,0))*cadangan3[[#This Row],[Qty C]],0)</f>
        <v>300000</v>
      </c>
      <c r="AD759" s="36">
        <f>IFERROR(cadangan3[[#This Row],[Harga Asli C]]-(cadangan3[[#This Row],[Harga Asli C]]*cadangan3[[#This Row],[Diskon]]),cadangan3[[#This Row],[Harga Asli C]])</f>
        <v>255000</v>
      </c>
      <c r="AE759" s="36">
        <f>IFERROR(INDEX(Katalog!$F$3:$F$12,MATCH(cadangan3[[#This Row],[ItemID C]],Katalog!$C$3:$C$12,0))*cadangan3[[#This Row],[Qty C]],0)</f>
        <v>100000</v>
      </c>
      <c r="AF759" s="36">
        <f>IFERROR(cadangan3[[#This Row],[Profit C]]-(cadangan3[[#This Row],[Profit C]]*cadangan3[[#This Row],[Diskon]]),cadangan3[[#This Row],[Profit C]])</f>
        <v>85000</v>
      </c>
      <c r="AG759" s="21">
        <f>cadangan3[[#This Row],[Qty A]]+cadangan3[[#This Row],[Qty B]]+cadangan3[[#This Row],[Qty C]]</f>
        <v>5</v>
      </c>
      <c r="AH759" s="35">
        <f>cadangan3[[#This Row],[Harga A + Diskon]]+cadangan3[[#This Row],[Harga + Diskon B]]+cadangan3[[#This Row],[Harga + Diskon C]]</f>
        <v>807500</v>
      </c>
      <c r="AI759" s="35">
        <f>(cadangan3[[#This Row],[Profit A]]+cadangan3[[#This Row],[Profit B]]+cadangan3[[#This Row],[Profit C]])</f>
        <v>360000</v>
      </c>
      <c r="AJ759" s="35">
        <f>cadangan3[[#This Row],[Provit A + Diskon]]+cadangan3[[#This Row],[Provit B + Diskon]]+cadangan3[[#This Row],[Provit C + Diskon]]</f>
        <v>306000</v>
      </c>
      <c r="AK759" s="23" t="s">
        <v>32</v>
      </c>
      <c r="AL759" s="37">
        <f>IFERROR(INDEX('Kode Diskon'!$D$3:$D$9,MATCH(cadangan3[[#This Row],[Kode diskon]],'Kode Diskon'!$C$3:$C$9,0)),"-")</f>
        <v>0.15</v>
      </c>
      <c r="AM759" s="23" t="s">
        <v>9</v>
      </c>
      <c r="AN759" s="23" t="s">
        <v>12</v>
      </c>
      <c r="AO759" s="23" t="s">
        <v>75</v>
      </c>
      <c r="AP759" s="24">
        <v>45033</v>
      </c>
      <c r="AQ759" s="23" t="str">
        <f>TEXT(cadangan3[[#This Row],[Tanggal terjual]],"dddd")</f>
        <v>Monday</v>
      </c>
    </row>
    <row r="760" spans="1:43" x14ac:dyDescent="0.2">
      <c r="A760" s="20">
        <v>759</v>
      </c>
      <c r="B760" s="21" t="str">
        <f>_xlfn.CONCAT("ORD-",INDEX(Helper!$B$2:$B$5,MATCH(cadangan3[[#This Row],[Marketplace]],Helper!$A$2:$A$5,0)),TEXT(cadangan3[[#This Row],[No]],"0000"),"-",TEXT(cadangan3[[#This Row],[Tanggal terjual]],"dd/mm/yy"))</f>
        <v>ORD-BL0759-16/04/23</v>
      </c>
      <c r="C760" t="s">
        <v>61</v>
      </c>
      <c r="D760" t="str">
        <f>IFERROR(INDEX(Katalog!$A$3:$A$12,MATCH(cadangan3[[#This Row],[ItemID A]],Katalog!$C$3:$C$12,0)),"-")</f>
        <v>Pakaian Pria</v>
      </c>
      <c r="E760" t="str">
        <f>IFERROR(INDEX(Katalog!$B$3:$B$12,MATCH(cadangan3[[#This Row],[ItemID A]],Katalog!$C$3:$C$12,0)),"-")</f>
        <v>Kaos Polo</v>
      </c>
      <c r="F760">
        <v>4</v>
      </c>
      <c r="G760">
        <v>5</v>
      </c>
      <c r="H760" s="36">
        <f>IFERROR(INDEX(Katalog!$D$3:$D$12,MATCH(cadangan3[[#This Row],[ItemID A]],Katalog!$C$3:$C$12,0))*cadangan3[[#This Row],[Qty A]],0)</f>
        <v>800000</v>
      </c>
      <c r="I760" s="36">
        <f>IFERROR(INDEX(Katalog!$D$3:$D$12,MATCH(cadangan3[[#This Row],[Item A]],Katalog!$B$3:$B$12,0))*cadangan3[[#This Row],[Qty A]],0)</f>
        <v>800000</v>
      </c>
      <c r="J760" s="36">
        <f>IFERROR(cadangan3[[#This Row],[Harga Asli A]]-(cadangan3[[#This Row],[Harga Asli A]]*cadangan3[[#This Row],[Diskon]]),cadangan3[[#This Row],[Harga Asli A]])</f>
        <v>680000</v>
      </c>
      <c r="K760" s="36">
        <f>INDEX(Katalog!$F$3:$F$12,MATCH(cadangan3[[#This Row],[ItemID A]],Katalog!$C$3:$C$12,0))*cadangan3[[#This Row],[Qty A]]</f>
        <v>320000</v>
      </c>
      <c r="L760" s="36">
        <f>IFERROR(cadangan3[[#This Row],[Profit A]]-(cadangan3[[#This Row],[Profit A]]*cadangan3[[#This Row],[Diskon]]),K760)</f>
        <v>272000</v>
      </c>
      <c r="N760" t="str">
        <f>IFERROR(INDEX(Katalog!$A$3:$A$12,MATCH(cadangan3[[#This Row],[ItemID B]],Katalog!$C$3:$C$12,0)),"-")</f>
        <v>-</v>
      </c>
      <c r="O760" t="str">
        <f>IFERROR(INDEX(Katalog!$B$3:$B$12,MATCH(cadangan3[[#This Row],[ItemID B]],Katalog!$C$3:$C$12,0)),"-")</f>
        <v>-</v>
      </c>
      <c r="R760" s="36">
        <f>IFERROR(INDEX(Katalog!$D$3:$D$12,MATCH(cadangan3[[#This Row],[ItemID B]],Katalog!$C$3:$C$12,0))*cadangan3[[#This Row],[Qty B]],0)</f>
        <v>0</v>
      </c>
      <c r="S760" s="36">
        <f>IFERROR(INDEX(Katalog!$D$3:$D$12,MATCH(cadangan3[[#This Row],[Item B]],Katalog!$B$3:$B$12,0))*cadangan3[[#This Row],[Qty B]],0)</f>
        <v>0</v>
      </c>
      <c r="T760" s="36">
        <f>IFERROR(cadangan3[[#This Row],[Harga Asli B]]-(cadangan3[[#This Row],[Harga Asli B]]*cadangan3[[#This Row],[Diskon]]),cadangan3[[#This Row],[Harga Asli B]])</f>
        <v>0</v>
      </c>
      <c r="U760" s="36">
        <f>IFERROR(INDEX(Katalog!$F$3:$F$12,MATCH(cadangan3[[#This Row],[ItemID B]],Katalog!$C$3:$C$12,0))*cadangan3[[#This Row],[Qty B]],0)</f>
        <v>0</v>
      </c>
      <c r="V760" s="36">
        <f>IFERROR(cadangan3[[#This Row],[Profit B]]-(cadangan3[[#This Row],[Profit B]]*cadangan3[[#This Row],[Diskon]]),U760)</f>
        <v>0</v>
      </c>
      <c r="X760" t="str">
        <f>IFERROR(INDEX(Katalog!$A$3:$A$12,MATCH(cadangan3[[#This Row],[ItemID C]],Katalog!$C$3:$C$12,0)),"-")</f>
        <v>-</v>
      </c>
      <c r="Y760" t="str">
        <f>IFERROR(INDEX(Katalog!$B$3:$B$12,MATCH(cadangan3[[#This Row],[ItemID C]],Katalog!$C$3:$C$12,0)),"-")</f>
        <v>-</v>
      </c>
      <c r="AB760" s="36">
        <f>IFERROR(INDEX(Katalog!$D$3:$D$12,MATCH(cadangan3[[#This Row],[ItemID C]],Katalog!$C$3:$C$12,0))*cadangan3[[#This Row],[Qty C]],0)</f>
        <v>0</v>
      </c>
      <c r="AC760" s="36">
        <f>IFERROR(INDEX(Katalog!$D$3:$D$12,MATCH(cadangan3[[#This Row],[Item C]],Katalog!$B$3:$B$12,0))*cadangan3[[#This Row],[Qty C]],0)</f>
        <v>0</v>
      </c>
      <c r="AD760" s="36">
        <f>IFERROR(cadangan3[[#This Row],[Harga Asli C]]-(cadangan3[[#This Row],[Harga Asli C]]*cadangan3[[#This Row],[Diskon]]),cadangan3[[#This Row],[Harga Asli C]])</f>
        <v>0</v>
      </c>
      <c r="AE760" s="36">
        <f>IFERROR(INDEX(Katalog!$F$3:$F$12,MATCH(cadangan3[[#This Row],[ItemID C]],Katalog!$C$3:$C$12,0))*cadangan3[[#This Row],[Qty C]],0)</f>
        <v>0</v>
      </c>
      <c r="AF760" s="36">
        <f>IFERROR(cadangan3[[#This Row],[Profit C]]-(cadangan3[[#This Row],[Profit C]]*cadangan3[[#This Row],[Diskon]]),cadangan3[[#This Row],[Profit C]])</f>
        <v>0</v>
      </c>
      <c r="AG760" s="21">
        <f>cadangan3[[#This Row],[Qty A]]+cadangan3[[#This Row],[Qty B]]+cadangan3[[#This Row],[Qty C]]</f>
        <v>4</v>
      </c>
      <c r="AH760" s="35">
        <f>cadangan3[[#This Row],[Harga A + Diskon]]+cadangan3[[#This Row],[Harga + Diskon B]]+cadangan3[[#This Row],[Harga + Diskon C]]</f>
        <v>680000</v>
      </c>
      <c r="AI760" s="35">
        <f>(cadangan3[[#This Row],[Profit A]]+cadangan3[[#This Row],[Profit B]]+cadangan3[[#This Row],[Profit C]])</f>
        <v>320000</v>
      </c>
      <c r="AJ760" s="35">
        <f>cadangan3[[#This Row],[Provit A + Diskon]]+cadangan3[[#This Row],[Provit B + Diskon]]+cadangan3[[#This Row],[Provit C + Diskon]]</f>
        <v>272000</v>
      </c>
      <c r="AK760" s="23" t="s">
        <v>32</v>
      </c>
      <c r="AL760" s="37">
        <f>IFERROR(INDEX('Kode Diskon'!$D$3:$D$9,MATCH(cadangan3[[#This Row],[Kode diskon]],'Kode Diskon'!$C$3:$C$9,0)),"-")</f>
        <v>0.15</v>
      </c>
      <c r="AM760" s="23" t="s">
        <v>9</v>
      </c>
      <c r="AN760" s="23" t="s">
        <v>12</v>
      </c>
      <c r="AO760" s="23" t="s">
        <v>76</v>
      </c>
      <c r="AP760" s="24">
        <v>45032</v>
      </c>
      <c r="AQ760" s="23" t="str">
        <f>TEXT(cadangan3[[#This Row],[Tanggal terjual]],"dddd")</f>
        <v>Sunday</v>
      </c>
    </row>
    <row r="761" spans="1:43" x14ac:dyDescent="0.2">
      <c r="A761" s="20">
        <v>760</v>
      </c>
      <c r="B761" s="21" t="str">
        <f>_xlfn.CONCAT("ORD-",INDEX(Helper!$B$2:$B$5,MATCH(cadangan3[[#This Row],[Marketplace]],Helper!$A$2:$A$5,0)),TEXT(cadangan3[[#This Row],[No]],"0000"),"-",TEXT(cadangan3[[#This Row],[Tanggal terjual]],"dd/mm/yy"))</f>
        <v>ORD-SP0760-03/04/23</v>
      </c>
      <c r="C761" t="s">
        <v>59</v>
      </c>
      <c r="D761" t="str">
        <f>IFERROR(INDEX(Katalog!$A$3:$A$12,MATCH(cadangan3[[#This Row],[ItemID A]],Katalog!$C$3:$C$12,0)),"-")</f>
        <v>Pakaian Wanita</v>
      </c>
      <c r="E761" t="str">
        <f>IFERROR(INDEX(Katalog!$B$3:$B$12,MATCH(cadangan3[[#This Row],[ItemID A]],Katalog!$C$3:$C$12,0)),"-")</f>
        <v>Blouse</v>
      </c>
      <c r="F761">
        <v>2</v>
      </c>
      <c r="G761">
        <v>3</v>
      </c>
      <c r="H761" s="36">
        <f>IFERROR(INDEX(Katalog!$D$3:$D$12,MATCH(cadangan3[[#This Row],[ItemID A]],Katalog!$C$3:$C$12,0))*cadangan3[[#This Row],[Qty A]],0)</f>
        <v>300000</v>
      </c>
      <c r="I761" s="36">
        <f>IFERROR(INDEX(Katalog!$D$3:$D$12,MATCH(cadangan3[[#This Row],[Item A]],Katalog!$B$3:$B$12,0))*cadangan3[[#This Row],[Qty A]],0)</f>
        <v>300000</v>
      </c>
      <c r="J761" s="36">
        <f>IFERROR(cadangan3[[#This Row],[Harga Asli A]]-(cadangan3[[#This Row],[Harga Asli A]]*cadangan3[[#This Row],[Diskon]]),cadangan3[[#This Row],[Harga Asli A]])</f>
        <v>255000</v>
      </c>
      <c r="K761" s="36">
        <f>INDEX(Katalog!$F$3:$F$12,MATCH(cadangan3[[#This Row],[ItemID A]],Katalog!$C$3:$C$12,0))*cadangan3[[#This Row],[Qty A]]</f>
        <v>100000</v>
      </c>
      <c r="L761" s="36">
        <f>IFERROR(cadangan3[[#This Row],[Profit A]]-(cadangan3[[#This Row],[Profit A]]*cadangan3[[#This Row],[Diskon]]),K761)</f>
        <v>85000</v>
      </c>
      <c r="M761" t="s">
        <v>62</v>
      </c>
      <c r="N761" t="str">
        <f>IFERROR(INDEX(Katalog!$A$3:$A$12,MATCH(cadangan3[[#This Row],[ItemID B]],Katalog!$C$3:$C$12,0)),"-")</f>
        <v>Pakaian Pria</v>
      </c>
      <c r="O761" t="str">
        <f>IFERROR(INDEX(Katalog!$B$3:$B$12,MATCH(cadangan3[[#This Row],[ItemID B]],Katalog!$C$3:$C$12,0)),"-")</f>
        <v>Celana Pendek</v>
      </c>
      <c r="P761">
        <v>1</v>
      </c>
      <c r="Q761">
        <v>5</v>
      </c>
      <c r="R761" s="36">
        <f>IFERROR(INDEX(Katalog!$D$3:$D$12,MATCH(cadangan3[[#This Row],[ItemID B]],Katalog!$C$3:$C$12,0))*cadangan3[[#This Row],[Qty B]],0)</f>
        <v>180000</v>
      </c>
      <c r="S761" s="36">
        <f>IFERROR(INDEX(Katalog!$D$3:$D$12,MATCH(cadangan3[[#This Row],[Item B]],Katalog!$B$3:$B$12,0))*cadangan3[[#This Row],[Qty B]],0)</f>
        <v>180000</v>
      </c>
      <c r="T761" s="36">
        <f>IFERROR(cadangan3[[#This Row],[Harga Asli B]]-(cadangan3[[#This Row],[Harga Asli B]]*cadangan3[[#This Row],[Diskon]]),cadangan3[[#This Row],[Harga Asli B]])</f>
        <v>153000</v>
      </c>
      <c r="U761" s="36">
        <f>IFERROR(INDEX(Katalog!$F$3:$F$12,MATCH(cadangan3[[#This Row],[ItemID B]],Katalog!$C$3:$C$12,0))*cadangan3[[#This Row],[Qty B]],0)</f>
        <v>70000</v>
      </c>
      <c r="V761" s="36">
        <f>IFERROR(cadangan3[[#This Row],[Profit B]]-(cadangan3[[#This Row],[Profit B]]*cadangan3[[#This Row],[Diskon]]),U761)</f>
        <v>59500</v>
      </c>
      <c r="X761" t="str">
        <f>IFERROR(INDEX(Katalog!$A$3:$A$12,MATCH(cadangan3[[#This Row],[ItemID C]],Katalog!$C$3:$C$12,0)),"-")</f>
        <v>-</v>
      </c>
      <c r="Y761" t="str">
        <f>IFERROR(INDEX(Katalog!$B$3:$B$12,MATCH(cadangan3[[#This Row],[ItemID C]],Katalog!$C$3:$C$12,0)),"-")</f>
        <v>-</v>
      </c>
      <c r="AB761" s="36">
        <f>IFERROR(INDEX(Katalog!$D$3:$D$12,MATCH(cadangan3[[#This Row],[ItemID C]],Katalog!$C$3:$C$12,0))*cadangan3[[#This Row],[Qty C]],0)</f>
        <v>0</v>
      </c>
      <c r="AC761" s="36">
        <f>IFERROR(INDEX(Katalog!$D$3:$D$12,MATCH(cadangan3[[#This Row],[Item C]],Katalog!$B$3:$B$12,0))*cadangan3[[#This Row],[Qty C]],0)</f>
        <v>0</v>
      </c>
      <c r="AD761" s="36">
        <f>IFERROR(cadangan3[[#This Row],[Harga Asli C]]-(cadangan3[[#This Row],[Harga Asli C]]*cadangan3[[#This Row],[Diskon]]),cadangan3[[#This Row],[Harga Asli C]])</f>
        <v>0</v>
      </c>
      <c r="AE761" s="36">
        <f>IFERROR(INDEX(Katalog!$F$3:$F$12,MATCH(cadangan3[[#This Row],[ItemID C]],Katalog!$C$3:$C$12,0))*cadangan3[[#This Row],[Qty C]],0)</f>
        <v>0</v>
      </c>
      <c r="AF761" s="36">
        <f>IFERROR(cadangan3[[#This Row],[Profit C]]-(cadangan3[[#This Row],[Profit C]]*cadangan3[[#This Row],[Diskon]]),cadangan3[[#This Row],[Profit C]])</f>
        <v>0</v>
      </c>
      <c r="AG761" s="21">
        <f>cadangan3[[#This Row],[Qty A]]+cadangan3[[#This Row],[Qty B]]+cadangan3[[#This Row],[Qty C]]</f>
        <v>3</v>
      </c>
      <c r="AH761" s="35">
        <f>cadangan3[[#This Row],[Harga A + Diskon]]+cadangan3[[#This Row],[Harga + Diskon B]]+cadangan3[[#This Row],[Harga + Diskon C]]</f>
        <v>408000</v>
      </c>
      <c r="AI761" s="35">
        <f>(cadangan3[[#This Row],[Profit A]]+cadangan3[[#This Row],[Profit B]]+cadangan3[[#This Row],[Profit C]])</f>
        <v>170000</v>
      </c>
      <c r="AJ761" s="35">
        <f>cadangan3[[#This Row],[Provit A + Diskon]]+cadangan3[[#This Row],[Provit B + Diskon]]+cadangan3[[#This Row],[Provit C + Diskon]]</f>
        <v>144500</v>
      </c>
      <c r="AK761" s="23" t="s">
        <v>13</v>
      </c>
      <c r="AL761" s="37">
        <f>IFERROR(INDEX('Kode Diskon'!$D$3:$D$9,MATCH(cadangan3[[#This Row],[Kode diskon]],'Kode Diskon'!$C$3:$C$9,0)),"-")</f>
        <v>0.15</v>
      </c>
      <c r="AM761" s="23" t="s">
        <v>29</v>
      </c>
      <c r="AN761" s="23" t="s">
        <v>7</v>
      </c>
      <c r="AO761" s="23" t="s">
        <v>76</v>
      </c>
      <c r="AP761" s="24">
        <v>45019</v>
      </c>
      <c r="AQ761" s="23" t="str">
        <f>TEXT(cadangan3[[#This Row],[Tanggal terjual]],"dddd")</f>
        <v>Monday</v>
      </c>
    </row>
    <row r="762" spans="1:43" x14ac:dyDescent="0.2">
      <c r="A762" s="20">
        <v>761</v>
      </c>
      <c r="B762" s="21" t="str">
        <f>_xlfn.CONCAT("ORD-",INDEX(Helper!$B$2:$B$5,MATCH(cadangan3[[#This Row],[Marketplace]],Helper!$A$2:$A$5,0)),TEXT(cadangan3[[#This Row],[No]],"0000"),"-",TEXT(cadangan3[[#This Row],[Tanggal terjual]],"dd/mm/yy"))</f>
        <v>ORD-BB0761-04/04/23</v>
      </c>
      <c r="C762" t="s">
        <v>67</v>
      </c>
      <c r="D762" t="str">
        <f>IFERROR(INDEX(Katalog!$A$3:$A$12,MATCH(cadangan3[[#This Row],[ItemID A]],Katalog!$C$3:$C$12,0)),"-")</f>
        <v>Sepatu Wanita</v>
      </c>
      <c r="E762" t="str">
        <f>IFERROR(INDEX(Katalog!$B$3:$B$12,MATCH(cadangan3[[#This Row],[ItemID A]],Katalog!$C$3:$C$12,0)),"-")</f>
        <v>Flat Shoes</v>
      </c>
      <c r="F762">
        <v>1</v>
      </c>
      <c r="G762">
        <v>5</v>
      </c>
      <c r="H762" s="36">
        <f>IFERROR(INDEX(Katalog!$D$3:$D$12,MATCH(cadangan3[[#This Row],[ItemID A]],Katalog!$C$3:$C$12,0))*cadangan3[[#This Row],[Qty A]],0)</f>
        <v>250000</v>
      </c>
      <c r="I762" s="36">
        <f>IFERROR(INDEX(Katalog!$D$3:$D$12,MATCH(cadangan3[[#This Row],[Item A]],Katalog!$B$3:$B$12,0))*cadangan3[[#This Row],[Qty A]],0)</f>
        <v>250000</v>
      </c>
      <c r="J762" s="36">
        <f>IFERROR(cadangan3[[#This Row],[Harga Asli A]]-(cadangan3[[#This Row],[Harga Asli A]]*cadangan3[[#This Row],[Diskon]]),cadangan3[[#This Row],[Harga Asli A]])</f>
        <v>212500</v>
      </c>
      <c r="K762" s="36">
        <f>INDEX(Katalog!$F$3:$F$12,MATCH(cadangan3[[#This Row],[ItemID A]],Katalog!$C$3:$C$12,0))*cadangan3[[#This Row],[Qty A]]</f>
        <v>100000</v>
      </c>
      <c r="L762" s="36">
        <f>IFERROR(cadangan3[[#This Row],[Profit A]]-(cadangan3[[#This Row],[Profit A]]*cadangan3[[#This Row],[Diskon]]),K762)</f>
        <v>85000</v>
      </c>
      <c r="M762" t="s">
        <v>65</v>
      </c>
      <c r="N762" t="str">
        <f>IFERROR(INDEX(Katalog!$A$3:$A$12,MATCH(cadangan3[[#This Row],[ItemID B]],Katalog!$C$3:$C$12,0)),"-")</f>
        <v>Sepatu Pria</v>
      </c>
      <c r="O762" t="str">
        <f>IFERROR(INDEX(Katalog!$B$3:$B$12,MATCH(cadangan3[[#This Row],[ItemID B]],Katalog!$C$3:$C$12,0)),"-")</f>
        <v>Sneakers</v>
      </c>
      <c r="P762">
        <v>1</v>
      </c>
      <c r="Q762">
        <v>3</v>
      </c>
      <c r="R762" s="36">
        <f>IFERROR(INDEX(Katalog!$D$3:$D$12,MATCH(cadangan3[[#This Row],[ItemID B]],Katalog!$C$3:$C$12,0))*cadangan3[[#This Row],[Qty B]],0)</f>
        <v>500000</v>
      </c>
      <c r="S762" s="36">
        <f>IFERROR(INDEX(Katalog!$D$3:$D$12,MATCH(cadangan3[[#This Row],[Item B]],Katalog!$B$3:$B$12,0))*cadangan3[[#This Row],[Qty B]],0)</f>
        <v>500000</v>
      </c>
      <c r="T762" s="36">
        <f>IFERROR(cadangan3[[#This Row],[Harga Asli B]]-(cadangan3[[#This Row],[Harga Asli B]]*cadangan3[[#This Row],[Diskon]]),cadangan3[[#This Row],[Harga Asli B]])</f>
        <v>425000</v>
      </c>
      <c r="U762" s="36">
        <f>IFERROR(INDEX(Katalog!$F$3:$F$12,MATCH(cadangan3[[#This Row],[ItemID B]],Katalog!$C$3:$C$12,0))*cadangan3[[#This Row],[Qty B]],0)</f>
        <v>200000</v>
      </c>
      <c r="V762" s="36">
        <f>IFERROR(cadangan3[[#This Row],[Profit B]]-(cadangan3[[#This Row],[Profit B]]*cadangan3[[#This Row],[Diskon]]),U762)</f>
        <v>170000</v>
      </c>
      <c r="X762" t="str">
        <f>IFERROR(INDEX(Katalog!$A$3:$A$12,MATCH(cadangan3[[#This Row],[ItemID C]],Katalog!$C$3:$C$12,0)),"-")</f>
        <v>-</v>
      </c>
      <c r="Y762" t="str">
        <f>IFERROR(INDEX(Katalog!$B$3:$B$12,MATCH(cadangan3[[#This Row],[ItemID C]],Katalog!$C$3:$C$12,0)),"-")</f>
        <v>-</v>
      </c>
      <c r="AB762" s="36">
        <f>IFERROR(INDEX(Katalog!$D$3:$D$12,MATCH(cadangan3[[#This Row],[ItemID C]],Katalog!$C$3:$C$12,0))*cadangan3[[#This Row],[Qty C]],0)</f>
        <v>0</v>
      </c>
      <c r="AC762" s="36">
        <f>IFERROR(INDEX(Katalog!$D$3:$D$12,MATCH(cadangan3[[#This Row],[Item C]],Katalog!$B$3:$B$12,0))*cadangan3[[#This Row],[Qty C]],0)</f>
        <v>0</v>
      </c>
      <c r="AD762" s="36">
        <f>IFERROR(cadangan3[[#This Row],[Harga Asli C]]-(cadangan3[[#This Row],[Harga Asli C]]*cadangan3[[#This Row],[Diskon]]),cadangan3[[#This Row],[Harga Asli C]])</f>
        <v>0</v>
      </c>
      <c r="AE762" s="36">
        <f>IFERROR(INDEX(Katalog!$F$3:$F$12,MATCH(cadangan3[[#This Row],[ItemID C]],Katalog!$C$3:$C$12,0))*cadangan3[[#This Row],[Qty C]],0)</f>
        <v>0</v>
      </c>
      <c r="AF762" s="36">
        <f>IFERROR(cadangan3[[#This Row],[Profit C]]-(cadangan3[[#This Row],[Profit C]]*cadangan3[[#This Row],[Diskon]]),cadangan3[[#This Row],[Profit C]])</f>
        <v>0</v>
      </c>
      <c r="AG762" s="21">
        <f>cadangan3[[#This Row],[Qty A]]+cadangan3[[#This Row],[Qty B]]+cadangan3[[#This Row],[Qty C]]</f>
        <v>2</v>
      </c>
      <c r="AH762" s="35">
        <f>cadangan3[[#This Row],[Harga A + Diskon]]+cadangan3[[#This Row],[Harga + Diskon B]]+cadangan3[[#This Row],[Harga + Diskon C]]</f>
        <v>637500</v>
      </c>
      <c r="AI762" s="35">
        <f>(cadangan3[[#This Row],[Profit A]]+cadangan3[[#This Row],[Profit B]]+cadangan3[[#This Row],[Profit C]])</f>
        <v>300000</v>
      </c>
      <c r="AJ762" s="35">
        <f>cadangan3[[#This Row],[Provit A + Diskon]]+cadangan3[[#This Row],[Provit B + Diskon]]+cadangan3[[#This Row],[Provit C + Diskon]]</f>
        <v>255000</v>
      </c>
      <c r="AK762" s="23" t="s">
        <v>28</v>
      </c>
      <c r="AL762" s="37">
        <f>IFERROR(INDEX('Kode Diskon'!$D$3:$D$9,MATCH(cadangan3[[#This Row],[Kode diskon]],'Kode Diskon'!$C$3:$C$9,0)),"-")</f>
        <v>0.15</v>
      </c>
      <c r="AM762" s="23" t="s">
        <v>29</v>
      </c>
      <c r="AN762" s="23" t="s">
        <v>14</v>
      </c>
      <c r="AO762" s="23" t="s">
        <v>78</v>
      </c>
      <c r="AP762" s="24">
        <v>45020</v>
      </c>
      <c r="AQ762" s="23" t="str">
        <f>TEXT(cadangan3[[#This Row],[Tanggal terjual]],"dddd")</f>
        <v>Tuesday</v>
      </c>
    </row>
    <row r="763" spans="1:43" x14ac:dyDescent="0.2">
      <c r="A763" s="20">
        <v>762</v>
      </c>
      <c r="B763" s="21" t="str">
        <f>_xlfn.CONCAT("ORD-",INDEX(Helper!$B$2:$B$5,MATCH(cadangan3[[#This Row],[Marketplace]],Helper!$A$2:$A$5,0)),TEXT(cadangan3[[#This Row],[No]],"0000"),"-",TEXT(cadangan3[[#This Row],[Tanggal terjual]],"dd/mm/yy"))</f>
        <v>ORD-TK0762-13/04/23</v>
      </c>
      <c r="C763" t="s">
        <v>66</v>
      </c>
      <c r="D763" t="str">
        <f>IFERROR(INDEX(Katalog!$A$3:$A$12,MATCH(cadangan3[[#This Row],[ItemID A]],Katalog!$C$3:$C$12,0)),"-")</f>
        <v>Sepatu Pria</v>
      </c>
      <c r="E763" t="str">
        <f>IFERROR(INDEX(Katalog!$B$3:$B$12,MATCH(cadangan3[[#This Row],[ItemID A]],Katalog!$C$3:$C$12,0)),"-")</f>
        <v>Sandal Slip On</v>
      </c>
      <c r="F763">
        <v>2</v>
      </c>
      <c r="G763">
        <v>1</v>
      </c>
      <c r="H763" s="36">
        <f>IFERROR(INDEX(Katalog!$D$3:$D$12,MATCH(cadangan3[[#This Row],[ItemID A]],Katalog!$C$3:$C$12,0))*cadangan3[[#This Row],[Qty A]],0)</f>
        <v>300000</v>
      </c>
      <c r="I763" s="36">
        <f>IFERROR(INDEX(Katalog!$D$3:$D$12,MATCH(cadangan3[[#This Row],[Item A]],Katalog!$B$3:$B$12,0))*cadangan3[[#This Row],[Qty A]],0)</f>
        <v>300000</v>
      </c>
      <c r="J763" s="36">
        <f>IFERROR(cadangan3[[#This Row],[Harga Asli A]]-(cadangan3[[#This Row],[Harga Asli A]]*cadangan3[[#This Row],[Diskon]]),cadangan3[[#This Row],[Harga Asli A]])</f>
        <v>300000</v>
      </c>
      <c r="K763" s="36">
        <f>INDEX(Katalog!$F$3:$F$12,MATCH(cadangan3[[#This Row],[ItemID A]],Katalog!$C$3:$C$12,0))*cadangan3[[#This Row],[Qty A]]</f>
        <v>120000</v>
      </c>
      <c r="L763" s="36">
        <f>IFERROR(cadangan3[[#This Row],[Profit A]]-(cadangan3[[#This Row],[Profit A]]*cadangan3[[#This Row],[Diskon]]),K763)</f>
        <v>120000</v>
      </c>
      <c r="N763" t="str">
        <f>IFERROR(INDEX(Katalog!$A$3:$A$12,MATCH(cadangan3[[#This Row],[ItemID B]],Katalog!$C$3:$C$12,0)),"-")</f>
        <v>-</v>
      </c>
      <c r="O763" t="str">
        <f>IFERROR(INDEX(Katalog!$B$3:$B$12,MATCH(cadangan3[[#This Row],[ItemID B]],Katalog!$C$3:$C$12,0)),"-")</f>
        <v>-</v>
      </c>
      <c r="R763" s="36">
        <f>IFERROR(INDEX(Katalog!$D$3:$D$12,MATCH(cadangan3[[#This Row],[ItemID B]],Katalog!$C$3:$C$12,0))*cadangan3[[#This Row],[Qty B]],0)</f>
        <v>0</v>
      </c>
      <c r="S763" s="36">
        <f>IFERROR(INDEX(Katalog!$D$3:$D$12,MATCH(cadangan3[[#This Row],[Item B]],Katalog!$B$3:$B$12,0))*cadangan3[[#This Row],[Qty B]],0)</f>
        <v>0</v>
      </c>
      <c r="T763" s="36">
        <f>IFERROR(cadangan3[[#This Row],[Harga Asli B]]-(cadangan3[[#This Row],[Harga Asli B]]*cadangan3[[#This Row],[Diskon]]),cadangan3[[#This Row],[Harga Asli B]])</f>
        <v>0</v>
      </c>
      <c r="U763" s="36">
        <f>IFERROR(INDEX(Katalog!$F$3:$F$12,MATCH(cadangan3[[#This Row],[ItemID B]],Katalog!$C$3:$C$12,0))*cadangan3[[#This Row],[Qty B]],0)</f>
        <v>0</v>
      </c>
      <c r="V763" s="36">
        <f>IFERROR(cadangan3[[#This Row],[Profit B]]-(cadangan3[[#This Row],[Profit B]]*cadangan3[[#This Row],[Diskon]]),U763)</f>
        <v>0</v>
      </c>
      <c r="X763" t="str">
        <f>IFERROR(INDEX(Katalog!$A$3:$A$12,MATCH(cadangan3[[#This Row],[ItemID C]],Katalog!$C$3:$C$12,0)),"-")</f>
        <v>-</v>
      </c>
      <c r="Y763" t="str">
        <f>IFERROR(INDEX(Katalog!$B$3:$B$12,MATCH(cadangan3[[#This Row],[ItemID C]],Katalog!$C$3:$C$12,0)),"-")</f>
        <v>-</v>
      </c>
      <c r="AB763" s="36">
        <f>IFERROR(INDEX(Katalog!$D$3:$D$12,MATCH(cadangan3[[#This Row],[ItemID C]],Katalog!$C$3:$C$12,0))*cadangan3[[#This Row],[Qty C]],0)</f>
        <v>0</v>
      </c>
      <c r="AC763" s="36">
        <f>IFERROR(INDEX(Katalog!$D$3:$D$12,MATCH(cadangan3[[#This Row],[Item C]],Katalog!$B$3:$B$12,0))*cadangan3[[#This Row],[Qty C]],0)</f>
        <v>0</v>
      </c>
      <c r="AD763" s="36">
        <f>IFERROR(cadangan3[[#This Row],[Harga Asli C]]-(cadangan3[[#This Row],[Harga Asli C]]*cadangan3[[#This Row],[Diskon]]),cadangan3[[#This Row],[Harga Asli C]])</f>
        <v>0</v>
      </c>
      <c r="AE763" s="36">
        <f>IFERROR(INDEX(Katalog!$F$3:$F$12,MATCH(cadangan3[[#This Row],[ItemID C]],Katalog!$C$3:$C$12,0))*cadangan3[[#This Row],[Qty C]],0)</f>
        <v>0</v>
      </c>
      <c r="AF763" s="36">
        <f>IFERROR(cadangan3[[#This Row],[Profit C]]-(cadangan3[[#This Row],[Profit C]]*cadangan3[[#This Row],[Diskon]]),cadangan3[[#This Row],[Profit C]])</f>
        <v>0</v>
      </c>
      <c r="AG763" s="21">
        <f>cadangan3[[#This Row],[Qty A]]+cadangan3[[#This Row],[Qty B]]+cadangan3[[#This Row],[Qty C]]</f>
        <v>2</v>
      </c>
      <c r="AH763" s="35">
        <f>cadangan3[[#This Row],[Harga A + Diskon]]+cadangan3[[#This Row],[Harga + Diskon B]]+cadangan3[[#This Row],[Harga + Diskon C]]</f>
        <v>300000</v>
      </c>
      <c r="AI763" s="35">
        <f>(cadangan3[[#This Row],[Profit A]]+cadangan3[[#This Row],[Profit B]]+cadangan3[[#This Row],[Profit C]])</f>
        <v>120000</v>
      </c>
      <c r="AJ763" s="35">
        <f>cadangan3[[#This Row],[Provit A + Diskon]]+cadangan3[[#This Row],[Provit B + Diskon]]+cadangan3[[#This Row],[Provit C + Diskon]]</f>
        <v>120000</v>
      </c>
      <c r="AK763" s="23" t="s">
        <v>11</v>
      </c>
      <c r="AL763" s="37" t="str">
        <f>IFERROR(INDEX('Kode Diskon'!$D$3:$D$9,MATCH(cadangan3[[#This Row],[Kode diskon]],'Kode Diskon'!$C$3:$C$9,0)),"-")</f>
        <v>-</v>
      </c>
      <c r="AM763" s="23" t="s">
        <v>11</v>
      </c>
      <c r="AN763" s="23" t="s">
        <v>10</v>
      </c>
      <c r="AO763" s="23" t="s">
        <v>75</v>
      </c>
      <c r="AP763" s="24">
        <v>45029</v>
      </c>
      <c r="AQ763" s="23" t="str">
        <f>TEXT(cadangan3[[#This Row],[Tanggal terjual]],"dddd")</f>
        <v>Thursday</v>
      </c>
    </row>
    <row r="764" spans="1:43" x14ac:dyDescent="0.2">
      <c r="A764" s="20">
        <v>763</v>
      </c>
      <c r="B764" s="21" t="str">
        <f>_xlfn.CONCAT("ORD-",INDEX(Helper!$B$2:$B$5,MATCH(cadangan3[[#This Row],[Marketplace]],Helper!$A$2:$A$5,0)),TEXT(cadangan3[[#This Row],[No]],"0000"),"-",TEXT(cadangan3[[#This Row],[Tanggal terjual]],"dd/mm/yy"))</f>
        <v>ORD-TK0763-25/04/23</v>
      </c>
      <c r="C764" t="s">
        <v>61</v>
      </c>
      <c r="D764" t="str">
        <f>IFERROR(INDEX(Katalog!$A$3:$A$12,MATCH(cadangan3[[#This Row],[ItemID A]],Katalog!$C$3:$C$12,0)),"-")</f>
        <v>Pakaian Pria</v>
      </c>
      <c r="E764" t="str">
        <f>IFERROR(INDEX(Katalog!$B$3:$B$12,MATCH(cadangan3[[#This Row],[ItemID A]],Katalog!$C$3:$C$12,0)),"-")</f>
        <v>Kaos Polo</v>
      </c>
      <c r="F764">
        <v>3</v>
      </c>
      <c r="G764">
        <v>1</v>
      </c>
      <c r="H764" s="36">
        <f>IFERROR(INDEX(Katalog!$D$3:$D$12,MATCH(cadangan3[[#This Row],[ItemID A]],Katalog!$C$3:$C$12,0))*cadangan3[[#This Row],[Qty A]],0)</f>
        <v>600000</v>
      </c>
      <c r="I764" s="36">
        <f>IFERROR(INDEX(Katalog!$D$3:$D$12,MATCH(cadangan3[[#This Row],[Item A]],Katalog!$B$3:$B$12,0))*cadangan3[[#This Row],[Qty A]],0)</f>
        <v>600000</v>
      </c>
      <c r="J764" s="36">
        <f>IFERROR(cadangan3[[#This Row],[Harga Asli A]]-(cadangan3[[#This Row],[Harga Asli A]]*cadangan3[[#This Row],[Diskon]]),cadangan3[[#This Row],[Harga Asli A]])</f>
        <v>540000</v>
      </c>
      <c r="K764" s="36">
        <f>INDEX(Katalog!$F$3:$F$12,MATCH(cadangan3[[#This Row],[ItemID A]],Katalog!$C$3:$C$12,0))*cadangan3[[#This Row],[Qty A]]</f>
        <v>240000</v>
      </c>
      <c r="L764" s="36">
        <f>IFERROR(cadangan3[[#This Row],[Profit A]]-(cadangan3[[#This Row],[Profit A]]*cadangan3[[#This Row],[Diskon]]),K764)</f>
        <v>216000</v>
      </c>
      <c r="M764" t="s">
        <v>60</v>
      </c>
      <c r="N764" t="str">
        <f>IFERROR(INDEX(Katalog!$A$3:$A$12,MATCH(cadangan3[[#This Row],[ItemID B]],Katalog!$C$3:$C$12,0)),"-")</f>
        <v>Pakaian Wanita</v>
      </c>
      <c r="O764" t="str">
        <f>IFERROR(INDEX(Katalog!$B$3:$B$12,MATCH(cadangan3[[#This Row],[ItemID B]],Katalog!$C$3:$C$12,0)),"-")</f>
        <v>Kaftan</v>
      </c>
      <c r="P764">
        <v>1</v>
      </c>
      <c r="Q764">
        <v>4</v>
      </c>
      <c r="R764" s="36">
        <f>IFERROR(INDEX(Katalog!$D$3:$D$12,MATCH(cadangan3[[#This Row],[ItemID B]],Katalog!$C$3:$C$12,0))*cadangan3[[#This Row],[Qty B]],0)</f>
        <v>250000</v>
      </c>
      <c r="S764" s="36">
        <f>IFERROR(INDEX(Katalog!$D$3:$D$12,MATCH(cadangan3[[#This Row],[Item B]],Katalog!$B$3:$B$12,0))*cadangan3[[#This Row],[Qty B]],0)</f>
        <v>250000</v>
      </c>
      <c r="T764" s="36">
        <f>IFERROR(cadangan3[[#This Row],[Harga Asli B]]-(cadangan3[[#This Row],[Harga Asli B]]*cadangan3[[#This Row],[Diskon]]),cadangan3[[#This Row],[Harga Asli B]])</f>
        <v>225000</v>
      </c>
      <c r="U764" s="36">
        <f>IFERROR(INDEX(Katalog!$F$3:$F$12,MATCH(cadangan3[[#This Row],[ItemID B]],Katalog!$C$3:$C$12,0))*cadangan3[[#This Row],[Qty B]],0)</f>
        <v>100000</v>
      </c>
      <c r="V764" s="36">
        <f>IFERROR(cadangan3[[#This Row],[Profit B]]-(cadangan3[[#This Row],[Profit B]]*cadangan3[[#This Row],[Diskon]]),U764)</f>
        <v>90000</v>
      </c>
      <c r="X764" t="str">
        <f>IFERROR(INDEX(Katalog!$A$3:$A$12,MATCH(cadangan3[[#This Row],[ItemID C]],Katalog!$C$3:$C$12,0)),"-")</f>
        <v>-</v>
      </c>
      <c r="Y764" t="str">
        <f>IFERROR(INDEX(Katalog!$B$3:$B$12,MATCH(cadangan3[[#This Row],[ItemID C]],Katalog!$C$3:$C$12,0)),"-")</f>
        <v>-</v>
      </c>
      <c r="AB764" s="36">
        <f>IFERROR(INDEX(Katalog!$D$3:$D$12,MATCH(cadangan3[[#This Row],[ItemID C]],Katalog!$C$3:$C$12,0))*cadangan3[[#This Row],[Qty C]],0)</f>
        <v>0</v>
      </c>
      <c r="AC764" s="36">
        <f>IFERROR(INDEX(Katalog!$D$3:$D$12,MATCH(cadangan3[[#This Row],[Item C]],Katalog!$B$3:$B$12,0))*cadangan3[[#This Row],[Qty C]],0)</f>
        <v>0</v>
      </c>
      <c r="AD764" s="36">
        <f>IFERROR(cadangan3[[#This Row],[Harga Asli C]]-(cadangan3[[#This Row],[Harga Asli C]]*cadangan3[[#This Row],[Diskon]]),cadangan3[[#This Row],[Harga Asli C]])</f>
        <v>0</v>
      </c>
      <c r="AE764" s="36">
        <f>IFERROR(INDEX(Katalog!$F$3:$F$12,MATCH(cadangan3[[#This Row],[ItemID C]],Katalog!$C$3:$C$12,0))*cadangan3[[#This Row],[Qty C]],0)</f>
        <v>0</v>
      </c>
      <c r="AF764" s="36">
        <f>IFERROR(cadangan3[[#This Row],[Profit C]]-(cadangan3[[#This Row],[Profit C]]*cadangan3[[#This Row],[Diskon]]),cadangan3[[#This Row],[Profit C]])</f>
        <v>0</v>
      </c>
      <c r="AG764" s="21">
        <f>cadangan3[[#This Row],[Qty A]]+cadangan3[[#This Row],[Qty B]]+cadangan3[[#This Row],[Qty C]]</f>
        <v>4</v>
      </c>
      <c r="AH764" s="35">
        <f>cadangan3[[#This Row],[Harga A + Diskon]]+cadangan3[[#This Row],[Harga + Diskon B]]+cadangan3[[#This Row],[Harga + Diskon C]]</f>
        <v>765000</v>
      </c>
      <c r="AI764" s="35">
        <f>(cadangan3[[#This Row],[Profit A]]+cadangan3[[#This Row],[Profit B]]+cadangan3[[#This Row],[Profit C]])</f>
        <v>340000</v>
      </c>
      <c r="AJ764" s="35">
        <f>cadangan3[[#This Row],[Provit A + Diskon]]+cadangan3[[#This Row],[Provit B + Diskon]]+cadangan3[[#This Row],[Provit C + Diskon]]</f>
        <v>306000</v>
      </c>
      <c r="AK764" s="23" t="s">
        <v>31</v>
      </c>
      <c r="AL764" s="37">
        <f>IFERROR(INDEX('Kode Diskon'!$D$3:$D$9,MATCH(cadangan3[[#This Row],[Kode diskon]],'Kode Diskon'!$C$3:$C$9,0)),"-")</f>
        <v>0.1</v>
      </c>
      <c r="AM764" s="23" t="s">
        <v>9</v>
      </c>
      <c r="AN764" s="23" t="s">
        <v>10</v>
      </c>
      <c r="AO764" s="23" t="s">
        <v>75</v>
      </c>
      <c r="AP764" s="24">
        <v>45041</v>
      </c>
      <c r="AQ764" s="23" t="str">
        <f>TEXT(cadangan3[[#This Row],[Tanggal terjual]],"dddd")</f>
        <v>Tuesday</v>
      </c>
    </row>
    <row r="765" spans="1:43" x14ac:dyDescent="0.2">
      <c r="A765" s="20">
        <v>764</v>
      </c>
      <c r="B765" s="21" t="str">
        <f>_xlfn.CONCAT("ORD-",INDEX(Helper!$B$2:$B$5,MATCH(cadangan3[[#This Row],[Marketplace]],Helper!$A$2:$A$5,0)),TEXT(cadangan3[[#This Row],[No]],"0000"),"-",TEXT(cadangan3[[#This Row],[Tanggal terjual]],"dd/mm/yy"))</f>
        <v>ORD-BL0764-21/04/23</v>
      </c>
      <c r="C765" t="s">
        <v>61</v>
      </c>
      <c r="D765" t="str">
        <f>IFERROR(INDEX(Katalog!$A$3:$A$12,MATCH(cadangan3[[#This Row],[ItemID A]],Katalog!$C$3:$C$12,0)),"-")</f>
        <v>Pakaian Pria</v>
      </c>
      <c r="E765" t="str">
        <f>IFERROR(INDEX(Katalog!$B$3:$B$12,MATCH(cadangan3[[#This Row],[ItemID A]],Katalog!$C$3:$C$12,0)),"-")</f>
        <v>Kaos Polo</v>
      </c>
      <c r="F765">
        <v>5</v>
      </c>
      <c r="G765">
        <v>4</v>
      </c>
      <c r="H765" s="36">
        <f>IFERROR(INDEX(Katalog!$D$3:$D$12,MATCH(cadangan3[[#This Row],[ItemID A]],Katalog!$C$3:$C$12,0))*cadangan3[[#This Row],[Qty A]],0)</f>
        <v>1000000</v>
      </c>
      <c r="I765" s="36">
        <f>IFERROR(INDEX(Katalog!$D$3:$D$12,MATCH(cadangan3[[#This Row],[Item A]],Katalog!$B$3:$B$12,0))*cadangan3[[#This Row],[Qty A]],0)</f>
        <v>1000000</v>
      </c>
      <c r="J765" s="36">
        <f>IFERROR(cadangan3[[#This Row],[Harga Asli A]]-(cadangan3[[#This Row],[Harga Asli A]]*cadangan3[[#This Row],[Diskon]]),cadangan3[[#This Row],[Harga Asli A]])</f>
        <v>850000</v>
      </c>
      <c r="K765" s="36">
        <f>INDEX(Katalog!$F$3:$F$12,MATCH(cadangan3[[#This Row],[ItemID A]],Katalog!$C$3:$C$12,0))*cadangan3[[#This Row],[Qty A]]</f>
        <v>400000</v>
      </c>
      <c r="L765" s="36">
        <f>IFERROR(cadangan3[[#This Row],[Profit A]]-(cadangan3[[#This Row],[Profit A]]*cadangan3[[#This Row],[Diskon]]),K765)</f>
        <v>340000</v>
      </c>
      <c r="N765" t="str">
        <f>IFERROR(INDEX(Katalog!$A$3:$A$12,MATCH(cadangan3[[#This Row],[ItemID B]],Katalog!$C$3:$C$12,0)),"-")</f>
        <v>-</v>
      </c>
      <c r="O765" t="str">
        <f>IFERROR(INDEX(Katalog!$B$3:$B$12,MATCH(cadangan3[[#This Row],[ItemID B]],Katalog!$C$3:$C$12,0)),"-")</f>
        <v>-</v>
      </c>
      <c r="R765" s="36">
        <f>IFERROR(INDEX(Katalog!$D$3:$D$12,MATCH(cadangan3[[#This Row],[ItemID B]],Katalog!$C$3:$C$12,0))*cadangan3[[#This Row],[Qty B]],0)</f>
        <v>0</v>
      </c>
      <c r="S765" s="36">
        <f>IFERROR(INDEX(Katalog!$D$3:$D$12,MATCH(cadangan3[[#This Row],[Item B]],Katalog!$B$3:$B$12,0))*cadangan3[[#This Row],[Qty B]],0)</f>
        <v>0</v>
      </c>
      <c r="T765" s="36">
        <f>IFERROR(cadangan3[[#This Row],[Harga Asli B]]-(cadangan3[[#This Row],[Harga Asli B]]*cadangan3[[#This Row],[Diskon]]),cadangan3[[#This Row],[Harga Asli B]])</f>
        <v>0</v>
      </c>
      <c r="U765" s="36">
        <f>IFERROR(INDEX(Katalog!$F$3:$F$12,MATCH(cadangan3[[#This Row],[ItemID B]],Katalog!$C$3:$C$12,0))*cadangan3[[#This Row],[Qty B]],0)</f>
        <v>0</v>
      </c>
      <c r="V765" s="36">
        <f>IFERROR(cadangan3[[#This Row],[Profit B]]-(cadangan3[[#This Row],[Profit B]]*cadangan3[[#This Row],[Diskon]]),U765)</f>
        <v>0</v>
      </c>
      <c r="X765" t="str">
        <f>IFERROR(INDEX(Katalog!$A$3:$A$12,MATCH(cadangan3[[#This Row],[ItemID C]],Katalog!$C$3:$C$12,0)),"-")</f>
        <v>-</v>
      </c>
      <c r="Y765" t="str">
        <f>IFERROR(INDEX(Katalog!$B$3:$B$12,MATCH(cadangan3[[#This Row],[ItemID C]],Katalog!$C$3:$C$12,0)),"-")</f>
        <v>-</v>
      </c>
      <c r="AB765" s="36">
        <f>IFERROR(INDEX(Katalog!$D$3:$D$12,MATCH(cadangan3[[#This Row],[ItemID C]],Katalog!$C$3:$C$12,0))*cadangan3[[#This Row],[Qty C]],0)</f>
        <v>0</v>
      </c>
      <c r="AC765" s="36">
        <f>IFERROR(INDEX(Katalog!$D$3:$D$12,MATCH(cadangan3[[#This Row],[Item C]],Katalog!$B$3:$B$12,0))*cadangan3[[#This Row],[Qty C]],0)</f>
        <v>0</v>
      </c>
      <c r="AD765" s="36">
        <f>IFERROR(cadangan3[[#This Row],[Harga Asli C]]-(cadangan3[[#This Row],[Harga Asli C]]*cadangan3[[#This Row],[Diskon]]),cadangan3[[#This Row],[Harga Asli C]])</f>
        <v>0</v>
      </c>
      <c r="AE765" s="36">
        <f>IFERROR(INDEX(Katalog!$F$3:$F$12,MATCH(cadangan3[[#This Row],[ItemID C]],Katalog!$C$3:$C$12,0))*cadangan3[[#This Row],[Qty C]],0)</f>
        <v>0</v>
      </c>
      <c r="AF765" s="36">
        <f>IFERROR(cadangan3[[#This Row],[Profit C]]-(cadangan3[[#This Row],[Profit C]]*cadangan3[[#This Row],[Diskon]]),cadangan3[[#This Row],[Profit C]])</f>
        <v>0</v>
      </c>
      <c r="AG765" s="21">
        <f>cadangan3[[#This Row],[Qty A]]+cadangan3[[#This Row],[Qty B]]+cadangan3[[#This Row],[Qty C]]</f>
        <v>5</v>
      </c>
      <c r="AH765" s="35">
        <f>cadangan3[[#This Row],[Harga A + Diskon]]+cadangan3[[#This Row],[Harga + Diskon B]]+cadangan3[[#This Row],[Harga + Diskon C]]</f>
        <v>850000</v>
      </c>
      <c r="AI765" s="35">
        <f>(cadangan3[[#This Row],[Profit A]]+cadangan3[[#This Row],[Profit B]]+cadangan3[[#This Row],[Profit C]])</f>
        <v>400000</v>
      </c>
      <c r="AJ765" s="35">
        <f>cadangan3[[#This Row],[Provit A + Diskon]]+cadangan3[[#This Row],[Provit B + Diskon]]+cadangan3[[#This Row],[Provit C + Diskon]]</f>
        <v>340000</v>
      </c>
      <c r="AK765" s="23" t="s">
        <v>32</v>
      </c>
      <c r="AL765" s="37">
        <f>IFERROR(INDEX('Kode Diskon'!$D$3:$D$9,MATCH(cadangan3[[#This Row],[Kode diskon]],'Kode Diskon'!$C$3:$C$9,0)),"-")</f>
        <v>0.15</v>
      </c>
      <c r="AM765" s="23" t="s">
        <v>9</v>
      </c>
      <c r="AN765" s="23" t="s">
        <v>12</v>
      </c>
      <c r="AO765" s="23" t="s">
        <v>80</v>
      </c>
      <c r="AP765" s="24">
        <v>45037</v>
      </c>
      <c r="AQ765" s="23" t="str">
        <f>TEXT(cadangan3[[#This Row],[Tanggal terjual]],"dddd")</f>
        <v>Friday</v>
      </c>
    </row>
    <row r="766" spans="1:43" x14ac:dyDescent="0.2">
      <c r="A766" s="20">
        <v>765</v>
      </c>
      <c r="B766" s="21" t="str">
        <f>_xlfn.CONCAT("ORD-",INDEX(Helper!$B$2:$B$5,MATCH(cadangan3[[#This Row],[Marketplace]],Helper!$A$2:$A$5,0)),TEXT(cadangan3[[#This Row],[No]],"0000"),"-",TEXT(cadangan3[[#This Row],[Tanggal terjual]],"dd/mm/yy"))</f>
        <v>ORD-SP0765-29/04/23</v>
      </c>
      <c r="C766" t="s">
        <v>61</v>
      </c>
      <c r="D766" t="str">
        <f>IFERROR(INDEX(Katalog!$A$3:$A$12,MATCH(cadangan3[[#This Row],[ItemID A]],Katalog!$C$3:$C$12,0)),"-")</f>
        <v>Pakaian Pria</v>
      </c>
      <c r="E766" t="str">
        <f>IFERROR(INDEX(Katalog!$B$3:$B$12,MATCH(cadangan3[[#This Row],[ItemID A]],Katalog!$C$3:$C$12,0)),"-")</f>
        <v>Kaos Polo</v>
      </c>
      <c r="F766">
        <v>4</v>
      </c>
      <c r="G766">
        <v>1</v>
      </c>
      <c r="H766" s="36">
        <f>IFERROR(INDEX(Katalog!$D$3:$D$12,MATCH(cadangan3[[#This Row],[ItemID A]],Katalog!$C$3:$C$12,0))*cadangan3[[#This Row],[Qty A]],0)</f>
        <v>800000</v>
      </c>
      <c r="I766" s="36">
        <f>IFERROR(INDEX(Katalog!$D$3:$D$12,MATCH(cadangan3[[#This Row],[Item A]],Katalog!$B$3:$B$12,0))*cadangan3[[#This Row],[Qty A]],0)</f>
        <v>800000</v>
      </c>
      <c r="J766" s="36">
        <f>IFERROR(cadangan3[[#This Row],[Harga Asli A]]-(cadangan3[[#This Row],[Harga Asli A]]*cadangan3[[#This Row],[Diskon]]),cadangan3[[#This Row],[Harga Asli A]])</f>
        <v>640000</v>
      </c>
      <c r="K766" s="36">
        <f>INDEX(Katalog!$F$3:$F$12,MATCH(cadangan3[[#This Row],[ItemID A]],Katalog!$C$3:$C$12,0))*cadangan3[[#This Row],[Qty A]]</f>
        <v>320000</v>
      </c>
      <c r="L766" s="36">
        <f>IFERROR(cadangan3[[#This Row],[Profit A]]-(cadangan3[[#This Row],[Profit A]]*cadangan3[[#This Row],[Diskon]]),K766)</f>
        <v>256000</v>
      </c>
      <c r="M766" t="s">
        <v>62</v>
      </c>
      <c r="N766" t="str">
        <f>IFERROR(INDEX(Katalog!$A$3:$A$12,MATCH(cadangan3[[#This Row],[ItemID B]],Katalog!$C$3:$C$12,0)),"-")</f>
        <v>Pakaian Pria</v>
      </c>
      <c r="O766" t="str">
        <f>IFERROR(INDEX(Katalog!$B$3:$B$12,MATCH(cadangan3[[#This Row],[ItemID B]],Katalog!$C$3:$C$12,0)),"-")</f>
        <v>Celana Pendek</v>
      </c>
      <c r="P766">
        <v>1</v>
      </c>
      <c r="Q766">
        <v>4</v>
      </c>
      <c r="R766" s="36">
        <f>IFERROR(INDEX(Katalog!$D$3:$D$12,MATCH(cadangan3[[#This Row],[ItemID B]],Katalog!$C$3:$C$12,0))*cadangan3[[#This Row],[Qty B]],0)</f>
        <v>180000</v>
      </c>
      <c r="S766" s="36">
        <f>IFERROR(INDEX(Katalog!$D$3:$D$12,MATCH(cadangan3[[#This Row],[Item B]],Katalog!$B$3:$B$12,0))*cadangan3[[#This Row],[Qty B]],0)</f>
        <v>180000</v>
      </c>
      <c r="T766" s="36">
        <f>IFERROR(cadangan3[[#This Row],[Harga Asli B]]-(cadangan3[[#This Row],[Harga Asli B]]*cadangan3[[#This Row],[Diskon]]),cadangan3[[#This Row],[Harga Asli B]])</f>
        <v>144000</v>
      </c>
      <c r="U766" s="36">
        <f>IFERROR(INDEX(Katalog!$F$3:$F$12,MATCH(cadangan3[[#This Row],[ItemID B]],Katalog!$C$3:$C$12,0))*cadangan3[[#This Row],[Qty B]],0)</f>
        <v>70000</v>
      </c>
      <c r="V766" s="36">
        <f>IFERROR(cadangan3[[#This Row],[Profit B]]-(cadangan3[[#This Row],[Profit B]]*cadangan3[[#This Row],[Diskon]]),U766)</f>
        <v>56000</v>
      </c>
      <c r="X766" t="str">
        <f>IFERROR(INDEX(Katalog!$A$3:$A$12,MATCH(cadangan3[[#This Row],[ItemID C]],Katalog!$C$3:$C$12,0)),"-")</f>
        <v>-</v>
      </c>
      <c r="Y766" t="str">
        <f>IFERROR(INDEX(Katalog!$B$3:$B$12,MATCH(cadangan3[[#This Row],[ItemID C]],Katalog!$C$3:$C$12,0)),"-")</f>
        <v>-</v>
      </c>
      <c r="AB766" s="36">
        <f>IFERROR(INDEX(Katalog!$D$3:$D$12,MATCH(cadangan3[[#This Row],[ItemID C]],Katalog!$C$3:$C$12,0))*cadangan3[[#This Row],[Qty C]],0)</f>
        <v>0</v>
      </c>
      <c r="AC766" s="36">
        <f>IFERROR(INDEX(Katalog!$D$3:$D$12,MATCH(cadangan3[[#This Row],[Item C]],Katalog!$B$3:$B$12,0))*cadangan3[[#This Row],[Qty C]],0)</f>
        <v>0</v>
      </c>
      <c r="AD766" s="36">
        <f>IFERROR(cadangan3[[#This Row],[Harga Asli C]]-(cadangan3[[#This Row],[Harga Asli C]]*cadangan3[[#This Row],[Diskon]]),cadangan3[[#This Row],[Harga Asli C]])</f>
        <v>0</v>
      </c>
      <c r="AE766" s="36">
        <f>IFERROR(INDEX(Katalog!$F$3:$F$12,MATCH(cadangan3[[#This Row],[ItemID C]],Katalog!$C$3:$C$12,0))*cadangan3[[#This Row],[Qty C]],0)</f>
        <v>0</v>
      </c>
      <c r="AF766" s="36">
        <f>IFERROR(cadangan3[[#This Row],[Profit C]]-(cadangan3[[#This Row],[Profit C]]*cadangan3[[#This Row],[Diskon]]),cadangan3[[#This Row],[Profit C]])</f>
        <v>0</v>
      </c>
      <c r="AG766" s="21">
        <f>cadangan3[[#This Row],[Qty A]]+cadangan3[[#This Row],[Qty B]]+cadangan3[[#This Row],[Qty C]]</f>
        <v>5</v>
      </c>
      <c r="AH766" s="35">
        <f>cadangan3[[#This Row],[Harga A + Diskon]]+cadangan3[[#This Row],[Harga + Diskon B]]+cadangan3[[#This Row],[Harga + Diskon C]]</f>
        <v>784000</v>
      </c>
      <c r="AI766" s="35">
        <f>(cadangan3[[#This Row],[Profit A]]+cadangan3[[#This Row],[Profit B]]+cadangan3[[#This Row],[Profit C]])</f>
        <v>390000</v>
      </c>
      <c r="AJ766" s="35">
        <f>cadangan3[[#This Row],[Provit A + Diskon]]+cadangan3[[#This Row],[Provit B + Diskon]]+cadangan3[[#This Row],[Provit C + Diskon]]</f>
        <v>312000</v>
      </c>
      <c r="AK766" s="23" t="s">
        <v>8</v>
      </c>
      <c r="AL766" s="37">
        <f>IFERROR(INDEX('Kode Diskon'!$D$3:$D$9,MATCH(cadangan3[[#This Row],[Kode diskon]],'Kode Diskon'!$C$3:$C$9,0)),"-")</f>
        <v>0.2</v>
      </c>
      <c r="AM766" s="23" t="s">
        <v>9</v>
      </c>
      <c r="AN766" s="23" t="s">
        <v>7</v>
      </c>
      <c r="AO766" s="23" t="s">
        <v>80</v>
      </c>
      <c r="AP766" s="24">
        <v>45045</v>
      </c>
      <c r="AQ766" s="23" t="str">
        <f>TEXT(cadangan3[[#This Row],[Tanggal terjual]],"dddd")</f>
        <v>Saturday</v>
      </c>
    </row>
    <row r="767" spans="1:43" x14ac:dyDescent="0.2">
      <c r="A767" s="20">
        <v>766</v>
      </c>
      <c r="B767" s="21" t="str">
        <f>_xlfn.CONCAT("ORD-",INDEX(Helper!$B$2:$B$5,MATCH(cadangan3[[#This Row],[Marketplace]],Helper!$A$2:$A$5,0)),TEXT(cadangan3[[#This Row],[No]],"0000"),"-",TEXT(cadangan3[[#This Row],[Tanggal terjual]],"dd/mm/yy"))</f>
        <v>ORD-BL0766-21/04/23</v>
      </c>
      <c r="C767" t="s">
        <v>58</v>
      </c>
      <c r="D767" t="str">
        <f>IFERROR(INDEX(Katalog!$A$3:$A$12,MATCH(cadangan3[[#This Row],[ItemID A]],Katalog!$C$3:$C$12,0)),"-")</f>
        <v>Pakaian Wanita</v>
      </c>
      <c r="E767" t="str">
        <f>IFERROR(INDEX(Katalog!$B$3:$B$12,MATCH(cadangan3[[#This Row],[ItemID A]],Katalog!$C$3:$C$12,0)),"-")</f>
        <v>Dress</v>
      </c>
      <c r="F767">
        <v>3</v>
      </c>
      <c r="G767">
        <v>1</v>
      </c>
      <c r="H767" s="36">
        <f>IFERROR(INDEX(Katalog!$D$3:$D$12,MATCH(cadangan3[[#This Row],[ItemID A]],Katalog!$C$3:$C$12,0))*cadangan3[[#This Row],[Qty A]],0)</f>
        <v>900000</v>
      </c>
      <c r="I767" s="36">
        <f>IFERROR(INDEX(Katalog!$D$3:$D$12,MATCH(cadangan3[[#This Row],[Item A]],Katalog!$B$3:$B$12,0))*cadangan3[[#This Row],[Qty A]],0)</f>
        <v>900000</v>
      </c>
      <c r="J767" s="36">
        <f>IFERROR(cadangan3[[#This Row],[Harga Asli A]]-(cadangan3[[#This Row],[Harga Asli A]]*cadangan3[[#This Row],[Diskon]]),cadangan3[[#This Row],[Harga Asli A]])</f>
        <v>765000</v>
      </c>
      <c r="K767" s="36">
        <f>INDEX(Katalog!$F$3:$F$12,MATCH(cadangan3[[#This Row],[ItemID A]],Katalog!$C$3:$C$12,0))*cadangan3[[#This Row],[Qty A]]</f>
        <v>300000</v>
      </c>
      <c r="L767" s="36">
        <f>IFERROR(cadangan3[[#This Row],[Profit A]]-(cadangan3[[#This Row],[Profit A]]*cadangan3[[#This Row],[Diskon]]),K767)</f>
        <v>255000</v>
      </c>
      <c r="M767" t="s">
        <v>64</v>
      </c>
      <c r="N767" t="str">
        <f>IFERROR(INDEX(Katalog!$A$3:$A$12,MATCH(cadangan3[[#This Row],[ItemID B]],Katalog!$C$3:$C$12,0)),"-")</f>
        <v>Pakaian Unisex</v>
      </c>
      <c r="O767" t="str">
        <f>IFERROR(INDEX(Katalog!$B$3:$B$12,MATCH(cadangan3[[#This Row],[ItemID B]],Katalog!$C$3:$C$12,0)),"-")</f>
        <v>Jaket Hoodie</v>
      </c>
      <c r="P767">
        <v>4</v>
      </c>
      <c r="Q767">
        <v>1</v>
      </c>
      <c r="R767" s="36">
        <f>IFERROR(INDEX(Katalog!$D$3:$D$12,MATCH(cadangan3[[#This Row],[ItemID B]],Katalog!$C$3:$C$12,0))*cadangan3[[#This Row],[Qty B]],0)</f>
        <v>1400000</v>
      </c>
      <c r="S767" s="36">
        <f>IFERROR(INDEX(Katalog!$D$3:$D$12,MATCH(cadangan3[[#This Row],[Item B]],Katalog!$B$3:$B$12,0))*cadangan3[[#This Row],[Qty B]],0)</f>
        <v>1400000</v>
      </c>
      <c r="T767" s="36">
        <f>IFERROR(cadangan3[[#This Row],[Harga Asli B]]-(cadangan3[[#This Row],[Harga Asli B]]*cadangan3[[#This Row],[Diskon]]),cadangan3[[#This Row],[Harga Asli B]])</f>
        <v>1190000</v>
      </c>
      <c r="U767" s="36">
        <f>IFERROR(INDEX(Katalog!$F$3:$F$12,MATCH(cadangan3[[#This Row],[ItemID B]],Katalog!$C$3:$C$12,0))*cadangan3[[#This Row],[Qty B]],0)</f>
        <v>520000</v>
      </c>
      <c r="V767" s="36">
        <f>IFERROR(cadangan3[[#This Row],[Profit B]]-(cadangan3[[#This Row],[Profit B]]*cadangan3[[#This Row],[Diskon]]),U767)</f>
        <v>442000</v>
      </c>
      <c r="X767" t="str">
        <f>IFERROR(INDEX(Katalog!$A$3:$A$12,MATCH(cadangan3[[#This Row],[ItemID C]],Katalog!$C$3:$C$12,0)),"-")</f>
        <v>-</v>
      </c>
      <c r="Y767" t="str">
        <f>IFERROR(INDEX(Katalog!$B$3:$B$12,MATCH(cadangan3[[#This Row],[ItemID C]],Katalog!$C$3:$C$12,0)),"-")</f>
        <v>-</v>
      </c>
      <c r="AB767" s="36">
        <f>IFERROR(INDEX(Katalog!$D$3:$D$12,MATCH(cadangan3[[#This Row],[ItemID C]],Katalog!$C$3:$C$12,0))*cadangan3[[#This Row],[Qty C]],0)</f>
        <v>0</v>
      </c>
      <c r="AC767" s="36">
        <f>IFERROR(INDEX(Katalog!$D$3:$D$12,MATCH(cadangan3[[#This Row],[Item C]],Katalog!$B$3:$B$12,0))*cadangan3[[#This Row],[Qty C]],0)</f>
        <v>0</v>
      </c>
      <c r="AD767" s="36">
        <f>IFERROR(cadangan3[[#This Row],[Harga Asli C]]-(cadangan3[[#This Row],[Harga Asli C]]*cadangan3[[#This Row],[Diskon]]),cadangan3[[#This Row],[Harga Asli C]])</f>
        <v>0</v>
      </c>
      <c r="AE767" s="36">
        <f>IFERROR(INDEX(Katalog!$F$3:$F$12,MATCH(cadangan3[[#This Row],[ItemID C]],Katalog!$C$3:$C$12,0))*cadangan3[[#This Row],[Qty C]],0)</f>
        <v>0</v>
      </c>
      <c r="AF767" s="36">
        <f>IFERROR(cadangan3[[#This Row],[Profit C]]-(cadangan3[[#This Row],[Profit C]]*cadangan3[[#This Row],[Diskon]]),cadangan3[[#This Row],[Profit C]])</f>
        <v>0</v>
      </c>
      <c r="AG767" s="21">
        <f>cadangan3[[#This Row],[Qty A]]+cadangan3[[#This Row],[Qty B]]+cadangan3[[#This Row],[Qty C]]</f>
        <v>7</v>
      </c>
      <c r="AH767" s="35">
        <f>cadangan3[[#This Row],[Harga A + Diskon]]+cadangan3[[#This Row],[Harga + Diskon B]]+cadangan3[[#This Row],[Harga + Diskon C]]</f>
        <v>1955000</v>
      </c>
      <c r="AI767" s="35">
        <f>(cadangan3[[#This Row],[Profit A]]+cadangan3[[#This Row],[Profit B]]+cadangan3[[#This Row],[Profit C]])</f>
        <v>820000</v>
      </c>
      <c r="AJ767" s="35">
        <f>cadangan3[[#This Row],[Provit A + Diskon]]+cadangan3[[#This Row],[Provit B + Diskon]]+cadangan3[[#This Row],[Provit C + Diskon]]</f>
        <v>697000</v>
      </c>
      <c r="AK767" s="23" t="s">
        <v>32</v>
      </c>
      <c r="AL767" s="37">
        <f>IFERROR(INDEX('Kode Diskon'!$D$3:$D$9,MATCH(cadangan3[[#This Row],[Kode diskon]],'Kode Diskon'!$C$3:$C$9,0)),"-")</f>
        <v>0.15</v>
      </c>
      <c r="AM767" s="23" t="s">
        <v>9</v>
      </c>
      <c r="AN767" s="23" t="s">
        <v>12</v>
      </c>
      <c r="AO767" s="23" t="s">
        <v>80</v>
      </c>
      <c r="AP767" s="24">
        <v>45037</v>
      </c>
      <c r="AQ767" s="23" t="str">
        <f>TEXT(cadangan3[[#This Row],[Tanggal terjual]],"dddd")</f>
        <v>Friday</v>
      </c>
    </row>
    <row r="768" spans="1:43" x14ac:dyDescent="0.2">
      <c r="A768" s="20">
        <v>767</v>
      </c>
      <c r="B768" s="21" t="str">
        <f>_xlfn.CONCAT("ORD-",INDEX(Helper!$B$2:$B$5,MATCH(cadangan3[[#This Row],[Marketplace]],Helper!$A$2:$A$5,0)),TEXT(cadangan3[[#This Row],[No]],"0000"),"-",TEXT(cadangan3[[#This Row],[Tanggal terjual]],"dd/mm/yy"))</f>
        <v>ORD-TK0767-24/04/23</v>
      </c>
      <c r="C768" t="s">
        <v>58</v>
      </c>
      <c r="D768" t="str">
        <f>IFERROR(INDEX(Katalog!$A$3:$A$12,MATCH(cadangan3[[#This Row],[ItemID A]],Katalog!$C$3:$C$12,0)),"-")</f>
        <v>Pakaian Wanita</v>
      </c>
      <c r="E768" t="str">
        <f>IFERROR(INDEX(Katalog!$B$3:$B$12,MATCH(cadangan3[[#This Row],[ItemID A]],Katalog!$C$3:$C$12,0)),"-")</f>
        <v>Dress</v>
      </c>
      <c r="F768">
        <v>1</v>
      </c>
      <c r="G768">
        <v>2</v>
      </c>
      <c r="H768" s="36">
        <f>IFERROR(INDEX(Katalog!$D$3:$D$12,MATCH(cadangan3[[#This Row],[ItemID A]],Katalog!$C$3:$C$12,0))*cadangan3[[#This Row],[Qty A]],0)</f>
        <v>300000</v>
      </c>
      <c r="I768" s="36">
        <f>IFERROR(INDEX(Katalog!$D$3:$D$12,MATCH(cadangan3[[#This Row],[Item A]],Katalog!$B$3:$B$12,0))*cadangan3[[#This Row],[Qty A]],0)</f>
        <v>300000</v>
      </c>
      <c r="J768" s="36">
        <f>IFERROR(cadangan3[[#This Row],[Harga Asli A]]-(cadangan3[[#This Row],[Harga Asli A]]*cadangan3[[#This Row],[Diskon]]),cadangan3[[#This Row],[Harga Asli A]])</f>
        <v>270000</v>
      </c>
      <c r="K768" s="36">
        <f>INDEX(Katalog!$F$3:$F$12,MATCH(cadangan3[[#This Row],[ItemID A]],Katalog!$C$3:$C$12,0))*cadangan3[[#This Row],[Qty A]]</f>
        <v>100000</v>
      </c>
      <c r="L768" s="36">
        <f>IFERROR(cadangan3[[#This Row],[Profit A]]-(cadangan3[[#This Row],[Profit A]]*cadangan3[[#This Row],[Diskon]]),K768)</f>
        <v>90000</v>
      </c>
      <c r="M768" t="s">
        <v>63</v>
      </c>
      <c r="N768" t="str">
        <f>IFERROR(INDEX(Katalog!$A$3:$A$12,MATCH(cadangan3[[#This Row],[ItemID B]],Katalog!$C$3:$C$12,0)),"-")</f>
        <v>Pakaian Pria</v>
      </c>
      <c r="O768" t="str">
        <f>IFERROR(INDEX(Katalog!$B$3:$B$12,MATCH(cadangan3[[#This Row],[ItemID B]],Katalog!$C$3:$C$12,0)),"-")</f>
        <v>Jaket Jeans</v>
      </c>
      <c r="P768">
        <v>1</v>
      </c>
      <c r="Q768">
        <v>1</v>
      </c>
      <c r="R768" s="36">
        <f>IFERROR(INDEX(Katalog!$D$3:$D$12,MATCH(cadangan3[[#This Row],[ItemID B]],Katalog!$C$3:$C$12,0))*cadangan3[[#This Row],[Qty B]],0)</f>
        <v>400000</v>
      </c>
      <c r="S768" s="36">
        <f>IFERROR(INDEX(Katalog!$D$3:$D$12,MATCH(cadangan3[[#This Row],[Item B]],Katalog!$B$3:$B$12,0))*cadangan3[[#This Row],[Qty B]],0)</f>
        <v>400000</v>
      </c>
      <c r="T768" s="36">
        <f>IFERROR(cadangan3[[#This Row],[Harga Asli B]]-(cadangan3[[#This Row],[Harga Asli B]]*cadangan3[[#This Row],[Diskon]]),cadangan3[[#This Row],[Harga Asli B]])</f>
        <v>360000</v>
      </c>
      <c r="U768" s="36">
        <f>IFERROR(INDEX(Katalog!$F$3:$F$12,MATCH(cadangan3[[#This Row],[ItemID B]],Katalog!$C$3:$C$12,0))*cadangan3[[#This Row],[Qty B]],0)</f>
        <v>150000</v>
      </c>
      <c r="V768" s="36">
        <f>IFERROR(cadangan3[[#This Row],[Profit B]]-(cadangan3[[#This Row],[Profit B]]*cadangan3[[#This Row],[Diskon]]),U768)</f>
        <v>135000</v>
      </c>
      <c r="X768" t="str">
        <f>IFERROR(INDEX(Katalog!$A$3:$A$12,MATCH(cadangan3[[#This Row],[ItemID C]],Katalog!$C$3:$C$12,0)),"-")</f>
        <v>-</v>
      </c>
      <c r="Y768" t="str">
        <f>IFERROR(INDEX(Katalog!$B$3:$B$12,MATCH(cadangan3[[#This Row],[ItemID C]],Katalog!$C$3:$C$12,0)),"-")</f>
        <v>-</v>
      </c>
      <c r="AB768" s="36">
        <f>IFERROR(INDEX(Katalog!$D$3:$D$12,MATCH(cadangan3[[#This Row],[ItemID C]],Katalog!$C$3:$C$12,0))*cadangan3[[#This Row],[Qty C]],0)</f>
        <v>0</v>
      </c>
      <c r="AC768" s="36">
        <f>IFERROR(INDEX(Katalog!$D$3:$D$12,MATCH(cadangan3[[#This Row],[Item C]],Katalog!$B$3:$B$12,0))*cadangan3[[#This Row],[Qty C]],0)</f>
        <v>0</v>
      </c>
      <c r="AD768" s="36">
        <f>IFERROR(cadangan3[[#This Row],[Harga Asli C]]-(cadangan3[[#This Row],[Harga Asli C]]*cadangan3[[#This Row],[Diskon]]),cadangan3[[#This Row],[Harga Asli C]])</f>
        <v>0</v>
      </c>
      <c r="AE768" s="36">
        <f>IFERROR(INDEX(Katalog!$F$3:$F$12,MATCH(cadangan3[[#This Row],[ItemID C]],Katalog!$C$3:$C$12,0))*cadangan3[[#This Row],[Qty C]],0)</f>
        <v>0</v>
      </c>
      <c r="AF768" s="36">
        <f>IFERROR(cadangan3[[#This Row],[Profit C]]-(cadangan3[[#This Row],[Profit C]]*cadangan3[[#This Row],[Diskon]]),cadangan3[[#This Row],[Profit C]])</f>
        <v>0</v>
      </c>
      <c r="AG768" s="21">
        <f>cadangan3[[#This Row],[Qty A]]+cadangan3[[#This Row],[Qty B]]+cadangan3[[#This Row],[Qty C]]</f>
        <v>2</v>
      </c>
      <c r="AH768" s="35">
        <f>cadangan3[[#This Row],[Harga A + Diskon]]+cadangan3[[#This Row],[Harga + Diskon B]]+cadangan3[[#This Row],[Harga + Diskon C]]</f>
        <v>630000</v>
      </c>
      <c r="AI768" s="35">
        <f>(cadangan3[[#This Row],[Profit A]]+cadangan3[[#This Row],[Profit B]]+cadangan3[[#This Row],[Profit C]])</f>
        <v>250000</v>
      </c>
      <c r="AJ768" s="35">
        <f>cadangan3[[#This Row],[Provit A + Diskon]]+cadangan3[[#This Row],[Provit B + Diskon]]+cadangan3[[#This Row],[Provit C + Diskon]]</f>
        <v>225000</v>
      </c>
      <c r="AK768" s="23" t="s">
        <v>31</v>
      </c>
      <c r="AL768" s="37">
        <f>IFERROR(INDEX('Kode Diskon'!$D$3:$D$9,MATCH(cadangan3[[#This Row],[Kode diskon]],'Kode Diskon'!$C$3:$C$9,0)),"-")</f>
        <v>0.1</v>
      </c>
      <c r="AM768" s="23" t="s">
        <v>9</v>
      </c>
      <c r="AN768" s="23" t="s">
        <v>10</v>
      </c>
      <c r="AO768" s="23" t="s">
        <v>77</v>
      </c>
      <c r="AP768" s="24">
        <v>45040</v>
      </c>
      <c r="AQ768" s="23" t="str">
        <f>TEXT(cadangan3[[#This Row],[Tanggal terjual]],"dddd")</f>
        <v>Monday</v>
      </c>
    </row>
    <row r="769" spans="1:43" x14ac:dyDescent="0.2">
      <c r="A769" s="20">
        <v>768</v>
      </c>
      <c r="B769" s="21" t="str">
        <f>_xlfn.CONCAT("ORD-",INDEX(Helper!$B$2:$B$5,MATCH(cadangan3[[#This Row],[Marketplace]],Helper!$A$2:$A$5,0)),TEXT(cadangan3[[#This Row],[No]],"0000"),"-",TEXT(cadangan3[[#This Row],[Tanggal terjual]],"dd/mm/yy"))</f>
        <v>ORD-SP0768-02/04/23</v>
      </c>
      <c r="C769" t="s">
        <v>67</v>
      </c>
      <c r="D769" t="str">
        <f>IFERROR(INDEX(Katalog!$A$3:$A$12,MATCH(cadangan3[[#This Row],[ItemID A]],Katalog!$C$3:$C$12,0)),"-")</f>
        <v>Sepatu Wanita</v>
      </c>
      <c r="E769" t="str">
        <f>IFERROR(INDEX(Katalog!$B$3:$B$12,MATCH(cadangan3[[#This Row],[ItemID A]],Katalog!$C$3:$C$12,0)),"-")</f>
        <v>Flat Shoes</v>
      </c>
      <c r="F769">
        <v>2</v>
      </c>
      <c r="G769">
        <v>3</v>
      </c>
      <c r="H769" s="36">
        <f>IFERROR(INDEX(Katalog!$D$3:$D$12,MATCH(cadangan3[[#This Row],[ItemID A]],Katalog!$C$3:$C$12,0))*cadangan3[[#This Row],[Qty A]],0)</f>
        <v>500000</v>
      </c>
      <c r="I769" s="36">
        <f>IFERROR(INDEX(Katalog!$D$3:$D$12,MATCH(cadangan3[[#This Row],[Item A]],Katalog!$B$3:$B$12,0))*cadangan3[[#This Row],[Qty A]],0)</f>
        <v>500000</v>
      </c>
      <c r="J769" s="36">
        <f>IFERROR(cadangan3[[#This Row],[Harga Asli A]]-(cadangan3[[#This Row],[Harga Asli A]]*cadangan3[[#This Row],[Diskon]]),cadangan3[[#This Row],[Harga Asli A]])</f>
        <v>425000</v>
      </c>
      <c r="K769" s="36">
        <f>INDEX(Katalog!$F$3:$F$12,MATCH(cadangan3[[#This Row],[ItemID A]],Katalog!$C$3:$C$12,0))*cadangan3[[#This Row],[Qty A]]</f>
        <v>200000</v>
      </c>
      <c r="L769" s="36">
        <f>IFERROR(cadangan3[[#This Row],[Profit A]]-(cadangan3[[#This Row],[Profit A]]*cadangan3[[#This Row],[Diskon]]),K769)</f>
        <v>170000</v>
      </c>
      <c r="M769" t="s">
        <v>59</v>
      </c>
      <c r="N769" t="str">
        <f>IFERROR(INDEX(Katalog!$A$3:$A$12,MATCH(cadangan3[[#This Row],[ItemID B]],Katalog!$C$3:$C$12,0)),"-")</f>
        <v>Pakaian Wanita</v>
      </c>
      <c r="O769" t="str">
        <f>IFERROR(INDEX(Katalog!$B$3:$B$12,MATCH(cadangan3[[#This Row],[ItemID B]],Katalog!$C$3:$C$12,0)),"-")</f>
        <v>Blouse</v>
      </c>
      <c r="P769">
        <v>4</v>
      </c>
      <c r="Q769">
        <v>1</v>
      </c>
      <c r="R769" s="36">
        <f>IFERROR(INDEX(Katalog!$D$3:$D$12,MATCH(cadangan3[[#This Row],[ItemID B]],Katalog!$C$3:$C$12,0))*cadangan3[[#This Row],[Qty B]],0)</f>
        <v>600000</v>
      </c>
      <c r="S769" s="36">
        <f>IFERROR(INDEX(Katalog!$D$3:$D$12,MATCH(cadangan3[[#This Row],[Item B]],Katalog!$B$3:$B$12,0))*cadangan3[[#This Row],[Qty B]],0)</f>
        <v>600000</v>
      </c>
      <c r="T769" s="36">
        <f>IFERROR(cadangan3[[#This Row],[Harga Asli B]]-(cadangan3[[#This Row],[Harga Asli B]]*cadangan3[[#This Row],[Diskon]]),cadangan3[[#This Row],[Harga Asli B]])</f>
        <v>510000</v>
      </c>
      <c r="U769" s="36">
        <f>IFERROR(INDEX(Katalog!$F$3:$F$12,MATCH(cadangan3[[#This Row],[ItemID B]],Katalog!$C$3:$C$12,0))*cadangan3[[#This Row],[Qty B]],0)</f>
        <v>200000</v>
      </c>
      <c r="V769" s="36">
        <f>IFERROR(cadangan3[[#This Row],[Profit B]]-(cadangan3[[#This Row],[Profit B]]*cadangan3[[#This Row],[Diskon]]),U769)</f>
        <v>170000</v>
      </c>
      <c r="X769" t="str">
        <f>IFERROR(INDEX(Katalog!$A$3:$A$12,MATCH(cadangan3[[#This Row],[ItemID C]],Katalog!$C$3:$C$12,0)),"-")</f>
        <v>-</v>
      </c>
      <c r="Y769" t="str">
        <f>IFERROR(INDEX(Katalog!$B$3:$B$12,MATCH(cadangan3[[#This Row],[ItemID C]],Katalog!$C$3:$C$12,0)),"-")</f>
        <v>-</v>
      </c>
      <c r="AB769" s="36">
        <f>IFERROR(INDEX(Katalog!$D$3:$D$12,MATCH(cadangan3[[#This Row],[ItemID C]],Katalog!$C$3:$C$12,0))*cadangan3[[#This Row],[Qty C]],0)</f>
        <v>0</v>
      </c>
      <c r="AC769" s="36">
        <f>IFERROR(INDEX(Katalog!$D$3:$D$12,MATCH(cadangan3[[#This Row],[Item C]],Katalog!$B$3:$B$12,0))*cadangan3[[#This Row],[Qty C]],0)</f>
        <v>0</v>
      </c>
      <c r="AD769" s="36">
        <f>IFERROR(cadangan3[[#This Row],[Harga Asli C]]-(cadangan3[[#This Row],[Harga Asli C]]*cadangan3[[#This Row],[Diskon]]),cadangan3[[#This Row],[Harga Asli C]])</f>
        <v>0</v>
      </c>
      <c r="AE769" s="36">
        <f>IFERROR(INDEX(Katalog!$F$3:$F$12,MATCH(cadangan3[[#This Row],[ItemID C]],Katalog!$C$3:$C$12,0))*cadangan3[[#This Row],[Qty C]],0)</f>
        <v>0</v>
      </c>
      <c r="AF769" s="36">
        <f>IFERROR(cadangan3[[#This Row],[Profit C]]-(cadangan3[[#This Row],[Profit C]]*cadangan3[[#This Row],[Diskon]]),cadangan3[[#This Row],[Profit C]])</f>
        <v>0</v>
      </c>
      <c r="AG769" s="21">
        <f>cadangan3[[#This Row],[Qty A]]+cadangan3[[#This Row],[Qty B]]+cadangan3[[#This Row],[Qty C]]</f>
        <v>6</v>
      </c>
      <c r="AH769" s="35">
        <f>cadangan3[[#This Row],[Harga A + Diskon]]+cadangan3[[#This Row],[Harga + Diskon B]]+cadangan3[[#This Row],[Harga + Diskon C]]</f>
        <v>935000</v>
      </c>
      <c r="AI769" s="35">
        <f>(cadangan3[[#This Row],[Profit A]]+cadangan3[[#This Row],[Profit B]]+cadangan3[[#This Row],[Profit C]])</f>
        <v>400000</v>
      </c>
      <c r="AJ769" s="35">
        <f>cadangan3[[#This Row],[Provit A + Diskon]]+cadangan3[[#This Row],[Provit B + Diskon]]+cadangan3[[#This Row],[Provit C + Diskon]]</f>
        <v>340000</v>
      </c>
      <c r="AK769" s="23" t="s">
        <v>13</v>
      </c>
      <c r="AL769" s="37">
        <f>IFERROR(INDEX('Kode Diskon'!$D$3:$D$9,MATCH(cadangan3[[#This Row],[Kode diskon]],'Kode Diskon'!$C$3:$C$9,0)),"-")</f>
        <v>0.15</v>
      </c>
      <c r="AM769" s="23" t="s">
        <v>29</v>
      </c>
      <c r="AN769" s="23" t="s">
        <v>7</v>
      </c>
      <c r="AO769" s="23" t="s">
        <v>79</v>
      </c>
      <c r="AP769" s="24">
        <v>45018</v>
      </c>
      <c r="AQ769" s="23" t="str">
        <f>TEXT(cadangan3[[#This Row],[Tanggal terjual]],"dddd")</f>
        <v>Sunday</v>
      </c>
    </row>
    <row r="770" spans="1:43" x14ac:dyDescent="0.2">
      <c r="A770" s="20">
        <v>769</v>
      </c>
      <c r="B770" s="21" t="str">
        <f>_xlfn.CONCAT("ORD-",INDEX(Helper!$B$2:$B$5,MATCH(cadangan3[[#This Row],[Marketplace]],Helper!$A$2:$A$5,0)),TEXT(cadangan3[[#This Row],[No]],"0000"),"-",TEXT(cadangan3[[#This Row],[Tanggal terjual]],"dd/mm/yy"))</f>
        <v>ORD-TK0769-29/04/23</v>
      </c>
      <c r="C770" t="s">
        <v>63</v>
      </c>
      <c r="D770" t="str">
        <f>IFERROR(INDEX(Katalog!$A$3:$A$12,MATCH(cadangan3[[#This Row],[ItemID A]],Katalog!$C$3:$C$12,0)),"-")</f>
        <v>Pakaian Pria</v>
      </c>
      <c r="E770" t="str">
        <f>IFERROR(INDEX(Katalog!$B$3:$B$12,MATCH(cadangan3[[#This Row],[ItemID A]],Katalog!$C$3:$C$12,0)),"-")</f>
        <v>Jaket Jeans</v>
      </c>
      <c r="F770">
        <v>3</v>
      </c>
      <c r="G770">
        <v>3</v>
      </c>
      <c r="H770" s="36">
        <f>IFERROR(INDEX(Katalog!$D$3:$D$12,MATCH(cadangan3[[#This Row],[ItemID A]],Katalog!$C$3:$C$12,0))*cadangan3[[#This Row],[Qty A]],0)</f>
        <v>1200000</v>
      </c>
      <c r="I770" s="36">
        <f>IFERROR(INDEX(Katalog!$D$3:$D$12,MATCH(cadangan3[[#This Row],[Item A]],Katalog!$B$3:$B$12,0))*cadangan3[[#This Row],[Qty A]],0)</f>
        <v>1200000</v>
      </c>
      <c r="J770" s="36">
        <f>IFERROR(cadangan3[[#This Row],[Harga Asli A]]-(cadangan3[[#This Row],[Harga Asli A]]*cadangan3[[#This Row],[Diskon]]),cadangan3[[#This Row],[Harga Asli A]])</f>
        <v>1080000</v>
      </c>
      <c r="K770" s="36">
        <f>INDEX(Katalog!$F$3:$F$12,MATCH(cadangan3[[#This Row],[ItemID A]],Katalog!$C$3:$C$12,0))*cadangan3[[#This Row],[Qty A]]</f>
        <v>450000</v>
      </c>
      <c r="L770" s="36">
        <f>IFERROR(cadangan3[[#This Row],[Profit A]]-(cadangan3[[#This Row],[Profit A]]*cadangan3[[#This Row],[Diskon]]),K770)</f>
        <v>405000</v>
      </c>
      <c r="M770" t="s">
        <v>59</v>
      </c>
      <c r="N770" t="str">
        <f>IFERROR(INDEX(Katalog!$A$3:$A$12,MATCH(cadangan3[[#This Row],[ItemID B]],Katalog!$C$3:$C$12,0)),"-")</f>
        <v>Pakaian Wanita</v>
      </c>
      <c r="O770" t="str">
        <f>IFERROR(INDEX(Katalog!$B$3:$B$12,MATCH(cadangan3[[#This Row],[ItemID B]],Katalog!$C$3:$C$12,0)),"-")</f>
        <v>Blouse</v>
      </c>
      <c r="P770">
        <v>3</v>
      </c>
      <c r="Q770">
        <v>3</v>
      </c>
      <c r="R770" s="36">
        <f>IFERROR(INDEX(Katalog!$D$3:$D$12,MATCH(cadangan3[[#This Row],[ItemID B]],Katalog!$C$3:$C$12,0))*cadangan3[[#This Row],[Qty B]],0)</f>
        <v>450000</v>
      </c>
      <c r="S770" s="36">
        <f>IFERROR(INDEX(Katalog!$D$3:$D$12,MATCH(cadangan3[[#This Row],[Item B]],Katalog!$B$3:$B$12,0))*cadangan3[[#This Row],[Qty B]],0)</f>
        <v>450000</v>
      </c>
      <c r="T770" s="36">
        <f>IFERROR(cadangan3[[#This Row],[Harga Asli B]]-(cadangan3[[#This Row],[Harga Asli B]]*cadangan3[[#This Row],[Diskon]]),cadangan3[[#This Row],[Harga Asli B]])</f>
        <v>405000</v>
      </c>
      <c r="U770" s="36">
        <f>IFERROR(INDEX(Katalog!$F$3:$F$12,MATCH(cadangan3[[#This Row],[ItemID B]],Katalog!$C$3:$C$12,0))*cadangan3[[#This Row],[Qty B]],0)</f>
        <v>150000</v>
      </c>
      <c r="V770" s="36">
        <f>IFERROR(cadangan3[[#This Row],[Profit B]]-(cadangan3[[#This Row],[Profit B]]*cadangan3[[#This Row],[Diskon]]),U770)</f>
        <v>135000</v>
      </c>
      <c r="X770" t="str">
        <f>IFERROR(INDEX(Katalog!$A$3:$A$12,MATCH(cadangan3[[#This Row],[ItemID C]],Katalog!$C$3:$C$12,0)),"-")</f>
        <v>-</v>
      </c>
      <c r="Y770" t="str">
        <f>IFERROR(INDEX(Katalog!$B$3:$B$12,MATCH(cadangan3[[#This Row],[ItemID C]],Katalog!$C$3:$C$12,0)),"-")</f>
        <v>-</v>
      </c>
      <c r="AB770" s="36">
        <f>IFERROR(INDEX(Katalog!$D$3:$D$12,MATCH(cadangan3[[#This Row],[ItemID C]],Katalog!$C$3:$C$12,0))*cadangan3[[#This Row],[Qty C]],0)</f>
        <v>0</v>
      </c>
      <c r="AC770" s="36">
        <f>IFERROR(INDEX(Katalog!$D$3:$D$12,MATCH(cadangan3[[#This Row],[Item C]],Katalog!$B$3:$B$12,0))*cadangan3[[#This Row],[Qty C]],0)</f>
        <v>0</v>
      </c>
      <c r="AD770" s="36">
        <f>IFERROR(cadangan3[[#This Row],[Harga Asli C]]-(cadangan3[[#This Row],[Harga Asli C]]*cadangan3[[#This Row],[Diskon]]),cadangan3[[#This Row],[Harga Asli C]])</f>
        <v>0</v>
      </c>
      <c r="AE770" s="36">
        <f>IFERROR(INDEX(Katalog!$F$3:$F$12,MATCH(cadangan3[[#This Row],[ItemID C]],Katalog!$C$3:$C$12,0))*cadangan3[[#This Row],[Qty C]],0)</f>
        <v>0</v>
      </c>
      <c r="AF770" s="36">
        <f>IFERROR(cadangan3[[#This Row],[Profit C]]-(cadangan3[[#This Row],[Profit C]]*cadangan3[[#This Row],[Diskon]]),cadangan3[[#This Row],[Profit C]])</f>
        <v>0</v>
      </c>
      <c r="AG770" s="21">
        <f>cadangan3[[#This Row],[Qty A]]+cadangan3[[#This Row],[Qty B]]+cadangan3[[#This Row],[Qty C]]</f>
        <v>6</v>
      </c>
      <c r="AH770" s="35">
        <f>cadangan3[[#This Row],[Harga A + Diskon]]+cadangan3[[#This Row],[Harga + Diskon B]]+cadangan3[[#This Row],[Harga + Diskon C]]</f>
        <v>1485000</v>
      </c>
      <c r="AI770" s="35">
        <f>(cadangan3[[#This Row],[Profit A]]+cadangan3[[#This Row],[Profit B]]+cadangan3[[#This Row],[Profit C]])</f>
        <v>600000</v>
      </c>
      <c r="AJ770" s="35">
        <f>cadangan3[[#This Row],[Provit A + Diskon]]+cadangan3[[#This Row],[Provit B + Diskon]]+cadangan3[[#This Row],[Provit C + Diskon]]</f>
        <v>540000</v>
      </c>
      <c r="AK770" s="23" t="s">
        <v>31</v>
      </c>
      <c r="AL770" s="37">
        <f>IFERROR(INDEX('Kode Diskon'!$D$3:$D$9,MATCH(cadangan3[[#This Row],[Kode diskon]],'Kode Diskon'!$C$3:$C$9,0)),"-")</f>
        <v>0.1</v>
      </c>
      <c r="AM770" s="23" t="s">
        <v>9</v>
      </c>
      <c r="AN770" s="23" t="s">
        <v>10</v>
      </c>
      <c r="AO770" s="23" t="s">
        <v>76</v>
      </c>
      <c r="AP770" s="24">
        <v>45045</v>
      </c>
      <c r="AQ770" s="23" t="str">
        <f>TEXT(cadangan3[[#This Row],[Tanggal terjual]],"dddd")</f>
        <v>Saturday</v>
      </c>
    </row>
    <row r="771" spans="1:43" x14ac:dyDescent="0.2">
      <c r="A771" s="20">
        <v>770</v>
      </c>
      <c r="B771" s="21" t="str">
        <f>_xlfn.CONCAT("ORD-",INDEX(Helper!$B$2:$B$5,MATCH(cadangan3[[#This Row],[Marketplace]],Helper!$A$2:$A$5,0)),TEXT(cadangan3[[#This Row],[No]],"0000"),"-",TEXT(cadangan3[[#This Row],[Tanggal terjual]],"dd/mm/yy"))</f>
        <v>ORD-TK0770-26/04/23</v>
      </c>
      <c r="C771" t="s">
        <v>66</v>
      </c>
      <c r="D771" t="str">
        <f>IFERROR(INDEX(Katalog!$A$3:$A$12,MATCH(cadangan3[[#This Row],[ItemID A]],Katalog!$C$3:$C$12,0)),"-")</f>
        <v>Sepatu Pria</v>
      </c>
      <c r="E771" t="str">
        <f>IFERROR(INDEX(Katalog!$B$3:$B$12,MATCH(cadangan3[[#This Row],[ItemID A]],Katalog!$C$3:$C$12,0)),"-")</f>
        <v>Sandal Slip On</v>
      </c>
      <c r="F771">
        <v>2</v>
      </c>
      <c r="G771">
        <v>2</v>
      </c>
      <c r="H771" s="36">
        <f>IFERROR(INDEX(Katalog!$D$3:$D$12,MATCH(cadangan3[[#This Row],[ItemID A]],Katalog!$C$3:$C$12,0))*cadangan3[[#This Row],[Qty A]],0)</f>
        <v>300000</v>
      </c>
      <c r="I771" s="36">
        <f>IFERROR(INDEX(Katalog!$D$3:$D$12,MATCH(cadangan3[[#This Row],[Item A]],Katalog!$B$3:$B$12,0))*cadangan3[[#This Row],[Qty A]],0)</f>
        <v>300000</v>
      </c>
      <c r="J771" s="36">
        <f>IFERROR(cadangan3[[#This Row],[Harga Asli A]]-(cadangan3[[#This Row],[Harga Asli A]]*cadangan3[[#This Row],[Diskon]]),cadangan3[[#This Row],[Harga Asli A]])</f>
        <v>270000</v>
      </c>
      <c r="K771" s="36">
        <f>INDEX(Katalog!$F$3:$F$12,MATCH(cadangan3[[#This Row],[ItemID A]],Katalog!$C$3:$C$12,0))*cadangan3[[#This Row],[Qty A]]</f>
        <v>120000</v>
      </c>
      <c r="L771" s="36">
        <f>IFERROR(cadangan3[[#This Row],[Profit A]]-(cadangan3[[#This Row],[Profit A]]*cadangan3[[#This Row],[Diskon]]),K771)</f>
        <v>108000</v>
      </c>
      <c r="N771" t="str">
        <f>IFERROR(INDEX(Katalog!$A$3:$A$12,MATCH(cadangan3[[#This Row],[ItemID B]],Katalog!$C$3:$C$12,0)),"-")</f>
        <v>-</v>
      </c>
      <c r="O771" t="str">
        <f>IFERROR(INDEX(Katalog!$B$3:$B$12,MATCH(cadangan3[[#This Row],[ItemID B]],Katalog!$C$3:$C$12,0)),"-")</f>
        <v>-</v>
      </c>
      <c r="R771" s="36">
        <f>IFERROR(INDEX(Katalog!$D$3:$D$12,MATCH(cadangan3[[#This Row],[ItemID B]],Katalog!$C$3:$C$12,0))*cadangan3[[#This Row],[Qty B]],0)</f>
        <v>0</v>
      </c>
      <c r="S771" s="36">
        <f>IFERROR(INDEX(Katalog!$D$3:$D$12,MATCH(cadangan3[[#This Row],[Item B]],Katalog!$B$3:$B$12,0))*cadangan3[[#This Row],[Qty B]],0)</f>
        <v>0</v>
      </c>
      <c r="T771" s="36">
        <f>IFERROR(cadangan3[[#This Row],[Harga Asli B]]-(cadangan3[[#This Row],[Harga Asli B]]*cadangan3[[#This Row],[Diskon]]),cadangan3[[#This Row],[Harga Asli B]])</f>
        <v>0</v>
      </c>
      <c r="U771" s="36">
        <f>IFERROR(INDEX(Katalog!$F$3:$F$12,MATCH(cadangan3[[#This Row],[ItemID B]],Katalog!$C$3:$C$12,0))*cadangan3[[#This Row],[Qty B]],0)</f>
        <v>0</v>
      </c>
      <c r="V771" s="36">
        <f>IFERROR(cadangan3[[#This Row],[Profit B]]-(cadangan3[[#This Row],[Profit B]]*cadangan3[[#This Row],[Diskon]]),U771)</f>
        <v>0</v>
      </c>
      <c r="X771" t="str">
        <f>IFERROR(INDEX(Katalog!$A$3:$A$12,MATCH(cadangan3[[#This Row],[ItemID C]],Katalog!$C$3:$C$12,0)),"-")</f>
        <v>-</v>
      </c>
      <c r="Y771" t="str">
        <f>IFERROR(INDEX(Katalog!$B$3:$B$12,MATCH(cadangan3[[#This Row],[ItemID C]],Katalog!$C$3:$C$12,0)),"-")</f>
        <v>-</v>
      </c>
      <c r="AB771" s="36">
        <f>IFERROR(INDEX(Katalog!$D$3:$D$12,MATCH(cadangan3[[#This Row],[ItemID C]],Katalog!$C$3:$C$12,0))*cadangan3[[#This Row],[Qty C]],0)</f>
        <v>0</v>
      </c>
      <c r="AC771" s="36">
        <f>IFERROR(INDEX(Katalog!$D$3:$D$12,MATCH(cadangan3[[#This Row],[Item C]],Katalog!$B$3:$B$12,0))*cadangan3[[#This Row],[Qty C]],0)</f>
        <v>0</v>
      </c>
      <c r="AD771" s="36">
        <f>IFERROR(cadangan3[[#This Row],[Harga Asli C]]-(cadangan3[[#This Row],[Harga Asli C]]*cadangan3[[#This Row],[Diskon]]),cadangan3[[#This Row],[Harga Asli C]])</f>
        <v>0</v>
      </c>
      <c r="AE771" s="36">
        <f>IFERROR(INDEX(Katalog!$F$3:$F$12,MATCH(cadangan3[[#This Row],[ItemID C]],Katalog!$C$3:$C$12,0))*cadangan3[[#This Row],[Qty C]],0)</f>
        <v>0</v>
      </c>
      <c r="AF771" s="36">
        <f>IFERROR(cadangan3[[#This Row],[Profit C]]-(cadangan3[[#This Row],[Profit C]]*cadangan3[[#This Row],[Diskon]]),cadangan3[[#This Row],[Profit C]])</f>
        <v>0</v>
      </c>
      <c r="AG771" s="21">
        <f>cadangan3[[#This Row],[Qty A]]+cadangan3[[#This Row],[Qty B]]+cadangan3[[#This Row],[Qty C]]</f>
        <v>2</v>
      </c>
      <c r="AH771" s="35">
        <f>cadangan3[[#This Row],[Harga A + Diskon]]+cadangan3[[#This Row],[Harga + Diskon B]]+cadangan3[[#This Row],[Harga + Diskon C]]</f>
        <v>270000</v>
      </c>
      <c r="AI771" s="35">
        <f>(cadangan3[[#This Row],[Profit A]]+cadangan3[[#This Row],[Profit B]]+cadangan3[[#This Row],[Profit C]])</f>
        <v>120000</v>
      </c>
      <c r="AJ771" s="35">
        <f>cadangan3[[#This Row],[Provit A + Diskon]]+cadangan3[[#This Row],[Provit B + Diskon]]+cadangan3[[#This Row],[Provit C + Diskon]]</f>
        <v>108000</v>
      </c>
      <c r="AK771" s="23" t="s">
        <v>31</v>
      </c>
      <c r="AL771" s="37">
        <f>IFERROR(INDEX('Kode Diskon'!$D$3:$D$9,MATCH(cadangan3[[#This Row],[Kode diskon]],'Kode Diskon'!$C$3:$C$9,0)),"-")</f>
        <v>0.1</v>
      </c>
      <c r="AM771" s="23" t="s">
        <v>9</v>
      </c>
      <c r="AN771" s="23" t="s">
        <v>10</v>
      </c>
      <c r="AO771" s="23" t="s">
        <v>80</v>
      </c>
      <c r="AP771" s="24">
        <v>45042</v>
      </c>
      <c r="AQ771" s="23" t="str">
        <f>TEXT(cadangan3[[#This Row],[Tanggal terjual]],"dddd")</f>
        <v>Wednesday</v>
      </c>
    </row>
    <row r="772" spans="1:43" x14ac:dyDescent="0.2">
      <c r="A772" s="20">
        <v>771</v>
      </c>
      <c r="B772" s="21" t="str">
        <f>_xlfn.CONCAT("ORD-",INDEX(Helper!$B$2:$B$5,MATCH(cadangan3[[#This Row],[Marketplace]],Helper!$A$2:$A$5,0)),TEXT(cadangan3[[#This Row],[No]],"0000"),"-",TEXT(cadangan3[[#This Row],[Tanggal terjual]],"dd/mm/yy"))</f>
        <v>ORD-TK0771-30/04/23</v>
      </c>
      <c r="C772" t="s">
        <v>59</v>
      </c>
      <c r="D772" t="str">
        <f>IFERROR(INDEX(Katalog!$A$3:$A$12,MATCH(cadangan3[[#This Row],[ItemID A]],Katalog!$C$3:$C$12,0)),"-")</f>
        <v>Pakaian Wanita</v>
      </c>
      <c r="E772" t="str">
        <f>IFERROR(INDEX(Katalog!$B$3:$B$12,MATCH(cadangan3[[#This Row],[ItemID A]],Katalog!$C$3:$C$12,0)),"-")</f>
        <v>Blouse</v>
      </c>
      <c r="F772">
        <v>7</v>
      </c>
      <c r="G772">
        <v>3</v>
      </c>
      <c r="H772" s="36">
        <f>IFERROR(INDEX(Katalog!$D$3:$D$12,MATCH(cadangan3[[#This Row],[ItemID A]],Katalog!$C$3:$C$12,0))*cadangan3[[#This Row],[Qty A]],0)</f>
        <v>1050000</v>
      </c>
      <c r="I772" s="36">
        <f>IFERROR(INDEX(Katalog!$D$3:$D$12,MATCH(cadangan3[[#This Row],[Item A]],Katalog!$B$3:$B$12,0))*cadangan3[[#This Row],[Qty A]],0)</f>
        <v>1050000</v>
      </c>
      <c r="J772" s="36">
        <f>IFERROR(cadangan3[[#This Row],[Harga Asli A]]-(cadangan3[[#This Row],[Harga Asli A]]*cadangan3[[#This Row],[Diskon]]),cadangan3[[#This Row],[Harga Asli A]])</f>
        <v>945000</v>
      </c>
      <c r="K772" s="36">
        <f>INDEX(Katalog!$F$3:$F$12,MATCH(cadangan3[[#This Row],[ItemID A]],Katalog!$C$3:$C$12,0))*cadangan3[[#This Row],[Qty A]]</f>
        <v>350000</v>
      </c>
      <c r="L772" s="36">
        <f>IFERROR(cadangan3[[#This Row],[Profit A]]-(cadangan3[[#This Row],[Profit A]]*cadangan3[[#This Row],[Diskon]]),K772)</f>
        <v>315000</v>
      </c>
      <c r="N772" t="str">
        <f>IFERROR(INDEX(Katalog!$A$3:$A$12,MATCH(cadangan3[[#This Row],[ItemID B]],Katalog!$C$3:$C$12,0)),"-")</f>
        <v>-</v>
      </c>
      <c r="O772" t="str">
        <f>IFERROR(INDEX(Katalog!$B$3:$B$12,MATCH(cadangan3[[#This Row],[ItemID B]],Katalog!$C$3:$C$12,0)),"-")</f>
        <v>-</v>
      </c>
      <c r="R772" s="36">
        <f>IFERROR(INDEX(Katalog!$D$3:$D$12,MATCH(cadangan3[[#This Row],[ItemID B]],Katalog!$C$3:$C$12,0))*cadangan3[[#This Row],[Qty B]],0)</f>
        <v>0</v>
      </c>
      <c r="S772" s="36">
        <f>IFERROR(INDEX(Katalog!$D$3:$D$12,MATCH(cadangan3[[#This Row],[Item B]],Katalog!$B$3:$B$12,0))*cadangan3[[#This Row],[Qty B]],0)</f>
        <v>0</v>
      </c>
      <c r="T772" s="36">
        <f>IFERROR(cadangan3[[#This Row],[Harga Asli B]]-(cadangan3[[#This Row],[Harga Asli B]]*cadangan3[[#This Row],[Diskon]]),cadangan3[[#This Row],[Harga Asli B]])</f>
        <v>0</v>
      </c>
      <c r="U772" s="36">
        <f>IFERROR(INDEX(Katalog!$F$3:$F$12,MATCH(cadangan3[[#This Row],[ItemID B]],Katalog!$C$3:$C$12,0))*cadangan3[[#This Row],[Qty B]],0)</f>
        <v>0</v>
      </c>
      <c r="V772" s="36">
        <f>IFERROR(cadangan3[[#This Row],[Profit B]]-(cadangan3[[#This Row],[Profit B]]*cadangan3[[#This Row],[Diskon]]),U772)</f>
        <v>0</v>
      </c>
      <c r="X772" t="str">
        <f>IFERROR(INDEX(Katalog!$A$3:$A$12,MATCH(cadangan3[[#This Row],[ItemID C]],Katalog!$C$3:$C$12,0)),"-")</f>
        <v>-</v>
      </c>
      <c r="Y772" t="str">
        <f>IFERROR(INDEX(Katalog!$B$3:$B$12,MATCH(cadangan3[[#This Row],[ItemID C]],Katalog!$C$3:$C$12,0)),"-")</f>
        <v>-</v>
      </c>
      <c r="AB772" s="36">
        <f>IFERROR(INDEX(Katalog!$D$3:$D$12,MATCH(cadangan3[[#This Row],[ItemID C]],Katalog!$C$3:$C$12,0))*cadangan3[[#This Row],[Qty C]],0)</f>
        <v>0</v>
      </c>
      <c r="AC772" s="36">
        <f>IFERROR(INDEX(Katalog!$D$3:$D$12,MATCH(cadangan3[[#This Row],[Item C]],Katalog!$B$3:$B$12,0))*cadangan3[[#This Row],[Qty C]],0)</f>
        <v>0</v>
      </c>
      <c r="AD772" s="36">
        <f>IFERROR(cadangan3[[#This Row],[Harga Asli C]]-(cadangan3[[#This Row],[Harga Asli C]]*cadangan3[[#This Row],[Diskon]]),cadangan3[[#This Row],[Harga Asli C]])</f>
        <v>0</v>
      </c>
      <c r="AE772" s="36">
        <f>IFERROR(INDEX(Katalog!$F$3:$F$12,MATCH(cadangan3[[#This Row],[ItemID C]],Katalog!$C$3:$C$12,0))*cadangan3[[#This Row],[Qty C]],0)</f>
        <v>0</v>
      </c>
      <c r="AF772" s="36">
        <f>IFERROR(cadangan3[[#This Row],[Profit C]]-(cadangan3[[#This Row],[Profit C]]*cadangan3[[#This Row],[Diskon]]),cadangan3[[#This Row],[Profit C]])</f>
        <v>0</v>
      </c>
      <c r="AG772" s="21">
        <f>cadangan3[[#This Row],[Qty A]]+cadangan3[[#This Row],[Qty B]]+cadangan3[[#This Row],[Qty C]]</f>
        <v>7</v>
      </c>
      <c r="AH772" s="35">
        <f>cadangan3[[#This Row],[Harga A + Diskon]]+cadangan3[[#This Row],[Harga + Diskon B]]+cadangan3[[#This Row],[Harga + Diskon C]]</f>
        <v>945000</v>
      </c>
      <c r="AI772" s="35">
        <f>(cadangan3[[#This Row],[Profit A]]+cadangan3[[#This Row],[Profit B]]+cadangan3[[#This Row],[Profit C]])</f>
        <v>350000</v>
      </c>
      <c r="AJ772" s="35">
        <f>cadangan3[[#This Row],[Provit A + Diskon]]+cadangan3[[#This Row],[Provit B + Diskon]]+cadangan3[[#This Row],[Provit C + Diskon]]</f>
        <v>315000</v>
      </c>
      <c r="AK772" s="23" t="s">
        <v>31</v>
      </c>
      <c r="AL772" s="37">
        <f>IFERROR(INDEX('Kode Diskon'!$D$3:$D$9,MATCH(cadangan3[[#This Row],[Kode diskon]],'Kode Diskon'!$C$3:$C$9,0)),"-")</f>
        <v>0.1</v>
      </c>
      <c r="AM772" s="23" t="s">
        <v>9</v>
      </c>
      <c r="AN772" s="23" t="s">
        <v>10</v>
      </c>
      <c r="AO772" s="23" t="s">
        <v>80</v>
      </c>
      <c r="AP772" s="24">
        <v>45046</v>
      </c>
      <c r="AQ772" s="23" t="str">
        <f>TEXT(cadangan3[[#This Row],[Tanggal terjual]],"dddd")</f>
        <v>Sunday</v>
      </c>
    </row>
    <row r="773" spans="1:43" x14ac:dyDescent="0.2">
      <c r="A773" s="20">
        <v>772</v>
      </c>
      <c r="B773" s="21" t="str">
        <f>_xlfn.CONCAT("ORD-",INDEX(Helper!$B$2:$B$5,MATCH(cadangan3[[#This Row],[Marketplace]],Helper!$A$2:$A$5,0)),TEXT(cadangan3[[#This Row],[No]],"0000"),"-",TEXT(cadangan3[[#This Row],[Tanggal terjual]],"dd/mm/yy"))</f>
        <v>ORD-SP0772-04/04/23</v>
      </c>
      <c r="C773" t="s">
        <v>65</v>
      </c>
      <c r="D773" t="str">
        <f>IFERROR(INDEX(Katalog!$A$3:$A$12,MATCH(cadangan3[[#This Row],[ItemID A]],Katalog!$C$3:$C$12,0)),"-")</f>
        <v>Sepatu Pria</v>
      </c>
      <c r="E773" t="str">
        <f>IFERROR(INDEX(Katalog!$B$3:$B$12,MATCH(cadangan3[[#This Row],[ItemID A]],Katalog!$C$3:$C$12,0)),"-")</f>
        <v>Sneakers</v>
      </c>
      <c r="F773">
        <v>1</v>
      </c>
      <c r="G773">
        <v>3</v>
      </c>
      <c r="H773" s="36">
        <f>IFERROR(INDEX(Katalog!$D$3:$D$12,MATCH(cadangan3[[#This Row],[ItemID A]],Katalog!$C$3:$C$12,0))*cadangan3[[#This Row],[Qty A]],0)</f>
        <v>500000</v>
      </c>
      <c r="I773" s="36">
        <f>IFERROR(INDEX(Katalog!$D$3:$D$12,MATCH(cadangan3[[#This Row],[Item A]],Katalog!$B$3:$B$12,0))*cadangan3[[#This Row],[Qty A]],0)</f>
        <v>500000</v>
      </c>
      <c r="J773" s="36">
        <f>IFERROR(cadangan3[[#This Row],[Harga Asli A]]-(cadangan3[[#This Row],[Harga Asli A]]*cadangan3[[#This Row],[Diskon]]),cadangan3[[#This Row],[Harga Asli A]])</f>
        <v>425000</v>
      </c>
      <c r="K773" s="36">
        <f>INDEX(Katalog!$F$3:$F$12,MATCH(cadangan3[[#This Row],[ItemID A]],Katalog!$C$3:$C$12,0))*cadangan3[[#This Row],[Qty A]]</f>
        <v>200000</v>
      </c>
      <c r="L773" s="36">
        <f>IFERROR(cadangan3[[#This Row],[Profit A]]-(cadangan3[[#This Row],[Profit A]]*cadangan3[[#This Row],[Diskon]]),K773)</f>
        <v>170000</v>
      </c>
      <c r="M773" t="s">
        <v>60</v>
      </c>
      <c r="N773" t="str">
        <f>IFERROR(INDEX(Katalog!$A$3:$A$12,MATCH(cadangan3[[#This Row],[ItemID B]],Katalog!$C$3:$C$12,0)),"-")</f>
        <v>Pakaian Wanita</v>
      </c>
      <c r="O773" t="str">
        <f>IFERROR(INDEX(Katalog!$B$3:$B$12,MATCH(cadangan3[[#This Row],[ItemID B]],Katalog!$C$3:$C$12,0)),"-")</f>
        <v>Kaftan</v>
      </c>
      <c r="P773">
        <v>4</v>
      </c>
      <c r="Q773">
        <v>4</v>
      </c>
      <c r="R773" s="36">
        <f>IFERROR(INDEX(Katalog!$D$3:$D$12,MATCH(cadangan3[[#This Row],[ItemID B]],Katalog!$C$3:$C$12,0))*cadangan3[[#This Row],[Qty B]],0)</f>
        <v>1000000</v>
      </c>
      <c r="S773" s="36">
        <f>IFERROR(INDEX(Katalog!$D$3:$D$12,MATCH(cadangan3[[#This Row],[Item B]],Katalog!$B$3:$B$12,0))*cadangan3[[#This Row],[Qty B]],0)</f>
        <v>1000000</v>
      </c>
      <c r="T773" s="36">
        <f>IFERROR(cadangan3[[#This Row],[Harga Asli B]]-(cadangan3[[#This Row],[Harga Asli B]]*cadangan3[[#This Row],[Diskon]]),cadangan3[[#This Row],[Harga Asli B]])</f>
        <v>850000</v>
      </c>
      <c r="U773" s="36">
        <f>IFERROR(INDEX(Katalog!$F$3:$F$12,MATCH(cadangan3[[#This Row],[ItemID B]],Katalog!$C$3:$C$12,0))*cadangan3[[#This Row],[Qty B]],0)</f>
        <v>400000</v>
      </c>
      <c r="V773" s="36">
        <f>IFERROR(cadangan3[[#This Row],[Profit B]]-(cadangan3[[#This Row],[Profit B]]*cadangan3[[#This Row],[Diskon]]),U773)</f>
        <v>340000</v>
      </c>
      <c r="X773" t="str">
        <f>IFERROR(INDEX(Katalog!$A$3:$A$12,MATCH(cadangan3[[#This Row],[ItemID C]],Katalog!$C$3:$C$12,0)),"-")</f>
        <v>-</v>
      </c>
      <c r="Y773" t="str">
        <f>IFERROR(INDEX(Katalog!$B$3:$B$12,MATCH(cadangan3[[#This Row],[ItemID C]],Katalog!$C$3:$C$12,0)),"-")</f>
        <v>-</v>
      </c>
      <c r="AB773" s="36">
        <f>IFERROR(INDEX(Katalog!$D$3:$D$12,MATCH(cadangan3[[#This Row],[ItemID C]],Katalog!$C$3:$C$12,0))*cadangan3[[#This Row],[Qty C]],0)</f>
        <v>0</v>
      </c>
      <c r="AC773" s="36">
        <f>IFERROR(INDEX(Katalog!$D$3:$D$12,MATCH(cadangan3[[#This Row],[Item C]],Katalog!$B$3:$B$12,0))*cadangan3[[#This Row],[Qty C]],0)</f>
        <v>0</v>
      </c>
      <c r="AD773" s="36">
        <f>IFERROR(cadangan3[[#This Row],[Harga Asli C]]-(cadangan3[[#This Row],[Harga Asli C]]*cadangan3[[#This Row],[Diskon]]),cadangan3[[#This Row],[Harga Asli C]])</f>
        <v>0</v>
      </c>
      <c r="AE773" s="36">
        <f>IFERROR(INDEX(Katalog!$F$3:$F$12,MATCH(cadangan3[[#This Row],[ItemID C]],Katalog!$C$3:$C$12,0))*cadangan3[[#This Row],[Qty C]],0)</f>
        <v>0</v>
      </c>
      <c r="AF773" s="36">
        <f>IFERROR(cadangan3[[#This Row],[Profit C]]-(cadangan3[[#This Row],[Profit C]]*cadangan3[[#This Row],[Diskon]]),cadangan3[[#This Row],[Profit C]])</f>
        <v>0</v>
      </c>
      <c r="AG773" s="21">
        <f>cadangan3[[#This Row],[Qty A]]+cadangan3[[#This Row],[Qty B]]+cadangan3[[#This Row],[Qty C]]</f>
        <v>5</v>
      </c>
      <c r="AH773" s="35">
        <f>cadangan3[[#This Row],[Harga A + Diskon]]+cadangan3[[#This Row],[Harga + Diskon B]]+cadangan3[[#This Row],[Harga + Diskon C]]</f>
        <v>1275000</v>
      </c>
      <c r="AI773" s="35">
        <f>(cadangan3[[#This Row],[Profit A]]+cadangan3[[#This Row],[Profit B]]+cadangan3[[#This Row],[Profit C]])</f>
        <v>600000</v>
      </c>
      <c r="AJ773" s="35">
        <f>cadangan3[[#This Row],[Provit A + Diskon]]+cadangan3[[#This Row],[Provit B + Diskon]]+cadangan3[[#This Row],[Provit C + Diskon]]</f>
        <v>510000</v>
      </c>
      <c r="AK773" s="23" t="s">
        <v>13</v>
      </c>
      <c r="AL773" s="37">
        <f>IFERROR(INDEX('Kode Diskon'!$D$3:$D$9,MATCH(cadangan3[[#This Row],[Kode diskon]],'Kode Diskon'!$C$3:$C$9,0)),"-")</f>
        <v>0.15</v>
      </c>
      <c r="AM773" s="23" t="s">
        <v>29</v>
      </c>
      <c r="AN773" s="23" t="s">
        <v>7</v>
      </c>
      <c r="AO773" s="23" t="s">
        <v>77</v>
      </c>
      <c r="AP773" s="24">
        <v>45020</v>
      </c>
      <c r="AQ773" s="23" t="str">
        <f>TEXT(cadangan3[[#This Row],[Tanggal terjual]],"dddd")</f>
        <v>Tuesday</v>
      </c>
    </row>
    <row r="774" spans="1:43" x14ac:dyDescent="0.2">
      <c r="A774" s="20">
        <v>773</v>
      </c>
      <c r="B774" s="21" t="str">
        <f>_xlfn.CONCAT("ORD-",INDEX(Helper!$B$2:$B$5,MATCH(cadangan3[[#This Row],[Marketplace]],Helper!$A$2:$A$5,0)),TEXT(cadangan3[[#This Row],[No]],"0000"),"-",TEXT(cadangan3[[#This Row],[Tanggal terjual]],"dd/mm/yy"))</f>
        <v>ORD-SP0773-16/04/23</v>
      </c>
      <c r="C774" t="s">
        <v>63</v>
      </c>
      <c r="D774" t="str">
        <f>IFERROR(INDEX(Katalog!$A$3:$A$12,MATCH(cadangan3[[#This Row],[ItemID A]],Katalog!$C$3:$C$12,0)),"-")</f>
        <v>Pakaian Pria</v>
      </c>
      <c r="E774" t="str">
        <f>IFERROR(INDEX(Katalog!$B$3:$B$12,MATCH(cadangan3[[#This Row],[ItemID A]],Katalog!$C$3:$C$12,0)),"-")</f>
        <v>Jaket Jeans</v>
      </c>
      <c r="F774">
        <v>5</v>
      </c>
      <c r="G774">
        <v>2</v>
      </c>
      <c r="H774" s="36">
        <f>IFERROR(INDEX(Katalog!$D$3:$D$12,MATCH(cadangan3[[#This Row],[ItemID A]],Katalog!$C$3:$C$12,0))*cadangan3[[#This Row],[Qty A]],0)</f>
        <v>2000000</v>
      </c>
      <c r="I774" s="36">
        <f>IFERROR(INDEX(Katalog!$D$3:$D$12,MATCH(cadangan3[[#This Row],[Item A]],Katalog!$B$3:$B$12,0))*cadangan3[[#This Row],[Qty A]],0)</f>
        <v>2000000</v>
      </c>
      <c r="J774" s="36">
        <f>IFERROR(cadangan3[[#This Row],[Harga Asli A]]-(cadangan3[[#This Row],[Harga Asli A]]*cadangan3[[#This Row],[Diskon]]),cadangan3[[#This Row],[Harga Asli A]])</f>
        <v>1600000</v>
      </c>
      <c r="K774" s="36">
        <f>INDEX(Katalog!$F$3:$F$12,MATCH(cadangan3[[#This Row],[ItemID A]],Katalog!$C$3:$C$12,0))*cadangan3[[#This Row],[Qty A]]</f>
        <v>750000</v>
      </c>
      <c r="L774" s="36">
        <f>IFERROR(cadangan3[[#This Row],[Profit A]]-(cadangan3[[#This Row],[Profit A]]*cadangan3[[#This Row],[Diskon]]),K774)</f>
        <v>600000</v>
      </c>
      <c r="M774" t="s">
        <v>67</v>
      </c>
      <c r="N774" t="str">
        <f>IFERROR(INDEX(Katalog!$A$3:$A$12,MATCH(cadangan3[[#This Row],[ItemID B]],Katalog!$C$3:$C$12,0)),"-")</f>
        <v>Sepatu Wanita</v>
      </c>
      <c r="O774" t="str">
        <f>IFERROR(INDEX(Katalog!$B$3:$B$12,MATCH(cadangan3[[#This Row],[ItemID B]],Katalog!$C$3:$C$12,0)),"-")</f>
        <v>Flat Shoes</v>
      </c>
      <c r="P774">
        <v>2</v>
      </c>
      <c r="Q774">
        <v>2</v>
      </c>
      <c r="R774" s="36">
        <f>IFERROR(INDEX(Katalog!$D$3:$D$12,MATCH(cadangan3[[#This Row],[ItemID B]],Katalog!$C$3:$C$12,0))*cadangan3[[#This Row],[Qty B]],0)</f>
        <v>500000</v>
      </c>
      <c r="S774" s="36">
        <f>IFERROR(INDEX(Katalog!$D$3:$D$12,MATCH(cadangan3[[#This Row],[Item B]],Katalog!$B$3:$B$12,0))*cadangan3[[#This Row],[Qty B]],0)</f>
        <v>500000</v>
      </c>
      <c r="T774" s="36">
        <f>IFERROR(cadangan3[[#This Row],[Harga Asli B]]-(cadangan3[[#This Row],[Harga Asli B]]*cadangan3[[#This Row],[Diskon]]),cadangan3[[#This Row],[Harga Asli B]])</f>
        <v>400000</v>
      </c>
      <c r="U774" s="36">
        <f>IFERROR(INDEX(Katalog!$F$3:$F$12,MATCH(cadangan3[[#This Row],[ItemID B]],Katalog!$C$3:$C$12,0))*cadangan3[[#This Row],[Qty B]],0)</f>
        <v>200000</v>
      </c>
      <c r="V774" s="36">
        <f>IFERROR(cadangan3[[#This Row],[Profit B]]-(cadangan3[[#This Row],[Profit B]]*cadangan3[[#This Row],[Diskon]]),U774)</f>
        <v>160000</v>
      </c>
      <c r="X774" t="str">
        <f>IFERROR(INDEX(Katalog!$A$3:$A$12,MATCH(cadangan3[[#This Row],[ItemID C]],Katalog!$C$3:$C$12,0)),"-")</f>
        <v>-</v>
      </c>
      <c r="Y774" t="str">
        <f>IFERROR(INDEX(Katalog!$B$3:$B$12,MATCH(cadangan3[[#This Row],[ItemID C]],Katalog!$C$3:$C$12,0)),"-")</f>
        <v>-</v>
      </c>
      <c r="AB774" s="36">
        <f>IFERROR(INDEX(Katalog!$D$3:$D$12,MATCH(cadangan3[[#This Row],[ItemID C]],Katalog!$C$3:$C$12,0))*cadangan3[[#This Row],[Qty C]],0)</f>
        <v>0</v>
      </c>
      <c r="AC774" s="36">
        <f>IFERROR(INDEX(Katalog!$D$3:$D$12,MATCH(cadangan3[[#This Row],[Item C]],Katalog!$B$3:$B$12,0))*cadangan3[[#This Row],[Qty C]],0)</f>
        <v>0</v>
      </c>
      <c r="AD774" s="36">
        <f>IFERROR(cadangan3[[#This Row],[Harga Asli C]]-(cadangan3[[#This Row],[Harga Asli C]]*cadangan3[[#This Row],[Diskon]]),cadangan3[[#This Row],[Harga Asli C]])</f>
        <v>0</v>
      </c>
      <c r="AE774" s="36">
        <f>IFERROR(INDEX(Katalog!$F$3:$F$12,MATCH(cadangan3[[#This Row],[ItemID C]],Katalog!$C$3:$C$12,0))*cadangan3[[#This Row],[Qty C]],0)</f>
        <v>0</v>
      </c>
      <c r="AF774" s="36">
        <f>IFERROR(cadangan3[[#This Row],[Profit C]]-(cadangan3[[#This Row],[Profit C]]*cadangan3[[#This Row],[Diskon]]),cadangan3[[#This Row],[Profit C]])</f>
        <v>0</v>
      </c>
      <c r="AG774" s="21">
        <f>cadangan3[[#This Row],[Qty A]]+cadangan3[[#This Row],[Qty B]]+cadangan3[[#This Row],[Qty C]]</f>
        <v>7</v>
      </c>
      <c r="AH774" s="35">
        <f>cadangan3[[#This Row],[Harga A + Diskon]]+cadangan3[[#This Row],[Harga + Diskon B]]+cadangan3[[#This Row],[Harga + Diskon C]]</f>
        <v>2000000</v>
      </c>
      <c r="AI774" s="35">
        <f>(cadangan3[[#This Row],[Profit A]]+cadangan3[[#This Row],[Profit B]]+cadangan3[[#This Row],[Profit C]])</f>
        <v>950000</v>
      </c>
      <c r="AJ774" s="35">
        <f>cadangan3[[#This Row],[Provit A + Diskon]]+cadangan3[[#This Row],[Provit B + Diskon]]+cadangan3[[#This Row],[Provit C + Diskon]]</f>
        <v>760000</v>
      </c>
      <c r="AK774" s="23" t="s">
        <v>8</v>
      </c>
      <c r="AL774" s="37">
        <f>IFERROR(INDEX('Kode Diskon'!$D$3:$D$9,MATCH(cadangan3[[#This Row],[Kode diskon]],'Kode Diskon'!$C$3:$C$9,0)),"-")</f>
        <v>0.2</v>
      </c>
      <c r="AM774" s="23" t="s">
        <v>9</v>
      </c>
      <c r="AN774" s="23" t="s">
        <v>7</v>
      </c>
      <c r="AO774" s="23" t="s">
        <v>80</v>
      </c>
      <c r="AP774" s="24">
        <v>45032</v>
      </c>
      <c r="AQ774" s="23" t="str">
        <f>TEXT(cadangan3[[#This Row],[Tanggal terjual]],"dddd")</f>
        <v>Sunday</v>
      </c>
    </row>
    <row r="775" spans="1:43" x14ac:dyDescent="0.2">
      <c r="A775" s="20">
        <v>774</v>
      </c>
      <c r="B775" s="21" t="str">
        <f>_xlfn.CONCAT("ORD-",INDEX(Helper!$B$2:$B$5,MATCH(cadangan3[[#This Row],[Marketplace]],Helper!$A$2:$A$5,0)),TEXT(cadangan3[[#This Row],[No]],"0000"),"-",TEXT(cadangan3[[#This Row],[Tanggal terjual]],"dd/mm/yy"))</f>
        <v>ORD-SP0774-17/04/23</v>
      </c>
      <c r="C775" t="s">
        <v>67</v>
      </c>
      <c r="D775" t="str">
        <f>IFERROR(INDEX(Katalog!$A$3:$A$12,MATCH(cadangan3[[#This Row],[ItemID A]],Katalog!$C$3:$C$12,0)),"-")</f>
        <v>Sepatu Wanita</v>
      </c>
      <c r="E775" t="str">
        <f>IFERROR(INDEX(Katalog!$B$3:$B$12,MATCH(cadangan3[[#This Row],[ItemID A]],Katalog!$C$3:$C$12,0)),"-")</f>
        <v>Flat Shoes</v>
      </c>
      <c r="F775">
        <v>1</v>
      </c>
      <c r="G775">
        <v>3</v>
      </c>
      <c r="H775" s="36">
        <f>IFERROR(INDEX(Katalog!$D$3:$D$12,MATCH(cadangan3[[#This Row],[ItemID A]],Katalog!$C$3:$C$12,0))*cadangan3[[#This Row],[Qty A]],0)</f>
        <v>250000</v>
      </c>
      <c r="I775" s="36">
        <f>IFERROR(INDEX(Katalog!$D$3:$D$12,MATCH(cadangan3[[#This Row],[Item A]],Katalog!$B$3:$B$12,0))*cadangan3[[#This Row],[Qty A]],0)</f>
        <v>250000</v>
      </c>
      <c r="J775" s="36">
        <f>IFERROR(cadangan3[[#This Row],[Harga Asli A]]-(cadangan3[[#This Row],[Harga Asli A]]*cadangan3[[#This Row],[Diskon]]),cadangan3[[#This Row],[Harga Asli A]])</f>
        <v>200000</v>
      </c>
      <c r="K775" s="36">
        <f>INDEX(Katalog!$F$3:$F$12,MATCH(cadangan3[[#This Row],[ItemID A]],Katalog!$C$3:$C$12,0))*cadangan3[[#This Row],[Qty A]]</f>
        <v>100000</v>
      </c>
      <c r="L775" s="36">
        <f>IFERROR(cadangan3[[#This Row],[Profit A]]-(cadangan3[[#This Row],[Profit A]]*cadangan3[[#This Row],[Diskon]]),K775)</f>
        <v>80000</v>
      </c>
      <c r="N775" t="str">
        <f>IFERROR(INDEX(Katalog!$A$3:$A$12,MATCH(cadangan3[[#This Row],[ItemID B]],Katalog!$C$3:$C$12,0)),"-")</f>
        <v>-</v>
      </c>
      <c r="O775" t="str">
        <f>IFERROR(INDEX(Katalog!$B$3:$B$12,MATCH(cadangan3[[#This Row],[ItemID B]],Katalog!$C$3:$C$12,0)),"-")</f>
        <v>-</v>
      </c>
      <c r="R775" s="36">
        <f>IFERROR(INDEX(Katalog!$D$3:$D$12,MATCH(cadangan3[[#This Row],[ItemID B]],Katalog!$C$3:$C$12,0))*cadangan3[[#This Row],[Qty B]],0)</f>
        <v>0</v>
      </c>
      <c r="S775" s="36">
        <f>IFERROR(INDEX(Katalog!$D$3:$D$12,MATCH(cadangan3[[#This Row],[Item B]],Katalog!$B$3:$B$12,0))*cadangan3[[#This Row],[Qty B]],0)</f>
        <v>0</v>
      </c>
      <c r="T775" s="36">
        <f>IFERROR(cadangan3[[#This Row],[Harga Asli B]]-(cadangan3[[#This Row],[Harga Asli B]]*cadangan3[[#This Row],[Diskon]]),cadangan3[[#This Row],[Harga Asli B]])</f>
        <v>0</v>
      </c>
      <c r="U775" s="36">
        <f>IFERROR(INDEX(Katalog!$F$3:$F$12,MATCH(cadangan3[[#This Row],[ItemID B]],Katalog!$C$3:$C$12,0))*cadangan3[[#This Row],[Qty B]],0)</f>
        <v>0</v>
      </c>
      <c r="V775" s="36">
        <f>IFERROR(cadangan3[[#This Row],[Profit B]]-(cadangan3[[#This Row],[Profit B]]*cadangan3[[#This Row],[Diskon]]),U775)</f>
        <v>0</v>
      </c>
      <c r="X775" t="str">
        <f>IFERROR(INDEX(Katalog!$A$3:$A$12,MATCH(cadangan3[[#This Row],[ItemID C]],Katalog!$C$3:$C$12,0)),"-")</f>
        <v>-</v>
      </c>
      <c r="Y775" t="str">
        <f>IFERROR(INDEX(Katalog!$B$3:$B$12,MATCH(cadangan3[[#This Row],[ItemID C]],Katalog!$C$3:$C$12,0)),"-")</f>
        <v>-</v>
      </c>
      <c r="AB775" s="36">
        <f>IFERROR(INDEX(Katalog!$D$3:$D$12,MATCH(cadangan3[[#This Row],[ItemID C]],Katalog!$C$3:$C$12,0))*cadangan3[[#This Row],[Qty C]],0)</f>
        <v>0</v>
      </c>
      <c r="AC775" s="36">
        <f>IFERROR(INDEX(Katalog!$D$3:$D$12,MATCH(cadangan3[[#This Row],[Item C]],Katalog!$B$3:$B$12,0))*cadangan3[[#This Row],[Qty C]],0)</f>
        <v>0</v>
      </c>
      <c r="AD775" s="36">
        <f>IFERROR(cadangan3[[#This Row],[Harga Asli C]]-(cadangan3[[#This Row],[Harga Asli C]]*cadangan3[[#This Row],[Diskon]]),cadangan3[[#This Row],[Harga Asli C]])</f>
        <v>0</v>
      </c>
      <c r="AE775" s="36">
        <f>IFERROR(INDEX(Katalog!$F$3:$F$12,MATCH(cadangan3[[#This Row],[ItemID C]],Katalog!$C$3:$C$12,0))*cadangan3[[#This Row],[Qty C]],0)</f>
        <v>0</v>
      </c>
      <c r="AF775" s="36">
        <f>IFERROR(cadangan3[[#This Row],[Profit C]]-(cadangan3[[#This Row],[Profit C]]*cadangan3[[#This Row],[Diskon]]),cadangan3[[#This Row],[Profit C]])</f>
        <v>0</v>
      </c>
      <c r="AG775" s="21">
        <f>cadangan3[[#This Row],[Qty A]]+cadangan3[[#This Row],[Qty B]]+cadangan3[[#This Row],[Qty C]]</f>
        <v>1</v>
      </c>
      <c r="AH775" s="35">
        <f>cadangan3[[#This Row],[Harga A + Diskon]]+cadangan3[[#This Row],[Harga + Diskon B]]+cadangan3[[#This Row],[Harga + Diskon C]]</f>
        <v>200000</v>
      </c>
      <c r="AI775" s="35">
        <f>(cadangan3[[#This Row],[Profit A]]+cadangan3[[#This Row],[Profit B]]+cadangan3[[#This Row],[Profit C]])</f>
        <v>100000</v>
      </c>
      <c r="AJ775" s="35">
        <f>cadangan3[[#This Row],[Provit A + Diskon]]+cadangan3[[#This Row],[Provit B + Diskon]]+cadangan3[[#This Row],[Provit C + Diskon]]</f>
        <v>80000</v>
      </c>
      <c r="AK775" s="23" t="s">
        <v>8</v>
      </c>
      <c r="AL775" s="37">
        <f>IFERROR(INDEX('Kode Diskon'!$D$3:$D$9,MATCH(cadangan3[[#This Row],[Kode diskon]],'Kode Diskon'!$C$3:$C$9,0)),"-")</f>
        <v>0.2</v>
      </c>
      <c r="AM775" s="23" t="s">
        <v>9</v>
      </c>
      <c r="AN775" s="23" t="s">
        <v>7</v>
      </c>
      <c r="AO775" s="23" t="s">
        <v>76</v>
      </c>
      <c r="AP775" s="24">
        <v>45033</v>
      </c>
      <c r="AQ775" s="23" t="str">
        <f>TEXT(cadangan3[[#This Row],[Tanggal terjual]],"dddd")</f>
        <v>Monday</v>
      </c>
    </row>
    <row r="776" spans="1:43" x14ac:dyDescent="0.2">
      <c r="A776" s="20">
        <v>775</v>
      </c>
      <c r="B776" s="21" t="str">
        <f>_xlfn.CONCAT("ORD-",INDEX(Helper!$B$2:$B$5,MATCH(cadangan3[[#This Row],[Marketplace]],Helper!$A$2:$A$5,0)),TEXT(cadangan3[[#This Row],[No]],"0000"),"-",TEXT(cadangan3[[#This Row],[Tanggal terjual]],"dd/mm/yy"))</f>
        <v>ORD-BB0775-03/04/23</v>
      </c>
      <c r="C776" t="s">
        <v>63</v>
      </c>
      <c r="D776" t="str">
        <f>IFERROR(INDEX(Katalog!$A$3:$A$12,MATCH(cadangan3[[#This Row],[ItemID A]],Katalog!$C$3:$C$12,0)),"-")</f>
        <v>Pakaian Pria</v>
      </c>
      <c r="E776" t="str">
        <f>IFERROR(INDEX(Katalog!$B$3:$B$12,MATCH(cadangan3[[#This Row],[ItemID A]],Katalog!$C$3:$C$12,0)),"-")</f>
        <v>Jaket Jeans</v>
      </c>
      <c r="F776">
        <v>1</v>
      </c>
      <c r="G776">
        <v>5</v>
      </c>
      <c r="H776" s="36">
        <f>IFERROR(INDEX(Katalog!$D$3:$D$12,MATCH(cadangan3[[#This Row],[ItemID A]],Katalog!$C$3:$C$12,0))*cadangan3[[#This Row],[Qty A]],0)</f>
        <v>400000</v>
      </c>
      <c r="I776" s="36">
        <f>IFERROR(INDEX(Katalog!$D$3:$D$12,MATCH(cadangan3[[#This Row],[Item A]],Katalog!$B$3:$B$12,0))*cadangan3[[#This Row],[Qty A]],0)</f>
        <v>400000</v>
      </c>
      <c r="J776" s="36">
        <f>IFERROR(cadangan3[[#This Row],[Harga Asli A]]-(cadangan3[[#This Row],[Harga Asli A]]*cadangan3[[#This Row],[Diskon]]),cadangan3[[#This Row],[Harga Asli A]])</f>
        <v>340000</v>
      </c>
      <c r="K776" s="36">
        <f>INDEX(Katalog!$F$3:$F$12,MATCH(cadangan3[[#This Row],[ItemID A]],Katalog!$C$3:$C$12,0))*cadangan3[[#This Row],[Qty A]]</f>
        <v>150000</v>
      </c>
      <c r="L776" s="36">
        <f>IFERROR(cadangan3[[#This Row],[Profit A]]-(cadangan3[[#This Row],[Profit A]]*cadangan3[[#This Row],[Diskon]]),K776)</f>
        <v>127500</v>
      </c>
      <c r="M776" t="s">
        <v>59</v>
      </c>
      <c r="N776" t="str">
        <f>IFERROR(INDEX(Katalog!$A$3:$A$12,MATCH(cadangan3[[#This Row],[ItemID B]],Katalog!$C$3:$C$12,0)),"-")</f>
        <v>Pakaian Wanita</v>
      </c>
      <c r="O776" t="str">
        <f>IFERROR(INDEX(Katalog!$B$3:$B$12,MATCH(cadangan3[[#This Row],[ItemID B]],Katalog!$C$3:$C$12,0)),"-")</f>
        <v>Blouse</v>
      </c>
      <c r="P776">
        <v>2</v>
      </c>
      <c r="Q776">
        <v>3</v>
      </c>
      <c r="R776" s="36">
        <f>IFERROR(INDEX(Katalog!$D$3:$D$12,MATCH(cadangan3[[#This Row],[ItemID B]],Katalog!$C$3:$C$12,0))*cadangan3[[#This Row],[Qty B]],0)</f>
        <v>300000</v>
      </c>
      <c r="S776" s="36">
        <f>IFERROR(INDEX(Katalog!$D$3:$D$12,MATCH(cadangan3[[#This Row],[Item B]],Katalog!$B$3:$B$12,0))*cadangan3[[#This Row],[Qty B]],0)</f>
        <v>300000</v>
      </c>
      <c r="T776" s="36">
        <f>IFERROR(cadangan3[[#This Row],[Harga Asli B]]-(cadangan3[[#This Row],[Harga Asli B]]*cadangan3[[#This Row],[Diskon]]),cadangan3[[#This Row],[Harga Asli B]])</f>
        <v>255000</v>
      </c>
      <c r="U776" s="36">
        <f>IFERROR(INDEX(Katalog!$F$3:$F$12,MATCH(cadangan3[[#This Row],[ItemID B]],Katalog!$C$3:$C$12,0))*cadangan3[[#This Row],[Qty B]],0)</f>
        <v>100000</v>
      </c>
      <c r="V776" s="36">
        <f>IFERROR(cadangan3[[#This Row],[Profit B]]-(cadangan3[[#This Row],[Profit B]]*cadangan3[[#This Row],[Diskon]]),U776)</f>
        <v>85000</v>
      </c>
      <c r="W776" t="s">
        <v>61</v>
      </c>
      <c r="X776" t="str">
        <f>IFERROR(INDEX(Katalog!$A$3:$A$12,MATCH(cadangan3[[#This Row],[ItemID C]],Katalog!$C$3:$C$12,0)),"-")</f>
        <v>Pakaian Pria</v>
      </c>
      <c r="Y776" t="str">
        <f>IFERROR(INDEX(Katalog!$B$3:$B$12,MATCH(cadangan3[[#This Row],[ItemID C]],Katalog!$C$3:$C$12,0)),"-")</f>
        <v>Kaos Polo</v>
      </c>
      <c r="Z776">
        <v>1</v>
      </c>
      <c r="AA776">
        <v>5</v>
      </c>
      <c r="AB776" s="36">
        <f>IFERROR(INDEX(Katalog!$D$3:$D$12,MATCH(cadangan3[[#This Row],[ItemID C]],Katalog!$C$3:$C$12,0))*cadangan3[[#This Row],[Qty C]],0)</f>
        <v>200000</v>
      </c>
      <c r="AC776" s="36">
        <f>IFERROR(INDEX(Katalog!$D$3:$D$12,MATCH(cadangan3[[#This Row],[Item C]],Katalog!$B$3:$B$12,0))*cadangan3[[#This Row],[Qty C]],0)</f>
        <v>200000</v>
      </c>
      <c r="AD776" s="36">
        <f>IFERROR(cadangan3[[#This Row],[Harga Asli C]]-(cadangan3[[#This Row],[Harga Asli C]]*cadangan3[[#This Row],[Diskon]]),cadangan3[[#This Row],[Harga Asli C]])</f>
        <v>170000</v>
      </c>
      <c r="AE776" s="36">
        <f>IFERROR(INDEX(Katalog!$F$3:$F$12,MATCH(cadangan3[[#This Row],[ItemID C]],Katalog!$C$3:$C$12,0))*cadangan3[[#This Row],[Qty C]],0)</f>
        <v>80000</v>
      </c>
      <c r="AF776" s="36">
        <f>IFERROR(cadangan3[[#This Row],[Profit C]]-(cadangan3[[#This Row],[Profit C]]*cadangan3[[#This Row],[Diskon]]),cadangan3[[#This Row],[Profit C]])</f>
        <v>68000</v>
      </c>
      <c r="AG776" s="21">
        <f>cadangan3[[#This Row],[Qty A]]+cadangan3[[#This Row],[Qty B]]+cadangan3[[#This Row],[Qty C]]</f>
        <v>4</v>
      </c>
      <c r="AH776" s="35">
        <f>cadangan3[[#This Row],[Harga A + Diskon]]+cadangan3[[#This Row],[Harga + Diskon B]]+cadangan3[[#This Row],[Harga + Diskon C]]</f>
        <v>765000</v>
      </c>
      <c r="AI776" s="35">
        <f>(cadangan3[[#This Row],[Profit A]]+cadangan3[[#This Row],[Profit B]]+cadangan3[[#This Row],[Profit C]])</f>
        <v>330000</v>
      </c>
      <c r="AJ776" s="35">
        <f>cadangan3[[#This Row],[Provit A + Diskon]]+cadangan3[[#This Row],[Provit B + Diskon]]+cadangan3[[#This Row],[Provit C + Diskon]]</f>
        <v>280500</v>
      </c>
      <c r="AK776" s="23" t="s">
        <v>28</v>
      </c>
      <c r="AL776" s="37">
        <f>IFERROR(INDEX('Kode Diskon'!$D$3:$D$9,MATCH(cadangan3[[#This Row],[Kode diskon]],'Kode Diskon'!$C$3:$C$9,0)),"-")</f>
        <v>0.15</v>
      </c>
      <c r="AM776" s="23" t="s">
        <v>29</v>
      </c>
      <c r="AN776" s="23" t="s">
        <v>14</v>
      </c>
      <c r="AO776" s="23" t="s">
        <v>76</v>
      </c>
      <c r="AP776" s="24">
        <v>45019</v>
      </c>
      <c r="AQ776" s="23" t="str">
        <f>TEXT(cadangan3[[#This Row],[Tanggal terjual]],"dddd")</f>
        <v>Monday</v>
      </c>
    </row>
    <row r="777" spans="1:43" x14ac:dyDescent="0.2">
      <c r="A777" s="20">
        <v>776</v>
      </c>
      <c r="B777" s="21" t="str">
        <f>_xlfn.CONCAT("ORD-",INDEX(Helper!$B$2:$B$5,MATCH(cadangan3[[#This Row],[Marketplace]],Helper!$A$2:$A$5,0)),TEXT(cadangan3[[#This Row],[No]],"0000"),"-",TEXT(cadangan3[[#This Row],[Tanggal terjual]],"dd/mm/yy"))</f>
        <v>ORD-SP0776-03/04/23</v>
      </c>
      <c r="C777" t="s">
        <v>67</v>
      </c>
      <c r="D777" t="str">
        <f>IFERROR(INDEX(Katalog!$A$3:$A$12,MATCH(cadangan3[[#This Row],[ItemID A]],Katalog!$C$3:$C$12,0)),"-")</f>
        <v>Sepatu Wanita</v>
      </c>
      <c r="E777" t="str">
        <f>IFERROR(INDEX(Katalog!$B$3:$B$12,MATCH(cadangan3[[#This Row],[ItemID A]],Katalog!$C$3:$C$12,0)),"-")</f>
        <v>Flat Shoes</v>
      </c>
      <c r="F777">
        <v>1</v>
      </c>
      <c r="G777">
        <v>1</v>
      </c>
      <c r="H777" s="36">
        <f>IFERROR(INDEX(Katalog!$D$3:$D$12,MATCH(cadangan3[[#This Row],[ItemID A]],Katalog!$C$3:$C$12,0))*cadangan3[[#This Row],[Qty A]],0)</f>
        <v>250000</v>
      </c>
      <c r="I777" s="36">
        <f>IFERROR(INDEX(Katalog!$D$3:$D$12,MATCH(cadangan3[[#This Row],[Item A]],Katalog!$B$3:$B$12,0))*cadangan3[[#This Row],[Qty A]],0)</f>
        <v>250000</v>
      </c>
      <c r="J777" s="36">
        <f>IFERROR(cadangan3[[#This Row],[Harga Asli A]]-(cadangan3[[#This Row],[Harga Asli A]]*cadangan3[[#This Row],[Diskon]]),cadangan3[[#This Row],[Harga Asli A]])</f>
        <v>225000</v>
      </c>
      <c r="K777" s="36">
        <f>INDEX(Katalog!$F$3:$F$12,MATCH(cadangan3[[#This Row],[ItemID A]],Katalog!$C$3:$C$12,0))*cadangan3[[#This Row],[Qty A]]</f>
        <v>100000</v>
      </c>
      <c r="L777" s="36">
        <f>IFERROR(cadangan3[[#This Row],[Profit A]]-(cadangan3[[#This Row],[Profit A]]*cadangan3[[#This Row],[Diskon]]),K777)</f>
        <v>90000</v>
      </c>
      <c r="M777" t="s">
        <v>59</v>
      </c>
      <c r="N777" t="str">
        <f>IFERROR(INDEX(Katalog!$A$3:$A$12,MATCH(cadangan3[[#This Row],[ItemID B]],Katalog!$C$3:$C$12,0)),"-")</f>
        <v>Pakaian Wanita</v>
      </c>
      <c r="O777" t="str">
        <f>IFERROR(INDEX(Katalog!$B$3:$B$12,MATCH(cadangan3[[#This Row],[ItemID B]],Katalog!$C$3:$C$12,0)),"-")</f>
        <v>Blouse</v>
      </c>
      <c r="P777">
        <v>1</v>
      </c>
      <c r="Q777">
        <v>1</v>
      </c>
      <c r="R777" s="36">
        <f>IFERROR(INDEX(Katalog!$D$3:$D$12,MATCH(cadangan3[[#This Row],[ItemID B]],Katalog!$C$3:$C$12,0))*cadangan3[[#This Row],[Qty B]],0)</f>
        <v>150000</v>
      </c>
      <c r="S777" s="36">
        <f>IFERROR(INDEX(Katalog!$D$3:$D$12,MATCH(cadangan3[[#This Row],[Item B]],Katalog!$B$3:$B$12,0))*cadangan3[[#This Row],[Qty B]],0)</f>
        <v>150000</v>
      </c>
      <c r="T777" s="36">
        <f>IFERROR(cadangan3[[#This Row],[Harga Asli B]]-(cadangan3[[#This Row],[Harga Asli B]]*cadangan3[[#This Row],[Diskon]]),cadangan3[[#This Row],[Harga Asli B]])</f>
        <v>135000</v>
      </c>
      <c r="U777" s="36">
        <f>IFERROR(INDEX(Katalog!$F$3:$F$12,MATCH(cadangan3[[#This Row],[ItemID B]],Katalog!$C$3:$C$12,0))*cadangan3[[#This Row],[Qty B]],0)</f>
        <v>50000</v>
      </c>
      <c r="V777" s="36">
        <f>IFERROR(cadangan3[[#This Row],[Profit B]]-(cadangan3[[#This Row],[Profit B]]*cadangan3[[#This Row],[Diskon]]),U777)</f>
        <v>45000</v>
      </c>
      <c r="W777" t="s">
        <v>63</v>
      </c>
      <c r="X777" t="str">
        <f>IFERROR(INDEX(Katalog!$A$3:$A$12,MATCH(cadangan3[[#This Row],[ItemID C]],Katalog!$C$3:$C$12,0)),"-")</f>
        <v>Pakaian Pria</v>
      </c>
      <c r="Y777" t="str">
        <f>IFERROR(INDEX(Katalog!$B$3:$B$12,MATCH(cadangan3[[#This Row],[ItemID C]],Katalog!$C$3:$C$12,0)),"-")</f>
        <v>Jaket Jeans</v>
      </c>
      <c r="Z777">
        <v>1</v>
      </c>
      <c r="AA777">
        <v>2</v>
      </c>
      <c r="AB777" s="36">
        <f>IFERROR(INDEX(Katalog!$D$3:$D$12,MATCH(cadangan3[[#This Row],[ItemID C]],Katalog!$C$3:$C$12,0))*cadangan3[[#This Row],[Qty C]],0)</f>
        <v>400000</v>
      </c>
      <c r="AC777" s="36">
        <f>IFERROR(INDEX(Katalog!$D$3:$D$12,MATCH(cadangan3[[#This Row],[Item C]],Katalog!$B$3:$B$12,0))*cadangan3[[#This Row],[Qty C]],0)</f>
        <v>400000</v>
      </c>
      <c r="AD777" s="36">
        <f>IFERROR(cadangan3[[#This Row],[Harga Asli C]]-(cadangan3[[#This Row],[Harga Asli C]]*cadangan3[[#This Row],[Diskon]]),cadangan3[[#This Row],[Harga Asli C]])</f>
        <v>360000</v>
      </c>
      <c r="AE777" s="36">
        <f>IFERROR(INDEX(Katalog!$F$3:$F$12,MATCH(cadangan3[[#This Row],[ItemID C]],Katalog!$C$3:$C$12,0))*cadangan3[[#This Row],[Qty C]],0)</f>
        <v>150000</v>
      </c>
      <c r="AF777" s="36">
        <f>IFERROR(cadangan3[[#This Row],[Profit C]]-(cadangan3[[#This Row],[Profit C]]*cadangan3[[#This Row],[Diskon]]),cadangan3[[#This Row],[Profit C]])</f>
        <v>135000</v>
      </c>
      <c r="AG777" s="21">
        <f>cadangan3[[#This Row],[Qty A]]+cadangan3[[#This Row],[Qty B]]+cadangan3[[#This Row],[Qty C]]</f>
        <v>3</v>
      </c>
      <c r="AH777" s="35">
        <f>cadangan3[[#This Row],[Harga A + Diskon]]+cadangan3[[#This Row],[Harga + Diskon B]]+cadangan3[[#This Row],[Harga + Diskon C]]</f>
        <v>720000</v>
      </c>
      <c r="AI777" s="35">
        <f>(cadangan3[[#This Row],[Profit A]]+cadangan3[[#This Row],[Profit B]]+cadangan3[[#This Row],[Profit C]])</f>
        <v>300000</v>
      </c>
      <c r="AJ777" s="35">
        <f>cadangan3[[#This Row],[Provit A + Diskon]]+cadangan3[[#This Row],[Provit B + Diskon]]+cadangan3[[#This Row],[Provit C + Diskon]]</f>
        <v>270000</v>
      </c>
      <c r="AK777" s="23" t="s">
        <v>6</v>
      </c>
      <c r="AL777" s="37">
        <f>IFERROR(INDEX('Kode Diskon'!$D$3:$D$9,MATCH(cadangan3[[#This Row],[Kode diskon]],'Kode Diskon'!$C$3:$C$9,0)),"-")</f>
        <v>0.1</v>
      </c>
      <c r="AM777" s="23" t="s">
        <v>29</v>
      </c>
      <c r="AN777" s="23" t="s">
        <v>7</v>
      </c>
      <c r="AO777" s="23" t="s">
        <v>75</v>
      </c>
      <c r="AP777" s="24">
        <v>45019</v>
      </c>
      <c r="AQ777" s="23" t="str">
        <f>TEXT(cadangan3[[#This Row],[Tanggal terjual]],"dddd")</f>
        <v>Monday</v>
      </c>
    </row>
    <row r="778" spans="1:43" x14ac:dyDescent="0.2">
      <c r="A778" s="20">
        <v>777</v>
      </c>
      <c r="B778" s="21" t="str">
        <f>_xlfn.CONCAT("ORD-",INDEX(Helper!$B$2:$B$5,MATCH(cadangan3[[#This Row],[Marketplace]],Helper!$A$2:$A$5,0)),TEXT(cadangan3[[#This Row],[No]],"0000"),"-",TEXT(cadangan3[[#This Row],[Tanggal terjual]],"dd/mm/yy"))</f>
        <v>ORD-TK0777-03/04/23</v>
      </c>
      <c r="C778" t="s">
        <v>59</v>
      </c>
      <c r="D778" t="str">
        <f>IFERROR(INDEX(Katalog!$A$3:$A$12,MATCH(cadangan3[[#This Row],[ItemID A]],Katalog!$C$3:$C$12,0)),"-")</f>
        <v>Pakaian Wanita</v>
      </c>
      <c r="E778" t="str">
        <f>IFERROR(INDEX(Katalog!$B$3:$B$12,MATCH(cadangan3[[#This Row],[ItemID A]],Katalog!$C$3:$C$12,0)),"-")</f>
        <v>Blouse</v>
      </c>
      <c r="F778">
        <v>2</v>
      </c>
      <c r="G778">
        <v>2</v>
      </c>
      <c r="H778" s="36">
        <f>IFERROR(INDEX(Katalog!$D$3:$D$12,MATCH(cadangan3[[#This Row],[ItemID A]],Katalog!$C$3:$C$12,0))*cadangan3[[#This Row],[Qty A]],0)</f>
        <v>300000</v>
      </c>
      <c r="I778" s="36">
        <f>IFERROR(INDEX(Katalog!$D$3:$D$12,MATCH(cadangan3[[#This Row],[Item A]],Katalog!$B$3:$B$12,0))*cadangan3[[#This Row],[Qty A]],0)</f>
        <v>300000</v>
      </c>
      <c r="J778" s="36">
        <f>IFERROR(cadangan3[[#This Row],[Harga Asli A]]-(cadangan3[[#This Row],[Harga Asli A]]*cadangan3[[#This Row],[Diskon]]),cadangan3[[#This Row],[Harga Asli A]])</f>
        <v>270000</v>
      </c>
      <c r="K778" s="36">
        <f>INDEX(Katalog!$F$3:$F$12,MATCH(cadangan3[[#This Row],[ItemID A]],Katalog!$C$3:$C$12,0))*cadangan3[[#This Row],[Qty A]]</f>
        <v>100000</v>
      </c>
      <c r="L778" s="36">
        <f>IFERROR(cadangan3[[#This Row],[Profit A]]-(cadangan3[[#This Row],[Profit A]]*cadangan3[[#This Row],[Diskon]]),K778)</f>
        <v>90000</v>
      </c>
      <c r="M778" t="s">
        <v>61</v>
      </c>
      <c r="N778" t="str">
        <f>IFERROR(INDEX(Katalog!$A$3:$A$12,MATCH(cadangan3[[#This Row],[ItemID B]],Katalog!$C$3:$C$12,0)),"-")</f>
        <v>Pakaian Pria</v>
      </c>
      <c r="O778" t="str">
        <f>IFERROR(INDEX(Katalog!$B$3:$B$12,MATCH(cadangan3[[#This Row],[ItemID B]],Katalog!$C$3:$C$12,0)),"-")</f>
        <v>Kaos Polo</v>
      </c>
      <c r="P778">
        <v>3</v>
      </c>
      <c r="Q778">
        <v>4</v>
      </c>
      <c r="R778" s="36">
        <f>IFERROR(INDEX(Katalog!$D$3:$D$12,MATCH(cadangan3[[#This Row],[ItemID B]],Katalog!$C$3:$C$12,0))*cadangan3[[#This Row],[Qty B]],0)</f>
        <v>600000</v>
      </c>
      <c r="S778" s="36">
        <f>IFERROR(INDEX(Katalog!$D$3:$D$12,MATCH(cadangan3[[#This Row],[Item B]],Katalog!$B$3:$B$12,0))*cadangan3[[#This Row],[Qty B]],0)</f>
        <v>600000</v>
      </c>
      <c r="T778" s="36">
        <f>IFERROR(cadangan3[[#This Row],[Harga Asli B]]-(cadangan3[[#This Row],[Harga Asli B]]*cadangan3[[#This Row],[Diskon]]),cadangan3[[#This Row],[Harga Asli B]])</f>
        <v>540000</v>
      </c>
      <c r="U778" s="36">
        <f>IFERROR(INDEX(Katalog!$F$3:$F$12,MATCH(cadangan3[[#This Row],[ItemID B]],Katalog!$C$3:$C$12,0))*cadangan3[[#This Row],[Qty B]],0)</f>
        <v>240000</v>
      </c>
      <c r="V778" s="36">
        <f>IFERROR(cadangan3[[#This Row],[Profit B]]-(cadangan3[[#This Row],[Profit B]]*cadangan3[[#This Row],[Diskon]]),U778)</f>
        <v>216000</v>
      </c>
      <c r="X778" t="str">
        <f>IFERROR(INDEX(Katalog!$A$3:$A$12,MATCH(cadangan3[[#This Row],[ItemID C]],Katalog!$C$3:$C$12,0)),"-")</f>
        <v>-</v>
      </c>
      <c r="Y778" t="str">
        <f>IFERROR(INDEX(Katalog!$B$3:$B$12,MATCH(cadangan3[[#This Row],[ItemID C]],Katalog!$C$3:$C$12,0)),"-")</f>
        <v>-</v>
      </c>
      <c r="AB778" s="36">
        <f>IFERROR(INDEX(Katalog!$D$3:$D$12,MATCH(cadangan3[[#This Row],[ItemID C]],Katalog!$C$3:$C$12,0))*cadangan3[[#This Row],[Qty C]],0)</f>
        <v>0</v>
      </c>
      <c r="AC778" s="36">
        <f>IFERROR(INDEX(Katalog!$D$3:$D$12,MATCH(cadangan3[[#This Row],[Item C]],Katalog!$B$3:$B$12,0))*cadangan3[[#This Row],[Qty C]],0)</f>
        <v>0</v>
      </c>
      <c r="AD778" s="36">
        <f>IFERROR(cadangan3[[#This Row],[Harga Asli C]]-(cadangan3[[#This Row],[Harga Asli C]]*cadangan3[[#This Row],[Diskon]]),cadangan3[[#This Row],[Harga Asli C]])</f>
        <v>0</v>
      </c>
      <c r="AE778" s="36">
        <f>IFERROR(INDEX(Katalog!$F$3:$F$12,MATCH(cadangan3[[#This Row],[ItemID C]],Katalog!$C$3:$C$12,0))*cadangan3[[#This Row],[Qty C]],0)</f>
        <v>0</v>
      </c>
      <c r="AF778" s="36">
        <f>IFERROR(cadangan3[[#This Row],[Profit C]]-(cadangan3[[#This Row],[Profit C]]*cadangan3[[#This Row],[Diskon]]),cadangan3[[#This Row],[Profit C]])</f>
        <v>0</v>
      </c>
      <c r="AG778" s="21">
        <f>cadangan3[[#This Row],[Qty A]]+cadangan3[[#This Row],[Qty B]]+cadangan3[[#This Row],[Qty C]]</f>
        <v>5</v>
      </c>
      <c r="AH778" s="35">
        <f>cadangan3[[#This Row],[Harga A + Diskon]]+cadangan3[[#This Row],[Harga + Diskon B]]+cadangan3[[#This Row],[Harga + Diskon C]]</f>
        <v>810000</v>
      </c>
      <c r="AI778" s="35">
        <f>(cadangan3[[#This Row],[Profit A]]+cadangan3[[#This Row],[Profit B]]+cadangan3[[#This Row],[Profit C]])</f>
        <v>340000</v>
      </c>
      <c r="AJ778" s="35">
        <f>cadangan3[[#This Row],[Provit A + Diskon]]+cadangan3[[#This Row],[Provit B + Diskon]]+cadangan3[[#This Row],[Provit C + Diskon]]</f>
        <v>306000</v>
      </c>
      <c r="AK778" s="23" t="s">
        <v>30</v>
      </c>
      <c r="AL778" s="37">
        <f>IFERROR(INDEX('Kode Diskon'!$D$3:$D$9,MATCH(cadangan3[[#This Row],[Kode diskon]],'Kode Diskon'!$C$3:$C$9,0)),"-")</f>
        <v>0.1</v>
      </c>
      <c r="AM778" s="23" t="s">
        <v>29</v>
      </c>
      <c r="AN778" s="23" t="s">
        <v>10</v>
      </c>
      <c r="AO778" s="23" t="s">
        <v>80</v>
      </c>
      <c r="AP778" s="24">
        <v>45019</v>
      </c>
      <c r="AQ778" s="23" t="str">
        <f>TEXT(cadangan3[[#This Row],[Tanggal terjual]],"dddd")</f>
        <v>Monday</v>
      </c>
    </row>
    <row r="779" spans="1:43" x14ac:dyDescent="0.2">
      <c r="A779" s="20">
        <v>778</v>
      </c>
      <c r="B779" s="21" t="str">
        <f>_xlfn.CONCAT("ORD-",INDEX(Helper!$B$2:$B$5,MATCH(cadangan3[[#This Row],[Marketplace]],Helper!$A$2:$A$5,0)),TEXT(cadangan3[[#This Row],[No]],"0000"),"-",TEXT(cadangan3[[#This Row],[Tanggal terjual]],"dd/mm/yy"))</f>
        <v>ORD-SP0778-01/04/23</v>
      </c>
      <c r="C779" t="s">
        <v>58</v>
      </c>
      <c r="D779" t="str">
        <f>IFERROR(INDEX(Katalog!$A$3:$A$12,MATCH(cadangan3[[#This Row],[ItemID A]],Katalog!$C$3:$C$12,0)),"-")</f>
        <v>Pakaian Wanita</v>
      </c>
      <c r="E779" t="str">
        <f>IFERROR(INDEX(Katalog!$B$3:$B$12,MATCH(cadangan3[[#This Row],[ItemID A]],Katalog!$C$3:$C$12,0)),"-")</f>
        <v>Dress</v>
      </c>
      <c r="F779">
        <v>3</v>
      </c>
      <c r="G779">
        <v>4</v>
      </c>
      <c r="H779" s="36">
        <f>IFERROR(INDEX(Katalog!$D$3:$D$12,MATCH(cadangan3[[#This Row],[ItemID A]],Katalog!$C$3:$C$12,0))*cadangan3[[#This Row],[Qty A]],0)</f>
        <v>900000</v>
      </c>
      <c r="I779" s="36">
        <f>IFERROR(INDEX(Katalog!$D$3:$D$12,MATCH(cadangan3[[#This Row],[Item A]],Katalog!$B$3:$B$12,0))*cadangan3[[#This Row],[Qty A]],0)</f>
        <v>900000</v>
      </c>
      <c r="J779" s="36">
        <f>IFERROR(cadangan3[[#This Row],[Harga Asli A]]-(cadangan3[[#This Row],[Harga Asli A]]*cadangan3[[#This Row],[Diskon]]),cadangan3[[#This Row],[Harga Asli A]])</f>
        <v>765000</v>
      </c>
      <c r="K779" s="36">
        <f>INDEX(Katalog!$F$3:$F$12,MATCH(cadangan3[[#This Row],[ItemID A]],Katalog!$C$3:$C$12,0))*cadangan3[[#This Row],[Qty A]]</f>
        <v>300000</v>
      </c>
      <c r="L779" s="36">
        <f>IFERROR(cadangan3[[#This Row],[Profit A]]-(cadangan3[[#This Row],[Profit A]]*cadangan3[[#This Row],[Diskon]]),K779)</f>
        <v>255000</v>
      </c>
      <c r="N779" t="str">
        <f>IFERROR(INDEX(Katalog!$A$3:$A$12,MATCH(cadangan3[[#This Row],[ItemID B]],Katalog!$C$3:$C$12,0)),"-")</f>
        <v>-</v>
      </c>
      <c r="O779" t="str">
        <f>IFERROR(INDEX(Katalog!$B$3:$B$12,MATCH(cadangan3[[#This Row],[ItemID B]],Katalog!$C$3:$C$12,0)),"-")</f>
        <v>-</v>
      </c>
      <c r="R779" s="36">
        <f>IFERROR(INDEX(Katalog!$D$3:$D$12,MATCH(cadangan3[[#This Row],[ItemID B]],Katalog!$C$3:$C$12,0))*cadangan3[[#This Row],[Qty B]],0)</f>
        <v>0</v>
      </c>
      <c r="S779" s="36">
        <f>IFERROR(INDEX(Katalog!$D$3:$D$12,MATCH(cadangan3[[#This Row],[Item B]],Katalog!$B$3:$B$12,0))*cadangan3[[#This Row],[Qty B]],0)</f>
        <v>0</v>
      </c>
      <c r="T779" s="36">
        <f>IFERROR(cadangan3[[#This Row],[Harga Asli B]]-(cadangan3[[#This Row],[Harga Asli B]]*cadangan3[[#This Row],[Diskon]]),cadangan3[[#This Row],[Harga Asli B]])</f>
        <v>0</v>
      </c>
      <c r="U779" s="36">
        <f>IFERROR(INDEX(Katalog!$F$3:$F$12,MATCH(cadangan3[[#This Row],[ItemID B]],Katalog!$C$3:$C$12,0))*cadangan3[[#This Row],[Qty B]],0)</f>
        <v>0</v>
      </c>
      <c r="V779" s="36">
        <f>IFERROR(cadangan3[[#This Row],[Profit B]]-(cadangan3[[#This Row],[Profit B]]*cadangan3[[#This Row],[Diskon]]),U779)</f>
        <v>0</v>
      </c>
      <c r="X779" t="str">
        <f>IFERROR(INDEX(Katalog!$A$3:$A$12,MATCH(cadangan3[[#This Row],[ItemID C]],Katalog!$C$3:$C$12,0)),"-")</f>
        <v>-</v>
      </c>
      <c r="Y779" t="str">
        <f>IFERROR(INDEX(Katalog!$B$3:$B$12,MATCH(cadangan3[[#This Row],[ItemID C]],Katalog!$C$3:$C$12,0)),"-")</f>
        <v>-</v>
      </c>
      <c r="AB779" s="36">
        <f>IFERROR(INDEX(Katalog!$D$3:$D$12,MATCH(cadangan3[[#This Row],[ItemID C]],Katalog!$C$3:$C$12,0))*cadangan3[[#This Row],[Qty C]],0)</f>
        <v>0</v>
      </c>
      <c r="AC779" s="36">
        <f>IFERROR(INDEX(Katalog!$D$3:$D$12,MATCH(cadangan3[[#This Row],[Item C]],Katalog!$B$3:$B$12,0))*cadangan3[[#This Row],[Qty C]],0)</f>
        <v>0</v>
      </c>
      <c r="AD779" s="36">
        <f>IFERROR(cadangan3[[#This Row],[Harga Asli C]]-(cadangan3[[#This Row],[Harga Asli C]]*cadangan3[[#This Row],[Diskon]]),cadangan3[[#This Row],[Harga Asli C]])</f>
        <v>0</v>
      </c>
      <c r="AE779" s="36">
        <f>IFERROR(INDEX(Katalog!$F$3:$F$12,MATCH(cadangan3[[#This Row],[ItemID C]],Katalog!$C$3:$C$12,0))*cadangan3[[#This Row],[Qty C]],0)</f>
        <v>0</v>
      </c>
      <c r="AF779" s="36">
        <f>IFERROR(cadangan3[[#This Row],[Profit C]]-(cadangan3[[#This Row],[Profit C]]*cadangan3[[#This Row],[Diskon]]),cadangan3[[#This Row],[Profit C]])</f>
        <v>0</v>
      </c>
      <c r="AG779" s="21">
        <f>cadangan3[[#This Row],[Qty A]]+cadangan3[[#This Row],[Qty B]]+cadangan3[[#This Row],[Qty C]]</f>
        <v>3</v>
      </c>
      <c r="AH779" s="35">
        <f>cadangan3[[#This Row],[Harga A + Diskon]]+cadangan3[[#This Row],[Harga + Diskon B]]+cadangan3[[#This Row],[Harga + Diskon C]]</f>
        <v>765000</v>
      </c>
      <c r="AI779" s="35">
        <f>(cadangan3[[#This Row],[Profit A]]+cadangan3[[#This Row],[Profit B]]+cadangan3[[#This Row],[Profit C]])</f>
        <v>300000</v>
      </c>
      <c r="AJ779" s="35">
        <f>cadangan3[[#This Row],[Provit A + Diskon]]+cadangan3[[#This Row],[Provit B + Diskon]]+cadangan3[[#This Row],[Provit C + Diskon]]</f>
        <v>255000</v>
      </c>
      <c r="AK779" s="23" t="s">
        <v>13</v>
      </c>
      <c r="AL779" s="37">
        <f>IFERROR(INDEX('Kode Diskon'!$D$3:$D$9,MATCH(cadangan3[[#This Row],[Kode diskon]],'Kode Diskon'!$C$3:$C$9,0)),"-")</f>
        <v>0.15</v>
      </c>
      <c r="AM779" s="23" t="s">
        <v>29</v>
      </c>
      <c r="AN779" s="23" t="s">
        <v>7</v>
      </c>
      <c r="AO779" s="23" t="s">
        <v>80</v>
      </c>
      <c r="AP779" s="24">
        <v>45017</v>
      </c>
      <c r="AQ779" s="23" t="str">
        <f>TEXT(cadangan3[[#This Row],[Tanggal terjual]],"dddd")</f>
        <v>Saturday</v>
      </c>
    </row>
    <row r="780" spans="1:43" x14ac:dyDescent="0.2">
      <c r="A780" s="20">
        <v>779</v>
      </c>
      <c r="B780" s="21" t="str">
        <f>_xlfn.CONCAT("ORD-",INDEX(Helper!$B$2:$B$5,MATCH(cadangan3[[#This Row],[Marketplace]],Helper!$A$2:$A$5,0)),TEXT(cadangan3[[#This Row],[No]],"0000"),"-",TEXT(cadangan3[[#This Row],[Tanggal terjual]],"dd/mm/yy"))</f>
        <v>ORD-TK0779-04/04/23</v>
      </c>
      <c r="C780" t="s">
        <v>60</v>
      </c>
      <c r="D780" t="str">
        <f>IFERROR(INDEX(Katalog!$A$3:$A$12,MATCH(cadangan3[[#This Row],[ItemID A]],Katalog!$C$3:$C$12,0)),"-")</f>
        <v>Pakaian Wanita</v>
      </c>
      <c r="E780" t="str">
        <f>IFERROR(INDEX(Katalog!$B$3:$B$12,MATCH(cadangan3[[#This Row],[ItemID A]],Katalog!$C$3:$C$12,0)),"-")</f>
        <v>Kaftan</v>
      </c>
      <c r="F780">
        <v>1</v>
      </c>
      <c r="G780">
        <v>4</v>
      </c>
      <c r="H780" s="36">
        <f>IFERROR(INDEX(Katalog!$D$3:$D$12,MATCH(cadangan3[[#This Row],[ItemID A]],Katalog!$C$3:$C$12,0))*cadangan3[[#This Row],[Qty A]],0)</f>
        <v>250000</v>
      </c>
      <c r="I780" s="36">
        <f>IFERROR(INDEX(Katalog!$D$3:$D$12,MATCH(cadangan3[[#This Row],[Item A]],Katalog!$B$3:$B$12,0))*cadangan3[[#This Row],[Qty A]],0)</f>
        <v>250000</v>
      </c>
      <c r="J780" s="36">
        <f>IFERROR(cadangan3[[#This Row],[Harga Asli A]]-(cadangan3[[#This Row],[Harga Asli A]]*cadangan3[[#This Row],[Diskon]]),cadangan3[[#This Row],[Harga Asli A]])</f>
        <v>225000</v>
      </c>
      <c r="K780" s="36">
        <f>INDEX(Katalog!$F$3:$F$12,MATCH(cadangan3[[#This Row],[ItemID A]],Katalog!$C$3:$C$12,0))*cadangan3[[#This Row],[Qty A]]</f>
        <v>100000</v>
      </c>
      <c r="L780" s="36">
        <f>IFERROR(cadangan3[[#This Row],[Profit A]]-(cadangan3[[#This Row],[Profit A]]*cadangan3[[#This Row],[Diskon]]),K780)</f>
        <v>90000</v>
      </c>
      <c r="N780" t="str">
        <f>IFERROR(INDEX(Katalog!$A$3:$A$12,MATCH(cadangan3[[#This Row],[ItemID B]],Katalog!$C$3:$C$12,0)),"-")</f>
        <v>-</v>
      </c>
      <c r="O780" t="str">
        <f>IFERROR(INDEX(Katalog!$B$3:$B$12,MATCH(cadangan3[[#This Row],[ItemID B]],Katalog!$C$3:$C$12,0)),"-")</f>
        <v>-</v>
      </c>
      <c r="R780" s="36">
        <f>IFERROR(INDEX(Katalog!$D$3:$D$12,MATCH(cadangan3[[#This Row],[ItemID B]],Katalog!$C$3:$C$12,0))*cadangan3[[#This Row],[Qty B]],0)</f>
        <v>0</v>
      </c>
      <c r="S780" s="36">
        <f>IFERROR(INDEX(Katalog!$D$3:$D$12,MATCH(cadangan3[[#This Row],[Item B]],Katalog!$B$3:$B$12,0))*cadangan3[[#This Row],[Qty B]],0)</f>
        <v>0</v>
      </c>
      <c r="T780" s="36">
        <f>IFERROR(cadangan3[[#This Row],[Harga Asli B]]-(cadangan3[[#This Row],[Harga Asli B]]*cadangan3[[#This Row],[Diskon]]),cadangan3[[#This Row],[Harga Asli B]])</f>
        <v>0</v>
      </c>
      <c r="U780" s="36">
        <f>IFERROR(INDEX(Katalog!$F$3:$F$12,MATCH(cadangan3[[#This Row],[ItemID B]],Katalog!$C$3:$C$12,0))*cadangan3[[#This Row],[Qty B]],0)</f>
        <v>0</v>
      </c>
      <c r="V780" s="36">
        <f>IFERROR(cadangan3[[#This Row],[Profit B]]-(cadangan3[[#This Row],[Profit B]]*cadangan3[[#This Row],[Diskon]]),U780)</f>
        <v>0</v>
      </c>
      <c r="X780" t="str">
        <f>IFERROR(INDEX(Katalog!$A$3:$A$12,MATCH(cadangan3[[#This Row],[ItemID C]],Katalog!$C$3:$C$12,0)),"-")</f>
        <v>-</v>
      </c>
      <c r="Y780" t="str">
        <f>IFERROR(INDEX(Katalog!$B$3:$B$12,MATCH(cadangan3[[#This Row],[ItemID C]],Katalog!$C$3:$C$12,0)),"-")</f>
        <v>-</v>
      </c>
      <c r="AB780" s="36">
        <f>IFERROR(INDEX(Katalog!$D$3:$D$12,MATCH(cadangan3[[#This Row],[ItemID C]],Katalog!$C$3:$C$12,0))*cadangan3[[#This Row],[Qty C]],0)</f>
        <v>0</v>
      </c>
      <c r="AC780" s="36">
        <f>IFERROR(INDEX(Katalog!$D$3:$D$12,MATCH(cadangan3[[#This Row],[Item C]],Katalog!$B$3:$B$12,0))*cadangan3[[#This Row],[Qty C]],0)</f>
        <v>0</v>
      </c>
      <c r="AD780" s="36">
        <f>IFERROR(cadangan3[[#This Row],[Harga Asli C]]-(cadangan3[[#This Row],[Harga Asli C]]*cadangan3[[#This Row],[Diskon]]),cadangan3[[#This Row],[Harga Asli C]])</f>
        <v>0</v>
      </c>
      <c r="AE780" s="36">
        <f>IFERROR(INDEX(Katalog!$F$3:$F$12,MATCH(cadangan3[[#This Row],[ItemID C]],Katalog!$C$3:$C$12,0))*cadangan3[[#This Row],[Qty C]],0)</f>
        <v>0</v>
      </c>
      <c r="AF780" s="36">
        <f>IFERROR(cadangan3[[#This Row],[Profit C]]-(cadangan3[[#This Row],[Profit C]]*cadangan3[[#This Row],[Diskon]]),cadangan3[[#This Row],[Profit C]])</f>
        <v>0</v>
      </c>
      <c r="AG780" s="21">
        <f>cadangan3[[#This Row],[Qty A]]+cadangan3[[#This Row],[Qty B]]+cadangan3[[#This Row],[Qty C]]</f>
        <v>1</v>
      </c>
      <c r="AH780" s="35">
        <f>cadangan3[[#This Row],[Harga A + Diskon]]+cadangan3[[#This Row],[Harga + Diskon B]]+cadangan3[[#This Row],[Harga + Diskon C]]</f>
        <v>225000</v>
      </c>
      <c r="AI780" s="35">
        <f>(cadangan3[[#This Row],[Profit A]]+cadangan3[[#This Row],[Profit B]]+cadangan3[[#This Row],[Profit C]])</f>
        <v>100000</v>
      </c>
      <c r="AJ780" s="35">
        <f>cadangan3[[#This Row],[Provit A + Diskon]]+cadangan3[[#This Row],[Provit B + Diskon]]+cadangan3[[#This Row],[Provit C + Diskon]]</f>
        <v>90000</v>
      </c>
      <c r="AK780" s="23" t="s">
        <v>30</v>
      </c>
      <c r="AL780" s="37">
        <f>IFERROR(INDEX('Kode Diskon'!$D$3:$D$9,MATCH(cadangan3[[#This Row],[Kode diskon]],'Kode Diskon'!$C$3:$C$9,0)),"-")</f>
        <v>0.1</v>
      </c>
      <c r="AM780" s="23" t="s">
        <v>29</v>
      </c>
      <c r="AN780" s="23" t="s">
        <v>10</v>
      </c>
      <c r="AO780" s="23" t="s">
        <v>79</v>
      </c>
      <c r="AP780" s="24">
        <v>45020</v>
      </c>
      <c r="AQ780" s="23" t="str">
        <f>TEXT(cadangan3[[#This Row],[Tanggal terjual]],"dddd")</f>
        <v>Tuesday</v>
      </c>
    </row>
    <row r="781" spans="1:43" x14ac:dyDescent="0.2">
      <c r="A781" s="20">
        <v>780</v>
      </c>
      <c r="B781" s="21" t="str">
        <f>_xlfn.CONCAT("ORD-",INDEX(Helper!$B$2:$B$5,MATCH(cadangan3[[#This Row],[Marketplace]],Helper!$A$2:$A$5,0)),TEXT(cadangan3[[#This Row],[No]],"0000"),"-",TEXT(cadangan3[[#This Row],[Tanggal terjual]],"dd/mm/yy"))</f>
        <v>ORD-SP0780-01/04/23</v>
      </c>
      <c r="C781" t="s">
        <v>65</v>
      </c>
      <c r="D781" t="str">
        <f>IFERROR(INDEX(Katalog!$A$3:$A$12,MATCH(cadangan3[[#This Row],[ItemID A]],Katalog!$C$3:$C$12,0)),"-")</f>
        <v>Sepatu Pria</v>
      </c>
      <c r="E781" t="str">
        <f>IFERROR(INDEX(Katalog!$B$3:$B$12,MATCH(cadangan3[[#This Row],[ItemID A]],Katalog!$C$3:$C$12,0)),"-")</f>
        <v>Sneakers</v>
      </c>
      <c r="F781">
        <v>2</v>
      </c>
      <c r="G781">
        <v>4</v>
      </c>
      <c r="H781" s="36">
        <f>IFERROR(INDEX(Katalog!$D$3:$D$12,MATCH(cadangan3[[#This Row],[ItemID A]],Katalog!$C$3:$C$12,0))*cadangan3[[#This Row],[Qty A]],0)</f>
        <v>1000000</v>
      </c>
      <c r="I781" s="36">
        <f>IFERROR(INDEX(Katalog!$D$3:$D$12,MATCH(cadangan3[[#This Row],[Item A]],Katalog!$B$3:$B$12,0))*cadangan3[[#This Row],[Qty A]],0)</f>
        <v>1000000</v>
      </c>
      <c r="J781" s="36">
        <f>IFERROR(cadangan3[[#This Row],[Harga Asli A]]-(cadangan3[[#This Row],[Harga Asli A]]*cadangan3[[#This Row],[Diskon]]),cadangan3[[#This Row],[Harga Asli A]])</f>
        <v>850000</v>
      </c>
      <c r="K781" s="36">
        <f>INDEX(Katalog!$F$3:$F$12,MATCH(cadangan3[[#This Row],[ItemID A]],Katalog!$C$3:$C$12,0))*cadangan3[[#This Row],[Qty A]]</f>
        <v>400000</v>
      </c>
      <c r="L781" s="36">
        <f>IFERROR(cadangan3[[#This Row],[Profit A]]-(cadangan3[[#This Row],[Profit A]]*cadangan3[[#This Row],[Diskon]]),K781)</f>
        <v>340000</v>
      </c>
      <c r="M781" t="s">
        <v>58</v>
      </c>
      <c r="N781" t="str">
        <f>IFERROR(INDEX(Katalog!$A$3:$A$12,MATCH(cadangan3[[#This Row],[ItemID B]],Katalog!$C$3:$C$12,0)),"-")</f>
        <v>Pakaian Wanita</v>
      </c>
      <c r="O781" t="str">
        <f>IFERROR(INDEX(Katalog!$B$3:$B$12,MATCH(cadangan3[[#This Row],[ItemID B]],Katalog!$C$3:$C$12,0)),"-")</f>
        <v>Dress</v>
      </c>
      <c r="P781">
        <v>2</v>
      </c>
      <c r="Q781">
        <v>2</v>
      </c>
      <c r="R781" s="36">
        <f>IFERROR(INDEX(Katalog!$D$3:$D$12,MATCH(cadangan3[[#This Row],[ItemID B]],Katalog!$C$3:$C$12,0))*cadangan3[[#This Row],[Qty B]],0)</f>
        <v>600000</v>
      </c>
      <c r="S781" s="36">
        <f>IFERROR(INDEX(Katalog!$D$3:$D$12,MATCH(cadangan3[[#This Row],[Item B]],Katalog!$B$3:$B$12,0))*cadangan3[[#This Row],[Qty B]],0)</f>
        <v>600000</v>
      </c>
      <c r="T781" s="36">
        <f>IFERROR(cadangan3[[#This Row],[Harga Asli B]]-(cadangan3[[#This Row],[Harga Asli B]]*cadangan3[[#This Row],[Diskon]]),cadangan3[[#This Row],[Harga Asli B]])</f>
        <v>510000</v>
      </c>
      <c r="U781" s="36">
        <f>IFERROR(INDEX(Katalog!$F$3:$F$12,MATCH(cadangan3[[#This Row],[ItemID B]],Katalog!$C$3:$C$12,0))*cadangan3[[#This Row],[Qty B]],0)</f>
        <v>200000</v>
      </c>
      <c r="V781" s="36">
        <f>IFERROR(cadangan3[[#This Row],[Profit B]]-(cadangan3[[#This Row],[Profit B]]*cadangan3[[#This Row],[Diskon]]),U781)</f>
        <v>170000</v>
      </c>
      <c r="X781" t="str">
        <f>IFERROR(INDEX(Katalog!$A$3:$A$12,MATCH(cadangan3[[#This Row],[ItemID C]],Katalog!$C$3:$C$12,0)),"-")</f>
        <v>-</v>
      </c>
      <c r="Y781" t="str">
        <f>IFERROR(INDEX(Katalog!$B$3:$B$12,MATCH(cadangan3[[#This Row],[ItemID C]],Katalog!$C$3:$C$12,0)),"-")</f>
        <v>-</v>
      </c>
      <c r="AB781" s="36">
        <f>IFERROR(INDEX(Katalog!$D$3:$D$12,MATCH(cadangan3[[#This Row],[ItemID C]],Katalog!$C$3:$C$12,0))*cadangan3[[#This Row],[Qty C]],0)</f>
        <v>0</v>
      </c>
      <c r="AC781" s="36">
        <f>IFERROR(INDEX(Katalog!$D$3:$D$12,MATCH(cadangan3[[#This Row],[Item C]],Katalog!$B$3:$B$12,0))*cadangan3[[#This Row],[Qty C]],0)</f>
        <v>0</v>
      </c>
      <c r="AD781" s="36">
        <f>IFERROR(cadangan3[[#This Row],[Harga Asli C]]-(cadangan3[[#This Row],[Harga Asli C]]*cadangan3[[#This Row],[Diskon]]),cadangan3[[#This Row],[Harga Asli C]])</f>
        <v>0</v>
      </c>
      <c r="AE781" s="36">
        <f>IFERROR(INDEX(Katalog!$F$3:$F$12,MATCH(cadangan3[[#This Row],[ItemID C]],Katalog!$C$3:$C$12,0))*cadangan3[[#This Row],[Qty C]],0)</f>
        <v>0</v>
      </c>
      <c r="AF781" s="36">
        <f>IFERROR(cadangan3[[#This Row],[Profit C]]-(cadangan3[[#This Row],[Profit C]]*cadangan3[[#This Row],[Diskon]]),cadangan3[[#This Row],[Profit C]])</f>
        <v>0</v>
      </c>
      <c r="AG781" s="21">
        <f>cadangan3[[#This Row],[Qty A]]+cadangan3[[#This Row],[Qty B]]+cadangan3[[#This Row],[Qty C]]</f>
        <v>4</v>
      </c>
      <c r="AH781" s="35">
        <f>cadangan3[[#This Row],[Harga A + Diskon]]+cadangan3[[#This Row],[Harga + Diskon B]]+cadangan3[[#This Row],[Harga + Diskon C]]</f>
        <v>1360000</v>
      </c>
      <c r="AI781" s="35">
        <f>(cadangan3[[#This Row],[Profit A]]+cadangan3[[#This Row],[Profit B]]+cadangan3[[#This Row],[Profit C]])</f>
        <v>600000</v>
      </c>
      <c r="AJ781" s="35">
        <f>cadangan3[[#This Row],[Provit A + Diskon]]+cadangan3[[#This Row],[Provit B + Diskon]]+cadangan3[[#This Row],[Provit C + Diskon]]</f>
        <v>510000</v>
      </c>
      <c r="AK781" s="23" t="s">
        <v>13</v>
      </c>
      <c r="AL781" s="37">
        <f>IFERROR(INDEX('Kode Diskon'!$D$3:$D$9,MATCH(cadangan3[[#This Row],[Kode diskon]],'Kode Diskon'!$C$3:$C$9,0)),"-")</f>
        <v>0.15</v>
      </c>
      <c r="AM781" s="23" t="s">
        <v>29</v>
      </c>
      <c r="AN781" s="23" t="s">
        <v>7</v>
      </c>
      <c r="AO781" s="23" t="s">
        <v>76</v>
      </c>
      <c r="AP781" s="24">
        <v>45017</v>
      </c>
      <c r="AQ781" s="23" t="str">
        <f>TEXT(cadangan3[[#This Row],[Tanggal terjual]],"dddd")</f>
        <v>Saturday</v>
      </c>
    </row>
    <row r="782" spans="1:43" x14ac:dyDescent="0.2">
      <c r="A782" s="20">
        <v>781</v>
      </c>
      <c r="B782" s="21" t="str">
        <f>_xlfn.CONCAT("ORD-",INDEX(Helper!$B$2:$B$5,MATCH(cadangan3[[#This Row],[Marketplace]],Helper!$A$2:$A$5,0)),TEXT(cadangan3[[#This Row],[No]],"0000"),"-",TEXT(cadangan3[[#This Row],[Tanggal terjual]],"dd/mm/yy"))</f>
        <v>ORD-SP0781-14/04/23</v>
      </c>
      <c r="C782" t="s">
        <v>60</v>
      </c>
      <c r="D782" t="str">
        <f>IFERROR(INDEX(Katalog!$A$3:$A$12,MATCH(cadangan3[[#This Row],[ItemID A]],Katalog!$C$3:$C$12,0)),"-")</f>
        <v>Pakaian Wanita</v>
      </c>
      <c r="E782" t="str">
        <f>IFERROR(INDEX(Katalog!$B$3:$B$12,MATCH(cadangan3[[#This Row],[ItemID A]],Katalog!$C$3:$C$12,0)),"-")</f>
        <v>Kaftan</v>
      </c>
      <c r="F782">
        <v>4</v>
      </c>
      <c r="G782">
        <v>3</v>
      </c>
      <c r="H782" s="36">
        <f>IFERROR(INDEX(Katalog!$D$3:$D$12,MATCH(cadangan3[[#This Row],[ItemID A]],Katalog!$C$3:$C$12,0))*cadangan3[[#This Row],[Qty A]],0)</f>
        <v>1000000</v>
      </c>
      <c r="I782" s="36">
        <f>IFERROR(INDEX(Katalog!$D$3:$D$12,MATCH(cadangan3[[#This Row],[Item A]],Katalog!$B$3:$B$12,0))*cadangan3[[#This Row],[Qty A]],0)</f>
        <v>1000000</v>
      </c>
      <c r="J782" s="36">
        <f>IFERROR(cadangan3[[#This Row],[Harga Asli A]]-(cadangan3[[#This Row],[Harga Asli A]]*cadangan3[[#This Row],[Diskon]]),cadangan3[[#This Row],[Harga Asli A]])</f>
        <v>1000000</v>
      </c>
      <c r="K782" s="36">
        <f>INDEX(Katalog!$F$3:$F$12,MATCH(cadangan3[[#This Row],[ItemID A]],Katalog!$C$3:$C$12,0))*cadangan3[[#This Row],[Qty A]]</f>
        <v>400000</v>
      </c>
      <c r="L782" s="36">
        <f>IFERROR(cadangan3[[#This Row],[Profit A]]-(cadangan3[[#This Row],[Profit A]]*cadangan3[[#This Row],[Diskon]]),K782)</f>
        <v>400000</v>
      </c>
      <c r="N782" t="str">
        <f>IFERROR(INDEX(Katalog!$A$3:$A$12,MATCH(cadangan3[[#This Row],[ItemID B]],Katalog!$C$3:$C$12,0)),"-")</f>
        <v>-</v>
      </c>
      <c r="O782" t="str">
        <f>IFERROR(INDEX(Katalog!$B$3:$B$12,MATCH(cadangan3[[#This Row],[ItemID B]],Katalog!$C$3:$C$12,0)),"-")</f>
        <v>-</v>
      </c>
      <c r="R782" s="36">
        <f>IFERROR(INDEX(Katalog!$D$3:$D$12,MATCH(cadangan3[[#This Row],[ItemID B]],Katalog!$C$3:$C$12,0))*cadangan3[[#This Row],[Qty B]],0)</f>
        <v>0</v>
      </c>
      <c r="S782" s="36">
        <f>IFERROR(INDEX(Katalog!$D$3:$D$12,MATCH(cadangan3[[#This Row],[Item B]],Katalog!$B$3:$B$12,0))*cadangan3[[#This Row],[Qty B]],0)</f>
        <v>0</v>
      </c>
      <c r="T782" s="36">
        <f>IFERROR(cadangan3[[#This Row],[Harga Asli B]]-(cadangan3[[#This Row],[Harga Asli B]]*cadangan3[[#This Row],[Diskon]]),cadangan3[[#This Row],[Harga Asli B]])</f>
        <v>0</v>
      </c>
      <c r="U782" s="36">
        <f>IFERROR(INDEX(Katalog!$F$3:$F$12,MATCH(cadangan3[[#This Row],[ItemID B]],Katalog!$C$3:$C$12,0))*cadangan3[[#This Row],[Qty B]],0)</f>
        <v>0</v>
      </c>
      <c r="V782" s="36">
        <f>IFERROR(cadangan3[[#This Row],[Profit B]]-(cadangan3[[#This Row],[Profit B]]*cadangan3[[#This Row],[Diskon]]),U782)</f>
        <v>0</v>
      </c>
      <c r="X782" t="str">
        <f>IFERROR(INDEX(Katalog!$A$3:$A$12,MATCH(cadangan3[[#This Row],[ItemID C]],Katalog!$C$3:$C$12,0)),"-")</f>
        <v>-</v>
      </c>
      <c r="Y782" t="str">
        <f>IFERROR(INDEX(Katalog!$B$3:$B$12,MATCH(cadangan3[[#This Row],[ItemID C]],Katalog!$C$3:$C$12,0)),"-")</f>
        <v>-</v>
      </c>
      <c r="AB782" s="36">
        <f>IFERROR(INDEX(Katalog!$D$3:$D$12,MATCH(cadangan3[[#This Row],[ItemID C]],Katalog!$C$3:$C$12,0))*cadangan3[[#This Row],[Qty C]],0)</f>
        <v>0</v>
      </c>
      <c r="AC782" s="36">
        <f>IFERROR(INDEX(Katalog!$D$3:$D$12,MATCH(cadangan3[[#This Row],[Item C]],Katalog!$B$3:$B$12,0))*cadangan3[[#This Row],[Qty C]],0)</f>
        <v>0</v>
      </c>
      <c r="AD782" s="36">
        <f>IFERROR(cadangan3[[#This Row],[Harga Asli C]]-(cadangan3[[#This Row],[Harga Asli C]]*cadangan3[[#This Row],[Diskon]]),cadangan3[[#This Row],[Harga Asli C]])</f>
        <v>0</v>
      </c>
      <c r="AE782" s="36">
        <f>IFERROR(INDEX(Katalog!$F$3:$F$12,MATCH(cadangan3[[#This Row],[ItemID C]],Katalog!$C$3:$C$12,0))*cadangan3[[#This Row],[Qty C]],0)</f>
        <v>0</v>
      </c>
      <c r="AF782" s="36">
        <f>IFERROR(cadangan3[[#This Row],[Profit C]]-(cadangan3[[#This Row],[Profit C]]*cadangan3[[#This Row],[Diskon]]),cadangan3[[#This Row],[Profit C]])</f>
        <v>0</v>
      </c>
      <c r="AG782" s="21">
        <f>cadangan3[[#This Row],[Qty A]]+cadangan3[[#This Row],[Qty B]]+cadangan3[[#This Row],[Qty C]]</f>
        <v>4</v>
      </c>
      <c r="AH782" s="35">
        <f>cadangan3[[#This Row],[Harga A + Diskon]]+cadangan3[[#This Row],[Harga + Diskon B]]+cadangan3[[#This Row],[Harga + Diskon C]]</f>
        <v>1000000</v>
      </c>
      <c r="AI782" s="35">
        <f>(cadangan3[[#This Row],[Profit A]]+cadangan3[[#This Row],[Profit B]]+cadangan3[[#This Row],[Profit C]])</f>
        <v>400000</v>
      </c>
      <c r="AJ782" s="35">
        <f>cadangan3[[#This Row],[Provit A + Diskon]]+cadangan3[[#This Row],[Provit B + Diskon]]+cadangan3[[#This Row],[Provit C + Diskon]]</f>
        <v>400000</v>
      </c>
      <c r="AK782" s="23" t="s">
        <v>11</v>
      </c>
      <c r="AL782" s="37" t="str">
        <f>IFERROR(INDEX('Kode Diskon'!$D$3:$D$9,MATCH(cadangan3[[#This Row],[Kode diskon]],'Kode Diskon'!$C$3:$C$9,0)),"-")</f>
        <v>-</v>
      </c>
      <c r="AM782" s="23" t="s">
        <v>11</v>
      </c>
      <c r="AN782" s="23" t="s">
        <v>7</v>
      </c>
      <c r="AO782" s="23" t="s">
        <v>76</v>
      </c>
      <c r="AP782" s="24">
        <v>45030</v>
      </c>
      <c r="AQ782" s="23" t="str">
        <f>TEXT(cadangan3[[#This Row],[Tanggal terjual]],"dddd")</f>
        <v>Friday</v>
      </c>
    </row>
    <row r="783" spans="1:43" x14ac:dyDescent="0.2">
      <c r="A783" s="20">
        <v>782</v>
      </c>
      <c r="B783" s="21" t="str">
        <f>_xlfn.CONCAT("ORD-",INDEX(Helper!$B$2:$B$5,MATCH(cadangan3[[#This Row],[Marketplace]],Helper!$A$2:$A$5,0)),TEXT(cadangan3[[#This Row],[No]],"0000"),"-",TEXT(cadangan3[[#This Row],[Tanggal terjual]],"dd/mm/yy"))</f>
        <v>ORD-TK0782-03/04/23</v>
      </c>
      <c r="C783" t="s">
        <v>60</v>
      </c>
      <c r="D783" t="str">
        <f>IFERROR(INDEX(Katalog!$A$3:$A$12,MATCH(cadangan3[[#This Row],[ItemID A]],Katalog!$C$3:$C$12,0)),"-")</f>
        <v>Pakaian Wanita</v>
      </c>
      <c r="E783" t="str">
        <f>IFERROR(INDEX(Katalog!$B$3:$B$12,MATCH(cadangan3[[#This Row],[ItemID A]],Katalog!$C$3:$C$12,0)),"-")</f>
        <v>Kaftan</v>
      </c>
      <c r="F783">
        <v>4</v>
      </c>
      <c r="G783">
        <v>5</v>
      </c>
      <c r="H783" s="36">
        <f>IFERROR(INDEX(Katalog!$D$3:$D$12,MATCH(cadangan3[[#This Row],[ItemID A]],Katalog!$C$3:$C$12,0))*cadangan3[[#This Row],[Qty A]],0)</f>
        <v>1000000</v>
      </c>
      <c r="I783" s="36">
        <f>IFERROR(INDEX(Katalog!$D$3:$D$12,MATCH(cadangan3[[#This Row],[Item A]],Katalog!$B$3:$B$12,0))*cadangan3[[#This Row],[Qty A]],0)</f>
        <v>1000000</v>
      </c>
      <c r="J783" s="36">
        <f>IFERROR(cadangan3[[#This Row],[Harga Asli A]]-(cadangan3[[#This Row],[Harga Asli A]]*cadangan3[[#This Row],[Diskon]]),cadangan3[[#This Row],[Harga Asli A]])</f>
        <v>900000</v>
      </c>
      <c r="K783" s="36">
        <f>INDEX(Katalog!$F$3:$F$12,MATCH(cadangan3[[#This Row],[ItemID A]],Katalog!$C$3:$C$12,0))*cadangan3[[#This Row],[Qty A]]</f>
        <v>400000</v>
      </c>
      <c r="L783" s="36">
        <f>IFERROR(cadangan3[[#This Row],[Profit A]]-(cadangan3[[#This Row],[Profit A]]*cadangan3[[#This Row],[Diskon]]),K783)</f>
        <v>360000</v>
      </c>
      <c r="M783" t="s">
        <v>67</v>
      </c>
      <c r="N783" t="str">
        <f>IFERROR(INDEX(Katalog!$A$3:$A$12,MATCH(cadangan3[[#This Row],[ItemID B]],Katalog!$C$3:$C$12,0)),"-")</f>
        <v>Sepatu Wanita</v>
      </c>
      <c r="O783" t="str">
        <f>IFERROR(INDEX(Katalog!$B$3:$B$12,MATCH(cadangan3[[#This Row],[ItemID B]],Katalog!$C$3:$C$12,0)),"-")</f>
        <v>Flat Shoes</v>
      </c>
      <c r="P783">
        <v>3</v>
      </c>
      <c r="Q783">
        <v>1</v>
      </c>
      <c r="R783" s="36">
        <f>IFERROR(INDEX(Katalog!$D$3:$D$12,MATCH(cadangan3[[#This Row],[ItemID B]],Katalog!$C$3:$C$12,0))*cadangan3[[#This Row],[Qty B]],0)</f>
        <v>750000</v>
      </c>
      <c r="S783" s="36">
        <f>IFERROR(INDEX(Katalog!$D$3:$D$12,MATCH(cadangan3[[#This Row],[Item B]],Katalog!$B$3:$B$12,0))*cadangan3[[#This Row],[Qty B]],0)</f>
        <v>750000</v>
      </c>
      <c r="T783" s="36">
        <f>IFERROR(cadangan3[[#This Row],[Harga Asli B]]-(cadangan3[[#This Row],[Harga Asli B]]*cadangan3[[#This Row],[Diskon]]),cadangan3[[#This Row],[Harga Asli B]])</f>
        <v>675000</v>
      </c>
      <c r="U783" s="36">
        <f>IFERROR(INDEX(Katalog!$F$3:$F$12,MATCH(cadangan3[[#This Row],[ItemID B]],Katalog!$C$3:$C$12,0))*cadangan3[[#This Row],[Qty B]],0)</f>
        <v>300000</v>
      </c>
      <c r="V783" s="36">
        <f>IFERROR(cadangan3[[#This Row],[Profit B]]-(cadangan3[[#This Row],[Profit B]]*cadangan3[[#This Row],[Diskon]]),U783)</f>
        <v>270000</v>
      </c>
      <c r="X783" t="str">
        <f>IFERROR(INDEX(Katalog!$A$3:$A$12,MATCH(cadangan3[[#This Row],[ItemID C]],Katalog!$C$3:$C$12,0)),"-")</f>
        <v>-</v>
      </c>
      <c r="Y783" t="str">
        <f>IFERROR(INDEX(Katalog!$B$3:$B$12,MATCH(cadangan3[[#This Row],[ItemID C]],Katalog!$C$3:$C$12,0)),"-")</f>
        <v>-</v>
      </c>
      <c r="AB783" s="36">
        <f>IFERROR(INDEX(Katalog!$D$3:$D$12,MATCH(cadangan3[[#This Row],[ItemID C]],Katalog!$C$3:$C$12,0))*cadangan3[[#This Row],[Qty C]],0)</f>
        <v>0</v>
      </c>
      <c r="AC783" s="36">
        <f>IFERROR(INDEX(Katalog!$D$3:$D$12,MATCH(cadangan3[[#This Row],[Item C]],Katalog!$B$3:$B$12,0))*cadangan3[[#This Row],[Qty C]],0)</f>
        <v>0</v>
      </c>
      <c r="AD783" s="36">
        <f>IFERROR(cadangan3[[#This Row],[Harga Asli C]]-(cadangan3[[#This Row],[Harga Asli C]]*cadangan3[[#This Row],[Diskon]]),cadangan3[[#This Row],[Harga Asli C]])</f>
        <v>0</v>
      </c>
      <c r="AE783" s="36">
        <f>IFERROR(INDEX(Katalog!$F$3:$F$12,MATCH(cadangan3[[#This Row],[ItemID C]],Katalog!$C$3:$C$12,0))*cadangan3[[#This Row],[Qty C]],0)</f>
        <v>0</v>
      </c>
      <c r="AF783" s="36">
        <f>IFERROR(cadangan3[[#This Row],[Profit C]]-(cadangan3[[#This Row],[Profit C]]*cadangan3[[#This Row],[Diskon]]),cadangan3[[#This Row],[Profit C]])</f>
        <v>0</v>
      </c>
      <c r="AG783" s="21">
        <f>cadangan3[[#This Row],[Qty A]]+cadangan3[[#This Row],[Qty B]]+cadangan3[[#This Row],[Qty C]]</f>
        <v>7</v>
      </c>
      <c r="AH783" s="35">
        <f>cadangan3[[#This Row],[Harga A + Diskon]]+cadangan3[[#This Row],[Harga + Diskon B]]+cadangan3[[#This Row],[Harga + Diskon C]]</f>
        <v>1575000</v>
      </c>
      <c r="AI783" s="35">
        <f>(cadangan3[[#This Row],[Profit A]]+cadangan3[[#This Row],[Profit B]]+cadangan3[[#This Row],[Profit C]])</f>
        <v>700000</v>
      </c>
      <c r="AJ783" s="35">
        <f>cadangan3[[#This Row],[Provit A + Diskon]]+cadangan3[[#This Row],[Provit B + Diskon]]+cadangan3[[#This Row],[Provit C + Diskon]]</f>
        <v>630000</v>
      </c>
      <c r="AK783" s="23" t="s">
        <v>30</v>
      </c>
      <c r="AL783" s="37">
        <f>IFERROR(INDEX('Kode Diskon'!$D$3:$D$9,MATCH(cadangan3[[#This Row],[Kode diskon]],'Kode Diskon'!$C$3:$C$9,0)),"-")</f>
        <v>0.1</v>
      </c>
      <c r="AM783" s="23" t="s">
        <v>29</v>
      </c>
      <c r="AN783" s="23" t="s">
        <v>10</v>
      </c>
      <c r="AO783" s="23" t="s">
        <v>75</v>
      </c>
      <c r="AP783" s="24">
        <v>45019</v>
      </c>
      <c r="AQ783" s="23" t="str">
        <f>TEXT(cadangan3[[#This Row],[Tanggal terjual]],"dddd")</f>
        <v>Monday</v>
      </c>
    </row>
    <row r="784" spans="1:43" x14ac:dyDescent="0.2">
      <c r="A784" s="20">
        <v>783</v>
      </c>
      <c r="B784" s="21" t="str">
        <f>_xlfn.CONCAT("ORD-",INDEX(Helper!$B$2:$B$5,MATCH(cadangan3[[#This Row],[Marketplace]],Helper!$A$2:$A$5,0)),TEXT(cadangan3[[#This Row],[No]],"0000"),"-",TEXT(cadangan3[[#This Row],[Tanggal terjual]],"dd/mm/yy"))</f>
        <v>ORD-SP0783-02/04/23</v>
      </c>
      <c r="C784" t="s">
        <v>58</v>
      </c>
      <c r="D784" t="str">
        <f>IFERROR(INDEX(Katalog!$A$3:$A$12,MATCH(cadangan3[[#This Row],[ItemID A]],Katalog!$C$3:$C$12,0)),"-")</f>
        <v>Pakaian Wanita</v>
      </c>
      <c r="E784" t="str">
        <f>IFERROR(INDEX(Katalog!$B$3:$B$12,MATCH(cadangan3[[#This Row],[ItemID A]],Katalog!$C$3:$C$12,0)),"-")</f>
        <v>Dress</v>
      </c>
      <c r="F784">
        <v>2</v>
      </c>
      <c r="G784">
        <v>2</v>
      </c>
      <c r="H784" s="36">
        <f>IFERROR(INDEX(Katalog!$D$3:$D$12,MATCH(cadangan3[[#This Row],[ItemID A]],Katalog!$C$3:$C$12,0))*cadangan3[[#This Row],[Qty A]],0)</f>
        <v>600000</v>
      </c>
      <c r="I784" s="36">
        <f>IFERROR(INDEX(Katalog!$D$3:$D$12,MATCH(cadangan3[[#This Row],[Item A]],Katalog!$B$3:$B$12,0))*cadangan3[[#This Row],[Qty A]],0)</f>
        <v>600000</v>
      </c>
      <c r="J784" s="36">
        <f>IFERROR(cadangan3[[#This Row],[Harga Asli A]]-(cadangan3[[#This Row],[Harga Asli A]]*cadangan3[[#This Row],[Diskon]]),cadangan3[[#This Row],[Harga Asli A]])</f>
        <v>510000</v>
      </c>
      <c r="K784" s="36">
        <f>INDEX(Katalog!$F$3:$F$12,MATCH(cadangan3[[#This Row],[ItemID A]],Katalog!$C$3:$C$12,0))*cadangan3[[#This Row],[Qty A]]</f>
        <v>200000</v>
      </c>
      <c r="L784" s="36">
        <f>IFERROR(cadangan3[[#This Row],[Profit A]]-(cadangan3[[#This Row],[Profit A]]*cadangan3[[#This Row],[Diskon]]),K784)</f>
        <v>170000</v>
      </c>
      <c r="M784" t="s">
        <v>60</v>
      </c>
      <c r="N784" t="str">
        <f>IFERROR(INDEX(Katalog!$A$3:$A$12,MATCH(cadangan3[[#This Row],[ItemID B]],Katalog!$C$3:$C$12,0)),"-")</f>
        <v>Pakaian Wanita</v>
      </c>
      <c r="O784" t="str">
        <f>IFERROR(INDEX(Katalog!$B$3:$B$12,MATCH(cadangan3[[#This Row],[ItemID B]],Katalog!$C$3:$C$12,0)),"-")</f>
        <v>Kaftan</v>
      </c>
      <c r="P784">
        <v>1</v>
      </c>
      <c r="Q784">
        <v>5</v>
      </c>
      <c r="R784" s="36">
        <f>IFERROR(INDEX(Katalog!$D$3:$D$12,MATCH(cadangan3[[#This Row],[ItemID B]],Katalog!$C$3:$C$12,0))*cadangan3[[#This Row],[Qty B]],0)</f>
        <v>250000</v>
      </c>
      <c r="S784" s="36">
        <f>IFERROR(INDEX(Katalog!$D$3:$D$12,MATCH(cadangan3[[#This Row],[Item B]],Katalog!$B$3:$B$12,0))*cadangan3[[#This Row],[Qty B]],0)</f>
        <v>250000</v>
      </c>
      <c r="T784" s="36">
        <f>IFERROR(cadangan3[[#This Row],[Harga Asli B]]-(cadangan3[[#This Row],[Harga Asli B]]*cadangan3[[#This Row],[Diskon]]),cadangan3[[#This Row],[Harga Asli B]])</f>
        <v>212500</v>
      </c>
      <c r="U784" s="36">
        <f>IFERROR(INDEX(Katalog!$F$3:$F$12,MATCH(cadangan3[[#This Row],[ItemID B]],Katalog!$C$3:$C$12,0))*cadangan3[[#This Row],[Qty B]],0)</f>
        <v>100000</v>
      </c>
      <c r="V784" s="36">
        <f>IFERROR(cadangan3[[#This Row],[Profit B]]-(cadangan3[[#This Row],[Profit B]]*cadangan3[[#This Row],[Diskon]]),U784)</f>
        <v>85000</v>
      </c>
      <c r="W784" t="s">
        <v>67</v>
      </c>
      <c r="X784" t="str">
        <f>IFERROR(INDEX(Katalog!$A$3:$A$12,MATCH(cadangan3[[#This Row],[ItemID C]],Katalog!$C$3:$C$12,0)),"-")</f>
        <v>Sepatu Wanita</v>
      </c>
      <c r="Y784" t="str">
        <f>IFERROR(INDEX(Katalog!$B$3:$B$12,MATCH(cadangan3[[#This Row],[ItemID C]],Katalog!$C$3:$C$12,0)),"-")</f>
        <v>Flat Shoes</v>
      </c>
      <c r="Z784">
        <v>1</v>
      </c>
      <c r="AA784">
        <v>4</v>
      </c>
      <c r="AB784" s="36">
        <f>IFERROR(INDEX(Katalog!$D$3:$D$12,MATCH(cadangan3[[#This Row],[ItemID C]],Katalog!$C$3:$C$12,0))*cadangan3[[#This Row],[Qty C]],0)</f>
        <v>250000</v>
      </c>
      <c r="AC784" s="36">
        <f>IFERROR(INDEX(Katalog!$D$3:$D$12,MATCH(cadangan3[[#This Row],[Item C]],Katalog!$B$3:$B$12,0))*cadangan3[[#This Row],[Qty C]],0)</f>
        <v>250000</v>
      </c>
      <c r="AD784" s="36">
        <f>IFERROR(cadangan3[[#This Row],[Harga Asli C]]-(cadangan3[[#This Row],[Harga Asli C]]*cadangan3[[#This Row],[Diskon]]),cadangan3[[#This Row],[Harga Asli C]])</f>
        <v>212500</v>
      </c>
      <c r="AE784" s="36">
        <f>IFERROR(INDEX(Katalog!$F$3:$F$12,MATCH(cadangan3[[#This Row],[ItemID C]],Katalog!$C$3:$C$12,0))*cadangan3[[#This Row],[Qty C]],0)</f>
        <v>100000</v>
      </c>
      <c r="AF784" s="36">
        <f>IFERROR(cadangan3[[#This Row],[Profit C]]-(cadangan3[[#This Row],[Profit C]]*cadangan3[[#This Row],[Diskon]]),cadangan3[[#This Row],[Profit C]])</f>
        <v>85000</v>
      </c>
      <c r="AG784" s="21">
        <f>cadangan3[[#This Row],[Qty A]]+cadangan3[[#This Row],[Qty B]]+cadangan3[[#This Row],[Qty C]]</f>
        <v>4</v>
      </c>
      <c r="AH784" s="35">
        <f>cadangan3[[#This Row],[Harga A + Diskon]]+cadangan3[[#This Row],[Harga + Diskon B]]+cadangan3[[#This Row],[Harga + Diskon C]]</f>
        <v>935000</v>
      </c>
      <c r="AI784" s="35">
        <f>(cadangan3[[#This Row],[Profit A]]+cadangan3[[#This Row],[Profit B]]+cadangan3[[#This Row],[Profit C]])</f>
        <v>400000</v>
      </c>
      <c r="AJ784" s="35">
        <f>cadangan3[[#This Row],[Provit A + Diskon]]+cadangan3[[#This Row],[Provit B + Diskon]]+cadangan3[[#This Row],[Provit C + Diskon]]</f>
        <v>340000</v>
      </c>
      <c r="AK784" s="23" t="s">
        <v>13</v>
      </c>
      <c r="AL784" s="37">
        <f>IFERROR(INDEX('Kode Diskon'!$D$3:$D$9,MATCH(cadangan3[[#This Row],[Kode diskon]],'Kode Diskon'!$C$3:$C$9,0)),"-")</f>
        <v>0.15</v>
      </c>
      <c r="AM784" s="23" t="s">
        <v>29</v>
      </c>
      <c r="AN784" s="23" t="s">
        <v>7</v>
      </c>
      <c r="AO784" s="23" t="s">
        <v>79</v>
      </c>
      <c r="AP784" s="24">
        <v>45018</v>
      </c>
      <c r="AQ784" s="23" t="str">
        <f>TEXT(cadangan3[[#This Row],[Tanggal terjual]],"dddd")</f>
        <v>Sunday</v>
      </c>
    </row>
    <row r="785" spans="1:43" x14ac:dyDescent="0.2">
      <c r="A785" s="20">
        <v>784</v>
      </c>
      <c r="B785" s="21" t="str">
        <f>_xlfn.CONCAT("ORD-",INDEX(Helper!$B$2:$B$5,MATCH(cadangan3[[#This Row],[Marketplace]],Helper!$A$2:$A$5,0)),TEXT(cadangan3[[#This Row],[No]],"0000"),"-",TEXT(cadangan3[[#This Row],[Tanggal terjual]],"dd/mm/yy"))</f>
        <v>ORD-SP0784-22/04/23</v>
      </c>
      <c r="C785" t="s">
        <v>66</v>
      </c>
      <c r="D785" t="str">
        <f>IFERROR(INDEX(Katalog!$A$3:$A$12,MATCH(cadangan3[[#This Row],[ItemID A]],Katalog!$C$3:$C$12,0)),"-")</f>
        <v>Sepatu Pria</v>
      </c>
      <c r="E785" t="str">
        <f>IFERROR(INDEX(Katalog!$B$3:$B$12,MATCH(cadangan3[[#This Row],[ItemID A]],Katalog!$C$3:$C$12,0)),"-")</f>
        <v>Sandal Slip On</v>
      </c>
      <c r="F785">
        <v>5</v>
      </c>
      <c r="G785">
        <v>5</v>
      </c>
      <c r="H785" s="36">
        <f>IFERROR(INDEX(Katalog!$D$3:$D$12,MATCH(cadangan3[[#This Row],[ItemID A]],Katalog!$C$3:$C$12,0))*cadangan3[[#This Row],[Qty A]],0)</f>
        <v>750000</v>
      </c>
      <c r="I785" s="36">
        <f>IFERROR(INDEX(Katalog!$D$3:$D$12,MATCH(cadangan3[[#This Row],[Item A]],Katalog!$B$3:$B$12,0))*cadangan3[[#This Row],[Qty A]],0)</f>
        <v>750000</v>
      </c>
      <c r="J785" s="36">
        <f>IFERROR(cadangan3[[#This Row],[Harga Asli A]]-(cadangan3[[#This Row],[Harga Asli A]]*cadangan3[[#This Row],[Diskon]]),cadangan3[[#This Row],[Harga Asli A]])</f>
        <v>600000</v>
      </c>
      <c r="K785" s="36">
        <f>INDEX(Katalog!$F$3:$F$12,MATCH(cadangan3[[#This Row],[ItemID A]],Katalog!$C$3:$C$12,0))*cadangan3[[#This Row],[Qty A]]</f>
        <v>300000</v>
      </c>
      <c r="L785" s="36">
        <f>IFERROR(cadangan3[[#This Row],[Profit A]]-(cadangan3[[#This Row],[Profit A]]*cadangan3[[#This Row],[Diskon]]),K785)</f>
        <v>240000</v>
      </c>
      <c r="M785" t="s">
        <v>67</v>
      </c>
      <c r="N785" t="str">
        <f>IFERROR(INDEX(Katalog!$A$3:$A$12,MATCH(cadangan3[[#This Row],[ItemID B]],Katalog!$C$3:$C$12,0)),"-")</f>
        <v>Sepatu Wanita</v>
      </c>
      <c r="O785" t="str">
        <f>IFERROR(INDEX(Katalog!$B$3:$B$12,MATCH(cadangan3[[#This Row],[ItemID B]],Katalog!$C$3:$C$12,0)),"-")</f>
        <v>Flat Shoes</v>
      </c>
      <c r="P785">
        <v>1</v>
      </c>
      <c r="Q785">
        <v>2</v>
      </c>
      <c r="R785" s="36">
        <f>IFERROR(INDEX(Katalog!$D$3:$D$12,MATCH(cadangan3[[#This Row],[ItemID B]],Katalog!$C$3:$C$12,0))*cadangan3[[#This Row],[Qty B]],0)</f>
        <v>250000</v>
      </c>
      <c r="S785" s="36">
        <f>IFERROR(INDEX(Katalog!$D$3:$D$12,MATCH(cadangan3[[#This Row],[Item B]],Katalog!$B$3:$B$12,0))*cadangan3[[#This Row],[Qty B]],0)</f>
        <v>250000</v>
      </c>
      <c r="T785" s="36">
        <f>IFERROR(cadangan3[[#This Row],[Harga Asli B]]-(cadangan3[[#This Row],[Harga Asli B]]*cadangan3[[#This Row],[Diskon]]),cadangan3[[#This Row],[Harga Asli B]])</f>
        <v>200000</v>
      </c>
      <c r="U785" s="36">
        <f>IFERROR(INDEX(Katalog!$F$3:$F$12,MATCH(cadangan3[[#This Row],[ItemID B]],Katalog!$C$3:$C$12,0))*cadangan3[[#This Row],[Qty B]],0)</f>
        <v>100000</v>
      </c>
      <c r="V785" s="36">
        <f>IFERROR(cadangan3[[#This Row],[Profit B]]-(cadangan3[[#This Row],[Profit B]]*cadangan3[[#This Row],[Diskon]]),U785)</f>
        <v>80000</v>
      </c>
      <c r="W785" t="s">
        <v>61</v>
      </c>
      <c r="X785" t="str">
        <f>IFERROR(INDEX(Katalog!$A$3:$A$12,MATCH(cadangan3[[#This Row],[ItemID C]],Katalog!$C$3:$C$12,0)),"-")</f>
        <v>Pakaian Pria</v>
      </c>
      <c r="Y785" t="str">
        <f>IFERROR(INDEX(Katalog!$B$3:$B$12,MATCH(cadangan3[[#This Row],[ItemID C]],Katalog!$C$3:$C$12,0)),"-")</f>
        <v>Kaos Polo</v>
      </c>
      <c r="Z785">
        <v>1</v>
      </c>
      <c r="AA785">
        <v>5</v>
      </c>
      <c r="AB785" s="36">
        <f>IFERROR(INDEX(Katalog!$D$3:$D$12,MATCH(cadangan3[[#This Row],[ItemID C]],Katalog!$C$3:$C$12,0))*cadangan3[[#This Row],[Qty C]],0)</f>
        <v>200000</v>
      </c>
      <c r="AC785" s="36">
        <f>IFERROR(INDEX(Katalog!$D$3:$D$12,MATCH(cadangan3[[#This Row],[Item C]],Katalog!$B$3:$B$12,0))*cadangan3[[#This Row],[Qty C]],0)</f>
        <v>200000</v>
      </c>
      <c r="AD785" s="36">
        <f>IFERROR(cadangan3[[#This Row],[Harga Asli C]]-(cadangan3[[#This Row],[Harga Asli C]]*cadangan3[[#This Row],[Diskon]]),cadangan3[[#This Row],[Harga Asli C]])</f>
        <v>160000</v>
      </c>
      <c r="AE785" s="36">
        <f>IFERROR(INDEX(Katalog!$F$3:$F$12,MATCH(cadangan3[[#This Row],[ItemID C]],Katalog!$C$3:$C$12,0))*cadangan3[[#This Row],[Qty C]],0)</f>
        <v>80000</v>
      </c>
      <c r="AF785" s="36">
        <f>IFERROR(cadangan3[[#This Row],[Profit C]]-(cadangan3[[#This Row],[Profit C]]*cadangan3[[#This Row],[Diskon]]),cadangan3[[#This Row],[Profit C]])</f>
        <v>64000</v>
      </c>
      <c r="AG785" s="21">
        <f>cadangan3[[#This Row],[Qty A]]+cadangan3[[#This Row],[Qty B]]+cadangan3[[#This Row],[Qty C]]</f>
        <v>7</v>
      </c>
      <c r="AH785" s="35">
        <f>cadangan3[[#This Row],[Harga A + Diskon]]+cadangan3[[#This Row],[Harga + Diskon B]]+cadangan3[[#This Row],[Harga + Diskon C]]</f>
        <v>960000</v>
      </c>
      <c r="AI785" s="35">
        <f>(cadangan3[[#This Row],[Profit A]]+cadangan3[[#This Row],[Profit B]]+cadangan3[[#This Row],[Profit C]])</f>
        <v>480000</v>
      </c>
      <c r="AJ785" s="35">
        <f>cadangan3[[#This Row],[Provit A + Diskon]]+cadangan3[[#This Row],[Provit B + Diskon]]+cadangan3[[#This Row],[Provit C + Diskon]]</f>
        <v>384000</v>
      </c>
      <c r="AK785" s="23" t="s">
        <v>8</v>
      </c>
      <c r="AL785" s="37">
        <f>IFERROR(INDEX('Kode Diskon'!$D$3:$D$9,MATCH(cadangan3[[#This Row],[Kode diskon]],'Kode Diskon'!$C$3:$C$9,0)),"-")</f>
        <v>0.2</v>
      </c>
      <c r="AM785" s="23" t="s">
        <v>9</v>
      </c>
      <c r="AN785" s="23" t="s">
        <v>7</v>
      </c>
      <c r="AO785" s="23" t="s">
        <v>77</v>
      </c>
      <c r="AP785" s="24">
        <v>45038</v>
      </c>
      <c r="AQ785" s="23" t="str">
        <f>TEXT(cadangan3[[#This Row],[Tanggal terjual]],"dddd")</f>
        <v>Saturday</v>
      </c>
    </row>
    <row r="786" spans="1:43" x14ac:dyDescent="0.2">
      <c r="A786" s="20">
        <v>785</v>
      </c>
      <c r="B786" s="21" t="str">
        <f>_xlfn.CONCAT("ORD-",INDEX(Helper!$B$2:$B$5,MATCH(cadangan3[[#This Row],[Marketplace]],Helper!$A$2:$A$5,0)),TEXT(cadangan3[[#This Row],[No]],"0000"),"-",TEXT(cadangan3[[#This Row],[Tanggal terjual]],"dd/mm/yy"))</f>
        <v>ORD-TK0785-01/04/23</v>
      </c>
      <c r="C786" t="s">
        <v>65</v>
      </c>
      <c r="D786" t="str">
        <f>IFERROR(INDEX(Katalog!$A$3:$A$12,MATCH(cadangan3[[#This Row],[ItemID A]],Katalog!$C$3:$C$12,0)),"-")</f>
        <v>Sepatu Pria</v>
      </c>
      <c r="E786" t="str">
        <f>IFERROR(INDEX(Katalog!$B$3:$B$12,MATCH(cadangan3[[#This Row],[ItemID A]],Katalog!$C$3:$C$12,0)),"-")</f>
        <v>Sneakers</v>
      </c>
      <c r="F786">
        <v>1</v>
      </c>
      <c r="G786">
        <v>1</v>
      </c>
      <c r="H786" s="36">
        <f>IFERROR(INDEX(Katalog!$D$3:$D$12,MATCH(cadangan3[[#This Row],[ItemID A]],Katalog!$C$3:$C$12,0))*cadangan3[[#This Row],[Qty A]],0)</f>
        <v>500000</v>
      </c>
      <c r="I786" s="36">
        <f>IFERROR(INDEX(Katalog!$D$3:$D$12,MATCH(cadangan3[[#This Row],[Item A]],Katalog!$B$3:$B$12,0))*cadangan3[[#This Row],[Qty A]],0)</f>
        <v>500000</v>
      </c>
      <c r="J786" s="36">
        <f>IFERROR(cadangan3[[#This Row],[Harga Asli A]]-(cadangan3[[#This Row],[Harga Asli A]]*cadangan3[[#This Row],[Diskon]]),cadangan3[[#This Row],[Harga Asli A]])</f>
        <v>450000</v>
      </c>
      <c r="K786" s="36">
        <f>INDEX(Katalog!$F$3:$F$12,MATCH(cadangan3[[#This Row],[ItemID A]],Katalog!$C$3:$C$12,0))*cadangan3[[#This Row],[Qty A]]</f>
        <v>200000</v>
      </c>
      <c r="L786" s="36">
        <f>IFERROR(cadangan3[[#This Row],[Profit A]]-(cadangan3[[#This Row],[Profit A]]*cadangan3[[#This Row],[Diskon]]),K786)</f>
        <v>180000</v>
      </c>
      <c r="N786" t="str">
        <f>IFERROR(INDEX(Katalog!$A$3:$A$12,MATCH(cadangan3[[#This Row],[ItemID B]],Katalog!$C$3:$C$12,0)),"-")</f>
        <v>-</v>
      </c>
      <c r="O786" t="str">
        <f>IFERROR(INDEX(Katalog!$B$3:$B$12,MATCH(cadangan3[[#This Row],[ItemID B]],Katalog!$C$3:$C$12,0)),"-")</f>
        <v>-</v>
      </c>
      <c r="R786" s="36">
        <f>IFERROR(INDEX(Katalog!$D$3:$D$12,MATCH(cadangan3[[#This Row],[ItemID B]],Katalog!$C$3:$C$12,0))*cadangan3[[#This Row],[Qty B]],0)</f>
        <v>0</v>
      </c>
      <c r="S786" s="36">
        <f>IFERROR(INDEX(Katalog!$D$3:$D$12,MATCH(cadangan3[[#This Row],[Item B]],Katalog!$B$3:$B$12,0))*cadangan3[[#This Row],[Qty B]],0)</f>
        <v>0</v>
      </c>
      <c r="T786" s="36">
        <f>IFERROR(cadangan3[[#This Row],[Harga Asli B]]-(cadangan3[[#This Row],[Harga Asli B]]*cadangan3[[#This Row],[Diskon]]),cadangan3[[#This Row],[Harga Asli B]])</f>
        <v>0</v>
      </c>
      <c r="U786" s="36">
        <f>IFERROR(INDEX(Katalog!$F$3:$F$12,MATCH(cadangan3[[#This Row],[ItemID B]],Katalog!$C$3:$C$12,0))*cadangan3[[#This Row],[Qty B]],0)</f>
        <v>0</v>
      </c>
      <c r="V786" s="36">
        <f>IFERROR(cadangan3[[#This Row],[Profit B]]-(cadangan3[[#This Row],[Profit B]]*cadangan3[[#This Row],[Diskon]]),U786)</f>
        <v>0</v>
      </c>
      <c r="X786" t="str">
        <f>IFERROR(INDEX(Katalog!$A$3:$A$12,MATCH(cadangan3[[#This Row],[ItemID C]],Katalog!$C$3:$C$12,0)),"-")</f>
        <v>-</v>
      </c>
      <c r="Y786" t="str">
        <f>IFERROR(INDEX(Katalog!$B$3:$B$12,MATCH(cadangan3[[#This Row],[ItemID C]],Katalog!$C$3:$C$12,0)),"-")</f>
        <v>-</v>
      </c>
      <c r="AB786" s="36">
        <f>IFERROR(INDEX(Katalog!$D$3:$D$12,MATCH(cadangan3[[#This Row],[ItemID C]],Katalog!$C$3:$C$12,0))*cadangan3[[#This Row],[Qty C]],0)</f>
        <v>0</v>
      </c>
      <c r="AC786" s="36">
        <f>IFERROR(INDEX(Katalog!$D$3:$D$12,MATCH(cadangan3[[#This Row],[Item C]],Katalog!$B$3:$B$12,0))*cadangan3[[#This Row],[Qty C]],0)</f>
        <v>0</v>
      </c>
      <c r="AD786" s="36">
        <f>IFERROR(cadangan3[[#This Row],[Harga Asli C]]-(cadangan3[[#This Row],[Harga Asli C]]*cadangan3[[#This Row],[Diskon]]),cadangan3[[#This Row],[Harga Asli C]])</f>
        <v>0</v>
      </c>
      <c r="AE786" s="36">
        <f>IFERROR(INDEX(Katalog!$F$3:$F$12,MATCH(cadangan3[[#This Row],[ItemID C]],Katalog!$C$3:$C$12,0))*cadangan3[[#This Row],[Qty C]],0)</f>
        <v>0</v>
      </c>
      <c r="AF786" s="36">
        <f>IFERROR(cadangan3[[#This Row],[Profit C]]-(cadangan3[[#This Row],[Profit C]]*cadangan3[[#This Row],[Diskon]]),cadangan3[[#This Row],[Profit C]])</f>
        <v>0</v>
      </c>
      <c r="AG786" s="21">
        <f>cadangan3[[#This Row],[Qty A]]+cadangan3[[#This Row],[Qty B]]+cadangan3[[#This Row],[Qty C]]</f>
        <v>1</v>
      </c>
      <c r="AH786" s="35">
        <f>cadangan3[[#This Row],[Harga A + Diskon]]+cadangan3[[#This Row],[Harga + Diskon B]]+cadangan3[[#This Row],[Harga + Diskon C]]</f>
        <v>450000</v>
      </c>
      <c r="AI786" s="35">
        <f>(cadangan3[[#This Row],[Profit A]]+cadangan3[[#This Row],[Profit B]]+cadangan3[[#This Row],[Profit C]])</f>
        <v>200000</v>
      </c>
      <c r="AJ786" s="35">
        <f>cadangan3[[#This Row],[Provit A + Diskon]]+cadangan3[[#This Row],[Provit B + Diskon]]+cadangan3[[#This Row],[Provit C + Diskon]]</f>
        <v>180000</v>
      </c>
      <c r="AK786" s="23" t="s">
        <v>30</v>
      </c>
      <c r="AL786" s="37">
        <f>IFERROR(INDEX('Kode Diskon'!$D$3:$D$9,MATCH(cadangan3[[#This Row],[Kode diskon]],'Kode Diskon'!$C$3:$C$9,0)),"-")</f>
        <v>0.1</v>
      </c>
      <c r="AM786" s="23" t="s">
        <v>29</v>
      </c>
      <c r="AN786" s="23" t="s">
        <v>10</v>
      </c>
      <c r="AO786" s="23" t="s">
        <v>78</v>
      </c>
      <c r="AP786" s="24">
        <v>45017</v>
      </c>
      <c r="AQ786" s="23" t="str">
        <f>TEXT(cadangan3[[#This Row],[Tanggal terjual]],"dddd")</f>
        <v>Saturday</v>
      </c>
    </row>
    <row r="787" spans="1:43" x14ac:dyDescent="0.2">
      <c r="A787" s="20">
        <v>786</v>
      </c>
      <c r="B787" s="21" t="str">
        <f>_xlfn.CONCAT("ORD-",INDEX(Helper!$B$2:$B$5,MATCH(cadangan3[[#This Row],[Marketplace]],Helper!$A$2:$A$5,0)),TEXT(cadangan3[[#This Row],[No]],"0000"),"-",TEXT(cadangan3[[#This Row],[Tanggal terjual]],"dd/mm/yy"))</f>
        <v>ORD-BL0786-11/04/23</v>
      </c>
      <c r="C787" t="s">
        <v>62</v>
      </c>
      <c r="D787" t="str">
        <f>IFERROR(INDEX(Katalog!$A$3:$A$12,MATCH(cadangan3[[#This Row],[ItemID A]],Katalog!$C$3:$C$12,0)),"-")</f>
        <v>Pakaian Pria</v>
      </c>
      <c r="E787" t="str">
        <f>IFERROR(INDEX(Katalog!$B$3:$B$12,MATCH(cadangan3[[#This Row],[ItemID A]],Katalog!$C$3:$C$12,0)),"-")</f>
        <v>Celana Pendek</v>
      </c>
      <c r="F787">
        <v>1</v>
      </c>
      <c r="G787">
        <v>2</v>
      </c>
      <c r="H787" s="36">
        <f>IFERROR(INDEX(Katalog!$D$3:$D$12,MATCH(cadangan3[[#This Row],[ItemID A]],Katalog!$C$3:$C$12,0))*cadangan3[[#This Row],[Qty A]],0)</f>
        <v>180000</v>
      </c>
      <c r="I787" s="36">
        <f>IFERROR(INDEX(Katalog!$D$3:$D$12,MATCH(cadangan3[[#This Row],[Item A]],Katalog!$B$3:$B$12,0))*cadangan3[[#This Row],[Qty A]],0)</f>
        <v>180000</v>
      </c>
      <c r="J787" s="36">
        <f>IFERROR(cadangan3[[#This Row],[Harga Asli A]]-(cadangan3[[#This Row],[Harga Asli A]]*cadangan3[[#This Row],[Diskon]]),cadangan3[[#This Row],[Harga Asli A]])</f>
        <v>180000</v>
      </c>
      <c r="K787" s="36">
        <f>INDEX(Katalog!$F$3:$F$12,MATCH(cadangan3[[#This Row],[ItemID A]],Katalog!$C$3:$C$12,0))*cadangan3[[#This Row],[Qty A]]</f>
        <v>70000</v>
      </c>
      <c r="L787" s="36">
        <f>IFERROR(cadangan3[[#This Row],[Profit A]]-(cadangan3[[#This Row],[Profit A]]*cadangan3[[#This Row],[Diskon]]),K787)</f>
        <v>70000</v>
      </c>
      <c r="N787" t="str">
        <f>IFERROR(INDEX(Katalog!$A$3:$A$12,MATCH(cadangan3[[#This Row],[ItemID B]],Katalog!$C$3:$C$12,0)),"-")</f>
        <v>-</v>
      </c>
      <c r="O787" t="str">
        <f>IFERROR(INDEX(Katalog!$B$3:$B$12,MATCH(cadangan3[[#This Row],[ItemID B]],Katalog!$C$3:$C$12,0)),"-")</f>
        <v>-</v>
      </c>
      <c r="R787" s="36">
        <f>IFERROR(INDEX(Katalog!$D$3:$D$12,MATCH(cadangan3[[#This Row],[ItemID B]],Katalog!$C$3:$C$12,0))*cadangan3[[#This Row],[Qty B]],0)</f>
        <v>0</v>
      </c>
      <c r="S787" s="36">
        <f>IFERROR(INDEX(Katalog!$D$3:$D$12,MATCH(cadangan3[[#This Row],[Item B]],Katalog!$B$3:$B$12,0))*cadangan3[[#This Row],[Qty B]],0)</f>
        <v>0</v>
      </c>
      <c r="T787" s="36">
        <f>IFERROR(cadangan3[[#This Row],[Harga Asli B]]-(cadangan3[[#This Row],[Harga Asli B]]*cadangan3[[#This Row],[Diskon]]),cadangan3[[#This Row],[Harga Asli B]])</f>
        <v>0</v>
      </c>
      <c r="U787" s="36">
        <f>IFERROR(INDEX(Katalog!$F$3:$F$12,MATCH(cadangan3[[#This Row],[ItemID B]],Katalog!$C$3:$C$12,0))*cadangan3[[#This Row],[Qty B]],0)</f>
        <v>0</v>
      </c>
      <c r="V787" s="36">
        <f>IFERROR(cadangan3[[#This Row],[Profit B]]-(cadangan3[[#This Row],[Profit B]]*cadangan3[[#This Row],[Diskon]]),U787)</f>
        <v>0</v>
      </c>
      <c r="X787" t="str">
        <f>IFERROR(INDEX(Katalog!$A$3:$A$12,MATCH(cadangan3[[#This Row],[ItemID C]],Katalog!$C$3:$C$12,0)),"-")</f>
        <v>-</v>
      </c>
      <c r="Y787" t="str">
        <f>IFERROR(INDEX(Katalog!$B$3:$B$12,MATCH(cadangan3[[#This Row],[ItemID C]],Katalog!$C$3:$C$12,0)),"-")</f>
        <v>-</v>
      </c>
      <c r="AB787" s="36">
        <f>IFERROR(INDEX(Katalog!$D$3:$D$12,MATCH(cadangan3[[#This Row],[ItemID C]],Katalog!$C$3:$C$12,0))*cadangan3[[#This Row],[Qty C]],0)</f>
        <v>0</v>
      </c>
      <c r="AC787" s="36">
        <f>IFERROR(INDEX(Katalog!$D$3:$D$12,MATCH(cadangan3[[#This Row],[Item C]],Katalog!$B$3:$B$12,0))*cadangan3[[#This Row],[Qty C]],0)</f>
        <v>0</v>
      </c>
      <c r="AD787" s="36">
        <f>IFERROR(cadangan3[[#This Row],[Harga Asli C]]-(cadangan3[[#This Row],[Harga Asli C]]*cadangan3[[#This Row],[Diskon]]),cadangan3[[#This Row],[Harga Asli C]])</f>
        <v>0</v>
      </c>
      <c r="AE787" s="36">
        <f>IFERROR(INDEX(Katalog!$F$3:$F$12,MATCH(cadangan3[[#This Row],[ItemID C]],Katalog!$C$3:$C$12,0))*cadangan3[[#This Row],[Qty C]],0)</f>
        <v>0</v>
      </c>
      <c r="AF787" s="36">
        <f>IFERROR(cadangan3[[#This Row],[Profit C]]-(cadangan3[[#This Row],[Profit C]]*cadangan3[[#This Row],[Diskon]]),cadangan3[[#This Row],[Profit C]])</f>
        <v>0</v>
      </c>
      <c r="AG787" s="21">
        <f>cadangan3[[#This Row],[Qty A]]+cadangan3[[#This Row],[Qty B]]+cadangan3[[#This Row],[Qty C]]</f>
        <v>1</v>
      </c>
      <c r="AH787" s="35">
        <f>cadangan3[[#This Row],[Harga A + Diskon]]+cadangan3[[#This Row],[Harga + Diskon B]]+cadangan3[[#This Row],[Harga + Diskon C]]</f>
        <v>180000</v>
      </c>
      <c r="AI787" s="35">
        <f>(cadangan3[[#This Row],[Profit A]]+cadangan3[[#This Row],[Profit B]]+cadangan3[[#This Row],[Profit C]])</f>
        <v>70000</v>
      </c>
      <c r="AJ787" s="35">
        <f>cadangan3[[#This Row],[Provit A + Diskon]]+cadangan3[[#This Row],[Provit B + Diskon]]+cadangan3[[#This Row],[Provit C + Diskon]]</f>
        <v>70000</v>
      </c>
      <c r="AK787" s="23" t="s">
        <v>11</v>
      </c>
      <c r="AL787" s="37" t="str">
        <f>IFERROR(INDEX('Kode Diskon'!$D$3:$D$9,MATCH(cadangan3[[#This Row],[Kode diskon]],'Kode Diskon'!$C$3:$C$9,0)),"-")</f>
        <v>-</v>
      </c>
      <c r="AM787" s="23" t="s">
        <v>11</v>
      </c>
      <c r="AN787" s="23" t="s">
        <v>12</v>
      </c>
      <c r="AO787" s="23" t="s">
        <v>79</v>
      </c>
      <c r="AP787" s="24">
        <v>45027</v>
      </c>
      <c r="AQ787" s="23" t="str">
        <f>TEXT(cadangan3[[#This Row],[Tanggal terjual]],"dddd")</f>
        <v>Tuesday</v>
      </c>
    </row>
    <row r="788" spans="1:43" x14ac:dyDescent="0.2">
      <c r="A788" s="20">
        <v>787</v>
      </c>
      <c r="B788" s="21" t="str">
        <f>_xlfn.CONCAT("ORD-",INDEX(Helper!$B$2:$B$5,MATCH(cadangan3[[#This Row],[Marketplace]],Helper!$A$2:$A$5,0)),TEXT(cadangan3[[#This Row],[No]],"0000"),"-",TEXT(cadangan3[[#This Row],[Tanggal terjual]],"dd/mm/yy"))</f>
        <v>ORD-TK0787-04/04/23</v>
      </c>
      <c r="C788" t="s">
        <v>62</v>
      </c>
      <c r="D788" t="str">
        <f>IFERROR(INDEX(Katalog!$A$3:$A$12,MATCH(cadangan3[[#This Row],[ItemID A]],Katalog!$C$3:$C$12,0)),"-")</f>
        <v>Pakaian Pria</v>
      </c>
      <c r="E788" t="str">
        <f>IFERROR(INDEX(Katalog!$B$3:$B$12,MATCH(cadangan3[[#This Row],[ItemID A]],Katalog!$C$3:$C$12,0)),"-")</f>
        <v>Celana Pendek</v>
      </c>
      <c r="F788">
        <v>1</v>
      </c>
      <c r="G788">
        <v>3</v>
      </c>
      <c r="H788" s="36">
        <f>IFERROR(INDEX(Katalog!$D$3:$D$12,MATCH(cadangan3[[#This Row],[ItemID A]],Katalog!$C$3:$C$12,0))*cadangan3[[#This Row],[Qty A]],0)</f>
        <v>180000</v>
      </c>
      <c r="I788" s="36">
        <f>IFERROR(INDEX(Katalog!$D$3:$D$12,MATCH(cadangan3[[#This Row],[Item A]],Katalog!$B$3:$B$12,0))*cadangan3[[#This Row],[Qty A]],0)</f>
        <v>180000</v>
      </c>
      <c r="J788" s="36">
        <f>IFERROR(cadangan3[[#This Row],[Harga Asli A]]-(cadangan3[[#This Row],[Harga Asli A]]*cadangan3[[#This Row],[Diskon]]),cadangan3[[#This Row],[Harga Asli A]])</f>
        <v>162000</v>
      </c>
      <c r="K788" s="36">
        <f>INDEX(Katalog!$F$3:$F$12,MATCH(cadangan3[[#This Row],[ItemID A]],Katalog!$C$3:$C$12,0))*cadangan3[[#This Row],[Qty A]]</f>
        <v>70000</v>
      </c>
      <c r="L788" s="36">
        <f>IFERROR(cadangan3[[#This Row],[Profit A]]-(cadangan3[[#This Row],[Profit A]]*cadangan3[[#This Row],[Diskon]]),K788)</f>
        <v>63000</v>
      </c>
      <c r="M788" t="s">
        <v>65</v>
      </c>
      <c r="N788" t="str">
        <f>IFERROR(INDEX(Katalog!$A$3:$A$12,MATCH(cadangan3[[#This Row],[ItemID B]],Katalog!$C$3:$C$12,0)),"-")</f>
        <v>Sepatu Pria</v>
      </c>
      <c r="O788" t="str">
        <f>IFERROR(INDEX(Katalog!$B$3:$B$12,MATCH(cadangan3[[#This Row],[ItemID B]],Katalog!$C$3:$C$12,0)),"-")</f>
        <v>Sneakers</v>
      </c>
      <c r="P788">
        <v>2</v>
      </c>
      <c r="Q788">
        <v>1</v>
      </c>
      <c r="R788" s="36">
        <f>IFERROR(INDEX(Katalog!$D$3:$D$12,MATCH(cadangan3[[#This Row],[ItemID B]],Katalog!$C$3:$C$12,0))*cadangan3[[#This Row],[Qty B]],0)</f>
        <v>1000000</v>
      </c>
      <c r="S788" s="36">
        <f>IFERROR(INDEX(Katalog!$D$3:$D$12,MATCH(cadangan3[[#This Row],[Item B]],Katalog!$B$3:$B$12,0))*cadangan3[[#This Row],[Qty B]],0)</f>
        <v>1000000</v>
      </c>
      <c r="T788" s="36">
        <f>IFERROR(cadangan3[[#This Row],[Harga Asli B]]-(cadangan3[[#This Row],[Harga Asli B]]*cadangan3[[#This Row],[Diskon]]),cadangan3[[#This Row],[Harga Asli B]])</f>
        <v>900000</v>
      </c>
      <c r="U788" s="36">
        <f>IFERROR(INDEX(Katalog!$F$3:$F$12,MATCH(cadangan3[[#This Row],[ItemID B]],Katalog!$C$3:$C$12,0))*cadangan3[[#This Row],[Qty B]],0)</f>
        <v>400000</v>
      </c>
      <c r="V788" s="36">
        <f>IFERROR(cadangan3[[#This Row],[Profit B]]-(cadangan3[[#This Row],[Profit B]]*cadangan3[[#This Row],[Diskon]]),U788)</f>
        <v>360000</v>
      </c>
      <c r="W788" t="s">
        <v>58</v>
      </c>
      <c r="X788" t="str">
        <f>IFERROR(INDEX(Katalog!$A$3:$A$12,MATCH(cadangan3[[#This Row],[ItemID C]],Katalog!$C$3:$C$12,0)),"-")</f>
        <v>Pakaian Wanita</v>
      </c>
      <c r="Y788" t="str">
        <f>IFERROR(INDEX(Katalog!$B$3:$B$12,MATCH(cadangan3[[#This Row],[ItemID C]],Katalog!$C$3:$C$12,0)),"-")</f>
        <v>Dress</v>
      </c>
      <c r="Z788">
        <v>2</v>
      </c>
      <c r="AA788">
        <v>2</v>
      </c>
      <c r="AB788" s="36">
        <f>IFERROR(INDEX(Katalog!$D$3:$D$12,MATCH(cadangan3[[#This Row],[ItemID C]],Katalog!$C$3:$C$12,0))*cadangan3[[#This Row],[Qty C]],0)</f>
        <v>600000</v>
      </c>
      <c r="AC788" s="36">
        <f>IFERROR(INDEX(Katalog!$D$3:$D$12,MATCH(cadangan3[[#This Row],[Item C]],Katalog!$B$3:$B$12,0))*cadangan3[[#This Row],[Qty C]],0)</f>
        <v>600000</v>
      </c>
      <c r="AD788" s="36">
        <f>IFERROR(cadangan3[[#This Row],[Harga Asli C]]-(cadangan3[[#This Row],[Harga Asli C]]*cadangan3[[#This Row],[Diskon]]),cadangan3[[#This Row],[Harga Asli C]])</f>
        <v>540000</v>
      </c>
      <c r="AE788" s="36">
        <f>IFERROR(INDEX(Katalog!$F$3:$F$12,MATCH(cadangan3[[#This Row],[ItemID C]],Katalog!$C$3:$C$12,0))*cadangan3[[#This Row],[Qty C]],0)</f>
        <v>200000</v>
      </c>
      <c r="AF788" s="36">
        <f>IFERROR(cadangan3[[#This Row],[Profit C]]-(cadangan3[[#This Row],[Profit C]]*cadangan3[[#This Row],[Diskon]]),cadangan3[[#This Row],[Profit C]])</f>
        <v>180000</v>
      </c>
      <c r="AG788" s="21">
        <f>cadangan3[[#This Row],[Qty A]]+cadangan3[[#This Row],[Qty B]]+cadangan3[[#This Row],[Qty C]]</f>
        <v>5</v>
      </c>
      <c r="AH788" s="35">
        <f>cadangan3[[#This Row],[Harga A + Diskon]]+cadangan3[[#This Row],[Harga + Diskon B]]+cadangan3[[#This Row],[Harga + Diskon C]]</f>
        <v>1602000</v>
      </c>
      <c r="AI788" s="35">
        <f>(cadangan3[[#This Row],[Profit A]]+cadangan3[[#This Row],[Profit B]]+cadangan3[[#This Row],[Profit C]])</f>
        <v>670000</v>
      </c>
      <c r="AJ788" s="35">
        <f>cadangan3[[#This Row],[Provit A + Diskon]]+cadangan3[[#This Row],[Provit B + Diskon]]+cadangan3[[#This Row],[Provit C + Diskon]]</f>
        <v>603000</v>
      </c>
      <c r="AK788" s="23" t="s">
        <v>30</v>
      </c>
      <c r="AL788" s="37">
        <f>IFERROR(INDEX('Kode Diskon'!$D$3:$D$9,MATCH(cadangan3[[#This Row],[Kode diskon]],'Kode Diskon'!$C$3:$C$9,0)),"-")</f>
        <v>0.1</v>
      </c>
      <c r="AM788" s="23" t="s">
        <v>29</v>
      </c>
      <c r="AN788" s="23" t="s">
        <v>10</v>
      </c>
      <c r="AO788" s="23" t="s">
        <v>76</v>
      </c>
      <c r="AP788" s="24">
        <v>45020</v>
      </c>
      <c r="AQ788" s="23" t="str">
        <f>TEXT(cadangan3[[#This Row],[Tanggal terjual]],"dddd")</f>
        <v>Tuesday</v>
      </c>
    </row>
    <row r="789" spans="1:43" x14ac:dyDescent="0.2">
      <c r="A789" s="20">
        <v>788</v>
      </c>
      <c r="B789" s="21" t="str">
        <f>_xlfn.CONCAT("ORD-",INDEX(Helper!$B$2:$B$5,MATCH(cadangan3[[#This Row],[Marketplace]],Helper!$A$2:$A$5,0)),TEXT(cadangan3[[#This Row],[No]],"0000"),"-",TEXT(cadangan3[[#This Row],[Tanggal terjual]],"dd/mm/yy"))</f>
        <v>ORD-SP0788-09/04/23</v>
      </c>
      <c r="C789" t="s">
        <v>64</v>
      </c>
      <c r="D789" t="str">
        <f>IFERROR(INDEX(Katalog!$A$3:$A$12,MATCH(cadangan3[[#This Row],[ItemID A]],Katalog!$C$3:$C$12,0)),"-")</f>
        <v>Pakaian Unisex</v>
      </c>
      <c r="E789" t="str">
        <f>IFERROR(INDEX(Katalog!$B$3:$B$12,MATCH(cadangan3[[#This Row],[ItemID A]],Katalog!$C$3:$C$12,0)),"-")</f>
        <v>Jaket Hoodie</v>
      </c>
      <c r="F789">
        <v>6</v>
      </c>
      <c r="G789">
        <v>4</v>
      </c>
      <c r="H789" s="36">
        <f>IFERROR(INDEX(Katalog!$D$3:$D$12,MATCH(cadangan3[[#This Row],[ItemID A]],Katalog!$C$3:$C$12,0))*cadangan3[[#This Row],[Qty A]],0)</f>
        <v>2100000</v>
      </c>
      <c r="I789" s="36">
        <f>IFERROR(INDEX(Katalog!$D$3:$D$12,MATCH(cadangan3[[#This Row],[Item A]],Katalog!$B$3:$B$12,0))*cadangan3[[#This Row],[Qty A]],0)</f>
        <v>2100000</v>
      </c>
      <c r="J789" s="36">
        <f>IFERROR(cadangan3[[#This Row],[Harga Asli A]]-(cadangan3[[#This Row],[Harga Asli A]]*cadangan3[[#This Row],[Diskon]]),cadangan3[[#This Row],[Harga Asli A]])</f>
        <v>2100000</v>
      </c>
      <c r="K789" s="36">
        <f>INDEX(Katalog!$F$3:$F$12,MATCH(cadangan3[[#This Row],[ItemID A]],Katalog!$C$3:$C$12,0))*cadangan3[[#This Row],[Qty A]]</f>
        <v>780000</v>
      </c>
      <c r="L789" s="36">
        <f>IFERROR(cadangan3[[#This Row],[Profit A]]-(cadangan3[[#This Row],[Profit A]]*cadangan3[[#This Row],[Diskon]]),K789)</f>
        <v>780000</v>
      </c>
      <c r="M789" t="s">
        <v>59</v>
      </c>
      <c r="N789" t="str">
        <f>IFERROR(INDEX(Katalog!$A$3:$A$12,MATCH(cadangan3[[#This Row],[ItemID B]],Katalog!$C$3:$C$12,0)),"-")</f>
        <v>Pakaian Wanita</v>
      </c>
      <c r="O789" t="str">
        <f>IFERROR(INDEX(Katalog!$B$3:$B$12,MATCH(cadangan3[[#This Row],[ItemID B]],Katalog!$C$3:$C$12,0)),"-")</f>
        <v>Blouse</v>
      </c>
      <c r="P789">
        <v>1</v>
      </c>
      <c r="Q789">
        <v>2</v>
      </c>
      <c r="R789" s="36">
        <f>IFERROR(INDEX(Katalog!$D$3:$D$12,MATCH(cadangan3[[#This Row],[ItemID B]],Katalog!$C$3:$C$12,0))*cadangan3[[#This Row],[Qty B]],0)</f>
        <v>150000</v>
      </c>
      <c r="S789" s="36">
        <f>IFERROR(INDEX(Katalog!$D$3:$D$12,MATCH(cadangan3[[#This Row],[Item B]],Katalog!$B$3:$B$12,0))*cadangan3[[#This Row],[Qty B]],0)</f>
        <v>150000</v>
      </c>
      <c r="T789" s="36">
        <f>IFERROR(cadangan3[[#This Row],[Harga Asli B]]-(cadangan3[[#This Row],[Harga Asli B]]*cadangan3[[#This Row],[Diskon]]),cadangan3[[#This Row],[Harga Asli B]])</f>
        <v>150000</v>
      </c>
      <c r="U789" s="36">
        <f>IFERROR(INDEX(Katalog!$F$3:$F$12,MATCH(cadangan3[[#This Row],[ItemID B]],Katalog!$C$3:$C$12,0))*cadangan3[[#This Row],[Qty B]],0)</f>
        <v>50000</v>
      </c>
      <c r="V789" s="36">
        <f>IFERROR(cadangan3[[#This Row],[Profit B]]-(cadangan3[[#This Row],[Profit B]]*cadangan3[[#This Row],[Diskon]]),U789)</f>
        <v>50000</v>
      </c>
      <c r="X789" t="str">
        <f>IFERROR(INDEX(Katalog!$A$3:$A$12,MATCH(cadangan3[[#This Row],[ItemID C]],Katalog!$C$3:$C$12,0)),"-")</f>
        <v>-</v>
      </c>
      <c r="Y789" t="str">
        <f>IFERROR(INDEX(Katalog!$B$3:$B$12,MATCH(cadangan3[[#This Row],[ItemID C]],Katalog!$C$3:$C$12,0)),"-")</f>
        <v>-</v>
      </c>
      <c r="AB789" s="36">
        <f>IFERROR(INDEX(Katalog!$D$3:$D$12,MATCH(cadangan3[[#This Row],[ItemID C]],Katalog!$C$3:$C$12,0))*cadangan3[[#This Row],[Qty C]],0)</f>
        <v>0</v>
      </c>
      <c r="AC789" s="36">
        <f>IFERROR(INDEX(Katalog!$D$3:$D$12,MATCH(cadangan3[[#This Row],[Item C]],Katalog!$B$3:$B$12,0))*cadangan3[[#This Row],[Qty C]],0)</f>
        <v>0</v>
      </c>
      <c r="AD789" s="36">
        <f>IFERROR(cadangan3[[#This Row],[Harga Asli C]]-(cadangan3[[#This Row],[Harga Asli C]]*cadangan3[[#This Row],[Diskon]]),cadangan3[[#This Row],[Harga Asli C]])</f>
        <v>0</v>
      </c>
      <c r="AE789" s="36">
        <f>IFERROR(INDEX(Katalog!$F$3:$F$12,MATCH(cadangan3[[#This Row],[ItemID C]],Katalog!$C$3:$C$12,0))*cadangan3[[#This Row],[Qty C]],0)</f>
        <v>0</v>
      </c>
      <c r="AF789" s="36">
        <f>IFERROR(cadangan3[[#This Row],[Profit C]]-(cadangan3[[#This Row],[Profit C]]*cadangan3[[#This Row],[Diskon]]),cadangan3[[#This Row],[Profit C]])</f>
        <v>0</v>
      </c>
      <c r="AG789" s="21">
        <f>cadangan3[[#This Row],[Qty A]]+cadangan3[[#This Row],[Qty B]]+cadangan3[[#This Row],[Qty C]]</f>
        <v>7</v>
      </c>
      <c r="AH789" s="35">
        <f>cadangan3[[#This Row],[Harga A + Diskon]]+cadangan3[[#This Row],[Harga + Diskon B]]+cadangan3[[#This Row],[Harga + Diskon C]]</f>
        <v>2250000</v>
      </c>
      <c r="AI789" s="35">
        <f>(cadangan3[[#This Row],[Profit A]]+cadangan3[[#This Row],[Profit B]]+cadangan3[[#This Row],[Profit C]])</f>
        <v>830000</v>
      </c>
      <c r="AJ789" s="35">
        <f>cadangan3[[#This Row],[Provit A + Diskon]]+cadangan3[[#This Row],[Provit B + Diskon]]+cadangan3[[#This Row],[Provit C + Diskon]]</f>
        <v>830000</v>
      </c>
      <c r="AK789" s="23" t="s">
        <v>11</v>
      </c>
      <c r="AL789" s="37" t="str">
        <f>IFERROR(INDEX('Kode Diskon'!$D$3:$D$9,MATCH(cadangan3[[#This Row],[Kode diskon]],'Kode Diskon'!$C$3:$C$9,0)),"-")</f>
        <v>-</v>
      </c>
      <c r="AM789" s="23" t="s">
        <v>11</v>
      </c>
      <c r="AN789" s="23" t="s">
        <v>7</v>
      </c>
      <c r="AO789" s="23" t="s">
        <v>75</v>
      </c>
      <c r="AP789" s="24">
        <v>45025</v>
      </c>
      <c r="AQ789" s="23" t="str">
        <f>TEXT(cadangan3[[#This Row],[Tanggal terjual]],"dddd")</f>
        <v>Sunday</v>
      </c>
    </row>
    <row r="790" spans="1:43" x14ac:dyDescent="0.2">
      <c r="A790" s="20">
        <v>789</v>
      </c>
      <c r="B790" s="21" t="str">
        <f>_xlfn.CONCAT("ORD-",INDEX(Helper!$B$2:$B$5,MATCH(cadangan3[[#This Row],[Marketplace]],Helper!$A$2:$A$5,0)),TEXT(cadangan3[[#This Row],[No]],"0000"),"-",TEXT(cadangan3[[#This Row],[Tanggal terjual]],"dd/mm/yy"))</f>
        <v>ORD-BB0789-03/04/23</v>
      </c>
      <c r="C790" t="s">
        <v>66</v>
      </c>
      <c r="D790" t="str">
        <f>IFERROR(INDEX(Katalog!$A$3:$A$12,MATCH(cadangan3[[#This Row],[ItemID A]],Katalog!$C$3:$C$12,0)),"-")</f>
        <v>Sepatu Pria</v>
      </c>
      <c r="E790" t="str">
        <f>IFERROR(INDEX(Katalog!$B$3:$B$12,MATCH(cadangan3[[#This Row],[ItemID A]],Katalog!$C$3:$C$12,0)),"-")</f>
        <v>Sandal Slip On</v>
      </c>
      <c r="F790">
        <v>2</v>
      </c>
      <c r="G790">
        <v>2</v>
      </c>
      <c r="H790" s="36">
        <f>IFERROR(INDEX(Katalog!$D$3:$D$12,MATCH(cadangan3[[#This Row],[ItemID A]],Katalog!$C$3:$C$12,0))*cadangan3[[#This Row],[Qty A]],0)</f>
        <v>300000</v>
      </c>
      <c r="I790" s="36">
        <f>IFERROR(INDEX(Katalog!$D$3:$D$12,MATCH(cadangan3[[#This Row],[Item A]],Katalog!$B$3:$B$12,0))*cadangan3[[#This Row],[Qty A]],0)</f>
        <v>300000</v>
      </c>
      <c r="J790" s="36">
        <f>IFERROR(cadangan3[[#This Row],[Harga Asli A]]-(cadangan3[[#This Row],[Harga Asli A]]*cadangan3[[#This Row],[Diskon]]),cadangan3[[#This Row],[Harga Asli A]])</f>
        <v>255000</v>
      </c>
      <c r="K790" s="36">
        <f>INDEX(Katalog!$F$3:$F$12,MATCH(cadangan3[[#This Row],[ItemID A]],Katalog!$C$3:$C$12,0))*cadangan3[[#This Row],[Qty A]]</f>
        <v>120000</v>
      </c>
      <c r="L790" s="36">
        <f>IFERROR(cadangan3[[#This Row],[Profit A]]-(cadangan3[[#This Row],[Profit A]]*cadangan3[[#This Row],[Diskon]]),K790)</f>
        <v>102000</v>
      </c>
      <c r="N790" t="str">
        <f>IFERROR(INDEX(Katalog!$A$3:$A$12,MATCH(cadangan3[[#This Row],[ItemID B]],Katalog!$C$3:$C$12,0)),"-")</f>
        <v>-</v>
      </c>
      <c r="O790" t="str">
        <f>IFERROR(INDEX(Katalog!$B$3:$B$12,MATCH(cadangan3[[#This Row],[ItemID B]],Katalog!$C$3:$C$12,0)),"-")</f>
        <v>-</v>
      </c>
      <c r="R790" s="36">
        <f>IFERROR(INDEX(Katalog!$D$3:$D$12,MATCH(cadangan3[[#This Row],[ItemID B]],Katalog!$C$3:$C$12,0))*cadangan3[[#This Row],[Qty B]],0)</f>
        <v>0</v>
      </c>
      <c r="S790" s="36">
        <f>IFERROR(INDEX(Katalog!$D$3:$D$12,MATCH(cadangan3[[#This Row],[Item B]],Katalog!$B$3:$B$12,0))*cadangan3[[#This Row],[Qty B]],0)</f>
        <v>0</v>
      </c>
      <c r="T790" s="36">
        <f>IFERROR(cadangan3[[#This Row],[Harga Asli B]]-(cadangan3[[#This Row],[Harga Asli B]]*cadangan3[[#This Row],[Diskon]]),cadangan3[[#This Row],[Harga Asli B]])</f>
        <v>0</v>
      </c>
      <c r="U790" s="36">
        <f>IFERROR(INDEX(Katalog!$F$3:$F$12,MATCH(cadangan3[[#This Row],[ItemID B]],Katalog!$C$3:$C$12,0))*cadangan3[[#This Row],[Qty B]],0)</f>
        <v>0</v>
      </c>
      <c r="V790" s="36">
        <f>IFERROR(cadangan3[[#This Row],[Profit B]]-(cadangan3[[#This Row],[Profit B]]*cadangan3[[#This Row],[Diskon]]),U790)</f>
        <v>0</v>
      </c>
      <c r="X790" t="str">
        <f>IFERROR(INDEX(Katalog!$A$3:$A$12,MATCH(cadangan3[[#This Row],[ItemID C]],Katalog!$C$3:$C$12,0)),"-")</f>
        <v>-</v>
      </c>
      <c r="Y790" t="str">
        <f>IFERROR(INDEX(Katalog!$B$3:$B$12,MATCH(cadangan3[[#This Row],[ItemID C]],Katalog!$C$3:$C$12,0)),"-")</f>
        <v>-</v>
      </c>
      <c r="AB790" s="36">
        <f>IFERROR(INDEX(Katalog!$D$3:$D$12,MATCH(cadangan3[[#This Row],[ItemID C]],Katalog!$C$3:$C$12,0))*cadangan3[[#This Row],[Qty C]],0)</f>
        <v>0</v>
      </c>
      <c r="AC790" s="36">
        <f>IFERROR(INDEX(Katalog!$D$3:$D$12,MATCH(cadangan3[[#This Row],[Item C]],Katalog!$B$3:$B$12,0))*cadangan3[[#This Row],[Qty C]],0)</f>
        <v>0</v>
      </c>
      <c r="AD790" s="36">
        <f>IFERROR(cadangan3[[#This Row],[Harga Asli C]]-(cadangan3[[#This Row],[Harga Asli C]]*cadangan3[[#This Row],[Diskon]]),cadangan3[[#This Row],[Harga Asli C]])</f>
        <v>0</v>
      </c>
      <c r="AE790" s="36">
        <f>IFERROR(INDEX(Katalog!$F$3:$F$12,MATCH(cadangan3[[#This Row],[ItemID C]],Katalog!$C$3:$C$12,0))*cadangan3[[#This Row],[Qty C]],0)</f>
        <v>0</v>
      </c>
      <c r="AF790" s="36">
        <f>IFERROR(cadangan3[[#This Row],[Profit C]]-(cadangan3[[#This Row],[Profit C]]*cadangan3[[#This Row],[Diskon]]),cadangan3[[#This Row],[Profit C]])</f>
        <v>0</v>
      </c>
      <c r="AG790" s="21">
        <f>cadangan3[[#This Row],[Qty A]]+cadangan3[[#This Row],[Qty B]]+cadangan3[[#This Row],[Qty C]]</f>
        <v>2</v>
      </c>
      <c r="AH790" s="35">
        <f>cadangan3[[#This Row],[Harga A + Diskon]]+cadangan3[[#This Row],[Harga + Diskon B]]+cadangan3[[#This Row],[Harga + Diskon C]]</f>
        <v>255000</v>
      </c>
      <c r="AI790" s="35">
        <f>(cadangan3[[#This Row],[Profit A]]+cadangan3[[#This Row],[Profit B]]+cadangan3[[#This Row],[Profit C]])</f>
        <v>120000</v>
      </c>
      <c r="AJ790" s="35">
        <f>cadangan3[[#This Row],[Provit A + Diskon]]+cadangan3[[#This Row],[Provit B + Diskon]]+cadangan3[[#This Row],[Provit C + Diskon]]</f>
        <v>102000</v>
      </c>
      <c r="AK790" s="23" t="s">
        <v>28</v>
      </c>
      <c r="AL790" s="37">
        <f>IFERROR(INDEX('Kode Diskon'!$D$3:$D$9,MATCH(cadangan3[[#This Row],[Kode diskon]],'Kode Diskon'!$C$3:$C$9,0)),"-")</f>
        <v>0.15</v>
      </c>
      <c r="AM790" s="23" t="s">
        <v>29</v>
      </c>
      <c r="AN790" s="23" t="s">
        <v>14</v>
      </c>
      <c r="AO790" s="23" t="s">
        <v>76</v>
      </c>
      <c r="AP790" s="24">
        <v>45019</v>
      </c>
      <c r="AQ790" s="23" t="str">
        <f>TEXT(cadangan3[[#This Row],[Tanggal terjual]],"dddd")</f>
        <v>Monday</v>
      </c>
    </row>
    <row r="791" spans="1:43" x14ac:dyDescent="0.2">
      <c r="A791" s="20">
        <v>790</v>
      </c>
      <c r="B791" s="21" t="str">
        <f>_xlfn.CONCAT("ORD-",INDEX(Helper!$B$2:$B$5,MATCH(cadangan3[[#This Row],[Marketplace]],Helper!$A$2:$A$5,0)),TEXT(cadangan3[[#This Row],[No]],"0000"),"-",TEXT(cadangan3[[#This Row],[Tanggal terjual]],"dd/mm/yy"))</f>
        <v>ORD-BL0790-17/04/23</v>
      </c>
      <c r="C791" t="s">
        <v>62</v>
      </c>
      <c r="D791" t="str">
        <f>IFERROR(INDEX(Katalog!$A$3:$A$12,MATCH(cadangan3[[#This Row],[ItemID A]],Katalog!$C$3:$C$12,0)),"-")</f>
        <v>Pakaian Pria</v>
      </c>
      <c r="E791" t="str">
        <f>IFERROR(INDEX(Katalog!$B$3:$B$12,MATCH(cadangan3[[#This Row],[ItemID A]],Katalog!$C$3:$C$12,0)),"-")</f>
        <v>Celana Pendek</v>
      </c>
      <c r="F791">
        <v>2</v>
      </c>
      <c r="G791">
        <v>5</v>
      </c>
      <c r="H791" s="36">
        <f>IFERROR(INDEX(Katalog!$D$3:$D$12,MATCH(cadangan3[[#This Row],[ItemID A]],Katalog!$C$3:$C$12,0))*cadangan3[[#This Row],[Qty A]],0)</f>
        <v>360000</v>
      </c>
      <c r="I791" s="36">
        <f>IFERROR(INDEX(Katalog!$D$3:$D$12,MATCH(cadangan3[[#This Row],[Item A]],Katalog!$B$3:$B$12,0))*cadangan3[[#This Row],[Qty A]],0)</f>
        <v>360000</v>
      </c>
      <c r="J791" s="36">
        <f>IFERROR(cadangan3[[#This Row],[Harga Asli A]]-(cadangan3[[#This Row],[Harga Asli A]]*cadangan3[[#This Row],[Diskon]]),cadangan3[[#This Row],[Harga Asli A]])</f>
        <v>306000</v>
      </c>
      <c r="K791" s="36">
        <f>INDEX(Katalog!$F$3:$F$12,MATCH(cadangan3[[#This Row],[ItemID A]],Katalog!$C$3:$C$12,0))*cadangan3[[#This Row],[Qty A]]</f>
        <v>140000</v>
      </c>
      <c r="L791" s="36">
        <f>IFERROR(cadangan3[[#This Row],[Profit A]]-(cadangan3[[#This Row],[Profit A]]*cadangan3[[#This Row],[Diskon]]),K791)</f>
        <v>119000</v>
      </c>
      <c r="M791" t="s">
        <v>66</v>
      </c>
      <c r="N791" t="str">
        <f>IFERROR(INDEX(Katalog!$A$3:$A$12,MATCH(cadangan3[[#This Row],[ItemID B]],Katalog!$C$3:$C$12,0)),"-")</f>
        <v>Sepatu Pria</v>
      </c>
      <c r="O791" t="str">
        <f>IFERROR(INDEX(Katalog!$B$3:$B$12,MATCH(cadangan3[[#This Row],[ItemID B]],Katalog!$C$3:$C$12,0)),"-")</f>
        <v>Sandal Slip On</v>
      </c>
      <c r="P791">
        <v>4</v>
      </c>
      <c r="Q791">
        <v>1</v>
      </c>
      <c r="R791" s="36">
        <f>IFERROR(INDEX(Katalog!$D$3:$D$12,MATCH(cadangan3[[#This Row],[ItemID B]],Katalog!$C$3:$C$12,0))*cadangan3[[#This Row],[Qty B]],0)</f>
        <v>600000</v>
      </c>
      <c r="S791" s="36">
        <f>IFERROR(INDEX(Katalog!$D$3:$D$12,MATCH(cadangan3[[#This Row],[Item B]],Katalog!$B$3:$B$12,0))*cadangan3[[#This Row],[Qty B]],0)</f>
        <v>600000</v>
      </c>
      <c r="T791" s="36">
        <f>IFERROR(cadangan3[[#This Row],[Harga Asli B]]-(cadangan3[[#This Row],[Harga Asli B]]*cadangan3[[#This Row],[Diskon]]),cadangan3[[#This Row],[Harga Asli B]])</f>
        <v>510000</v>
      </c>
      <c r="U791" s="36">
        <f>IFERROR(INDEX(Katalog!$F$3:$F$12,MATCH(cadangan3[[#This Row],[ItemID B]],Katalog!$C$3:$C$12,0))*cadangan3[[#This Row],[Qty B]],0)</f>
        <v>240000</v>
      </c>
      <c r="V791" s="36">
        <f>IFERROR(cadangan3[[#This Row],[Profit B]]-(cadangan3[[#This Row],[Profit B]]*cadangan3[[#This Row],[Diskon]]),U791)</f>
        <v>204000</v>
      </c>
      <c r="X791" t="str">
        <f>IFERROR(INDEX(Katalog!$A$3:$A$12,MATCH(cadangan3[[#This Row],[ItemID C]],Katalog!$C$3:$C$12,0)),"-")</f>
        <v>-</v>
      </c>
      <c r="Y791" t="str">
        <f>IFERROR(INDEX(Katalog!$B$3:$B$12,MATCH(cadangan3[[#This Row],[ItemID C]],Katalog!$C$3:$C$12,0)),"-")</f>
        <v>-</v>
      </c>
      <c r="AB791" s="36">
        <f>IFERROR(INDEX(Katalog!$D$3:$D$12,MATCH(cadangan3[[#This Row],[ItemID C]],Katalog!$C$3:$C$12,0))*cadangan3[[#This Row],[Qty C]],0)</f>
        <v>0</v>
      </c>
      <c r="AC791" s="36">
        <f>IFERROR(INDEX(Katalog!$D$3:$D$12,MATCH(cadangan3[[#This Row],[Item C]],Katalog!$B$3:$B$12,0))*cadangan3[[#This Row],[Qty C]],0)</f>
        <v>0</v>
      </c>
      <c r="AD791" s="36">
        <f>IFERROR(cadangan3[[#This Row],[Harga Asli C]]-(cadangan3[[#This Row],[Harga Asli C]]*cadangan3[[#This Row],[Diskon]]),cadangan3[[#This Row],[Harga Asli C]])</f>
        <v>0</v>
      </c>
      <c r="AE791" s="36">
        <f>IFERROR(INDEX(Katalog!$F$3:$F$12,MATCH(cadangan3[[#This Row],[ItemID C]],Katalog!$C$3:$C$12,0))*cadangan3[[#This Row],[Qty C]],0)</f>
        <v>0</v>
      </c>
      <c r="AF791" s="36">
        <f>IFERROR(cadangan3[[#This Row],[Profit C]]-(cadangan3[[#This Row],[Profit C]]*cadangan3[[#This Row],[Diskon]]),cadangan3[[#This Row],[Profit C]])</f>
        <v>0</v>
      </c>
      <c r="AG791" s="21">
        <f>cadangan3[[#This Row],[Qty A]]+cadangan3[[#This Row],[Qty B]]+cadangan3[[#This Row],[Qty C]]</f>
        <v>6</v>
      </c>
      <c r="AH791" s="35">
        <f>cadangan3[[#This Row],[Harga A + Diskon]]+cadangan3[[#This Row],[Harga + Diskon B]]+cadangan3[[#This Row],[Harga + Diskon C]]</f>
        <v>816000</v>
      </c>
      <c r="AI791" s="35">
        <f>(cadangan3[[#This Row],[Profit A]]+cadangan3[[#This Row],[Profit B]]+cadangan3[[#This Row],[Profit C]])</f>
        <v>380000</v>
      </c>
      <c r="AJ791" s="35">
        <f>cadangan3[[#This Row],[Provit A + Diskon]]+cadangan3[[#This Row],[Provit B + Diskon]]+cadangan3[[#This Row],[Provit C + Diskon]]</f>
        <v>323000</v>
      </c>
      <c r="AK791" s="23" t="s">
        <v>32</v>
      </c>
      <c r="AL791" s="37">
        <f>IFERROR(INDEX('Kode Diskon'!$D$3:$D$9,MATCH(cadangan3[[#This Row],[Kode diskon]],'Kode Diskon'!$C$3:$C$9,0)),"-")</f>
        <v>0.15</v>
      </c>
      <c r="AM791" s="23" t="s">
        <v>9</v>
      </c>
      <c r="AN791" s="23" t="s">
        <v>12</v>
      </c>
      <c r="AO791" s="23" t="s">
        <v>80</v>
      </c>
      <c r="AP791" s="24">
        <v>45033</v>
      </c>
      <c r="AQ791" s="23" t="str">
        <f>TEXT(cadangan3[[#This Row],[Tanggal terjual]],"dddd")</f>
        <v>Monday</v>
      </c>
    </row>
    <row r="792" spans="1:43" x14ac:dyDescent="0.2">
      <c r="A792" s="20">
        <v>791</v>
      </c>
      <c r="B792" s="21" t="str">
        <f>_xlfn.CONCAT("ORD-",INDEX(Helper!$B$2:$B$5,MATCH(cadangan3[[#This Row],[Marketplace]],Helper!$A$2:$A$5,0)),TEXT(cadangan3[[#This Row],[No]],"0000"),"-",TEXT(cadangan3[[#This Row],[Tanggal terjual]],"dd/mm/yy"))</f>
        <v>ORD-TK0791-07/04/23</v>
      </c>
      <c r="C792" t="s">
        <v>66</v>
      </c>
      <c r="D792" t="str">
        <f>IFERROR(INDEX(Katalog!$A$3:$A$12,MATCH(cadangan3[[#This Row],[ItemID A]],Katalog!$C$3:$C$12,0)),"-")</f>
        <v>Sepatu Pria</v>
      </c>
      <c r="E792" t="str">
        <f>IFERROR(INDEX(Katalog!$B$3:$B$12,MATCH(cadangan3[[#This Row],[ItemID A]],Katalog!$C$3:$C$12,0)),"-")</f>
        <v>Sandal Slip On</v>
      </c>
      <c r="F792">
        <v>1</v>
      </c>
      <c r="G792">
        <v>3</v>
      </c>
      <c r="H792" s="36">
        <f>IFERROR(INDEX(Katalog!$D$3:$D$12,MATCH(cadangan3[[#This Row],[ItemID A]],Katalog!$C$3:$C$12,0))*cadangan3[[#This Row],[Qty A]],0)</f>
        <v>150000</v>
      </c>
      <c r="I792" s="36">
        <f>IFERROR(INDEX(Katalog!$D$3:$D$12,MATCH(cadangan3[[#This Row],[Item A]],Katalog!$B$3:$B$12,0))*cadangan3[[#This Row],[Qty A]],0)</f>
        <v>150000</v>
      </c>
      <c r="J792" s="36">
        <f>IFERROR(cadangan3[[#This Row],[Harga Asli A]]-(cadangan3[[#This Row],[Harga Asli A]]*cadangan3[[#This Row],[Diskon]]),cadangan3[[#This Row],[Harga Asli A]])</f>
        <v>150000</v>
      </c>
      <c r="K792" s="36">
        <f>INDEX(Katalog!$F$3:$F$12,MATCH(cadangan3[[#This Row],[ItemID A]],Katalog!$C$3:$C$12,0))*cadangan3[[#This Row],[Qty A]]</f>
        <v>60000</v>
      </c>
      <c r="L792" s="36">
        <f>IFERROR(cadangan3[[#This Row],[Profit A]]-(cadangan3[[#This Row],[Profit A]]*cadangan3[[#This Row],[Diskon]]),K792)</f>
        <v>60000</v>
      </c>
      <c r="M792" t="s">
        <v>67</v>
      </c>
      <c r="N792" t="str">
        <f>IFERROR(INDEX(Katalog!$A$3:$A$12,MATCH(cadangan3[[#This Row],[ItemID B]],Katalog!$C$3:$C$12,0)),"-")</f>
        <v>Sepatu Wanita</v>
      </c>
      <c r="O792" t="str">
        <f>IFERROR(INDEX(Katalog!$B$3:$B$12,MATCH(cadangan3[[#This Row],[ItemID B]],Katalog!$C$3:$C$12,0)),"-")</f>
        <v>Flat Shoes</v>
      </c>
      <c r="P792">
        <v>3</v>
      </c>
      <c r="Q792">
        <v>5</v>
      </c>
      <c r="R792" s="36">
        <f>IFERROR(INDEX(Katalog!$D$3:$D$12,MATCH(cadangan3[[#This Row],[ItemID B]],Katalog!$C$3:$C$12,0))*cadangan3[[#This Row],[Qty B]],0)</f>
        <v>750000</v>
      </c>
      <c r="S792" s="36">
        <f>IFERROR(INDEX(Katalog!$D$3:$D$12,MATCH(cadangan3[[#This Row],[Item B]],Katalog!$B$3:$B$12,0))*cadangan3[[#This Row],[Qty B]],0)</f>
        <v>750000</v>
      </c>
      <c r="T792" s="36">
        <f>IFERROR(cadangan3[[#This Row],[Harga Asli B]]-(cadangan3[[#This Row],[Harga Asli B]]*cadangan3[[#This Row],[Diskon]]),cadangan3[[#This Row],[Harga Asli B]])</f>
        <v>750000</v>
      </c>
      <c r="U792" s="36">
        <f>IFERROR(INDEX(Katalog!$F$3:$F$12,MATCH(cadangan3[[#This Row],[ItemID B]],Katalog!$C$3:$C$12,0))*cadangan3[[#This Row],[Qty B]],0)</f>
        <v>300000</v>
      </c>
      <c r="V792" s="36">
        <f>IFERROR(cadangan3[[#This Row],[Profit B]]-(cadangan3[[#This Row],[Profit B]]*cadangan3[[#This Row],[Diskon]]),U792)</f>
        <v>300000</v>
      </c>
      <c r="X792" t="str">
        <f>IFERROR(INDEX(Katalog!$A$3:$A$12,MATCH(cadangan3[[#This Row],[ItemID C]],Katalog!$C$3:$C$12,0)),"-")</f>
        <v>-</v>
      </c>
      <c r="Y792" t="str">
        <f>IFERROR(INDEX(Katalog!$B$3:$B$12,MATCH(cadangan3[[#This Row],[ItemID C]],Katalog!$C$3:$C$12,0)),"-")</f>
        <v>-</v>
      </c>
      <c r="AB792" s="36">
        <f>IFERROR(INDEX(Katalog!$D$3:$D$12,MATCH(cadangan3[[#This Row],[ItemID C]],Katalog!$C$3:$C$12,0))*cadangan3[[#This Row],[Qty C]],0)</f>
        <v>0</v>
      </c>
      <c r="AC792" s="36">
        <f>IFERROR(INDEX(Katalog!$D$3:$D$12,MATCH(cadangan3[[#This Row],[Item C]],Katalog!$B$3:$B$12,0))*cadangan3[[#This Row],[Qty C]],0)</f>
        <v>0</v>
      </c>
      <c r="AD792" s="36">
        <f>IFERROR(cadangan3[[#This Row],[Harga Asli C]]-(cadangan3[[#This Row],[Harga Asli C]]*cadangan3[[#This Row],[Diskon]]),cadangan3[[#This Row],[Harga Asli C]])</f>
        <v>0</v>
      </c>
      <c r="AE792" s="36">
        <f>IFERROR(INDEX(Katalog!$F$3:$F$12,MATCH(cadangan3[[#This Row],[ItemID C]],Katalog!$C$3:$C$12,0))*cadangan3[[#This Row],[Qty C]],0)</f>
        <v>0</v>
      </c>
      <c r="AF792" s="36">
        <f>IFERROR(cadangan3[[#This Row],[Profit C]]-(cadangan3[[#This Row],[Profit C]]*cadangan3[[#This Row],[Diskon]]),cadangan3[[#This Row],[Profit C]])</f>
        <v>0</v>
      </c>
      <c r="AG792" s="21">
        <f>cadangan3[[#This Row],[Qty A]]+cadangan3[[#This Row],[Qty B]]+cadangan3[[#This Row],[Qty C]]</f>
        <v>4</v>
      </c>
      <c r="AH792" s="35">
        <f>cadangan3[[#This Row],[Harga A + Diskon]]+cadangan3[[#This Row],[Harga + Diskon B]]+cadangan3[[#This Row],[Harga + Diskon C]]</f>
        <v>900000</v>
      </c>
      <c r="AI792" s="35">
        <f>(cadangan3[[#This Row],[Profit A]]+cadangan3[[#This Row],[Profit B]]+cadangan3[[#This Row],[Profit C]])</f>
        <v>360000</v>
      </c>
      <c r="AJ792" s="35">
        <f>cadangan3[[#This Row],[Provit A + Diskon]]+cadangan3[[#This Row],[Provit B + Diskon]]+cadangan3[[#This Row],[Provit C + Diskon]]</f>
        <v>360000</v>
      </c>
      <c r="AK792" s="23" t="s">
        <v>11</v>
      </c>
      <c r="AL792" s="37" t="str">
        <f>IFERROR(INDEX('Kode Diskon'!$D$3:$D$9,MATCH(cadangan3[[#This Row],[Kode diskon]],'Kode Diskon'!$C$3:$C$9,0)),"-")</f>
        <v>-</v>
      </c>
      <c r="AM792" s="23" t="s">
        <v>11</v>
      </c>
      <c r="AN792" s="23" t="s">
        <v>10</v>
      </c>
      <c r="AO792" s="23" t="s">
        <v>80</v>
      </c>
      <c r="AP792" s="24">
        <v>45023</v>
      </c>
      <c r="AQ792" s="23" t="str">
        <f>TEXT(cadangan3[[#This Row],[Tanggal terjual]],"dddd")</f>
        <v>Friday</v>
      </c>
    </row>
    <row r="793" spans="1:43" x14ac:dyDescent="0.2">
      <c r="A793" s="20">
        <v>792</v>
      </c>
      <c r="B793" s="21" t="str">
        <f>_xlfn.CONCAT("ORD-",INDEX(Helper!$B$2:$B$5,MATCH(cadangan3[[#This Row],[Marketplace]],Helper!$A$2:$A$5,0)),TEXT(cadangan3[[#This Row],[No]],"0000"),"-",TEXT(cadangan3[[#This Row],[Tanggal terjual]],"dd/mm/yy"))</f>
        <v>ORD-SP0792-03/04/23</v>
      </c>
      <c r="C793" t="s">
        <v>61</v>
      </c>
      <c r="D793" t="str">
        <f>IFERROR(INDEX(Katalog!$A$3:$A$12,MATCH(cadangan3[[#This Row],[ItemID A]],Katalog!$C$3:$C$12,0)),"-")</f>
        <v>Pakaian Pria</v>
      </c>
      <c r="E793" t="str">
        <f>IFERROR(INDEX(Katalog!$B$3:$B$12,MATCH(cadangan3[[#This Row],[ItemID A]],Katalog!$C$3:$C$12,0)),"-")</f>
        <v>Kaos Polo</v>
      </c>
      <c r="F793">
        <v>4</v>
      </c>
      <c r="G793">
        <v>1</v>
      </c>
      <c r="H793" s="36">
        <f>IFERROR(INDEX(Katalog!$D$3:$D$12,MATCH(cadangan3[[#This Row],[ItemID A]],Katalog!$C$3:$C$12,0))*cadangan3[[#This Row],[Qty A]],0)</f>
        <v>800000</v>
      </c>
      <c r="I793" s="36">
        <f>IFERROR(INDEX(Katalog!$D$3:$D$12,MATCH(cadangan3[[#This Row],[Item A]],Katalog!$B$3:$B$12,0))*cadangan3[[#This Row],[Qty A]],0)</f>
        <v>800000</v>
      </c>
      <c r="J793" s="36">
        <f>IFERROR(cadangan3[[#This Row],[Harga Asli A]]-(cadangan3[[#This Row],[Harga Asli A]]*cadangan3[[#This Row],[Diskon]]),cadangan3[[#This Row],[Harga Asli A]])</f>
        <v>680000</v>
      </c>
      <c r="K793" s="36">
        <f>INDEX(Katalog!$F$3:$F$12,MATCH(cadangan3[[#This Row],[ItemID A]],Katalog!$C$3:$C$12,0))*cadangan3[[#This Row],[Qty A]]</f>
        <v>320000</v>
      </c>
      <c r="L793" s="36">
        <f>IFERROR(cadangan3[[#This Row],[Profit A]]-(cadangan3[[#This Row],[Profit A]]*cadangan3[[#This Row],[Diskon]]),K793)</f>
        <v>272000</v>
      </c>
      <c r="N793" t="str">
        <f>IFERROR(INDEX(Katalog!$A$3:$A$12,MATCH(cadangan3[[#This Row],[ItemID B]],Katalog!$C$3:$C$12,0)),"-")</f>
        <v>-</v>
      </c>
      <c r="O793" t="str">
        <f>IFERROR(INDEX(Katalog!$B$3:$B$12,MATCH(cadangan3[[#This Row],[ItemID B]],Katalog!$C$3:$C$12,0)),"-")</f>
        <v>-</v>
      </c>
      <c r="R793" s="36">
        <f>IFERROR(INDEX(Katalog!$D$3:$D$12,MATCH(cadangan3[[#This Row],[ItemID B]],Katalog!$C$3:$C$12,0))*cadangan3[[#This Row],[Qty B]],0)</f>
        <v>0</v>
      </c>
      <c r="S793" s="36">
        <f>IFERROR(INDEX(Katalog!$D$3:$D$12,MATCH(cadangan3[[#This Row],[Item B]],Katalog!$B$3:$B$12,0))*cadangan3[[#This Row],[Qty B]],0)</f>
        <v>0</v>
      </c>
      <c r="T793" s="36">
        <f>IFERROR(cadangan3[[#This Row],[Harga Asli B]]-(cadangan3[[#This Row],[Harga Asli B]]*cadangan3[[#This Row],[Diskon]]),cadangan3[[#This Row],[Harga Asli B]])</f>
        <v>0</v>
      </c>
      <c r="U793" s="36">
        <f>IFERROR(INDEX(Katalog!$F$3:$F$12,MATCH(cadangan3[[#This Row],[ItemID B]],Katalog!$C$3:$C$12,0))*cadangan3[[#This Row],[Qty B]],0)</f>
        <v>0</v>
      </c>
      <c r="V793" s="36">
        <f>IFERROR(cadangan3[[#This Row],[Profit B]]-(cadangan3[[#This Row],[Profit B]]*cadangan3[[#This Row],[Diskon]]),U793)</f>
        <v>0</v>
      </c>
      <c r="X793" t="str">
        <f>IFERROR(INDEX(Katalog!$A$3:$A$12,MATCH(cadangan3[[#This Row],[ItemID C]],Katalog!$C$3:$C$12,0)),"-")</f>
        <v>-</v>
      </c>
      <c r="Y793" t="str">
        <f>IFERROR(INDEX(Katalog!$B$3:$B$12,MATCH(cadangan3[[#This Row],[ItemID C]],Katalog!$C$3:$C$12,0)),"-")</f>
        <v>-</v>
      </c>
      <c r="AB793" s="36">
        <f>IFERROR(INDEX(Katalog!$D$3:$D$12,MATCH(cadangan3[[#This Row],[ItemID C]],Katalog!$C$3:$C$12,0))*cadangan3[[#This Row],[Qty C]],0)</f>
        <v>0</v>
      </c>
      <c r="AC793" s="36">
        <f>IFERROR(INDEX(Katalog!$D$3:$D$12,MATCH(cadangan3[[#This Row],[Item C]],Katalog!$B$3:$B$12,0))*cadangan3[[#This Row],[Qty C]],0)</f>
        <v>0</v>
      </c>
      <c r="AD793" s="36">
        <f>IFERROR(cadangan3[[#This Row],[Harga Asli C]]-(cadangan3[[#This Row],[Harga Asli C]]*cadangan3[[#This Row],[Diskon]]),cadangan3[[#This Row],[Harga Asli C]])</f>
        <v>0</v>
      </c>
      <c r="AE793" s="36">
        <f>IFERROR(INDEX(Katalog!$F$3:$F$12,MATCH(cadangan3[[#This Row],[ItemID C]],Katalog!$C$3:$C$12,0))*cadangan3[[#This Row],[Qty C]],0)</f>
        <v>0</v>
      </c>
      <c r="AF793" s="36">
        <f>IFERROR(cadangan3[[#This Row],[Profit C]]-(cadangan3[[#This Row],[Profit C]]*cadangan3[[#This Row],[Diskon]]),cadangan3[[#This Row],[Profit C]])</f>
        <v>0</v>
      </c>
      <c r="AG793" s="21">
        <f>cadangan3[[#This Row],[Qty A]]+cadangan3[[#This Row],[Qty B]]+cadangan3[[#This Row],[Qty C]]</f>
        <v>4</v>
      </c>
      <c r="AH793" s="35">
        <f>cadangan3[[#This Row],[Harga A + Diskon]]+cadangan3[[#This Row],[Harga + Diskon B]]+cadangan3[[#This Row],[Harga + Diskon C]]</f>
        <v>680000</v>
      </c>
      <c r="AI793" s="35">
        <f>(cadangan3[[#This Row],[Profit A]]+cadangan3[[#This Row],[Profit B]]+cadangan3[[#This Row],[Profit C]])</f>
        <v>320000</v>
      </c>
      <c r="AJ793" s="35">
        <f>cadangan3[[#This Row],[Provit A + Diskon]]+cadangan3[[#This Row],[Provit B + Diskon]]+cadangan3[[#This Row],[Provit C + Diskon]]</f>
        <v>272000</v>
      </c>
      <c r="AK793" s="23" t="s">
        <v>13</v>
      </c>
      <c r="AL793" s="37">
        <f>IFERROR(INDEX('Kode Diskon'!$D$3:$D$9,MATCH(cadangan3[[#This Row],[Kode diskon]],'Kode Diskon'!$C$3:$C$9,0)),"-")</f>
        <v>0.15</v>
      </c>
      <c r="AM793" s="23" t="s">
        <v>29</v>
      </c>
      <c r="AN793" s="23" t="s">
        <v>7</v>
      </c>
      <c r="AO793" s="23" t="s">
        <v>80</v>
      </c>
      <c r="AP793" s="24">
        <v>45019</v>
      </c>
      <c r="AQ793" s="23" t="str">
        <f>TEXT(cadangan3[[#This Row],[Tanggal terjual]],"dddd")</f>
        <v>Monday</v>
      </c>
    </row>
    <row r="794" spans="1:43" x14ac:dyDescent="0.2">
      <c r="A794" s="20">
        <v>793</v>
      </c>
      <c r="B794" s="21" t="str">
        <f>_xlfn.CONCAT("ORD-",INDEX(Helper!$B$2:$B$5,MATCH(cadangan3[[#This Row],[Marketplace]],Helper!$A$2:$A$5,0)),TEXT(cadangan3[[#This Row],[No]],"0000"),"-",TEXT(cadangan3[[#This Row],[Tanggal terjual]],"dd/mm/yy"))</f>
        <v>ORD-BL0793-24/04/23</v>
      </c>
      <c r="C794" t="s">
        <v>67</v>
      </c>
      <c r="D794" t="str">
        <f>IFERROR(INDEX(Katalog!$A$3:$A$12,MATCH(cadangan3[[#This Row],[ItemID A]],Katalog!$C$3:$C$12,0)),"-")</f>
        <v>Sepatu Wanita</v>
      </c>
      <c r="E794" t="str">
        <f>IFERROR(INDEX(Katalog!$B$3:$B$12,MATCH(cadangan3[[#This Row],[ItemID A]],Katalog!$C$3:$C$12,0)),"-")</f>
        <v>Flat Shoes</v>
      </c>
      <c r="F794">
        <v>2</v>
      </c>
      <c r="G794">
        <v>2</v>
      </c>
      <c r="H794" s="36">
        <f>IFERROR(INDEX(Katalog!$D$3:$D$12,MATCH(cadangan3[[#This Row],[ItemID A]],Katalog!$C$3:$C$12,0))*cadangan3[[#This Row],[Qty A]],0)</f>
        <v>500000</v>
      </c>
      <c r="I794" s="36">
        <f>IFERROR(INDEX(Katalog!$D$3:$D$12,MATCH(cadangan3[[#This Row],[Item A]],Katalog!$B$3:$B$12,0))*cadangan3[[#This Row],[Qty A]],0)</f>
        <v>500000</v>
      </c>
      <c r="J794" s="36">
        <f>IFERROR(cadangan3[[#This Row],[Harga Asli A]]-(cadangan3[[#This Row],[Harga Asli A]]*cadangan3[[#This Row],[Diskon]]),cadangan3[[#This Row],[Harga Asli A]])</f>
        <v>425000</v>
      </c>
      <c r="K794" s="36">
        <f>INDEX(Katalog!$F$3:$F$12,MATCH(cadangan3[[#This Row],[ItemID A]],Katalog!$C$3:$C$12,0))*cadangan3[[#This Row],[Qty A]]</f>
        <v>200000</v>
      </c>
      <c r="L794" s="36">
        <f>IFERROR(cadangan3[[#This Row],[Profit A]]-(cadangan3[[#This Row],[Profit A]]*cadangan3[[#This Row],[Diskon]]),K794)</f>
        <v>170000</v>
      </c>
      <c r="N794" t="str">
        <f>IFERROR(INDEX(Katalog!$A$3:$A$12,MATCH(cadangan3[[#This Row],[ItemID B]],Katalog!$C$3:$C$12,0)),"-")</f>
        <v>-</v>
      </c>
      <c r="O794" t="str">
        <f>IFERROR(INDEX(Katalog!$B$3:$B$12,MATCH(cadangan3[[#This Row],[ItemID B]],Katalog!$C$3:$C$12,0)),"-")</f>
        <v>-</v>
      </c>
      <c r="R794" s="36">
        <f>IFERROR(INDEX(Katalog!$D$3:$D$12,MATCH(cadangan3[[#This Row],[ItemID B]],Katalog!$C$3:$C$12,0))*cadangan3[[#This Row],[Qty B]],0)</f>
        <v>0</v>
      </c>
      <c r="S794" s="36">
        <f>IFERROR(INDEX(Katalog!$D$3:$D$12,MATCH(cadangan3[[#This Row],[Item B]],Katalog!$B$3:$B$12,0))*cadangan3[[#This Row],[Qty B]],0)</f>
        <v>0</v>
      </c>
      <c r="T794" s="36">
        <f>IFERROR(cadangan3[[#This Row],[Harga Asli B]]-(cadangan3[[#This Row],[Harga Asli B]]*cadangan3[[#This Row],[Diskon]]),cadangan3[[#This Row],[Harga Asli B]])</f>
        <v>0</v>
      </c>
      <c r="U794" s="36">
        <f>IFERROR(INDEX(Katalog!$F$3:$F$12,MATCH(cadangan3[[#This Row],[ItemID B]],Katalog!$C$3:$C$12,0))*cadangan3[[#This Row],[Qty B]],0)</f>
        <v>0</v>
      </c>
      <c r="V794" s="36">
        <f>IFERROR(cadangan3[[#This Row],[Profit B]]-(cadangan3[[#This Row],[Profit B]]*cadangan3[[#This Row],[Diskon]]),U794)</f>
        <v>0</v>
      </c>
      <c r="X794" t="str">
        <f>IFERROR(INDEX(Katalog!$A$3:$A$12,MATCH(cadangan3[[#This Row],[ItemID C]],Katalog!$C$3:$C$12,0)),"-")</f>
        <v>-</v>
      </c>
      <c r="Y794" t="str">
        <f>IFERROR(INDEX(Katalog!$B$3:$B$12,MATCH(cadangan3[[#This Row],[ItemID C]],Katalog!$C$3:$C$12,0)),"-")</f>
        <v>-</v>
      </c>
      <c r="AB794" s="36">
        <f>IFERROR(INDEX(Katalog!$D$3:$D$12,MATCH(cadangan3[[#This Row],[ItemID C]],Katalog!$C$3:$C$12,0))*cadangan3[[#This Row],[Qty C]],0)</f>
        <v>0</v>
      </c>
      <c r="AC794" s="36">
        <f>IFERROR(INDEX(Katalog!$D$3:$D$12,MATCH(cadangan3[[#This Row],[Item C]],Katalog!$B$3:$B$12,0))*cadangan3[[#This Row],[Qty C]],0)</f>
        <v>0</v>
      </c>
      <c r="AD794" s="36">
        <f>IFERROR(cadangan3[[#This Row],[Harga Asli C]]-(cadangan3[[#This Row],[Harga Asli C]]*cadangan3[[#This Row],[Diskon]]),cadangan3[[#This Row],[Harga Asli C]])</f>
        <v>0</v>
      </c>
      <c r="AE794" s="36">
        <f>IFERROR(INDEX(Katalog!$F$3:$F$12,MATCH(cadangan3[[#This Row],[ItemID C]],Katalog!$C$3:$C$12,0))*cadangan3[[#This Row],[Qty C]],0)</f>
        <v>0</v>
      </c>
      <c r="AF794" s="36">
        <f>IFERROR(cadangan3[[#This Row],[Profit C]]-(cadangan3[[#This Row],[Profit C]]*cadangan3[[#This Row],[Diskon]]),cadangan3[[#This Row],[Profit C]])</f>
        <v>0</v>
      </c>
      <c r="AG794" s="21">
        <f>cadangan3[[#This Row],[Qty A]]+cadangan3[[#This Row],[Qty B]]+cadangan3[[#This Row],[Qty C]]</f>
        <v>2</v>
      </c>
      <c r="AH794" s="35">
        <f>cadangan3[[#This Row],[Harga A + Diskon]]+cadangan3[[#This Row],[Harga + Diskon B]]+cadangan3[[#This Row],[Harga + Diskon C]]</f>
        <v>425000</v>
      </c>
      <c r="AI794" s="35">
        <f>(cadangan3[[#This Row],[Profit A]]+cadangan3[[#This Row],[Profit B]]+cadangan3[[#This Row],[Profit C]])</f>
        <v>200000</v>
      </c>
      <c r="AJ794" s="35">
        <f>cadangan3[[#This Row],[Provit A + Diskon]]+cadangan3[[#This Row],[Provit B + Diskon]]+cadangan3[[#This Row],[Provit C + Diskon]]</f>
        <v>170000</v>
      </c>
      <c r="AK794" s="23" t="s">
        <v>32</v>
      </c>
      <c r="AL794" s="37">
        <f>IFERROR(INDEX('Kode Diskon'!$D$3:$D$9,MATCH(cadangan3[[#This Row],[Kode diskon]],'Kode Diskon'!$C$3:$C$9,0)),"-")</f>
        <v>0.15</v>
      </c>
      <c r="AM794" s="23" t="s">
        <v>9</v>
      </c>
      <c r="AN794" s="23" t="s">
        <v>12</v>
      </c>
      <c r="AO794" s="23" t="s">
        <v>79</v>
      </c>
      <c r="AP794" s="24">
        <v>45040</v>
      </c>
      <c r="AQ794" s="23" t="str">
        <f>TEXT(cadangan3[[#This Row],[Tanggal terjual]],"dddd")</f>
        <v>Monday</v>
      </c>
    </row>
    <row r="795" spans="1:43" x14ac:dyDescent="0.2">
      <c r="A795" s="20">
        <v>794</v>
      </c>
      <c r="B795" s="21" t="str">
        <f>_xlfn.CONCAT("ORD-",INDEX(Helper!$B$2:$B$5,MATCH(cadangan3[[#This Row],[Marketplace]],Helper!$A$2:$A$5,0)),TEXT(cadangan3[[#This Row],[No]],"0000"),"-",TEXT(cadangan3[[#This Row],[Tanggal terjual]],"dd/mm/yy"))</f>
        <v>ORD-BL0794-14/04/23</v>
      </c>
      <c r="C795" t="s">
        <v>61</v>
      </c>
      <c r="D795" t="str">
        <f>IFERROR(INDEX(Katalog!$A$3:$A$12,MATCH(cadangan3[[#This Row],[ItemID A]],Katalog!$C$3:$C$12,0)),"-")</f>
        <v>Pakaian Pria</v>
      </c>
      <c r="E795" t="str">
        <f>IFERROR(INDEX(Katalog!$B$3:$B$12,MATCH(cadangan3[[#This Row],[ItemID A]],Katalog!$C$3:$C$12,0)),"-")</f>
        <v>Kaos Polo</v>
      </c>
      <c r="F795">
        <v>1</v>
      </c>
      <c r="G795">
        <v>2</v>
      </c>
      <c r="H795" s="36">
        <f>IFERROR(INDEX(Katalog!$D$3:$D$12,MATCH(cadangan3[[#This Row],[ItemID A]],Katalog!$C$3:$C$12,0))*cadangan3[[#This Row],[Qty A]],0)</f>
        <v>200000</v>
      </c>
      <c r="I795" s="36">
        <f>IFERROR(INDEX(Katalog!$D$3:$D$12,MATCH(cadangan3[[#This Row],[Item A]],Katalog!$B$3:$B$12,0))*cadangan3[[#This Row],[Qty A]],0)</f>
        <v>200000</v>
      </c>
      <c r="J795" s="36">
        <f>IFERROR(cadangan3[[#This Row],[Harga Asli A]]-(cadangan3[[#This Row],[Harga Asli A]]*cadangan3[[#This Row],[Diskon]]),cadangan3[[#This Row],[Harga Asli A]])</f>
        <v>200000</v>
      </c>
      <c r="K795" s="36">
        <f>INDEX(Katalog!$F$3:$F$12,MATCH(cadangan3[[#This Row],[ItemID A]],Katalog!$C$3:$C$12,0))*cadangan3[[#This Row],[Qty A]]</f>
        <v>80000</v>
      </c>
      <c r="L795" s="36">
        <f>IFERROR(cadangan3[[#This Row],[Profit A]]-(cadangan3[[#This Row],[Profit A]]*cadangan3[[#This Row],[Diskon]]),K795)</f>
        <v>80000</v>
      </c>
      <c r="M795" t="s">
        <v>62</v>
      </c>
      <c r="N795" t="str">
        <f>IFERROR(INDEX(Katalog!$A$3:$A$12,MATCH(cadangan3[[#This Row],[ItemID B]],Katalog!$C$3:$C$12,0)),"-")</f>
        <v>Pakaian Pria</v>
      </c>
      <c r="O795" t="str">
        <f>IFERROR(INDEX(Katalog!$B$3:$B$12,MATCH(cadangan3[[#This Row],[ItemID B]],Katalog!$C$3:$C$12,0)),"-")</f>
        <v>Celana Pendek</v>
      </c>
      <c r="P795">
        <v>1</v>
      </c>
      <c r="Q795">
        <v>1</v>
      </c>
      <c r="R795" s="36">
        <f>IFERROR(INDEX(Katalog!$D$3:$D$12,MATCH(cadangan3[[#This Row],[ItemID B]],Katalog!$C$3:$C$12,0))*cadangan3[[#This Row],[Qty B]],0)</f>
        <v>180000</v>
      </c>
      <c r="S795" s="36">
        <f>IFERROR(INDEX(Katalog!$D$3:$D$12,MATCH(cadangan3[[#This Row],[Item B]],Katalog!$B$3:$B$12,0))*cadangan3[[#This Row],[Qty B]],0)</f>
        <v>180000</v>
      </c>
      <c r="T795" s="36">
        <f>IFERROR(cadangan3[[#This Row],[Harga Asli B]]-(cadangan3[[#This Row],[Harga Asli B]]*cadangan3[[#This Row],[Diskon]]),cadangan3[[#This Row],[Harga Asli B]])</f>
        <v>180000</v>
      </c>
      <c r="U795" s="36">
        <f>IFERROR(INDEX(Katalog!$F$3:$F$12,MATCH(cadangan3[[#This Row],[ItemID B]],Katalog!$C$3:$C$12,0))*cadangan3[[#This Row],[Qty B]],0)</f>
        <v>70000</v>
      </c>
      <c r="V795" s="36">
        <f>IFERROR(cadangan3[[#This Row],[Profit B]]-(cadangan3[[#This Row],[Profit B]]*cadangan3[[#This Row],[Diskon]]),U795)</f>
        <v>70000</v>
      </c>
      <c r="W795" t="s">
        <v>66</v>
      </c>
      <c r="X795" t="str">
        <f>IFERROR(INDEX(Katalog!$A$3:$A$12,MATCH(cadangan3[[#This Row],[ItemID C]],Katalog!$C$3:$C$12,0)),"-")</f>
        <v>Sepatu Pria</v>
      </c>
      <c r="Y795" t="str">
        <f>IFERROR(INDEX(Katalog!$B$3:$B$12,MATCH(cadangan3[[#This Row],[ItemID C]],Katalog!$C$3:$C$12,0)),"-")</f>
        <v>Sandal Slip On</v>
      </c>
      <c r="Z795">
        <v>1</v>
      </c>
      <c r="AA795">
        <v>4</v>
      </c>
      <c r="AB795" s="36">
        <f>IFERROR(INDEX(Katalog!$D$3:$D$12,MATCH(cadangan3[[#This Row],[ItemID C]],Katalog!$C$3:$C$12,0))*cadangan3[[#This Row],[Qty C]],0)</f>
        <v>150000</v>
      </c>
      <c r="AC795" s="36">
        <f>IFERROR(INDEX(Katalog!$D$3:$D$12,MATCH(cadangan3[[#This Row],[Item C]],Katalog!$B$3:$B$12,0))*cadangan3[[#This Row],[Qty C]],0)</f>
        <v>150000</v>
      </c>
      <c r="AD795" s="36">
        <f>IFERROR(cadangan3[[#This Row],[Harga Asli C]]-(cadangan3[[#This Row],[Harga Asli C]]*cadangan3[[#This Row],[Diskon]]),cadangan3[[#This Row],[Harga Asli C]])</f>
        <v>150000</v>
      </c>
      <c r="AE795" s="36">
        <f>IFERROR(INDEX(Katalog!$F$3:$F$12,MATCH(cadangan3[[#This Row],[ItemID C]],Katalog!$C$3:$C$12,0))*cadangan3[[#This Row],[Qty C]],0)</f>
        <v>60000</v>
      </c>
      <c r="AF795" s="36">
        <f>IFERROR(cadangan3[[#This Row],[Profit C]]-(cadangan3[[#This Row],[Profit C]]*cadangan3[[#This Row],[Diskon]]),cadangan3[[#This Row],[Profit C]])</f>
        <v>60000</v>
      </c>
      <c r="AG795" s="21">
        <f>cadangan3[[#This Row],[Qty A]]+cadangan3[[#This Row],[Qty B]]+cadangan3[[#This Row],[Qty C]]</f>
        <v>3</v>
      </c>
      <c r="AH795" s="35">
        <f>cadangan3[[#This Row],[Harga A + Diskon]]+cadangan3[[#This Row],[Harga + Diskon B]]+cadangan3[[#This Row],[Harga + Diskon C]]</f>
        <v>530000</v>
      </c>
      <c r="AI795" s="35">
        <f>(cadangan3[[#This Row],[Profit A]]+cadangan3[[#This Row],[Profit B]]+cadangan3[[#This Row],[Profit C]])</f>
        <v>210000</v>
      </c>
      <c r="AJ795" s="35">
        <f>cadangan3[[#This Row],[Provit A + Diskon]]+cadangan3[[#This Row],[Provit B + Diskon]]+cadangan3[[#This Row],[Provit C + Diskon]]</f>
        <v>210000</v>
      </c>
      <c r="AK795" s="23" t="s">
        <v>11</v>
      </c>
      <c r="AL795" s="37" t="str">
        <f>IFERROR(INDEX('Kode Diskon'!$D$3:$D$9,MATCH(cadangan3[[#This Row],[Kode diskon]],'Kode Diskon'!$C$3:$C$9,0)),"-")</f>
        <v>-</v>
      </c>
      <c r="AM795" s="23" t="s">
        <v>11</v>
      </c>
      <c r="AN795" s="23" t="s">
        <v>12</v>
      </c>
      <c r="AO795" s="23" t="s">
        <v>80</v>
      </c>
      <c r="AP795" s="24">
        <v>45030</v>
      </c>
      <c r="AQ795" s="23" t="str">
        <f>TEXT(cadangan3[[#This Row],[Tanggal terjual]],"dddd")</f>
        <v>Friday</v>
      </c>
    </row>
    <row r="796" spans="1:43" x14ac:dyDescent="0.2">
      <c r="A796" s="20">
        <v>795</v>
      </c>
      <c r="B796" s="21" t="str">
        <f>_xlfn.CONCAT("ORD-",INDEX(Helper!$B$2:$B$5,MATCH(cadangan3[[#This Row],[Marketplace]],Helper!$A$2:$A$5,0)),TEXT(cadangan3[[#This Row],[No]],"0000"),"-",TEXT(cadangan3[[#This Row],[Tanggal terjual]],"dd/mm/yy"))</f>
        <v>ORD-BB0795-02/04/23</v>
      </c>
      <c r="C796" t="s">
        <v>65</v>
      </c>
      <c r="D796" t="str">
        <f>IFERROR(INDEX(Katalog!$A$3:$A$12,MATCH(cadangan3[[#This Row],[ItemID A]],Katalog!$C$3:$C$12,0)),"-")</f>
        <v>Sepatu Pria</v>
      </c>
      <c r="E796" t="str">
        <f>IFERROR(INDEX(Katalog!$B$3:$B$12,MATCH(cadangan3[[#This Row],[ItemID A]],Katalog!$C$3:$C$12,0)),"-")</f>
        <v>Sneakers</v>
      </c>
      <c r="F796">
        <v>1</v>
      </c>
      <c r="G796">
        <v>4</v>
      </c>
      <c r="H796" s="36">
        <f>IFERROR(INDEX(Katalog!$D$3:$D$12,MATCH(cadangan3[[#This Row],[ItemID A]],Katalog!$C$3:$C$12,0))*cadangan3[[#This Row],[Qty A]],0)</f>
        <v>500000</v>
      </c>
      <c r="I796" s="36">
        <f>IFERROR(INDEX(Katalog!$D$3:$D$12,MATCH(cadangan3[[#This Row],[Item A]],Katalog!$B$3:$B$12,0))*cadangan3[[#This Row],[Qty A]],0)</f>
        <v>500000</v>
      </c>
      <c r="J796" s="36">
        <f>IFERROR(cadangan3[[#This Row],[Harga Asli A]]-(cadangan3[[#This Row],[Harga Asli A]]*cadangan3[[#This Row],[Diskon]]),cadangan3[[#This Row],[Harga Asli A]])</f>
        <v>425000</v>
      </c>
      <c r="K796" s="36">
        <f>INDEX(Katalog!$F$3:$F$12,MATCH(cadangan3[[#This Row],[ItemID A]],Katalog!$C$3:$C$12,0))*cadangan3[[#This Row],[Qty A]]</f>
        <v>200000</v>
      </c>
      <c r="L796" s="36">
        <f>IFERROR(cadangan3[[#This Row],[Profit A]]-(cadangan3[[#This Row],[Profit A]]*cadangan3[[#This Row],[Diskon]]),K796)</f>
        <v>170000</v>
      </c>
      <c r="M796" t="s">
        <v>62</v>
      </c>
      <c r="N796" t="str">
        <f>IFERROR(INDEX(Katalog!$A$3:$A$12,MATCH(cadangan3[[#This Row],[ItemID B]],Katalog!$C$3:$C$12,0)),"-")</f>
        <v>Pakaian Pria</v>
      </c>
      <c r="O796" t="str">
        <f>IFERROR(INDEX(Katalog!$B$3:$B$12,MATCH(cadangan3[[#This Row],[ItemID B]],Katalog!$C$3:$C$12,0)),"-")</f>
        <v>Celana Pendek</v>
      </c>
      <c r="P796">
        <v>1</v>
      </c>
      <c r="Q796">
        <v>2</v>
      </c>
      <c r="R796" s="36">
        <f>IFERROR(INDEX(Katalog!$D$3:$D$12,MATCH(cadangan3[[#This Row],[ItemID B]],Katalog!$C$3:$C$12,0))*cadangan3[[#This Row],[Qty B]],0)</f>
        <v>180000</v>
      </c>
      <c r="S796" s="36">
        <f>IFERROR(INDEX(Katalog!$D$3:$D$12,MATCH(cadangan3[[#This Row],[Item B]],Katalog!$B$3:$B$12,0))*cadangan3[[#This Row],[Qty B]],0)</f>
        <v>180000</v>
      </c>
      <c r="T796" s="36">
        <f>IFERROR(cadangan3[[#This Row],[Harga Asli B]]-(cadangan3[[#This Row],[Harga Asli B]]*cadangan3[[#This Row],[Diskon]]),cadangan3[[#This Row],[Harga Asli B]])</f>
        <v>153000</v>
      </c>
      <c r="U796" s="36">
        <f>IFERROR(INDEX(Katalog!$F$3:$F$12,MATCH(cadangan3[[#This Row],[ItemID B]],Katalog!$C$3:$C$12,0))*cadangan3[[#This Row],[Qty B]],0)</f>
        <v>70000</v>
      </c>
      <c r="V796" s="36">
        <f>IFERROR(cadangan3[[#This Row],[Profit B]]-(cadangan3[[#This Row],[Profit B]]*cadangan3[[#This Row],[Diskon]]),U796)</f>
        <v>59500</v>
      </c>
      <c r="X796" t="str">
        <f>IFERROR(INDEX(Katalog!$A$3:$A$12,MATCH(cadangan3[[#This Row],[ItemID C]],Katalog!$C$3:$C$12,0)),"-")</f>
        <v>-</v>
      </c>
      <c r="Y796" t="str">
        <f>IFERROR(INDEX(Katalog!$B$3:$B$12,MATCH(cadangan3[[#This Row],[ItemID C]],Katalog!$C$3:$C$12,0)),"-")</f>
        <v>-</v>
      </c>
      <c r="AB796" s="36">
        <f>IFERROR(INDEX(Katalog!$D$3:$D$12,MATCH(cadangan3[[#This Row],[ItemID C]],Katalog!$C$3:$C$12,0))*cadangan3[[#This Row],[Qty C]],0)</f>
        <v>0</v>
      </c>
      <c r="AC796" s="36">
        <f>IFERROR(INDEX(Katalog!$D$3:$D$12,MATCH(cadangan3[[#This Row],[Item C]],Katalog!$B$3:$B$12,0))*cadangan3[[#This Row],[Qty C]],0)</f>
        <v>0</v>
      </c>
      <c r="AD796" s="36">
        <f>IFERROR(cadangan3[[#This Row],[Harga Asli C]]-(cadangan3[[#This Row],[Harga Asli C]]*cadangan3[[#This Row],[Diskon]]),cadangan3[[#This Row],[Harga Asli C]])</f>
        <v>0</v>
      </c>
      <c r="AE796" s="36">
        <f>IFERROR(INDEX(Katalog!$F$3:$F$12,MATCH(cadangan3[[#This Row],[ItemID C]],Katalog!$C$3:$C$12,0))*cadangan3[[#This Row],[Qty C]],0)</f>
        <v>0</v>
      </c>
      <c r="AF796" s="36">
        <f>IFERROR(cadangan3[[#This Row],[Profit C]]-(cadangan3[[#This Row],[Profit C]]*cadangan3[[#This Row],[Diskon]]),cadangan3[[#This Row],[Profit C]])</f>
        <v>0</v>
      </c>
      <c r="AG796" s="21">
        <f>cadangan3[[#This Row],[Qty A]]+cadangan3[[#This Row],[Qty B]]+cadangan3[[#This Row],[Qty C]]</f>
        <v>2</v>
      </c>
      <c r="AH796" s="35">
        <f>cadangan3[[#This Row],[Harga A + Diskon]]+cadangan3[[#This Row],[Harga + Diskon B]]+cadangan3[[#This Row],[Harga + Diskon C]]</f>
        <v>578000</v>
      </c>
      <c r="AI796" s="35">
        <f>(cadangan3[[#This Row],[Profit A]]+cadangan3[[#This Row],[Profit B]]+cadangan3[[#This Row],[Profit C]])</f>
        <v>270000</v>
      </c>
      <c r="AJ796" s="35">
        <f>cadangan3[[#This Row],[Provit A + Diskon]]+cadangan3[[#This Row],[Provit B + Diskon]]+cadangan3[[#This Row],[Provit C + Diskon]]</f>
        <v>229500</v>
      </c>
      <c r="AK796" s="23" t="s">
        <v>28</v>
      </c>
      <c r="AL796" s="37">
        <f>IFERROR(INDEX('Kode Diskon'!$D$3:$D$9,MATCH(cadangan3[[#This Row],[Kode diskon]],'Kode Diskon'!$C$3:$C$9,0)),"-")</f>
        <v>0.15</v>
      </c>
      <c r="AM796" s="23" t="s">
        <v>29</v>
      </c>
      <c r="AN796" s="23" t="s">
        <v>14</v>
      </c>
      <c r="AO796" s="23" t="s">
        <v>80</v>
      </c>
      <c r="AP796" s="24">
        <v>45018</v>
      </c>
      <c r="AQ796" s="23" t="str">
        <f>TEXT(cadangan3[[#This Row],[Tanggal terjual]],"dddd")</f>
        <v>Sunday</v>
      </c>
    </row>
    <row r="797" spans="1:43" x14ac:dyDescent="0.2">
      <c r="A797" s="20">
        <v>796</v>
      </c>
      <c r="B797" s="21" t="str">
        <f>_xlfn.CONCAT("ORD-",INDEX(Helper!$B$2:$B$5,MATCH(cadangan3[[#This Row],[Marketplace]],Helper!$A$2:$A$5,0)),TEXT(cadangan3[[#This Row],[No]],"0000"),"-",TEXT(cadangan3[[#This Row],[Tanggal terjual]],"dd/mm/yy"))</f>
        <v>ORD-BL0796-21/04/23</v>
      </c>
      <c r="C797" t="s">
        <v>65</v>
      </c>
      <c r="D797" t="str">
        <f>IFERROR(INDEX(Katalog!$A$3:$A$12,MATCH(cadangan3[[#This Row],[ItemID A]],Katalog!$C$3:$C$12,0)),"-")</f>
        <v>Sepatu Pria</v>
      </c>
      <c r="E797" t="str">
        <f>IFERROR(INDEX(Katalog!$B$3:$B$12,MATCH(cadangan3[[#This Row],[ItemID A]],Katalog!$C$3:$C$12,0)),"-")</f>
        <v>Sneakers</v>
      </c>
      <c r="F797">
        <v>1</v>
      </c>
      <c r="G797">
        <v>3</v>
      </c>
      <c r="H797" s="36">
        <f>IFERROR(INDEX(Katalog!$D$3:$D$12,MATCH(cadangan3[[#This Row],[ItemID A]],Katalog!$C$3:$C$12,0))*cadangan3[[#This Row],[Qty A]],0)</f>
        <v>500000</v>
      </c>
      <c r="I797" s="36">
        <f>IFERROR(INDEX(Katalog!$D$3:$D$12,MATCH(cadangan3[[#This Row],[Item A]],Katalog!$B$3:$B$12,0))*cadangan3[[#This Row],[Qty A]],0)</f>
        <v>500000</v>
      </c>
      <c r="J797" s="36">
        <f>IFERROR(cadangan3[[#This Row],[Harga Asli A]]-(cadangan3[[#This Row],[Harga Asli A]]*cadangan3[[#This Row],[Diskon]]),cadangan3[[#This Row],[Harga Asli A]])</f>
        <v>425000</v>
      </c>
      <c r="K797" s="36">
        <f>INDEX(Katalog!$F$3:$F$12,MATCH(cadangan3[[#This Row],[ItemID A]],Katalog!$C$3:$C$12,0))*cadangan3[[#This Row],[Qty A]]</f>
        <v>200000</v>
      </c>
      <c r="L797" s="36">
        <f>IFERROR(cadangan3[[#This Row],[Profit A]]-(cadangan3[[#This Row],[Profit A]]*cadangan3[[#This Row],[Diskon]]),K797)</f>
        <v>170000</v>
      </c>
      <c r="N797" t="str">
        <f>IFERROR(INDEX(Katalog!$A$3:$A$12,MATCH(cadangan3[[#This Row],[ItemID B]],Katalog!$C$3:$C$12,0)),"-")</f>
        <v>-</v>
      </c>
      <c r="O797" t="str">
        <f>IFERROR(INDEX(Katalog!$B$3:$B$12,MATCH(cadangan3[[#This Row],[ItemID B]],Katalog!$C$3:$C$12,0)),"-")</f>
        <v>-</v>
      </c>
      <c r="R797" s="36">
        <f>IFERROR(INDEX(Katalog!$D$3:$D$12,MATCH(cadangan3[[#This Row],[ItemID B]],Katalog!$C$3:$C$12,0))*cadangan3[[#This Row],[Qty B]],0)</f>
        <v>0</v>
      </c>
      <c r="S797" s="36">
        <f>IFERROR(INDEX(Katalog!$D$3:$D$12,MATCH(cadangan3[[#This Row],[Item B]],Katalog!$B$3:$B$12,0))*cadangan3[[#This Row],[Qty B]],0)</f>
        <v>0</v>
      </c>
      <c r="T797" s="36">
        <f>IFERROR(cadangan3[[#This Row],[Harga Asli B]]-(cadangan3[[#This Row],[Harga Asli B]]*cadangan3[[#This Row],[Diskon]]),cadangan3[[#This Row],[Harga Asli B]])</f>
        <v>0</v>
      </c>
      <c r="U797" s="36">
        <f>IFERROR(INDEX(Katalog!$F$3:$F$12,MATCH(cadangan3[[#This Row],[ItemID B]],Katalog!$C$3:$C$12,0))*cadangan3[[#This Row],[Qty B]],0)</f>
        <v>0</v>
      </c>
      <c r="V797" s="36">
        <f>IFERROR(cadangan3[[#This Row],[Profit B]]-(cadangan3[[#This Row],[Profit B]]*cadangan3[[#This Row],[Diskon]]),U797)</f>
        <v>0</v>
      </c>
      <c r="X797" t="str">
        <f>IFERROR(INDEX(Katalog!$A$3:$A$12,MATCH(cadangan3[[#This Row],[ItemID C]],Katalog!$C$3:$C$12,0)),"-")</f>
        <v>-</v>
      </c>
      <c r="Y797" t="str">
        <f>IFERROR(INDEX(Katalog!$B$3:$B$12,MATCH(cadangan3[[#This Row],[ItemID C]],Katalog!$C$3:$C$12,0)),"-")</f>
        <v>-</v>
      </c>
      <c r="AB797" s="36">
        <f>IFERROR(INDEX(Katalog!$D$3:$D$12,MATCH(cadangan3[[#This Row],[ItemID C]],Katalog!$C$3:$C$12,0))*cadangan3[[#This Row],[Qty C]],0)</f>
        <v>0</v>
      </c>
      <c r="AC797" s="36">
        <f>IFERROR(INDEX(Katalog!$D$3:$D$12,MATCH(cadangan3[[#This Row],[Item C]],Katalog!$B$3:$B$12,0))*cadangan3[[#This Row],[Qty C]],0)</f>
        <v>0</v>
      </c>
      <c r="AD797" s="36">
        <f>IFERROR(cadangan3[[#This Row],[Harga Asli C]]-(cadangan3[[#This Row],[Harga Asli C]]*cadangan3[[#This Row],[Diskon]]),cadangan3[[#This Row],[Harga Asli C]])</f>
        <v>0</v>
      </c>
      <c r="AE797" s="36">
        <f>IFERROR(INDEX(Katalog!$F$3:$F$12,MATCH(cadangan3[[#This Row],[ItemID C]],Katalog!$C$3:$C$12,0))*cadangan3[[#This Row],[Qty C]],0)</f>
        <v>0</v>
      </c>
      <c r="AF797" s="36">
        <f>IFERROR(cadangan3[[#This Row],[Profit C]]-(cadangan3[[#This Row],[Profit C]]*cadangan3[[#This Row],[Diskon]]),cadangan3[[#This Row],[Profit C]])</f>
        <v>0</v>
      </c>
      <c r="AG797" s="21">
        <f>cadangan3[[#This Row],[Qty A]]+cadangan3[[#This Row],[Qty B]]+cadangan3[[#This Row],[Qty C]]</f>
        <v>1</v>
      </c>
      <c r="AH797" s="35">
        <f>cadangan3[[#This Row],[Harga A + Diskon]]+cadangan3[[#This Row],[Harga + Diskon B]]+cadangan3[[#This Row],[Harga + Diskon C]]</f>
        <v>425000</v>
      </c>
      <c r="AI797" s="35">
        <f>(cadangan3[[#This Row],[Profit A]]+cadangan3[[#This Row],[Profit B]]+cadangan3[[#This Row],[Profit C]])</f>
        <v>200000</v>
      </c>
      <c r="AJ797" s="35">
        <f>cadangan3[[#This Row],[Provit A + Diskon]]+cadangan3[[#This Row],[Provit B + Diskon]]+cadangan3[[#This Row],[Provit C + Diskon]]</f>
        <v>170000</v>
      </c>
      <c r="AK797" s="23" t="s">
        <v>32</v>
      </c>
      <c r="AL797" s="37">
        <f>IFERROR(INDEX('Kode Diskon'!$D$3:$D$9,MATCH(cadangan3[[#This Row],[Kode diskon]],'Kode Diskon'!$C$3:$C$9,0)),"-")</f>
        <v>0.15</v>
      </c>
      <c r="AM797" s="23" t="s">
        <v>9</v>
      </c>
      <c r="AN797" s="23" t="s">
        <v>12</v>
      </c>
      <c r="AO797" s="23" t="s">
        <v>79</v>
      </c>
      <c r="AP797" s="24">
        <v>45037</v>
      </c>
      <c r="AQ797" s="23" t="str">
        <f>TEXT(cadangan3[[#This Row],[Tanggal terjual]],"dddd")</f>
        <v>Friday</v>
      </c>
    </row>
    <row r="798" spans="1:43" x14ac:dyDescent="0.2">
      <c r="A798" s="20">
        <v>797</v>
      </c>
      <c r="B798" s="21" t="str">
        <f>_xlfn.CONCAT("ORD-",INDEX(Helper!$B$2:$B$5,MATCH(cadangan3[[#This Row],[Marketplace]],Helper!$A$2:$A$5,0)),TEXT(cadangan3[[#This Row],[No]],"0000"),"-",TEXT(cadangan3[[#This Row],[Tanggal terjual]],"dd/mm/yy"))</f>
        <v>ORD-BL0797-24/04/23</v>
      </c>
      <c r="C798" t="s">
        <v>61</v>
      </c>
      <c r="D798" t="str">
        <f>IFERROR(INDEX(Katalog!$A$3:$A$12,MATCH(cadangan3[[#This Row],[ItemID A]],Katalog!$C$3:$C$12,0)),"-")</f>
        <v>Pakaian Pria</v>
      </c>
      <c r="E798" t="str">
        <f>IFERROR(INDEX(Katalog!$B$3:$B$12,MATCH(cadangan3[[#This Row],[ItemID A]],Katalog!$C$3:$C$12,0)),"-")</f>
        <v>Kaos Polo</v>
      </c>
      <c r="F798">
        <v>3</v>
      </c>
      <c r="G798">
        <v>4</v>
      </c>
      <c r="H798" s="36">
        <f>IFERROR(INDEX(Katalog!$D$3:$D$12,MATCH(cadangan3[[#This Row],[ItemID A]],Katalog!$C$3:$C$12,0))*cadangan3[[#This Row],[Qty A]],0)</f>
        <v>600000</v>
      </c>
      <c r="I798" s="36">
        <f>IFERROR(INDEX(Katalog!$D$3:$D$12,MATCH(cadangan3[[#This Row],[Item A]],Katalog!$B$3:$B$12,0))*cadangan3[[#This Row],[Qty A]],0)</f>
        <v>600000</v>
      </c>
      <c r="J798" s="36">
        <f>IFERROR(cadangan3[[#This Row],[Harga Asli A]]-(cadangan3[[#This Row],[Harga Asli A]]*cadangan3[[#This Row],[Diskon]]),cadangan3[[#This Row],[Harga Asli A]])</f>
        <v>510000</v>
      </c>
      <c r="K798" s="36">
        <f>INDEX(Katalog!$F$3:$F$12,MATCH(cadangan3[[#This Row],[ItemID A]],Katalog!$C$3:$C$12,0))*cadangan3[[#This Row],[Qty A]]</f>
        <v>240000</v>
      </c>
      <c r="L798" s="36">
        <f>IFERROR(cadangan3[[#This Row],[Profit A]]-(cadangan3[[#This Row],[Profit A]]*cadangan3[[#This Row],[Diskon]]),K798)</f>
        <v>204000</v>
      </c>
      <c r="M798" t="s">
        <v>65</v>
      </c>
      <c r="N798" t="str">
        <f>IFERROR(INDEX(Katalog!$A$3:$A$12,MATCH(cadangan3[[#This Row],[ItemID B]],Katalog!$C$3:$C$12,0)),"-")</f>
        <v>Sepatu Pria</v>
      </c>
      <c r="O798" t="str">
        <f>IFERROR(INDEX(Katalog!$B$3:$B$12,MATCH(cadangan3[[#This Row],[ItemID B]],Katalog!$C$3:$C$12,0)),"-")</f>
        <v>Sneakers</v>
      </c>
      <c r="P798">
        <v>1</v>
      </c>
      <c r="Q798">
        <v>2</v>
      </c>
      <c r="R798" s="36">
        <f>IFERROR(INDEX(Katalog!$D$3:$D$12,MATCH(cadangan3[[#This Row],[ItemID B]],Katalog!$C$3:$C$12,0))*cadangan3[[#This Row],[Qty B]],0)</f>
        <v>500000</v>
      </c>
      <c r="S798" s="36">
        <f>IFERROR(INDEX(Katalog!$D$3:$D$12,MATCH(cadangan3[[#This Row],[Item B]],Katalog!$B$3:$B$12,0))*cadangan3[[#This Row],[Qty B]],0)</f>
        <v>500000</v>
      </c>
      <c r="T798" s="36">
        <f>IFERROR(cadangan3[[#This Row],[Harga Asli B]]-(cadangan3[[#This Row],[Harga Asli B]]*cadangan3[[#This Row],[Diskon]]),cadangan3[[#This Row],[Harga Asli B]])</f>
        <v>425000</v>
      </c>
      <c r="U798" s="36">
        <f>IFERROR(INDEX(Katalog!$F$3:$F$12,MATCH(cadangan3[[#This Row],[ItemID B]],Katalog!$C$3:$C$12,0))*cadangan3[[#This Row],[Qty B]],0)</f>
        <v>200000</v>
      </c>
      <c r="V798" s="36">
        <f>IFERROR(cadangan3[[#This Row],[Profit B]]-(cadangan3[[#This Row],[Profit B]]*cadangan3[[#This Row],[Diskon]]),U798)</f>
        <v>170000</v>
      </c>
      <c r="X798" t="str">
        <f>IFERROR(INDEX(Katalog!$A$3:$A$12,MATCH(cadangan3[[#This Row],[ItemID C]],Katalog!$C$3:$C$12,0)),"-")</f>
        <v>-</v>
      </c>
      <c r="Y798" t="str">
        <f>IFERROR(INDEX(Katalog!$B$3:$B$12,MATCH(cadangan3[[#This Row],[ItemID C]],Katalog!$C$3:$C$12,0)),"-")</f>
        <v>-</v>
      </c>
      <c r="AB798" s="36">
        <f>IFERROR(INDEX(Katalog!$D$3:$D$12,MATCH(cadangan3[[#This Row],[ItemID C]],Katalog!$C$3:$C$12,0))*cadangan3[[#This Row],[Qty C]],0)</f>
        <v>0</v>
      </c>
      <c r="AC798" s="36">
        <f>IFERROR(INDEX(Katalog!$D$3:$D$12,MATCH(cadangan3[[#This Row],[Item C]],Katalog!$B$3:$B$12,0))*cadangan3[[#This Row],[Qty C]],0)</f>
        <v>0</v>
      </c>
      <c r="AD798" s="36">
        <f>IFERROR(cadangan3[[#This Row],[Harga Asli C]]-(cadangan3[[#This Row],[Harga Asli C]]*cadangan3[[#This Row],[Diskon]]),cadangan3[[#This Row],[Harga Asli C]])</f>
        <v>0</v>
      </c>
      <c r="AE798" s="36">
        <f>IFERROR(INDEX(Katalog!$F$3:$F$12,MATCH(cadangan3[[#This Row],[ItemID C]],Katalog!$C$3:$C$12,0))*cadangan3[[#This Row],[Qty C]],0)</f>
        <v>0</v>
      </c>
      <c r="AF798" s="36">
        <f>IFERROR(cadangan3[[#This Row],[Profit C]]-(cadangan3[[#This Row],[Profit C]]*cadangan3[[#This Row],[Diskon]]),cadangan3[[#This Row],[Profit C]])</f>
        <v>0</v>
      </c>
      <c r="AG798" s="21">
        <f>cadangan3[[#This Row],[Qty A]]+cadangan3[[#This Row],[Qty B]]+cadangan3[[#This Row],[Qty C]]</f>
        <v>4</v>
      </c>
      <c r="AH798" s="35">
        <f>cadangan3[[#This Row],[Harga A + Diskon]]+cadangan3[[#This Row],[Harga + Diskon B]]+cadangan3[[#This Row],[Harga + Diskon C]]</f>
        <v>935000</v>
      </c>
      <c r="AI798" s="35">
        <f>(cadangan3[[#This Row],[Profit A]]+cadangan3[[#This Row],[Profit B]]+cadangan3[[#This Row],[Profit C]])</f>
        <v>440000</v>
      </c>
      <c r="AJ798" s="35">
        <f>cadangan3[[#This Row],[Provit A + Diskon]]+cadangan3[[#This Row],[Provit B + Diskon]]+cadangan3[[#This Row],[Provit C + Diskon]]</f>
        <v>374000</v>
      </c>
      <c r="AK798" s="23" t="s">
        <v>32</v>
      </c>
      <c r="AL798" s="37">
        <f>IFERROR(INDEX('Kode Diskon'!$D$3:$D$9,MATCH(cadangan3[[#This Row],[Kode diskon]],'Kode Diskon'!$C$3:$C$9,0)),"-")</f>
        <v>0.15</v>
      </c>
      <c r="AM798" s="23" t="s">
        <v>9</v>
      </c>
      <c r="AN798" s="23" t="s">
        <v>12</v>
      </c>
      <c r="AO798" s="23" t="s">
        <v>79</v>
      </c>
      <c r="AP798" s="24">
        <v>45040</v>
      </c>
      <c r="AQ798" s="23" t="str">
        <f>TEXT(cadangan3[[#This Row],[Tanggal terjual]],"dddd")</f>
        <v>Monday</v>
      </c>
    </row>
    <row r="799" spans="1:43" x14ac:dyDescent="0.2">
      <c r="A799" s="20">
        <v>798</v>
      </c>
      <c r="B799" s="21" t="str">
        <f>_xlfn.CONCAT("ORD-",INDEX(Helper!$B$2:$B$5,MATCH(cadangan3[[#This Row],[Marketplace]],Helper!$A$2:$A$5,0)),TEXT(cadangan3[[#This Row],[No]],"0000"),"-",TEXT(cadangan3[[#This Row],[Tanggal terjual]],"dd/mm/yy"))</f>
        <v>ORD-TK0798-08/04/23</v>
      </c>
      <c r="C799" t="s">
        <v>67</v>
      </c>
      <c r="D799" t="str">
        <f>IFERROR(INDEX(Katalog!$A$3:$A$12,MATCH(cadangan3[[#This Row],[ItemID A]],Katalog!$C$3:$C$12,0)),"-")</f>
        <v>Sepatu Wanita</v>
      </c>
      <c r="E799" t="str">
        <f>IFERROR(INDEX(Katalog!$B$3:$B$12,MATCH(cadangan3[[#This Row],[ItemID A]],Katalog!$C$3:$C$12,0)),"-")</f>
        <v>Flat Shoes</v>
      </c>
      <c r="F799">
        <v>1</v>
      </c>
      <c r="G799">
        <v>2</v>
      </c>
      <c r="H799" s="36">
        <f>IFERROR(INDEX(Katalog!$D$3:$D$12,MATCH(cadangan3[[#This Row],[ItemID A]],Katalog!$C$3:$C$12,0))*cadangan3[[#This Row],[Qty A]],0)</f>
        <v>250000</v>
      </c>
      <c r="I799" s="36">
        <f>IFERROR(INDEX(Katalog!$D$3:$D$12,MATCH(cadangan3[[#This Row],[Item A]],Katalog!$B$3:$B$12,0))*cadangan3[[#This Row],[Qty A]],0)</f>
        <v>250000</v>
      </c>
      <c r="J799" s="36">
        <f>IFERROR(cadangan3[[#This Row],[Harga Asli A]]-(cadangan3[[#This Row],[Harga Asli A]]*cadangan3[[#This Row],[Diskon]]),cadangan3[[#This Row],[Harga Asli A]])</f>
        <v>250000</v>
      </c>
      <c r="K799" s="36">
        <f>INDEX(Katalog!$F$3:$F$12,MATCH(cadangan3[[#This Row],[ItemID A]],Katalog!$C$3:$C$12,0))*cadangan3[[#This Row],[Qty A]]</f>
        <v>100000</v>
      </c>
      <c r="L799" s="36">
        <f>IFERROR(cadangan3[[#This Row],[Profit A]]-(cadangan3[[#This Row],[Profit A]]*cadangan3[[#This Row],[Diskon]]),K799)</f>
        <v>100000</v>
      </c>
      <c r="M799" t="s">
        <v>59</v>
      </c>
      <c r="N799" t="str">
        <f>IFERROR(INDEX(Katalog!$A$3:$A$12,MATCH(cadangan3[[#This Row],[ItemID B]],Katalog!$C$3:$C$12,0)),"-")</f>
        <v>Pakaian Wanita</v>
      </c>
      <c r="O799" t="str">
        <f>IFERROR(INDEX(Katalog!$B$3:$B$12,MATCH(cadangan3[[#This Row],[ItemID B]],Katalog!$C$3:$C$12,0)),"-")</f>
        <v>Blouse</v>
      </c>
      <c r="P799">
        <v>1</v>
      </c>
      <c r="Q799">
        <v>1</v>
      </c>
      <c r="R799" s="36">
        <f>IFERROR(INDEX(Katalog!$D$3:$D$12,MATCH(cadangan3[[#This Row],[ItemID B]],Katalog!$C$3:$C$12,0))*cadangan3[[#This Row],[Qty B]],0)</f>
        <v>150000</v>
      </c>
      <c r="S799" s="36">
        <f>IFERROR(INDEX(Katalog!$D$3:$D$12,MATCH(cadangan3[[#This Row],[Item B]],Katalog!$B$3:$B$12,0))*cadangan3[[#This Row],[Qty B]],0)</f>
        <v>150000</v>
      </c>
      <c r="T799" s="36">
        <f>IFERROR(cadangan3[[#This Row],[Harga Asli B]]-(cadangan3[[#This Row],[Harga Asli B]]*cadangan3[[#This Row],[Diskon]]),cadangan3[[#This Row],[Harga Asli B]])</f>
        <v>150000</v>
      </c>
      <c r="U799" s="36">
        <f>IFERROR(INDEX(Katalog!$F$3:$F$12,MATCH(cadangan3[[#This Row],[ItemID B]],Katalog!$C$3:$C$12,0))*cadangan3[[#This Row],[Qty B]],0)</f>
        <v>50000</v>
      </c>
      <c r="V799" s="36">
        <f>IFERROR(cadangan3[[#This Row],[Profit B]]-(cadangan3[[#This Row],[Profit B]]*cadangan3[[#This Row],[Diskon]]),U799)</f>
        <v>50000</v>
      </c>
      <c r="X799" t="str">
        <f>IFERROR(INDEX(Katalog!$A$3:$A$12,MATCH(cadangan3[[#This Row],[ItemID C]],Katalog!$C$3:$C$12,0)),"-")</f>
        <v>-</v>
      </c>
      <c r="Y799" t="str">
        <f>IFERROR(INDEX(Katalog!$B$3:$B$12,MATCH(cadangan3[[#This Row],[ItemID C]],Katalog!$C$3:$C$12,0)),"-")</f>
        <v>-</v>
      </c>
      <c r="AB799" s="36">
        <f>IFERROR(INDEX(Katalog!$D$3:$D$12,MATCH(cadangan3[[#This Row],[ItemID C]],Katalog!$C$3:$C$12,0))*cadangan3[[#This Row],[Qty C]],0)</f>
        <v>0</v>
      </c>
      <c r="AC799" s="36">
        <f>IFERROR(INDEX(Katalog!$D$3:$D$12,MATCH(cadangan3[[#This Row],[Item C]],Katalog!$B$3:$B$12,0))*cadangan3[[#This Row],[Qty C]],0)</f>
        <v>0</v>
      </c>
      <c r="AD799" s="36">
        <f>IFERROR(cadangan3[[#This Row],[Harga Asli C]]-(cadangan3[[#This Row],[Harga Asli C]]*cadangan3[[#This Row],[Diskon]]),cadangan3[[#This Row],[Harga Asli C]])</f>
        <v>0</v>
      </c>
      <c r="AE799" s="36">
        <f>IFERROR(INDEX(Katalog!$F$3:$F$12,MATCH(cadangan3[[#This Row],[ItemID C]],Katalog!$C$3:$C$12,0))*cadangan3[[#This Row],[Qty C]],0)</f>
        <v>0</v>
      </c>
      <c r="AF799" s="36">
        <f>IFERROR(cadangan3[[#This Row],[Profit C]]-(cadangan3[[#This Row],[Profit C]]*cadangan3[[#This Row],[Diskon]]),cadangan3[[#This Row],[Profit C]])</f>
        <v>0</v>
      </c>
      <c r="AG799" s="21">
        <f>cadangan3[[#This Row],[Qty A]]+cadangan3[[#This Row],[Qty B]]+cadangan3[[#This Row],[Qty C]]</f>
        <v>2</v>
      </c>
      <c r="AH799" s="35">
        <f>cadangan3[[#This Row],[Harga A + Diskon]]+cadangan3[[#This Row],[Harga + Diskon B]]+cadangan3[[#This Row],[Harga + Diskon C]]</f>
        <v>400000</v>
      </c>
      <c r="AI799" s="35">
        <f>(cadangan3[[#This Row],[Profit A]]+cadangan3[[#This Row],[Profit B]]+cadangan3[[#This Row],[Profit C]])</f>
        <v>150000</v>
      </c>
      <c r="AJ799" s="35">
        <f>cadangan3[[#This Row],[Provit A + Diskon]]+cadangan3[[#This Row],[Provit B + Diskon]]+cadangan3[[#This Row],[Provit C + Diskon]]</f>
        <v>150000</v>
      </c>
      <c r="AK799" s="23" t="s">
        <v>11</v>
      </c>
      <c r="AL799" s="37" t="str">
        <f>IFERROR(INDEX('Kode Diskon'!$D$3:$D$9,MATCH(cadangan3[[#This Row],[Kode diskon]],'Kode Diskon'!$C$3:$C$9,0)),"-")</f>
        <v>-</v>
      </c>
      <c r="AM799" s="23" t="s">
        <v>11</v>
      </c>
      <c r="AN799" s="23" t="s">
        <v>10</v>
      </c>
      <c r="AO799" s="23" t="s">
        <v>78</v>
      </c>
      <c r="AP799" s="24">
        <v>45024</v>
      </c>
      <c r="AQ799" s="23" t="str">
        <f>TEXT(cadangan3[[#This Row],[Tanggal terjual]],"dddd")</f>
        <v>Saturday</v>
      </c>
    </row>
    <row r="800" spans="1:43" x14ac:dyDescent="0.2">
      <c r="A800" s="20">
        <v>799</v>
      </c>
      <c r="B800" s="21" t="str">
        <f>_xlfn.CONCAT("ORD-",INDEX(Helper!$B$2:$B$5,MATCH(cadangan3[[#This Row],[Marketplace]],Helper!$A$2:$A$5,0)),TEXT(cadangan3[[#This Row],[No]],"0000"),"-",TEXT(cadangan3[[#This Row],[Tanggal terjual]],"dd/mm/yy"))</f>
        <v>ORD-SP0799-05/04/23</v>
      </c>
      <c r="C800" t="s">
        <v>63</v>
      </c>
      <c r="D800" t="str">
        <f>IFERROR(INDEX(Katalog!$A$3:$A$12,MATCH(cadangan3[[#This Row],[ItemID A]],Katalog!$C$3:$C$12,0)),"-")</f>
        <v>Pakaian Pria</v>
      </c>
      <c r="E800" t="str">
        <f>IFERROR(INDEX(Katalog!$B$3:$B$12,MATCH(cadangan3[[#This Row],[ItemID A]],Katalog!$C$3:$C$12,0)),"-")</f>
        <v>Jaket Jeans</v>
      </c>
      <c r="F800">
        <v>1</v>
      </c>
      <c r="G800">
        <v>4</v>
      </c>
      <c r="H800" s="36">
        <f>IFERROR(INDEX(Katalog!$D$3:$D$12,MATCH(cadangan3[[#This Row],[ItemID A]],Katalog!$C$3:$C$12,0))*cadangan3[[#This Row],[Qty A]],0)</f>
        <v>400000</v>
      </c>
      <c r="I800" s="36">
        <f>IFERROR(INDEX(Katalog!$D$3:$D$12,MATCH(cadangan3[[#This Row],[Item A]],Katalog!$B$3:$B$12,0))*cadangan3[[#This Row],[Qty A]],0)</f>
        <v>400000</v>
      </c>
      <c r="J800" s="36">
        <f>IFERROR(cadangan3[[#This Row],[Harga Asli A]]-(cadangan3[[#This Row],[Harga Asli A]]*cadangan3[[#This Row],[Diskon]]),cadangan3[[#This Row],[Harga Asli A]])</f>
        <v>360000</v>
      </c>
      <c r="K800" s="36">
        <f>INDEX(Katalog!$F$3:$F$12,MATCH(cadangan3[[#This Row],[ItemID A]],Katalog!$C$3:$C$12,0))*cadangan3[[#This Row],[Qty A]]</f>
        <v>150000</v>
      </c>
      <c r="L800" s="36">
        <f>IFERROR(cadangan3[[#This Row],[Profit A]]-(cadangan3[[#This Row],[Profit A]]*cadangan3[[#This Row],[Diskon]]),K800)</f>
        <v>135000</v>
      </c>
      <c r="M800" t="s">
        <v>65</v>
      </c>
      <c r="N800" t="str">
        <f>IFERROR(INDEX(Katalog!$A$3:$A$12,MATCH(cadangan3[[#This Row],[ItemID B]],Katalog!$C$3:$C$12,0)),"-")</f>
        <v>Sepatu Pria</v>
      </c>
      <c r="O800" t="str">
        <f>IFERROR(INDEX(Katalog!$B$3:$B$12,MATCH(cadangan3[[#This Row],[ItemID B]],Katalog!$C$3:$C$12,0)),"-")</f>
        <v>Sneakers</v>
      </c>
      <c r="P800">
        <v>1</v>
      </c>
      <c r="Q800">
        <v>2</v>
      </c>
      <c r="R800" s="36">
        <f>IFERROR(INDEX(Katalog!$D$3:$D$12,MATCH(cadangan3[[#This Row],[ItemID B]],Katalog!$C$3:$C$12,0))*cadangan3[[#This Row],[Qty B]],0)</f>
        <v>500000</v>
      </c>
      <c r="S800" s="36">
        <f>IFERROR(INDEX(Katalog!$D$3:$D$12,MATCH(cadangan3[[#This Row],[Item B]],Katalog!$B$3:$B$12,0))*cadangan3[[#This Row],[Qty B]],0)</f>
        <v>500000</v>
      </c>
      <c r="T800" s="36">
        <f>IFERROR(cadangan3[[#This Row],[Harga Asli B]]-(cadangan3[[#This Row],[Harga Asli B]]*cadangan3[[#This Row],[Diskon]]),cadangan3[[#This Row],[Harga Asli B]])</f>
        <v>450000</v>
      </c>
      <c r="U800" s="36">
        <f>IFERROR(INDEX(Katalog!$F$3:$F$12,MATCH(cadangan3[[#This Row],[ItemID B]],Katalog!$C$3:$C$12,0))*cadangan3[[#This Row],[Qty B]],0)</f>
        <v>200000</v>
      </c>
      <c r="V800" s="36">
        <f>IFERROR(cadangan3[[#This Row],[Profit B]]-(cadangan3[[#This Row],[Profit B]]*cadangan3[[#This Row],[Diskon]]),U800)</f>
        <v>180000</v>
      </c>
      <c r="X800" t="str">
        <f>IFERROR(INDEX(Katalog!$A$3:$A$12,MATCH(cadangan3[[#This Row],[ItemID C]],Katalog!$C$3:$C$12,0)),"-")</f>
        <v>-</v>
      </c>
      <c r="Y800" t="str">
        <f>IFERROR(INDEX(Katalog!$B$3:$B$12,MATCH(cadangan3[[#This Row],[ItemID C]],Katalog!$C$3:$C$12,0)),"-")</f>
        <v>-</v>
      </c>
      <c r="AB800" s="36">
        <f>IFERROR(INDEX(Katalog!$D$3:$D$12,MATCH(cadangan3[[#This Row],[ItemID C]],Katalog!$C$3:$C$12,0))*cadangan3[[#This Row],[Qty C]],0)</f>
        <v>0</v>
      </c>
      <c r="AC800" s="36">
        <f>IFERROR(INDEX(Katalog!$D$3:$D$12,MATCH(cadangan3[[#This Row],[Item C]],Katalog!$B$3:$B$12,0))*cadangan3[[#This Row],[Qty C]],0)</f>
        <v>0</v>
      </c>
      <c r="AD800" s="36">
        <f>IFERROR(cadangan3[[#This Row],[Harga Asli C]]-(cadangan3[[#This Row],[Harga Asli C]]*cadangan3[[#This Row],[Diskon]]),cadangan3[[#This Row],[Harga Asli C]])</f>
        <v>0</v>
      </c>
      <c r="AE800" s="36">
        <f>IFERROR(INDEX(Katalog!$F$3:$F$12,MATCH(cadangan3[[#This Row],[ItemID C]],Katalog!$C$3:$C$12,0))*cadangan3[[#This Row],[Qty C]],0)</f>
        <v>0</v>
      </c>
      <c r="AF800" s="36">
        <f>IFERROR(cadangan3[[#This Row],[Profit C]]-(cadangan3[[#This Row],[Profit C]]*cadangan3[[#This Row],[Diskon]]),cadangan3[[#This Row],[Profit C]])</f>
        <v>0</v>
      </c>
      <c r="AG800" s="21">
        <f>cadangan3[[#This Row],[Qty A]]+cadangan3[[#This Row],[Qty B]]+cadangan3[[#This Row],[Qty C]]</f>
        <v>2</v>
      </c>
      <c r="AH800" s="35">
        <f>cadangan3[[#This Row],[Harga A + Diskon]]+cadangan3[[#This Row],[Harga + Diskon B]]+cadangan3[[#This Row],[Harga + Diskon C]]</f>
        <v>810000</v>
      </c>
      <c r="AI800" s="35">
        <f>(cadangan3[[#This Row],[Profit A]]+cadangan3[[#This Row],[Profit B]]+cadangan3[[#This Row],[Profit C]])</f>
        <v>350000</v>
      </c>
      <c r="AJ800" s="35">
        <f>cadangan3[[#This Row],[Provit A + Diskon]]+cadangan3[[#This Row],[Provit B + Diskon]]+cadangan3[[#This Row],[Provit C + Diskon]]</f>
        <v>315000</v>
      </c>
      <c r="AK800" s="23" t="s">
        <v>6</v>
      </c>
      <c r="AL800" s="37">
        <f>IFERROR(INDEX('Kode Diskon'!$D$3:$D$9,MATCH(cadangan3[[#This Row],[Kode diskon]],'Kode Diskon'!$C$3:$C$9,0)),"-")</f>
        <v>0.1</v>
      </c>
      <c r="AM800" s="23" t="s">
        <v>29</v>
      </c>
      <c r="AN800" s="23" t="s">
        <v>7</v>
      </c>
      <c r="AO800" s="23" t="s">
        <v>80</v>
      </c>
      <c r="AP800" s="24">
        <v>45021</v>
      </c>
      <c r="AQ800" s="23" t="str">
        <f>TEXT(cadangan3[[#This Row],[Tanggal terjual]],"dddd")</f>
        <v>Wednesday</v>
      </c>
    </row>
    <row r="801" spans="1:43" x14ac:dyDescent="0.2">
      <c r="A801" s="20">
        <v>800</v>
      </c>
      <c r="B801" s="21" t="str">
        <f>_xlfn.CONCAT("ORD-",INDEX(Helper!$B$2:$B$5,MATCH(cadangan3[[#This Row],[Marketplace]],Helper!$A$2:$A$5,0)),TEXT(cadangan3[[#This Row],[No]],"0000"),"-",TEXT(cadangan3[[#This Row],[Tanggal terjual]],"dd/mm/yy"))</f>
        <v>ORD-SP0800-19/04/23</v>
      </c>
      <c r="C801" t="s">
        <v>60</v>
      </c>
      <c r="D801" t="str">
        <f>IFERROR(INDEX(Katalog!$A$3:$A$12,MATCH(cadangan3[[#This Row],[ItemID A]],Katalog!$C$3:$C$12,0)),"-")</f>
        <v>Pakaian Wanita</v>
      </c>
      <c r="E801" t="str">
        <f>IFERROR(INDEX(Katalog!$B$3:$B$12,MATCH(cadangan3[[#This Row],[ItemID A]],Katalog!$C$3:$C$12,0)),"-")</f>
        <v>Kaftan</v>
      </c>
      <c r="F801">
        <v>5</v>
      </c>
      <c r="G801">
        <v>4</v>
      </c>
      <c r="H801" s="36">
        <f>IFERROR(INDEX(Katalog!$D$3:$D$12,MATCH(cadangan3[[#This Row],[ItemID A]],Katalog!$C$3:$C$12,0))*cadangan3[[#This Row],[Qty A]],0)</f>
        <v>1250000</v>
      </c>
      <c r="I801" s="36">
        <f>IFERROR(INDEX(Katalog!$D$3:$D$12,MATCH(cadangan3[[#This Row],[Item A]],Katalog!$B$3:$B$12,0))*cadangan3[[#This Row],[Qty A]],0)</f>
        <v>1250000</v>
      </c>
      <c r="J801" s="36">
        <f>IFERROR(cadangan3[[#This Row],[Harga Asli A]]-(cadangan3[[#This Row],[Harga Asli A]]*cadangan3[[#This Row],[Diskon]]),cadangan3[[#This Row],[Harga Asli A]])</f>
        <v>1000000</v>
      </c>
      <c r="K801" s="36">
        <f>INDEX(Katalog!$F$3:$F$12,MATCH(cadangan3[[#This Row],[ItemID A]],Katalog!$C$3:$C$12,0))*cadangan3[[#This Row],[Qty A]]</f>
        <v>500000</v>
      </c>
      <c r="L801" s="36">
        <f>IFERROR(cadangan3[[#This Row],[Profit A]]-(cadangan3[[#This Row],[Profit A]]*cadangan3[[#This Row],[Diskon]]),K801)</f>
        <v>400000</v>
      </c>
      <c r="M801" t="s">
        <v>61</v>
      </c>
      <c r="N801" t="str">
        <f>IFERROR(INDEX(Katalog!$A$3:$A$12,MATCH(cadangan3[[#This Row],[ItemID B]],Katalog!$C$3:$C$12,0)),"-")</f>
        <v>Pakaian Pria</v>
      </c>
      <c r="O801" t="str">
        <f>IFERROR(INDEX(Katalog!$B$3:$B$12,MATCH(cadangan3[[#This Row],[ItemID B]],Katalog!$C$3:$C$12,0)),"-")</f>
        <v>Kaos Polo</v>
      </c>
      <c r="P801">
        <v>1</v>
      </c>
      <c r="Q801">
        <v>3</v>
      </c>
      <c r="R801" s="36">
        <f>IFERROR(INDEX(Katalog!$D$3:$D$12,MATCH(cadangan3[[#This Row],[ItemID B]],Katalog!$C$3:$C$12,0))*cadangan3[[#This Row],[Qty B]],0)</f>
        <v>200000</v>
      </c>
      <c r="S801" s="36">
        <f>IFERROR(INDEX(Katalog!$D$3:$D$12,MATCH(cadangan3[[#This Row],[Item B]],Katalog!$B$3:$B$12,0))*cadangan3[[#This Row],[Qty B]],0)</f>
        <v>200000</v>
      </c>
      <c r="T801" s="36">
        <f>IFERROR(cadangan3[[#This Row],[Harga Asli B]]-(cadangan3[[#This Row],[Harga Asli B]]*cadangan3[[#This Row],[Diskon]]),cadangan3[[#This Row],[Harga Asli B]])</f>
        <v>160000</v>
      </c>
      <c r="U801" s="36">
        <f>IFERROR(INDEX(Katalog!$F$3:$F$12,MATCH(cadangan3[[#This Row],[ItemID B]],Katalog!$C$3:$C$12,0))*cadangan3[[#This Row],[Qty B]],0)</f>
        <v>80000</v>
      </c>
      <c r="V801" s="36">
        <f>IFERROR(cadangan3[[#This Row],[Profit B]]-(cadangan3[[#This Row],[Profit B]]*cadangan3[[#This Row],[Diskon]]),U801)</f>
        <v>64000</v>
      </c>
      <c r="X801" t="str">
        <f>IFERROR(INDEX(Katalog!$A$3:$A$12,MATCH(cadangan3[[#This Row],[ItemID C]],Katalog!$C$3:$C$12,0)),"-")</f>
        <v>-</v>
      </c>
      <c r="Y801" t="str">
        <f>IFERROR(INDEX(Katalog!$B$3:$B$12,MATCH(cadangan3[[#This Row],[ItemID C]],Katalog!$C$3:$C$12,0)),"-")</f>
        <v>-</v>
      </c>
      <c r="AB801" s="36">
        <f>IFERROR(INDEX(Katalog!$D$3:$D$12,MATCH(cadangan3[[#This Row],[ItemID C]],Katalog!$C$3:$C$12,0))*cadangan3[[#This Row],[Qty C]],0)</f>
        <v>0</v>
      </c>
      <c r="AC801" s="36">
        <f>IFERROR(INDEX(Katalog!$D$3:$D$12,MATCH(cadangan3[[#This Row],[Item C]],Katalog!$B$3:$B$12,0))*cadangan3[[#This Row],[Qty C]],0)</f>
        <v>0</v>
      </c>
      <c r="AD801" s="36">
        <f>IFERROR(cadangan3[[#This Row],[Harga Asli C]]-(cadangan3[[#This Row],[Harga Asli C]]*cadangan3[[#This Row],[Diskon]]),cadangan3[[#This Row],[Harga Asli C]])</f>
        <v>0</v>
      </c>
      <c r="AE801" s="36">
        <f>IFERROR(INDEX(Katalog!$F$3:$F$12,MATCH(cadangan3[[#This Row],[ItemID C]],Katalog!$C$3:$C$12,0))*cadangan3[[#This Row],[Qty C]],0)</f>
        <v>0</v>
      </c>
      <c r="AF801" s="36">
        <f>IFERROR(cadangan3[[#This Row],[Profit C]]-(cadangan3[[#This Row],[Profit C]]*cadangan3[[#This Row],[Diskon]]),cadangan3[[#This Row],[Profit C]])</f>
        <v>0</v>
      </c>
      <c r="AG801" s="21">
        <f>cadangan3[[#This Row],[Qty A]]+cadangan3[[#This Row],[Qty B]]+cadangan3[[#This Row],[Qty C]]</f>
        <v>6</v>
      </c>
      <c r="AH801" s="35">
        <f>cadangan3[[#This Row],[Harga A + Diskon]]+cadangan3[[#This Row],[Harga + Diskon B]]+cadangan3[[#This Row],[Harga + Diskon C]]</f>
        <v>1160000</v>
      </c>
      <c r="AI801" s="35">
        <f>(cadangan3[[#This Row],[Profit A]]+cadangan3[[#This Row],[Profit B]]+cadangan3[[#This Row],[Profit C]])</f>
        <v>580000</v>
      </c>
      <c r="AJ801" s="35">
        <f>cadangan3[[#This Row],[Provit A + Diskon]]+cadangan3[[#This Row],[Provit B + Diskon]]+cadangan3[[#This Row],[Provit C + Diskon]]</f>
        <v>464000</v>
      </c>
      <c r="AK801" s="23" t="s">
        <v>8</v>
      </c>
      <c r="AL801" s="37">
        <f>IFERROR(INDEX('Kode Diskon'!$D$3:$D$9,MATCH(cadangan3[[#This Row],[Kode diskon]],'Kode Diskon'!$C$3:$C$9,0)),"-")</f>
        <v>0.2</v>
      </c>
      <c r="AM801" s="23" t="s">
        <v>9</v>
      </c>
      <c r="AN801" s="23" t="s">
        <v>7</v>
      </c>
      <c r="AO801" s="23" t="s">
        <v>79</v>
      </c>
      <c r="AP801" s="24">
        <v>45035</v>
      </c>
      <c r="AQ801" s="23" t="str">
        <f>TEXT(cadangan3[[#This Row],[Tanggal terjual]],"dddd")</f>
        <v>Wednesday</v>
      </c>
    </row>
    <row r="802" spans="1:43" x14ac:dyDescent="0.2">
      <c r="A802" s="20">
        <v>801</v>
      </c>
      <c r="B802" s="21" t="str">
        <f>_xlfn.CONCAT("ORD-",INDEX(Helper!$B$2:$B$5,MATCH(cadangan3[[#This Row],[Marketplace]],Helper!$A$2:$A$5,0)),TEXT(cadangan3[[#This Row],[No]],"0000"),"-",TEXT(cadangan3[[#This Row],[Tanggal terjual]],"dd/mm/yy"))</f>
        <v>ORD-TK0801-21/04/23</v>
      </c>
      <c r="C802" t="s">
        <v>67</v>
      </c>
      <c r="D802" t="str">
        <f>IFERROR(INDEX(Katalog!$A$3:$A$12,MATCH(cadangan3[[#This Row],[ItemID A]],Katalog!$C$3:$C$12,0)),"-")</f>
        <v>Sepatu Wanita</v>
      </c>
      <c r="E802" t="str">
        <f>IFERROR(INDEX(Katalog!$B$3:$B$12,MATCH(cadangan3[[#This Row],[ItemID A]],Katalog!$C$3:$C$12,0)),"-")</f>
        <v>Flat Shoes</v>
      </c>
      <c r="F802">
        <v>1</v>
      </c>
      <c r="G802">
        <v>3</v>
      </c>
      <c r="H802" s="36">
        <f>IFERROR(INDEX(Katalog!$D$3:$D$12,MATCH(cadangan3[[#This Row],[ItemID A]],Katalog!$C$3:$C$12,0))*cadangan3[[#This Row],[Qty A]],0)</f>
        <v>250000</v>
      </c>
      <c r="I802" s="36">
        <f>IFERROR(INDEX(Katalog!$D$3:$D$12,MATCH(cadangan3[[#This Row],[Item A]],Katalog!$B$3:$B$12,0))*cadangan3[[#This Row],[Qty A]],0)</f>
        <v>250000</v>
      </c>
      <c r="J802" s="36">
        <f>IFERROR(cadangan3[[#This Row],[Harga Asli A]]-(cadangan3[[#This Row],[Harga Asli A]]*cadangan3[[#This Row],[Diskon]]),cadangan3[[#This Row],[Harga Asli A]])</f>
        <v>225000</v>
      </c>
      <c r="K802" s="36">
        <f>INDEX(Katalog!$F$3:$F$12,MATCH(cadangan3[[#This Row],[ItemID A]],Katalog!$C$3:$C$12,0))*cadangan3[[#This Row],[Qty A]]</f>
        <v>100000</v>
      </c>
      <c r="L802" s="36">
        <f>IFERROR(cadangan3[[#This Row],[Profit A]]-(cadangan3[[#This Row],[Profit A]]*cadangan3[[#This Row],[Diskon]]),K802)</f>
        <v>90000</v>
      </c>
      <c r="M802" t="s">
        <v>63</v>
      </c>
      <c r="N802" t="str">
        <f>IFERROR(INDEX(Katalog!$A$3:$A$12,MATCH(cadangan3[[#This Row],[ItemID B]],Katalog!$C$3:$C$12,0)),"-")</f>
        <v>Pakaian Pria</v>
      </c>
      <c r="O802" t="str">
        <f>IFERROR(INDEX(Katalog!$B$3:$B$12,MATCH(cadangan3[[#This Row],[ItemID B]],Katalog!$C$3:$C$12,0)),"-")</f>
        <v>Jaket Jeans</v>
      </c>
      <c r="P802">
        <v>1</v>
      </c>
      <c r="Q802">
        <v>3</v>
      </c>
      <c r="R802" s="36">
        <f>IFERROR(INDEX(Katalog!$D$3:$D$12,MATCH(cadangan3[[#This Row],[ItemID B]],Katalog!$C$3:$C$12,0))*cadangan3[[#This Row],[Qty B]],0)</f>
        <v>400000</v>
      </c>
      <c r="S802" s="36">
        <f>IFERROR(INDEX(Katalog!$D$3:$D$12,MATCH(cadangan3[[#This Row],[Item B]],Katalog!$B$3:$B$12,0))*cadangan3[[#This Row],[Qty B]],0)</f>
        <v>400000</v>
      </c>
      <c r="T802" s="36">
        <f>IFERROR(cadangan3[[#This Row],[Harga Asli B]]-(cadangan3[[#This Row],[Harga Asli B]]*cadangan3[[#This Row],[Diskon]]),cadangan3[[#This Row],[Harga Asli B]])</f>
        <v>360000</v>
      </c>
      <c r="U802" s="36">
        <f>IFERROR(INDEX(Katalog!$F$3:$F$12,MATCH(cadangan3[[#This Row],[ItemID B]],Katalog!$C$3:$C$12,0))*cadangan3[[#This Row],[Qty B]],0)</f>
        <v>150000</v>
      </c>
      <c r="V802" s="36">
        <f>IFERROR(cadangan3[[#This Row],[Profit B]]-(cadangan3[[#This Row],[Profit B]]*cadangan3[[#This Row],[Diskon]]),U802)</f>
        <v>135000</v>
      </c>
      <c r="W802" t="s">
        <v>59</v>
      </c>
      <c r="X802" t="str">
        <f>IFERROR(INDEX(Katalog!$A$3:$A$12,MATCH(cadangan3[[#This Row],[ItemID C]],Katalog!$C$3:$C$12,0)),"-")</f>
        <v>Pakaian Wanita</v>
      </c>
      <c r="Y802" t="str">
        <f>IFERROR(INDEX(Katalog!$B$3:$B$12,MATCH(cadangan3[[#This Row],[ItemID C]],Katalog!$C$3:$C$12,0)),"-")</f>
        <v>Blouse</v>
      </c>
      <c r="Z802">
        <v>2</v>
      </c>
      <c r="AA802">
        <v>2</v>
      </c>
      <c r="AB802" s="36">
        <f>IFERROR(INDEX(Katalog!$D$3:$D$12,MATCH(cadangan3[[#This Row],[ItemID C]],Katalog!$C$3:$C$12,0))*cadangan3[[#This Row],[Qty C]],0)</f>
        <v>300000</v>
      </c>
      <c r="AC802" s="36">
        <f>IFERROR(INDEX(Katalog!$D$3:$D$12,MATCH(cadangan3[[#This Row],[Item C]],Katalog!$B$3:$B$12,0))*cadangan3[[#This Row],[Qty C]],0)</f>
        <v>300000</v>
      </c>
      <c r="AD802" s="36">
        <f>IFERROR(cadangan3[[#This Row],[Harga Asli C]]-(cadangan3[[#This Row],[Harga Asli C]]*cadangan3[[#This Row],[Diskon]]),cadangan3[[#This Row],[Harga Asli C]])</f>
        <v>270000</v>
      </c>
      <c r="AE802" s="36">
        <f>IFERROR(INDEX(Katalog!$F$3:$F$12,MATCH(cadangan3[[#This Row],[ItemID C]],Katalog!$C$3:$C$12,0))*cadangan3[[#This Row],[Qty C]],0)</f>
        <v>100000</v>
      </c>
      <c r="AF802" s="36">
        <f>IFERROR(cadangan3[[#This Row],[Profit C]]-(cadangan3[[#This Row],[Profit C]]*cadangan3[[#This Row],[Diskon]]),cadangan3[[#This Row],[Profit C]])</f>
        <v>90000</v>
      </c>
      <c r="AG802" s="21">
        <f>cadangan3[[#This Row],[Qty A]]+cadangan3[[#This Row],[Qty B]]+cadangan3[[#This Row],[Qty C]]</f>
        <v>4</v>
      </c>
      <c r="AH802" s="35">
        <f>cadangan3[[#This Row],[Harga A + Diskon]]+cadangan3[[#This Row],[Harga + Diskon B]]+cadangan3[[#This Row],[Harga + Diskon C]]</f>
        <v>855000</v>
      </c>
      <c r="AI802" s="35">
        <f>(cadangan3[[#This Row],[Profit A]]+cadangan3[[#This Row],[Profit B]]+cadangan3[[#This Row],[Profit C]])</f>
        <v>350000</v>
      </c>
      <c r="AJ802" s="35">
        <f>cadangan3[[#This Row],[Provit A + Diskon]]+cadangan3[[#This Row],[Provit B + Diskon]]+cadangan3[[#This Row],[Provit C + Diskon]]</f>
        <v>315000</v>
      </c>
      <c r="AK802" s="23" t="s">
        <v>31</v>
      </c>
      <c r="AL802" s="37">
        <f>IFERROR(INDEX('Kode Diskon'!$D$3:$D$9,MATCH(cadangan3[[#This Row],[Kode diskon]],'Kode Diskon'!$C$3:$C$9,0)),"-")</f>
        <v>0.1</v>
      </c>
      <c r="AM802" s="23" t="s">
        <v>9</v>
      </c>
      <c r="AN802" s="23" t="s">
        <v>10</v>
      </c>
      <c r="AO802" s="23" t="s">
        <v>75</v>
      </c>
      <c r="AP802" s="24">
        <v>45037</v>
      </c>
      <c r="AQ802" s="23" t="str">
        <f>TEXT(cadangan3[[#This Row],[Tanggal terjual]],"dddd")</f>
        <v>Friday</v>
      </c>
    </row>
    <row r="803" spans="1:43" x14ac:dyDescent="0.2">
      <c r="A803" s="20">
        <v>802</v>
      </c>
      <c r="B803" s="21" t="str">
        <f>_xlfn.CONCAT("ORD-",INDEX(Helper!$B$2:$B$5,MATCH(cadangan3[[#This Row],[Marketplace]],Helper!$A$2:$A$5,0)),TEXT(cadangan3[[#This Row],[No]],"0000"),"-",TEXT(cadangan3[[#This Row],[Tanggal terjual]],"dd/mm/yy"))</f>
        <v>ORD-BB0802-07/04/23</v>
      </c>
      <c r="C803" t="s">
        <v>59</v>
      </c>
      <c r="D803" t="str">
        <f>IFERROR(INDEX(Katalog!$A$3:$A$12,MATCH(cadangan3[[#This Row],[ItemID A]],Katalog!$C$3:$C$12,0)),"-")</f>
        <v>Pakaian Wanita</v>
      </c>
      <c r="E803" t="str">
        <f>IFERROR(INDEX(Katalog!$B$3:$B$12,MATCH(cadangan3[[#This Row],[ItemID A]],Katalog!$C$3:$C$12,0)),"-")</f>
        <v>Blouse</v>
      </c>
      <c r="F803">
        <v>3</v>
      </c>
      <c r="G803">
        <v>2</v>
      </c>
      <c r="H803" s="36">
        <f>IFERROR(INDEX(Katalog!$D$3:$D$12,MATCH(cadangan3[[#This Row],[ItemID A]],Katalog!$C$3:$C$12,0))*cadangan3[[#This Row],[Qty A]],0)</f>
        <v>450000</v>
      </c>
      <c r="I803" s="36">
        <f>IFERROR(INDEX(Katalog!$D$3:$D$12,MATCH(cadangan3[[#This Row],[Item A]],Katalog!$B$3:$B$12,0))*cadangan3[[#This Row],[Qty A]],0)</f>
        <v>450000</v>
      </c>
      <c r="J803" s="36">
        <f>IFERROR(cadangan3[[#This Row],[Harga Asli A]]-(cadangan3[[#This Row],[Harga Asli A]]*cadangan3[[#This Row],[Diskon]]),cadangan3[[#This Row],[Harga Asli A]])</f>
        <v>450000</v>
      </c>
      <c r="K803" s="36">
        <f>INDEX(Katalog!$F$3:$F$12,MATCH(cadangan3[[#This Row],[ItemID A]],Katalog!$C$3:$C$12,0))*cadangan3[[#This Row],[Qty A]]</f>
        <v>150000</v>
      </c>
      <c r="L803" s="36">
        <f>IFERROR(cadangan3[[#This Row],[Profit A]]-(cadangan3[[#This Row],[Profit A]]*cadangan3[[#This Row],[Diskon]]),K803)</f>
        <v>150000</v>
      </c>
      <c r="N803" t="str">
        <f>IFERROR(INDEX(Katalog!$A$3:$A$12,MATCH(cadangan3[[#This Row],[ItemID B]],Katalog!$C$3:$C$12,0)),"-")</f>
        <v>-</v>
      </c>
      <c r="O803" t="str">
        <f>IFERROR(INDEX(Katalog!$B$3:$B$12,MATCH(cadangan3[[#This Row],[ItemID B]],Katalog!$C$3:$C$12,0)),"-")</f>
        <v>-</v>
      </c>
      <c r="R803" s="36">
        <f>IFERROR(INDEX(Katalog!$D$3:$D$12,MATCH(cadangan3[[#This Row],[ItemID B]],Katalog!$C$3:$C$12,0))*cadangan3[[#This Row],[Qty B]],0)</f>
        <v>0</v>
      </c>
      <c r="S803" s="36">
        <f>IFERROR(INDEX(Katalog!$D$3:$D$12,MATCH(cadangan3[[#This Row],[Item B]],Katalog!$B$3:$B$12,0))*cadangan3[[#This Row],[Qty B]],0)</f>
        <v>0</v>
      </c>
      <c r="T803" s="36">
        <f>IFERROR(cadangan3[[#This Row],[Harga Asli B]]-(cadangan3[[#This Row],[Harga Asli B]]*cadangan3[[#This Row],[Diskon]]),cadangan3[[#This Row],[Harga Asli B]])</f>
        <v>0</v>
      </c>
      <c r="U803" s="36">
        <f>IFERROR(INDEX(Katalog!$F$3:$F$12,MATCH(cadangan3[[#This Row],[ItemID B]],Katalog!$C$3:$C$12,0))*cadangan3[[#This Row],[Qty B]],0)</f>
        <v>0</v>
      </c>
      <c r="V803" s="36">
        <f>IFERROR(cadangan3[[#This Row],[Profit B]]-(cadangan3[[#This Row],[Profit B]]*cadangan3[[#This Row],[Diskon]]),U803)</f>
        <v>0</v>
      </c>
      <c r="X803" t="str">
        <f>IFERROR(INDEX(Katalog!$A$3:$A$12,MATCH(cadangan3[[#This Row],[ItemID C]],Katalog!$C$3:$C$12,0)),"-")</f>
        <v>-</v>
      </c>
      <c r="Y803" t="str">
        <f>IFERROR(INDEX(Katalog!$B$3:$B$12,MATCH(cadangan3[[#This Row],[ItemID C]],Katalog!$C$3:$C$12,0)),"-")</f>
        <v>-</v>
      </c>
      <c r="AB803" s="36">
        <f>IFERROR(INDEX(Katalog!$D$3:$D$12,MATCH(cadangan3[[#This Row],[ItemID C]],Katalog!$C$3:$C$12,0))*cadangan3[[#This Row],[Qty C]],0)</f>
        <v>0</v>
      </c>
      <c r="AC803" s="36">
        <f>IFERROR(INDEX(Katalog!$D$3:$D$12,MATCH(cadangan3[[#This Row],[Item C]],Katalog!$B$3:$B$12,0))*cadangan3[[#This Row],[Qty C]],0)</f>
        <v>0</v>
      </c>
      <c r="AD803" s="36">
        <f>IFERROR(cadangan3[[#This Row],[Harga Asli C]]-(cadangan3[[#This Row],[Harga Asli C]]*cadangan3[[#This Row],[Diskon]]),cadangan3[[#This Row],[Harga Asli C]])</f>
        <v>0</v>
      </c>
      <c r="AE803" s="36">
        <f>IFERROR(INDEX(Katalog!$F$3:$F$12,MATCH(cadangan3[[#This Row],[ItemID C]],Katalog!$C$3:$C$12,0))*cadangan3[[#This Row],[Qty C]],0)</f>
        <v>0</v>
      </c>
      <c r="AF803" s="36">
        <f>IFERROR(cadangan3[[#This Row],[Profit C]]-(cadangan3[[#This Row],[Profit C]]*cadangan3[[#This Row],[Diskon]]),cadangan3[[#This Row],[Profit C]])</f>
        <v>0</v>
      </c>
      <c r="AG803" s="21">
        <f>cadangan3[[#This Row],[Qty A]]+cadangan3[[#This Row],[Qty B]]+cadangan3[[#This Row],[Qty C]]</f>
        <v>3</v>
      </c>
      <c r="AH803" s="35">
        <f>cadangan3[[#This Row],[Harga A + Diskon]]+cadangan3[[#This Row],[Harga + Diskon B]]+cadangan3[[#This Row],[Harga + Diskon C]]</f>
        <v>450000</v>
      </c>
      <c r="AI803" s="35">
        <f>(cadangan3[[#This Row],[Profit A]]+cadangan3[[#This Row],[Profit B]]+cadangan3[[#This Row],[Profit C]])</f>
        <v>150000</v>
      </c>
      <c r="AJ803" s="35">
        <f>cadangan3[[#This Row],[Provit A + Diskon]]+cadangan3[[#This Row],[Provit B + Diskon]]+cadangan3[[#This Row],[Provit C + Diskon]]</f>
        <v>150000</v>
      </c>
      <c r="AK803" s="23" t="s">
        <v>11</v>
      </c>
      <c r="AL803" s="37" t="str">
        <f>IFERROR(INDEX('Kode Diskon'!$D$3:$D$9,MATCH(cadangan3[[#This Row],[Kode diskon]],'Kode Diskon'!$C$3:$C$9,0)),"-")</f>
        <v>-</v>
      </c>
      <c r="AM803" s="23" t="s">
        <v>11</v>
      </c>
      <c r="AN803" s="23" t="s">
        <v>14</v>
      </c>
      <c r="AO803" s="23" t="s">
        <v>80</v>
      </c>
      <c r="AP803" s="24">
        <v>45023</v>
      </c>
      <c r="AQ803" s="23" t="str">
        <f>TEXT(cadangan3[[#This Row],[Tanggal terjual]],"dddd")</f>
        <v>Friday</v>
      </c>
    </row>
    <row r="804" spans="1:43" x14ac:dyDescent="0.2">
      <c r="A804" s="20">
        <v>803</v>
      </c>
      <c r="B804" s="21" t="str">
        <f>_xlfn.CONCAT("ORD-",INDEX(Helper!$B$2:$B$5,MATCH(cadangan3[[#This Row],[Marketplace]],Helper!$A$2:$A$5,0)),TEXT(cadangan3[[#This Row],[No]],"0000"),"-",TEXT(cadangan3[[#This Row],[Tanggal terjual]],"dd/mm/yy"))</f>
        <v>ORD-SP0803-21/04/23</v>
      </c>
      <c r="C804" t="s">
        <v>60</v>
      </c>
      <c r="D804" t="str">
        <f>IFERROR(INDEX(Katalog!$A$3:$A$12,MATCH(cadangan3[[#This Row],[ItemID A]],Katalog!$C$3:$C$12,0)),"-")</f>
        <v>Pakaian Wanita</v>
      </c>
      <c r="E804" t="str">
        <f>IFERROR(INDEX(Katalog!$B$3:$B$12,MATCH(cadangan3[[#This Row],[ItemID A]],Katalog!$C$3:$C$12,0)),"-")</f>
        <v>Kaftan</v>
      </c>
      <c r="F804">
        <v>4</v>
      </c>
      <c r="G804">
        <v>3</v>
      </c>
      <c r="H804" s="36">
        <f>IFERROR(INDEX(Katalog!$D$3:$D$12,MATCH(cadangan3[[#This Row],[ItemID A]],Katalog!$C$3:$C$12,0))*cadangan3[[#This Row],[Qty A]],0)</f>
        <v>1000000</v>
      </c>
      <c r="I804" s="36">
        <f>IFERROR(INDEX(Katalog!$D$3:$D$12,MATCH(cadangan3[[#This Row],[Item A]],Katalog!$B$3:$B$12,0))*cadangan3[[#This Row],[Qty A]],0)</f>
        <v>1000000</v>
      </c>
      <c r="J804" s="36">
        <f>IFERROR(cadangan3[[#This Row],[Harga Asli A]]-(cadangan3[[#This Row],[Harga Asli A]]*cadangan3[[#This Row],[Diskon]]),cadangan3[[#This Row],[Harga Asli A]])</f>
        <v>800000</v>
      </c>
      <c r="K804" s="36">
        <f>INDEX(Katalog!$F$3:$F$12,MATCH(cadangan3[[#This Row],[ItemID A]],Katalog!$C$3:$C$12,0))*cadangan3[[#This Row],[Qty A]]</f>
        <v>400000</v>
      </c>
      <c r="L804" s="36">
        <f>IFERROR(cadangan3[[#This Row],[Profit A]]-(cadangan3[[#This Row],[Profit A]]*cadangan3[[#This Row],[Diskon]]),K804)</f>
        <v>320000</v>
      </c>
      <c r="M804" t="s">
        <v>64</v>
      </c>
      <c r="N804" t="str">
        <f>IFERROR(INDEX(Katalog!$A$3:$A$12,MATCH(cadangan3[[#This Row],[ItemID B]],Katalog!$C$3:$C$12,0)),"-")</f>
        <v>Pakaian Unisex</v>
      </c>
      <c r="O804" t="str">
        <f>IFERROR(INDEX(Katalog!$B$3:$B$12,MATCH(cadangan3[[#This Row],[ItemID B]],Katalog!$C$3:$C$12,0)),"-")</f>
        <v>Jaket Hoodie</v>
      </c>
      <c r="P804">
        <v>1</v>
      </c>
      <c r="Q804">
        <v>4</v>
      </c>
      <c r="R804" s="36">
        <f>IFERROR(INDEX(Katalog!$D$3:$D$12,MATCH(cadangan3[[#This Row],[ItemID B]],Katalog!$C$3:$C$12,0))*cadangan3[[#This Row],[Qty B]],0)</f>
        <v>350000</v>
      </c>
      <c r="S804" s="36">
        <f>IFERROR(INDEX(Katalog!$D$3:$D$12,MATCH(cadangan3[[#This Row],[Item B]],Katalog!$B$3:$B$12,0))*cadangan3[[#This Row],[Qty B]],0)</f>
        <v>350000</v>
      </c>
      <c r="T804" s="36">
        <f>IFERROR(cadangan3[[#This Row],[Harga Asli B]]-(cadangan3[[#This Row],[Harga Asli B]]*cadangan3[[#This Row],[Diskon]]),cadangan3[[#This Row],[Harga Asli B]])</f>
        <v>280000</v>
      </c>
      <c r="U804" s="36">
        <f>IFERROR(INDEX(Katalog!$F$3:$F$12,MATCH(cadangan3[[#This Row],[ItemID B]],Katalog!$C$3:$C$12,0))*cadangan3[[#This Row],[Qty B]],0)</f>
        <v>130000</v>
      </c>
      <c r="V804" s="36">
        <f>IFERROR(cadangan3[[#This Row],[Profit B]]-(cadangan3[[#This Row],[Profit B]]*cadangan3[[#This Row],[Diskon]]),U804)</f>
        <v>104000</v>
      </c>
      <c r="X804" t="str">
        <f>IFERROR(INDEX(Katalog!$A$3:$A$12,MATCH(cadangan3[[#This Row],[ItemID C]],Katalog!$C$3:$C$12,0)),"-")</f>
        <v>-</v>
      </c>
      <c r="Y804" t="str">
        <f>IFERROR(INDEX(Katalog!$B$3:$B$12,MATCH(cadangan3[[#This Row],[ItemID C]],Katalog!$C$3:$C$12,0)),"-")</f>
        <v>-</v>
      </c>
      <c r="AB804" s="36">
        <f>IFERROR(INDEX(Katalog!$D$3:$D$12,MATCH(cadangan3[[#This Row],[ItemID C]],Katalog!$C$3:$C$12,0))*cadangan3[[#This Row],[Qty C]],0)</f>
        <v>0</v>
      </c>
      <c r="AC804" s="36">
        <f>IFERROR(INDEX(Katalog!$D$3:$D$12,MATCH(cadangan3[[#This Row],[Item C]],Katalog!$B$3:$B$12,0))*cadangan3[[#This Row],[Qty C]],0)</f>
        <v>0</v>
      </c>
      <c r="AD804" s="36">
        <f>IFERROR(cadangan3[[#This Row],[Harga Asli C]]-(cadangan3[[#This Row],[Harga Asli C]]*cadangan3[[#This Row],[Diskon]]),cadangan3[[#This Row],[Harga Asli C]])</f>
        <v>0</v>
      </c>
      <c r="AE804" s="36">
        <f>IFERROR(INDEX(Katalog!$F$3:$F$12,MATCH(cadangan3[[#This Row],[ItemID C]],Katalog!$C$3:$C$12,0))*cadangan3[[#This Row],[Qty C]],0)</f>
        <v>0</v>
      </c>
      <c r="AF804" s="36">
        <f>IFERROR(cadangan3[[#This Row],[Profit C]]-(cadangan3[[#This Row],[Profit C]]*cadangan3[[#This Row],[Diskon]]),cadangan3[[#This Row],[Profit C]])</f>
        <v>0</v>
      </c>
      <c r="AG804" s="21">
        <f>cadangan3[[#This Row],[Qty A]]+cadangan3[[#This Row],[Qty B]]+cadangan3[[#This Row],[Qty C]]</f>
        <v>5</v>
      </c>
      <c r="AH804" s="35">
        <f>cadangan3[[#This Row],[Harga A + Diskon]]+cadangan3[[#This Row],[Harga + Diskon B]]+cadangan3[[#This Row],[Harga + Diskon C]]</f>
        <v>1080000</v>
      </c>
      <c r="AI804" s="35">
        <f>(cadangan3[[#This Row],[Profit A]]+cadangan3[[#This Row],[Profit B]]+cadangan3[[#This Row],[Profit C]])</f>
        <v>530000</v>
      </c>
      <c r="AJ804" s="35">
        <f>cadangan3[[#This Row],[Provit A + Diskon]]+cadangan3[[#This Row],[Provit B + Diskon]]+cadangan3[[#This Row],[Provit C + Diskon]]</f>
        <v>424000</v>
      </c>
      <c r="AK804" s="23" t="s">
        <v>8</v>
      </c>
      <c r="AL804" s="37">
        <f>IFERROR(INDEX('Kode Diskon'!$D$3:$D$9,MATCH(cadangan3[[#This Row],[Kode diskon]],'Kode Diskon'!$C$3:$C$9,0)),"-")</f>
        <v>0.2</v>
      </c>
      <c r="AM804" s="23" t="s">
        <v>9</v>
      </c>
      <c r="AN804" s="23" t="s">
        <v>7</v>
      </c>
      <c r="AO804" s="23" t="s">
        <v>75</v>
      </c>
      <c r="AP804" s="24">
        <v>45037</v>
      </c>
      <c r="AQ804" s="23" t="str">
        <f>TEXT(cadangan3[[#This Row],[Tanggal terjual]],"dddd")</f>
        <v>Friday</v>
      </c>
    </row>
    <row r="805" spans="1:43" x14ac:dyDescent="0.2">
      <c r="A805" s="20">
        <v>804</v>
      </c>
      <c r="B805" s="21" t="str">
        <f>_xlfn.CONCAT("ORD-",INDEX(Helper!$B$2:$B$5,MATCH(cadangan3[[#This Row],[Marketplace]],Helper!$A$2:$A$5,0)),TEXT(cadangan3[[#This Row],[No]],"0000"),"-",TEXT(cadangan3[[#This Row],[Tanggal terjual]],"dd/mm/yy"))</f>
        <v>ORD-BB0804-11/04/23</v>
      </c>
      <c r="C805" t="s">
        <v>60</v>
      </c>
      <c r="D805" t="str">
        <f>IFERROR(INDEX(Katalog!$A$3:$A$12,MATCH(cadangan3[[#This Row],[ItemID A]],Katalog!$C$3:$C$12,0)),"-")</f>
        <v>Pakaian Wanita</v>
      </c>
      <c r="E805" t="str">
        <f>IFERROR(INDEX(Katalog!$B$3:$B$12,MATCH(cadangan3[[#This Row],[ItemID A]],Katalog!$C$3:$C$12,0)),"-")</f>
        <v>Kaftan</v>
      </c>
      <c r="F805">
        <v>5</v>
      </c>
      <c r="G805">
        <v>1</v>
      </c>
      <c r="H805" s="36">
        <f>IFERROR(INDEX(Katalog!$D$3:$D$12,MATCH(cadangan3[[#This Row],[ItemID A]],Katalog!$C$3:$C$12,0))*cadangan3[[#This Row],[Qty A]],0)</f>
        <v>1250000</v>
      </c>
      <c r="I805" s="36">
        <f>IFERROR(INDEX(Katalog!$D$3:$D$12,MATCH(cadangan3[[#This Row],[Item A]],Katalog!$B$3:$B$12,0))*cadangan3[[#This Row],[Qty A]],0)</f>
        <v>1250000</v>
      </c>
      <c r="J805" s="36">
        <f>IFERROR(cadangan3[[#This Row],[Harga Asli A]]-(cadangan3[[#This Row],[Harga Asli A]]*cadangan3[[#This Row],[Diskon]]),cadangan3[[#This Row],[Harga Asli A]])</f>
        <v>1250000</v>
      </c>
      <c r="K805" s="36">
        <f>INDEX(Katalog!$F$3:$F$12,MATCH(cadangan3[[#This Row],[ItemID A]],Katalog!$C$3:$C$12,0))*cadangan3[[#This Row],[Qty A]]</f>
        <v>500000</v>
      </c>
      <c r="L805" s="36">
        <f>IFERROR(cadangan3[[#This Row],[Profit A]]-(cadangan3[[#This Row],[Profit A]]*cadangan3[[#This Row],[Diskon]]),K805)</f>
        <v>500000</v>
      </c>
      <c r="M805" t="s">
        <v>65</v>
      </c>
      <c r="N805" t="str">
        <f>IFERROR(INDEX(Katalog!$A$3:$A$12,MATCH(cadangan3[[#This Row],[ItemID B]],Katalog!$C$3:$C$12,0)),"-")</f>
        <v>Sepatu Pria</v>
      </c>
      <c r="O805" t="str">
        <f>IFERROR(INDEX(Katalog!$B$3:$B$12,MATCH(cadangan3[[#This Row],[ItemID B]],Katalog!$C$3:$C$12,0)),"-")</f>
        <v>Sneakers</v>
      </c>
      <c r="P805">
        <v>1</v>
      </c>
      <c r="Q805">
        <v>4</v>
      </c>
      <c r="R805" s="36">
        <f>IFERROR(INDEX(Katalog!$D$3:$D$12,MATCH(cadangan3[[#This Row],[ItemID B]],Katalog!$C$3:$C$12,0))*cadangan3[[#This Row],[Qty B]],0)</f>
        <v>500000</v>
      </c>
      <c r="S805" s="36">
        <f>IFERROR(INDEX(Katalog!$D$3:$D$12,MATCH(cadangan3[[#This Row],[Item B]],Katalog!$B$3:$B$12,0))*cadangan3[[#This Row],[Qty B]],0)</f>
        <v>500000</v>
      </c>
      <c r="T805" s="36">
        <f>IFERROR(cadangan3[[#This Row],[Harga Asli B]]-(cadangan3[[#This Row],[Harga Asli B]]*cadangan3[[#This Row],[Diskon]]),cadangan3[[#This Row],[Harga Asli B]])</f>
        <v>500000</v>
      </c>
      <c r="U805" s="36">
        <f>IFERROR(INDEX(Katalog!$F$3:$F$12,MATCH(cadangan3[[#This Row],[ItemID B]],Katalog!$C$3:$C$12,0))*cadangan3[[#This Row],[Qty B]],0)</f>
        <v>200000</v>
      </c>
      <c r="V805" s="36">
        <f>IFERROR(cadangan3[[#This Row],[Profit B]]-(cadangan3[[#This Row],[Profit B]]*cadangan3[[#This Row],[Diskon]]),U805)</f>
        <v>200000</v>
      </c>
      <c r="X805" t="str">
        <f>IFERROR(INDEX(Katalog!$A$3:$A$12,MATCH(cadangan3[[#This Row],[ItemID C]],Katalog!$C$3:$C$12,0)),"-")</f>
        <v>-</v>
      </c>
      <c r="Y805" t="str">
        <f>IFERROR(INDEX(Katalog!$B$3:$B$12,MATCH(cadangan3[[#This Row],[ItemID C]],Katalog!$C$3:$C$12,0)),"-")</f>
        <v>-</v>
      </c>
      <c r="AB805" s="36">
        <f>IFERROR(INDEX(Katalog!$D$3:$D$12,MATCH(cadangan3[[#This Row],[ItemID C]],Katalog!$C$3:$C$12,0))*cadangan3[[#This Row],[Qty C]],0)</f>
        <v>0</v>
      </c>
      <c r="AC805" s="36">
        <f>IFERROR(INDEX(Katalog!$D$3:$D$12,MATCH(cadangan3[[#This Row],[Item C]],Katalog!$B$3:$B$12,0))*cadangan3[[#This Row],[Qty C]],0)</f>
        <v>0</v>
      </c>
      <c r="AD805" s="36">
        <f>IFERROR(cadangan3[[#This Row],[Harga Asli C]]-(cadangan3[[#This Row],[Harga Asli C]]*cadangan3[[#This Row],[Diskon]]),cadangan3[[#This Row],[Harga Asli C]])</f>
        <v>0</v>
      </c>
      <c r="AE805" s="36">
        <f>IFERROR(INDEX(Katalog!$F$3:$F$12,MATCH(cadangan3[[#This Row],[ItemID C]],Katalog!$C$3:$C$12,0))*cadangan3[[#This Row],[Qty C]],0)</f>
        <v>0</v>
      </c>
      <c r="AF805" s="36">
        <f>IFERROR(cadangan3[[#This Row],[Profit C]]-(cadangan3[[#This Row],[Profit C]]*cadangan3[[#This Row],[Diskon]]),cadangan3[[#This Row],[Profit C]])</f>
        <v>0</v>
      </c>
      <c r="AG805" s="21">
        <f>cadangan3[[#This Row],[Qty A]]+cadangan3[[#This Row],[Qty B]]+cadangan3[[#This Row],[Qty C]]</f>
        <v>6</v>
      </c>
      <c r="AH805" s="35">
        <f>cadangan3[[#This Row],[Harga A + Diskon]]+cadangan3[[#This Row],[Harga + Diskon B]]+cadangan3[[#This Row],[Harga + Diskon C]]</f>
        <v>1750000</v>
      </c>
      <c r="AI805" s="35">
        <f>(cadangan3[[#This Row],[Profit A]]+cadangan3[[#This Row],[Profit B]]+cadangan3[[#This Row],[Profit C]])</f>
        <v>700000</v>
      </c>
      <c r="AJ805" s="35">
        <f>cadangan3[[#This Row],[Provit A + Diskon]]+cadangan3[[#This Row],[Provit B + Diskon]]+cadangan3[[#This Row],[Provit C + Diskon]]</f>
        <v>700000</v>
      </c>
      <c r="AK805" s="23" t="s">
        <v>11</v>
      </c>
      <c r="AL805" s="37" t="str">
        <f>IFERROR(INDEX('Kode Diskon'!$D$3:$D$9,MATCH(cadangan3[[#This Row],[Kode diskon]],'Kode Diskon'!$C$3:$C$9,0)),"-")</f>
        <v>-</v>
      </c>
      <c r="AM805" s="23" t="s">
        <v>11</v>
      </c>
      <c r="AN805" s="23" t="s">
        <v>14</v>
      </c>
      <c r="AO805" s="23" t="s">
        <v>77</v>
      </c>
      <c r="AP805" s="24">
        <v>45027</v>
      </c>
      <c r="AQ805" s="23" t="str">
        <f>TEXT(cadangan3[[#This Row],[Tanggal terjual]],"dddd")</f>
        <v>Tuesday</v>
      </c>
    </row>
    <row r="806" spans="1:43" x14ac:dyDescent="0.2">
      <c r="A806" s="20">
        <v>805</v>
      </c>
      <c r="B806" s="21" t="str">
        <f>_xlfn.CONCAT("ORD-",INDEX(Helper!$B$2:$B$5,MATCH(cadangan3[[#This Row],[Marketplace]],Helper!$A$2:$A$5,0)),TEXT(cadangan3[[#This Row],[No]],"0000"),"-",TEXT(cadangan3[[#This Row],[Tanggal terjual]],"dd/mm/yy"))</f>
        <v>ORD-SP0805-13/04/23</v>
      </c>
      <c r="C806" t="s">
        <v>62</v>
      </c>
      <c r="D806" t="str">
        <f>IFERROR(INDEX(Katalog!$A$3:$A$12,MATCH(cadangan3[[#This Row],[ItemID A]],Katalog!$C$3:$C$12,0)),"-")</f>
        <v>Pakaian Pria</v>
      </c>
      <c r="E806" t="str">
        <f>IFERROR(INDEX(Katalog!$B$3:$B$12,MATCH(cadangan3[[#This Row],[ItemID A]],Katalog!$C$3:$C$12,0)),"-")</f>
        <v>Celana Pendek</v>
      </c>
      <c r="F806">
        <v>4</v>
      </c>
      <c r="G806">
        <v>3</v>
      </c>
      <c r="H806" s="36">
        <f>IFERROR(INDEX(Katalog!$D$3:$D$12,MATCH(cadangan3[[#This Row],[ItemID A]],Katalog!$C$3:$C$12,0))*cadangan3[[#This Row],[Qty A]],0)</f>
        <v>720000</v>
      </c>
      <c r="I806" s="36">
        <f>IFERROR(INDEX(Katalog!$D$3:$D$12,MATCH(cadangan3[[#This Row],[Item A]],Katalog!$B$3:$B$12,0))*cadangan3[[#This Row],[Qty A]],0)</f>
        <v>720000</v>
      </c>
      <c r="J806" s="36">
        <f>IFERROR(cadangan3[[#This Row],[Harga Asli A]]-(cadangan3[[#This Row],[Harga Asli A]]*cadangan3[[#This Row],[Diskon]]),cadangan3[[#This Row],[Harga Asli A]])</f>
        <v>720000</v>
      </c>
      <c r="K806" s="36">
        <f>INDEX(Katalog!$F$3:$F$12,MATCH(cadangan3[[#This Row],[ItemID A]],Katalog!$C$3:$C$12,0))*cadangan3[[#This Row],[Qty A]]</f>
        <v>280000</v>
      </c>
      <c r="L806" s="36">
        <f>IFERROR(cadangan3[[#This Row],[Profit A]]-(cadangan3[[#This Row],[Profit A]]*cadangan3[[#This Row],[Diskon]]),K806)</f>
        <v>280000</v>
      </c>
      <c r="N806" t="str">
        <f>IFERROR(INDEX(Katalog!$A$3:$A$12,MATCH(cadangan3[[#This Row],[ItemID B]],Katalog!$C$3:$C$12,0)),"-")</f>
        <v>-</v>
      </c>
      <c r="O806" t="str">
        <f>IFERROR(INDEX(Katalog!$B$3:$B$12,MATCH(cadangan3[[#This Row],[ItemID B]],Katalog!$C$3:$C$12,0)),"-")</f>
        <v>-</v>
      </c>
      <c r="R806" s="36">
        <f>IFERROR(INDEX(Katalog!$D$3:$D$12,MATCH(cadangan3[[#This Row],[ItemID B]],Katalog!$C$3:$C$12,0))*cadangan3[[#This Row],[Qty B]],0)</f>
        <v>0</v>
      </c>
      <c r="S806" s="36">
        <f>IFERROR(INDEX(Katalog!$D$3:$D$12,MATCH(cadangan3[[#This Row],[Item B]],Katalog!$B$3:$B$12,0))*cadangan3[[#This Row],[Qty B]],0)</f>
        <v>0</v>
      </c>
      <c r="T806" s="36">
        <f>IFERROR(cadangan3[[#This Row],[Harga Asli B]]-(cadangan3[[#This Row],[Harga Asli B]]*cadangan3[[#This Row],[Diskon]]),cadangan3[[#This Row],[Harga Asli B]])</f>
        <v>0</v>
      </c>
      <c r="U806" s="36">
        <f>IFERROR(INDEX(Katalog!$F$3:$F$12,MATCH(cadangan3[[#This Row],[ItemID B]],Katalog!$C$3:$C$12,0))*cadangan3[[#This Row],[Qty B]],0)</f>
        <v>0</v>
      </c>
      <c r="V806" s="36">
        <f>IFERROR(cadangan3[[#This Row],[Profit B]]-(cadangan3[[#This Row],[Profit B]]*cadangan3[[#This Row],[Diskon]]),U806)</f>
        <v>0</v>
      </c>
      <c r="X806" t="str">
        <f>IFERROR(INDEX(Katalog!$A$3:$A$12,MATCH(cadangan3[[#This Row],[ItemID C]],Katalog!$C$3:$C$12,0)),"-")</f>
        <v>-</v>
      </c>
      <c r="Y806" t="str">
        <f>IFERROR(INDEX(Katalog!$B$3:$B$12,MATCH(cadangan3[[#This Row],[ItemID C]],Katalog!$C$3:$C$12,0)),"-")</f>
        <v>-</v>
      </c>
      <c r="AB806" s="36">
        <f>IFERROR(INDEX(Katalog!$D$3:$D$12,MATCH(cadangan3[[#This Row],[ItemID C]],Katalog!$C$3:$C$12,0))*cadangan3[[#This Row],[Qty C]],0)</f>
        <v>0</v>
      </c>
      <c r="AC806" s="36">
        <f>IFERROR(INDEX(Katalog!$D$3:$D$12,MATCH(cadangan3[[#This Row],[Item C]],Katalog!$B$3:$B$12,0))*cadangan3[[#This Row],[Qty C]],0)</f>
        <v>0</v>
      </c>
      <c r="AD806" s="36">
        <f>IFERROR(cadangan3[[#This Row],[Harga Asli C]]-(cadangan3[[#This Row],[Harga Asli C]]*cadangan3[[#This Row],[Diskon]]),cadangan3[[#This Row],[Harga Asli C]])</f>
        <v>0</v>
      </c>
      <c r="AE806" s="36">
        <f>IFERROR(INDEX(Katalog!$F$3:$F$12,MATCH(cadangan3[[#This Row],[ItemID C]],Katalog!$C$3:$C$12,0))*cadangan3[[#This Row],[Qty C]],0)</f>
        <v>0</v>
      </c>
      <c r="AF806" s="36">
        <f>IFERROR(cadangan3[[#This Row],[Profit C]]-(cadangan3[[#This Row],[Profit C]]*cadangan3[[#This Row],[Diskon]]),cadangan3[[#This Row],[Profit C]])</f>
        <v>0</v>
      </c>
      <c r="AG806" s="21">
        <f>cadangan3[[#This Row],[Qty A]]+cadangan3[[#This Row],[Qty B]]+cadangan3[[#This Row],[Qty C]]</f>
        <v>4</v>
      </c>
      <c r="AH806" s="35">
        <f>cadangan3[[#This Row],[Harga A + Diskon]]+cadangan3[[#This Row],[Harga + Diskon B]]+cadangan3[[#This Row],[Harga + Diskon C]]</f>
        <v>720000</v>
      </c>
      <c r="AI806" s="35">
        <f>(cadangan3[[#This Row],[Profit A]]+cadangan3[[#This Row],[Profit B]]+cadangan3[[#This Row],[Profit C]])</f>
        <v>280000</v>
      </c>
      <c r="AJ806" s="35">
        <f>cadangan3[[#This Row],[Provit A + Diskon]]+cadangan3[[#This Row],[Provit B + Diskon]]+cadangan3[[#This Row],[Provit C + Diskon]]</f>
        <v>280000</v>
      </c>
      <c r="AK806" s="23" t="s">
        <v>11</v>
      </c>
      <c r="AL806" s="37" t="str">
        <f>IFERROR(INDEX('Kode Diskon'!$D$3:$D$9,MATCH(cadangan3[[#This Row],[Kode diskon]],'Kode Diskon'!$C$3:$C$9,0)),"-")</f>
        <v>-</v>
      </c>
      <c r="AM806" s="23" t="s">
        <v>11</v>
      </c>
      <c r="AN806" s="23" t="s">
        <v>7</v>
      </c>
      <c r="AO806" s="23" t="s">
        <v>76</v>
      </c>
      <c r="AP806" s="24">
        <v>45029</v>
      </c>
      <c r="AQ806" s="23" t="str">
        <f>TEXT(cadangan3[[#This Row],[Tanggal terjual]],"dddd")</f>
        <v>Thursday</v>
      </c>
    </row>
    <row r="807" spans="1:43" x14ac:dyDescent="0.2">
      <c r="A807" s="20">
        <v>806</v>
      </c>
      <c r="B807" s="21" t="str">
        <f>_xlfn.CONCAT("ORD-",INDEX(Helper!$B$2:$B$5,MATCH(cadangan3[[#This Row],[Marketplace]],Helper!$A$2:$A$5,0)),TEXT(cadangan3[[#This Row],[No]],"0000"),"-",TEXT(cadangan3[[#This Row],[Tanggal terjual]],"dd/mm/yy"))</f>
        <v>ORD-BB0806-15/04/23</v>
      </c>
      <c r="C807" t="s">
        <v>59</v>
      </c>
      <c r="D807" t="str">
        <f>IFERROR(INDEX(Katalog!$A$3:$A$12,MATCH(cadangan3[[#This Row],[ItemID A]],Katalog!$C$3:$C$12,0)),"-")</f>
        <v>Pakaian Wanita</v>
      </c>
      <c r="E807" t="str">
        <f>IFERROR(INDEX(Katalog!$B$3:$B$12,MATCH(cadangan3[[#This Row],[ItemID A]],Katalog!$C$3:$C$12,0)),"-")</f>
        <v>Blouse</v>
      </c>
      <c r="F807">
        <v>1</v>
      </c>
      <c r="G807">
        <v>4</v>
      </c>
      <c r="H807" s="36">
        <f>IFERROR(INDEX(Katalog!$D$3:$D$12,MATCH(cadangan3[[#This Row],[ItemID A]],Katalog!$C$3:$C$12,0))*cadangan3[[#This Row],[Qty A]],0)</f>
        <v>150000</v>
      </c>
      <c r="I807" s="36">
        <f>IFERROR(INDEX(Katalog!$D$3:$D$12,MATCH(cadangan3[[#This Row],[Item A]],Katalog!$B$3:$B$12,0))*cadangan3[[#This Row],[Qty A]],0)</f>
        <v>150000</v>
      </c>
      <c r="J807" s="36">
        <f>IFERROR(cadangan3[[#This Row],[Harga Asli A]]-(cadangan3[[#This Row],[Harga Asli A]]*cadangan3[[#This Row],[Diskon]]),cadangan3[[#This Row],[Harga Asli A]])</f>
        <v>150000</v>
      </c>
      <c r="K807" s="36">
        <f>INDEX(Katalog!$F$3:$F$12,MATCH(cadangan3[[#This Row],[ItemID A]],Katalog!$C$3:$C$12,0))*cadangan3[[#This Row],[Qty A]]</f>
        <v>50000</v>
      </c>
      <c r="L807" s="36">
        <f>IFERROR(cadangan3[[#This Row],[Profit A]]-(cadangan3[[#This Row],[Profit A]]*cadangan3[[#This Row],[Diskon]]),K807)</f>
        <v>50000</v>
      </c>
      <c r="N807" t="str">
        <f>IFERROR(INDEX(Katalog!$A$3:$A$12,MATCH(cadangan3[[#This Row],[ItemID B]],Katalog!$C$3:$C$12,0)),"-")</f>
        <v>-</v>
      </c>
      <c r="O807" t="str">
        <f>IFERROR(INDEX(Katalog!$B$3:$B$12,MATCH(cadangan3[[#This Row],[ItemID B]],Katalog!$C$3:$C$12,0)),"-")</f>
        <v>-</v>
      </c>
      <c r="R807" s="36">
        <f>IFERROR(INDEX(Katalog!$D$3:$D$12,MATCH(cadangan3[[#This Row],[ItemID B]],Katalog!$C$3:$C$12,0))*cadangan3[[#This Row],[Qty B]],0)</f>
        <v>0</v>
      </c>
      <c r="S807" s="36">
        <f>IFERROR(INDEX(Katalog!$D$3:$D$12,MATCH(cadangan3[[#This Row],[Item B]],Katalog!$B$3:$B$12,0))*cadangan3[[#This Row],[Qty B]],0)</f>
        <v>0</v>
      </c>
      <c r="T807" s="36">
        <f>IFERROR(cadangan3[[#This Row],[Harga Asli B]]-(cadangan3[[#This Row],[Harga Asli B]]*cadangan3[[#This Row],[Diskon]]),cadangan3[[#This Row],[Harga Asli B]])</f>
        <v>0</v>
      </c>
      <c r="U807" s="36">
        <f>IFERROR(INDEX(Katalog!$F$3:$F$12,MATCH(cadangan3[[#This Row],[ItemID B]],Katalog!$C$3:$C$12,0))*cadangan3[[#This Row],[Qty B]],0)</f>
        <v>0</v>
      </c>
      <c r="V807" s="36">
        <f>IFERROR(cadangan3[[#This Row],[Profit B]]-(cadangan3[[#This Row],[Profit B]]*cadangan3[[#This Row],[Diskon]]),U807)</f>
        <v>0</v>
      </c>
      <c r="X807" t="str">
        <f>IFERROR(INDEX(Katalog!$A$3:$A$12,MATCH(cadangan3[[#This Row],[ItemID C]],Katalog!$C$3:$C$12,0)),"-")</f>
        <v>-</v>
      </c>
      <c r="Y807" t="str">
        <f>IFERROR(INDEX(Katalog!$B$3:$B$12,MATCH(cadangan3[[#This Row],[ItemID C]],Katalog!$C$3:$C$12,0)),"-")</f>
        <v>-</v>
      </c>
      <c r="AB807" s="36">
        <f>IFERROR(INDEX(Katalog!$D$3:$D$12,MATCH(cadangan3[[#This Row],[ItemID C]],Katalog!$C$3:$C$12,0))*cadangan3[[#This Row],[Qty C]],0)</f>
        <v>0</v>
      </c>
      <c r="AC807" s="36">
        <f>IFERROR(INDEX(Katalog!$D$3:$D$12,MATCH(cadangan3[[#This Row],[Item C]],Katalog!$B$3:$B$12,0))*cadangan3[[#This Row],[Qty C]],0)</f>
        <v>0</v>
      </c>
      <c r="AD807" s="36">
        <f>IFERROR(cadangan3[[#This Row],[Harga Asli C]]-(cadangan3[[#This Row],[Harga Asli C]]*cadangan3[[#This Row],[Diskon]]),cadangan3[[#This Row],[Harga Asli C]])</f>
        <v>0</v>
      </c>
      <c r="AE807" s="36">
        <f>IFERROR(INDEX(Katalog!$F$3:$F$12,MATCH(cadangan3[[#This Row],[ItemID C]],Katalog!$C$3:$C$12,0))*cadangan3[[#This Row],[Qty C]],0)</f>
        <v>0</v>
      </c>
      <c r="AF807" s="36">
        <f>IFERROR(cadangan3[[#This Row],[Profit C]]-(cadangan3[[#This Row],[Profit C]]*cadangan3[[#This Row],[Diskon]]),cadangan3[[#This Row],[Profit C]])</f>
        <v>0</v>
      </c>
      <c r="AG807" s="21">
        <f>cadangan3[[#This Row],[Qty A]]+cadangan3[[#This Row],[Qty B]]+cadangan3[[#This Row],[Qty C]]</f>
        <v>1</v>
      </c>
      <c r="AH807" s="35">
        <f>cadangan3[[#This Row],[Harga A + Diskon]]+cadangan3[[#This Row],[Harga + Diskon B]]+cadangan3[[#This Row],[Harga + Diskon C]]</f>
        <v>150000</v>
      </c>
      <c r="AI807" s="35">
        <f>(cadangan3[[#This Row],[Profit A]]+cadangan3[[#This Row],[Profit B]]+cadangan3[[#This Row],[Profit C]])</f>
        <v>50000</v>
      </c>
      <c r="AJ807" s="35">
        <f>cadangan3[[#This Row],[Provit A + Diskon]]+cadangan3[[#This Row],[Provit B + Diskon]]+cadangan3[[#This Row],[Provit C + Diskon]]</f>
        <v>50000</v>
      </c>
      <c r="AK807" s="23" t="s">
        <v>11</v>
      </c>
      <c r="AL807" s="37" t="str">
        <f>IFERROR(INDEX('Kode Diskon'!$D$3:$D$9,MATCH(cadangan3[[#This Row],[Kode diskon]],'Kode Diskon'!$C$3:$C$9,0)),"-")</f>
        <v>-</v>
      </c>
      <c r="AM807" s="23" t="s">
        <v>11</v>
      </c>
      <c r="AN807" s="23" t="s">
        <v>14</v>
      </c>
      <c r="AO807" s="23" t="s">
        <v>75</v>
      </c>
      <c r="AP807" s="24">
        <v>45031</v>
      </c>
      <c r="AQ807" s="23" t="str">
        <f>TEXT(cadangan3[[#This Row],[Tanggal terjual]],"dddd")</f>
        <v>Saturday</v>
      </c>
    </row>
    <row r="808" spans="1:43" x14ac:dyDescent="0.2">
      <c r="A808" s="20">
        <v>807</v>
      </c>
      <c r="B808" s="21" t="str">
        <f>_xlfn.CONCAT("ORD-",INDEX(Helper!$B$2:$B$5,MATCH(cadangan3[[#This Row],[Marketplace]],Helper!$A$2:$A$5,0)),TEXT(cadangan3[[#This Row],[No]],"0000"),"-",TEXT(cadangan3[[#This Row],[Tanggal terjual]],"dd/mm/yy"))</f>
        <v>ORD-SP0807-27/04/23</v>
      </c>
      <c r="C808" t="s">
        <v>64</v>
      </c>
      <c r="D808" t="str">
        <f>IFERROR(INDEX(Katalog!$A$3:$A$12,MATCH(cadangan3[[#This Row],[ItemID A]],Katalog!$C$3:$C$12,0)),"-")</f>
        <v>Pakaian Unisex</v>
      </c>
      <c r="E808" t="str">
        <f>IFERROR(INDEX(Katalog!$B$3:$B$12,MATCH(cadangan3[[#This Row],[ItemID A]],Katalog!$C$3:$C$12,0)),"-")</f>
        <v>Jaket Hoodie</v>
      </c>
      <c r="F808">
        <v>3</v>
      </c>
      <c r="G808">
        <v>1</v>
      </c>
      <c r="H808" s="36">
        <f>IFERROR(INDEX(Katalog!$D$3:$D$12,MATCH(cadangan3[[#This Row],[ItemID A]],Katalog!$C$3:$C$12,0))*cadangan3[[#This Row],[Qty A]],0)</f>
        <v>1050000</v>
      </c>
      <c r="I808" s="36">
        <f>IFERROR(INDEX(Katalog!$D$3:$D$12,MATCH(cadangan3[[#This Row],[Item A]],Katalog!$B$3:$B$12,0))*cadangan3[[#This Row],[Qty A]],0)</f>
        <v>1050000</v>
      </c>
      <c r="J808" s="36">
        <f>IFERROR(cadangan3[[#This Row],[Harga Asli A]]-(cadangan3[[#This Row],[Harga Asli A]]*cadangan3[[#This Row],[Diskon]]),cadangan3[[#This Row],[Harga Asli A]])</f>
        <v>840000</v>
      </c>
      <c r="K808" s="36">
        <f>INDEX(Katalog!$F$3:$F$12,MATCH(cadangan3[[#This Row],[ItemID A]],Katalog!$C$3:$C$12,0))*cadangan3[[#This Row],[Qty A]]</f>
        <v>390000</v>
      </c>
      <c r="L808" s="36">
        <f>IFERROR(cadangan3[[#This Row],[Profit A]]-(cadangan3[[#This Row],[Profit A]]*cadangan3[[#This Row],[Diskon]]),K808)</f>
        <v>312000</v>
      </c>
      <c r="N808" t="str">
        <f>IFERROR(INDEX(Katalog!$A$3:$A$12,MATCH(cadangan3[[#This Row],[ItemID B]],Katalog!$C$3:$C$12,0)),"-")</f>
        <v>-</v>
      </c>
      <c r="O808" t="str">
        <f>IFERROR(INDEX(Katalog!$B$3:$B$12,MATCH(cadangan3[[#This Row],[ItemID B]],Katalog!$C$3:$C$12,0)),"-")</f>
        <v>-</v>
      </c>
      <c r="R808" s="36">
        <f>IFERROR(INDEX(Katalog!$D$3:$D$12,MATCH(cadangan3[[#This Row],[ItemID B]],Katalog!$C$3:$C$12,0))*cadangan3[[#This Row],[Qty B]],0)</f>
        <v>0</v>
      </c>
      <c r="S808" s="36">
        <f>IFERROR(INDEX(Katalog!$D$3:$D$12,MATCH(cadangan3[[#This Row],[Item B]],Katalog!$B$3:$B$12,0))*cadangan3[[#This Row],[Qty B]],0)</f>
        <v>0</v>
      </c>
      <c r="T808" s="36">
        <f>IFERROR(cadangan3[[#This Row],[Harga Asli B]]-(cadangan3[[#This Row],[Harga Asli B]]*cadangan3[[#This Row],[Diskon]]),cadangan3[[#This Row],[Harga Asli B]])</f>
        <v>0</v>
      </c>
      <c r="U808" s="36">
        <f>IFERROR(INDEX(Katalog!$F$3:$F$12,MATCH(cadangan3[[#This Row],[ItemID B]],Katalog!$C$3:$C$12,0))*cadangan3[[#This Row],[Qty B]],0)</f>
        <v>0</v>
      </c>
      <c r="V808" s="36">
        <f>IFERROR(cadangan3[[#This Row],[Profit B]]-(cadangan3[[#This Row],[Profit B]]*cadangan3[[#This Row],[Diskon]]),U808)</f>
        <v>0</v>
      </c>
      <c r="X808" t="str">
        <f>IFERROR(INDEX(Katalog!$A$3:$A$12,MATCH(cadangan3[[#This Row],[ItemID C]],Katalog!$C$3:$C$12,0)),"-")</f>
        <v>-</v>
      </c>
      <c r="Y808" t="str">
        <f>IFERROR(INDEX(Katalog!$B$3:$B$12,MATCH(cadangan3[[#This Row],[ItemID C]],Katalog!$C$3:$C$12,0)),"-")</f>
        <v>-</v>
      </c>
      <c r="AB808" s="36">
        <f>IFERROR(INDEX(Katalog!$D$3:$D$12,MATCH(cadangan3[[#This Row],[ItemID C]],Katalog!$C$3:$C$12,0))*cadangan3[[#This Row],[Qty C]],0)</f>
        <v>0</v>
      </c>
      <c r="AC808" s="36">
        <f>IFERROR(INDEX(Katalog!$D$3:$D$12,MATCH(cadangan3[[#This Row],[Item C]],Katalog!$B$3:$B$12,0))*cadangan3[[#This Row],[Qty C]],0)</f>
        <v>0</v>
      </c>
      <c r="AD808" s="36">
        <f>IFERROR(cadangan3[[#This Row],[Harga Asli C]]-(cadangan3[[#This Row],[Harga Asli C]]*cadangan3[[#This Row],[Diskon]]),cadangan3[[#This Row],[Harga Asli C]])</f>
        <v>0</v>
      </c>
      <c r="AE808" s="36">
        <f>IFERROR(INDEX(Katalog!$F$3:$F$12,MATCH(cadangan3[[#This Row],[ItemID C]],Katalog!$C$3:$C$12,0))*cadangan3[[#This Row],[Qty C]],0)</f>
        <v>0</v>
      </c>
      <c r="AF808" s="36">
        <f>IFERROR(cadangan3[[#This Row],[Profit C]]-(cadangan3[[#This Row],[Profit C]]*cadangan3[[#This Row],[Diskon]]),cadangan3[[#This Row],[Profit C]])</f>
        <v>0</v>
      </c>
      <c r="AG808" s="21">
        <f>cadangan3[[#This Row],[Qty A]]+cadangan3[[#This Row],[Qty B]]+cadangan3[[#This Row],[Qty C]]</f>
        <v>3</v>
      </c>
      <c r="AH808" s="35">
        <f>cadangan3[[#This Row],[Harga A + Diskon]]+cadangan3[[#This Row],[Harga + Diskon B]]+cadangan3[[#This Row],[Harga + Diskon C]]</f>
        <v>840000</v>
      </c>
      <c r="AI808" s="35">
        <f>(cadangan3[[#This Row],[Profit A]]+cadangan3[[#This Row],[Profit B]]+cadangan3[[#This Row],[Profit C]])</f>
        <v>390000</v>
      </c>
      <c r="AJ808" s="35">
        <f>cadangan3[[#This Row],[Provit A + Diskon]]+cadangan3[[#This Row],[Provit B + Diskon]]+cadangan3[[#This Row],[Provit C + Diskon]]</f>
        <v>312000</v>
      </c>
      <c r="AK808" s="23" t="s">
        <v>8</v>
      </c>
      <c r="AL808" s="37">
        <f>IFERROR(INDEX('Kode Diskon'!$D$3:$D$9,MATCH(cadangan3[[#This Row],[Kode diskon]],'Kode Diskon'!$C$3:$C$9,0)),"-")</f>
        <v>0.2</v>
      </c>
      <c r="AM808" s="23" t="s">
        <v>9</v>
      </c>
      <c r="AN808" s="23" t="s">
        <v>7</v>
      </c>
      <c r="AO808" s="23" t="s">
        <v>78</v>
      </c>
      <c r="AP808" s="24">
        <v>45043</v>
      </c>
      <c r="AQ808" s="23" t="str">
        <f>TEXT(cadangan3[[#This Row],[Tanggal terjual]],"dddd")</f>
        <v>Thursday</v>
      </c>
    </row>
    <row r="809" spans="1:43" x14ac:dyDescent="0.2">
      <c r="A809" s="20">
        <v>808</v>
      </c>
      <c r="B809" s="21" t="str">
        <f>_xlfn.CONCAT("ORD-",INDEX(Helper!$B$2:$B$5,MATCH(cadangan3[[#This Row],[Marketplace]],Helper!$A$2:$A$5,0)),TEXT(cadangan3[[#This Row],[No]],"0000"),"-",TEXT(cadangan3[[#This Row],[Tanggal terjual]],"dd/mm/yy"))</f>
        <v>ORD-SP0808-01/04/23</v>
      </c>
      <c r="C809" t="s">
        <v>62</v>
      </c>
      <c r="D809" t="str">
        <f>IFERROR(INDEX(Katalog!$A$3:$A$12,MATCH(cadangan3[[#This Row],[ItemID A]],Katalog!$C$3:$C$12,0)),"-")</f>
        <v>Pakaian Pria</v>
      </c>
      <c r="E809" t="str">
        <f>IFERROR(INDEX(Katalog!$B$3:$B$12,MATCH(cadangan3[[#This Row],[ItemID A]],Katalog!$C$3:$C$12,0)),"-")</f>
        <v>Celana Pendek</v>
      </c>
      <c r="F809">
        <v>1</v>
      </c>
      <c r="G809">
        <v>1</v>
      </c>
      <c r="H809" s="36">
        <f>IFERROR(INDEX(Katalog!$D$3:$D$12,MATCH(cadangan3[[#This Row],[ItemID A]],Katalog!$C$3:$C$12,0))*cadangan3[[#This Row],[Qty A]],0)</f>
        <v>180000</v>
      </c>
      <c r="I809" s="36">
        <f>IFERROR(INDEX(Katalog!$D$3:$D$12,MATCH(cadangan3[[#This Row],[Item A]],Katalog!$B$3:$B$12,0))*cadangan3[[#This Row],[Qty A]],0)</f>
        <v>180000</v>
      </c>
      <c r="J809" s="36">
        <f>IFERROR(cadangan3[[#This Row],[Harga Asli A]]-(cadangan3[[#This Row],[Harga Asli A]]*cadangan3[[#This Row],[Diskon]]),cadangan3[[#This Row],[Harga Asli A]])</f>
        <v>162000</v>
      </c>
      <c r="K809" s="36">
        <f>INDEX(Katalog!$F$3:$F$12,MATCH(cadangan3[[#This Row],[ItemID A]],Katalog!$C$3:$C$12,0))*cadangan3[[#This Row],[Qty A]]</f>
        <v>70000</v>
      </c>
      <c r="L809" s="36">
        <f>IFERROR(cadangan3[[#This Row],[Profit A]]-(cadangan3[[#This Row],[Profit A]]*cadangan3[[#This Row],[Diskon]]),K809)</f>
        <v>63000</v>
      </c>
      <c r="M809" t="s">
        <v>66</v>
      </c>
      <c r="N809" t="str">
        <f>IFERROR(INDEX(Katalog!$A$3:$A$12,MATCH(cadangan3[[#This Row],[ItemID B]],Katalog!$C$3:$C$12,0)),"-")</f>
        <v>Sepatu Pria</v>
      </c>
      <c r="O809" t="str">
        <f>IFERROR(INDEX(Katalog!$B$3:$B$12,MATCH(cadangan3[[#This Row],[ItemID B]],Katalog!$C$3:$C$12,0)),"-")</f>
        <v>Sandal Slip On</v>
      </c>
      <c r="P809">
        <v>1</v>
      </c>
      <c r="Q809">
        <v>1</v>
      </c>
      <c r="R809" s="36">
        <f>IFERROR(INDEX(Katalog!$D$3:$D$12,MATCH(cadangan3[[#This Row],[ItemID B]],Katalog!$C$3:$C$12,0))*cadangan3[[#This Row],[Qty B]],0)</f>
        <v>150000</v>
      </c>
      <c r="S809" s="36">
        <f>IFERROR(INDEX(Katalog!$D$3:$D$12,MATCH(cadangan3[[#This Row],[Item B]],Katalog!$B$3:$B$12,0))*cadangan3[[#This Row],[Qty B]],0)</f>
        <v>150000</v>
      </c>
      <c r="T809" s="36">
        <f>IFERROR(cadangan3[[#This Row],[Harga Asli B]]-(cadangan3[[#This Row],[Harga Asli B]]*cadangan3[[#This Row],[Diskon]]),cadangan3[[#This Row],[Harga Asli B]])</f>
        <v>135000</v>
      </c>
      <c r="U809" s="36">
        <f>IFERROR(INDEX(Katalog!$F$3:$F$12,MATCH(cadangan3[[#This Row],[ItemID B]],Katalog!$C$3:$C$12,0))*cadangan3[[#This Row],[Qty B]],0)</f>
        <v>60000</v>
      </c>
      <c r="V809" s="36">
        <f>IFERROR(cadangan3[[#This Row],[Profit B]]-(cadangan3[[#This Row],[Profit B]]*cadangan3[[#This Row],[Diskon]]),U809)</f>
        <v>54000</v>
      </c>
      <c r="W809" t="s">
        <v>65</v>
      </c>
      <c r="X809" t="str">
        <f>IFERROR(INDEX(Katalog!$A$3:$A$12,MATCH(cadangan3[[#This Row],[ItemID C]],Katalog!$C$3:$C$12,0)),"-")</f>
        <v>Sepatu Pria</v>
      </c>
      <c r="Y809" t="str">
        <f>IFERROR(INDEX(Katalog!$B$3:$B$12,MATCH(cadangan3[[#This Row],[ItemID C]],Katalog!$C$3:$C$12,0)),"-")</f>
        <v>Sneakers</v>
      </c>
      <c r="Z809">
        <v>1</v>
      </c>
      <c r="AA809">
        <v>1</v>
      </c>
      <c r="AB809" s="36">
        <f>IFERROR(INDEX(Katalog!$D$3:$D$12,MATCH(cadangan3[[#This Row],[ItemID C]],Katalog!$C$3:$C$12,0))*cadangan3[[#This Row],[Qty C]],0)</f>
        <v>500000</v>
      </c>
      <c r="AC809" s="36">
        <f>IFERROR(INDEX(Katalog!$D$3:$D$12,MATCH(cadangan3[[#This Row],[Item C]],Katalog!$B$3:$B$12,0))*cadangan3[[#This Row],[Qty C]],0)</f>
        <v>500000</v>
      </c>
      <c r="AD809" s="36">
        <f>IFERROR(cadangan3[[#This Row],[Harga Asli C]]-(cadangan3[[#This Row],[Harga Asli C]]*cadangan3[[#This Row],[Diskon]]),cadangan3[[#This Row],[Harga Asli C]])</f>
        <v>450000</v>
      </c>
      <c r="AE809" s="36">
        <f>IFERROR(INDEX(Katalog!$F$3:$F$12,MATCH(cadangan3[[#This Row],[ItemID C]],Katalog!$C$3:$C$12,0))*cadangan3[[#This Row],[Qty C]],0)</f>
        <v>200000</v>
      </c>
      <c r="AF809" s="36">
        <f>IFERROR(cadangan3[[#This Row],[Profit C]]-(cadangan3[[#This Row],[Profit C]]*cadangan3[[#This Row],[Diskon]]),cadangan3[[#This Row],[Profit C]])</f>
        <v>180000</v>
      </c>
      <c r="AG809" s="21">
        <f>cadangan3[[#This Row],[Qty A]]+cadangan3[[#This Row],[Qty B]]+cadangan3[[#This Row],[Qty C]]</f>
        <v>3</v>
      </c>
      <c r="AH809" s="35">
        <f>cadangan3[[#This Row],[Harga A + Diskon]]+cadangan3[[#This Row],[Harga + Diskon B]]+cadangan3[[#This Row],[Harga + Diskon C]]</f>
        <v>747000</v>
      </c>
      <c r="AI809" s="35">
        <f>(cadangan3[[#This Row],[Profit A]]+cadangan3[[#This Row],[Profit B]]+cadangan3[[#This Row],[Profit C]])</f>
        <v>330000</v>
      </c>
      <c r="AJ809" s="35">
        <f>cadangan3[[#This Row],[Provit A + Diskon]]+cadangan3[[#This Row],[Provit B + Diskon]]+cadangan3[[#This Row],[Provit C + Diskon]]</f>
        <v>297000</v>
      </c>
      <c r="AK809" s="23" t="s">
        <v>6</v>
      </c>
      <c r="AL809" s="37">
        <f>IFERROR(INDEX('Kode Diskon'!$D$3:$D$9,MATCH(cadangan3[[#This Row],[Kode diskon]],'Kode Diskon'!$C$3:$C$9,0)),"-")</f>
        <v>0.1</v>
      </c>
      <c r="AM809" s="23" t="s">
        <v>29</v>
      </c>
      <c r="AN809" s="23" t="s">
        <v>7</v>
      </c>
      <c r="AO809" s="23" t="s">
        <v>80</v>
      </c>
      <c r="AP809" s="24">
        <v>45017</v>
      </c>
      <c r="AQ809" s="23" t="str">
        <f>TEXT(cadangan3[[#This Row],[Tanggal terjual]],"dddd")</f>
        <v>Saturday</v>
      </c>
    </row>
    <row r="810" spans="1:43" x14ac:dyDescent="0.2">
      <c r="A810" s="20">
        <v>809</v>
      </c>
      <c r="B810" s="21" t="str">
        <f>_xlfn.CONCAT("ORD-",INDEX(Helper!$B$2:$B$5,MATCH(cadangan3[[#This Row],[Marketplace]],Helper!$A$2:$A$5,0)),TEXT(cadangan3[[#This Row],[No]],"0000"),"-",TEXT(cadangan3[[#This Row],[Tanggal terjual]],"dd/mm/yy"))</f>
        <v>ORD-SP0809-04/04/23</v>
      </c>
      <c r="C810" t="s">
        <v>61</v>
      </c>
      <c r="D810" t="str">
        <f>IFERROR(INDEX(Katalog!$A$3:$A$12,MATCH(cadangan3[[#This Row],[ItemID A]],Katalog!$C$3:$C$12,0)),"-")</f>
        <v>Pakaian Pria</v>
      </c>
      <c r="E810" t="str">
        <f>IFERROR(INDEX(Katalog!$B$3:$B$12,MATCH(cadangan3[[#This Row],[ItemID A]],Katalog!$C$3:$C$12,0)),"-")</f>
        <v>Kaos Polo</v>
      </c>
      <c r="F810">
        <v>1</v>
      </c>
      <c r="G810">
        <v>3</v>
      </c>
      <c r="H810" s="36">
        <f>IFERROR(INDEX(Katalog!$D$3:$D$12,MATCH(cadangan3[[#This Row],[ItemID A]],Katalog!$C$3:$C$12,0))*cadangan3[[#This Row],[Qty A]],0)</f>
        <v>200000</v>
      </c>
      <c r="I810" s="36">
        <f>IFERROR(INDEX(Katalog!$D$3:$D$12,MATCH(cadangan3[[#This Row],[Item A]],Katalog!$B$3:$B$12,0))*cadangan3[[#This Row],[Qty A]],0)</f>
        <v>200000</v>
      </c>
      <c r="J810" s="36">
        <f>IFERROR(cadangan3[[#This Row],[Harga Asli A]]-(cadangan3[[#This Row],[Harga Asli A]]*cadangan3[[#This Row],[Diskon]]),cadangan3[[#This Row],[Harga Asli A]])</f>
        <v>170000</v>
      </c>
      <c r="K810" s="36">
        <f>INDEX(Katalog!$F$3:$F$12,MATCH(cadangan3[[#This Row],[ItemID A]],Katalog!$C$3:$C$12,0))*cadangan3[[#This Row],[Qty A]]</f>
        <v>80000</v>
      </c>
      <c r="L810" s="36">
        <f>IFERROR(cadangan3[[#This Row],[Profit A]]-(cadangan3[[#This Row],[Profit A]]*cadangan3[[#This Row],[Diskon]]),K810)</f>
        <v>68000</v>
      </c>
      <c r="M810" t="s">
        <v>60</v>
      </c>
      <c r="N810" t="str">
        <f>IFERROR(INDEX(Katalog!$A$3:$A$12,MATCH(cadangan3[[#This Row],[ItemID B]],Katalog!$C$3:$C$12,0)),"-")</f>
        <v>Pakaian Wanita</v>
      </c>
      <c r="O810" t="str">
        <f>IFERROR(INDEX(Katalog!$B$3:$B$12,MATCH(cadangan3[[#This Row],[ItemID B]],Katalog!$C$3:$C$12,0)),"-")</f>
        <v>Kaftan</v>
      </c>
      <c r="P810">
        <v>2</v>
      </c>
      <c r="Q810">
        <v>5</v>
      </c>
      <c r="R810" s="36">
        <f>IFERROR(INDEX(Katalog!$D$3:$D$12,MATCH(cadangan3[[#This Row],[ItemID B]],Katalog!$C$3:$C$12,0))*cadangan3[[#This Row],[Qty B]],0)</f>
        <v>500000</v>
      </c>
      <c r="S810" s="36">
        <f>IFERROR(INDEX(Katalog!$D$3:$D$12,MATCH(cadangan3[[#This Row],[Item B]],Katalog!$B$3:$B$12,0))*cadangan3[[#This Row],[Qty B]],0)</f>
        <v>500000</v>
      </c>
      <c r="T810" s="36">
        <f>IFERROR(cadangan3[[#This Row],[Harga Asli B]]-(cadangan3[[#This Row],[Harga Asli B]]*cadangan3[[#This Row],[Diskon]]),cadangan3[[#This Row],[Harga Asli B]])</f>
        <v>425000</v>
      </c>
      <c r="U810" s="36">
        <f>IFERROR(INDEX(Katalog!$F$3:$F$12,MATCH(cadangan3[[#This Row],[ItemID B]],Katalog!$C$3:$C$12,0))*cadangan3[[#This Row],[Qty B]],0)</f>
        <v>200000</v>
      </c>
      <c r="V810" s="36">
        <f>IFERROR(cadangan3[[#This Row],[Profit B]]-(cadangan3[[#This Row],[Profit B]]*cadangan3[[#This Row],[Diskon]]),U810)</f>
        <v>170000</v>
      </c>
      <c r="W810" t="s">
        <v>64</v>
      </c>
      <c r="X810" t="str">
        <f>IFERROR(INDEX(Katalog!$A$3:$A$12,MATCH(cadangan3[[#This Row],[ItemID C]],Katalog!$C$3:$C$12,0)),"-")</f>
        <v>Pakaian Unisex</v>
      </c>
      <c r="Y810" t="str">
        <f>IFERROR(INDEX(Katalog!$B$3:$B$12,MATCH(cadangan3[[#This Row],[ItemID C]],Katalog!$C$3:$C$12,0)),"-")</f>
        <v>Jaket Hoodie</v>
      </c>
      <c r="Z810">
        <v>2</v>
      </c>
      <c r="AA810">
        <v>2</v>
      </c>
      <c r="AB810" s="36">
        <f>IFERROR(INDEX(Katalog!$D$3:$D$12,MATCH(cadangan3[[#This Row],[ItemID C]],Katalog!$C$3:$C$12,0))*cadangan3[[#This Row],[Qty C]],0)</f>
        <v>700000</v>
      </c>
      <c r="AC810" s="36">
        <f>IFERROR(INDEX(Katalog!$D$3:$D$12,MATCH(cadangan3[[#This Row],[Item C]],Katalog!$B$3:$B$12,0))*cadangan3[[#This Row],[Qty C]],0)</f>
        <v>700000</v>
      </c>
      <c r="AD810" s="36">
        <f>IFERROR(cadangan3[[#This Row],[Harga Asli C]]-(cadangan3[[#This Row],[Harga Asli C]]*cadangan3[[#This Row],[Diskon]]),cadangan3[[#This Row],[Harga Asli C]])</f>
        <v>595000</v>
      </c>
      <c r="AE810" s="36">
        <f>IFERROR(INDEX(Katalog!$F$3:$F$12,MATCH(cadangan3[[#This Row],[ItemID C]],Katalog!$C$3:$C$12,0))*cadangan3[[#This Row],[Qty C]],0)</f>
        <v>260000</v>
      </c>
      <c r="AF810" s="36">
        <f>IFERROR(cadangan3[[#This Row],[Profit C]]-(cadangan3[[#This Row],[Profit C]]*cadangan3[[#This Row],[Diskon]]),cadangan3[[#This Row],[Profit C]])</f>
        <v>221000</v>
      </c>
      <c r="AG810" s="21">
        <f>cadangan3[[#This Row],[Qty A]]+cadangan3[[#This Row],[Qty B]]+cadangan3[[#This Row],[Qty C]]</f>
        <v>5</v>
      </c>
      <c r="AH810" s="35">
        <f>cadangan3[[#This Row],[Harga A + Diskon]]+cadangan3[[#This Row],[Harga + Diskon B]]+cadangan3[[#This Row],[Harga + Diskon C]]</f>
        <v>1190000</v>
      </c>
      <c r="AI810" s="35">
        <f>(cadangan3[[#This Row],[Profit A]]+cadangan3[[#This Row],[Profit B]]+cadangan3[[#This Row],[Profit C]])</f>
        <v>540000</v>
      </c>
      <c r="AJ810" s="35">
        <f>cadangan3[[#This Row],[Provit A + Diskon]]+cadangan3[[#This Row],[Provit B + Diskon]]+cadangan3[[#This Row],[Provit C + Diskon]]</f>
        <v>459000</v>
      </c>
      <c r="AK810" s="23" t="s">
        <v>13</v>
      </c>
      <c r="AL810" s="37">
        <f>IFERROR(INDEX('Kode Diskon'!$D$3:$D$9,MATCH(cadangan3[[#This Row],[Kode diskon]],'Kode Diskon'!$C$3:$C$9,0)),"-")</f>
        <v>0.15</v>
      </c>
      <c r="AM810" s="23" t="s">
        <v>29</v>
      </c>
      <c r="AN810" s="23" t="s">
        <v>7</v>
      </c>
      <c r="AO810" s="23" t="s">
        <v>79</v>
      </c>
      <c r="AP810" s="24">
        <v>45020</v>
      </c>
      <c r="AQ810" s="23" t="str">
        <f>TEXT(cadangan3[[#This Row],[Tanggal terjual]],"dddd")</f>
        <v>Tuesday</v>
      </c>
    </row>
    <row r="811" spans="1:43" x14ac:dyDescent="0.2">
      <c r="A811" s="20">
        <v>810</v>
      </c>
      <c r="B811" s="21" t="str">
        <f>_xlfn.CONCAT("ORD-",INDEX(Helper!$B$2:$B$5,MATCH(cadangan3[[#This Row],[Marketplace]],Helper!$A$2:$A$5,0)),TEXT(cadangan3[[#This Row],[No]],"0000"),"-",TEXT(cadangan3[[#This Row],[Tanggal terjual]],"dd/mm/yy"))</f>
        <v>ORD-SP0810-22/04/23</v>
      </c>
      <c r="C811" t="s">
        <v>58</v>
      </c>
      <c r="D811" t="str">
        <f>IFERROR(INDEX(Katalog!$A$3:$A$12,MATCH(cadangan3[[#This Row],[ItemID A]],Katalog!$C$3:$C$12,0)),"-")</f>
        <v>Pakaian Wanita</v>
      </c>
      <c r="E811" t="str">
        <f>IFERROR(INDEX(Katalog!$B$3:$B$12,MATCH(cadangan3[[#This Row],[ItemID A]],Katalog!$C$3:$C$12,0)),"-")</f>
        <v>Dress</v>
      </c>
      <c r="F811">
        <v>1</v>
      </c>
      <c r="G811">
        <v>3</v>
      </c>
      <c r="H811" s="36">
        <f>IFERROR(INDEX(Katalog!$D$3:$D$12,MATCH(cadangan3[[#This Row],[ItemID A]],Katalog!$C$3:$C$12,0))*cadangan3[[#This Row],[Qty A]],0)</f>
        <v>300000</v>
      </c>
      <c r="I811" s="36">
        <f>IFERROR(INDEX(Katalog!$D$3:$D$12,MATCH(cadangan3[[#This Row],[Item A]],Katalog!$B$3:$B$12,0))*cadangan3[[#This Row],[Qty A]],0)</f>
        <v>300000</v>
      </c>
      <c r="J811" s="36">
        <f>IFERROR(cadangan3[[#This Row],[Harga Asli A]]-(cadangan3[[#This Row],[Harga Asli A]]*cadangan3[[#This Row],[Diskon]]),cadangan3[[#This Row],[Harga Asli A]])</f>
        <v>240000</v>
      </c>
      <c r="K811" s="36">
        <f>INDEX(Katalog!$F$3:$F$12,MATCH(cadangan3[[#This Row],[ItemID A]],Katalog!$C$3:$C$12,0))*cadangan3[[#This Row],[Qty A]]</f>
        <v>100000</v>
      </c>
      <c r="L811" s="36">
        <f>IFERROR(cadangan3[[#This Row],[Profit A]]-(cadangan3[[#This Row],[Profit A]]*cadangan3[[#This Row],[Diskon]]),K811)</f>
        <v>80000</v>
      </c>
      <c r="M811" t="s">
        <v>66</v>
      </c>
      <c r="N811" t="str">
        <f>IFERROR(INDEX(Katalog!$A$3:$A$12,MATCH(cadangan3[[#This Row],[ItemID B]],Katalog!$C$3:$C$12,0)),"-")</f>
        <v>Sepatu Pria</v>
      </c>
      <c r="O811" t="str">
        <f>IFERROR(INDEX(Katalog!$B$3:$B$12,MATCH(cadangan3[[#This Row],[ItemID B]],Katalog!$C$3:$C$12,0)),"-")</f>
        <v>Sandal Slip On</v>
      </c>
      <c r="P811">
        <v>3</v>
      </c>
      <c r="Q811">
        <v>5</v>
      </c>
      <c r="R811" s="36">
        <f>IFERROR(INDEX(Katalog!$D$3:$D$12,MATCH(cadangan3[[#This Row],[ItemID B]],Katalog!$C$3:$C$12,0))*cadangan3[[#This Row],[Qty B]],0)</f>
        <v>450000</v>
      </c>
      <c r="S811" s="36">
        <f>IFERROR(INDEX(Katalog!$D$3:$D$12,MATCH(cadangan3[[#This Row],[Item B]],Katalog!$B$3:$B$12,0))*cadangan3[[#This Row],[Qty B]],0)</f>
        <v>450000</v>
      </c>
      <c r="T811" s="36">
        <f>IFERROR(cadangan3[[#This Row],[Harga Asli B]]-(cadangan3[[#This Row],[Harga Asli B]]*cadangan3[[#This Row],[Diskon]]),cadangan3[[#This Row],[Harga Asli B]])</f>
        <v>360000</v>
      </c>
      <c r="U811" s="36">
        <f>IFERROR(INDEX(Katalog!$F$3:$F$12,MATCH(cadangan3[[#This Row],[ItemID B]],Katalog!$C$3:$C$12,0))*cadangan3[[#This Row],[Qty B]],0)</f>
        <v>180000</v>
      </c>
      <c r="V811" s="36">
        <f>IFERROR(cadangan3[[#This Row],[Profit B]]-(cadangan3[[#This Row],[Profit B]]*cadangan3[[#This Row],[Diskon]]),U811)</f>
        <v>144000</v>
      </c>
      <c r="W811" t="s">
        <v>59</v>
      </c>
      <c r="X811" t="str">
        <f>IFERROR(INDEX(Katalog!$A$3:$A$12,MATCH(cadangan3[[#This Row],[ItemID C]],Katalog!$C$3:$C$12,0)),"-")</f>
        <v>Pakaian Wanita</v>
      </c>
      <c r="Y811" t="str">
        <f>IFERROR(INDEX(Katalog!$B$3:$B$12,MATCH(cadangan3[[#This Row],[ItemID C]],Katalog!$C$3:$C$12,0)),"-")</f>
        <v>Blouse</v>
      </c>
      <c r="Z811">
        <v>3</v>
      </c>
      <c r="AA811">
        <v>4</v>
      </c>
      <c r="AB811" s="36">
        <f>IFERROR(INDEX(Katalog!$D$3:$D$12,MATCH(cadangan3[[#This Row],[ItemID C]],Katalog!$C$3:$C$12,0))*cadangan3[[#This Row],[Qty C]],0)</f>
        <v>450000</v>
      </c>
      <c r="AC811" s="36">
        <f>IFERROR(INDEX(Katalog!$D$3:$D$12,MATCH(cadangan3[[#This Row],[Item C]],Katalog!$B$3:$B$12,0))*cadangan3[[#This Row],[Qty C]],0)</f>
        <v>450000</v>
      </c>
      <c r="AD811" s="36">
        <f>IFERROR(cadangan3[[#This Row],[Harga Asli C]]-(cadangan3[[#This Row],[Harga Asli C]]*cadangan3[[#This Row],[Diskon]]),cadangan3[[#This Row],[Harga Asli C]])</f>
        <v>360000</v>
      </c>
      <c r="AE811" s="36">
        <f>IFERROR(INDEX(Katalog!$F$3:$F$12,MATCH(cadangan3[[#This Row],[ItemID C]],Katalog!$C$3:$C$12,0))*cadangan3[[#This Row],[Qty C]],0)</f>
        <v>150000</v>
      </c>
      <c r="AF811" s="36">
        <f>IFERROR(cadangan3[[#This Row],[Profit C]]-(cadangan3[[#This Row],[Profit C]]*cadangan3[[#This Row],[Diskon]]),cadangan3[[#This Row],[Profit C]])</f>
        <v>120000</v>
      </c>
      <c r="AG811" s="21">
        <f>cadangan3[[#This Row],[Qty A]]+cadangan3[[#This Row],[Qty B]]+cadangan3[[#This Row],[Qty C]]</f>
        <v>7</v>
      </c>
      <c r="AH811" s="35">
        <f>cadangan3[[#This Row],[Harga A + Diskon]]+cadangan3[[#This Row],[Harga + Diskon B]]+cadangan3[[#This Row],[Harga + Diskon C]]</f>
        <v>960000</v>
      </c>
      <c r="AI811" s="35">
        <f>(cadangan3[[#This Row],[Profit A]]+cadangan3[[#This Row],[Profit B]]+cadangan3[[#This Row],[Profit C]])</f>
        <v>430000</v>
      </c>
      <c r="AJ811" s="35">
        <f>cadangan3[[#This Row],[Provit A + Diskon]]+cadangan3[[#This Row],[Provit B + Diskon]]+cadangan3[[#This Row],[Provit C + Diskon]]</f>
        <v>344000</v>
      </c>
      <c r="AK811" s="23" t="s">
        <v>8</v>
      </c>
      <c r="AL811" s="37">
        <f>IFERROR(INDEX('Kode Diskon'!$D$3:$D$9,MATCH(cadangan3[[#This Row],[Kode diskon]],'Kode Diskon'!$C$3:$C$9,0)),"-")</f>
        <v>0.2</v>
      </c>
      <c r="AM811" s="23" t="s">
        <v>9</v>
      </c>
      <c r="AN811" s="23" t="s">
        <v>7</v>
      </c>
      <c r="AO811" s="23" t="s">
        <v>79</v>
      </c>
      <c r="AP811" s="24">
        <v>45038</v>
      </c>
      <c r="AQ811" s="23" t="str">
        <f>TEXT(cadangan3[[#This Row],[Tanggal terjual]],"dddd")</f>
        <v>Saturday</v>
      </c>
    </row>
    <row r="812" spans="1:43" x14ac:dyDescent="0.2">
      <c r="A812" s="20">
        <v>811</v>
      </c>
      <c r="B812" s="21" t="str">
        <f>_xlfn.CONCAT("ORD-",INDEX(Helper!$B$2:$B$5,MATCH(cadangan3[[#This Row],[Marketplace]],Helper!$A$2:$A$5,0)),TEXT(cadangan3[[#This Row],[No]],"0000"),"-",TEXT(cadangan3[[#This Row],[Tanggal terjual]],"dd/mm/yy"))</f>
        <v>ORD-SP0811-01/04/23</v>
      </c>
      <c r="C812" t="s">
        <v>66</v>
      </c>
      <c r="D812" t="str">
        <f>IFERROR(INDEX(Katalog!$A$3:$A$12,MATCH(cadangan3[[#This Row],[ItemID A]],Katalog!$C$3:$C$12,0)),"-")</f>
        <v>Sepatu Pria</v>
      </c>
      <c r="E812" t="str">
        <f>IFERROR(INDEX(Katalog!$B$3:$B$12,MATCH(cadangan3[[#This Row],[ItemID A]],Katalog!$C$3:$C$12,0)),"-")</f>
        <v>Sandal Slip On</v>
      </c>
      <c r="F812">
        <v>4</v>
      </c>
      <c r="G812">
        <v>1</v>
      </c>
      <c r="H812" s="36">
        <f>IFERROR(INDEX(Katalog!$D$3:$D$12,MATCH(cadangan3[[#This Row],[ItemID A]],Katalog!$C$3:$C$12,0))*cadangan3[[#This Row],[Qty A]],0)</f>
        <v>600000</v>
      </c>
      <c r="I812" s="36">
        <f>IFERROR(INDEX(Katalog!$D$3:$D$12,MATCH(cadangan3[[#This Row],[Item A]],Katalog!$B$3:$B$12,0))*cadangan3[[#This Row],[Qty A]],0)</f>
        <v>600000</v>
      </c>
      <c r="J812" s="36">
        <f>IFERROR(cadangan3[[#This Row],[Harga Asli A]]-(cadangan3[[#This Row],[Harga Asli A]]*cadangan3[[#This Row],[Diskon]]),cadangan3[[#This Row],[Harga Asli A]])</f>
        <v>540000</v>
      </c>
      <c r="K812" s="36">
        <f>INDEX(Katalog!$F$3:$F$12,MATCH(cadangan3[[#This Row],[ItemID A]],Katalog!$C$3:$C$12,0))*cadangan3[[#This Row],[Qty A]]</f>
        <v>240000</v>
      </c>
      <c r="L812" s="36">
        <f>IFERROR(cadangan3[[#This Row],[Profit A]]-(cadangan3[[#This Row],[Profit A]]*cadangan3[[#This Row],[Diskon]]),K812)</f>
        <v>216000</v>
      </c>
      <c r="M812" t="s">
        <v>64</v>
      </c>
      <c r="N812" t="str">
        <f>IFERROR(INDEX(Katalog!$A$3:$A$12,MATCH(cadangan3[[#This Row],[ItemID B]],Katalog!$C$3:$C$12,0)),"-")</f>
        <v>Pakaian Unisex</v>
      </c>
      <c r="O812" t="str">
        <f>IFERROR(INDEX(Katalog!$B$3:$B$12,MATCH(cadangan3[[#This Row],[ItemID B]],Katalog!$C$3:$C$12,0)),"-")</f>
        <v>Jaket Hoodie</v>
      </c>
      <c r="P812">
        <v>2</v>
      </c>
      <c r="Q812">
        <v>4</v>
      </c>
      <c r="R812" s="36">
        <f>IFERROR(INDEX(Katalog!$D$3:$D$12,MATCH(cadangan3[[#This Row],[ItemID B]],Katalog!$C$3:$C$12,0))*cadangan3[[#This Row],[Qty B]],0)</f>
        <v>700000</v>
      </c>
      <c r="S812" s="36">
        <f>IFERROR(INDEX(Katalog!$D$3:$D$12,MATCH(cadangan3[[#This Row],[Item B]],Katalog!$B$3:$B$12,0))*cadangan3[[#This Row],[Qty B]],0)</f>
        <v>700000</v>
      </c>
      <c r="T812" s="36">
        <f>IFERROR(cadangan3[[#This Row],[Harga Asli B]]-(cadangan3[[#This Row],[Harga Asli B]]*cadangan3[[#This Row],[Diskon]]),cadangan3[[#This Row],[Harga Asli B]])</f>
        <v>630000</v>
      </c>
      <c r="U812" s="36">
        <f>IFERROR(INDEX(Katalog!$F$3:$F$12,MATCH(cadangan3[[#This Row],[ItemID B]],Katalog!$C$3:$C$12,0))*cadangan3[[#This Row],[Qty B]],0)</f>
        <v>260000</v>
      </c>
      <c r="V812" s="36">
        <f>IFERROR(cadangan3[[#This Row],[Profit B]]-(cadangan3[[#This Row],[Profit B]]*cadangan3[[#This Row],[Diskon]]),U812)</f>
        <v>234000</v>
      </c>
      <c r="X812" t="str">
        <f>IFERROR(INDEX(Katalog!$A$3:$A$12,MATCH(cadangan3[[#This Row],[ItemID C]],Katalog!$C$3:$C$12,0)),"-")</f>
        <v>-</v>
      </c>
      <c r="Y812" t="str">
        <f>IFERROR(INDEX(Katalog!$B$3:$B$12,MATCH(cadangan3[[#This Row],[ItemID C]],Katalog!$C$3:$C$12,0)),"-")</f>
        <v>-</v>
      </c>
      <c r="AB812" s="36">
        <f>IFERROR(INDEX(Katalog!$D$3:$D$12,MATCH(cadangan3[[#This Row],[ItemID C]],Katalog!$C$3:$C$12,0))*cadangan3[[#This Row],[Qty C]],0)</f>
        <v>0</v>
      </c>
      <c r="AC812" s="36">
        <f>IFERROR(INDEX(Katalog!$D$3:$D$12,MATCH(cadangan3[[#This Row],[Item C]],Katalog!$B$3:$B$12,0))*cadangan3[[#This Row],[Qty C]],0)</f>
        <v>0</v>
      </c>
      <c r="AD812" s="36">
        <f>IFERROR(cadangan3[[#This Row],[Harga Asli C]]-(cadangan3[[#This Row],[Harga Asli C]]*cadangan3[[#This Row],[Diskon]]),cadangan3[[#This Row],[Harga Asli C]])</f>
        <v>0</v>
      </c>
      <c r="AE812" s="36">
        <f>IFERROR(INDEX(Katalog!$F$3:$F$12,MATCH(cadangan3[[#This Row],[ItemID C]],Katalog!$C$3:$C$12,0))*cadangan3[[#This Row],[Qty C]],0)</f>
        <v>0</v>
      </c>
      <c r="AF812" s="36">
        <f>IFERROR(cadangan3[[#This Row],[Profit C]]-(cadangan3[[#This Row],[Profit C]]*cadangan3[[#This Row],[Diskon]]),cadangan3[[#This Row],[Profit C]])</f>
        <v>0</v>
      </c>
      <c r="AG812" s="21">
        <f>cadangan3[[#This Row],[Qty A]]+cadangan3[[#This Row],[Qty B]]+cadangan3[[#This Row],[Qty C]]</f>
        <v>6</v>
      </c>
      <c r="AH812" s="35">
        <f>cadangan3[[#This Row],[Harga A + Diskon]]+cadangan3[[#This Row],[Harga + Diskon B]]+cadangan3[[#This Row],[Harga + Diskon C]]</f>
        <v>1170000</v>
      </c>
      <c r="AI812" s="35">
        <f>(cadangan3[[#This Row],[Profit A]]+cadangan3[[#This Row],[Profit B]]+cadangan3[[#This Row],[Profit C]])</f>
        <v>500000</v>
      </c>
      <c r="AJ812" s="35">
        <f>cadangan3[[#This Row],[Provit A + Diskon]]+cadangan3[[#This Row],[Provit B + Diskon]]+cadangan3[[#This Row],[Provit C + Diskon]]</f>
        <v>450000</v>
      </c>
      <c r="AK812" s="23" t="s">
        <v>6</v>
      </c>
      <c r="AL812" s="37">
        <f>IFERROR(INDEX('Kode Diskon'!$D$3:$D$9,MATCH(cadangan3[[#This Row],[Kode diskon]],'Kode Diskon'!$C$3:$C$9,0)),"-")</f>
        <v>0.1</v>
      </c>
      <c r="AM812" s="23" t="s">
        <v>29</v>
      </c>
      <c r="AN812" s="23" t="s">
        <v>7</v>
      </c>
      <c r="AO812" s="23" t="s">
        <v>80</v>
      </c>
      <c r="AP812" s="24">
        <v>45017</v>
      </c>
      <c r="AQ812" s="23" t="str">
        <f>TEXT(cadangan3[[#This Row],[Tanggal terjual]],"dddd")</f>
        <v>Saturday</v>
      </c>
    </row>
    <row r="813" spans="1:43" x14ac:dyDescent="0.2">
      <c r="A813" s="20">
        <v>812</v>
      </c>
      <c r="B813" s="21" t="str">
        <f>_xlfn.CONCAT("ORD-",INDEX(Helper!$B$2:$B$5,MATCH(cadangan3[[#This Row],[Marketplace]],Helper!$A$2:$A$5,0)),TEXT(cadangan3[[#This Row],[No]],"0000"),"-",TEXT(cadangan3[[#This Row],[Tanggal terjual]],"dd/mm/yy"))</f>
        <v>ORD-BB0812-02/04/23</v>
      </c>
      <c r="C813" t="s">
        <v>59</v>
      </c>
      <c r="D813" t="str">
        <f>IFERROR(INDEX(Katalog!$A$3:$A$12,MATCH(cadangan3[[#This Row],[ItemID A]],Katalog!$C$3:$C$12,0)),"-")</f>
        <v>Pakaian Wanita</v>
      </c>
      <c r="E813" t="str">
        <f>IFERROR(INDEX(Katalog!$B$3:$B$12,MATCH(cadangan3[[#This Row],[ItemID A]],Katalog!$C$3:$C$12,0)),"-")</f>
        <v>Blouse</v>
      </c>
      <c r="F813">
        <v>1</v>
      </c>
      <c r="G813">
        <v>1</v>
      </c>
      <c r="H813" s="36">
        <f>IFERROR(INDEX(Katalog!$D$3:$D$12,MATCH(cadangan3[[#This Row],[ItemID A]],Katalog!$C$3:$C$12,0))*cadangan3[[#This Row],[Qty A]],0)</f>
        <v>150000</v>
      </c>
      <c r="I813" s="36">
        <f>IFERROR(INDEX(Katalog!$D$3:$D$12,MATCH(cadangan3[[#This Row],[Item A]],Katalog!$B$3:$B$12,0))*cadangan3[[#This Row],[Qty A]],0)</f>
        <v>150000</v>
      </c>
      <c r="J813" s="36">
        <f>IFERROR(cadangan3[[#This Row],[Harga Asli A]]-(cadangan3[[#This Row],[Harga Asli A]]*cadangan3[[#This Row],[Diskon]]),cadangan3[[#This Row],[Harga Asli A]])</f>
        <v>127500</v>
      </c>
      <c r="K813" s="36">
        <f>INDEX(Katalog!$F$3:$F$12,MATCH(cadangan3[[#This Row],[ItemID A]],Katalog!$C$3:$C$12,0))*cadangan3[[#This Row],[Qty A]]</f>
        <v>50000</v>
      </c>
      <c r="L813" s="36">
        <f>IFERROR(cadangan3[[#This Row],[Profit A]]-(cadangan3[[#This Row],[Profit A]]*cadangan3[[#This Row],[Diskon]]),K813)</f>
        <v>42500</v>
      </c>
      <c r="M813" t="s">
        <v>66</v>
      </c>
      <c r="N813" t="str">
        <f>IFERROR(INDEX(Katalog!$A$3:$A$12,MATCH(cadangan3[[#This Row],[ItemID B]],Katalog!$C$3:$C$12,0)),"-")</f>
        <v>Sepatu Pria</v>
      </c>
      <c r="O813" t="str">
        <f>IFERROR(INDEX(Katalog!$B$3:$B$12,MATCH(cadangan3[[#This Row],[ItemID B]],Katalog!$C$3:$C$12,0)),"-")</f>
        <v>Sandal Slip On</v>
      </c>
      <c r="P813">
        <v>1</v>
      </c>
      <c r="Q813">
        <v>1</v>
      </c>
      <c r="R813" s="36">
        <f>IFERROR(INDEX(Katalog!$D$3:$D$12,MATCH(cadangan3[[#This Row],[ItemID B]],Katalog!$C$3:$C$12,0))*cadangan3[[#This Row],[Qty B]],0)</f>
        <v>150000</v>
      </c>
      <c r="S813" s="36">
        <f>IFERROR(INDEX(Katalog!$D$3:$D$12,MATCH(cadangan3[[#This Row],[Item B]],Katalog!$B$3:$B$12,0))*cadangan3[[#This Row],[Qty B]],0)</f>
        <v>150000</v>
      </c>
      <c r="T813" s="36">
        <f>IFERROR(cadangan3[[#This Row],[Harga Asli B]]-(cadangan3[[#This Row],[Harga Asli B]]*cadangan3[[#This Row],[Diskon]]),cadangan3[[#This Row],[Harga Asli B]])</f>
        <v>127500</v>
      </c>
      <c r="U813" s="36">
        <f>IFERROR(INDEX(Katalog!$F$3:$F$12,MATCH(cadangan3[[#This Row],[ItemID B]],Katalog!$C$3:$C$12,0))*cadangan3[[#This Row],[Qty B]],0)</f>
        <v>60000</v>
      </c>
      <c r="V813" s="36">
        <f>IFERROR(cadangan3[[#This Row],[Profit B]]-(cadangan3[[#This Row],[Profit B]]*cadangan3[[#This Row],[Diskon]]),U813)</f>
        <v>51000</v>
      </c>
      <c r="W813" t="s">
        <v>65</v>
      </c>
      <c r="X813" t="str">
        <f>IFERROR(INDEX(Katalog!$A$3:$A$12,MATCH(cadangan3[[#This Row],[ItemID C]],Katalog!$C$3:$C$12,0)),"-")</f>
        <v>Sepatu Pria</v>
      </c>
      <c r="Y813" t="str">
        <f>IFERROR(INDEX(Katalog!$B$3:$B$12,MATCH(cadangan3[[#This Row],[ItemID C]],Katalog!$C$3:$C$12,0)),"-")</f>
        <v>Sneakers</v>
      </c>
      <c r="Z813">
        <v>4</v>
      </c>
      <c r="AA813">
        <v>4</v>
      </c>
      <c r="AB813" s="36">
        <f>IFERROR(INDEX(Katalog!$D$3:$D$12,MATCH(cadangan3[[#This Row],[ItemID C]],Katalog!$C$3:$C$12,0))*cadangan3[[#This Row],[Qty C]],0)</f>
        <v>2000000</v>
      </c>
      <c r="AC813" s="36">
        <f>IFERROR(INDEX(Katalog!$D$3:$D$12,MATCH(cadangan3[[#This Row],[Item C]],Katalog!$B$3:$B$12,0))*cadangan3[[#This Row],[Qty C]],0)</f>
        <v>2000000</v>
      </c>
      <c r="AD813" s="36">
        <f>IFERROR(cadangan3[[#This Row],[Harga Asli C]]-(cadangan3[[#This Row],[Harga Asli C]]*cadangan3[[#This Row],[Diskon]]),cadangan3[[#This Row],[Harga Asli C]])</f>
        <v>1700000</v>
      </c>
      <c r="AE813" s="36">
        <f>IFERROR(INDEX(Katalog!$F$3:$F$12,MATCH(cadangan3[[#This Row],[ItemID C]],Katalog!$C$3:$C$12,0))*cadangan3[[#This Row],[Qty C]],0)</f>
        <v>800000</v>
      </c>
      <c r="AF813" s="36">
        <f>IFERROR(cadangan3[[#This Row],[Profit C]]-(cadangan3[[#This Row],[Profit C]]*cadangan3[[#This Row],[Diskon]]),cadangan3[[#This Row],[Profit C]])</f>
        <v>680000</v>
      </c>
      <c r="AG813" s="21">
        <f>cadangan3[[#This Row],[Qty A]]+cadangan3[[#This Row],[Qty B]]+cadangan3[[#This Row],[Qty C]]</f>
        <v>6</v>
      </c>
      <c r="AH813" s="35">
        <f>cadangan3[[#This Row],[Harga A + Diskon]]+cadangan3[[#This Row],[Harga + Diskon B]]+cadangan3[[#This Row],[Harga + Diskon C]]</f>
        <v>1955000</v>
      </c>
      <c r="AI813" s="35">
        <f>(cadangan3[[#This Row],[Profit A]]+cadangan3[[#This Row],[Profit B]]+cadangan3[[#This Row],[Profit C]])</f>
        <v>910000</v>
      </c>
      <c r="AJ813" s="35">
        <f>cadangan3[[#This Row],[Provit A + Diskon]]+cadangan3[[#This Row],[Provit B + Diskon]]+cadangan3[[#This Row],[Provit C + Diskon]]</f>
        <v>773500</v>
      </c>
      <c r="AK813" s="23" t="s">
        <v>28</v>
      </c>
      <c r="AL813" s="37">
        <f>IFERROR(INDEX('Kode Diskon'!$D$3:$D$9,MATCH(cadangan3[[#This Row],[Kode diskon]],'Kode Diskon'!$C$3:$C$9,0)),"-")</f>
        <v>0.15</v>
      </c>
      <c r="AM813" s="23" t="s">
        <v>29</v>
      </c>
      <c r="AN813" s="23" t="s">
        <v>14</v>
      </c>
      <c r="AO813" s="23" t="s">
        <v>79</v>
      </c>
      <c r="AP813" s="24">
        <v>45018</v>
      </c>
      <c r="AQ813" s="23" t="str">
        <f>TEXT(cadangan3[[#This Row],[Tanggal terjual]],"dddd")</f>
        <v>Sunday</v>
      </c>
    </row>
    <row r="814" spans="1:43" x14ac:dyDescent="0.2">
      <c r="A814" s="20">
        <v>813</v>
      </c>
      <c r="B814" s="21" t="str">
        <f>_xlfn.CONCAT("ORD-",INDEX(Helper!$B$2:$B$5,MATCH(cadangan3[[#This Row],[Marketplace]],Helper!$A$2:$A$5,0)),TEXT(cadangan3[[#This Row],[No]],"0000"),"-",TEXT(cadangan3[[#This Row],[Tanggal terjual]],"dd/mm/yy"))</f>
        <v>ORD-SP0813-05/04/23</v>
      </c>
      <c r="C814" t="s">
        <v>64</v>
      </c>
      <c r="D814" t="str">
        <f>IFERROR(INDEX(Katalog!$A$3:$A$12,MATCH(cadangan3[[#This Row],[ItemID A]],Katalog!$C$3:$C$12,0)),"-")</f>
        <v>Pakaian Unisex</v>
      </c>
      <c r="E814" t="str">
        <f>IFERROR(INDEX(Katalog!$B$3:$B$12,MATCH(cadangan3[[#This Row],[ItemID A]],Katalog!$C$3:$C$12,0)),"-")</f>
        <v>Jaket Hoodie</v>
      </c>
      <c r="F814">
        <v>3</v>
      </c>
      <c r="G814">
        <v>4</v>
      </c>
      <c r="H814" s="36">
        <f>IFERROR(INDEX(Katalog!$D$3:$D$12,MATCH(cadangan3[[#This Row],[ItemID A]],Katalog!$C$3:$C$12,0))*cadangan3[[#This Row],[Qty A]],0)</f>
        <v>1050000</v>
      </c>
      <c r="I814" s="36">
        <f>IFERROR(INDEX(Katalog!$D$3:$D$12,MATCH(cadangan3[[#This Row],[Item A]],Katalog!$B$3:$B$12,0))*cadangan3[[#This Row],[Qty A]],0)</f>
        <v>1050000</v>
      </c>
      <c r="J814" s="36">
        <f>IFERROR(cadangan3[[#This Row],[Harga Asli A]]-(cadangan3[[#This Row],[Harga Asli A]]*cadangan3[[#This Row],[Diskon]]),cadangan3[[#This Row],[Harga Asli A]])</f>
        <v>892500</v>
      </c>
      <c r="K814" s="36">
        <f>INDEX(Katalog!$F$3:$F$12,MATCH(cadangan3[[#This Row],[ItemID A]],Katalog!$C$3:$C$12,0))*cadangan3[[#This Row],[Qty A]]</f>
        <v>390000</v>
      </c>
      <c r="L814" s="36">
        <f>IFERROR(cadangan3[[#This Row],[Profit A]]-(cadangan3[[#This Row],[Profit A]]*cadangan3[[#This Row],[Diskon]]),K814)</f>
        <v>331500</v>
      </c>
      <c r="N814" t="str">
        <f>IFERROR(INDEX(Katalog!$A$3:$A$12,MATCH(cadangan3[[#This Row],[ItemID B]],Katalog!$C$3:$C$12,0)),"-")</f>
        <v>-</v>
      </c>
      <c r="O814" t="str">
        <f>IFERROR(INDEX(Katalog!$B$3:$B$12,MATCH(cadangan3[[#This Row],[ItemID B]],Katalog!$C$3:$C$12,0)),"-")</f>
        <v>-</v>
      </c>
      <c r="R814" s="36">
        <f>IFERROR(INDEX(Katalog!$D$3:$D$12,MATCH(cadangan3[[#This Row],[ItemID B]],Katalog!$C$3:$C$12,0))*cadangan3[[#This Row],[Qty B]],0)</f>
        <v>0</v>
      </c>
      <c r="S814" s="36">
        <f>IFERROR(INDEX(Katalog!$D$3:$D$12,MATCH(cadangan3[[#This Row],[Item B]],Katalog!$B$3:$B$12,0))*cadangan3[[#This Row],[Qty B]],0)</f>
        <v>0</v>
      </c>
      <c r="T814" s="36">
        <f>IFERROR(cadangan3[[#This Row],[Harga Asli B]]-(cadangan3[[#This Row],[Harga Asli B]]*cadangan3[[#This Row],[Diskon]]),cadangan3[[#This Row],[Harga Asli B]])</f>
        <v>0</v>
      </c>
      <c r="U814" s="36">
        <f>IFERROR(INDEX(Katalog!$F$3:$F$12,MATCH(cadangan3[[#This Row],[ItemID B]],Katalog!$C$3:$C$12,0))*cadangan3[[#This Row],[Qty B]],0)</f>
        <v>0</v>
      </c>
      <c r="V814" s="36">
        <f>IFERROR(cadangan3[[#This Row],[Profit B]]-(cadangan3[[#This Row],[Profit B]]*cadangan3[[#This Row],[Diskon]]),U814)</f>
        <v>0</v>
      </c>
      <c r="X814" t="str">
        <f>IFERROR(INDEX(Katalog!$A$3:$A$12,MATCH(cadangan3[[#This Row],[ItemID C]],Katalog!$C$3:$C$12,0)),"-")</f>
        <v>-</v>
      </c>
      <c r="Y814" t="str">
        <f>IFERROR(INDEX(Katalog!$B$3:$B$12,MATCH(cadangan3[[#This Row],[ItemID C]],Katalog!$C$3:$C$12,0)),"-")</f>
        <v>-</v>
      </c>
      <c r="AB814" s="36">
        <f>IFERROR(INDEX(Katalog!$D$3:$D$12,MATCH(cadangan3[[#This Row],[ItemID C]],Katalog!$C$3:$C$12,0))*cadangan3[[#This Row],[Qty C]],0)</f>
        <v>0</v>
      </c>
      <c r="AC814" s="36">
        <f>IFERROR(INDEX(Katalog!$D$3:$D$12,MATCH(cadangan3[[#This Row],[Item C]],Katalog!$B$3:$B$12,0))*cadangan3[[#This Row],[Qty C]],0)</f>
        <v>0</v>
      </c>
      <c r="AD814" s="36">
        <f>IFERROR(cadangan3[[#This Row],[Harga Asli C]]-(cadangan3[[#This Row],[Harga Asli C]]*cadangan3[[#This Row],[Diskon]]),cadangan3[[#This Row],[Harga Asli C]])</f>
        <v>0</v>
      </c>
      <c r="AE814" s="36">
        <f>IFERROR(INDEX(Katalog!$F$3:$F$12,MATCH(cadangan3[[#This Row],[ItemID C]],Katalog!$C$3:$C$12,0))*cadangan3[[#This Row],[Qty C]],0)</f>
        <v>0</v>
      </c>
      <c r="AF814" s="36">
        <f>IFERROR(cadangan3[[#This Row],[Profit C]]-(cadangan3[[#This Row],[Profit C]]*cadangan3[[#This Row],[Diskon]]),cadangan3[[#This Row],[Profit C]])</f>
        <v>0</v>
      </c>
      <c r="AG814" s="21">
        <f>cadangan3[[#This Row],[Qty A]]+cadangan3[[#This Row],[Qty B]]+cadangan3[[#This Row],[Qty C]]</f>
        <v>3</v>
      </c>
      <c r="AH814" s="35">
        <f>cadangan3[[#This Row],[Harga A + Diskon]]+cadangan3[[#This Row],[Harga + Diskon B]]+cadangan3[[#This Row],[Harga + Diskon C]]</f>
        <v>892500</v>
      </c>
      <c r="AI814" s="35">
        <f>(cadangan3[[#This Row],[Profit A]]+cadangan3[[#This Row],[Profit B]]+cadangan3[[#This Row],[Profit C]])</f>
        <v>390000</v>
      </c>
      <c r="AJ814" s="35">
        <f>cadangan3[[#This Row],[Provit A + Diskon]]+cadangan3[[#This Row],[Provit B + Diskon]]+cadangan3[[#This Row],[Provit C + Diskon]]</f>
        <v>331500</v>
      </c>
      <c r="AK814" s="23" t="s">
        <v>13</v>
      </c>
      <c r="AL814" s="37">
        <f>IFERROR(INDEX('Kode Diskon'!$D$3:$D$9,MATCH(cadangan3[[#This Row],[Kode diskon]],'Kode Diskon'!$C$3:$C$9,0)),"-")</f>
        <v>0.15</v>
      </c>
      <c r="AM814" s="23" t="s">
        <v>29</v>
      </c>
      <c r="AN814" s="23" t="s">
        <v>7</v>
      </c>
      <c r="AO814" s="23" t="s">
        <v>79</v>
      </c>
      <c r="AP814" s="24">
        <v>45021</v>
      </c>
      <c r="AQ814" s="23" t="str">
        <f>TEXT(cadangan3[[#This Row],[Tanggal terjual]],"dddd")</f>
        <v>Wednesday</v>
      </c>
    </row>
    <row r="815" spans="1:43" x14ac:dyDescent="0.2">
      <c r="A815" s="20">
        <v>814</v>
      </c>
      <c r="B815" s="21" t="str">
        <f>_xlfn.CONCAT("ORD-",INDEX(Helper!$B$2:$B$5,MATCH(cadangan3[[#This Row],[Marketplace]],Helper!$A$2:$A$5,0)),TEXT(cadangan3[[#This Row],[No]],"0000"),"-",TEXT(cadangan3[[#This Row],[Tanggal terjual]],"dd/mm/yy"))</f>
        <v>ORD-BL0814-26/04/23</v>
      </c>
      <c r="C815" t="s">
        <v>64</v>
      </c>
      <c r="D815" t="str">
        <f>IFERROR(INDEX(Katalog!$A$3:$A$12,MATCH(cadangan3[[#This Row],[ItemID A]],Katalog!$C$3:$C$12,0)),"-")</f>
        <v>Pakaian Unisex</v>
      </c>
      <c r="E815" t="str">
        <f>IFERROR(INDEX(Katalog!$B$3:$B$12,MATCH(cadangan3[[#This Row],[ItemID A]],Katalog!$C$3:$C$12,0)),"-")</f>
        <v>Jaket Hoodie</v>
      </c>
      <c r="F815">
        <v>1</v>
      </c>
      <c r="G815">
        <v>2</v>
      </c>
      <c r="H815" s="36">
        <f>IFERROR(INDEX(Katalog!$D$3:$D$12,MATCH(cadangan3[[#This Row],[ItemID A]],Katalog!$C$3:$C$12,0))*cadangan3[[#This Row],[Qty A]],0)</f>
        <v>350000</v>
      </c>
      <c r="I815" s="36">
        <f>IFERROR(INDEX(Katalog!$D$3:$D$12,MATCH(cadangan3[[#This Row],[Item A]],Katalog!$B$3:$B$12,0))*cadangan3[[#This Row],[Qty A]],0)</f>
        <v>350000</v>
      </c>
      <c r="J815" s="36">
        <f>IFERROR(cadangan3[[#This Row],[Harga Asli A]]-(cadangan3[[#This Row],[Harga Asli A]]*cadangan3[[#This Row],[Diskon]]),cadangan3[[#This Row],[Harga Asli A]])</f>
        <v>297500</v>
      </c>
      <c r="K815" s="36">
        <f>INDEX(Katalog!$F$3:$F$12,MATCH(cadangan3[[#This Row],[ItemID A]],Katalog!$C$3:$C$12,0))*cadangan3[[#This Row],[Qty A]]</f>
        <v>130000</v>
      </c>
      <c r="L815" s="36">
        <f>IFERROR(cadangan3[[#This Row],[Profit A]]-(cadangan3[[#This Row],[Profit A]]*cadangan3[[#This Row],[Diskon]]),K815)</f>
        <v>110500</v>
      </c>
      <c r="M815" t="s">
        <v>66</v>
      </c>
      <c r="N815" t="str">
        <f>IFERROR(INDEX(Katalog!$A$3:$A$12,MATCH(cadangan3[[#This Row],[ItemID B]],Katalog!$C$3:$C$12,0)),"-")</f>
        <v>Sepatu Pria</v>
      </c>
      <c r="O815" t="str">
        <f>IFERROR(INDEX(Katalog!$B$3:$B$12,MATCH(cadangan3[[#This Row],[ItemID B]],Katalog!$C$3:$C$12,0)),"-")</f>
        <v>Sandal Slip On</v>
      </c>
      <c r="P815">
        <v>5</v>
      </c>
      <c r="Q815">
        <v>4</v>
      </c>
      <c r="R815" s="36">
        <f>IFERROR(INDEX(Katalog!$D$3:$D$12,MATCH(cadangan3[[#This Row],[ItemID B]],Katalog!$C$3:$C$12,0))*cadangan3[[#This Row],[Qty B]],0)</f>
        <v>750000</v>
      </c>
      <c r="S815" s="36">
        <f>IFERROR(INDEX(Katalog!$D$3:$D$12,MATCH(cadangan3[[#This Row],[Item B]],Katalog!$B$3:$B$12,0))*cadangan3[[#This Row],[Qty B]],0)</f>
        <v>750000</v>
      </c>
      <c r="T815" s="36">
        <f>IFERROR(cadangan3[[#This Row],[Harga Asli B]]-(cadangan3[[#This Row],[Harga Asli B]]*cadangan3[[#This Row],[Diskon]]),cadangan3[[#This Row],[Harga Asli B]])</f>
        <v>637500</v>
      </c>
      <c r="U815" s="36">
        <f>IFERROR(INDEX(Katalog!$F$3:$F$12,MATCH(cadangan3[[#This Row],[ItemID B]],Katalog!$C$3:$C$12,0))*cadangan3[[#This Row],[Qty B]],0)</f>
        <v>300000</v>
      </c>
      <c r="V815" s="36">
        <f>IFERROR(cadangan3[[#This Row],[Profit B]]-(cadangan3[[#This Row],[Profit B]]*cadangan3[[#This Row],[Diskon]]),U815)</f>
        <v>255000</v>
      </c>
      <c r="X815" t="str">
        <f>IFERROR(INDEX(Katalog!$A$3:$A$12,MATCH(cadangan3[[#This Row],[ItemID C]],Katalog!$C$3:$C$12,0)),"-")</f>
        <v>-</v>
      </c>
      <c r="Y815" t="str">
        <f>IFERROR(INDEX(Katalog!$B$3:$B$12,MATCH(cadangan3[[#This Row],[ItemID C]],Katalog!$C$3:$C$12,0)),"-")</f>
        <v>-</v>
      </c>
      <c r="AB815" s="36">
        <f>IFERROR(INDEX(Katalog!$D$3:$D$12,MATCH(cadangan3[[#This Row],[ItemID C]],Katalog!$C$3:$C$12,0))*cadangan3[[#This Row],[Qty C]],0)</f>
        <v>0</v>
      </c>
      <c r="AC815" s="36">
        <f>IFERROR(INDEX(Katalog!$D$3:$D$12,MATCH(cadangan3[[#This Row],[Item C]],Katalog!$B$3:$B$12,0))*cadangan3[[#This Row],[Qty C]],0)</f>
        <v>0</v>
      </c>
      <c r="AD815" s="36">
        <f>IFERROR(cadangan3[[#This Row],[Harga Asli C]]-(cadangan3[[#This Row],[Harga Asli C]]*cadangan3[[#This Row],[Diskon]]),cadangan3[[#This Row],[Harga Asli C]])</f>
        <v>0</v>
      </c>
      <c r="AE815" s="36">
        <f>IFERROR(INDEX(Katalog!$F$3:$F$12,MATCH(cadangan3[[#This Row],[ItemID C]],Katalog!$C$3:$C$12,0))*cadangan3[[#This Row],[Qty C]],0)</f>
        <v>0</v>
      </c>
      <c r="AF815" s="36">
        <f>IFERROR(cadangan3[[#This Row],[Profit C]]-(cadangan3[[#This Row],[Profit C]]*cadangan3[[#This Row],[Diskon]]),cadangan3[[#This Row],[Profit C]])</f>
        <v>0</v>
      </c>
      <c r="AG815" s="21">
        <f>cadangan3[[#This Row],[Qty A]]+cadangan3[[#This Row],[Qty B]]+cadangan3[[#This Row],[Qty C]]</f>
        <v>6</v>
      </c>
      <c r="AH815" s="35">
        <f>cadangan3[[#This Row],[Harga A + Diskon]]+cadangan3[[#This Row],[Harga + Diskon B]]+cadangan3[[#This Row],[Harga + Diskon C]]</f>
        <v>935000</v>
      </c>
      <c r="AI815" s="35">
        <f>(cadangan3[[#This Row],[Profit A]]+cadangan3[[#This Row],[Profit B]]+cadangan3[[#This Row],[Profit C]])</f>
        <v>430000</v>
      </c>
      <c r="AJ815" s="35">
        <f>cadangan3[[#This Row],[Provit A + Diskon]]+cadangan3[[#This Row],[Provit B + Diskon]]+cadangan3[[#This Row],[Provit C + Diskon]]</f>
        <v>365500</v>
      </c>
      <c r="AK815" s="23" t="s">
        <v>32</v>
      </c>
      <c r="AL815" s="37">
        <f>IFERROR(INDEX('Kode Diskon'!$D$3:$D$9,MATCH(cadangan3[[#This Row],[Kode diskon]],'Kode Diskon'!$C$3:$C$9,0)),"-")</f>
        <v>0.15</v>
      </c>
      <c r="AM815" s="23" t="s">
        <v>9</v>
      </c>
      <c r="AN815" s="23" t="s">
        <v>12</v>
      </c>
      <c r="AO815" s="23" t="s">
        <v>76</v>
      </c>
      <c r="AP815" s="24">
        <v>45042</v>
      </c>
      <c r="AQ815" s="23" t="str">
        <f>TEXT(cadangan3[[#This Row],[Tanggal terjual]],"dddd")</f>
        <v>Wednesday</v>
      </c>
    </row>
    <row r="816" spans="1:43" x14ac:dyDescent="0.2">
      <c r="A816" s="20">
        <v>815</v>
      </c>
      <c r="B816" s="21" t="str">
        <f>_xlfn.CONCAT("ORD-",INDEX(Helper!$B$2:$B$5,MATCH(cadangan3[[#This Row],[Marketplace]],Helper!$A$2:$A$5,0)),TEXT(cadangan3[[#This Row],[No]],"0000"),"-",TEXT(cadangan3[[#This Row],[Tanggal terjual]],"dd/mm/yy"))</f>
        <v>ORD-SP0815-28/04/23</v>
      </c>
      <c r="C816" t="s">
        <v>66</v>
      </c>
      <c r="D816" t="str">
        <f>IFERROR(INDEX(Katalog!$A$3:$A$12,MATCH(cadangan3[[#This Row],[ItemID A]],Katalog!$C$3:$C$12,0)),"-")</f>
        <v>Sepatu Pria</v>
      </c>
      <c r="E816" t="str">
        <f>IFERROR(INDEX(Katalog!$B$3:$B$12,MATCH(cadangan3[[#This Row],[ItemID A]],Katalog!$C$3:$C$12,0)),"-")</f>
        <v>Sandal Slip On</v>
      </c>
      <c r="F816">
        <v>1</v>
      </c>
      <c r="G816">
        <v>2</v>
      </c>
      <c r="H816" s="36">
        <f>IFERROR(INDEX(Katalog!$D$3:$D$12,MATCH(cadangan3[[#This Row],[ItemID A]],Katalog!$C$3:$C$12,0))*cadangan3[[#This Row],[Qty A]],0)</f>
        <v>150000</v>
      </c>
      <c r="I816" s="36">
        <f>IFERROR(INDEX(Katalog!$D$3:$D$12,MATCH(cadangan3[[#This Row],[Item A]],Katalog!$B$3:$B$12,0))*cadangan3[[#This Row],[Qty A]],0)</f>
        <v>150000</v>
      </c>
      <c r="J816" s="36">
        <f>IFERROR(cadangan3[[#This Row],[Harga Asli A]]-(cadangan3[[#This Row],[Harga Asli A]]*cadangan3[[#This Row],[Diskon]]),cadangan3[[#This Row],[Harga Asli A]])</f>
        <v>120000</v>
      </c>
      <c r="K816" s="36">
        <f>INDEX(Katalog!$F$3:$F$12,MATCH(cadangan3[[#This Row],[ItemID A]],Katalog!$C$3:$C$12,0))*cadangan3[[#This Row],[Qty A]]</f>
        <v>60000</v>
      </c>
      <c r="L816" s="36">
        <f>IFERROR(cadangan3[[#This Row],[Profit A]]-(cadangan3[[#This Row],[Profit A]]*cadangan3[[#This Row],[Diskon]]),K816)</f>
        <v>48000</v>
      </c>
      <c r="N816" t="str">
        <f>IFERROR(INDEX(Katalog!$A$3:$A$12,MATCH(cadangan3[[#This Row],[ItemID B]],Katalog!$C$3:$C$12,0)),"-")</f>
        <v>-</v>
      </c>
      <c r="O816" t="str">
        <f>IFERROR(INDEX(Katalog!$B$3:$B$12,MATCH(cadangan3[[#This Row],[ItemID B]],Katalog!$C$3:$C$12,0)),"-")</f>
        <v>-</v>
      </c>
      <c r="R816" s="36">
        <f>IFERROR(INDEX(Katalog!$D$3:$D$12,MATCH(cadangan3[[#This Row],[ItemID B]],Katalog!$C$3:$C$12,0))*cadangan3[[#This Row],[Qty B]],0)</f>
        <v>0</v>
      </c>
      <c r="S816" s="36">
        <f>IFERROR(INDEX(Katalog!$D$3:$D$12,MATCH(cadangan3[[#This Row],[Item B]],Katalog!$B$3:$B$12,0))*cadangan3[[#This Row],[Qty B]],0)</f>
        <v>0</v>
      </c>
      <c r="T816" s="36">
        <f>IFERROR(cadangan3[[#This Row],[Harga Asli B]]-(cadangan3[[#This Row],[Harga Asli B]]*cadangan3[[#This Row],[Diskon]]),cadangan3[[#This Row],[Harga Asli B]])</f>
        <v>0</v>
      </c>
      <c r="U816" s="36">
        <f>IFERROR(INDEX(Katalog!$F$3:$F$12,MATCH(cadangan3[[#This Row],[ItemID B]],Katalog!$C$3:$C$12,0))*cadangan3[[#This Row],[Qty B]],0)</f>
        <v>0</v>
      </c>
      <c r="V816" s="36">
        <f>IFERROR(cadangan3[[#This Row],[Profit B]]-(cadangan3[[#This Row],[Profit B]]*cadangan3[[#This Row],[Diskon]]),U816)</f>
        <v>0</v>
      </c>
      <c r="X816" t="str">
        <f>IFERROR(INDEX(Katalog!$A$3:$A$12,MATCH(cadangan3[[#This Row],[ItemID C]],Katalog!$C$3:$C$12,0)),"-")</f>
        <v>-</v>
      </c>
      <c r="Y816" t="str">
        <f>IFERROR(INDEX(Katalog!$B$3:$B$12,MATCH(cadangan3[[#This Row],[ItemID C]],Katalog!$C$3:$C$12,0)),"-")</f>
        <v>-</v>
      </c>
      <c r="AB816" s="36">
        <f>IFERROR(INDEX(Katalog!$D$3:$D$12,MATCH(cadangan3[[#This Row],[ItemID C]],Katalog!$C$3:$C$12,0))*cadangan3[[#This Row],[Qty C]],0)</f>
        <v>0</v>
      </c>
      <c r="AC816" s="36">
        <f>IFERROR(INDEX(Katalog!$D$3:$D$12,MATCH(cadangan3[[#This Row],[Item C]],Katalog!$B$3:$B$12,0))*cadangan3[[#This Row],[Qty C]],0)</f>
        <v>0</v>
      </c>
      <c r="AD816" s="36">
        <f>IFERROR(cadangan3[[#This Row],[Harga Asli C]]-(cadangan3[[#This Row],[Harga Asli C]]*cadangan3[[#This Row],[Diskon]]),cadangan3[[#This Row],[Harga Asli C]])</f>
        <v>0</v>
      </c>
      <c r="AE816" s="36">
        <f>IFERROR(INDEX(Katalog!$F$3:$F$12,MATCH(cadangan3[[#This Row],[ItemID C]],Katalog!$C$3:$C$12,0))*cadangan3[[#This Row],[Qty C]],0)</f>
        <v>0</v>
      </c>
      <c r="AF816" s="36">
        <f>IFERROR(cadangan3[[#This Row],[Profit C]]-(cadangan3[[#This Row],[Profit C]]*cadangan3[[#This Row],[Diskon]]),cadangan3[[#This Row],[Profit C]])</f>
        <v>0</v>
      </c>
      <c r="AG816" s="21">
        <f>cadangan3[[#This Row],[Qty A]]+cadangan3[[#This Row],[Qty B]]+cadangan3[[#This Row],[Qty C]]</f>
        <v>1</v>
      </c>
      <c r="AH816" s="35">
        <f>cadangan3[[#This Row],[Harga A + Diskon]]+cadangan3[[#This Row],[Harga + Diskon B]]+cadangan3[[#This Row],[Harga + Diskon C]]</f>
        <v>120000</v>
      </c>
      <c r="AI816" s="35">
        <f>(cadangan3[[#This Row],[Profit A]]+cadangan3[[#This Row],[Profit B]]+cadangan3[[#This Row],[Profit C]])</f>
        <v>60000</v>
      </c>
      <c r="AJ816" s="35">
        <f>cadangan3[[#This Row],[Provit A + Diskon]]+cadangan3[[#This Row],[Provit B + Diskon]]+cadangan3[[#This Row],[Provit C + Diskon]]</f>
        <v>48000</v>
      </c>
      <c r="AK816" s="23" t="s">
        <v>8</v>
      </c>
      <c r="AL816" s="37">
        <f>IFERROR(INDEX('Kode Diskon'!$D$3:$D$9,MATCH(cadangan3[[#This Row],[Kode diskon]],'Kode Diskon'!$C$3:$C$9,0)),"-")</f>
        <v>0.2</v>
      </c>
      <c r="AM816" s="23" t="s">
        <v>9</v>
      </c>
      <c r="AN816" s="23" t="s">
        <v>7</v>
      </c>
      <c r="AO816" s="23" t="s">
        <v>80</v>
      </c>
      <c r="AP816" s="24">
        <v>45044</v>
      </c>
      <c r="AQ816" s="23" t="str">
        <f>TEXT(cadangan3[[#This Row],[Tanggal terjual]],"dddd")</f>
        <v>Friday</v>
      </c>
    </row>
    <row r="817" spans="1:43" x14ac:dyDescent="0.2">
      <c r="A817" s="20">
        <v>816</v>
      </c>
      <c r="B817" s="21" t="str">
        <f>_xlfn.CONCAT("ORD-",INDEX(Helper!$B$2:$B$5,MATCH(cadangan3[[#This Row],[Marketplace]],Helper!$A$2:$A$5,0)),TEXT(cadangan3[[#This Row],[No]],"0000"),"-",TEXT(cadangan3[[#This Row],[Tanggal terjual]],"dd/mm/yy"))</f>
        <v>ORD-TK0816-30/04/23</v>
      </c>
      <c r="C817" t="s">
        <v>66</v>
      </c>
      <c r="D817" t="str">
        <f>IFERROR(INDEX(Katalog!$A$3:$A$12,MATCH(cadangan3[[#This Row],[ItemID A]],Katalog!$C$3:$C$12,0)),"-")</f>
        <v>Sepatu Pria</v>
      </c>
      <c r="E817" t="str">
        <f>IFERROR(INDEX(Katalog!$B$3:$B$12,MATCH(cadangan3[[#This Row],[ItemID A]],Katalog!$C$3:$C$12,0)),"-")</f>
        <v>Sandal Slip On</v>
      </c>
      <c r="F817">
        <v>2</v>
      </c>
      <c r="G817">
        <v>5</v>
      </c>
      <c r="H817" s="36">
        <f>IFERROR(INDEX(Katalog!$D$3:$D$12,MATCH(cadangan3[[#This Row],[ItemID A]],Katalog!$C$3:$C$12,0))*cadangan3[[#This Row],[Qty A]],0)</f>
        <v>300000</v>
      </c>
      <c r="I817" s="36">
        <f>IFERROR(INDEX(Katalog!$D$3:$D$12,MATCH(cadangan3[[#This Row],[Item A]],Katalog!$B$3:$B$12,0))*cadangan3[[#This Row],[Qty A]],0)</f>
        <v>300000</v>
      </c>
      <c r="J817" s="36">
        <f>IFERROR(cadangan3[[#This Row],[Harga Asli A]]-(cadangan3[[#This Row],[Harga Asli A]]*cadangan3[[#This Row],[Diskon]]),cadangan3[[#This Row],[Harga Asli A]])</f>
        <v>270000</v>
      </c>
      <c r="K817" s="36">
        <f>INDEX(Katalog!$F$3:$F$12,MATCH(cadangan3[[#This Row],[ItemID A]],Katalog!$C$3:$C$12,0))*cadangan3[[#This Row],[Qty A]]</f>
        <v>120000</v>
      </c>
      <c r="L817" s="36">
        <f>IFERROR(cadangan3[[#This Row],[Profit A]]-(cadangan3[[#This Row],[Profit A]]*cadangan3[[#This Row],[Diskon]]),K817)</f>
        <v>108000</v>
      </c>
      <c r="N817" t="str">
        <f>IFERROR(INDEX(Katalog!$A$3:$A$12,MATCH(cadangan3[[#This Row],[ItemID B]],Katalog!$C$3:$C$12,0)),"-")</f>
        <v>-</v>
      </c>
      <c r="O817" t="str">
        <f>IFERROR(INDEX(Katalog!$B$3:$B$12,MATCH(cadangan3[[#This Row],[ItemID B]],Katalog!$C$3:$C$12,0)),"-")</f>
        <v>-</v>
      </c>
      <c r="R817" s="36">
        <f>IFERROR(INDEX(Katalog!$D$3:$D$12,MATCH(cadangan3[[#This Row],[ItemID B]],Katalog!$C$3:$C$12,0))*cadangan3[[#This Row],[Qty B]],0)</f>
        <v>0</v>
      </c>
      <c r="S817" s="36">
        <f>IFERROR(INDEX(Katalog!$D$3:$D$12,MATCH(cadangan3[[#This Row],[Item B]],Katalog!$B$3:$B$12,0))*cadangan3[[#This Row],[Qty B]],0)</f>
        <v>0</v>
      </c>
      <c r="T817" s="36">
        <f>IFERROR(cadangan3[[#This Row],[Harga Asli B]]-(cadangan3[[#This Row],[Harga Asli B]]*cadangan3[[#This Row],[Diskon]]),cadangan3[[#This Row],[Harga Asli B]])</f>
        <v>0</v>
      </c>
      <c r="U817" s="36">
        <f>IFERROR(INDEX(Katalog!$F$3:$F$12,MATCH(cadangan3[[#This Row],[ItemID B]],Katalog!$C$3:$C$12,0))*cadangan3[[#This Row],[Qty B]],0)</f>
        <v>0</v>
      </c>
      <c r="V817" s="36">
        <f>IFERROR(cadangan3[[#This Row],[Profit B]]-(cadangan3[[#This Row],[Profit B]]*cadangan3[[#This Row],[Diskon]]),U817)</f>
        <v>0</v>
      </c>
      <c r="X817" t="str">
        <f>IFERROR(INDEX(Katalog!$A$3:$A$12,MATCH(cadangan3[[#This Row],[ItemID C]],Katalog!$C$3:$C$12,0)),"-")</f>
        <v>-</v>
      </c>
      <c r="Y817" t="str">
        <f>IFERROR(INDEX(Katalog!$B$3:$B$12,MATCH(cadangan3[[#This Row],[ItemID C]],Katalog!$C$3:$C$12,0)),"-")</f>
        <v>-</v>
      </c>
      <c r="AB817" s="36">
        <f>IFERROR(INDEX(Katalog!$D$3:$D$12,MATCH(cadangan3[[#This Row],[ItemID C]],Katalog!$C$3:$C$12,0))*cadangan3[[#This Row],[Qty C]],0)</f>
        <v>0</v>
      </c>
      <c r="AC817" s="36">
        <f>IFERROR(INDEX(Katalog!$D$3:$D$12,MATCH(cadangan3[[#This Row],[Item C]],Katalog!$B$3:$B$12,0))*cadangan3[[#This Row],[Qty C]],0)</f>
        <v>0</v>
      </c>
      <c r="AD817" s="36">
        <f>IFERROR(cadangan3[[#This Row],[Harga Asli C]]-(cadangan3[[#This Row],[Harga Asli C]]*cadangan3[[#This Row],[Diskon]]),cadangan3[[#This Row],[Harga Asli C]])</f>
        <v>0</v>
      </c>
      <c r="AE817" s="36">
        <f>IFERROR(INDEX(Katalog!$F$3:$F$12,MATCH(cadangan3[[#This Row],[ItemID C]],Katalog!$C$3:$C$12,0))*cadangan3[[#This Row],[Qty C]],0)</f>
        <v>0</v>
      </c>
      <c r="AF817" s="36">
        <f>IFERROR(cadangan3[[#This Row],[Profit C]]-(cadangan3[[#This Row],[Profit C]]*cadangan3[[#This Row],[Diskon]]),cadangan3[[#This Row],[Profit C]])</f>
        <v>0</v>
      </c>
      <c r="AG817" s="21">
        <f>cadangan3[[#This Row],[Qty A]]+cadangan3[[#This Row],[Qty B]]+cadangan3[[#This Row],[Qty C]]</f>
        <v>2</v>
      </c>
      <c r="AH817" s="35">
        <f>cadangan3[[#This Row],[Harga A + Diskon]]+cadangan3[[#This Row],[Harga + Diskon B]]+cadangan3[[#This Row],[Harga + Diskon C]]</f>
        <v>270000</v>
      </c>
      <c r="AI817" s="35">
        <f>(cadangan3[[#This Row],[Profit A]]+cadangan3[[#This Row],[Profit B]]+cadangan3[[#This Row],[Profit C]])</f>
        <v>120000</v>
      </c>
      <c r="AJ817" s="35">
        <f>cadangan3[[#This Row],[Provit A + Diskon]]+cadangan3[[#This Row],[Provit B + Diskon]]+cadangan3[[#This Row],[Provit C + Diskon]]</f>
        <v>108000</v>
      </c>
      <c r="AK817" s="23" t="s">
        <v>31</v>
      </c>
      <c r="AL817" s="37">
        <f>IFERROR(INDEX('Kode Diskon'!$D$3:$D$9,MATCH(cadangan3[[#This Row],[Kode diskon]],'Kode Diskon'!$C$3:$C$9,0)),"-")</f>
        <v>0.1</v>
      </c>
      <c r="AM817" s="23" t="s">
        <v>9</v>
      </c>
      <c r="AN817" s="23" t="s">
        <v>10</v>
      </c>
      <c r="AO817" s="23" t="s">
        <v>80</v>
      </c>
      <c r="AP817" s="24">
        <v>45046</v>
      </c>
      <c r="AQ817" s="23" t="str">
        <f>TEXT(cadangan3[[#This Row],[Tanggal terjual]],"dddd")</f>
        <v>Sunday</v>
      </c>
    </row>
    <row r="818" spans="1:43" x14ac:dyDescent="0.2">
      <c r="A818" s="20">
        <v>817</v>
      </c>
      <c r="B818" s="21" t="str">
        <f>_xlfn.CONCAT("ORD-",INDEX(Helper!$B$2:$B$5,MATCH(cadangan3[[#This Row],[Marketplace]],Helper!$A$2:$A$5,0)),TEXT(cadangan3[[#This Row],[No]],"0000"),"-",TEXT(cadangan3[[#This Row],[Tanggal terjual]],"dd/mm/yy"))</f>
        <v>ORD-BL0817-23/04/23</v>
      </c>
      <c r="C818" t="s">
        <v>67</v>
      </c>
      <c r="D818" t="str">
        <f>IFERROR(INDEX(Katalog!$A$3:$A$12,MATCH(cadangan3[[#This Row],[ItemID A]],Katalog!$C$3:$C$12,0)),"-")</f>
        <v>Sepatu Wanita</v>
      </c>
      <c r="E818" t="str">
        <f>IFERROR(INDEX(Katalog!$B$3:$B$12,MATCH(cadangan3[[#This Row],[ItemID A]],Katalog!$C$3:$C$12,0)),"-")</f>
        <v>Flat Shoes</v>
      </c>
      <c r="F818">
        <v>3</v>
      </c>
      <c r="G818">
        <v>3</v>
      </c>
      <c r="H818" s="36">
        <f>IFERROR(INDEX(Katalog!$D$3:$D$12,MATCH(cadangan3[[#This Row],[ItemID A]],Katalog!$C$3:$C$12,0))*cadangan3[[#This Row],[Qty A]],0)</f>
        <v>750000</v>
      </c>
      <c r="I818" s="36">
        <f>IFERROR(INDEX(Katalog!$D$3:$D$12,MATCH(cadangan3[[#This Row],[Item A]],Katalog!$B$3:$B$12,0))*cadangan3[[#This Row],[Qty A]],0)</f>
        <v>750000</v>
      </c>
      <c r="J818" s="36">
        <f>IFERROR(cadangan3[[#This Row],[Harga Asli A]]-(cadangan3[[#This Row],[Harga Asli A]]*cadangan3[[#This Row],[Diskon]]),cadangan3[[#This Row],[Harga Asli A]])</f>
        <v>637500</v>
      </c>
      <c r="K818" s="36">
        <f>INDEX(Katalog!$F$3:$F$12,MATCH(cadangan3[[#This Row],[ItemID A]],Katalog!$C$3:$C$12,0))*cadangan3[[#This Row],[Qty A]]</f>
        <v>300000</v>
      </c>
      <c r="L818" s="36">
        <f>IFERROR(cadangan3[[#This Row],[Profit A]]-(cadangan3[[#This Row],[Profit A]]*cadangan3[[#This Row],[Diskon]]),K818)</f>
        <v>255000</v>
      </c>
      <c r="M818" t="s">
        <v>65</v>
      </c>
      <c r="N818" t="str">
        <f>IFERROR(INDEX(Katalog!$A$3:$A$12,MATCH(cadangan3[[#This Row],[ItemID B]],Katalog!$C$3:$C$12,0)),"-")</f>
        <v>Sepatu Pria</v>
      </c>
      <c r="O818" t="str">
        <f>IFERROR(INDEX(Katalog!$B$3:$B$12,MATCH(cadangan3[[#This Row],[ItemID B]],Katalog!$C$3:$C$12,0)),"-")</f>
        <v>Sneakers</v>
      </c>
      <c r="P818">
        <v>1</v>
      </c>
      <c r="Q818">
        <v>4</v>
      </c>
      <c r="R818" s="36">
        <f>IFERROR(INDEX(Katalog!$D$3:$D$12,MATCH(cadangan3[[#This Row],[ItemID B]],Katalog!$C$3:$C$12,0))*cadangan3[[#This Row],[Qty B]],0)</f>
        <v>500000</v>
      </c>
      <c r="S818" s="36">
        <f>IFERROR(INDEX(Katalog!$D$3:$D$12,MATCH(cadangan3[[#This Row],[Item B]],Katalog!$B$3:$B$12,0))*cadangan3[[#This Row],[Qty B]],0)</f>
        <v>500000</v>
      </c>
      <c r="T818" s="36">
        <f>IFERROR(cadangan3[[#This Row],[Harga Asli B]]-(cadangan3[[#This Row],[Harga Asli B]]*cadangan3[[#This Row],[Diskon]]),cadangan3[[#This Row],[Harga Asli B]])</f>
        <v>425000</v>
      </c>
      <c r="U818" s="36">
        <f>IFERROR(INDEX(Katalog!$F$3:$F$12,MATCH(cadangan3[[#This Row],[ItemID B]],Katalog!$C$3:$C$12,0))*cadangan3[[#This Row],[Qty B]],0)</f>
        <v>200000</v>
      </c>
      <c r="V818" s="36">
        <f>IFERROR(cadangan3[[#This Row],[Profit B]]-(cadangan3[[#This Row],[Profit B]]*cadangan3[[#This Row],[Diskon]]),U818)</f>
        <v>170000</v>
      </c>
      <c r="W818" t="s">
        <v>66</v>
      </c>
      <c r="X818" t="str">
        <f>IFERROR(INDEX(Katalog!$A$3:$A$12,MATCH(cadangan3[[#This Row],[ItemID C]],Katalog!$C$3:$C$12,0)),"-")</f>
        <v>Sepatu Pria</v>
      </c>
      <c r="Y818" t="str">
        <f>IFERROR(INDEX(Katalog!$B$3:$B$12,MATCH(cadangan3[[#This Row],[ItemID C]],Katalog!$C$3:$C$12,0)),"-")</f>
        <v>Sandal Slip On</v>
      </c>
      <c r="Z818">
        <v>1</v>
      </c>
      <c r="AA818">
        <v>4</v>
      </c>
      <c r="AB818" s="36">
        <f>IFERROR(INDEX(Katalog!$D$3:$D$12,MATCH(cadangan3[[#This Row],[ItemID C]],Katalog!$C$3:$C$12,0))*cadangan3[[#This Row],[Qty C]],0)</f>
        <v>150000</v>
      </c>
      <c r="AC818" s="36">
        <f>IFERROR(INDEX(Katalog!$D$3:$D$12,MATCH(cadangan3[[#This Row],[Item C]],Katalog!$B$3:$B$12,0))*cadangan3[[#This Row],[Qty C]],0)</f>
        <v>150000</v>
      </c>
      <c r="AD818" s="36">
        <f>IFERROR(cadangan3[[#This Row],[Harga Asli C]]-(cadangan3[[#This Row],[Harga Asli C]]*cadangan3[[#This Row],[Diskon]]),cadangan3[[#This Row],[Harga Asli C]])</f>
        <v>127500</v>
      </c>
      <c r="AE818" s="36">
        <f>IFERROR(INDEX(Katalog!$F$3:$F$12,MATCH(cadangan3[[#This Row],[ItemID C]],Katalog!$C$3:$C$12,0))*cadangan3[[#This Row],[Qty C]],0)</f>
        <v>60000</v>
      </c>
      <c r="AF818" s="36">
        <f>IFERROR(cadangan3[[#This Row],[Profit C]]-(cadangan3[[#This Row],[Profit C]]*cadangan3[[#This Row],[Diskon]]),cadangan3[[#This Row],[Profit C]])</f>
        <v>51000</v>
      </c>
      <c r="AG818" s="21">
        <f>cadangan3[[#This Row],[Qty A]]+cadangan3[[#This Row],[Qty B]]+cadangan3[[#This Row],[Qty C]]</f>
        <v>5</v>
      </c>
      <c r="AH818" s="35">
        <f>cadangan3[[#This Row],[Harga A + Diskon]]+cadangan3[[#This Row],[Harga + Diskon B]]+cadangan3[[#This Row],[Harga + Diskon C]]</f>
        <v>1190000</v>
      </c>
      <c r="AI818" s="35">
        <f>(cadangan3[[#This Row],[Profit A]]+cadangan3[[#This Row],[Profit B]]+cadangan3[[#This Row],[Profit C]])</f>
        <v>560000</v>
      </c>
      <c r="AJ818" s="35">
        <f>cadangan3[[#This Row],[Provit A + Diskon]]+cadangan3[[#This Row],[Provit B + Diskon]]+cadangan3[[#This Row],[Provit C + Diskon]]</f>
        <v>476000</v>
      </c>
      <c r="AK818" s="23" t="s">
        <v>32</v>
      </c>
      <c r="AL818" s="37">
        <f>IFERROR(INDEX('Kode Diskon'!$D$3:$D$9,MATCH(cadangan3[[#This Row],[Kode diskon]],'Kode Diskon'!$C$3:$C$9,0)),"-")</f>
        <v>0.15</v>
      </c>
      <c r="AM818" s="23" t="s">
        <v>9</v>
      </c>
      <c r="AN818" s="23" t="s">
        <v>12</v>
      </c>
      <c r="AO818" s="23" t="s">
        <v>75</v>
      </c>
      <c r="AP818" s="24">
        <v>45039</v>
      </c>
      <c r="AQ818" s="23" t="str">
        <f>TEXT(cadangan3[[#This Row],[Tanggal terjual]],"dddd")</f>
        <v>Sunday</v>
      </c>
    </row>
    <row r="819" spans="1:43" x14ac:dyDescent="0.2">
      <c r="A819" s="20">
        <v>818</v>
      </c>
      <c r="B819" s="21" t="str">
        <f>_xlfn.CONCAT("ORD-",INDEX(Helper!$B$2:$B$5,MATCH(cadangan3[[#This Row],[Marketplace]],Helper!$A$2:$A$5,0)),TEXT(cadangan3[[#This Row],[No]],"0000"),"-",TEXT(cadangan3[[#This Row],[Tanggal terjual]],"dd/mm/yy"))</f>
        <v>ORD-BB0818-06/04/23</v>
      </c>
      <c r="C819" t="s">
        <v>62</v>
      </c>
      <c r="D819" t="str">
        <f>IFERROR(INDEX(Katalog!$A$3:$A$12,MATCH(cadangan3[[#This Row],[ItemID A]],Katalog!$C$3:$C$12,0)),"-")</f>
        <v>Pakaian Pria</v>
      </c>
      <c r="E819" t="str">
        <f>IFERROR(INDEX(Katalog!$B$3:$B$12,MATCH(cadangan3[[#This Row],[ItemID A]],Katalog!$C$3:$C$12,0)),"-")</f>
        <v>Celana Pendek</v>
      </c>
      <c r="F819">
        <v>2</v>
      </c>
      <c r="G819">
        <v>5</v>
      </c>
      <c r="H819" s="36">
        <f>IFERROR(INDEX(Katalog!$D$3:$D$12,MATCH(cadangan3[[#This Row],[ItemID A]],Katalog!$C$3:$C$12,0))*cadangan3[[#This Row],[Qty A]],0)</f>
        <v>360000</v>
      </c>
      <c r="I819" s="36">
        <f>IFERROR(INDEX(Katalog!$D$3:$D$12,MATCH(cadangan3[[#This Row],[Item A]],Katalog!$B$3:$B$12,0))*cadangan3[[#This Row],[Qty A]],0)</f>
        <v>360000</v>
      </c>
      <c r="J819" s="36">
        <f>IFERROR(cadangan3[[#This Row],[Harga Asli A]]-(cadangan3[[#This Row],[Harga Asli A]]*cadangan3[[#This Row],[Diskon]]),cadangan3[[#This Row],[Harga Asli A]])</f>
        <v>306000</v>
      </c>
      <c r="K819" s="36">
        <f>INDEX(Katalog!$F$3:$F$12,MATCH(cadangan3[[#This Row],[ItemID A]],Katalog!$C$3:$C$12,0))*cadangan3[[#This Row],[Qty A]]</f>
        <v>140000</v>
      </c>
      <c r="L819" s="36">
        <f>IFERROR(cadangan3[[#This Row],[Profit A]]-(cadangan3[[#This Row],[Profit A]]*cadangan3[[#This Row],[Diskon]]),K819)</f>
        <v>119000</v>
      </c>
      <c r="M819" t="s">
        <v>63</v>
      </c>
      <c r="N819" t="str">
        <f>IFERROR(INDEX(Katalog!$A$3:$A$12,MATCH(cadangan3[[#This Row],[ItemID B]],Katalog!$C$3:$C$12,0)),"-")</f>
        <v>Pakaian Pria</v>
      </c>
      <c r="O819" t="str">
        <f>IFERROR(INDEX(Katalog!$B$3:$B$12,MATCH(cadangan3[[#This Row],[ItemID B]],Katalog!$C$3:$C$12,0)),"-")</f>
        <v>Jaket Jeans</v>
      </c>
      <c r="P819">
        <v>1</v>
      </c>
      <c r="Q819">
        <v>4</v>
      </c>
      <c r="R819" s="36">
        <f>IFERROR(INDEX(Katalog!$D$3:$D$12,MATCH(cadangan3[[#This Row],[ItemID B]],Katalog!$C$3:$C$12,0))*cadangan3[[#This Row],[Qty B]],0)</f>
        <v>400000</v>
      </c>
      <c r="S819" s="36">
        <f>IFERROR(INDEX(Katalog!$D$3:$D$12,MATCH(cadangan3[[#This Row],[Item B]],Katalog!$B$3:$B$12,0))*cadangan3[[#This Row],[Qty B]],0)</f>
        <v>400000</v>
      </c>
      <c r="T819" s="36">
        <f>IFERROR(cadangan3[[#This Row],[Harga Asli B]]-(cadangan3[[#This Row],[Harga Asli B]]*cadangan3[[#This Row],[Diskon]]),cadangan3[[#This Row],[Harga Asli B]])</f>
        <v>340000</v>
      </c>
      <c r="U819" s="36">
        <f>IFERROR(INDEX(Katalog!$F$3:$F$12,MATCH(cadangan3[[#This Row],[ItemID B]],Katalog!$C$3:$C$12,0))*cadangan3[[#This Row],[Qty B]],0)</f>
        <v>150000</v>
      </c>
      <c r="V819" s="36">
        <f>IFERROR(cadangan3[[#This Row],[Profit B]]-(cadangan3[[#This Row],[Profit B]]*cadangan3[[#This Row],[Diskon]]),U819)</f>
        <v>127500</v>
      </c>
      <c r="X819" t="str">
        <f>IFERROR(INDEX(Katalog!$A$3:$A$12,MATCH(cadangan3[[#This Row],[ItemID C]],Katalog!$C$3:$C$12,0)),"-")</f>
        <v>-</v>
      </c>
      <c r="Y819" t="str">
        <f>IFERROR(INDEX(Katalog!$B$3:$B$12,MATCH(cadangan3[[#This Row],[ItemID C]],Katalog!$C$3:$C$12,0)),"-")</f>
        <v>-</v>
      </c>
      <c r="AB819" s="36">
        <f>IFERROR(INDEX(Katalog!$D$3:$D$12,MATCH(cadangan3[[#This Row],[ItemID C]],Katalog!$C$3:$C$12,0))*cadangan3[[#This Row],[Qty C]],0)</f>
        <v>0</v>
      </c>
      <c r="AC819" s="36">
        <f>IFERROR(INDEX(Katalog!$D$3:$D$12,MATCH(cadangan3[[#This Row],[Item C]],Katalog!$B$3:$B$12,0))*cadangan3[[#This Row],[Qty C]],0)</f>
        <v>0</v>
      </c>
      <c r="AD819" s="36">
        <f>IFERROR(cadangan3[[#This Row],[Harga Asli C]]-(cadangan3[[#This Row],[Harga Asli C]]*cadangan3[[#This Row],[Diskon]]),cadangan3[[#This Row],[Harga Asli C]])</f>
        <v>0</v>
      </c>
      <c r="AE819" s="36">
        <f>IFERROR(INDEX(Katalog!$F$3:$F$12,MATCH(cadangan3[[#This Row],[ItemID C]],Katalog!$C$3:$C$12,0))*cadangan3[[#This Row],[Qty C]],0)</f>
        <v>0</v>
      </c>
      <c r="AF819" s="36">
        <f>IFERROR(cadangan3[[#This Row],[Profit C]]-(cadangan3[[#This Row],[Profit C]]*cadangan3[[#This Row],[Diskon]]),cadangan3[[#This Row],[Profit C]])</f>
        <v>0</v>
      </c>
      <c r="AG819" s="21">
        <f>cadangan3[[#This Row],[Qty A]]+cadangan3[[#This Row],[Qty B]]+cadangan3[[#This Row],[Qty C]]</f>
        <v>3</v>
      </c>
      <c r="AH819" s="35">
        <f>cadangan3[[#This Row],[Harga A + Diskon]]+cadangan3[[#This Row],[Harga + Diskon B]]+cadangan3[[#This Row],[Harga + Diskon C]]</f>
        <v>646000</v>
      </c>
      <c r="AI819" s="35">
        <f>(cadangan3[[#This Row],[Profit A]]+cadangan3[[#This Row],[Profit B]]+cadangan3[[#This Row],[Profit C]])</f>
        <v>290000</v>
      </c>
      <c r="AJ819" s="35">
        <f>cadangan3[[#This Row],[Provit A + Diskon]]+cadangan3[[#This Row],[Provit B + Diskon]]+cadangan3[[#This Row],[Provit C + Diskon]]</f>
        <v>246500</v>
      </c>
      <c r="AK819" s="23" t="s">
        <v>28</v>
      </c>
      <c r="AL819" s="37">
        <f>IFERROR(INDEX('Kode Diskon'!$D$3:$D$9,MATCH(cadangan3[[#This Row],[Kode diskon]],'Kode Diskon'!$C$3:$C$9,0)),"-")</f>
        <v>0.15</v>
      </c>
      <c r="AM819" s="23" t="s">
        <v>29</v>
      </c>
      <c r="AN819" s="23" t="s">
        <v>14</v>
      </c>
      <c r="AO819" s="23" t="s">
        <v>79</v>
      </c>
      <c r="AP819" s="24">
        <v>45022</v>
      </c>
      <c r="AQ819" s="23" t="str">
        <f>TEXT(cadangan3[[#This Row],[Tanggal terjual]],"dddd")</f>
        <v>Thursday</v>
      </c>
    </row>
    <row r="820" spans="1:43" x14ac:dyDescent="0.2">
      <c r="A820" s="20">
        <v>819</v>
      </c>
      <c r="B820" s="21" t="str">
        <f>_xlfn.CONCAT("ORD-",INDEX(Helper!$B$2:$B$5,MATCH(cadangan3[[#This Row],[Marketplace]],Helper!$A$2:$A$5,0)),TEXT(cadangan3[[#This Row],[No]],"0000"),"-",TEXT(cadangan3[[#This Row],[Tanggal terjual]],"dd/mm/yy"))</f>
        <v>ORD-TK0819-06/04/23</v>
      </c>
      <c r="C820" t="s">
        <v>61</v>
      </c>
      <c r="D820" t="str">
        <f>IFERROR(INDEX(Katalog!$A$3:$A$12,MATCH(cadangan3[[#This Row],[ItemID A]],Katalog!$C$3:$C$12,0)),"-")</f>
        <v>Pakaian Pria</v>
      </c>
      <c r="E820" t="str">
        <f>IFERROR(INDEX(Katalog!$B$3:$B$12,MATCH(cadangan3[[#This Row],[ItemID A]],Katalog!$C$3:$C$12,0)),"-")</f>
        <v>Kaos Polo</v>
      </c>
      <c r="F820">
        <v>1</v>
      </c>
      <c r="G820">
        <v>3</v>
      </c>
      <c r="H820" s="36">
        <f>IFERROR(INDEX(Katalog!$D$3:$D$12,MATCH(cadangan3[[#This Row],[ItemID A]],Katalog!$C$3:$C$12,0))*cadangan3[[#This Row],[Qty A]],0)</f>
        <v>200000</v>
      </c>
      <c r="I820" s="36">
        <f>IFERROR(INDEX(Katalog!$D$3:$D$12,MATCH(cadangan3[[#This Row],[Item A]],Katalog!$B$3:$B$12,0))*cadangan3[[#This Row],[Qty A]],0)</f>
        <v>200000</v>
      </c>
      <c r="J820" s="36">
        <f>IFERROR(cadangan3[[#This Row],[Harga Asli A]]-(cadangan3[[#This Row],[Harga Asli A]]*cadangan3[[#This Row],[Diskon]]),cadangan3[[#This Row],[Harga Asli A]])</f>
        <v>180000</v>
      </c>
      <c r="K820" s="36">
        <f>INDEX(Katalog!$F$3:$F$12,MATCH(cadangan3[[#This Row],[ItemID A]],Katalog!$C$3:$C$12,0))*cadangan3[[#This Row],[Qty A]]</f>
        <v>80000</v>
      </c>
      <c r="L820" s="36">
        <f>IFERROR(cadangan3[[#This Row],[Profit A]]-(cadangan3[[#This Row],[Profit A]]*cadangan3[[#This Row],[Diskon]]),K820)</f>
        <v>72000</v>
      </c>
      <c r="M820" t="s">
        <v>64</v>
      </c>
      <c r="N820" t="str">
        <f>IFERROR(INDEX(Katalog!$A$3:$A$12,MATCH(cadangan3[[#This Row],[ItemID B]],Katalog!$C$3:$C$12,0)),"-")</f>
        <v>Pakaian Unisex</v>
      </c>
      <c r="O820" t="str">
        <f>IFERROR(INDEX(Katalog!$B$3:$B$12,MATCH(cadangan3[[#This Row],[ItemID B]],Katalog!$C$3:$C$12,0)),"-")</f>
        <v>Jaket Hoodie</v>
      </c>
      <c r="P820">
        <v>6</v>
      </c>
      <c r="Q820">
        <v>4</v>
      </c>
      <c r="R820" s="36">
        <f>IFERROR(INDEX(Katalog!$D$3:$D$12,MATCH(cadangan3[[#This Row],[ItemID B]],Katalog!$C$3:$C$12,0))*cadangan3[[#This Row],[Qty B]],0)</f>
        <v>2100000</v>
      </c>
      <c r="S820" s="36">
        <f>IFERROR(INDEX(Katalog!$D$3:$D$12,MATCH(cadangan3[[#This Row],[Item B]],Katalog!$B$3:$B$12,0))*cadangan3[[#This Row],[Qty B]],0)</f>
        <v>2100000</v>
      </c>
      <c r="T820" s="36">
        <f>IFERROR(cadangan3[[#This Row],[Harga Asli B]]-(cadangan3[[#This Row],[Harga Asli B]]*cadangan3[[#This Row],[Diskon]]),cadangan3[[#This Row],[Harga Asli B]])</f>
        <v>1890000</v>
      </c>
      <c r="U820" s="36">
        <f>IFERROR(INDEX(Katalog!$F$3:$F$12,MATCH(cadangan3[[#This Row],[ItemID B]],Katalog!$C$3:$C$12,0))*cadangan3[[#This Row],[Qty B]],0)</f>
        <v>780000</v>
      </c>
      <c r="V820" s="36">
        <f>IFERROR(cadangan3[[#This Row],[Profit B]]-(cadangan3[[#This Row],[Profit B]]*cadangan3[[#This Row],[Diskon]]),U820)</f>
        <v>702000</v>
      </c>
      <c r="X820" t="str">
        <f>IFERROR(INDEX(Katalog!$A$3:$A$12,MATCH(cadangan3[[#This Row],[ItemID C]],Katalog!$C$3:$C$12,0)),"-")</f>
        <v>-</v>
      </c>
      <c r="Y820" t="str">
        <f>IFERROR(INDEX(Katalog!$B$3:$B$12,MATCH(cadangan3[[#This Row],[ItemID C]],Katalog!$C$3:$C$12,0)),"-")</f>
        <v>-</v>
      </c>
      <c r="AB820" s="36">
        <f>IFERROR(INDEX(Katalog!$D$3:$D$12,MATCH(cadangan3[[#This Row],[ItemID C]],Katalog!$C$3:$C$12,0))*cadangan3[[#This Row],[Qty C]],0)</f>
        <v>0</v>
      </c>
      <c r="AC820" s="36">
        <f>IFERROR(INDEX(Katalog!$D$3:$D$12,MATCH(cadangan3[[#This Row],[Item C]],Katalog!$B$3:$B$12,0))*cadangan3[[#This Row],[Qty C]],0)</f>
        <v>0</v>
      </c>
      <c r="AD820" s="36">
        <f>IFERROR(cadangan3[[#This Row],[Harga Asli C]]-(cadangan3[[#This Row],[Harga Asli C]]*cadangan3[[#This Row],[Diskon]]),cadangan3[[#This Row],[Harga Asli C]])</f>
        <v>0</v>
      </c>
      <c r="AE820" s="36">
        <f>IFERROR(INDEX(Katalog!$F$3:$F$12,MATCH(cadangan3[[#This Row],[ItemID C]],Katalog!$C$3:$C$12,0))*cadangan3[[#This Row],[Qty C]],0)</f>
        <v>0</v>
      </c>
      <c r="AF820" s="36">
        <f>IFERROR(cadangan3[[#This Row],[Profit C]]-(cadangan3[[#This Row],[Profit C]]*cadangan3[[#This Row],[Diskon]]),cadangan3[[#This Row],[Profit C]])</f>
        <v>0</v>
      </c>
      <c r="AG820" s="21">
        <f>cadangan3[[#This Row],[Qty A]]+cadangan3[[#This Row],[Qty B]]+cadangan3[[#This Row],[Qty C]]</f>
        <v>7</v>
      </c>
      <c r="AH820" s="35">
        <f>cadangan3[[#This Row],[Harga A + Diskon]]+cadangan3[[#This Row],[Harga + Diskon B]]+cadangan3[[#This Row],[Harga + Diskon C]]</f>
        <v>2070000</v>
      </c>
      <c r="AI820" s="35">
        <f>(cadangan3[[#This Row],[Profit A]]+cadangan3[[#This Row],[Profit B]]+cadangan3[[#This Row],[Profit C]])</f>
        <v>860000</v>
      </c>
      <c r="AJ820" s="35">
        <f>cadangan3[[#This Row],[Provit A + Diskon]]+cadangan3[[#This Row],[Provit B + Diskon]]+cadangan3[[#This Row],[Provit C + Diskon]]</f>
        <v>774000</v>
      </c>
      <c r="AK820" s="23" t="s">
        <v>30</v>
      </c>
      <c r="AL820" s="37">
        <f>IFERROR(INDEX('Kode Diskon'!$D$3:$D$9,MATCH(cadangan3[[#This Row],[Kode diskon]],'Kode Diskon'!$C$3:$C$9,0)),"-")</f>
        <v>0.1</v>
      </c>
      <c r="AM820" s="23" t="s">
        <v>29</v>
      </c>
      <c r="AN820" s="23" t="s">
        <v>10</v>
      </c>
      <c r="AO820" s="23" t="s">
        <v>80</v>
      </c>
      <c r="AP820" s="24">
        <v>45022</v>
      </c>
      <c r="AQ820" s="23" t="str">
        <f>TEXT(cadangan3[[#This Row],[Tanggal terjual]],"dddd")</f>
        <v>Thursday</v>
      </c>
    </row>
    <row r="821" spans="1:43" x14ac:dyDescent="0.2">
      <c r="A821" s="20">
        <v>820</v>
      </c>
      <c r="B821" s="21" t="str">
        <f>_xlfn.CONCAT("ORD-",INDEX(Helper!$B$2:$B$5,MATCH(cadangan3[[#This Row],[Marketplace]],Helper!$A$2:$A$5,0)),TEXT(cadangan3[[#This Row],[No]],"0000"),"-",TEXT(cadangan3[[#This Row],[Tanggal terjual]],"dd/mm/yy"))</f>
        <v>ORD-BL0820-26/04/23</v>
      </c>
      <c r="C821" t="s">
        <v>61</v>
      </c>
      <c r="D821" t="str">
        <f>IFERROR(INDEX(Katalog!$A$3:$A$12,MATCH(cadangan3[[#This Row],[ItemID A]],Katalog!$C$3:$C$12,0)),"-")</f>
        <v>Pakaian Pria</v>
      </c>
      <c r="E821" t="str">
        <f>IFERROR(INDEX(Katalog!$B$3:$B$12,MATCH(cadangan3[[#This Row],[ItemID A]],Katalog!$C$3:$C$12,0)),"-")</f>
        <v>Kaos Polo</v>
      </c>
      <c r="F821">
        <v>3</v>
      </c>
      <c r="G821">
        <v>1</v>
      </c>
      <c r="H821" s="36">
        <f>IFERROR(INDEX(Katalog!$D$3:$D$12,MATCH(cadangan3[[#This Row],[ItemID A]],Katalog!$C$3:$C$12,0))*cadangan3[[#This Row],[Qty A]],0)</f>
        <v>600000</v>
      </c>
      <c r="I821" s="36">
        <f>IFERROR(INDEX(Katalog!$D$3:$D$12,MATCH(cadangan3[[#This Row],[Item A]],Katalog!$B$3:$B$12,0))*cadangan3[[#This Row],[Qty A]],0)</f>
        <v>600000</v>
      </c>
      <c r="J821" s="36">
        <f>IFERROR(cadangan3[[#This Row],[Harga Asli A]]-(cadangan3[[#This Row],[Harga Asli A]]*cadangan3[[#This Row],[Diskon]]),cadangan3[[#This Row],[Harga Asli A]])</f>
        <v>510000</v>
      </c>
      <c r="K821" s="36">
        <f>INDEX(Katalog!$F$3:$F$12,MATCH(cadangan3[[#This Row],[ItemID A]],Katalog!$C$3:$C$12,0))*cadangan3[[#This Row],[Qty A]]</f>
        <v>240000</v>
      </c>
      <c r="L821" s="36">
        <f>IFERROR(cadangan3[[#This Row],[Profit A]]-(cadangan3[[#This Row],[Profit A]]*cadangan3[[#This Row],[Diskon]]),K821)</f>
        <v>204000</v>
      </c>
      <c r="M821" t="s">
        <v>62</v>
      </c>
      <c r="N821" t="str">
        <f>IFERROR(INDEX(Katalog!$A$3:$A$12,MATCH(cadangan3[[#This Row],[ItemID B]],Katalog!$C$3:$C$12,0)),"-")</f>
        <v>Pakaian Pria</v>
      </c>
      <c r="O821" t="str">
        <f>IFERROR(INDEX(Katalog!$B$3:$B$12,MATCH(cadangan3[[#This Row],[ItemID B]],Katalog!$C$3:$C$12,0)),"-")</f>
        <v>Celana Pendek</v>
      </c>
      <c r="P821">
        <v>1</v>
      </c>
      <c r="Q821">
        <v>2</v>
      </c>
      <c r="R821" s="36">
        <f>IFERROR(INDEX(Katalog!$D$3:$D$12,MATCH(cadangan3[[#This Row],[ItemID B]],Katalog!$C$3:$C$12,0))*cadangan3[[#This Row],[Qty B]],0)</f>
        <v>180000</v>
      </c>
      <c r="S821" s="36">
        <f>IFERROR(INDEX(Katalog!$D$3:$D$12,MATCH(cadangan3[[#This Row],[Item B]],Katalog!$B$3:$B$12,0))*cadangan3[[#This Row],[Qty B]],0)</f>
        <v>180000</v>
      </c>
      <c r="T821" s="36">
        <f>IFERROR(cadangan3[[#This Row],[Harga Asli B]]-(cadangan3[[#This Row],[Harga Asli B]]*cadangan3[[#This Row],[Diskon]]),cadangan3[[#This Row],[Harga Asli B]])</f>
        <v>153000</v>
      </c>
      <c r="U821" s="36">
        <f>IFERROR(INDEX(Katalog!$F$3:$F$12,MATCH(cadangan3[[#This Row],[ItemID B]],Katalog!$C$3:$C$12,0))*cadangan3[[#This Row],[Qty B]],0)</f>
        <v>70000</v>
      </c>
      <c r="V821" s="36">
        <f>IFERROR(cadangan3[[#This Row],[Profit B]]-(cadangan3[[#This Row],[Profit B]]*cadangan3[[#This Row],[Diskon]]),U821)</f>
        <v>59500</v>
      </c>
      <c r="W821" t="s">
        <v>59</v>
      </c>
      <c r="X821" t="str">
        <f>IFERROR(INDEX(Katalog!$A$3:$A$12,MATCH(cadangan3[[#This Row],[ItemID C]],Katalog!$C$3:$C$12,0)),"-")</f>
        <v>Pakaian Wanita</v>
      </c>
      <c r="Y821" t="str">
        <f>IFERROR(INDEX(Katalog!$B$3:$B$12,MATCH(cadangan3[[#This Row],[ItemID C]],Katalog!$C$3:$C$12,0)),"-")</f>
        <v>Blouse</v>
      </c>
      <c r="Z821">
        <v>1</v>
      </c>
      <c r="AA821">
        <v>1</v>
      </c>
      <c r="AB821" s="36">
        <f>IFERROR(INDEX(Katalog!$D$3:$D$12,MATCH(cadangan3[[#This Row],[ItemID C]],Katalog!$C$3:$C$12,0))*cadangan3[[#This Row],[Qty C]],0)</f>
        <v>150000</v>
      </c>
      <c r="AC821" s="36">
        <f>IFERROR(INDEX(Katalog!$D$3:$D$12,MATCH(cadangan3[[#This Row],[Item C]],Katalog!$B$3:$B$12,0))*cadangan3[[#This Row],[Qty C]],0)</f>
        <v>150000</v>
      </c>
      <c r="AD821" s="36">
        <f>IFERROR(cadangan3[[#This Row],[Harga Asli C]]-(cadangan3[[#This Row],[Harga Asli C]]*cadangan3[[#This Row],[Diskon]]),cadangan3[[#This Row],[Harga Asli C]])</f>
        <v>127500</v>
      </c>
      <c r="AE821" s="36">
        <f>IFERROR(INDEX(Katalog!$F$3:$F$12,MATCH(cadangan3[[#This Row],[ItemID C]],Katalog!$C$3:$C$12,0))*cadangan3[[#This Row],[Qty C]],0)</f>
        <v>50000</v>
      </c>
      <c r="AF821" s="36">
        <f>IFERROR(cadangan3[[#This Row],[Profit C]]-(cadangan3[[#This Row],[Profit C]]*cadangan3[[#This Row],[Diskon]]),cadangan3[[#This Row],[Profit C]])</f>
        <v>42500</v>
      </c>
      <c r="AG821" s="21">
        <f>cadangan3[[#This Row],[Qty A]]+cadangan3[[#This Row],[Qty B]]+cadangan3[[#This Row],[Qty C]]</f>
        <v>5</v>
      </c>
      <c r="AH821" s="35">
        <f>cadangan3[[#This Row],[Harga A + Diskon]]+cadangan3[[#This Row],[Harga + Diskon B]]+cadangan3[[#This Row],[Harga + Diskon C]]</f>
        <v>790500</v>
      </c>
      <c r="AI821" s="35">
        <f>(cadangan3[[#This Row],[Profit A]]+cadangan3[[#This Row],[Profit B]]+cadangan3[[#This Row],[Profit C]])</f>
        <v>360000</v>
      </c>
      <c r="AJ821" s="35">
        <f>cadangan3[[#This Row],[Provit A + Diskon]]+cadangan3[[#This Row],[Provit B + Diskon]]+cadangan3[[#This Row],[Provit C + Diskon]]</f>
        <v>306000</v>
      </c>
      <c r="AK821" s="23" t="s">
        <v>32</v>
      </c>
      <c r="AL821" s="37">
        <f>IFERROR(INDEX('Kode Diskon'!$D$3:$D$9,MATCH(cadangan3[[#This Row],[Kode diskon]],'Kode Diskon'!$C$3:$C$9,0)),"-")</f>
        <v>0.15</v>
      </c>
      <c r="AM821" s="23" t="s">
        <v>9</v>
      </c>
      <c r="AN821" s="23" t="s">
        <v>12</v>
      </c>
      <c r="AO821" s="23" t="s">
        <v>80</v>
      </c>
      <c r="AP821" s="24">
        <v>45042</v>
      </c>
      <c r="AQ821" s="23" t="str">
        <f>TEXT(cadangan3[[#This Row],[Tanggal terjual]],"dddd")</f>
        <v>Wednesday</v>
      </c>
    </row>
    <row r="822" spans="1:43" x14ac:dyDescent="0.2">
      <c r="A822" s="20">
        <v>821</v>
      </c>
      <c r="B822" s="21" t="str">
        <f>_xlfn.CONCAT("ORD-",INDEX(Helper!$B$2:$B$5,MATCH(cadangan3[[#This Row],[Marketplace]],Helper!$A$2:$A$5,0)),TEXT(cadangan3[[#This Row],[No]],"0000"),"-",TEXT(cadangan3[[#This Row],[Tanggal terjual]],"dd/mm/yy"))</f>
        <v>ORD-TK0821-22/04/23</v>
      </c>
      <c r="C822" t="s">
        <v>62</v>
      </c>
      <c r="D822" t="str">
        <f>IFERROR(INDEX(Katalog!$A$3:$A$12,MATCH(cadangan3[[#This Row],[ItemID A]],Katalog!$C$3:$C$12,0)),"-")</f>
        <v>Pakaian Pria</v>
      </c>
      <c r="E822" t="str">
        <f>IFERROR(INDEX(Katalog!$B$3:$B$12,MATCH(cadangan3[[#This Row],[ItemID A]],Katalog!$C$3:$C$12,0)),"-")</f>
        <v>Celana Pendek</v>
      </c>
      <c r="F822">
        <v>1</v>
      </c>
      <c r="G822">
        <v>1</v>
      </c>
      <c r="H822" s="36">
        <f>IFERROR(INDEX(Katalog!$D$3:$D$12,MATCH(cadangan3[[#This Row],[ItemID A]],Katalog!$C$3:$C$12,0))*cadangan3[[#This Row],[Qty A]],0)</f>
        <v>180000</v>
      </c>
      <c r="I822" s="36">
        <f>IFERROR(INDEX(Katalog!$D$3:$D$12,MATCH(cadangan3[[#This Row],[Item A]],Katalog!$B$3:$B$12,0))*cadangan3[[#This Row],[Qty A]],0)</f>
        <v>180000</v>
      </c>
      <c r="J822" s="36">
        <f>IFERROR(cadangan3[[#This Row],[Harga Asli A]]-(cadangan3[[#This Row],[Harga Asli A]]*cadangan3[[#This Row],[Diskon]]),cadangan3[[#This Row],[Harga Asli A]])</f>
        <v>162000</v>
      </c>
      <c r="K822" s="36">
        <f>INDEX(Katalog!$F$3:$F$12,MATCH(cadangan3[[#This Row],[ItemID A]],Katalog!$C$3:$C$12,0))*cadangan3[[#This Row],[Qty A]]</f>
        <v>70000</v>
      </c>
      <c r="L822" s="36">
        <f>IFERROR(cadangan3[[#This Row],[Profit A]]-(cadangan3[[#This Row],[Profit A]]*cadangan3[[#This Row],[Diskon]]),K822)</f>
        <v>63000</v>
      </c>
      <c r="M822" t="s">
        <v>63</v>
      </c>
      <c r="N822" t="str">
        <f>IFERROR(INDEX(Katalog!$A$3:$A$12,MATCH(cadangan3[[#This Row],[ItemID B]],Katalog!$C$3:$C$12,0)),"-")</f>
        <v>Pakaian Pria</v>
      </c>
      <c r="O822" t="str">
        <f>IFERROR(INDEX(Katalog!$B$3:$B$12,MATCH(cadangan3[[#This Row],[ItemID B]],Katalog!$C$3:$C$12,0)),"-")</f>
        <v>Jaket Jeans</v>
      </c>
      <c r="P822">
        <v>1</v>
      </c>
      <c r="Q822">
        <v>4</v>
      </c>
      <c r="R822" s="36">
        <f>IFERROR(INDEX(Katalog!$D$3:$D$12,MATCH(cadangan3[[#This Row],[ItemID B]],Katalog!$C$3:$C$12,0))*cadangan3[[#This Row],[Qty B]],0)</f>
        <v>400000</v>
      </c>
      <c r="S822" s="36">
        <f>IFERROR(INDEX(Katalog!$D$3:$D$12,MATCH(cadangan3[[#This Row],[Item B]],Katalog!$B$3:$B$12,0))*cadangan3[[#This Row],[Qty B]],0)</f>
        <v>400000</v>
      </c>
      <c r="T822" s="36">
        <f>IFERROR(cadangan3[[#This Row],[Harga Asli B]]-(cadangan3[[#This Row],[Harga Asli B]]*cadangan3[[#This Row],[Diskon]]),cadangan3[[#This Row],[Harga Asli B]])</f>
        <v>360000</v>
      </c>
      <c r="U822" s="36">
        <f>IFERROR(INDEX(Katalog!$F$3:$F$12,MATCH(cadangan3[[#This Row],[ItemID B]],Katalog!$C$3:$C$12,0))*cadangan3[[#This Row],[Qty B]],0)</f>
        <v>150000</v>
      </c>
      <c r="V822" s="36">
        <f>IFERROR(cadangan3[[#This Row],[Profit B]]-(cadangan3[[#This Row],[Profit B]]*cadangan3[[#This Row],[Diskon]]),U822)</f>
        <v>135000</v>
      </c>
      <c r="X822" t="str">
        <f>IFERROR(INDEX(Katalog!$A$3:$A$12,MATCH(cadangan3[[#This Row],[ItemID C]],Katalog!$C$3:$C$12,0)),"-")</f>
        <v>-</v>
      </c>
      <c r="Y822" t="str">
        <f>IFERROR(INDEX(Katalog!$B$3:$B$12,MATCH(cadangan3[[#This Row],[ItemID C]],Katalog!$C$3:$C$12,0)),"-")</f>
        <v>-</v>
      </c>
      <c r="AB822" s="36">
        <f>IFERROR(INDEX(Katalog!$D$3:$D$12,MATCH(cadangan3[[#This Row],[ItemID C]],Katalog!$C$3:$C$12,0))*cadangan3[[#This Row],[Qty C]],0)</f>
        <v>0</v>
      </c>
      <c r="AC822" s="36">
        <f>IFERROR(INDEX(Katalog!$D$3:$D$12,MATCH(cadangan3[[#This Row],[Item C]],Katalog!$B$3:$B$12,0))*cadangan3[[#This Row],[Qty C]],0)</f>
        <v>0</v>
      </c>
      <c r="AD822" s="36">
        <f>IFERROR(cadangan3[[#This Row],[Harga Asli C]]-(cadangan3[[#This Row],[Harga Asli C]]*cadangan3[[#This Row],[Diskon]]),cadangan3[[#This Row],[Harga Asli C]])</f>
        <v>0</v>
      </c>
      <c r="AE822" s="36">
        <f>IFERROR(INDEX(Katalog!$F$3:$F$12,MATCH(cadangan3[[#This Row],[ItemID C]],Katalog!$C$3:$C$12,0))*cadangan3[[#This Row],[Qty C]],0)</f>
        <v>0</v>
      </c>
      <c r="AF822" s="36">
        <f>IFERROR(cadangan3[[#This Row],[Profit C]]-(cadangan3[[#This Row],[Profit C]]*cadangan3[[#This Row],[Diskon]]),cadangan3[[#This Row],[Profit C]])</f>
        <v>0</v>
      </c>
      <c r="AG822" s="21">
        <f>cadangan3[[#This Row],[Qty A]]+cadangan3[[#This Row],[Qty B]]+cadangan3[[#This Row],[Qty C]]</f>
        <v>2</v>
      </c>
      <c r="AH822" s="35">
        <f>cadangan3[[#This Row],[Harga A + Diskon]]+cadangan3[[#This Row],[Harga + Diskon B]]+cadangan3[[#This Row],[Harga + Diskon C]]</f>
        <v>522000</v>
      </c>
      <c r="AI822" s="35">
        <f>(cadangan3[[#This Row],[Profit A]]+cadangan3[[#This Row],[Profit B]]+cadangan3[[#This Row],[Profit C]])</f>
        <v>220000</v>
      </c>
      <c r="AJ822" s="35">
        <f>cadangan3[[#This Row],[Provit A + Diskon]]+cadangan3[[#This Row],[Provit B + Diskon]]+cadangan3[[#This Row],[Provit C + Diskon]]</f>
        <v>198000</v>
      </c>
      <c r="AK822" s="23" t="s">
        <v>31</v>
      </c>
      <c r="AL822" s="37">
        <f>IFERROR(INDEX('Kode Diskon'!$D$3:$D$9,MATCH(cadangan3[[#This Row],[Kode diskon]],'Kode Diskon'!$C$3:$C$9,0)),"-")</f>
        <v>0.1</v>
      </c>
      <c r="AM822" s="23" t="s">
        <v>9</v>
      </c>
      <c r="AN822" s="23" t="s">
        <v>10</v>
      </c>
      <c r="AO822" s="23" t="s">
        <v>80</v>
      </c>
      <c r="AP822" s="24">
        <v>45038</v>
      </c>
      <c r="AQ822" s="23" t="str">
        <f>TEXT(cadangan3[[#This Row],[Tanggal terjual]],"dddd")</f>
        <v>Saturday</v>
      </c>
    </row>
    <row r="823" spans="1:43" x14ac:dyDescent="0.2">
      <c r="A823" s="20">
        <v>822</v>
      </c>
      <c r="B823" s="21" t="str">
        <f>_xlfn.CONCAT("ORD-",INDEX(Helper!$B$2:$B$5,MATCH(cadangan3[[#This Row],[Marketplace]],Helper!$A$2:$A$5,0)),TEXT(cadangan3[[#This Row],[No]],"0000"),"-",TEXT(cadangan3[[#This Row],[Tanggal terjual]],"dd/mm/yy"))</f>
        <v>ORD-TK0822-03/04/23</v>
      </c>
      <c r="C823" t="s">
        <v>63</v>
      </c>
      <c r="D823" t="str">
        <f>IFERROR(INDEX(Katalog!$A$3:$A$12,MATCH(cadangan3[[#This Row],[ItemID A]],Katalog!$C$3:$C$12,0)),"-")</f>
        <v>Pakaian Pria</v>
      </c>
      <c r="E823" t="str">
        <f>IFERROR(INDEX(Katalog!$B$3:$B$12,MATCH(cadangan3[[#This Row],[ItemID A]],Katalog!$C$3:$C$12,0)),"-")</f>
        <v>Jaket Jeans</v>
      </c>
      <c r="F823">
        <v>3</v>
      </c>
      <c r="G823">
        <v>4</v>
      </c>
      <c r="H823" s="36">
        <f>IFERROR(INDEX(Katalog!$D$3:$D$12,MATCH(cadangan3[[#This Row],[ItemID A]],Katalog!$C$3:$C$12,0))*cadangan3[[#This Row],[Qty A]],0)</f>
        <v>1200000</v>
      </c>
      <c r="I823" s="36">
        <f>IFERROR(INDEX(Katalog!$D$3:$D$12,MATCH(cadangan3[[#This Row],[Item A]],Katalog!$B$3:$B$12,0))*cadangan3[[#This Row],[Qty A]],0)</f>
        <v>1200000</v>
      </c>
      <c r="J823" s="36">
        <f>IFERROR(cadangan3[[#This Row],[Harga Asli A]]-(cadangan3[[#This Row],[Harga Asli A]]*cadangan3[[#This Row],[Diskon]]),cadangan3[[#This Row],[Harga Asli A]])</f>
        <v>1080000</v>
      </c>
      <c r="K823" s="36">
        <f>INDEX(Katalog!$F$3:$F$12,MATCH(cadangan3[[#This Row],[ItemID A]],Katalog!$C$3:$C$12,0))*cadangan3[[#This Row],[Qty A]]</f>
        <v>450000</v>
      </c>
      <c r="L823" s="36">
        <f>IFERROR(cadangan3[[#This Row],[Profit A]]-(cadangan3[[#This Row],[Profit A]]*cadangan3[[#This Row],[Diskon]]),K823)</f>
        <v>405000</v>
      </c>
      <c r="M823" t="s">
        <v>61</v>
      </c>
      <c r="N823" t="str">
        <f>IFERROR(INDEX(Katalog!$A$3:$A$12,MATCH(cadangan3[[#This Row],[ItemID B]],Katalog!$C$3:$C$12,0)),"-")</f>
        <v>Pakaian Pria</v>
      </c>
      <c r="O823" t="str">
        <f>IFERROR(INDEX(Katalog!$B$3:$B$12,MATCH(cadangan3[[#This Row],[ItemID B]],Katalog!$C$3:$C$12,0)),"-")</f>
        <v>Kaos Polo</v>
      </c>
      <c r="P823">
        <v>1</v>
      </c>
      <c r="Q823">
        <v>4</v>
      </c>
      <c r="R823" s="36">
        <f>IFERROR(INDEX(Katalog!$D$3:$D$12,MATCH(cadangan3[[#This Row],[ItemID B]],Katalog!$C$3:$C$12,0))*cadangan3[[#This Row],[Qty B]],0)</f>
        <v>200000</v>
      </c>
      <c r="S823" s="36">
        <f>IFERROR(INDEX(Katalog!$D$3:$D$12,MATCH(cadangan3[[#This Row],[Item B]],Katalog!$B$3:$B$12,0))*cadangan3[[#This Row],[Qty B]],0)</f>
        <v>200000</v>
      </c>
      <c r="T823" s="36">
        <f>IFERROR(cadangan3[[#This Row],[Harga Asli B]]-(cadangan3[[#This Row],[Harga Asli B]]*cadangan3[[#This Row],[Diskon]]),cadangan3[[#This Row],[Harga Asli B]])</f>
        <v>180000</v>
      </c>
      <c r="U823" s="36">
        <f>IFERROR(INDEX(Katalog!$F$3:$F$12,MATCH(cadangan3[[#This Row],[ItemID B]],Katalog!$C$3:$C$12,0))*cadangan3[[#This Row],[Qty B]],0)</f>
        <v>80000</v>
      </c>
      <c r="V823" s="36">
        <f>IFERROR(cadangan3[[#This Row],[Profit B]]-(cadangan3[[#This Row],[Profit B]]*cadangan3[[#This Row],[Diskon]]),U823)</f>
        <v>72000</v>
      </c>
      <c r="W823" t="s">
        <v>61</v>
      </c>
      <c r="X823" t="str">
        <f>IFERROR(INDEX(Katalog!$A$3:$A$12,MATCH(cadangan3[[#This Row],[ItemID C]],Katalog!$C$3:$C$12,0)),"-")</f>
        <v>Pakaian Pria</v>
      </c>
      <c r="Y823" t="str">
        <f>IFERROR(INDEX(Katalog!$B$3:$B$12,MATCH(cadangan3[[#This Row],[ItemID C]],Katalog!$C$3:$C$12,0)),"-")</f>
        <v>Kaos Polo</v>
      </c>
      <c r="Z823">
        <v>1</v>
      </c>
      <c r="AA823">
        <v>2</v>
      </c>
      <c r="AB823" s="36">
        <f>IFERROR(INDEX(Katalog!$D$3:$D$12,MATCH(cadangan3[[#This Row],[ItemID C]],Katalog!$C$3:$C$12,0))*cadangan3[[#This Row],[Qty C]],0)</f>
        <v>200000</v>
      </c>
      <c r="AC823" s="36">
        <f>IFERROR(INDEX(Katalog!$D$3:$D$12,MATCH(cadangan3[[#This Row],[Item C]],Katalog!$B$3:$B$12,0))*cadangan3[[#This Row],[Qty C]],0)</f>
        <v>200000</v>
      </c>
      <c r="AD823" s="36">
        <f>IFERROR(cadangan3[[#This Row],[Harga Asli C]]-(cadangan3[[#This Row],[Harga Asli C]]*cadangan3[[#This Row],[Diskon]]),cadangan3[[#This Row],[Harga Asli C]])</f>
        <v>180000</v>
      </c>
      <c r="AE823" s="36">
        <f>IFERROR(INDEX(Katalog!$F$3:$F$12,MATCH(cadangan3[[#This Row],[ItemID C]],Katalog!$C$3:$C$12,0))*cadangan3[[#This Row],[Qty C]],0)</f>
        <v>80000</v>
      </c>
      <c r="AF823" s="36">
        <f>IFERROR(cadangan3[[#This Row],[Profit C]]-(cadangan3[[#This Row],[Profit C]]*cadangan3[[#This Row],[Diskon]]),cadangan3[[#This Row],[Profit C]])</f>
        <v>72000</v>
      </c>
      <c r="AG823" s="21">
        <f>cadangan3[[#This Row],[Qty A]]+cadangan3[[#This Row],[Qty B]]+cadangan3[[#This Row],[Qty C]]</f>
        <v>5</v>
      </c>
      <c r="AH823" s="35">
        <f>cadangan3[[#This Row],[Harga A + Diskon]]+cadangan3[[#This Row],[Harga + Diskon B]]+cadangan3[[#This Row],[Harga + Diskon C]]</f>
        <v>1440000</v>
      </c>
      <c r="AI823" s="35">
        <f>(cadangan3[[#This Row],[Profit A]]+cadangan3[[#This Row],[Profit B]]+cadangan3[[#This Row],[Profit C]])</f>
        <v>610000</v>
      </c>
      <c r="AJ823" s="35">
        <f>cadangan3[[#This Row],[Provit A + Diskon]]+cadangan3[[#This Row],[Provit B + Diskon]]+cadangan3[[#This Row],[Provit C + Diskon]]</f>
        <v>549000</v>
      </c>
      <c r="AK823" s="23" t="s">
        <v>30</v>
      </c>
      <c r="AL823" s="37">
        <f>IFERROR(INDEX('Kode Diskon'!$D$3:$D$9,MATCH(cadangan3[[#This Row],[Kode diskon]],'Kode Diskon'!$C$3:$C$9,0)),"-")</f>
        <v>0.1</v>
      </c>
      <c r="AM823" s="23" t="s">
        <v>29</v>
      </c>
      <c r="AN823" s="23" t="s">
        <v>10</v>
      </c>
      <c r="AO823" s="23" t="s">
        <v>80</v>
      </c>
      <c r="AP823" s="24">
        <v>45019</v>
      </c>
      <c r="AQ823" s="23" t="str">
        <f>TEXT(cadangan3[[#This Row],[Tanggal terjual]],"dddd")</f>
        <v>Monday</v>
      </c>
    </row>
    <row r="824" spans="1:43" x14ac:dyDescent="0.2">
      <c r="A824" s="20">
        <v>823</v>
      </c>
      <c r="B824" s="21" t="str">
        <f>_xlfn.CONCAT("ORD-",INDEX(Helper!$B$2:$B$5,MATCH(cadangan3[[#This Row],[Marketplace]],Helper!$A$2:$A$5,0)),TEXT(cadangan3[[#This Row],[No]],"0000"),"-",TEXT(cadangan3[[#This Row],[Tanggal terjual]],"dd/mm/yy"))</f>
        <v>ORD-SP0823-06/04/23</v>
      </c>
      <c r="C824" t="s">
        <v>59</v>
      </c>
      <c r="D824" t="str">
        <f>IFERROR(INDEX(Katalog!$A$3:$A$12,MATCH(cadangan3[[#This Row],[ItemID A]],Katalog!$C$3:$C$12,0)),"-")</f>
        <v>Pakaian Wanita</v>
      </c>
      <c r="E824" t="str">
        <f>IFERROR(INDEX(Katalog!$B$3:$B$12,MATCH(cadangan3[[#This Row],[ItemID A]],Katalog!$C$3:$C$12,0)),"-")</f>
        <v>Blouse</v>
      </c>
      <c r="F824">
        <v>2</v>
      </c>
      <c r="G824">
        <v>2</v>
      </c>
      <c r="H824" s="36">
        <f>IFERROR(INDEX(Katalog!$D$3:$D$12,MATCH(cadangan3[[#This Row],[ItemID A]],Katalog!$C$3:$C$12,0))*cadangan3[[#This Row],[Qty A]],0)</f>
        <v>300000</v>
      </c>
      <c r="I824" s="36">
        <f>IFERROR(INDEX(Katalog!$D$3:$D$12,MATCH(cadangan3[[#This Row],[Item A]],Katalog!$B$3:$B$12,0))*cadangan3[[#This Row],[Qty A]],0)</f>
        <v>300000</v>
      </c>
      <c r="J824" s="36">
        <f>IFERROR(cadangan3[[#This Row],[Harga Asli A]]-(cadangan3[[#This Row],[Harga Asli A]]*cadangan3[[#This Row],[Diskon]]),cadangan3[[#This Row],[Harga Asli A]])</f>
        <v>255000</v>
      </c>
      <c r="K824" s="36">
        <f>INDEX(Katalog!$F$3:$F$12,MATCH(cadangan3[[#This Row],[ItemID A]],Katalog!$C$3:$C$12,0))*cadangan3[[#This Row],[Qty A]]</f>
        <v>100000</v>
      </c>
      <c r="L824" s="36">
        <f>IFERROR(cadangan3[[#This Row],[Profit A]]-(cadangan3[[#This Row],[Profit A]]*cadangan3[[#This Row],[Diskon]]),K824)</f>
        <v>85000</v>
      </c>
      <c r="M824" t="s">
        <v>67</v>
      </c>
      <c r="N824" t="str">
        <f>IFERROR(INDEX(Katalog!$A$3:$A$12,MATCH(cadangan3[[#This Row],[ItemID B]],Katalog!$C$3:$C$12,0)),"-")</f>
        <v>Sepatu Wanita</v>
      </c>
      <c r="O824" t="str">
        <f>IFERROR(INDEX(Katalog!$B$3:$B$12,MATCH(cadangan3[[#This Row],[ItemID B]],Katalog!$C$3:$C$12,0)),"-")</f>
        <v>Flat Shoes</v>
      </c>
      <c r="P824">
        <v>1</v>
      </c>
      <c r="Q824">
        <v>1</v>
      </c>
      <c r="R824" s="36">
        <f>IFERROR(INDEX(Katalog!$D$3:$D$12,MATCH(cadangan3[[#This Row],[ItemID B]],Katalog!$C$3:$C$12,0))*cadangan3[[#This Row],[Qty B]],0)</f>
        <v>250000</v>
      </c>
      <c r="S824" s="36">
        <f>IFERROR(INDEX(Katalog!$D$3:$D$12,MATCH(cadangan3[[#This Row],[Item B]],Katalog!$B$3:$B$12,0))*cadangan3[[#This Row],[Qty B]],0)</f>
        <v>250000</v>
      </c>
      <c r="T824" s="36">
        <f>IFERROR(cadangan3[[#This Row],[Harga Asli B]]-(cadangan3[[#This Row],[Harga Asli B]]*cadangan3[[#This Row],[Diskon]]),cadangan3[[#This Row],[Harga Asli B]])</f>
        <v>212500</v>
      </c>
      <c r="U824" s="36">
        <f>IFERROR(INDEX(Katalog!$F$3:$F$12,MATCH(cadangan3[[#This Row],[ItemID B]],Katalog!$C$3:$C$12,0))*cadangan3[[#This Row],[Qty B]],0)</f>
        <v>100000</v>
      </c>
      <c r="V824" s="36">
        <f>IFERROR(cadangan3[[#This Row],[Profit B]]-(cadangan3[[#This Row],[Profit B]]*cadangan3[[#This Row],[Diskon]]),U824)</f>
        <v>85000</v>
      </c>
      <c r="W824" t="s">
        <v>61</v>
      </c>
      <c r="X824" t="str">
        <f>IFERROR(INDEX(Katalog!$A$3:$A$12,MATCH(cadangan3[[#This Row],[ItemID C]],Katalog!$C$3:$C$12,0)),"-")</f>
        <v>Pakaian Pria</v>
      </c>
      <c r="Y824" t="str">
        <f>IFERROR(INDEX(Katalog!$B$3:$B$12,MATCH(cadangan3[[#This Row],[ItemID C]],Katalog!$C$3:$C$12,0)),"-")</f>
        <v>Kaos Polo</v>
      </c>
      <c r="Z824">
        <v>4</v>
      </c>
      <c r="AA824">
        <v>2</v>
      </c>
      <c r="AB824" s="36">
        <f>IFERROR(INDEX(Katalog!$D$3:$D$12,MATCH(cadangan3[[#This Row],[ItemID C]],Katalog!$C$3:$C$12,0))*cadangan3[[#This Row],[Qty C]],0)</f>
        <v>800000</v>
      </c>
      <c r="AC824" s="36">
        <f>IFERROR(INDEX(Katalog!$D$3:$D$12,MATCH(cadangan3[[#This Row],[Item C]],Katalog!$B$3:$B$12,0))*cadangan3[[#This Row],[Qty C]],0)</f>
        <v>800000</v>
      </c>
      <c r="AD824" s="36">
        <f>IFERROR(cadangan3[[#This Row],[Harga Asli C]]-(cadangan3[[#This Row],[Harga Asli C]]*cadangan3[[#This Row],[Diskon]]),cadangan3[[#This Row],[Harga Asli C]])</f>
        <v>680000</v>
      </c>
      <c r="AE824" s="36">
        <f>IFERROR(INDEX(Katalog!$F$3:$F$12,MATCH(cadangan3[[#This Row],[ItemID C]],Katalog!$C$3:$C$12,0))*cadangan3[[#This Row],[Qty C]],0)</f>
        <v>320000</v>
      </c>
      <c r="AF824" s="36">
        <f>IFERROR(cadangan3[[#This Row],[Profit C]]-(cadangan3[[#This Row],[Profit C]]*cadangan3[[#This Row],[Diskon]]),cadangan3[[#This Row],[Profit C]])</f>
        <v>272000</v>
      </c>
      <c r="AG824" s="21">
        <f>cadangan3[[#This Row],[Qty A]]+cadangan3[[#This Row],[Qty B]]+cadangan3[[#This Row],[Qty C]]</f>
        <v>7</v>
      </c>
      <c r="AH824" s="35">
        <f>cadangan3[[#This Row],[Harga A + Diskon]]+cadangan3[[#This Row],[Harga + Diskon B]]+cadangan3[[#This Row],[Harga + Diskon C]]</f>
        <v>1147500</v>
      </c>
      <c r="AI824" s="35">
        <f>(cadangan3[[#This Row],[Profit A]]+cadangan3[[#This Row],[Profit B]]+cadangan3[[#This Row],[Profit C]])</f>
        <v>520000</v>
      </c>
      <c r="AJ824" s="35">
        <f>cadangan3[[#This Row],[Provit A + Diskon]]+cadangan3[[#This Row],[Provit B + Diskon]]+cadangan3[[#This Row],[Provit C + Diskon]]</f>
        <v>442000</v>
      </c>
      <c r="AK824" s="23" t="s">
        <v>13</v>
      </c>
      <c r="AL824" s="37">
        <f>IFERROR(INDEX('Kode Diskon'!$D$3:$D$9,MATCH(cadangan3[[#This Row],[Kode diskon]],'Kode Diskon'!$C$3:$C$9,0)),"-")</f>
        <v>0.15</v>
      </c>
      <c r="AM824" s="23" t="s">
        <v>29</v>
      </c>
      <c r="AN824" s="23" t="s">
        <v>7</v>
      </c>
      <c r="AO824" s="23" t="s">
        <v>80</v>
      </c>
      <c r="AP824" s="24">
        <v>45022</v>
      </c>
      <c r="AQ824" s="23" t="str">
        <f>TEXT(cadangan3[[#This Row],[Tanggal terjual]],"dddd")</f>
        <v>Thursday</v>
      </c>
    </row>
    <row r="825" spans="1:43" x14ac:dyDescent="0.2">
      <c r="A825" s="20">
        <v>824</v>
      </c>
      <c r="B825" s="21" t="str">
        <f>_xlfn.CONCAT("ORD-",INDEX(Helper!$B$2:$B$5,MATCH(cadangan3[[#This Row],[Marketplace]],Helper!$A$2:$A$5,0)),TEXT(cadangan3[[#This Row],[No]],"0000"),"-",TEXT(cadangan3[[#This Row],[Tanggal terjual]],"dd/mm/yy"))</f>
        <v>ORD-TK0824-27/04/23</v>
      </c>
      <c r="C825" t="s">
        <v>58</v>
      </c>
      <c r="D825" t="str">
        <f>IFERROR(INDEX(Katalog!$A$3:$A$12,MATCH(cadangan3[[#This Row],[ItemID A]],Katalog!$C$3:$C$12,0)),"-")</f>
        <v>Pakaian Wanita</v>
      </c>
      <c r="E825" t="str">
        <f>IFERROR(INDEX(Katalog!$B$3:$B$12,MATCH(cadangan3[[#This Row],[ItemID A]],Katalog!$C$3:$C$12,0)),"-")</f>
        <v>Dress</v>
      </c>
      <c r="F825">
        <v>1</v>
      </c>
      <c r="G825">
        <v>4</v>
      </c>
      <c r="H825" s="36">
        <f>IFERROR(INDEX(Katalog!$D$3:$D$12,MATCH(cadangan3[[#This Row],[ItemID A]],Katalog!$C$3:$C$12,0))*cadangan3[[#This Row],[Qty A]],0)</f>
        <v>300000</v>
      </c>
      <c r="I825" s="36">
        <f>IFERROR(INDEX(Katalog!$D$3:$D$12,MATCH(cadangan3[[#This Row],[Item A]],Katalog!$B$3:$B$12,0))*cadangan3[[#This Row],[Qty A]],0)</f>
        <v>300000</v>
      </c>
      <c r="J825" s="36">
        <f>IFERROR(cadangan3[[#This Row],[Harga Asli A]]-(cadangan3[[#This Row],[Harga Asli A]]*cadangan3[[#This Row],[Diskon]]),cadangan3[[#This Row],[Harga Asli A]])</f>
        <v>270000</v>
      </c>
      <c r="K825" s="36">
        <f>INDEX(Katalog!$F$3:$F$12,MATCH(cadangan3[[#This Row],[ItemID A]],Katalog!$C$3:$C$12,0))*cadangan3[[#This Row],[Qty A]]</f>
        <v>100000</v>
      </c>
      <c r="L825" s="36">
        <f>IFERROR(cadangan3[[#This Row],[Profit A]]-(cadangan3[[#This Row],[Profit A]]*cadangan3[[#This Row],[Diskon]]),K825)</f>
        <v>90000</v>
      </c>
      <c r="N825" t="str">
        <f>IFERROR(INDEX(Katalog!$A$3:$A$12,MATCH(cadangan3[[#This Row],[ItemID B]],Katalog!$C$3:$C$12,0)),"-")</f>
        <v>-</v>
      </c>
      <c r="O825" t="str">
        <f>IFERROR(INDEX(Katalog!$B$3:$B$12,MATCH(cadangan3[[#This Row],[ItemID B]],Katalog!$C$3:$C$12,0)),"-")</f>
        <v>-</v>
      </c>
      <c r="R825" s="36">
        <f>IFERROR(INDEX(Katalog!$D$3:$D$12,MATCH(cadangan3[[#This Row],[ItemID B]],Katalog!$C$3:$C$12,0))*cadangan3[[#This Row],[Qty B]],0)</f>
        <v>0</v>
      </c>
      <c r="S825" s="36">
        <f>IFERROR(INDEX(Katalog!$D$3:$D$12,MATCH(cadangan3[[#This Row],[Item B]],Katalog!$B$3:$B$12,0))*cadangan3[[#This Row],[Qty B]],0)</f>
        <v>0</v>
      </c>
      <c r="T825" s="36">
        <f>IFERROR(cadangan3[[#This Row],[Harga Asli B]]-(cadangan3[[#This Row],[Harga Asli B]]*cadangan3[[#This Row],[Diskon]]),cadangan3[[#This Row],[Harga Asli B]])</f>
        <v>0</v>
      </c>
      <c r="U825" s="36">
        <f>IFERROR(INDEX(Katalog!$F$3:$F$12,MATCH(cadangan3[[#This Row],[ItemID B]],Katalog!$C$3:$C$12,0))*cadangan3[[#This Row],[Qty B]],0)</f>
        <v>0</v>
      </c>
      <c r="V825" s="36">
        <f>IFERROR(cadangan3[[#This Row],[Profit B]]-(cadangan3[[#This Row],[Profit B]]*cadangan3[[#This Row],[Diskon]]),U825)</f>
        <v>0</v>
      </c>
      <c r="X825" t="str">
        <f>IFERROR(INDEX(Katalog!$A$3:$A$12,MATCH(cadangan3[[#This Row],[ItemID C]],Katalog!$C$3:$C$12,0)),"-")</f>
        <v>-</v>
      </c>
      <c r="Y825" t="str">
        <f>IFERROR(INDEX(Katalog!$B$3:$B$12,MATCH(cadangan3[[#This Row],[ItemID C]],Katalog!$C$3:$C$12,0)),"-")</f>
        <v>-</v>
      </c>
      <c r="AB825" s="36">
        <f>IFERROR(INDEX(Katalog!$D$3:$D$12,MATCH(cadangan3[[#This Row],[ItemID C]],Katalog!$C$3:$C$12,0))*cadangan3[[#This Row],[Qty C]],0)</f>
        <v>0</v>
      </c>
      <c r="AC825" s="36">
        <f>IFERROR(INDEX(Katalog!$D$3:$D$12,MATCH(cadangan3[[#This Row],[Item C]],Katalog!$B$3:$B$12,0))*cadangan3[[#This Row],[Qty C]],0)</f>
        <v>0</v>
      </c>
      <c r="AD825" s="36">
        <f>IFERROR(cadangan3[[#This Row],[Harga Asli C]]-(cadangan3[[#This Row],[Harga Asli C]]*cadangan3[[#This Row],[Diskon]]),cadangan3[[#This Row],[Harga Asli C]])</f>
        <v>0</v>
      </c>
      <c r="AE825" s="36">
        <f>IFERROR(INDEX(Katalog!$F$3:$F$12,MATCH(cadangan3[[#This Row],[ItemID C]],Katalog!$C$3:$C$12,0))*cadangan3[[#This Row],[Qty C]],0)</f>
        <v>0</v>
      </c>
      <c r="AF825" s="36">
        <f>IFERROR(cadangan3[[#This Row],[Profit C]]-(cadangan3[[#This Row],[Profit C]]*cadangan3[[#This Row],[Diskon]]),cadangan3[[#This Row],[Profit C]])</f>
        <v>0</v>
      </c>
      <c r="AG825" s="21">
        <f>cadangan3[[#This Row],[Qty A]]+cadangan3[[#This Row],[Qty B]]+cadangan3[[#This Row],[Qty C]]</f>
        <v>1</v>
      </c>
      <c r="AH825" s="35">
        <f>cadangan3[[#This Row],[Harga A + Diskon]]+cadangan3[[#This Row],[Harga + Diskon B]]+cadangan3[[#This Row],[Harga + Diskon C]]</f>
        <v>270000</v>
      </c>
      <c r="AI825" s="35">
        <f>(cadangan3[[#This Row],[Profit A]]+cadangan3[[#This Row],[Profit B]]+cadangan3[[#This Row],[Profit C]])</f>
        <v>100000</v>
      </c>
      <c r="AJ825" s="35">
        <f>cadangan3[[#This Row],[Provit A + Diskon]]+cadangan3[[#This Row],[Provit B + Diskon]]+cadangan3[[#This Row],[Provit C + Diskon]]</f>
        <v>90000</v>
      </c>
      <c r="AK825" s="23" t="s">
        <v>31</v>
      </c>
      <c r="AL825" s="37">
        <f>IFERROR(INDEX('Kode Diskon'!$D$3:$D$9,MATCH(cadangan3[[#This Row],[Kode diskon]],'Kode Diskon'!$C$3:$C$9,0)),"-")</f>
        <v>0.1</v>
      </c>
      <c r="AM825" s="23" t="s">
        <v>9</v>
      </c>
      <c r="AN825" s="23" t="s">
        <v>10</v>
      </c>
      <c r="AO825" s="23" t="s">
        <v>80</v>
      </c>
      <c r="AP825" s="24">
        <v>45043</v>
      </c>
      <c r="AQ825" s="23" t="str">
        <f>TEXT(cadangan3[[#This Row],[Tanggal terjual]],"dddd")</f>
        <v>Thursday</v>
      </c>
    </row>
    <row r="826" spans="1:43" x14ac:dyDescent="0.2">
      <c r="A826" s="20">
        <v>825</v>
      </c>
      <c r="B826" s="21" t="str">
        <f>_xlfn.CONCAT("ORD-",INDEX(Helper!$B$2:$B$5,MATCH(cadangan3[[#This Row],[Marketplace]],Helper!$A$2:$A$5,0)),TEXT(cadangan3[[#This Row],[No]],"0000"),"-",TEXT(cadangan3[[#This Row],[Tanggal terjual]],"dd/mm/yy"))</f>
        <v>ORD-BL0825-26/04/23</v>
      </c>
      <c r="C826" t="s">
        <v>67</v>
      </c>
      <c r="D826" t="str">
        <f>IFERROR(INDEX(Katalog!$A$3:$A$12,MATCH(cadangan3[[#This Row],[ItemID A]],Katalog!$C$3:$C$12,0)),"-")</f>
        <v>Sepatu Wanita</v>
      </c>
      <c r="E826" t="str">
        <f>IFERROR(INDEX(Katalog!$B$3:$B$12,MATCH(cadangan3[[#This Row],[ItemID A]],Katalog!$C$3:$C$12,0)),"-")</f>
        <v>Flat Shoes</v>
      </c>
      <c r="F826">
        <v>2</v>
      </c>
      <c r="G826">
        <v>2</v>
      </c>
      <c r="H826" s="36">
        <f>IFERROR(INDEX(Katalog!$D$3:$D$12,MATCH(cadangan3[[#This Row],[ItemID A]],Katalog!$C$3:$C$12,0))*cadangan3[[#This Row],[Qty A]],0)</f>
        <v>500000</v>
      </c>
      <c r="I826" s="36">
        <f>IFERROR(INDEX(Katalog!$D$3:$D$12,MATCH(cadangan3[[#This Row],[Item A]],Katalog!$B$3:$B$12,0))*cadangan3[[#This Row],[Qty A]],0)</f>
        <v>500000</v>
      </c>
      <c r="J826" s="36">
        <f>IFERROR(cadangan3[[#This Row],[Harga Asli A]]-(cadangan3[[#This Row],[Harga Asli A]]*cadangan3[[#This Row],[Diskon]]),cadangan3[[#This Row],[Harga Asli A]])</f>
        <v>425000</v>
      </c>
      <c r="K826" s="36">
        <f>INDEX(Katalog!$F$3:$F$12,MATCH(cadangan3[[#This Row],[ItemID A]],Katalog!$C$3:$C$12,0))*cadangan3[[#This Row],[Qty A]]</f>
        <v>200000</v>
      </c>
      <c r="L826" s="36">
        <f>IFERROR(cadangan3[[#This Row],[Profit A]]-(cadangan3[[#This Row],[Profit A]]*cadangan3[[#This Row],[Diskon]]),K826)</f>
        <v>170000</v>
      </c>
      <c r="M826" t="s">
        <v>59</v>
      </c>
      <c r="N826" t="str">
        <f>IFERROR(INDEX(Katalog!$A$3:$A$12,MATCH(cadangan3[[#This Row],[ItemID B]],Katalog!$C$3:$C$12,0)),"-")</f>
        <v>Pakaian Wanita</v>
      </c>
      <c r="O826" t="str">
        <f>IFERROR(INDEX(Katalog!$B$3:$B$12,MATCH(cadangan3[[#This Row],[ItemID B]],Katalog!$C$3:$C$12,0)),"-")</f>
        <v>Blouse</v>
      </c>
      <c r="P826">
        <v>4</v>
      </c>
      <c r="Q826">
        <v>1</v>
      </c>
      <c r="R826" s="36">
        <f>IFERROR(INDEX(Katalog!$D$3:$D$12,MATCH(cadangan3[[#This Row],[ItemID B]],Katalog!$C$3:$C$12,0))*cadangan3[[#This Row],[Qty B]],0)</f>
        <v>600000</v>
      </c>
      <c r="S826" s="36">
        <f>IFERROR(INDEX(Katalog!$D$3:$D$12,MATCH(cadangan3[[#This Row],[Item B]],Katalog!$B$3:$B$12,0))*cadangan3[[#This Row],[Qty B]],0)</f>
        <v>600000</v>
      </c>
      <c r="T826" s="36">
        <f>IFERROR(cadangan3[[#This Row],[Harga Asli B]]-(cadangan3[[#This Row],[Harga Asli B]]*cadangan3[[#This Row],[Diskon]]),cadangan3[[#This Row],[Harga Asli B]])</f>
        <v>510000</v>
      </c>
      <c r="U826" s="36">
        <f>IFERROR(INDEX(Katalog!$F$3:$F$12,MATCH(cadangan3[[#This Row],[ItemID B]],Katalog!$C$3:$C$12,0))*cadangan3[[#This Row],[Qty B]],0)</f>
        <v>200000</v>
      </c>
      <c r="V826" s="36">
        <f>IFERROR(cadangan3[[#This Row],[Profit B]]-(cadangan3[[#This Row],[Profit B]]*cadangan3[[#This Row],[Diskon]]),U826)</f>
        <v>170000</v>
      </c>
      <c r="X826" t="str">
        <f>IFERROR(INDEX(Katalog!$A$3:$A$12,MATCH(cadangan3[[#This Row],[ItemID C]],Katalog!$C$3:$C$12,0)),"-")</f>
        <v>-</v>
      </c>
      <c r="Y826" t="str">
        <f>IFERROR(INDEX(Katalog!$B$3:$B$12,MATCH(cadangan3[[#This Row],[ItemID C]],Katalog!$C$3:$C$12,0)),"-")</f>
        <v>-</v>
      </c>
      <c r="AB826" s="36">
        <f>IFERROR(INDEX(Katalog!$D$3:$D$12,MATCH(cadangan3[[#This Row],[ItemID C]],Katalog!$C$3:$C$12,0))*cadangan3[[#This Row],[Qty C]],0)</f>
        <v>0</v>
      </c>
      <c r="AC826" s="36">
        <f>IFERROR(INDEX(Katalog!$D$3:$D$12,MATCH(cadangan3[[#This Row],[Item C]],Katalog!$B$3:$B$12,0))*cadangan3[[#This Row],[Qty C]],0)</f>
        <v>0</v>
      </c>
      <c r="AD826" s="36">
        <f>IFERROR(cadangan3[[#This Row],[Harga Asli C]]-(cadangan3[[#This Row],[Harga Asli C]]*cadangan3[[#This Row],[Diskon]]),cadangan3[[#This Row],[Harga Asli C]])</f>
        <v>0</v>
      </c>
      <c r="AE826" s="36">
        <f>IFERROR(INDEX(Katalog!$F$3:$F$12,MATCH(cadangan3[[#This Row],[ItemID C]],Katalog!$C$3:$C$12,0))*cadangan3[[#This Row],[Qty C]],0)</f>
        <v>0</v>
      </c>
      <c r="AF826" s="36">
        <f>IFERROR(cadangan3[[#This Row],[Profit C]]-(cadangan3[[#This Row],[Profit C]]*cadangan3[[#This Row],[Diskon]]),cadangan3[[#This Row],[Profit C]])</f>
        <v>0</v>
      </c>
      <c r="AG826" s="21">
        <f>cadangan3[[#This Row],[Qty A]]+cadangan3[[#This Row],[Qty B]]+cadangan3[[#This Row],[Qty C]]</f>
        <v>6</v>
      </c>
      <c r="AH826" s="35">
        <f>cadangan3[[#This Row],[Harga A + Diskon]]+cadangan3[[#This Row],[Harga + Diskon B]]+cadangan3[[#This Row],[Harga + Diskon C]]</f>
        <v>935000</v>
      </c>
      <c r="AI826" s="35">
        <f>(cadangan3[[#This Row],[Profit A]]+cadangan3[[#This Row],[Profit B]]+cadangan3[[#This Row],[Profit C]])</f>
        <v>400000</v>
      </c>
      <c r="AJ826" s="35">
        <f>cadangan3[[#This Row],[Provit A + Diskon]]+cadangan3[[#This Row],[Provit B + Diskon]]+cadangan3[[#This Row],[Provit C + Diskon]]</f>
        <v>340000</v>
      </c>
      <c r="AK826" s="23" t="s">
        <v>32</v>
      </c>
      <c r="AL826" s="37">
        <f>IFERROR(INDEX('Kode Diskon'!$D$3:$D$9,MATCH(cadangan3[[#This Row],[Kode diskon]],'Kode Diskon'!$C$3:$C$9,0)),"-")</f>
        <v>0.15</v>
      </c>
      <c r="AM826" s="23" t="s">
        <v>9</v>
      </c>
      <c r="AN826" s="23" t="s">
        <v>12</v>
      </c>
      <c r="AO826" s="23" t="s">
        <v>80</v>
      </c>
      <c r="AP826" s="24">
        <v>45042</v>
      </c>
      <c r="AQ826" s="23" t="str">
        <f>TEXT(cadangan3[[#This Row],[Tanggal terjual]],"dddd")</f>
        <v>Wednesday</v>
      </c>
    </row>
    <row r="827" spans="1:43" x14ac:dyDescent="0.2">
      <c r="A827" s="20">
        <v>826</v>
      </c>
      <c r="B827" s="21" t="str">
        <f>_xlfn.CONCAT("ORD-",INDEX(Helper!$B$2:$B$5,MATCH(cadangan3[[#This Row],[Marketplace]],Helper!$A$2:$A$5,0)),TEXT(cadangan3[[#This Row],[No]],"0000"),"-",TEXT(cadangan3[[#This Row],[Tanggal terjual]],"dd/mm/yy"))</f>
        <v>ORD-BL0826-27/04/23</v>
      </c>
      <c r="C827" t="s">
        <v>64</v>
      </c>
      <c r="D827" t="str">
        <f>IFERROR(INDEX(Katalog!$A$3:$A$12,MATCH(cadangan3[[#This Row],[ItemID A]],Katalog!$C$3:$C$12,0)),"-")</f>
        <v>Pakaian Unisex</v>
      </c>
      <c r="E827" t="str">
        <f>IFERROR(INDEX(Katalog!$B$3:$B$12,MATCH(cadangan3[[#This Row],[ItemID A]],Katalog!$C$3:$C$12,0)),"-")</f>
        <v>Jaket Hoodie</v>
      </c>
      <c r="F827">
        <v>4</v>
      </c>
      <c r="G827">
        <v>3</v>
      </c>
      <c r="H827" s="36">
        <f>IFERROR(INDEX(Katalog!$D$3:$D$12,MATCH(cadangan3[[#This Row],[ItemID A]],Katalog!$C$3:$C$12,0))*cadangan3[[#This Row],[Qty A]],0)</f>
        <v>1400000</v>
      </c>
      <c r="I827" s="36">
        <f>IFERROR(INDEX(Katalog!$D$3:$D$12,MATCH(cadangan3[[#This Row],[Item A]],Katalog!$B$3:$B$12,0))*cadangan3[[#This Row],[Qty A]],0)</f>
        <v>1400000</v>
      </c>
      <c r="J827" s="36">
        <f>IFERROR(cadangan3[[#This Row],[Harga Asli A]]-(cadangan3[[#This Row],[Harga Asli A]]*cadangan3[[#This Row],[Diskon]]),cadangan3[[#This Row],[Harga Asli A]])</f>
        <v>1190000</v>
      </c>
      <c r="K827" s="36">
        <f>INDEX(Katalog!$F$3:$F$12,MATCH(cadangan3[[#This Row],[ItemID A]],Katalog!$C$3:$C$12,0))*cadangan3[[#This Row],[Qty A]]</f>
        <v>520000</v>
      </c>
      <c r="L827" s="36">
        <f>IFERROR(cadangan3[[#This Row],[Profit A]]-(cadangan3[[#This Row],[Profit A]]*cadangan3[[#This Row],[Diskon]]),K827)</f>
        <v>442000</v>
      </c>
      <c r="M827" t="s">
        <v>59</v>
      </c>
      <c r="N827" t="str">
        <f>IFERROR(INDEX(Katalog!$A$3:$A$12,MATCH(cadangan3[[#This Row],[ItemID B]],Katalog!$C$3:$C$12,0)),"-")</f>
        <v>Pakaian Wanita</v>
      </c>
      <c r="O827" t="str">
        <f>IFERROR(INDEX(Katalog!$B$3:$B$12,MATCH(cadangan3[[#This Row],[ItemID B]],Katalog!$C$3:$C$12,0)),"-")</f>
        <v>Blouse</v>
      </c>
      <c r="P827">
        <v>1</v>
      </c>
      <c r="Q827">
        <v>5</v>
      </c>
      <c r="R827" s="36">
        <f>IFERROR(INDEX(Katalog!$D$3:$D$12,MATCH(cadangan3[[#This Row],[ItemID B]],Katalog!$C$3:$C$12,0))*cadangan3[[#This Row],[Qty B]],0)</f>
        <v>150000</v>
      </c>
      <c r="S827" s="36">
        <f>IFERROR(INDEX(Katalog!$D$3:$D$12,MATCH(cadangan3[[#This Row],[Item B]],Katalog!$B$3:$B$12,0))*cadangan3[[#This Row],[Qty B]],0)</f>
        <v>150000</v>
      </c>
      <c r="T827" s="36">
        <f>IFERROR(cadangan3[[#This Row],[Harga Asli B]]-(cadangan3[[#This Row],[Harga Asli B]]*cadangan3[[#This Row],[Diskon]]),cadangan3[[#This Row],[Harga Asli B]])</f>
        <v>127500</v>
      </c>
      <c r="U827" s="36">
        <f>IFERROR(INDEX(Katalog!$F$3:$F$12,MATCH(cadangan3[[#This Row],[ItemID B]],Katalog!$C$3:$C$12,0))*cadangan3[[#This Row],[Qty B]],0)</f>
        <v>50000</v>
      </c>
      <c r="V827" s="36">
        <f>IFERROR(cadangan3[[#This Row],[Profit B]]-(cadangan3[[#This Row],[Profit B]]*cadangan3[[#This Row],[Diskon]]),U827)</f>
        <v>42500</v>
      </c>
      <c r="X827" t="str">
        <f>IFERROR(INDEX(Katalog!$A$3:$A$12,MATCH(cadangan3[[#This Row],[ItemID C]],Katalog!$C$3:$C$12,0)),"-")</f>
        <v>-</v>
      </c>
      <c r="Y827" t="str">
        <f>IFERROR(INDEX(Katalog!$B$3:$B$12,MATCH(cadangan3[[#This Row],[ItemID C]],Katalog!$C$3:$C$12,0)),"-")</f>
        <v>-</v>
      </c>
      <c r="AB827" s="36">
        <f>IFERROR(INDEX(Katalog!$D$3:$D$12,MATCH(cadangan3[[#This Row],[ItemID C]],Katalog!$C$3:$C$12,0))*cadangan3[[#This Row],[Qty C]],0)</f>
        <v>0</v>
      </c>
      <c r="AC827" s="36">
        <f>IFERROR(INDEX(Katalog!$D$3:$D$12,MATCH(cadangan3[[#This Row],[Item C]],Katalog!$B$3:$B$12,0))*cadangan3[[#This Row],[Qty C]],0)</f>
        <v>0</v>
      </c>
      <c r="AD827" s="36">
        <f>IFERROR(cadangan3[[#This Row],[Harga Asli C]]-(cadangan3[[#This Row],[Harga Asli C]]*cadangan3[[#This Row],[Diskon]]),cadangan3[[#This Row],[Harga Asli C]])</f>
        <v>0</v>
      </c>
      <c r="AE827" s="36">
        <f>IFERROR(INDEX(Katalog!$F$3:$F$12,MATCH(cadangan3[[#This Row],[ItemID C]],Katalog!$C$3:$C$12,0))*cadangan3[[#This Row],[Qty C]],0)</f>
        <v>0</v>
      </c>
      <c r="AF827" s="36">
        <f>IFERROR(cadangan3[[#This Row],[Profit C]]-(cadangan3[[#This Row],[Profit C]]*cadangan3[[#This Row],[Diskon]]),cadangan3[[#This Row],[Profit C]])</f>
        <v>0</v>
      </c>
      <c r="AG827" s="21">
        <f>cadangan3[[#This Row],[Qty A]]+cadangan3[[#This Row],[Qty B]]+cadangan3[[#This Row],[Qty C]]</f>
        <v>5</v>
      </c>
      <c r="AH827" s="35">
        <f>cadangan3[[#This Row],[Harga A + Diskon]]+cadangan3[[#This Row],[Harga + Diskon B]]+cadangan3[[#This Row],[Harga + Diskon C]]</f>
        <v>1317500</v>
      </c>
      <c r="AI827" s="35">
        <f>(cadangan3[[#This Row],[Profit A]]+cadangan3[[#This Row],[Profit B]]+cadangan3[[#This Row],[Profit C]])</f>
        <v>570000</v>
      </c>
      <c r="AJ827" s="35">
        <f>cadangan3[[#This Row],[Provit A + Diskon]]+cadangan3[[#This Row],[Provit B + Diskon]]+cadangan3[[#This Row],[Provit C + Diskon]]</f>
        <v>484500</v>
      </c>
      <c r="AK827" s="23" t="s">
        <v>32</v>
      </c>
      <c r="AL827" s="37">
        <f>IFERROR(INDEX('Kode Diskon'!$D$3:$D$9,MATCH(cadangan3[[#This Row],[Kode diskon]],'Kode Diskon'!$C$3:$C$9,0)),"-")</f>
        <v>0.15</v>
      </c>
      <c r="AM827" s="23" t="s">
        <v>9</v>
      </c>
      <c r="AN827" s="23" t="s">
        <v>12</v>
      </c>
      <c r="AO827" s="23" t="s">
        <v>80</v>
      </c>
      <c r="AP827" s="24">
        <v>45043</v>
      </c>
      <c r="AQ827" s="23" t="str">
        <f>TEXT(cadangan3[[#This Row],[Tanggal terjual]],"dddd")</f>
        <v>Thursday</v>
      </c>
    </row>
    <row r="828" spans="1:43" x14ac:dyDescent="0.2">
      <c r="A828" s="20">
        <v>827</v>
      </c>
      <c r="B828" s="21" t="str">
        <f>_xlfn.CONCAT("ORD-",INDEX(Helper!$B$2:$B$5,MATCH(cadangan3[[#This Row],[Marketplace]],Helper!$A$2:$A$5,0)),TEXT(cadangan3[[#This Row],[No]],"0000"),"-",TEXT(cadangan3[[#This Row],[Tanggal terjual]],"dd/mm/yy"))</f>
        <v>ORD-SP0827-05/04/23</v>
      </c>
      <c r="C828" t="s">
        <v>61</v>
      </c>
      <c r="D828" t="str">
        <f>IFERROR(INDEX(Katalog!$A$3:$A$12,MATCH(cadangan3[[#This Row],[ItemID A]],Katalog!$C$3:$C$12,0)),"-")</f>
        <v>Pakaian Pria</v>
      </c>
      <c r="E828" t="str">
        <f>IFERROR(INDEX(Katalog!$B$3:$B$12,MATCH(cadangan3[[#This Row],[ItemID A]],Katalog!$C$3:$C$12,0)),"-")</f>
        <v>Kaos Polo</v>
      </c>
      <c r="F828">
        <v>1</v>
      </c>
      <c r="G828">
        <v>5</v>
      </c>
      <c r="H828" s="36">
        <f>IFERROR(INDEX(Katalog!$D$3:$D$12,MATCH(cadangan3[[#This Row],[ItemID A]],Katalog!$C$3:$C$12,0))*cadangan3[[#This Row],[Qty A]],0)</f>
        <v>200000</v>
      </c>
      <c r="I828" s="36">
        <f>IFERROR(INDEX(Katalog!$D$3:$D$12,MATCH(cadangan3[[#This Row],[Item A]],Katalog!$B$3:$B$12,0))*cadangan3[[#This Row],[Qty A]],0)</f>
        <v>200000</v>
      </c>
      <c r="J828" s="36">
        <f>IFERROR(cadangan3[[#This Row],[Harga Asli A]]-(cadangan3[[#This Row],[Harga Asli A]]*cadangan3[[#This Row],[Diskon]]),cadangan3[[#This Row],[Harga Asli A]])</f>
        <v>170000</v>
      </c>
      <c r="K828" s="36">
        <f>INDEX(Katalog!$F$3:$F$12,MATCH(cadangan3[[#This Row],[ItemID A]],Katalog!$C$3:$C$12,0))*cadangan3[[#This Row],[Qty A]]</f>
        <v>80000</v>
      </c>
      <c r="L828" s="36">
        <f>IFERROR(cadangan3[[#This Row],[Profit A]]-(cadangan3[[#This Row],[Profit A]]*cadangan3[[#This Row],[Diskon]]),K828)</f>
        <v>68000</v>
      </c>
      <c r="N828" t="str">
        <f>IFERROR(INDEX(Katalog!$A$3:$A$12,MATCH(cadangan3[[#This Row],[ItemID B]],Katalog!$C$3:$C$12,0)),"-")</f>
        <v>-</v>
      </c>
      <c r="O828" t="str">
        <f>IFERROR(INDEX(Katalog!$B$3:$B$12,MATCH(cadangan3[[#This Row],[ItemID B]],Katalog!$C$3:$C$12,0)),"-")</f>
        <v>-</v>
      </c>
      <c r="R828" s="36">
        <f>IFERROR(INDEX(Katalog!$D$3:$D$12,MATCH(cadangan3[[#This Row],[ItemID B]],Katalog!$C$3:$C$12,0))*cadangan3[[#This Row],[Qty B]],0)</f>
        <v>0</v>
      </c>
      <c r="S828" s="36">
        <f>IFERROR(INDEX(Katalog!$D$3:$D$12,MATCH(cadangan3[[#This Row],[Item B]],Katalog!$B$3:$B$12,0))*cadangan3[[#This Row],[Qty B]],0)</f>
        <v>0</v>
      </c>
      <c r="T828" s="36">
        <f>IFERROR(cadangan3[[#This Row],[Harga Asli B]]-(cadangan3[[#This Row],[Harga Asli B]]*cadangan3[[#This Row],[Diskon]]),cadangan3[[#This Row],[Harga Asli B]])</f>
        <v>0</v>
      </c>
      <c r="U828" s="36">
        <f>IFERROR(INDEX(Katalog!$F$3:$F$12,MATCH(cadangan3[[#This Row],[ItemID B]],Katalog!$C$3:$C$12,0))*cadangan3[[#This Row],[Qty B]],0)</f>
        <v>0</v>
      </c>
      <c r="V828" s="36">
        <f>IFERROR(cadangan3[[#This Row],[Profit B]]-(cadangan3[[#This Row],[Profit B]]*cadangan3[[#This Row],[Diskon]]),U828)</f>
        <v>0</v>
      </c>
      <c r="X828" t="str">
        <f>IFERROR(INDEX(Katalog!$A$3:$A$12,MATCH(cadangan3[[#This Row],[ItemID C]],Katalog!$C$3:$C$12,0)),"-")</f>
        <v>-</v>
      </c>
      <c r="Y828" t="str">
        <f>IFERROR(INDEX(Katalog!$B$3:$B$12,MATCH(cadangan3[[#This Row],[ItemID C]],Katalog!$C$3:$C$12,0)),"-")</f>
        <v>-</v>
      </c>
      <c r="AB828" s="36">
        <f>IFERROR(INDEX(Katalog!$D$3:$D$12,MATCH(cadangan3[[#This Row],[ItemID C]],Katalog!$C$3:$C$12,0))*cadangan3[[#This Row],[Qty C]],0)</f>
        <v>0</v>
      </c>
      <c r="AC828" s="36">
        <f>IFERROR(INDEX(Katalog!$D$3:$D$12,MATCH(cadangan3[[#This Row],[Item C]],Katalog!$B$3:$B$12,0))*cadangan3[[#This Row],[Qty C]],0)</f>
        <v>0</v>
      </c>
      <c r="AD828" s="36">
        <f>IFERROR(cadangan3[[#This Row],[Harga Asli C]]-(cadangan3[[#This Row],[Harga Asli C]]*cadangan3[[#This Row],[Diskon]]),cadangan3[[#This Row],[Harga Asli C]])</f>
        <v>0</v>
      </c>
      <c r="AE828" s="36">
        <f>IFERROR(INDEX(Katalog!$F$3:$F$12,MATCH(cadangan3[[#This Row],[ItemID C]],Katalog!$C$3:$C$12,0))*cadangan3[[#This Row],[Qty C]],0)</f>
        <v>0</v>
      </c>
      <c r="AF828" s="36">
        <f>IFERROR(cadangan3[[#This Row],[Profit C]]-(cadangan3[[#This Row],[Profit C]]*cadangan3[[#This Row],[Diskon]]),cadangan3[[#This Row],[Profit C]])</f>
        <v>0</v>
      </c>
      <c r="AG828" s="21">
        <f>cadangan3[[#This Row],[Qty A]]+cadangan3[[#This Row],[Qty B]]+cadangan3[[#This Row],[Qty C]]</f>
        <v>1</v>
      </c>
      <c r="AH828" s="35">
        <f>cadangan3[[#This Row],[Harga A + Diskon]]+cadangan3[[#This Row],[Harga + Diskon B]]+cadangan3[[#This Row],[Harga + Diskon C]]</f>
        <v>170000</v>
      </c>
      <c r="AI828" s="35">
        <f>(cadangan3[[#This Row],[Profit A]]+cadangan3[[#This Row],[Profit B]]+cadangan3[[#This Row],[Profit C]])</f>
        <v>80000</v>
      </c>
      <c r="AJ828" s="35">
        <f>cadangan3[[#This Row],[Provit A + Diskon]]+cadangan3[[#This Row],[Provit B + Diskon]]+cadangan3[[#This Row],[Provit C + Diskon]]</f>
        <v>68000</v>
      </c>
      <c r="AK828" s="23" t="s">
        <v>13</v>
      </c>
      <c r="AL828" s="37">
        <f>IFERROR(INDEX('Kode Diskon'!$D$3:$D$9,MATCH(cadangan3[[#This Row],[Kode diskon]],'Kode Diskon'!$C$3:$C$9,0)),"-")</f>
        <v>0.15</v>
      </c>
      <c r="AM828" s="23" t="s">
        <v>29</v>
      </c>
      <c r="AN828" s="23" t="s">
        <v>7</v>
      </c>
      <c r="AO828" s="23" t="s">
        <v>76</v>
      </c>
      <c r="AP828" s="24">
        <v>45021</v>
      </c>
      <c r="AQ828" s="23" t="str">
        <f>TEXT(cadangan3[[#This Row],[Tanggal terjual]],"dddd")</f>
        <v>Wednesday</v>
      </c>
    </row>
    <row r="829" spans="1:43" x14ac:dyDescent="0.2">
      <c r="A829" s="20">
        <v>828</v>
      </c>
      <c r="B829" s="21" t="str">
        <f>_xlfn.CONCAT("ORD-",INDEX(Helper!$B$2:$B$5,MATCH(cadangan3[[#This Row],[Marketplace]],Helper!$A$2:$A$5,0)),TEXT(cadangan3[[#This Row],[No]],"0000"),"-",TEXT(cadangan3[[#This Row],[Tanggal terjual]],"dd/mm/yy"))</f>
        <v>ORD-BL0828-13/04/23</v>
      </c>
      <c r="C829" t="s">
        <v>61</v>
      </c>
      <c r="D829" t="str">
        <f>IFERROR(INDEX(Katalog!$A$3:$A$12,MATCH(cadangan3[[#This Row],[ItemID A]],Katalog!$C$3:$C$12,0)),"-")</f>
        <v>Pakaian Pria</v>
      </c>
      <c r="E829" t="str">
        <f>IFERROR(INDEX(Katalog!$B$3:$B$12,MATCH(cadangan3[[#This Row],[ItemID A]],Katalog!$C$3:$C$12,0)),"-")</f>
        <v>Kaos Polo</v>
      </c>
      <c r="F829">
        <v>2</v>
      </c>
      <c r="G829">
        <v>2</v>
      </c>
      <c r="H829" s="36">
        <f>IFERROR(INDEX(Katalog!$D$3:$D$12,MATCH(cadangan3[[#This Row],[ItemID A]],Katalog!$C$3:$C$12,0))*cadangan3[[#This Row],[Qty A]],0)</f>
        <v>400000</v>
      </c>
      <c r="I829" s="36">
        <f>IFERROR(INDEX(Katalog!$D$3:$D$12,MATCH(cadangan3[[#This Row],[Item A]],Katalog!$B$3:$B$12,0))*cadangan3[[#This Row],[Qty A]],0)</f>
        <v>400000</v>
      </c>
      <c r="J829" s="36">
        <f>IFERROR(cadangan3[[#This Row],[Harga Asli A]]-(cadangan3[[#This Row],[Harga Asli A]]*cadangan3[[#This Row],[Diskon]]),cadangan3[[#This Row],[Harga Asli A]])</f>
        <v>400000</v>
      </c>
      <c r="K829" s="36">
        <f>INDEX(Katalog!$F$3:$F$12,MATCH(cadangan3[[#This Row],[ItemID A]],Katalog!$C$3:$C$12,0))*cadangan3[[#This Row],[Qty A]]</f>
        <v>160000</v>
      </c>
      <c r="L829" s="36">
        <f>IFERROR(cadangan3[[#This Row],[Profit A]]-(cadangan3[[#This Row],[Profit A]]*cadangan3[[#This Row],[Diskon]]),K829)</f>
        <v>160000</v>
      </c>
      <c r="M829" t="s">
        <v>65</v>
      </c>
      <c r="N829" t="str">
        <f>IFERROR(INDEX(Katalog!$A$3:$A$12,MATCH(cadangan3[[#This Row],[ItemID B]],Katalog!$C$3:$C$12,0)),"-")</f>
        <v>Sepatu Pria</v>
      </c>
      <c r="O829" t="str">
        <f>IFERROR(INDEX(Katalog!$B$3:$B$12,MATCH(cadangan3[[#This Row],[ItemID B]],Katalog!$C$3:$C$12,0)),"-")</f>
        <v>Sneakers</v>
      </c>
      <c r="P829">
        <v>1</v>
      </c>
      <c r="Q829">
        <v>5</v>
      </c>
      <c r="R829" s="36">
        <f>IFERROR(INDEX(Katalog!$D$3:$D$12,MATCH(cadangan3[[#This Row],[ItemID B]],Katalog!$C$3:$C$12,0))*cadangan3[[#This Row],[Qty B]],0)</f>
        <v>500000</v>
      </c>
      <c r="S829" s="36">
        <f>IFERROR(INDEX(Katalog!$D$3:$D$12,MATCH(cadangan3[[#This Row],[Item B]],Katalog!$B$3:$B$12,0))*cadangan3[[#This Row],[Qty B]],0)</f>
        <v>500000</v>
      </c>
      <c r="T829" s="36">
        <f>IFERROR(cadangan3[[#This Row],[Harga Asli B]]-(cadangan3[[#This Row],[Harga Asli B]]*cadangan3[[#This Row],[Diskon]]),cadangan3[[#This Row],[Harga Asli B]])</f>
        <v>500000</v>
      </c>
      <c r="U829" s="36">
        <f>IFERROR(INDEX(Katalog!$F$3:$F$12,MATCH(cadangan3[[#This Row],[ItemID B]],Katalog!$C$3:$C$12,0))*cadangan3[[#This Row],[Qty B]],0)</f>
        <v>200000</v>
      </c>
      <c r="V829" s="36">
        <f>IFERROR(cadangan3[[#This Row],[Profit B]]-(cadangan3[[#This Row],[Profit B]]*cadangan3[[#This Row],[Diskon]]),U829)</f>
        <v>200000</v>
      </c>
      <c r="X829" t="str">
        <f>IFERROR(INDEX(Katalog!$A$3:$A$12,MATCH(cadangan3[[#This Row],[ItemID C]],Katalog!$C$3:$C$12,0)),"-")</f>
        <v>-</v>
      </c>
      <c r="Y829" t="str">
        <f>IFERROR(INDEX(Katalog!$B$3:$B$12,MATCH(cadangan3[[#This Row],[ItemID C]],Katalog!$C$3:$C$12,0)),"-")</f>
        <v>-</v>
      </c>
      <c r="AB829" s="36">
        <f>IFERROR(INDEX(Katalog!$D$3:$D$12,MATCH(cadangan3[[#This Row],[ItemID C]],Katalog!$C$3:$C$12,0))*cadangan3[[#This Row],[Qty C]],0)</f>
        <v>0</v>
      </c>
      <c r="AC829" s="36">
        <f>IFERROR(INDEX(Katalog!$D$3:$D$12,MATCH(cadangan3[[#This Row],[Item C]],Katalog!$B$3:$B$12,0))*cadangan3[[#This Row],[Qty C]],0)</f>
        <v>0</v>
      </c>
      <c r="AD829" s="36">
        <f>IFERROR(cadangan3[[#This Row],[Harga Asli C]]-(cadangan3[[#This Row],[Harga Asli C]]*cadangan3[[#This Row],[Diskon]]),cadangan3[[#This Row],[Harga Asli C]])</f>
        <v>0</v>
      </c>
      <c r="AE829" s="36">
        <f>IFERROR(INDEX(Katalog!$F$3:$F$12,MATCH(cadangan3[[#This Row],[ItemID C]],Katalog!$C$3:$C$12,0))*cadangan3[[#This Row],[Qty C]],0)</f>
        <v>0</v>
      </c>
      <c r="AF829" s="36">
        <f>IFERROR(cadangan3[[#This Row],[Profit C]]-(cadangan3[[#This Row],[Profit C]]*cadangan3[[#This Row],[Diskon]]),cadangan3[[#This Row],[Profit C]])</f>
        <v>0</v>
      </c>
      <c r="AG829" s="21">
        <f>cadangan3[[#This Row],[Qty A]]+cadangan3[[#This Row],[Qty B]]+cadangan3[[#This Row],[Qty C]]</f>
        <v>3</v>
      </c>
      <c r="AH829" s="35">
        <f>cadangan3[[#This Row],[Harga A + Diskon]]+cadangan3[[#This Row],[Harga + Diskon B]]+cadangan3[[#This Row],[Harga + Diskon C]]</f>
        <v>900000</v>
      </c>
      <c r="AI829" s="35">
        <f>(cadangan3[[#This Row],[Profit A]]+cadangan3[[#This Row],[Profit B]]+cadangan3[[#This Row],[Profit C]])</f>
        <v>360000</v>
      </c>
      <c r="AJ829" s="35">
        <f>cadangan3[[#This Row],[Provit A + Diskon]]+cadangan3[[#This Row],[Provit B + Diskon]]+cadangan3[[#This Row],[Provit C + Diskon]]</f>
        <v>360000</v>
      </c>
      <c r="AK829" s="23" t="s">
        <v>11</v>
      </c>
      <c r="AL829" s="37" t="str">
        <f>IFERROR(INDEX('Kode Diskon'!$D$3:$D$9,MATCH(cadangan3[[#This Row],[Kode diskon]],'Kode Diskon'!$C$3:$C$9,0)),"-")</f>
        <v>-</v>
      </c>
      <c r="AM829" s="23" t="s">
        <v>11</v>
      </c>
      <c r="AN829" s="23" t="s">
        <v>12</v>
      </c>
      <c r="AO829" s="23" t="s">
        <v>80</v>
      </c>
      <c r="AP829" s="24">
        <v>45029</v>
      </c>
      <c r="AQ829" s="23" t="str">
        <f>TEXT(cadangan3[[#This Row],[Tanggal terjual]],"dddd")</f>
        <v>Thursday</v>
      </c>
    </row>
    <row r="830" spans="1:43" x14ac:dyDescent="0.2">
      <c r="A830" s="20">
        <v>829</v>
      </c>
      <c r="B830" s="21" t="str">
        <f>_xlfn.CONCAT("ORD-",INDEX(Helper!$B$2:$B$5,MATCH(cadangan3[[#This Row],[Marketplace]],Helper!$A$2:$A$5,0)),TEXT(cadangan3[[#This Row],[No]],"0000"),"-",TEXT(cadangan3[[#This Row],[Tanggal terjual]],"dd/mm/yy"))</f>
        <v>ORD-TK0829-24/04/23</v>
      </c>
      <c r="C830" t="s">
        <v>65</v>
      </c>
      <c r="D830" t="str">
        <f>IFERROR(INDEX(Katalog!$A$3:$A$12,MATCH(cadangan3[[#This Row],[ItemID A]],Katalog!$C$3:$C$12,0)),"-")</f>
        <v>Sepatu Pria</v>
      </c>
      <c r="E830" t="str">
        <f>IFERROR(INDEX(Katalog!$B$3:$B$12,MATCH(cadangan3[[#This Row],[ItemID A]],Katalog!$C$3:$C$12,0)),"-")</f>
        <v>Sneakers</v>
      </c>
      <c r="F830">
        <v>1</v>
      </c>
      <c r="G830">
        <v>4</v>
      </c>
      <c r="H830" s="36">
        <f>IFERROR(INDEX(Katalog!$D$3:$D$12,MATCH(cadangan3[[#This Row],[ItemID A]],Katalog!$C$3:$C$12,0))*cadangan3[[#This Row],[Qty A]],0)</f>
        <v>500000</v>
      </c>
      <c r="I830" s="36">
        <f>IFERROR(INDEX(Katalog!$D$3:$D$12,MATCH(cadangan3[[#This Row],[Item A]],Katalog!$B$3:$B$12,0))*cadangan3[[#This Row],[Qty A]],0)</f>
        <v>500000</v>
      </c>
      <c r="J830" s="36">
        <f>IFERROR(cadangan3[[#This Row],[Harga Asli A]]-(cadangan3[[#This Row],[Harga Asli A]]*cadangan3[[#This Row],[Diskon]]),cadangan3[[#This Row],[Harga Asli A]])</f>
        <v>450000</v>
      </c>
      <c r="K830" s="36">
        <f>INDEX(Katalog!$F$3:$F$12,MATCH(cadangan3[[#This Row],[ItemID A]],Katalog!$C$3:$C$12,0))*cadangan3[[#This Row],[Qty A]]</f>
        <v>200000</v>
      </c>
      <c r="L830" s="36">
        <f>IFERROR(cadangan3[[#This Row],[Profit A]]-(cadangan3[[#This Row],[Profit A]]*cadangan3[[#This Row],[Diskon]]),K830)</f>
        <v>180000</v>
      </c>
      <c r="M830" t="s">
        <v>64</v>
      </c>
      <c r="N830" t="str">
        <f>IFERROR(INDEX(Katalog!$A$3:$A$12,MATCH(cadangan3[[#This Row],[ItemID B]],Katalog!$C$3:$C$12,0)),"-")</f>
        <v>Pakaian Unisex</v>
      </c>
      <c r="O830" t="str">
        <f>IFERROR(INDEX(Katalog!$B$3:$B$12,MATCH(cadangan3[[#This Row],[ItemID B]],Katalog!$C$3:$C$12,0)),"-")</f>
        <v>Jaket Hoodie</v>
      </c>
      <c r="P830">
        <v>1</v>
      </c>
      <c r="Q830">
        <v>2</v>
      </c>
      <c r="R830" s="36">
        <f>IFERROR(INDEX(Katalog!$D$3:$D$12,MATCH(cadangan3[[#This Row],[ItemID B]],Katalog!$C$3:$C$12,0))*cadangan3[[#This Row],[Qty B]],0)</f>
        <v>350000</v>
      </c>
      <c r="S830" s="36">
        <f>IFERROR(INDEX(Katalog!$D$3:$D$12,MATCH(cadangan3[[#This Row],[Item B]],Katalog!$B$3:$B$12,0))*cadangan3[[#This Row],[Qty B]],0)</f>
        <v>350000</v>
      </c>
      <c r="T830" s="36">
        <f>IFERROR(cadangan3[[#This Row],[Harga Asli B]]-(cadangan3[[#This Row],[Harga Asli B]]*cadangan3[[#This Row],[Diskon]]),cadangan3[[#This Row],[Harga Asli B]])</f>
        <v>315000</v>
      </c>
      <c r="U830" s="36">
        <f>IFERROR(INDEX(Katalog!$F$3:$F$12,MATCH(cadangan3[[#This Row],[ItemID B]],Katalog!$C$3:$C$12,0))*cadangan3[[#This Row],[Qty B]],0)</f>
        <v>130000</v>
      </c>
      <c r="V830" s="36">
        <f>IFERROR(cadangan3[[#This Row],[Profit B]]-(cadangan3[[#This Row],[Profit B]]*cadangan3[[#This Row],[Diskon]]),U830)</f>
        <v>117000</v>
      </c>
      <c r="W830" t="s">
        <v>66</v>
      </c>
      <c r="X830" t="str">
        <f>IFERROR(INDEX(Katalog!$A$3:$A$12,MATCH(cadangan3[[#This Row],[ItemID C]],Katalog!$C$3:$C$12,0)),"-")</f>
        <v>Sepatu Pria</v>
      </c>
      <c r="Y830" t="str">
        <f>IFERROR(INDEX(Katalog!$B$3:$B$12,MATCH(cadangan3[[#This Row],[ItemID C]],Katalog!$C$3:$C$12,0)),"-")</f>
        <v>Sandal Slip On</v>
      </c>
      <c r="Z830">
        <v>1</v>
      </c>
      <c r="AA830">
        <v>2</v>
      </c>
      <c r="AB830" s="36">
        <f>IFERROR(INDEX(Katalog!$D$3:$D$12,MATCH(cadangan3[[#This Row],[ItemID C]],Katalog!$C$3:$C$12,0))*cadangan3[[#This Row],[Qty C]],0)</f>
        <v>150000</v>
      </c>
      <c r="AC830" s="36">
        <f>IFERROR(INDEX(Katalog!$D$3:$D$12,MATCH(cadangan3[[#This Row],[Item C]],Katalog!$B$3:$B$12,0))*cadangan3[[#This Row],[Qty C]],0)</f>
        <v>150000</v>
      </c>
      <c r="AD830" s="36">
        <f>IFERROR(cadangan3[[#This Row],[Harga Asli C]]-(cadangan3[[#This Row],[Harga Asli C]]*cadangan3[[#This Row],[Diskon]]),cadangan3[[#This Row],[Harga Asli C]])</f>
        <v>135000</v>
      </c>
      <c r="AE830" s="36">
        <f>IFERROR(INDEX(Katalog!$F$3:$F$12,MATCH(cadangan3[[#This Row],[ItemID C]],Katalog!$C$3:$C$12,0))*cadangan3[[#This Row],[Qty C]],0)</f>
        <v>60000</v>
      </c>
      <c r="AF830" s="36">
        <f>IFERROR(cadangan3[[#This Row],[Profit C]]-(cadangan3[[#This Row],[Profit C]]*cadangan3[[#This Row],[Diskon]]),cadangan3[[#This Row],[Profit C]])</f>
        <v>54000</v>
      </c>
      <c r="AG830" s="21">
        <f>cadangan3[[#This Row],[Qty A]]+cadangan3[[#This Row],[Qty B]]+cadangan3[[#This Row],[Qty C]]</f>
        <v>3</v>
      </c>
      <c r="AH830" s="35">
        <f>cadangan3[[#This Row],[Harga A + Diskon]]+cadangan3[[#This Row],[Harga + Diskon B]]+cadangan3[[#This Row],[Harga + Diskon C]]</f>
        <v>900000</v>
      </c>
      <c r="AI830" s="35">
        <f>(cadangan3[[#This Row],[Profit A]]+cadangan3[[#This Row],[Profit B]]+cadangan3[[#This Row],[Profit C]])</f>
        <v>390000</v>
      </c>
      <c r="AJ830" s="35">
        <f>cadangan3[[#This Row],[Provit A + Diskon]]+cadangan3[[#This Row],[Provit B + Diskon]]+cadangan3[[#This Row],[Provit C + Diskon]]</f>
        <v>351000</v>
      </c>
      <c r="AK830" s="23" t="s">
        <v>31</v>
      </c>
      <c r="AL830" s="37">
        <f>IFERROR(INDEX('Kode Diskon'!$D$3:$D$9,MATCH(cadangan3[[#This Row],[Kode diskon]],'Kode Diskon'!$C$3:$C$9,0)),"-")</f>
        <v>0.1</v>
      </c>
      <c r="AM830" s="23" t="s">
        <v>9</v>
      </c>
      <c r="AN830" s="23" t="s">
        <v>10</v>
      </c>
      <c r="AO830" s="23" t="s">
        <v>76</v>
      </c>
      <c r="AP830" s="24">
        <v>45040</v>
      </c>
      <c r="AQ830" s="23" t="str">
        <f>TEXT(cadangan3[[#This Row],[Tanggal terjual]],"dddd")</f>
        <v>Monday</v>
      </c>
    </row>
    <row r="831" spans="1:43" x14ac:dyDescent="0.2">
      <c r="A831" s="20">
        <v>830</v>
      </c>
      <c r="B831" s="21" t="str">
        <f>_xlfn.CONCAT("ORD-",INDEX(Helper!$B$2:$B$5,MATCH(cadangan3[[#This Row],[Marketplace]],Helper!$A$2:$A$5,0)),TEXT(cadangan3[[#This Row],[No]],"0000"),"-",TEXT(cadangan3[[#This Row],[Tanggal terjual]],"dd/mm/yy"))</f>
        <v>ORD-BB0830-15/04/23</v>
      </c>
      <c r="C831" t="s">
        <v>64</v>
      </c>
      <c r="D831" t="str">
        <f>IFERROR(INDEX(Katalog!$A$3:$A$12,MATCH(cadangan3[[#This Row],[ItemID A]],Katalog!$C$3:$C$12,0)),"-")</f>
        <v>Pakaian Unisex</v>
      </c>
      <c r="E831" t="str">
        <f>IFERROR(INDEX(Katalog!$B$3:$B$12,MATCH(cadangan3[[#This Row],[ItemID A]],Katalog!$C$3:$C$12,0)),"-")</f>
        <v>Jaket Hoodie</v>
      </c>
      <c r="F831">
        <v>3</v>
      </c>
      <c r="G831">
        <v>1</v>
      </c>
      <c r="H831" s="36">
        <f>IFERROR(INDEX(Katalog!$D$3:$D$12,MATCH(cadangan3[[#This Row],[ItemID A]],Katalog!$C$3:$C$12,0))*cadangan3[[#This Row],[Qty A]],0)</f>
        <v>1050000</v>
      </c>
      <c r="I831" s="36">
        <f>IFERROR(INDEX(Katalog!$D$3:$D$12,MATCH(cadangan3[[#This Row],[Item A]],Katalog!$B$3:$B$12,0))*cadangan3[[#This Row],[Qty A]],0)</f>
        <v>1050000</v>
      </c>
      <c r="J831" s="36">
        <f>IFERROR(cadangan3[[#This Row],[Harga Asli A]]-(cadangan3[[#This Row],[Harga Asli A]]*cadangan3[[#This Row],[Diskon]]),cadangan3[[#This Row],[Harga Asli A]])</f>
        <v>1050000</v>
      </c>
      <c r="K831" s="36">
        <f>INDEX(Katalog!$F$3:$F$12,MATCH(cadangan3[[#This Row],[ItemID A]],Katalog!$C$3:$C$12,0))*cadangan3[[#This Row],[Qty A]]</f>
        <v>390000</v>
      </c>
      <c r="L831" s="36">
        <f>IFERROR(cadangan3[[#This Row],[Profit A]]-(cadangan3[[#This Row],[Profit A]]*cadangan3[[#This Row],[Diskon]]),K831)</f>
        <v>390000</v>
      </c>
      <c r="M831" t="s">
        <v>66</v>
      </c>
      <c r="N831" t="str">
        <f>IFERROR(INDEX(Katalog!$A$3:$A$12,MATCH(cadangan3[[#This Row],[ItemID B]],Katalog!$C$3:$C$12,0)),"-")</f>
        <v>Sepatu Pria</v>
      </c>
      <c r="O831" t="str">
        <f>IFERROR(INDEX(Katalog!$B$3:$B$12,MATCH(cadangan3[[#This Row],[ItemID B]],Katalog!$C$3:$C$12,0)),"-")</f>
        <v>Sandal Slip On</v>
      </c>
      <c r="P831">
        <v>2</v>
      </c>
      <c r="Q831">
        <v>4</v>
      </c>
      <c r="R831" s="36">
        <f>IFERROR(INDEX(Katalog!$D$3:$D$12,MATCH(cadangan3[[#This Row],[ItemID B]],Katalog!$C$3:$C$12,0))*cadangan3[[#This Row],[Qty B]],0)</f>
        <v>300000</v>
      </c>
      <c r="S831" s="36">
        <f>IFERROR(INDEX(Katalog!$D$3:$D$12,MATCH(cadangan3[[#This Row],[Item B]],Katalog!$B$3:$B$12,0))*cadangan3[[#This Row],[Qty B]],0)</f>
        <v>300000</v>
      </c>
      <c r="T831" s="36">
        <f>IFERROR(cadangan3[[#This Row],[Harga Asli B]]-(cadangan3[[#This Row],[Harga Asli B]]*cadangan3[[#This Row],[Diskon]]),cadangan3[[#This Row],[Harga Asli B]])</f>
        <v>300000</v>
      </c>
      <c r="U831" s="36">
        <f>IFERROR(INDEX(Katalog!$F$3:$F$12,MATCH(cadangan3[[#This Row],[ItemID B]],Katalog!$C$3:$C$12,0))*cadangan3[[#This Row],[Qty B]],0)</f>
        <v>120000</v>
      </c>
      <c r="V831" s="36">
        <f>IFERROR(cadangan3[[#This Row],[Profit B]]-(cadangan3[[#This Row],[Profit B]]*cadangan3[[#This Row],[Diskon]]),U831)</f>
        <v>120000</v>
      </c>
      <c r="W831" t="s">
        <v>60</v>
      </c>
      <c r="X831" t="str">
        <f>IFERROR(INDEX(Katalog!$A$3:$A$12,MATCH(cadangan3[[#This Row],[ItemID C]],Katalog!$C$3:$C$12,0)),"-")</f>
        <v>Pakaian Wanita</v>
      </c>
      <c r="Y831" t="str">
        <f>IFERROR(INDEX(Katalog!$B$3:$B$12,MATCH(cadangan3[[#This Row],[ItemID C]],Katalog!$C$3:$C$12,0)),"-")</f>
        <v>Kaftan</v>
      </c>
      <c r="Z831">
        <v>1</v>
      </c>
      <c r="AA831">
        <v>5</v>
      </c>
      <c r="AB831" s="36">
        <f>IFERROR(INDEX(Katalog!$D$3:$D$12,MATCH(cadangan3[[#This Row],[ItemID C]],Katalog!$C$3:$C$12,0))*cadangan3[[#This Row],[Qty C]],0)</f>
        <v>250000</v>
      </c>
      <c r="AC831" s="36">
        <f>IFERROR(INDEX(Katalog!$D$3:$D$12,MATCH(cadangan3[[#This Row],[Item C]],Katalog!$B$3:$B$12,0))*cadangan3[[#This Row],[Qty C]],0)</f>
        <v>250000</v>
      </c>
      <c r="AD831" s="36">
        <f>IFERROR(cadangan3[[#This Row],[Harga Asli C]]-(cadangan3[[#This Row],[Harga Asli C]]*cadangan3[[#This Row],[Diskon]]),cadangan3[[#This Row],[Harga Asli C]])</f>
        <v>250000</v>
      </c>
      <c r="AE831" s="36">
        <f>IFERROR(INDEX(Katalog!$F$3:$F$12,MATCH(cadangan3[[#This Row],[ItemID C]],Katalog!$C$3:$C$12,0))*cadangan3[[#This Row],[Qty C]],0)</f>
        <v>100000</v>
      </c>
      <c r="AF831" s="36">
        <f>IFERROR(cadangan3[[#This Row],[Profit C]]-(cadangan3[[#This Row],[Profit C]]*cadangan3[[#This Row],[Diskon]]),cadangan3[[#This Row],[Profit C]])</f>
        <v>100000</v>
      </c>
      <c r="AG831" s="21">
        <f>cadangan3[[#This Row],[Qty A]]+cadangan3[[#This Row],[Qty B]]+cadangan3[[#This Row],[Qty C]]</f>
        <v>6</v>
      </c>
      <c r="AH831" s="35">
        <f>cadangan3[[#This Row],[Harga A + Diskon]]+cadangan3[[#This Row],[Harga + Diskon B]]+cadangan3[[#This Row],[Harga + Diskon C]]</f>
        <v>1600000</v>
      </c>
      <c r="AI831" s="35">
        <f>(cadangan3[[#This Row],[Profit A]]+cadangan3[[#This Row],[Profit B]]+cadangan3[[#This Row],[Profit C]])</f>
        <v>610000</v>
      </c>
      <c r="AJ831" s="35">
        <f>cadangan3[[#This Row],[Provit A + Diskon]]+cadangan3[[#This Row],[Provit B + Diskon]]+cadangan3[[#This Row],[Provit C + Diskon]]</f>
        <v>610000</v>
      </c>
      <c r="AK831" s="23" t="s">
        <v>11</v>
      </c>
      <c r="AL831" s="37" t="str">
        <f>IFERROR(INDEX('Kode Diskon'!$D$3:$D$9,MATCH(cadangan3[[#This Row],[Kode diskon]],'Kode Diskon'!$C$3:$C$9,0)),"-")</f>
        <v>-</v>
      </c>
      <c r="AM831" s="23" t="s">
        <v>11</v>
      </c>
      <c r="AN831" s="23" t="s">
        <v>14</v>
      </c>
      <c r="AO831" s="23" t="s">
        <v>78</v>
      </c>
      <c r="AP831" s="24">
        <v>45031</v>
      </c>
      <c r="AQ831" s="23" t="str">
        <f>TEXT(cadangan3[[#This Row],[Tanggal terjual]],"dddd")</f>
        <v>Saturday</v>
      </c>
    </row>
    <row r="832" spans="1:43" x14ac:dyDescent="0.2">
      <c r="A832" s="20">
        <v>831</v>
      </c>
      <c r="B832" s="21" t="str">
        <f>_xlfn.CONCAT("ORD-",INDEX(Helper!$B$2:$B$5,MATCH(cadangan3[[#This Row],[Marketplace]],Helper!$A$2:$A$5,0)),TEXT(cadangan3[[#This Row],[No]],"0000"),"-",TEXT(cadangan3[[#This Row],[Tanggal terjual]],"dd/mm/yy"))</f>
        <v>ORD-SP0831-18/04/23</v>
      </c>
      <c r="C832" t="s">
        <v>65</v>
      </c>
      <c r="D832" t="str">
        <f>IFERROR(INDEX(Katalog!$A$3:$A$12,MATCH(cadangan3[[#This Row],[ItemID A]],Katalog!$C$3:$C$12,0)),"-")</f>
        <v>Sepatu Pria</v>
      </c>
      <c r="E832" t="str">
        <f>IFERROR(INDEX(Katalog!$B$3:$B$12,MATCH(cadangan3[[#This Row],[ItemID A]],Katalog!$C$3:$C$12,0)),"-")</f>
        <v>Sneakers</v>
      </c>
      <c r="F832">
        <v>2</v>
      </c>
      <c r="G832">
        <v>5</v>
      </c>
      <c r="H832" s="36">
        <f>IFERROR(INDEX(Katalog!$D$3:$D$12,MATCH(cadangan3[[#This Row],[ItemID A]],Katalog!$C$3:$C$12,0))*cadangan3[[#This Row],[Qty A]],0)</f>
        <v>1000000</v>
      </c>
      <c r="I832" s="36">
        <f>IFERROR(INDEX(Katalog!$D$3:$D$12,MATCH(cadangan3[[#This Row],[Item A]],Katalog!$B$3:$B$12,0))*cadangan3[[#This Row],[Qty A]],0)</f>
        <v>1000000</v>
      </c>
      <c r="J832" s="36">
        <f>IFERROR(cadangan3[[#This Row],[Harga Asli A]]-(cadangan3[[#This Row],[Harga Asli A]]*cadangan3[[#This Row],[Diskon]]),cadangan3[[#This Row],[Harga Asli A]])</f>
        <v>800000</v>
      </c>
      <c r="K832" s="36">
        <f>INDEX(Katalog!$F$3:$F$12,MATCH(cadangan3[[#This Row],[ItemID A]],Katalog!$C$3:$C$12,0))*cadangan3[[#This Row],[Qty A]]</f>
        <v>400000</v>
      </c>
      <c r="L832" s="36">
        <f>IFERROR(cadangan3[[#This Row],[Profit A]]-(cadangan3[[#This Row],[Profit A]]*cadangan3[[#This Row],[Diskon]]),K832)</f>
        <v>320000</v>
      </c>
      <c r="M832" t="s">
        <v>64</v>
      </c>
      <c r="N832" t="str">
        <f>IFERROR(INDEX(Katalog!$A$3:$A$12,MATCH(cadangan3[[#This Row],[ItemID B]],Katalog!$C$3:$C$12,0)),"-")</f>
        <v>Pakaian Unisex</v>
      </c>
      <c r="O832" t="str">
        <f>IFERROR(INDEX(Katalog!$B$3:$B$12,MATCH(cadangan3[[#This Row],[ItemID B]],Katalog!$C$3:$C$12,0)),"-")</f>
        <v>Jaket Hoodie</v>
      </c>
      <c r="P832">
        <v>1</v>
      </c>
      <c r="Q832">
        <v>2</v>
      </c>
      <c r="R832" s="36">
        <f>IFERROR(INDEX(Katalog!$D$3:$D$12,MATCH(cadangan3[[#This Row],[ItemID B]],Katalog!$C$3:$C$12,0))*cadangan3[[#This Row],[Qty B]],0)</f>
        <v>350000</v>
      </c>
      <c r="S832" s="36">
        <f>IFERROR(INDEX(Katalog!$D$3:$D$12,MATCH(cadangan3[[#This Row],[Item B]],Katalog!$B$3:$B$12,0))*cadangan3[[#This Row],[Qty B]],0)</f>
        <v>350000</v>
      </c>
      <c r="T832" s="36">
        <f>IFERROR(cadangan3[[#This Row],[Harga Asli B]]-(cadangan3[[#This Row],[Harga Asli B]]*cadangan3[[#This Row],[Diskon]]),cadangan3[[#This Row],[Harga Asli B]])</f>
        <v>280000</v>
      </c>
      <c r="U832" s="36">
        <f>IFERROR(INDEX(Katalog!$F$3:$F$12,MATCH(cadangan3[[#This Row],[ItemID B]],Katalog!$C$3:$C$12,0))*cadangan3[[#This Row],[Qty B]],0)</f>
        <v>130000</v>
      </c>
      <c r="V832" s="36">
        <f>IFERROR(cadangan3[[#This Row],[Profit B]]-(cadangan3[[#This Row],[Profit B]]*cadangan3[[#This Row],[Diskon]]),U832)</f>
        <v>104000</v>
      </c>
      <c r="W832" t="s">
        <v>60</v>
      </c>
      <c r="X832" t="str">
        <f>IFERROR(INDEX(Katalog!$A$3:$A$12,MATCH(cadangan3[[#This Row],[ItemID C]],Katalog!$C$3:$C$12,0)),"-")</f>
        <v>Pakaian Wanita</v>
      </c>
      <c r="Y832" t="str">
        <f>IFERROR(INDEX(Katalog!$B$3:$B$12,MATCH(cadangan3[[#This Row],[ItemID C]],Katalog!$C$3:$C$12,0)),"-")</f>
        <v>Kaftan</v>
      </c>
      <c r="Z832">
        <v>2</v>
      </c>
      <c r="AA832">
        <v>4</v>
      </c>
      <c r="AB832" s="36">
        <f>IFERROR(INDEX(Katalog!$D$3:$D$12,MATCH(cadangan3[[#This Row],[ItemID C]],Katalog!$C$3:$C$12,0))*cadangan3[[#This Row],[Qty C]],0)</f>
        <v>500000</v>
      </c>
      <c r="AC832" s="36">
        <f>IFERROR(INDEX(Katalog!$D$3:$D$12,MATCH(cadangan3[[#This Row],[Item C]],Katalog!$B$3:$B$12,0))*cadangan3[[#This Row],[Qty C]],0)</f>
        <v>500000</v>
      </c>
      <c r="AD832" s="36">
        <f>IFERROR(cadangan3[[#This Row],[Harga Asli C]]-(cadangan3[[#This Row],[Harga Asli C]]*cadangan3[[#This Row],[Diskon]]),cadangan3[[#This Row],[Harga Asli C]])</f>
        <v>400000</v>
      </c>
      <c r="AE832" s="36">
        <f>IFERROR(INDEX(Katalog!$F$3:$F$12,MATCH(cadangan3[[#This Row],[ItemID C]],Katalog!$C$3:$C$12,0))*cadangan3[[#This Row],[Qty C]],0)</f>
        <v>200000</v>
      </c>
      <c r="AF832" s="36">
        <f>IFERROR(cadangan3[[#This Row],[Profit C]]-(cadangan3[[#This Row],[Profit C]]*cadangan3[[#This Row],[Diskon]]),cadangan3[[#This Row],[Profit C]])</f>
        <v>160000</v>
      </c>
      <c r="AG832" s="21">
        <f>cadangan3[[#This Row],[Qty A]]+cadangan3[[#This Row],[Qty B]]+cadangan3[[#This Row],[Qty C]]</f>
        <v>5</v>
      </c>
      <c r="AH832" s="35">
        <f>cadangan3[[#This Row],[Harga A + Diskon]]+cadangan3[[#This Row],[Harga + Diskon B]]+cadangan3[[#This Row],[Harga + Diskon C]]</f>
        <v>1480000</v>
      </c>
      <c r="AI832" s="35">
        <f>(cadangan3[[#This Row],[Profit A]]+cadangan3[[#This Row],[Profit B]]+cadangan3[[#This Row],[Profit C]])</f>
        <v>730000</v>
      </c>
      <c r="AJ832" s="35">
        <f>cadangan3[[#This Row],[Provit A + Diskon]]+cadangan3[[#This Row],[Provit B + Diskon]]+cadangan3[[#This Row],[Provit C + Diskon]]</f>
        <v>584000</v>
      </c>
      <c r="AK832" s="23" t="s">
        <v>8</v>
      </c>
      <c r="AL832" s="37">
        <f>IFERROR(INDEX('Kode Diskon'!$D$3:$D$9,MATCH(cadangan3[[#This Row],[Kode diskon]],'Kode Diskon'!$C$3:$C$9,0)),"-")</f>
        <v>0.2</v>
      </c>
      <c r="AM832" s="23" t="s">
        <v>9</v>
      </c>
      <c r="AN832" s="23" t="s">
        <v>7</v>
      </c>
      <c r="AO832" s="23" t="s">
        <v>80</v>
      </c>
      <c r="AP832" s="24">
        <v>45034</v>
      </c>
      <c r="AQ832" s="23" t="str">
        <f>TEXT(cadangan3[[#This Row],[Tanggal terjual]],"dddd")</f>
        <v>Tuesday</v>
      </c>
    </row>
    <row r="833" spans="1:43" x14ac:dyDescent="0.2">
      <c r="A833" s="20">
        <v>832</v>
      </c>
      <c r="B833" s="21" t="str">
        <f>_xlfn.CONCAT("ORD-",INDEX(Helper!$B$2:$B$5,MATCH(cadangan3[[#This Row],[Marketplace]],Helper!$A$2:$A$5,0)),TEXT(cadangan3[[#This Row],[No]],"0000"),"-",TEXT(cadangan3[[#This Row],[Tanggal terjual]],"dd/mm/yy"))</f>
        <v>ORD-BL0832-26/04/23</v>
      </c>
      <c r="C833" t="s">
        <v>58</v>
      </c>
      <c r="D833" t="str">
        <f>IFERROR(INDEX(Katalog!$A$3:$A$12,MATCH(cadangan3[[#This Row],[ItemID A]],Katalog!$C$3:$C$12,0)),"-")</f>
        <v>Pakaian Wanita</v>
      </c>
      <c r="E833" t="str">
        <f>IFERROR(INDEX(Katalog!$B$3:$B$12,MATCH(cadangan3[[#This Row],[ItemID A]],Katalog!$C$3:$C$12,0)),"-")</f>
        <v>Dress</v>
      </c>
      <c r="F833">
        <v>1</v>
      </c>
      <c r="G833">
        <v>1</v>
      </c>
      <c r="H833" s="36">
        <f>IFERROR(INDEX(Katalog!$D$3:$D$12,MATCH(cadangan3[[#This Row],[ItemID A]],Katalog!$C$3:$C$12,0))*cadangan3[[#This Row],[Qty A]],0)</f>
        <v>300000</v>
      </c>
      <c r="I833" s="36">
        <f>IFERROR(INDEX(Katalog!$D$3:$D$12,MATCH(cadangan3[[#This Row],[Item A]],Katalog!$B$3:$B$12,0))*cadangan3[[#This Row],[Qty A]],0)</f>
        <v>300000</v>
      </c>
      <c r="J833" s="36">
        <f>IFERROR(cadangan3[[#This Row],[Harga Asli A]]-(cadangan3[[#This Row],[Harga Asli A]]*cadangan3[[#This Row],[Diskon]]),cadangan3[[#This Row],[Harga Asli A]])</f>
        <v>255000</v>
      </c>
      <c r="K833" s="36">
        <f>INDEX(Katalog!$F$3:$F$12,MATCH(cadangan3[[#This Row],[ItemID A]],Katalog!$C$3:$C$12,0))*cadangan3[[#This Row],[Qty A]]</f>
        <v>100000</v>
      </c>
      <c r="L833" s="36">
        <f>IFERROR(cadangan3[[#This Row],[Profit A]]-(cadangan3[[#This Row],[Profit A]]*cadangan3[[#This Row],[Diskon]]),K833)</f>
        <v>85000</v>
      </c>
      <c r="M833" t="s">
        <v>58</v>
      </c>
      <c r="N833" t="str">
        <f>IFERROR(INDEX(Katalog!$A$3:$A$12,MATCH(cadangan3[[#This Row],[ItemID B]],Katalog!$C$3:$C$12,0)),"-")</f>
        <v>Pakaian Wanita</v>
      </c>
      <c r="O833" t="str">
        <f>IFERROR(INDEX(Katalog!$B$3:$B$12,MATCH(cadangan3[[#This Row],[ItemID B]],Katalog!$C$3:$C$12,0)),"-")</f>
        <v>Dress</v>
      </c>
      <c r="P833">
        <v>1</v>
      </c>
      <c r="Q833">
        <v>4</v>
      </c>
      <c r="R833" s="36">
        <f>IFERROR(INDEX(Katalog!$D$3:$D$12,MATCH(cadangan3[[#This Row],[ItemID B]],Katalog!$C$3:$C$12,0))*cadangan3[[#This Row],[Qty B]],0)</f>
        <v>300000</v>
      </c>
      <c r="S833" s="36">
        <f>IFERROR(INDEX(Katalog!$D$3:$D$12,MATCH(cadangan3[[#This Row],[Item B]],Katalog!$B$3:$B$12,0))*cadangan3[[#This Row],[Qty B]],0)</f>
        <v>300000</v>
      </c>
      <c r="T833" s="36">
        <f>IFERROR(cadangan3[[#This Row],[Harga Asli B]]-(cadangan3[[#This Row],[Harga Asli B]]*cadangan3[[#This Row],[Diskon]]),cadangan3[[#This Row],[Harga Asli B]])</f>
        <v>255000</v>
      </c>
      <c r="U833" s="36">
        <f>IFERROR(INDEX(Katalog!$F$3:$F$12,MATCH(cadangan3[[#This Row],[ItemID B]],Katalog!$C$3:$C$12,0))*cadangan3[[#This Row],[Qty B]],0)</f>
        <v>100000</v>
      </c>
      <c r="V833" s="36">
        <f>IFERROR(cadangan3[[#This Row],[Profit B]]-(cadangan3[[#This Row],[Profit B]]*cadangan3[[#This Row],[Diskon]]),U833)</f>
        <v>85000</v>
      </c>
      <c r="W833" t="s">
        <v>58</v>
      </c>
      <c r="X833" t="str">
        <f>IFERROR(INDEX(Katalog!$A$3:$A$12,MATCH(cadangan3[[#This Row],[ItemID C]],Katalog!$C$3:$C$12,0)),"-")</f>
        <v>Pakaian Wanita</v>
      </c>
      <c r="Y833" t="str">
        <f>IFERROR(INDEX(Katalog!$B$3:$B$12,MATCH(cadangan3[[#This Row],[ItemID C]],Katalog!$C$3:$C$12,0)),"-")</f>
        <v>Dress</v>
      </c>
      <c r="Z833">
        <v>1</v>
      </c>
      <c r="AA833">
        <v>2</v>
      </c>
      <c r="AB833" s="36">
        <f>IFERROR(INDEX(Katalog!$D$3:$D$12,MATCH(cadangan3[[#This Row],[ItemID C]],Katalog!$C$3:$C$12,0))*cadangan3[[#This Row],[Qty C]],0)</f>
        <v>300000</v>
      </c>
      <c r="AC833" s="36">
        <f>IFERROR(INDEX(Katalog!$D$3:$D$12,MATCH(cadangan3[[#This Row],[Item C]],Katalog!$B$3:$B$12,0))*cadangan3[[#This Row],[Qty C]],0)</f>
        <v>300000</v>
      </c>
      <c r="AD833" s="36">
        <f>IFERROR(cadangan3[[#This Row],[Harga Asli C]]-(cadangan3[[#This Row],[Harga Asli C]]*cadangan3[[#This Row],[Diskon]]),cadangan3[[#This Row],[Harga Asli C]])</f>
        <v>255000</v>
      </c>
      <c r="AE833" s="36">
        <f>IFERROR(INDEX(Katalog!$F$3:$F$12,MATCH(cadangan3[[#This Row],[ItemID C]],Katalog!$C$3:$C$12,0))*cadangan3[[#This Row],[Qty C]],0)</f>
        <v>100000</v>
      </c>
      <c r="AF833" s="36">
        <f>IFERROR(cadangan3[[#This Row],[Profit C]]-(cadangan3[[#This Row],[Profit C]]*cadangan3[[#This Row],[Diskon]]),cadangan3[[#This Row],[Profit C]])</f>
        <v>85000</v>
      </c>
      <c r="AG833" s="21">
        <f>cadangan3[[#This Row],[Qty A]]+cadangan3[[#This Row],[Qty B]]+cadangan3[[#This Row],[Qty C]]</f>
        <v>3</v>
      </c>
      <c r="AH833" s="35">
        <f>cadangan3[[#This Row],[Harga A + Diskon]]+cadangan3[[#This Row],[Harga + Diskon B]]+cadangan3[[#This Row],[Harga + Diskon C]]</f>
        <v>765000</v>
      </c>
      <c r="AI833" s="35">
        <f>(cadangan3[[#This Row],[Profit A]]+cadangan3[[#This Row],[Profit B]]+cadangan3[[#This Row],[Profit C]])</f>
        <v>300000</v>
      </c>
      <c r="AJ833" s="35">
        <f>cadangan3[[#This Row],[Provit A + Diskon]]+cadangan3[[#This Row],[Provit B + Diskon]]+cadangan3[[#This Row],[Provit C + Diskon]]</f>
        <v>255000</v>
      </c>
      <c r="AK833" s="23" t="s">
        <v>32</v>
      </c>
      <c r="AL833" s="37">
        <f>IFERROR(INDEX('Kode Diskon'!$D$3:$D$9,MATCH(cadangan3[[#This Row],[Kode diskon]],'Kode Diskon'!$C$3:$C$9,0)),"-")</f>
        <v>0.15</v>
      </c>
      <c r="AM833" s="23" t="s">
        <v>9</v>
      </c>
      <c r="AN833" s="23" t="s">
        <v>12</v>
      </c>
      <c r="AO833" s="23" t="s">
        <v>80</v>
      </c>
      <c r="AP833" s="24">
        <v>45042</v>
      </c>
      <c r="AQ833" s="23" t="str">
        <f>TEXT(cadangan3[[#This Row],[Tanggal terjual]],"dddd")</f>
        <v>Wednesday</v>
      </c>
    </row>
    <row r="834" spans="1:43" x14ac:dyDescent="0.2">
      <c r="A834" s="20">
        <v>833</v>
      </c>
      <c r="B834" s="21" t="str">
        <f>_xlfn.CONCAT("ORD-",INDEX(Helper!$B$2:$B$5,MATCH(cadangan3[[#This Row],[Marketplace]],Helper!$A$2:$A$5,0)),TEXT(cadangan3[[#This Row],[No]],"0000"),"-",TEXT(cadangan3[[#This Row],[Tanggal terjual]],"dd/mm/yy"))</f>
        <v>ORD-SP0833-02/04/23</v>
      </c>
      <c r="C834" t="s">
        <v>60</v>
      </c>
      <c r="D834" t="str">
        <f>IFERROR(INDEX(Katalog!$A$3:$A$12,MATCH(cadangan3[[#This Row],[ItemID A]],Katalog!$C$3:$C$12,0)),"-")</f>
        <v>Pakaian Wanita</v>
      </c>
      <c r="E834" t="str">
        <f>IFERROR(INDEX(Katalog!$B$3:$B$12,MATCH(cadangan3[[#This Row],[ItemID A]],Katalog!$C$3:$C$12,0)),"-")</f>
        <v>Kaftan</v>
      </c>
      <c r="F834">
        <v>4</v>
      </c>
      <c r="G834">
        <v>3</v>
      </c>
      <c r="H834" s="36">
        <f>IFERROR(INDEX(Katalog!$D$3:$D$12,MATCH(cadangan3[[#This Row],[ItemID A]],Katalog!$C$3:$C$12,0))*cadangan3[[#This Row],[Qty A]],0)</f>
        <v>1000000</v>
      </c>
      <c r="I834" s="36">
        <f>IFERROR(INDEX(Katalog!$D$3:$D$12,MATCH(cadangan3[[#This Row],[Item A]],Katalog!$B$3:$B$12,0))*cadangan3[[#This Row],[Qty A]],0)</f>
        <v>1000000</v>
      </c>
      <c r="J834" s="36">
        <f>IFERROR(cadangan3[[#This Row],[Harga Asli A]]-(cadangan3[[#This Row],[Harga Asli A]]*cadangan3[[#This Row],[Diskon]]),cadangan3[[#This Row],[Harga Asli A]])</f>
        <v>850000</v>
      </c>
      <c r="K834" s="36">
        <f>INDEX(Katalog!$F$3:$F$12,MATCH(cadangan3[[#This Row],[ItemID A]],Katalog!$C$3:$C$12,0))*cadangan3[[#This Row],[Qty A]]</f>
        <v>400000</v>
      </c>
      <c r="L834" s="36">
        <f>IFERROR(cadangan3[[#This Row],[Profit A]]-(cadangan3[[#This Row],[Profit A]]*cadangan3[[#This Row],[Diskon]]),K834)</f>
        <v>340000</v>
      </c>
      <c r="M834" t="s">
        <v>64</v>
      </c>
      <c r="N834" t="str">
        <f>IFERROR(INDEX(Katalog!$A$3:$A$12,MATCH(cadangan3[[#This Row],[ItemID B]],Katalog!$C$3:$C$12,0)),"-")</f>
        <v>Pakaian Unisex</v>
      </c>
      <c r="O834" t="str">
        <f>IFERROR(INDEX(Katalog!$B$3:$B$12,MATCH(cadangan3[[#This Row],[ItemID B]],Katalog!$C$3:$C$12,0)),"-")</f>
        <v>Jaket Hoodie</v>
      </c>
      <c r="P834">
        <v>1</v>
      </c>
      <c r="Q834">
        <v>2</v>
      </c>
      <c r="R834" s="36">
        <f>IFERROR(INDEX(Katalog!$D$3:$D$12,MATCH(cadangan3[[#This Row],[ItemID B]],Katalog!$C$3:$C$12,0))*cadangan3[[#This Row],[Qty B]],0)</f>
        <v>350000</v>
      </c>
      <c r="S834" s="36">
        <f>IFERROR(INDEX(Katalog!$D$3:$D$12,MATCH(cadangan3[[#This Row],[Item B]],Katalog!$B$3:$B$12,0))*cadangan3[[#This Row],[Qty B]],0)</f>
        <v>350000</v>
      </c>
      <c r="T834" s="36">
        <f>IFERROR(cadangan3[[#This Row],[Harga Asli B]]-(cadangan3[[#This Row],[Harga Asli B]]*cadangan3[[#This Row],[Diskon]]),cadangan3[[#This Row],[Harga Asli B]])</f>
        <v>297500</v>
      </c>
      <c r="U834" s="36">
        <f>IFERROR(INDEX(Katalog!$F$3:$F$12,MATCH(cadangan3[[#This Row],[ItemID B]],Katalog!$C$3:$C$12,0))*cadangan3[[#This Row],[Qty B]],0)</f>
        <v>130000</v>
      </c>
      <c r="V834" s="36">
        <f>IFERROR(cadangan3[[#This Row],[Profit B]]-(cadangan3[[#This Row],[Profit B]]*cadangan3[[#This Row],[Diskon]]),U834)</f>
        <v>110500</v>
      </c>
      <c r="W834" t="s">
        <v>58</v>
      </c>
      <c r="X834" t="str">
        <f>IFERROR(INDEX(Katalog!$A$3:$A$12,MATCH(cadangan3[[#This Row],[ItemID C]],Katalog!$C$3:$C$12,0)),"-")</f>
        <v>Pakaian Wanita</v>
      </c>
      <c r="Y834" t="str">
        <f>IFERROR(INDEX(Katalog!$B$3:$B$12,MATCH(cadangan3[[#This Row],[ItemID C]],Katalog!$C$3:$C$12,0)),"-")</f>
        <v>Dress</v>
      </c>
      <c r="Z834">
        <v>2</v>
      </c>
      <c r="AA834">
        <v>5</v>
      </c>
      <c r="AB834" s="36">
        <f>IFERROR(INDEX(Katalog!$D$3:$D$12,MATCH(cadangan3[[#This Row],[ItemID C]],Katalog!$C$3:$C$12,0))*cadangan3[[#This Row],[Qty C]],0)</f>
        <v>600000</v>
      </c>
      <c r="AC834" s="36">
        <f>IFERROR(INDEX(Katalog!$D$3:$D$12,MATCH(cadangan3[[#This Row],[Item C]],Katalog!$B$3:$B$12,0))*cadangan3[[#This Row],[Qty C]],0)</f>
        <v>600000</v>
      </c>
      <c r="AD834" s="36">
        <f>IFERROR(cadangan3[[#This Row],[Harga Asli C]]-(cadangan3[[#This Row],[Harga Asli C]]*cadangan3[[#This Row],[Diskon]]),cadangan3[[#This Row],[Harga Asli C]])</f>
        <v>510000</v>
      </c>
      <c r="AE834" s="36">
        <f>IFERROR(INDEX(Katalog!$F$3:$F$12,MATCH(cadangan3[[#This Row],[ItemID C]],Katalog!$C$3:$C$12,0))*cadangan3[[#This Row],[Qty C]],0)</f>
        <v>200000</v>
      </c>
      <c r="AF834" s="36">
        <f>IFERROR(cadangan3[[#This Row],[Profit C]]-(cadangan3[[#This Row],[Profit C]]*cadangan3[[#This Row],[Diskon]]),cadangan3[[#This Row],[Profit C]])</f>
        <v>170000</v>
      </c>
      <c r="AG834" s="21">
        <f>cadangan3[[#This Row],[Qty A]]+cadangan3[[#This Row],[Qty B]]+cadangan3[[#This Row],[Qty C]]</f>
        <v>7</v>
      </c>
      <c r="AH834" s="35">
        <f>cadangan3[[#This Row],[Harga A + Diskon]]+cadangan3[[#This Row],[Harga + Diskon B]]+cadangan3[[#This Row],[Harga + Diskon C]]</f>
        <v>1657500</v>
      </c>
      <c r="AI834" s="35">
        <f>(cadangan3[[#This Row],[Profit A]]+cadangan3[[#This Row],[Profit B]]+cadangan3[[#This Row],[Profit C]])</f>
        <v>730000</v>
      </c>
      <c r="AJ834" s="35">
        <f>cadangan3[[#This Row],[Provit A + Diskon]]+cadangan3[[#This Row],[Provit B + Diskon]]+cadangan3[[#This Row],[Provit C + Diskon]]</f>
        <v>620500</v>
      </c>
      <c r="AK834" s="23" t="s">
        <v>13</v>
      </c>
      <c r="AL834" s="37">
        <f>IFERROR(INDEX('Kode Diskon'!$D$3:$D$9,MATCH(cadangan3[[#This Row],[Kode diskon]],'Kode Diskon'!$C$3:$C$9,0)),"-")</f>
        <v>0.15</v>
      </c>
      <c r="AM834" s="23" t="s">
        <v>29</v>
      </c>
      <c r="AN834" s="23" t="s">
        <v>7</v>
      </c>
      <c r="AO834" s="23" t="s">
        <v>75</v>
      </c>
      <c r="AP834" s="24">
        <v>45018</v>
      </c>
      <c r="AQ834" s="23" t="str">
        <f>TEXT(cadangan3[[#This Row],[Tanggal terjual]],"dddd")</f>
        <v>Sunday</v>
      </c>
    </row>
    <row r="835" spans="1:43" x14ac:dyDescent="0.2">
      <c r="A835" s="20">
        <v>834</v>
      </c>
      <c r="B835" s="21" t="str">
        <f>_xlfn.CONCAT("ORD-",INDEX(Helper!$B$2:$B$5,MATCH(cadangan3[[#This Row],[Marketplace]],Helper!$A$2:$A$5,0)),TEXT(cadangan3[[#This Row],[No]],"0000"),"-",TEXT(cadangan3[[#This Row],[Tanggal terjual]],"dd/mm/yy"))</f>
        <v>ORD-BL0834-22/04/23</v>
      </c>
      <c r="C835" t="s">
        <v>58</v>
      </c>
      <c r="D835" t="str">
        <f>IFERROR(INDEX(Katalog!$A$3:$A$12,MATCH(cadangan3[[#This Row],[ItemID A]],Katalog!$C$3:$C$12,0)),"-")</f>
        <v>Pakaian Wanita</v>
      </c>
      <c r="E835" t="str">
        <f>IFERROR(INDEX(Katalog!$B$3:$B$12,MATCH(cadangan3[[#This Row],[ItemID A]],Katalog!$C$3:$C$12,0)),"-")</f>
        <v>Dress</v>
      </c>
      <c r="F835">
        <v>1</v>
      </c>
      <c r="G835">
        <v>5</v>
      </c>
      <c r="H835" s="36">
        <f>IFERROR(INDEX(Katalog!$D$3:$D$12,MATCH(cadangan3[[#This Row],[ItemID A]],Katalog!$C$3:$C$12,0))*cadangan3[[#This Row],[Qty A]],0)</f>
        <v>300000</v>
      </c>
      <c r="I835" s="36">
        <f>IFERROR(INDEX(Katalog!$D$3:$D$12,MATCH(cadangan3[[#This Row],[Item A]],Katalog!$B$3:$B$12,0))*cadangan3[[#This Row],[Qty A]],0)</f>
        <v>300000</v>
      </c>
      <c r="J835" s="36">
        <f>IFERROR(cadangan3[[#This Row],[Harga Asli A]]-(cadangan3[[#This Row],[Harga Asli A]]*cadangan3[[#This Row],[Diskon]]),cadangan3[[#This Row],[Harga Asli A]])</f>
        <v>255000</v>
      </c>
      <c r="K835" s="36">
        <f>INDEX(Katalog!$F$3:$F$12,MATCH(cadangan3[[#This Row],[ItemID A]],Katalog!$C$3:$C$12,0))*cadangan3[[#This Row],[Qty A]]</f>
        <v>100000</v>
      </c>
      <c r="L835" s="36">
        <f>IFERROR(cadangan3[[#This Row],[Profit A]]-(cadangan3[[#This Row],[Profit A]]*cadangan3[[#This Row],[Diskon]]),K835)</f>
        <v>85000</v>
      </c>
      <c r="N835" t="str">
        <f>IFERROR(INDEX(Katalog!$A$3:$A$12,MATCH(cadangan3[[#This Row],[ItemID B]],Katalog!$C$3:$C$12,0)),"-")</f>
        <v>-</v>
      </c>
      <c r="O835" t="str">
        <f>IFERROR(INDEX(Katalog!$B$3:$B$12,MATCH(cadangan3[[#This Row],[ItemID B]],Katalog!$C$3:$C$12,0)),"-")</f>
        <v>-</v>
      </c>
      <c r="R835" s="36">
        <f>IFERROR(INDEX(Katalog!$D$3:$D$12,MATCH(cadangan3[[#This Row],[ItemID B]],Katalog!$C$3:$C$12,0))*cadangan3[[#This Row],[Qty B]],0)</f>
        <v>0</v>
      </c>
      <c r="S835" s="36">
        <f>IFERROR(INDEX(Katalog!$D$3:$D$12,MATCH(cadangan3[[#This Row],[Item B]],Katalog!$B$3:$B$12,0))*cadangan3[[#This Row],[Qty B]],0)</f>
        <v>0</v>
      </c>
      <c r="T835" s="36">
        <f>IFERROR(cadangan3[[#This Row],[Harga Asli B]]-(cadangan3[[#This Row],[Harga Asli B]]*cadangan3[[#This Row],[Diskon]]),cadangan3[[#This Row],[Harga Asli B]])</f>
        <v>0</v>
      </c>
      <c r="U835" s="36">
        <f>IFERROR(INDEX(Katalog!$F$3:$F$12,MATCH(cadangan3[[#This Row],[ItemID B]],Katalog!$C$3:$C$12,0))*cadangan3[[#This Row],[Qty B]],0)</f>
        <v>0</v>
      </c>
      <c r="V835" s="36">
        <f>IFERROR(cadangan3[[#This Row],[Profit B]]-(cadangan3[[#This Row],[Profit B]]*cadangan3[[#This Row],[Diskon]]),U835)</f>
        <v>0</v>
      </c>
      <c r="X835" t="str">
        <f>IFERROR(INDEX(Katalog!$A$3:$A$12,MATCH(cadangan3[[#This Row],[ItemID C]],Katalog!$C$3:$C$12,0)),"-")</f>
        <v>-</v>
      </c>
      <c r="Y835" t="str">
        <f>IFERROR(INDEX(Katalog!$B$3:$B$12,MATCH(cadangan3[[#This Row],[ItemID C]],Katalog!$C$3:$C$12,0)),"-")</f>
        <v>-</v>
      </c>
      <c r="AB835" s="36">
        <f>IFERROR(INDEX(Katalog!$D$3:$D$12,MATCH(cadangan3[[#This Row],[ItemID C]],Katalog!$C$3:$C$12,0))*cadangan3[[#This Row],[Qty C]],0)</f>
        <v>0</v>
      </c>
      <c r="AC835" s="36">
        <f>IFERROR(INDEX(Katalog!$D$3:$D$12,MATCH(cadangan3[[#This Row],[Item C]],Katalog!$B$3:$B$12,0))*cadangan3[[#This Row],[Qty C]],0)</f>
        <v>0</v>
      </c>
      <c r="AD835" s="36">
        <f>IFERROR(cadangan3[[#This Row],[Harga Asli C]]-(cadangan3[[#This Row],[Harga Asli C]]*cadangan3[[#This Row],[Diskon]]),cadangan3[[#This Row],[Harga Asli C]])</f>
        <v>0</v>
      </c>
      <c r="AE835" s="36">
        <f>IFERROR(INDEX(Katalog!$F$3:$F$12,MATCH(cadangan3[[#This Row],[ItemID C]],Katalog!$C$3:$C$12,0))*cadangan3[[#This Row],[Qty C]],0)</f>
        <v>0</v>
      </c>
      <c r="AF835" s="36">
        <f>IFERROR(cadangan3[[#This Row],[Profit C]]-(cadangan3[[#This Row],[Profit C]]*cadangan3[[#This Row],[Diskon]]),cadangan3[[#This Row],[Profit C]])</f>
        <v>0</v>
      </c>
      <c r="AG835" s="21">
        <f>cadangan3[[#This Row],[Qty A]]+cadangan3[[#This Row],[Qty B]]+cadangan3[[#This Row],[Qty C]]</f>
        <v>1</v>
      </c>
      <c r="AH835" s="35">
        <f>cadangan3[[#This Row],[Harga A + Diskon]]+cadangan3[[#This Row],[Harga + Diskon B]]+cadangan3[[#This Row],[Harga + Diskon C]]</f>
        <v>255000</v>
      </c>
      <c r="AI835" s="35">
        <f>(cadangan3[[#This Row],[Profit A]]+cadangan3[[#This Row],[Profit B]]+cadangan3[[#This Row],[Profit C]])</f>
        <v>100000</v>
      </c>
      <c r="AJ835" s="35">
        <f>cadangan3[[#This Row],[Provit A + Diskon]]+cadangan3[[#This Row],[Provit B + Diskon]]+cadangan3[[#This Row],[Provit C + Diskon]]</f>
        <v>85000</v>
      </c>
      <c r="AK835" s="23" t="s">
        <v>32</v>
      </c>
      <c r="AL835" s="37">
        <f>IFERROR(INDEX('Kode Diskon'!$D$3:$D$9,MATCH(cadangan3[[#This Row],[Kode diskon]],'Kode Diskon'!$C$3:$C$9,0)),"-")</f>
        <v>0.15</v>
      </c>
      <c r="AM835" s="23" t="s">
        <v>9</v>
      </c>
      <c r="AN835" s="23" t="s">
        <v>12</v>
      </c>
      <c r="AO835" s="23" t="s">
        <v>76</v>
      </c>
      <c r="AP835" s="24">
        <v>45038</v>
      </c>
      <c r="AQ835" s="23" t="str">
        <f>TEXT(cadangan3[[#This Row],[Tanggal terjual]],"dddd")</f>
        <v>Saturday</v>
      </c>
    </row>
    <row r="836" spans="1:43" x14ac:dyDescent="0.2">
      <c r="A836" s="20">
        <v>835</v>
      </c>
      <c r="B836" s="21" t="str">
        <f>_xlfn.CONCAT("ORD-",INDEX(Helper!$B$2:$B$5,MATCH(cadangan3[[#This Row],[Marketplace]],Helper!$A$2:$A$5,0)),TEXT(cadangan3[[#This Row],[No]],"0000"),"-",TEXT(cadangan3[[#This Row],[Tanggal terjual]],"dd/mm/yy"))</f>
        <v>ORD-SP0835-03/04/23</v>
      </c>
      <c r="C836" t="s">
        <v>66</v>
      </c>
      <c r="D836" t="str">
        <f>IFERROR(INDEX(Katalog!$A$3:$A$12,MATCH(cadangan3[[#This Row],[ItemID A]],Katalog!$C$3:$C$12,0)),"-")</f>
        <v>Sepatu Pria</v>
      </c>
      <c r="E836" t="str">
        <f>IFERROR(INDEX(Katalog!$B$3:$B$12,MATCH(cadangan3[[#This Row],[ItemID A]],Katalog!$C$3:$C$12,0)),"-")</f>
        <v>Sandal Slip On</v>
      </c>
      <c r="F836">
        <v>1</v>
      </c>
      <c r="G836">
        <v>5</v>
      </c>
      <c r="H836" s="36">
        <f>IFERROR(INDEX(Katalog!$D$3:$D$12,MATCH(cadangan3[[#This Row],[ItemID A]],Katalog!$C$3:$C$12,0))*cadangan3[[#This Row],[Qty A]],0)</f>
        <v>150000</v>
      </c>
      <c r="I836" s="36">
        <f>IFERROR(INDEX(Katalog!$D$3:$D$12,MATCH(cadangan3[[#This Row],[Item A]],Katalog!$B$3:$B$12,0))*cadangan3[[#This Row],[Qty A]],0)</f>
        <v>150000</v>
      </c>
      <c r="J836" s="36">
        <f>IFERROR(cadangan3[[#This Row],[Harga Asli A]]-(cadangan3[[#This Row],[Harga Asli A]]*cadangan3[[#This Row],[Diskon]]),cadangan3[[#This Row],[Harga Asli A]])</f>
        <v>135000</v>
      </c>
      <c r="K836" s="36">
        <f>INDEX(Katalog!$F$3:$F$12,MATCH(cadangan3[[#This Row],[ItemID A]],Katalog!$C$3:$C$12,0))*cadangan3[[#This Row],[Qty A]]</f>
        <v>60000</v>
      </c>
      <c r="L836" s="36">
        <f>IFERROR(cadangan3[[#This Row],[Profit A]]-(cadangan3[[#This Row],[Profit A]]*cadangan3[[#This Row],[Diskon]]),K836)</f>
        <v>54000</v>
      </c>
      <c r="N836" t="str">
        <f>IFERROR(INDEX(Katalog!$A$3:$A$12,MATCH(cadangan3[[#This Row],[ItemID B]],Katalog!$C$3:$C$12,0)),"-")</f>
        <v>-</v>
      </c>
      <c r="O836" t="str">
        <f>IFERROR(INDEX(Katalog!$B$3:$B$12,MATCH(cadangan3[[#This Row],[ItemID B]],Katalog!$C$3:$C$12,0)),"-")</f>
        <v>-</v>
      </c>
      <c r="R836" s="36">
        <f>IFERROR(INDEX(Katalog!$D$3:$D$12,MATCH(cadangan3[[#This Row],[ItemID B]],Katalog!$C$3:$C$12,0))*cadangan3[[#This Row],[Qty B]],0)</f>
        <v>0</v>
      </c>
      <c r="S836" s="36">
        <f>IFERROR(INDEX(Katalog!$D$3:$D$12,MATCH(cadangan3[[#This Row],[Item B]],Katalog!$B$3:$B$12,0))*cadangan3[[#This Row],[Qty B]],0)</f>
        <v>0</v>
      </c>
      <c r="T836" s="36">
        <f>IFERROR(cadangan3[[#This Row],[Harga Asli B]]-(cadangan3[[#This Row],[Harga Asli B]]*cadangan3[[#This Row],[Diskon]]),cadangan3[[#This Row],[Harga Asli B]])</f>
        <v>0</v>
      </c>
      <c r="U836" s="36">
        <f>IFERROR(INDEX(Katalog!$F$3:$F$12,MATCH(cadangan3[[#This Row],[ItemID B]],Katalog!$C$3:$C$12,0))*cadangan3[[#This Row],[Qty B]],0)</f>
        <v>0</v>
      </c>
      <c r="V836" s="36">
        <f>IFERROR(cadangan3[[#This Row],[Profit B]]-(cadangan3[[#This Row],[Profit B]]*cadangan3[[#This Row],[Diskon]]),U836)</f>
        <v>0</v>
      </c>
      <c r="X836" t="str">
        <f>IFERROR(INDEX(Katalog!$A$3:$A$12,MATCH(cadangan3[[#This Row],[ItemID C]],Katalog!$C$3:$C$12,0)),"-")</f>
        <v>-</v>
      </c>
      <c r="Y836" t="str">
        <f>IFERROR(INDEX(Katalog!$B$3:$B$12,MATCH(cadangan3[[#This Row],[ItemID C]],Katalog!$C$3:$C$12,0)),"-")</f>
        <v>-</v>
      </c>
      <c r="AB836" s="36">
        <f>IFERROR(INDEX(Katalog!$D$3:$D$12,MATCH(cadangan3[[#This Row],[ItemID C]],Katalog!$C$3:$C$12,0))*cadangan3[[#This Row],[Qty C]],0)</f>
        <v>0</v>
      </c>
      <c r="AC836" s="36">
        <f>IFERROR(INDEX(Katalog!$D$3:$D$12,MATCH(cadangan3[[#This Row],[Item C]],Katalog!$B$3:$B$12,0))*cadangan3[[#This Row],[Qty C]],0)</f>
        <v>0</v>
      </c>
      <c r="AD836" s="36">
        <f>IFERROR(cadangan3[[#This Row],[Harga Asli C]]-(cadangan3[[#This Row],[Harga Asli C]]*cadangan3[[#This Row],[Diskon]]),cadangan3[[#This Row],[Harga Asli C]])</f>
        <v>0</v>
      </c>
      <c r="AE836" s="36">
        <f>IFERROR(INDEX(Katalog!$F$3:$F$12,MATCH(cadangan3[[#This Row],[ItemID C]],Katalog!$C$3:$C$12,0))*cadangan3[[#This Row],[Qty C]],0)</f>
        <v>0</v>
      </c>
      <c r="AF836" s="36">
        <f>IFERROR(cadangan3[[#This Row],[Profit C]]-(cadangan3[[#This Row],[Profit C]]*cadangan3[[#This Row],[Diskon]]),cadangan3[[#This Row],[Profit C]])</f>
        <v>0</v>
      </c>
      <c r="AG836" s="21">
        <f>cadangan3[[#This Row],[Qty A]]+cadangan3[[#This Row],[Qty B]]+cadangan3[[#This Row],[Qty C]]</f>
        <v>1</v>
      </c>
      <c r="AH836" s="35">
        <f>cadangan3[[#This Row],[Harga A + Diskon]]+cadangan3[[#This Row],[Harga + Diskon B]]+cadangan3[[#This Row],[Harga + Diskon C]]</f>
        <v>135000</v>
      </c>
      <c r="AI836" s="35">
        <f>(cadangan3[[#This Row],[Profit A]]+cadangan3[[#This Row],[Profit B]]+cadangan3[[#This Row],[Profit C]])</f>
        <v>60000</v>
      </c>
      <c r="AJ836" s="35">
        <f>cadangan3[[#This Row],[Provit A + Diskon]]+cadangan3[[#This Row],[Provit B + Diskon]]+cadangan3[[#This Row],[Provit C + Diskon]]</f>
        <v>54000</v>
      </c>
      <c r="AK836" s="23" t="s">
        <v>6</v>
      </c>
      <c r="AL836" s="37">
        <f>IFERROR(INDEX('Kode Diskon'!$D$3:$D$9,MATCH(cadangan3[[#This Row],[Kode diskon]],'Kode Diskon'!$C$3:$C$9,0)),"-")</f>
        <v>0.1</v>
      </c>
      <c r="AM836" s="23" t="s">
        <v>29</v>
      </c>
      <c r="AN836" s="23" t="s">
        <v>7</v>
      </c>
      <c r="AO836" s="23" t="s">
        <v>79</v>
      </c>
      <c r="AP836" s="24">
        <v>45019</v>
      </c>
      <c r="AQ836" s="23" t="str">
        <f>TEXT(cadangan3[[#This Row],[Tanggal terjual]],"dddd")</f>
        <v>Monday</v>
      </c>
    </row>
    <row r="837" spans="1:43" x14ac:dyDescent="0.2">
      <c r="A837" s="20">
        <v>836</v>
      </c>
      <c r="B837" s="21" t="str">
        <f>_xlfn.CONCAT("ORD-",INDEX(Helper!$B$2:$B$5,MATCH(cadangan3[[#This Row],[Marketplace]],Helper!$A$2:$A$5,0)),TEXT(cadangan3[[#This Row],[No]],"0000"),"-",TEXT(cadangan3[[#This Row],[Tanggal terjual]],"dd/mm/yy"))</f>
        <v>ORD-SP0836-02/04/23</v>
      </c>
      <c r="C837" t="s">
        <v>67</v>
      </c>
      <c r="D837" t="str">
        <f>IFERROR(INDEX(Katalog!$A$3:$A$12,MATCH(cadangan3[[#This Row],[ItemID A]],Katalog!$C$3:$C$12,0)),"-")</f>
        <v>Sepatu Wanita</v>
      </c>
      <c r="E837" t="str">
        <f>IFERROR(INDEX(Katalog!$B$3:$B$12,MATCH(cadangan3[[#This Row],[ItemID A]],Katalog!$C$3:$C$12,0)),"-")</f>
        <v>Flat Shoes</v>
      </c>
      <c r="F837">
        <v>1</v>
      </c>
      <c r="G837">
        <v>5</v>
      </c>
      <c r="H837" s="36">
        <f>IFERROR(INDEX(Katalog!$D$3:$D$12,MATCH(cadangan3[[#This Row],[ItemID A]],Katalog!$C$3:$C$12,0))*cadangan3[[#This Row],[Qty A]],0)</f>
        <v>250000</v>
      </c>
      <c r="I837" s="36">
        <f>IFERROR(INDEX(Katalog!$D$3:$D$12,MATCH(cadangan3[[#This Row],[Item A]],Katalog!$B$3:$B$12,0))*cadangan3[[#This Row],[Qty A]],0)</f>
        <v>250000</v>
      </c>
      <c r="J837" s="36">
        <f>IFERROR(cadangan3[[#This Row],[Harga Asli A]]-(cadangan3[[#This Row],[Harga Asli A]]*cadangan3[[#This Row],[Diskon]]),cadangan3[[#This Row],[Harga Asli A]])</f>
        <v>212500</v>
      </c>
      <c r="K837" s="36">
        <f>INDEX(Katalog!$F$3:$F$12,MATCH(cadangan3[[#This Row],[ItemID A]],Katalog!$C$3:$C$12,0))*cadangan3[[#This Row],[Qty A]]</f>
        <v>100000</v>
      </c>
      <c r="L837" s="36">
        <f>IFERROR(cadangan3[[#This Row],[Profit A]]-(cadangan3[[#This Row],[Profit A]]*cadangan3[[#This Row],[Diskon]]),K837)</f>
        <v>85000</v>
      </c>
      <c r="N837" t="str">
        <f>IFERROR(INDEX(Katalog!$A$3:$A$12,MATCH(cadangan3[[#This Row],[ItemID B]],Katalog!$C$3:$C$12,0)),"-")</f>
        <v>-</v>
      </c>
      <c r="O837" t="str">
        <f>IFERROR(INDEX(Katalog!$B$3:$B$12,MATCH(cadangan3[[#This Row],[ItemID B]],Katalog!$C$3:$C$12,0)),"-")</f>
        <v>-</v>
      </c>
      <c r="R837" s="36">
        <f>IFERROR(INDEX(Katalog!$D$3:$D$12,MATCH(cadangan3[[#This Row],[ItemID B]],Katalog!$C$3:$C$12,0))*cadangan3[[#This Row],[Qty B]],0)</f>
        <v>0</v>
      </c>
      <c r="S837" s="36">
        <f>IFERROR(INDEX(Katalog!$D$3:$D$12,MATCH(cadangan3[[#This Row],[Item B]],Katalog!$B$3:$B$12,0))*cadangan3[[#This Row],[Qty B]],0)</f>
        <v>0</v>
      </c>
      <c r="T837" s="36">
        <f>IFERROR(cadangan3[[#This Row],[Harga Asli B]]-(cadangan3[[#This Row],[Harga Asli B]]*cadangan3[[#This Row],[Diskon]]),cadangan3[[#This Row],[Harga Asli B]])</f>
        <v>0</v>
      </c>
      <c r="U837" s="36">
        <f>IFERROR(INDEX(Katalog!$F$3:$F$12,MATCH(cadangan3[[#This Row],[ItemID B]],Katalog!$C$3:$C$12,0))*cadangan3[[#This Row],[Qty B]],0)</f>
        <v>0</v>
      </c>
      <c r="V837" s="36">
        <f>IFERROR(cadangan3[[#This Row],[Profit B]]-(cadangan3[[#This Row],[Profit B]]*cadangan3[[#This Row],[Diskon]]),U837)</f>
        <v>0</v>
      </c>
      <c r="X837" t="str">
        <f>IFERROR(INDEX(Katalog!$A$3:$A$12,MATCH(cadangan3[[#This Row],[ItemID C]],Katalog!$C$3:$C$12,0)),"-")</f>
        <v>-</v>
      </c>
      <c r="Y837" t="str">
        <f>IFERROR(INDEX(Katalog!$B$3:$B$12,MATCH(cadangan3[[#This Row],[ItemID C]],Katalog!$C$3:$C$12,0)),"-")</f>
        <v>-</v>
      </c>
      <c r="AB837" s="36">
        <f>IFERROR(INDEX(Katalog!$D$3:$D$12,MATCH(cadangan3[[#This Row],[ItemID C]],Katalog!$C$3:$C$12,0))*cadangan3[[#This Row],[Qty C]],0)</f>
        <v>0</v>
      </c>
      <c r="AC837" s="36">
        <f>IFERROR(INDEX(Katalog!$D$3:$D$12,MATCH(cadangan3[[#This Row],[Item C]],Katalog!$B$3:$B$12,0))*cadangan3[[#This Row],[Qty C]],0)</f>
        <v>0</v>
      </c>
      <c r="AD837" s="36">
        <f>IFERROR(cadangan3[[#This Row],[Harga Asli C]]-(cadangan3[[#This Row],[Harga Asli C]]*cadangan3[[#This Row],[Diskon]]),cadangan3[[#This Row],[Harga Asli C]])</f>
        <v>0</v>
      </c>
      <c r="AE837" s="36">
        <f>IFERROR(INDEX(Katalog!$F$3:$F$12,MATCH(cadangan3[[#This Row],[ItemID C]],Katalog!$C$3:$C$12,0))*cadangan3[[#This Row],[Qty C]],0)</f>
        <v>0</v>
      </c>
      <c r="AF837" s="36">
        <f>IFERROR(cadangan3[[#This Row],[Profit C]]-(cadangan3[[#This Row],[Profit C]]*cadangan3[[#This Row],[Diskon]]),cadangan3[[#This Row],[Profit C]])</f>
        <v>0</v>
      </c>
      <c r="AG837" s="21">
        <f>cadangan3[[#This Row],[Qty A]]+cadangan3[[#This Row],[Qty B]]+cadangan3[[#This Row],[Qty C]]</f>
        <v>1</v>
      </c>
      <c r="AH837" s="35">
        <f>cadangan3[[#This Row],[Harga A + Diskon]]+cadangan3[[#This Row],[Harga + Diskon B]]+cadangan3[[#This Row],[Harga + Diskon C]]</f>
        <v>212500</v>
      </c>
      <c r="AI837" s="35">
        <f>(cadangan3[[#This Row],[Profit A]]+cadangan3[[#This Row],[Profit B]]+cadangan3[[#This Row],[Profit C]])</f>
        <v>100000</v>
      </c>
      <c r="AJ837" s="35">
        <f>cadangan3[[#This Row],[Provit A + Diskon]]+cadangan3[[#This Row],[Provit B + Diskon]]+cadangan3[[#This Row],[Provit C + Diskon]]</f>
        <v>85000</v>
      </c>
      <c r="AK837" s="23" t="s">
        <v>13</v>
      </c>
      <c r="AL837" s="37">
        <f>IFERROR(INDEX('Kode Diskon'!$D$3:$D$9,MATCH(cadangan3[[#This Row],[Kode diskon]],'Kode Diskon'!$C$3:$C$9,0)),"-")</f>
        <v>0.15</v>
      </c>
      <c r="AM837" s="23" t="s">
        <v>29</v>
      </c>
      <c r="AN837" s="23" t="s">
        <v>7</v>
      </c>
      <c r="AO837" s="23" t="s">
        <v>80</v>
      </c>
      <c r="AP837" s="24">
        <v>45018</v>
      </c>
      <c r="AQ837" s="23" t="str">
        <f>TEXT(cadangan3[[#This Row],[Tanggal terjual]],"dddd")</f>
        <v>Sunday</v>
      </c>
    </row>
    <row r="838" spans="1:43" x14ac:dyDescent="0.2">
      <c r="A838" s="20">
        <v>837</v>
      </c>
      <c r="B838" s="21" t="str">
        <f>_xlfn.CONCAT("ORD-",INDEX(Helper!$B$2:$B$5,MATCH(cadangan3[[#This Row],[Marketplace]],Helper!$A$2:$A$5,0)),TEXT(cadangan3[[#This Row],[No]],"0000"),"-",TEXT(cadangan3[[#This Row],[Tanggal terjual]],"dd/mm/yy"))</f>
        <v>ORD-TK0837-04/04/23</v>
      </c>
      <c r="C838" t="s">
        <v>66</v>
      </c>
      <c r="D838" t="str">
        <f>IFERROR(INDEX(Katalog!$A$3:$A$12,MATCH(cadangan3[[#This Row],[ItemID A]],Katalog!$C$3:$C$12,0)),"-")</f>
        <v>Sepatu Pria</v>
      </c>
      <c r="E838" t="str">
        <f>IFERROR(INDEX(Katalog!$B$3:$B$12,MATCH(cadangan3[[#This Row],[ItemID A]],Katalog!$C$3:$C$12,0)),"-")</f>
        <v>Sandal Slip On</v>
      </c>
      <c r="F838">
        <v>7</v>
      </c>
      <c r="G838">
        <v>4</v>
      </c>
      <c r="H838" s="36">
        <f>IFERROR(INDEX(Katalog!$D$3:$D$12,MATCH(cadangan3[[#This Row],[ItemID A]],Katalog!$C$3:$C$12,0))*cadangan3[[#This Row],[Qty A]],0)</f>
        <v>1050000</v>
      </c>
      <c r="I838" s="36">
        <f>IFERROR(INDEX(Katalog!$D$3:$D$12,MATCH(cadangan3[[#This Row],[Item A]],Katalog!$B$3:$B$12,0))*cadangan3[[#This Row],[Qty A]],0)</f>
        <v>1050000</v>
      </c>
      <c r="J838" s="36">
        <f>IFERROR(cadangan3[[#This Row],[Harga Asli A]]-(cadangan3[[#This Row],[Harga Asli A]]*cadangan3[[#This Row],[Diskon]]),cadangan3[[#This Row],[Harga Asli A]])</f>
        <v>945000</v>
      </c>
      <c r="K838" s="36">
        <f>INDEX(Katalog!$F$3:$F$12,MATCH(cadangan3[[#This Row],[ItemID A]],Katalog!$C$3:$C$12,0))*cadangan3[[#This Row],[Qty A]]</f>
        <v>420000</v>
      </c>
      <c r="L838" s="36">
        <f>IFERROR(cadangan3[[#This Row],[Profit A]]-(cadangan3[[#This Row],[Profit A]]*cadangan3[[#This Row],[Diskon]]),K838)</f>
        <v>378000</v>
      </c>
      <c r="N838" t="str">
        <f>IFERROR(INDEX(Katalog!$A$3:$A$12,MATCH(cadangan3[[#This Row],[ItemID B]],Katalog!$C$3:$C$12,0)),"-")</f>
        <v>-</v>
      </c>
      <c r="O838" t="str">
        <f>IFERROR(INDEX(Katalog!$B$3:$B$12,MATCH(cadangan3[[#This Row],[ItemID B]],Katalog!$C$3:$C$12,0)),"-")</f>
        <v>-</v>
      </c>
      <c r="R838" s="36">
        <f>IFERROR(INDEX(Katalog!$D$3:$D$12,MATCH(cadangan3[[#This Row],[ItemID B]],Katalog!$C$3:$C$12,0))*cadangan3[[#This Row],[Qty B]],0)</f>
        <v>0</v>
      </c>
      <c r="S838" s="36">
        <f>IFERROR(INDEX(Katalog!$D$3:$D$12,MATCH(cadangan3[[#This Row],[Item B]],Katalog!$B$3:$B$12,0))*cadangan3[[#This Row],[Qty B]],0)</f>
        <v>0</v>
      </c>
      <c r="T838" s="36">
        <f>IFERROR(cadangan3[[#This Row],[Harga Asli B]]-(cadangan3[[#This Row],[Harga Asli B]]*cadangan3[[#This Row],[Diskon]]),cadangan3[[#This Row],[Harga Asli B]])</f>
        <v>0</v>
      </c>
      <c r="U838" s="36">
        <f>IFERROR(INDEX(Katalog!$F$3:$F$12,MATCH(cadangan3[[#This Row],[ItemID B]],Katalog!$C$3:$C$12,0))*cadangan3[[#This Row],[Qty B]],0)</f>
        <v>0</v>
      </c>
      <c r="V838" s="36">
        <f>IFERROR(cadangan3[[#This Row],[Profit B]]-(cadangan3[[#This Row],[Profit B]]*cadangan3[[#This Row],[Diskon]]),U838)</f>
        <v>0</v>
      </c>
      <c r="X838" t="str">
        <f>IFERROR(INDEX(Katalog!$A$3:$A$12,MATCH(cadangan3[[#This Row],[ItemID C]],Katalog!$C$3:$C$12,0)),"-")</f>
        <v>-</v>
      </c>
      <c r="Y838" t="str">
        <f>IFERROR(INDEX(Katalog!$B$3:$B$12,MATCH(cadangan3[[#This Row],[ItemID C]],Katalog!$C$3:$C$12,0)),"-")</f>
        <v>-</v>
      </c>
      <c r="AB838" s="36">
        <f>IFERROR(INDEX(Katalog!$D$3:$D$12,MATCH(cadangan3[[#This Row],[ItemID C]],Katalog!$C$3:$C$12,0))*cadangan3[[#This Row],[Qty C]],0)</f>
        <v>0</v>
      </c>
      <c r="AC838" s="36">
        <f>IFERROR(INDEX(Katalog!$D$3:$D$12,MATCH(cadangan3[[#This Row],[Item C]],Katalog!$B$3:$B$12,0))*cadangan3[[#This Row],[Qty C]],0)</f>
        <v>0</v>
      </c>
      <c r="AD838" s="36">
        <f>IFERROR(cadangan3[[#This Row],[Harga Asli C]]-(cadangan3[[#This Row],[Harga Asli C]]*cadangan3[[#This Row],[Diskon]]),cadangan3[[#This Row],[Harga Asli C]])</f>
        <v>0</v>
      </c>
      <c r="AE838" s="36">
        <f>IFERROR(INDEX(Katalog!$F$3:$F$12,MATCH(cadangan3[[#This Row],[ItemID C]],Katalog!$C$3:$C$12,0))*cadangan3[[#This Row],[Qty C]],0)</f>
        <v>0</v>
      </c>
      <c r="AF838" s="36">
        <f>IFERROR(cadangan3[[#This Row],[Profit C]]-(cadangan3[[#This Row],[Profit C]]*cadangan3[[#This Row],[Diskon]]),cadangan3[[#This Row],[Profit C]])</f>
        <v>0</v>
      </c>
      <c r="AG838" s="21">
        <f>cadangan3[[#This Row],[Qty A]]+cadangan3[[#This Row],[Qty B]]+cadangan3[[#This Row],[Qty C]]</f>
        <v>7</v>
      </c>
      <c r="AH838" s="35">
        <f>cadangan3[[#This Row],[Harga A + Diskon]]+cadangan3[[#This Row],[Harga + Diskon B]]+cadangan3[[#This Row],[Harga + Diskon C]]</f>
        <v>945000</v>
      </c>
      <c r="AI838" s="35">
        <f>(cadangan3[[#This Row],[Profit A]]+cadangan3[[#This Row],[Profit B]]+cadangan3[[#This Row],[Profit C]])</f>
        <v>420000</v>
      </c>
      <c r="AJ838" s="35">
        <f>cadangan3[[#This Row],[Provit A + Diskon]]+cadangan3[[#This Row],[Provit B + Diskon]]+cadangan3[[#This Row],[Provit C + Diskon]]</f>
        <v>378000</v>
      </c>
      <c r="AK838" s="23" t="s">
        <v>30</v>
      </c>
      <c r="AL838" s="37">
        <f>IFERROR(INDEX('Kode Diskon'!$D$3:$D$9,MATCH(cadangan3[[#This Row],[Kode diskon]],'Kode Diskon'!$C$3:$C$9,0)),"-")</f>
        <v>0.1</v>
      </c>
      <c r="AM838" s="23" t="s">
        <v>29</v>
      </c>
      <c r="AN838" s="23" t="s">
        <v>10</v>
      </c>
      <c r="AO838" s="23" t="s">
        <v>80</v>
      </c>
      <c r="AP838" s="24">
        <v>45020</v>
      </c>
      <c r="AQ838" s="23" t="str">
        <f>TEXT(cadangan3[[#This Row],[Tanggal terjual]],"dddd")</f>
        <v>Tuesday</v>
      </c>
    </row>
    <row r="839" spans="1:43" x14ac:dyDescent="0.2">
      <c r="A839" s="20">
        <v>838</v>
      </c>
      <c r="B839" s="21" t="str">
        <f>_xlfn.CONCAT("ORD-",INDEX(Helper!$B$2:$B$5,MATCH(cadangan3[[#This Row],[Marketplace]],Helper!$A$2:$A$5,0)),TEXT(cadangan3[[#This Row],[No]],"0000"),"-",TEXT(cadangan3[[#This Row],[Tanggal terjual]],"dd/mm/yy"))</f>
        <v>ORD-SP0838-06/04/23</v>
      </c>
      <c r="C839" t="s">
        <v>63</v>
      </c>
      <c r="D839" t="str">
        <f>IFERROR(INDEX(Katalog!$A$3:$A$12,MATCH(cadangan3[[#This Row],[ItemID A]],Katalog!$C$3:$C$12,0)),"-")</f>
        <v>Pakaian Pria</v>
      </c>
      <c r="E839" t="str">
        <f>IFERROR(INDEX(Katalog!$B$3:$B$12,MATCH(cadangan3[[#This Row],[ItemID A]],Katalog!$C$3:$C$12,0)),"-")</f>
        <v>Jaket Jeans</v>
      </c>
      <c r="F839">
        <v>2</v>
      </c>
      <c r="G839">
        <v>3</v>
      </c>
      <c r="H839" s="36">
        <f>IFERROR(INDEX(Katalog!$D$3:$D$12,MATCH(cadangan3[[#This Row],[ItemID A]],Katalog!$C$3:$C$12,0))*cadangan3[[#This Row],[Qty A]],0)</f>
        <v>800000</v>
      </c>
      <c r="I839" s="36">
        <f>IFERROR(INDEX(Katalog!$D$3:$D$12,MATCH(cadangan3[[#This Row],[Item A]],Katalog!$B$3:$B$12,0))*cadangan3[[#This Row],[Qty A]],0)</f>
        <v>800000</v>
      </c>
      <c r="J839" s="36">
        <f>IFERROR(cadangan3[[#This Row],[Harga Asli A]]-(cadangan3[[#This Row],[Harga Asli A]]*cadangan3[[#This Row],[Diskon]]),cadangan3[[#This Row],[Harga Asli A]])</f>
        <v>720000</v>
      </c>
      <c r="K839" s="36">
        <f>INDEX(Katalog!$F$3:$F$12,MATCH(cadangan3[[#This Row],[ItemID A]],Katalog!$C$3:$C$12,0))*cadangan3[[#This Row],[Qty A]]</f>
        <v>300000</v>
      </c>
      <c r="L839" s="36">
        <f>IFERROR(cadangan3[[#This Row],[Profit A]]-(cadangan3[[#This Row],[Profit A]]*cadangan3[[#This Row],[Diskon]]),K839)</f>
        <v>270000</v>
      </c>
      <c r="N839" t="str">
        <f>IFERROR(INDEX(Katalog!$A$3:$A$12,MATCH(cadangan3[[#This Row],[ItemID B]],Katalog!$C$3:$C$12,0)),"-")</f>
        <v>-</v>
      </c>
      <c r="O839" t="str">
        <f>IFERROR(INDEX(Katalog!$B$3:$B$12,MATCH(cadangan3[[#This Row],[ItemID B]],Katalog!$C$3:$C$12,0)),"-")</f>
        <v>-</v>
      </c>
      <c r="R839" s="36">
        <f>IFERROR(INDEX(Katalog!$D$3:$D$12,MATCH(cadangan3[[#This Row],[ItemID B]],Katalog!$C$3:$C$12,0))*cadangan3[[#This Row],[Qty B]],0)</f>
        <v>0</v>
      </c>
      <c r="S839" s="36">
        <f>IFERROR(INDEX(Katalog!$D$3:$D$12,MATCH(cadangan3[[#This Row],[Item B]],Katalog!$B$3:$B$12,0))*cadangan3[[#This Row],[Qty B]],0)</f>
        <v>0</v>
      </c>
      <c r="T839" s="36">
        <f>IFERROR(cadangan3[[#This Row],[Harga Asli B]]-(cadangan3[[#This Row],[Harga Asli B]]*cadangan3[[#This Row],[Diskon]]),cadangan3[[#This Row],[Harga Asli B]])</f>
        <v>0</v>
      </c>
      <c r="U839" s="36">
        <f>IFERROR(INDEX(Katalog!$F$3:$F$12,MATCH(cadangan3[[#This Row],[ItemID B]],Katalog!$C$3:$C$12,0))*cadangan3[[#This Row],[Qty B]],0)</f>
        <v>0</v>
      </c>
      <c r="V839" s="36">
        <f>IFERROR(cadangan3[[#This Row],[Profit B]]-(cadangan3[[#This Row],[Profit B]]*cadangan3[[#This Row],[Diskon]]),U839)</f>
        <v>0</v>
      </c>
      <c r="X839" t="str">
        <f>IFERROR(INDEX(Katalog!$A$3:$A$12,MATCH(cadangan3[[#This Row],[ItemID C]],Katalog!$C$3:$C$12,0)),"-")</f>
        <v>-</v>
      </c>
      <c r="Y839" t="str">
        <f>IFERROR(INDEX(Katalog!$B$3:$B$12,MATCH(cadangan3[[#This Row],[ItemID C]],Katalog!$C$3:$C$12,0)),"-")</f>
        <v>-</v>
      </c>
      <c r="AB839" s="36">
        <f>IFERROR(INDEX(Katalog!$D$3:$D$12,MATCH(cadangan3[[#This Row],[ItemID C]],Katalog!$C$3:$C$12,0))*cadangan3[[#This Row],[Qty C]],0)</f>
        <v>0</v>
      </c>
      <c r="AC839" s="36">
        <f>IFERROR(INDEX(Katalog!$D$3:$D$12,MATCH(cadangan3[[#This Row],[Item C]],Katalog!$B$3:$B$12,0))*cadangan3[[#This Row],[Qty C]],0)</f>
        <v>0</v>
      </c>
      <c r="AD839" s="36">
        <f>IFERROR(cadangan3[[#This Row],[Harga Asli C]]-(cadangan3[[#This Row],[Harga Asli C]]*cadangan3[[#This Row],[Diskon]]),cadangan3[[#This Row],[Harga Asli C]])</f>
        <v>0</v>
      </c>
      <c r="AE839" s="36">
        <f>IFERROR(INDEX(Katalog!$F$3:$F$12,MATCH(cadangan3[[#This Row],[ItemID C]],Katalog!$C$3:$C$12,0))*cadangan3[[#This Row],[Qty C]],0)</f>
        <v>0</v>
      </c>
      <c r="AF839" s="36">
        <f>IFERROR(cadangan3[[#This Row],[Profit C]]-(cadangan3[[#This Row],[Profit C]]*cadangan3[[#This Row],[Diskon]]),cadangan3[[#This Row],[Profit C]])</f>
        <v>0</v>
      </c>
      <c r="AG839" s="21">
        <f>cadangan3[[#This Row],[Qty A]]+cadangan3[[#This Row],[Qty B]]+cadangan3[[#This Row],[Qty C]]</f>
        <v>2</v>
      </c>
      <c r="AH839" s="35">
        <f>cadangan3[[#This Row],[Harga A + Diskon]]+cadangan3[[#This Row],[Harga + Diskon B]]+cadangan3[[#This Row],[Harga + Diskon C]]</f>
        <v>720000</v>
      </c>
      <c r="AI839" s="35">
        <f>(cadangan3[[#This Row],[Profit A]]+cadangan3[[#This Row],[Profit B]]+cadangan3[[#This Row],[Profit C]])</f>
        <v>300000</v>
      </c>
      <c r="AJ839" s="35">
        <f>cadangan3[[#This Row],[Provit A + Diskon]]+cadangan3[[#This Row],[Provit B + Diskon]]+cadangan3[[#This Row],[Provit C + Diskon]]</f>
        <v>270000</v>
      </c>
      <c r="AK839" s="23" t="s">
        <v>6</v>
      </c>
      <c r="AL839" s="37">
        <f>IFERROR(INDEX('Kode Diskon'!$D$3:$D$9,MATCH(cadangan3[[#This Row],[Kode diskon]],'Kode Diskon'!$C$3:$C$9,0)),"-")</f>
        <v>0.1</v>
      </c>
      <c r="AM839" s="23" t="s">
        <v>29</v>
      </c>
      <c r="AN839" s="23" t="s">
        <v>7</v>
      </c>
      <c r="AO839" s="23" t="s">
        <v>79</v>
      </c>
      <c r="AP839" s="24">
        <v>45022</v>
      </c>
      <c r="AQ839" s="23" t="str">
        <f>TEXT(cadangan3[[#This Row],[Tanggal terjual]],"dddd")</f>
        <v>Thursday</v>
      </c>
    </row>
    <row r="840" spans="1:43" x14ac:dyDescent="0.2">
      <c r="A840" s="20">
        <v>839</v>
      </c>
      <c r="B840" s="21" t="str">
        <f>_xlfn.CONCAT("ORD-",INDEX(Helper!$B$2:$B$5,MATCH(cadangan3[[#This Row],[Marketplace]],Helper!$A$2:$A$5,0)),TEXT(cadangan3[[#This Row],[No]],"0000"),"-",TEXT(cadangan3[[#This Row],[Tanggal terjual]],"dd/mm/yy"))</f>
        <v>ORD-TK0839-03/04/23</v>
      </c>
      <c r="C840" t="s">
        <v>64</v>
      </c>
      <c r="D840" t="str">
        <f>IFERROR(INDEX(Katalog!$A$3:$A$12,MATCH(cadangan3[[#This Row],[ItemID A]],Katalog!$C$3:$C$12,0)),"-")</f>
        <v>Pakaian Unisex</v>
      </c>
      <c r="E840" t="str">
        <f>IFERROR(INDEX(Katalog!$B$3:$B$12,MATCH(cadangan3[[#This Row],[ItemID A]],Katalog!$C$3:$C$12,0)),"-")</f>
        <v>Jaket Hoodie</v>
      </c>
      <c r="F840">
        <v>1</v>
      </c>
      <c r="G840">
        <v>5</v>
      </c>
      <c r="H840" s="36">
        <f>IFERROR(INDEX(Katalog!$D$3:$D$12,MATCH(cadangan3[[#This Row],[ItemID A]],Katalog!$C$3:$C$12,0))*cadangan3[[#This Row],[Qty A]],0)</f>
        <v>350000</v>
      </c>
      <c r="I840" s="36">
        <f>IFERROR(INDEX(Katalog!$D$3:$D$12,MATCH(cadangan3[[#This Row],[Item A]],Katalog!$B$3:$B$12,0))*cadangan3[[#This Row],[Qty A]],0)</f>
        <v>350000</v>
      </c>
      <c r="J840" s="36">
        <f>IFERROR(cadangan3[[#This Row],[Harga Asli A]]-(cadangan3[[#This Row],[Harga Asli A]]*cadangan3[[#This Row],[Diskon]]),cadangan3[[#This Row],[Harga Asli A]])</f>
        <v>315000</v>
      </c>
      <c r="K840" s="36">
        <f>INDEX(Katalog!$F$3:$F$12,MATCH(cadangan3[[#This Row],[ItemID A]],Katalog!$C$3:$C$12,0))*cadangan3[[#This Row],[Qty A]]</f>
        <v>130000</v>
      </c>
      <c r="L840" s="36">
        <f>IFERROR(cadangan3[[#This Row],[Profit A]]-(cadangan3[[#This Row],[Profit A]]*cadangan3[[#This Row],[Diskon]]),K840)</f>
        <v>117000</v>
      </c>
      <c r="M840" t="s">
        <v>59</v>
      </c>
      <c r="N840" t="str">
        <f>IFERROR(INDEX(Katalog!$A$3:$A$12,MATCH(cadangan3[[#This Row],[ItemID B]],Katalog!$C$3:$C$12,0)),"-")</f>
        <v>Pakaian Wanita</v>
      </c>
      <c r="O840" t="str">
        <f>IFERROR(INDEX(Katalog!$B$3:$B$12,MATCH(cadangan3[[#This Row],[ItemID B]],Katalog!$C$3:$C$12,0)),"-")</f>
        <v>Blouse</v>
      </c>
      <c r="P840">
        <v>1</v>
      </c>
      <c r="Q840">
        <v>1</v>
      </c>
      <c r="R840" s="36">
        <f>IFERROR(INDEX(Katalog!$D$3:$D$12,MATCH(cadangan3[[#This Row],[ItemID B]],Katalog!$C$3:$C$12,0))*cadangan3[[#This Row],[Qty B]],0)</f>
        <v>150000</v>
      </c>
      <c r="S840" s="36">
        <f>IFERROR(INDEX(Katalog!$D$3:$D$12,MATCH(cadangan3[[#This Row],[Item B]],Katalog!$B$3:$B$12,0))*cadangan3[[#This Row],[Qty B]],0)</f>
        <v>150000</v>
      </c>
      <c r="T840" s="36">
        <f>IFERROR(cadangan3[[#This Row],[Harga Asli B]]-(cadangan3[[#This Row],[Harga Asli B]]*cadangan3[[#This Row],[Diskon]]),cadangan3[[#This Row],[Harga Asli B]])</f>
        <v>135000</v>
      </c>
      <c r="U840" s="36">
        <f>IFERROR(INDEX(Katalog!$F$3:$F$12,MATCH(cadangan3[[#This Row],[ItemID B]],Katalog!$C$3:$C$12,0))*cadangan3[[#This Row],[Qty B]],0)</f>
        <v>50000</v>
      </c>
      <c r="V840" s="36">
        <f>IFERROR(cadangan3[[#This Row],[Profit B]]-(cadangan3[[#This Row],[Profit B]]*cadangan3[[#This Row],[Diskon]]),U840)</f>
        <v>45000</v>
      </c>
      <c r="X840" t="str">
        <f>IFERROR(INDEX(Katalog!$A$3:$A$12,MATCH(cadangan3[[#This Row],[ItemID C]],Katalog!$C$3:$C$12,0)),"-")</f>
        <v>-</v>
      </c>
      <c r="Y840" t="str">
        <f>IFERROR(INDEX(Katalog!$B$3:$B$12,MATCH(cadangan3[[#This Row],[ItemID C]],Katalog!$C$3:$C$12,0)),"-")</f>
        <v>-</v>
      </c>
      <c r="AB840" s="36">
        <f>IFERROR(INDEX(Katalog!$D$3:$D$12,MATCH(cadangan3[[#This Row],[ItemID C]],Katalog!$C$3:$C$12,0))*cadangan3[[#This Row],[Qty C]],0)</f>
        <v>0</v>
      </c>
      <c r="AC840" s="36">
        <f>IFERROR(INDEX(Katalog!$D$3:$D$12,MATCH(cadangan3[[#This Row],[Item C]],Katalog!$B$3:$B$12,0))*cadangan3[[#This Row],[Qty C]],0)</f>
        <v>0</v>
      </c>
      <c r="AD840" s="36">
        <f>IFERROR(cadangan3[[#This Row],[Harga Asli C]]-(cadangan3[[#This Row],[Harga Asli C]]*cadangan3[[#This Row],[Diskon]]),cadangan3[[#This Row],[Harga Asli C]])</f>
        <v>0</v>
      </c>
      <c r="AE840" s="36">
        <f>IFERROR(INDEX(Katalog!$F$3:$F$12,MATCH(cadangan3[[#This Row],[ItemID C]],Katalog!$C$3:$C$12,0))*cadangan3[[#This Row],[Qty C]],0)</f>
        <v>0</v>
      </c>
      <c r="AF840" s="36">
        <f>IFERROR(cadangan3[[#This Row],[Profit C]]-(cadangan3[[#This Row],[Profit C]]*cadangan3[[#This Row],[Diskon]]),cadangan3[[#This Row],[Profit C]])</f>
        <v>0</v>
      </c>
      <c r="AG840" s="21">
        <f>cadangan3[[#This Row],[Qty A]]+cadangan3[[#This Row],[Qty B]]+cadangan3[[#This Row],[Qty C]]</f>
        <v>2</v>
      </c>
      <c r="AH840" s="35">
        <f>cadangan3[[#This Row],[Harga A + Diskon]]+cadangan3[[#This Row],[Harga + Diskon B]]+cadangan3[[#This Row],[Harga + Diskon C]]</f>
        <v>450000</v>
      </c>
      <c r="AI840" s="35">
        <f>(cadangan3[[#This Row],[Profit A]]+cadangan3[[#This Row],[Profit B]]+cadangan3[[#This Row],[Profit C]])</f>
        <v>180000</v>
      </c>
      <c r="AJ840" s="35">
        <f>cadangan3[[#This Row],[Provit A + Diskon]]+cadangan3[[#This Row],[Provit B + Diskon]]+cadangan3[[#This Row],[Provit C + Diskon]]</f>
        <v>162000</v>
      </c>
      <c r="AK840" s="23" t="s">
        <v>30</v>
      </c>
      <c r="AL840" s="37">
        <f>IFERROR(INDEX('Kode Diskon'!$D$3:$D$9,MATCH(cadangan3[[#This Row],[Kode diskon]],'Kode Diskon'!$C$3:$C$9,0)),"-")</f>
        <v>0.1</v>
      </c>
      <c r="AM840" s="23" t="s">
        <v>29</v>
      </c>
      <c r="AN840" s="23" t="s">
        <v>10</v>
      </c>
      <c r="AO840" s="23" t="s">
        <v>77</v>
      </c>
      <c r="AP840" s="24">
        <v>45019</v>
      </c>
      <c r="AQ840" s="23" t="str">
        <f>TEXT(cadangan3[[#This Row],[Tanggal terjual]],"dddd")</f>
        <v>Monday</v>
      </c>
    </row>
    <row r="841" spans="1:43" x14ac:dyDescent="0.2">
      <c r="A841" s="20">
        <v>840</v>
      </c>
      <c r="B841" s="21" t="str">
        <f>_xlfn.CONCAT("ORD-",INDEX(Helper!$B$2:$B$5,MATCH(cadangan3[[#This Row],[Marketplace]],Helper!$A$2:$A$5,0)),TEXT(cadangan3[[#This Row],[No]],"0000"),"-",TEXT(cadangan3[[#This Row],[Tanggal terjual]],"dd/mm/yy"))</f>
        <v>ORD-SP0840-24/04/23</v>
      </c>
      <c r="C841" t="s">
        <v>64</v>
      </c>
      <c r="D841" t="str">
        <f>IFERROR(INDEX(Katalog!$A$3:$A$12,MATCH(cadangan3[[#This Row],[ItemID A]],Katalog!$C$3:$C$12,0)),"-")</f>
        <v>Pakaian Unisex</v>
      </c>
      <c r="E841" t="str">
        <f>IFERROR(INDEX(Katalog!$B$3:$B$12,MATCH(cadangan3[[#This Row],[ItemID A]],Katalog!$C$3:$C$12,0)),"-")</f>
        <v>Jaket Hoodie</v>
      </c>
      <c r="F841">
        <v>3</v>
      </c>
      <c r="G841">
        <v>2</v>
      </c>
      <c r="H841" s="36">
        <f>IFERROR(INDEX(Katalog!$D$3:$D$12,MATCH(cadangan3[[#This Row],[ItemID A]],Katalog!$C$3:$C$12,0))*cadangan3[[#This Row],[Qty A]],0)</f>
        <v>1050000</v>
      </c>
      <c r="I841" s="36">
        <f>IFERROR(INDEX(Katalog!$D$3:$D$12,MATCH(cadangan3[[#This Row],[Item A]],Katalog!$B$3:$B$12,0))*cadangan3[[#This Row],[Qty A]],0)</f>
        <v>1050000</v>
      </c>
      <c r="J841" s="36">
        <f>IFERROR(cadangan3[[#This Row],[Harga Asli A]]-(cadangan3[[#This Row],[Harga Asli A]]*cadangan3[[#This Row],[Diskon]]),cadangan3[[#This Row],[Harga Asli A]])</f>
        <v>840000</v>
      </c>
      <c r="K841" s="36">
        <f>INDEX(Katalog!$F$3:$F$12,MATCH(cadangan3[[#This Row],[ItemID A]],Katalog!$C$3:$C$12,0))*cadangan3[[#This Row],[Qty A]]</f>
        <v>390000</v>
      </c>
      <c r="L841" s="36">
        <f>IFERROR(cadangan3[[#This Row],[Profit A]]-(cadangan3[[#This Row],[Profit A]]*cadangan3[[#This Row],[Diskon]]),K841)</f>
        <v>312000</v>
      </c>
      <c r="M841" t="s">
        <v>60</v>
      </c>
      <c r="N841" t="str">
        <f>IFERROR(INDEX(Katalog!$A$3:$A$12,MATCH(cadangan3[[#This Row],[ItemID B]],Katalog!$C$3:$C$12,0)),"-")</f>
        <v>Pakaian Wanita</v>
      </c>
      <c r="O841" t="str">
        <f>IFERROR(INDEX(Katalog!$B$3:$B$12,MATCH(cadangan3[[#This Row],[ItemID B]],Katalog!$C$3:$C$12,0)),"-")</f>
        <v>Kaftan</v>
      </c>
      <c r="P841">
        <v>1</v>
      </c>
      <c r="Q841">
        <v>5</v>
      </c>
      <c r="R841" s="36">
        <f>IFERROR(INDEX(Katalog!$D$3:$D$12,MATCH(cadangan3[[#This Row],[ItemID B]],Katalog!$C$3:$C$12,0))*cadangan3[[#This Row],[Qty B]],0)</f>
        <v>250000</v>
      </c>
      <c r="S841" s="36">
        <f>IFERROR(INDEX(Katalog!$D$3:$D$12,MATCH(cadangan3[[#This Row],[Item B]],Katalog!$B$3:$B$12,0))*cadangan3[[#This Row],[Qty B]],0)</f>
        <v>250000</v>
      </c>
      <c r="T841" s="36">
        <f>IFERROR(cadangan3[[#This Row],[Harga Asli B]]-(cadangan3[[#This Row],[Harga Asli B]]*cadangan3[[#This Row],[Diskon]]),cadangan3[[#This Row],[Harga Asli B]])</f>
        <v>200000</v>
      </c>
      <c r="U841" s="36">
        <f>IFERROR(INDEX(Katalog!$F$3:$F$12,MATCH(cadangan3[[#This Row],[ItemID B]],Katalog!$C$3:$C$12,0))*cadangan3[[#This Row],[Qty B]],0)</f>
        <v>100000</v>
      </c>
      <c r="V841" s="36">
        <f>IFERROR(cadangan3[[#This Row],[Profit B]]-(cadangan3[[#This Row],[Profit B]]*cadangan3[[#This Row],[Diskon]]),U841)</f>
        <v>80000</v>
      </c>
      <c r="W841" t="s">
        <v>62</v>
      </c>
      <c r="X841" t="str">
        <f>IFERROR(INDEX(Katalog!$A$3:$A$12,MATCH(cadangan3[[#This Row],[ItemID C]],Katalog!$C$3:$C$12,0)),"-")</f>
        <v>Pakaian Pria</v>
      </c>
      <c r="Y841" t="str">
        <f>IFERROR(INDEX(Katalog!$B$3:$B$12,MATCH(cadangan3[[#This Row],[ItemID C]],Katalog!$C$3:$C$12,0)),"-")</f>
        <v>Celana Pendek</v>
      </c>
      <c r="Z841">
        <v>2</v>
      </c>
      <c r="AA841">
        <v>3</v>
      </c>
      <c r="AB841" s="36">
        <f>IFERROR(INDEX(Katalog!$D$3:$D$12,MATCH(cadangan3[[#This Row],[ItemID C]],Katalog!$C$3:$C$12,0))*cadangan3[[#This Row],[Qty C]],0)</f>
        <v>360000</v>
      </c>
      <c r="AC841" s="36">
        <f>IFERROR(INDEX(Katalog!$D$3:$D$12,MATCH(cadangan3[[#This Row],[Item C]],Katalog!$B$3:$B$12,0))*cadangan3[[#This Row],[Qty C]],0)</f>
        <v>360000</v>
      </c>
      <c r="AD841" s="36">
        <f>IFERROR(cadangan3[[#This Row],[Harga Asli C]]-(cadangan3[[#This Row],[Harga Asli C]]*cadangan3[[#This Row],[Diskon]]),cadangan3[[#This Row],[Harga Asli C]])</f>
        <v>288000</v>
      </c>
      <c r="AE841" s="36">
        <f>IFERROR(INDEX(Katalog!$F$3:$F$12,MATCH(cadangan3[[#This Row],[ItemID C]],Katalog!$C$3:$C$12,0))*cadangan3[[#This Row],[Qty C]],0)</f>
        <v>140000</v>
      </c>
      <c r="AF841" s="36">
        <f>IFERROR(cadangan3[[#This Row],[Profit C]]-(cadangan3[[#This Row],[Profit C]]*cadangan3[[#This Row],[Diskon]]),cadangan3[[#This Row],[Profit C]])</f>
        <v>112000</v>
      </c>
      <c r="AG841" s="21">
        <f>cadangan3[[#This Row],[Qty A]]+cadangan3[[#This Row],[Qty B]]+cadangan3[[#This Row],[Qty C]]</f>
        <v>6</v>
      </c>
      <c r="AH841" s="35">
        <f>cadangan3[[#This Row],[Harga A + Diskon]]+cadangan3[[#This Row],[Harga + Diskon B]]+cadangan3[[#This Row],[Harga + Diskon C]]</f>
        <v>1328000</v>
      </c>
      <c r="AI841" s="35">
        <f>(cadangan3[[#This Row],[Profit A]]+cadangan3[[#This Row],[Profit B]]+cadangan3[[#This Row],[Profit C]])</f>
        <v>630000</v>
      </c>
      <c r="AJ841" s="35">
        <f>cadangan3[[#This Row],[Provit A + Diskon]]+cadangan3[[#This Row],[Provit B + Diskon]]+cadangan3[[#This Row],[Provit C + Diskon]]</f>
        <v>504000</v>
      </c>
      <c r="AK841" s="23" t="s">
        <v>8</v>
      </c>
      <c r="AL841" s="37">
        <f>IFERROR(INDEX('Kode Diskon'!$D$3:$D$9,MATCH(cadangan3[[#This Row],[Kode diskon]],'Kode Diskon'!$C$3:$C$9,0)),"-")</f>
        <v>0.2</v>
      </c>
      <c r="AM841" s="23" t="s">
        <v>9</v>
      </c>
      <c r="AN841" s="23" t="s">
        <v>7</v>
      </c>
      <c r="AO841" s="23" t="s">
        <v>75</v>
      </c>
      <c r="AP841" s="24">
        <v>45040</v>
      </c>
      <c r="AQ841" s="23" t="str">
        <f>TEXT(cadangan3[[#This Row],[Tanggal terjual]],"dddd")</f>
        <v>Monday</v>
      </c>
    </row>
    <row r="842" spans="1:43" x14ac:dyDescent="0.2">
      <c r="A842" s="20">
        <v>841</v>
      </c>
      <c r="B842" s="21" t="str">
        <f>_xlfn.CONCAT("ORD-",INDEX(Helper!$B$2:$B$5,MATCH(cadangan3[[#This Row],[Marketplace]],Helper!$A$2:$A$5,0)),TEXT(cadangan3[[#This Row],[No]],"0000"),"-",TEXT(cadangan3[[#This Row],[Tanggal terjual]],"dd/mm/yy"))</f>
        <v>ORD-BL0841-15/04/23</v>
      </c>
      <c r="C842" t="s">
        <v>63</v>
      </c>
      <c r="D842" t="str">
        <f>IFERROR(INDEX(Katalog!$A$3:$A$12,MATCH(cadangan3[[#This Row],[ItemID A]],Katalog!$C$3:$C$12,0)),"-")</f>
        <v>Pakaian Pria</v>
      </c>
      <c r="E842" t="str">
        <f>IFERROR(INDEX(Katalog!$B$3:$B$12,MATCH(cadangan3[[#This Row],[ItemID A]],Katalog!$C$3:$C$12,0)),"-")</f>
        <v>Jaket Jeans</v>
      </c>
      <c r="F842">
        <v>1</v>
      </c>
      <c r="G842">
        <v>1</v>
      </c>
      <c r="H842" s="36">
        <f>IFERROR(INDEX(Katalog!$D$3:$D$12,MATCH(cadangan3[[#This Row],[ItemID A]],Katalog!$C$3:$C$12,0))*cadangan3[[#This Row],[Qty A]],0)</f>
        <v>400000</v>
      </c>
      <c r="I842" s="36">
        <f>IFERROR(INDEX(Katalog!$D$3:$D$12,MATCH(cadangan3[[#This Row],[Item A]],Katalog!$B$3:$B$12,0))*cadangan3[[#This Row],[Qty A]],0)</f>
        <v>400000</v>
      </c>
      <c r="J842" s="36">
        <f>IFERROR(cadangan3[[#This Row],[Harga Asli A]]-(cadangan3[[#This Row],[Harga Asli A]]*cadangan3[[#This Row],[Diskon]]),cadangan3[[#This Row],[Harga Asli A]])</f>
        <v>400000</v>
      </c>
      <c r="K842" s="36">
        <f>INDEX(Katalog!$F$3:$F$12,MATCH(cadangan3[[#This Row],[ItemID A]],Katalog!$C$3:$C$12,0))*cadangan3[[#This Row],[Qty A]]</f>
        <v>150000</v>
      </c>
      <c r="L842" s="36">
        <f>IFERROR(cadangan3[[#This Row],[Profit A]]-(cadangan3[[#This Row],[Profit A]]*cadangan3[[#This Row],[Diskon]]),K842)</f>
        <v>150000</v>
      </c>
      <c r="M842" t="s">
        <v>61</v>
      </c>
      <c r="N842" t="str">
        <f>IFERROR(INDEX(Katalog!$A$3:$A$12,MATCH(cadangan3[[#This Row],[ItemID B]],Katalog!$C$3:$C$12,0)),"-")</f>
        <v>Pakaian Pria</v>
      </c>
      <c r="O842" t="str">
        <f>IFERROR(INDEX(Katalog!$B$3:$B$12,MATCH(cadangan3[[#This Row],[ItemID B]],Katalog!$C$3:$C$12,0)),"-")</f>
        <v>Kaos Polo</v>
      </c>
      <c r="P842">
        <v>4</v>
      </c>
      <c r="Q842">
        <v>1</v>
      </c>
      <c r="R842" s="36">
        <f>IFERROR(INDEX(Katalog!$D$3:$D$12,MATCH(cadangan3[[#This Row],[ItemID B]],Katalog!$C$3:$C$12,0))*cadangan3[[#This Row],[Qty B]],0)</f>
        <v>800000</v>
      </c>
      <c r="S842" s="36">
        <f>IFERROR(INDEX(Katalog!$D$3:$D$12,MATCH(cadangan3[[#This Row],[Item B]],Katalog!$B$3:$B$12,0))*cadangan3[[#This Row],[Qty B]],0)</f>
        <v>800000</v>
      </c>
      <c r="T842" s="36">
        <f>IFERROR(cadangan3[[#This Row],[Harga Asli B]]-(cadangan3[[#This Row],[Harga Asli B]]*cadangan3[[#This Row],[Diskon]]),cadangan3[[#This Row],[Harga Asli B]])</f>
        <v>800000</v>
      </c>
      <c r="U842" s="36">
        <f>IFERROR(INDEX(Katalog!$F$3:$F$12,MATCH(cadangan3[[#This Row],[ItemID B]],Katalog!$C$3:$C$12,0))*cadangan3[[#This Row],[Qty B]],0)</f>
        <v>320000</v>
      </c>
      <c r="V842" s="36">
        <f>IFERROR(cadangan3[[#This Row],[Profit B]]-(cadangan3[[#This Row],[Profit B]]*cadangan3[[#This Row],[Diskon]]),U842)</f>
        <v>320000</v>
      </c>
      <c r="X842" t="str">
        <f>IFERROR(INDEX(Katalog!$A$3:$A$12,MATCH(cadangan3[[#This Row],[ItemID C]],Katalog!$C$3:$C$12,0)),"-")</f>
        <v>-</v>
      </c>
      <c r="Y842" t="str">
        <f>IFERROR(INDEX(Katalog!$B$3:$B$12,MATCH(cadangan3[[#This Row],[ItemID C]],Katalog!$C$3:$C$12,0)),"-")</f>
        <v>-</v>
      </c>
      <c r="AB842" s="36">
        <f>IFERROR(INDEX(Katalog!$D$3:$D$12,MATCH(cadangan3[[#This Row],[ItemID C]],Katalog!$C$3:$C$12,0))*cadangan3[[#This Row],[Qty C]],0)</f>
        <v>0</v>
      </c>
      <c r="AC842" s="36">
        <f>IFERROR(INDEX(Katalog!$D$3:$D$12,MATCH(cadangan3[[#This Row],[Item C]],Katalog!$B$3:$B$12,0))*cadangan3[[#This Row],[Qty C]],0)</f>
        <v>0</v>
      </c>
      <c r="AD842" s="36">
        <f>IFERROR(cadangan3[[#This Row],[Harga Asli C]]-(cadangan3[[#This Row],[Harga Asli C]]*cadangan3[[#This Row],[Diskon]]),cadangan3[[#This Row],[Harga Asli C]])</f>
        <v>0</v>
      </c>
      <c r="AE842" s="36">
        <f>IFERROR(INDEX(Katalog!$F$3:$F$12,MATCH(cadangan3[[#This Row],[ItemID C]],Katalog!$C$3:$C$12,0))*cadangan3[[#This Row],[Qty C]],0)</f>
        <v>0</v>
      </c>
      <c r="AF842" s="36">
        <f>IFERROR(cadangan3[[#This Row],[Profit C]]-(cadangan3[[#This Row],[Profit C]]*cadangan3[[#This Row],[Diskon]]),cadangan3[[#This Row],[Profit C]])</f>
        <v>0</v>
      </c>
      <c r="AG842" s="21">
        <f>cadangan3[[#This Row],[Qty A]]+cadangan3[[#This Row],[Qty B]]+cadangan3[[#This Row],[Qty C]]</f>
        <v>5</v>
      </c>
      <c r="AH842" s="35">
        <f>cadangan3[[#This Row],[Harga A + Diskon]]+cadangan3[[#This Row],[Harga + Diskon B]]+cadangan3[[#This Row],[Harga + Diskon C]]</f>
        <v>1200000</v>
      </c>
      <c r="AI842" s="35">
        <f>(cadangan3[[#This Row],[Profit A]]+cadangan3[[#This Row],[Profit B]]+cadangan3[[#This Row],[Profit C]])</f>
        <v>470000</v>
      </c>
      <c r="AJ842" s="35">
        <f>cadangan3[[#This Row],[Provit A + Diskon]]+cadangan3[[#This Row],[Provit B + Diskon]]+cadangan3[[#This Row],[Provit C + Diskon]]</f>
        <v>470000</v>
      </c>
      <c r="AK842" s="23" t="s">
        <v>11</v>
      </c>
      <c r="AL842" s="37" t="str">
        <f>IFERROR(INDEX('Kode Diskon'!$D$3:$D$9,MATCH(cadangan3[[#This Row],[Kode diskon]],'Kode Diskon'!$C$3:$C$9,0)),"-")</f>
        <v>-</v>
      </c>
      <c r="AM842" s="23" t="s">
        <v>11</v>
      </c>
      <c r="AN842" s="23" t="s">
        <v>12</v>
      </c>
      <c r="AO842" s="23" t="s">
        <v>80</v>
      </c>
      <c r="AP842" s="24">
        <v>45031</v>
      </c>
      <c r="AQ842" s="23" t="str">
        <f>TEXT(cadangan3[[#This Row],[Tanggal terjual]],"dddd")</f>
        <v>Saturday</v>
      </c>
    </row>
    <row r="843" spans="1:43" x14ac:dyDescent="0.2">
      <c r="A843" s="20">
        <v>842</v>
      </c>
      <c r="B843" s="21" t="str">
        <f>_xlfn.CONCAT("ORD-",INDEX(Helper!$B$2:$B$5,MATCH(cadangan3[[#This Row],[Marketplace]],Helper!$A$2:$A$5,0)),TEXT(cadangan3[[#This Row],[No]],"0000"),"-",TEXT(cadangan3[[#This Row],[Tanggal terjual]],"dd/mm/yy"))</f>
        <v>ORD-SP0842-07/04/23</v>
      </c>
      <c r="C843" t="s">
        <v>65</v>
      </c>
      <c r="D843" t="str">
        <f>IFERROR(INDEX(Katalog!$A$3:$A$12,MATCH(cadangan3[[#This Row],[ItemID A]],Katalog!$C$3:$C$12,0)),"-")</f>
        <v>Sepatu Pria</v>
      </c>
      <c r="E843" t="str">
        <f>IFERROR(INDEX(Katalog!$B$3:$B$12,MATCH(cadangan3[[#This Row],[ItemID A]],Katalog!$C$3:$C$12,0)),"-")</f>
        <v>Sneakers</v>
      </c>
      <c r="F843">
        <v>1</v>
      </c>
      <c r="G843">
        <v>5</v>
      </c>
      <c r="H843" s="36">
        <f>IFERROR(INDEX(Katalog!$D$3:$D$12,MATCH(cadangan3[[#This Row],[ItemID A]],Katalog!$C$3:$C$12,0))*cadangan3[[#This Row],[Qty A]],0)</f>
        <v>500000</v>
      </c>
      <c r="I843" s="36">
        <f>IFERROR(INDEX(Katalog!$D$3:$D$12,MATCH(cadangan3[[#This Row],[Item A]],Katalog!$B$3:$B$12,0))*cadangan3[[#This Row],[Qty A]],0)</f>
        <v>500000</v>
      </c>
      <c r="J843" s="36">
        <f>IFERROR(cadangan3[[#This Row],[Harga Asli A]]-(cadangan3[[#This Row],[Harga Asli A]]*cadangan3[[#This Row],[Diskon]]),cadangan3[[#This Row],[Harga Asli A]])</f>
        <v>500000</v>
      </c>
      <c r="K843" s="36">
        <f>INDEX(Katalog!$F$3:$F$12,MATCH(cadangan3[[#This Row],[ItemID A]],Katalog!$C$3:$C$12,0))*cadangan3[[#This Row],[Qty A]]</f>
        <v>200000</v>
      </c>
      <c r="L843" s="36">
        <f>IFERROR(cadangan3[[#This Row],[Profit A]]-(cadangan3[[#This Row],[Profit A]]*cadangan3[[#This Row],[Diskon]]),K843)</f>
        <v>200000</v>
      </c>
      <c r="M843" t="s">
        <v>58</v>
      </c>
      <c r="N843" t="str">
        <f>IFERROR(INDEX(Katalog!$A$3:$A$12,MATCH(cadangan3[[#This Row],[ItemID B]],Katalog!$C$3:$C$12,0)),"-")</f>
        <v>Pakaian Wanita</v>
      </c>
      <c r="O843" t="str">
        <f>IFERROR(INDEX(Katalog!$B$3:$B$12,MATCH(cadangan3[[#This Row],[ItemID B]],Katalog!$C$3:$C$12,0)),"-")</f>
        <v>Dress</v>
      </c>
      <c r="P843">
        <v>6</v>
      </c>
      <c r="Q843">
        <v>4</v>
      </c>
      <c r="R843" s="36">
        <f>IFERROR(INDEX(Katalog!$D$3:$D$12,MATCH(cadangan3[[#This Row],[ItemID B]],Katalog!$C$3:$C$12,0))*cadangan3[[#This Row],[Qty B]],0)</f>
        <v>1800000</v>
      </c>
      <c r="S843" s="36">
        <f>IFERROR(INDEX(Katalog!$D$3:$D$12,MATCH(cadangan3[[#This Row],[Item B]],Katalog!$B$3:$B$12,0))*cadangan3[[#This Row],[Qty B]],0)</f>
        <v>1800000</v>
      </c>
      <c r="T843" s="36">
        <f>IFERROR(cadangan3[[#This Row],[Harga Asli B]]-(cadangan3[[#This Row],[Harga Asli B]]*cadangan3[[#This Row],[Diskon]]),cadangan3[[#This Row],[Harga Asli B]])</f>
        <v>1800000</v>
      </c>
      <c r="U843" s="36">
        <f>IFERROR(INDEX(Katalog!$F$3:$F$12,MATCH(cadangan3[[#This Row],[ItemID B]],Katalog!$C$3:$C$12,0))*cadangan3[[#This Row],[Qty B]],0)</f>
        <v>600000</v>
      </c>
      <c r="V843" s="36">
        <f>IFERROR(cadangan3[[#This Row],[Profit B]]-(cadangan3[[#This Row],[Profit B]]*cadangan3[[#This Row],[Diskon]]),U843)</f>
        <v>600000</v>
      </c>
      <c r="X843" t="str">
        <f>IFERROR(INDEX(Katalog!$A$3:$A$12,MATCH(cadangan3[[#This Row],[ItemID C]],Katalog!$C$3:$C$12,0)),"-")</f>
        <v>-</v>
      </c>
      <c r="Y843" t="str">
        <f>IFERROR(INDEX(Katalog!$B$3:$B$12,MATCH(cadangan3[[#This Row],[ItemID C]],Katalog!$C$3:$C$12,0)),"-")</f>
        <v>-</v>
      </c>
      <c r="AB843" s="36">
        <f>IFERROR(INDEX(Katalog!$D$3:$D$12,MATCH(cadangan3[[#This Row],[ItemID C]],Katalog!$C$3:$C$12,0))*cadangan3[[#This Row],[Qty C]],0)</f>
        <v>0</v>
      </c>
      <c r="AC843" s="36">
        <f>IFERROR(INDEX(Katalog!$D$3:$D$12,MATCH(cadangan3[[#This Row],[Item C]],Katalog!$B$3:$B$12,0))*cadangan3[[#This Row],[Qty C]],0)</f>
        <v>0</v>
      </c>
      <c r="AD843" s="36">
        <f>IFERROR(cadangan3[[#This Row],[Harga Asli C]]-(cadangan3[[#This Row],[Harga Asli C]]*cadangan3[[#This Row],[Diskon]]),cadangan3[[#This Row],[Harga Asli C]])</f>
        <v>0</v>
      </c>
      <c r="AE843" s="36">
        <f>IFERROR(INDEX(Katalog!$F$3:$F$12,MATCH(cadangan3[[#This Row],[ItemID C]],Katalog!$C$3:$C$12,0))*cadangan3[[#This Row],[Qty C]],0)</f>
        <v>0</v>
      </c>
      <c r="AF843" s="36">
        <f>IFERROR(cadangan3[[#This Row],[Profit C]]-(cadangan3[[#This Row],[Profit C]]*cadangan3[[#This Row],[Diskon]]),cadangan3[[#This Row],[Profit C]])</f>
        <v>0</v>
      </c>
      <c r="AG843" s="21">
        <f>cadangan3[[#This Row],[Qty A]]+cadangan3[[#This Row],[Qty B]]+cadangan3[[#This Row],[Qty C]]</f>
        <v>7</v>
      </c>
      <c r="AH843" s="35">
        <f>cadangan3[[#This Row],[Harga A + Diskon]]+cadangan3[[#This Row],[Harga + Diskon B]]+cadangan3[[#This Row],[Harga + Diskon C]]</f>
        <v>2300000</v>
      </c>
      <c r="AI843" s="35">
        <f>(cadangan3[[#This Row],[Profit A]]+cadangan3[[#This Row],[Profit B]]+cadangan3[[#This Row],[Profit C]])</f>
        <v>800000</v>
      </c>
      <c r="AJ843" s="35">
        <f>cadangan3[[#This Row],[Provit A + Diskon]]+cadangan3[[#This Row],[Provit B + Diskon]]+cadangan3[[#This Row],[Provit C + Diskon]]</f>
        <v>800000</v>
      </c>
      <c r="AK843" s="23" t="s">
        <v>11</v>
      </c>
      <c r="AL843" s="37" t="str">
        <f>IFERROR(INDEX('Kode Diskon'!$D$3:$D$9,MATCH(cadangan3[[#This Row],[Kode diskon]],'Kode Diskon'!$C$3:$C$9,0)),"-")</f>
        <v>-</v>
      </c>
      <c r="AM843" s="23" t="s">
        <v>11</v>
      </c>
      <c r="AN843" s="23" t="s">
        <v>7</v>
      </c>
      <c r="AO843" s="23" t="s">
        <v>80</v>
      </c>
      <c r="AP843" s="24">
        <v>45023</v>
      </c>
      <c r="AQ843" s="23" t="str">
        <f>TEXT(cadangan3[[#This Row],[Tanggal terjual]],"dddd")</f>
        <v>Friday</v>
      </c>
    </row>
    <row r="844" spans="1:43" x14ac:dyDescent="0.2">
      <c r="A844" s="20">
        <v>843</v>
      </c>
      <c r="B844" s="21" t="str">
        <f>_xlfn.CONCAT("ORD-",INDEX(Helper!$B$2:$B$5,MATCH(cadangan3[[#This Row],[Marketplace]],Helper!$A$2:$A$5,0)),TEXT(cadangan3[[#This Row],[No]],"0000"),"-",TEXT(cadangan3[[#This Row],[Tanggal terjual]],"dd/mm/yy"))</f>
        <v>ORD-TK0843-05/04/23</v>
      </c>
      <c r="C844" t="s">
        <v>58</v>
      </c>
      <c r="D844" t="str">
        <f>IFERROR(INDEX(Katalog!$A$3:$A$12,MATCH(cadangan3[[#This Row],[ItemID A]],Katalog!$C$3:$C$12,0)),"-")</f>
        <v>Pakaian Wanita</v>
      </c>
      <c r="E844" t="str">
        <f>IFERROR(INDEX(Katalog!$B$3:$B$12,MATCH(cadangan3[[#This Row],[ItemID A]],Katalog!$C$3:$C$12,0)),"-")</f>
        <v>Dress</v>
      </c>
      <c r="F844">
        <v>1</v>
      </c>
      <c r="G844">
        <v>3</v>
      </c>
      <c r="H844" s="36">
        <f>IFERROR(INDEX(Katalog!$D$3:$D$12,MATCH(cadangan3[[#This Row],[ItemID A]],Katalog!$C$3:$C$12,0))*cadangan3[[#This Row],[Qty A]],0)</f>
        <v>300000</v>
      </c>
      <c r="I844" s="36">
        <f>IFERROR(INDEX(Katalog!$D$3:$D$12,MATCH(cadangan3[[#This Row],[Item A]],Katalog!$B$3:$B$12,0))*cadangan3[[#This Row],[Qty A]],0)</f>
        <v>300000</v>
      </c>
      <c r="J844" s="36">
        <f>IFERROR(cadangan3[[#This Row],[Harga Asli A]]-(cadangan3[[#This Row],[Harga Asli A]]*cadangan3[[#This Row],[Diskon]]),cadangan3[[#This Row],[Harga Asli A]])</f>
        <v>270000</v>
      </c>
      <c r="K844" s="36">
        <f>INDEX(Katalog!$F$3:$F$12,MATCH(cadangan3[[#This Row],[ItemID A]],Katalog!$C$3:$C$12,0))*cadangan3[[#This Row],[Qty A]]</f>
        <v>100000</v>
      </c>
      <c r="L844" s="36">
        <f>IFERROR(cadangan3[[#This Row],[Profit A]]-(cadangan3[[#This Row],[Profit A]]*cadangan3[[#This Row],[Diskon]]),K844)</f>
        <v>90000</v>
      </c>
      <c r="M844" t="s">
        <v>61</v>
      </c>
      <c r="N844" t="str">
        <f>IFERROR(INDEX(Katalog!$A$3:$A$12,MATCH(cadangan3[[#This Row],[ItemID B]],Katalog!$C$3:$C$12,0)),"-")</f>
        <v>Pakaian Pria</v>
      </c>
      <c r="O844" t="str">
        <f>IFERROR(INDEX(Katalog!$B$3:$B$12,MATCH(cadangan3[[#This Row],[ItemID B]],Katalog!$C$3:$C$12,0)),"-")</f>
        <v>Kaos Polo</v>
      </c>
      <c r="P844">
        <v>3</v>
      </c>
      <c r="Q844">
        <v>1</v>
      </c>
      <c r="R844" s="36">
        <f>IFERROR(INDEX(Katalog!$D$3:$D$12,MATCH(cadangan3[[#This Row],[ItemID B]],Katalog!$C$3:$C$12,0))*cadangan3[[#This Row],[Qty B]],0)</f>
        <v>600000</v>
      </c>
      <c r="S844" s="36">
        <f>IFERROR(INDEX(Katalog!$D$3:$D$12,MATCH(cadangan3[[#This Row],[Item B]],Katalog!$B$3:$B$12,0))*cadangan3[[#This Row],[Qty B]],0)</f>
        <v>600000</v>
      </c>
      <c r="T844" s="36">
        <f>IFERROR(cadangan3[[#This Row],[Harga Asli B]]-(cadangan3[[#This Row],[Harga Asli B]]*cadangan3[[#This Row],[Diskon]]),cadangan3[[#This Row],[Harga Asli B]])</f>
        <v>540000</v>
      </c>
      <c r="U844" s="36">
        <f>IFERROR(INDEX(Katalog!$F$3:$F$12,MATCH(cadangan3[[#This Row],[ItemID B]],Katalog!$C$3:$C$12,0))*cadangan3[[#This Row],[Qty B]],0)</f>
        <v>240000</v>
      </c>
      <c r="V844" s="36">
        <f>IFERROR(cadangan3[[#This Row],[Profit B]]-(cadangan3[[#This Row],[Profit B]]*cadangan3[[#This Row],[Diskon]]),U844)</f>
        <v>216000</v>
      </c>
      <c r="W844" t="s">
        <v>65</v>
      </c>
      <c r="X844" t="str">
        <f>IFERROR(INDEX(Katalog!$A$3:$A$12,MATCH(cadangan3[[#This Row],[ItemID C]],Katalog!$C$3:$C$12,0)),"-")</f>
        <v>Sepatu Pria</v>
      </c>
      <c r="Y844" t="str">
        <f>IFERROR(INDEX(Katalog!$B$3:$B$12,MATCH(cadangan3[[#This Row],[ItemID C]],Katalog!$C$3:$C$12,0)),"-")</f>
        <v>Sneakers</v>
      </c>
      <c r="Z844">
        <v>1</v>
      </c>
      <c r="AA844">
        <v>2</v>
      </c>
      <c r="AB844" s="36">
        <f>IFERROR(INDEX(Katalog!$D$3:$D$12,MATCH(cadangan3[[#This Row],[ItemID C]],Katalog!$C$3:$C$12,0))*cadangan3[[#This Row],[Qty C]],0)</f>
        <v>500000</v>
      </c>
      <c r="AC844" s="36">
        <f>IFERROR(INDEX(Katalog!$D$3:$D$12,MATCH(cadangan3[[#This Row],[Item C]],Katalog!$B$3:$B$12,0))*cadangan3[[#This Row],[Qty C]],0)</f>
        <v>500000</v>
      </c>
      <c r="AD844" s="36">
        <f>IFERROR(cadangan3[[#This Row],[Harga Asli C]]-(cadangan3[[#This Row],[Harga Asli C]]*cadangan3[[#This Row],[Diskon]]),cadangan3[[#This Row],[Harga Asli C]])</f>
        <v>450000</v>
      </c>
      <c r="AE844" s="36">
        <f>IFERROR(INDEX(Katalog!$F$3:$F$12,MATCH(cadangan3[[#This Row],[ItemID C]],Katalog!$C$3:$C$12,0))*cadangan3[[#This Row],[Qty C]],0)</f>
        <v>200000</v>
      </c>
      <c r="AF844" s="36">
        <f>IFERROR(cadangan3[[#This Row],[Profit C]]-(cadangan3[[#This Row],[Profit C]]*cadangan3[[#This Row],[Diskon]]),cadangan3[[#This Row],[Profit C]])</f>
        <v>180000</v>
      </c>
      <c r="AG844" s="21">
        <f>cadangan3[[#This Row],[Qty A]]+cadangan3[[#This Row],[Qty B]]+cadangan3[[#This Row],[Qty C]]</f>
        <v>5</v>
      </c>
      <c r="AH844" s="35">
        <f>cadangan3[[#This Row],[Harga A + Diskon]]+cadangan3[[#This Row],[Harga + Diskon B]]+cadangan3[[#This Row],[Harga + Diskon C]]</f>
        <v>1260000</v>
      </c>
      <c r="AI844" s="35">
        <f>(cadangan3[[#This Row],[Profit A]]+cadangan3[[#This Row],[Profit B]]+cadangan3[[#This Row],[Profit C]])</f>
        <v>540000</v>
      </c>
      <c r="AJ844" s="35">
        <f>cadangan3[[#This Row],[Provit A + Diskon]]+cadangan3[[#This Row],[Provit B + Diskon]]+cadangan3[[#This Row],[Provit C + Diskon]]</f>
        <v>486000</v>
      </c>
      <c r="AK844" s="23" t="s">
        <v>30</v>
      </c>
      <c r="AL844" s="37">
        <f>IFERROR(INDEX('Kode Diskon'!$D$3:$D$9,MATCH(cadangan3[[#This Row],[Kode diskon]],'Kode Diskon'!$C$3:$C$9,0)),"-")</f>
        <v>0.1</v>
      </c>
      <c r="AM844" s="23" t="s">
        <v>29</v>
      </c>
      <c r="AN844" s="23" t="s">
        <v>10</v>
      </c>
      <c r="AO844" s="23" t="s">
        <v>79</v>
      </c>
      <c r="AP844" s="24">
        <v>45021</v>
      </c>
      <c r="AQ844" s="23" t="str">
        <f>TEXT(cadangan3[[#This Row],[Tanggal terjual]],"dddd")</f>
        <v>Wednesday</v>
      </c>
    </row>
    <row r="845" spans="1:43" x14ac:dyDescent="0.2">
      <c r="A845" s="20">
        <v>844</v>
      </c>
      <c r="B845" s="21" t="str">
        <f>_xlfn.CONCAT("ORD-",INDEX(Helper!$B$2:$B$5,MATCH(cadangan3[[#This Row],[Marketplace]],Helper!$A$2:$A$5,0)),TEXT(cadangan3[[#This Row],[No]],"0000"),"-",TEXT(cadangan3[[#This Row],[Tanggal terjual]],"dd/mm/yy"))</f>
        <v>ORD-TK0844-16/04/23</v>
      </c>
      <c r="C845" t="s">
        <v>66</v>
      </c>
      <c r="D845" t="str">
        <f>IFERROR(INDEX(Katalog!$A$3:$A$12,MATCH(cadangan3[[#This Row],[ItemID A]],Katalog!$C$3:$C$12,0)),"-")</f>
        <v>Sepatu Pria</v>
      </c>
      <c r="E845" t="str">
        <f>IFERROR(INDEX(Katalog!$B$3:$B$12,MATCH(cadangan3[[#This Row],[ItemID A]],Katalog!$C$3:$C$12,0)),"-")</f>
        <v>Sandal Slip On</v>
      </c>
      <c r="F845">
        <v>1</v>
      </c>
      <c r="G845">
        <v>5</v>
      </c>
      <c r="H845" s="36">
        <f>IFERROR(INDEX(Katalog!$D$3:$D$12,MATCH(cadangan3[[#This Row],[ItemID A]],Katalog!$C$3:$C$12,0))*cadangan3[[#This Row],[Qty A]],0)</f>
        <v>150000</v>
      </c>
      <c r="I845" s="36">
        <f>IFERROR(INDEX(Katalog!$D$3:$D$12,MATCH(cadangan3[[#This Row],[Item A]],Katalog!$B$3:$B$12,0))*cadangan3[[#This Row],[Qty A]],0)</f>
        <v>150000</v>
      </c>
      <c r="J845" s="36">
        <f>IFERROR(cadangan3[[#This Row],[Harga Asli A]]-(cadangan3[[#This Row],[Harga Asli A]]*cadangan3[[#This Row],[Diskon]]),cadangan3[[#This Row],[Harga Asli A]])</f>
        <v>135000</v>
      </c>
      <c r="K845" s="36">
        <f>INDEX(Katalog!$F$3:$F$12,MATCH(cadangan3[[#This Row],[ItemID A]],Katalog!$C$3:$C$12,0))*cadangan3[[#This Row],[Qty A]]</f>
        <v>60000</v>
      </c>
      <c r="L845" s="36">
        <f>IFERROR(cadangan3[[#This Row],[Profit A]]-(cadangan3[[#This Row],[Profit A]]*cadangan3[[#This Row],[Diskon]]),K845)</f>
        <v>54000</v>
      </c>
      <c r="N845" t="str">
        <f>IFERROR(INDEX(Katalog!$A$3:$A$12,MATCH(cadangan3[[#This Row],[ItemID B]],Katalog!$C$3:$C$12,0)),"-")</f>
        <v>-</v>
      </c>
      <c r="O845" t="str">
        <f>IFERROR(INDEX(Katalog!$B$3:$B$12,MATCH(cadangan3[[#This Row],[ItemID B]],Katalog!$C$3:$C$12,0)),"-")</f>
        <v>-</v>
      </c>
      <c r="R845" s="36">
        <f>IFERROR(INDEX(Katalog!$D$3:$D$12,MATCH(cadangan3[[#This Row],[ItemID B]],Katalog!$C$3:$C$12,0))*cadangan3[[#This Row],[Qty B]],0)</f>
        <v>0</v>
      </c>
      <c r="S845" s="36">
        <f>IFERROR(INDEX(Katalog!$D$3:$D$12,MATCH(cadangan3[[#This Row],[Item B]],Katalog!$B$3:$B$12,0))*cadangan3[[#This Row],[Qty B]],0)</f>
        <v>0</v>
      </c>
      <c r="T845" s="36">
        <f>IFERROR(cadangan3[[#This Row],[Harga Asli B]]-(cadangan3[[#This Row],[Harga Asli B]]*cadangan3[[#This Row],[Diskon]]),cadangan3[[#This Row],[Harga Asli B]])</f>
        <v>0</v>
      </c>
      <c r="U845" s="36">
        <f>IFERROR(INDEX(Katalog!$F$3:$F$12,MATCH(cadangan3[[#This Row],[ItemID B]],Katalog!$C$3:$C$12,0))*cadangan3[[#This Row],[Qty B]],0)</f>
        <v>0</v>
      </c>
      <c r="V845" s="36">
        <f>IFERROR(cadangan3[[#This Row],[Profit B]]-(cadangan3[[#This Row],[Profit B]]*cadangan3[[#This Row],[Diskon]]),U845)</f>
        <v>0</v>
      </c>
      <c r="X845" t="str">
        <f>IFERROR(INDEX(Katalog!$A$3:$A$12,MATCH(cadangan3[[#This Row],[ItemID C]],Katalog!$C$3:$C$12,0)),"-")</f>
        <v>-</v>
      </c>
      <c r="Y845" t="str">
        <f>IFERROR(INDEX(Katalog!$B$3:$B$12,MATCH(cadangan3[[#This Row],[ItemID C]],Katalog!$C$3:$C$12,0)),"-")</f>
        <v>-</v>
      </c>
      <c r="AB845" s="36">
        <f>IFERROR(INDEX(Katalog!$D$3:$D$12,MATCH(cadangan3[[#This Row],[ItemID C]],Katalog!$C$3:$C$12,0))*cadangan3[[#This Row],[Qty C]],0)</f>
        <v>0</v>
      </c>
      <c r="AC845" s="36">
        <f>IFERROR(INDEX(Katalog!$D$3:$D$12,MATCH(cadangan3[[#This Row],[Item C]],Katalog!$B$3:$B$12,0))*cadangan3[[#This Row],[Qty C]],0)</f>
        <v>0</v>
      </c>
      <c r="AD845" s="36">
        <f>IFERROR(cadangan3[[#This Row],[Harga Asli C]]-(cadangan3[[#This Row],[Harga Asli C]]*cadangan3[[#This Row],[Diskon]]),cadangan3[[#This Row],[Harga Asli C]])</f>
        <v>0</v>
      </c>
      <c r="AE845" s="36">
        <f>IFERROR(INDEX(Katalog!$F$3:$F$12,MATCH(cadangan3[[#This Row],[ItemID C]],Katalog!$C$3:$C$12,0))*cadangan3[[#This Row],[Qty C]],0)</f>
        <v>0</v>
      </c>
      <c r="AF845" s="36">
        <f>IFERROR(cadangan3[[#This Row],[Profit C]]-(cadangan3[[#This Row],[Profit C]]*cadangan3[[#This Row],[Diskon]]),cadangan3[[#This Row],[Profit C]])</f>
        <v>0</v>
      </c>
      <c r="AG845" s="21">
        <f>cadangan3[[#This Row],[Qty A]]+cadangan3[[#This Row],[Qty B]]+cadangan3[[#This Row],[Qty C]]</f>
        <v>1</v>
      </c>
      <c r="AH845" s="35">
        <f>cadangan3[[#This Row],[Harga A + Diskon]]+cadangan3[[#This Row],[Harga + Diskon B]]+cadangan3[[#This Row],[Harga + Diskon C]]</f>
        <v>135000</v>
      </c>
      <c r="AI845" s="35">
        <f>(cadangan3[[#This Row],[Profit A]]+cadangan3[[#This Row],[Profit B]]+cadangan3[[#This Row],[Profit C]])</f>
        <v>60000</v>
      </c>
      <c r="AJ845" s="35">
        <f>cadangan3[[#This Row],[Provit A + Diskon]]+cadangan3[[#This Row],[Provit B + Diskon]]+cadangan3[[#This Row],[Provit C + Diskon]]</f>
        <v>54000</v>
      </c>
      <c r="AK845" s="23" t="s">
        <v>31</v>
      </c>
      <c r="AL845" s="37">
        <f>IFERROR(INDEX('Kode Diskon'!$D$3:$D$9,MATCH(cadangan3[[#This Row],[Kode diskon]],'Kode Diskon'!$C$3:$C$9,0)),"-")</f>
        <v>0.1</v>
      </c>
      <c r="AM845" s="23" t="s">
        <v>9</v>
      </c>
      <c r="AN845" s="23" t="s">
        <v>10</v>
      </c>
      <c r="AO845" s="23" t="s">
        <v>80</v>
      </c>
      <c r="AP845" s="24">
        <v>45032</v>
      </c>
      <c r="AQ845" s="23" t="str">
        <f>TEXT(cadangan3[[#This Row],[Tanggal terjual]],"dddd")</f>
        <v>Sunday</v>
      </c>
    </row>
    <row r="846" spans="1:43" x14ac:dyDescent="0.2">
      <c r="A846" s="20">
        <v>845</v>
      </c>
      <c r="B846" s="21" t="str">
        <f>_xlfn.CONCAT("ORD-",INDEX(Helper!$B$2:$B$5,MATCH(cadangan3[[#This Row],[Marketplace]],Helper!$A$2:$A$5,0)),TEXT(cadangan3[[#This Row],[No]],"0000"),"-",TEXT(cadangan3[[#This Row],[Tanggal terjual]],"dd/mm/yy"))</f>
        <v>ORD-BB0845-04/04/23</v>
      </c>
      <c r="C846" t="s">
        <v>64</v>
      </c>
      <c r="D846" t="str">
        <f>IFERROR(INDEX(Katalog!$A$3:$A$12,MATCH(cadangan3[[#This Row],[ItemID A]],Katalog!$C$3:$C$12,0)),"-")</f>
        <v>Pakaian Unisex</v>
      </c>
      <c r="E846" t="str">
        <f>IFERROR(INDEX(Katalog!$B$3:$B$12,MATCH(cadangan3[[#This Row],[ItemID A]],Katalog!$C$3:$C$12,0)),"-")</f>
        <v>Jaket Hoodie</v>
      </c>
      <c r="F846">
        <v>2</v>
      </c>
      <c r="G846">
        <v>3</v>
      </c>
      <c r="H846" s="36">
        <f>IFERROR(INDEX(Katalog!$D$3:$D$12,MATCH(cadangan3[[#This Row],[ItemID A]],Katalog!$C$3:$C$12,0))*cadangan3[[#This Row],[Qty A]],0)</f>
        <v>700000</v>
      </c>
      <c r="I846" s="36">
        <f>IFERROR(INDEX(Katalog!$D$3:$D$12,MATCH(cadangan3[[#This Row],[Item A]],Katalog!$B$3:$B$12,0))*cadangan3[[#This Row],[Qty A]],0)</f>
        <v>700000</v>
      </c>
      <c r="J846" s="36">
        <f>IFERROR(cadangan3[[#This Row],[Harga Asli A]]-(cadangan3[[#This Row],[Harga Asli A]]*cadangan3[[#This Row],[Diskon]]),cadangan3[[#This Row],[Harga Asli A]])</f>
        <v>595000</v>
      </c>
      <c r="K846" s="36">
        <f>INDEX(Katalog!$F$3:$F$12,MATCH(cadangan3[[#This Row],[ItemID A]],Katalog!$C$3:$C$12,0))*cadangan3[[#This Row],[Qty A]]</f>
        <v>260000</v>
      </c>
      <c r="L846" s="36">
        <f>IFERROR(cadangan3[[#This Row],[Profit A]]-(cadangan3[[#This Row],[Profit A]]*cadangan3[[#This Row],[Diskon]]),K846)</f>
        <v>221000</v>
      </c>
      <c r="M846" t="s">
        <v>58</v>
      </c>
      <c r="N846" t="str">
        <f>IFERROR(INDEX(Katalog!$A$3:$A$12,MATCH(cadangan3[[#This Row],[ItemID B]],Katalog!$C$3:$C$12,0)),"-")</f>
        <v>Pakaian Wanita</v>
      </c>
      <c r="O846" t="str">
        <f>IFERROR(INDEX(Katalog!$B$3:$B$12,MATCH(cadangan3[[#This Row],[ItemID B]],Katalog!$C$3:$C$12,0)),"-")</f>
        <v>Dress</v>
      </c>
      <c r="P846">
        <v>2</v>
      </c>
      <c r="Q846">
        <v>4</v>
      </c>
      <c r="R846" s="36">
        <f>IFERROR(INDEX(Katalog!$D$3:$D$12,MATCH(cadangan3[[#This Row],[ItemID B]],Katalog!$C$3:$C$12,0))*cadangan3[[#This Row],[Qty B]],0)</f>
        <v>600000</v>
      </c>
      <c r="S846" s="36">
        <f>IFERROR(INDEX(Katalog!$D$3:$D$12,MATCH(cadangan3[[#This Row],[Item B]],Katalog!$B$3:$B$12,0))*cadangan3[[#This Row],[Qty B]],0)</f>
        <v>600000</v>
      </c>
      <c r="T846" s="36">
        <f>IFERROR(cadangan3[[#This Row],[Harga Asli B]]-(cadangan3[[#This Row],[Harga Asli B]]*cadangan3[[#This Row],[Diskon]]),cadangan3[[#This Row],[Harga Asli B]])</f>
        <v>510000</v>
      </c>
      <c r="U846" s="36">
        <f>IFERROR(INDEX(Katalog!$F$3:$F$12,MATCH(cadangan3[[#This Row],[ItemID B]],Katalog!$C$3:$C$12,0))*cadangan3[[#This Row],[Qty B]],0)</f>
        <v>200000</v>
      </c>
      <c r="V846" s="36">
        <f>IFERROR(cadangan3[[#This Row],[Profit B]]-(cadangan3[[#This Row],[Profit B]]*cadangan3[[#This Row],[Diskon]]),U846)</f>
        <v>170000</v>
      </c>
      <c r="W846" t="s">
        <v>62</v>
      </c>
      <c r="X846" t="str">
        <f>IFERROR(INDEX(Katalog!$A$3:$A$12,MATCH(cadangan3[[#This Row],[ItemID C]],Katalog!$C$3:$C$12,0)),"-")</f>
        <v>Pakaian Pria</v>
      </c>
      <c r="Y846" t="str">
        <f>IFERROR(INDEX(Katalog!$B$3:$B$12,MATCH(cadangan3[[#This Row],[ItemID C]],Katalog!$C$3:$C$12,0)),"-")</f>
        <v>Celana Pendek</v>
      </c>
      <c r="Z846">
        <v>1</v>
      </c>
      <c r="AA846">
        <v>5</v>
      </c>
      <c r="AB846" s="36">
        <f>IFERROR(INDEX(Katalog!$D$3:$D$12,MATCH(cadangan3[[#This Row],[ItemID C]],Katalog!$C$3:$C$12,0))*cadangan3[[#This Row],[Qty C]],0)</f>
        <v>180000</v>
      </c>
      <c r="AC846" s="36">
        <f>IFERROR(INDEX(Katalog!$D$3:$D$12,MATCH(cadangan3[[#This Row],[Item C]],Katalog!$B$3:$B$12,0))*cadangan3[[#This Row],[Qty C]],0)</f>
        <v>180000</v>
      </c>
      <c r="AD846" s="36">
        <f>IFERROR(cadangan3[[#This Row],[Harga Asli C]]-(cadangan3[[#This Row],[Harga Asli C]]*cadangan3[[#This Row],[Diskon]]),cadangan3[[#This Row],[Harga Asli C]])</f>
        <v>153000</v>
      </c>
      <c r="AE846" s="36">
        <f>IFERROR(INDEX(Katalog!$F$3:$F$12,MATCH(cadangan3[[#This Row],[ItemID C]],Katalog!$C$3:$C$12,0))*cadangan3[[#This Row],[Qty C]],0)</f>
        <v>70000</v>
      </c>
      <c r="AF846" s="36">
        <f>IFERROR(cadangan3[[#This Row],[Profit C]]-(cadangan3[[#This Row],[Profit C]]*cadangan3[[#This Row],[Diskon]]),cadangan3[[#This Row],[Profit C]])</f>
        <v>59500</v>
      </c>
      <c r="AG846" s="21">
        <f>cadangan3[[#This Row],[Qty A]]+cadangan3[[#This Row],[Qty B]]+cadangan3[[#This Row],[Qty C]]</f>
        <v>5</v>
      </c>
      <c r="AH846" s="35">
        <f>cadangan3[[#This Row],[Harga A + Diskon]]+cadangan3[[#This Row],[Harga + Diskon B]]+cadangan3[[#This Row],[Harga + Diskon C]]</f>
        <v>1258000</v>
      </c>
      <c r="AI846" s="35">
        <f>(cadangan3[[#This Row],[Profit A]]+cadangan3[[#This Row],[Profit B]]+cadangan3[[#This Row],[Profit C]])</f>
        <v>530000</v>
      </c>
      <c r="AJ846" s="35">
        <f>cadangan3[[#This Row],[Provit A + Diskon]]+cadangan3[[#This Row],[Provit B + Diskon]]+cadangan3[[#This Row],[Provit C + Diskon]]</f>
        <v>450500</v>
      </c>
      <c r="AK846" s="23" t="s">
        <v>28</v>
      </c>
      <c r="AL846" s="37">
        <f>IFERROR(INDEX('Kode Diskon'!$D$3:$D$9,MATCH(cadangan3[[#This Row],[Kode diskon]],'Kode Diskon'!$C$3:$C$9,0)),"-")</f>
        <v>0.15</v>
      </c>
      <c r="AM846" s="23" t="s">
        <v>29</v>
      </c>
      <c r="AN846" s="23" t="s">
        <v>14</v>
      </c>
      <c r="AO846" s="23" t="s">
        <v>76</v>
      </c>
      <c r="AP846" s="24">
        <v>45020</v>
      </c>
      <c r="AQ846" s="23" t="str">
        <f>TEXT(cadangan3[[#This Row],[Tanggal terjual]],"dddd")</f>
        <v>Tuesday</v>
      </c>
    </row>
    <row r="847" spans="1:43" x14ac:dyDescent="0.2">
      <c r="A847" s="20">
        <v>846</v>
      </c>
      <c r="B847" s="21" t="str">
        <f>_xlfn.CONCAT("ORD-",INDEX(Helper!$B$2:$B$5,MATCH(cadangan3[[#This Row],[Marketplace]],Helper!$A$2:$A$5,0)),TEXT(cadangan3[[#This Row],[No]],"0000"),"-",TEXT(cadangan3[[#This Row],[Tanggal terjual]],"dd/mm/yy"))</f>
        <v>ORD-SP0846-20/04/23</v>
      </c>
      <c r="C847" t="s">
        <v>64</v>
      </c>
      <c r="D847" t="str">
        <f>IFERROR(INDEX(Katalog!$A$3:$A$12,MATCH(cadangan3[[#This Row],[ItemID A]],Katalog!$C$3:$C$12,0)),"-")</f>
        <v>Pakaian Unisex</v>
      </c>
      <c r="E847" t="str">
        <f>IFERROR(INDEX(Katalog!$B$3:$B$12,MATCH(cadangan3[[#This Row],[ItemID A]],Katalog!$C$3:$C$12,0)),"-")</f>
        <v>Jaket Hoodie</v>
      </c>
      <c r="F847">
        <v>1</v>
      </c>
      <c r="G847">
        <v>5</v>
      </c>
      <c r="H847" s="36">
        <f>IFERROR(INDEX(Katalog!$D$3:$D$12,MATCH(cadangan3[[#This Row],[ItemID A]],Katalog!$C$3:$C$12,0))*cadangan3[[#This Row],[Qty A]],0)</f>
        <v>350000</v>
      </c>
      <c r="I847" s="36">
        <f>IFERROR(INDEX(Katalog!$D$3:$D$12,MATCH(cadangan3[[#This Row],[Item A]],Katalog!$B$3:$B$12,0))*cadangan3[[#This Row],[Qty A]],0)</f>
        <v>350000</v>
      </c>
      <c r="J847" s="36">
        <f>IFERROR(cadangan3[[#This Row],[Harga Asli A]]-(cadangan3[[#This Row],[Harga Asli A]]*cadangan3[[#This Row],[Diskon]]),cadangan3[[#This Row],[Harga Asli A]])</f>
        <v>280000</v>
      </c>
      <c r="K847" s="36">
        <f>INDEX(Katalog!$F$3:$F$12,MATCH(cadangan3[[#This Row],[ItemID A]],Katalog!$C$3:$C$12,0))*cadangan3[[#This Row],[Qty A]]</f>
        <v>130000</v>
      </c>
      <c r="L847" s="36">
        <f>IFERROR(cadangan3[[#This Row],[Profit A]]-(cadangan3[[#This Row],[Profit A]]*cadangan3[[#This Row],[Diskon]]),K847)</f>
        <v>104000</v>
      </c>
      <c r="M847" t="s">
        <v>66</v>
      </c>
      <c r="N847" t="str">
        <f>IFERROR(INDEX(Katalog!$A$3:$A$12,MATCH(cadangan3[[#This Row],[ItemID B]],Katalog!$C$3:$C$12,0)),"-")</f>
        <v>Sepatu Pria</v>
      </c>
      <c r="O847" t="str">
        <f>IFERROR(INDEX(Katalog!$B$3:$B$12,MATCH(cadangan3[[#This Row],[ItemID B]],Katalog!$C$3:$C$12,0)),"-")</f>
        <v>Sandal Slip On</v>
      </c>
      <c r="P847">
        <v>2</v>
      </c>
      <c r="Q847">
        <v>2</v>
      </c>
      <c r="R847" s="36">
        <f>IFERROR(INDEX(Katalog!$D$3:$D$12,MATCH(cadangan3[[#This Row],[ItemID B]],Katalog!$C$3:$C$12,0))*cadangan3[[#This Row],[Qty B]],0)</f>
        <v>300000</v>
      </c>
      <c r="S847" s="36">
        <f>IFERROR(INDEX(Katalog!$D$3:$D$12,MATCH(cadangan3[[#This Row],[Item B]],Katalog!$B$3:$B$12,0))*cadangan3[[#This Row],[Qty B]],0)</f>
        <v>300000</v>
      </c>
      <c r="T847" s="36">
        <f>IFERROR(cadangan3[[#This Row],[Harga Asli B]]-(cadangan3[[#This Row],[Harga Asli B]]*cadangan3[[#This Row],[Diskon]]),cadangan3[[#This Row],[Harga Asli B]])</f>
        <v>240000</v>
      </c>
      <c r="U847" s="36">
        <f>IFERROR(INDEX(Katalog!$F$3:$F$12,MATCH(cadangan3[[#This Row],[ItemID B]],Katalog!$C$3:$C$12,0))*cadangan3[[#This Row],[Qty B]],0)</f>
        <v>120000</v>
      </c>
      <c r="V847" s="36">
        <f>IFERROR(cadangan3[[#This Row],[Profit B]]-(cadangan3[[#This Row],[Profit B]]*cadangan3[[#This Row],[Diskon]]),U847)</f>
        <v>96000</v>
      </c>
      <c r="W847" t="s">
        <v>60</v>
      </c>
      <c r="X847" t="str">
        <f>IFERROR(INDEX(Katalog!$A$3:$A$12,MATCH(cadangan3[[#This Row],[ItemID C]],Katalog!$C$3:$C$12,0)),"-")</f>
        <v>Pakaian Wanita</v>
      </c>
      <c r="Y847" t="str">
        <f>IFERROR(INDEX(Katalog!$B$3:$B$12,MATCH(cadangan3[[#This Row],[ItemID C]],Katalog!$C$3:$C$12,0)),"-")</f>
        <v>Kaftan</v>
      </c>
      <c r="Z847">
        <v>1</v>
      </c>
      <c r="AA847">
        <v>2</v>
      </c>
      <c r="AB847" s="36">
        <f>IFERROR(INDEX(Katalog!$D$3:$D$12,MATCH(cadangan3[[#This Row],[ItemID C]],Katalog!$C$3:$C$12,0))*cadangan3[[#This Row],[Qty C]],0)</f>
        <v>250000</v>
      </c>
      <c r="AC847" s="36">
        <f>IFERROR(INDEX(Katalog!$D$3:$D$12,MATCH(cadangan3[[#This Row],[Item C]],Katalog!$B$3:$B$12,0))*cadangan3[[#This Row],[Qty C]],0)</f>
        <v>250000</v>
      </c>
      <c r="AD847" s="36">
        <f>IFERROR(cadangan3[[#This Row],[Harga Asli C]]-(cadangan3[[#This Row],[Harga Asli C]]*cadangan3[[#This Row],[Diskon]]),cadangan3[[#This Row],[Harga Asli C]])</f>
        <v>200000</v>
      </c>
      <c r="AE847" s="36">
        <f>IFERROR(INDEX(Katalog!$F$3:$F$12,MATCH(cadangan3[[#This Row],[ItemID C]],Katalog!$C$3:$C$12,0))*cadangan3[[#This Row],[Qty C]],0)</f>
        <v>100000</v>
      </c>
      <c r="AF847" s="36">
        <f>IFERROR(cadangan3[[#This Row],[Profit C]]-(cadangan3[[#This Row],[Profit C]]*cadangan3[[#This Row],[Diskon]]),cadangan3[[#This Row],[Profit C]])</f>
        <v>80000</v>
      </c>
      <c r="AG847" s="21">
        <f>cadangan3[[#This Row],[Qty A]]+cadangan3[[#This Row],[Qty B]]+cadangan3[[#This Row],[Qty C]]</f>
        <v>4</v>
      </c>
      <c r="AH847" s="35">
        <f>cadangan3[[#This Row],[Harga A + Diskon]]+cadangan3[[#This Row],[Harga + Diskon B]]+cadangan3[[#This Row],[Harga + Diskon C]]</f>
        <v>720000</v>
      </c>
      <c r="AI847" s="35">
        <f>(cadangan3[[#This Row],[Profit A]]+cadangan3[[#This Row],[Profit B]]+cadangan3[[#This Row],[Profit C]])</f>
        <v>350000</v>
      </c>
      <c r="AJ847" s="35">
        <f>cadangan3[[#This Row],[Provit A + Diskon]]+cadangan3[[#This Row],[Provit B + Diskon]]+cadangan3[[#This Row],[Provit C + Diskon]]</f>
        <v>280000</v>
      </c>
      <c r="AK847" s="23" t="s">
        <v>8</v>
      </c>
      <c r="AL847" s="37">
        <f>IFERROR(INDEX('Kode Diskon'!$D$3:$D$9,MATCH(cadangan3[[#This Row],[Kode diskon]],'Kode Diskon'!$C$3:$C$9,0)),"-")</f>
        <v>0.2</v>
      </c>
      <c r="AM847" s="23" t="s">
        <v>9</v>
      </c>
      <c r="AN847" s="23" t="s">
        <v>7</v>
      </c>
      <c r="AO847" s="23" t="s">
        <v>80</v>
      </c>
      <c r="AP847" s="24">
        <v>45036</v>
      </c>
      <c r="AQ847" s="23" t="str">
        <f>TEXT(cadangan3[[#This Row],[Tanggal terjual]],"dddd")</f>
        <v>Thursday</v>
      </c>
    </row>
    <row r="848" spans="1:43" x14ac:dyDescent="0.2">
      <c r="A848" s="20">
        <v>847</v>
      </c>
      <c r="B848" s="21" t="str">
        <f>_xlfn.CONCAT("ORD-",INDEX(Helper!$B$2:$B$5,MATCH(cadangan3[[#This Row],[Marketplace]],Helper!$A$2:$A$5,0)),TEXT(cadangan3[[#This Row],[No]],"0000"),"-",TEXT(cadangan3[[#This Row],[Tanggal terjual]],"dd/mm/yy"))</f>
        <v>ORD-SP0847-20/04/23</v>
      </c>
      <c r="C848" t="s">
        <v>58</v>
      </c>
      <c r="D848" t="str">
        <f>IFERROR(INDEX(Katalog!$A$3:$A$12,MATCH(cadangan3[[#This Row],[ItemID A]],Katalog!$C$3:$C$12,0)),"-")</f>
        <v>Pakaian Wanita</v>
      </c>
      <c r="E848" t="str">
        <f>IFERROR(INDEX(Katalog!$B$3:$B$12,MATCH(cadangan3[[#This Row],[ItemID A]],Katalog!$C$3:$C$12,0)),"-")</f>
        <v>Dress</v>
      </c>
      <c r="F848">
        <v>2</v>
      </c>
      <c r="G848">
        <v>3</v>
      </c>
      <c r="H848" s="36">
        <f>IFERROR(INDEX(Katalog!$D$3:$D$12,MATCH(cadangan3[[#This Row],[ItemID A]],Katalog!$C$3:$C$12,0))*cadangan3[[#This Row],[Qty A]],0)</f>
        <v>600000</v>
      </c>
      <c r="I848" s="36">
        <f>IFERROR(INDEX(Katalog!$D$3:$D$12,MATCH(cadangan3[[#This Row],[Item A]],Katalog!$B$3:$B$12,0))*cadangan3[[#This Row],[Qty A]],0)</f>
        <v>600000</v>
      </c>
      <c r="J848" s="36">
        <f>IFERROR(cadangan3[[#This Row],[Harga Asli A]]-(cadangan3[[#This Row],[Harga Asli A]]*cadangan3[[#This Row],[Diskon]]),cadangan3[[#This Row],[Harga Asli A]])</f>
        <v>480000</v>
      </c>
      <c r="K848" s="36">
        <f>INDEX(Katalog!$F$3:$F$12,MATCH(cadangan3[[#This Row],[ItemID A]],Katalog!$C$3:$C$12,0))*cadangan3[[#This Row],[Qty A]]</f>
        <v>200000</v>
      </c>
      <c r="L848" s="36">
        <f>IFERROR(cadangan3[[#This Row],[Profit A]]-(cadangan3[[#This Row],[Profit A]]*cadangan3[[#This Row],[Diskon]]),K848)</f>
        <v>160000</v>
      </c>
      <c r="M848" t="s">
        <v>59</v>
      </c>
      <c r="N848" t="str">
        <f>IFERROR(INDEX(Katalog!$A$3:$A$12,MATCH(cadangan3[[#This Row],[ItemID B]],Katalog!$C$3:$C$12,0)),"-")</f>
        <v>Pakaian Wanita</v>
      </c>
      <c r="O848" t="str">
        <f>IFERROR(INDEX(Katalog!$B$3:$B$12,MATCH(cadangan3[[#This Row],[ItemID B]],Katalog!$C$3:$C$12,0)),"-")</f>
        <v>Blouse</v>
      </c>
      <c r="P848">
        <v>2</v>
      </c>
      <c r="Q848">
        <v>3</v>
      </c>
      <c r="R848" s="36">
        <f>IFERROR(INDEX(Katalog!$D$3:$D$12,MATCH(cadangan3[[#This Row],[ItemID B]],Katalog!$C$3:$C$12,0))*cadangan3[[#This Row],[Qty B]],0)</f>
        <v>300000</v>
      </c>
      <c r="S848" s="36">
        <f>IFERROR(INDEX(Katalog!$D$3:$D$12,MATCH(cadangan3[[#This Row],[Item B]],Katalog!$B$3:$B$12,0))*cadangan3[[#This Row],[Qty B]],0)</f>
        <v>300000</v>
      </c>
      <c r="T848" s="36">
        <f>IFERROR(cadangan3[[#This Row],[Harga Asli B]]-(cadangan3[[#This Row],[Harga Asli B]]*cadangan3[[#This Row],[Diskon]]),cadangan3[[#This Row],[Harga Asli B]])</f>
        <v>240000</v>
      </c>
      <c r="U848" s="36">
        <f>IFERROR(INDEX(Katalog!$F$3:$F$12,MATCH(cadangan3[[#This Row],[ItemID B]],Katalog!$C$3:$C$12,0))*cadangan3[[#This Row],[Qty B]],0)</f>
        <v>100000</v>
      </c>
      <c r="V848" s="36">
        <f>IFERROR(cadangan3[[#This Row],[Profit B]]-(cadangan3[[#This Row],[Profit B]]*cadangan3[[#This Row],[Diskon]]),U848)</f>
        <v>80000</v>
      </c>
      <c r="X848" t="str">
        <f>IFERROR(INDEX(Katalog!$A$3:$A$12,MATCH(cadangan3[[#This Row],[ItemID C]],Katalog!$C$3:$C$12,0)),"-")</f>
        <v>-</v>
      </c>
      <c r="Y848" t="str">
        <f>IFERROR(INDEX(Katalog!$B$3:$B$12,MATCH(cadangan3[[#This Row],[ItemID C]],Katalog!$C$3:$C$12,0)),"-")</f>
        <v>-</v>
      </c>
      <c r="AB848" s="36">
        <f>IFERROR(INDEX(Katalog!$D$3:$D$12,MATCH(cadangan3[[#This Row],[ItemID C]],Katalog!$C$3:$C$12,0))*cadangan3[[#This Row],[Qty C]],0)</f>
        <v>0</v>
      </c>
      <c r="AC848" s="36">
        <f>IFERROR(INDEX(Katalog!$D$3:$D$12,MATCH(cadangan3[[#This Row],[Item C]],Katalog!$B$3:$B$12,0))*cadangan3[[#This Row],[Qty C]],0)</f>
        <v>0</v>
      </c>
      <c r="AD848" s="36">
        <f>IFERROR(cadangan3[[#This Row],[Harga Asli C]]-(cadangan3[[#This Row],[Harga Asli C]]*cadangan3[[#This Row],[Diskon]]),cadangan3[[#This Row],[Harga Asli C]])</f>
        <v>0</v>
      </c>
      <c r="AE848" s="36">
        <f>IFERROR(INDEX(Katalog!$F$3:$F$12,MATCH(cadangan3[[#This Row],[ItemID C]],Katalog!$C$3:$C$12,0))*cadangan3[[#This Row],[Qty C]],0)</f>
        <v>0</v>
      </c>
      <c r="AF848" s="36">
        <f>IFERROR(cadangan3[[#This Row],[Profit C]]-(cadangan3[[#This Row],[Profit C]]*cadangan3[[#This Row],[Diskon]]),cadangan3[[#This Row],[Profit C]])</f>
        <v>0</v>
      </c>
      <c r="AG848" s="21">
        <f>cadangan3[[#This Row],[Qty A]]+cadangan3[[#This Row],[Qty B]]+cadangan3[[#This Row],[Qty C]]</f>
        <v>4</v>
      </c>
      <c r="AH848" s="35">
        <f>cadangan3[[#This Row],[Harga A + Diskon]]+cadangan3[[#This Row],[Harga + Diskon B]]+cadangan3[[#This Row],[Harga + Diskon C]]</f>
        <v>720000</v>
      </c>
      <c r="AI848" s="35">
        <f>(cadangan3[[#This Row],[Profit A]]+cadangan3[[#This Row],[Profit B]]+cadangan3[[#This Row],[Profit C]])</f>
        <v>300000</v>
      </c>
      <c r="AJ848" s="35">
        <f>cadangan3[[#This Row],[Provit A + Diskon]]+cadangan3[[#This Row],[Provit B + Diskon]]+cadangan3[[#This Row],[Provit C + Diskon]]</f>
        <v>240000</v>
      </c>
      <c r="AK848" s="23" t="s">
        <v>8</v>
      </c>
      <c r="AL848" s="37">
        <f>IFERROR(INDEX('Kode Diskon'!$D$3:$D$9,MATCH(cadangan3[[#This Row],[Kode diskon]],'Kode Diskon'!$C$3:$C$9,0)),"-")</f>
        <v>0.2</v>
      </c>
      <c r="AM848" s="23" t="s">
        <v>9</v>
      </c>
      <c r="AN848" s="23" t="s">
        <v>7</v>
      </c>
      <c r="AO848" s="23" t="s">
        <v>76</v>
      </c>
      <c r="AP848" s="24">
        <v>45036</v>
      </c>
      <c r="AQ848" s="23" t="str">
        <f>TEXT(cadangan3[[#This Row],[Tanggal terjual]],"dddd")</f>
        <v>Thursday</v>
      </c>
    </row>
    <row r="849" spans="1:43" x14ac:dyDescent="0.2">
      <c r="A849" s="20">
        <v>848</v>
      </c>
      <c r="B849" s="21" t="str">
        <f>_xlfn.CONCAT("ORD-",INDEX(Helper!$B$2:$B$5,MATCH(cadangan3[[#This Row],[Marketplace]],Helper!$A$2:$A$5,0)),TEXT(cadangan3[[#This Row],[No]],"0000"),"-",TEXT(cadangan3[[#This Row],[Tanggal terjual]],"dd/mm/yy"))</f>
        <v>ORD-TK0848-27/04/23</v>
      </c>
      <c r="C849" t="s">
        <v>64</v>
      </c>
      <c r="D849" t="str">
        <f>IFERROR(INDEX(Katalog!$A$3:$A$12,MATCH(cadangan3[[#This Row],[ItemID A]],Katalog!$C$3:$C$12,0)),"-")</f>
        <v>Pakaian Unisex</v>
      </c>
      <c r="E849" t="str">
        <f>IFERROR(INDEX(Katalog!$B$3:$B$12,MATCH(cadangan3[[#This Row],[ItemID A]],Katalog!$C$3:$C$12,0)),"-")</f>
        <v>Jaket Hoodie</v>
      </c>
      <c r="F849">
        <v>3</v>
      </c>
      <c r="G849">
        <v>4</v>
      </c>
      <c r="H849" s="36">
        <f>IFERROR(INDEX(Katalog!$D$3:$D$12,MATCH(cadangan3[[#This Row],[ItemID A]],Katalog!$C$3:$C$12,0))*cadangan3[[#This Row],[Qty A]],0)</f>
        <v>1050000</v>
      </c>
      <c r="I849" s="36">
        <f>IFERROR(INDEX(Katalog!$D$3:$D$12,MATCH(cadangan3[[#This Row],[Item A]],Katalog!$B$3:$B$12,0))*cadangan3[[#This Row],[Qty A]],0)</f>
        <v>1050000</v>
      </c>
      <c r="J849" s="36">
        <f>IFERROR(cadangan3[[#This Row],[Harga Asli A]]-(cadangan3[[#This Row],[Harga Asli A]]*cadangan3[[#This Row],[Diskon]]),cadangan3[[#This Row],[Harga Asli A]])</f>
        <v>945000</v>
      </c>
      <c r="K849" s="36">
        <f>INDEX(Katalog!$F$3:$F$12,MATCH(cadangan3[[#This Row],[ItemID A]],Katalog!$C$3:$C$12,0))*cadangan3[[#This Row],[Qty A]]</f>
        <v>390000</v>
      </c>
      <c r="L849" s="36">
        <f>IFERROR(cadangan3[[#This Row],[Profit A]]-(cadangan3[[#This Row],[Profit A]]*cadangan3[[#This Row],[Diskon]]),K849)</f>
        <v>351000</v>
      </c>
      <c r="M849" t="s">
        <v>64</v>
      </c>
      <c r="N849" t="str">
        <f>IFERROR(INDEX(Katalog!$A$3:$A$12,MATCH(cadangan3[[#This Row],[ItemID B]],Katalog!$C$3:$C$12,0)),"-")</f>
        <v>Pakaian Unisex</v>
      </c>
      <c r="O849" t="str">
        <f>IFERROR(INDEX(Katalog!$B$3:$B$12,MATCH(cadangan3[[#This Row],[ItemID B]],Katalog!$C$3:$C$12,0)),"-")</f>
        <v>Jaket Hoodie</v>
      </c>
      <c r="P849">
        <v>2</v>
      </c>
      <c r="Q849">
        <v>4</v>
      </c>
      <c r="R849" s="36">
        <f>IFERROR(INDEX(Katalog!$D$3:$D$12,MATCH(cadangan3[[#This Row],[ItemID B]],Katalog!$C$3:$C$12,0))*cadangan3[[#This Row],[Qty B]],0)</f>
        <v>700000</v>
      </c>
      <c r="S849" s="36">
        <f>IFERROR(INDEX(Katalog!$D$3:$D$12,MATCH(cadangan3[[#This Row],[Item B]],Katalog!$B$3:$B$12,0))*cadangan3[[#This Row],[Qty B]],0)</f>
        <v>700000</v>
      </c>
      <c r="T849" s="36">
        <f>IFERROR(cadangan3[[#This Row],[Harga Asli B]]-(cadangan3[[#This Row],[Harga Asli B]]*cadangan3[[#This Row],[Diskon]]),cadangan3[[#This Row],[Harga Asli B]])</f>
        <v>630000</v>
      </c>
      <c r="U849" s="36">
        <f>IFERROR(INDEX(Katalog!$F$3:$F$12,MATCH(cadangan3[[#This Row],[ItemID B]],Katalog!$C$3:$C$12,0))*cadangan3[[#This Row],[Qty B]],0)</f>
        <v>260000</v>
      </c>
      <c r="V849" s="36">
        <f>IFERROR(cadangan3[[#This Row],[Profit B]]-(cadangan3[[#This Row],[Profit B]]*cadangan3[[#This Row],[Diskon]]),U849)</f>
        <v>234000</v>
      </c>
      <c r="X849" t="str">
        <f>IFERROR(INDEX(Katalog!$A$3:$A$12,MATCH(cadangan3[[#This Row],[ItemID C]],Katalog!$C$3:$C$12,0)),"-")</f>
        <v>-</v>
      </c>
      <c r="Y849" t="str">
        <f>IFERROR(INDEX(Katalog!$B$3:$B$12,MATCH(cadangan3[[#This Row],[ItemID C]],Katalog!$C$3:$C$12,0)),"-")</f>
        <v>-</v>
      </c>
      <c r="AB849" s="36">
        <f>IFERROR(INDEX(Katalog!$D$3:$D$12,MATCH(cadangan3[[#This Row],[ItemID C]],Katalog!$C$3:$C$12,0))*cadangan3[[#This Row],[Qty C]],0)</f>
        <v>0</v>
      </c>
      <c r="AC849" s="36">
        <f>IFERROR(INDEX(Katalog!$D$3:$D$12,MATCH(cadangan3[[#This Row],[Item C]],Katalog!$B$3:$B$12,0))*cadangan3[[#This Row],[Qty C]],0)</f>
        <v>0</v>
      </c>
      <c r="AD849" s="36">
        <f>IFERROR(cadangan3[[#This Row],[Harga Asli C]]-(cadangan3[[#This Row],[Harga Asli C]]*cadangan3[[#This Row],[Diskon]]),cadangan3[[#This Row],[Harga Asli C]])</f>
        <v>0</v>
      </c>
      <c r="AE849" s="36">
        <f>IFERROR(INDEX(Katalog!$F$3:$F$12,MATCH(cadangan3[[#This Row],[ItemID C]],Katalog!$C$3:$C$12,0))*cadangan3[[#This Row],[Qty C]],0)</f>
        <v>0</v>
      </c>
      <c r="AF849" s="36">
        <f>IFERROR(cadangan3[[#This Row],[Profit C]]-(cadangan3[[#This Row],[Profit C]]*cadangan3[[#This Row],[Diskon]]),cadangan3[[#This Row],[Profit C]])</f>
        <v>0</v>
      </c>
      <c r="AG849" s="21">
        <f>cadangan3[[#This Row],[Qty A]]+cadangan3[[#This Row],[Qty B]]+cadangan3[[#This Row],[Qty C]]</f>
        <v>5</v>
      </c>
      <c r="AH849" s="35">
        <f>cadangan3[[#This Row],[Harga A + Diskon]]+cadangan3[[#This Row],[Harga + Diskon B]]+cadangan3[[#This Row],[Harga + Diskon C]]</f>
        <v>1575000</v>
      </c>
      <c r="AI849" s="35">
        <f>(cadangan3[[#This Row],[Profit A]]+cadangan3[[#This Row],[Profit B]]+cadangan3[[#This Row],[Profit C]])</f>
        <v>650000</v>
      </c>
      <c r="AJ849" s="35">
        <f>cadangan3[[#This Row],[Provit A + Diskon]]+cadangan3[[#This Row],[Provit B + Diskon]]+cadangan3[[#This Row],[Provit C + Diskon]]</f>
        <v>585000</v>
      </c>
      <c r="AK849" s="23" t="s">
        <v>31</v>
      </c>
      <c r="AL849" s="37">
        <f>IFERROR(INDEX('Kode Diskon'!$D$3:$D$9,MATCH(cadangan3[[#This Row],[Kode diskon]],'Kode Diskon'!$C$3:$C$9,0)),"-")</f>
        <v>0.1</v>
      </c>
      <c r="AM849" s="23" t="s">
        <v>9</v>
      </c>
      <c r="AN849" s="23" t="s">
        <v>10</v>
      </c>
      <c r="AO849" s="23" t="s">
        <v>75</v>
      </c>
      <c r="AP849" s="24">
        <v>45043</v>
      </c>
      <c r="AQ849" s="23" t="str">
        <f>TEXT(cadangan3[[#This Row],[Tanggal terjual]],"dddd")</f>
        <v>Thursday</v>
      </c>
    </row>
    <row r="850" spans="1:43" x14ac:dyDescent="0.2">
      <c r="A850" s="20">
        <v>849</v>
      </c>
      <c r="B850" s="21" t="str">
        <f>_xlfn.CONCAT("ORD-",INDEX(Helper!$B$2:$B$5,MATCH(cadangan3[[#This Row],[Marketplace]],Helper!$A$2:$A$5,0)),TEXT(cadangan3[[#This Row],[No]],"0000"),"-",TEXT(cadangan3[[#This Row],[Tanggal terjual]],"dd/mm/yy"))</f>
        <v>ORD-SP0849-10/04/23</v>
      </c>
      <c r="C850" t="s">
        <v>61</v>
      </c>
      <c r="D850" t="str">
        <f>IFERROR(INDEX(Katalog!$A$3:$A$12,MATCH(cadangan3[[#This Row],[ItemID A]],Katalog!$C$3:$C$12,0)),"-")</f>
        <v>Pakaian Pria</v>
      </c>
      <c r="E850" t="str">
        <f>IFERROR(INDEX(Katalog!$B$3:$B$12,MATCH(cadangan3[[#This Row],[ItemID A]],Katalog!$C$3:$C$12,0)),"-")</f>
        <v>Kaos Polo</v>
      </c>
      <c r="F850">
        <v>1</v>
      </c>
      <c r="G850">
        <v>1</v>
      </c>
      <c r="H850" s="36">
        <f>IFERROR(INDEX(Katalog!$D$3:$D$12,MATCH(cadangan3[[#This Row],[ItemID A]],Katalog!$C$3:$C$12,0))*cadangan3[[#This Row],[Qty A]],0)</f>
        <v>200000</v>
      </c>
      <c r="I850" s="36">
        <f>IFERROR(INDEX(Katalog!$D$3:$D$12,MATCH(cadangan3[[#This Row],[Item A]],Katalog!$B$3:$B$12,0))*cadangan3[[#This Row],[Qty A]],0)</f>
        <v>200000</v>
      </c>
      <c r="J850" s="36">
        <f>IFERROR(cadangan3[[#This Row],[Harga Asli A]]-(cadangan3[[#This Row],[Harga Asli A]]*cadangan3[[#This Row],[Diskon]]),cadangan3[[#This Row],[Harga Asli A]])</f>
        <v>200000</v>
      </c>
      <c r="K850" s="36">
        <f>INDEX(Katalog!$F$3:$F$12,MATCH(cadangan3[[#This Row],[ItemID A]],Katalog!$C$3:$C$12,0))*cadangan3[[#This Row],[Qty A]]</f>
        <v>80000</v>
      </c>
      <c r="L850" s="36">
        <f>IFERROR(cadangan3[[#This Row],[Profit A]]-(cadangan3[[#This Row],[Profit A]]*cadangan3[[#This Row],[Diskon]]),K850)</f>
        <v>80000</v>
      </c>
      <c r="N850" t="str">
        <f>IFERROR(INDEX(Katalog!$A$3:$A$12,MATCH(cadangan3[[#This Row],[ItemID B]],Katalog!$C$3:$C$12,0)),"-")</f>
        <v>-</v>
      </c>
      <c r="O850" t="str">
        <f>IFERROR(INDEX(Katalog!$B$3:$B$12,MATCH(cadangan3[[#This Row],[ItemID B]],Katalog!$C$3:$C$12,0)),"-")</f>
        <v>-</v>
      </c>
      <c r="R850" s="36">
        <f>IFERROR(INDEX(Katalog!$D$3:$D$12,MATCH(cadangan3[[#This Row],[ItemID B]],Katalog!$C$3:$C$12,0))*cadangan3[[#This Row],[Qty B]],0)</f>
        <v>0</v>
      </c>
      <c r="S850" s="36">
        <f>IFERROR(INDEX(Katalog!$D$3:$D$12,MATCH(cadangan3[[#This Row],[Item B]],Katalog!$B$3:$B$12,0))*cadangan3[[#This Row],[Qty B]],0)</f>
        <v>0</v>
      </c>
      <c r="T850" s="36">
        <f>IFERROR(cadangan3[[#This Row],[Harga Asli B]]-(cadangan3[[#This Row],[Harga Asli B]]*cadangan3[[#This Row],[Diskon]]),cadangan3[[#This Row],[Harga Asli B]])</f>
        <v>0</v>
      </c>
      <c r="U850" s="36">
        <f>IFERROR(INDEX(Katalog!$F$3:$F$12,MATCH(cadangan3[[#This Row],[ItemID B]],Katalog!$C$3:$C$12,0))*cadangan3[[#This Row],[Qty B]],0)</f>
        <v>0</v>
      </c>
      <c r="V850" s="36">
        <f>IFERROR(cadangan3[[#This Row],[Profit B]]-(cadangan3[[#This Row],[Profit B]]*cadangan3[[#This Row],[Diskon]]),U850)</f>
        <v>0</v>
      </c>
      <c r="X850" t="str">
        <f>IFERROR(INDEX(Katalog!$A$3:$A$12,MATCH(cadangan3[[#This Row],[ItemID C]],Katalog!$C$3:$C$12,0)),"-")</f>
        <v>-</v>
      </c>
      <c r="Y850" t="str">
        <f>IFERROR(INDEX(Katalog!$B$3:$B$12,MATCH(cadangan3[[#This Row],[ItemID C]],Katalog!$C$3:$C$12,0)),"-")</f>
        <v>-</v>
      </c>
      <c r="AB850" s="36">
        <f>IFERROR(INDEX(Katalog!$D$3:$D$12,MATCH(cadangan3[[#This Row],[ItemID C]],Katalog!$C$3:$C$12,0))*cadangan3[[#This Row],[Qty C]],0)</f>
        <v>0</v>
      </c>
      <c r="AC850" s="36">
        <f>IFERROR(INDEX(Katalog!$D$3:$D$12,MATCH(cadangan3[[#This Row],[Item C]],Katalog!$B$3:$B$12,0))*cadangan3[[#This Row],[Qty C]],0)</f>
        <v>0</v>
      </c>
      <c r="AD850" s="36">
        <f>IFERROR(cadangan3[[#This Row],[Harga Asli C]]-(cadangan3[[#This Row],[Harga Asli C]]*cadangan3[[#This Row],[Diskon]]),cadangan3[[#This Row],[Harga Asli C]])</f>
        <v>0</v>
      </c>
      <c r="AE850" s="36">
        <f>IFERROR(INDEX(Katalog!$F$3:$F$12,MATCH(cadangan3[[#This Row],[ItemID C]],Katalog!$C$3:$C$12,0))*cadangan3[[#This Row],[Qty C]],0)</f>
        <v>0</v>
      </c>
      <c r="AF850" s="36">
        <f>IFERROR(cadangan3[[#This Row],[Profit C]]-(cadangan3[[#This Row],[Profit C]]*cadangan3[[#This Row],[Diskon]]),cadangan3[[#This Row],[Profit C]])</f>
        <v>0</v>
      </c>
      <c r="AG850" s="21">
        <f>cadangan3[[#This Row],[Qty A]]+cadangan3[[#This Row],[Qty B]]+cadangan3[[#This Row],[Qty C]]</f>
        <v>1</v>
      </c>
      <c r="AH850" s="35">
        <f>cadangan3[[#This Row],[Harga A + Diskon]]+cadangan3[[#This Row],[Harga + Diskon B]]+cadangan3[[#This Row],[Harga + Diskon C]]</f>
        <v>200000</v>
      </c>
      <c r="AI850" s="35">
        <f>(cadangan3[[#This Row],[Profit A]]+cadangan3[[#This Row],[Profit B]]+cadangan3[[#This Row],[Profit C]])</f>
        <v>80000</v>
      </c>
      <c r="AJ850" s="35">
        <f>cadangan3[[#This Row],[Provit A + Diskon]]+cadangan3[[#This Row],[Provit B + Diskon]]+cadangan3[[#This Row],[Provit C + Diskon]]</f>
        <v>80000</v>
      </c>
      <c r="AK850" s="23" t="s">
        <v>11</v>
      </c>
      <c r="AL850" s="37" t="str">
        <f>IFERROR(INDEX('Kode Diskon'!$D$3:$D$9,MATCH(cadangan3[[#This Row],[Kode diskon]],'Kode Diskon'!$C$3:$C$9,0)),"-")</f>
        <v>-</v>
      </c>
      <c r="AM850" s="23" t="s">
        <v>11</v>
      </c>
      <c r="AN850" s="23" t="s">
        <v>7</v>
      </c>
      <c r="AO850" s="23" t="s">
        <v>77</v>
      </c>
      <c r="AP850" s="24">
        <v>45026</v>
      </c>
      <c r="AQ850" s="23" t="str">
        <f>TEXT(cadangan3[[#This Row],[Tanggal terjual]],"dddd")</f>
        <v>Monday</v>
      </c>
    </row>
    <row r="851" spans="1:43" x14ac:dyDescent="0.2">
      <c r="A851" s="20">
        <v>850</v>
      </c>
      <c r="B851" s="21" t="str">
        <f>_xlfn.CONCAT("ORD-",INDEX(Helper!$B$2:$B$5,MATCH(cadangan3[[#This Row],[Marketplace]],Helper!$A$2:$A$5,0)),TEXT(cadangan3[[#This Row],[No]],"0000"),"-",TEXT(cadangan3[[#This Row],[Tanggal terjual]],"dd/mm/yy"))</f>
        <v>ORD-TK0850-07/04/23</v>
      </c>
      <c r="C851" t="s">
        <v>63</v>
      </c>
      <c r="D851" t="str">
        <f>IFERROR(INDEX(Katalog!$A$3:$A$12,MATCH(cadangan3[[#This Row],[ItemID A]],Katalog!$C$3:$C$12,0)),"-")</f>
        <v>Pakaian Pria</v>
      </c>
      <c r="E851" t="str">
        <f>IFERROR(INDEX(Katalog!$B$3:$B$12,MATCH(cadangan3[[#This Row],[ItemID A]],Katalog!$C$3:$C$12,0)),"-")</f>
        <v>Jaket Jeans</v>
      </c>
      <c r="F851">
        <v>2</v>
      </c>
      <c r="G851">
        <v>1</v>
      </c>
      <c r="H851" s="36">
        <f>IFERROR(INDEX(Katalog!$D$3:$D$12,MATCH(cadangan3[[#This Row],[ItemID A]],Katalog!$C$3:$C$12,0))*cadangan3[[#This Row],[Qty A]],0)</f>
        <v>800000</v>
      </c>
      <c r="I851" s="36">
        <f>IFERROR(INDEX(Katalog!$D$3:$D$12,MATCH(cadangan3[[#This Row],[Item A]],Katalog!$B$3:$B$12,0))*cadangan3[[#This Row],[Qty A]],0)</f>
        <v>800000</v>
      </c>
      <c r="J851" s="36">
        <f>IFERROR(cadangan3[[#This Row],[Harga Asli A]]-(cadangan3[[#This Row],[Harga Asli A]]*cadangan3[[#This Row],[Diskon]]),cadangan3[[#This Row],[Harga Asli A]])</f>
        <v>800000</v>
      </c>
      <c r="K851" s="36">
        <f>INDEX(Katalog!$F$3:$F$12,MATCH(cadangan3[[#This Row],[ItemID A]],Katalog!$C$3:$C$12,0))*cadangan3[[#This Row],[Qty A]]</f>
        <v>300000</v>
      </c>
      <c r="L851" s="36">
        <f>IFERROR(cadangan3[[#This Row],[Profit A]]-(cadangan3[[#This Row],[Profit A]]*cadangan3[[#This Row],[Diskon]]),K851)</f>
        <v>300000</v>
      </c>
      <c r="M851" t="s">
        <v>65</v>
      </c>
      <c r="N851" t="str">
        <f>IFERROR(INDEX(Katalog!$A$3:$A$12,MATCH(cadangan3[[#This Row],[ItemID B]],Katalog!$C$3:$C$12,0)),"-")</f>
        <v>Sepatu Pria</v>
      </c>
      <c r="O851" t="str">
        <f>IFERROR(INDEX(Katalog!$B$3:$B$12,MATCH(cadangan3[[#This Row],[ItemID B]],Katalog!$C$3:$C$12,0)),"-")</f>
        <v>Sneakers</v>
      </c>
      <c r="P851">
        <v>1</v>
      </c>
      <c r="Q851">
        <v>2</v>
      </c>
      <c r="R851" s="36">
        <f>IFERROR(INDEX(Katalog!$D$3:$D$12,MATCH(cadangan3[[#This Row],[ItemID B]],Katalog!$C$3:$C$12,0))*cadangan3[[#This Row],[Qty B]],0)</f>
        <v>500000</v>
      </c>
      <c r="S851" s="36">
        <f>IFERROR(INDEX(Katalog!$D$3:$D$12,MATCH(cadangan3[[#This Row],[Item B]],Katalog!$B$3:$B$12,0))*cadangan3[[#This Row],[Qty B]],0)</f>
        <v>500000</v>
      </c>
      <c r="T851" s="36">
        <f>IFERROR(cadangan3[[#This Row],[Harga Asli B]]-(cadangan3[[#This Row],[Harga Asli B]]*cadangan3[[#This Row],[Diskon]]),cadangan3[[#This Row],[Harga Asli B]])</f>
        <v>500000</v>
      </c>
      <c r="U851" s="36">
        <f>IFERROR(INDEX(Katalog!$F$3:$F$12,MATCH(cadangan3[[#This Row],[ItemID B]],Katalog!$C$3:$C$12,0))*cadangan3[[#This Row],[Qty B]],0)</f>
        <v>200000</v>
      </c>
      <c r="V851" s="36">
        <f>IFERROR(cadangan3[[#This Row],[Profit B]]-(cadangan3[[#This Row],[Profit B]]*cadangan3[[#This Row],[Diskon]]),U851)</f>
        <v>200000</v>
      </c>
      <c r="W851" t="s">
        <v>63</v>
      </c>
      <c r="X851" t="str">
        <f>IFERROR(INDEX(Katalog!$A$3:$A$12,MATCH(cadangan3[[#This Row],[ItemID C]],Katalog!$C$3:$C$12,0)),"-")</f>
        <v>Pakaian Pria</v>
      </c>
      <c r="Y851" t="str">
        <f>IFERROR(INDEX(Katalog!$B$3:$B$12,MATCH(cadangan3[[#This Row],[ItemID C]],Katalog!$C$3:$C$12,0)),"-")</f>
        <v>Jaket Jeans</v>
      </c>
      <c r="Z851">
        <v>3</v>
      </c>
      <c r="AA851">
        <v>4</v>
      </c>
      <c r="AB851" s="36">
        <f>IFERROR(INDEX(Katalog!$D$3:$D$12,MATCH(cadangan3[[#This Row],[ItemID C]],Katalog!$C$3:$C$12,0))*cadangan3[[#This Row],[Qty C]],0)</f>
        <v>1200000</v>
      </c>
      <c r="AC851" s="36">
        <f>IFERROR(INDEX(Katalog!$D$3:$D$12,MATCH(cadangan3[[#This Row],[Item C]],Katalog!$B$3:$B$12,0))*cadangan3[[#This Row],[Qty C]],0)</f>
        <v>1200000</v>
      </c>
      <c r="AD851" s="36">
        <f>IFERROR(cadangan3[[#This Row],[Harga Asli C]]-(cadangan3[[#This Row],[Harga Asli C]]*cadangan3[[#This Row],[Diskon]]),cadangan3[[#This Row],[Harga Asli C]])</f>
        <v>1200000</v>
      </c>
      <c r="AE851" s="36">
        <f>IFERROR(INDEX(Katalog!$F$3:$F$12,MATCH(cadangan3[[#This Row],[ItemID C]],Katalog!$C$3:$C$12,0))*cadangan3[[#This Row],[Qty C]],0)</f>
        <v>450000</v>
      </c>
      <c r="AF851" s="36">
        <f>IFERROR(cadangan3[[#This Row],[Profit C]]-(cadangan3[[#This Row],[Profit C]]*cadangan3[[#This Row],[Diskon]]),cadangan3[[#This Row],[Profit C]])</f>
        <v>450000</v>
      </c>
      <c r="AG851" s="21">
        <f>cadangan3[[#This Row],[Qty A]]+cadangan3[[#This Row],[Qty B]]+cadangan3[[#This Row],[Qty C]]</f>
        <v>6</v>
      </c>
      <c r="AH851" s="35">
        <f>cadangan3[[#This Row],[Harga A + Diskon]]+cadangan3[[#This Row],[Harga + Diskon B]]+cadangan3[[#This Row],[Harga + Diskon C]]</f>
        <v>2500000</v>
      </c>
      <c r="AI851" s="35">
        <f>(cadangan3[[#This Row],[Profit A]]+cadangan3[[#This Row],[Profit B]]+cadangan3[[#This Row],[Profit C]])</f>
        <v>950000</v>
      </c>
      <c r="AJ851" s="35">
        <f>cadangan3[[#This Row],[Provit A + Diskon]]+cadangan3[[#This Row],[Provit B + Diskon]]+cadangan3[[#This Row],[Provit C + Diskon]]</f>
        <v>950000</v>
      </c>
      <c r="AK851" s="23" t="s">
        <v>11</v>
      </c>
      <c r="AL851" s="37" t="str">
        <f>IFERROR(INDEX('Kode Diskon'!$D$3:$D$9,MATCH(cadangan3[[#This Row],[Kode diskon]],'Kode Diskon'!$C$3:$C$9,0)),"-")</f>
        <v>-</v>
      </c>
      <c r="AM851" s="23" t="s">
        <v>11</v>
      </c>
      <c r="AN851" s="23" t="s">
        <v>10</v>
      </c>
      <c r="AO851" s="23" t="s">
        <v>76</v>
      </c>
      <c r="AP851" s="24">
        <v>45023</v>
      </c>
      <c r="AQ851" s="23" t="str">
        <f>TEXT(cadangan3[[#This Row],[Tanggal terjual]],"dddd")</f>
        <v>Friday</v>
      </c>
    </row>
    <row r="852" spans="1:43" x14ac:dyDescent="0.2">
      <c r="A852" s="20">
        <v>851</v>
      </c>
      <c r="B852" s="21" t="str">
        <f>_xlfn.CONCAT("ORD-",INDEX(Helper!$B$2:$B$5,MATCH(cadangan3[[#This Row],[Marketplace]],Helper!$A$2:$A$5,0)),TEXT(cadangan3[[#This Row],[No]],"0000"),"-",TEXT(cadangan3[[#This Row],[Tanggal terjual]],"dd/mm/yy"))</f>
        <v>ORD-BB0851-03/04/23</v>
      </c>
      <c r="C852" t="s">
        <v>59</v>
      </c>
      <c r="D852" t="str">
        <f>IFERROR(INDEX(Katalog!$A$3:$A$12,MATCH(cadangan3[[#This Row],[ItemID A]],Katalog!$C$3:$C$12,0)),"-")</f>
        <v>Pakaian Wanita</v>
      </c>
      <c r="E852" t="str">
        <f>IFERROR(INDEX(Katalog!$B$3:$B$12,MATCH(cadangan3[[#This Row],[ItemID A]],Katalog!$C$3:$C$12,0)),"-")</f>
        <v>Blouse</v>
      </c>
      <c r="F852">
        <v>2</v>
      </c>
      <c r="G852">
        <v>2</v>
      </c>
      <c r="H852" s="36">
        <f>IFERROR(INDEX(Katalog!$D$3:$D$12,MATCH(cadangan3[[#This Row],[ItemID A]],Katalog!$C$3:$C$12,0))*cadangan3[[#This Row],[Qty A]],0)</f>
        <v>300000</v>
      </c>
      <c r="I852" s="36">
        <f>IFERROR(INDEX(Katalog!$D$3:$D$12,MATCH(cadangan3[[#This Row],[Item A]],Katalog!$B$3:$B$12,0))*cadangan3[[#This Row],[Qty A]],0)</f>
        <v>300000</v>
      </c>
      <c r="J852" s="36">
        <f>IFERROR(cadangan3[[#This Row],[Harga Asli A]]-(cadangan3[[#This Row],[Harga Asli A]]*cadangan3[[#This Row],[Diskon]]),cadangan3[[#This Row],[Harga Asli A]])</f>
        <v>255000</v>
      </c>
      <c r="K852" s="36">
        <f>INDEX(Katalog!$F$3:$F$12,MATCH(cadangan3[[#This Row],[ItemID A]],Katalog!$C$3:$C$12,0))*cadangan3[[#This Row],[Qty A]]</f>
        <v>100000</v>
      </c>
      <c r="L852" s="36">
        <f>IFERROR(cadangan3[[#This Row],[Profit A]]-(cadangan3[[#This Row],[Profit A]]*cadangan3[[#This Row],[Diskon]]),K852)</f>
        <v>85000</v>
      </c>
      <c r="N852" t="str">
        <f>IFERROR(INDEX(Katalog!$A$3:$A$12,MATCH(cadangan3[[#This Row],[ItemID B]],Katalog!$C$3:$C$12,0)),"-")</f>
        <v>-</v>
      </c>
      <c r="O852" t="str">
        <f>IFERROR(INDEX(Katalog!$B$3:$B$12,MATCH(cadangan3[[#This Row],[ItemID B]],Katalog!$C$3:$C$12,0)),"-")</f>
        <v>-</v>
      </c>
      <c r="R852" s="36">
        <f>IFERROR(INDEX(Katalog!$D$3:$D$12,MATCH(cadangan3[[#This Row],[ItemID B]],Katalog!$C$3:$C$12,0))*cadangan3[[#This Row],[Qty B]],0)</f>
        <v>0</v>
      </c>
      <c r="S852" s="36">
        <f>IFERROR(INDEX(Katalog!$D$3:$D$12,MATCH(cadangan3[[#This Row],[Item B]],Katalog!$B$3:$B$12,0))*cadangan3[[#This Row],[Qty B]],0)</f>
        <v>0</v>
      </c>
      <c r="T852" s="36">
        <f>IFERROR(cadangan3[[#This Row],[Harga Asli B]]-(cadangan3[[#This Row],[Harga Asli B]]*cadangan3[[#This Row],[Diskon]]),cadangan3[[#This Row],[Harga Asli B]])</f>
        <v>0</v>
      </c>
      <c r="U852" s="36">
        <f>IFERROR(INDEX(Katalog!$F$3:$F$12,MATCH(cadangan3[[#This Row],[ItemID B]],Katalog!$C$3:$C$12,0))*cadangan3[[#This Row],[Qty B]],0)</f>
        <v>0</v>
      </c>
      <c r="V852" s="36">
        <f>IFERROR(cadangan3[[#This Row],[Profit B]]-(cadangan3[[#This Row],[Profit B]]*cadangan3[[#This Row],[Diskon]]),U852)</f>
        <v>0</v>
      </c>
      <c r="X852" t="str">
        <f>IFERROR(INDEX(Katalog!$A$3:$A$12,MATCH(cadangan3[[#This Row],[ItemID C]],Katalog!$C$3:$C$12,0)),"-")</f>
        <v>-</v>
      </c>
      <c r="Y852" t="str">
        <f>IFERROR(INDEX(Katalog!$B$3:$B$12,MATCH(cadangan3[[#This Row],[ItemID C]],Katalog!$C$3:$C$12,0)),"-")</f>
        <v>-</v>
      </c>
      <c r="AB852" s="36">
        <f>IFERROR(INDEX(Katalog!$D$3:$D$12,MATCH(cadangan3[[#This Row],[ItemID C]],Katalog!$C$3:$C$12,0))*cadangan3[[#This Row],[Qty C]],0)</f>
        <v>0</v>
      </c>
      <c r="AC852" s="36">
        <f>IFERROR(INDEX(Katalog!$D$3:$D$12,MATCH(cadangan3[[#This Row],[Item C]],Katalog!$B$3:$B$12,0))*cadangan3[[#This Row],[Qty C]],0)</f>
        <v>0</v>
      </c>
      <c r="AD852" s="36">
        <f>IFERROR(cadangan3[[#This Row],[Harga Asli C]]-(cadangan3[[#This Row],[Harga Asli C]]*cadangan3[[#This Row],[Diskon]]),cadangan3[[#This Row],[Harga Asli C]])</f>
        <v>0</v>
      </c>
      <c r="AE852" s="36">
        <f>IFERROR(INDEX(Katalog!$F$3:$F$12,MATCH(cadangan3[[#This Row],[ItemID C]],Katalog!$C$3:$C$12,0))*cadangan3[[#This Row],[Qty C]],0)</f>
        <v>0</v>
      </c>
      <c r="AF852" s="36">
        <f>IFERROR(cadangan3[[#This Row],[Profit C]]-(cadangan3[[#This Row],[Profit C]]*cadangan3[[#This Row],[Diskon]]),cadangan3[[#This Row],[Profit C]])</f>
        <v>0</v>
      </c>
      <c r="AG852" s="21">
        <f>cadangan3[[#This Row],[Qty A]]+cadangan3[[#This Row],[Qty B]]+cadangan3[[#This Row],[Qty C]]</f>
        <v>2</v>
      </c>
      <c r="AH852" s="35">
        <f>cadangan3[[#This Row],[Harga A + Diskon]]+cadangan3[[#This Row],[Harga + Diskon B]]+cadangan3[[#This Row],[Harga + Diskon C]]</f>
        <v>255000</v>
      </c>
      <c r="AI852" s="35">
        <f>(cadangan3[[#This Row],[Profit A]]+cadangan3[[#This Row],[Profit B]]+cadangan3[[#This Row],[Profit C]])</f>
        <v>100000</v>
      </c>
      <c r="AJ852" s="35">
        <f>cadangan3[[#This Row],[Provit A + Diskon]]+cadangan3[[#This Row],[Provit B + Diskon]]+cadangan3[[#This Row],[Provit C + Diskon]]</f>
        <v>85000</v>
      </c>
      <c r="AK852" s="23" t="s">
        <v>28</v>
      </c>
      <c r="AL852" s="37">
        <f>IFERROR(INDEX('Kode Diskon'!$D$3:$D$9,MATCH(cadangan3[[#This Row],[Kode diskon]],'Kode Diskon'!$C$3:$C$9,0)),"-")</f>
        <v>0.15</v>
      </c>
      <c r="AM852" s="23" t="s">
        <v>29</v>
      </c>
      <c r="AN852" s="23" t="s">
        <v>14</v>
      </c>
      <c r="AO852" s="23" t="s">
        <v>76</v>
      </c>
      <c r="AP852" s="24">
        <v>45019</v>
      </c>
      <c r="AQ852" s="23" t="str">
        <f>TEXT(cadangan3[[#This Row],[Tanggal terjual]],"dddd")</f>
        <v>Monday</v>
      </c>
    </row>
    <row r="853" spans="1:43" x14ac:dyDescent="0.2">
      <c r="A853" s="20">
        <v>852</v>
      </c>
      <c r="B853" s="21" t="str">
        <f>_xlfn.CONCAT("ORD-",INDEX(Helper!$B$2:$B$5,MATCH(cadangan3[[#This Row],[Marketplace]],Helper!$A$2:$A$5,0)),TEXT(cadangan3[[#This Row],[No]],"0000"),"-",TEXT(cadangan3[[#This Row],[Tanggal terjual]],"dd/mm/yy"))</f>
        <v>ORD-BB0852-05/04/23</v>
      </c>
      <c r="C853" t="s">
        <v>64</v>
      </c>
      <c r="D853" t="str">
        <f>IFERROR(INDEX(Katalog!$A$3:$A$12,MATCH(cadangan3[[#This Row],[ItemID A]],Katalog!$C$3:$C$12,0)),"-")</f>
        <v>Pakaian Unisex</v>
      </c>
      <c r="E853" t="str">
        <f>IFERROR(INDEX(Katalog!$B$3:$B$12,MATCH(cadangan3[[#This Row],[ItemID A]],Katalog!$C$3:$C$12,0)),"-")</f>
        <v>Jaket Hoodie</v>
      </c>
      <c r="F853">
        <v>1</v>
      </c>
      <c r="G853">
        <v>2</v>
      </c>
      <c r="H853" s="36">
        <f>IFERROR(INDEX(Katalog!$D$3:$D$12,MATCH(cadangan3[[#This Row],[ItemID A]],Katalog!$C$3:$C$12,0))*cadangan3[[#This Row],[Qty A]],0)</f>
        <v>350000</v>
      </c>
      <c r="I853" s="36">
        <f>IFERROR(INDEX(Katalog!$D$3:$D$12,MATCH(cadangan3[[#This Row],[Item A]],Katalog!$B$3:$B$12,0))*cadangan3[[#This Row],[Qty A]],0)</f>
        <v>350000</v>
      </c>
      <c r="J853" s="36">
        <f>IFERROR(cadangan3[[#This Row],[Harga Asli A]]-(cadangan3[[#This Row],[Harga Asli A]]*cadangan3[[#This Row],[Diskon]]),cadangan3[[#This Row],[Harga Asli A]])</f>
        <v>297500</v>
      </c>
      <c r="K853" s="36">
        <f>INDEX(Katalog!$F$3:$F$12,MATCH(cadangan3[[#This Row],[ItemID A]],Katalog!$C$3:$C$12,0))*cadangan3[[#This Row],[Qty A]]</f>
        <v>130000</v>
      </c>
      <c r="L853" s="36">
        <f>IFERROR(cadangan3[[#This Row],[Profit A]]-(cadangan3[[#This Row],[Profit A]]*cadangan3[[#This Row],[Diskon]]),K853)</f>
        <v>110500</v>
      </c>
      <c r="M853" t="s">
        <v>63</v>
      </c>
      <c r="N853" t="str">
        <f>IFERROR(INDEX(Katalog!$A$3:$A$12,MATCH(cadangan3[[#This Row],[ItemID B]],Katalog!$C$3:$C$12,0)),"-")</f>
        <v>Pakaian Pria</v>
      </c>
      <c r="O853" t="str">
        <f>IFERROR(INDEX(Katalog!$B$3:$B$12,MATCH(cadangan3[[#This Row],[ItemID B]],Katalog!$C$3:$C$12,0)),"-")</f>
        <v>Jaket Jeans</v>
      </c>
      <c r="P853">
        <v>3</v>
      </c>
      <c r="Q853">
        <v>3</v>
      </c>
      <c r="R853" s="36">
        <f>IFERROR(INDEX(Katalog!$D$3:$D$12,MATCH(cadangan3[[#This Row],[ItemID B]],Katalog!$C$3:$C$12,0))*cadangan3[[#This Row],[Qty B]],0)</f>
        <v>1200000</v>
      </c>
      <c r="S853" s="36">
        <f>IFERROR(INDEX(Katalog!$D$3:$D$12,MATCH(cadangan3[[#This Row],[Item B]],Katalog!$B$3:$B$12,0))*cadangan3[[#This Row],[Qty B]],0)</f>
        <v>1200000</v>
      </c>
      <c r="T853" s="36">
        <f>IFERROR(cadangan3[[#This Row],[Harga Asli B]]-(cadangan3[[#This Row],[Harga Asli B]]*cadangan3[[#This Row],[Diskon]]),cadangan3[[#This Row],[Harga Asli B]])</f>
        <v>1020000</v>
      </c>
      <c r="U853" s="36">
        <f>IFERROR(INDEX(Katalog!$F$3:$F$12,MATCH(cadangan3[[#This Row],[ItemID B]],Katalog!$C$3:$C$12,0))*cadangan3[[#This Row],[Qty B]],0)</f>
        <v>450000</v>
      </c>
      <c r="V853" s="36">
        <f>IFERROR(cadangan3[[#This Row],[Profit B]]-(cadangan3[[#This Row],[Profit B]]*cadangan3[[#This Row],[Diskon]]),U853)</f>
        <v>382500</v>
      </c>
      <c r="W853" t="s">
        <v>67</v>
      </c>
      <c r="X853" t="str">
        <f>IFERROR(INDEX(Katalog!$A$3:$A$12,MATCH(cadangan3[[#This Row],[ItemID C]],Katalog!$C$3:$C$12,0)),"-")</f>
        <v>Sepatu Wanita</v>
      </c>
      <c r="Y853" t="str">
        <f>IFERROR(INDEX(Katalog!$B$3:$B$12,MATCH(cadangan3[[#This Row],[ItemID C]],Katalog!$C$3:$C$12,0)),"-")</f>
        <v>Flat Shoes</v>
      </c>
      <c r="Z853">
        <v>3</v>
      </c>
      <c r="AA853">
        <v>1</v>
      </c>
      <c r="AB853" s="36">
        <f>IFERROR(INDEX(Katalog!$D$3:$D$12,MATCH(cadangan3[[#This Row],[ItemID C]],Katalog!$C$3:$C$12,0))*cadangan3[[#This Row],[Qty C]],0)</f>
        <v>750000</v>
      </c>
      <c r="AC853" s="36">
        <f>IFERROR(INDEX(Katalog!$D$3:$D$12,MATCH(cadangan3[[#This Row],[Item C]],Katalog!$B$3:$B$12,0))*cadangan3[[#This Row],[Qty C]],0)</f>
        <v>750000</v>
      </c>
      <c r="AD853" s="36">
        <f>IFERROR(cadangan3[[#This Row],[Harga Asli C]]-(cadangan3[[#This Row],[Harga Asli C]]*cadangan3[[#This Row],[Diskon]]),cadangan3[[#This Row],[Harga Asli C]])</f>
        <v>637500</v>
      </c>
      <c r="AE853" s="36">
        <f>IFERROR(INDEX(Katalog!$F$3:$F$12,MATCH(cadangan3[[#This Row],[ItemID C]],Katalog!$C$3:$C$12,0))*cadangan3[[#This Row],[Qty C]],0)</f>
        <v>300000</v>
      </c>
      <c r="AF853" s="36">
        <f>IFERROR(cadangan3[[#This Row],[Profit C]]-(cadangan3[[#This Row],[Profit C]]*cadangan3[[#This Row],[Diskon]]),cadangan3[[#This Row],[Profit C]])</f>
        <v>255000</v>
      </c>
      <c r="AG853" s="21">
        <f>cadangan3[[#This Row],[Qty A]]+cadangan3[[#This Row],[Qty B]]+cadangan3[[#This Row],[Qty C]]</f>
        <v>7</v>
      </c>
      <c r="AH853" s="35">
        <f>cadangan3[[#This Row],[Harga A + Diskon]]+cadangan3[[#This Row],[Harga + Diskon B]]+cadangan3[[#This Row],[Harga + Diskon C]]</f>
        <v>1955000</v>
      </c>
      <c r="AI853" s="35">
        <f>(cadangan3[[#This Row],[Profit A]]+cadangan3[[#This Row],[Profit B]]+cadangan3[[#This Row],[Profit C]])</f>
        <v>880000</v>
      </c>
      <c r="AJ853" s="35">
        <f>cadangan3[[#This Row],[Provit A + Diskon]]+cadangan3[[#This Row],[Provit B + Diskon]]+cadangan3[[#This Row],[Provit C + Diskon]]</f>
        <v>748000</v>
      </c>
      <c r="AK853" s="23" t="s">
        <v>28</v>
      </c>
      <c r="AL853" s="37">
        <f>IFERROR(INDEX('Kode Diskon'!$D$3:$D$9,MATCH(cadangan3[[#This Row],[Kode diskon]],'Kode Diskon'!$C$3:$C$9,0)),"-")</f>
        <v>0.15</v>
      </c>
      <c r="AM853" s="23" t="s">
        <v>29</v>
      </c>
      <c r="AN853" s="23" t="s">
        <v>14</v>
      </c>
      <c r="AO853" s="23" t="s">
        <v>80</v>
      </c>
      <c r="AP853" s="24">
        <v>45021</v>
      </c>
      <c r="AQ853" s="23" t="str">
        <f>TEXT(cadangan3[[#This Row],[Tanggal terjual]],"dddd")</f>
        <v>Wednesday</v>
      </c>
    </row>
    <row r="854" spans="1:43" x14ac:dyDescent="0.2">
      <c r="A854" s="20">
        <v>853</v>
      </c>
      <c r="B854" s="21" t="str">
        <f>_xlfn.CONCAT("ORD-",INDEX(Helper!$B$2:$B$5,MATCH(cadangan3[[#This Row],[Marketplace]],Helper!$A$2:$A$5,0)),TEXT(cadangan3[[#This Row],[No]],"0000"),"-",TEXT(cadangan3[[#This Row],[Tanggal terjual]],"dd/mm/yy"))</f>
        <v>ORD-TK0853-01/04/23</v>
      </c>
      <c r="C854" t="s">
        <v>64</v>
      </c>
      <c r="D854" t="str">
        <f>IFERROR(INDEX(Katalog!$A$3:$A$12,MATCH(cadangan3[[#This Row],[ItemID A]],Katalog!$C$3:$C$12,0)),"-")</f>
        <v>Pakaian Unisex</v>
      </c>
      <c r="E854" t="str">
        <f>IFERROR(INDEX(Katalog!$B$3:$B$12,MATCH(cadangan3[[#This Row],[ItemID A]],Katalog!$C$3:$C$12,0)),"-")</f>
        <v>Jaket Hoodie</v>
      </c>
      <c r="F854">
        <v>2</v>
      </c>
      <c r="G854">
        <v>4</v>
      </c>
      <c r="H854" s="36">
        <f>IFERROR(INDEX(Katalog!$D$3:$D$12,MATCH(cadangan3[[#This Row],[ItemID A]],Katalog!$C$3:$C$12,0))*cadangan3[[#This Row],[Qty A]],0)</f>
        <v>700000</v>
      </c>
      <c r="I854" s="36">
        <f>IFERROR(INDEX(Katalog!$D$3:$D$12,MATCH(cadangan3[[#This Row],[Item A]],Katalog!$B$3:$B$12,0))*cadangan3[[#This Row],[Qty A]],0)</f>
        <v>700000</v>
      </c>
      <c r="J854" s="36">
        <f>IFERROR(cadangan3[[#This Row],[Harga Asli A]]-(cadangan3[[#This Row],[Harga Asli A]]*cadangan3[[#This Row],[Diskon]]),cadangan3[[#This Row],[Harga Asli A]])</f>
        <v>630000</v>
      </c>
      <c r="K854" s="36">
        <f>INDEX(Katalog!$F$3:$F$12,MATCH(cadangan3[[#This Row],[ItemID A]],Katalog!$C$3:$C$12,0))*cadangan3[[#This Row],[Qty A]]</f>
        <v>260000</v>
      </c>
      <c r="L854" s="36">
        <f>IFERROR(cadangan3[[#This Row],[Profit A]]-(cadangan3[[#This Row],[Profit A]]*cadangan3[[#This Row],[Diskon]]),K854)</f>
        <v>234000</v>
      </c>
      <c r="N854" t="str">
        <f>IFERROR(INDEX(Katalog!$A$3:$A$12,MATCH(cadangan3[[#This Row],[ItemID B]],Katalog!$C$3:$C$12,0)),"-")</f>
        <v>-</v>
      </c>
      <c r="O854" t="str">
        <f>IFERROR(INDEX(Katalog!$B$3:$B$12,MATCH(cadangan3[[#This Row],[ItemID B]],Katalog!$C$3:$C$12,0)),"-")</f>
        <v>-</v>
      </c>
      <c r="R854" s="36">
        <f>IFERROR(INDEX(Katalog!$D$3:$D$12,MATCH(cadangan3[[#This Row],[ItemID B]],Katalog!$C$3:$C$12,0))*cadangan3[[#This Row],[Qty B]],0)</f>
        <v>0</v>
      </c>
      <c r="S854" s="36">
        <f>IFERROR(INDEX(Katalog!$D$3:$D$12,MATCH(cadangan3[[#This Row],[Item B]],Katalog!$B$3:$B$12,0))*cadangan3[[#This Row],[Qty B]],0)</f>
        <v>0</v>
      </c>
      <c r="T854" s="36">
        <f>IFERROR(cadangan3[[#This Row],[Harga Asli B]]-(cadangan3[[#This Row],[Harga Asli B]]*cadangan3[[#This Row],[Diskon]]),cadangan3[[#This Row],[Harga Asli B]])</f>
        <v>0</v>
      </c>
      <c r="U854" s="36">
        <f>IFERROR(INDEX(Katalog!$F$3:$F$12,MATCH(cadangan3[[#This Row],[ItemID B]],Katalog!$C$3:$C$12,0))*cadangan3[[#This Row],[Qty B]],0)</f>
        <v>0</v>
      </c>
      <c r="V854" s="36">
        <f>IFERROR(cadangan3[[#This Row],[Profit B]]-(cadangan3[[#This Row],[Profit B]]*cadangan3[[#This Row],[Diskon]]),U854)</f>
        <v>0</v>
      </c>
      <c r="X854" t="str">
        <f>IFERROR(INDEX(Katalog!$A$3:$A$12,MATCH(cadangan3[[#This Row],[ItemID C]],Katalog!$C$3:$C$12,0)),"-")</f>
        <v>-</v>
      </c>
      <c r="Y854" t="str">
        <f>IFERROR(INDEX(Katalog!$B$3:$B$12,MATCH(cadangan3[[#This Row],[ItemID C]],Katalog!$C$3:$C$12,0)),"-")</f>
        <v>-</v>
      </c>
      <c r="AB854" s="36">
        <f>IFERROR(INDEX(Katalog!$D$3:$D$12,MATCH(cadangan3[[#This Row],[ItemID C]],Katalog!$C$3:$C$12,0))*cadangan3[[#This Row],[Qty C]],0)</f>
        <v>0</v>
      </c>
      <c r="AC854" s="36">
        <f>IFERROR(INDEX(Katalog!$D$3:$D$12,MATCH(cadangan3[[#This Row],[Item C]],Katalog!$B$3:$B$12,0))*cadangan3[[#This Row],[Qty C]],0)</f>
        <v>0</v>
      </c>
      <c r="AD854" s="36">
        <f>IFERROR(cadangan3[[#This Row],[Harga Asli C]]-(cadangan3[[#This Row],[Harga Asli C]]*cadangan3[[#This Row],[Diskon]]),cadangan3[[#This Row],[Harga Asli C]])</f>
        <v>0</v>
      </c>
      <c r="AE854" s="36">
        <f>IFERROR(INDEX(Katalog!$F$3:$F$12,MATCH(cadangan3[[#This Row],[ItemID C]],Katalog!$C$3:$C$12,0))*cadangan3[[#This Row],[Qty C]],0)</f>
        <v>0</v>
      </c>
      <c r="AF854" s="36">
        <f>IFERROR(cadangan3[[#This Row],[Profit C]]-(cadangan3[[#This Row],[Profit C]]*cadangan3[[#This Row],[Diskon]]),cadangan3[[#This Row],[Profit C]])</f>
        <v>0</v>
      </c>
      <c r="AG854" s="21">
        <f>cadangan3[[#This Row],[Qty A]]+cadangan3[[#This Row],[Qty B]]+cadangan3[[#This Row],[Qty C]]</f>
        <v>2</v>
      </c>
      <c r="AH854" s="35">
        <f>cadangan3[[#This Row],[Harga A + Diskon]]+cadangan3[[#This Row],[Harga + Diskon B]]+cadangan3[[#This Row],[Harga + Diskon C]]</f>
        <v>630000</v>
      </c>
      <c r="AI854" s="35">
        <f>(cadangan3[[#This Row],[Profit A]]+cadangan3[[#This Row],[Profit B]]+cadangan3[[#This Row],[Profit C]])</f>
        <v>260000</v>
      </c>
      <c r="AJ854" s="35">
        <f>cadangan3[[#This Row],[Provit A + Diskon]]+cadangan3[[#This Row],[Provit B + Diskon]]+cadangan3[[#This Row],[Provit C + Diskon]]</f>
        <v>234000</v>
      </c>
      <c r="AK854" s="23" t="s">
        <v>30</v>
      </c>
      <c r="AL854" s="37">
        <f>IFERROR(INDEX('Kode Diskon'!$D$3:$D$9,MATCH(cadangan3[[#This Row],[Kode diskon]],'Kode Diskon'!$C$3:$C$9,0)),"-")</f>
        <v>0.1</v>
      </c>
      <c r="AM854" s="23" t="s">
        <v>29</v>
      </c>
      <c r="AN854" s="23" t="s">
        <v>10</v>
      </c>
      <c r="AO854" s="23" t="s">
        <v>80</v>
      </c>
      <c r="AP854" s="24">
        <v>45017</v>
      </c>
      <c r="AQ854" s="23" t="str">
        <f>TEXT(cadangan3[[#This Row],[Tanggal terjual]],"dddd")</f>
        <v>Saturday</v>
      </c>
    </row>
    <row r="855" spans="1:43" x14ac:dyDescent="0.2">
      <c r="A855" s="20">
        <v>854</v>
      </c>
      <c r="B855" s="21" t="str">
        <f>_xlfn.CONCAT("ORD-",INDEX(Helper!$B$2:$B$5,MATCH(cadangan3[[#This Row],[Marketplace]],Helper!$A$2:$A$5,0)),TEXT(cadangan3[[#This Row],[No]],"0000"),"-",TEXT(cadangan3[[#This Row],[Tanggal terjual]],"dd/mm/yy"))</f>
        <v>ORD-TK0854-04/04/23</v>
      </c>
      <c r="C855" t="s">
        <v>60</v>
      </c>
      <c r="D855" t="str">
        <f>IFERROR(INDEX(Katalog!$A$3:$A$12,MATCH(cadangan3[[#This Row],[ItemID A]],Katalog!$C$3:$C$12,0)),"-")</f>
        <v>Pakaian Wanita</v>
      </c>
      <c r="E855" t="str">
        <f>IFERROR(INDEX(Katalog!$B$3:$B$12,MATCH(cadangan3[[#This Row],[ItemID A]],Katalog!$C$3:$C$12,0)),"-")</f>
        <v>Kaftan</v>
      </c>
      <c r="F855">
        <v>1</v>
      </c>
      <c r="G855">
        <v>4</v>
      </c>
      <c r="H855" s="36">
        <f>IFERROR(INDEX(Katalog!$D$3:$D$12,MATCH(cadangan3[[#This Row],[ItemID A]],Katalog!$C$3:$C$12,0))*cadangan3[[#This Row],[Qty A]],0)</f>
        <v>250000</v>
      </c>
      <c r="I855" s="36">
        <f>IFERROR(INDEX(Katalog!$D$3:$D$12,MATCH(cadangan3[[#This Row],[Item A]],Katalog!$B$3:$B$12,0))*cadangan3[[#This Row],[Qty A]],0)</f>
        <v>250000</v>
      </c>
      <c r="J855" s="36">
        <f>IFERROR(cadangan3[[#This Row],[Harga Asli A]]-(cadangan3[[#This Row],[Harga Asli A]]*cadangan3[[#This Row],[Diskon]]),cadangan3[[#This Row],[Harga Asli A]])</f>
        <v>225000</v>
      </c>
      <c r="K855" s="36">
        <f>INDEX(Katalog!$F$3:$F$12,MATCH(cadangan3[[#This Row],[ItemID A]],Katalog!$C$3:$C$12,0))*cadangan3[[#This Row],[Qty A]]</f>
        <v>100000</v>
      </c>
      <c r="L855" s="36">
        <f>IFERROR(cadangan3[[#This Row],[Profit A]]-(cadangan3[[#This Row],[Profit A]]*cadangan3[[#This Row],[Diskon]]),K855)</f>
        <v>90000</v>
      </c>
      <c r="N855" t="str">
        <f>IFERROR(INDEX(Katalog!$A$3:$A$12,MATCH(cadangan3[[#This Row],[ItemID B]],Katalog!$C$3:$C$12,0)),"-")</f>
        <v>-</v>
      </c>
      <c r="O855" t="str">
        <f>IFERROR(INDEX(Katalog!$B$3:$B$12,MATCH(cadangan3[[#This Row],[ItemID B]],Katalog!$C$3:$C$12,0)),"-")</f>
        <v>-</v>
      </c>
      <c r="R855" s="36">
        <f>IFERROR(INDEX(Katalog!$D$3:$D$12,MATCH(cadangan3[[#This Row],[ItemID B]],Katalog!$C$3:$C$12,0))*cadangan3[[#This Row],[Qty B]],0)</f>
        <v>0</v>
      </c>
      <c r="S855" s="36">
        <f>IFERROR(INDEX(Katalog!$D$3:$D$12,MATCH(cadangan3[[#This Row],[Item B]],Katalog!$B$3:$B$12,0))*cadangan3[[#This Row],[Qty B]],0)</f>
        <v>0</v>
      </c>
      <c r="T855" s="36">
        <f>IFERROR(cadangan3[[#This Row],[Harga Asli B]]-(cadangan3[[#This Row],[Harga Asli B]]*cadangan3[[#This Row],[Diskon]]),cadangan3[[#This Row],[Harga Asli B]])</f>
        <v>0</v>
      </c>
      <c r="U855" s="36">
        <f>IFERROR(INDEX(Katalog!$F$3:$F$12,MATCH(cadangan3[[#This Row],[ItemID B]],Katalog!$C$3:$C$12,0))*cadangan3[[#This Row],[Qty B]],0)</f>
        <v>0</v>
      </c>
      <c r="V855" s="36">
        <f>IFERROR(cadangan3[[#This Row],[Profit B]]-(cadangan3[[#This Row],[Profit B]]*cadangan3[[#This Row],[Diskon]]),U855)</f>
        <v>0</v>
      </c>
      <c r="X855" t="str">
        <f>IFERROR(INDEX(Katalog!$A$3:$A$12,MATCH(cadangan3[[#This Row],[ItemID C]],Katalog!$C$3:$C$12,0)),"-")</f>
        <v>-</v>
      </c>
      <c r="Y855" t="str">
        <f>IFERROR(INDEX(Katalog!$B$3:$B$12,MATCH(cadangan3[[#This Row],[ItemID C]],Katalog!$C$3:$C$12,0)),"-")</f>
        <v>-</v>
      </c>
      <c r="AB855" s="36">
        <f>IFERROR(INDEX(Katalog!$D$3:$D$12,MATCH(cadangan3[[#This Row],[ItemID C]],Katalog!$C$3:$C$12,0))*cadangan3[[#This Row],[Qty C]],0)</f>
        <v>0</v>
      </c>
      <c r="AC855" s="36">
        <f>IFERROR(INDEX(Katalog!$D$3:$D$12,MATCH(cadangan3[[#This Row],[Item C]],Katalog!$B$3:$B$12,0))*cadangan3[[#This Row],[Qty C]],0)</f>
        <v>0</v>
      </c>
      <c r="AD855" s="36">
        <f>IFERROR(cadangan3[[#This Row],[Harga Asli C]]-(cadangan3[[#This Row],[Harga Asli C]]*cadangan3[[#This Row],[Diskon]]),cadangan3[[#This Row],[Harga Asli C]])</f>
        <v>0</v>
      </c>
      <c r="AE855" s="36">
        <f>IFERROR(INDEX(Katalog!$F$3:$F$12,MATCH(cadangan3[[#This Row],[ItemID C]],Katalog!$C$3:$C$12,0))*cadangan3[[#This Row],[Qty C]],0)</f>
        <v>0</v>
      </c>
      <c r="AF855" s="36">
        <f>IFERROR(cadangan3[[#This Row],[Profit C]]-(cadangan3[[#This Row],[Profit C]]*cadangan3[[#This Row],[Diskon]]),cadangan3[[#This Row],[Profit C]])</f>
        <v>0</v>
      </c>
      <c r="AG855" s="21">
        <f>cadangan3[[#This Row],[Qty A]]+cadangan3[[#This Row],[Qty B]]+cadangan3[[#This Row],[Qty C]]</f>
        <v>1</v>
      </c>
      <c r="AH855" s="35">
        <f>cadangan3[[#This Row],[Harga A + Diskon]]+cadangan3[[#This Row],[Harga + Diskon B]]+cadangan3[[#This Row],[Harga + Diskon C]]</f>
        <v>225000</v>
      </c>
      <c r="AI855" s="35">
        <f>(cadangan3[[#This Row],[Profit A]]+cadangan3[[#This Row],[Profit B]]+cadangan3[[#This Row],[Profit C]])</f>
        <v>100000</v>
      </c>
      <c r="AJ855" s="35">
        <f>cadangan3[[#This Row],[Provit A + Diskon]]+cadangan3[[#This Row],[Provit B + Diskon]]+cadangan3[[#This Row],[Provit C + Diskon]]</f>
        <v>90000</v>
      </c>
      <c r="AK855" s="23" t="s">
        <v>30</v>
      </c>
      <c r="AL855" s="37">
        <f>IFERROR(INDEX('Kode Diskon'!$D$3:$D$9,MATCH(cadangan3[[#This Row],[Kode diskon]],'Kode Diskon'!$C$3:$C$9,0)),"-")</f>
        <v>0.1</v>
      </c>
      <c r="AM855" s="23" t="s">
        <v>29</v>
      </c>
      <c r="AN855" s="23" t="s">
        <v>10</v>
      </c>
      <c r="AO855" s="23" t="s">
        <v>80</v>
      </c>
      <c r="AP855" s="24">
        <v>45020</v>
      </c>
      <c r="AQ855" s="23" t="str">
        <f>TEXT(cadangan3[[#This Row],[Tanggal terjual]],"dddd")</f>
        <v>Tuesday</v>
      </c>
    </row>
    <row r="856" spans="1:43" x14ac:dyDescent="0.2">
      <c r="A856" s="20">
        <v>855</v>
      </c>
      <c r="B856" s="21" t="str">
        <f>_xlfn.CONCAT("ORD-",INDEX(Helper!$B$2:$B$5,MATCH(cadangan3[[#This Row],[Marketplace]],Helper!$A$2:$A$5,0)),TEXT(cadangan3[[#This Row],[No]],"0000"),"-",TEXT(cadangan3[[#This Row],[Tanggal terjual]],"dd/mm/yy"))</f>
        <v>ORD-BB0855-04/04/23</v>
      </c>
      <c r="C856" t="s">
        <v>61</v>
      </c>
      <c r="D856" t="str">
        <f>IFERROR(INDEX(Katalog!$A$3:$A$12,MATCH(cadangan3[[#This Row],[ItemID A]],Katalog!$C$3:$C$12,0)),"-")</f>
        <v>Pakaian Pria</v>
      </c>
      <c r="E856" t="str">
        <f>IFERROR(INDEX(Katalog!$B$3:$B$12,MATCH(cadangan3[[#This Row],[ItemID A]],Katalog!$C$3:$C$12,0)),"-")</f>
        <v>Kaos Polo</v>
      </c>
      <c r="F856">
        <v>2</v>
      </c>
      <c r="G856">
        <v>3</v>
      </c>
      <c r="H856" s="36">
        <f>IFERROR(INDEX(Katalog!$D$3:$D$12,MATCH(cadangan3[[#This Row],[ItemID A]],Katalog!$C$3:$C$12,0))*cadangan3[[#This Row],[Qty A]],0)</f>
        <v>400000</v>
      </c>
      <c r="I856" s="36">
        <f>IFERROR(INDEX(Katalog!$D$3:$D$12,MATCH(cadangan3[[#This Row],[Item A]],Katalog!$B$3:$B$12,0))*cadangan3[[#This Row],[Qty A]],0)</f>
        <v>400000</v>
      </c>
      <c r="J856" s="36">
        <f>IFERROR(cadangan3[[#This Row],[Harga Asli A]]-(cadangan3[[#This Row],[Harga Asli A]]*cadangan3[[#This Row],[Diskon]]),cadangan3[[#This Row],[Harga Asli A]])</f>
        <v>340000</v>
      </c>
      <c r="K856" s="36">
        <f>INDEX(Katalog!$F$3:$F$12,MATCH(cadangan3[[#This Row],[ItemID A]],Katalog!$C$3:$C$12,0))*cadangan3[[#This Row],[Qty A]]</f>
        <v>160000</v>
      </c>
      <c r="L856" s="36">
        <f>IFERROR(cadangan3[[#This Row],[Profit A]]-(cadangan3[[#This Row],[Profit A]]*cadangan3[[#This Row],[Diskon]]),K856)</f>
        <v>136000</v>
      </c>
      <c r="M856" t="s">
        <v>67</v>
      </c>
      <c r="N856" t="str">
        <f>IFERROR(INDEX(Katalog!$A$3:$A$12,MATCH(cadangan3[[#This Row],[ItemID B]],Katalog!$C$3:$C$12,0)),"-")</f>
        <v>Sepatu Wanita</v>
      </c>
      <c r="O856" t="str">
        <f>IFERROR(INDEX(Katalog!$B$3:$B$12,MATCH(cadangan3[[#This Row],[ItemID B]],Katalog!$C$3:$C$12,0)),"-")</f>
        <v>Flat Shoes</v>
      </c>
      <c r="P856">
        <v>2</v>
      </c>
      <c r="Q856">
        <v>5</v>
      </c>
      <c r="R856" s="36">
        <f>IFERROR(INDEX(Katalog!$D$3:$D$12,MATCH(cadangan3[[#This Row],[ItemID B]],Katalog!$C$3:$C$12,0))*cadangan3[[#This Row],[Qty B]],0)</f>
        <v>500000</v>
      </c>
      <c r="S856" s="36">
        <f>IFERROR(INDEX(Katalog!$D$3:$D$12,MATCH(cadangan3[[#This Row],[Item B]],Katalog!$B$3:$B$12,0))*cadangan3[[#This Row],[Qty B]],0)</f>
        <v>500000</v>
      </c>
      <c r="T856" s="36">
        <f>IFERROR(cadangan3[[#This Row],[Harga Asli B]]-(cadangan3[[#This Row],[Harga Asli B]]*cadangan3[[#This Row],[Diskon]]),cadangan3[[#This Row],[Harga Asli B]])</f>
        <v>425000</v>
      </c>
      <c r="U856" s="36">
        <f>IFERROR(INDEX(Katalog!$F$3:$F$12,MATCH(cadangan3[[#This Row],[ItemID B]],Katalog!$C$3:$C$12,0))*cadangan3[[#This Row],[Qty B]],0)</f>
        <v>200000</v>
      </c>
      <c r="V856" s="36">
        <f>IFERROR(cadangan3[[#This Row],[Profit B]]-(cadangan3[[#This Row],[Profit B]]*cadangan3[[#This Row],[Diskon]]),U856)</f>
        <v>170000</v>
      </c>
      <c r="X856" t="str">
        <f>IFERROR(INDEX(Katalog!$A$3:$A$12,MATCH(cadangan3[[#This Row],[ItemID C]],Katalog!$C$3:$C$12,0)),"-")</f>
        <v>-</v>
      </c>
      <c r="Y856" t="str">
        <f>IFERROR(INDEX(Katalog!$B$3:$B$12,MATCH(cadangan3[[#This Row],[ItemID C]],Katalog!$C$3:$C$12,0)),"-")</f>
        <v>-</v>
      </c>
      <c r="AB856" s="36">
        <f>IFERROR(INDEX(Katalog!$D$3:$D$12,MATCH(cadangan3[[#This Row],[ItemID C]],Katalog!$C$3:$C$12,0))*cadangan3[[#This Row],[Qty C]],0)</f>
        <v>0</v>
      </c>
      <c r="AC856" s="36">
        <f>IFERROR(INDEX(Katalog!$D$3:$D$12,MATCH(cadangan3[[#This Row],[Item C]],Katalog!$B$3:$B$12,0))*cadangan3[[#This Row],[Qty C]],0)</f>
        <v>0</v>
      </c>
      <c r="AD856" s="36">
        <f>IFERROR(cadangan3[[#This Row],[Harga Asli C]]-(cadangan3[[#This Row],[Harga Asli C]]*cadangan3[[#This Row],[Diskon]]),cadangan3[[#This Row],[Harga Asli C]])</f>
        <v>0</v>
      </c>
      <c r="AE856" s="36">
        <f>IFERROR(INDEX(Katalog!$F$3:$F$12,MATCH(cadangan3[[#This Row],[ItemID C]],Katalog!$C$3:$C$12,0))*cadangan3[[#This Row],[Qty C]],0)</f>
        <v>0</v>
      </c>
      <c r="AF856" s="36">
        <f>IFERROR(cadangan3[[#This Row],[Profit C]]-(cadangan3[[#This Row],[Profit C]]*cadangan3[[#This Row],[Diskon]]),cadangan3[[#This Row],[Profit C]])</f>
        <v>0</v>
      </c>
      <c r="AG856" s="21">
        <f>cadangan3[[#This Row],[Qty A]]+cadangan3[[#This Row],[Qty B]]+cadangan3[[#This Row],[Qty C]]</f>
        <v>4</v>
      </c>
      <c r="AH856" s="35">
        <f>cadangan3[[#This Row],[Harga A + Diskon]]+cadangan3[[#This Row],[Harga + Diskon B]]+cadangan3[[#This Row],[Harga + Diskon C]]</f>
        <v>765000</v>
      </c>
      <c r="AI856" s="35">
        <f>(cadangan3[[#This Row],[Profit A]]+cadangan3[[#This Row],[Profit B]]+cadangan3[[#This Row],[Profit C]])</f>
        <v>360000</v>
      </c>
      <c r="AJ856" s="35">
        <f>cadangan3[[#This Row],[Provit A + Diskon]]+cadangan3[[#This Row],[Provit B + Diskon]]+cadangan3[[#This Row],[Provit C + Diskon]]</f>
        <v>306000</v>
      </c>
      <c r="AK856" s="23" t="s">
        <v>28</v>
      </c>
      <c r="AL856" s="37">
        <f>IFERROR(INDEX('Kode Diskon'!$D$3:$D$9,MATCH(cadangan3[[#This Row],[Kode diskon]],'Kode Diskon'!$C$3:$C$9,0)),"-")</f>
        <v>0.15</v>
      </c>
      <c r="AM856" s="23" t="s">
        <v>29</v>
      </c>
      <c r="AN856" s="23" t="s">
        <v>14</v>
      </c>
      <c r="AO856" s="23" t="s">
        <v>80</v>
      </c>
      <c r="AP856" s="24">
        <v>45020</v>
      </c>
      <c r="AQ856" s="23" t="str">
        <f>TEXT(cadangan3[[#This Row],[Tanggal terjual]],"dddd")</f>
        <v>Tuesday</v>
      </c>
    </row>
    <row r="857" spans="1:43" x14ac:dyDescent="0.2">
      <c r="A857" s="20">
        <v>856</v>
      </c>
      <c r="B857" s="21" t="str">
        <f>_xlfn.CONCAT("ORD-",INDEX(Helper!$B$2:$B$5,MATCH(cadangan3[[#This Row],[Marketplace]],Helper!$A$2:$A$5,0)),TEXT(cadangan3[[#This Row],[No]],"0000"),"-",TEXT(cadangan3[[#This Row],[Tanggal terjual]],"dd/mm/yy"))</f>
        <v>ORD-SP0856-03/04/23</v>
      </c>
      <c r="C857" t="s">
        <v>63</v>
      </c>
      <c r="D857" t="str">
        <f>IFERROR(INDEX(Katalog!$A$3:$A$12,MATCH(cadangan3[[#This Row],[ItemID A]],Katalog!$C$3:$C$12,0)),"-")</f>
        <v>Pakaian Pria</v>
      </c>
      <c r="E857" t="str">
        <f>IFERROR(INDEX(Katalog!$B$3:$B$12,MATCH(cadangan3[[#This Row],[ItemID A]],Katalog!$C$3:$C$12,0)),"-")</f>
        <v>Jaket Jeans</v>
      </c>
      <c r="F857">
        <v>2</v>
      </c>
      <c r="G857">
        <v>5</v>
      </c>
      <c r="H857" s="36">
        <f>IFERROR(INDEX(Katalog!$D$3:$D$12,MATCH(cadangan3[[#This Row],[ItemID A]],Katalog!$C$3:$C$12,0))*cadangan3[[#This Row],[Qty A]],0)</f>
        <v>800000</v>
      </c>
      <c r="I857" s="36">
        <f>IFERROR(INDEX(Katalog!$D$3:$D$12,MATCH(cadangan3[[#This Row],[Item A]],Katalog!$B$3:$B$12,0))*cadangan3[[#This Row],[Qty A]],0)</f>
        <v>800000</v>
      </c>
      <c r="J857" s="36">
        <f>IFERROR(cadangan3[[#This Row],[Harga Asli A]]-(cadangan3[[#This Row],[Harga Asli A]]*cadangan3[[#This Row],[Diskon]]),cadangan3[[#This Row],[Harga Asli A]])</f>
        <v>720000</v>
      </c>
      <c r="K857" s="36">
        <f>INDEX(Katalog!$F$3:$F$12,MATCH(cadangan3[[#This Row],[ItemID A]],Katalog!$C$3:$C$12,0))*cadangan3[[#This Row],[Qty A]]</f>
        <v>300000</v>
      </c>
      <c r="L857" s="36">
        <f>IFERROR(cadangan3[[#This Row],[Profit A]]-(cadangan3[[#This Row],[Profit A]]*cadangan3[[#This Row],[Diskon]]),K857)</f>
        <v>270000</v>
      </c>
      <c r="M857" t="s">
        <v>64</v>
      </c>
      <c r="N857" t="str">
        <f>IFERROR(INDEX(Katalog!$A$3:$A$12,MATCH(cadangan3[[#This Row],[ItemID B]],Katalog!$C$3:$C$12,0)),"-")</f>
        <v>Pakaian Unisex</v>
      </c>
      <c r="O857" t="str">
        <f>IFERROR(INDEX(Katalog!$B$3:$B$12,MATCH(cadangan3[[#This Row],[ItemID B]],Katalog!$C$3:$C$12,0)),"-")</f>
        <v>Jaket Hoodie</v>
      </c>
      <c r="P857">
        <v>1</v>
      </c>
      <c r="Q857">
        <v>2</v>
      </c>
      <c r="R857" s="36">
        <f>IFERROR(INDEX(Katalog!$D$3:$D$12,MATCH(cadangan3[[#This Row],[ItemID B]],Katalog!$C$3:$C$12,0))*cadangan3[[#This Row],[Qty B]],0)</f>
        <v>350000</v>
      </c>
      <c r="S857" s="36">
        <f>IFERROR(INDEX(Katalog!$D$3:$D$12,MATCH(cadangan3[[#This Row],[Item B]],Katalog!$B$3:$B$12,0))*cadangan3[[#This Row],[Qty B]],0)</f>
        <v>350000</v>
      </c>
      <c r="T857" s="36">
        <f>IFERROR(cadangan3[[#This Row],[Harga Asli B]]-(cadangan3[[#This Row],[Harga Asli B]]*cadangan3[[#This Row],[Diskon]]),cadangan3[[#This Row],[Harga Asli B]])</f>
        <v>315000</v>
      </c>
      <c r="U857" s="36">
        <f>IFERROR(INDEX(Katalog!$F$3:$F$12,MATCH(cadangan3[[#This Row],[ItemID B]],Katalog!$C$3:$C$12,0))*cadangan3[[#This Row],[Qty B]],0)</f>
        <v>130000</v>
      </c>
      <c r="V857" s="36">
        <f>IFERROR(cadangan3[[#This Row],[Profit B]]-(cadangan3[[#This Row],[Profit B]]*cadangan3[[#This Row],[Diskon]]),U857)</f>
        <v>117000</v>
      </c>
      <c r="X857" t="str">
        <f>IFERROR(INDEX(Katalog!$A$3:$A$12,MATCH(cadangan3[[#This Row],[ItemID C]],Katalog!$C$3:$C$12,0)),"-")</f>
        <v>-</v>
      </c>
      <c r="Y857" t="str">
        <f>IFERROR(INDEX(Katalog!$B$3:$B$12,MATCH(cadangan3[[#This Row],[ItemID C]],Katalog!$C$3:$C$12,0)),"-")</f>
        <v>-</v>
      </c>
      <c r="AB857" s="36">
        <f>IFERROR(INDEX(Katalog!$D$3:$D$12,MATCH(cadangan3[[#This Row],[ItemID C]],Katalog!$C$3:$C$12,0))*cadangan3[[#This Row],[Qty C]],0)</f>
        <v>0</v>
      </c>
      <c r="AC857" s="36">
        <f>IFERROR(INDEX(Katalog!$D$3:$D$12,MATCH(cadangan3[[#This Row],[Item C]],Katalog!$B$3:$B$12,0))*cadangan3[[#This Row],[Qty C]],0)</f>
        <v>0</v>
      </c>
      <c r="AD857" s="36">
        <f>IFERROR(cadangan3[[#This Row],[Harga Asli C]]-(cadangan3[[#This Row],[Harga Asli C]]*cadangan3[[#This Row],[Diskon]]),cadangan3[[#This Row],[Harga Asli C]])</f>
        <v>0</v>
      </c>
      <c r="AE857" s="36">
        <f>IFERROR(INDEX(Katalog!$F$3:$F$12,MATCH(cadangan3[[#This Row],[ItemID C]],Katalog!$C$3:$C$12,0))*cadangan3[[#This Row],[Qty C]],0)</f>
        <v>0</v>
      </c>
      <c r="AF857" s="36">
        <f>IFERROR(cadangan3[[#This Row],[Profit C]]-(cadangan3[[#This Row],[Profit C]]*cadangan3[[#This Row],[Diskon]]),cadangan3[[#This Row],[Profit C]])</f>
        <v>0</v>
      </c>
      <c r="AG857" s="21">
        <f>cadangan3[[#This Row],[Qty A]]+cadangan3[[#This Row],[Qty B]]+cadangan3[[#This Row],[Qty C]]</f>
        <v>3</v>
      </c>
      <c r="AH857" s="35">
        <f>cadangan3[[#This Row],[Harga A + Diskon]]+cadangan3[[#This Row],[Harga + Diskon B]]+cadangan3[[#This Row],[Harga + Diskon C]]</f>
        <v>1035000</v>
      </c>
      <c r="AI857" s="35">
        <f>(cadangan3[[#This Row],[Profit A]]+cadangan3[[#This Row],[Profit B]]+cadangan3[[#This Row],[Profit C]])</f>
        <v>430000</v>
      </c>
      <c r="AJ857" s="35">
        <f>cadangan3[[#This Row],[Provit A + Diskon]]+cadangan3[[#This Row],[Provit B + Diskon]]+cadangan3[[#This Row],[Provit C + Diskon]]</f>
        <v>387000</v>
      </c>
      <c r="AK857" s="23" t="s">
        <v>6</v>
      </c>
      <c r="AL857" s="37">
        <f>IFERROR(INDEX('Kode Diskon'!$D$3:$D$9,MATCH(cadangan3[[#This Row],[Kode diskon]],'Kode Diskon'!$C$3:$C$9,0)),"-")</f>
        <v>0.1</v>
      </c>
      <c r="AM857" s="23" t="s">
        <v>29</v>
      </c>
      <c r="AN857" s="23" t="s">
        <v>7</v>
      </c>
      <c r="AO857" s="23" t="s">
        <v>79</v>
      </c>
      <c r="AP857" s="24">
        <v>45019</v>
      </c>
      <c r="AQ857" s="23" t="str">
        <f>TEXT(cadangan3[[#This Row],[Tanggal terjual]],"dddd")</f>
        <v>Monday</v>
      </c>
    </row>
    <row r="858" spans="1:43" x14ac:dyDescent="0.2">
      <c r="A858" s="20">
        <v>857</v>
      </c>
      <c r="B858" s="21" t="str">
        <f>_xlfn.CONCAT("ORD-",INDEX(Helper!$B$2:$B$5,MATCH(cadangan3[[#This Row],[Marketplace]],Helper!$A$2:$A$5,0)),TEXT(cadangan3[[#This Row],[No]],"0000"),"-",TEXT(cadangan3[[#This Row],[Tanggal terjual]],"dd/mm/yy"))</f>
        <v>ORD-TK0857-29/04/23</v>
      </c>
      <c r="C858" t="s">
        <v>62</v>
      </c>
      <c r="D858" t="str">
        <f>IFERROR(INDEX(Katalog!$A$3:$A$12,MATCH(cadangan3[[#This Row],[ItemID A]],Katalog!$C$3:$C$12,0)),"-")</f>
        <v>Pakaian Pria</v>
      </c>
      <c r="E858" t="str">
        <f>IFERROR(INDEX(Katalog!$B$3:$B$12,MATCH(cadangan3[[#This Row],[ItemID A]],Katalog!$C$3:$C$12,0)),"-")</f>
        <v>Celana Pendek</v>
      </c>
      <c r="F858">
        <v>5</v>
      </c>
      <c r="G858">
        <v>1</v>
      </c>
      <c r="H858" s="36">
        <f>IFERROR(INDEX(Katalog!$D$3:$D$12,MATCH(cadangan3[[#This Row],[ItemID A]],Katalog!$C$3:$C$12,0))*cadangan3[[#This Row],[Qty A]],0)</f>
        <v>900000</v>
      </c>
      <c r="I858" s="36">
        <f>IFERROR(INDEX(Katalog!$D$3:$D$12,MATCH(cadangan3[[#This Row],[Item A]],Katalog!$B$3:$B$12,0))*cadangan3[[#This Row],[Qty A]],0)</f>
        <v>900000</v>
      </c>
      <c r="J858" s="36">
        <f>IFERROR(cadangan3[[#This Row],[Harga Asli A]]-(cadangan3[[#This Row],[Harga Asli A]]*cadangan3[[#This Row],[Diskon]]),cadangan3[[#This Row],[Harga Asli A]])</f>
        <v>810000</v>
      </c>
      <c r="K858" s="36">
        <f>INDEX(Katalog!$F$3:$F$12,MATCH(cadangan3[[#This Row],[ItemID A]],Katalog!$C$3:$C$12,0))*cadangan3[[#This Row],[Qty A]]</f>
        <v>350000</v>
      </c>
      <c r="L858" s="36">
        <f>IFERROR(cadangan3[[#This Row],[Profit A]]-(cadangan3[[#This Row],[Profit A]]*cadangan3[[#This Row],[Diskon]]),K858)</f>
        <v>315000</v>
      </c>
      <c r="M858" t="s">
        <v>61</v>
      </c>
      <c r="N858" t="str">
        <f>IFERROR(INDEX(Katalog!$A$3:$A$12,MATCH(cadangan3[[#This Row],[ItemID B]],Katalog!$C$3:$C$12,0)),"-")</f>
        <v>Pakaian Pria</v>
      </c>
      <c r="O858" t="str">
        <f>IFERROR(INDEX(Katalog!$B$3:$B$12,MATCH(cadangan3[[#This Row],[ItemID B]],Katalog!$C$3:$C$12,0)),"-")</f>
        <v>Kaos Polo</v>
      </c>
      <c r="P858">
        <v>1</v>
      </c>
      <c r="Q858">
        <v>5</v>
      </c>
      <c r="R858" s="36">
        <f>IFERROR(INDEX(Katalog!$D$3:$D$12,MATCH(cadangan3[[#This Row],[ItemID B]],Katalog!$C$3:$C$12,0))*cadangan3[[#This Row],[Qty B]],0)</f>
        <v>200000</v>
      </c>
      <c r="S858" s="36">
        <f>IFERROR(INDEX(Katalog!$D$3:$D$12,MATCH(cadangan3[[#This Row],[Item B]],Katalog!$B$3:$B$12,0))*cadangan3[[#This Row],[Qty B]],0)</f>
        <v>200000</v>
      </c>
      <c r="T858" s="36">
        <f>IFERROR(cadangan3[[#This Row],[Harga Asli B]]-(cadangan3[[#This Row],[Harga Asli B]]*cadangan3[[#This Row],[Diskon]]),cadangan3[[#This Row],[Harga Asli B]])</f>
        <v>180000</v>
      </c>
      <c r="U858" s="36">
        <f>IFERROR(INDEX(Katalog!$F$3:$F$12,MATCH(cadangan3[[#This Row],[ItemID B]],Katalog!$C$3:$C$12,0))*cadangan3[[#This Row],[Qty B]],0)</f>
        <v>80000</v>
      </c>
      <c r="V858" s="36">
        <f>IFERROR(cadangan3[[#This Row],[Profit B]]-(cadangan3[[#This Row],[Profit B]]*cadangan3[[#This Row],[Diskon]]),U858)</f>
        <v>72000</v>
      </c>
      <c r="W858" t="s">
        <v>63</v>
      </c>
      <c r="X858" t="str">
        <f>IFERROR(INDEX(Katalog!$A$3:$A$12,MATCH(cadangan3[[#This Row],[ItemID C]],Katalog!$C$3:$C$12,0)),"-")</f>
        <v>Pakaian Pria</v>
      </c>
      <c r="Y858" t="str">
        <f>IFERROR(INDEX(Katalog!$B$3:$B$12,MATCH(cadangan3[[#This Row],[ItemID C]],Katalog!$C$3:$C$12,0)),"-")</f>
        <v>Jaket Jeans</v>
      </c>
      <c r="Z858">
        <v>1</v>
      </c>
      <c r="AA858">
        <v>3</v>
      </c>
      <c r="AB858" s="36">
        <f>IFERROR(INDEX(Katalog!$D$3:$D$12,MATCH(cadangan3[[#This Row],[ItemID C]],Katalog!$C$3:$C$12,0))*cadangan3[[#This Row],[Qty C]],0)</f>
        <v>400000</v>
      </c>
      <c r="AC858" s="36">
        <f>IFERROR(INDEX(Katalog!$D$3:$D$12,MATCH(cadangan3[[#This Row],[Item C]],Katalog!$B$3:$B$12,0))*cadangan3[[#This Row],[Qty C]],0)</f>
        <v>400000</v>
      </c>
      <c r="AD858" s="36">
        <f>IFERROR(cadangan3[[#This Row],[Harga Asli C]]-(cadangan3[[#This Row],[Harga Asli C]]*cadangan3[[#This Row],[Diskon]]),cadangan3[[#This Row],[Harga Asli C]])</f>
        <v>360000</v>
      </c>
      <c r="AE858" s="36">
        <f>IFERROR(INDEX(Katalog!$F$3:$F$12,MATCH(cadangan3[[#This Row],[ItemID C]],Katalog!$C$3:$C$12,0))*cadangan3[[#This Row],[Qty C]],0)</f>
        <v>150000</v>
      </c>
      <c r="AF858" s="36">
        <f>IFERROR(cadangan3[[#This Row],[Profit C]]-(cadangan3[[#This Row],[Profit C]]*cadangan3[[#This Row],[Diskon]]),cadangan3[[#This Row],[Profit C]])</f>
        <v>135000</v>
      </c>
      <c r="AG858" s="21">
        <f>cadangan3[[#This Row],[Qty A]]+cadangan3[[#This Row],[Qty B]]+cadangan3[[#This Row],[Qty C]]</f>
        <v>7</v>
      </c>
      <c r="AH858" s="35">
        <f>cadangan3[[#This Row],[Harga A + Diskon]]+cadangan3[[#This Row],[Harga + Diskon B]]+cadangan3[[#This Row],[Harga + Diskon C]]</f>
        <v>1350000</v>
      </c>
      <c r="AI858" s="35">
        <f>(cadangan3[[#This Row],[Profit A]]+cadangan3[[#This Row],[Profit B]]+cadangan3[[#This Row],[Profit C]])</f>
        <v>580000</v>
      </c>
      <c r="AJ858" s="35">
        <f>cadangan3[[#This Row],[Provit A + Diskon]]+cadangan3[[#This Row],[Provit B + Diskon]]+cadangan3[[#This Row],[Provit C + Diskon]]</f>
        <v>522000</v>
      </c>
      <c r="AK858" s="23" t="s">
        <v>31</v>
      </c>
      <c r="AL858" s="37">
        <f>IFERROR(INDEX('Kode Diskon'!$D$3:$D$9,MATCH(cadangan3[[#This Row],[Kode diskon]],'Kode Diskon'!$C$3:$C$9,0)),"-")</f>
        <v>0.1</v>
      </c>
      <c r="AM858" s="23" t="s">
        <v>9</v>
      </c>
      <c r="AN858" s="23" t="s">
        <v>10</v>
      </c>
      <c r="AO858" s="23" t="s">
        <v>80</v>
      </c>
      <c r="AP858" s="24">
        <v>45045</v>
      </c>
      <c r="AQ858" s="23" t="str">
        <f>TEXT(cadangan3[[#This Row],[Tanggal terjual]],"dddd")</f>
        <v>Saturday</v>
      </c>
    </row>
    <row r="859" spans="1:43" x14ac:dyDescent="0.2">
      <c r="A859" s="20">
        <v>858</v>
      </c>
      <c r="B859" s="21" t="str">
        <f>_xlfn.CONCAT("ORD-",INDEX(Helper!$B$2:$B$5,MATCH(cadangan3[[#This Row],[Marketplace]],Helper!$A$2:$A$5,0)),TEXT(cadangan3[[#This Row],[No]],"0000"),"-",TEXT(cadangan3[[#This Row],[Tanggal terjual]],"dd/mm/yy"))</f>
        <v>ORD-SP0858-04/04/23</v>
      </c>
      <c r="C859" t="s">
        <v>65</v>
      </c>
      <c r="D859" t="str">
        <f>IFERROR(INDEX(Katalog!$A$3:$A$12,MATCH(cadangan3[[#This Row],[ItemID A]],Katalog!$C$3:$C$12,0)),"-")</f>
        <v>Sepatu Pria</v>
      </c>
      <c r="E859" t="str">
        <f>IFERROR(INDEX(Katalog!$B$3:$B$12,MATCH(cadangan3[[#This Row],[ItemID A]],Katalog!$C$3:$C$12,0)),"-")</f>
        <v>Sneakers</v>
      </c>
      <c r="F859">
        <v>1</v>
      </c>
      <c r="G859">
        <v>3</v>
      </c>
      <c r="H859" s="36">
        <f>IFERROR(INDEX(Katalog!$D$3:$D$12,MATCH(cadangan3[[#This Row],[ItemID A]],Katalog!$C$3:$C$12,0))*cadangan3[[#This Row],[Qty A]],0)</f>
        <v>500000</v>
      </c>
      <c r="I859" s="36">
        <f>IFERROR(INDEX(Katalog!$D$3:$D$12,MATCH(cadangan3[[#This Row],[Item A]],Katalog!$B$3:$B$12,0))*cadangan3[[#This Row],[Qty A]],0)</f>
        <v>500000</v>
      </c>
      <c r="J859" s="36">
        <f>IFERROR(cadangan3[[#This Row],[Harga Asli A]]-(cadangan3[[#This Row],[Harga Asli A]]*cadangan3[[#This Row],[Diskon]]),cadangan3[[#This Row],[Harga Asli A]])</f>
        <v>425000</v>
      </c>
      <c r="K859" s="36">
        <f>INDEX(Katalog!$F$3:$F$12,MATCH(cadangan3[[#This Row],[ItemID A]],Katalog!$C$3:$C$12,0))*cadangan3[[#This Row],[Qty A]]</f>
        <v>200000</v>
      </c>
      <c r="L859" s="36">
        <f>IFERROR(cadangan3[[#This Row],[Profit A]]-(cadangan3[[#This Row],[Profit A]]*cadangan3[[#This Row],[Diskon]]),K859)</f>
        <v>170000</v>
      </c>
      <c r="M859" t="s">
        <v>63</v>
      </c>
      <c r="N859" t="str">
        <f>IFERROR(INDEX(Katalog!$A$3:$A$12,MATCH(cadangan3[[#This Row],[ItemID B]],Katalog!$C$3:$C$12,0)),"-")</f>
        <v>Pakaian Pria</v>
      </c>
      <c r="O859" t="str">
        <f>IFERROR(INDEX(Katalog!$B$3:$B$12,MATCH(cadangan3[[#This Row],[ItemID B]],Katalog!$C$3:$C$12,0)),"-")</f>
        <v>Jaket Jeans</v>
      </c>
      <c r="P859">
        <v>1</v>
      </c>
      <c r="Q859">
        <v>1</v>
      </c>
      <c r="R859" s="36">
        <f>IFERROR(INDEX(Katalog!$D$3:$D$12,MATCH(cadangan3[[#This Row],[ItemID B]],Katalog!$C$3:$C$12,0))*cadangan3[[#This Row],[Qty B]],0)</f>
        <v>400000</v>
      </c>
      <c r="S859" s="36">
        <f>IFERROR(INDEX(Katalog!$D$3:$D$12,MATCH(cadangan3[[#This Row],[Item B]],Katalog!$B$3:$B$12,0))*cadangan3[[#This Row],[Qty B]],0)</f>
        <v>400000</v>
      </c>
      <c r="T859" s="36">
        <f>IFERROR(cadangan3[[#This Row],[Harga Asli B]]-(cadangan3[[#This Row],[Harga Asli B]]*cadangan3[[#This Row],[Diskon]]),cadangan3[[#This Row],[Harga Asli B]])</f>
        <v>340000</v>
      </c>
      <c r="U859" s="36">
        <f>IFERROR(INDEX(Katalog!$F$3:$F$12,MATCH(cadangan3[[#This Row],[ItemID B]],Katalog!$C$3:$C$12,0))*cadangan3[[#This Row],[Qty B]],0)</f>
        <v>150000</v>
      </c>
      <c r="V859" s="36">
        <f>IFERROR(cadangan3[[#This Row],[Profit B]]-(cadangan3[[#This Row],[Profit B]]*cadangan3[[#This Row],[Diskon]]),U859)</f>
        <v>127500</v>
      </c>
      <c r="W859" t="s">
        <v>67</v>
      </c>
      <c r="X859" t="str">
        <f>IFERROR(INDEX(Katalog!$A$3:$A$12,MATCH(cadangan3[[#This Row],[ItemID C]],Katalog!$C$3:$C$12,0)),"-")</f>
        <v>Sepatu Wanita</v>
      </c>
      <c r="Y859" t="str">
        <f>IFERROR(INDEX(Katalog!$B$3:$B$12,MATCH(cadangan3[[#This Row],[ItemID C]],Katalog!$C$3:$C$12,0)),"-")</f>
        <v>Flat Shoes</v>
      </c>
      <c r="Z859">
        <v>3</v>
      </c>
      <c r="AA859">
        <v>1</v>
      </c>
      <c r="AB859" s="36">
        <f>IFERROR(INDEX(Katalog!$D$3:$D$12,MATCH(cadangan3[[#This Row],[ItemID C]],Katalog!$C$3:$C$12,0))*cadangan3[[#This Row],[Qty C]],0)</f>
        <v>750000</v>
      </c>
      <c r="AC859" s="36">
        <f>IFERROR(INDEX(Katalog!$D$3:$D$12,MATCH(cadangan3[[#This Row],[Item C]],Katalog!$B$3:$B$12,0))*cadangan3[[#This Row],[Qty C]],0)</f>
        <v>750000</v>
      </c>
      <c r="AD859" s="36">
        <f>IFERROR(cadangan3[[#This Row],[Harga Asli C]]-(cadangan3[[#This Row],[Harga Asli C]]*cadangan3[[#This Row],[Diskon]]),cadangan3[[#This Row],[Harga Asli C]])</f>
        <v>637500</v>
      </c>
      <c r="AE859" s="36">
        <f>IFERROR(INDEX(Katalog!$F$3:$F$12,MATCH(cadangan3[[#This Row],[ItemID C]],Katalog!$C$3:$C$12,0))*cadangan3[[#This Row],[Qty C]],0)</f>
        <v>300000</v>
      </c>
      <c r="AF859" s="36">
        <f>IFERROR(cadangan3[[#This Row],[Profit C]]-(cadangan3[[#This Row],[Profit C]]*cadangan3[[#This Row],[Diskon]]),cadangan3[[#This Row],[Profit C]])</f>
        <v>255000</v>
      </c>
      <c r="AG859" s="21">
        <f>cadangan3[[#This Row],[Qty A]]+cadangan3[[#This Row],[Qty B]]+cadangan3[[#This Row],[Qty C]]</f>
        <v>5</v>
      </c>
      <c r="AH859" s="35">
        <f>cadangan3[[#This Row],[Harga A + Diskon]]+cadangan3[[#This Row],[Harga + Diskon B]]+cadangan3[[#This Row],[Harga + Diskon C]]</f>
        <v>1402500</v>
      </c>
      <c r="AI859" s="35">
        <f>(cadangan3[[#This Row],[Profit A]]+cadangan3[[#This Row],[Profit B]]+cadangan3[[#This Row],[Profit C]])</f>
        <v>650000</v>
      </c>
      <c r="AJ859" s="35">
        <f>cadangan3[[#This Row],[Provit A + Diskon]]+cadangan3[[#This Row],[Provit B + Diskon]]+cadangan3[[#This Row],[Provit C + Diskon]]</f>
        <v>552500</v>
      </c>
      <c r="AK859" s="23" t="s">
        <v>13</v>
      </c>
      <c r="AL859" s="37">
        <f>IFERROR(INDEX('Kode Diskon'!$D$3:$D$9,MATCH(cadangan3[[#This Row],[Kode diskon]],'Kode Diskon'!$C$3:$C$9,0)),"-")</f>
        <v>0.15</v>
      </c>
      <c r="AM859" s="23" t="s">
        <v>29</v>
      </c>
      <c r="AN859" s="23" t="s">
        <v>7</v>
      </c>
      <c r="AO859" s="23" t="s">
        <v>76</v>
      </c>
      <c r="AP859" s="24">
        <v>45020</v>
      </c>
      <c r="AQ859" s="23" t="str">
        <f>TEXT(cadangan3[[#This Row],[Tanggal terjual]],"dddd")</f>
        <v>Tuesday</v>
      </c>
    </row>
    <row r="860" spans="1:43" x14ac:dyDescent="0.2">
      <c r="A860" s="20">
        <v>859</v>
      </c>
      <c r="B860" s="21" t="str">
        <f>_xlfn.CONCAT("ORD-",INDEX(Helper!$B$2:$B$5,MATCH(cadangan3[[#This Row],[Marketplace]],Helper!$A$2:$A$5,0)),TEXT(cadangan3[[#This Row],[No]],"0000"),"-",TEXT(cadangan3[[#This Row],[Tanggal terjual]],"dd/mm/yy"))</f>
        <v>ORD-TK0859-08/04/23</v>
      </c>
      <c r="C860" t="s">
        <v>59</v>
      </c>
      <c r="D860" t="str">
        <f>IFERROR(INDEX(Katalog!$A$3:$A$12,MATCH(cadangan3[[#This Row],[ItemID A]],Katalog!$C$3:$C$12,0)),"-")</f>
        <v>Pakaian Wanita</v>
      </c>
      <c r="E860" t="str">
        <f>IFERROR(INDEX(Katalog!$B$3:$B$12,MATCH(cadangan3[[#This Row],[ItemID A]],Katalog!$C$3:$C$12,0)),"-")</f>
        <v>Blouse</v>
      </c>
      <c r="F860">
        <v>1</v>
      </c>
      <c r="G860">
        <v>3</v>
      </c>
      <c r="H860" s="36">
        <f>IFERROR(INDEX(Katalog!$D$3:$D$12,MATCH(cadangan3[[#This Row],[ItemID A]],Katalog!$C$3:$C$12,0))*cadangan3[[#This Row],[Qty A]],0)</f>
        <v>150000</v>
      </c>
      <c r="I860" s="36">
        <f>IFERROR(INDEX(Katalog!$D$3:$D$12,MATCH(cadangan3[[#This Row],[Item A]],Katalog!$B$3:$B$12,0))*cadangan3[[#This Row],[Qty A]],0)</f>
        <v>150000</v>
      </c>
      <c r="J860" s="36">
        <f>IFERROR(cadangan3[[#This Row],[Harga Asli A]]-(cadangan3[[#This Row],[Harga Asli A]]*cadangan3[[#This Row],[Diskon]]),cadangan3[[#This Row],[Harga Asli A]])</f>
        <v>150000</v>
      </c>
      <c r="K860" s="36">
        <f>INDEX(Katalog!$F$3:$F$12,MATCH(cadangan3[[#This Row],[ItemID A]],Katalog!$C$3:$C$12,0))*cadangan3[[#This Row],[Qty A]]</f>
        <v>50000</v>
      </c>
      <c r="L860" s="36">
        <f>IFERROR(cadangan3[[#This Row],[Profit A]]-(cadangan3[[#This Row],[Profit A]]*cadangan3[[#This Row],[Diskon]]),K860)</f>
        <v>50000</v>
      </c>
      <c r="N860" t="str">
        <f>IFERROR(INDEX(Katalog!$A$3:$A$12,MATCH(cadangan3[[#This Row],[ItemID B]],Katalog!$C$3:$C$12,0)),"-")</f>
        <v>-</v>
      </c>
      <c r="O860" t="str">
        <f>IFERROR(INDEX(Katalog!$B$3:$B$12,MATCH(cadangan3[[#This Row],[ItemID B]],Katalog!$C$3:$C$12,0)),"-")</f>
        <v>-</v>
      </c>
      <c r="R860" s="36">
        <f>IFERROR(INDEX(Katalog!$D$3:$D$12,MATCH(cadangan3[[#This Row],[ItemID B]],Katalog!$C$3:$C$12,0))*cadangan3[[#This Row],[Qty B]],0)</f>
        <v>0</v>
      </c>
      <c r="S860" s="36">
        <f>IFERROR(INDEX(Katalog!$D$3:$D$12,MATCH(cadangan3[[#This Row],[Item B]],Katalog!$B$3:$B$12,0))*cadangan3[[#This Row],[Qty B]],0)</f>
        <v>0</v>
      </c>
      <c r="T860" s="36">
        <f>IFERROR(cadangan3[[#This Row],[Harga Asli B]]-(cadangan3[[#This Row],[Harga Asli B]]*cadangan3[[#This Row],[Diskon]]),cadangan3[[#This Row],[Harga Asli B]])</f>
        <v>0</v>
      </c>
      <c r="U860" s="36">
        <f>IFERROR(INDEX(Katalog!$F$3:$F$12,MATCH(cadangan3[[#This Row],[ItemID B]],Katalog!$C$3:$C$12,0))*cadangan3[[#This Row],[Qty B]],0)</f>
        <v>0</v>
      </c>
      <c r="V860" s="36">
        <f>IFERROR(cadangan3[[#This Row],[Profit B]]-(cadangan3[[#This Row],[Profit B]]*cadangan3[[#This Row],[Diskon]]),U860)</f>
        <v>0</v>
      </c>
      <c r="X860" t="str">
        <f>IFERROR(INDEX(Katalog!$A$3:$A$12,MATCH(cadangan3[[#This Row],[ItemID C]],Katalog!$C$3:$C$12,0)),"-")</f>
        <v>-</v>
      </c>
      <c r="Y860" t="str">
        <f>IFERROR(INDEX(Katalog!$B$3:$B$12,MATCH(cadangan3[[#This Row],[ItemID C]],Katalog!$C$3:$C$12,0)),"-")</f>
        <v>-</v>
      </c>
      <c r="AB860" s="36">
        <f>IFERROR(INDEX(Katalog!$D$3:$D$12,MATCH(cadangan3[[#This Row],[ItemID C]],Katalog!$C$3:$C$12,0))*cadangan3[[#This Row],[Qty C]],0)</f>
        <v>0</v>
      </c>
      <c r="AC860" s="36">
        <f>IFERROR(INDEX(Katalog!$D$3:$D$12,MATCH(cadangan3[[#This Row],[Item C]],Katalog!$B$3:$B$12,0))*cadangan3[[#This Row],[Qty C]],0)</f>
        <v>0</v>
      </c>
      <c r="AD860" s="36">
        <f>IFERROR(cadangan3[[#This Row],[Harga Asli C]]-(cadangan3[[#This Row],[Harga Asli C]]*cadangan3[[#This Row],[Diskon]]),cadangan3[[#This Row],[Harga Asli C]])</f>
        <v>0</v>
      </c>
      <c r="AE860" s="36">
        <f>IFERROR(INDEX(Katalog!$F$3:$F$12,MATCH(cadangan3[[#This Row],[ItemID C]],Katalog!$C$3:$C$12,0))*cadangan3[[#This Row],[Qty C]],0)</f>
        <v>0</v>
      </c>
      <c r="AF860" s="36">
        <f>IFERROR(cadangan3[[#This Row],[Profit C]]-(cadangan3[[#This Row],[Profit C]]*cadangan3[[#This Row],[Diskon]]),cadangan3[[#This Row],[Profit C]])</f>
        <v>0</v>
      </c>
      <c r="AG860" s="21">
        <f>cadangan3[[#This Row],[Qty A]]+cadangan3[[#This Row],[Qty B]]+cadangan3[[#This Row],[Qty C]]</f>
        <v>1</v>
      </c>
      <c r="AH860" s="35">
        <f>cadangan3[[#This Row],[Harga A + Diskon]]+cadangan3[[#This Row],[Harga + Diskon B]]+cadangan3[[#This Row],[Harga + Diskon C]]</f>
        <v>150000</v>
      </c>
      <c r="AI860" s="35">
        <f>(cadangan3[[#This Row],[Profit A]]+cadangan3[[#This Row],[Profit B]]+cadangan3[[#This Row],[Profit C]])</f>
        <v>50000</v>
      </c>
      <c r="AJ860" s="35">
        <f>cadangan3[[#This Row],[Provit A + Diskon]]+cadangan3[[#This Row],[Provit B + Diskon]]+cadangan3[[#This Row],[Provit C + Diskon]]</f>
        <v>50000</v>
      </c>
      <c r="AK860" s="23" t="s">
        <v>11</v>
      </c>
      <c r="AL860" s="37" t="str">
        <f>IFERROR(INDEX('Kode Diskon'!$D$3:$D$9,MATCH(cadangan3[[#This Row],[Kode diskon]],'Kode Diskon'!$C$3:$C$9,0)),"-")</f>
        <v>-</v>
      </c>
      <c r="AM860" s="23" t="s">
        <v>11</v>
      </c>
      <c r="AN860" s="23" t="s">
        <v>10</v>
      </c>
      <c r="AO860" s="23" t="s">
        <v>77</v>
      </c>
      <c r="AP860" s="24">
        <v>45024</v>
      </c>
      <c r="AQ860" s="23" t="str">
        <f>TEXT(cadangan3[[#This Row],[Tanggal terjual]],"dddd")</f>
        <v>Saturday</v>
      </c>
    </row>
    <row r="861" spans="1:43" x14ac:dyDescent="0.2">
      <c r="A861" s="20">
        <v>860</v>
      </c>
      <c r="B861" s="21" t="str">
        <f>_xlfn.CONCAT("ORD-",INDEX(Helper!$B$2:$B$5,MATCH(cadangan3[[#This Row],[Marketplace]],Helper!$A$2:$A$5,0)),TEXT(cadangan3[[#This Row],[No]],"0000"),"-",TEXT(cadangan3[[#This Row],[Tanggal terjual]],"dd/mm/yy"))</f>
        <v>ORD-SP0860-03/04/23</v>
      </c>
      <c r="C861" t="s">
        <v>64</v>
      </c>
      <c r="D861" t="str">
        <f>IFERROR(INDEX(Katalog!$A$3:$A$12,MATCH(cadangan3[[#This Row],[ItemID A]],Katalog!$C$3:$C$12,0)),"-")</f>
        <v>Pakaian Unisex</v>
      </c>
      <c r="E861" t="str">
        <f>IFERROR(INDEX(Katalog!$B$3:$B$12,MATCH(cadangan3[[#This Row],[ItemID A]],Katalog!$C$3:$C$12,0)),"-")</f>
        <v>Jaket Hoodie</v>
      </c>
      <c r="F861">
        <v>6</v>
      </c>
      <c r="G861">
        <v>1</v>
      </c>
      <c r="H861" s="36">
        <f>IFERROR(INDEX(Katalog!$D$3:$D$12,MATCH(cadangan3[[#This Row],[ItemID A]],Katalog!$C$3:$C$12,0))*cadangan3[[#This Row],[Qty A]],0)</f>
        <v>2100000</v>
      </c>
      <c r="I861" s="36">
        <f>IFERROR(INDEX(Katalog!$D$3:$D$12,MATCH(cadangan3[[#This Row],[Item A]],Katalog!$B$3:$B$12,0))*cadangan3[[#This Row],[Qty A]],0)</f>
        <v>2100000</v>
      </c>
      <c r="J861" s="36">
        <f>IFERROR(cadangan3[[#This Row],[Harga Asli A]]-(cadangan3[[#This Row],[Harga Asli A]]*cadangan3[[#This Row],[Diskon]]),cadangan3[[#This Row],[Harga Asli A]])</f>
        <v>1890000</v>
      </c>
      <c r="K861" s="36">
        <f>INDEX(Katalog!$F$3:$F$12,MATCH(cadangan3[[#This Row],[ItemID A]],Katalog!$C$3:$C$12,0))*cadangan3[[#This Row],[Qty A]]</f>
        <v>780000</v>
      </c>
      <c r="L861" s="36">
        <f>IFERROR(cadangan3[[#This Row],[Profit A]]-(cadangan3[[#This Row],[Profit A]]*cadangan3[[#This Row],[Diskon]]),K861)</f>
        <v>702000</v>
      </c>
      <c r="N861" t="str">
        <f>IFERROR(INDEX(Katalog!$A$3:$A$12,MATCH(cadangan3[[#This Row],[ItemID B]],Katalog!$C$3:$C$12,0)),"-")</f>
        <v>-</v>
      </c>
      <c r="O861" t="str">
        <f>IFERROR(INDEX(Katalog!$B$3:$B$12,MATCH(cadangan3[[#This Row],[ItemID B]],Katalog!$C$3:$C$12,0)),"-")</f>
        <v>-</v>
      </c>
      <c r="R861" s="36">
        <f>IFERROR(INDEX(Katalog!$D$3:$D$12,MATCH(cadangan3[[#This Row],[ItemID B]],Katalog!$C$3:$C$12,0))*cadangan3[[#This Row],[Qty B]],0)</f>
        <v>0</v>
      </c>
      <c r="S861" s="36">
        <f>IFERROR(INDEX(Katalog!$D$3:$D$12,MATCH(cadangan3[[#This Row],[Item B]],Katalog!$B$3:$B$12,0))*cadangan3[[#This Row],[Qty B]],0)</f>
        <v>0</v>
      </c>
      <c r="T861" s="36">
        <f>IFERROR(cadangan3[[#This Row],[Harga Asli B]]-(cadangan3[[#This Row],[Harga Asli B]]*cadangan3[[#This Row],[Diskon]]),cadangan3[[#This Row],[Harga Asli B]])</f>
        <v>0</v>
      </c>
      <c r="U861" s="36">
        <f>IFERROR(INDEX(Katalog!$F$3:$F$12,MATCH(cadangan3[[#This Row],[ItemID B]],Katalog!$C$3:$C$12,0))*cadangan3[[#This Row],[Qty B]],0)</f>
        <v>0</v>
      </c>
      <c r="V861" s="36">
        <f>IFERROR(cadangan3[[#This Row],[Profit B]]-(cadangan3[[#This Row],[Profit B]]*cadangan3[[#This Row],[Diskon]]),U861)</f>
        <v>0</v>
      </c>
      <c r="X861" t="str">
        <f>IFERROR(INDEX(Katalog!$A$3:$A$12,MATCH(cadangan3[[#This Row],[ItemID C]],Katalog!$C$3:$C$12,0)),"-")</f>
        <v>-</v>
      </c>
      <c r="Y861" t="str">
        <f>IFERROR(INDEX(Katalog!$B$3:$B$12,MATCH(cadangan3[[#This Row],[ItemID C]],Katalog!$C$3:$C$12,0)),"-")</f>
        <v>-</v>
      </c>
      <c r="AB861" s="36">
        <f>IFERROR(INDEX(Katalog!$D$3:$D$12,MATCH(cadangan3[[#This Row],[ItemID C]],Katalog!$C$3:$C$12,0))*cadangan3[[#This Row],[Qty C]],0)</f>
        <v>0</v>
      </c>
      <c r="AC861" s="36">
        <f>IFERROR(INDEX(Katalog!$D$3:$D$12,MATCH(cadangan3[[#This Row],[Item C]],Katalog!$B$3:$B$12,0))*cadangan3[[#This Row],[Qty C]],0)</f>
        <v>0</v>
      </c>
      <c r="AD861" s="36">
        <f>IFERROR(cadangan3[[#This Row],[Harga Asli C]]-(cadangan3[[#This Row],[Harga Asli C]]*cadangan3[[#This Row],[Diskon]]),cadangan3[[#This Row],[Harga Asli C]])</f>
        <v>0</v>
      </c>
      <c r="AE861" s="36">
        <f>IFERROR(INDEX(Katalog!$F$3:$F$12,MATCH(cadangan3[[#This Row],[ItemID C]],Katalog!$C$3:$C$12,0))*cadangan3[[#This Row],[Qty C]],0)</f>
        <v>0</v>
      </c>
      <c r="AF861" s="36">
        <f>IFERROR(cadangan3[[#This Row],[Profit C]]-(cadangan3[[#This Row],[Profit C]]*cadangan3[[#This Row],[Diskon]]),cadangan3[[#This Row],[Profit C]])</f>
        <v>0</v>
      </c>
      <c r="AG861" s="21">
        <f>cadangan3[[#This Row],[Qty A]]+cadangan3[[#This Row],[Qty B]]+cadangan3[[#This Row],[Qty C]]</f>
        <v>6</v>
      </c>
      <c r="AH861" s="35">
        <f>cadangan3[[#This Row],[Harga A + Diskon]]+cadangan3[[#This Row],[Harga + Diskon B]]+cadangan3[[#This Row],[Harga + Diskon C]]</f>
        <v>1890000</v>
      </c>
      <c r="AI861" s="35">
        <f>(cadangan3[[#This Row],[Profit A]]+cadangan3[[#This Row],[Profit B]]+cadangan3[[#This Row],[Profit C]])</f>
        <v>780000</v>
      </c>
      <c r="AJ861" s="35">
        <f>cadangan3[[#This Row],[Provit A + Diskon]]+cadangan3[[#This Row],[Provit B + Diskon]]+cadangan3[[#This Row],[Provit C + Diskon]]</f>
        <v>702000</v>
      </c>
      <c r="AK861" s="23" t="s">
        <v>6</v>
      </c>
      <c r="AL861" s="37">
        <f>IFERROR(INDEX('Kode Diskon'!$D$3:$D$9,MATCH(cadangan3[[#This Row],[Kode diskon]],'Kode Diskon'!$C$3:$C$9,0)),"-")</f>
        <v>0.1</v>
      </c>
      <c r="AM861" s="23" t="s">
        <v>29</v>
      </c>
      <c r="AN861" s="23" t="s">
        <v>7</v>
      </c>
      <c r="AO861" s="23" t="s">
        <v>77</v>
      </c>
      <c r="AP861" s="24">
        <v>45019</v>
      </c>
      <c r="AQ861" s="23" t="str">
        <f>TEXT(cadangan3[[#This Row],[Tanggal terjual]],"dddd")</f>
        <v>Monday</v>
      </c>
    </row>
    <row r="862" spans="1:43" x14ac:dyDescent="0.2">
      <c r="A862" s="20">
        <v>861</v>
      </c>
      <c r="B862" s="21" t="str">
        <f>_xlfn.CONCAT("ORD-",INDEX(Helper!$B$2:$B$5,MATCH(cadangan3[[#This Row],[Marketplace]],Helper!$A$2:$A$5,0)),TEXT(cadangan3[[#This Row],[No]],"0000"),"-",TEXT(cadangan3[[#This Row],[Tanggal terjual]],"dd/mm/yy"))</f>
        <v>ORD-TK0861-03/04/23</v>
      </c>
      <c r="C862" t="s">
        <v>63</v>
      </c>
      <c r="D862" t="str">
        <f>IFERROR(INDEX(Katalog!$A$3:$A$12,MATCH(cadangan3[[#This Row],[ItemID A]],Katalog!$C$3:$C$12,0)),"-")</f>
        <v>Pakaian Pria</v>
      </c>
      <c r="E862" t="str">
        <f>IFERROR(INDEX(Katalog!$B$3:$B$12,MATCH(cadangan3[[#This Row],[ItemID A]],Katalog!$C$3:$C$12,0)),"-")</f>
        <v>Jaket Jeans</v>
      </c>
      <c r="F862">
        <v>2</v>
      </c>
      <c r="G862">
        <v>2</v>
      </c>
      <c r="H862" s="36">
        <f>IFERROR(INDEX(Katalog!$D$3:$D$12,MATCH(cadangan3[[#This Row],[ItemID A]],Katalog!$C$3:$C$12,0))*cadangan3[[#This Row],[Qty A]],0)</f>
        <v>800000</v>
      </c>
      <c r="I862" s="36">
        <f>IFERROR(INDEX(Katalog!$D$3:$D$12,MATCH(cadangan3[[#This Row],[Item A]],Katalog!$B$3:$B$12,0))*cadangan3[[#This Row],[Qty A]],0)</f>
        <v>800000</v>
      </c>
      <c r="J862" s="36">
        <f>IFERROR(cadangan3[[#This Row],[Harga Asli A]]-(cadangan3[[#This Row],[Harga Asli A]]*cadangan3[[#This Row],[Diskon]]),cadangan3[[#This Row],[Harga Asli A]])</f>
        <v>720000</v>
      </c>
      <c r="K862" s="36">
        <f>INDEX(Katalog!$F$3:$F$12,MATCH(cadangan3[[#This Row],[ItemID A]],Katalog!$C$3:$C$12,0))*cadangan3[[#This Row],[Qty A]]</f>
        <v>300000</v>
      </c>
      <c r="L862" s="36">
        <f>IFERROR(cadangan3[[#This Row],[Profit A]]-(cadangan3[[#This Row],[Profit A]]*cadangan3[[#This Row],[Diskon]]),K862)</f>
        <v>270000</v>
      </c>
      <c r="N862" t="str">
        <f>IFERROR(INDEX(Katalog!$A$3:$A$12,MATCH(cadangan3[[#This Row],[ItemID B]],Katalog!$C$3:$C$12,0)),"-")</f>
        <v>-</v>
      </c>
      <c r="O862" t="str">
        <f>IFERROR(INDEX(Katalog!$B$3:$B$12,MATCH(cadangan3[[#This Row],[ItemID B]],Katalog!$C$3:$C$12,0)),"-")</f>
        <v>-</v>
      </c>
      <c r="R862" s="36">
        <f>IFERROR(INDEX(Katalog!$D$3:$D$12,MATCH(cadangan3[[#This Row],[ItemID B]],Katalog!$C$3:$C$12,0))*cadangan3[[#This Row],[Qty B]],0)</f>
        <v>0</v>
      </c>
      <c r="S862" s="36">
        <f>IFERROR(INDEX(Katalog!$D$3:$D$12,MATCH(cadangan3[[#This Row],[Item B]],Katalog!$B$3:$B$12,0))*cadangan3[[#This Row],[Qty B]],0)</f>
        <v>0</v>
      </c>
      <c r="T862" s="36">
        <f>IFERROR(cadangan3[[#This Row],[Harga Asli B]]-(cadangan3[[#This Row],[Harga Asli B]]*cadangan3[[#This Row],[Diskon]]),cadangan3[[#This Row],[Harga Asli B]])</f>
        <v>0</v>
      </c>
      <c r="U862" s="36">
        <f>IFERROR(INDEX(Katalog!$F$3:$F$12,MATCH(cadangan3[[#This Row],[ItemID B]],Katalog!$C$3:$C$12,0))*cadangan3[[#This Row],[Qty B]],0)</f>
        <v>0</v>
      </c>
      <c r="V862" s="36">
        <f>IFERROR(cadangan3[[#This Row],[Profit B]]-(cadangan3[[#This Row],[Profit B]]*cadangan3[[#This Row],[Diskon]]),U862)</f>
        <v>0</v>
      </c>
      <c r="X862" t="str">
        <f>IFERROR(INDEX(Katalog!$A$3:$A$12,MATCH(cadangan3[[#This Row],[ItemID C]],Katalog!$C$3:$C$12,0)),"-")</f>
        <v>-</v>
      </c>
      <c r="Y862" t="str">
        <f>IFERROR(INDEX(Katalog!$B$3:$B$12,MATCH(cadangan3[[#This Row],[ItemID C]],Katalog!$C$3:$C$12,0)),"-")</f>
        <v>-</v>
      </c>
      <c r="AB862" s="36">
        <f>IFERROR(INDEX(Katalog!$D$3:$D$12,MATCH(cadangan3[[#This Row],[ItemID C]],Katalog!$C$3:$C$12,0))*cadangan3[[#This Row],[Qty C]],0)</f>
        <v>0</v>
      </c>
      <c r="AC862" s="36">
        <f>IFERROR(INDEX(Katalog!$D$3:$D$12,MATCH(cadangan3[[#This Row],[Item C]],Katalog!$B$3:$B$12,0))*cadangan3[[#This Row],[Qty C]],0)</f>
        <v>0</v>
      </c>
      <c r="AD862" s="36">
        <f>IFERROR(cadangan3[[#This Row],[Harga Asli C]]-(cadangan3[[#This Row],[Harga Asli C]]*cadangan3[[#This Row],[Diskon]]),cadangan3[[#This Row],[Harga Asli C]])</f>
        <v>0</v>
      </c>
      <c r="AE862" s="36">
        <f>IFERROR(INDEX(Katalog!$F$3:$F$12,MATCH(cadangan3[[#This Row],[ItemID C]],Katalog!$C$3:$C$12,0))*cadangan3[[#This Row],[Qty C]],0)</f>
        <v>0</v>
      </c>
      <c r="AF862" s="36">
        <f>IFERROR(cadangan3[[#This Row],[Profit C]]-(cadangan3[[#This Row],[Profit C]]*cadangan3[[#This Row],[Diskon]]),cadangan3[[#This Row],[Profit C]])</f>
        <v>0</v>
      </c>
      <c r="AG862" s="21">
        <f>cadangan3[[#This Row],[Qty A]]+cadangan3[[#This Row],[Qty B]]+cadangan3[[#This Row],[Qty C]]</f>
        <v>2</v>
      </c>
      <c r="AH862" s="35">
        <f>cadangan3[[#This Row],[Harga A + Diskon]]+cadangan3[[#This Row],[Harga + Diskon B]]+cadangan3[[#This Row],[Harga + Diskon C]]</f>
        <v>720000</v>
      </c>
      <c r="AI862" s="35">
        <f>(cadangan3[[#This Row],[Profit A]]+cadangan3[[#This Row],[Profit B]]+cadangan3[[#This Row],[Profit C]])</f>
        <v>300000</v>
      </c>
      <c r="AJ862" s="35">
        <f>cadangan3[[#This Row],[Provit A + Diskon]]+cadangan3[[#This Row],[Provit B + Diskon]]+cadangan3[[#This Row],[Provit C + Diskon]]</f>
        <v>270000</v>
      </c>
      <c r="AK862" s="23" t="s">
        <v>30</v>
      </c>
      <c r="AL862" s="37">
        <f>IFERROR(INDEX('Kode Diskon'!$D$3:$D$9,MATCH(cadangan3[[#This Row],[Kode diskon]],'Kode Diskon'!$C$3:$C$9,0)),"-")</f>
        <v>0.1</v>
      </c>
      <c r="AM862" s="23" t="s">
        <v>29</v>
      </c>
      <c r="AN862" s="23" t="s">
        <v>10</v>
      </c>
      <c r="AO862" s="23" t="s">
        <v>78</v>
      </c>
      <c r="AP862" s="24">
        <v>45019</v>
      </c>
      <c r="AQ862" s="23" t="str">
        <f>TEXT(cadangan3[[#This Row],[Tanggal terjual]],"dddd")</f>
        <v>Monday</v>
      </c>
    </row>
    <row r="863" spans="1:43" x14ac:dyDescent="0.2">
      <c r="A863" s="20">
        <v>862</v>
      </c>
      <c r="B863" s="21" t="str">
        <f>_xlfn.CONCAT("ORD-",INDEX(Helper!$B$2:$B$5,MATCH(cadangan3[[#This Row],[Marketplace]],Helper!$A$2:$A$5,0)),TEXT(cadangan3[[#This Row],[No]],"0000"),"-",TEXT(cadangan3[[#This Row],[Tanggal terjual]],"dd/mm/yy"))</f>
        <v>ORD-BB0862-08/04/23</v>
      </c>
      <c r="C863" t="s">
        <v>66</v>
      </c>
      <c r="D863" t="str">
        <f>IFERROR(INDEX(Katalog!$A$3:$A$12,MATCH(cadangan3[[#This Row],[ItemID A]],Katalog!$C$3:$C$12,0)),"-")</f>
        <v>Sepatu Pria</v>
      </c>
      <c r="E863" t="str">
        <f>IFERROR(INDEX(Katalog!$B$3:$B$12,MATCH(cadangan3[[#This Row],[ItemID A]],Katalog!$C$3:$C$12,0)),"-")</f>
        <v>Sandal Slip On</v>
      </c>
      <c r="F863">
        <v>1</v>
      </c>
      <c r="G863">
        <v>5</v>
      </c>
      <c r="H863" s="36">
        <f>IFERROR(INDEX(Katalog!$D$3:$D$12,MATCH(cadangan3[[#This Row],[ItemID A]],Katalog!$C$3:$C$12,0))*cadangan3[[#This Row],[Qty A]],0)</f>
        <v>150000</v>
      </c>
      <c r="I863" s="36">
        <f>IFERROR(INDEX(Katalog!$D$3:$D$12,MATCH(cadangan3[[#This Row],[Item A]],Katalog!$B$3:$B$12,0))*cadangan3[[#This Row],[Qty A]],0)</f>
        <v>150000</v>
      </c>
      <c r="J863" s="36">
        <f>IFERROR(cadangan3[[#This Row],[Harga Asli A]]-(cadangan3[[#This Row],[Harga Asli A]]*cadangan3[[#This Row],[Diskon]]),cadangan3[[#This Row],[Harga Asli A]])</f>
        <v>150000</v>
      </c>
      <c r="K863" s="36">
        <f>INDEX(Katalog!$F$3:$F$12,MATCH(cadangan3[[#This Row],[ItemID A]],Katalog!$C$3:$C$12,0))*cadangan3[[#This Row],[Qty A]]</f>
        <v>60000</v>
      </c>
      <c r="L863" s="36">
        <f>IFERROR(cadangan3[[#This Row],[Profit A]]-(cadangan3[[#This Row],[Profit A]]*cadangan3[[#This Row],[Diskon]]),K863)</f>
        <v>60000</v>
      </c>
      <c r="N863" t="str">
        <f>IFERROR(INDEX(Katalog!$A$3:$A$12,MATCH(cadangan3[[#This Row],[ItemID B]],Katalog!$C$3:$C$12,0)),"-")</f>
        <v>-</v>
      </c>
      <c r="O863" t="str">
        <f>IFERROR(INDEX(Katalog!$B$3:$B$12,MATCH(cadangan3[[#This Row],[ItemID B]],Katalog!$C$3:$C$12,0)),"-")</f>
        <v>-</v>
      </c>
      <c r="R863" s="36">
        <f>IFERROR(INDEX(Katalog!$D$3:$D$12,MATCH(cadangan3[[#This Row],[ItemID B]],Katalog!$C$3:$C$12,0))*cadangan3[[#This Row],[Qty B]],0)</f>
        <v>0</v>
      </c>
      <c r="S863" s="36">
        <f>IFERROR(INDEX(Katalog!$D$3:$D$12,MATCH(cadangan3[[#This Row],[Item B]],Katalog!$B$3:$B$12,0))*cadangan3[[#This Row],[Qty B]],0)</f>
        <v>0</v>
      </c>
      <c r="T863" s="36">
        <f>IFERROR(cadangan3[[#This Row],[Harga Asli B]]-(cadangan3[[#This Row],[Harga Asli B]]*cadangan3[[#This Row],[Diskon]]),cadangan3[[#This Row],[Harga Asli B]])</f>
        <v>0</v>
      </c>
      <c r="U863" s="36">
        <f>IFERROR(INDEX(Katalog!$F$3:$F$12,MATCH(cadangan3[[#This Row],[ItemID B]],Katalog!$C$3:$C$12,0))*cadangan3[[#This Row],[Qty B]],0)</f>
        <v>0</v>
      </c>
      <c r="V863" s="36">
        <f>IFERROR(cadangan3[[#This Row],[Profit B]]-(cadangan3[[#This Row],[Profit B]]*cadangan3[[#This Row],[Diskon]]),U863)</f>
        <v>0</v>
      </c>
      <c r="X863" t="str">
        <f>IFERROR(INDEX(Katalog!$A$3:$A$12,MATCH(cadangan3[[#This Row],[ItemID C]],Katalog!$C$3:$C$12,0)),"-")</f>
        <v>-</v>
      </c>
      <c r="Y863" t="str">
        <f>IFERROR(INDEX(Katalog!$B$3:$B$12,MATCH(cadangan3[[#This Row],[ItemID C]],Katalog!$C$3:$C$12,0)),"-")</f>
        <v>-</v>
      </c>
      <c r="AB863" s="36">
        <f>IFERROR(INDEX(Katalog!$D$3:$D$12,MATCH(cadangan3[[#This Row],[ItemID C]],Katalog!$C$3:$C$12,0))*cadangan3[[#This Row],[Qty C]],0)</f>
        <v>0</v>
      </c>
      <c r="AC863" s="36">
        <f>IFERROR(INDEX(Katalog!$D$3:$D$12,MATCH(cadangan3[[#This Row],[Item C]],Katalog!$B$3:$B$12,0))*cadangan3[[#This Row],[Qty C]],0)</f>
        <v>0</v>
      </c>
      <c r="AD863" s="36">
        <f>IFERROR(cadangan3[[#This Row],[Harga Asli C]]-(cadangan3[[#This Row],[Harga Asli C]]*cadangan3[[#This Row],[Diskon]]),cadangan3[[#This Row],[Harga Asli C]])</f>
        <v>0</v>
      </c>
      <c r="AE863" s="36">
        <f>IFERROR(INDEX(Katalog!$F$3:$F$12,MATCH(cadangan3[[#This Row],[ItemID C]],Katalog!$C$3:$C$12,0))*cadangan3[[#This Row],[Qty C]],0)</f>
        <v>0</v>
      </c>
      <c r="AF863" s="36">
        <f>IFERROR(cadangan3[[#This Row],[Profit C]]-(cadangan3[[#This Row],[Profit C]]*cadangan3[[#This Row],[Diskon]]),cadangan3[[#This Row],[Profit C]])</f>
        <v>0</v>
      </c>
      <c r="AG863" s="21">
        <f>cadangan3[[#This Row],[Qty A]]+cadangan3[[#This Row],[Qty B]]+cadangan3[[#This Row],[Qty C]]</f>
        <v>1</v>
      </c>
      <c r="AH863" s="35">
        <f>cadangan3[[#This Row],[Harga A + Diskon]]+cadangan3[[#This Row],[Harga + Diskon B]]+cadangan3[[#This Row],[Harga + Diskon C]]</f>
        <v>150000</v>
      </c>
      <c r="AI863" s="35">
        <f>(cadangan3[[#This Row],[Profit A]]+cadangan3[[#This Row],[Profit B]]+cadangan3[[#This Row],[Profit C]])</f>
        <v>60000</v>
      </c>
      <c r="AJ863" s="35">
        <f>cadangan3[[#This Row],[Provit A + Diskon]]+cadangan3[[#This Row],[Provit B + Diskon]]+cadangan3[[#This Row],[Provit C + Diskon]]</f>
        <v>60000</v>
      </c>
      <c r="AK863" s="23" t="s">
        <v>11</v>
      </c>
      <c r="AL863" s="37" t="str">
        <f>IFERROR(INDEX('Kode Diskon'!$D$3:$D$9,MATCH(cadangan3[[#This Row],[Kode diskon]],'Kode Diskon'!$C$3:$C$9,0)),"-")</f>
        <v>-</v>
      </c>
      <c r="AM863" s="23" t="s">
        <v>11</v>
      </c>
      <c r="AN863" s="23" t="s">
        <v>14</v>
      </c>
      <c r="AO863" s="23" t="s">
        <v>79</v>
      </c>
      <c r="AP863" s="24">
        <v>45024</v>
      </c>
      <c r="AQ863" s="23" t="str">
        <f>TEXT(cadangan3[[#This Row],[Tanggal terjual]],"dddd")</f>
        <v>Saturday</v>
      </c>
    </row>
    <row r="864" spans="1:43" x14ac:dyDescent="0.2">
      <c r="A864" s="20">
        <v>863</v>
      </c>
      <c r="B864" s="21" t="str">
        <f>_xlfn.CONCAT("ORD-",INDEX(Helper!$B$2:$B$5,MATCH(cadangan3[[#This Row],[Marketplace]],Helper!$A$2:$A$5,0)),TEXT(cadangan3[[#This Row],[No]],"0000"),"-",TEXT(cadangan3[[#This Row],[Tanggal terjual]],"dd/mm/yy"))</f>
        <v>ORD-TK0863-10/04/23</v>
      </c>
      <c r="C864" t="s">
        <v>61</v>
      </c>
      <c r="D864" t="str">
        <f>IFERROR(INDEX(Katalog!$A$3:$A$12,MATCH(cadangan3[[#This Row],[ItemID A]],Katalog!$C$3:$C$12,0)),"-")</f>
        <v>Pakaian Pria</v>
      </c>
      <c r="E864" t="str">
        <f>IFERROR(INDEX(Katalog!$B$3:$B$12,MATCH(cadangan3[[#This Row],[ItemID A]],Katalog!$C$3:$C$12,0)),"-")</f>
        <v>Kaos Polo</v>
      </c>
      <c r="F864">
        <v>2</v>
      </c>
      <c r="G864">
        <v>2</v>
      </c>
      <c r="H864" s="36">
        <f>IFERROR(INDEX(Katalog!$D$3:$D$12,MATCH(cadangan3[[#This Row],[ItemID A]],Katalog!$C$3:$C$12,0))*cadangan3[[#This Row],[Qty A]],0)</f>
        <v>400000</v>
      </c>
      <c r="I864" s="36">
        <f>IFERROR(INDEX(Katalog!$D$3:$D$12,MATCH(cadangan3[[#This Row],[Item A]],Katalog!$B$3:$B$12,0))*cadangan3[[#This Row],[Qty A]],0)</f>
        <v>400000</v>
      </c>
      <c r="J864" s="36">
        <f>IFERROR(cadangan3[[#This Row],[Harga Asli A]]-(cadangan3[[#This Row],[Harga Asli A]]*cadangan3[[#This Row],[Diskon]]),cadangan3[[#This Row],[Harga Asli A]])</f>
        <v>400000</v>
      </c>
      <c r="K864" s="36">
        <f>INDEX(Katalog!$F$3:$F$12,MATCH(cadangan3[[#This Row],[ItemID A]],Katalog!$C$3:$C$12,0))*cadangan3[[#This Row],[Qty A]]</f>
        <v>160000</v>
      </c>
      <c r="L864" s="36">
        <f>IFERROR(cadangan3[[#This Row],[Profit A]]-(cadangan3[[#This Row],[Profit A]]*cadangan3[[#This Row],[Diskon]]),K864)</f>
        <v>160000</v>
      </c>
      <c r="N864" t="str">
        <f>IFERROR(INDEX(Katalog!$A$3:$A$12,MATCH(cadangan3[[#This Row],[ItemID B]],Katalog!$C$3:$C$12,0)),"-")</f>
        <v>-</v>
      </c>
      <c r="O864" t="str">
        <f>IFERROR(INDEX(Katalog!$B$3:$B$12,MATCH(cadangan3[[#This Row],[ItemID B]],Katalog!$C$3:$C$12,0)),"-")</f>
        <v>-</v>
      </c>
      <c r="R864" s="36">
        <f>IFERROR(INDEX(Katalog!$D$3:$D$12,MATCH(cadangan3[[#This Row],[ItemID B]],Katalog!$C$3:$C$12,0))*cadangan3[[#This Row],[Qty B]],0)</f>
        <v>0</v>
      </c>
      <c r="S864" s="36">
        <f>IFERROR(INDEX(Katalog!$D$3:$D$12,MATCH(cadangan3[[#This Row],[Item B]],Katalog!$B$3:$B$12,0))*cadangan3[[#This Row],[Qty B]],0)</f>
        <v>0</v>
      </c>
      <c r="T864" s="36">
        <f>IFERROR(cadangan3[[#This Row],[Harga Asli B]]-(cadangan3[[#This Row],[Harga Asli B]]*cadangan3[[#This Row],[Diskon]]),cadangan3[[#This Row],[Harga Asli B]])</f>
        <v>0</v>
      </c>
      <c r="U864" s="36">
        <f>IFERROR(INDEX(Katalog!$F$3:$F$12,MATCH(cadangan3[[#This Row],[ItemID B]],Katalog!$C$3:$C$12,0))*cadangan3[[#This Row],[Qty B]],0)</f>
        <v>0</v>
      </c>
      <c r="V864" s="36">
        <f>IFERROR(cadangan3[[#This Row],[Profit B]]-(cadangan3[[#This Row],[Profit B]]*cadangan3[[#This Row],[Diskon]]),U864)</f>
        <v>0</v>
      </c>
      <c r="X864" t="str">
        <f>IFERROR(INDEX(Katalog!$A$3:$A$12,MATCH(cadangan3[[#This Row],[ItemID C]],Katalog!$C$3:$C$12,0)),"-")</f>
        <v>-</v>
      </c>
      <c r="Y864" t="str">
        <f>IFERROR(INDEX(Katalog!$B$3:$B$12,MATCH(cadangan3[[#This Row],[ItemID C]],Katalog!$C$3:$C$12,0)),"-")</f>
        <v>-</v>
      </c>
      <c r="AB864" s="36">
        <f>IFERROR(INDEX(Katalog!$D$3:$D$12,MATCH(cadangan3[[#This Row],[ItemID C]],Katalog!$C$3:$C$12,0))*cadangan3[[#This Row],[Qty C]],0)</f>
        <v>0</v>
      </c>
      <c r="AC864" s="36">
        <f>IFERROR(INDEX(Katalog!$D$3:$D$12,MATCH(cadangan3[[#This Row],[Item C]],Katalog!$B$3:$B$12,0))*cadangan3[[#This Row],[Qty C]],0)</f>
        <v>0</v>
      </c>
      <c r="AD864" s="36">
        <f>IFERROR(cadangan3[[#This Row],[Harga Asli C]]-(cadangan3[[#This Row],[Harga Asli C]]*cadangan3[[#This Row],[Diskon]]),cadangan3[[#This Row],[Harga Asli C]])</f>
        <v>0</v>
      </c>
      <c r="AE864" s="36">
        <f>IFERROR(INDEX(Katalog!$F$3:$F$12,MATCH(cadangan3[[#This Row],[ItemID C]],Katalog!$C$3:$C$12,0))*cadangan3[[#This Row],[Qty C]],0)</f>
        <v>0</v>
      </c>
      <c r="AF864" s="36">
        <f>IFERROR(cadangan3[[#This Row],[Profit C]]-(cadangan3[[#This Row],[Profit C]]*cadangan3[[#This Row],[Diskon]]),cadangan3[[#This Row],[Profit C]])</f>
        <v>0</v>
      </c>
      <c r="AG864" s="21">
        <f>cadangan3[[#This Row],[Qty A]]+cadangan3[[#This Row],[Qty B]]+cadangan3[[#This Row],[Qty C]]</f>
        <v>2</v>
      </c>
      <c r="AH864" s="35">
        <f>cadangan3[[#This Row],[Harga A + Diskon]]+cadangan3[[#This Row],[Harga + Diskon B]]+cadangan3[[#This Row],[Harga + Diskon C]]</f>
        <v>400000</v>
      </c>
      <c r="AI864" s="35">
        <f>(cadangan3[[#This Row],[Profit A]]+cadangan3[[#This Row],[Profit B]]+cadangan3[[#This Row],[Profit C]])</f>
        <v>160000</v>
      </c>
      <c r="AJ864" s="35">
        <f>cadangan3[[#This Row],[Provit A + Diskon]]+cadangan3[[#This Row],[Provit B + Diskon]]+cadangan3[[#This Row],[Provit C + Diskon]]</f>
        <v>160000</v>
      </c>
      <c r="AK864" s="23" t="s">
        <v>11</v>
      </c>
      <c r="AL864" s="37" t="str">
        <f>IFERROR(INDEX('Kode Diskon'!$D$3:$D$9,MATCH(cadangan3[[#This Row],[Kode diskon]],'Kode Diskon'!$C$3:$C$9,0)),"-")</f>
        <v>-</v>
      </c>
      <c r="AM864" s="23" t="s">
        <v>11</v>
      </c>
      <c r="AN864" s="23" t="s">
        <v>10</v>
      </c>
      <c r="AO864" s="23" t="s">
        <v>77</v>
      </c>
      <c r="AP864" s="24">
        <v>45026</v>
      </c>
      <c r="AQ864" s="23" t="str">
        <f>TEXT(cadangan3[[#This Row],[Tanggal terjual]],"dddd")</f>
        <v>Monday</v>
      </c>
    </row>
    <row r="865" spans="1:43" x14ac:dyDescent="0.2">
      <c r="A865" s="20">
        <v>864</v>
      </c>
      <c r="B865" s="21" t="str">
        <f>_xlfn.CONCAT("ORD-",INDEX(Helper!$B$2:$B$5,MATCH(cadangan3[[#This Row],[Marketplace]],Helper!$A$2:$A$5,0)),TEXT(cadangan3[[#This Row],[No]],"0000"),"-",TEXT(cadangan3[[#This Row],[Tanggal terjual]],"dd/mm/yy"))</f>
        <v>ORD-SP0864-20/04/23</v>
      </c>
      <c r="C865" t="s">
        <v>62</v>
      </c>
      <c r="D865" t="str">
        <f>IFERROR(INDEX(Katalog!$A$3:$A$12,MATCH(cadangan3[[#This Row],[ItemID A]],Katalog!$C$3:$C$12,0)),"-")</f>
        <v>Pakaian Pria</v>
      </c>
      <c r="E865" t="str">
        <f>IFERROR(INDEX(Katalog!$B$3:$B$12,MATCH(cadangan3[[#This Row],[ItemID A]],Katalog!$C$3:$C$12,0)),"-")</f>
        <v>Celana Pendek</v>
      </c>
      <c r="F865">
        <v>2</v>
      </c>
      <c r="G865">
        <v>4</v>
      </c>
      <c r="H865" s="36">
        <f>IFERROR(INDEX(Katalog!$D$3:$D$12,MATCH(cadangan3[[#This Row],[ItemID A]],Katalog!$C$3:$C$12,0))*cadangan3[[#This Row],[Qty A]],0)</f>
        <v>360000</v>
      </c>
      <c r="I865" s="36">
        <f>IFERROR(INDEX(Katalog!$D$3:$D$12,MATCH(cadangan3[[#This Row],[Item A]],Katalog!$B$3:$B$12,0))*cadangan3[[#This Row],[Qty A]],0)</f>
        <v>360000</v>
      </c>
      <c r="J865" s="36">
        <f>IFERROR(cadangan3[[#This Row],[Harga Asli A]]-(cadangan3[[#This Row],[Harga Asli A]]*cadangan3[[#This Row],[Diskon]]),cadangan3[[#This Row],[Harga Asli A]])</f>
        <v>288000</v>
      </c>
      <c r="K865" s="36">
        <f>INDEX(Katalog!$F$3:$F$12,MATCH(cadangan3[[#This Row],[ItemID A]],Katalog!$C$3:$C$12,0))*cadangan3[[#This Row],[Qty A]]</f>
        <v>140000</v>
      </c>
      <c r="L865" s="36">
        <f>IFERROR(cadangan3[[#This Row],[Profit A]]-(cadangan3[[#This Row],[Profit A]]*cadangan3[[#This Row],[Diskon]]),K865)</f>
        <v>112000</v>
      </c>
      <c r="N865" t="str">
        <f>IFERROR(INDEX(Katalog!$A$3:$A$12,MATCH(cadangan3[[#This Row],[ItemID B]],Katalog!$C$3:$C$12,0)),"-")</f>
        <v>-</v>
      </c>
      <c r="O865" t="str">
        <f>IFERROR(INDEX(Katalog!$B$3:$B$12,MATCH(cadangan3[[#This Row],[ItemID B]],Katalog!$C$3:$C$12,0)),"-")</f>
        <v>-</v>
      </c>
      <c r="R865" s="36">
        <f>IFERROR(INDEX(Katalog!$D$3:$D$12,MATCH(cadangan3[[#This Row],[ItemID B]],Katalog!$C$3:$C$12,0))*cadangan3[[#This Row],[Qty B]],0)</f>
        <v>0</v>
      </c>
      <c r="S865" s="36">
        <f>IFERROR(INDEX(Katalog!$D$3:$D$12,MATCH(cadangan3[[#This Row],[Item B]],Katalog!$B$3:$B$12,0))*cadangan3[[#This Row],[Qty B]],0)</f>
        <v>0</v>
      </c>
      <c r="T865" s="36">
        <f>IFERROR(cadangan3[[#This Row],[Harga Asli B]]-(cadangan3[[#This Row],[Harga Asli B]]*cadangan3[[#This Row],[Diskon]]),cadangan3[[#This Row],[Harga Asli B]])</f>
        <v>0</v>
      </c>
      <c r="U865" s="36">
        <f>IFERROR(INDEX(Katalog!$F$3:$F$12,MATCH(cadangan3[[#This Row],[ItemID B]],Katalog!$C$3:$C$12,0))*cadangan3[[#This Row],[Qty B]],0)</f>
        <v>0</v>
      </c>
      <c r="V865" s="36">
        <f>IFERROR(cadangan3[[#This Row],[Profit B]]-(cadangan3[[#This Row],[Profit B]]*cadangan3[[#This Row],[Diskon]]),U865)</f>
        <v>0</v>
      </c>
      <c r="X865" t="str">
        <f>IFERROR(INDEX(Katalog!$A$3:$A$12,MATCH(cadangan3[[#This Row],[ItemID C]],Katalog!$C$3:$C$12,0)),"-")</f>
        <v>-</v>
      </c>
      <c r="Y865" t="str">
        <f>IFERROR(INDEX(Katalog!$B$3:$B$12,MATCH(cadangan3[[#This Row],[ItemID C]],Katalog!$C$3:$C$12,0)),"-")</f>
        <v>-</v>
      </c>
      <c r="AB865" s="36">
        <f>IFERROR(INDEX(Katalog!$D$3:$D$12,MATCH(cadangan3[[#This Row],[ItemID C]],Katalog!$C$3:$C$12,0))*cadangan3[[#This Row],[Qty C]],0)</f>
        <v>0</v>
      </c>
      <c r="AC865" s="36">
        <f>IFERROR(INDEX(Katalog!$D$3:$D$12,MATCH(cadangan3[[#This Row],[Item C]],Katalog!$B$3:$B$12,0))*cadangan3[[#This Row],[Qty C]],0)</f>
        <v>0</v>
      </c>
      <c r="AD865" s="36">
        <f>IFERROR(cadangan3[[#This Row],[Harga Asli C]]-(cadangan3[[#This Row],[Harga Asli C]]*cadangan3[[#This Row],[Diskon]]),cadangan3[[#This Row],[Harga Asli C]])</f>
        <v>0</v>
      </c>
      <c r="AE865" s="36">
        <f>IFERROR(INDEX(Katalog!$F$3:$F$12,MATCH(cadangan3[[#This Row],[ItemID C]],Katalog!$C$3:$C$12,0))*cadangan3[[#This Row],[Qty C]],0)</f>
        <v>0</v>
      </c>
      <c r="AF865" s="36">
        <f>IFERROR(cadangan3[[#This Row],[Profit C]]-(cadangan3[[#This Row],[Profit C]]*cadangan3[[#This Row],[Diskon]]),cadangan3[[#This Row],[Profit C]])</f>
        <v>0</v>
      </c>
      <c r="AG865" s="21">
        <f>cadangan3[[#This Row],[Qty A]]+cadangan3[[#This Row],[Qty B]]+cadangan3[[#This Row],[Qty C]]</f>
        <v>2</v>
      </c>
      <c r="AH865" s="35">
        <f>cadangan3[[#This Row],[Harga A + Diskon]]+cadangan3[[#This Row],[Harga + Diskon B]]+cadangan3[[#This Row],[Harga + Diskon C]]</f>
        <v>288000</v>
      </c>
      <c r="AI865" s="35">
        <f>(cadangan3[[#This Row],[Profit A]]+cadangan3[[#This Row],[Profit B]]+cadangan3[[#This Row],[Profit C]])</f>
        <v>140000</v>
      </c>
      <c r="AJ865" s="35">
        <f>cadangan3[[#This Row],[Provit A + Diskon]]+cadangan3[[#This Row],[Provit B + Diskon]]+cadangan3[[#This Row],[Provit C + Diskon]]</f>
        <v>112000</v>
      </c>
      <c r="AK865" s="23" t="s">
        <v>8</v>
      </c>
      <c r="AL865" s="37">
        <f>IFERROR(INDEX('Kode Diskon'!$D$3:$D$9,MATCH(cadangan3[[#This Row],[Kode diskon]],'Kode Diskon'!$C$3:$C$9,0)),"-")</f>
        <v>0.2</v>
      </c>
      <c r="AM865" s="23" t="s">
        <v>9</v>
      </c>
      <c r="AN865" s="23" t="s">
        <v>7</v>
      </c>
      <c r="AO865" s="23" t="s">
        <v>80</v>
      </c>
      <c r="AP865" s="24">
        <v>45036</v>
      </c>
      <c r="AQ865" s="23" t="str">
        <f>TEXT(cadangan3[[#This Row],[Tanggal terjual]],"dddd")</f>
        <v>Thursday</v>
      </c>
    </row>
    <row r="866" spans="1:43" x14ac:dyDescent="0.2">
      <c r="A866" s="20">
        <v>865</v>
      </c>
      <c r="B866" s="21" t="str">
        <f>_xlfn.CONCAT("ORD-",INDEX(Helper!$B$2:$B$5,MATCH(cadangan3[[#This Row],[Marketplace]],Helper!$A$2:$A$5,0)),TEXT(cadangan3[[#This Row],[No]],"0000"),"-",TEXT(cadangan3[[#This Row],[Tanggal terjual]],"dd/mm/yy"))</f>
        <v>ORD-TK0865-18/04/23</v>
      </c>
      <c r="C866" t="s">
        <v>59</v>
      </c>
      <c r="D866" t="str">
        <f>IFERROR(INDEX(Katalog!$A$3:$A$12,MATCH(cadangan3[[#This Row],[ItemID A]],Katalog!$C$3:$C$12,0)),"-")</f>
        <v>Pakaian Wanita</v>
      </c>
      <c r="E866" t="str">
        <f>IFERROR(INDEX(Katalog!$B$3:$B$12,MATCH(cadangan3[[#This Row],[ItemID A]],Katalog!$C$3:$C$12,0)),"-")</f>
        <v>Blouse</v>
      </c>
      <c r="F866">
        <v>2</v>
      </c>
      <c r="G866">
        <v>5</v>
      </c>
      <c r="H866" s="36">
        <f>IFERROR(INDEX(Katalog!$D$3:$D$12,MATCH(cadangan3[[#This Row],[ItemID A]],Katalog!$C$3:$C$12,0))*cadangan3[[#This Row],[Qty A]],0)</f>
        <v>300000</v>
      </c>
      <c r="I866" s="36">
        <f>IFERROR(INDEX(Katalog!$D$3:$D$12,MATCH(cadangan3[[#This Row],[Item A]],Katalog!$B$3:$B$12,0))*cadangan3[[#This Row],[Qty A]],0)</f>
        <v>300000</v>
      </c>
      <c r="J866" s="36">
        <f>IFERROR(cadangan3[[#This Row],[Harga Asli A]]-(cadangan3[[#This Row],[Harga Asli A]]*cadangan3[[#This Row],[Diskon]]),cadangan3[[#This Row],[Harga Asli A]])</f>
        <v>270000</v>
      </c>
      <c r="K866" s="36">
        <f>INDEX(Katalog!$F$3:$F$12,MATCH(cadangan3[[#This Row],[ItemID A]],Katalog!$C$3:$C$12,0))*cadangan3[[#This Row],[Qty A]]</f>
        <v>100000</v>
      </c>
      <c r="L866" s="36">
        <f>IFERROR(cadangan3[[#This Row],[Profit A]]-(cadangan3[[#This Row],[Profit A]]*cadangan3[[#This Row],[Diskon]]),K866)</f>
        <v>90000</v>
      </c>
      <c r="N866" t="str">
        <f>IFERROR(INDEX(Katalog!$A$3:$A$12,MATCH(cadangan3[[#This Row],[ItemID B]],Katalog!$C$3:$C$12,0)),"-")</f>
        <v>-</v>
      </c>
      <c r="O866" t="str">
        <f>IFERROR(INDEX(Katalog!$B$3:$B$12,MATCH(cadangan3[[#This Row],[ItemID B]],Katalog!$C$3:$C$12,0)),"-")</f>
        <v>-</v>
      </c>
      <c r="R866" s="36">
        <f>IFERROR(INDEX(Katalog!$D$3:$D$12,MATCH(cadangan3[[#This Row],[ItemID B]],Katalog!$C$3:$C$12,0))*cadangan3[[#This Row],[Qty B]],0)</f>
        <v>0</v>
      </c>
      <c r="S866" s="36">
        <f>IFERROR(INDEX(Katalog!$D$3:$D$12,MATCH(cadangan3[[#This Row],[Item B]],Katalog!$B$3:$B$12,0))*cadangan3[[#This Row],[Qty B]],0)</f>
        <v>0</v>
      </c>
      <c r="T866" s="36">
        <f>IFERROR(cadangan3[[#This Row],[Harga Asli B]]-(cadangan3[[#This Row],[Harga Asli B]]*cadangan3[[#This Row],[Diskon]]),cadangan3[[#This Row],[Harga Asli B]])</f>
        <v>0</v>
      </c>
      <c r="U866" s="36">
        <f>IFERROR(INDEX(Katalog!$F$3:$F$12,MATCH(cadangan3[[#This Row],[ItemID B]],Katalog!$C$3:$C$12,0))*cadangan3[[#This Row],[Qty B]],0)</f>
        <v>0</v>
      </c>
      <c r="V866" s="36">
        <f>IFERROR(cadangan3[[#This Row],[Profit B]]-(cadangan3[[#This Row],[Profit B]]*cadangan3[[#This Row],[Diskon]]),U866)</f>
        <v>0</v>
      </c>
      <c r="X866" t="str">
        <f>IFERROR(INDEX(Katalog!$A$3:$A$12,MATCH(cadangan3[[#This Row],[ItemID C]],Katalog!$C$3:$C$12,0)),"-")</f>
        <v>-</v>
      </c>
      <c r="Y866" t="str">
        <f>IFERROR(INDEX(Katalog!$B$3:$B$12,MATCH(cadangan3[[#This Row],[ItemID C]],Katalog!$C$3:$C$12,0)),"-")</f>
        <v>-</v>
      </c>
      <c r="AB866" s="36">
        <f>IFERROR(INDEX(Katalog!$D$3:$D$12,MATCH(cadangan3[[#This Row],[ItemID C]],Katalog!$C$3:$C$12,0))*cadangan3[[#This Row],[Qty C]],0)</f>
        <v>0</v>
      </c>
      <c r="AC866" s="36">
        <f>IFERROR(INDEX(Katalog!$D$3:$D$12,MATCH(cadangan3[[#This Row],[Item C]],Katalog!$B$3:$B$12,0))*cadangan3[[#This Row],[Qty C]],0)</f>
        <v>0</v>
      </c>
      <c r="AD866" s="36">
        <f>IFERROR(cadangan3[[#This Row],[Harga Asli C]]-(cadangan3[[#This Row],[Harga Asli C]]*cadangan3[[#This Row],[Diskon]]),cadangan3[[#This Row],[Harga Asli C]])</f>
        <v>0</v>
      </c>
      <c r="AE866" s="36">
        <f>IFERROR(INDEX(Katalog!$F$3:$F$12,MATCH(cadangan3[[#This Row],[ItemID C]],Katalog!$C$3:$C$12,0))*cadangan3[[#This Row],[Qty C]],0)</f>
        <v>0</v>
      </c>
      <c r="AF866" s="36">
        <f>IFERROR(cadangan3[[#This Row],[Profit C]]-(cadangan3[[#This Row],[Profit C]]*cadangan3[[#This Row],[Diskon]]),cadangan3[[#This Row],[Profit C]])</f>
        <v>0</v>
      </c>
      <c r="AG866" s="21">
        <f>cadangan3[[#This Row],[Qty A]]+cadangan3[[#This Row],[Qty B]]+cadangan3[[#This Row],[Qty C]]</f>
        <v>2</v>
      </c>
      <c r="AH866" s="35">
        <f>cadangan3[[#This Row],[Harga A + Diskon]]+cadangan3[[#This Row],[Harga + Diskon B]]+cadangan3[[#This Row],[Harga + Diskon C]]</f>
        <v>270000</v>
      </c>
      <c r="AI866" s="35">
        <f>(cadangan3[[#This Row],[Profit A]]+cadangan3[[#This Row],[Profit B]]+cadangan3[[#This Row],[Profit C]])</f>
        <v>100000</v>
      </c>
      <c r="AJ866" s="35">
        <f>cadangan3[[#This Row],[Provit A + Diskon]]+cadangan3[[#This Row],[Provit B + Diskon]]+cadangan3[[#This Row],[Provit C + Diskon]]</f>
        <v>90000</v>
      </c>
      <c r="AK866" s="23" t="s">
        <v>31</v>
      </c>
      <c r="AL866" s="37">
        <f>IFERROR(INDEX('Kode Diskon'!$D$3:$D$9,MATCH(cadangan3[[#This Row],[Kode diskon]],'Kode Diskon'!$C$3:$C$9,0)),"-")</f>
        <v>0.1</v>
      </c>
      <c r="AM866" s="23" t="s">
        <v>9</v>
      </c>
      <c r="AN866" s="23" t="s">
        <v>10</v>
      </c>
      <c r="AO866" s="23" t="s">
        <v>75</v>
      </c>
      <c r="AP866" s="24">
        <v>45034</v>
      </c>
      <c r="AQ866" s="23" t="str">
        <f>TEXT(cadangan3[[#This Row],[Tanggal terjual]],"dddd")</f>
        <v>Tuesday</v>
      </c>
    </row>
    <row r="867" spans="1:43" x14ac:dyDescent="0.2">
      <c r="A867" s="20">
        <v>866</v>
      </c>
      <c r="B867" s="21" t="str">
        <f>_xlfn.CONCAT("ORD-",INDEX(Helper!$B$2:$B$5,MATCH(cadangan3[[#This Row],[Marketplace]],Helper!$A$2:$A$5,0)),TEXT(cadangan3[[#This Row],[No]],"0000"),"-",TEXT(cadangan3[[#This Row],[Tanggal terjual]],"dd/mm/yy"))</f>
        <v>ORD-SP0866-13/04/23</v>
      </c>
      <c r="C867" t="s">
        <v>62</v>
      </c>
      <c r="D867" t="str">
        <f>IFERROR(INDEX(Katalog!$A$3:$A$12,MATCH(cadangan3[[#This Row],[ItemID A]],Katalog!$C$3:$C$12,0)),"-")</f>
        <v>Pakaian Pria</v>
      </c>
      <c r="E867" t="str">
        <f>IFERROR(INDEX(Katalog!$B$3:$B$12,MATCH(cadangan3[[#This Row],[ItemID A]],Katalog!$C$3:$C$12,0)),"-")</f>
        <v>Celana Pendek</v>
      </c>
      <c r="F867">
        <v>4</v>
      </c>
      <c r="G867">
        <v>5</v>
      </c>
      <c r="H867" s="36">
        <f>IFERROR(INDEX(Katalog!$D$3:$D$12,MATCH(cadangan3[[#This Row],[ItemID A]],Katalog!$C$3:$C$12,0))*cadangan3[[#This Row],[Qty A]],0)</f>
        <v>720000</v>
      </c>
      <c r="I867" s="36">
        <f>IFERROR(INDEX(Katalog!$D$3:$D$12,MATCH(cadangan3[[#This Row],[Item A]],Katalog!$B$3:$B$12,0))*cadangan3[[#This Row],[Qty A]],0)</f>
        <v>720000</v>
      </c>
      <c r="J867" s="36">
        <f>IFERROR(cadangan3[[#This Row],[Harga Asli A]]-(cadangan3[[#This Row],[Harga Asli A]]*cadangan3[[#This Row],[Diskon]]),cadangan3[[#This Row],[Harga Asli A]])</f>
        <v>720000</v>
      </c>
      <c r="K867" s="36">
        <f>INDEX(Katalog!$F$3:$F$12,MATCH(cadangan3[[#This Row],[ItemID A]],Katalog!$C$3:$C$12,0))*cadangan3[[#This Row],[Qty A]]</f>
        <v>280000</v>
      </c>
      <c r="L867" s="36">
        <f>IFERROR(cadangan3[[#This Row],[Profit A]]-(cadangan3[[#This Row],[Profit A]]*cadangan3[[#This Row],[Diskon]]),K867)</f>
        <v>280000</v>
      </c>
      <c r="M867" t="s">
        <v>60</v>
      </c>
      <c r="N867" t="str">
        <f>IFERROR(INDEX(Katalog!$A$3:$A$12,MATCH(cadangan3[[#This Row],[ItemID B]],Katalog!$C$3:$C$12,0)),"-")</f>
        <v>Pakaian Wanita</v>
      </c>
      <c r="O867" t="str">
        <f>IFERROR(INDEX(Katalog!$B$3:$B$12,MATCH(cadangan3[[#This Row],[ItemID B]],Katalog!$C$3:$C$12,0)),"-")</f>
        <v>Kaftan</v>
      </c>
      <c r="P867">
        <v>1</v>
      </c>
      <c r="Q867">
        <v>4</v>
      </c>
      <c r="R867" s="36">
        <f>IFERROR(INDEX(Katalog!$D$3:$D$12,MATCH(cadangan3[[#This Row],[ItemID B]],Katalog!$C$3:$C$12,0))*cadangan3[[#This Row],[Qty B]],0)</f>
        <v>250000</v>
      </c>
      <c r="S867" s="36">
        <f>IFERROR(INDEX(Katalog!$D$3:$D$12,MATCH(cadangan3[[#This Row],[Item B]],Katalog!$B$3:$B$12,0))*cadangan3[[#This Row],[Qty B]],0)</f>
        <v>250000</v>
      </c>
      <c r="T867" s="36">
        <f>IFERROR(cadangan3[[#This Row],[Harga Asli B]]-(cadangan3[[#This Row],[Harga Asli B]]*cadangan3[[#This Row],[Diskon]]),cadangan3[[#This Row],[Harga Asli B]])</f>
        <v>250000</v>
      </c>
      <c r="U867" s="36">
        <f>IFERROR(INDEX(Katalog!$F$3:$F$12,MATCH(cadangan3[[#This Row],[ItemID B]],Katalog!$C$3:$C$12,0))*cadangan3[[#This Row],[Qty B]],0)</f>
        <v>100000</v>
      </c>
      <c r="V867" s="36">
        <f>IFERROR(cadangan3[[#This Row],[Profit B]]-(cadangan3[[#This Row],[Profit B]]*cadangan3[[#This Row],[Diskon]]),U867)</f>
        <v>100000</v>
      </c>
      <c r="W867" t="s">
        <v>60</v>
      </c>
      <c r="X867" t="str">
        <f>IFERROR(INDEX(Katalog!$A$3:$A$12,MATCH(cadangan3[[#This Row],[ItemID C]],Katalog!$C$3:$C$12,0)),"-")</f>
        <v>Pakaian Wanita</v>
      </c>
      <c r="Y867" t="str">
        <f>IFERROR(INDEX(Katalog!$B$3:$B$12,MATCH(cadangan3[[#This Row],[ItemID C]],Katalog!$C$3:$C$12,0)),"-")</f>
        <v>Kaftan</v>
      </c>
      <c r="Z867">
        <v>1</v>
      </c>
      <c r="AA867">
        <v>1</v>
      </c>
      <c r="AB867" s="36">
        <f>IFERROR(INDEX(Katalog!$D$3:$D$12,MATCH(cadangan3[[#This Row],[ItemID C]],Katalog!$C$3:$C$12,0))*cadangan3[[#This Row],[Qty C]],0)</f>
        <v>250000</v>
      </c>
      <c r="AC867" s="36">
        <f>IFERROR(INDEX(Katalog!$D$3:$D$12,MATCH(cadangan3[[#This Row],[Item C]],Katalog!$B$3:$B$12,0))*cadangan3[[#This Row],[Qty C]],0)</f>
        <v>250000</v>
      </c>
      <c r="AD867" s="36">
        <f>IFERROR(cadangan3[[#This Row],[Harga Asli C]]-(cadangan3[[#This Row],[Harga Asli C]]*cadangan3[[#This Row],[Diskon]]),cadangan3[[#This Row],[Harga Asli C]])</f>
        <v>250000</v>
      </c>
      <c r="AE867" s="36">
        <f>IFERROR(INDEX(Katalog!$F$3:$F$12,MATCH(cadangan3[[#This Row],[ItemID C]],Katalog!$C$3:$C$12,0))*cadangan3[[#This Row],[Qty C]],0)</f>
        <v>100000</v>
      </c>
      <c r="AF867" s="36">
        <f>IFERROR(cadangan3[[#This Row],[Profit C]]-(cadangan3[[#This Row],[Profit C]]*cadangan3[[#This Row],[Diskon]]),cadangan3[[#This Row],[Profit C]])</f>
        <v>100000</v>
      </c>
      <c r="AG867" s="21">
        <f>cadangan3[[#This Row],[Qty A]]+cadangan3[[#This Row],[Qty B]]+cadangan3[[#This Row],[Qty C]]</f>
        <v>6</v>
      </c>
      <c r="AH867" s="35">
        <f>cadangan3[[#This Row],[Harga A + Diskon]]+cadangan3[[#This Row],[Harga + Diskon B]]+cadangan3[[#This Row],[Harga + Diskon C]]</f>
        <v>1220000</v>
      </c>
      <c r="AI867" s="35">
        <f>(cadangan3[[#This Row],[Profit A]]+cadangan3[[#This Row],[Profit B]]+cadangan3[[#This Row],[Profit C]])</f>
        <v>480000</v>
      </c>
      <c r="AJ867" s="35">
        <f>cadangan3[[#This Row],[Provit A + Diskon]]+cadangan3[[#This Row],[Provit B + Diskon]]+cadangan3[[#This Row],[Provit C + Diskon]]</f>
        <v>480000</v>
      </c>
      <c r="AK867" s="23" t="s">
        <v>11</v>
      </c>
      <c r="AL867" s="37" t="str">
        <f>IFERROR(INDEX('Kode Diskon'!$D$3:$D$9,MATCH(cadangan3[[#This Row],[Kode diskon]],'Kode Diskon'!$C$3:$C$9,0)),"-")</f>
        <v>-</v>
      </c>
      <c r="AM867" s="23" t="s">
        <v>11</v>
      </c>
      <c r="AN867" s="23" t="s">
        <v>7</v>
      </c>
      <c r="AO867" s="23" t="s">
        <v>79</v>
      </c>
      <c r="AP867" s="24">
        <v>45029</v>
      </c>
      <c r="AQ867" s="23" t="str">
        <f>TEXT(cadangan3[[#This Row],[Tanggal terjual]],"dddd")</f>
        <v>Thursday</v>
      </c>
    </row>
    <row r="868" spans="1:43" x14ac:dyDescent="0.2">
      <c r="A868" s="20">
        <v>867</v>
      </c>
      <c r="B868" s="21" t="str">
        <f>_xlfn.CONCAT("ORD-",INDEX(Helper!$B$2:$B$5,MATCH(cadangan3[[#This Row],[Marketplace]],Helper!$A$2:$A$5,0)),TEXT(cadangan3[[#This Row],[No]],"0000"),"-",TEXT(cadangan3[[#This Row],[Tanggal terjual]],"dd/mm/yy"))</f>
        <v>ORD-TK0867-03/04/23</v>
      </c>
      <c r="C868" t="s">
        <v>62</v>
      </c>
      <c r="D868" t="str">
        <f>IFERROR(INDEX(Katalog!$A$3:$A$12,MATCH(cadangan3[[#This Row],[ItemID A]],Katalog!$C$3:$C$12,0)),"-")</f>
        <v>Pakaian Pria</v>
      </c>
      <c r="E868" t="str">
        <f>IFERROR(INDEX(Katalog!$B$3:$B$12,MATCH(cadangan3[[#This Row],[ItemID A]],Katalog!$C$3:$C$12,0)),"-")</f>
        <v>Celana Pendek</v>
      </c>
      <c r="F868">
        <v>1</v>
      </c>
      <c r="G868">
        <v>5</v>
      </c>
      <c r="H868" s="36">
        <f>IFERROR(INDEX(Katalog!$D$3:$D$12,MATCH(cadangan3[[#This Row],[ItemID A]],Katalog!$C$3:$C$12,0))*cadangan3[[#This Row],[Qty A]],0)</f>
        <v>180000</v>
      </c>
      <c r="I868" s="36">
        <f>IFERROR(INDEX(Katalog!$D$3:$D$12,MATCH(cadangan3[[#This Row],[Item A]],Katalog!$B$3:$B$12,0))*cadangan3[[#This Row],[Qty A]],0)</f>
        <v>180000</v>
      </c>
      <c r="J868" s="36">
        <f>IFERROR(cadangan3[[#This Row],[Harga Asli A]]-(cadangan3[[#This Row],[Harga Asli A]]*cadangan3[[#This Row],[Diskon]]),cadangan3[[#This Row],[Harga Asli A]])</f>
        <v>162000</v>
      </c>
      <c r="K868" s="36">
        <f>INDEX(Katalog!$F$3:$F$12,MATCH(cadangan3[[#This Row],[ItemID A]],Katalog!$C$3:$C$12,0))*cadangan3[[#This Row],[Qty A]]</f>
        <v>70000</v>
      </c>
      <c r="L868" s="36">
        <f>IFERROR(cadangan3[[#This Row],[Profit A]]-(cadangan3[[#This Row],[Profit A]]*cadangan3[[#This Row],[Diskon]]),K868)</f>
        <v>63000</v>
      </c>
      <c r="N868" t="str">
        <f>IFERROR(INDEX(Katalog!$A$3:$A$12,MATCH(cadangan3[[#This Row],[ItemID B]],Katalog!$C$3:$C$12,0)),"-")</f>
        <v>-</v>
      </c>
      <c r="O868" t="str">
        <f>IFERROR(INDEX(Katalog!$B$3:$B$12,MATCH(cadangan3[[#This Row],[ItemID B]],Katalog!$C$3:$C$12,0)),"-")</f>
        <v>-</v>
      </c>
      <c r="R868" s="36">
        <f>IFERROR(INDEX(Katalog!$D$3:$D$12,MATCH(cadangan3[[#This Row],[ItemID B]],Katalog!$C$3:$C$12,0))*cadangan3[[#This Row],[Qty B]],0)</f>
        <v>0</v>
      </c>
      <c r="S868" s="36">
        <f>IFERROR(INDEX(Katalog!$D$3:$D$12,MATCH(cadangan3[[#This Row],[Item B]],Katalog!$B$3:$B$12,0))*cadangan3[[#This Row],[Qty B]],0)</f>
        <v>0</v>
      </c>
      <c r="T868" s="36">
        <f>IFERROR(cadangan3[[#This Row],[Harga Asli B]]-(cadangan3[[#This Row],[Harga Asli B]]*cadangan3[[#This Row],[Diskon]]),cadangan3[[#This Row],[Harga Asli B]])</f>
        <v>0</v>
      </c>
      <c r="U868" s="36">
        <f>IFERROR(INDEX(Katalog!$F$3:$F$12,MATCH(cadangan3[[#This Row],[ItemID B]],Katalog!$C$3:$C$12,0))*cadangan3[[#This Row],[Qty B]],0)</f>
        <v>0</v>
      </c>
      <c r="V868" s="36">
        <f>IFERROR(cadangan3[[#This Row],[Profit B]]-(cadangan3[[#This Row],[Profit B]]*cadangan3[[#This Row],[Diskon]]),U868)</f>
        <v>0</v>
      </c>
      <c r="X868" t="str">
        <f>IFERROR(INDEX(Katalog!$A$3:$A$12,MATCH(cadangan3[[#This Row],[ItemID C]],Katalog!$C$3:$C$12,0)),"-")</f>
        <v>-</v>
      </c>
      <c r="Y868" t="str">
        <f>IFERROR(INDEX(Katalog!$B$3:$B$12,MATCH(cadangan3[[#This Row],[ItemID C]],Katalog!$C$3:$C$12,0)),"-")</f>
        <v>-</v>
      </c>
      <c r="AB868" s="36">
        <f>IFERROR(INDEX(Katalog!$D$3:$D$12,MATCH(cadangan3[[#This Row],[ItemID C]],Katalog!$C$3:$C$12,0))*cadangan3[[#This Row],[Qty C]],0)</f>
        <v>0</v>
      </c>
      <c r="AC868" s="36">
        <f>IFERROR(INDEX(Katalog!$D$3:$D$12,MATCH(cadangan3[[#This Row],[Item C]],Katalog!$B$3:$B$12,0))*cadangan3[[#This Row],[Qty C]],0)</f>
        <v>0</v>
      </c>
      <c r="AD868" s="36">
        <f>IFERROR(cadangan3[[#This Row],[Harga Asli C]]-(cadangan3[[#This Row],[Harga Asli C]]*cadangan3[[#This Row],[Diskon]]),cadangan3[[#This Row],[Harga Asli C]])</f>
        <v>0</v>
      </c>
      <c r="AE868" s="36">
        <f>IFERROR(INDEX(Katalog!$F$3:$F$12,MATCH(cadangan3[[#This Row],[ItemID C]],Katalog!$C$3:$C$12,0))*cadangan3[[#This Row],[Qty C]],0)</f>
        <v>0</v>
      </c>
      <c r="AF868" s="36">
        <f>IFERROR(cadangan3[[#This Row],[Profit C]]-(cadangan3[[#This Row],[Profit C]]*cadangan3[[#This Row],[Diskon]]),cadangan3[[#This Row],[Profit C]])</f>
        <v>0</v>
      </c>
      <c r="AG868" s="21">
        <f>cadangan3[[#This Row],[Qty A]]+cadangan3[[#This Row],[Qty B]]+cadangan3[[#This Row],[Qty C]]</f>
        <v>1</v>
      </c>
      <c r="AH868" s="35">
        <f>cadangan3[[#This Row],[Harga A + Diskon]]+cadangan3[[#This Row],[Harga + Diskon B]]+cadangan3[[#This Row],[Harga + Diskon C]]</f>
        <v>162000</v>
      </c>
      <c r="AI868" s="35">
        <f>(cadangan3[[#This Row],[Profit A]]+cadangan3[[#This Row],[Profit B]]+cadangan3[[#This Row],[Profit C]])</f>
        <v>70000</v>
      </c>
      <c r="AJ868" s="35">
        <f>cadangan3[[#This Row],[Provit A + Diskon]]+cadangan3[[#This Row],[Provit B + Diskon]]+cadangan3[[#This Row],[Provit C + Diskon]]</f>
        <v>63000</v>
      </c>
      <c r="AK868" s="23" t="s">
        <v>30</v>
      </c>
      <c r="AL868" s="37">
        <f>IFERROR(INDEX('Kode Diskon'!$D$3:$D$9,MATCH(cadangan3[[#This Row],[Kode diskon]],'Kode Diskon'!$C$3:$C$9,0)),"-")</f>
        <v>0.1</v>
      </c>
      <c r="AM868" s="23" t="s">
        <v>29</v>
      </c>
      <c r="AN868" s="23" t="s">
        <v>10</v>
      </c>
      <c r="AO868" s="23" t="s">
        <v>78</v>
      </c>
      <c r="AP868" s="24">
        <v>45019</v>
      </c>
      <c r="AQ868" s="23" t="str">
        <f>TEXT(cadangan3[[#This Row],[Tanggal terjual]],"dddd")</f>
        <v>Monday</v>
      </c>
    </row>
    <row r="869" spans="1:43" x14ac:dyDescent="0.2">
      <c r="A869" s="20">
        <v>868</v>
      </c>
      <c r="B869" s="21" t="str">
        <f>_xlfn.CONCAT("ORD-",INDEX(Helper!$B$2:$B$5,MATCH(cadangan3[[#This Row],[Marketplace]],Helper!$A$2:$A$5,0)),TEXT(cadangan3[[#This Row],[No]],"0000"),"-",TEXT(cadangan3[[#This Row],[Tanggal terjual]],"dd/mm/yy"))</f>
        <v>ORD-BL0868-08/04/23</v>
      </c>
      <c r="C869" t="s">
        <v>66</v>
      </c>
      <c r="D869" t="str">
        <f>IFERROR(INDEX(Katalog!$A$3:$A$12,MATCH(cadangan3[[#This Row],[ItemID A]],Katalog!$C$3:$C$12,0)),"-")</f>
        <v>Sepatu Pria</v>
      </c>
      <c r="E869" t="str">
        <f>IFERROR(INDEX(Katalog!$B$3:$B$12,MATCH(cadangan3[[#This Row],[ItemID A]],Katalog!$C$3:$C$12,0)),"-")</f>
        <v>Sandal Slip On</v>
      </c>
      <c r="F869">
        <v>6</v>
      </c>
      <c r="G869">
        <v>3</v>
      </c>
      <c r="H869" s="36">
        <f>IFERROR(INDEX(Katalog!$D$3:$D$12,MATCH(cadangan3[[#This Row],[ItemID A]],Katalog!$C$3:$C$12,0))*cadangan3[[#This Row],[Qty A]],0)</f>
        <v>900000</v>
      </c>
      <c r="I869" s="36">
        <f>IFERROR(INDEX(Katalog!$D$3:$D$12,MATCH(cadangan3[[#This Row],[Item A]],Katalog!$B$3:$B$12,0))*cadangan3[[#This Row],[Qty A]],0)</f>
        <v>900000</v>
      </c>
      <c r="J869" s="36">
        <f>IFERROR(cadangan3[[#This Row],[Harga Asli A]]-(cadangan3[[#This Row],[Harga Asli A]]*cadangan3[[#This Row],[Diskon]]),cadangan3[[#This Row],[Harga Asli A]])</f>
        <v>900000</v>
      </c>
      <c r="K869" s="36">
        <f>INDEX(Katalog!$F$3:$F$12,MATCH(cadangan3[[#This Row],[ItemID A]],Katalog!$C$3:$C$12,0))*cadangan3[[#This Row],[Qty A]]</f>
        <v>360000</v>
      </c>
      <c r="L869" s="36">
        <f>IFERROR(cadangan3[[#This Row],[Profit A]]-(cadangan3[[#This Row],[Profit A]]*cadangan3[[#This Row],[Diskon]]),K869)</f>
        <v>360000</v>
      </c>
      <c r="M869" t="s">
        <v>59</v>
      </c>
      <c r="N869" t="str">
        <f>IFERROR(INDEX(Katalog!$A$3:$A$12,MATCH(cadangan3[[#This Row],[ItemID B]],Katalog!$C$3:$C$12,0)),"-")</f>
        <v>Pakaian Wanita</v>
      </c>
      <c r="O869" t="str">
        <f>IFERROR(INDEX(Katalog!$B$3:$B$12,MATCH(cadangan3[[#This Row],[ItemID B]],Katalog!$C$3:$C$12,0)),"-")</f>
        <v>Blouse</v>
      </c>
      <c r="P869">
        <v>1</v>
      </c>
      <c r="Q869">
        <v>4</v>
      </c>
      <c r="R869" s="36">
        <f>IFERROR(INDEX(Katalog!$D$3:$D$12,MATCH(cadangan3[[#This Row],[ItemID B]],Katalog!$C$3:$C$12,0))*cadangan3[[#This Row],[Qty B]],0)</f>
        <v>150000</v>
      </c>
      <c r="S869" s="36">
        <f>IFERROR(INDEX(Katalog!$D$3:$D$12,MATCH(cadangan3[[#This Row],[Item B]],Katalog!$B$3:$B$12,0))*cadangan3[[#This Row],[Qty B]],0)</f>
        <v>150000</v>
      </c>
      <c r="T869" s="36">
        <f>IFERROR(cadangan3[[#This Row],[Harga Asli B]]-(cadangan3[[#This Row],[Harga Asli B]]*cadangan3[[#This Row],[Diskon]]),cadangan3[[#This Row],[Harga Asli B]])</f>
        <v>150000</v>
      </c>
      <c r="U869" s="36">
        <f>IFERROR(INDEX(Katalog!$F$3:$F$12,MATCH(cadangan3[[#This Row],[ItemID B]],Katalog!$C$3:$C$12,0))*cadangan3[[#This Row],[Qty B]],0)</f>
        <v>50000</v>
      </c>
      <c r="V869" s="36">
        <f>IFERROR(cadangan3[[#This Row],[Profit B]]-(cadangan3[[#This Row],[Profit B]]*cadangan3[[#This Row],[Diskon]]),U869)</f>
        <v>50000</v>
      </c>
      <c r="X869" t="str">
        <f>IFERROR(INDEX(Katalog!$A$3:$A$12,MATCH(cadangan3[[#This Row],[ItemID C]],Katalog!$C$3:$C$12,0)),"-")</f>
        <v>-</v>
      </c>
      <c r="Y869" t="str">
        <f>IFERROR(INDEX(Katalog!$B$3:$B$12,MATCH(cadangan3[[#This Row],[ItemID C]],Katalog!$C$3:$C$12,0)),"-")</f>
        <v>-</v>
      </c>
      <c r="AB869" s="36">
        <f>IFERROR(INDEX(Katalog!$D$3:$D$12,MATCH(cadangan3[[#This Row],[ItemID C]],Katalog!$C$3:$C$12,0))*cadangan3[[#This Row],[Qty C]],0)</f>
        <v>0</v>
      </c>
      <c r="AC869" s="36">
        <f>IFERROR(INDEX(Katalog!$D$3:$D$12,MATCH(cadangan3[[#This Row],[Item C]],Katalog!$B$3:$B$12,0))*cadangan3[[#This Row],[Qty C]],0)</f>
        <v>0</v>
      </c>
      <c r="AD869" s="36">
        <f>IFERROR(cadangan3[[#This Row],[Harga Asli C]]-(cadangan3[[#This Row],[Harga Asli C]]*cadangan3[[#This Row],[Diskon]]),cadangan3[[#This Row],[Harga Asli C]])</f>
        <v>0</v>
      </c>
      <c r="AE869" s="36">
        <f>IFERROR(INDEX(Katalog!$F$3:$F$12,MATCH(cadangan3[[#This Row],[ItemID C]],Katalog!$C$3:$C$12,0))*cadangan3[[#This Row],[Qty C]],0)</f>
        <v>0</v>
      </c>
      <c r="AF869" s="36">
        <f>IFERROR(cadangan3[[#This Row],[Profit C]]-(cadangan3[[#This Row],[Profit C]]*cadangan3[[#This Row],[Diskon]]),cadangan3[[#This Row],[Profit C]])</f>
        <v>0</v>
      </c>
      <c r="AG869" s="21">
        <f>cadangan3[[#This Row],[Qty A]]+cadangan3[[#This Row],[Qty B]]+cadangan3[[#This Row],[Qty C]]</f>
        <v>7</v>
      </c>
      <c r="AH869" s="35">
        <f>cadangan3[[#This Row],[Harga A + Diskon]]+cadangan3[[#This Row],[Harga + Diskon B]]+cadangan3[[#This Row],[Harga + Diskon C]]</f>
        <v>1050000</v>
      </c>
      <c r="AI869" s="35">
        <f>(cadangan3[[#This Row],[Profit A]]+cadangan3[[#This Row],[Profit B]]+cadangan3[[#This Row],[Profit C]])</f>
        <v>410000</v>
      </c>
      <c r="AJ869" s="35">
        <f>cadangan3[[#This Row],[Provit A + Diskon]]+cadangan3[[#This Row],[Provit B + Diskon]]+cadangan3[[#This Row],[Provit C + Diskon]]</f>
        <v>410000</v>
      </c>
      <c r="AK869" s="23" t="s">
        <v>11</v>
      </c>
      <c r="AL869" s="37" t="str">
        <f>IFERROR(INDEX('Kode Diskon'!$D$3:$D$9,MATCH(cadangan3[[#This Row],[Kode diskon]],'Kode Diskon'!$C$3:$C$9,0)),"-")</f>
        <v>-</v>
      </c>
      <c r="AM869" s="23" t="s">
        <v>11</v>
      </c>
      <c r="AN869" s="23" t="s">
        <v>12</v>
      </c>
      <c r="AO869" s="23" t="s">
        <v>75</v>
      </c>
      <c r="AP869" s="24">
        <v>45024</v>
      </c>
      <c r="AQ869" s="23" t="str">
        <f>TEXT(cadangan3[[#This Row],[Tanggal terjual]],"dddd")</f>
        <v>Saturday</v>
      </c>
    </row>
    <row r="870" spans="1:43" x14ac:dyDescent="0.2">
      <c r="A870" s="20">
        <v>869</v>
      </c>
      <c r="B870" s="21" t="str">
        <f>_xlfn.CONCAT("ORD-",INDEX(Helper!$B$2:$B$5,MATCH(cadangan3[[#This Row],[Marketplace]],Helper!$A$2:$A$5,0)),TEXT(cadangan3[[#This Row],[No]],"0000"),"-",TEXT(cadangan3[[#This Row],[Tanggal terjual]],"dd/mm/yy"))</f>
        <v>ORD-BL0869-19/04/23</v>
      </c>
      <c r="C870" t="s">
        <v>67</v>
      </c>
      <c r="D870" t="str">
        <f>IFERROR(INDEX(Katalog!$A$3:$A$12,MATCH(cadangan3[[#This Row],[ItemID A]],Katalog!$C$3:$C$12,0)),"-")</f>
        <v>Sepatu Wanita</v>
      </c>
      <c r="E870" t="str">
        <f>IFERROR(INDEX(Katalog!$B$3:$B$12,MATCH(cadangan3[[#This Row],[ItemID A]],Katalog!$C$3:$C$12,0)),"-")</f>
        <v>Flat Shoes</v>
      </c>
      <c r="F870">
        <v>4</v>
      </c>
      <c r="G870">
        <v>1</v>
      </c>
      <c r="H870" s="36">
        <f>IFERROR(INDEX(Katalog!$D$3:$D$12,MATCH(cadangan3[[#This Row],[ItemID A]],Katalog!$C$3:$C$12,0))*cadangan3[[#This Row],[Qty A]],0)</f>
        <v>1000000</v>
      </c>
      <c r="I870" s="36">
        <f>IFERROR(INDEX(Katalog!$D$3:$D$12,MATCH(cadangan3[[#This Row],[Item A]],Katalog!$B$3:$B$12,0))*cadangan3[[#This Row],[Qty A]],0)</f>
        <v>1000000</v>
      </c>
      <c r="J870" s="36">
        <f>IFERROR(cadangan3[[#This Row],[Harga Asli A]]-(cadangan3[[#This Row],[Harga Asli A]]*cadangan3[[#This Row],[Diskon]]),cadangan3[[#This Row],[Harga Asli A]])</f>
        <v>850000</v>
      </c>
      <c r="K870" s="36">
        <f>INDEX(Katalog!$F$3:$F$12,MATCH(cadangan3[[#This Row],[ItemID A]],Katalog!$C$3:$C$12,0))*cadangan3[[#This Row],[Qty A]]</f>
        <v>400000</v>
      </c>
      <c r="L870" s="36">
        <f>IFERROR(cadangan3[[#This Row],[Profit A]]-(cadangan3[[#This Row],[Profit A]]*cadangan3[[#This Row],[Diskon]]),K870)</f>
        <v>340000</v>
      </c>
      <c r="N870" t="str">
        <f>IFERROR(INDEX(Katalog!$A$3:$A$12,MATCH(cadangan3[[#This Row],[ItemID B]],Katalog!$C$3:$C$12,0)),"-")</f>
        <v>-</v>
      </c>
      <c r="O870" t="str">
        <f>IFERROR(INDEX(Katalog!$B$3:$B$12,MATCH(cadangan3[[#This Row],[ItemID B]],Katalog!$C$3:$C$12,0)),"-")</f>
        <v>-</v>
      </c>
      <c r="R870" s="36">
        <f>IFERROR(INDEX(Katalog!$D$3:$D$12,MATCH(cadangan3[[#This Row],[ItemID B]],Katalog!$C$3:$C$12,0))*cadangan3[[#This Row],[Qty B]],0)</f>
        <v>0</v>
      </c>
      <c r="S870" s="36">
        <f>IFERROR(INDEX(Katalog!$D$3:$D$12,MATCH(cadangan3[[#This Row],[Item B]],Katalog!$B$3:$B$12,0))*cadangan3[[#This Row],[Qty B]],0)</f>
        <v>0</v>
      </c>
      <c r="T870" s="36">
        <f>IFERROR(cadangan3[[#This Row],[Harga Asli B]]-(cadangan3[[#This Row],[Harga Asli B]]*cadangan3[[#This Row],[Diskon]]),cadangan3[[#This Row],[Harga Asli B]])</f>
        <v>0</v>
      </c>
      <c r="U870" s="36">
        <f>IFERROR(INDEX(Katalog!$F$3:$F$12,MATCH(cadangan3[[#This Row],[ItemID B]],Katalog!$C$3:$C$12,0))*cadangan3[[#This Row],[Qty B]],0)</f>
        <v>0</v>
      </c>
      <c r="V870" s="36">
        <f>IFERROR(cadangan3[[#This Row],[Profit B]]-(cadangan3[[#This Row],[Profit B]]*cadangan3[[#This Row],[Diskon]]),U870)</f>
        <v>0</v>
      </c>
      <c r="X870" t="str">
        <f>IFERROR(INDEX(Katalog!$A$3:$A$12,MATCH(cadangan3[[#This Row],[ItemID C]],Katalog!$C$3:$C$12,0)),"-")</f>
        <v>-</v>
      </c>
      <c r="Y870" t="str">
        <f>IFERROR(INDEX(Katalog!$B$3:$B$12,MATCH(cadangan3[[#This Row],[ItemID C]],Katalog!$C$3:$C$12,0)),"-")</f>
        <v>-</v>
      </c>
      <c r="AB870" s="36">
        <f>IFERROR(INDEX(Katalog!$D$3:$D$12,MATCH(cadangan3[[#This Row],[ItemID C]],Katalog!$C$3:$C$12,0))*cadangan3[[#This Row],[Qty C]],0)</f>
        <v>0</v>
      </c>
      <c r="AC870" s="36">
        <f>IFERROR(INDEX(Katalog!$D$3:$D$12,MATCH(cadangan3[[#This Row],[Item C]],Katalog!$B$3:$B$12,0))*cadangan3[[#This Row],[Qty C]],0)</f>
        <v>0</v>
      </c>
      <c r="AD870" s="36">
        <f>IFERROR(cadangan3[[#This Row],[Harga Asli C]]-(cadangan3[[#This Row],[Harga Asli C]]*cadangan3[[#This Row],[Diskon]]),cadangan3[[#This Row],[Harga Asli C]])</f>
        <v>0</v>
      </c>
      <c r="AE870" s="36">
        <f>IFERROR(INDEX(Katalog!$F$3:$F$12,MATCH(cadangan3[[#This Row],[ItemID C]],Katalog!$C$3:$C$12,0))*cadangan3[[#This Row],[Qty C]],0)</f>
        <v>0</v>
      </c>
      <c r="AF870" s="36">
        <f>IFERROR(cadangan3[[#This Row],[Profit C]]-(cadangan3[[#This Row],[Profit C]]*cadangan3[[#This Row],[Diskon]]),cadangan3[[#This Row],[Profit C]])</f>
        <v>0</v>
      </c>
      <c r="AG870" s="21">
        <f>cadangan3[[#This Row],[Qty A]]+cadangan3[[#This Row],[Qty B]]+cadangan3[[#This Row],[Qty C]]</f>
        <v>4</v>
      </c>
      <c r="AH870" s="35">
        <f>cadangan3[[#This Row],[Harga A + Diskon]]+cadangan3[[#This Row],[Harga + Diskon B]]+cadangan3[[#This Row],[Harga + Diskon C]]</f>
        <v>850000</v>
      </c>
      <c r="AI870" s="35">
        <f>(cadangan3[[#This Row],[Profit A]]+cadangan3[[#This Row],[Profit B]]+cadangan3[[#This Row],[Profit C]])</f>
        <v>400000</v>
      </c>
      <c r="AJ870" s="35">
        <f>cadangan3[[#This Row],[Provit A + Diskon]]+cadangan3[[#This Row],[Provit B + Diskon]]+cadangan3[[#This Row],[Provit C + Diskon]]</f>
        <v>340000</v>
      </c>
      <c r="AK870" s="23" t="s">
        <v>32</v>
      </c>
      <c r="AL870" s="37">
        <f>IFERROR(INDEX('Kode Diskon'!$D$3:$D$9,MATCH(cadangan3[[#This Row],[Kode diskon]],'Kode Diskon'!$C$3:$C$9,0)),"-")</f>
        <v>0.15</v>
      </c>
      <c r="AM870" s="23" t="s">
        <v>9</v>
      </c>
      <c r="AN870" s="23" t="s">
        <v>12</v>
      </c>
      <c r="AO870" s="23" t="s">
        <v>78</v>
      </c>
      <c r="AP870" s="24">
        <v>45035</v>
      </c>
      <c r="AQ870" s="23" t="str">
        <f>TEXT(cadangan3[[#This Row],[Tanggal terjual]],"dddd")</f>
        <v>Wednesday</v>
      </c>
    </row>
    <row r="871" spans="1:43" x14ac:dyDescent="0.2">
      <c r="A871" s="20">
        <v>870</v>
      </c>
      <c r="B871" s="21" t="str">
        <f>_xlfn.CONCAT("ORD-",INDEX(Helper!$B$2:$B$5,MATCH(cadangan3[[#This Row],[Marketplace]],Helper!$A$2:$A$5,0)),TEXT(cadangan3[[#This Row],[No]],"0000"),"-",TEXT(cadangan3[[#This Row],[Tanggal terjual]],"dd/mm/yy"))</f>
        <v>ORD-TK0870-08/04/23</v>
      </c>
      <c r="C871" t="s">
        <v>58</v>
      </c>
      <c r="D871" t="str">
        <f>IFERROR(INDEX(Katalog!$A$3:$A$12,MATCH(cadangan3[[#This Row],[ItemID A]],Katalog!$C$3:$C$12,0)),"-")</f>
        <v>Pakaian Wanita</v>
      </c>
      <c r="E871" t="str">
        <f>IFERROR(INDEX(Katalog!$B$3:$B$12,MATCH(cadangan3[[#This Row],[ItemID A]],Katalog!$C$3:$C$12,0)),"-")</f>
        <v>Dress</v>
      </c>
      <c r="F871">
        <v>1</v>
      </c>
      <c r="G871">
        <v>2</v>
      </c>
      <c r="H871" s="36">
        <f>IFERROR(INDEX(Katalog!$D$3:$D$12,MATCH(cadangan3[[#This Row],[ItemID A]],Katalog!$C$3:$C$12,0))*cadangan3[[#This Row],[Qty A]],0)</f>
        <v>300000</v>
      </c>
      <c r="I871" s="36">
        <f>IFERROR(INDEX(Katalog!$D$3:$D$12,MATCH(cadangan3[[#This Row],[Item A]],Katalog!$B$3:$B$12,0))*cadangan3[[#This Row],[Qty A]],0)</f>
        <v>300000</v>
      </c>
      <c r="J871" s="36">
        <f>IFERROR(cadangan3[[#This Row],[Harga Asli A]]-(cadangan3[[#This Row],[Harga Asli A]]*cadangan3[[#This Row],[Diskon]]),cadangan3[[#This Row],[Harga Asli A]])</f>
        <v>300000</v>
      </c>
      <c r="K871" s="36">
        <f>INDEX(Katalog!$F$3:$F$12,MATCH(cadangan3[[#This Row],[ItemID A]],Katalog!$C$3:$C$12,0))*cadangan3[[#This Row],[Qty A]]</f>
        <v>100000</v>
      </c>
      <c r="L871" s="36">
        <f>IFERROR(cadangan3[[#This Row],[Profit A]]-(cadangan3[[#This Row],[Profit A]]*cadangan3[[#This Row],[Diskon]]),K871)</f>
        <v>100000</v>
      </c>
      <c r="M871" t="s">
        <v>64</v>
      </c>
      <c r="N871" t="str">
        <f>IFERROR(INDEX(Katalog!$A$3:$A$12,MATCH(cadangan3[[#This Row],[ItemID B]],Katalog!$C$3:$C$12,0)),"-")</f>
        <v>Pakaian Unisex</v>
      </c>
      <c r="O871" t="str">
        <f>IFERROR(INDEX(Katalog!$B$3:$B$12,MATCH(cadangan3[[#This Row],[ItemID B]],Katalog!$C$3:$C$12,0)),"-")</f>
        <v>Jaket Hoodie</v>
      </c>
      <c r="P871">
        <v>1</v>
      </c>
      <c r="Q871">
        <v>5</v>
      </c>
      <c r="R871" s="36">
        <f>IFERROR(INDEX(Katalog!$D$3:$D$12,MATCH(cadangan3[[#This Row],[ItemID B]],Katalog!$C$3:$C$12,0))*cadangan3[[#This Row],[Qty B]],0)</f>
        <v>350000</v>
      </c>
      <c r="S871" s="36">
        <f>IFERROR(INDEX(Katalog!$D$3:$D$12,MATCH(cadangan3[[#This Row],[Item B]],Katalog!$B$3:$B$12,0))*cadangan3[[#This Row],[Qty B]],0)</f>
        <v>350000</v>
      </c>
      <c r="T871" s="36">
        <f>IFERROR(cadangan3[[#This Row],[Harga Asli B]]-(cadangan3[[#This Row],[Harga Asli B]]*cadangan3[[#This Row],[Diskon]]),cadangan3[[#This Row],[Harga Asli B]])</f>
        <v>350000</v>
      </c>
      <c r="U871" s="36">
        <f>IFERROR(INDEX(Katalog!$F$3:$F$12,MATCH(cadangan3[[#This Row],[ItemID B]],Katalog!$C$3:$C$12,0))*cadangan3[[#This Row],[Qty B]],0)</f>
        <v>130000</v>
      </c>
      <c r="V871" s="36">
        <f>IFERROR(cadangan3[[#This Row],[Profit B]]-(cadangan3[[#This Row],[Profit B]]*cadangan3[[#This Row],[Diskon]]),U871)</f>
        <v>130000</v>
      </c>
      <c r="X871" t="str">
        <f>IFERROR(INDEX(Katalog!$A$3:$A$12,MATCH(cadangan3[[#This Row],[ItemID C]],Katalog!$C$3:$C$12,0)),"-")</f>
        <v>-</v>
      </c>
      <c r="Y871" t="str">
        <f>IFERROR(INDEX(Katalog!$B$3:$B$12,MATCH(cadangan3[[#This Row],[ItemID C]],Katalog!$C$3:$C$12,0)),"-")</f>
        <v>-</v>
      </c>
      <c r="AB871" s="36">
        <f>IFERROR(INDEX(Katalog!$D$3:$D$12,MATCH(cadangan3[[#This Row],[ItemID C]],Katalog!$C$3:$C$12,0))*cadangan3[[#This Row],[Qty C]],0)</f>
        <v>0</v>
      </c>
      <c r="AC871" s="36">
        <f>IFERROR(INDEX(Katalog!$D$3:$D$12,MATCH(cadangan3[[#This Row],[Item C]],Katalog!$B$3:$B$12,0))*cadangan3[[#This Row],[Qty C]],0)</f>
        <v>0</v>
      </c>
      <c r="AD871" s="36">
        <f>IFERROR(cadangan3[[#This Row],[Harga Asli C]]-(cadangan3[[#This Row],[Harga Asli C]]*cadangan3[[#This Row],[Diskon]]),cadangan3[[#This Row],[Harga Asli C]])</f>
        <v>0</v>
      </c>
      <c r="AE871" s="36">
        <f>IFERROR(INDEX(Katalog!$F$3:$F$12,MATCH(cadangan3[[#This Row],[ItemID C]],Katalog!$C$3:$C$12,0))*cadangan3[[#This Row],[Qty C]],0)</f>
        <v>0</v>
      </c>
      <c r="AF871" s="36">
        <f>IFERROR(cadangan3[[#This Row],[Profit C]]-(cadangan3[[#This Row],[Profit C]]*cadangan3[[#This Row],[Diskon]]),cadangan3[[#This Row],[Profit C]])</f>
        <v>0</v>
      </c>
      <c r="AG871" s="21">
        <f>cadangan3[[#This Row],[Qty A]]+cadangan3[[#This Row],[Qty B]]+cadangan3[[#This Row],[Qty C]]</f>
        <v>2</v>
      </c>
      <c r="AH871" s="35">
        <f>cadangan3[[#This Row],[Harga A + Diskon]]+cadangan3[[#This Row],[Harga + Diskon B]]+cadangan3[[#This Row],[Harga + Diskon C]]</f>
        <v>650000</v>
      </c>
      <c r="AI871" s="35">
        <f>(cadangan3[[#This Row],[Profit A]]+cadangan3[[#This Row],[Profit B]]+cadangan3[[#This Row],[Profit C]])</f>
        <v>230000</v>
      </c>
      <c r="AJ871" s="35">
        <f>cadangan3[[#This Row],[Provit A + Diskon]]+cadangan3[[#This Row],[Provit B + Diskon]]+cadangan3[[#This Row],[Provit C + Diskon]]</f>
        <v>230000</v>
      </c>
      <c r="AK871" s="23" t="s">
        <v>11</v>
      </c>
      <c r="AL871" s="37" t="str">
        <f>IFERROR(INDEX('Kode Diskon'!$D$3:$D$9,MATCH(cadangan3[[#This Row],[Kode diskon]],'Kode Diskon'!$C$3:$C$9,0)),"-")</f>
        <v>-</v>
      </c>
      <c r="AM871" s="23" t="s">
        <v>11</v>
      </c>
      <c r="AN871" s="23" t="s">
        <v>10</v>
      </c>
      <c r="AO871" s="23" t="s">
        <v>80</v>
      </c>
      <c r="AP871" s="24">
        <v>45024</v>
      </c>
      <c r="AQ871" s="23" t="str">
        <f>TEXT(cadangan3[[#This Row],[Tanggal terjual]],"dddd")</f>
        <v>Saturday</v>
      </c>
    </row>
    <row r="872" spans="1:43" x14ac:dyDescent="0.2">
      <c r="A872" s="20">
        <v>871</v>
      </c>
      <c r="B872" s="21" t="str">
        <f>_xlfn.CONCAT("ORD-",INDEX(Helper!$B$2:$B$5,MATCH(cadangan3[[#This Row],[Marketplace]],Helper!$A$2:$A$5,0)),TEXT(cadangan3[[#This Row],[No]],"0000"),"-",TEXT(cadangan3[[#This Row],[Tanggal terjual]],"dd/mm/yy"))</f>
        <v>ORD-BL0871-23/04/23</v>
      </c>
      <c r="C872" t="s">
        <v>63</v>
      </c>
      <c r="D872" t="str">
        <f>IFERROR(INDEX(Katalog!$A$3:$A$12,MATCH(cadangan3[[#This Row],[ItemID A]],Katalog!$C$3:$C$12,0)),"-")</f>
        <v>Pakaian Pria</v>
      </c>
      <c r="E872" t="str">
        <f>IFERROR(INDEX(Katalog!$B$3:$B$12,MATCH(cadangan3[[#This Row],[ItemID A]],Katalog!$C$3:$C$12,0)),"-")</f>
        <v>Jaket Jeans</v>
      </c>
      <c r="F872">
        <v>3</v>
      </c>
      <c r="G872">
        <v>1</v>
      </c>
      <c r="H872" s="36">
        <f>IFERROR(INDEX(Katalog!$D$3:$D$12,MATCH(cadangan3[[#This Row],[ItemID A]],Katalog!$C$3:$C$12,0))*cadangan3[[#This Row],[Qty A]],0)</f>
        <v>1200000</v>
      </c>
      <c r="I872" s="36">
        <f>IFERROR(INDEX(Katalog!$D$3:$D$12,MATCH(cadangan3[[#This Row],[Item A]],Katalog!$B$3:$B$12,0))*cadangan3[[#This Row],[Qty A]],0)</f>
        <v>1200000</v>
      </c>
      <c r="J872" s="36">
        <f>IFERROR(cadangan3[[#This Row],[Harga Asli A]]-(cadangan3[[#This Row],[Harga Asli A]]*cadangan3[[#This Row],[Diskon]]),cadangan3[[#This Row],[Harga Asli A]])</f>
        <v>1020000</v>
      </c>
      <c r="K872" s="36">
        <f>INDEX(Katalog!$F$3:$F$12,MATCH(cadangan3[[#This Row],[ItemID A]],Katalog!$C$3:$C$12,0))*cadangan3[[#This Row],[Qty A]]</f>
        <v>450000</v>
      </c>
      <c r="L872" s="36">
        <f>IFERROR(cadangan3[[#This Row],[Profit A]]-(cadangan3[[#This Row],[Profit A]]*cadangan3[[#This Row],[Diskon]]),K872)</f>
        <v>382500</v>
      </c>
      <c r="N872" t="str">
        <f>IFERROR(INDEX(Katalog!$A$3:$A$12,MATCH(cadangan3[[#This Row],[ItemID B]],Katalog!$C$3:$C$12,0)),"-")</f>
        <v>-</v>
      </c>
      <c r="O872" t="str">
        <f>IFERROR(INDEX(Katalog!$B$3:$B$12,MATCH(cadangan3[[#This Row],[ItemID B]],Katalog!$C$3:$C$12,0)),"-")</f>
        <v>-</v>
      </c>
      <c r="R872" s="36">
        <f>IFERROR(INDEX(Katalog!$D$3:$D$12,MATCH(cadangan3[[#This Row],[ItemID B]],Katalog!$C$3:$C$12,0))*cadangan3[[#This Row],[Qty B]],0)</f>
        <v>0</v>
      </c>
      <c r="S872" s="36">
        <f>IFERROR(INDEX(Katalog!$D$3:$D$12,MATCH(cadangan3[[#This Row],[Item B]],Katalog!$B$3:$B$12,0))*cadangan3[[#This Row],[Qty B]],0)</f>
        <v>0</v>
      </c>
      <c r="T872" s="36">
        <f>IFERROR(cadangan3[[#This Row],[Harga Asli B]]-(cadangan3[[#This Row],[Harga Asli B]]*cadangan3[[#This Row],[Diskon]]),cadangan3[[#This Row],[Harga Asli B]])</f>
        <v>0</v>
      </c>
      <c r="U872" s="36">
        <f>IFERROR(INDEX(Katalog!$F$3:$F$12,MATCH(cadangan3[[#This Row],[ItemID B]],Katalog!$C$3:$C$12,0))*cadangan3[[#This Row],[Qty B]],0)</f>
        <v>0</v>
      </c>
      <c r="V872" s="36">
        <f>IFERROR(cadangan3[[#This Row],[Profit B]]-(cadangan3[[#This Row],[Profit B]]*cadangan3[[#This Row],[Diskon]]),U872)</f>
        <v>0</v>
      </c>
      <c r="X872" t="str">
        <f>IFERROR(INDEX(Katalog!$A$3:$A$12,MATCH(cadangan3[[#This Row],[ItemID C]],Katalog!$C$3:$C$12,0)),"-")</f>
        <v>-</v>
      </c>
      <c r="Y872" t="str">
        <f>IFERROR(INDEX(Katalog!$B$3:$B$12,MATCH(cadangan3[[#This Row],[ItemID C]],Katalog!$C$3:$C$12,0)),"-")</f>
        <v>-</v>
      </c>
      <c r="AB872" s="36">
        <f>IFERROR(INDEX(Katalog!$D$3:$D$12,MATCH(cadangan3[[#This Row],[ItemID C]],Katalog!$C$3:$C$12,0))*cadangan3[[#This Row],[Qty C]],0)</f>
        <v>0</v>
      </c>
      <c r="AC872" s="36">
        <f>IFERROR(INDEX(Katalog!$D$3:$D$12,MATCH(cadangan3[[#This Row],[Item C]],Katalog!$B$3:$B$12,0))*cadangan3[[#This Row],[Qty C]],0)</f>
        <v>0</v>
      </c>
      <c r="AD872" s="36">
        <f>IFERROR(cadangan3[[#This Row],[Harga Asli C]]-(cadangan3[[#This Row],[Harga Asli C]]*cadangan3[[#This Row],[Diskon]]),cadangan3[[#This Row],[Harga Asli C]])</f>
        <v>0</v>
      </c>
      <c r="AE872" s="36">
        <f>IFERROR(INDEX(Katalog!$F$3:$F$12,MATCH(cadangan3[[#This Row],[ItemID C]],Katalog!$C$3:$C$12,0))*cadangan3[[#This Row],[Qty C]],0)</f>
        <v>0</v>
      </c>
      <c r="AF872" s="36">
        <f>IFERROR(cadangan3[[#This Row],[Profit C]]-(cadangan3[[#This Row],[Profit C]]*cadangan3[[#This Row],[Diskon]]),cadangan3[[#This Row],[Profit C]])</f>
        <v>0</v>
      </c>
      <c r="AG872" s="21">
        <f>cadangan3[[#This Row],[Qty A]]+cadangan3[[#This Row],[Qty B]]+cadangan3[[#This Row],[Qty C]]</f>
        <v>3</v>
      </c>
      <c r="AH872" s="35">
        <f>cadangan3[[#This Row],[Harga A + Diskon]]+cadangan3[[#This Row],[Harga + Diskon B]]+cadangan3[[#This Row],[Harga + Diskon C]]</f>
        <v>1020000</v>
      </c>
      <c r="AI872" s="35">
        <f>(cadangan3[[#This Row],[Profit A]]+cadangan3[[#This Row],[Profit B]]+cadangan3[[#This Row],[Profit C]])</f>
        <v>450000</v>
      </c>
      <c r="AJ872" s="35">
        <f>cadangan3[[#This Row],[Provit A + Diskon]]+cadangan3[[#This Row],[Provit B + Diskon]]+cadangan3[[#This Row],[Provit C + Diskon]]</f>
        <v>382500</v>
      </c>
      <c r="AK872" s="23" t="s">
        <v>32</v>
      </c>
      <c r="AL872" s="37">
        <f>IFERROR(INDEX('Kode Diskon'!$D$3:$D$9,MATCH(cadangan3[[#This Row],[Kode diskon]],'Kode Diskon'!$C$3:$C$9,0)),"-")</f>
        <v>0.15</v>
      </c>
      <c r="AM872" s="23" t="s">
        <v>9</v>
      </c>
      <c r="AN872" s="23" t="s">
        <v>12</v>
      </c>
      <c r="AO872" s="23" t="s">
        <v>78</v>
      </c>
      <c r="AP872" s="24">
        <v>45039</v>
      </c>
      <c r="AQ872" s="23" t="str">
        <f>TEXT(cadangan3[[#This Row],[Tanggal terjual]],"dddd")</f>
        <v>Sunday</v>
      </c>
    </row>
    <row r="873" spans="1:43" x14ac:dyDescent="0.2">
      <c r="A873" s="20">
        <v>872</v>
      </c>
      <c r="B873" s="21" t="str">
        <f>_xlfn.CONCAT("ORD-",INDEX(Helper!$B$2:$B$5,MATCH(cadangan3[[#This Row],[Marketplace]],Helper!$A$2:$A$5,0)),TEXT(cadangan3[[#This Row],[No]],"0000"),"-",TEXT(cadangan3[[#This Row],[Tanggal terjual]],"dd/mm/yy"))</f>
        <v>ORD-TK0872-18/04/23</v>
      </c>
      <c r="C873" t="s">
        <v>59</v>
      </c>
      <c r="D873" t="str">
        <f>IFERROR(INDEX(Katalog!$A$3:$A$12,MATCH(cadangan3[[#This Row],[ItemID A]],Katalog!$C$3:$C$12,0)),"-")</f>
        <v>Pakaian Wanita</v>
      </c>
      <c r="E873" t="str">
        <f>IFERROR(INDEX(Katalog!$B$3:$B$12,MATCH(cadangan3[[#This Row],[ItemID A]],Katalog!$C$3:$C$12,0)),"-")</f>
        <v>Blouse</v>
      </c>
      <c r="F873">
        <v>7</v>
      </c>
      <c r="G873">
        <v>5</v>
      </c>
      <c r="H873" s="36">
        <f>IFERROR(INDEX(Katalog!$D$3:$D$12,MATCH(cadangan3[[#This Row],[ItemID A]],Katalog!$C$3:$C$12,0))*cadangan3[[#This Row],[Qty A]],0)</f>
        <v>1050000</v>
      </c>
      <c r="I873" s="36">
        <f>IFERROR(INDEX(Katalog!$D$3:$D$12,MATCH(cadangan3[[#This Row],[Item A]],Katalog!$B$3:$B$12,0))*cadangan3[[#This Row],[Qty A]],0)</f>
        <v>1050000</v>
      </c>
      <c r="J873" s="36">
        <f>IFERROR(cadangan3[[#This Row],[Harga Asli A]]-(cadangan3[[#This Row],[Harga Asli A]]*cadangan3[[#This Row],[Diskon]]),cadangan3[[#This Row],[Harga Asli A]])</f>
        <v>945000</v>
      </c>
      <c r="K873" s="36">
        <f>INDEX(Katalog!$F$3:$F$12,MATCH(cadangan3[[#This Row],[ItemID A]],Katalog!$C$3:$C$12,0))*cadangan3[[#This Row],[Qty A]]</f>
        <v>350000</v>
      </c>
      <c r="L873" s="36">
        <f>IFERROR(cadangan3[[#This Row],[Profit A]]-(cadangan3[[#This Row],[Profit A]]*cadangan3[[#This Row],[Diskon]]),K873)</f>
        <v>315000</v>
      </c>
      <c r="N873" t="str">
        <f>IFERROR(INDEX(Katalog!$A$3:$A$12,MATCH(cadangan3[[#This Row],[ItemID B]],Katalog!$C$3:$C$12,0)),"-")</f>
        <v>-</v>
      </c>
      <c r="O873" t="str">
        <f>IFERROR(INDEX(Katalog!$B$3:$B$12,MATCH(cadangan3[[#This Row],[ItemID B]],Katalog!$C$3:$C$12,0)),"-")</f>
        <v>-</v>
      </c>
      <c r="R873" s="36">
        <f>IFERROR(INDEX(Katalog!$D$3:$D$12,MATCH(cadangan3[[#This Row],[ItemID B]],Katalog!$C$3:$C$12,0))*cadangan3[[#This Row],[Qty B]],0)</f>
        <v>0</v>
      </c>
      <c r="S873" s="36">
        <f>IFERROR(INDEX(Katalog!$D$3:$D$12,MATCH(cadangan3[[#This Row],[Item B]],Katalog!$B$3:$B$12,0))*cadangan3[[#This Row],[Qty B]],0)</f>
        <v>0</v>
      </c>
      <c r="T873" s="36">
        <f>IFERROR(cadangan3[[#This Row],[Harga Asli B]]-(cadangan3[[#This Row],[Harga Asli B]]*cadangan3[[#This Row],[Diskon]]),cadangan3[[#This Row],[Harga Asli B]])</f>
        <v>0</v>
      </c>
      <c r="U873" s="36">
        <f>IFERROR(INDEX(Katalog!$F$3:$F$12,MATCH(cadangan3[[#This Row],[ItemID B]],Katalog!$C$3:$C$12,0))*cadangan3[[#This Row],[Qty B]],0)</f>
        <v>0</v>
      </c>
      <c r="V873" s="36">
        <f>IFERROR(cadangan3[[#This Row],[Profit B]]-(cadangan3[[#This Row],[Profit B]]*cadangan3[[#This Row],[Diskon]]),U873)</f>
        <v>0</v>
      </c>
      <c r="X873" t="str">
        <f>IFERROR(INDEX(Katalog!$A$3:$A$12,MATCH(cadangan3[[#This Row],[ItemID C]],Katalog!$C$3:$C$12,0)),"-")</f>
        <v>-</v>
      </c>
      <c r="Y873" t="str">
        <f>IFERROR(INDEX(Katalog!$B$3:$B$12,MATCH(cadangan3[[#This Row],[ItemID C]],Katalog!$C$3:$C$12,0)),"-")</f>
        <v>-</v>
      </c>
      <c r="AB873" s="36">
        <f>IFERROR(INDEX(Katalog!$D$3:$D$12,MATCH(cadangan3[[#This Row],[ItemID C]],Katalog!$C$3:$C$12,0))*cadangan3[[#This Row],[Qty C]],0)</f>
        <v>0</v>
      </c>
      <c r="AC873" s="36">
        <f>IFERROR(INDEX(Katalog!$D$3:$D$12,MATCH(cadangan3[[#This Row],[Item C]],Katalog!$B$3:$B$12,0))*cadangan3[[#This Row],[Qty C]],0)</f>
        <v>0</v>
      </c>
      <c r="AD873" s="36">
        <f>IFERROR(cadangan3[[#This Row],[Harga Asli C]]-(cadangan3[[#This Row],[Harga Asli C]]*cadangan3[[#This Row],[Diskon]]),cadangan3[[#This Row],[Harga Asli C]])</f>
        <v>0</v>
      </c>
      <c r="AE873" s="36">
        <f>IFERROR(INDEX(Katalog!$F$3:$F$12,MATCH(cadangan3[[#This Row],[ItemID C]],Katalog!$C$3:$C$12,0))*cadangan3[[#This Row],[Qty C]],0)</f>
        <v>0</v>
      </c>
      <c r="AF873" s="36">
        <f>IFERROR(cadangan3[[#This Row],[Profit C]]-(cadangan3[[#This Row],[Profit C]]*cadangan3[[#This Row],[Diskon]]),cadangan3[[#This Row],[Profit C]])</f>
        <v>0</v>
      </c>
      <c r="AG873" s="21">
        <f>cadangan3[[#This Row],[Qty A]]+cadangan3[[#This Row],[Qty B]]+cadangan3[[#This Row],[Qty C]]</f>
        <v>7</v>
      </c>
      <c r="AH873" s="35">
        <f>cadangan3[[#This Row],[Harga A + Diskon]]+cadangan3[[#This Row],[Harga + Diskon B]]+cadangan3[[#This Row],[Harga + Diskon C]]</f>
        <v>945000</v>
      </c>
      <c r="AI873" s="35">
        <f>(cadangan3[[#This Row],[Profit A]]+cadangan3[[#This Row],[Profit B]]+cadangan3[[#This Row],[Profit C]])</f>
        <v>350000</v>
      </c>
      <c r="AJ873" s="35">
        <f>cadangan3[[#This Row],[Provit A + Diskon]]+cadangan3[[#This Row],[Provit B + Diskon]]+cadangan3[[#This Row],[Provit C + Diskon]]</f>
        <v>315000</v>
      </c>
      <c r="AK873" s="23" t="s">
        <v>31</v>
      </c>
      <c r="AL873" s="37">
        <f>IFERROR(INDEX('Kode Diskon'!$D$3:$D$9,MATCH(cadangan3[[#This Row],[Kode diskon]],'Kode Diskon'!$C$3:$C$9,0)),"-")</f>
        <v>0.1</v>
      </c>
      <c r="AM873" s="23" t="s">
        <v>9</v>
      </c>
      <c r="AN873" s="23" t="s">
        <v>10</v>
      </c>
      <c r="AO873" s="23" t="s">
        <v>80</v>
      </c>
      <c r="AP873" s="24">
        <v>45034</v>
      </c>
      <c r="AQ873" s="23" t="str">
        <f>TEXT(cadangan3[[#This Row],[Tanggal terjual]],"dddd")</f>
        <v>Tuesday</v>
      </c>
    </row>
    <row r="874" spans="1:43" x14ac:dyDescent="0.2">
      <c r="A874" s="20">
        <v>873</v>
      </c>
      <c r="B874" s="21" t="str">
        <f>_xlfn.CONCAT("ORD-",INDEX(Helper!$B$2:$B$5,MATCH(cadangan3[[#This Row],[Marketplace]],Helper!$A$2:$A$5,0)),TEXT(cadangan3[[#This Row],[No]],"0000"),"-",TEXT(cadangan3[[#This Row],[Tanggal terjual]],"dd/mm/yy"))</f>
        <v>ORD-TK0873-01/04/23</v>
      </c>
      <c r="C874" t="s">
        <v>61</v>
      </c>
      <c r="D874" t="str">
        <f>IFERROR(INDEX(Katalog!$A$3:$A$12,MATCH(cadangan3[[#This Row],[ItemID A]],Katalog!$C$3:$C$12,0)),"-")</f>
        <v>Pakaian Pria</v>
      </c>
      <c r="E874" t="str">
        <f>IFERROR(INDEX(Katalog!$B$3:$B$12,MATCH(cadangan3[[#This Row],[ItemID A]],Katalog!$C$3:$C$12,0)),"-")</f>
        <v>Kaos Polo</v>
      </c>
      <c r="F874">
        <v>1</v>
      </c>
      <c r="G874">
        <v>3</v>
      </c>
      <c r="H874" s="36">
        <f>IFERROR(INDEX(Katalog!$D$3:$D$12,MATCH(cadangan3[[#This Row],[ItemID A]],Katalog!$C$3:$C$12,0))*cadangan3[[#This Row],[Qty A]],0)</f>
        <v>200000</v>
      </c>
      <c r="I874" s="36">
        <f>IFERROR(INDEX(Katalog!$D$3:$D$12,MATCH(cadangan3[[#This Row],[Item A]],Katalog!$B$3:$B$12,0))*cadangan3[[#This Row],[Qty A]],0)</f>
        <v>200000</v>
      </c>
      <c r="J874" s="36">
        <f>IFERROR(cadangan3[[#This Row],[Harga Asli A]]-(cadangan3[[#This Row],[Harga Asli A]]*cadangan3[[#This Row],[Diskon]]),cadangan3[[#This Row],[Harga Asli A]])</f>
        <v>180000</v>
      </c>
      <c r="K874" s="36">
        <f>INDEX(Katalog!$F$3:$F$12,MATCH(cadangan3[[#This Row],[ItemID A]],Katalog!$C$3:$C$12,0))*cadangan3[[#This Row],[Qty A]]</f>
        <v>80000</v>
      </c>
      <c r="L874" s="36">
        <f>IFERROR(cadangan3[[#This Row],[Profit A]]-(cadangan3[[#This Row],[Profit A]]*cadangan3[[#This Row],[Diskon]]),K874)</f>
        <v>72000</v>
      </c>
      <c r="M874" t="s">
        <v>64</v>
      </c>
      <c r="N874" t="str">
        <f>IFERROR(INDEX(Katalog!$A$3:$A$12,MATCH(cadangan3[[#This Row],[ItemID B]],Katalog!$C$3:$C$12,0)),"-")</f>
        <v>Pakaian Unisex</v>
      </c>
      <c r="O874" t="str">
        <f>IFERROR(INDEX(Katalog!$B$3:$B$12,MATCH(cadangan3[[#This Row],[ItemID B]],Katalog!$C$3:$C$12,0)),"-")</f>
        <v>Jaket Hoodie</v>
      </c>
      <c r="P874">
        <v>2</v>
      </c>
      <c r="Q874">
        <v>5</v>
      </c>
      <c r="R874" s="36">
        <f>IFERROR(INDEX(Katalog!$D$3:$D$12,MATCH(cadangan3[[#This Row],[ItemID B]],Katalog!$C$3:$C$12,0))*cadangan3[[#This Row],[Qty B]],0)</f>
        <v>700000</v>
      </c>
      <c r="S874" s="36">
        <f>IFERROR(INDEX(Katalog!$D$3:$D$12,MATCH(cadangan3[[#This Row],[Item B]],Katalog!$B$3:$B$12,0))*cadangan3[[#This Row],[Qty B]],0)</f>
        <v>700000</v>
      </c>
      <c r="T874" s="36">
        <f>IFERROR(cadangan3[[#This Row],[Harga Asli B]]-(cadangan3[[#This Row],[Harga Asli B]]*cadangan3[[#This Row],[Diskon]]),cadangan3[[#This Row],[Harga Asli B]])</f>
        <v>630000</v>
      </c>
      <c r="U874" s="36">
        <f>IFERROR(INDEX(Katalog!$F$3:$F$12,MATCH(cadangan3[[#This Row],[ItemID B]],Katalog!$C$3:$C$12,0))*cadangan3[[#This Row],[Qty B]],0)</f>
        <v>260000</v>
      </c>
      <c r="V874" s="36">
        <f>IFERROR(cadangan3[[#This Row],[Profit B]]-(cadangan3[[#This Row],[Profit B]]*cadangan3[[#This Row],[Diskon]]),U874)</f>
        <v>234000</v>
      </c>
      <c r="W874" t="s">
        <v>62</v>
      </c>
      <c r="X874" t="str">
        <f>IFERROR(INDEX(Katalog!$A$3:$A$12,MATCH(cadangan3[[#This Row],[ItemID C]],Katalog!$C$3:$C$12,0)),"-")</f>
        <v>Pakaian Pria</v>
      </c>
      <c r="Y874" t="str">
        <f>IFERROR(INDEX(Katalog!$B$3:$B$12,MATCH(cadangan3[[#This Row],[ItemID C]],Katalog!$C$3:$C$12,0)),"-")</f>
        <v>Celana Pendek</v>
      </c>
      <c r="Z874">
        <v>1</v>
      </c>
      <c r="AA874">
        <v>4</v>
      </c>
      <c r="AB874" s="36">
        <f>IFERROR(INDEX(Katalog!$D$3:$D$12,MATCH(cadangan3[[#This Row],[ItemID C]],Katalog!$C$3:$C$12,0))*cadangan3[[#This Row],[Qty C]],0)</f>
        <v>180000</v>
      </c>
      <c r="AC874" s="36">
        <f>IFERROR(INDEX(Katalog!$D$3:$D$12,MATCH(cadangan3[[#This Row],[Item C]],Katalog!$B$3:$B$12,0))*cadangan3[[#This Row],[Qty C]],0)</f>
        <v>180000</v>
      </c>
      <c r="AD874" s="36">
        <f>IFERROR(cadangan3[[#This Row],[Harga Asli C]]-(cadangan3[[#This Row],[Harga Asli C]]*cadangan3[[#This Row],[Diskon]]),cadangan3[[#This Row],[Harga Asli C]])</f>
        <v>162000</v>
      </c>
      <c r="AE874" s="36">
        <f>IFERROR(INDEX(Katalog!$F$3:$F$12,MATCH(cadangan3[[#This Row],[ItemID C]],Katalog!$C$3:$C$12,0))*cadangan3[[#This Row],[Qty C]],0)</f>
        <v>70000</v>
      </c>
      <c r="AF874" s="36">
        <f>IFERROR(cadangan3[[#This Row],[Profit C]]-(cadangan3[[#This Row],[Profit C]]*cadangan3[[#This Row],[Diskon]]),cadangan3[[#This Row],[Profit C]])</f>
        <v>63000</v>
      </c>
      <c r="AG874" s="21">
        <f>cadangan3[[#This Row],[Qty A]]+cadangan3[[#This Row],[Qty B]]+cadangan3[[#This Row],[Qty C]]</f>
        <v>4</v>
      </c>
      <c r="AH874" s="35">
        <f>cadangan3[[#This Row],[Harga A + Diskon]]+cadangan3[[#This Row],[Harga + Diskon B]]+cadangan3[[#This Row],[Harga + Diskon C]]</f>
        <v>972000</v>
      </c>
      <c r="AI874" s="35">
        <f>(cadangan3[[#This Row],[Profit A]]+cadangan3[[#This Row],[Profit B]]+cadangan3[[#This Row],[Profit C]])</f>
        <v>410000</v>
      </c>
      <c r="AJ874" s="35">
        <f>cadangan3[[#This Row],[Provit A + Diskon]]+cadangan3[[#This Row],[Provit B + Diskon]]+cadangan3[[#This Row],[Provit C + Diskon]]</f>
        <v>369000</v>
      </c>
      <c r="AK874" s="23" t="s">
        <v>30</v>
      </c>
      <c r="AL874" s="37">
        <f>IFERROR(INDEX('Kode Diskon'!$D$3:$D$9,MATCH(cadangan3[[#This Row],[Kode diskon]],'Kode Diskon'!$C$3:$C$9,0)),"-")</f>
        <v>0.1</v>
      </c>
      <c r="AM874" s="23" t="s">
        <v>29</v>
      </c>
      <c r="AN874" s="23" t="s">
        <v>10</v>
      </c>
      <c r="AO874" s="23" t="s">
        <v>79</v>
      </c>
      <c r="AP874" s="24">
        <v>45017</v>
      </c>
      <c r="AQ874" s="23" t="str">
        <f>TEXT(cadangan3[[#This Row],[Tanggal terjual]],"dddd")</f>
        <v>Saturday</v>
      </c>
    </row>
    <row r="875" spans="1:43" x14ac:dyDescent="0.2">
      <c r="A875" s="20">
        <v>874</v>
      </c>
      <c r="B875" s="21" t="str">
        <f>_xlfn.CONCAT("ORD-",INDEX(Helper!$B$2:$B$5,MATCH(cadangan3[[#This Row],[Marketplace]],Helper!$A$2:$A$5,0)),TEXT(cadangan3[[#This Row],[No]],"0000"),"-",TEXT(cadangan3[[#This Row],[Tanggal terjual]],"dd/mm/yy"))</f>
        <v>ORD-TK0874-23/04/23</v>
      </c>
      <c r="C875" t="s">
        <v>65</v>
      </c>
      <c r="D875" t="str">
        <f>IFERROR(INDEX(Katalog!$A$3:$A$12,MATCH(cadangan3[[#This Row],[ItemID A]],Katalog!$C$3:$C$12,0)),"-")</f>
        <v>Sepatu Pria</v>
      </c>
      <c r="E875" t="str">
        <f>IFERROR(INDEX(Katalog!$B$3:$B$12,MATCH(cadangan3[[#This Row],[ItemID A]],Katalog!$C$3:$C$12,0)),"-")</f>
        <v>Sneakers</v>
      </c>
      <c r="F875">
        <v>2</v>
      </c>
      <c r="G875">
        <v>4</v>
      </c>
      <c r="H875" s="36">
        <f>IFERROR(INDEX(Katalog!$D$3:$D$12,MATCH(cadangan3[[#This Row],[ItemID A]],Katalog!$C$3:$C$12,0))*cadangan3[[#This Row],[Qty A]],0)</f>
        <v>1000000</v>
      </c>
      <c r="I875" s="36">
        <f>IFERROR(INDEX(Katalog!$D$3:$D$12,MATCH(cadangan3[[#This Row],[Item A]],Katalog!$B$3:$B$12,0))*cadangan3[[#This Row],[Qty A]],0)</f>
        <v>1000000</v>
      </c>
      <c r="J875" s="36">
        <f>IFERROR(cadangan3[[#This Row],[Harga Asli A]]-(cadangan3[[#This Row],[Harga Asli A]]*cadangan3[[#This Row],[Diskon]]),cadangan3[[#This Row],[Harga Asli A]])</f>
        <v>900000</v>
      </c>
      <c r="K875" s="36">
        <f>INDEX(Katalog!$F$3:$F$12,MATCH(cadangan3[[#This Row],[ItemID A]],Katalog!$C$3:$C$12,0))*cadangan3[[#This Row],[Qty A]]</f>
        <v>400000</v>
      </c>
      <c r="L875" s="36">
        <f>IFERROR(cadangan3[[#This Row],[Profit A]]-(cadangan3[[#This Row],[Profit A]]*cadangan3[[#This Row],[Diskon]]),K875)</f>
        <v>360000</v>
      </c>
      <c r="M875" t="s">
        <v>63</v>
      </c>
      <c r="N875" t="str">
        <f>IFERROR(INDEX(Katalog!$A$3:$A$12,MATCH(cadangan3[[#This Row],[ItemID B]],Katalog!$C$3:$C$12,0)),"-")</f>
        <v>Pakaian Pria</v>
      </c>
      <c r="O875" t="str">
        <f>IFERROR(INDEX(Katalog!$B$3:$B$12,MATCH(cadangan3[[#This Row],[ItemID B]],Katalog!$C$3:$C$12,0)),"-")</f>
        <v>Jaket Jeans</v>
      </c>
      <c r="P875">
        <v>1</v>
      </c>
      <c r="Q875">
        <v>3</v>
      </c>
      <c r="R875" s="36">
        <f>IFERROR(INDEX(Katalog!$D$3:$D$12,MATCH(cadangan3[[#This Row],[ItemID B]],Katalog!$C$3:$C$12,0))*cadangan3[[#This Row],[Qty B]],0)</f>
        <v>400000</v>
      </c>
      <c r="S875" s="36">
        <f>IFERROR(INDEX(Katalog!$D$3:$D$12,MATCH(cadangan3[[#This Row],[Item B]],Katalog!$B$3:$B$12,0))*cadangan3[[#This Row],[Qty B]],0)</f>
        <v>400000</v>
      </c>
      <c r="T875" s="36">
        <f>IFERROR(cadangan3[[#This Row],[Harga Asli B]]-(cadangan3[[#This Row],[Harga Asli B]]*cadangan3[[#This Row],[Diskon]]),cadangan3[[#This Row],[Harga Asli B]])</f>
        <v>360000</v>
      </c>
      <c r="U875" s="36">
        <f>IFERROR(INDEX(Katalog!$F$3:$F$12,MATCH(cadangan3[[#This Row],[ItemID B]],Katalog!$C$3:$C$12,0))*cadangan3[[#This Row],[Qty B]],0)</f>
        <v>150000</v>
      </c>
      <c r="V875" s="36">
        <f>IFERROR(cadangan3[[#This Row],[Profit B]]-(cadangan3[[#This Row],[Profit B]]*cadangan3[[#This Row],[Diskon]]),U875)</f>
        <v>135000</v>
      </c>
      <c r="W875" t="s">
        <v>67</v>
      </c>
      <c r="X875" t="str">
        <f>IFERROR(INDEX(Katalog!$A$3:$A$12,MATCH(cadangan3[[#This Row],[ItemID C]],Katalog!$C$3:$C$12,0)),"-")</f>
        <v>Sepatu Wanita</v>
      </c>
      <c r="Y875" t="str">
        <f>IFERROR(INDEX(Katalog!$B$3:$B$12,MATCH(cadangan3[[#This Row],[ItemID C]],Katalog!$C$3:$C$12,0)),"-")</f>
        <v>Flat Shoes</v>
      </c>
      <c r="Z875">
        <v>4</v>
      </c>
      <c r="AA875">
        <v>2</v>
      </c>
      <c r="AB875" s="36">
        <f>IFERROR(INDEX(Katalog!$D$3:$D$12,MATCH(cadangan3[[#This Row],[ItemID C]],Katalog!$C$3:$C$12,0))*cadangan3[[#This Row],[Qty C]],0)</f>
        <v>1000000</v>
      </c>
      <c r="AC875" s="36">
        <f>IFERROR(INDEX(Katalog!$D$3:$D$12,MATCH(cadangan3[[#This Row],[Item C]],Katalog!$B$3:$B$12,0))*cadangan3[[#This Row],[Qty C]],0)</f>
        <v>1000000</v>
      </c>
      <c r="AD875" s="36">
        <f>IFERROR(cadangan3[[#This Row],[Harga Asli C]]-(cadangan3[[#This Row],[Harga Asli C]]*cadangan3[[#This Row],[Diskon]]),cadangan3[[#This Row],[Harga Asli C]])</f>
        <v>900000</v>
      </c>
      <c r="AE875" s="36">
        <f>IFERROR(INDEX(Katalog!$F$3:$F$12,MATCH(cadangan3[[#This Row],[ItemID C]],Katalog!$C$3:$C$12,0))*cadangan3[[#This Row],[Qty C]],0)</f>
        <v>400000</v>
      </c>
      <c r="AF875" s="36">
        <f>IFERROR(cadangan3[[#This Row],[Profit C]]-(cadangan3[[#This Row],[Profit C]]*cadangan3[[#This Row],[Diskon]]),cadangan3[[#This Row],[Profit C]])</f>
        <v>360000</v>
      </c>
      <c r="AG875" s="21">
        <f>cadangan3[[#This Row],[Qty A]]+cadangan3[[#This Row],[Qty B]]+cadangan3[[#This Row],[Qty C]]</f>
        <v>7</v>
      </c>
      <c r="AH875" s="35">
        <f>cadangan3[[#This Row],[Harga A + Diskon]]+cadangan3[[#This Row],[Harga + Diskon B]]+cadangan3[[#This Row],[Harga + Diskon C]]</f>
        <v>2160000</v>
      </c>
      <c r="AI875" s="35">
        <f>(cadangan3[[#This Row],[Profit A]]+cadangan3[[#This Row],[Profit B]]+cadangan3[[#This Row],[Profit C]])</f>
        <v>950000</v>
      </c>
      <c r="AJ875" s="35">
        <f>cadangan3[[#This Row],[Provit A + Diskon]]+cadangan3[[#This Row],[Provit B + Diskon]]+cadangan3[[#This Row],[Provit C + Diskon]]</f>
        <v>855000</v>
      </c>
      <c r="AK875" s="23" t="s">
        <v>31</v>
      </c>
      <c r="AL875" s="37">
        <f>IFERROR(INDEX('Kode Diskon'!$D$3:$D$9,MATCH(cadangan3[[#This Row],[Kode diskon]],'Kode Diskon'!$C$3:$C$9,0)),"-")</f>
        <v>0.1</v>
      </c>
      <c r="AM875" s="23" t="s">
        <v>9</v>
      </c>
      <c r="AN875" s="23" t="s">
        <v>10</v>
      </c>
      <c r="AO875" s="23" t="s">
        <v>80</v>
      </c>
      <c r="AP875" s="24">
        <v>45039</v>
      </c>
      <c r="AQ875" s="23" t="str">
        <f>TEXT(cadangan3[[#This Row],[Tanggal terjual]],"dddd")</f>
        <v>Sunday</v>
      </c>
    </row>
    <row r="876" spans="1:43" x14ac:dyDescent="0.2">
      <c r="A876" s="20">
        <v>875</v>
      </c>
      <c r="B876" s="21" t="str">
        <f>_xlfn.CONCAT("ORD-",INDEX(Helper!$B$2:$B$5,MATCH(cadangan3[[#This Row],[Marketplace]],Helper!$A$2:$A$5,0)),TEXT(cadangan3[[#This Row],[No]],"0000"),"-",TEXT(cadangan3[[#This Row],[Tanggal terjual]],"dd/mm/yy"))</f>
        <v>ORD-BL0875-21/04/23</v>
      </c>
      <c r="C876" t="s">
        <v>60</v>
      </c>
      <c r="D876" t="str">
        <f>IFERROR(INDEX(Katalog!$A$3:$A$12,MATCH(cadangan3[[#This Row],[ItemID A]],Katalog!$C$3:$C$12,0)),"-")</f>
        <v>Pakaian Wanita</v>
      </c>
      <c r="E876" t="str">
        <f>IFERROR(INDEX(Katalog!$B$3:$B$12,MATCH(cadangan3[[#This Row],[ItemID A]],Katalog!$C$3:$C$12,0)),"-")</f>
        <v>Kaftan</v>
      </c>
      <c r="F876">
        <v>4</v>
      </c>
      <c r="G876">
        <v>1</v>
      </c>
      <c r="H876" s="36">
        <f>IFERROR(INDEX(Katalog!$D$3:$D$12,MATCH(cadangan3[[#This Row],[ItemID A]],Katalog!$C$3:$C$12,0))*cadangan3[[#This Row],[Qty A]],0)</f>
        <v>1000000</v>
      </c>
      <c r="I876" s="36">
        <f>IFERROR(INDEX(Katalog!$D$3:$D$12,MATCH(cadangan3[[#This Row],[Item A]],Katalog!$B$3:$B$12,0))*cadangan3[[#This Row],[Qty A]],0)</f>
        <v>1000000</v>
      </c>
      <c r="J876" s="36">
        <f>IFERROR(cadangan3[[#This Row],[Harga Asli A]]-(cadangan3[[#This Row],[Harga Asli A]]*cadangan3[[#This Row],[Diskon]]),cadangan3[[#This Row],[Harga Asli A]])</f>
        <v>850000</v>
      </c>
      <c r="K876" s="36">
        <f>INDEX(Katalog!$F$3:$F$12,MATCH(cadangan3[[#This Row],[ItemID A]],Katalog!$C$3:$C$12,0))*cadangan3[[#This Row],[Qty A]]</f>
        <v>400000</v>
      </c>
      <c r="L876" s="36">
        <f>IFERROR(cadangan3[[#This Row],[Profit A]]-(cadangan3[[#This Row],[Profit A]]*cadangan3[[#This Row],[Diskon]]),K876)</f>
        <v>340000</v>
      </c>
      <c r="M876" t="s">
        <v>63</v>
      </c>
      <c r="N876" t="str">
        <f>IFERROR(INDEX(Katalog!$A$3:$A$12,MATCH(cadangan3[[#This Row],[ItemID B]],Katalog!$C$3:$C$12,0)),"-")</f>
        <v>Pakaian Pria</v>
      </c>
      <c r="O876" t="str">
        <f>IFERROR(INDEX(Katalog!$B$3:$B$12,MATCH(cadangan3[[#This Row],[ItemID B]],Katalog!$C$3:$C$12,0)),"-")</f>
        <v>Jaket Jeans</v>
      </c>
      <c r="P876">
        <v>2</v>
      </c>
      <c r="Q876">
        <v>4</v>
      </c>
      <c r="R876" s="36">
        <f>IFERROR(INDEX(Katalog!$D$3:$D$12,MATCH(cadangan3[[#This Row],[ItemID B]],Katalog!$C$3:$C$12,0))*cadangan3[[#This Row],[Qty B]],0)</f>
        <v>800000</v>
      </c>
      <c r="S876" s="36">
        <f>IFERROR(INDEX(Katalog!$D$3:$D$12,MATCH(cadangan3[[#This Row],[Item B]],Katalog!$B$3:$B$12,0))*cadangan3[[#This Row],[Qty B]],0)</f>
        <v>800000</v>
      </c>
      <c r="T876" s="36">
        <f>IFERROR(cadangan3[[#This Row],[Harga Asli B]]-(cadangan3[[#This Row],[Harga Asli B]]*cadangan3[[#This Row],[Diskon]]),cadangan3[[#This Row],[Harga Asli B]])</f>
        <v>680000</v>
      </c>
      <c r="U876" s="36">
        <f>IFERROR(INDEX(Katalog!$F$3:$F$12,MATCH(cadangan3[[#This Row],[ItemID B]],Katalog!$C$3:$C$12,0))*cadangan3[[#This Row],[Qty B]],0)</f>
        <v>300000</v>
      </c>
      <c r="V876" s="36">
        <f>IFERROR(cadangan3[[#This Row],[Profit B]]-(cadangan3[[#This Row],[Profit B]]*cadangan3[[#This Row],[Diskon]]),U876)</f>
        <v>255000</v>
      </c>
      <c r="X876" t="str">
        <f>IFERROR(INDEX(Katalog!$A$3:$A$12,MATCH(cadangan3[[#This Row],[ItemID C]],Katalog!$C$3:$C$12,0)),"-")</f>
        <v>-</v>
      </c>
      <c r="Y876" t="str">
        <f>IFERROR(INDEX(Katalog!$B$3:$B$12,MATCH(cadangan3[[#This Row],[ItemID C]],Katalog!$C$3:$C$12,0)),"-")</f>
        <v>-</v>
      </c>
      <c r="AB876" s="36">
        <f>IFERROR(INDEX(Katalog!$D$3:$D$12,MATCH(cadangan3[[#This Row],[ItemID C]],Katalog!$C$3:$C$12,0))*cadangan3[[#This Row],[Qty C]],0)</f>
        <v>0</v>
      </c>
      <c r="AC876" s="36">
        <f>IFERROR(INDEX(Katalog!$D$3:$D$12,MATCH(cadangan3[[#This Row],[Item C]],Katalog!$B$3:$B$12,0))*cadangan3[[#This Row],[Qty C]],0)</f>
        <v>0</v>
      </c>
      <c r="AD876" s="36">
        <f>IFERROR(cadangan3[[#This Row],[Harga Asli C]]-(cadangan3[[#This Row],[Harga Asli C]]*cadangan3[[#This Row],[Diskon]]),cadangan3[[#This Row],[Harga Asli C]])</f>
        <v>0</v>
      </c>
      <c r="AE876" s="36">
        <f>IFERROR(INDEX(Katalog!$F$3:$F$12,MATCH(cadangan3[[#This Row],[ItemID C]],Katalog!$C$3:$C$12,0))*cadangan3[[#This Row],[Qty C]],0)</f>
        <v>0</v>
      </c>
      <c r="AF876" s="36">
        <f>IFERROR(cadangan3[[#This Row],[Profit C]]-(cadangan3[[#This Row],[Profit C]]*cadangan3[[#This Row],[Diskon]]),cadangan3[[#This Row],[Profit C]])</f>
        <v>0</v>
      </c>
      <c r="AG876" s="21">
        <f>cadangan3[[#This Row],[Qty A]]+cadangan3[[#This Row],[Qty B]]+cadangan3[[#This Row],[Qty C]]</f>
        <v>6</v>
      </c>
      <c r="AH876" s="35">
        <f>cadangan3[[#This Row],[Harga A + Diskon]]+cadangan3[[#This Row],[Harga + Diskon B]]+cadangan3[[#This Row],[Harga + Diskon C]]</f>
        <v>1530000</v>
      </c>
      <c r="AI876" s="35">
        <f>(cadangan3[[#This Row],[Profit A]]+cadangan3[[#This Row],[Profit B]]+cadangan3[[#This Row],[Profit C]])</f>
        <v>700000</v>
      </c>
      <c r="AJ876" s="35">
        <f>cadangan3[[#This Row],[Provit A + Diskon]]+cadangan3[[#This Row],[Provit B + Diskon]]+cadangan3[[#This Row],[Provit C + Diskon]]</f>
        <v>595000</v>
      </c>
      <c r="AK876" s="23" t="s">
        <v>32</v>
      </c>
      <c r="AL876" s="37">
        <f>IFERROR(INDEX('Kode Diskon'!$D$3:$D$9,MATCH(cadangan3[[#This Row],[Kode diskon]],'Kode Diskon'!$C$3:$C$9,0)),"-")</f>
        <v>0.15</v>
      </c>
      <c r="AM876" s="23" t="s">
        <v>9</v>
      </c>
      <c r="AN876" s="23" t="s">
        <v>12</v>
      </c>
      <c r="AO876" s="23" t="s">
        <v>80</v>
      </c>
      <c r="AP876" s="24">
        <v>45037</v>
      </c>
      <c r="AQ876" s="23" t="str">
        <f>TEXT(cadangan3[[#This Row],[Tanggal terjual]],"dddd")</f>
        <v>Friday</v>
      </c>
    </row>
    <row r="877" spans="1:43" x14ac:dyDescent="0.2">
      <c r="A877" s="20">
        <v>876</v>
      </c>
      <c r="B877" s="21" t="str">
        <f>_xlfn.CONCAT("ORD-",INDEX(Helper!$B$2:$B$5,MATCH(cadangan3[[#This Row],[Marketplace]],Helper!$A$2:$A$5,0)),TEXT(cadangan3[[#This Row],[No]],"0000"),"-",TEXT(cadangan3[[#This Row],[Tanggal terjual]],"dd/mm/yy"))</f>
        <v>ORD-SP0876-01/04/23</v>
      </c>
      <c r="C877" t="s">
        <v>58</v>
      </c>
      <c r="D877" t="str">
        <f>IFERROR(INDEX(Katalog!$A$3:$A$12,MATCH(cadangan3[[#This Row],[ItemID A]],Katalog!$C$3:$C$12,0)),"-")</f>
        <v>Pakaian Wanita</v>
      </c>
      <c r="E877" t="str">
        <f>IFERROR(INDEX(Katalog!$B$3:$B$12,MATCH(cadangan3[[#This Row],[ItemID A]],Katalog!$C$3:$C$12,0)),"-")</f>
        <v>Dress</v>
      </c>
      <c r="F877">
        <v>1</v>
      </c>
      <c r="G877">
        <v>2</v>
      </c>
      <c r="H877" s="36">
        <f>IFERROR(INDEX(Katalog!$D$3:$D$12,MATCH(cadangan3[[#This Row],[ItemID A]],Katalog!$C$3:$C$12,0))*cadangan3[[#This Row],[Qty A]],0)</f>
        <v>300000</v>
      </c>
      <c r="I877" s="36">
        <f>IFERROR(INDEX(Katalog!$D$3:$D$12,MATCH(cadangan3[[#This Row],[Item A]],Katalog!$B$3:$B$12,0))*cadangan3[[#This Row],[Qty A]],0)</f>
        <v>300000</v>
      </c>
      <c r="J877" s="36">
        <f>IFERROR(cadangan3[[#This Row],[Harga Asli A]]-(cadangan3[[#This Row],[Harga Asli A]]*cadangan3[[#This Row],[Diskon]]),cadangan3[[#This Row],[Harga Asli A]])</f>
        <v>255000</v>
      </c>
      <c r="K877" s="36">
        <f>INDEX(Katalog!$F$3:$F$12,MATCH(cadangan3[[#This Row],[ItemID A]],Katalog!$C$3:$C$12,0))*cadangan3[[#This Row],[Qty A]]</f>
        <v>100000</v>
      </c>
      <c r="L877" s="36">
        <f>IFERROR(cadangan3[[#This Row],[Profit A]]-(cadangan3[[#This Row],[Profit A]]*cadangan3[[#This Row],[Diskon]]),K877)</f>
        <v>85000</v>
      </c>
      <c r="N877" t="str">
        <f>IFERROR(INDEX(Katalog!$A$3:$A$12,MATCH(cadangan3[[#This Row],[ItemID B]],Katalog!$C$3:$C$12,0)),"-")</f>
        <v>-</v>
      </c>
      <c r="O877" t="str">
        <f>IFERROR(INDEX(Katalog!$B$3:$B$12,MATCH(cadangan3[[#This Row],[ItemID B]],Katalog!$C$3:$C$12,0)),"-")</f>
        <v>-</v>
      </c>
      <c r="R877" s="36">
        <f>IFERROR(INDEX(Katalog!$D$3:$D$12,MATCH(cadangan3[[#This Row],[ItemID B]],Katalog!$C$3:$C$12,0))*cadangan3[[#This Row],[Qty B]],0)</f>
        <v>0</v>
      </c>
      <c r="S877" s="36">
        <f>IFERROR(INDEX(Katalog!$D$3:$D$12,MATCH(cadangan3[[#This Row],[Item B]],Katalog!$B$3:$B$12,0))*cadangan3[[#This Row],[Qty B]],0)</f>
        <v>0</v>
      </c>
      <c r="T877" s="36">
        <f>IFERROR(cadangan3[[#This Row],[Harga Asli B]]-(cadangan3[[#This Row],[Harga Asli B]]*cadangan3[[#This Row],[Diskon]]),cadangan3[[#This Row],[Harga Asli B]])</f>
        <v>0</v>
      </c>
      <c r="U877" s="36">
        <f>IFERROR(INDEX(Katalog!$F$3:$F$12,MATCH(cadangan3[[#This Row],[ItemID B]],Katalog!$C$3:$C$12,0))*cadangan3[[#This Row],[Qty B]],0)</f>
        <v>0</v>
      </c>
      <c r="V877" s="36">
        <f>IFERROR(cadangan3[[#This Row],[Profit B]]-(cadangan3[[#This Row],[Profit B]]*cadangan3[[#This Row],[Diskon]]),U877)</f>
        <v>0</v>
      </c>
      <c r="X877" t="str">
        <f>IFERROR(INDEX(Katalog!$A$3:$A$12,MATCH(cadangan3[[#This Row],[ItemID C]],Katalog!$C$3:$C$12,0)),"-")</f>
        <v>-</v>
      </c>
      <c r="Y877" t="str">
        <f>IFERROR(INDEX(Katalog!$B$3:$B$12,MATCH(cadangan3[[#This Row],[ItemID C]],Katalog!$C$3:$C$12,0)),"-")</f>
        <v>-</v>
      </c>
      <c r="AB877" s="36">
        <f>IFERROR(INDEX(Katalog!$D$3:$D$12,MATCH(cadangan3[[#This Row],[ItemID C]],Katalog!$C$3:$C$12,0))*cadangan3[[#This Row],[Qty C]],0)</f>
        <v>0</v>
      </c>
      <c r="AC877" s="36">
        <f>IFERROR(INDEX(Katalog!$D$3:$D$12,MATCH(cadangan3[[#This Row],[Item C]],Katalog!$B$3:$B$12,0))*cadangan3[[#This Row],[Qty C]],0)</f>
        <v>0</v>
      </c>
      <c r="AD877" s="36">
        <f>IFERROR(cadangan3[[#This Row],[Harga Asli C]]-(cadangan3[[#This Row],[Harga Asli C]]*cadangan3[[#This Row],[Diskon]]),cadangan3[[#This Row],[Harga Asli C]])</f>
        <v>0</v>
      </c>
      <c r="AE877" s="36">
        <f>IFERROR(INDEX(Katalog!$F$3:$F$12,MATCH(cadangan3[[#This Row],[ItemID C]],Katalog!$C$3:$C$12,0))*cadangan3[[#This Row],[Qty C]],0)</f>
        <v>0</v>
      </c>
      <c r="AF877" s="36">
        <f>IFERROR(cadangan3[[#This Row],[Profit C]]-(cadangan3[[#This Row],[Profit C]]*cadangan3[[#This Row],[Diskon]]),cadangan3[[#This Row],[Profit C]])</f>
        <v>0</v>
      </c>
      <c r="AG877" s="21">
        <f>cadangan3[[#This Row],[Qty A]]+cadangan3[[#This Row],[Qty B]]+cadangan3[[#This Row],[Qty C]]</f>
        <v>1</v>
      </c>
      <c r="AH877" s="35">
        <f>cadangan3[[#This Row],[Harga A + Diskon]]+cadangan3[[#This Row],[Harga + Diskon B]]+cadangan3[[#This Row],[Harga + Diskon C]]</f>
        <v>255000</v>
      </c>
      <c r="AI877" s="35">
        <f>(cadangan3[[#This Row],[Profit A]]+cadangan3[[#This Row],[Profit B]]+cadangan3[[#This Row],[Profit C]])</f>
        <v>100000</v>
      </c>
      <c r="AJ877" s="35">
        <f>cadangan3[[#This Row],[Provit A + Diskon]]+cadangan3[[#This Row],[Provit B + Diskon]]+cadangan3[[#This Row],[Provit C + Diskon]]</f>
        <v>85000</v>
      </c>
      <c r="AK877" s="23" t="s">
        <v>13</v>
      </c>
      <c r="AL877" s="37">
        <f>IFERROR(INDEX('Kode Diskon'!$D$3:$D$9,MATCH(cadangan3[[#This Row],[Kode diskon]],'Kode Diskon'!$C$3:$C$9,0)),"-")</f>
        <v>0.15</v>
      </c>
      <c r="AM877" s="23" t="s">
        <v>29</v>
      </c>
      <c r="AN877" s="23" t="s">
        <v>7</v>
      </c>
      <c r="AO877" s="23" t="s">
        <v>79</v>
      </c>
      <c r="AP877" s="24">
        <v>45017</v>
      </c>
      <c r="AQ877" s="23" t="str">
        <f>TEXT(cadangan3[[#This Row],[Tanggal terjual]],"dddd")</f>
        <v>Saturday</v>
      </c>
    </row>
    <row r="878" spans="1:43" x14ac:dyDescent="0.2">
      <c r="A878" s="20">
        <v>877</v>
      </c>
      <c r="B878" s="21" t="str">
        <f>_xlfn.CONCAT("ORD-",INDEX(Helper!$B$2:$B$5,MATCH(cadangan3[[#This Row],[Marketplace]],Helper!$A$2:$A$5,0)),TEXT(cadangan3[[#This Row],[No]],"0000"),"-",TEXT(cadangan3[[#This Row],[Tanggal terjual]],"dd/mm/yy"))</f>
        <v>ORD-SP0877-12/04/23</v>
      </c>
      <c r="C878" t="s">
        <v>62</v>
      </c>
      <c r="D878" t="str">
        <f>IFERROR(INDEX(Katalog!$A$3:$A$12,MATCH(cadangan3[[#This Row],[ItemID A]],Katalog!$C$3:$C$12,0)),"-")</f>
        <v>Pakaian Pria</v>
      </c>
      <c r="E878" t="str">
        <f>IFERROR(INDEX(Katalog!$B$3:$B$12,MATCH(cadangan3[[#This Row],[ItemID A]],Katalog!$C$3:$C$12,0)),"-")</f>
        <v>Celana Pendek</v>
      </c>
      <c r="F878">
        <v>1</v>
      </c>
      <c r="G878">
        <v>1</v>
      </c>
      <c r="H878" s="36">
        <f>IFERROR(INDEX(Katalog!$D$3:$D$12,MATCH(cadangan3[[#This Row],[ItemID A]],Katalog!$C$3:$C$12,0))*cadangan3[[#This Row],[Qty A]],0)</f>
        <v>180000</v>
      </c>
      <c r="I878" s="36">
        <f>IFERROR(INDEX(Katalog!$D$3:$D$12,MATCH(cadangan3[[#This Row],[Item A]],Katalog!$B$3:$B$12,0))*cadangan3[[#This Row],[Qty A]],0)</f>
        <v>180000</v>
      </c>
      <c r="J878" s="36">
        <f>IFERROR(cadangan3[[#This Row],[Harga Asli A]]-(cadangan3[[#This Row],[Harga Asli A]]*cadangan3[[#This Row],[Diskon]]),cadangan3[[#This Row],[Harga Asli A]])</f>
        <v>180000</v>
      </c>
      <c r="K878" s="36">
        <f>INDEX(Katalog!$F$3:$F$12,MATCH(cadangan3[[#This Row],[ItemID A]],Katalog!$C$3:$C$12,0))*cadangan3[[#This Row],[Qty A]]</f>
        <v>70000</v>
      </c>
      <c r="L878" s="36">
        <f>IFERROR(cadangan3[[#This Row],[Profit A]]-(cadangan3[[#This Row],[Profit A]]*cadangan3[[#This Row],[Diskon]]),K878)</f>
        <v>70000</v>
      </c>
      <c r="N878" t="str">
        <f>IFERROR(INDEX(Katalog!$A$3:$A$12,MATCH(cadangan3[[#This Row],[ItemID B]],Katalog!$C$3:$C$12,0)),"-")</f>
        <v>-</v>
      </c>
      <c r="O878" t="str">
        <f>IFERROR(INDEX(Katalog!$B$3:$B$12,MATCH(cadangan3[[#This Row],[ItemID B]],Katalog!$C$3:$C$12,0)),"-")</f>
        <v>-</v>
      </c>
      <c r="R878" s="36">
        <f>IFERROR(INDEX(Katalog!$D$3:$D$12,MATCH(cadangan3[[#This Row],[ItemID B]],Katalog!$C$3:$C$12,0))*cadangan3[[#This Row],[Qty B]],0)</f>
        <v>0</v>
      </c>
      <c r="S878" s="36">
        <f>IFERROR(INDEX(Katalog!$D$3:$D$12,MATCH(cadangan3[[#This Row],[Item B]],Katalog!$B$3:$B$12,0))*cadangan3[[#This Row],[Qty B]],0)</f>
        <v>0</v>
      </c>
      <c r="T878" s="36">
        <f>IFERROR(cadangan3[[#This Row],[Harga Asli B]]-(cadangan3[[#This Row],[Harga Asli B]]*cadangan3[[#This Row],[Diskon]]),cadangan3[[#This Row],[Harga Asli B]])</f>
        <v>0</v>
      </c>
      <c r="U878" s="36">
        <f>IFERROR(INDEX(Katalog!$F$3:$F$12,MATCH(cadangan3[[#This Row],[ItemID B]],Katalog!$C$3:$C$12,0))*cadangan3[[#This Row],[Qty B]],0)</f>
        <v>0</v>
      </c>
      <c r="V878" s="36">
        <f>IFERROR(cadangan3[[#This Row],[Profit B]]-(cadangan3[[#This Row],[Profit B]]*cadangan3[[#This Row],[Diskon]]),U878)</f>
        <v>0</v>
      </c>
      <c r="X878" t="str">
        <f>IFERROR(INDEX(Katalog!$A$3:$A$12,MATCH(cadangan3[[#This Row],[ItemID C]],Katalog!$C$3:$C$12,0)),"-")</f>
        <v>-</v>
      </c>
      <c r="Y878" t="str">
        <f>IFERROR(INDEX(Katalog!$B$3:$B$12,MATCH(cadangan3[[#This Row],[ItemID C]],Katalog!$C$3:$C$12,0)),"-")</f>
        <v>-</v>
      </c>
      <c r="AB878" s="36">
        <f>IFERROR(INDEX(Katalog!$D$3:$D$12,MATCH(cadangan3[[#This Row],[ItemID C]],Katalog!$C$3:$C$12,0))*cadangan3[[#This Row],[Qty C]],0)</f>
        <v>0</v>
      </c>
      <c r="AC878" s="36">
        <f>IFERROR(INDEX(Katalog!$D$3:$D$12,MATCH(cadangan3[[#This Row],[Item C]],Katalog!$B$3:$B$12,0))*cadangan3[[#This Row],[Qty C]],0)</f>
        <v>0</v>
      </c>
      <c r="AD878" s="36">
        <f>IFERROR(cadangan3[[#This Row],[Harga Asli C]]-(cadangan3[[#This Row],[Harga Asli C]]*cadangan3[[#This Row],[Diskon]]),cadangan3[[#This Row],[Harga Asli C]])</f>
        <v>0</v>
      </c>
      <c r="AE878" s="36">
        <f>IFERROR(INDEX(Katalog!$F$3:$F$12,MATCH(cadangan3[[#This Row],[ItemID C]],Katalog!$C$3:$C$12,0))*cadangan3[[#This Row],[Qty C]],0)</f>
        <v>0</v>
      </c>
      <c r="AF878" s="36">
        <f>IFERROR(cadangan3[[#This Row],[Profit C]]-(cadangan3[[#This Row],[Profit C]]*cadangan3[[#This Row],[Diskon]]),cadangan3[[#This Row],[Profit C]])</f>
        <v>0</v>
      </c>
      <c r="AG878" s="21">
        <f>cadangan3[[#This Row],[Qty A]]+cadangan3[[#This Row],[Qty B]]+cadangan3[[#This Row],[Qty C]]</f>
        <v>1</v>
      </c>
      <c r="AH878" s="35">
        <f>cadangan3[[#This Row],[Harga A + Diskon]]+cadangan3[[#This Row],[Harga + Diskon B]]+cadangan3[[#This Row],[Harga + Diskon C]]</f>
        <v>180000</v>
      </c>
      <c r="AI878" s="35">
        <f>(cadangan3[[#This Row],[Profit A]]+cadangan3[[#This Row],[Profit B]]+cadangan3[[#This Row],[Profit C]])</f>
        <v>70000</v>
      </c>
      <c r="AJ878" s="35">
        <f>cadangan3[[#This Row],[Provit A + Diskon]]+cadangan3[[#This Row],[Provit B + Diskon]]+cadangan3[[#This Row],[Provit C + Diskon]]</f>
        <v>70000</v>
      </c>
      <c r="AK878" s="23" t="s">
        <v>11</v>
      </c>
      <c r="AL878" s="37" t="str">
        <f>IFERROR(INDEX('Kode Diskon'!$D$3:$D$9,MATCH(cadangan3[[#This Row],[Kode diskon]],'Kode Diskon'!$C$3:$C$9,0)),"-")</f>
        <v>-</v>
      </c>
      <c r="AM878" s="23" t="s">
        <v>11</v>
      </c>
      <c r="AN878" s="23" t="s">
        <v>7</v>
      </c>
      <c r="AO878" s="23" t="s">
        <v>80</v>
      </c>
      <c r="AP878" s="24">
        <v>45028</v>
      </c>
      <c r="AQ878" s="23" t="str">
        <f>TEXT(cadangan3[[#This Row],[Tanggal terjual]],"dddd")</f>
        <v>Wednesday</v>
      </c>
    </row>
    <row r="879" spans="1:43" x14ac:dyDescent="0.2">
      <c r="A879" s="20">
        <v>878</v>
      </c>
      <c r="B879" s="21" t="str">
        <f>_xlfn.CONCAT("ORD-",INDEX(Helper!$B$2:$B$5,MATCH(cadangan3[[#This Row],[Marketplace]],Helper!$A$2:$A$5,0)),TEXT(cadangan3[[#This Row],[No]],"0000"),"-",TEXT(cadangan3[[#This Row],[Tanggal terjual]],"dd/mm/yy"))</f>
        <v>ORD-BL0878-28/04/23</v>
      </c>
      <c r="C879" t="s">
        <v>64</v>
      </c>
      <c r="D879" t="str">
        <f>IFERROR(INDEX(Katalog!$A$3:$A$12,MATCH(cadangan3[[#This Row],[ItemID A]],Katalog!$C$3:$C$12,0)),"-")</f>
        <v>Pakaian Unisex</v>
      </c>
      <c r="E879" t="str">
        <f>IFERROR(INDEX(Katalog!$B$3:$B$12,MATCH(cadangan3[[#This Row],[ItemID A]],Katalog!$C$3:$C$12,0)),"-")</f>
        <v>Jaket Hoodie</v>
      </c>
      <c r="F879">
        <v>1</v>
      </c>
      <c r="G879">
        <v>5</v>
      </c>
      <c r="H879" s="36">
        <f>IFERROR(INDEX(Katalog!$D$3:$D$12,MATCH(cadangan3[[#This Row],[ItemID A]],Katalog!$C$3:$C$12,0))*cadangan3[[#This Row],[Qty A]],0)</f>
        <v>350000</v>
      </c>
      <c r="I879" s="36">
        <f>IFERROR(INDEX(Katalog!$D$3:$D$12,MATCH(cadangan3[[#This Row],[Item A]],Katalog!$B$3:$B$12,0))*cadangan3[[#This Row],[Qty A]],0)</f>
        <v>350000</v>
      </c>
      <c r="J879" s="36">
        <f>IFERROR(cadangan3[[#This Row],[Harga Asli A]]-(cadangan3[[#This Row],[Harga Asli A]]*cadangan3[[#This Row],[Diskon]]),cadangan3[[#This Row],[Harga Asli A]])</f>
        <v>297500</v>
      </c>
      <c r="K879" s="36">
        <f>INDEX(Katalog!$F$3:$F$12,MATCH(cadangan3[[#This Row],[ItemID A]],Katalog!$C$3:$C$12,0))*cadangan3[[#This Row],[Qty A]]</f>
        <v>130000</v>
      </c>
      <c r="L879" s="36">
        <f>IFERROR(cadangan3[[#This Row],[Profit A]]-(cadangan3[[#This Row],[Profit A]]*cadangan3[[#This Row],[Diskon]]),K879)</f>
        <v>110500</v>
      </c>
      <c r="M879" t="s">
        <v>65</v>
      </c>
      <c r="N879" t="str">
        <f>IFERROR(INDEX(Katalog!$A$3:$A$12,MATCH(cadangan3[[#This Row],[ItemID B]],Katalog!$C$3:$C$12,0)),"-")</f>
        <v>Sepatu Pria</v>
      </c>
      <c r="O879" t="str">
        <f>IFERROR(INDEX(Katalog!$B$3:$B$12,MATCH(cadangan3[[#This Row],[ItemID B]],Katalog!$C$3:$C$12,0)),"-")</f>
        <v>Sneakers</v>
      </c>
      <c r="P879">
        <v>1</v>
      </c>
      <c r="Q879">
        <v>3</v>
      </c>
      <c r="R879" s="36">
        <f>IFERROR(INDEX(Katalog!$D$3:$D$12,MATCH(cadangan3[[#This Row],[ItemID B]],Katalog!$C$3:$C$12,0))*cadangan3[[#This Row],[Qty B]],0)</f>
        <v>500000</v>
      </c>
      <c r="S879" s="36">
        <f>IFERROR(INDEX(Katalog!$D$3:$D$12,MATCH(cadangan3[[#This Row],[Item B]],Katalog!$B$3:$B$12,0))*cadangan3[[#This Row],[Qty B]],0)</f>
        <v>500000</v>
      </c>
      <c r="T879" s="36">
        <f>IFERROR(cadangan3[[#This Row],[Harga Asli B]]-(cadangan3[[#This Row],[Harga Asli B]]*cadangan3[[#This Row],[Diskon]]),cadangan3[[#This Row],[Harga Asli B]])</f>
        <v>425000</v>
      </c>
      <c r="U879" s="36">
        <f>IFERROR(INDEX(Katalog!$F$3:$F$12,MATCH(cadangan3[[#This Row],[ItemID B]],Katalog!$C$3:$C$12,0))*cadangan3[[#This Row],[Qty B]],0)</f>
        <v>200000</v>
      </c>
      <c r="V879" s="36">
        <f>IFERROR(cadangan3[[#This Row],[Profit B]]-(cadangan3[[#This Row],[Profit B]]*cadangan3[[#This Row],[Diskon]]),U879)</f>
        <v>170000</v>
      </c>
      <c r="W879" t="s">
        <v>61</v>
      </c>
      <c r="X879" t="str">
        <f>IFERROR(INDEX(Katalog!$A$3:$A$12,MATCH(cadangan3[[#This Row],[ItemID C]],Katalog!$C$3:$C$12,0)),"-")</f>
        <v>Pakaian Pria</v>
      </c>
      <c r="Y879" t="str">
        <f>IFERROR(INDEX(Katalog!$B$3:$B$12,MATCH(cadangan3[[#This Row],[ItemID C]],Katalog!$C$3:$C$12,0)),"-")</f>
        <v>Kaos Polo</v>
      </c>
      <c r="Z879">
        <v>1</v>
      </c>
      <c r="AA879">
        <v>1</v>
      </c>
      <c r="AB879" s="36">
        <f>IFERROR(INDEX(Katalog!$D$3:$D$12,MATCH(cadangan3[[#This Row],[ItemID C]],Katalog!$C$3:$C$12,0))*cadangan3[[#This Row],[Qty C]],0)</f>
        <v>200000</v>
      </c>
      <c r="AC879" s="36">
        <f>IFERROR(INDEX(Katalog!$D$3:$D$12,MATCH(cadangan3[[#This Row],[Item C]],Katalog!$B$3:$B$12,0))*cadangan3[[#This Row],[Qty C]],0)</f>
        <v>200000</v>
      </c>
      <c r="AD879" s="36">
        <f>IFERROR(cadangan3[[#This Row],[Harga Asli C]]-(cadangan3[[#This Row],[Harga Asli C]]*cadangan3[[#This Row],[Diskon]]),cadangan3[[#This Row],[Harga Asli C]])</f>
        <v>170000</v>
      </c>
      <c r="AE879" s="36">
        <f>IFERROR(INDEX(Katalog!$F$3:$F$12,MATCH(cadangan3[[#This Row],[ItemID C]],Katalog!$C$3:$C$12,0))*cadangan3[[#This Row],[Qty C]],0)</f>
        <v>80000</v>
      </c>
      <c r="AF879" s="36">
        <f>IFERROR(cadangan3[[#This Row],[Profit C]]-(cadangan3[[#This Row],[Profit C]]*cadangan3[[#This Row],[Diskon]]),cadangan3[[#This Row],[Profit C]])</f>
        <v>68000</v>
      </c>
      <c r="AG879" s="21">
        <f>cadangan3[[#This Row],[Qty A]]+cadangan3[[#This Row],[Qty B]]+cadangan3[[#This Row],[Qty C]]</f>
        <v>3</v>
      </c>
      <c r="AH879" s="35">
        <f>cadangan3[[#This Row],[Harga A + Diskon]]+cadangan3[[#This Row],[Harga + Diskon B]]+cadangan3[[#This Row],[Harga + Diskon C]]</f>
        <v>892500</v>
      </c>
      <c r="AI879" s="35">
        <f>(cadangan3[[#This Row],[Profit A]]+cadangan3[[#This Row],[Profit B]]+cadangan3[[#This Row],[Profit C]])</f>
        <v>410000</v>
      </c>
      <c r="AJ879" s="35">
        <f>cadangan3[[#This Row],[Provit A + Diskon]]+cadangan3[[#This Row],[Provit B + Diskon]]+cadangan3[[#This Row],[Provit C + Diskon]]</f>
        <v>348500</v>
      </c>
      <c r="AK879" s="23" t="s">
        <v>32</v>
      </c>
      <c r="AL879" s="37">
        <f>IFERROR(INDEX('Kode Diskon'!$D$3:$D$9,MATCH(cadangan3[[#This Row],[Kode diskon]],'Kode Diskon'!$C$3:$C$9,0)),"-")</f>
        <v>0.15</v>
      </c>
      <c r="AM879" s="23" t="s">
        <v>9</v>
      </c>
      <c r="AN879" s="23" t="s">
        <v>12</v>
      </c>
      <c r="AO879" s="23" t="s">
        <v>77</v>
      </c>
      <c r="AP879" s="24">
        <v>45044</v>
      </c>
      <c r="AQ879" s="23" t="str">
        <f>TEXT(cadangan3[[#This Row],[Tanggal terjual]],"dddd")</f>
        <v>Friday</v>
      </c>
    </row>
    <row r="880" spans="1:43" x14ac:dyDescent="0.2">
      <c r="A880" s="20">
        <v>879</v>
      </c>
      <c r="B880" s="21" t="str">
        <f>_xlfn.CONCAT("ORD-",INDEX(Helper!$B$2:$B$5,MATCH(cadangan3[[#This Row],[Marketplace]],Helper!$A$2:$A$5,0)),TEXT(cadangan3[[#This Row],[No]],"0000"),"-",TEXT(cadangan3[[#This Row],[Tanggal terjual]],"dd/mm/yy"))</f>
        <v>ORD-BL0879-16/04/23</v>
      </c>
      <c r="C880" t="s">
        <v>65</v>
      </c>
      <c r="D880" t="str">
        <f>IFERROR(INDEX(Katalog!$A$3:$A$12,MATCH(cadangan3[[#This Row],[ItemID A]],Katalog!$C$3:$C$12,0)),"-")</f>
        <v>Sepatu Pria</v>
      </c>
      <c r="E880" t="str">
        <f>IFERROR(INDEX(Katalog!$B$3:$B$12,MATCH(cadangan3[[#This Row],[ItemID A]],Katalog!$C$3:$C$12,0)),"-")</f>
        <v>Sneakers</v>
      </c>
      <c r="F880">
        <v>7</v>
      </c>
      <c r="G880">
        <v>2</v>
      </c>
      <c r="H880" s="36">
        <f>IFERROR(INDEX(Katalog!$D$3:$D$12,MATCH(cadangan3[[#This Row],[ItemID A]],Katalog!$C$3:$C$12,0))*cadangan3[[#This Row],[Qty A]],0)</f>
        <v>3500000</v>
      </c>
      <c r="I880" s="36">
        <f>IFERROR(INDEX(Katalog!$D$3:$D$12,MATCH(cadangan3[[#This Row],[Item A]],Katalog!$B$3:$B$12,0))*cadangan3[[#This Row],[Qty A]],0)</f>
        <v>3500000</v>
      </c>
      <c r="J880" s="36">
        <f>IFERROR(cadangan3[[#This Row],[Harga Asli A]]-(cadangan3[[#This Row],[Harga Asli A]]*cadangan3[[#This Row],[Diskon]]),cadangan3[[#This Row],[Harga Asli A]])</f>
        <v>2975000</v>
      </c>
      <c r="K880" s="36">
        <f>INDEX(Katalog!$F$3:$F$12,MATCH(cadangan3[[#This Row],[ItemID A]],Katalog!$C$3:$C$12,0))*cadangan3[[#This Row],[Qty A]]</f>
        <v>1400000</v>
      </c>
      <c r="L880" s="36">
        <f>IFERROR(cadangan3[[#This Row],[Profit A]]-(cadangan3[[#This Row],[Profit A]]*cadangan3[[#This Row],[Diskon]]),K880)</f>
        <v>1190000</v>
      </c>
      <c r="N880" t="str">
        <f>IFERROR(INDEX(Katalog!$A$3:$A$12,MATCH(cadangan3[[#This Row],[ItemID B]],Katalog!$C$3:$C$12,0)),"-")</f>
        <v>-</v>
      </c>
      <c r="O880" t="str">
        <f>IFERROR(INDEX(Katalog!$B$3:$B$12,MATCH(cadangan3[[#This Row],[ItemID B]],Katalog!$C$3:$C$12,0)),"-")</f>
        <v>-</v>
      </c>
      <c r="R880" s="36">
        <f>IFERROR(INDEX(Katalog!$D$3:$D$12,MATCH(cadangan3[[#This Row],[ItemID B]],Katalog!$C$3:$C$12,0))*cadangan3[[#This Row],[Qty B]],0)</f>
        <v>0</v>
      </c>
      <c r="S880" s="36">
        <f>IFERROR(INDEX(Katalog!$D$3:$D$12,MATCH(cadangan3[[#This Row],[Item B]],Katalog!$B$3:$B$12,0))*cadangan3[[#This Row],[Qty B]],0)</f>
        <v>0</v>
      </c>
      <c r="T880" s="36">
        <f>IFERROR(cadangan3[[#This Row],[Harga Asli B]]-(cadangan3[[#This Row],[Harga Asli B]]*cadangan3[[#This Row],[Diskon]]),cadangan3[[#This Row],[Harga Asli B]])</f>
        <v>0</v>
      </c>
      <c r="U880" s="36">
        <f>IFERROR(INDEX(Katalog!$F$3:$F$12,MATCH(cadangan3[[#This Row],[ItemID B]],Katalog!$C$3:$C$12,0))*cadangan3[[#This Row],[Qty B]],0)</f>
        <v>0</v>
      </c>
      <c r="V880" s="36">
        <f>IFERROR(cadangan3[[#This Row],[Profit B]]-(cadangan3[[#This Row],[Profit B]]*cadangan3[[#This Row],[Diskon]]),U880)</f>
        <v>0</v>
      </c>
      <c r="X880" t="str">
        <f>IFERROR(INDEX(Katalog!$A$3:$A$12,MATCH(cadangan3[[#This Row],[ItemID C]],Katalog!$C$3:$C$12,0)),"-")</f>
        <v>-</v>
      </c>
      <c r="Y880" t="str">
        <f>IFERROR(INDEX(Katalog!$B$3:$B$12,MATCH(cadangan3[[#This Row],[ItemID C]],Katalog!$C$3:$C$12,0)),"-")</f>
        <v>-</v>
      </c>
      <c r="AB880" s="36">
        <f>IFERROR(INDEX(Katalog!$D$3:$D$12,MATCH(cadangan3[[#This Row],[ItemID C]],Katalog!$C$3:$C$12,0))*cadangan3[[#This Row],[Qty C]],0)</f>
        <v>0</v>
      </c>
      <c r="AC880" s="36">
        <f>IFERROR(INDEX(Katalog!$D$3:$D$12,MATCH(cadangan3[[#This Row],[Item C]],Katalog!$B$3:$B$12,0))*cadangan3[[#This Row],[Qty C]],0)</f>
        <v>0</v>
      </c>
      <c r="AD880" s="36">
        <f>IFERROR(cadangan3[[#This Row],[Harga Asli C]]-(cadangan3[[#This Row],[Harga Asli C]]*cadangan3[[#This Row],[Diskon]]),cadangan3[[#This Row],[Harga Asli C]])</f>
        <v>0</v>
      </c>
      <c r="AE880" s="36">
        <f>IFERROR(INDEX(Katalog!$F$3:$F$12,MATCH(cadangan3[[#This Row],[ItemID C]],Katalog!$C$3:$C$12,0))*cadangan3[[#This Row],[Qty C]],0)</f>
        <v>0</v>
      </c>
      <c r="AF880" s="36">
        <f>IFERROR(cadangan3[[#This Row],[Profit C]]-(cadangan3[[#This Row],[Profit C]]*cadangan3[[#This Row],[Diskon]]),cadangan3[[#This Row],[Profit C]])</f>
        <v>0</v>
      </c>
      <c r="AG880" s="21">
        <f>cadangan3[[#This Row],[Qty A]]+cadangan3[[#This Row],[Qty B]]+cadangan3[[#This Row],[Qty C]]</f>
        <v>7</v>
      </c>
      <c r="AH880" s="35">
        <f>cadangan3[[#This Row],[Harga A + Diskon]]+cadangan3[[#This Row],[Harga + Diskon B]]+cadangan3[[#This Row],[Harga + Diskon C]]</f>
        <v>2975000</v>
      </c>
      <c r="AI880" s="35">
        <f>(cadangan3[[#This Row],[Profit A]]+cadangan3[[#This Row],[Profit B]]+cadangan3[[#This Row],[Profit C]])</f>
        <v>1400000</v>
      </c>
      <c r="AJ880" s="35">
        <f>cadangan3[[#This Row],[Provit A + Diskon]]+cadangan3[[#This Row],[Provit B + Diskon]]+cadangan3[[#This Row],[Provit C + Diskon]]</f>
        <v>1190000</v>
      </c>
      <c r="AK880" s="23" t="s">
        <v>32</v>
      </c>
      <c r="AL880" s="37">
        <f>IFERROR(INDEX('Kode Diskon'!$D$3:$D$9,MATCH(cadangan3[[#This Row],[Kode diskon]],'Kode Diskon'!$C$3:$C$9,0)),"-")</f>
        <v>0.15</v>
      </c>
      <c r="AM880" s="23" t="s">
        <v>9</v>
      </c>
      <c r="AN880" s="23" t="s">
        <v>12</v>
      </c>
      <c r="AO880" s="23" t="s">
        <v>80</v>
      </c>
      <c r="AP880" s="24">
        <v>45032</v>
      </c>
      <c r="AQ880" s="23" t="str">
        <f>TEXT(cadangan3[[#This Row],[Tanggal terjual]],"dddd")</f>
        <v>Sunday</v>
      </c>
    </row>
    <row r="881" spans="1:43" x14ac:dyDescent="0.2">
      <c r="A881" s="20">
        <v>880</v>
      </c>
      <c r="B881" s="21" t="str">
        <f>_xlfn.CONCAT("ORD-",INDEX(Helper!$B$2:$B$5,MATCH(cadangan3[[#This Row],[Marketplace]],Helper!$A$2:$A$5,0)),TEXT(cadangan3[[#This Row],[No]],"0000"),"-",TEXT(cadangan3[[#This Row],[Tanggal terjual]],"dd/mm/yy"))</f>
        <v>ORD-SP0880-01/04/23</v>
      </c>
      <c r="C881" t="s">
        <v>67</v>
      </c>
      <c r="D881" t="str">
        <f>IFERROR(INDEX(Katalog!$A$3:$A$12,MATCH(cadangan3[[#This Row],[ItemID A]],Katalog!$C$3:$C$12,0)),"-")</f>
        <v>Sepatu Wanita</v>
      </c>
      <c r="E881" t="str">
        <f>IFERROR(INDEX(Katalog!$B$3:$B$12,MATCH(cadangan3[[#This Row],[ItemID A]],Katalog!$C$3:$C$12,0)),"-")</f>
        <v>Flat Shoes</v>
      </c>
      <c r="F881">
        <v>1</v>
      </c>
      <c r="G881">
        <v>1</v>
      </c>
      <c r="H881" s="36">
        <f>IFERROR(INDEX(Katalog!$D$3:$D$12,MATCH(cadangan3[[#This Row],[ItemID A]],Katalog!$C$3:$C$12,0))*cadangan3[[#This Row],[Qty A]],0)</f>
        <v>250000</v>
      </c>
      <c r="I881" s="36">
        <f>IFERROR(INDEX(Katalog!$D$3:$D$12,MATCH(cadangan3[[#This Row],[Item A]],Katalog!$B$3:$B$12,0))*cadangan3[[#This Row],[Qty A]],0)</f>
        <v>250000</v>
      </c>
      <c r="J881" s="36">
        <f>IFERROR(cadangan3[[#This Row],[Harga Asli A]]-(cadangan3[[#This Row],[Harga Asli A]]*cadangan3[[#This Row],[Diskon]]),cadangan3[[#This Row],[Harga Asli A]])</f>
        <v>225000</v>
      </c>
      <c r="K881" s="36">
        <f>INDEX(Katalog!$F$3:$F$12,MATCH(cadangan3[[#This Row],[ItemID A]],Katalog!$C$3:$C$12,0))*cadangan3[[#This Row],[Qty A]]</f>
        <v>100000</v>
      </c>
      <c r="L881" s="36">
        <f>IFERROR(cadangan3[[#This Row],[Profit A]]-(cadangan3[[#This Row],[Profit A]]*cadangan3[[#This Row],[Diskon]]),K881)</f>
        <v>90000</v>
      </c>
      <c r="M881" t="s">
        <v>60</v>
      </c>
      <c r="N881" t="str">
        <f>IFERROR(INDEX(Katalog!$A$3:$A$12,MATCH(cadangan3[[#This Row],[ItemID B]],Katalog!$C$3:$C$12,0)),"-")</f>
        <v>Pakaian Wanita</v>
      </c>
      <c r="O881" t="str">
        <f>IFERROR(INDEX(Katalog!$B$3:$B$12,MATCH(cadangan3[[#This Row],[ItemID B]],Katalog!$C$3:$C$12,0)),"-")</f>
        <v>Kaftan</v>
      </c>
      <c r="P881">
        <v>2</v>
      </c>
      <c r="Q881">
        <v>4</v>
      </c>
      <c r="R881" s="36">
        <f>IFERROR(INDEX(Katalog!$D$3:$D$12,MATCH(cadangan3[[#This Row],[ItemID B]],Katalog!$C$3:$C$12,0))*cadangan3[[#This Row],[Qty B]],0)</f>
        <v>500000</v>
      </c>
      <c r="S881" s="36">
        <f>IFERROR(INDEX(Katalog!$D$3:$D$12,MATCH(cadangan3[[#This Row],[Item B]],Katalog!$B$3:$B$12,0))*cadangan3[[#This Row],[Qty B]],0)</f>
        <v>500000</v>
      </c>
      <c r="T881" s="36">
        <f>IFERROR(cadangan3[[#This Row],[Harga Asli B]]-(cadangan3[[#This Row],[Harga Asli B]]*cadangan3[[#This Row],[Diskon]]),cadangan3[[#This Row],[Harga Asli B]])</f>
        <v>450000</v>
      </c>
      <c r="U881" s="36">
        <f>IFERROR(INDEX(Katalog!$F$3:$F$12,MATCH(cadangan3[[#This Row],[ItemID B]],Katalog!$C$3:$C$12,0))*cadangan3[[#This Row],[Qty B]],0)</f>
        <v>200000</v>
      </c>
      <c r="V881" s="36">
        <f>IFERROR(cadangan3[[#This Row],[Profit B]]-(cadangan3[[#This Row],[Profit B]]*cadangan3[[#This Row],[Diskon]]),U881)</f>
        <v>180000</v>
      </c>
      <c r="X881" t="str">
        <f>IFERROR(INDEX(Katalog!$A$3:$A$12,MATCH(cadangan3[[#This Row],[ItemID C]],Katalog!$C$3:$C$12,0)),"-")</f>
        <v>-</v>
      </c>
      <c r="Y881" t="str">
        <f>IFERROR(INDEX(Katalog!$B$3:$B$12,MATCH(cadangan3[[#This Row],[ItemID C]],Katalog!$C$3:$C$12,0)),"-")</f>
        <v>-</v>
      </c>
      <c r="AB881" s="36">
        <f>IFERROR(INDEX(Katalog!$D$3:$D$12,MATCH(cadangan3[[#This Row],[ItemID C]],Katalog!$C$3:$C$12,0))*cadangan3[[#This Row],[Qty C]],0)</f>
        <v>0</v>
      </c>
      <c r="AC881" s="36">
        <f>IFERROR(INDEX(Katalog!$D$3:$D$12,MATCH(cadangan3[[#This Row],[Item C]],Katalog!$B$3:$B$12,0))*cadangan3[[#This Row],[Qty C]],0)</f>
        <v>0</v>
      </c>
      <c r="AD881" s="36">
        <f>IFERROR(cadangan3[[#This Row],[Harga Asli C]]-(cadangan3[[#This Row],[Harga Asli C]]*cadangan3[[#This Row],[Diskon]]),cadangan3[[#This Row],[Harga Asli C]])</f>
        <v>0</v>
      </c>
      <c r="AE881" s="36">
        <f>IFERROR(INDEX(Katalog!$F$3:$F$12,MATCH(cadangan3[[#This Row],[ItemID C]],Katalog!$C$3:$C$12,0))*cadangan3[[#This Row],[Qty C]],0)</f>
        <v>0</v>
      </c>
      <c r="AF881" s="36">
        <f>IFERROR(cadangan3[[#This Row],[Profit C]]-(cadangan3[[#This Row],[Profit C]]*cadangan3[[#This Row],[Diskon]]),cadangan3[[#This Row],[Profit C]])</f>
        <v>0</v>
      </c>
      <c r="AG881" s="21">
        <f>cadangan3[[#This Row],[Qty A]]+cadangan3[[#This Row],[Qty B]]+cadangan3[[#This Row],[Qty C]]</f>
        <v>3</v>
      </c>
      <c r="AH881" s="35">
        <f>cadangan3[[#This Row],[Harga A + Diskon]]+cadangan3[[#This Row],[Harga + Diskon B]]+cadangan3[[#This Row],[Harga + Diskon C]]</f>
        <v>675000</v>
      </c>
      <c r="AI881" s="35">
        <f>(cadangan3[[#This Row],[Profit A]]+cadangan3[[#This Row],[Profit B]]+cadangan3[[#This Row],[Profit C]])</f>
        <v>300000</v>
      </c>
      <c r="AJ881" s="35">
        <f>cadangan3[[#This Row],[Provit A + Diskon]]+cadangan3[[#This Row],[Provit B + Diskon]]+cadangan3[[#This Row],[Provit C + Diskon]]</f>
        <v>270000</v>
      </c>
      <c r="AK881" s="23" t="s">
        <v>6</v>
      </c>
      <c r="AL881" s="37">
        <f>IFERROR(INDEX('Kode Diskon'!$D$3:$D$9,MATCH(cadangan3[[#This Row],[Kode diskon]],'Kode Diskon'!$C$3:$C$9,0)),"-")</f>
        <v>0.1</v>
      </c>
      <c r="AM881" s="23" t="s">
        <v>29</v>
      </c>
      <c r="AN881" s="23" t="s">
        <v>7</v>
      </c>
      <c r="AO881" s="23" t="s">
        <v>80</v>
      </c>
      <c r="AP881" s="24">
        <v>45017</v>
      </c>
      <c r="AQ881" s="23" t="str">
        <f>TEXT(cadangan3[[#This Row],[Tanggal terjual]],"dddd")</f>
        <v>Saturday</v>
      </c>
    </row>
    <row r="882" spans="1:43" x14ac:dyDescent="0.2">
      <c r="A882" s="20">
        <v>881</v>
      </c>
      <c r="B882" s="21" t="str">
        <f>_xlfn.CONCAT("ORD-",INDEX(Helper!$B$2:$B$5,MATCH(cadangan3[[#This Row],[Marketplace]],Helper!$A$2:$A$5,0)),TEXT(cadangan3[[#This Row],[No]],"0000"),"-",TEXT(cadangan3[[#This Row],[Tanggal terjual]],"dd/mm/yy"))</f>
        <v>ORD-TK0881-23/04/23</v>
      </c>
      <c r="C882" t="s">
        <v>60</v>
      </c>
      <c r="D882" t="str">
        <f>IFERROR(INDEX(Katalog!$A$3:$A$12,MATCH(cadangan3[[#This Row],[ItemID A]],Katalog!$C$3:$C$12,0)),"-")</f>
        <v>Pakaian Wanita</v>
      </c>
      <c r="E882" t="str">
        <f>IFERROR(INDEX(Katalog!$B$3:$B$12,MATCH(cadangan3[[#This Row],[ItemID A]],Katalog!$C$3:$C$12,0)),"-")</f>
        <v>Kaftan</v>
      </c>
      <c r="F882">
        <v>3</v>
      </c>
      <c r="G882">
        <v>4</v>
      </c>
      <c r="H882" s="36">
        <f>IFERROR(INDEX(Katalog!$D$3:$D$12,MATCH(cadangan3[[#This Row],[ItemID A]],Katalog!$C$3:$C$12,0))*cadangan3[[#This Row],[Qty A]],0)</f>
        <v>750000</v>
      </c>
      <c r="I882" s="36">
        <f>IFERROR(INDEX(Katalog!$D$3:$D$12,MATCH(cadangan3[[#This Row],[Item A]],Katalog!$B$3:$B$12,0))*cadangan3[[#This Row],[Qty A]],0)</f>
        <v>750000</v>
      </c>
      <c r="J882" s="36">
        <f>IFERROR(cadangan3[[#This Row],[Harga Asli A]]-(cadangan3[[#This Row],[Harga Asli A]]*cadangan3[[#This Row],[Diskon]]),cadangan3[[#This Row],[Harga Asli A]])</f>
        <v>675000</v>
      </c>
      <c r="K882" s="36">
        <f>INDEX(Katalog!$F$3:$F$12,MATCH(cadangan3[[#This Row],[ItemID A]],Katalog!$C$3:$C$12,0))*cadangan3[[#This Row],[Qty A]]</f>
        <v>300000</v>
      </c>
      <c r="L882" s="36">
        <f>IFERROR(cadangan3[[#This Row],[Profit A]]-(cadangan3[[#This Row],[Profit A]]*cadangan3[[#This Row],[Diskon]]),K882)</f>
        <v>270000</v>
      </c>
      <c r="M882" t="s">
        <v>61</v>
      </c>
      <c r="N882" t="str">
        <f>IFERROR(INDEX(Katalog!$A$3:$A$12,MATCH(cadangan3[[#This Row],[ItemID B]],Katalog!$C$3:$C$12,0)),"-")</f>
        <v>Pakaian Pria</v>
      </c>
      <c r="O882" t="str">
        <f>IFERROR(INDEX(Katalog!$B$3:$B$12,MATCH(cadangan3[[#This Row],[ItemID B]],Katalog!$C$3:$C$12,0)),"-")</f>
        <v>Kaos Polo</v>
      </c>
      <c r="P882">
        <v>1</v>
      </c>
      <c r="Q882">
        <v>1</v>
      </c>
      <c r="R882" s="36">
        <f>IFERROR(INDEX(Katalog!$D$3:$D$12,MATCH(cadangan3[[#This Row],[ItemID B]],Katalog!$C$3:$C$12,0))*cadangan3[[#This Row],[Qty B]],0)</f>
        <v>200000</v>
      </c>
      <c r="S882" s="36">
        <f>IFERROR(INDEX(Katalog!$D$3:$D$12,MATCH(cadangan3[[#This Row],[Item B]],Katalog!$B$3:$B$12,0))*cadangan3[[#This Row],[Qty B]],0)</f>
        <v>200000</v>
      </c>
      <c r="T882" s="36">
        <f>IFERROR(cadangan3[[#This Row],[Harga Asli B]]-(cadangan3[[#This Row],[Harga Asli B]]*cadangan3[[#This Row],[Diskon]]),cadangan3[[#This Row],[Harga Asli B]])</f>
        <v>180000</v>
      </c>
      <c r="U882" s="36">
        <f>IFERROR(INDEX(Katalog!$F$3:$F$12,MATCH(cadangan3[[#This Row],[ItemID B]],Katalog!$C$3:$C$12,0))*cadangan3[[#This Row],[Qty B]],0)</f>
        <v>80000</v>
      </c>
      <c r="V882" s="36">
        <f>IFERROR(cadangan3[[#This Row],[Profit B]]-(cadangan3[[#This Row],[Profit B]]*cadangan3[[#This Row],[Diskon]]),U882)</f>
        <v>72000</v>
      </c>
      <c r="W882" t="s">
        <v>63</v>
      </c>
      <c r="X882" t="str">
        <f>IFERROR(INDEX(Katalog!$A$3:$A$12,MATCH(cadangan3[[#This Row],[ItemID C]],Katalog!$C$3:$C$12,0)),"-")</f>
        <v>Pakaian Pria</v>
      </c>
      <c r="Y882" t="str">
        <f>IFERROR(INDEX(Katalog!$B$3:$B$12,MATCH(cadangan3[[#This Row],[ItemID C]],Katalog!$C$3:$C$12,0)),"-")</f>
        <v>Jaket Jeans</v>
      </c>
      <c r="Z882">
        <v>3</v>
      </c>
      <c r="AA882">
        <v>5</v>
      </c>
      <c r="AB882" s="36">
        <f>IFERROR(INDEX(Katalog!$D$3:$D$12,MATCH(cadangan3[[#This Row],[ItemID C]],Katalog!$C$3:$C$12,0))*cadangan3[[#This Row],[Qty C]],0)</f>
        <v>1200000</v>
      </c>
      <c r="AC882" s="36">
        <f>IFERROR(INDEX(Katalog!$D$3:$D$12,MATCH(cadangan3[[#This Row],[Item C]],Katalog!$B$3:$B$12,0))*cadangan3[[#This Row],[Qty C]],0)</f>
        <v>1200000</v>
      </c>
      <c r="AD882" s="36">
        <f>IFERROR(cadangan3[[#This Row],[Harga Asli C]]-(cadangan3[[#This Row],[Harga Asli C]]*cadangan3[[#This Row],[Diskon]]),cadangan3[[#This Row],[Harga Asli C]])</f>
        <v>1080000</v>
      </c>
      <c r="AE882" s="36">
        <f>IFERROR(INDEX(Katalog!$F$3:$F$12,MATCH(cadangan3[[#This Row],[ItemID C]],Katalog!$C$3:$C$12,0))*cadangan3[[#This Row],[Qty C]],0)</f>
        <v>450000</v>
      </c>
      <c r="AF882" s="36">
        <f>IFERROR(cadangan3[[#This Row],[Profit C]]-(cadangan3[[#This Row],[Profit C]]*cadangan3[[#This Row],[Diskon]]),cadangan3[[#This Row],[Profit C]])</f>
        <v>405000</v>
      </c>
      <c r="AG882" s="21">
        <f>cadangan3[[#This Row],[Qty A]]+cadangan3[[#This Row],[Qty B]]+cadangan3[[#This Row],[Qty C]]</f>
        <v>7</v>
      </c>
      <c r="AH882" s="35">
        <f>cadangan3[[#This Row],[Harga A + Diskon]]+cadangan3[[#This Row],[Harga + Diskon B]]+cadangan3[[#This Row],[Harga + Diskon C]]</f>
        <v>1935000</v>
      </c>
      <c r="AI882" s="35">
        <f>(cadangan3[[#This Row],[Profit A]]+cadangan3[[#This Row],[Profit B]]+cadangan3[[#This Row],[Profit C]])</f>
        <v>830000</v>
      </c>
      <c r="AJ882" s="35">
        <f>cadangan3[[#This Row],[Provit A + Diskon]]+cadangan3[[#This Row],[Provit B + Diskon]]+cadangan3[[#This Row],[Provit C + Diskon]]</f>
        <v>747000</v>
      </c>
      <c r="AK882" s="23" t="s">
        <v>31</v>
      </c>
      <c r="AL882" s="37">
        <f>IFERROR(INDEX('Kode Diskon'!$D$3:$D$9,MATCH(cadangan3[[#This Row],[Kode diskon]],'Kode Diskon'!$C$3:$C$9,0)),"-")</f>
        <v>0.1</v>
      </c>
      <c r="AM882" s="23" t="s">
        <v>9</v>
      </c>
      <c r="AN882" s="23" t="s">
        <v>10</v>
      </c>
      <c r="AO882" s="23" t="s">
        <v>75</v>
      </c>
      <c r="AP882" s="24">
        <v>45039</v>
      </c>
      <c r="AQ882" s="23" t="str">
        <f>TEXT(cadangan3[[#This Row],[Tanggal terjual]],"dddd")</f>
        <v>Sunday</v>
      </c>
    </row>
    <row r="883" spans="1:43" x14ac:dyDescent="0.2">
      <c r="A883" s="20">
        <v>882</v>
      </c>
      <c r="B883" s="21" t="str">
        <f>_xlfn.CONCAT("ORD-",INDEX(Helper!$B$2:$B$5,MATCH(cadangan3[[#This Row],[Marketplace]],Helper!$A$2:$A$5,0)),TEXT(cadangan3[[#This Row],[No]],"0000"),"-",TEXT(cadangan3[[#This Row],[Tanggal terjual]],"dd/mm/yy"))</f>
        <v>ORD-TK0882-03/04/23</v>
      </c>
      <c r="C883" t="s">
        <v>64</v>
      </c>
      <c r="D883" t="str">
        <f>IFERROR(INDEX(Katalog!$A$3:$A$12,MATCH(cadangan3[[#This Row],[ItemID A]],Katalog!$C$3:$C$12,0)),"-")</f>
        <v>Pakaian Unisex</v>
      </c>
      <c r="E883" t="str">
        <f>IFERROR(INDEX(Katalog!$B$3:$B$12,MATCH(cadangan3[[#This Row],[ItemID A]],Katalog!$C$3:$C$12,0)),"-")</f>
        <v>Jaket Hoodie</v>
      </c>
      <c r="F883">
        <v>2</v>
      </c>
      <c r="G883">
        <v>2</v>
      </c>
      <c r="H883" s="36">
        <f>IFERROR(INDEX(Katalog!$D$3:$D$12,MATCH(cadangan3[[#This Row],[ItemID A]],Katalog!$C$3:$C$12,0))*cadangan3[[#This Row],[Qty A]],0)</f>
        <v>700000</v>
      </c>
      <c r="I883" s="36">
        <f>IFERROR(INDEX(Katalog!$D$3:$D$12,MATCH(cadangan3[[#This Row],[Item A]],Katalog!$B$3:$B$12,0))*cadangan3[[#This Row],[Qty A]],0)</f>
        <v>700000</v>
      </c>
      <c r="J883" s="36">
        <f>IFERROR(cadangan3[[#This Row],[Harga Asli A]]-(cadangan3[[#This Row],[Harga Asli A]]*cadangan3[[#This Row],[Diskon]]),cadangan3[[#This Row],[Harga Asli A]])</f>
        <v>630000</v>
      </c>
      <c r="K883" s="36">
        <f>INDEX(Katalog!$F$3:$F$12,MATCH(cadangan3[[#This Row],[ItemID A]],Katalog!$C$3:$C$12,0))*cadangan3[[#This Row],[Qty A]]</f>
        <v>260000</v>
      </c>
      <c r="L883" s="36">
        <f>IFERROR(cadangan3[[#This Row],[Profit A]]-(cadangan3[[#This Row],[Profit A]]*cadangan3[[#This Row],[Diskon]]),K883)</f>
        <v>234000</v>
      </c>
      <c r="N883" t="str">
        <f>IFERROR(INDEX(Katalog!$A$3:$A$12,MATCH(cadangan3[[#This Row],[ItemID B]],Katalog!$C$3:$C$12,0)),"-")</f>
        <v>-</v>
      </c>
      <c r="O883" t="str">
        <f>IFERROR(INDEX(Katalog!$B$3:$B$12,MATCH(cadangan3[[#This Row],[ItemID B]],Katalog!$C$3:$C$12,0)),"-")</f>
        <v>-</v>
      </c>
      <c r="R883" s="36">
        <f>IFERROR(INDEX(Katalog!$D$3:$D$12,MATCH(cadangan3[[#This Row],[ItemID B]],Katalog!$C$3:$C$12,0))*cadangan3[[#This Row],[Qty B]],0)</f>
        <v>0</v>
      </c>
      <c r="S883" s="36">
        <f>IFERROR(INDEX(Katalog!$D$3:$D$12,MATCH(cadangan3[[#This Row],[Item B]],Katalog!$B$3:$B$12,0))*cadangan3[[#This Row],[Qty B]],0)</f>
        <v>0</v>
      </c>
      <c r="T883" s="36">
        <f>IFERROR(cadangan3[[#This Row],[Harga Asli B]]-(cadangan3[[#This Row],[Harga Asli B]]*cadangan3[[#This Row],[Diskon]]),cadangan3[[#This Row],[Harga Asli B]])</f>
        <v>0</v>
      </c>
      <c r="U883" s="36">
        <f>IFERROR(INDEX(Katalog!$F$3:$F$12,MATCH(cadangan3[[#This Row],[ItemID B]],Katalog!$C$3:$C$12,0))*cadangan3[[#This Row],[Qty B]],0)</f>
        <v>0</v>
      </c>
      <c r="V883" s="36">
        <f>IFERROR(cadangan3[[#This Row],[Profit B]]-(cadangan3[[#This Row],[Profit B]]*cadangan3[[#This Row],[Diskon]]),U883)</f>
        <v>0</v>
      </c>
      <c r="X883" t="str">
        <f>IFERROR(INDEX(Katalog!$A$3:$A$12,MATCH(cadangan3[[#This Row],[ItemID C]],Katalog!$C$3:$C$12,0)),"-")</f>
        <v>-</v>
      </c>
      <c r="Y883" t="str">
        <f>IFERROR(INDEX(Katalog!$B$3:$B$12,MATCH(cadangan3[[#This Row],[ItemID C]],Katalog!$C$3:$C$12,0)),"-")</f>
        <v>-</v>
      </c>
      <c r="AB883" s="36">
        <f>IFERROR(INDEX(Katalog!$D$3:$D$12,MATCH(cadangan3[[#This Row],[ItemID C]],Katalog!$C$3:$C$12,0))*cadangan3[[#This Row],[Qty C]],0)</f>
        <v>0</v>
      </c>
      <c r="AC883" s="36">
        <f>IFERROR(INDEX(Katalog!$D$3:$D$12,MATCH(cadangan3[[#This Row],[Item C]],Katalog!$B$3:$B$12,0))*cadangan3[[#This Row],[Qty C]],0)</f>
        <v>0</v>
      </c>
      <c r="AD883" s="36">
        <f>IFERROR(cadangan3[[#This Row],[Harga Asli C]]-(cadangan3[[#This Row],[Harga Asli C]]*cadangan3[[#This Row],[Diskon]]),cadangan3[[#This Row],[Harga Asli C]])</f>
        <v>0</v>
      </c>
      <c r="AE883" s="36">
        <f>IFERROR(INDEX(Katalog!$F$3:$F$12,MATCH(cadangan3[[#This Row],[ItemID C]],Katalog!$C$3:$C$12,0))*cadangan3[[#This Row],[Qty C]],0)</f>
        <v>0</v>
      </c>
      <c r="AF883" s="36">
        <f>IFERROR(cadangan3[[#This Row],[Profit C]]-(cadangan3[[#This Row],[Profit C]]*cadangan3[[#This Row],[Diskon]]),cadangan3[[#This Row],[Profit C]])</f>
        <v>0</v>
      </c>
      <c r="AG883" s="21">
        <f>cadangan3[[#This Row],[Qty A]]+cadangan3[[#This Row],[Qty B]]+cadangan3[[#This Row],[Qty C]]</f>
        <v>2</v>
      </c>
      <c r="AH883" s="35">
        <f>cadangan3[[#This Row],[Harga A + Diskon]]+cadangan3[[#This Row],[Harga + Diskon B]]+cadangan3[[#This Row],[Harga + Diskon C]]</f>
        <v>630000</v>
      </c>
      <c r="AI883" s="35">
        <f>(cadangan3[[#This Row],[Profit A]]+cadangan3[[#This Row],[Profit B]]+cadangan3[[#This Row],[Profit C]])</f>
        <v>260000</v>
      </c>
      <c r="AJ883" s="35">
        <f>cadangan3[[#This Row],[Provit A + Diskon]]+cadangan3[[#This Row],[Provit B + Diskon]]+cadangan3[[#This Row],[Provit C + Diskon]]</f>
        <v>234000</v>
      </c>
      <c r="AK883" s="23" t="s">
        <v>30</v>
      </c>
      <c r="AL883" s="37">
        <f>IFERROR(INDEX('Kode Diskon'!$D$3:$D$9,MATCH(cadangan3[[#This Row],[Kode diskon]],'Kode Diskon'!$C$3:$C$9,0)),"-")</f>
        <v>0.1</v>
      </c>
      <c r="AM883" s="23" t="s">
        <v>29</v>
      </c>
      <c r="AN883" s="23" t="s">
        <v>10</v>
      </c>
      <c r="AO883" s="23" t="s">
        <v>80</v>
      </c>
      <c r="AP883" s="24">
        <v>45019</v>
      </c>
      <c r="AQ883" s="23" t="str">
        <f>TEXT(cadangan3[[#This Row],[Tanggal terjual]],"dddd")</f>
        <v>Monday</v>
      </c>
    </row>
    <row r="884" spans="1:43" x14ac:dyDescent="0.2">
      <c r="A884" s="20">
        <v>883</v>
      </c>
      <c r="B884" s="21" t="str">
        <f>_xlfn.CONCAT("ORD-",INDEX(Helper!$B$2:$B$5,MATCH(cadangan3[[#This Row],[Marketplace]],Helper!$A$2:$A$5,0)),TEXT(cadangan3[[#This Row],[No]],"0000"),"-",TEXT(cadangan3[[#This Row],[Tanggal terjual]],"dd/mm/yy"))</f>
        <v>ORD-SP0883-04/04/23</v>
      </c>
      <c r="C884" t="s">
        <v>60</v>
      </c>
      <c r="D884" t="str">
        <f>IFERROR(INDEX(Katalog!$A$3:$A$12,MATCH(cadangan3[[#This Row],[ItemID A]],Katalog!$C$3:$C$12,0)),"-")</f>
        <v>Pakaian Wanita</v>
      </c>
      <c r="E884" t="str">
        <f>IFERROR(INDEX(Katalog!$B$3:$B$12,MATCH(cadangan3[[#This Row],[ItemID A]],Katalog!$C$3:$C$12,0)),"-")</f>
        <v>Kaftan</v>
      </c>
      <c r="F884">
        <v>2</v>
      </c>
      <c r="G884">
        <v>2</v>
      </c>
      <c r="H884" s="36">
        <f>IFERROR(INDEX(Katalog!$D$3:$D$12,MATCH(cadangan3[[#This Row],[ItemID A]],Katalog!$C$3:$C$12,0))*cadangan3[[#This Row],[Qty A]],0)</f>
        <v>500000</v>
      </c>
      <c r="I884" s="36">
        <f>IFERROR(INDEX(Katalog!$D$3:$D$12,MATCH(cadangan3[[#This Row],[Item A]],Katalog!$B$3:$B$12,0))*cadangan3[[#This Row],[Qty A]],0)</f>
        <v>500000</v>
      </c>
      <c r="J884" s="36">
        <f>IFERROR(cadangan3[[#This Row],[Harga Asli A]]-(cadangan3[[#This Row],[Harga Asli A]]*cadangan3[[#This Row],[Diskon]]),cadangan3[[#This Row],[Harga Asli A]])</f>
        <v>425000</v>
      </c>
      <c r="K884" s="36">
        <f>INDEX(Katalog!$F$3:$F$12,MATCH(cadangan3[[#This Row],[ItemID A]],Katalog!$C$3:$C$12,0))*cadangan3[[#This Row],[Qty A]]</f>
        <v>200000</v>
      </c>
      <c r="L884" s="36">
        <f>IFERROR(cadangan3[[#This Row],[Profit A]]-(cadangan3[[#This Row],[Profit A]]*cadangan3[[#This Row],[Diskon]]),K884)</f>
        <v>170000</v>
      </c>
      <c r="M884" t="s">
        <v>59</v>
      </c>
      <c r="N884" t="str">
        <f>IFERROR(INDEX(Katalog!$A$3:$A$12,MATCH(cadangan3[[#This Row],[ItemID B]],Katalog!$C$3:$C$12,0)),"-")</f>
        <v>Pakaian Wanita</v>
      </c>
      <c r="O884" t="str">
        <f>IFERROR(INDEX(Katalog!$B$3:$B$12,MATCH(cadangan3[[#This Row],[ItemID B]],Katalog!$C$3:$C$12,0)),"-")</f>
        <v>Blouse</v>
      </c>
      <c r="P884">
        <v>1</v>
      </c>
      <c r="Q884">
        <v>5</v>
      </c>
      <c r="R884" s="36">
        <f>IFERROR(INDEX(Katalog!$D$3:$D$12,MATCH(cadangan3[[#This Row],[ItemID B]],Katalog!$C$3:$C$12,0))*cadangan3[[#This Row],[Qty B]],0)</f>
        <v>150000</v>
      </c>
      <c r="S884" s="36">
        <f>IFERROR(INDEX(Katalog!$D$3:$D$12,MATCH(cadangan3[[#This Row],[Item B]],Katalog!$B$3:$B$12,0))*cadangan3[[#This Row],[Qty B]],0)</f>
        <v>150000</v>
      </c>
      <c r="T884" s="36">
        <f>IFERROR(cadangan3[[#This Row],[Harga Asli B]]-(cadangan3[[#This Row],[Harga Asli B]]*cadangan3[[#This Row],[Diskon]]),cadangan3[[#This Row],[Harga Asli B]])</f>
        <v>127500</v>
      </c>
      <c r="U884" s="36">
        <f>IFERROR(INDEX(Katalog!$F$3:$F$12,MATCH(cadangan3[[#This Row],[ItemID B]],Katalog!$C$3:$C$12,0))*cadangan3[[#This Row],[Qty B]],0)</f>
        <v>50000</v>
      </c>
      <c r="V884" s="36">
        <f>IFERROR(cadangan3[[#This Row],[Profit B]]-(cadangan3[[#This Row],[Profit B]]*cadangan3[[#This Row],[Diskon]]),U884)</f>
        <v>42500</v>
      </c>
      <c r="W884" t="s">
        <v>67</v>
      </c>
      <c r="X884" t="str">
        <f>IFERROR(INDEX(Katalog!$A$3:$A$12,MATCH(cadangan3[[#This Row],[ItemID C]],Katalog!$C$3:$C$12,0)),"-")</f>
        <v>Sepatu Wanita</v>
      </c>
      <c r="Y884" t="str">
        <f>IFERROR(INDEX(Katalog!$B$3:$B$12,MATCH(cadangan3[[#This Row],[ItemID C]],Katalog!$C$3:$C$12,0)),"-")</f>
        <v>Flat Shoes</v>
      </c>
      <c r="Z884">
        <v>1</v>
      </c>
      <c r="AA884">
        <v>4</v>
      </c>
      <c r="AB884" s="36">
        <f>IFERROR(INDEX(Katalog!$D$3:$D$12,MATCH(cadangan3[[#This Row],[ItemID C]],Katalog!$C$3:$C$12,0))*cadangan3[[#This Row],[Qty C]],0)</f>
        <v>250000</v>
      </c>
      <c r="AC884" s="36">
        <f>IFERROR(INDEX(Katalog!$D$3:$D$12,MATCH(cadangan3[[#This Row],[Item C]],Katalog!$B$3:$B$12,0))*cadangan3[[#This Row],[Qty C]],0)</f>
        <v>250000</v>
      </c>
      <c r="AD884" s="36">
        <f>IFERROR(cadangan3[[#This Row],[Harga Asli C]]-(cadangan3[[#This Row],[Harga Asli C]]*cadangan3[[#This Row],[Diskon]]),cadangan3[[#This Row],[Harga Asli C]])</f>
        <v>212500</v>
      </c>
      <c r="AE884" s="36">
        <f>IFERROR(INDEX(Katalog!$F$3:$F$12,MATCH(cadangan3[[#This Row],[ItemID C]],Katalog!$C$3:$C$12,0))*cadangan3[[#This Row],[Qty C]],0)</f>
        <v>100000</v>
      </c>
      <c r="AF884" s="36">
        <f>IFERROR(cadangan3[[#This Row],[Profit C]]-(cadangan3[[#This Row],[Profit C]]*cadangan3[[#This Row],[Diskon]]),cadangan3[[#This Row],[Profit C]])</f>
        <v>85000</v>
      </c>
      <c r="AG884" s="21">
        <f>cadangan3[[#This Row],[Qty A]]+cadangan3[[#This Row],[Qty B]]+cadangan3[[#This Row],[Qty C]]</f>
        <v>4</v>
      </c>
      <c r="AH884" s="35">
        <f>cadangan3[[#This Row],[Harga A + Diskon]]+cadangan3[[#This Row],[Harga + Diskon B]]+cadangan3[[#This Row],[Harga + Diskon C]]</f>
        <v>765000</v>
      </c>
      <c r="AI884" s="35">
        <f>(cadangan3[[#This Row],[Profit A]]+cadangan3[[#This Row],[Profit B]]+cadangan3[[#This Row],[Profit C]])</f>
        <v>350000</v>
      </c>
      <c r="AJ884" s="35">
        <f>cadangan3[[#This Row],[Provit A + Diskon]]+cadangan3[[#This Row],[Provit B + Diskon]]+cadangan3[[#This Row],[Provit C + Diskon]]</f>
        <v>297500</v>
      </c>
      <c r="AK884" s="23" t="s">
        <v>13</v>
      </c>
      <c r="AL884" s="37">
        <f>IFERROR(INDEX('Kode Diskon'!$D$3:$D$9,MATCH(cadangan3[[#This Row],[Kode diskon]],'Kode Diskon'!$C$3:$C$9,0)),"-")</f>
        <v>0.15</v>
      </c>
      <c r="AM884" s="23" t="s">
        <v>29</v>
      </c>
      <c r="AN884" s="23" t="s">
        <v>7</v>
      </c>
      <c r="AO884" s="23" t="s">
        <v>76</v>
      </c>
      <c r="AP884" s="24">
        <v>45020</v>
      </c>
      <c r="AQ884" s="23" t="str">
        <f>TEXT(cadangan3[[#This Row],[Tanggal terjual]],"dddd")</f>
        <v>Tuesday</v>
      </c>
    </row>
    <row r="885" spans="1:43" x14ac:dyDescent="0.2">
      <c r="A885" s="20">
        <v>884</v>
      </c>
      <c r="B885" s="21" t="str">
        <f>_xlfn.CONCAT("ORD-",INDEX(Helper!$B$2:$B$5,MATCH(cadangan3[[#This Row],[Marketplace]],Helper!$A$2:$A$5,0)),TEXT(cadangan3[[#This Row],[No]],"0000"),"-",TEXT(cadangan3[[#This Row],[Tanggal terjual]],"dd/mm/yy"))</f>
        <v>ORD-SP0884-02/04/23</v>
      </c>
      <c r="C885" t="s">
        <v>63</v>
      </c>
      <c r="D885" t="str">
        <f>IFERROR(INDEX(Katalog!$A$3:$A$12,MATCH(cadangan3[[#This Row],[ItemID A]],Katalog!$C$3:$C$12,0)),"-")</f>
        <v>Pakaian Pria</v>
      </c>
      <c r="E885" t="str">
        <f>IFERROR(INDEX(Katalog!$B$3:$B$12,MATCH(cadangan3[[#This Row],[ItemID A]],Katalog!$C$3:$C$12,0)),"-")</f>
        <v>Jaket Jeans</v>
      </c>
      <c r="F885">
        <v>1</v>
      </c>
      <c r="G885">
        <v>3</v>
      </c>
      <c r="H885" s="36">
        <f>IFERROR(INDEX(Katalog!$D$3:$D$12,MATCH(cadangan3[[#This Row],[ItemID A]],Katalog!$C$3:$C$12,0))*cadangan3[[#This Row],[Qty A]],0)</f>
        <v>400000</v>
      </c>
      <c r="I885" s="36">
        <f>IFERROR(INDEX(Katalog!$D$3:$D$12,MATCH(cadangan3[[#This Row],[Item A]],Katalog!$B$3:$B$12,0))*cadangan3[[#This Row],[Qty A]],0)</f>
        <v>400000</v>
      </c>
      <c r="J885" s="36">
        <f>IFERROR(cadangan3[[#This Row],[Harga Asli A]]-(cadangan3[[#This Row],[Harga Asli A]]*cadangan3[[#This Row],[Diskon]]),cadangan3[[#This Row],[Harga Asli A]])</f>
        <v>340000</v>
      </c>
      <c r="K885" s="36">
        <f>INDEX(Katalog!$F$3:$F$12,MATCH(cadangan3[[#This Row],[ItemID A]],Katalog!$C$3:$C$12,0))*cadangan3[[#This Row],[Qty A]]</f>
        <v>150000</v>
      </c>
      <c r="L885" s="36">
        <f>IFERROR(cadangan3[[#This Row],[Profit A]]-(cadangan3[[#This Row],[Profit A]]*cadangan3[[#This Row],[Diskon]]),K885)</f>
        <v>127500</v>
      </c>
      <c r="M885" t="s">
        <v>66</v>
      </c>
      <c r="N885" t="str">
        <f>IFERROR(INDEX(Katalog!$A$3:$A$12,MATCH(cadangan3[[#This Row],[ItemID B]],Katalog!$C$3:$C$12,0)),"-")</f>
        <v>Sepatu Pria</v>
      </c>
      <c r="O885" t="str">
        <f>IFERROR(INDEX(Katalog!$B$3:$B$12,MATCH(cadangan3[[#This Row],[ItemID B]],Katalog!$C$3:$C$12,0)),"-")</f>
        <v>Sandal Slip On</v>
      </c>
      <c r="P885">
        <v>1</v>
      </c>
      <c r="Q885">
        <v>4</v>
      </c>
      <c r="R885" s="36">
        <f>IFERROR(INDEX(Katalog!$D$3:$D$12,MATCH(cadangan3[[#This Row],[ItemID B]],Katalog!$C$3:$C$12,0))*cadangan3[[#This Row],[Qty B]],0)</f>
        <v>150000</v>
      </c>
      <c r="S885" s="36">
        <f>IFERROR(INDEX(Katalog!$D$3:$D$12,MATCH(cadangan3[[#This Row],[Item B]],Katalog!$B$3:$B$12,0))*cadangan3[[#This Row],[Qty B]],0)</f>
        <v>150000</v>
      </c>
      <c r="T885" s="36">
        <f>IFERROR(cadangan3[[#This Row],[Harga Asli B]]-(cadangan3[[#This Row],[Harga Asli B]]*cadangan3[[#This Row],[Diskon]]),cadangan3[[#This Row],[Harga Asli B]])</f>
        <v>127500</v>
      </c>
      <c r="U885" s="36">
        <f>IFERROR(INDEX(Katalog!$F$3:$F$12,MATCH(cadangan3[[#This Row],[ItemID B]],Katalog!$C$3:$C$12,0))*cadangan3[[#This Row],[Qty B]],0)</f>
        <v>60000</v>
      </c>
      <c r="V885" s="36">
        <f>IFERROR(cadangan3[[#This Row],[Profit B]]-(cadangan3[[#This Row],[Profit B]]*cadangan3[[#This Row],[Diskon]]),U885)</f>
        <v>51000</v>
      </c>
      <c r="W885" t="s">
        <v>62</v>
      </c>
      <c r="X885" t="str">
        <f>IFERROR(INDEX(Katalog!$A$3:$A$12,MATCH(cadangan3[[#This Row],[ItemID C]],Katalog!$C$3:$C$12,0)),"-")</f>
        <v>Pakaian Pria</v>
      </c>
      <c r="Y885" t="str">
        <f>IFERROR(INDEX(Katalog!$B$3:$B$12,MATCH(cadangan3[[#This Row],[ItemID C]],Katalog!$C$3:$C$12,0)),"-")</f>
        <v>Celana Pendek</v>
      </c>
      <c r="Z885">
        <v>3</v>
      </c>
      <c r="AA885">
        <v>5</v>
      </c>
      <c r="AB885" s="36">
        <f>IFERROR(INDEX(Katalog!$D$3:$D$12,MATCH(cadangan3[[#This Row],[ItemID C]],Katalog!$C$3:$C$12,0))*cadangan3[[#This Row],[Qty C]],0)</f>
        <v>540000</v>
      </c>
      <c r="AC885" s="36">
        <f>IFERROR(INDEX(Katalog!$D$3:$D$12,MATCH(cadangan3[[#This Row],[Item C]],Katalog!$B$3:$B$12,0))*cadangan3[[#This Row],[Qty C]],0)</f>
        <v>540000</v>
      </c>
      <c r="AD885" s="36">
        <f>IFERROR(cadangan3[[#This Row],[Harga Asli C]]-(cadangan3[[#This Row],[Harga Asli C]]*cadangan3[[#This Row],[Diskon]]),cadangan3[[#This Row],[Harga Asli C]])</f>
        <v>459000</v>
      </c>
      <c r="AE885" s="36">
        <f>IFERROR(INDEX(Katalog!$F$3:$F$12,MATCH(cadangan3[[#This Row],[ItemID C]],Katalog!$C$3:$C$12,0))*cadangan3[[#This Row],[Qty C]],0)</f>
        <v>210000</v>
      </c>
      <c r="AF885" s="36">
        <f>IFERROR(cadangan3[[#This Row],[Profit C]]-(cadangan3[[#This Row],[Profit C]]*cadangan3[[#This Row],[Diskon]]),cadangan3[[#This Row],[Profit C]])</f>
        <v>178500</v>
      </c>
      <c r="AG885" s="21">
        <f>cadangan3[[#This Row],[Qty A]]+cadangan3[[#This Row],[Qty B]]+cadangan3[[#This Row],[Qty C]]</f>
        <v>5</v>
      </c>
      <c r="AH885" s="35">
        <f>cadangan3[[#This Row],[Harga A + Diskon]]+cadangan3[[#This Row],[Harga + Diskon B]]+cadangan3[[#This Row],[Harga + Diskon C]]</f>
        <v>926500</v>
      </c>
      <c r="AI885" s="35">
        <f>(cadangan3[[#This Row],[Profit A]]+cadangan3[[#This Row],[Profit B]]+cadangan3[[#This Row],[Profit C]])</f>
        <v>420000</v>
      </c>
      <c r="AJ885" s="35">
        <f>cadangan3[[#This Row],[Provit A + Diskon]]+cadangan3[[#This Row],[Provit B + Diskon]]+cadangan3[[#This Row],[Provit C + Diskon]]</f>
        <v>357000</v>
      </c>
      <c r="AK885" s="23" t="s">
        <v>13</v>
      </c>
      <c r="AL885" s="37">
        <f>IFERROR(INDEX('Kode Diskon'!$D$3:$D$9,MATCH(cadangan3[[#This Row],[Kode diskon]],'Kode Diskon'!$C$3:$C$9,0)),"-")</f>
        <v>0.15</v>
      </c>
      <c r="AM885" s="23" t="s">
        <v>29</v>
      </c>
      <c r="AN885" s="23" t="s">
        <v>7</v>
      </c>
      <c r="AO885" s="23" t="s">
        <v>78</v>
      </c>
      <c r="AP885" s="24">
        <v>45018</v>
      </c>
      <c r="AQ885" s="23" t="str">
        <f>TEXT(cadangan3[[#This Row],[Tanggal terjual]],"dddd")</f>
        <v>Sunday</v>
      </c>
    </row>
    <row r="886" spans="1:43" x14ac:dyDescent="0.2">
      <c r="A886" s="20">
        <v>885</v>
      </c>
      <c r="B886" s="21" t="str">
        <f>_xlfn.CONCAT("ORD-",INDEX(Helper!$B$2:$B$5,MATCH(cadangan3[[#This Row],[Marketplace]],Helper!$A$2:$A$5,0)),TEXT(cadangan3[[#This Row],[No]],"0000"),"-",TEXT(cadangan3[[#This Row],[Tanggal terjual]],"dd/mm/yy"))</f>
        <v>ORD-BB0885-04/04/23</v>
      </c>
      <c r="C886" t="s">
        <v>65</v>
      </c>
      <c r="D886" t="str">
        <f>IFERROR(INDEX(Katalog!$A$3:$A$12,MATCH(cadangan3[[#This Row],[ItemID A]],Katalog!$C$3:$C$12,0)),"-")</f>
        <v>Sepatu Pria</v>
      </c>
      <c r="E886" t="str">
        <f>IFERROR(INDEX(Katalog!$B$3:$B$12,MATCH(cadangan3[[#This Row],[ItemID A]],Katalog!$C$3:$C$12,0)),"-")</f>
        <v>Sneakers</v>
      </c>
      <c r="F886">
        <v>4</v>
      </c>
      <c r="G886">
        <v>5</v>
      </c>
      <c r="H886" s="36">
        <f>IFERROR(INDEX(Katalog!$D$3:$D$12,MATCH(cadangan3[[#This Row],[ItemID A]],Katalog!$C$3:$C$12,0))*cadangan3[[#This Row],[Qty A]],0)</f>
        <v>2000000</v>
      </c>
      <c r="I886" s="36">
        <f>IFERROR(INDEX(Katalog!$D$3:$D$12,MATCH(cadangan3[[#This Row],[Item A]],Katalog!$B$3:$B$12,0))*cadangan3[[#This Row],[Qty A]],0)</f>
        <v>2000000</v>
      </c>
      <c r="J886" s="36">
        <f>IFERROR(cadangan3[[#This Row],[Harga Asli A]]-(cadangan3[[#This Row],[Harga Asli A]]*cadangan3[[#This Row],[Diskon]]),cadangan3[[#This Row],[Harga Asli A]])</f>
        <v>1700000</v>
      </c>
      <c r="K886" s="36">
        <f>INDEX(Katalog!$F$3:$F$12,MATCH(cadangan3[[#This Row],[ItemID A]],Katalog!$C$3:$C$12,0))*cadangan3[[#This Row],[Qty A]]</f>
        <v>800000</v>
      </c>
      <c r="L886" s="36">
        <f>IFERROR(cadangan3[[#This Row],[Profit A]]-(cadangan3[[#This Row],[Profit A]]*cadangan3[[#This Row],[Diskon]]),K886)</f>
        <v>680000</v>
      </c>
      <c r="M886" t="s">
        <v>61</v>
      </c>
      <c r="N886" t="str">
        <f>IFERROR(INDEX(Katalog!$A$3:$A$12,MATCH(cadangan3[[#This Row],[ItemID B]],Katalog!$C$3:$C$12,0)),"-")</f>
        <v>Pakaian Pria</v>
      </c>
      <c r="O886" t="str">
        <f>IFERROR(INDEX(Katalog!$B$3:$B$12,MATCH(cadangan3[[#This Row],[ItemID B]],Katalog!$C$3:$C$12,0)),"-")</f>
        <v>Kaos Polo</v>
      </c>
      <c r="P886">
        <v>1</v>
      </c>
      <c r="Q886">
        <v>5</v>
      </c>
      <c r="R886" s="36">
        <f>IFERROR(INDEX(Katalog!$D$3:$D$12,MATCH(cadangan3[[#This Row],[ItemID B]],Katalog!$C$3:$C$12,0))*cadangan3[[#This Row],[Qty B]],0)</f>
        <v>200000</v>
      </c>
      <c r="S886" s="36">
        <f>IFERROR(INDEX(Katalog!$D$3:$D$12,MATCH(cadangan3[[#This Row],[Item B]],Katalog!$B$3:$B$12,0))*cadangan3[[#This Row],[Qty B]],0)</f>
        <v>200000</v>
      </c>
      <c r="T886" s="36">
        <f>IFERROR(cadangan3[[#This Row],[Harga Asli B]]-(cadangan3[[#This Row],[Harga Asli B]]*cadangan3[[#This Row],[Diskon]]),cadangan3[[#This Row],[Harga Asli B]])</f>
        <v>170000</v>
      </c>
      <c r="U886" s="36">
        <f>IFERROR(INDEX(Katalog!$F$3:$F$12,MATCH(cadangan3[[#This Row],[ItemID B]],Katalog!$C$3:$C$12,0))*cadangan3[[#This Row],[Qty B]],0)</f>
        <v>80000</v>
      </c>
      <c r="V886" s="36">
        <f>IFERROR(cadangan3[[#This Row],[Profit B]]-(cadangan3[[#This Row],[Profit B]]*cadangan3[[#This Row],[Diskon]]),U886)</f>
        <v>68000</v>
      </c>
      <c r="X886" t="str">
        <f>IFERROR(INDEX(Katalog!$A$3:$A$12,MATCH(cadangan3[[#This Row],[ItemID C]],Katalog!$C$3:$C$12,0)),"-")</f>
        <v>-</v>
      </c>
      <c r="Y886" t="str">
        <f>IFERROR(INDEX(Katalog!$B$3:$B$12,MATCH(cadangan3[[#This Row],[ItemID C]],Katalog!$C$3:$C$12,0)),"-")</f>
        <v>-</v>
      </c>
      <c r="AB886" s="36">
        <f>IFERROR(INDEX(Katalog!$D$3:$D$12,MATCH(cadangan3[[#This Row],[ItemID C]],Katalog!$C$3:$C$12,0))*cadangan3[[#This Row],[Qty C]],0)</f>
        <v>0</v>
      </c>
      <c r="AC886" s="36">
        <f>IFERROR(INDEX(Katalog!$D$3:$D$12,MATCH(cadangan3[[#This Row],[Item C]],Katalog!$B$3:$B$12,0))*cadangan3[[#This Row],[Qty C]],0)</f>
        <v>0</v>
      </c>
      <c r="AD886" s="36">
        <f>IFERROR(cadangan3[[#This Row],[Harga Asli C]]-(cadangan3[[#This Row],[Harga Asli C]]*cadangan3[[#This Row],[Diskon]]),cadangan3[[#This Row],[Harga Asli C]])</f>
        <v>0</v>
      </c>
      <c r="AE886" s="36">
        <f>IFERROR(INDEX(Katalog!$F$3:$F$12,MATCH(cadangan3[[#This Row],[ItemID C]],Katalog!$C$3:$C$12,0))*cadangan3[[#This Row],[Qty C]],0)</f>
        <v>0</v>
      </c>
      <c r="AF886" s="36">
        <f>IFERROR(cadangan3[[#This Row],[Profit C]]-(cadangan3[[#This Row],[Profit C]]*cadangan3[[#This Row],[Diskon]]),cadangan3[[#This Row],[Profit C]])</f>
        <v>0</v>
      </c>
      <c r="AG886" s="21">
        <f>cadangan3[[#This Row],[Qty A]]+cadangan3[[#This Row],[Qty B]]+cadangan3[[#This Row],[Qty C]]</f>
        <v>5</v>
      </c>
      <c r="AH886" s="35">
        <f>cadangan3[[#This Row],[Harga A + Diskon]]+cadangan3[[#This Row],[Harga + Diskon B]]+cadangan3[[#This Row],[Harga + Diskon C]]</f>
        <v>1870000</v>
      </c>
      <c r="AI886" s="35">
        <f>(cadangan3[[#This Row],[Profit A]]+cadangan3[[#This Row],[Profit B]]+cadangan3[[#This Row],[Profit C]])</f>
        <v>880000</v>
      </c>
      <c r="AJ886" s="35">
        <f>cadangan3[[#This Row],[Provit A + Diskon]]+cadangan3[[#This Row],[Provit B + Diskon]]+cadangan3[[#This Row],[Provit C + Diskon]]</f>
        <v>748000</v>
      </c>
      <c r="AK886" s="23" t="s">
        <v>28</v>
      </c>
      <c r="AL886" s="37">
        <f>IFERROR(INDEX('Kode Diskon'!$D$3:$D$9,MATCH(cadangan3[[#This Row],[Kode diskon]],'Kode Diskon'!$C$3:$C$9,0)),"-")</f>
        <v>0.15</v>
      </c>
      <c r="AM886" s="23" t="s">
        <v>29</v>
      </c>
      <c r="AN886" s="23" t="s">
        <v>14</v>
      </c>
      <c r="AO886" s="23" t="s">
        <v>77</v>
      </c>
      <c r="AP886" s="24">
        <v>45020</v>
      </c>
      <c r="AQ886" s="23" t="str">
        <f>TEXT(cadangan3[[#This Row],[Tanggal terjual]],"dddd")</f>
        <v>Tuesday</v>
      </c>
    </row>
    <row r="887" spans="1:43" x14ac:dyDescent="0.2">
      <c r="A887" s="20">
        <v>886</v>
      </c>
      <c r="B887" s="21" t="str">
        <f>_xlfn.CONCAT("ORD-",INDEX(Helper!$B$2:$B$5,MATCH(cadangan3[[#This Row],[Marketplace]],Helper!$A$2:$A$5,0)),TEXT(cadangan3[[#This Row],[No]],"0000"),"-",TEXT(cadangan3[[#This Row],[Tanggal terjual]],"dd/mm/yy"))</f>
        <v>ORD-SP0886-20/04/23</v>
      </c>
      <c r="C887" t="s">
        <v>64</v>
      </c>
      <c r="D887" t="str">
        <f>IFERROR(INDEX(Katalog!$A$3:$A$12,MATCH(cadangan3[[#This Row],[ItemID A]],Katalog!$C$3:$C$12,0)),"-")</f>
        <v>Pakaian Unisex</v>
      </c>
      <c r="E887" t="str">
        <f>IFERROR(INDEX(Katalog!$B$3:$B$12,MATCH(cadangan3[[#This Row],[ItemID A]],Katalog!$C$3:$C$12,0)),"-")</f>
        <v>Jaket Hoodie</v>
      </c>
      <c r="F887">
        <v>2</v>
      </c>
      <c r="G887">
        <v>5</v>
      </c>
      <c r="H887" s="36">
        <f>IFERROR(INDEX(Katalog!$D$3:$D$12,MATCH(cadangan3[[#This Row],[ItemID A]],Katalog!$C$3:$C$12,0))*cadangan3[[#This Row],[Qty A]],0)</f>
        <v>700000</v>
      </c>
      <c r="I887" s="36">
        <f>IFERROR(INDEX(Katalog!$D$3:$D$12,MATCH(cadangan3[[#This Row],[Item A]],Katalog!$B$3:$B$12,0))*cadangan3[[#This Row],[Qty A]],0)</f>
        <v>700000</v>
      </c>
      <c r="J887" s="36">
        <f>IFERROR(cadangan3[[#This Row],[Harga Asli A]]-(cadangan3[[#This Row],[Harga Asli A]]*cadangan3[[#This Row],[Diskon]]),cadangan3[[#This Row],[Harga Asli A]])</f>
        <v>560000</v>
      </c>
      <c r="K887" s="36">
        <f>INDEX(Katalog!$F$3:$F$12,MATCH(cadangan3[[#This Row],[ItemID A]],Katalog!$C$3:$C$12,0))*cadangan3[[#This Row],[Qty A]]</f>
        <v>260000</v>
      </c>
      <c r="L887" s="36">
        <f>IFERROR(cadangan3[[#This Row],[Profit A]]-(cadangan3[[#This Row],[Profit A]]*cadangan3[[#This Row],[Diskon]]),K887)</f>
        <v>208000</v>
      </c>
      <c r="M887" t="s">
        <v>61</v>
      </c>
      <c r="N887" t="str">
        <f>IFERROR(INDEX(Katalog!$A$3:$A$12,MATCH(cadangan3[[#This Row],[ItemID B]],Katalog!$C$3:$C$12,0)),"-")</f>
        <v>Pakaian Pria</v>
      </c>
      <c r="O887" t="str">
        <f>IFERROR(INDEX(Katalog!$B$3:$B$12,MATCH(cadangan3[[#This Row],[ItemID B]],Katalog!$C$3:$C$12,0)),"-")</f>
        <v>Kaos Polo</v>
      </c>
      <c r="P887">
        <v>2</v>
      </c>
      <c r="Q887">
        <v>5</v>
      </c>
      <c r="R887" s="36">
        <f>IFERROR(INDEX(Katalog!$D$3:$D$12,MATCH(cadangan3[[#This Row],[ItemID B]],Katalog!$C$3:$C$12,0))*cadangan3[[#This Row],[Qty B]],0)</f>
        <v>400000</v>
      </c>
      <c r="S887" s="36">
        <f>IFERROR(INDEX(Katalog!$D$3:$D$12,MATCH(cadangan3[[#This Row],[Item B]],Katalog!$B$3:$B$12,0))*cadangan3[[#This Row],[Qty B]],0)</f>
        <v>400000</v>
      </c>
      <c r="T887" s="36">
        <f>IFERROR(cadangan3[[#This Row],[Harga Asli B]]-(cadangan3[[#This Row],[Harga Asli B]]*cadangan3[[#This Row],[Diskon]]),cadangan3[[#This Row],[Harga Asli B]])</f>
        <v>320000</v>
      </c>
      <c r="U887" s="36">
        <f>IFERROR(INDEX(Katalog!$F$3:$F$12,MATCH(cadangan3[[#This Row],[ItemID B]],Katalog!$C$3:$C$12,0))*cadangan3[[#This Row],[Qty B]],0)</f>
        <v>160000</v>
      </c>
      <c r="V887" s="36">
        <f>IFERROR(cadangan3[[#This Row],[Profit B]]-(cadangan3[[#This Row],[Profit B]]*cadangan3[[#This Row],[Diskon]]),U887)</f>
        <v>128000</v>
      </c>
      <c r="W887" t="s">
        <v>67</v>
      </c>
      <c r="X887" t="str">
        <f>IFERROR(INDEX(Katalog!$A$3:$A$12,MATCH(cadangan3[[#This Row],[ItemID C]],Katalog!$C$3:$C$12,0)),"-")</f>
        <v>Sepatu Wanita</v>
      </c>
      <c r="Y887" t="str">
        <f>IFERROR(INDEX(Katalog!$B$3:$B$12,MATCH(cadangan3[[#This Row],[ItemID C]],Katalog!$C$3:$C$12,0)),"-")</f>
        <v>Flat Shoes</v>
      </c>
      <c r="Z887">
        <v>2</v>
      </c>
      <c r="AA887">
        <v>1</v>
      </c>
      <c r="AB887" s="36">
        <f>IFERROR(INDEX(Katalog!$D$3:$D$12,MATCH(cadangan3[[#This Row],[ItemID C]],Katalog!$C$3:$C$12,0))*cadangan3[[#This Row],[Qty C]],0)</f>
        <v>500000</v>
      </c>
      <c r="AC887" s="36">
        <f>IFERROR(INDEX(Katalog!$D$3:$D$12,MATCH(cadangan3[[#This Row],[Item C]],Katalog!$B$3:$B$12,0))*cadangan3[[#This Row],[Qty C]],0)</f>
        <v>500000</v>
      </c>
      <c r="AD887" s="36">
        <f>IFERROR(cadangan3[[#This Row],[Harga Asli C]]-(cadangan3[[#This Row],[Harga Asli C]]*cadangan3[[#This Row],[Diskon]]),cadangan3[[#This Row],[Harga Asli C]])</f>
        <v>400000</v>
      </c>
      <c r="AE887" s="36">
        <f>IFERROR(INDEX(Katalog!$F$3:$F$12,MATCH(cadangan3[[#This Row],[ItemID C]],Katalog!$C$3:$C$12,0))*cadangan3[[#This Row],[Qty C]],0)</f>
        <v>200000</v>
      </c>
      <c r="AF887" s="36">
        <f>IFERROR(cadangan3[[#This Row],[Profit C]]-(cadangan3[[#This Row],[Profit C]]*cadangan3[[#This Row],[Diskon]]),cadangan3[[#This Row],[Profit C]])</f>
        <v>160000</v>
      </c>
      <c r="AG887" s="21">
        <f>cadangan3[[#This Row],[Qty A]]+cadangan3[[#This Row],[Qty B]]+cadangan3[[#This Row],[Qty C]]</f>
        <v>6</v>
      </c>
      <c r="AH887" s="35">
        <f>cadangan3[[#This Row],[Harga A + Diskon]]+cadangan3[[#This Row],[Harga + Diskon B]]+cadangan3[[#This Row],[Harga + Diskon C]]</f>
        <v>1280000</v>
      </c>
      <c r="AI887" s="35">
        <f>(cadangan3[[#This Row],[Profit A]]+cadangan3[[#This Row],[Profit B]]+cadangan3[[#This Row],[Profit C]])</f>
        <v>620000</v>
      </c>
      <c r="AJ887" s="35">
        <f>cadangan3[[#This Row],[Provit A + Diskon]]+cadangan3[[#This Row],[Provit B + Diskon]]+cadangan3[[#This Row],[Provit C + Diskon]]</f>
        <v>496000</v>
      </c>
      <c r="AK887" s="23" t="s">
        <v>8</v>
      </c>
      <c r="AL887" s="37">
        <f>IFERROR(INDEX('Kode Diskon'!$D$3:$D$9,MATCH(cadangan3[[#This Row],[Kode diskon]],'Kode Diskon'!$C$3:$C$9,0)),"-")</f>
        <v>0.2</v>
      </c>
      <c r="AM887" s="23" t="s">
        <v>9</v>
      </c>
      <c r="AN887" s="23" t="s">
        <v>7</v>
      </c>
      <c r="AO887" s="23" t="s">
        <v>75</v>
      </c>
      <c r="AP887" s="24">
        <v>45036</v>
      </c>
      <c r="AQ887" s="23" t="str">
        <f>TEXT(cadangan3[[#This Row],[Tanggal terjual]],"dddd")</f>
        <v>Thursday</v>
      </c>
    </row>
    <row r="888" spans="1:43" x14ac:dyDescent="0.2">
      <c r="A888" s="20">
        <v>887</v>
      </c>
      <c r="B888" s="21" t="str">
        <f>_xlfn.CONCAT("ORD-",INDEX(Helper!$B$2:$B$5,MATCH(cadangan3[[#This Row],[Marketplace]],Helper!$A$2:$A$5,0)),TEXT(cadangan3[[#This Row],[No]],"0000"),"-",TEXT(cadangan3[[#This Row],[Tanggal terjual]],"dd/mm/yy"))</f>
        <v>ORD-TK0887-28/04/23</v>
      </c>
      <c r="C888" t="s">
        <v>59</v>
      </c>
      <c r="D888" t="str">
        <f>IFERROR(INDEX(Katalog!$A$3:$A$12,MATCH(cadangan3[[#This Row],[ItemID A]],Katalog!$C$3:$C$12,0)),"-")</f>
        <v>Pakaian Wanita</v>
      </c>
      <c r="E888" t="str">
        <f>IFERROR(INDEX(Katalog!$B$3:$B$12,MATCH(cadangan3[[#This Row],[ItemID A]],Katalog!$C$3:$C$12,0)),"-")</f>
        <v>Blouse</v>
      </c>
      <c r="F888">
        <v>1</v>
      </c>
      <c r="G888">
        <v>1</v>
      </c>
      <c r="H888" s="36">
        <f>IFERROR(INDEX(Katalog!$D$3:$D$12,MATCH(cadangan3[[#This Row],[ItemID A]],Katalog!$C$3:$C$12,0))*cadangan3[[#This Row],[Qty A]],0)</f>
        <v>150000</v>
      </c>
      <c r="I888" s="36">
        <f>IFERROR(INDEX(Katalog!$D$3:$D$12,MATCH(cadangan3[[#This Row],[Item A]],Katalog!$B$3:$B$12,0))*cadangan3[[#This Row],[Qty A]],0)</f>
        <v>150000</v>
      </c>
      <c r="J888" s="36">
        <f>IFERROR(cadangan3[[#This Row],[Harga Asli A]]-(cadangan3[[#This Row],[Harga Asli A]]*cadangan3[[#This Row],[Diskon]]),cadangan3[[#This Row],[Harga Asli A]])</f>
        <v>135000</v>
      </c>
      <c r="K888" s="36">
        <f>INDEX(Katalog!$F$3:$F$12,MATCH(cadangan3[[#This Row],[ItemID A]],Katalog!$C$3:$C$12,0))*cadangan3[[#This Row],[Qty A]]</f>
        <v>50000</v>
      </c>
      <c r="L888" s="36">
        <f>IFERROR(cadangan3[[#This Row],[Profit A]]-(cadangan3[[#This Row],[Profit A]]*cadangan3[[#This Row],[Diskon]]),K888)</f>
        <v>45000</v>
      </c>
      <c r="N888" t="str">
        <f>IFERROR(INDEX(Katalog!$A$3:$A$12,MATCH(cadangan3[[#This Row],[ItemID B]],Katalog!$C$3:$C$12,0)),"-")</f>
        <v>-</v>
      </c>
      <c r="O888" t="str">
        <f>IFERROR(INDEX(Katalog!$B$3:$B$12,MATCH(cadangan3[[#This Row],[ItemID B]],Katalog!$C$3:$C$12,0)),"-")</f>
        <v>-</v>
      </c>
      <c r="R888" s="36">
        <f>IFERROR(INDEX(Katalog!$D$3:$D$12,MATCH(cadangan3[[#This Row],[ItemID B]],Katalog!$C$3:$C$12,0))*cadangan3[[#This Row],[Qty B]],0)</f>
        <v>0</v>
      </c>
      <c r="S888" s="36">
        <f>IFERROR(INDEX(Katalog!$D$3:$D$12,MATCH(cadangan3[[#This Row],[Item B]],Katalog!$B$3:$B$12,0))*cadangan3[[#This Row],[Qty B]],0)</f>
        <v>0</v>
      </c>
      <c r="T888" s="36">
        <f>IFERROR(cadangan3[[#This Row],[Harga Asli B]]-(cadangan3[[#This Row],[Harga Asli B]]*cadangan3[[#This Row],[Diskon]]),cadangan3[[#This Row],[Harga Asli B]])</f>
        <v>0</v>
      </c>
      <c r="U888" s="36">
        <f>IFERROR(INDEX(Katalog!$F$3:$F$12,MATCH(cadangan3[[#This Row],[ItemID B]],Katalog!$C$3:$C$12,0))*cadangan3[[#This Row],[Qty B]],0)</f>
        <v>0</v>
      </c>
      <c r="V888" s="36">
        <f>IFERROR(cadangan3[[#This Row],[Profit B]]-(cadangan3[[#This Row],[Profit B]]*cadangan3[[#This Row],[Diskon]]),U888)</f>
        <v>0</v>
      </c>
      <c r="X888" t="str">
        <f>IFERROR(INDEX(Katalog!$A$3:$A$12,MATCH(cadangan3[[#This Row],[ItemID C]],Katalog!$C$3:$C$12,0)),"-")</f>
        <v>-</v>
      </c>
      <c r="Y888" t="str">
        <f>IFERROR(INDEX(Katalog!$B$3:$B$12,MATCH(cadangan3[[#This Row],[ItemID C]],Katalog!$C$3:$C$12,0)),"-")</f>
        <v>-</v>
      </c>
      <c r="AB888" s="36">
        <f>IFERROR(INDEX(Katalog!$D$3:$D$12,MATCH(cadangan3[[#This Row],[ItemID C]],Katalog!$C$3:$C$12,0))*cadangan3[[#This Row],[Qty C]],0)</f>
        <v>0</v>
      </c>
      <c r="AC888" s="36">
        <f>IFERROR(INDEX(Katalog!$D$3:$D$12,MATCH(cadangan3[[#This Row],[Item C]],Katalog!$B$3:$B$12,0))*cadangan3[[#This Row],[Qty C]],0)</f>
        <v>0</v>
      </c>
      <c r="AD888" s="36">
        <f>IFERROR(cadangan3[[#This Row],[Harga Asli C]]-(cadangan3[[#This Row],[Harga Asli C]]*cadangan3[[#This Row],[Diskon]]),cadangan3[[#This Row],[Harga Asli C]])</f>
        <v>0</v>
      </c>
      <c r="AE888" s="36">
        <f>IFERROR(INDEX(Katalog!$F$3:$F$12,MATCH(cadangan3[[#This Row],[ItemID C]],Katalog!$C$3:$C$12,0))*cadangan3[[#This Row],[Qty C]],0)</f>
        <v>0</v>
      </c>
      <c r="AF888" s="36">
        <f>IFERROR(cadangan3[[#This Row],[Profit C]]-(cadangan3[[#This Row],[Profit C]]*cadangan3[[#This Row],[Diskon]]),cadangan3[[#This Row],[Profit C]])</f>
        <v>0</v>
      </c>
      <c r="AG888" s="21">
        <f>cadangan3[[#This Row],[Qty A]]+cadangan3[[#This Row],[Qty B]]+cadangan3[[#This Row],[Qty C]]</f>
        <v>1</v>
      </c>
      <c r="AH888" s="35">
        <f>cadangan3[[#This Row],[Harga A + Diskon]]+cadangan3[[#This Row],[Harga + Diskon B]]+cadangan3[[#This Row],[Harga + Diskon C]]</f>
        <v>135000</v>
      </c>
      <c r="AI888" s="35">
        <f>(cadangan3[[#This Row],[Profit A]]+cadangan3[[#This Row],[Profit B]]+cadangan3[[#This Row],[Profit C]])</f>
        <v>50000</v>
      </c>
      <c r="AJ888" s="35">
        <f>cadangan3[[#This Row],[Provit A + Diskon]]+cadangan3[[#This Row],[Provit B + Diskon]]+cadangan3[[#This Row],[Provit C + Diskon]]</f>
        <v>45000</v>
      </c>
      <c r="AK888" s="23" t="s">
        <v>31</v>
      </c>
      <c r="AL888" s="37">
        <f>IFERROR(INDEX('Kode Diskon'!$D$3:$D$9,MATCH(cadangan3[[#This Row],[Kode diskon]],'Kode Diskon'!$C$3:$C$9,0)),"-")</f>
        <v>0.1</v>
      </c>
      <c r="AM888" s="23" t="s">
        <v>9</v>
      </c>
      <c r="AN888" s="23" t="s">
        <v>10</v>
      </c>
      <c r="AO888" s="23" t="s">
        <v>76</v>
      </c>
      <c r="AP888" s="24">
        <v>45044</v>
      </c>
      <c r="AQ888" s="23" t="str">
        <f>TEXT(cadangan3[[#This Row],[Tanggal terjual]],"dddd")</f>
        <v>Friday</v>
      </c>
    </row>
    <row r="889" spans="1:43" x14ac:dyDescent="0.2">
      <c r="A889" s="20">
        <v>888</v>
      </c>
      <c r="B889" s="21" t="str">
        <f>_xlfn.CONCAT("ORD-",INDEX(Helper!$B$2:$B$5,MATCH(cadangan3[[#This Row],[Marketplace]],Helper!$A$2:$A$5,0)),TEXT(cadangan3[[#This Row],[No]],"0000"),"-",TEXT(cadangan3[[#This Row],[Tanggal terjual]],"dd/mm/yy"))</f>
        <v>ORD-BB0888-06/04/23</v>
      </c>
      <c r="C889" t="s">
        <v>63</v>
      </c>
      <c r="D889" t="str">
        <f>IFERROR(INDEX(Katalog!$A$3:$A$12,MATCH(cadangan3[[#This Row],[ItemID A]],Katalog!$C$3:$C$12,0)),"-")</f>
        <v>Pakaian Pria</v>
      </c>
      <c r="E889" t="str">
        <f>IFERROR(INDEX(Katalog!$B$3:$B$12,MATCH(cadangan3[[#This Row],[ItemID A]],Katalog!$C$3:$C$12,0)),"-")</f>
        <v>Jaket Jeans</v>
      </c>
      <c r="F889">
        <v>1</v>
      </c>
      <c r="G889">
        <v>1</v>
      </c>
      <c r="H889" s="36">
        <f>IFERROR(INDEX(Katalog!$D$3:$D$12,MATCH(cadangan3[[#This Row],[ItemID A]],Katalog!$C$3:$C$12,0))*cadangan3[[#This Row],[Qty A]],0)</f>
        <v>400000</v>
      </c>
      <c r="I889" s="36">
        <f>IFERROR(INDEX(Katalog!$D$3:$D$12,MATCH(cadangan3[[#This Row],[Item A]],Katalog!$B$3:$B$12,0))*cadangan3[[#This Row],[Qty A]],0)</f>
        <v>400000</v>
      </c>
      <c r="J889" s="36">
        <f>IFERROR(cadangan3[[#This Row],[Harga Asli A]]-(cadangan3[[#This Row],[Harga Asli A]]*cadangan3[[#This Row],[Diskon]]),cadangan3[[#This Row],[Harga Asli A]])</f>
        <v>340000</v>
      </c>
      <c r="K889" s="36">
        <f>INDEX(Katalog!$F$3:$F$12,MATCH(cadangan3[[#This Row],[ItemID A]],Katalog!$C$3:$C$12,0))*cadangan3[[#This Row],[Qty A]]</f>
        <v>150000</v>
      </c>
      <c r="L889" s="36">
        <f>IFERROR(cadangan3[[#This Row],[Profit A]]-(cadangan3[[#This Row],[Profit A]]*cadangan3[[#This Row],[Diskon]]),K889)</f>
        <v>127500</v>
      </c>
      <c r="M889" t="s">
        <v>62</v>
      </c>
      <c r="N889" t="str">
        <f>IFERROR(INDEX(Katalog!$A$3:$A$12,MATCH(cadangan3[[#This Row],[ItemID B]],Katalog!$C$3:$C$12,0)),"-")</f>
        <v>Pakaian Pria</v>
      </c>
      <c r="O889" t="str">
        <f>IFERROR(INDEX(Katalog!$B$3:$B$12,MATCH(cadangan3[[#This Row],[ItemID B]],Katalog!$C$3:$C$12,0)),"-")</f>
        <v>Celana Pendek</v>
      </c>
      <c r="P889">
        <v>1</v>
      </c>
      <c r="Q889">
        <v>3</v>
      </c>
      <c r="R889" s="36">
        <f>IFERROR(INDEX(Katalog!$D$3:$D$12,MATCH(cadangan3[[#This Row],[ItemID B]],Katalog!$C$3:$C$12,0))*cadangan3[[#This Row],[Qty B]],0)</f>
        <v>180000</v>
      </c>
      <c r="S889" s="36">
        <f>IFERROR(INDEX(Katalog!$D$3:$D$12,MATCH(cadangan3[[#This Row],[Item B]],Katalog!$B$3:$B$12,0))*cadangan3[[#This Row],[Qty B]],0)</f>
        <v>180000</v>
      </c>
      <c r="T889" s="36">
        <f>IFERROR(cadangan3[[#This Row],[Harga Asli B]]-(cadangan3[[#This Row],[Harga Asli B]]*cadangan3[[#This Row],[Diskon]]),cadangan3[[#This Row],[Harga Asli B]])</f>
        <v>153000</v>
      </c>
      <c r="U889" s="36">
        <f>IFERROR(INDEX(Katalog!$F$3:$F$12,MATCH(cadangan3[[#This Row],[ItemID B]],Katalog!$C$3:$C$12,0))*cadangan3[[#This Row],[Qty B]],0)</f>
        <v>70000</v>
      </c>
      <c r="V889" s="36">
        <f>IFERROR(cadangan3[[#This Row],[Profit B]]-(cadangan3[[#This Row],[Profit B]]*cadangan3[[#This Row],[Diskon]]),U889)</f>
        <v>59500</v>
      </c>
      <c r="W889" t="s">
        <v>65</v>
      </c>
      <c r="X889" t="str">
        <f>IFERROR(INDEX(Katalog!$A$3:$A$12,MATCH(cadangan3[[#This Row],[ItemID C]],Katalog!$C$3:$C$12,0)),"-")</f>
        <v>Sepatu Pria</v>
      </c>
      <c r="Y889" t="str">
        <f>IFERROR(INDEX(Katalog!$B$3:$B$12,MATCH(cadangan3[[#This Row],[ItemID C]],Katalog!$C$3:$C$12,0)),"-")</f>
        <v>Sneakers</v>
      </c>
      <c r="Z889">
        <v>2</v>
      </c>
      <c r="AA889">
        <v>4</v>
      </c>
      <c r="AB889" s="36">
        <f>IFERROR(INDEX(Katalog!$D$3:$D$12,MATCH(cadangan3[[#This Row],[ItemID C]],Katalog!$C$3:$C$12,0))*cadangan3[[#This Row],[Qty C]],0)</f>
        <v>1000000</v>
      </c>
      <c r="AC889" s="36">
        <f>IFERROR(INDEX(Katalog!$D$3:$D$12,MATCH(cadangan3[[#This Row],[Item C]],Katalog!$B$3:$B$12,0))*cadangan3[[#This Row],[Qty C]],0)</f>
        <v>1000000</v>
      </c>
      <c r="AD889" s="36">
        <f>IFERROR(cadangan3[[#This Row],[Harga Asli C]]-(cadangan3[[#This Row],[Harga Asli C]]*cadangan3[[#This Row],[Diskon]]),cadangan3[[#This Row],[Harga Asli C]])</f>
        <v>850000</v>
      </c>
      <c r="AE889" s="36">
        <f>IFERROR(INDEX(Katalog!$F$3:$F$12,MATCH(cadangan3[[#This Row],[ItemID C]],Katalog!$C$3:$C$12,0))*cadangan3[[#This Row],[Qty C]],0)</f>
        <v>400000</v>
      </c>
      <c r="AF889" s="36">
        <f>IFERROR(cadangan3[[#This Row],[Profit C]]-(cadangan3[[#This Row],[Profit C]]*cadangan3[[#This Row],[Diskon]]),cadangan3[[#This Row],[Profit C]])</f>
        <v>340000</v>
      </c>
      <c r="AG889" s="21">
        <f>cadangan3[[#This Row],[Qty A]]+cadangan3[[#This Row],[Qty B]]+cadangan3[[#This Row],[Qty C]]</f>
        <v>4</v>
      </c>
      <c r="AH889" s="35">
        <f>cadangan3[[#This Row],[Harga A + Diskon]]+cadangan3[[#This Row],[Harga + Diskon B]]+cadangan3[[#This Row],[Harga + Diskon C]]</f>
        <v>1343000</v>
      </c>
      <c r="AI889" s="35">
        <f>(cadangan3[[#This Row],[Profit A]]+cadangan3[[#This Row],[Profit B]]+cadangan3[[#This Row],[Profit C]])</f>
        <v>620000</v>
      </c>
      <c r="AJ889" s="35">
        <f>cadangan3[[#This Row],[Provit A + Diskon]]+cadangan3[[#This Row],[Provit B + Diskon]]+cadangan3[[#This Row],[Provit C + Diskon]]</f>
        <v>527000</v>
      </c>
      <c r="AK889" s="23" t="s">
        <v>28</v>
      </c>
      <c r="AL889" s="37">
        <f>IFERROR(INDEX('Kode Diskon'!$D$3:$D$9,MATCH(cadangan3[[#This Row],[Kode diskon]],'Kode Diskon'!$C$3:$C$9,0)),"-")</f>
        <v>0.15</v>
      </c>
      <c r="AM889" s="23" t="s">
        <v>29</v>
      </c>
      <c r="AN889" s="23" t="s">
        <v>14</v>
      </c>
      <c r="AO889" s="23" t="s">
        <v>75</v>
      </c>
      <c r="AP889" s="24">
        <v>45022</v>
      </c>
      <c r="AQ889" s="23" t="str">
        <f>TEXT(cadangan3[[#This Row],[Tanggal terjual]],"dddd")</f>
        <v>Thursday</v>
      </c>
    </row>
    <row r="890" spans="1:43" x14ac:dyDescent="0.2">
      <c r="A890" s="20">
        <v>889</v>
      </c>
      <c r="B890" s="21" t="str">
        <f>_xlfn.CONCAT("ORD-",INDEX(Helper!$B$2:$B$5,MATCH(cadangan3[[#This Row],[Marketplace]],Helper!$A$2:$A$5,0)),TEXT(cadangan3[[#This Row],[No]],"0000"),"-",TEXT(cadangan3[[#This Row],[Tanggal terjual]],"dd/mm/yy"))</f>
        <v>ORD-SP0889-30/04/23</v>
      </c>
      <c r="C890" t="s">
        <v>65</v>
      </c>
      <c r="D890" t="str">
        <f>IFERROR(INDEX(Katalog!$A$3:$A$12,MATCH(cadangan3[[#This Row],[ItemID A]],Katalog!$C$3:$C$12,0)),"-")</f>
        <v>Sepatu Pria</v>
      </c>
      <c r="E890" t="str">
        <f>IFERROR(INDEX(Katalog!$B$3:$B$12,MATCH(cadangan3[[#This Row],[ItemID A]],Katalog!$C$3:$C$12,0)),"-")</f>
        <v>Sneakers</v>
      </c>
      <c r="F890">
        <v>2</v>
      </c>
      <c r="G890">
        <v>4</v>
      </c>
      <c r="H890" s="36">
        <f>IFERROR(INDEX(Katalog!$D$3:$D$12,MATCH(cadangan3[[#This Row],[ItemID A]],Katalog!$C$3:$C$12,0))*cadangan3[[#This Row],[Qty A]],0)</f>
        <v>1000000</v>
      </c>
      <c r="I890" s="36">
        <f>IFERROR(INDEX(Katalog!$D$3:$D$12,MATCH(cadangan3[[#This Row],[Item A]],Katalog!$B$3:$B$12,0))*cadangan3[[#This Row],[Qty A]],0)</f>
        <v>1000000</v>
      </c>
      <c r="J890" s="36">
        <f>IFERROR(cadangan3[[#This Row],[Harga Asli A]]-(cadangan3[[#This Row],[Harga Asli A]]*cadangan3[[#This Row],[Diskon]]),cadangan3[[#This Row],[Harga Asli A]])</f>
        <v>800000</v>
      </c>
      <c r="K890" s="36">
        <f>INDEX(Katalog!$F$3:$F$12,MATCH(cadangan3[[#This Row],[ItemID A]],Katalog!$C$3:$C$12,0))*cadangan3[[#This Row],[Qty A]]</f>
        <v>400000</v>
      </c>
      <c r="L890" s="36">
        <f>IFERROR(cadangan3[[#This Row],[Profit A]]-(cadangan3[[#This Row],[Profit A]]*cadangan3[[#This Row],[Diskon]]),K890)</f>
        <v>320000</v>
      </c>
      <c r="M890" t="s">
        <v>62</v>
      </c>
      <c r="N890" t="str">
        <f>IFERROR(INDEX(Katalog!$A$3:$A$12,MATCH(cadangan3[[#This Row],[ItemID B]],Katalog!$C$3:$C$12,0)),"-")</f>
        <v>Pakaian Pria</v>
      </c>
      <c r="O890" t="str">
        <f>IFERROR(INDEX(Katalog!$B$3:$B$12,MATCH(cadangan3[[#This Row],[ItemID B]],Katalog!$C$3:$C$12,0)),"-")</f>
        <v>Celana Pendek</v>
      </c>
      <c r="P890">
        <v>1</v>
      </c>
      <c r="Q890">
        <v>4</v>
      </c>
      <c r="R890" s="36">
        <f>IFERROR(INDEX(Katalog!$D$3:$D$12,MATCH(cadangan3[[#This Row],[ItemID B]],Katalog!$C$3:$C$12,0))*cadangan3[[#This Row],[Qty B]],0)</f>
        <v>180000</v>
      </c>
      <c r="S890" s="36">
        <f>IFERROR(INDEX(Katalog!$D$3:$D$12,MATCH(cadangan3[[#This Row],[Item B]],Katalog!$B$3:$B$12,0))*cadangan3[[#This Row],[Qty B]],0)</f>
        <v>180000</v>
      </c>
      <c r="T890" s="36">
        <f>IFERROR(cadangan3[[#This Row],[Harga Asli B]]-(cadangan3[[#This Row],[Harga Asli B]]*cadangan3[[#This Row],[Diskon]]),cadangan3[[#This Row],[Harga Asli B]])</f>
        <v>144000</v>
      </c>
      <c r="U890" s="36">
        <f>IFERROR(INDEX(Katalog!$F$3:$F$12,MATCH(cadangan3[[#This Row],[ItemID B]],Katalog!$C$3:$C$12,0))*cadangan3[[#This Row],[Qty B]],0)</f>
        <v>70000</v>
      </c>
      <c r="V890" s="36">
        <f>IFERROR(cadangan3[[#This Row],[Profit B]]-(cadangan3[[#This Row],[Profit B]]*cadangan3[[#This Row],[Diskon]]),U890)</f>
        <v>56000</v>
      </c>
      <c r="X890" t="str">
        <f>IFERROR(INDEX(Katalog!$A$3:$A$12,MATCH(cadangan3[[#This Row],[ItemID C]],Katalog!$C$3:$C$12,0)),"-")</f>
        <v>-</v>
      </c>
      <c r="Y890" t="str">
        <f>IFERROR(INDEX(Katalog!$B$3:$B$12,MATCH(cadangan3[[#This Row],[ItemID C]],Katalog!$C$3:$C$12,0)),"-")</f>
        <v>-</v>
      </c>
      <c r="AB890" s="36">
        <f>IFERROR(INDEX(Katalog!$D$3:$D$12,MATCH(cadangan3[[#This Row],[ItemID C]],Katalog!$C$3:$C$12,0))*cadangan3[[#This Row],[Qty C]],0)</f>
        <v>0</v>
      </c>
      <c r="AC890" s="36">
        <f>IFERROR(INDEX(Katalog!$D$3:$D$12,MATCH(cadangan3[[#This Row],[Item C]],Katalog!$B$3:$B$12,0))*cadangan3[[#This Row],[Qty C]],0)</f>
        <v>0</v>
      </c>
      <c r="AD890" s="36">
        <f>IFERROR(cadangan3[[#This Row],[Harga Asli C]]-(cadangan3[[#This Row],[Harga Asli C]]*cadangan3[[#This Row],[Diskon]]),cadangan3[[#This Row],[Harga Asli C]])</f>
        <v>0</v>
      </c>
      <c r="AE890" s="36">
        <f>IFERROR(INDEX(Katalog!$F$3:$F$12,MATCH(cadangan3[[#This Row],[ItemID C]],Katalog!$C$3:$C$12,0))*cadangan3[[#This Row],[Qty C]],0)</f>
        <v>0</v>
      </c>
      <c r="AF890" s="36">
        <f>IFERROR(cadangan3[[#This Row],[Profit C]]-(cadangan3[[#This Row],[Profit C]]*cadangan3[[#This Row],[Diskon]]),cadangan3[[#This Row],[Profit C]])</f>
        <v>0</v>
      </c>
      <c r="AG890" s="21">
        <f>cadangan3[[#This Row],[Qty A]]+cadangan3[[#This Row],[Qty B]]+cadangan3[[#This Row],[Qty C]]</f>
        <v>3</v>
      </c>
      <c r="AH890" s="35">
        <f>cadangan3[[#This Row],[Harga A + Diskon]]+cadangan3[[#This Row],[Harga + Diskon B]]+cadangan3[[#This Row],[Harga + Diskon C]]</f>
        <v>944000</v>
      </c>
      <c r="AI890" s="35">
        <f>(cadangan3[[#This Row],[Profit A]]+cadangan3[[#This Row],[Profit B]]+cadangan3[[#This Row],[Profit C]])</f>
        <v>470000</v>
      </c>
      <c r="AJ890" s="35">
        <f>cadangan3[[#This Row],[Provit A + Diskon]]+cadangan3[[#This Row],[Provit B + Diskon]]+cadangan3[[#This Row],[Provit C + Diskon]]</f>
        <v>376000</v>
      </c>
      <c r="AK890" s="23" t="s">
        <v>8</v>
      </c>
      <c r="AL890" s="37">
        <f>IFERROR(INDEX('Kode Diskon'!$D$3:$D$9,MATCH(cadangan3[[#This Row],[Kode diskon]],'Kode Diskon'!$C$3:$C$9,0)),"-")</f>
        <v>0.2</v>
      </c>
      <c r="AM890" s="23" t="s">
        <v>9</v>
      </c>
      <c r="AN890" s="23" t="s">
        <v>7</v>
      </c>
      <c r="AO890" s="23" t="s">
        <v>80</v>
      </c>
      <c r="AP890" s="24">
        <v>45046</v>
      </c>
      <c r="AQ890" s="23" t="str">
        <f>TEXT(cadangan3[[#This Row],[Tanggal terjual]],"dddd")</f>
        <v>Sunday</v>
      </c>
    </row>
    <row r="891" spans="1:43" x14ac:dyDescent="0.2">
      <c r="A891" s="20">
        <v>890</v>
      </c>
      <c r="B891" s="21" t="str">
        <f>_xlfn.CONCAT("ORD-",INDEX(Helper!$B$2:$B$5,MATCH(cadangan3[[#This Row],[Marketplace]],Helper!$A$2:$A$5,0)),TEXT(cadangan3[[#This Row],[No]],"0000"),"-",TEXT(cadangan3[[#This Row],[Tanggal terjual]],"dd/mm/yy"))</f>
        <v>ORD-BL0890-17/04/23</v>
      </c>
      <c r="C891" t="s">
        <v>63</v>
      </c>
      <c r="D891" t="str">
        <f>IFERROR(INDEX(Katalog!$A$3:$A$12,MATCH(cadangan3[[#This Row],[ItemID A]],Katalog!$C$3:$C$12,0)),"-")</f>
        <v>Pakaian Pria</v>
      </c>
      <c r="E891" t="str">
        <f>IFERROR(INDEX(Katalog!$B$3:$B$12,MATCH(cadangan3[[#This Row],[ItemID A]],Katalog!$C$3:$C$12,0)),"-")</f>
        <v>Jaket Jeans</v>
      </c>
      <c r="F891">
        <v>4</v>
      </c>
      <c r="G891">
        <v>2</v>
      </c>
      <c r="H891" s="36">
        <f>IFERROR(INDEX(Katalog!$D$3:$D$12,MATCH(cadangan3[[#This Row],[ItemID A]],Katalog!$C$3:$C$12,0))*cadangan3[[#This Row],[Qty A]],0)</f>
        <v>1600000</v>
      </c>
      <c r="I891" s="36">
        <f>IFERROR(INDEX(Katalog!$D$3:$D$12,MATCH(cadangan3[[#This Row],[Item A]],Katalog!$B$3:$B$12,0))*cadangan3[[#This Row],[Qty A]],0)</f>
        <v>1600000</v>
      </c>
      <c r="J891" s="36">
        <f>IFERROR(cadangan3[[#This Row],[Harga Asli A]]-(cadangan3[[#This Row],[Harga Asli A]]*cadangan3[[#This Row],[Diskon]]),cadangan3[[#This Row],[Harga Asli A]])</f>
        <v>1360000</v>
      </c>
      <c r="K891" s="36">
        <f>INDEX(Katalog!$F$3:$F$12,MATCH(cadangan3[[#This Row],[ItemID A]],Katalog!$C$3:$C$12,0))*cadangan3[[#This Row],[Qty A]]</f>
        <v>600000</v>
      </c>
      <c r="L891" s="36">
        <f>IFERROR(cadangan3[[#This Row],[Profit A]]-(cadangan3[[#This Row],[Profit A]]*cadangan3[[#This Row],[Diskon]]),K891)</f>
        <v>510000</v>
      </c>
      <c r="M891" t="s">
        <v>60</v>
      </c>
      <c r="N891" t="str">
        <f>IFERROR(INDEX(Katalog!$A$3:$A$12,MATCH(cadangan3[[#This Row],[ItemID B]],Katalog!$C$3:$C$12,0)),"-")</f>
        <v>Pakaian Wanita</v>
      </c>
      <c r="O891" t="str">
        <f>IFERROR(INDEX(Katalog!$B$3:$B$12,MATCH(cadangan3[[#This Row],[ItemID B]],Katalog!$C$3:$C$12,0)),"-")</f>
        <v>Kaftan</v>
      </c>
      <c r="P891">
        <v>1</v>
      </c>
      <c r="Q891">
        <v>5</v>
      </c>
      <c r="R891" s="36">
        <f>IFERROR(INDEX(Katalog!$D$3:$D$12,MATCH(cadangan3[[#This Row],[ItemID B]],Katalog!$C$3:$C$12,0))*cadangan3[[#This Row],[Qty B]],0)</f>
        <v>250000</v>
      </c>
      <c r="S891" s="36">
        <f>IFERROR(INDEX(Katalog!$D$3:$D$12,MATCH(cadangan3[[#This Row],[Item B]],Katalog!$B$3:$B$12,0))*cadangan3[[#This Row],[Qty B]],0)</f>
        <v>250000</v>
      </c>
      <c r="T891" s="36">
        <f>IFERROR(cadangan3[[#This Row],[Harga Asli B]]-(cadangan3[[#This Row],[Harga Asli B]]*cadangan3[[#This Row],[Diskon]]),cadangan3[[#This Row],[Harga Asli B]])</f>
        <v>212500</v>
      </c>
      <c r="U891" s="36">
        <f>IFERROR(INDEX(Katalog!$F$3:$F$12,MATCH(cadangan3[[#This Row],[ItemID B]],Katalog!$C$3:$C$12,0))*cadangan3[[#This Row],[Qty B]],0)</f>
        <v>100000</v>
      </c>
      <c r="V891" s="36">
        <f>IFERROR(cadangan3[[#This Row],[Profit B]]-(cadangan3[[#This Row],[Profit B]]*cadangan3[[#This Row],[Diskon]]),U891)</f>
        <v>85000</v>
      </c>
      <c r="W891" t="s">
        <v>66</v>
      </c>
      <c r="X891" t="str">
        <f>IFERROR(INDEX(Katalog!$A$3:$A$12,MATCH(cadangan3[[#This Row],[ItemID C]],Katalog!$C$3:$C$12,0)),"-")</f>
        <v>Sepatu Pria</v>
      </c>
      <c r="Y891" t="str">
        <f>IFERROR(INDEX(Katalog!$B$3:$B$12,MATCH(cadangan3[[#This Row],[ItemID C]],Katalog!$C$3:$C$12,0)),"-")</f>
        <v>Sandal Slip On</v>
      </c>
      <c r="Z891">
        <v>1</v>
      </c>
      <c r="AA891">
        <v>5</v>
      </c>
      <c r="AB891" s="36">
        <f>IFERROR(INDEX(Katalog!$D$3:$D$12,MATCH(cadangan3[[#This Row],[ItemID C]],Katalog!$C$3:$C$12,0))*cadangan3[[#This Row],[Qty C]],0)</f>
        <v>150000</v>
      </c>
      <c r="AC891" s="36">
        <f>IFERROR(INDEX(Katalog!$D$3:$D$12,MATCH(cadangan3[[#This Row],[Item C]],Katalog!$B$3:$B$12,0))*cadangan3[[#This Row],[Qty C]],0)</f>
        <v>150000</v>
      </c>
      <c r="AD891" s="36">
        <f>IFERROR(cadangan3[[#This Row],[Harga Asli C]]-(cadangan3[[#This Row],[Harga Asli C]]*cadangan3[[#This Row],[Diskon]]),cadangan3[[#This Row],[Harga Asli C]])</f>
        <v>127500</v>
      </c>
      <c r="AE891" s="36">
        <f>IFERROR(INDEX(Katalog!$F$3:$F$12,MATCH(cadangan3[[#This Row],[ItemID C]],Katalog!$C$3:$C$12,0))*cadangan3[[#This Row],[Qty C]],0)</f>
        <v>60000</v>
      </c>
      <c r="AF891" s="36">
        <f>IFERROR(cadangan3[[#This Row],[Profit C]]-(cadangan3[[#This Row],[Profit C]]*cadangan3[[#This Row],[Diskon]]),cadangan3[[#This Row],[Profit C]])</f>
        <v>51000</v>
      </c>
      <c r="AG891" s="21">
        <f>cadangan3[[#This Row],[Qty A]]+cadangan3[[#This Row],[Qty B]]+cadangan3[[#This Row],[Qty C]]</f>
        <v>6</v>
      </c>
      <c r="AH891" s="35">
        <f>cadangan3[[#This Row],[Harga A + Diskon]]+cadangan3[[#This Row],[Harga + Diskon B]]+cadangan3[[#This Row],[Harga + Diskon C]]</f>
        <v>1700000</v>
      </c>
      <c r="AI891" s="35">
        <f>(cadangan3[[#This Row],[Profit A]]+cadangan3[[#This Row],[Profit B]]+cadangan3[[#This Row],[Profit C]])</f>
        <v>760000</v>
      </c>
      <c r="AJ891" s="35">
        <f>cadangan3[[#This Row],[Provit A + Diskon]]+cadangan3[[#This Row],[Provit B + Diskon]]+cadangan3[[#This Row],[Provit C + Diskon]]</f>
        <v>646000</v>
      </c>
      <c r="AK891" s="23" t="s">
        <v>32</v>
      </c>
      <c r="AL891" s="37">
        <f>IFERROR(INDEX('Kode Diskon'!$D$3:$D$9,MATCH(cadangan3[[#This Row],[Kode diskon]],'Kode Diskon'!$C$3:$C$9,0)),"-")</f>
        <v>0.15</v>
      </c>
      <c r="AM891" s="23" t="s">
        <v>9</v>
      </c>
      <c r="AN891" s="23" t="s">
        <v>12</v>
      </c>
      <c r="AO891" s="23" t="s">
        <v>78</v>
      </c>
      <c r="AP891" s="24">
        <v>45033</v>
      </c>
      <c r="AQ891" s="23" t="str">
        <f>TEXT(cadangan3[[#This Row],[Tanggal terjual]],"dddd")</f>
        <v>Monday</v>
      </c>
    </row>
    <row r="892" spans="1:43" x14ac:dyDescent="0.2">
      <c r="A892" s="20">
        <v>891</v>
      </c>
      <c r="B892" s="21" t="str">
        <f>_xlfn.CONCAT("ORD-",INDEX(Helper!$B$2:$B$5,MATCH(cadangan3[[#This Row],[Marketplace]],Helper!$A$2:$A$5,0)),TEXT(cadangan3[[#This Row],[No]],"0000"),"-",TEXT(cadangan3[[#This Row],[Tanggal terjual]],"dd/mm/yy"))</f>
        <v>ORD-TK0891-03/04/23</v>
      </c>
      <c r="C892" t="s">
        <v>65</v>
      </c>
      <c r="D892" t="str">
        <f>IFERROR(INDEX(Katalog!$A$3:$A$12,MATCH(cadangan3[[#This Row],[ItemID A]],Katalog!$C$3:$C$12,0)),"-")</f>
        <v>Sepatu Pria</v>
      </c>
      <c r="E892" t="str">
        <f>IFERROR(INDEX(Katalog!$B$3:$B$12,MATCH(cadangan3[[#This Row],[ItemID A]],Katalog!$C$3:$C$12,0)),"-")</f>
        <v>Sneakers</v>
      </c>
      <c r="F892">
        <v>3</v>
      </c>
      <c r="G892">
        <v>4</v>
      </c>
      <c r="H892" s="36">
        <f>IFERROR(INDEX(Katalog!$D$3:$D$12,MATCH(cadangan3[[#This Row],[ItemID A]],Katalog!$C$3:$C$12,0))*cadangan3[[#This Row],[Qty A]],0)</f>
        <v>1500000</v>
      </c>
      <c r="I892" s="36">
        <f>IFERROR(INDEX(Katalog!$D$3:$D$12,MATCH(cadangan3[[#This Row],[Item A]],Katalog!$B$3:$B$12,0))*cadangan3[[#This Row],[Qty A]],0)</f>
        <v>1500000</v>
      </c>
      <c r="J892" s="36">
        <f>IFERROR(cadangan3[[#This Row],[Harga Asli A]]-(cadangan3[[#This Row],[Harga Asli A]]*cadangan3[[#This Row],[Diskon]]),cadangan3[[#This Row],[Harga Asli A]])</f>
        <v>1350000</v>
      </c>
      <c r="K892" s="36">
        <f>INDEX(Katalog!$F$3:$F$12,MATCH(cadangan3[[#This Row],[ItemID A]],Katalog!$C$3:$C$12,0))*cadangan3[[#This Row],[Qty A]]</f>
        <v>600000</v>
      </c>
      <c r="L892" s="36">
        <f>IFERROR(cadangan3[[#This Row],[Profit A]]-(cadangan3[[#This Row],[Profit A]]*cadangan3[[#This Row],[Diskon]]),K892)</f>
        <v>540000</v>
      </c>
      <c r="M892" t="s">
        <v>66</v>
      </c>
      <c r="N892" t="str">
        <f>IFERROR(INDEX(Katalog!$A$3:$A$12,MATCH(cadangan3[[#This Row],[ItemID B]],Katalog!$C$3:$C$12,0)),"-")</f>
        <v>Sepatu Pria</v>
      </c>
      <c r="O892" t="str">
        <f>IFERROR(INDEX(Katalog!$B$3:$B$12,MATCH(cadangan3[[#This Row],[ItemID B]],Katalog!$C$3:$C$12,0)),"-")</f>
        <v>Sandal Slip On</v>
      </c>
      <c r="P892">
        <v>2</v>
      </c>
      <c r="Q892">
        <v>3</v>
      </c>
      <c r="R892" s="36">
        <f>IFERROR(INDEX(Katalog!$D$3:$D$12,MATCH(cadangan3[[#This Row],[ItemID B]],Katalog!$C$3:$C$12,0))*cadangan3[[#This Row],[Qty B]],0)</f>
        <v>300000</v>
      </c>
      <c r="S892" s="36">
        <f>IFERROR(INDEX(Katalog!$D$3:$D$12,MATCH(cadangan3[[#This Row],[Item B]],Katalog!$B$3:$B$12,0))*cadangan3[[#This Row],[Qty B]],0)</f>
        <v>300000</v>
      </c>
      <c r="T892" s="36">
        <f>IFERROR(cadangan3[[#This Row],[Harga Asli B]]-(cadangan3[[#This Row],[Harga Asli B]]*cadangan3[[#This Row],[Diskon]]),cadangan3[[#This Row],[Harga Asli B]])</f>
        <v>270000</v>
      </c>
      <c r="U892" s="36">
        <f>IFERROR(INDEX(Katalog!$F$3:$F$12,MATCH(cadangan3[[#This Row],[ItemID B]],Katalog!$C$3:$C$12,0))*cadangan3[[#This Row],[Qty B]],0)</f>
        <v>120000</v>
      </c>
      <c r="V892" s="36">
        <f>IFERROR(cadangan3[[#This Row],[Profit B]]-(cadangan3[[#This Row],[Profit B]]*cadangan3[[#This Row],[Diskon]]),U892)</f>
        <v>108000</v>
      </c>
      <c r="X892" t="str">
        <f>IFERROR(INDEX(Katalog!$A$3:$A$12,MATCH(cadangan3[[#This Row],[ItemID C]],Katalog!$C$3:$C$12,0)),"-")</f>
        <v>-</v>
      </c>
      <c r="Y892" t="str">
        <f>IFERROR(INDEX(Katalog!$B$3:$B$12,MATCH(cadangan3[[#This Row],[ItemID C]],Katalog!$C$3:$C$12,0)),"-")</f>
        <v>-</v>
      </c>
      <c r="AB892" s="36">
        <f>IFERROR(INDEX(Katalog!$D$3:$D$12,MATCH(cadangan3[[#This Row],[ItemID C]],Katalog!$C$3:$C$12,0))*cadangan3[[#This Row],[Qty C]],0)</f>
        <v>0</v>
      </c>
      <c r="AC892" s="36">
        <f>IFERROR(INDEX(Katalog!$D$3:$D$12,MATCH(cadangan3[[#This Row],[Item C]],Katalog!$B$3:$B$12,0))*cadangan3[[#This Row],[Qty C]],0)</f>
        <v>0</v>
      </c>
      <c r="AD892" s="36">
        <f>IFERROR(cadangan3[[#This Row],[Harga Asli C]]-(cadangan3[[#This Row],[Harga Asli C]]*cadangan3[[#This Row],[Diskon]]),cadangan3[[#This Row],[Harga Asli C]])</f>
        <v>0</v>
      </c>
      <c r="AE892" s="36">
        <f>IFERROR(INDEX(Katalog!$F$3:$F$12,MATCH(cadangan3[[#This Row],[ItemID C]],Katalog!$C$3:$C$12,0))*cadangan3[[#This Row],[Qty C]],0)</f>
        <v>0</v>
      </c>
      <c r="AF892" s="36">
        <f>IFERROR(cadangan3[[#This Row],[Profit C]]-(cadangan3[[#This Row],[Profit C]]*cadangan3[[#This Row],[Diskon]]),cadangan3[[#This Row],[Profit C]])</f>
        <v>0</v>
      </c>
      <c r="AG892" s="21">
        <f>cadangan3[[#This Row],[Qty A]]+cadangan3[[#This Row],[Qty B]]+cadangan3[[#This Row],[Qty C]]</f>
        <v>5</v>
      </c>
      <c r="AH892" s="35">
        <f>cadangan3[[#This Row],[Harga A + Diskon]]+cadangan3[[#This Row],[Harga + Diskon B]]+cadangan3[[#This Row],[Harga + Diskon C]]</f>
        <v>1620000</v>
      </c>
      <c r="AI892" s="35">
        <f>(cadangan3[[#This Row],[Profit A]]+cadangan3[[#This Row],[Profit B]]+cadangan3[[#This Row],[Profit C]])</f>
        <v>720000</v>
      </c>
      <c r="AJ892" s="35">
        <f>cadangan3[[#This Row],[Provit A + Diskon]]+cadangan3[[#This Row],[Provit B + Diskon]]+cadangan3[[#This Row],[Provit C + Diskon]]</f>
        <v>648000</v>
      </c>
      <c r="AK892" s="23" t="s">
        <v>30</v>
      </c>
      <c r="AL892" s="37">
        <f>IFERROR(INDEX('Kode Diskon'!$D$3:$D$9,MATCH(cadangan3[[#This Row],[Kode diskon]],'Kode Diskon'!$C$3:$C$9,0)),"-")</f>
        <v>0.1</v>
      </c>
      <c r="AM892" s="23" t="s">
        <v>29</v>
      </c>
      <c r="AN892" s="23" t="s">
        <v>10</v>
      </c>
      <c r="AO892" s="23" t="s">
        <v>76</v>
      </c>
      <c r="AP892" s="24">
        <v>45019</v>
      </c>
      <c r="AQ892" s="23" t="str">
        <f>TEXT(cadangan3[[#This Row],[Tanggal terjual]],"dddd")</f>
        <v>Monday</v>
      </c>
    </row>
    <row r="893" spans="1:43" x14ac:dyDescent="0.2">
      <c r="A893" s="20">
        <v>892</v>
      </c>
      <c r="B893" s="21" t="str">
        <f>_xlfn.CONCAT("ORD-",INDEX(Helper!$B$2:$B$5,MATCH(cadangan3[[#This Row],[Marketplace]],Helper!$A$2:$A$5,0)),TEXT(cadangan3[[#This Row],[No]],"0000"),"-",TEXT(cadangan3[[#This Row],[Tanggal terjual]],"dd/mm/yy"))</f>
        <v>ORD-BL0892-19/04/23</v>
      </c>
      <c r="C893" t="s">
        <v>61</v>
      </c>
      <c r="D893" t="str">
        <f>IFERROR(INDEX(Katalog!$A$3:$A$12,MATCH(cadangan3[[#This Row],[ItemID A]],Katalog!$C$3:$C$12,0)),"-")</f>
        <v>Pakaian Pria</v>
      </c>
      <c r="E893" t="str">
        <f>IFERROR(INDEX(Katalog!$B$3:$B$12,MATCH(cadangan3[[#This Row],[ItemID A]],Katalog!$C$3:$C$12,0)),"-")</f>
        <v>Kaos Polo</v>
      </c>
      <c r="F893">
        <v>1</v>
      </c>
      <c r="G893">
        <v>4</v>
      </c>
      <c r="H893" s="36">
        <f>IFERROR(INDEX(Katalog!$D$3:$D$12,MATCH(cadangan3[[#This Row],[ItemID A]],Katalog!$C$3:$C$12,0))*cadangan3[[#This Row],[Qty A]],0)</f>
        <v>200000</v>
      </c>
      <c r="I893" s="36">
        <f>IFERROR(INDEX(Katalog!$D$3:$D$12,MATCH(cadangan3[[#This Row],[Item A]],Katalog!$B$3:$B$12,0))*cadangan3[[#This Row],[Qty A]],0)</f>
        <v>200000</v>
      </c>
      <c r="J893" s="36">
        <f>IFERROR(cadangan3[[#This Row],[Harga Asli A]]-(cadangan3[[#This Row],[Harga Asli A]]*cadangan3[[#This Row],[Diskon]]),cadangan3[[#This Row],[Harga Asli A]])</f>
        <v>170000</v>
      </c>
      <c r="K893" s="36">
        <f>INDEX(Katalog!$F$3:$F$12,MATCH(cadangan3[[#This Row],[ItemID A]],Katalog!$C$3:$C$12,0))*cadangan3[[#This Row],[Qty A]]</f>
        <v>80000</v>
      </c>
      <c r="L893" s="36">
        <f>IFERROR(cadangan3[[#This Row],[Profit A]]-(cadangan3[[#This Row],[Profit A]]*cadangan3[[#This Row],[Diskon]]),K893)</f>
        <v>68000</v>
      </c>
      <c r="M893" t="s">
        <v>62</v>
      </c>
      <c r="N893" t="str">
        <f>IFERROR(INDEX(Katalog!$A$3:$A$12,MATCH(cadangan3[[#This Row],[ItemID B]],Katalog!$C$3:$C$12,0)),"-")</f>
        <v>Pakaian Pria</v>
      </c>
      <c r="O893" t="str">
        <f>IFERROR(INDEX(Katalog!$B$3:$B$12,MATCH(cadangan3[[#This Row],[ItemID B]],Katalog!$C$3:$C$12,0)),"-")</f>
        <v>Celana Pendek</v>
      </c>
      <c r="P893">
        <v>1</v>
      </c>
      <c r="Q893">
        <v>2</v>
      </c>
      <c r="R893" s="36">
        <f>IFERROR(INDEX(Katalog!$D$3:$D$12,MATCH(cadangan3[[#This Row],[ItemID B]],Katalog!$C$3:$C$12,0))*cadangan3[[#This Row],[Qty B]],0)</f>
        <v>180000</v>
      </c>
      <c r="S893" s="36">
        <f>IFERROR(INDEX(Katalog!$D$3:$D$12,MATCH(cadangan3[[#This Row],[Item B]],Katalog!$B$3:$B$12,0))*cadangan3[[#This Row],[Qty B]],0)</f>
        <v>180000</v>
      </c>
      <c r="T893" s="36">
        <f>IFERROR(cadangan3[[#This Row],[Harga Asli B]]-(cadangan3[[#This Row],[Harga Asli B]]*cadangan3[[#This Row],[Diskon]]),cadangan3[[#This Row],[Harga Asli B]])</f>
        <v>153000</v>
      </c>
      <c r="U893" s="36">
        <f>IFERROR(INDEX(Katalog!$F$3:$F$12,MATCH(cadangan3[[#This Row],[ItemID B]],Katalog!$C$3:$C$12,0))*cadangan3[[#This Row],[Qty B]],0)</f>
        <v>70000</v>
      </c>
      <c r="V893" s="36">
        <f>IFERROR(cadangan3[[#This Row],[Profit B]]-(cadangan3[[#This Row],[Profit B]]*cadangan3[[#This Row],[Diskon]]),U893)</f>
        <v>59500</v>
      </c>
      <c r="X893" t="str">
        <f>IFERROR(INDEX(Katalog!$A$3:$A$12,MATCH(cadangan3[[#This Row],[ItemID C]],Katalog!$C$3:$C$12,0)),"-")</f>
        <v>-</v>
      </c>
      <c r="Y893" t="str">
        <f>IFERROR(INDEX(Katalog!$B$3:$B$12,MATCH(cadangan3[[#This Row],[ItemID C]],Katalog!$C$3:$C$12,0)),"-")</f>
        <v>-</v>
      </c>
      <c r="AB893" s="36">
        <f>IFERROR(INDEX(Katalog!$D$3:$D$12,MATCH(cadangan3[[#This Row],[ItemID C]],Katalog!$C$3:$C$12,0))*cadangan3[[#This Row],[Qty C]],0)</f>
        <v>0</v>
      </c>
      <c r="AC893" s="36">
        <f>IFERROR(INDEX(Katalog!$D$3:$D$12,MATCH(cadangan3[[#This Row],[Item C]],Katalog!$B$3:$B$12,0))*cadangan3[[#This Row],[Qty C]],0)</f>
        <v>0</v>
      </c>
      <c r="AD893" s="36">
        <f>IFERROR(cadangan3[[#This Row],[Harga Asli C]]-(cadangan3[[#This Row],[Harga Asli C]]*cadangan3[[#This Row],[Diskon]]),cadangan3[[#This Row],[Harga Asli C]])</f>
        <v>0</v>
      </c>
      <c r="AE893" s="36">
        <f>IFERROR(INDEX(Katalog!$F$3:$F$12,MATCH(cadangan3[[#This Row],[ItemID C]],Katalog!$C$3:$C$12,0))*cadangan3[[#This Row],[Qty C]],0)</f>
        <v>0</v>
      </c>
      <c r="AF893" s="36">
        <f>IFERROR(cadangan3[[#This Row],[Profit C]]-(cadangan3[[#This Row],[Profit C]]*cadangan3[[#This Row],[Diskon]]),cadangan3[[#This Row],[Profit C]])</f>
        <v>0</v>
      </c>
      <c r="AG893" s="21">
        <f>cadangan3[[#This Row],[Qty A]]+cadangan3[[#This Row],[Qty B]]+cadangan3[[#This Row],[Qty C]]</f>
        <v>2</v>
      </c>
      <c r="AH893" s="35">
        <f>cadangan3[[#This Row],[Harga A + Diskon]]+cadangan3[[#This Row],[Harga + Diskon B]]+cadangan3[[#This Row],[Harga + Diskon C]]</f>
        <v>323000</v>
      </c>
      <c r="AI893" s="35">
        <f>(cadangan3[[#This Row],[Profit A]]+cadangan3[[#This Row],[Profit B]]+cadangan3[[#This Row],[Profit C]])</f>
        <v>150000</v>
      </c>
      <c r="AJ893" s="35">
        <f>cadangan3[[#This Row],[Provit A + Diskon]]+cadangan3[[#This Row],[Provit B + Diskon]]+cadangan3[[#This Row],[Provit C + Diskon]]</f>
        <v>127500</v>
      </c>
      <c r="AK893" s="23" t="s">
        <v>32</v>
      </c>
      <c r="AL893" s="37">
        <f>IFERROR(INDEX('Kode Diskon'!$D$3:$D$9,MATCH(cadangan3[[#This Row],[Kode diskon]],'Kode Diskon'!$C$3:$C$9,0)),"-")</f>
        <v>0.15</v>
      </c>
      <c r="AM893" s="23" t="s">
        <v>9</v>
      </c>
      <c r="AN893" s="23" t="s">
        <v>12</v>
      </c>
      <c r="AO893" s="23" t="s">
        <v>80</v>
      </c>
      <c r="AP893" s="24">
        <v>45035</v>
      </c>
      <c r="AQ893" s="23" t="str">
        <f>TEXT(cadangan3[[#This Row],[Tanggal terjual]],"dddd")</f>
        <v>Wednesday</v>
      </c>
    </row>
    <row r="894" spans="1:43" x14ac:dyDescent="0.2">
      <c r="A894" s="20">
        <v>893</v>
      </c>
      <c r="B894" s="21" t="str">
        <f>_xlfn.CONCAT("ORD-",INDEX(Helper!$B$2:$B$5,MATCH(cadangan3[[#This Row],[Marketplace]],Helper!$A$2:$A$5,0)),TEXT(cadangan3[[#This Row],[No]],"0000"),"-",TEXT(cadangan3[[#This Row],[Tanggal terjual]],"dd/mm/yy"))</f>
        <v>ORD-TK0893-04/04/23</v>
      </c>
      <c r="C894" t="s">
        <v>64</v>
      </c>
      <c r="D894" t="str">
        <f>IFERROR(INDEX(Katalog!$A$3:$A$12,MATCH(cadangan3[[#This Row],[ItemID A]],Katalog!$C$3:$C$12,0)),"-")</f>
        <v>Pakaian Unisex</v>
      </c>
      <c r="E894" t="str">
        <f>IFERROR(INDEX(Katalog!$B$3:$B$12,MATCH(cadangan3[[#This Row],[ItemID A]],Katalog!$C$3:$C$12,0)),"-")</f>
        <v>Jaket Hoodie</v>
      </c>
      <c r="F894">
        <v>1</v>
      </c>
      <c r="G894">
        <v>1</v>
      </c>
      <c r="H894" s="36">
        <f>IFERROR(INDEX(Katalog!$D$3:$D$12,MATCH(cadangan3[[#This Row],[ItemID A]],Katalog!$C$3:$C$12,0))*cadangan3[[#This Row],[Qty A]],0)</f>
        <v>350000</v>
      </c>
      <c r="I894" s="36">
        <f>IFERROR(INDEX(Katalog!$D$3:$D$12,MATCH(cadangan3[[#This Row],[Item A]],Katalog!$B$3:$B$12,0))*cadangan3[[#This Row],[Qty A]],0)</f>
        <v>350000</v>
      </c>
      <c r="J894" s="36">
        <f>IFERROR(cadangan3[[#This Row],[Harga Asli A]]-(cadangan3[[#This Row],[Harga Asli A]]*cadangan3[[#This Row],[Diskon]]),cadangan3[[#This Row],[Harga Asli A]])</f>
        <v>315000</v>
      </c>
      <c r="K894" s="36">
        <f>INDEX(Katalog!$F$3:$F$12,MATCH(cadangan3[[#This Row],[ItemID A]],Katalog!$C$3:$C$12,0))*cadangan3[[#This Row],[Qty A]]</f>
        <v>130000</v>
      </c>
      <c r="L894" s="36">
        <f>IFERROR(cadangan3[[#This Row],[Profit A]]-(cadangan3[[#This Row],[Profit A]]*cadangan3[[#This Row],[Diskon]]),K894)</f>
        <v>117000</v>
      </c>
      <c r="M894" t="s">
        <v>65</v>
      </c>
      <c r="N894" t="str">
        <f>IFERROR(INDEX(Katalog!$A$3:$A$12,MATCH(cadangan3[[#This Row],[ItemID B]],Katalog!$C$3:$C$12,0)),"-")</f>
        <v>Sepatu Pria</v>
      </c>
      <c r="O894" t="str">
        <f>IFERROR(INDEX(Katalog!$B$3:$B$12,MATCH(cadangan3[[#This Row],[ItemID B]],Katalog!$C$3:$C$12,0)),"-")</f>
        <v>Sneakers</v>
      </c>
      <c r="P894">
        <v>1</v>
      </c>
      <c r="Q894">
        <v>2</v>
      </c>
      <c r="R894" s="36">
        <f>IFERROR(INDEX(Katalog!$D$3:$D$12,MATCH(cadangan3[[#This Row],[ItemID B]],Katalog!$C$3:$C$12,0))*cadangan3[[#This Row],[Qty B]],0)</f>
        <v>500000</v>
      </c>
      <c r="S894" s="36">
        <f>IFERROR(INDEX(Katalog!$D$3:$D$12,MATCH(cadangan3[[#This Row],[Item B]],Katalog!$B$3:$B$12,0))*cadangan3[[#This Row],[Qty B]],0)</f>
        <v>500000</v>
      </c>
      <c r="T894" s="36">
        <f>IFERROR(cadangan3[[#This Row],[Harga Asli B]]-(cadangan3[[#This Row],[Harga Asli B]]*cadangan3[[#This Row],[Diskon]]),cadangan3[[#This Row],[Harga Asli B]])</f>
        <v>450000</v>
      </c>
      <c r="U894" s="36">
        <f>IFERROR(INDEX(Katalog!$F$3:$F$12,MATCH(cadangan3[[#This Row],[ItemID B]],Katalog!$C$3:$C$12,0))*cadangan3[[#This Row],[Qty B]],0)</f>
        <v>200000</v>
      </c>
      <c r="V894" s="36">
        <f>IFERROR(cadangan3[[#This Row],[Profit B]]-(cadangan3[[#This Row],[Profit B]]*cadangan3[[#This Row],[Diskon]]),U894)</f>
        <v>180000</v>
      </c>
      <c r="W894" t="s">
        <v>66</v>
      </c>
      <c r="X894" t="str">
        <f>IFERROR(INDEX(Katalog!$A$3:$A$12,MATCH(cadangan3[[#This Row],[ItemID C]],Katalog!$C$3:$C$12,0)),"-")</f>
        <v>Sepatu Pria</v>
      </c>
      <c r="Y894" t="str">
        <f>IFERROR(INDEX(Katalog!$B$3:$B$12,MATCH(cadangan3[[#This Row],[ItemID C]],Katalog!$C$3:$C$12,0)),"-")</f>
        <v>Sandal Slip On</v>
      </c>
      <c r="Z894">
        <v>3</v>
      </c>
      <c r="AA894">
        <v>2</v>
      </c>
      <c r="AB894" s="36">
        <f>IFERROR(INDEX(Katalog!$D$3:$D$12,MATCH(cadangan3[[#This Row],[ItemID C]],Katalog!$C$3:$C$12,0))*cadangan3[[#This Row],[Qty C]],0)</f>
        <v>450000</v>
      </c>
      <c r="AC894" s="36">
        <f>IFERROR(INDEX(Katalog!$D$3:$D$12,MATCH(cadangan3[[#This Row],[Item C]],Katalog!$B$3:$B$12,0))*cadangan3[[#This Row],[Qty C]],0)</f>
        <v>450000</v>
      </c>
      <c r="AD894" s="36">
        <f>IFERROR(cadangan3[[#This Row],[Harga Asli C]]-(cadangan3[[#This Row],[Harga Asli C]]*cadangan3[[#This Row],[Diskon]]),cadangan3[[#This Row],[Harga Asli C]])</f>
        <v>405000</v>
      </c>
      <c r="AE894" s="36">
        <f>IFERROR(INDEX(Katalog!$F$3:$F$12,MATCH(cadangan3[[#This Row],[ItemID C]],Katalog!$C$3:$C$12,0))*cadangan3[[#This Row],[Qty C]],0)</f>
        <v>180000</v>
      </c>
      <c r="AF894" s="36">
        <f>IFERROR(cadangan3[[#This Row],[Profit C]]-(cadangan3[[#This Row],[Profit C]]*cadangan3[[#This Row],[Diskon]]),cadangan3[[#This Row],[Profit C]])</f>
        <v>162000</v>
      </c>
      <c r="AG894" s="21">
        <f>cadangan3[[#This Row],[Qty A]]+cadangan3[[#This Row],[Qty B]]+cadangan3[[#This Row],[Qty C]]</f>
        <v>5</v>
      </c>
      <c r="AH894" s="35">
        <f>cadangan3[[#This Row],[Harga A + Diskon]]+cadangan3[[#This Row],[Harga + Diskon B]]+cadangan3[[#This Row],[Harga + Diskon C]]</f>
        <v>1170000</v>
      </c>
      <c r="AI894" s="35">
        <f>(cadangan3[[#This Row],[Profit A]]+cadangan3[[#This Row],[Profit B]]+cadangan3[[#This Row],[Profit C]])</f>
        <v>510000</v>
      </c>
      <c r="AJ894" s="35">
        <f>cadangan3[[#This Row],[Provit A + Diskon]]+cadangan3[[#This Row],[Provit B + Diskon]]+cadangan3[[#This Row],[Provit C + Diskon]]</f>
        <v>459000</v>
      </c>
      <c r="AK894" s="23" t="s">
        <v>30</v>
      </c>
      <c r="AL894" s="37">
        <f>IFERROR(INDEX('Kode Diskon'!$D$3:$D$9,MATCH(cadangan3[[#This Row],[Kode diskon]],'Kode Diskon'!$C$3:$C$9,0)),"-")</f>
        <v>0.1</v>
      </c>
      <c r="AM894" s="23" t="s">
        <v>29</v>
      </c>
      <c r="AN894" s="23" t="s">
        <v>10</v>
      </c>
      <c r="AO894" s="23" t="s">
        <v>75</v>
      </c>
      <c r="AP894" s="24">
        <v>45020</v>
      </c>
      <c r="AQ894" s="23" t="str">
        <f>TEXT(cadangan3[[#This Row],[Tanggal terjual]],"dddd")</f>
        <v>Tuesday</v>
      </c>
    </row>
    <row r="895" spans="1:43" x14ac:dyDescent="0.2">
      <c r="A895" s="20">
        <v>894</v>
      </c>
      <c r="B895" s="21" t="str">
        <f>_xlfn.CONCAT("ORD-",INDEX(Helper!$B$2:$B$5,MATCH(cadangan3[[#This Row],[Marketplace]],Helper!$A$2:$A$5,0)),TEXT(cadangan3[[#This Row],[No]],"0000"),"-",TEXT(cadangan3[[#This Row],[Tanggal terjual]],"dd/mm/yy"))</f>
        <v>ORD-BL0894-27/04/23</v>
      </c>
      <c r="C895" t="s">
        <v>65</v>
      </c>
      <c r="D895" t="str">
        <f>IFERROR(INDEX(Katalog!$A$3:$A$12,MATCH(cadangan3[[#This Row],[ItemID A]],Katalog!$C$3:$C$12,0)),"-")</f>
        <v>Sepatu Pria</v>
      </c>
      <c r="E895" t="str">
        <f>IFERROR(INDEX(Katalog!$B$3:$B$12,MATCH(cadangan3[[#This Row],[ItemID A]],Katalog!$C$3:$C$12,0)),"-")</f>
        <v>Sneakers</v>
      </c>
      <c r="F895">
        <v>4</v>
      </c>
      <c r="G895">
        <v>2</v>
      </c>
      <c r="H895" s="36">
        <f>IFERROR(INDEX(Katalog!$D$3:$D$12,MATCH(cadangan3[[#This Row],[ItemID A]],Katalog!$C$3:$C$12,0))*cadangan3[[#This Row],[Qty A]],0)</f>
        <v>2000000</v>
      </c>
      <c r="I895" s="36">
        <f>IFERROR(INDEX(Katalog!$D$3:$D$12,MATCH(cadangan3[[#This Row],[Item A]],Katalog!$B$3:$B$12,0))*cadangan3[[#This Row],[Qty A]],0)</f>
        <v>2000000</v>
      </c>
      <c r="J895" s="36">
        <f>IFERROR(cadangan3[[#This Row],[Harga Asli A]]-(cadangan3[[#This Row],[Harga Asli A]]*cadangan3[[#This Row],[Diskon]]),cadangan3[[#This Row],[Harga Asli A]])</f>
        <v>1700000</v>
      </c>
      <c r="K895" s="36">
        <f>INDEX(Katalog!$F$3:$F$12,MATCH(cadangan3[[#This Row],[ItemID A]],Katalog!$C$3:$C$12,0))*cadangan3[[#This Row],[Qty A]]</f>
        <v>800000</v>
      </c>
      <c r="L895" s="36">
        <f>IFERROR(cadangan3[[#This Row],[Profit A]]-(cadangan3[[#This Row],[Profit A]]*cadangan3[[#This Row],[Diskon]]),K895)</f>
        <v>680000</v>
      </c>
      <c r="M895" t="s">
        <v>58</v>
      </c>
      <c r="N895" t="str">
        <f>IFERROR(INDEX(Katalog!$A$3:$A$12,MATCH(cadangan3[[#This Row],[ItemID B]],Katalog!$C$3:$C$12,0)),"-")</f>
        <v>Pakaian Wanita</v>
      </c>
      <c r="O895" t="str">
        <f>IFERROR(INDEX(Katalog!$B$3:$B$12,MATCH(cadangan3[[#This Row],[ItemID B]],Katalog!$C$3:$C$12,0)),"-")</f>
        <v>Dress</v>
      </c>
      <c r="P895">
        <v>3</v>
      </c>
      <c r="Q895">
        <v>4</v>
      </c>
      <c r="R895" s="36">
        <f>IFERROR(INDEX(Katalog!$D$3:$D$12,MATCH(cadangan3[[#This Row],[ItemID B]],Katalog!$C$3:$C$12,0))*cadangan3[[#This Row],[Qty B]],0)</f>
        <v>900000</v>
      </c>
      <c r="S895" s="36">
        <f>IFERROR(INDEX(Katalog!$D$3:$D$12,MATCH(cadangan3[[#This Row],[Item B]],Katalog!$B$3:$B$12,0))*cadangan3[[#This Row],[Qty B]],0)</f>
        <v>900000</v>
      </c>
      <c r="T895" s="36">
        <f>IFERROR(cadangan3[[#This Row],[Harga Asli B]]-(cadangan3[[#This Row],[Harga Asli B]]*cadangan3[[#This Row],[Diskon]]),cadangan3[[#This Row],[Harga Asli B]])</f>
        <v>765000</v>
      </c>
      <c r="U895" s="36">
        <f>IFERROR(INDEX(Katalog!$F$3:$F$12,MATCH(cadangan3[[#This Row],[ItemID B]],Katalog!$C$3:$C$12,0))*cadangan3[[#This Row],[Qty B]],0)</f>
        <v>300000</v>
      </c>
      <c r="V895" s="36">
        <f>IFERROR(cadangan3[[#This Row],[Profit B]]-(cadangan3[[#This Row],[Profit B]]*cadangan3[[#This Row],[Diskon]]),U895)</f>
        <v>255000</v>
      </c>
      <c r="X895" t="str">
        <f>IFERROR(INDEX(Katalog!$A$3:$A$12,MATCH(cadangan3[[#This Row],[ItemID C]],Katalog!$C$3:$C$12,0)),"-")</f>
        <v>-</v>
      </c>
      <c r="Y895" t="str">
        <f>IFERROR(INDEX(Katalog!$B$3:$B$12,MATCH(cadangan3[[#This Row],[ItemID C]],Katalog!$C$3:$C$12,0)),"-")</f>
        <v>-</v>
      </c>
      <c r="AB895" s="36">
        <f>IFERROR(INDEX(Katalog!$D$3:$D$12,MATCH(cadangan3[[#This Row],[ItemID C]],Katalog!$C$3:$C$12,0))*cadangan3[[#This Row],[Qty C]],0)</f>
        <v>0</v>
      </c>
      <c r="AC895" s="36">
        <f>IFERROR(INDEX(Katalog!$D$3:$D$12,MATCH(cadangan3[[#This Row],[Item C]],Katalog!$B$3:$B$12,0))*cadangan3[[#This Row],[Qty C]],0)</f>
        <v>0</v>
      </c>
      <c r="AD895" s="36">
        <f>IFERROR(cadangan3[[#This Row],[Harga Asli C]]-(cadangan3[[#This Row],[Harga Asli C]]*cadangan3[[#This Row],[Diskon]]),cadangan3[[#This Row],[Harga Asli C]])</f>
        <v>0</v>
      </c>
      <c r="AE895" s="36">
        <f>IFERROR(INDEX(Katalog!$F$3:$F$12,MATCH(cadangan3[[#This Row],[ItemID C]],Katalog!$C$3:$C$12,0))*cadangan3[[#This Row],[Qty C]],0)</f>
        <v>0</v>
      </c>
      <c r="AF895" s="36">
        <f>IFERROR(cadangan3[[#This Row],[Profit C]]-(cadangan3[[#This Row],[Profit C]]*cadangan3[[#This Row],[Diskon]]),cadangan3[[#This Row],[Profit C]])</f>
        <v>0</v>
      </c>
      <c r="AG895" s="21">
        <f>cadangan3[[#This Row],[Qty A]]+cadangan3[[#This Row],[Qty B]]+cadangan3[[#This Row],[Qty C]]</f>
        <v>7</v>
      </c>
      <c r="AH895" s="35">
        <f>cadangan3[[#This Row],[Harga A + Diskon]]+cadangan3[[#This Row],[Harga + Diskon B]]+cadangan3[[#This Row],[Harga + Diskon C]]</f>
        <v>2465000</v>
      </c>
      <c r="AI895" s="35">
        <f>(cadangan3[[#This Row],[Profit A]]+cadangan3[[#This Row],[Profit B]]+cadangan3[[#This Row],[Profit C]])</f>
        <v>1100000</v>
      </c>
      <c r="AJ895" s="35">
        <f>cadangan3[[#This Row],[Provit A + Diskon]]+cadangan3[[#This Row],[Provit B + Diskon]]+cadangan3[[#This Row],[Provit C + Diskon]]</f>
        <v>935000</v>
      </c>
      <c r="AK895" s="23" t="s">
        <v>32</v>
      </c>
      <c r="AL895" s="37">
        <f>IFERROR(INDEX('Kode Diskon'!$D$3:$D$9,MATCH(cadangan3[[#This Row],[Kode diskon]],'Kode Diskon'!$C$3:$C$9,0)),"-")</f>
        <v>0.15</v>
      </c>
      <c r="AM895" s="23" t="s">
        <v>9</v>
      </c>
      <c r="AN895" s="23" t="s">
        <v>12</v>
      </c>
      <c r="AO895" s="23" t="s">
        <v>77</v>
      </c>
      <c r="AP895" s="24">
        <v>45043</v>
      </c>
      <c r="AQ895" s="23" t="str">
        <f>TEXT(cadangan3[[#This Row],[Tanggal terjual]],"dddd")</f>
        <v>Thursday</v>
      </c>
    </row>
    <row r="896" spans="1:43" x14ac:dyDescent="0.2">
      <c r="A896" s="20">
        <v>895</v>
      </c>
      <c r="B896" s="21" t="str">
        <f>_xlfn.CONCAT("ORD-",INDEX(Helper!$B$2:$B$5,MATCH(cadangan3[[#This Row],[Marketplace]],Helper!$A$2:$A$5,0)),TEXT(cadangan3[[#This Row],[No]],"0000"),"-",TEXT(cadangan3[[#This Row],[Tanggal terjual]],"dd/mm/yy"))</f>
        <v>ORD-SP0895-20/04/23</v>
      </c>
      <c r="C896" t="s">
        <v>58</v>
      </c>
      <c r="D896" t="str">
        <f>IFERROR(INDEX(Katalog!$A$3:$A$12,MATCH(cadangan3[[#This Row],[ItemID A]],Katalog!$C$3:$C$12,0)),"-")</f>
        <v>Pakaian Wanita</v>
      </c>
      <c r="E896" t="str">
        <f>IFERROR(INDEX(Katalog!$B$3:$B$12,MATCH(cadangan3[[#This Row],[ItemID A]],Katalog!$C$3:$C$12,0)),"-")</f>
        <v>Dress</v>
      </c>
      <c r="F896">
        <v>4</v>
      </c>
      <c r="G896">
        <v>4</v>
      </c>
      <c r="H896" s="36">
        <f>IFERROR(INDEX(Katalog!$D$3:$D$12,MATCH(cadangan3[[#This Row],[ItemID A]],Katalog!$C$3:$C$12,0))*cadangan3[[#This Row],[Qty A]],0)</f>
        <v>1200000</v>
      </c>
      <c r="I896" s="36">
        <f>IFERROR(INDEX(Katalog!$D$3:$D$12,MATCH(cadangan3[[#This Row],[Item A]],Katalog!$B$3:$B$12,0))*cadangan3[[#This Row],[Qty A]],0)</f>
        <v>1200000</v>
      </c>
      <c r="J896" s="36">
        <f>IFERROR(cadangan3[[#This Row],[Harga Asli A]]-(cadangan3[[#This Row],[Harga Asli A]]*cadangan3[[#This Row],[Diskon]]),cadangan3[[#This Row],[Harga Asli A]])</f>
        <v>960000</v>
      </c>
      <c r="K896" s="36">
        <f>INDEX(Katalog!$F$3:$F$12,MATCH(cadangan3[[#This Row],[ItemID A]],Katalog!$C$3:$C$12,0))*cadangan3[[#This Row],[Qty A]]</f>
        <v>400000</v>
      </c>
      <c r="L896" s="36">
        <f>IFERROR(cadangan3[[#This Row],[Profit A]]-(cadangan3[[#This Row],[Profit A]]*cadangan3[[#This Row],[Diskon]]),K896)</f>
        <v>320000</v>
      </c>
      <c r="M896" t="s">
        <v>61</v>
      </c>
      <c r="N896" t="str">
        <f>IFERROR(INDEX(Katalog!$A$3:$A$12,MATCH(cadangan3[[#This Row],[ItemID B]],Katalog!$C$3:$C$12,0)),"-")</f>
        <v>Pakaian Pria</v>
      </c>
      <c r="O896" t="str">
        <f>IFERROR(INDEX(Katalog!$B$3:$B$12,MATCH(cadangan3[[#This Row],[ItemID B]],Katalog!$C$3:$C$12,0)),"-")</f>
        <v>Kaos Polo</v>
      </c>
      <c r="P896">
        <v>1</v>
      </c>
      <c r="Q896">
        <v>5</v>
      </c>
      <c r="R896" s="36">
        <f>IFERROR(INDEX(Katalog!$D$3:$D$12,MATCH(cadangan3[[#This Row],[ItemID B]],Katalog!$C$3:$C$12,0))*cadangan3[[#This Row],[Qty B]],0)</f>
        <v>200000</v>
      </c>
      <c r="S896" s="36">
        <f>IFERROR(INDEX(Katalog!$D$3:$D$12,MATCH(cadangan3[[#This Row],[Item B]],Katalog!$B$3:$B$12,0))*cadangan3[[#This Row],[Qty B]],0)</f>
        <v>200000</v>
      </c>
      <c r="T896" s="36">
        <f>IFERROR(cadangan3[[#This Row],[Harga Asli B]]-(cadangan3[[#This Row],[Harga Asli B]]*cadangan3[[#This Row],[Diskon]]),cadangan3[[#This Row],[Harga Asli B]])</f>
        <v>160000</v>
      </c>
      <c r="U896" s="36">
        <f>IFERROR(INDEX(Katalog!$F$3:$F$12,MATCH(cadangan3[[#This Row],[ItemID B]],Katalog!$C$3:$C$12,0))*cadangan3[[#This Row],[Qty B]],0)</f>
        <v>80000</v>
      </c>
      <c r="V896" s="36">
        <f>IFERROR(cadangan3[[#This Row],[Profit B]]-(cadangan3[[#This Row],[Profit B]]*cadangan3[[#This Row],[Diskon]]),U896)</f>
        <v>64000</v>
      </c>
      <c r="X896" t="str">
        <f>IFERROR(INDEX(Katalog!$A$3:$A$12,MATCH(cadangan3[[#This Row],[ItemID C]],Katalog!$C$3:$C$12,0)),"-")</f>
        <v>-</v>
      </c>
      <c r="Y896" t="str">
        <f>IFERROR(INDEX(Katalog!$B$3:$B$12,MATCH(cadangan3[[#This Row],[ItemID C]],Katalog!$C$3:$C$12,0)),"-")</f>
        <v>-</v>
      </c>
      <c r="AB896" s="36">
        <f>IFERROR(INDEX(Katalog!$D$3:$D$12,MATCH(cadangan3[[#This Row],[ItemID C]],Katalog!$C$3:$C$12,0))*cadangan3[[#This Row],[Qty C]],0)</f>
        <v>0</v>
      </c>
      <c r="AC896" s="36">
        <f>IFERROR(INDEX(Katalog!$D$3:$D$12,MATCH(cadangan3[[#This Row],[Item C]],Katalog!$B$3:$B$12,0))*cadangan3[[#This Row],[Qty C]],0)</f>
        <v>0</v>
      </c>
      <c r="AD896" s="36">
        <f>IFERROR(cadangan3[[#This Row],[Harga Asli C]]-(cadangan3[[#This Row],[Harga Asli C]]*cadangan3[[#This Row],[Diskon]]),cadangan3[[#This Row],[Harga Asli C]])</f>
        <v>0</v>
      </c>
      <c r="AE896" s="36">
        <f>IFERROR(INDEX(Katalog!$F$3:$F$12,MATCH(cadangan3[[#This Row],[ItemID C]],Katalog!$C$3:$C$12,0))*cadangan3[[#This Row],[Qty C]],0)</f>
        <v>0</v>
      </c>
      <c r="AF896" s="36">
        <f>IFERROR(cadangan3[[#This Row],[Profit C]]-(cadangan3[[#This Row],[Profit C]]*cadangan3[[#This Row],[Diskon]]),cadangan3[[#This Row],[Profit C]])</f>
        <v>0</v>
      </c>
      <c r="AG896" s="21">
        <f>cadangan3[[#This Row],[Qty A]]+cadangan3[[#This Row],[Qty B]]+cadangan3[[#This Row],[Qty C]]</f>
        <v>5</v>
      </c>
      <c r="AH896" s="35">
        <f>cadangan3[[#This Row],[Harga A + Diskon]]+cadangan3[[#This Row],[Harga + Diskon B]]+cadangan3[[#This Row],[Harga + Diskon C]]</f>
        <v>1120000</v>
      </c>
      <c r="AI896" s="35">
        <f>(cadangan3[[#This Row],[Profit A]]+cadangan3[[#This Row],[Profit B]]+cadangan3[[#This Row],[Profit C]])</f>
        <v>480000</v>
      </c>
      <c r="AJ896" s="35">
        <f>cadangan3[[#This Row],[Provit A + Diskon]]+cadangan3[[#This Row],[Provit B + Diskon]]+cadangan3[[#This Row],[Provit C + Diskon]]</f>
        <v>384000</v>
      </c>
      <c r="AK896" s="23" t="s">
        <v>8</v>
      </c>
      <c r="AL896" s="37">
        <f>IFERROR(INDEX('Kode Diskon'!$D$3:$D$9,MATCH(cadangan3[[#This Row],[Kode diskon]],'Kode Diskon'!$C$3:$C$9,0)),"-")</f>
        <v>0.2</v>
      </c>
      <c r="AM896" s="23" t="s">
        <v>9</v>
      </c>
      <c r="AN896" s="23" t="s">
        <v>7</v>
      </c>
      <c r="AO896" s="23" t="s">
        <v>75</v>
      </c>
      <c r="AP896" s="24">
        <v>45036</v>
      </c>
      <c r="AQ896" s="23" t="str">
        <f>TEXT(cadangan3[[#This Row],[Tanggal terjual]],"dddd")</f>
        <v>Thursday</v>
      </c>
    </row>
    <row r="897" spans="1:43" x14ac:dyDescent="0.2">
      <c r="A897" s="20">
        <v>896</v>
      </c>
      <c r="B897" s="21" t="str">
        <f>_xlfn.CONCAT("ORD-",INDEX(Helper!$B$2:$B$5,MATCH(cadangan3[[#This Row],[Marketplace]],Helper!$A$2:$A$5,0)),TEXT(cadangan3[[#This Row],[No]],"0000"),"-",TEXT(cadangan3[[#This Row],[Tanggal terjual]],"dd/mm/yy"))</f>
        <v>ORD-SP0896-04/04/23</v>
      </c>
      <c r="C897" t="s">
        <v>60</v>
      </c>
      <c r="D897" t="str">
        <f>IFERROR(INDEX(Katalog!$A$3:$A$12,MATCH(cadangan3[[#This Row],[ItemID A]],Katalog!$C$3:$C$12,0)),"-")</f>
        <v>Pakaian Wanita</v>
      </c>
      <c r="E897" t="str">
        <f>IFERROR(INDEX(Katalog!$B$3:$B$12,MATCH(cadangan3[[#This Row],[ItemID A]],Katalog!$C$3:$C$12,0)),"-")</f>
        <v>Kaftan</v>
      </c>
      <c r="F897">
        <v>1</v>
      </c>
      <c r="G897">
        <v>3</v>
      </c>
      <c r="H897" s="36">
        <f>IFERROR(INDEX(Katalog!$D$3:$D$12,MATCH(cadangan3[[#This Row],[ItemID A]],Katalog!$C$3:$C$12,0))*cadangan3[[#This Row],[Qty A]],0)</f>
        <v>250000</v>
      </c>
      <c r="I897" s="36">
        <f>IFERROR(INDEX(Katalog!$D$3:$D$12,MATCH(cadangan3[[#This Row],[Item A]],Katalog!$B$3:$B$12,0))*cadangan3[[#This Row],[Qty A]],0)</f>
        <v>250000</v>
      </c>
      <c r="J897" s="36">
        <f>IFERROR(cadangan3[[#This Row],[Harga Asli A]]-(cadangan3[[#This Row],[Harga Asli A]]*cadangan3[[#This Row],[Diskon]]),cadangan3[[#This Row],[Harga Asli A]])</f>
        <v>225000</v>
      </c>
      <c r="K897" s="36">
        <f>INDEX(Katalog!$F$3:$F$12,MATCH(cadangan3[[#This Row],[ItemID A]],Katalog!$C$3:$C$12,0))*cadangan3[[#This Row],[Qty A]]</f>
        <v>100000</v>
      </c>
      <c r="L897" s="36">
        <f>IFERROR(cadangan3[[#This Row],[Profit A]]-(cadangan3[[#This Row],[Profit A]]*cadangan3[[#This Row],[Diskon]]),K897)</f>
        <v>90000</v>
      </c>
      <c r="M897" t="s">
        <v>64</v>
      </c>
      <c r="N897" t="str">
        <f>IFERROR(INDEX(Katalog!$A$3:$A$12,MATCH(cadangan3[[#This Row],[ItemID B]],Katalog!$C$3:$C$12,0)),"-")</f>
        <v>Pakaian Unisex</v>
      </c>
      <c r="O897" t="str">
        <f>IFERROR(INDEX(Katalog!$B$3:$B$12,MATCH(cadangan3[[#This Row],[ItemID B]],Katalog!$C$3:$C$12,0)),"-")</f>
        <v>Jaket Hoodie</v>
      </c>
      <c r="P897">
        <v>2</v>
      </c>
      <c r="Q897">
        <v>5</v>
      </c>
      <c r="R897" s="36">
        <f>IFERROR(INDEX(Katalog!$D$3:$D$12,MATCH(cadangan3[[#This Row],[ItemID B]],Katalog!$C$3:$C$12,0))*cadangan3[[#This Row],[Qty B]],0)</f>
        <v>700000</v>
      </c>
      <c r="S897" s="36">
        <f>IFERROR(INDEX(Katalog!$D$3:$D$12,MATCH(cadangan3[[#This Row],[Item B]],Katalog!$B$3:$B$12,0))*cadangan3[[#This Row],[Qty B]],0)</f>
        <v>700000</v>
      </c>
      <c r="T897" s="36">
        <f>IFERROR(cadangan3[[#This Row],[Harga Asli B]]-(cadangan3[[#This Row],[Harga Asli B]]*cadangan3[[#This Row],[Diskon]]),cadangan3[[#This Row],[Harga Asli B]])</f>
        <v>630000</v>
      </c>
      <c r="U897" s="36">
        <f>IFERROR(INDEX(Katalog!$F$3:$F$12,MATCH(cadangan3[[#This Row],[ItemID B]],Katalog!$C$3:$C$12,0))*cadangan3[[#This Row],[Qty B]],0)</f>
        <v>260000</v>
      </c>
      <c r="V897" s="36">
        <f>IFERROR(cadangan3[[#This Row],[Profit B]]-(cadangan3[[#This Row],[Profit B]]*cadangan3[[#This Row],[Diskon]]),U897)</f>
        <v>234000</v>
      </c>
      <c r="W897" t="s">
        <v>63</v>
      </c>
      <c r="X897" t="str">
        <f>IFERROR(INDEX(Katalog!$A$3:$A$12,MATCH(cadangan3[[#This Row],[ItemID C]],Katalog!$C$3:$C$12,0)),"-")</f>
        <v>Pakaian Pria</v>
      </c>
      <c r="Y897" t="str">
        <f>IFERROR(INDEX(Katalog!$B$3:$B$12,MATCH(cadangan3[[#This Row],[ItemID C]],Katalog!$C$3:$C$12,0)),"-")</f>
        <v>Jaket Jeans</v>
      </c>
      <c r="Z897">
        <v>2</v>
      </c>
      <c r="AA897">
        <v>2</v>
      </c>
      <c r="AB897" s="36">
        <f>IFERROR(INDEX(Katalog!$D$3:$D$12,MATCH(cadangan3[[#This Row],[ItemID C]],Katalog!$C$3:$C$12,0))*cadangan3[[#This Row],[Qty C]],0)</f>
        <v>800000</v>
      </c>
      <c r="AC897" s="36">
        <f>IFERROR(INDEX(Katalog!$D$3:$D$12,MATCH(cadangan3[[#This Row],[Item C]],Katalog!$B$3:$B$12,0))*cadangan3[[#This Row],[Qty C]],0)</f>
        <v>800000</v>
      </c>
      <c r="AD897" s="36">
        <f>IFERROR(cadangan3[[#This Row],[Harga Asli C]]-(cadangan3[[#This Row],[Harga Asli C]]*cadangan3[[#This Row],[Diskon]]),cadangan3[[#This Row],[Harga Asli C]])</f>
        <v>720000</v>
      </c>
      <c r="AE897" s="36">
        <f>IFERROR(INDEX(Katalog!$F$3:$F$12,MATCH(cadangan3[[#This Row],[ItemID C]],Katalog!$C$3:$C$12,0))*cadangan3[[#This Row],[Qty C]],0)</f>
        <v>300000</v>
      </c>
      <c r="AF897" s="36">
        <f>IFERROR(cadangan3[[#This Row],[Profit C]]-(cadangan3[[#This Row],[Profit C]]*cadangan3[[#This Row],[Diskon]]),cadangan3[[#This Row],[Profit C]])</f>
        <v>270000</v>
      </c>
      <c r="AG897" s="21">
        <f>cadangan3[[#This Row],[Qty A]]+cadangan3[[#This Row],[Qty B]]+cadangan3[[#This Row],[Qty C]]</f>
        <v>5</v>
      </c>
      <c r="AH897" s="35">
        <f>cadangan3[[#This Row],[Harga A + Diskon]]+cadangan3[[#This Row],[Harga + Diskon B]]+cadangan3[[#This Row],[Harga + Diskon C]]</f>
        <v>1575000</v>
      </c>
      <c r="AI897" s="35">
        <f>(cadangan3[[#This Row],[Profit A]]+cadangan3[[#This Row],[Profit B]]+cadangan3[[#This Row],[Profit C]])</f>
        <v>660000</v>
      </c>
      <c r="AJ897" s="35">
        <f>cadangan3[[#This Row],[Provit A + Diskon]]+cadangan3[[#This Row],[Provit B + Diskon]]+cadangan3[[#This Row],[Provit C + Diskon]]</f>
        <v>594000</v>
      </c>
      <c r="AK897" s="23" t="s">
        <v>6</v>
      </c>
      <c r="AL897" s="37">
        <f>IFERROR(INDEX('Kode Diskon'!$D$3:$D$9,MATCH(cadangan3[[#This Row],[Kode diskon]],'Kode Diskon'!$C$3:$C$9,0)),"-")</f>
        <v>0.1</v>
      </c>
      <c r="AM897" s="23" t="s">
        <v>29</v>
      </c>
      <c r="AN897" s="23" t="s">
        <v>7</v>
      </c>
      <c r="AO897" s="23" t="s">
        <v>79</v>
      </c>
      <c r="AP897" s="24">
        <v>45020</v>
      </c>
      <c r="AQ897" s="23" t="str">
        <f>TEXT(cadangan3[[#This Row],[Tanggal terjual]],"dddd")</f>
        <v>Tuesday</v>
      </c>
    </row>
    <row r="898" spans="1:43" x14ac:dyDescent="0.2">
      <c r="A898" s="20">
        <v>897</v>
      </c>
      <c r="B898" s="21" t="str">
        <f>_xlfn.CONCAT("ORD-",INDEX(Helper!$B$2:$B$5,MATCH(cadangan3[[#This Row],[Marketplace]],Helper!$A$2:$A$5,0)),TEXT(cadangan3[[#This Row],[No]],"0000"),"-",TEXT(cadangan3[[#This Row],[Tanggal terjual]],"dd/mm/yy"))</f>
        <v>ORD-BL0897-25/04/23</v>
      </c>
      <c r="C898" t="s">
        <v>65</v>
      </c>
      <c r="D898" t="str">
        <f>IFERROR(INDEX(Katalog!$A$3:$A$12,MATCH(cadangan3[[#This Row],[ItemID A]],Katalog!$C$3:$C$12,0)),"-")</f>
        <v>Sepatu Pria</v>
      </c>
      <c r="E898" t="str">
        <f>IFERROR(INDEX(Katalog!$B$3:$B$12,MATCH(cadangan3[[#This Row],[ItemID A]],Katalog!$C$3:$C$12,0)),"-")</f>
        <v>Sneakers</v>
      </c>
      <c r="F898">
        <v>3</v>
      </c>
      <c r="G898">
        <v>4</v>
      </c>
      <c r="H898" s="36">
        <f>IFERROR(INDEX(Katalog!$D$3:$D$12,MATCH(cadangan3[[#This Row],[ItemID A]],Katalog!$C$3:$C$12,0))*cadangan3[[#This Row],[Qty A]],0)</f>
        <v>1500000</v>
      </c>
      <c r="I898" s="36">
        <f>IFERROR(INDEX(Katalog!$D$3:$D$12,MATCH(cadangan3[[#This Row],[Item A]],Katalog!$B$3:$B$12,0))*cadangan3[[#This Row],[Qty A]],0)</f>
        <v>1500000</v>
      </c>
      <c r="J898" s="36">
        <f>IFERROR(cadangan3[[#This Row],[Harga Asli A]]-(cadangan3[[#This Row],[Harga Asli A]]*cadangan3[[#This Row],[Diskon]]),cadangan3[[#This Row],[Harga Asli A]])</f>
        <v>1275000</v>
      </c>
      <c r="K898" s="36">
        <f>INDEX(Katalog!$F$3:$F$12,MATCH(cadangan3[[#This Row],[ItemID A]],Katalog!$C$3:$C$12,0))*cadangan3[[#This Row],[Qty A]]</f>
        <v>600000</v>
      </c>
      <c r="L898" s="36">
        <f>IFERROR(cadangan3[[#This Row],[Profit A]]-(cadangan3[[#This Row],[Profit A]]*cadangan3[[#This Row],[Diskon]]),K898)</f>
        <v>510000</v>
      </c>
      <c r="M898" t="s">
        <v>64</v>
      </c>
      <c r="N898" t="str">
        <f>IFERROR(INDEX(Katalog!$A$3:$A$12,MATCH(cadangan3[[#This Row],[ItemID B]],Katalog!$C$3:$C$12,0)),"-")</f>
        <v>Pakaian Unisex</v>
      </c>
      <c r="O898" t="str">
        <f>IFERROR(INDEX(Katalog!$B$3:$B$12,MATCH(cadangan3[[#This Row],[ItemID B]],Katalog!$C$3:$C$12,0)),"-")</f>
        <v>Jaket Hoodie</v>
      </c>
      <c r="P898">
        <v>3</v>
      </c>
      <c r="Q898">
        <v>3</v>
      </c>
      <c r="R898" s="36">
        <f>IFERROR(INDEX(Katalog!$D$3:$D$12,MATCH(cadangan3[[#This Row],[ItemID B]],Katalog!$C$3:$C$12,0))*cadangan3[[#This Row],[Qty B]],0)</f>
        <v>1050000</v>
      </c>
      <c r="S898" s="36">
        <f>IFERROR(INDEX(Katalog!$D$3:$D$12,MATCH(cadangan3[[#This Row],[Item B]],Katalog!$B$3:$B$12,0))*cadangan3[[#This Row],[Qty B]],0)</f>
        <v>1050000</v>
      </c>
      <c r="T898" s="36">
        <f>IFERROR(cadangan3[[#This Row],[Harga Asli B]]-(cadangan3[[#This Row],[Harga Asli B]]*cadangan3[[#This Row],[Diskon]]),cadangan3[[#This Row],[Harga Asli B]])</f>
        <v>892500</v>
      </c>
      <c r="U898" s="36">
        <f>IFERROR(INDEX(Katalog!$F$3:$F$12,MATCH(cadangan3[[#This Row],[ItemID B]],Katalog!$C$3:$C$12,0))*cadangan3[[#This Row],[Qty B]],0)</f>
        <v>390000</v>
      </c>
      <c r="V898" s="36">
        <f>IFERROR(cadangan3[[#This Row],[Profit B]]-(cadangan3[[#This Row],[Profit B]]*cadangan3[[#This Row],[Diskon]]),U898)</f>
        <v>331500</v>
      </c>
      <c r="X898" t="str">
        <f>IFERROR(INDEX(Katalog!$A$3:$A$12,MATCH(cadangan3[[#This Row],[ItemID C]],Katalog!$C$3:$C$12,0)),"-")</f>
        <v>-</v>
      </c>
      <c r="Y898" t="str">
        <f>IFERROR(INDEX(Katalog!$B$3:$B$12,MATCH(cadangan3[[#This Row],[ItemID C]],Katalog!$C$3:$C$12,0)),"-")</f>
        <v>-</v>
      </c>
      <c r="AB898" s="36">
        <f>IFERROR(INDEX(Katalog!$D$3:$D$12,MATCH(cadangan3[[#This Row],[ItemID C]],Katalog!$C$3:$C$12,0))*cadangan3[[#This Row],[Qty C]],0)</f>
        <v>0</v>
      </c>
      <c r="AC898" s="36">
        <f>IFERROR(INDEX(Katalog!$D$3:$D$12,MATCH(cadangan3[[#This Row],[Item C]],Katalog!$B$3:$B$12,0))*cadangan3[[#This Row],[Qty C]],0)</f>
        <v>0</v>
      </c>
      <c r="AD898" s="36">
        <f>IFERROR(cadangan3[[#This Row],[Harga Asli C]]-(cadangan3[[#This Row],[Harga Asli C]]*cadangan3[[#This Row],[Diskon]]),cadangan3[[#This Row],[Harga Asli C]])</f>
        <v>0</v>
      </c>
      <c r="AE898" s="36">
        <f>IFERROR(INDEX(Katalog!$F$3:$F$12,MATCH(cadangan3[[#This Row],[ItemID C]],Katalog!$C$3:$C$12,0))*cadangan3[[#This Row],[Qty C]],0)</f>
        <v>0</v>
      </c>
      <c r="AF898" s="36">
        <f>IFERROR(cadangan3[[#This Row],[Profit C]]-(cadangan3[[#This Row],[Profit C]]*cadangan3[[#This Row],[Diskon]]),cadangan3[[#This Row],[Profit C]])</f>
        <v>0</v>
      </c>
      <c r="AG898" s="21">
        <f>cadangan3[[#This Row],[Qty A]]+cadangan3[[#This Row],[Qty B]]+cadangan3[[#This Row],[Qty C]]</f>
        <v>6</v>
      </c>
      <c r="AH898" s="35">
        <f>cadangan3[[#This Row],[Harga A + Diskon]]+cadangan3[[#This Row],[Harga + Diskon B]]+cadangan3[[#This Row],[Harga + Diskon C]]</f>
        <v>2167500</v>
      </c>
      <c r="AI898" s="35">
        <f>(cadangan3[[#This Row],[Profit A]]+cadangan3[[#This Row],[Profit B]]+cadangan3[[#This Row],[Profit C]])</f>
        <v>990000</v>
      </c>
      <c r="AJ898" s="35">
        <f>cadangan3[[#This Row],[Provit A + Diskon]]+cadangan3[[#This Row],[Provit B + Diskon]]+cadangan3[[#This Row],[Provit C + Diskon]]</f>
        <v>841500</v>
      </c>
      <c r="AK898" s="23" t="s">
        <v>32</v>
      </c>
      <c r="AL898" s="37">
        <f>IFERROR(INDEX('Kode Diskon'!$D$3:$D$9,MATCH(cadangan3[[#This Row],[Kode diskon]],'Kode Diskon'!$C$3:$C$9,0)),"-")</f>
        <v>0.15</v>
      </c>
      <c r="AM898" s="23" t="s">
        <v>9</v>
      </c>
      <c r="AN898" s="23" t="s">
        <v>12</v>
      </c>
      <c r="AO898" s="23" t="s">
        <v>80</v>
      </c>
      <c r="AP898" s="24">
        <v>45041</v>
      </c>
      <c r="AQ898" s="23" t="str">
        <f>TEXT(cadangan3[[#This Row],[Tanggal terjual]],"dddd")</f>
        <v>Tuesday</v>
      </c>
    </row>
    <row r="899" spans="1:43" x14ac:dyDescent="0.2">
      <c r="A899" s="20">
        <v>898</v>
      </c>
      <c r="B899" s="21" t="str">
        <f>_xlfn.CONCAT("ORD-",INDEX(Helper!$B$2:$B$5,MATCH(cadangan3[[#This Row],[Marketplace]],Helper!$A$2:$A$5,0)),TEXT(cadangan3[[#This Row],[No]],"0000"),"-",TEXT(cadangan3[[#This Row],[Tanggal terjual]],"dd/mm/yy"))</f>
        <v>ORD-SP0898-01/04/23</v>
      </c>
      <c r="C899" t="s">
        <v>65</v>
      </c>
      <c r="D899" t="str">
        <f>IFERROR(INDEX(Katalog!$A$3:$A$12,MATCH(cadangan3[[#This Row],[ItemID A]],Katalog!$C$3:$C$12,0)),"-")</f>
        <v>Sepatu Pria</v>
      </c>
      <c r="E899" t="str">
        <f>IFERROR(INDEX(Katalog!$B$3:$B$12,MATCH(cadangan3[[#This Row],[ItemID A]],Katalog!$C$3:$C$12,0)),"-")</f>
        <v>Sneakers</v>
      </c>
      <c r="F899">
        <v>3</v>
      </c>
      <c r="G899">
        <v>1</v>
      </c>
      <c r="H899" s="36">
        <f>IFERROR(INDEX(Katalog!$D$3:$D$12,MATCH(cadangan3[[#This Row],[ItemID A]],Katalog!$C$3:$C$12,0))*cadangan3[[#This Row],[Qty A]],0)</f>
        <v>1500000</v>
      </c>
      <c r="I899" s="36">
        <f>IFERROR(INDEX(Katalog!$D$3:$D$12,MATCH(cadangan3[[#This Row],[Item A]],Katalog!$B$3:$B$12,0))*cadangan3[[#This Row],[Qty A]],0)</f>
        <v>1500000</v>
      </c>
      <c r="J899" s="36">
        <f>IFERROR(cadangan3[[#This Row],[Harga Asli A]]-(cadangan3[[#This Row],[Harga Asli A]]*cadangan3[[#This Row],[Diskon]]),cadangan3[[#This Row],[Harga Asli A]])</f>
        <v>1350000</v>
      </c>
      <c r="K899" s="36">
        <f>INDEX(Katalog!$F$3:$F$12,MATCH(cadangan3[[#This Row],[ItemID A]],Katalog!$C$3:$C$12,0))*cadangan3[[#This Row],[Qty A]]</f>
        <v>600000</v>
      </c>
      <c r="L899" s="36">
        <f>IFERROR(cadangan3[[#This Row],[Profit A]]-(cadangan3[[#This Row],[Profit A]]*cadangan3[[#This Row],[Diskon]]),K899)</f>
        <v>540000</v>
      </c>
      <c r="M899" t="s">
        <v>67</v>
      </c>
      <c r="N899" t="str">
        <f>IFERROR(INDEX(Katalog!$A$3:$A$12,MATCH(cadangan3[[#This Row],[ItemID B]],Katalog!$C$3:$C$12,0)),"-")</f>
        <v>Sepatu Wanita</v>
      </c>
      <c r="O899" t="str">
        <f>IFERROR(INDEX(Katalog!$B$3:$B$12,MATCH(cadangan3[[#This Row],[ItemID B]],Katalog!$C$3:$C$12,0)),"-")</f>
        <v>Flat Shoes</v>
      </c>
      <c r="P899">
        <v>1</v>
      </c>
      <c r="Q899">
        <v>4</v>
      </c>
      <c r="R899" s="36">
        <f>IFERROR(INDEX(Katalog!$D$3:$D$12,MATCH(cadangan3[[#This Row],[ItemID B]],Katalog!$C$3:$C$12,0))*cadangan3[[#This Row],[Qty B]],0)</f>
        <v>250000</v>
      </c>
      <c r="S899" s="36">
        <f>IFERROR(INDEX(Katalog!$D$3:$D$12,MATCH(cadangan3[[#This Row],[Item B]],Katalog!$B$3:$B$12,0))*cadangan3[[#This Row],[Qty B]],0)</f>
        <v>250000</v>
      </c>
      <c r="T899" s="36">
        <f>IFERROR(cadangan3[[#This Row],[Harga Asli B]]-(cadangan3[[#This Row],[Harga Asli B]]*cadangan3[[#This Row],[Diskon]]),cadangan3[[#This Row],[Harga Asli B]])</f>
        <v>225000</v>
      </c>
      <c r="U899" s="36">
        <f>IFERROR(INDEX(Katalog!$F$3:$F$12,MATCH(cadangan3[[#This Row],[ItemID B]],Katalog!$C$3:$C$12,0))*cadangan3[[#This Row],[Qty B]],0)</f>
        <v>100000</v>
      </c>
      <c r="V899" s="36">
        <f>IFERROR(cadangan3[[#This Row],[Profit B]]-(cadangan3[[#This Row],[Profit B]]*cadangan3[[#This Row],[Diskon]]),U899)</f>
        <v>90000</v>
      </c>
      <c r="X899" t="str">
        <f>IFERROR(INDEX(Katalog!$A$3:$A$12,MATCH(cadangan3[[#This Row],[ItemID C]],Katalog!$C$3:$C$12,0)),"-")</f>
        <v>-</v>
      </c>
      <c r="Y899" t="str">
        <f>IFERROR(INDEX(Katalog!$B$3:$B$12,MATCH(cadangan3[[#This Row],[ItemID C]],Katalog!$C$3:$C$12,0)),"-")</f>
        <v>-</v>
      </c>
      <c r="AB899" s="36">
        <f>IFERROR(INDEX(Katalog!$D$3:$D$12,MATCH(cadangan3[[#This Row],[ItemID C]],Katalog!$C$3:$C$12,0))*cadangan3[[#This Row],[Qty C]],0)</f>
        <v>0</v>
      </c>
      <c r="AC899" s="36">
        <f>IFERROR(INDEX(Katalog!$D$3:$D$12,MATCH(cadangan3[[#This Row],[Item C]],Katalog!$B$3:$B$12,0))*cadangan3[[#This Row],[Qty C]],0)</f>
        <v>0</v>
      </c>
      <c r="AD899" s="36">
        <f>IFERROR(cadangan3[[#This Row],[Harga Asli C]]-(cadangan3[[#This Row],[Harga Asli C]]*cadangan3[[#This Row],[Diskon]]),cadangan3[[#This Row],[Harga Asli C]])</f>
        <v>0</v>
      </c>
      <c r="AE899" s="36">
        <f>IFERROR(INDEX(Katalog!$F$3:$F$12,MATCH(cadangan3[[#This Row],[ItemID C]],Katalog!$C$3:$C$12,0))*cadangan3[[#This Row],[Qty C]],0)</f>
        <v>0</v>
      </c>
      <c r="AF899" s="36">
        <f>IFERROR(cadangan3[[#This Row],[Profit C]]-(cadangan3[[#This Row],[Profit C]]*cadangan3[[#This Row],[Diskon]]),cadangan3[[#This Row],[Profit C]])</f>
        <v>0</v>
      </c>
      <c r="AG899" s="21">
        <f>cadangan3[[#This Row],[Qty A]]+cadangan3[[#This Row],[Qty B]]+cadangan3[[#This Row],[Qty C]]</f>
        <v>4</v>
      </c>
      <c r="AH899" s="35">
        <f>cadangan3[[#This Row],[Harga A + Diskon]]+cadangan3[[#This Row],[Harga + Diskon B]]+cadangan3[[#This Row],[Harga + Diskon C]]</f>
        <v>1575000</v>
      </c>
      <c r="AI899" s="35">
        <f>(cadangan3[[#This Row],[Profit A]]+cadangan3[[#This Row],[Profit B]]+cadangan3[[#This Row],[Profit C]])</f>
        <v>700000</v>
      </c>
      <c r="AJ899" s="35">
        <f>cadangan3[[#This Row],[Provit A + Diskon]]+cadangan3[[#This Row],[Provit B + Diskon]]+cadangan3[[#This Row],[Provit C + Diskon]]</f>
        <v>630000</v>
      </c>
      <c r="AK899" s="23" t="s">
        <v>6</v>
      </c>
      <c r="AL899" s="37">
        <f>IFERROR(INDEX('Kode Diskon'!$D$3:$D$9,MATCH(cadangan3[[#This Row],[Kode diskon]],'Kode Diskon'!$C$3:$C$9,0)),"-")</f>
        <v>0.1</v>
      </c>
      <c r="AM899" s="23" t="s">
        <v>29</v>
      </c>
      <c r="AN899" s="23" t="s">
        <v>7</v>
      </c>
      <c r="AO899" s="23" t="s">
        <v>77</v>
      </c>
      <c r="AP899" s="24">
        <v>45017</v>
      </c>
      <c r="AQ899" s="23" t="str">
        <f>TEXT(cadangan3[[#This Row],[Tanggal terjual]],"dddd")</f>
        <v>Saturday</v>
      </c>
    </row>
    <row r="900" spans="1:43" x14ac:dyDescent="0.2">
      <c r="A900" s="20">
        <v>899</v>
      </c>
      <c r="B900" s="21" t="str">
        <f>_xlfn.CONCAT("ORD-",INDEX(Helper!$B$2:$B$5,MATCH(cadangan3[[#This Row],[Marketplace]],Helper!$A$2:$A$5,0)),TEXT(cadangan3[[#This Row],[No]],"0000"),"-",TEXT(cadangan3[[#This Row],[Tanggal terjual]],"dd/mm/yy"))</f>
        <v>ORD-BL0899-23/04/23</v>
      </c>
      <c r="C900" t="s">
        <v>64</v>
      </c>
      <c r="D900" t="str">
        <f>IFERROR(INDEX(Katalog!$A$3:$A$12,MATCH(cadangan3[[#This Row],[ItemID A]],Katalog!$C$3:$C$12,0)),"-")</f>
        <v>Pakaian Unisex</v>
      </c>
      <c r="E900" t="str">
        <f>IFERROR(INDEX(Katalog!$B$3:$B$12,MATCH(cadangan3[[#This Row],[ItemID A]],Katalog!$C$3:$C$12,0)),"-")</f>
        <v>Jaket Hoodie</v>
      </c>
      <c r="F900">
        <v>1</v>
      </c>
      <c r="G900">
        <v>1</v>
      </c>
      <c r="H900" s="36">
        <f>IFERROR(INDEX(Katalog!$D$3:$D$12,MATCH(cadangan3[[#This Row],[ItemID A]],Katalog!$C$3:$C$12,0))*cadangan3[[#This Row],[Qty A]],0)</f>
        <v>350000</v>
      </c>
      <c r="I900" s="36">
        <f>IFERROR(INDEX(Katalog!$D$3:$D$12,MATCH(cadangan3[[#This Row],[Item A]],Katalog!$B$3:$B$12,0))*cadangan3[[#This Row],[Qty A]],0)</f>
        <v>350000</v>
      </c>
      <c r="J900" s="36">
        <f>IFERROR(cadangan3[[#This Row],[Harga Asli A]]-(cadangan3[[#This Row],[Harga Asli A]]*cadangan3[[#This Row],[Diskon]]),cadangan3[[#This Row],[Harga Asli A]])</f>
        <v>297500</v>
      </c>
      <c r="K900" s="36">
        <f>INDEX(Katalog!$F$3:$F$12,MATCH(cadangan3[[#This Row],[ItemID A]],Katalog!$C$3:$C$12,0))*cadangan3[[#This Row],[Qty A]]</f>
        <v>130000</v>
      </c>
      <c r="L900" s="36">
        <f>IFERROR(cadangan3[[#This Row],[Profit A]]-(cadangan3[[#This Row],[Profit A]]*cadangan3[[#This Row],[Diskon]]),K900)</f>
        <v>110500</v>
      </c>
      <c r="N900" t="str">
        <f>IFERROR(INDEX(Katalog!$A$3:$A$12,MATCH(cadangan3[[#This Row],[ItemID B]],Katalog!$C$3:$C$12,0)),"-")</f>
        <v>-</v>
      </c>
      <c r="O900" t="str">
        <f>IFERROR(INDEX(Katalog!$B$3:$B$12,MATCH(cadangan3[[#This Row],[ItemID B]],Katalog!$C$3:$C$12,0)),"-")</f>
        <v>-</v>
      </c>
      <c r="R900" s="36">
        <f>IFERROR(INDEX(Katalog!$D$3:$D$12,MATCH(cadangan3[[#This Row],[ItemID B]],Katalog!$C$3:$C$12,0))*cadangan3[[#This Row],[Qty B]],0)</f>
        <v>0</v>
      </c>
      <c r="S900" s="36">
        <f>IFERROR(INDEX(Katalog!$D$3:$D$12,MATCH(cadangan3[[#This Row],[Item B]],Katalog!$B$3:$B$12,0))*cadangan3[[#This Row],[Qty B]],0)</f>
        <v>0</v>
      </c>
      <c r="T900" s="36">
        <f>IFERROR(cadangan3[[#This Row],[Harga Asli B]]-(cadangan3[[#This Row],[Harga Asli B]]*cadangan3[[#This Row],[Diskon]]),cadangan3[[#This Row],[Harga Asli B]])</f>
        <v>0</v>
      </c>
      <c r="U900" s="36">
        <f>IFERROR(INDEX(Katalog!$F$3:$F$12,MATCH(cadangan3[[#This Row],[ItemID B]],Katalog!$C$3:$C$12,0))*cadangan3[[#This Row],[Qty B]],0)</f>
        <v>0</v>
      </c>
      <c r="V900" s="36">
        <f>IFERROR(cadangan3[[#This Row],[Profit B]]-(cadangan3[[#This Row],[Profit B]]*cadangan3[[#This Row],[Diskon]]),U900)</f>
        <v>0</v>
      </c>
      <c r="X900" t="str">
        <f>IFERROR(INDEX(Katalog!$A$3:$A$12,MATCH(cadangan3[[#This Row],[ItemID C]],Katalog!$C$3:$C$12,0)),"-")</f>
        <v>-</v>
      </c>
      <c r="Y900" t="str">
        <f>IFERROR(INDEX(Katalog!$B$3:$B$12,MATCH(cadangan3[[#This Row],[ItemID C]],Katalog!$C$3:$C$12,0)),"-")</f>
        <v>-</v>
      </c>
      <c r="AB900" s="36">
        <f>IFERROR(INDEX(Katalog!$D$3:$D$12,MATCH(cadangan3[[#This Row],[ItemID C]],Katalog!$C$3:$C$12,0))*cadangan3[[#This Row],[Qty C]],0)</f>
        <v>0</v>
      </c>
      <c r="AC900" s="36">
        <f>IFERROR(INDEX(Katalog!$D$3:$D$12,MATCH(cadangan3[[#This Row],[Item C]],Katalog!$B$3:$B$12,0))*cadangan3[[#This Row],[Qty C]],0)</f>
        <v>0</v>
      </c>
      <c r="AD900" s="36">
        <f>IFERROR(cadangan3[[#This Row],[Harga Asli C]]-(cadangan3[[#This Row],[Harga Asli C]]*cadangan3[[#This Row],[Diskon]]),cadangan3[[#This Row],[Harga Asli C]])</f>
        <v>0</v>
      </c>
      <c r="AE900" s="36">
        <f>IFERROR(INDEX(Katalog!$F$3:$F$12,MATCH(cadangan3[[#This Row],[ItemID C]],Katalog!$C$3:$C$12,0))*cadangan3[[#This Row],[Qty C]],0)</f>
        <v>0</v>
      </c>
      <c r="AF900" s="36">
        <f>IFERROR(cadangan3[[#This Row],[Profit C]]-(cadangan3[[#This Row],[Profit C]]*cadangan3[[#This Row],[Diskon]]),cadangan3[[#This Row],[Profit C]])</f>
        <v>0</v>
      </c>
      <c r="AG900" s="21">
        <f>cadangan3[[#This Row],[Qty A]]+cadangan3[[#This Row],[Qty B]]+cadangan3[[#This Row],[Qty C]]</f>
        <v>1</v>
      </c>
      <c r="AH900" s="35">
        <f>cadangan3[[#This Row],[Harga A + Diskon]]+cadangan3[[#This Row],[Harga + Diskon B]]+cadangan3[[#This Row],[Harga + Diskon C]]</f>
        <v>297500</v>
      </c>
      <c r="AI900" s="35">
        <f>(cadangan3[[#This Row],[Profit A]]+cadangan3[[#This Row],[Profit B]]+cadangan3[[#This Row],[Profit C]])</f>
        <v>130000</v>
      </c>
      <c r="AJ900" s="35">
        <f>cadangan3[[#This Row],[Provit A + Diskon]]+cadangan3[[#This Row],[Provit B + Diskon]]+cadangan3[[#This Row],[Provit C + Diskon]]</f>
        <v>110500</v>
      </c>
      <c r="AK900" s="23" t="s">
        <v>32</v>
      </c>
      <c r="AL900" s="37">
        <f>IFERROR(INDEX('Kode Diskon'!$D$3:$D$9,MATCH(cadangan3[[#This Row],[Kode diskon]],'Kode Diskon'!$C$3:$C$9,0)),"-")</f>
        <v>0.15</v>
      </c>
      <c r="AM900" s="23" t="s">
        <v>9</v>
      </c>
      <c r="AN900" s="23" t="s">
        <v>12</v>
      </c>
      <c r="AO900" s="23" t="s">
        <v>78</v>
      </c>
      <c r="AP900" s="24">
        <v>45039</v>
      </c>
      <c r="AQ900" s="23" t="str">
        <f>TEXT(cadangan3[[#This Row],[Tanggal terjual]],"dddd")</f>
        <v>Sunday</v>
      </c>
    </row>
    <row r="901" spans="1:43" x14ac:dyDescent="0.2">
      <c r="A901" s="20">
        <v>900</v>
      </c>
      <c r="B901" s="21" t="str">
        <f>_xlfn.CONCAT("ORD-",INDEX(Helper!$B$2:$B$5,MATCH(cadangan3[[#This Row],[Marketplace]],Helper!$A$2:$A$5,0)),TEXT(cadangan3[[#This Row],[No]],"0000"),"-",TEXT(cadangan3[[#This Row],[Tanggal terjual]],"dd/mm/yy"))</f>
        <v>ORD-TK0900-07/04/23</v>
      </c>
      <c r="C901" t="s">
        <v>60</v>
      </c>
      <c r="D901" t="str">
        <f>IFERROR(INDEX(Katalog!$A$3:$A$12,MATCH(cadangan3[[#This Row],[ItemID A]],Katalog!$C$3:$C$12,0)),"-")</f>
        <v>Pakaian Wanita</v>
      </c>
      <c r="E901" t="str">
        <f>IFERROR(INDEX(Katalog!$B$3:$B$12,MATCH(cadangan3[[#This Row],[ItemID A]],Katalog!$C$3:$C$12,0)),"-")</f>
        <v>Kaftan</v>
      </c>
      <c r="F901">
        <v>2</v>
      </c>
      <c r="G901">
        <v>2</v>
      </c>
      <c r="H901" s="36">
        <f>IFERROR(INDEX(Katalog!$D$3:$D$12,MATCH(cadangan3[[#This Row],[ItemID A]],Katalog!$C$3:$C$12,0))*cadangan3[[#This Row],[Qty A]],0)</f>
        <v>500000</v>
      </c>
      <c r="I901" s="36">
        <f>IFERROR(INDEX(Katalog!$D$3:$D$12,MATCH(cadangan3[[#This Row],[Item A]],Katalog!$B$3:$B$12,0))*cadangan3[[#This Row],[Qty A]],0)</f>
        <v>500000</v>
      </c>
      <c r="J901" s="36">
        <f>IFERROR(cadangan3[[#This Row],[Harga Asli A]]-(cadangan3[[#This Row],[Harga Asli A]]*cadangan3[[#This Row],[Diskon]]),cadangan3[[#This Row],[Harga Asli A]])</f>
        <v>500000</v>
      </c>
      <c r="K901" s="36">
        <f>INDEX(Katalog!$F$3:$F$12,MATCH(cadangan3[[#This Row],[ItemID A]],Katalog!$C$3:$C$12,0))*cadangan3[[#This Row],[Qty A]]</f>
        <v>200000</v>
      </c>
      <c r="L901" s="36">
        <f>IFERROR(cadangan3[[#This Row],[Profit A]]-(cadangan3[[#This Row],[Profit A]]*cadangan3[[#This Row],[Diskon]]),K901)</f>
        <v>200000</v>
      </c>
      <c r="M901" t="s">
        <v>65</v>
      </c>
      <c r="N901" t="str">
        <f>IFERROR(INDEX(Katalog!$A$3:$A$12,MATCH(cadangan3[[#This Row],[ItemID B]],Katalog!$C$3:$C$12,0)),"-")</f>
        <v>Sepatu Pria</v>
      </c>
      <c r="O901" t="str">
        <f>IFERROR(INDEX(Katalog!$B$3:$B$12,MATCH(cadangan3[[#This Row],[ItemID B]],Katalog!$C$3:$C$12,0)),"-")</f>
        <v>Sneakers</v>
      </c>
      <c r="P901">
        <v>2</v>
      </c>
      <c r="Q901">
        <v>5</v>
      </c>
      <c r="R901" s="36">
        <f>IFERROR(INDEX(Katalog!$D$3:$D$12,MATCH(cadangan3[[#This Row],[ItemID B]],Katalog!$C$3:$C$12,0))*cadangan3[[#This Row],[Qty B]],0)</f>
        <v>1000000</v>
      </c>
      <c r="S901" s="36">
        <f>IFERROR(INDEX(Katalog!$D$3:$D$12,MATCH(cadangan3[[#This Row],[Item B]],Katalog!$B$3:$B$12,0))*cadangan3[[#This Row],[Qty B]],0)</f>
        <v>1000000</v>
      </c>
      <c r="T901" s="36">
        <f>IFERROR(cadangan3[[#This Row],[Harga Asli B]]-(cadangan3[[#This Row],[Harga Asli B]]*cadangan3[[#This Row],[Diskon]]),cadangan3[[#This Row],[Harga Asli B]])</f>
        <v>1000000</v>
      </c>
      <c r="U901" s="36">
        <f>IFERROR(INDEX(Katalog!$F$3:$F$12,MATCH(cadangan3[[#This Row],[ItemID B]],Katalog!$C$3:$C$12,0))*cadangan3[[#This Row],[Qty B]],0)</f>
        <v>400000</v>
      </c>
      <c r="V901" s="36">
        <f>IFERROR(cadangan3[[#This Row],[Profit B]]-(cadangan3[[#This Row],[Profit B]]*cadangan3[[#This Row],[Diskon]]),U901)</f>
        <v>400000</v>
      </c>
      <c r="X901" t="str">
        <f>IFERROR(INDEX(Katalog!$A$3:$A$12,MATCH(cadangan3[[#This Row],[ItemID C]],Katalog!$C$3:$C$12,0)),"-")</f>
        <v>-</v>
      </c>
      <c r="Y901" t="str">
        <f>IFERROR(INDEX(Katalog!$B$3:$B$12,MATCH(cadangan3[[#This Row],[ItemID C]],Katalog!$C$3:$C$12,0)),"-")</f>
        <v>-</v>
      </c>
      <c r="AB901" s="36">
        <f>IFERROR(INDEX(Katalog!$D$3:$D$12,MATCH(cadangan3[[#This Row],[ItemID C]],Katalog!$C$3:$C$12,0))*cadangan3[[#This Row],[Qty C]],0)</f>
        <v>0</v>
      </c>
      <c r="AC901" s="36">
        <f>IFERROR(INDEX(Katalog!$D$3:$D$12,MATCH(cadangan3[[#This Row],[Item C]],Katalog!$B$3:$B$12,0))*cadangan3[[#This Row],[Qty C]],0)</f>
        <v>0</v>
      </c>
      <c r="AD901" s="36">
        <f>IFERROR(cadangan3[[#This Row],[Harga Asli C]]-(cadangan3[[#This Row],[Harga Asli C]]*cadangan3[[#This Row],[Diskon]]),cadangan3[[#This Row],[Harga Asli C]])</f>
        <v>0</v>
      </c>
      <c r="AE901" s="36">
        <f>IFERROR(INDEX(Katalog!$F$3:$F$12,MATCH(cadangan3[[#This Row],[ItemID C]],Katalog!$C$3:$C$12,0))*cadangan3[[#This Row],[Qty C]],0)</f>
        <v>0</v>
      </c>
      <c r="AF901" s="36">
        <f>IFERROR(cadangan3[[#This Row],[Profit C]]-(cadangan3[[#This Row],[Profit C]]*cadangan3[[#This Row],[Diskon]]),cadangan3[[#This Row],[Profit C]])</f>
        <v>0</v>
      </c>
      <c r="AG901" s="21">
        <f>cadangan3[[#This Row],[Qty A]]+cadangan3[[#This Row],[Qty B]]+cadangan3[[#This Row],[Qty C]]</f>
        <v>4</v>
      </c>
      <c r="AH901" s="35">
        <f>cadangan3[[#This Row],[Harga A + Diskon]]+cadangan3[[#This Row],[Harga + Diskon B]]+cadangan3[[#This Row],[Harga + Diskon C]]</f>
        <v>1500000</v>
      </c>
      <c r="AI901" s="35">
        <f>(cadangan3[[#This Row],[Profit A]]+cadangan3[[#This Row],[Profit B]]+cadangan3[[#This Row],[Profit C]])</f>
        <v>600000</v>
      </c>
      <c r="AJ901" s="35">
        <f>cadangan3[[#This Row],[Provit A + Diskon]]+cadangan3[[#This Row],[Provit B + Diskon]]+cadangan3[[#This Row],[Provit C + Diskon]]</f>
        <v>600000</v>
      </c>
      <c r="AK901" s="23" t="s">
        <v>11</v>
      </c>
      <c r="AL901" s="37" t="str">
        <f>IFERROR(INDEX('Kode Diskon'!$D$3:$D$9,MATCH(cadangan3[[#This Row],[Kode diskon]],'Kode Diskon'!$C$3:$C$9,0)),"-")</f>
        <v>-</v>
      </c>
      <c r="AM901" s="23" t="s">
        <v>11</v>
      </c>
      <c r="AN901" s="23" t="s">
        <v>10</v>
      </c>
      <c r="AO901" s="23" t="s">
        <v>79</v>
      </c>
      <c r="AP901" s="24">
        <v>45023</v>
      </c>
      <c r="AQ901" s="23" t="str">
        <f>TEXT(cadangan3[[#This Row],[Tanggal terjual]],"dddd")</f>
        <v>Friday</v>
      </c>
    </row>
    <row r="902" spans="1:43" x14ac:dyDescent="0.2">
      <c r="A902" s="20">
        <v>901</v>
      </c>
      <c r="B902" s="21" t="str">
        <f>_xlfn.CONCAT("ORD-",INDEX(Helper!$B$2:$B$5,MATCH(cadangan3[[#This Row],[Marketplace]],Helper!$A$2:$A$5,0)),TEXT(cadangan3[[#This Row],[No]],"0000"),"-",TEXT(cadangan3[[#This Row],[Tanggal terjual]],"dd/mm/yy"))</f>
        <v>ORD-SP0901-13/04/23</v>
      </c>
      <c r="C902" t="s">
        <v>59</v>
      </c>
      <c r="D902" t="str">
        <f>IFERROR(INDEX(Katalog!$A$3:$A$12,MATCH(cadangan3[[#This Row],[ItemID A]],Katalog!$C$3:$C$12,0)),"-")</f>
        <v>Pakaian Wanita</v>
      </c>
      <c r="E902" t="str">
        <f>IFERROR(INDEX(Katalog!$B$3:$B$12,MATCH(cadangan3[[#This Row],[ItemID A]],Katalog!$C$3:$C$12,0)),"-")</f>
        <v>Blouse</v>
      </c>
      <c r="F902">
        <v>1</v>
      </c>
      <c r="G902">
        <v>5</v>
      </c>
      <c r="H902" s="36">
        <f>IFERROR(INDEX(Katalog!$D$3:$D$12,MATCH(cadangan3[[#This Row],[ItemID A]],Katalog!$C$3:$C$12,0))*cadangan3[[#This Row],[Qty A]],0)</f>
        <v>150000</v>
      </c>
      <c r="I902" s="36">
        <f>IFERROR(INDEX(Katalog!$D$3:$D$12,MATCH(cadangan3[[#This Row],[Item A]],Katalog!$B$3:$B$12,0))*cadangan3[[#This Row],[Qty A]],0)</f>
        <v>150000</v>
      </c>
      <c r="J902" s="36">
        <f>IFERROR(cadangan3[[#This Row],[Harga Asli A]]-(cadangan3[[#This Row],[Harga Asli A]]*cadangan3[[#This Row],[Diskon]]),cadangan3[[#This Row],[Harga Asli A]])</f>
        <v>150000</v>
      </c>
      <c r="K902" s="36">
        <f>INDEX(Katalog!$F$3:$F$12,MATCH(cadangan3[[#This Row],[ItemID A]],Katalog!$C$3:$C$12,0))*cadangan3[[#This Row],[Qty A]]</f>
        <v>50000</v>
      </c>
      <c r="L902" s="36">
        <f>IFERROR(cadangan3[[#This Row],[Profit A]]-(cadangan3[[#This Row],[Profit A]]*cadangan3[[#This Row],[Diskon]]),K902)</f>
        <v>50000</v>
      </c>
      <c r="N902" t="str">
        <f>IFERROR(INDEX(Katalog!$A$3:$A$12,MATCH(cadangan3[[#This Row],[ItemID B]],Katalog!$C$3:$C$12,0)),"-")</f>
        <v>-</v>
      </c>
      <c r="O902" t="str">
        <f>IFERROR(INDEX(Katalog!$B$3:$B$12,MATCH(cadangan3[[#This Row],[ItemID B]],Katalog!$C$3:$C$12,0)),"-")</f>
        <v>-</v>
      </c>
      <c r="R902" s="36">
        <f>IFERROR(INDEX(Katalog!$D$3:$D$12,MATCH(cadangan3[[#This Row],[ItemID B]],Katalog!$C$3:$C$12,0))*cadangan3[[#This Row],[Qty B]],0)</f>
        <v>0</v>
      </c>
      <c r="S902" s="36">
        <f>IFERROR(INDEX(Katalog!$D$3:$D$12,MATCH(cadangan3[[#This Row],[Item B]],Katalog!$B$3:$B$12,0))*cadangan3[[#This Row],[Qty B]],0)</f>
        <v>0</v>
      </c>
      <c r="T902" s="36">
        <f>IFERROR(cadangan3[[#This Row],[Harga Asli B]]-(cadangan3[[#This Row],[Harga Asli B]]*cadangan3[[#This Row],[Diskon]]),cadangan3[[#This Row],[Harga Asli B]])</f>
        <v>0</v>
      </c>
      <c r="U902" s="36">
        <f>IFERROR(INDEX(Katalog!$F$3:$F$12,MATCH(cadangan3[[#This Row],[ItemID B]],Katalog!$C$3:$C$12,0))*cadangan3[[#This Row],[Qty B]],0)</f>
        <v>0</v>
      </c>
      <c r="V902" s="36">
        <f>IFERROR(cadangan3[[#This Row],[Profit B]]-(cadangan3[[#This Row],[Profit B]]*cadangan3[[#This Row],[Diskon]]),U902)</f>
        <v>0</v>
      </c>
      <c r="X902" t="str">
        <f>IFERROR(INDEX(Katalog!$A$3:$A$12,MATCH(cadangan3[[#This Row],[ItemID C]],Katalog!$C$3:$C$12,0)),"-")</f>
        <v>-</v>
      </c>
      <c r="Y902" t="str">
        <f>IFERROR(INDEX(Katalog!$B$3:$B$12,MATCH(cadangan3[[#This Row],[ItemID C]],Katalog!$C$3:$C$12,0)),"-")</f>
        <v>-</v>
      </c>
      <c r="AB902" s="36">
        <f>IFERROR(INDEX(Katalog!$D$3:$D$12,MATCH(cadangan3[[#This Row],[ItemID C]],Katalog!$C$3:$C$12,0))*cadangan3[[#This Row],[Qty C]],0)</f>
        <v>0</v>
      </c>
      <c r="AC902" s="36">
        <f>IFERROR(INDEX(Katalog!$D$3:$D$12,MATCH(cadangan3[[#This Row],[Item C]],Katalog!$B$3:$B$12,0))*cadangan3[[#This Row],[Qty C]],0)</f>
        <v>0</v>
      </c>
      <c r="AD902" s="36">
        <f>IFERROR(cadangan3[[#This Row],[Harga Asli C]]-(cadangan3[[#This Row],[Harga Asli C]]*cadangan3[[#This Row],[Diskon]]),cadangan3[[#This Row],[Harga Asli C]])</f>
        <v>0</v>
      </c>
      <c r="AE902" s="36">
        <f>IFERROR(INDEX(Katalog!$F$3:$F$12,MATCH(cadangan3[[#This Row],[ItemID C]],Katalog!$C$3:$C$12,0))*cadangan3[[#This Row],[Qty C]],0)</f>
        <v>0</v>
      </c>
      <c r="AF902" s="36">
        <f>IFERROR(cadangan3[[#This Row],[Profit C]]-(cadangan3[[#This Row],[Profit C]]*cadangan3[[#This Row],[Diskon]]),cadangan3[[#This Row],[Profit C]])</f>
        <v>0</v>
      </c>
      <c r="AG902" s="21">
        <f>cadangan3[[#This Row],[Qty A]]+cadangan3[[#This Row],[Qty B]]+cadangan3[[#This Row],[Qty C]]</f>
        <v>1</v>
      </c>
      <c r="AH902" s="35">
        <f>cadangan3[[#This Row],[Harga A + Diskon]]+cadangan3[[#This Row],[Harga + Diskon B]]+cadangan3[[#This Row],[Harga + Diskon C]]</f>
        <v>150000</v>
      </c>
      <c r="AI902" s="35">
        <f>(cadangan3[[#This Row],[Profit A]]+cadangan3[[#This Row],[Profit B]]+cadangan3[[#This Row],[Profit C]])</f>
        <v>50000</v>
      </c>
      <c r="AJ902" s="35">
        <f>cadangan3[[#This Row],[Provit A + Diskon]]+cadangan3[[#This Row],[Provit B + Diskon]]+cadangan3[[#This Row],[Provit C + Diskon]]</f>
        <v>50000</v>
      </c>
      <c r="AK902" s="23" t="s">
        <v>11</v>
      </c>
      <c r="AL902" s="37" t="str">
        <f>IFERROR(INDEX('Kode Diskon'!$D$3:$D$9,MATCH(cadangan3[[#This Row],[Kode diskon]],'Kode Diskon'!$C$3:$C$9,0)),"-")</f>
        <v>-</v>
      </c>
      <c r="AM902" s="23" t="s">
        <v>11</v>
      </c>
      <c r="AN902" s="23" t="s">
        <v>7</v>
      </c>
      <c r="AO902" s="23" t="s">
        <v>75</v>
      </c>
      <c r="AP902" s="24">
        <v>45029</v>
      </c>
      <c r="AQ902" s="23" t="str">
        <f>TEXT(cadangan3[[#This Row],[Tanggal terjual]],"dddd")</f>
        <v>Thursday</v>
      </c>
    </row>
    <row r="903" spans="1:43" x14ac:dyDescent="0.2">
      <c r="A903" s="20">
        <v>902</v>
      </c>
      <c r="B903" s="21" t="str">
        <f>_xlfn.CONCAT("ORD-",INDEX(Helper!$B$2:$B$5,MATCH(cadangan3[[#This Row],[Marketplace]],Helper!$A$2:$A$5,0)),TEXT(cadangan3[[#This Row],[No]],"0000"),"-",TEXT(cadangan3[[#This Row],[Tanggal terjual]],"dd/mm/yy"))</f>
        <v>ORD-SP0902-05/04/23</v>
      </c>
      <c r="C903" t="s">
        <v>66</v>
      </c>
      <c r="D903" t="str">
        <f>IFERROR(INDEX(Katalog!$A$3:$A$12,MATCH(cadangan3[[#This Row],[ItemID A]],Katalog!$C$3:$C$12,0)),"-")</f>
        <v>Sepatu Pria</v>
      </c>
      <c r="E903" t="str">
        <f>IFERROR(INDEX(Katalog!$B$3:$B$12,MATCH(cadangan3[[#This Row],[ItemID A]],Katalog!$C$3:$C$12,0)),"-")</f>
        <v>Sandal Slip On</v>
      </c>
      <c r="F903">
        <v>3</v>
      </c>
      <c r="G903">
        <v>2</v>
      </c>
      <c r="H903" s="36">
        <f>IFERROR(INDEX(Katalog!$D$3:$D$12,MATCH(cadangan3[[#This Row],[ItemID A]],Katalog!$C$3:$C$12,0))*cadangan3[[#This Row],[Qty A]],0)</f>
        <v>450000</v>
      </c>
      <c r="I903" s="36">
        <f>IFERROR(INDEX(Katalog!$D$3:$D$12,MATCH(cadangan3[[#This Row],[Item A]],Katalog!$B$3:$B$12,0))*cadangan3[[#This Row],[Qty A]],0)</f>
        <v>450000</v>
      </c>
      <c r="J903" s="36">
        <f>IFERROR(cadangan3[[#This Row],[Harga Asli A]]-(cadangan3[[#This Row],[Harga Asli A]]*cadangan3[[#This Row],[Diskon]]),cadangan3[[#This Row],[Harga Asli A]])</f>
        <v>405000</v>
      </c>
      <c r="K903" s="36">
        <f>INDEX(Katalog!$F$3:$F$12,MATCH(cadangan3[[#This Row],[ItemID A]],Katalog!$C$3:$C$12,0))*cadangan3[[#This Row],[Qty A]]</f>
        <v>180000</v>
      </c>
      <c r="L903" s="36">
        <f>IFERROR(cadangan3[[#This Row],[Profit A]]-(cadangan3[[#This Row],[Profit A]]*cadangan3[[#This Row],[Diskon]]),K903)</f>
        <v>162000</v>
      </c>
      <c r="M903" t="s">
        <v>67</v>
      </c>
      <c r="N903" t="str">
        <f>IFERROR(INDEX(Katalog!$A$3:$A$12,MATCH(cadangan3[[#This Row],[ItemID B]],Katalog!$C$3:$C$12,0)),"-")</f>
        <v>Sepatu Wanita</v>
      </c>
      <c r="O903" t="str">
        <f>IFERROR(INDEX(Katalog!$B$3:$B$12,MATCH(cadangan3[[#This Row],[ItemID B]],Katalog!$C$3:$C$12,0)),"-")</f>
        <v>Flat Shoes</v>
      </c>
      <c r="P903">
        <v>2</v>
      </c>
      <c r="Q903">
        <v>1</v>
      </c>
      <c r="R903" s="36">
        <f>IFERROR(INDEX(Katalog!$D$3:$D$12,MATCH(cadangan3[[#This Row],[ItemID B]],Katalog!$C$3:$C$12,0))*cadangan3[[#This Row],[Qty B]],0)</f>
        <v>500000</v>
      </c>
      <c r="S903" s="36">
        <f>IFERROR(INDEX(Katalog!$D$3:$D$12,MATCH(cadangan3[[#This Row],[Item B]],Katalog!$B$3:$B$12,0))*cadangan3[[#This Row],[Qty B]],0)</f>
        <v>500000</v>
      </c>
      <c r="T903" s="36">
        <f>IFERROR(cadangan3[[#This Row],[Harga Asli B]]-(cadangan3[[#This Row],[Harga Asli B]]*cadangan3[[#This Row],[Diskon]]),cadangan3[[#This Row],[Harga Asli B]])</f>
        <v>450000</v>
      </c>
      <c r="U903" s="36">
        <f>IFERROR(INDEX(Katalog!$F$3:$F$12,MATCH(cadangan3[[#This Row],[ItemID B]],Katalog!$C$3:$C$12,0))*cadangan3[[#This Row],[Qty B]],0)</f>
        <v>200000</v>
      </c>
      <c r="V903" s="36">
        <f>IFERROR(cadangan3[[#This Row],[Profit B]]-(cadangan3[[#This Row],[Profit B]]*cadangan3[[#This Row],[Diskon]]),U903)</f>
        <v>180000</v>
      </c>
      <c r="X903" t="str">
        <f>IFERROR(INDEX(Katalog!$A$3:$A$12,MATCH(cadangan3[[#This Row],[ItemID C]],Katalog!$C$3:$C$12,0)),"-")</f>
        <v>-</v>
      </c>
      <c r="Y903" t="str">
        <f>IFERROR(INDEX(Katalog!$B$3:$B$12,MATCH(cadangan3[[#This Row],[ItemID C]],Katalog!$C$3:$C$12,0)),"-")</f>
        <v>-</v>
      </c>
      <c r="AB903" s="36">
        <f>IFERROR(INDEX(Katalog!$D$3:$D$12,MATCH(cadangan3[[#This Row],[ItemID C]],Katalog!$C$3:$C$12,0))*cadangan3[[#This Row],[Qty C]],0)</f>
        <v>0</v>
      </c>
      <c r="AC903" s="36">
        <f>IFERROR(INDEX(Katalog!$D$3:$D$12,MATCH(cadangan3[[#This Row],[Item C]],Katalog!$B$3:$B$12,0))*cadangan3[[#This Row],[Qty C]],0)</f>
        <v>0</v>
      </c>
      <c r="AD903" s="36">
        <f>IFERROR(cadangan3[[#This Row],[Harga Asli C]]-(cadangan3[[#This Row],[Harga Asli C]]*cadangan3[[#This Row],[Diskon]]),cadangan3[[#This Row],[Harga Asli C]])</f>
        <v>0</v>
      </c>
      <c r="AE903" s="36">
        <f>IFERROR(INDEX(Katalog!$F$3:$F$12,MATCH(cadangan3[[#This Row],[ItemID C]],Katalog!$C$3:$C$12,0))*cadangan3[[#This Row],[Qty C]],0)</f>
        <v>0</v>
      </c>
      <c r="AF903" s="36">
        <f>IFERROR(cadangan3[[#This Row],[Profit C]]-(cadangan3[[#This Row],[Profit C]]*cadangan3[[#This Row],[Diskon]]),cadangan3[[#This Row],[Profit C]])</f>
        <v>0</v>
      </c>
      <c r="AG903" s="21">
        <f>cadangan3[[#This Row],[Qty A]]+cadangan3[[#This Row],[Qty B]]+cadangan3[[#This Row],[Qty C]]</f>
        <v>5</v>
      </c>
      <c r="AH903" s="35">
        <f>cadangan3[[#This Row],[Harga A + Diskon]]+cadangan3[[#This Row],[Harga + Diskon B]]+cadangan3[[#This Row],[Harga + Diskon C]]</f>
        <v>855000</v>
      </c>
      <c r="AI903" s="35">
        <f>(cadangan3[[#This Row],[Profit A]]+cadangan3[[#This Row],[Profit B]]+cadangan3[[#This Row],[Profit C]])</f>
        <v>380000</v>
      </c>
      <c r="AJ903" s="35">
        <f>cadangan3[[#This Row],[Provit A + Diskon]]+cadangan3[[#This Row],[Provit B + Diskon]]+cadangan3[[#This Row],[Provit C + Diskon]]</f>
        <v>342000</v>
      </c>
      <c r="AK903" s="23" t="s">
        <v>6</v>
      </c>
      <c r="AL903" s="37">
        <f>IFERROR(INDEX('Kode Diskon'!$D$3:$D$9,MATCH(cadangan3[[#This Row],[Kode diskon]],'Kode Diskon'!$C$3:$C$9,0)),"-")</f>
        <v>0.1</v>
      </c>
      <c r="AM903" s="23" t="s">
        <v>29</v>
      </c>
      <c r="AN903" s="23" t="s">
        <v>7</v>
      </c>
      <c r="AO903" s="23" t="s">
        <v>76</v>
      </c>
      <c r="AP903" s="24">
        <v>45021</v>
      </c>
      <c r="AQ903" s="23" t="str">
        <f>TEXT(cadangan3[[#This Row],[Tanggal terjual]],"dddd")</f>
        <v>Wednesday</v>
      </c>
    </row>
    <row r="904" spans="1:43" x14ac:dyDescent="0.2">
      <c r="A904" s="20">
        <v>903</v>
      </c>
      <c r="B904" s="21" t="str">
        <f>_xlfn.CONCAT("ORD-",INDEX(Helper!$B$2:$B$5,MATCH(cadangan3[[#This Row],[Marketplace]],Helper!$A$2:$A$5,0)),TEXT(cadangan3[[#This Row],[No]],"0000"),"-",TEXT(cadangan3[[#This Row],[Tanggal terjual]],"dd/mm/yy"))</f>
        <v>ORD-TK0903-26/04/23</v>
      </c>
      <c r="C904" t="s">
        <v>64</v>
      </c>
      <c r="D904" t="str">
        <f>IFERROR(INDEX(Katalog!$A$3:$A$12,MATCH(cadangan3[[#This Row],[ItemID A]],Katalog!$C$3:$C$12,0)),"-")</f>
        <v>Pakaian Unisex</v>
      </c>
      <c r="E904" t="str">
        <f>IFERROR(INDEX(Katalog!$B$3:$B$12,MATCH(cadangan3[[#This Row],[ItemID A]],Katalog!$C$3:$C$12,0)),"-")</f>
        <v>Jaket Hoodie</v>
      </c>
      <c r="F904">
        <v>2</v>
      </c>
      <c r="G904">
        <v>5</v>
      </c>
      <c r="H904" s="36">
        <f>IFERROR(INDEX(Katalog!$D$3:$D$12,MATCH(cadangan3[[#This Row],[ItemID A]],Katalog!$C$3:$C$12,0))*cadangan3[[#This Row],[Qty A]],0)</f>
        <v>700000</v>
      </c>
      <c r="I904" s="36">
        <f>IFERROR(INDEX(Katalog!$D$3:$D$12,MATCH(cadangan3[[#This Row],[Item A]],Katalog!$B$3:$B$12,0))*cadangan3[[#This Row],[Qty A]],0)</f>
        <v>700000</v>
      </c>
      <c r="J904" s="36">
        <f>IFERROR(cadangan3[[#This Row],[Harga Asli A]]-(cadangan3[[#This Row],[Harga Asli A]]*cadangan3[[#This Row],[Diskon]]),cadangan3[[#This Row],[Harga Asli A]])</f>
        <v>630000</v>
      </c>
      <c r="K904" s="36">
        <f>INDEX(Katalog!$F$3:$F$12,MATCH(cadangan3[[#This Row],[ItemID A]],Katalog!$C$3:$C$12,0))*cadangan3[[#This Row],[Qty A]]</f>
        <v>260000</v>
      </c>
      <c r="L904" s="36">
        <f>IFERROR(cadangan3[[#This Row],[Profit A]]-(cadangan3[[#This Row],[Profit A]]*cadangan3[[#This Row],[Diskon]]),K904)</f>
        <v>234000</v>
      </c>
      <c r="N904" t="str">
        <f>IFERROR(INDEX(Katalog!$A$3:$A$12,MATCH(cadangan3[[#This Row],[ItemID B]],Katalog!$C$3:$C$12,0)),"-")</f>
        <v>-</v>
      </c>
      <c r="O904" t="str">
        <f>IFERROR(INDEX(Katalog!$B$3:$B$12,MATCH(cadangan3[[#This Row],[ItemID B]],Katalog!$C$3:$C$12,0)),"-")</f>
        <v>-</v>
      </c>
      <c r="R904" s="36">
        <f>IFERROR(INDEX(Katalog!$D$3:$D$12,MATCH(cadangan3[[#This Row],[ItemID B]],Katalog!$C$3:$C$12,0))*cadangan3[[#This Row],[Qty B]],0)</f>
        <v>0</v>
      </c>
      <c r="S904" s="36">
        <f>IFERROR(INDEX(Katalog!$D$3:$D$12,MATCH(cadangan3[[#This Row],[Item B]],Katalog!$B$3:$B$12,0))*cadangan3[[#This Row],[Qty B]],0)</f>
        <v>0</v>
      </c>
      <c r="T904" s="36">
        <f>IFERROR(cadangan3[[#This Row],[Harga Asli B]]-(cadangan3[[#This Row],[Harga Asli B]]*cadangan3[[#This Row],[Diskon]]),cadangan3[[#This Row],[Harga Asli B]])</f>
        <v>0</v>
      </c>
      <c r="U904" s="36">
        <f>IFERROR(INDEX(Katalog!$F$3:$F$12,MATCH(cadangan3[[#This Row],[ItemID B]],Katalog!$C$3:$C$12,0))*cadangan3[[#This Row],[Qty B]],0)</f>
        <v>0</v>
      </c>
      <c r="V904" s="36">
        <f>IFERROR(cadangan3[[#This Row],[Profit B]]-(cadangan3[[#This Row],[Profit B]]*cadangan3[[#This Row],[Diskon]]),U904)</f>
        <v>0</v>
      </c>
      <c r="X904" t="str">
        <f>IFERROR(INDEX(Katalog!$A$3:$A$12,MATCH(cadangan3[[#This Row],[ItemID C]],Katalog!$C$3:$C$12,0)),"-")</f>
        <v>-</v>
      </c>
      <c r="Y904" t="str">
        <f>IFERROR(INDEX(Katalog!$B$3:$B$12,MATCH(cadangan3[[#This Row],[ItemID C]],Katalog!$C$3:$C$12,0)),"-")</f>
        <v>-</v>
      </c>
      <c r="AB904" s="36">
        <f>IFERROR(INDEX(Katalog!$D$3:$D$12,MATCH(cadangan3[[#This Row],[ItemID C]],Katalog!$C$3:$C$12,0))*cadangan3[[#This Row],[Qty C]],0)</f>
        <v>0</v>
      </c>
      <c r="AC904" s="36">
        <f>IFERROR(INDEX(Katalog!$D$3:$D$12,MATCH(cadangan3[[#This Row],[Item C]],Katalog!$B$3:$B$12,0))*cadangan3[[#This Row],[Qty C]],0)</f>
        <v>0</v>
      </c>
      <c r="AD904" s="36">
        <f>IFERROR(cadangan3[[#This Row],[Harga Asli C]]-(cadangan3[[#This Row],[Harga Asli C]]*cadangan3[[#This Row],[Diskon]]),cadangan3[[#This Row],[Harga Asli C]])</f>
        <v>0</v>
      </c>
      <c r="AE904" s="36">
        <f>IFERROR(INDEX(Katalog!$F$3:$F$12,MATCH(cadangan3[[#This Row],[ItemID C]],Katalog!$C$3:$C$12,0))*cadangan3[[#This Row],[Qty C]],0)</f>
        <v>0</v>
      </c>
      <c r="AF904" s="36">
        <f>IFERROR(cadangan3[[#This Row],[Profit C]]-(cadangan3[[#This Row],[Profit C]]*cadangan3[[#This Row],[Diskon]]),cadangan3[[#This Row],[Profit C]])</f>
        <v>0</v>
      </c>
      <c r="AG904" s="21">
        <f>cadangan3[[#This Row],[Qty A]]+cadangan3[[#This Row],[Qty B]]+cadangan3[[#This Row],[Qty C]]</f>
        <v>2</v>
      </c>
      <c r="AH904" s="35">
        <f>cadangan3[[#This Row],[Harga A + Diskon]]+cadangan3[[#This Row],[Harga + Diskon B]]+cadangan3[[#This Row],[Harga + Diskon C]]</f>
        <v>630000</v>
      </c>
      <c r="AI904" s="35">
        <f>(cadangan3[[#This Row],[Profit A]]+cadangan3[[#This Row],[Profit B]]+cadangan3[[#This Row],[Profit C]])</f>
        <v>260000</v>
      </c>
      <c r="AJ904" s="35">
        <f>cadangan3[[#This Row],[Provit A + Diskon]]+cadangan3[[#This Row],[Provit B + Diskon]]+cadangan3[[#This Row],[Provit C + Diskon]]</f>
        <v>234000</v>
      </c>
      <c r="AK904" s="23" t="s">
        <v>31</v>
      </c>
      <c r="AL904" s="37">
        <f>IFERROR(INDEX('Kode Diskon'!$D$3:$D$9,MATCH(cadangan3[[#This Row],[Kode diskon]],'Kode Diskon'!$C$3:$C$9,0)),"-")</f>
        <v>0.1</v>
      </c>
      <c r="AM904" s="23" t="s">
        <v>9</v>
      </c>
      <c r="AN904" s="23" t="s">
        <v>10</v>
      </c>
      <c r="AO904" s="23" t="s">
        <v>77</v>
      </c>
      <c r="AP904" s="24">
        <v>45042</v>
      </c>
      <c r="AQ904" s="23" t="str">
        <f>TEXT(cadangan3[[#This Row],[Tanggal terjual]],"dddd")</f>
        <v>Wednesday</v>
      </c>
    </row>
    <row r="905" spans="1:43" x14ac:dyDescent="0.2">
      <c r="A905" s="20">
        <v>904</v>
      </c>
      <c r="B905" s="21" t="str">
        <f>_xlfn.CONCAT("ORD-",INDEX(Helper!$B$2:$B$5,MATCH(cadangan3[[#This Row],[Marketplace]],Helper!$A$2:$A$5,0)),TEXT(cadangan3[[#This Row],[No]],"0000"),"-",TEXT(cadangan3[[#This Row],[Tanggal terjual]],"dd/mm/yy"))</f>
        <v>ORD-TK0904-29/04/23</v>
      </c>
      <c r="C905" t="s">
        <v>65</v>
      </c>
      <c r="D905" t="str">
        <f>IFERROR(INDEX(Katalog!$A$3:$A$12,MATCH(cadangan3[[#This Row],[ItemID A]],Katalog!$C$3:$C$12,0)),"-")</f>
        <v>Sepatu Pria</v>
      </c>
      <c r="E905" t="str">
        <f>IFERROR(INDEX(Katalog!$B$3:$B$12,MATCH(cadangan3[[#This Row],[ItemID A]],Katalog!$C$3:$C$12,0)),"-")</f>
        <v>Sneakers</v>
      </c>
      <c r="F905">
        <v>4</v>
      </c>
      <c r="G905">
        <v>4</v>
      </c>
      <c r="H905" s="36">
        <f>IFERROR(INDEX(Katalog!$D$3:$D$12,MATCH(cadangan3[[#This Row],[ItemID A]],Katalog!$C$3:$C$12,0))*cadangan3[[#This Row],[Qty A]],0)</f>
        <v>2000000</v>
      </c>
      <c r="I905" s="36">
        <f>IFERROR(INDEX(Katalog!$D$3:$D$12,MATCH(cadangan3[[#This Row],[Item A]],Katalog!$B$3:$B$12,0))*cadangan3[[#This Row],[Qty A]],0)</f>
        <v>2000000</v>
      </c>
      <c r="J905" s="36">
        <f>IFERROR(cadangan3[[#This Row],[Harga Asli A]]-(cadangan3[[#This Row],[Harga Asli A]]*cadangan3[[#This Row],[Diskon]]),cadangan3[[#This Row],[Harga Asli A]])</f>
        <v>1800000</v>
      </c>
      <c r="K905" s="36">
        <f>INDEX(Katalog!$F$3:$F$12,MATCH(cadangan3[[#This Row],[ItemID A]],Katalog!$C$3:$C$12,0))*cadangan3[[#This Row],[Qty A]]</f>
        <v>800000</v>
      </c>
      <c r="L905" s="36">
        <f>IFERROR(cadangan3[[#This Row],[Profit A]]-(cadangan3[[#This Row],[Profit A]]*cadangan3[[#This Row],[Diskon]]),K905)</f>
        <v>720000</v>
      </c>
      <c r="M905" t="s">
        <v>66</v>
      </c>
      <c r="N905" t="str">
        <f>IFERROR(INDEX(Katalog!$A$3:$A$12,MATCH(cadangan3[[#This Row],[ItemID B]],Katalog!$C$3:$C$12,0)),"-")</f>
        <v>Sepatu Pria</v>
      </c>
      <c r="O905" t="str">
        <f>IFERROR(INDEX(Katalog!$B$3:$B$12,MATCH(cadangan3[[#This Row],[ItemID B]],Katalog!$C$3:$C$12,0)),"-")</f>
        <v>Sandal Slip On</v>
      </c>
      <c r="P905">
        <v>1</v>
      </c>
      <c r="Q905">
        <v>5</v>
      </c>
      <c r="R905" s="36">
        <f>IFERROR(INDEX(Katalog!$D$3:$D$12,MATCH(cadangan3[[#This Row],[ItemID B]],Katalog!$C$3:$C$12,0))*cadangan3[[#This Row],[Qty B]],0)</f>
        <v>150000</v>
      </c>
      <c r="S905" s="36">
        <f>IFERROR(INDEX(Katalog!$D$3:$D$12,MATCH(cadangan3[[#This Row],[Item B]],Katalog!$B$3:$B$12,0))*cadangan3[[#This Row],[Qty B]],0)</f>
        <v>150000</v>
      </c>
      <c r="T905" s="36">
        <f>IFERROR(cadangan3[[#This Row],[Harga Asli B]]-(cadangan3[[#This Row],[Harga Asli B]]*cadangan3[[#This Row],[Diskon]]),cadangan3[[#This Row],[Harga Asli B]])</f>
        <v>135000</v>
      </c>
      <c r="U905" s="36">
        <f>IFERROR(INDEX(Katalog!$F$3:$F$12,MATCH(cadangan3[[#This Row],[ItemID B]],Katalog!$C$3:$C$12,0))*cadangan3[[#This Row],[Qty B]],0)</f>
        <v>60000</v>
      </c>
      <c r="V905" s="36">
        <f>IFERROR(cadangan3[[#This Row],[Profit B]]-(cadangan3[[#This Row],[Profit B]]*cadangan3[[#This Row],[Diskon]]),U905)</f>
        <v>54000</v>
      </c>
      <c r="W905" t="s">
        <v>63</v>
      </c>
      <c r="X905" t="str">
        <f>IFERROR(INDEX(Katalog!$A$3:$A$12,MATCH(cadangan3[[#This Row],[ItemID C]],Katalog!$C$3:$C$12,0)),"-")</f>
        <v>Pakaian Pria</v>
      </c>
      <c r="Y905" t="str">
        <f>IFERROR(INDEX(Katalog!$B$3:$B$12,MATCH(cadangan3[[#This Row],[ItemID C]],Katalog!$C$3:$C$12,0)),"-")</f>
        <v>Jaket Jeans</v>
      </c>
      <c r="Z905">
        <v>1</v>
      </c>
      <c r="AA905">
        <v>4</v>
      </c>
      <c r="AB905" s="36">
        <f>IFERROR(INDEX(Katalog!$D$3:$D$12,MATCH(cadangan3[[#This Row],[ItemID C]],Katalog!$C$3:$C$12,0))*cadangan3[[#This Row],[Qty C]],0)</f>
        <v>400000</v>
      </c>
      <c r="AC905" s="36">
        <f>IFERROR(INDEX(Katalog!$D$3:$D$12,MATCH(cadangan3[[#This Row],[Item C]],Katalog!$B$3:$B$12,0))*cadangan3[[#This Row],[Qty C]],0)</f>
        <v>400000</v>
      </c>
      <c r="AD905" s="36">
        <f>IFERROR(cadangan3[[#This Row],[Harga Asli C]]-(cadangan3[[#This Row],[Harga Asli C]]*cadangan3[[#This Row],[Diskon]]),cadangan3[[#This Row],[Harga Asli C]])</f>
        <v>360000</v>
      </c>
      <c r="AE905" s="36">
        <f>IFERROR(INDEX(Katalog!$F$3:$F$12,MATCH(cadangan3[[#This Row],[ItemID C]],Katalog!$C$3:$C$12,0))*cadangan3[[#This Row],[Qty C]],0)</f>
        <v>150000</v>
      </c>
      <c r="AF905" s="36">
        <f>IFERROR(cadangan3[[#This Row],[Profit C]]-(cadangan3[[#This Row],[Profit C]]*cadangan3[[#This Row],[Diskon]]),cadangan3[[#This Row],[Profit C]])</f>
        <v>135000</v>
      </c>
      <c r="AG905" s="21">
        <f>cadangan3[[#This Row],[Qty A]]+cadangan3[[#This Row],[Qty B]]+cadangan3[[#This Row],[Qty C]]</f>
        <v>6</v>
      </c>
      <c r="AH905" s="35">
        <f>cadangan3[[#This Row],[Harga A + Diskon]]+cadangan3[[#This Row],[Harga + Diskon B]]+cadangan3[[#This Row],[Harga + Diskon C]]</f>
        <v>2295000</v>
      </c>
      <c r="AI905" s="35">
        <f>(cadangan3[[#This Row],[Profit A]]+cadangan3[[#This Row],[Profit B]]+cadangan3[[#This Row],[Profit C]])</f>
        <v>1010000</v>
      </c>
      <c r="AJ905" s="35">
        <f>cadangan3[[#This Row],[Provit A + Diskon]]+cadangan3[[#This Row],[Provit B + Diskon]]+cadangan3[[#This Row],[Provit C + Diskon]]</f>
        <v>909000</v>
      </c>
      <c r="AK905" s="23" t="s">
        <v>31</v>
      </c>
      <c r="AL905" s="37">
        <f>IFERROR(INDEX('Kode Diskon'!$D$3:$D$9,MATCH(cadangan3[[#This Row],[Kode diskon]],'Kode Diskon'!$C$3:$C$9,0)),"-")</f>
        <v>0.1</v>
      </c>
      <c r="AM905" s="23" t="s">
        <v>9</v>
      </c>
      <c r="AN905" s="23" t="s">
        <v>10</v>
      </c>
      <c r="AO905" s="23" t="s">
        <v>80</v>
      </c>
      <c r="AP905" s="24">
        <v>45045</v>
      </c>
      <c r="AQ905" s="23" t="str">
        <f>TEXT(cadangan3[[#This Row],[Tanggal terjual]],"dddd")</f>
        <v>Saturday</v>
      </c>
    </row>
    <row r="906" spans="1:43" x14ac:dyDescent="0.2">
      <c r="A906" s="20">
        <v>905</v>
      </c>
      <c r="B906" s="21" t="str">
        <f>_xlfn.CONCAT("ORD-",INDEX(Helper!$B$2:$B$5,MATCH(cadangan3[[#This Row],[Marketplace]],Helper!$A$2:$A$5,0)),TEXT(cadangan3[[#This Row],[No]],"0000"),"-",TEXT(cadangan3[[#This Row],[Tanggal terjual]],"dd/mm/yy"))</f>
        <v>ORD-SP0905-06/04/23</v>
      </c>
      <c r="C906" t="s">
        <v>65</v>
      </c>
      <c r="D906" t="str">
        <f>IFERROR(INDEX(Katalog!$A$3:$A$12,MATCH(cadangan3[[#This Row],[ItemID A]],Katalog!$C$3:$C$12,0)),"-")</f>
        <v>Sepatu Pria</v>
      </c>
      <c r="E906" t="str">
        <f>IFERROR(INDEX(Katalog!$B$3:$B$12,MATCH(cadangan3[[#This Row],[ItemID A]],Katalog!$C$3:$C$12,0)),"-")</f>
        <v>Sneakers</v>
      </c>
      <c r="F906">
        <v>3</v>
      </c>
      <c r="G906">
        <v>4</v>
      </c>
      <c r="H906" s="36">
        <f>IFERROR(INDEX(Katalog!$D$3:$D$12,MATCH(cadangan3[[#This Row],[ItemID A]],Katalog!$C$3:$C$12,0))*cadangan3[[#This Row],[Qty A]],0)</f>
        <v>1500000</v>
      </c>
      <c r="I906" s="36">
        <f>IFERROR(INDEX(Katalog!$D$3:$D$12,MATCH(cadangan3[[#This Row],[Item A]],Katalog!$B$3:$B$12,0))*cadangan3[[#This Row],[Qty A]],0)</f>
        <v>1500000</v>
      </c>
      <c r="J906" s="36">
        <f>IFERROR(cadangan3[[#This Row],[Harga Asli A]]-(cadangan3[[#This Row],[Harga Asli A]]*cadangan3[[#This Row],[Diskon]]),cadangan3[[#This Row],[Harga Asli A]])</f>
        <v>1350000</v>
      </c>
      <c r="K906" s="36">
        <f>INDEX(Katalog!$F$3:$F$12,MATCH(cadangan3[[#This Row],[ItemID A]],Katalog!$C$3:$C$12,0))*cadangan3[[#This Row],[Qty A]]</f>
        <v>600000</v>
      </c>
      <c r="L906" s="36">
        <f>IFERROR(cadangan3[[#This Row],[Profit A]]-(cadangan3[[#This Row],[Profit A]]*cadangan3[[#This Row],[Diskon]]),K906)</f>
        <v>540000</v>
      </c>
      <c r="M906" t="s">
        <v>63</v>
      </c>
      <c r="N906" t="str">
        <f>IFERROR(INDEX(Katalog!$A$3:$A$12,MATCH(cadangan3[[#This Row],[ItemID B]],Katalog!$C$3:$C$12,0)),"-")</f>
        <v>Pakaian Pria</v>
      </c>
      <c r="O906" t="str">
        <f>IFERROR(INDEX(Katalog!$B$3:$B$12,MATCH(cadangan3[[#This Row],[ItemID B]],Katalog!$C$3:$C$12,0)),"-")</f>
        <v>Jaket Jeans</v>
      </c>
      <c r="P906">
        <v>1</v>
      </c>
      <c r="Q906">
        <v>2</v>
      </c>
      <c r="R906" s="36">
        <f>IFERROR(INDEX(Katalog!$D$3:$D$12,MATCH(cadangan3[[#This Row],[ItemID B]],Katalog!$C$3:$C$12,0))*cadangan3[[#This Row],[Qty B]],0)</f>
        <v>400000</v>
      </c>
      <c r="S906" s="36">
        <f>IFERROR(INDEX(Katalog!$D$3:$D$12,MATCH(cadangan3[[#This Row],[Item B]],Katalog!$B$3:$B$12,0))*cadangan3[[#This Row],[Qty B]],0)</f>
        <v>400000</v>
      </c>
      <c r="T906" s="36">
        <f>IFERROR(cadangan3[[#This Row],[Harga Asli B]]-(cadangan3[[#This Row],[Harga Asli B]]*cadangan3[[#This Row],[Diskon]]),cadangan3[[#This Row],[Harga Asli B]])</f>
        <v>360000</v>
      </c>
      <c r="U906" s="36">
        <f>IFERROR(INDEX(Katalog!$F$3:$F$12,MATCH(cadangan3[[#This Row],[ItemID B]],Katalog!$C$3:$C$12,0))*cadangan3[[#This Row],[Qty B]],0)</f>
        <v>150000</v>
      </c>
      <c r="V906" s="36">
        <f>IFERROR(cadangan3[[#This Row],[Profit B]]-(cadangan3[[#This Row],[Profit B]]*cadangan3[[#This Row],[Diskon]]),U906)</f>
        <v>135000</v>
      </c>
      <c r="W906" t="s">
        <v>63</v>
      </c>
      <c r="X906" t="str">
        <f>IFERROR(INDEX(Katalog!$A$3:$A$12,MATCH(cadangan3[[#This Row],[ItemID C]],Katalog!$C$3:$C$12,0)),"-")</f>
        <v>Pakaian Pria</v>
      </c>
      <c r="Y906" t="str">
        <f>IFERROR(INDEX(Katalog!$B$3:$B$12,MATCH(cadangan3[[#This Row],[ItemID C]],Katalog!$C$3:$C$12,0)),"-")</f>
        <v>Jaket Jeans</v>
      </c>
      <c r="Z906">
        <v>2</v>
      </c>
      <c r="AA906">
        <v>2</v>
      </c>
      <c r="AB906" s="36">
        <f>IFERROR(INDEX(Katalog!$D$3:$D$12,MATCH(cadangan3[[#This Row],[ItemID C]],Katalog!$C$3:$C$12,0))*cadangan3[[#This Row],[Qty C]],0)</f>
        <v>800000</v>
      </c>
      <c r="AC906" s="36">
        <f>IFERROR(INDEX(Katalog!$D$3:$D$12,MATCH(cadangan3[[#This Row],[Item C]],Katalog!$B$3:$B$12,0))*cadangan3[[#This Row],[Qty C]],0)</f>
        <v>800000</v>
      </c>
      <c r="AD906" s="36">
        <f>IFERROR(cadangan3[[#This Row],[Harga Asli C]]-(cadangan3[[#This Row],[Harga Asli C]]*cadangan3[[#This Row],[Diskon]]),cadangan3[[#This Row],[Harga Asli C]])</f>
        <v>720000</v>
      </c>
      <c r="AE906" s="36">
        <f>IFERROR(INDEX(Katalog!$F$3:$F$12,MATCH(cadangan3[[#This Row],[ItemID C]],Katalog!$C$3:$C$12,0))*cadangan3[[#This Row],[Qty C]],0)</f>
        <v>300000</v>
      </c>
      <c r="AF906" s="36">
        <f>IFERROR(cadangan3[[#This Row],[Profit C]]-(cadangan3[[#This Row],[Profit C]]*cadangan3[[#This Row],[Diskon]]),cadangan3[[#This Row],[Profit C]])</f>
        <v>270000</v>
      </c>
      <c r="AG906" s="21">
        <f>cadangan3[[#This Row],[Qty A]]+cadangan3[[#This Row],[Qty B]]+cadangan3[[#This Row],[Qty C]]</f>
        <v>6</v>
      </c>
      <c r="AH906" s="35">
        <f>cadangan3[[#This Row],[Harga A + Diskon]]+cadangan3[[#This Row],[Harga + Diskon B]]+cadangan3[[#This Row],[Harga + Diskon C]]</f>
        <v>2430000</v>
      </c>
      <c r="AI906" s="35">
        <f>(cadangan3[[#This Row],[Profit A]]+cadangan3[[#This Row],[Profit B]]+cadangan3[[#This Row],[Profit C]])</f>
        <v>1050000</v>
      </c>
      <c r="AJ906" s="35">
        <f>cadangan3[[#This Row],[Provit A + Diskon]]+cadangan3[[#This Row],[Provit B + Diskon]]+cadangan3[[#This Row],[Provit C + Diskon]]</f>
        <v>945000</v>
      </c>
      <c r="AK906" s="23" t="s">
        <v>6</v>
      </c>
      <c r="AL906" s="37">
        <f>IFERROR(INDEX('Kode Diskon'!$D$3:$D$9,MATCH(cadangan3[[#This Row],[Kode diskon]],'Kode Diskon'!$C$3:$C$9,0)),"-")</f>
        <v>0.1</v>
      </c>
      <c r="AM906" s="23" t="s">
        <v>29</v>
      </c>
      <c r="AN906" s="23" t="s">
        <v>7</v>
      </c>
      <c r="AO906" s="23" t="s">
        <v>75</v>
      </c>
      <c r="AP906" s="24">
        <v>45022</v>
      </c>
      <c r="AQ906" s="23" t="str">
        <f>TEXT(cadangan3[[#This Row],[Tanggal terjual]],"dddd")</f>
        <v>Thursday</v>
      </c>
    </row>
    <row r="907" spans="1:43" x14ac:dyDescent="0.2">
      <c r="A907" s="20">
        <v>906</v>
      </c>
      <c r="B907" s="21" t="str">
        <f>_xlfn.CONCAT("ORD-",INDEX(Helper!$B$2:$B$5,MATCH(cadangan3[[#This Row],[Marketplace]],Helper!$A$2:$A$5,0)),TEXT(cadangan3[[#This Row],[No]],"0000"),"-",TEXT(cadangan3[[#This Row],[Tanggal terjual]],"dd/mm/yy"))</f>
        <v>ORD-SP0906-05/04/23</v>
      </c>
      <c r="C907" t="s">
        <v>63</v>
      </c>
      <c r="D907" t="str">
        <f>IFERROR(INDEX(Katalog!$A$3:$A$12,MATCH(cadangan3[[#This Row],[ItemID A]],Katalog!$C$3:$C$12,0)),"-")</f>
        <v>Pakaian Pria</v>
      </c>
      <c r="E907" t="str">
        <f>IFERROR(INDEX(Katalog!$B$3:$B$12,MATCH(cadangan3[[#This Row],[ItemID A]],Katalog!$C$3:$C$12,0)),"-")</f>
        <v>Jaket Jeans</v>
      </c>
      <c r="F907">
        <v>1</v>
      </c>
      <c r="G907">
        <v>4</v>
      </c>
      <c r="H907" s="36">
        <f>IFERROR(INDEX(Katalog!$D$3:$D$12,MATCH(cadangan3[[#This Row],[ItemID A]],Katalog!$C$3:$C$12,0))*cadangan3[[#This Row],[Qty A]],0)</f>
        <v>400000</v>
      </c>
      <c r="I907" s="36">
        <f>IFERROR(INDEX(Katalog!$D$3:$D$12,MATCH(cadangan3[[#This Row],[Item A]],Katalog!$B$3:$B$12,0))*cadangan3[[#This Row],[Qty A]],0)</f>
        <v>400000</v>
      </c>
      <c r="J907" s="36">
        <f>IFERROR(cadangan3[[#This Row],[Harga Asli A]]-(cadangan3[[#This Row],[Harga Asli A]]*cadangan3[[#This Row],[Diskon]]),cadangan3[[#This Row],[Harga Asli A]])</f>
        <v>340000</v>
      </c>
      <c r="K907" s="36">
        <f>INDEX(Katalog!$F$3:$F$12,MATCH(cadangan3[[#This Row],[ItemID A]],Katalog!$C$3:$C$12,0))*cadangan3[[#This Row],[Qty A]]</f>
        <v>150000</v>
      </c>
      <c r="L907" s="36">
        <f>IFERROR(cadangan3[[#This Row],[Profit A]]-(cadangan3[[#This Row],[Profit A]]*cadangan3[[#This Row],[Diskon]]),K907)</f>
        <v>127500</v>
      </c>
      <c r="M907" t="s">
        <v>66</v>
      </c>
      <c r="N907" t="str">
        <f>IFERROR(INDEX(Katalog!$A$3:$A$12,MATCH(cadangan3[[#This Row],[ItemID B]],Katalog!$C$3:$C$12,0)),"-")</f>
        <v>Sepatu Pria</v>
      </c>
      <c r="O907" t="str">
        <f>IFERROR(INDEX(Katalog!$B$3:$B$12,MATCH(cadangan3[[#This Row],[ItemID B]],Katalog!$C$3:$C$12,0)),"-")</f>
        <v>Sandal Slip On</v>
      </c>
      <c r="P907">
        <v>4</v>
      </c>
      <c r="Q907">
        <v>5</v>
      </c>
      <c r="R907" s="36">
        <f>IFERROR(INDEX(Katalog!$D$3:$D$12,MATCH(cadangan3[[#This Row],[ItemID B]],Katalog!$C$3:$C$12,0))*cadangan3[[#This Row],[Qty B]],0)</f>
        <v>600000</v>
      </c>
      <c r="S907" s="36">
        <f>IFERROR(INDEX(Katalog!$D$3:$D$12,MATCH(cadangan3[[#This Row],[Item B]],Katalog!$B$3:$B$12,0))*cadangan3[[#This Row],[Qty B]],0)</f>
        <v>600000</v>
      </c>
      <c r="T907" s="36">
        <f>IFERROR(cadangan3[[#This Row],[Harga Asli B]]-(cadangan3[[#This Row],[Harga Asli B]]*cadangan3[[#This Row],[Diskon]]),cadangan3[[#This Row],[Harga Asli B]])</f>
        <v>510000</v>
      </c>
      <c r="U907" s="36">
        <f>IFERROR(INDEX(Katalog!$F$3:$F$12,MATCH(cadangan3[[#This Row],[ItemID B]],Katalog!$C$3:$C$12,0))*cadangan3[[#This Row],[Qty B]],0)</f>
        <v>240000</v>
      </c>
      <c r="V907" s="36">
        <f>IFERROR(cadangan3[[#This Row],[Profit B]]-(cadangan3[[#This Row],[Profit B]]*cadangan3[[#This Row],[Diskon]]),U907)</f>
        <v>204000</v>
      </c>
      <c r="W907" t="s">
        <v>63</v>
      </c>
      <c r="X907" t="str">
        <f>IFERROR(INDEX(Katalog!$A$3:$A$12,MATCH(cadangan3[[#This Row],[ItemID C]],Katalog!$C$3:$C$12,0)),"-")</f>
        <v>Pakaian Pria</v>
      </c>
      <c r="Y907" t="str">
        <f>IFERROR(INDEX(Katalog!$B$3:$B$12,MATCH(cadangan3[[#This Row],[ItemID C]],Katalog!$C$3:$C$12,0)),"-")</f>
        <v>Jaket Jeans</v>
      </c>
      <c r="Z907">
        <v>1</v>
      </c>
      <c r="AA907">
        <v>4</v>
      </c>
      <c r="AB907" s="36">
        <f>IFERROR(INDEX(Katalog!$D$3:$D$12,MATCH(cadangan3[[#This Row],[ItemID C]],Katalog!$C$3:$C$12,0))*cadangan3[[#This Row],[Qty C]],0)</f>
        <v>400000</v>
      </c>
      <c r="AC907" s="36">
        <f>IFERROR(INDEX(Katalog!$D$3:$D$12,MATCH(cadangan3[[#This Row],[Item C]],Katalog!$B$3:$B$12,0))*cadangan3[[#This Row],[Qty C]],0)</f>
        <v>400000</v>
      </c>
      <c r="AD907" s="36">
        <f>IFERROR(cadangan3[[#This Row],[Harga Asli C]]-(cadangan3[[#This Row],[Harga Asli C]]*cadangan3[[#This Row],[Diskon]]),cadangan3[[#This Row],[Harga Asli C]])</f>
        <v>340000</v>
      </c>
      <c r="AE907" s="36">
        <f>IFERROR(INDEX(Katalog!$F$3:$F$12,MATCH(cadangan3[[#This Row],[ItemID C]],Katalog!$C$3:$C$12,0))*cadangan3[[#This Row],[Qty C]],0)</f>
        <v>150000</v>
      </c>
      <c r="AF907" s="36">
        <f>IFERROR(cadangan3[[#This Row],[Profit C]]-(cadangan3[[#This Row],[Profit C]]*cadangan3[[#This Row],[Diskon]]),cadangan3[[#This Row],[Profit C]])</f>
        <v>127500</v>
      </c>
      <c r="AG907" s="21">
        <f>cadangan3[[#This Row],[Qty A]]+cadangan3[[#This Row],[Qty B]]+cadangan3[[#This Row],[Qty C]]</f>
        <v>6</v>
      </c>
      <c r="AH907" s="35">
        <f>cadangan3[[#This Row],[Harga A + Diskon]]+cadangan3[[#This Row],[Harga + Diskon B]]+cadangan3[[#This Row],[Harga + Diskon C]]</f>
        <v>1190000</v>
      </c>
      <c r="AI907" s="35">
        <f>(cadangan3[[#This Row],[Profit A]]+cadangan3[[#This Row],[Profit B]]+cadangan3[[#This Row],[Profit C]])</f>
        <v>540000</v>
      </c>
      <c r="AJ907" s="35">
        <f>cadangan3[[#This Row],[Provit A + Diskon]]+cadangan3[[#This Row],[Provit B + Diskon]]+cadangan3[[#This Row],[Provit C + Diskon]]</f>
        <v>459000</v>
      </c>
      <c r="AK907" s="23" t="s">
        <v>13</v>
      </c>
      <c r="AL907" s="37">
        <f>IFERROR(INDEX('Kode Diskon'!$D$3:$D$9,MATCH(cadangan3[[#This Row],[Kode diskon]],'Kode Diskon'!$C$3:$C$9,0)),"-")</f>
        <v>0.15</v>
      </c>
      <c r="AM907" s="23" t="s">
        <v>29</v>
      </c>
      <c r="AN907" s="23" t="s">
        <v>7</v>
      </c>
      <c r="AO907" s="23" t="s">
        <v>80</v>
      </c>
      <c r="AP907" s="24">
        <v>45021</v>
      </c>
      <c r="AQ907" s="23" t="str">
        <f>TEXT(cadangan3[[#This Row],[Tanggal terjual]],"dddd")</f>
        <v>Wednesday</v>
      </c>
    </row>
    <row r="908" spans="1:43" x14ac:dyDescent="0.2">
      <c r="A908" s="20">
        <v>907</v>
      </c>
      <c r="B908" s="21" t="str">
        <f>_xlfn.CONCAT("ORD-",INDEX(Helper!$B$2:$B$5,MATCH(cadangan3[[#This Row],[Marketplace]],Helper!$A$2:$A$5,0)),TEXT(cadangan3[[#This Row],[No]],"0000"),"-",TEXT(cadangan3[[#This Row],[Tanggal terjual]],"dd/mm/yy"))</f>
        <v>ORD-BL0907-19/04/23</v>
      </c>
      <c r="C908" t="s">
        <v>65</v>
      </c>
      <c r="D908" t="str">
        <f>IFERROR(INDEX(Katalog!$A$3:$A$12,MATCH(cadangan3[[#This Row],[ItemID A]],Katalog!$C$3:$C$12,0)),"-")</f>
        <v>Sepatu Pria</v>
      </c>
      <c r="E908" t="str">
        <f>IFERROR(INDEX(Katalog!$B$3:$B$12,MATCH(cadangan3[[#This Row],[ItemID A]],Katalog!$C$3:$C$12,0)),"-")</f>
        <v>Sneakers</v>
      </c>
      <c r="F908">
        <v>1</v>
      </c>
      <c r="G908">
        <v>2</v>
      </c>
      <c r="H908" s="36">
        <f>IFERROR(INDEX(Katalog!$D$3:$D$12,MATCH(cadangan3[[#This Row],[ItemID A]],Katalog!$C$3:$C$12,0))*cadangan3[[#This Row],[Qty A]],0)</f>
        <v>500000</v>
      </c>
      <c r="I908" s="36">
        <f>IFERROR(INDEX(Katalog!$D$3:$D$12,MATCH(cadangan3[[#This Row],[Item A]],Katalog!$B$3:$B$12,0))*cadangan3[[#This Row],[Qty A]],0)</f>
        <v>500000</v>
      </c>
      <c r="J908" s="36">
        <f>IFERROR(cadangan3[[#This Row],[Harga Asli A]]-(cadangan3[[#This Row],[Harga Asli A]]*cadangan3[[#This Row],[Diskon]]),cadangan3[[#This Row],[Harga Asli A]])</f>
        <v>425000</v>
      </c>
      <c r="K908" s="36">
        <f>INDEX(Katalog!$F$3:$F$12,MATCH(cadangan3[[#This Row],[ItemID A]],Katalog!$C$3:$C$12,0))*cadangan3[[#This Row],[Qty A]]</f>
        <v>200000</v>
      </c>
      <c r="L908" s="36">
        <f>IFERROR(cadangan3[[#This Row],[Profit A]]-(cadangan3[[#This Row],[Profit A]]*cadangan3[[#This Row],[Diskon]]),K908)</f>
        <v>170000</v>
      </c>
      <c r="N908" t="str">
        <f>IFERROR(INDEX(Katalog!$A$3:$A$12,MATCH(cadangan3[[#This Row],[ItemID B]],Katalog!$C$3:$C$12,0)),"-")</f>
        <v>-</v>
      </c>
      <c r="O908" t="str">
        <f>IFERROR(INDEX(Katalog!$B$3:$B$12,MATCH(cadangan3[[#This Row],[ItemID B]],Katalog!$C$3:$C$12,0)),"-")</f>
        <v>-</v>
      </c>
      <c r="R908" s="36">
        <f>IFERROR(INDEX(Katalog!$D$3:$D$12,MATCH(cadangan3[[#This Row],[ItemID B]],Katalog!$C$3:$C$12,0))*cadangan3[[#This Row],[Qty B]],0)</f>
        <v>0</v>
      </c>
      <c r="S908" s="36">
        <f>IFERROR(INDEX(Katalog!$D$3:$D$12,MATCH(cadangan3[[#This Row],[Item B]],Katalog!$B$3:$B$12,0))*cadangan3[[#This Row],[Qty B]],0)</f>
        <v>0</v>
      </c>
      <c r="T908" s="36">
        <f>IFERROR(cadangan3[[#This Row],[Harga Asli B]]-(cadangan3[[#This Row],[Harga Asli B]]*cadangan3[[#This Row],[Diskon]]),cadangan3[[#This Row],[Harga Asli B]])</f>
        <v>0</v>
      </c>
      <c r="U908" s="36">
        <f>IFERROR(INDEX(Katalog!$F$3:$F$12,MATCH(cadangan3[[#This Row],[ItemID B]],Katalog!$C$3:$C$12,0))*cadangan3[[#This Row],[Qty B]],0)</f>
        <v>0</v>
      </c>
      <c r="V908" s="36">
        <f>IFERROR(cadangan3[[#This Row],[Profit B]]-(cadangan3[[#This Row],[Profit B]]*cadangan3[[#This Row],[Diskon]]),U908)</f>
        <v>0</v>
      </c>
      <c r="X908" t="str">
        <f>IFERROR(INDEX(Katalog!$A$3:$A$12,MATCH(cadangan3[[#This Row],[ItemID C]],Katalog!$C$3:$C$12,0)),"-")</f>
        <v>-</v>
      </c>
      <c r="Y908" t="str">
        <f>IFERROR(INDEX(Katalog!$B$3:$B$12,MATCH(cadangan3[[#This Row],[ItemID C]],Katalog!$C$3:$C$12,0)),"-")</f>
        <v>-</v>
      </c>
      <c r="AB908" s="36">
        <f>IFERROR(INDEX(Katalog!$D$3:$D$12,MATCH(cadangan3[[#This Row],[ItemID C]],Katalog!$C$3:$C$12,0))*cadangan3[[#This Row],[Qty C]],0)</f>
        <v>0</v>
      </c>
      <c r="AC908" s="36">
        <f>IFERROR(INDEX(Katalog!$D$3:$D$12,MATCH(cadangan3[[#This Row],[Item C]],Katalog!$B$3:$B$12,0))*cadangan3[[#This Row],[Qty C]],0)</f>
        <v>0</v>
      </c>
      <c r="AD908" s="36">
        <f>IFERROR(cadangan3[[#This Row],[Harga Asli C]]-(cadangan3[[#This Row],[Harga Asli C]]*cadangan3[[#This Row],[Diskon]]),cadangan3[[#This Row],[Harga Asli C]])</f>
        <v>0</v>
      </c>
      <c r="AE908" s="36">
        <f>IFERROR(INDEX(Katalog!$F$3:$F$12,MATCH(cadangan3[[#This Row],[ItemID C]],Katalog!$C$3:$C$12,0))*cadangan3[[#This Row],[Qty C]],0)</f>
        <v>0</v>
      </c>
      <c r="AF908" s="36">
        <f>IFERROR(cadangan3[[#This Row],[Profit C]]-(cadangan3[[#This Row],[Profit C]]*cadangan3[[#This Row],[Diskon]]),cadangan3[[#This Row],[Profit C]])</f>
        <v>0</v>
      </c>
      <c r="AG908" s="21">
        <f>cadangan3[[#This Row],[Qty A]]+cadangan3[[#This Row],[Qty B]]+cadangan3[[#This Row],[Qty C]]</f>
        <v>1</v>
      </c>
      <c r="AH908" s="35">
        <f>cadangan3[[#This Row],[Harga A + Diskon]]+cadangan3[[#This Row],[Harga + Diskon B]]+cadangan3[[#This Row],[Harga + Diskon C]]</f>
        <v>425000</v>
      </c>
      <c r="AI908" s="35">
        <f>(cadangan3[[#This Row],[Profit A]]+cadangan3[[#This Row],[Profit B]]+cadangan3[[#This Row],[Profit C]])</f>
        <v>200000</v>
      </c>
      <c r="AJ908" s="35">
        <f>cadangan3[[#This Row],[Provit A + Diskon]]+cadangan3[[#This Row],[Provit B + Diskon]]+cadangan3[[#This Row],[Provit C + Diskon]]</f>
        <v>170000</v>
      </c>
      <c r="AK908" s="23" t="s">
        <v>32</v>
      </c>
      <c r="AL908" s="37">
        <f>IFERROR(INDEX('Kode Diskon'!$D$3:$D$9,MATCH(cadangan3[[#This Row],[Kode diskon]],'Kode Diskon'!$C$3:$C$9,0)),"-")</f>
        <v>0.15</v>
      </c>
      <c r="AM908" s="23" t="s">
        <v>9</v>
      </c>
      <c r="AN908" s="23" t="s">
        <v>12</v>
      </c>
      <c r="AO908" s="23" t="s">
        <v>75</v>
      </c>
      <c r="AP908" s="24">
        <v>45035</v>
      </c>
      <c r="AQ908" s="23" t="str">
        <f>TEXT(cadangan3[[#This Row],[Tanggal terjual]],"dddd")</f>
        <v>Wednesday</v>
      </c>
    </row>
    <row r="909" spans="1:43" x14ac:dyDescent="0.2">
      <c r="A909" s="20">
        <v>908</v>
      </c>
      <c r="B909" s="21" t="str">
        <f>_xlfn.CONCAT("ORD-",INDEX(Helper!$B$2:$B$5,MATCH(cadangan3[[#This Row],[Marketplace]],Helper!$A$2:$A$5,0)),TEXT(cadangan3[[#This Row],[No]],"0000"),"-",TEXT(cadangan3[[#This Row],[Tanggal terjual]],"dd/mm/yy"))</f>
        <v>ORD-SP0908-11/04/23</v>
      </c>
      <c r="C909" t="s">
        <v>58</v>
      </c>
      <c r="D909" t="str">
        <f>IFERROR(INDEX(Katalog!$A$3:$A$12,MATCH(cadangan3[[#This Row],[ItemID A]],Katalog!$C$3:$C$12,0)),"-")</f>
        <v>Pakaian Wanita</v>
      </c>
      <c r="E909" t="str">
        <f>IFERROR(INDEX(Katalog!$B$3:$B$12,MATCH(cadangan3[[#This Row],[ItemID A]],Katalog!$C$3:$C$12,0)),"-")</f>
        <v>Dress</v>
      </c>
      <c r="F909">
        <v>2</v>
      </c>
      <c r="G909">
        <v>1</v>
      </c>
      <c r="H909" s="36">
        <f>IFERROR(INDEX(Katalog!$D$3:$D$12,MATCH(cadangan3[[#This Row],[ItemID A]],Katalog!$C$3:$C$12,0))*cadangan3[[#This Row],[Qty A]],0)</f>
        <v>600000</v>
      </c>
      <c r="I909" s="36">
        <f>IFERROR(INDEX(Katalog!$D$3:$D$12,MATCH(cadangan3[[#This Row],[Item A]],Katalog!$B$3:$B$12,0))*cadangan3[[#This Row],[Qty A]],0)</f>
        <v>600000</v>
      </c>
      <c r="J909" s="36">
        <f>IFERROR(cadangan3[[#This Row],[Harga Asli A]]-(cadangan3[[#This Row],[Harga Asli A]]*cadangan3[[#This Row],[Diskon]]),cadangan3[[#This Row],[Harga Asli A]])</f>
        <v>600000</v>
      </c>
      <c r="K909" s="36">
        <f>INDEX(Katalog!$F$3:$F$12,MATCH(cadangan3[[#This Row],[ItemID A]],Katalog!$C$3:$C$12,0))*cadangan3[[#This Row],[Qty A]]</f>
        <v>200000</v>
      </c>
      <c r="L909" s="36">
        <f>IFERROR(cadangan3[[#This Row],[Profit A]]-(cadangan3[[#This Row],[Profit A]]*cadangan3[[#This Row],[Diskon]]),K909)</f>
        <v>200000</v>
      </c>
      <c r="M909" t="s">
        <v>61</v>
      </c>
      <c r="N909" t="str">
        <f>IFERROR(INDEX(Katalog!$A$3:$A$12,MATCH(cadangan3[[#This Row],[ItemID B]],Katalog!$C$3:$C$12,0)),"-")</f>
        <v>Pakaian Pria</v>
      </c>
      <c r="O909" t="str">
        <f>IFERROR(INDEX(Katalog!$B$3:$B$12,MATCH(cadangan3[[#This Row],[ItemID B]],Katalog!$C$3:$C$12,0)),"-")</f>
        <v>Kaos Polo</v>
      </c>
      <c r="P909">
        <v>1</v>
      </c>
      <c r="Q909">
        <v>1</v>
      </c>
      <c r="R909" s="36">
        <f>IFERROR(INDEX(Katalog!$D$3:$D$12,MATCH(cadangan3[[#This Row],[ItemID B]],Katalog!$C$3:$C$12,0))*cadangan3[[#This Row],[Qty B]],0)</f>
        <v>200000</v>
      </c>
      <c r="S909" s="36">
        <f>IFERROR(INDEX(Katalog!$D$3:$D$12,MATCH(cadangan3[[#This Row],[Item B]],Katalog!$B$3:$B$12,0))*cadangan3[[#This Row],[Qty B]],0)</f>
        <v>200000</v>
      </c>
      <c r="T909" s="36">
        <f>IFERROR(cadangan3[[#This Row],[Harga Asli B]]-(cadangan3[[#This Row],[Harga Asli B]]*cadangan3[[#This Row],[Diskon]]),cadangan3[[#This Row],[Harga Asli B]])</f>
        <v>200000</v>
      </c>
      <c r="U909" s="36">
        <f>IFERROR(INDEX(Katalog!$F$3:$F$12,MATCH(cadangan3[[#This Row],[ItemID B]],Katalog!$C$3:$C$12,0))*cadangan3[[#This Row],[Qty B]],0)</f>
        <v>80000</v>
      </c>
      <c r="V909" s="36">
        <f>IFERROR(cadangan3[[#This Row],[Profit B]]-(cadangan3[[#This Row],[Profit B]]*cadangan3[[#This Row],[Diskon]]),U909)</f>
        <v>80000</v>
      </c>
      <c r="W909" t="s">
        <v>65</v>
      </c>
      <c r="X909" t="str">
        <f>IFERROR(INDEX(Katalog!$A$3:$A$12,MATCH(cadangan3[[#This Row],[ItemID C]],Katalog!$C$3:$C$12,0)),"-")</f>
        <v>Sepatu Pria</v>
      </c>
      <c r="Y909" t="str">
        <f>IFERROR(INDEX(Katalog!$B$3:$B$12,MATCH(cadangan3[[#This Row],[ItemID C]],Katalog!$C$3:$C$12,0)),"-")</f>
        <v>Sneakers</v>
      </c>
      <c r="Z909">
        <v>2</v>
      </c>
      <c r="AA909">
        <v>1</v>
      </c>
      <c r="AB909" s="36">
        <f>IFERROR(INDEX(Katalog!$D$3:$D$12,MATCH(cadangan3[[#This Row],[ItemID C]],Katalog!$C$3:$C$12,0))*cadangan3[[#This Row],[Qty C]],0)</f>
        <v>1000000</v>
      </c>
      <c r="AC909" s="36">
        <f>IFERROR(INDEX(Katalog!$D$3:$D$12,MATCH(cadangan3[[#This Row],[Item C]],Katalog!$B$3:$B$12,0))*cadangan3[[#This Row],[Qty C]],0)</f>
        <v>1000000</v>
      </c>
      <c r="AD909" s="36">
        <f>IFERROR(cadangan3[[#This Row],[Harga Asli C]]-(cadangan3[[#This Row],[Harga Asli C]]*cadangan3[[#This Row],[Diskon]]),cadangan3[[#This Row],[Harga Asli C]])</f>
        <v>1000000</v>
      </c>
      <c r="AE909" s="36">
        <f>IFERROR(INDEX(Katalog!$F$3:$F$12,MATCH(cadangan3[[#This Row],[ItemID C]],Katalog!$C$3:$C$12,0))*cadangan3[[#This Row],[Qty C]],0)</f>
        <v>400000</v>
      </c>
      <c r="AF909" s="36">
        <f>IFERROR(cadangan3[[#This Row],[Profit C]]-(cadangan3[[#This Row],[Profit C]]*cadangan3[[#This Row],[Diskon]]),cadangan3[[#This Row],[Profit C]])</f>
        <v>400000</v>
      </c>
      <c r="AG909" s="21">
        <f>cadangan3[[#This Row],[Qty A]]+cadangan3[[#This Row],[Qty B]]+cadangan3[[#This Row],[Qty C]]</f>
        <v>5</v>
      </c>
      <c r="AH909" s="35">
        <f>cadangan3[[#This Row],[Harga A + Diskon]]+cadangan3[[#This Row],[Harga + Diskon B]]+cadangan3[[#This Row],[Harga + Diskon C]]</f>
        <v>1800000</v>
      </c>
      <c r="AI909" s="35">
        <f>(cadangan3[[#This Row],[Profit A]]+cadangan3[[#This Row],[Profit B]]+cadangan3[[#This Row],[Profit C]])</f>
        <v>680000</v>
      </c>
      <c r="AJ909" s="35">
        <f>cadangan3[[#This Row],[Provit A + Diskon]]+cadangan3[[#This Row],[Provit B + Diskon]]+cadangan3[[#This Row],[Provit C + Diskon]]</f>
        <v>680000</v>
      </c>
      <c r="AK909" s="23" t="s">
        <v>11</v>
      </c>
      <c r="AL909" s="37" t="str">
        <f>IFERROR(INDEX('Kode Diskon'!$D$3:$D$9,MATCH(cadangan3[[#This Row],[Kode diskon]],'Kode Diskon'!$C$3:$C$9,0)),"-")</f>
        <v>-</v>
      </c>
      <c r="AM909" s="23" t="s">
        <v>11</v>
      </c>
      <c r="AN909" s="23" t="s">
        <v>7</v>
      </c>
      <c r="AO909" s="23" t="s">
        <v>80</v>
      </c>
      <c r="AP909" s="24">
        <v>45027</v>
      </c>
      <c r="AQ909" s="23" t="str">
        <f>TEXT(cadangan3[[#This Row],[Tanggal terjual]],"dddd")</f>
        <v>Tuesday</v>
      </c>
    </row>
    <row r="910" spans="1:43" x14ac:dyDescent="0.2">
      <c r="A910" s="20">
        <v>909</v>
      </c>
      <c r="B910" s="21" t="str">
        <f>_xlfn.CONCAT("ORD-",INDEX(Helper!$B$2:$B$5,MATCH(cadangan3[[#This Row],[Marketplace]],Helper!$A$2:$A$5,0)),TEXT(cadangan3[[#This Row],[No]],"0000"),"-",TEXT(cadangan3[[#This Row],[Tanggal terjual]],"dd/mm/yy"))</f>
        <v>ORD-TK0909-01/04/23</v>
      </c>
      <c r="C910" t="s">
        <v>66</v>
      </c>
      <c r="D910" t="str">
        <f>IFERROR(INDEX(Katalog!$A$3:$A$12,MATCH(cadangan3[[#This Row],[ItemID A]],Katalog!$C$3:$C$12,0)),"-")</f>
        <v>Sepatu Pria</v>
      </c>
      <c r="E910" t="str">
        <f>IFERROR(INDEX(Katalog!$B$3:$B$12,MATCH(cadangan3[[#This Row],[ItemID A]],Katalog!$C$3:$C$12,0)),"-")</f>
        <v>Sandal Slip On</v>
      </c>
      <c r="F910">
        <v>1</v>
      </c>
      <c r="G910">
        <v>1</v>
      </c>
      <c r="H910" s="36">
        <f>IFERROR(INDEX(Katalog!$D$3:$D$12,MATCH(cadangan3[[#This Row],[ItemID A]],Katalog!$C$3:$C$12,0))*cadangan3[[#This Row],[Qty A]],0)</f>
        <v>150000</v>
      </c>
      <c r="I910" s="36">
        <f>IFERROR(INDEX(Katalog!$D$3:$D$12,MATCH(cadangan3[[#This Row],[Item A]],Katalog!$B$3:$B$12,0))*cadangan3[[#This Row],[Qty A]],0)</f>
        <v>150000</v>
      </c>
      <c r="J910" s="36">
        <f>IFERROR(cadangan3[[#This Row],[Harga Asli A]]-(cadangan3[[#This Row],[Harga Asli A]]*cadangan3[[#This Row],[Diskon]]),cadangan3[[#This Row],[Harga Asli A]])</f>
        <v>135000</v>
      </c>
      <c r="K910" s="36">
        <f>INDEX(Katalog!$F$3:$F$12,MATCH(cadangan3[[#This Row],[ItemID A]],Katalog!$C$3:$C$12,0))*cadangan3[[#This Row],[Qty A]]</f>
        <v>60000</v>
      </c>
      <c r="L910" s="36">
        <f>IFERROR(cadangan3[[#This Row],[Profit A]]-(cadangan3[[#This Row],[Profit A]]*cadangan3[[#This Row],[Diskon]]),K910)</f>
        <v>54000</v>
      </c>
      <c r="N910" t="str">
        <f>IFERROR(INDEX(Katalog!$A$3:$A$12,MATCH(cadangan3[[#This Row],[ItemID B]],Katalog!$C$3:$C$12,0)),"-")</f>
        <v>-</v>
      </c>
      <c r="O910" t="str">
        <f>IFERROR(INDEX(Katalog!$B$3:$B$12,MATCH(cadangan3[[#This Row],[ItemID B]],Katalog!$C$3:$C$12,0)),"-")</f>
        <v>-</v>
      </c>
      <c r="R910" s="36">
        <f>IFERROR(INDEX(Katalog!$D$3:$D$12,MATCH(cadangan3[[#This Row],[ItemID B]],Katalog!$C$3:$C$12,0))*cadangan3[[#This Row],[Qty B]],0)</f>
        <v>0</v>
      </c>
      <c r="S910" s="36">
        <f>IFERROR(INDEX(Katalog!$D$3:$D$12,MATCH(cadangan3[[#This Row],[Item B]],Katalog!$B$3:$B$12,0))*cadangan3[[#This Row],[Qty B]],0)</f>
        <v>0</v>
      </c>
      <c r="T910" s="36">
        <f>IFERROR(cadangan3[[#This Row],[Harga Asli B]]-(cadangan3[[#This Row],[Harga Asli B]]*cadangan3[[#This Row],[Diskon]]),cadangan3[[#This Row],[Harga Asli B]])</f>
        <v>0</v>
      </c>
      <c r="U910" s="36">
        <f>IFERROR(INDEX(Katalog!$F$3:$F$12,MATCH(cadangan3[[#This Row],[ItemID B]],Katalog!$C$3:$C$12,0))*cadangan3[[#This Row],[Qty B]],0)</f>
        <v>0</v>
      </c>
      <c r="V910" s="36">
        <f>IFERROR(cadangan3[[#This Row],[Profit B]]-(cadangan3[[#This Row],[Profit B]]*cadangan3[[#This Row],[Diskon]]),U910)</f>
        <v>0</v>
      </c>
      <c r="X910" t="str">
        <f>IFERROR(INDEX(Katalog!$A$3:$A$12,MATCH(cadangan3[[#This Row],[ItemID C]],Katalog!$C$3:$C$12,0)),"-")</f>
        <v>-</v>
      </c>
      <c r="Y910" t="str">
        <f>IFERROR(INDEX(Katalog!$B$3:$B$12,MATCH(cadangan3[[#This Row],[ItemID C]],Katalog!$C$3:$C$12,0)),"-")</f>
        <v>-</v>
      </c>
      <c r="AB910" s="36">
        <f>IFERROR(INDEX(Katalog!$D$3:$D$12,MATCH(cadangan3[[#This Row],[ItemID C]],Katalog!$C$3:$C$12,0))*cadangan3[[#This Row],[Qty C]],0)</f>
        <v>0</v>
      </c>
      <c r="AC910" s="36">
        <f>IFERROR(INDEX(Katalog!$D$3:$D$12,MATCH(cadangan3[[#This Row],[Item C]],Katalog!$B$3:$B$12,0))*cadangan3[[#This Row],[Qty C]],0)</f>
        <v>0</v>
      </c>
      <c r="AD910" s="36">
        <f>IFERROR(cadangan3[[#This Row],[Harga Asli C]]-(cadangan3[[#This Row],[Harga Asli C]]*cadangan3[[#This Row],[Diskon]]),cadangan3[[#This Row],[Harga Asli C]])</f>
        <v>0</v>
      </c>
      <c r="AE910" s="36">
        <f>IFERROR(INDEX(Katalog!$F$3:$F$12,MATCH(cadangan3[[#This Row],[ItemID C]],Katalog!$C$3:$C$12,0))*cadangan3[[#This Row],[Qty C]],0)</f>
        <v>0</v>
      </c>
      <c r="AF910" s="36">
        <f>IFERROR(cadangan3[[#This Row],[Profit C]]-(cadangan3[[#This Row],[Profit C]]*cadangan3[[#This Row],[Diskon]]),cadangan3[[#This Row],[Profit C]])</f>
        <v>0</v>
      </c>
      <c r="AG910" s="21">
        <f>cadangan3[[#This Row],[Qty A]]+cadangan3[[#This Row],[Qty B]]+cadangan3[[#This Row],[Qty C]]</f>
        <v>1</v>
      </c>
      <c r="AH910" s="35">
        <f>cadangan3[[#This Row],[Harga A + Diskon]]+cadangan3[[#This Row],[Harga + Diskon B]]+cadangan3[[#This Row],[Harga + Diskon C]]</f>
        <v>135000</v>
      </c>
      <c r="AI910" s="35">
        <f>(cadangan3[[#This Row],[Profit A]]+cadangan3[[#This Row],[Profit B]]+cadangan3[[#This Row],[Profit C]])</f>
        <v>60000</v>
      </c>
      <c r="AJ910" s="35">
        <f>cadangan3[[#This Row],[Provit A + Diskon]]+cadangan3[[#This Row],[Provit B + Diskon]]+cadangan3[[#This Row],[Provit C + Diskon]]</f>
        <v>54000</v>
      </c>
      <c r="AK910" s="23" t="s">
        <v>30</v>
      </c>
      <c r="AL910" s="37">
        <f>IFERROR(INDEX('Kode Diskon'!$D$3:$D$9,MATCH(cadangan3[[#This Row],[Kode diskon]],'Kode Diskon'!$C$3:$C$9,0)),"-")</f>
        <v>0.1</v>
      </c>
      <c r="AM910" s="23" t="s">
        <v>29</v>
      </c>
      <c r="AN910" s="23" t="s">
        <v>10</v>
      </c>
      <c r="AO910" s="23" t="s">
        <v>80</v>
      </c>
      <c r="AP910" s="24">
        <v>45017</v>
      </c>
      <c r="AQ910" s="23" t="str">
        <f>TEXT(cadangan3[[#This Row],[Tanggal terjual]],"dddd")</f>
        <v>Saturday</v>
      </c>
    </row>
    <row r="911" spans="1:43" x14ac:dyDescent="0.2">
      <c r="A911" s="20">
        <v>910</v>
      </c>
      <c r="B911" s="21" t="str">
        <f>_xlfn.CONCAT("ORD-",INDEX(Helper!$B$2:$B$5,MATCH(cadangan3[[#This Row],[Marketplace]],Helper!$A$2:$A$5,0)),TEXT(cadangan3[[#This Row],[No]],"0000"),"-",TEXT(cadangan3[[#This Row],[Tanggal terjual]],"dd/mm/yy"))</f>
        <v>ORD-SP0910-27/04/23</v>
      </c>
      <c r="C911" t="s">
        <v>65</v>
      </c>
      <c r="D911" t="str">
        <f>IFERROR(INDEX(Katalog!$A$3:$A$12,MATCH(cadangan3[[#This Row],[ItemID A]],Katalog!$C$3:$C$12,0)),"-")</f>
        <v>Sepatu Pria</v>
      </c>
      <c r="E911" t="str">
        <f>IFERROR(INDEX(Katalog!$B$3:$B$12,MATCH(cadangan3[[#This Row],[ItemID A]],Katalog!$C$3:$C$12,0)),"-")</f>
        <v>Sneakers</v>
      </c>
      <c r="F911">
        <v>6</v>
      </c>
      <c r="G911">
        <v>2</v>
      </c>
      <c r="H911" s="36">
        <f>IFERROR(INDEX(Katalog!$D$3:$D$12,MATCH(cadangan3[[#This Row],[ItemID A]],Katalog!$C$3:$C$12,0))*cadangan3[[#This Row],[Qty A]],0)</f>
        <v>3000000</v>
      </c>
      <c r="I911" s="36">
        <f>IFERROR(INDEX(Katalog!$D$3:$D$12,MATCH(cadangan3[[#This Row],[Item A]],Katalog!$B$3:$B$12,0))*cadangan3[[#This Row],[Qty A]],0)</f>
        <v>3000000</v>
      </c>
      <c r="J911" s="36">
        <f>IFERROR(cadangan3[[#This Row],[Harga Asli A]]-(cadangan3[[#This Row],[Harga Asli A]]*cadangan3[[#This Row],[Diskon]]),cadangan3[[#This Row],[Harga Asli A]])</f>
        <v>2400000</v>
      </c>
      <c r="K911" s="36">
        <f>INDEX(Katalog!$F$3:$F$12,MATCH(cadangan3[[#This Row],[ItemID A]],Katalog!$C$3:$C$12,0))*cadangan3[[#This Row],[Qty A]]</f>
        <v>1200000</v>
      </c>
      <c r="L911" s="36">
        <f>IFERROR(cadangan3[[#This Row],[Profit A]]-(cadangan3[[#This Row],[Profit A]]*cadangan3[[#This Row],[Diskon]]),K911)</f>
        <v>960000</v>
      </c>
      <c r="M911" t="s">
        <v>66</v>
      </c>
      <c r="N911" t="str">
        <f>IFERROR(INDEX(Katalog!$A$3:$A$12,MATCH(cadangan3[[#This Row],[ItemID B]],Katalog!$C$3:$C$12,0)),"-")</f>
        <v>Sepatu Pria</v>
      </c>
      <c r="O911" t="str">
        <f>IFERROR(INDEX(Katalog!$B$3:$B$12,MATCH(cadangan3[[#This Row],[ItemID B]],Katalog!$C$3:$C$12,0)),"-")</f>
        <v>Sandal Slip On</v>
      </c>
      <c r="P911">
        <v>1</v>
      </c>
      <c r="Q911">
        <v>2</v>
      </c>
      <c r="R911" s="36">
        <f>IFERROR(INDEX(Katalog!$D$3:$D$12,MATCH(cadangan3[[#This Row],[ItemID B]],Katalog!$C$3:$C$12,0))*cadangan3[[#This Row],[Qty B]],0)</f>
        <v>150000</v>
      </c>
      <c r="S911" s="36">
        <f>IFERROR(INDEX(Katalog!$D$3:$D$12,MATCH(cadangan3[[#This Row],[Item B]],Katalog!$B$3:$B$12,0))*cadangan3[[#This Row],[Qty B]],0)</f>
        <v>150000</v>
      </c>
      <c r="T911" s="36">
        <f>IFERROR(cadangan3[[#This Row],[Harga Asli B]]-(cadangan3[[#This Row],[Harga Asli B]]*cadangan3[[#This Row],[Diskon]]),cadangan3[[#This Row],[Harga Asli B]])</f>
        <v>120000</v>
      </c>
      <c r="U911" s="36">
        <f>IFERROR(INDEX(Katalog!$F$3:$F$12,MATCH(cadangan3[[#This Row],[ItemID B]],Katalog!$C$3:$C$12,0))*cadangan3[[#This Row],[Qty B]],0)</f>
        <v>60000</v>
      </c>
      <c r="V911" s="36">
        <f>IFERROR(cadangan3[[#This Row],[Profit B]]-(cadangan3[[#This Row],[Profit B]]*cadangan3[[#This Row],[Diskon]]),U911)</f>
        <v>48000</v>
      </c>
      <c r="X911" t="str">
        <f>IFERROR(INDEX(Katalog!$A$3:$A$12,MATCH(cadangan3[[#This Row],[ItemID C]],Katalog!$C$3:$C$12,0)),"-")</f>
        <v>-</v>
      </c>
      <c r="Y911" t="str">
        <f>IFERROR(INDEX(Katalog!$B$3:$B$12,MATCH(cadangan3[[#This Row],[ItemID C]],Katalog!$C$3:$C$12,0)),"-")</f>
        <v>-</v>
      </c>
      <c r="AB911" s="36">
        <f>IFERROR(INDEX(Katalog!$D$3:$D$12,MATCH(cadangan3[[#This Row],[ItemID C]],Katalog!$C$3:$C$12,0))*cadangan3[[#This Row],[Qty C]],0)</f>
        <v>0</v>
      </c>
      <c r="AC911" s="36">
        <f>IFERROR(INDEX(Katalog!$D$3:$D$12,MATCH(cadangan3[[#This Row],[Item C]],Katalog!$B$3:$B$12,0))*cadangan3[[#This Row],[Qty C]],0)</f>
        <v>0</v>
      </c>
      <c r="AD911" s="36">
        <f>IFERROR(cadangan3[[#This Row],[Harga Asli C]]-(cadangan3[[#This Row],[Harga Asli C]]*cadangan3[[#This Row],[Diskon]]),cadangan3[[#This Row],[Harga Asli C]])</f>
        <v>0</v>
      </c>
      <c r="AE911" s="36">
        <f>IFERROR(INDEX(Katalog!$F$3:$F$12,MATCH(cadangan3[[#This Row],[ItemID C]],Katalog!$C$3:$C$12,0))*cadangan3[[#This Row],[Qty C]],0)</f>
        <v>0</v>
      </c>
      <c r="AF911" s="36">
        <f>IFERROR(cadangan3[[#This Row],[Profit C]]-(cadangan3[[#This Row],[Profit C]]*cadangan3[[#This Row],[Diskon]]),cadangan3[[#This Row],[Profit C]])</f>
        <v>0</v>
      </c>
      <c r="AG911" s="21">
        <f>cadangan3[[#This Row],[Qty A]]+cadangan3[[#This Row],[Qty B]]+cadangan3[[#This Row],[Qty C]]</f>
        <v>7</v>
      </c>
      <c r="AH911" s="35">
        <f>cadangan3[[#This Row],[Harga A + Diskon]]+cadangan3[[#This Row],[Harga + Diskon B]]+cadangan3[[#This Row],[Harga + Diskon C]]</f>
        <v>2520000</v>
      </c>
      <c r="AI911" s="35">
        <f>(cadangan3[[#This Row],[Profit A]]+cadangan3[[#This Row],[Profit B]]+cadangan3[[#This Row],[Profit C]])</f>
        <v>1260000</v>
      </c>
      <c r="AJ911" s="35">
        <f>cadangan3[[#This Row],[Provit A + Diskon]]+cadangan3[[#This Row],[Provit B + Diskon]]+cadangan3[[#This Row],[Provit C + Diskon]]</f>
        <v>1008000</v>
      </c>
      <c r="AK911" s="23" t="s">
        <v>8</v>
      </c>
      <c r="AL911" s="37">
        <f>IFERROR(INDEX('Kode Diskon'!$D$3:$D$9,MATCH(cadangan3[[#This Row],[Kode diskon]],'Kode Diskon'!$C$3:$C$9,0)),"-")</f>
        <v>0.2</v>
      </c>
      <c r="AM911" s="23" t="s">
        <v>9</v>
      </c>
      <c r="AN911" s="23" t="s">
        <v>7</v>
      </c>
      <c r="AO911" s="23" t="s">
        <v>75</v>
      </c>
      <c r="AP911" s="24">
        <v>45043</v>
      </c>
      <c r="AQ911" s="23" t="str">
        <f>TEXT(cadangan3[[#This Row],[Tanggal terjual]],"dddd")</f>
        <v>Thursday</v>
      </c>
    </row>
    <row r="912" spans="1:43" x14ac:dyDescent="0.2">
      <c r="A912" s="20">
        <v>911</v>
      </c>
      <c r="B912" s="21" t="str">
        <f>_xlfn.CONCAT("ORD-",INDEX(Helper!$B$2:$B$5,MATCH(cadangan3[[#This Row],[Marketplace]],Helper!$A$2:$A$5,0)),TEXT(cadangan3[[#This Row],[No]],"0000"),"-",TEXT(cadangan3[[#This Row],[Tanggal terjual]],"dd/mm/yy"))</f>
        <v>ORD-BB0911-03/04/23</v>
      </c>
      <c r="C912" t="s">
        <v>58</v>
      </c>
      <c r="D912" t="str">
        <f>IFERROR(INDEX(Katalog!$A$3:$A$12,MATCH(cadangan3[[#This Row],[ItemID A]],Katalog!$C$3:$C$12,0)),"-")</f>
        <v>Pakaian Wanita</v>
      </c>
      <c r="E912" t="str">
        <f>IFERROR(INDEX(Katalog!$B$3:$B$12,MATCH(cadangan3[[#This Row],[ItemID A]],Katalog!$C$3:$C$12,0)),"-")</f>
        <v>Dress</v>
      </c>
      <c r="F912">
        <v>6</v>
      </c>
      <c r="G912">
        <v>2</v>
      </c>
      <c r="H912" s="36">
        <f>IFERROR(INDEX(Katalog!$D$3:$D$12,MATCH(cadangan3[[#This Row],[ItemID A]],Katalog!$C$3:$C$12,0))*cadangan3[[#This Row],[Qty A]],0)</f>
        <v>1800000</v>
      </c>
      <c r="I912" s="36">
        <f>IFERROR(INDEX(Katalog!$D$3:$D$12,MATCH(cadangan3[[#This Row],[Item A]],Katalog!$B$3:$B$12,0))*cadangan3[[#This Row],[Qty A]],0)</f>
        <v>1800000</v>
      </c>
      <c r="J912" s="36">
        <f>IFERROR(cadangan3[[#This Row],[Harga Asli A]]-(cadangan3[[#This Row],[Harga Asli A]]*cadangan3[[#This Row],[Diskon]]),cadangan3[[#This Row],[Harga Asli A]])</f>
        <v>1530000</v>
      </c>
      <c r="K912" s="36">
        <f>INDEX(Katalog!$F$3:$F$12,MATCH(cadangan3[[#This Row],[ItemID A]],Katalog!$C$3:$C$12,0))*cadangan3[[#This Row],[Qty A]]</f>
        <v>600000</v>
      </c>
      <c r="L912" s="36">
        <f>IFERROR(cadangan3[[#This Row],[Profit A]]-(cadangan3[[#This Row],[Profit A]]*cadangan3[[#This Row],[Diskon]]),K912)</f>
        <v>510000</v>
      </c>
      <c r="N912" t="str">
        <f>IFERROR(INDEX(Katalog!$A$3:$A$12,MATCH(cadangan3[[#This Row],[ItemID B]],Katalog!$C$3:$C$12,0)),"-")</f>
        <v>-</v>
      </c>
      <c r="O912" t="str">
        <f>IFERROR(INDEX(Katalog!$B$3:$B$12,MATCH(cadangan3[[#This Row],[ItemID B]],Katalog!$C$3:$C$12,0)),"-")</f>
        <v>-</v>
      </c>
      <c r="R912" s="36">
        <f>IFERROR(INDEX(Katalog!$D$3:$D$12,MATCH(cadangan3[[#This Row],[ItemID B]],Katalog!$C$3:$C$12,0))*cadangan3[[#This Row],[Qty B]],0)</f>
        <v>0</v>
      </c>
      <c r="S912" s="36">
        <f>IFERROR(INDEX(Katalog!$D$3:$D$12,MATCH(cadangan3[[#This Row],[Item B]],Katalog!$B$3:$B$12,0))*cadangan3[[#This Row],[Qty B]],0)</f>
        <v>0</v>
      </c>
      <c r="T912" s="36">
        <f>IFERROR(cadangan3[[#This Row],[Harga Asli B]]-(cadangan3[[#This Row],[Harga Asli B]]*cadangan3[[#This Row],[Diskon]]),cadangan3[[#This Row],[Harga Asli B]])</f>
        <v>0</v>
      </c>
      <c r="U912" s="36">
        <f>IFERROR(INDEX(Katalog!$F$3:$F$12,MATCH(cadangan3[[#This Row],[ItemID B]],Katalog!$C$3:$C$12,0))*cadangan3[[#This Row],[Qty B]],0)</f>
        <v>0</v>
      </c>
      <c r="V912" s="36">
        <f>IFERROR(cadangan3[[#This Row],[Profit B]]-(cadangan3[[#This Row],[Profit B]]*cadangan3[[#This Row],[Diskon]]),U912)</f>
        <v>0</v>
      </c>
      <c r="X912" t="str">
        <f>IFERROR(INDEX(Katalog!$A$3:$A$12,MATCH(cadangan3[[#This Row],[ItemID C]],Katalog!$C$3:$C$12,0)),"-")</f>
        <v>-</v>
      </c>
      <c r="Y912" t="str">
        <f>IFERROR(INDEX(Katalog!$B$3:$B$12,MATCH(cadangan3[[#This Row],[ItemID C]],Katalog!$C$3:$C$12,0)),"-")</f>
        <v>-</v>
      </c>
      <c r="AB912" s="36">
        <f>IFERROR(INDEX(Katalog!$D$3:$D$12,MATCH(cadangan3[[#This Row],[ItemID C]],Katalog!$C$3:$C$12,0))*cadangan3[[#This Row],[Qty C]],0)</f>
        <v>0</v>
      </c>
      <c r="AC912" s="36">
        <f>IFERROR(INDEX(Katalog!$D$3:$D$12,MATCH(cadangan3[[#This Row],[Item C]],Katalog!$B$3:$B$12,0))*cadangan3[[#This Row],[Qty C]],0)</f>
        <v>0</v>
      </c>
      <c r="AD912" s="36">
        <f>IFERROR(cadangan3[[#This Row],[Harga Asli C]]-(cadangan3[[#This Row],[Harga Asli C]]*cadangan3[[#This Row],[Diskon]]),cadangan3[[#This Row],[Harga Asli C]])</f>
        <v>0</v>
      </c>
      <c r="AE912" s="36">
        <f>IFERROR(INDEX(Katalog!$F$3:$F$12,MATCH(cadangan3[[#This Row],[ItemID C]],Katalog!$C$3:$C$12,0))*cadangan3[[#This Row],[Qty C]],0)</f>
        <v>0</v>
      </c>
      <c r="AF912" s="36">
        <f>IFERROR(cadangan3[[#This Row],[Profit C]]-(cadangan3[[#This Row],[Profit C]]*cadangan3[[#This Row],[Diskon]]),cadangan3[[#This Row],[Profit C]])</f>
        <v>0</v>
      </c>
      <c r="AG912" s="21">
        <f>cadangan3[[#This Row],[Qty A]]+cadangan3[[#This Row],[Qty B]]+cadangan3[[#This Row],[Qty C]]</f>
        <v>6</v>
      </c>
      <c r="AH912" s="35">
        <f>cadangan3[[#This Row],[Harga A + Diskon]]+cadangan3[[#This Row],[Harga + Diskon B]]+cadangan3[[#This Row],[Harga + Diskon C]]</f>
        <v>1530000</v>
      </c>
      <c r="AI912" s="35">
        <f>(cadangan3[[#This Row],[Profit A]]+cadangan3[[#This Row],[Profit B]]+cadangan3[[#This Row],[Profit C]])</f>
        <v>600000</v>
      </c>
      <c r="AJ912" s="35">
        <f>cadangan3[[#This Row],[Provit A + Diskon]]+cadangan3[[#This Row],[Provit B + Diskon]]+cadangan3[[#This Row],[Provit C + Diskon]]</f>
        <v>510000</v>
      </c>
      <c r="AK912" s="23" t="s">
        <v>28</v>
      </c>
      <c r="AL912" s="37">
        <f>IFERROR(INDEX('Kode Diskon'!$D$3:$D$9,MATCH(cadangan3[[#This Row],[Kode diskon]],'Kode Diskon'!$C$3:$C$9,0)),"-")</f>
        <v>0.15</v>
      </c>
      <c r="AM912" s="23" t="s">
        <v>29</v>
      </c>
      <c r="AN912" s="23" t="s">
        <v>14</v>
      </c>
      <c r="AO912" s="23" t="s">
        <v>79</v>
      </c>
      <c r="AP912" s="24">
        <v>45019</v>
      </c>
      <c r="AQ912" s="23" t="str">
        <f>TEXT(cadangan3[[#This Row],[Tanggal terjual]],"dddd")</f>
        <v>Monday</v>
      </c>
    </row>
    <row r="913" spans="1:43" x14ac:dyDescent="0.2">
      <c r="A913" s="20">
        <v>912</v>
      </c>
      <c r="B913" s="21" t="str">
        <f>_xlfn.CONCAT("ORD-",INDEX(Helper!$B$2:$B$5,MATCH(cadangan3[[#This Row],[Marketplace]],Helper!$A$2:$A$5,0)),TEXT(cadangan3[[#This Row],[No]],"0000"),"-",TEXT(cadangan3[[#This Row],[Tanggal terjual]],"dd/mm/yy"))</f>
        <v>ORD-TK0912-28/04/23</v>
      </c>
      <c r="C913" t="s">
        <v>59</v>
      </c>
      <c r="D913" t="str">
        <f>IFERROR(INDEX(Katalog!$A$3:$A$12,MATCH(cadangan3[[#This Row],[ItemID A]],Katalog!$C$3:$C$12,0)),"-")</f>
        <v>Pakaian Wanita</v>
      </c>
      <c r="E913" t="str">
        <f>IFERROR(INDEX(Katalog!$B$3:$B$12,MATCH(cadangan3[[#This Row],[ItemID A]],Katalog!$C$3:$C$12,0)),"-")</f>
        <v>Blouse</v>
      </c>
      <c r="F913">
        <v>6</v>
      </c>
      <c r="G913">
        <v>2</v>
      </c>
      <c r="H913" s="36">
        <f>IFERROR(INDEX(Katalog!$D$3:$D$12,MATCH(cadangan3[[#This Row],[ItemID A]],Katalog!$C$3:$C$12,0))*cadangan3[[#This Row],[Qty A]],0)</f>
        <v>900000</v>
      </c>
      <c r="I913" s="36">
        <f>IFERROR(INDEX(Katalog!$D$3:$D$12,MATCH(cadangan3[[#This Row],[Item A]],Katalog!$B$3:$B$12,0))*cadangan3[[#This Row],[Qty A]],0)</f>
        <v>900000</v>
      </c>
      <c r="J913" s="36">
        <f>IFERROR(cadangan3[[#This Row],[Harga Asli A]]-(cadangan3[[#This Row],[Harga Asli A]]*cadangan3[[#This Row],[Diskon]]),cadangan3[[#This Row],[Harga Asli A]])</f>
        <v>810000</v>
      </c>
      <c r="K913" s="36">
        <f>INDEX(Katalog!$F$3:$F$12,MATCH(cadangan3[[#This Row],[ItemID A]],Katalog!$C$3:$C$12,0))*cadangan3[[#This Row],[Qty A]]</f>
        <v>300000</v>
      </c>
      <c r="L913" s="36">
        <f>IFERROR(cadangan3[[#This Row],[Profit A]]-(cadangan3[[#This Row],[Profit A]]*cadangan3[[#This Row],[Diskon]]),K913)</f>
        <v>270000</v>
      </c>
      <c r="M913" t="s">
        <v>67</v>
      </c>
      <c r="N913" t="str">
        <f>IFERROR(INDEX(Katalog!$A$3:$A$12,MATCH(cadangan3[[#This Row],[ItemID B]],Katalog!$C$3:$C$12,0)),"-")</f>
        <v>Sepatu Wanita</v>
      </c>
      <c r="O913" t="str">
        <f>IFERROR(INDEX(Katalog!$B$3:$B$12,MATCH(cadangan3[[#This Row],[ItemID B]],Katalog!$C$3:$C$12,0)),"-")</f>
        <v>Flat Shoes</v>
      </c>
      <c r="P913">
        <v>1</v>
      </c>
      <c r="Q913">
        <v>5</v>
      </c>
      <c r="R913" s="36">
        <f>IFERROR(INDEX(Katalog!$D$3:$D$12,MATCH(cadangan3[[#This Row],[ItemID B]],Katalog!$C$3:$C$12,0))*cadangan3[[#This Row],[Qty B]],0)</f>
        <v>250000</v>
      </c>
      <c r="S913" s="36">
        <f>IFERROR(INDEX(Katalog!$D$3:$D$12,MATCH(cadangan3[[#This Row],[Item B]],Katalog!$B$3:$B$12,0))*cadangan3[[#This Row],[Qty B]],0)</f>
        <v>250000</v>
      </c>
      <c r="T913" s="36">
        <f>IFERROR(cadangan3[[#This Row],[Harga Asli B]]-(cadangan3[[#This Row],[Harga Asli B]]*cadangan3[[#This Row],[Diskon]]),cadangan3[[#This Row],[Harga Asli B]])</f>
        <v>225000</v>
      </c>
      <c r="U913" s="36">
        <f>IFERROR(INDEX(Katalog!$F$3:$F$12,MATCH(cadangan3[[#This Row],[ItemID B]],Katalog!$C$3:$C$12,0))*cadangan3[[#This Row],[Qty B]],0)</f>
        <v>100000</v>
      </c>
      <c r="V913" s="36">
        <f>IFERROR(cadangan3[[#This Row],[Profit B]]-(cadangan3[[#This Row],[Profit B]]*cadangan3[[#This Row],[Diskon]]),U913)</f>
        <v>90000</v>
      </c>
      <c r="X913" t="str">
        <f>IFERROR(INDEX(Katalog!$A$3:$A$12,MATCH(cadangan3[[#This Row],[ItemID C]],Katalog!$C$3:$C$12,0)),"-")</f>
        <v>-</v>
      </c>
      <c r="Y913" t="str">
        <f>IFERROR(INDEX(Katalog!$B$3:$B$12,MATCH(cadangan3[[#This Row],[ItemID C]],Katalog!$C$3:$C$12,0)),"-")</f>
        <v>-</v>
      </c>
      <c r="AB913" s="36">
        <f>IFERROR(INDEX(Katalog!$D$3:$D$12,MATCH(cadangan3[[#This Row],[ItemID C]],Katalog!$C$3:$C$12,0))*cadangan3[[#This Row],[Qty C]],0)</f>
        <v>0</v>
      </c>
      <c r="AC913" s="36">
        <f>IFERROR(INDEX(Katalog!$D$3:$D$12,MATCH(cadangan3[[#This Row],[Item C]],Katalog!$B$3:$B$12,0))*cadangan3[[#This Row],[Qty C]],0)</f>
        <v>0</v>
      </c>
      <c r="AD913" s="36">
        <f>IFERROR(cadangan3[[#This Row],[Harga Asli C]]-(cadangan3[[#This Row],[Harga Asli C]]*cadangan3[[#This Row],[Diskon]]),cadangan3[[#This Row],[Harga Asli C]])</f>
        <v>0</v>
      </c>
      <c r="AE913" s="36">
        <f>IFERROR(INDEX(Katalog!$F$3:$F$12,MATCH(cadangan3[[#This Row],[ItemID C]],Katalog!$C$3:$C$12,0))*cadangan3[[#This Row],[Qty C]],0)</f>
        <v>0</v>
      </c>
      <c r="AF913" s="36">
        <f>IFERROR(cadangan3[[#This Row],[Profit C]]-(cadangan3[[#This Row],[Profit C]]*cadangan3[[#This Row],[Diskon]]),cadangan3[[#This Row],[Profit C]])</f>
        <v>0</v>
      </c>
      <c r="AG913" s="21">
        <f>cadangan3[[#This Row],[Qty A]]+cadangan3[[#This Row],[Qty B]]+cadangan3[[#This Row],[Qty C]]</f>
        <v>7</v>
      </c>
      <c r="AH913" s="35">
        <f>cadangan3[[#This Row],[Harga A + Diskon]]+cadangan3[[#This Row],[Harga + Diskon B]]+cadangan3[[#This Row],[Harga + Diskon C]]</f>
        <v>1035000</v>
      </c>
      <c r="AI913" s="35">
        <f>(cadangan3[[#This Row],[Profit A]]+cadangan3[[#This Row],[Profit B]]+cadangan3[[#This Row],[Profit C]])</f>
        <v>400000</v>
      </c>
      <c r="AJ913" s="35">
        <f>cadangan3[[#This Row],[Provit A + Diskon]]+cadangan3[[#This Row],[Provit B + Diskon]]+cadangan3[[#This Row],[Provit C + Diskon]]</f>
        <v>360000</v>
      </c>
      <c r="AK913" s="23" t="s">
        <v>31</v>
      </c>
      <c r="AL913" s="37">
        <f>IFERROR(INDEX('Kode Diskon'!$D$3:$D$9,MATCH(cadangan3[[#This Row],[Kode diskon]],'Kode Diskon'!$C$3:$C$9,0)),"-")</f>
        <v>0.1</v>
      </c>
      <c r="AM913" s="23" t="s">
        <v>9</v>
      </c>
      <c r="AN913" s="23" t="s">
        <v>10</v>
      </c>
      <c r="AO913" s="23" t="s">
        <v>79</v>
      </c>
      <c r="AP913" s="24">
        <v>45044</v>
      </c>
      <c r="AQ913" s="23" t="str">
        <f>TEXT(cadangan3[[#This Row],[Tanggal terjual]],"dddd")</f>
        <v>Friday</v>
      </c>
    </row>
    <row r="914" spans="1:43" x14ac:dyDescent="0.2">
      <c r="A914" s="20">
        <v>913</v>
      </c>
      <c r="B914" s="21" t="str">
        <f>_xlfn.CONCAT("ORD-",INDEX(Helper!$B$2:$B$5,MATCH(cadangan3[[#This Row],[Marketplace]],Helper!$A$2:$A$5,0)),TEXT(cadangan3[[#This Row],[No]],"0000"),"-",TEXT(cadangan3[[#This Row],[Tanggal terjual]],"dd/mm/yy"))</f>
        <v>ORD-BL0913-19/04/23</v>
      </c>
      <c r="C914" t="s">
        <v>59</v>
      </c>
      <c r="D914" t="str">
        <f>IFERROR(INDEX(Katalog!$A$3:$A$12,MATCH(cadangan3[[#This Row],[ItemID A]],Katalog!$C$3:$C$12,0)),"-")</f>
        <v>Pakaian Wanita</v>
      </c>
      <c r="E914" t="str">
        <f>IFERROR(INDEX(Katalog!$B$3:$B$12,MATCH(cadangan3[[#This Row],[ItemID A]],Katalog!$C$3:$C$12,0)),"-")</f>
        <v>Blouse</v>
      </c>
      <c r="F914">
        <v>2</v>
      </c>
      <c r="G914">
        <v>3</v>
      </c>
      <c r="H914" s="36">
        <f>IFERROR(INDEX(Katalog!$D$3:$D$12,MATCH(cadangan3[[#This Row],[ItemID A]],Katalog!$C$3:$C$12,0))*cadangan3[[#This Row],[Qty A]],0)</f>
        <v>300000</v>
      </c>
      <c r="I914" s="36">
        <f>IFERROR(INDEX(Katalog!$D$3:$D$12,MATCH(cadangan3[[#This Row],[Item A]],Katalog!$B$3:$B$12,0))*cadangan3[[#This Row],[Qty A]],0)</f>
        <v>300000</v>
      </c>
      <c r="J914" s="36">
        <f>IFERROR(cadangan3[[#This Row],[Harga Asli A]]-(cadangan3[[#This Row],[Harga Asli A]]*cadangan3[[#This Row],[Diskon]]),cadangan3[[#This Row],[Harga Asli A]])</f>
        <v>255000</v>
      </c>
      <c r="K914" s="36">
        <f>INDEX(Katalog!$F$3:$F$12,MATCH(cadangan3[[#This Row],[ItemID A]],Katalog!$C$3:$C$12,0))*cadangan3[[#This Row],[Qty A]]</f>
        <v>100000</v>
      </c>
      <c r="L914" s="36">
        <f>IFERROR(cadangan3[[#This Row],[Profit A]]-(cadangan3[[#This Row],[Profit A]]*cadangan3[[#This Row],[Diskon]]),K914)</f>
        <v>85000</v>
      </c>
      <c r="M914" t="s">
        <v>58</v>
      </c>
      <c r="N914" t="str">
        <f>IFERROR(INDEX(Katalog!$A$3:$A$12,MATCH(cadangan3[[#This Row],[ItemID B]],Katalog!$C$3:$C$12,0)),"-")</f>
        <v>Pakaian Wanita</v>
      </c>
      <c r="O914" t="str">
        <f>IFERROR(INDEX(Katalog!$B$3:$B$12,MATCH(cadangan3[[#This Row],[ItemID B]],Katalog!$C$3:$C$12,0)),"-")</f>
        <v>Dress</v>
      </c>
      <c r="P914">
        <v>1</v>
      </c>
      <c r="Q914">
        <v>5</v>
      </c>
      <c r="R914" s="36">
        <f>IFERROR(INDEX(Katalog!$D$3:$D$12,MATCH(cadangan3[[#This Row],[ItemID B]],Katalog!$C$3:$C$12,0))*cadangan3[[#This Row],[Qty B]],0)</f>
        <v>300000</v>
      </c>
      <c r="S914" s="36">
        <f>IFERROR(INDEX(Katalog!$D$3:$D$12,MATCH(cadangan3[[#This Row],[Item B]],Katalog!$B$3:$B$12,0))*cadangan3[[#This Row],[Qty B]],0)</f>
        <v>300000</v>
      </c>
      <c r="T914" s="36">
        <f>IFERROR(cadangan3[[#This Row],[Harga Asli B]]-(cadangan3[[#This Row],[Harga Asli B]]*cadangan3[[#This Row],[Diskon]]),cadangan3[[#This Row],[Harga Asli B]])</f>
        <v>255000</v>
      </c>
      <c r="U914" s="36">
        <f>IFERROR(INDEX(Katalog!$F$3:$F$12,MATCH(cadangan3[[#This Row],[ItemID B]],Katalog!$C$3:$C$12,0))*cadangan3[[#This Row],[Qty B]],0)</f>
        <v>100000</v>
      </c>
      <c r="V914" s="36">
        <f>IFERROR(cadangan3[[#This Row],[Profit B]]-(cadangan3[[#This Row],[Profit B]]*cadangan3[[#This Row],[Diskon]]),U914)</f>
        <v>85000</v>
      </c>
      <c r="X914" t="str">
        <f>IFERROR(INDEX(Katalog!$A$3:$A$12,MATCH(cadangan3[[#This Row],[ItemID C]],Katalog!$C$3:$C$12,0)),"-")</f>
        <v>-</v>
      </c>
      <c r="Y914" t="str">
        <f>IFERROR(INDEX(Katalog!$B$3:$B$12,MATCH(cadangan3[[#This Row],[ItemID C]],Katalog!$C$3:$C$12,0)),"-")</f>
        <v>-</v>
      </c>
      <c r="AB914" s="36">
        <f>IFERROR(INDEX(Katalog!$D$3:$D$12,MATCH(cadangan3[[#This Row],[ItemID C]],Katalog!$C$3:$C$12,0))*cadangan3[[#This Row],[Qty C]],0)</f>
        <v>0</v>
      </c>
      <c r="AC914" s="36">
        <f>IFERROR(INDEX(Katalog!$D$3:$D$12,MATCH(cadangan3[[#This Row],[Item C]],Katalog!$B$3:$B$12,0))*cadangan3[[#This Row],[Qty C]],0)</f>
        <v>0</v>
      </c>
      <c r="AD914" s="36">
        <f>IFERROR(cadangan3[[#This Row],[Harga Asli C]]-(cadangan3[[#This Row],[Harga Asli C]]*cadangan3[[#This Row],[Diskon]]),cadangan3[[#This Row],[Harga Asli C]])</f>
        <v>0</v>
      </c>
      <c r="AE914" s="36">
        <f>IFERROR(INDEX(Katalog!$F$3:$F$12,MATCH(cadangan3[[#This Row],[ItemID C]],Katalog!$C$3:$C$12,0))*cadangan3[[#This Row],[Qty C]],0)</f>
        <v>0</v>
      </c>
      <c r="AF914" s="36">
        <f>IFERROR(cadangan3[[#This Row],[Profit C]]-(cadangan3[[#This Row],[Profit C]]*cadangan3[[#This Row],[Diskon]]),cadangan3[[#This Row],[Profit C]])</f>
        <v>0</v>
      </c>
      <c r="AG914" s="21">
        <f>cadangan3[[#This Row],[Qty A]]+cadangan3[[#This Row],[Qty B]]+cadangan3[[#This Row],[Qty C]]</f>
        <v>3</v>
      </c>
      <c r="AH914" s="35">
        <f>cadangan3[[#This Row],[Harga A + Diskon]]+cadangan3[[#This Row],[Harga + Diskon B]]+cadangan3[[#This Row],[Harga + Diskon C]]</f>
        <v>510000</v>
      </c>
      <c r="AI914" s="35">
        <f>(cadangan3[[#This Row],[Profit A]]+cadangan3[[#This Row],[Profit B]]+cadangan3[[#This Row],[Profit C]])</f>
        <v>200000</v>
      </c>
      <c r="AJ914" s="35">
        <f>cadangan3[[#This Row],[Provit A + Diskon]]+cadangan3[[#This Row],[Provit B + Diskon]]+cadangan3[[#This Row],[Provit C + Diskon]]</f>
        <v>170000</v>
      </c>
      <c r="AK914" s="23" t="s">
        <v>32</v>
      </c>
      <c r="AL914" s="37">
        <f>IFERROR(INDEX('Kode Diskon'!$D$3:$D$9,MATCH(cadangan3[[#This Row],[Kode diskon]],'Kode Diskon'!$C$3:$C$9,0)),"-")</f>
        <v>0.15</v>
      </c>
      <c r="AM914" s="23" t="s">
        <v>9</v>
      </c>
      <c r="AN914" s="23" t="s">
        <v>12</v>
      </c>
      <c r="AO914" s="23" t="s">
        <v>79</v>
      </c>
      <c r="AP914" s="24">
        <v>45035</v>
      </c>
      <c r="AQ914" s="23" t="str">
        <f>TEXT(cadangan3[[#This Row],[Tanggal terjual]],"dddd")</f>
        <v>Wednesday</v>
      </c>
    </row>
    <row r="915" spans="1:43" x14ac:dyDescent="0.2">
      <c r="A915" s="20">
        <v>914</v>
      </c>
      <c r="B915" s="21" t="str">
        <f>_xlfn.CONCAT("ORD-",INDEX(Helper!$B$2:$B$5,MATCH(cadangan3[[#This Row],[Marketplace]],Helper!$A$2:$A$5,0)),TEXT(cadangan3[[#This Row],[No]],"0000"),"-",TEXT(cadangan3[[#This Row],[Tanggal terjual]],"dd/mm/yy"))</f>
        <v>ORD-BB0914-03/04/23</v>
      </c>
      <c r="C915" t="s">
        <v>58</v>
      </c>
      <c r="D915" t="str">
        <f>IFERROR(INDEX(Katalog!$A$3:$A$12,MATCH(cadangan3[[#This Row],[ItemID A]],Katalog!$C$3:$C$12,0)),"-")</f>
        <v>Pakaian Wanita</v>
      </c>
      <c r="E915" t="str">
        <f>IFERROR(INDEX(Katalog!$B$3:$B$12,MATCH(cadangan3[[#This Row],[ItemID A]],Katalog!$C$3:$C$12,0)),"-")</f>
        <v>Dress</v>
      </c>
      <c r="F915">
        <v>4</v>
      </c>
      <c r="G915">
        <v>1</v>
      </c>
      <c r="H915" s="36">
        <f>IFERROR(INDEX(Katalog!$D$3:$D$12,MATCH(cadangan3[[#This Row],[ItemID A]],Katalog!$C$3:$C$12,0))*cadangan3[[#This Row],[Qty A]],0)</f>
        <v>1200000</v>
      </c>
      <c r="I915" s="36">
        <f>IFERROR(INDEX(Katalog!$D$3:$D$12,MATCH(cadangan3[[#This Row],[Item A]],Katalog!$B$3:$B$12,0))*cadangan3[[#This Row],[Qty A]],0)</f>
        <v>1200000</v>
      </c>
      <c r="J915" s="36">
        <f>IFERROR(cadangan3[[#This Row],[Harga Asli A]]-(cadangan3[[#This Row],[Harga Asli A]]*cadangan3[[#This Row],[Diskon]]),cadangan3[[#This Row],[Harga Asli A]])</f>
        <v>1020000</v>
      </c>
      <c r="K915" s="36">
        <f>INDEX(Katalog!$F$3:$F$12,MATCH(cadangan3[[#This Row],[ItemID A]],Katalog!$C$3:$C$12,0))*cadangan3[[#This Row],[Qty A]]</f>
        <v>400000</v>
      </c>
      <c r="L915" s="36">
        <f>IFERROR(cadangan3[[#This Row],[Profit A]]-(cadangan3[[#This Row],[Profit A]]*cadangan3[[#This Row],[Diskon]]),K915)</f>
        <v>340000</v>
      </c>
      <c r="N915" t="str">
        <f>IFERROR(INDEX(Katalog!$A$3:$A$12,MATCH(cadangan3[[#This Row],[ItemID B]],Katalog!$C$3:$C$12,0)),"-")</f>
        <v>-</v>
      </c>
      <c r="O915" t="str">
        <f>IFERROR(INDEX(Katalog!$B$3:$B$12,MATCH(cadangan3[[#This Row],[ItemID B]],Katalog!$C$3:$C$12,0)),"-")</f>
        <v>-</v>
      </c>
      <c r="R915" s="36">
        <f>IFERROR(INDEX(Katalog!$D$3:$D$12,MATCH(cadangan3[[#This Row],[ItemID B]],Katalog!$C$3:$C$12,0))*cadangan3[[#This Row],[Qty B]],0)</f>
        <v>0</v>
      </c>
      <c r="S915" s="36">
        <f>IFERROR(INDEX(Katalog!$D$3:$D$12,MATCH(cadangan3[[#This Row],[Item B]],Katalog!$B$3:$B$12,0))*cadangan3[[#This Row],[Qty B]],0)</f>
        <v>0</v>
      </c>
      <c r="T915" s="36">
        <f>IFERROR(cadangan3[[#This Row],[Harga Asli B]]-(cadangan3[[#This Row],[Harga Asli B]]*cadangan3[[#This Row],[Diskon]]),cadangan3[[#This Row],[Harga Asli B]])</f>
        <v>0</v>
      </c>
      <c r="U915" s="36">
        <f>IFERROR(INDEX(Katalog!$F$3:$F$12,MATCH(cadangan3[[#This Row],[ItemID B]],Katalog!$C$3:$C$12,0))*cadangan3[[#This Row],[Qty B]],0)</f>
        <v>0</v>
      </c>
      <c r="V915" s="36">
        <f>IFERROR(cadangan3[[#This Row],[Profit B]]-(cadangan3[[#This Row],[Profit B]]*cadangan3[[#This Row],[Diskon]]),U915)</f>
        <v>0</v>
      </c>
      <c r="X915" t="str">
        <f>IFERROR(INDEX(Katalog!$A$3:$A$12,MATCH(cadangan3[[#This Row],[ItemID C]],Katalog!$C$3:$C$12,0)),"-")</f>
        <v>-</v>
      </c>
      <c r="Y915" t="str">
        <f>IFERROR(INDEX(Katalog!$B$3:$B$12,MATCH(cadangan3[[#This Row],[ItemID C]],Katalog!$C$3:$C$12,0)),"-")</f>
        <v>-</v>
      </c>
      <c r="AB915" s="36">
        <f>IFERROR(INDEX(Katalog!$D$3:$D$12,MATCH(cadangan3[[#This Row],[ItemID C]],Katalog!$C$3:$C$12,0))*cadangan3[[#This Row],[Qty C]],0)</f>
        <v>0</v>
      </c>
      <c r="AC915" s="36">
        <f>IFERROR(INDEX(Katalog!$D$3:$D$12,MATCH(cadangan3[[#This Row],[Item C]],Katalog!$B$3:$B$12,0))*cadangan3[[#This Row],[Qty C]],0)</f>
        <v>0</v>
      </c>
      <c r="AD915" s="36">
        <f>IFERROR(cadangan3[[#This Row],[Harga Asli C]]-(cadangan3[[#This Row],[Harga Asli C]]*cadangan3[[#This Row],[Diskon]]),cadangan3[[#This Row],[Harga Asli C]])</f>
        <v>0</v>
      </c>
      <c r="AE915" s="36">
        <f>IFERROR(INDEX(Katalog!$F$3:$F$12,MATCH(cadangan3[[#This Row],[ItemID C]],Katalog!$C$3:$C$12,0))*cadangan3[[#This Row],[Qty C]],0)</f>
        <v>0</v>
      </c>
      <c r="AF915" s="36">
        <f>IFERROR(cadangan3[[#This Row],[Profit C]]-(cadangan3[[#This Row],[Profit C]]*cadangan3[[#This Row],[Diskon]]),cadangan3[[#This Row],[Profit C]])</f>
        <v>0</v>
      </c>
      <c r="AG915" s="21">
        <f>cadangan3[[#This Row],[Qty A]]+cadangan3[[#This Row],[Qty B]]+cadangan3[[#This Row],[Qty C]]</f>
        <v>4</v>
      </c>
      <c r="AH915" s="35">
        <f>cadangan3[[#This Row],[Harga A + Diskon]]+cadangan3[[#This Row],[Harga + Diskon B]]+cadangan3[[#This Row],[Harga + Diskon C]]</f>
        <v>1020000</v>
      </c>
      <c r="AI915" s="35">
        <f>(cadangan3[[#This Row],[Profit A]]+cadangan3[[#This Row],[Profit B]]+cadangan3[[#This Row],[Profit C]])</f>
        <v>400000</v>
      </c>
      <c r="AJ915" s="35">
        <f>cadangan3[[#This Row],[Provit A + Diskon]]+cadangan3[[#This Row],[Provit B + Diskon]]+cadangan3[[#This Row],[Provit C + Diskon]]</f>
        <v>340000</v>
      </c>
      <c r="AK915" s="23" t="s">
        <v>28</v>
      </c>
      <c r="AL915" s="37">
        <f>IFERROR(INDEX('Kode Diskon'!$D$3:$D$9,MATCH(cadangan3[[#This Row],[Kode diskon]],'Kode Diskon'!$C$3:$C$9,0)),"-")</f>
        <v>0.15</v>
      </c>
      <c r="AM915" s="23" t="s">
        <v>29</v>
      </c>
      <c r="AN915" s="23" t="s">
        <v>14</v>
      </c>
      <c r="AO915" s="23" t="s">
        <v>80</v>
      </c>
      <c r="AP915" s="24">
        <v>45019</v>
      </c>
      <c r="AQ915" s="23" t="str">
        <f>TEXT(cadangan3[[#This Row],[Tanggal terjual]],"dddd")</f>
        <v>Monday</v>
      </c>
    </row>
    <row r="916" spans="1:43" x14ac:dyDescent="0.2">
      <c r="A916" s="20">
        <v>915</v>
      </c>
      <c r="B916" s="21" t="str">
        <f>_xlfn.CONCAT("ORD-",INDEX(Helper!$B$2:$B$5,MATCH(cadangan3[[#This Row],[Marketplace]],Helper!$A$2:$A$5,0)),TEXT(cadangan3[[#This Row],[No]],"0000"),"-",TEXT(cadangan3[[#This Row],[Tanggal terjual]],"dd/mm/yy"))</f>
        <v>ORD-SP0915-03/04/23</v>
      </c>
      <c r="C916" t="s">
        <v>59</v>
      </c>
      <c r="D916" t="str">
        <f>IFERROR(INDEX(Katalog!$A$3:$A$12,MATCH(cadangan3[[#This Row],[ItemID A]],Katalog!$C$3:$C$12,0)),"-")</f>
        <v>Pakaian Wanita</v>
      </c>
      <c r="E916" t="str">
        <f>IFERROR(INDEX(Katalog!$B$3:$B$12,MATCH(cadangan3[[#This Row],[ItemID A]],Katalog!$C$3:$C$12,0)),"-")</f>
        <v>Blouse</v>
      </c>
      <c r="F916">
        <v>1</v>
      </c>
      <c r="G916">
        <v>3</v>
      </c>
      <c r="H916" s="36">
        <f>IFERROR(INDEX(Katalog!$D$3:$D$12,MATCH(cadangan3[[#This Row],[ItemID A]],Katalog!$C$3:$C$12,0))*cadangan3[[#This Row],[Qty A]],0)</f>
        <v>150000</v>
      </c>
      <c r="I916" s="36">
        <f>IFERROR(INDEX(Katalog!$D$3:$D$12,MATCH(cadangan3[[#This Row],[Item A]],Katalog!$B$3:$B$12,0))*cadangan3[[#This Row],[Qty A]],0)</f>
        <v>150000</v>
      </c>
      <c r="J916" s="36">
        <f>IFERROR(cadangan3[[#This Row],[Harga Asli A]]-(cadangan3[[#This Row],[Harga Asli A]]*cadangan3[[#This Row],[Diskon]]),cadangan3[[#This Row],[Harga Asli A]])</f>
        <v>135000</v>
      </c>
      <c r="K916" s="36">
        <f>INDEX(Katalog!$F$3:$F$12,MATCH(cadangan3[[#This Row],[ItemID A]],Katalog!$C$3:$C$12,0))*cadangan3[[#This Row],[Qty A]]</f>
        <v>50000</v>
      </c>
      <c r="L916" s="36">
        <f>IFERROR(cadangan3[[#This Row],[Profit A]]-(cadangan3[[#This Row],[Profit A]]*cadangan3[[#This Row],[Diskon]]),K916)</f>
        <v>45000</v>
      </c>
      <c r="M916" t="s">
        <v>63</v>
      </c>
      <c r="N916" t="str">
        <f>IFERROR(INDEX(Katalog!$A$3:$A$12,MATCH(cadangan3[[#This Row],[ItemID B]],Katalog!$C$3:$C$12,0)),"-")</f>
        <v>Pakaian Pria</v>
      </c>
      <c r="O916" t="str">
        <f>IFERROR(INDEX(Katalog!$B$3:$B$12,MATCH(cadangan3[[#This Row],[ItemID B]],Katalog!$C$3:$C$12,0)),"-")</f>
        <v>Jaket Jeans</v>
      </c>
      <c r="P916">
        <v>1</v>
      </c>
      <c r="Q916">
        <v>3</v>
      </c>
      <c r="R916" s="36">
        <f>IFERROR(INDEX(Katalog!$D$3:$D$12,MATCH(cadangan3[[#This Row],[ItemID B]],Katalog!$C$3:$C$12,0))*cadangan3[[#This Row],[Qty B]],0)</f>
        <v>400000</v>
      </c>
      <c r="S916" s="36">
        <f>IFERROR(INDEX(Katalog!$D$3:$D$12,MATCH(cadangan3[[#This Row],[Item B]],Katalog!$B$3:$B$12,0))*cadangan3[[#This Row],[Qty B]],0)</f>
        <v>400000</v>
      </c>
      <c r="T916" s="36">
        <f>IFERROR(cadangan3[[#This Row],[Harga Asli B]]-(cadangan3[[#This Row],[Harga Asli B]]*cadangan3[[#This Row],[Diskon]]),cadangan3[[#This Row],[Harga Asli B]])</f>
        <v>360000</v>
      </c>
      <c r="U916" s="36">
        <f>IFERROR(INDEX(Katalog!$F$3:$F$12,MATCH(cadangan3[[#This Row],[ItemID B]],Katalog!$C$3:$C$12,0))*cadangan3[[#This Row],[Qty B]],0)</f>
        <v>150000</v>
      </c>
      <c r="V916" s="36">
        <f>IFERROR(cadangan3[[#This Row],[Profit B]]-(cadangan3[[#This Row],[Profit B]]*cadangan3[[#This Row],[Diskon]]),U916)</f>
        <v>135000</v>
      </c>
      <c r="X916" t="str">
        <f>IFERROR(INDEX(Katalog!$A$3:$A$12,MATCH(cadangan3[[#This Row],[ItemID C]],Katalog!$C$3:$C$12,0)),"-")</f>
        <v>-</v>
      </c>
      <c r="Y916" t="str">
        <f>IFERROR(INDEX(Katalog!$B$3:$B$12,MATCH(cadangan3[[#This Row],[ItemID C]],Katalog!$C$3:$C$12,0)),"-")</f>
        <v>-</v>
      </c>
      <c r="AB916" s="36">
        <f>IFERROR(INDEX(Katalog!$D$3:$D$12,MATCH(cadangan3[[#This Row],[ItemID C]],Katalog!$C$3:$C$12,0))*cadangan3[[#This Row],[Qty C]],0)</f>
        <v>0</v>
      </c>
      <c r="AC916" s="36">
        <f>IFERROR(INDEX(Katalog!$D$3:$D$12,MATCH(cadangan3[[#This Row],[Item C]],Katalog!$B$3:$B$12,0))*cadangan3[[#This Row],[Qty C]],0)</f>
        <v>0</v>
      </c>
      <c r="AD916" s="36">
        <f>IFERROR(cadangan3[[#This Row],[Harga Asli C]]-(cadangan3[[#This Row],[Harga Asli C]]*cadangan3[[#This Row],[Diskon]]),cadangan3[[#This Row],[Harga Asli C]])</f>
        <v>0</v>
      </c>
      <c r="AE916" s="36">
        <f>IFERROR(INDEX(Katalog!$F$3:$F$12,MATCH(cadangan3[[#This Row],[ItemID C]],Katalog!$C$3:$C$12,0))*cadangan3[[#This Row],[Qty C]],0)</f>
        <v>0</v>
      </c>
      <c r="AF916" s="36">
        <f>IFERROR(cadangan3[[#This Row],[Profit C]]-(cadangan3[[#This Row],[Profit C]]*cadangan3[[#This Row],[Diskon]]),cadangan3[[#This Row],[Profit C]])</f>
        <v>0</v>
      </c>
      <c r="AG916" s="21">
        <f>cadangan3[[#This Row],[Qty A]]+cadangan3[[#This Row],[Qty B]]+cadangan3[[#This Row],[Qty C]]</f>
        <v>2</v>
      </c>
      <c r="AH916" s="35">
        <f>cadangan3[[#This Row],[Harga A + Diskon]]+cadangan3[[#This Row],[Harga + Diskon B]]+cadangan3[[#This Row],[Harga + Diskon C]]</f>
        <v>495000</v>
      </c>
      <c r="AI916" s="35">
        <f>(cadangan3[[#This Row],[Profit A]]+cadangan3[[#This Row],[Profit B]]+cadangan3[[#This Row],[Profit C]])</f>
        <v>200000</v>
      </c>
      <c r="AJ916" s="35">
        <f>cadangan3[[#This Row],[Provit A + Diskon]]+cadangan3[[#This Row],[Provit B + Diskon]]+cadangan3[[#This Row],[Provit C + Diskon]]</f>
        <v>180000</v>
      </c>
      <c r="AK916" s="23" t="s">
        <v>6</v>
      </c>
      <c r="AL916" s="37">
        <f>IFERROR(INDEX('Kode Diskon'!$D$3:$D$9,MATCH(cadangan3[[#This Row],[Kode diskon]],'Kode Diskon'!$C$3:$C$9,0)),"-")</f>
        <v>0.1</v>
      </c>
      <c r="AM916" s="23" t="s">
        <v>29</v>
      </c>
      <c r="AN916" s="23" t="s">
        <v>7</v>
      </c>
      <c r="AO916" s="23" t="s">
        <v>76</v>
      </c>
      <c r="AP916" s="24">
        <v>45019</v>
      </c>
      <c r="AQ916" s="23" t="str">
        <f>TEXT(cadangan3[[#This Row],[Tanggal terjual]],"dddd")</f>
        <v>Monday</v>
      </c>
    </row>
    <row r="917" spans="1:43" x14ac:dyDescent="0.2">
      <c r="A917" s="20">
        <v>916</v>
      </c>
      <c r="B917" s="21" t="str">
        <f>_xlfn.CONCAT("ORD-",INDEX(Helper!$B$2:$B$5,MATCH(cadangan3[[#This Row],[Marketplace]],Helper!$A$2:$A$5,0)),TEXT(cadangan3[[#This Row],[No]],"0000"),"-",TEXT(cadangan3[[#This Row],[Tanggal terjual]],"dd/mm/yy"))</f>
        <v>ORD-TK0916-15/04/23</v>
      </c>
      <c r="C917" t="s">
        <v>58</v>
      </c>
      <c r="D917" t="str">
        <f>IFERROR(INDEX(Katalog!$A$3:$A$12,MATCH(cadangan3[[#This Row],[ItemID A]],Katalog!$C$3:$C$12,0)),"-")</f>
        <v>Pakaian Wanita</v>
      </c>
      <c r="E917" t="str">
        <f>IFERROR(INDEX(Katalog!$B$3:$B$12,MATCH(cadangan3[[#This Row],[ItemID A]],Katalog!$C$3:$C$12,0)),"-")</f>
        <v>Dress</v>
      </c>
      <c r="F917">
        <v>5</v>
      </c>
      <c r="G917">
        <v>2</v>
      </c>
      <c r="H917" s="36">
        <f>IFERROR(INDEX(Katalog!$D$3:$D$12,MATCH(cadangan3[[#This Row],[ItemID A]],Katalog!$C$3:$C$12,0))*cadangan3[[#This Row],[Qty A]],0)</f>
        <v>1500000</v>
      </c>
      <c r="I917" s="36">
        <f>IFERROR(INDEX(Katalog!$D$3:$D$12,MATCH(cadangan3[[#This Row],[Item A]],Katalog!$B$3:$B$12,0))*cadangan3[[#This Row],[Qty A]],0)</f>
        <v>1500000</v>
      </c>
      <c r="J917" s="36">
        <f>IFERROR(cadangan3[[#This Row],[Harga Asli A]]-(cadangan3[[#This Row],[Harga Asli A]]*cadangan3[[#This Row],[Diskon]]),cadangan3[[#This Row],[Harga Asli A]])</f>
        <v>1500000</v>
      </c>
      <c r="K917" s="36">
        <f>INDEX(Katalog!$F$3:$F$12,MATCH(cadangan3[[#This Row],[ItemID A]],Katalog!$C$3:$C$12,0))*cadangan3[[#This Row],[Qty A]]</f>
        <v>500000</v>
      </c>
      <c r="L917" s="36">
        <f>IFERROR(cadangan3[[#This Row],[Profit A]]-(cadangan3[[#This Row],[Profit A]]*cadangan3[[#This Row],[Diskon]]),K917)</f>
        <v>500000</v>
      </c>
      <c r="M917" t="s">
        <v>64</v>
      </c>
      <c r="N917" t="str">
        <f>IFERROR(INDEX(Katalog!$A$3:$A$12,MATCH(cadangan3[[#This Row],[ItemID B]],Katalog!$C$3:$C$12,0)),"-")</f>
        <v>Pakaian Unisex</v>
      </c>
      <c r="O917" t="str">
        <f>IFERROR(INDEX(Katalog!$B$3:$B$12,MATCH(cadangan3[[#This Row],[ItemID B]],Katalog!$C$3:$C$12,0)),"-")</f>
        <v>Jaket Hoodie</v>
      </c>
      <c r="P917">
        <v>2</v>
      </c>
      <c r="Q917">
        <v>5</v>
      </c>
      <c r="R917" s="36">
        <f>IFERROR(INDEX(Katalog!$D$3:$D$12,MATCH(cadangan3[[#This Row],[ItemID B]],Katalog!$C$3:$C$12,0))*cadangan3[[#This Row],[Qty B]],0)</f>
        <v>700000</v>
      </c>
      <c r="S917" s="36">
        <f>IFERROR(INDEX(Katalog!$D$3:$D$12,MATCH(cadangan3[[#This Row],[Item B]],Katalog!$B$3:$B$12,0))*cadangan3[[#This Row],[Qty B]],0)</f>
        <v>700000</v>
      </c>
      <c r="T917" s="36">
        <f>IFERROR(cadangan3[[#This Row],[Harga Asli B]]-(cadangan3[[#This Row],[Harga Asli B]]*cadangan3[[#This Row],[Diskon]]),cadangan3[[#This Row],[Harga Asli B]])</f>
        <v>700000</v>
      </c>
      <c r="U917" s="36">
        <f>IFERROR(INDEX(Katalog!$F$3:$F$12,MATCH(cadangan3[[#This Row],[ItemID B]],Katalog!$C$3:$C$12,0))*cadangan3[[#This Row],[Qty B]],0)</f>
        <v>260000</v>
      </c>
      <c r="V917" s="36">
        <f>IFERROR(cadangan3[[#This Row],[Profit B]]-(cadangan3[[#This Row],[Profit B]]*cadangan3[[#This Row],[Diskon]]),U917)</f>
        <v>260000</v>
      </c>
      <c r="X917" t="str">
        <f>IFERROR(INDEX(Katalog!$A$3:$A$12,MATCH(cadangan3[[#This Row],[ItemID C]],Katalog!$C$3:$C$12,0)),"-")</f>
        <v>-</v>
      </c>
      <c r="Y917" t="str">
        <f>IFERROR(INDEX(Katalog!$B$3:$B$12,MATCH(cadangan3[[#This Row],[ItemID C]],Katalog!$C$3:$C$12,0)),"-")</f>
        <v>-</v>
      </c>
      <c r="AB917" s="36">
        <f>IFERROR(INDEX(Katalog!$D$3:$D$12,MATCH(cadangan3[[#This Row],[ItemID C]],Katalog!$C$3:$C$12,0))*cadangan3[[#This Row],[Qty C]],0)</f>
        <v>0</v>
      </c>
      <c r="AC917" s="36">
        <f>IFERROR(INDEX(Katalog!$D$3:$D$12,MATCH(cadangan3[[#This Row],[Item C]],Katalog!$B$3:$B$12,0))*cadangan3[[#This Row],[Qty C]],0)</f>
        <v>0</v>
      </c>
      <c r="AD917" s="36">
        <f>IFERROR(cadangan3[[#This Row],[Harga Asli C]]-(cadangan3[[#This Row],[Harga Asli C]]*cadangan3[[#This Row],[Diskon]]),cadangan3[[#This Row],[Harga Asli C]])</f>
        <v>0</v>
      </c>
      <c r="AE917" s="36">
        <f>IFERROR(INDEX(Katalog!$F$3:$F$12,MATCH(cadangan3[[#This Row],[ItemID C]],Katalog!$C$3:$C$12,0))*cadangan3[[#This Row],[Qty C]],0)</f>
        <v>0</v>
      </c>
      <c r="AF917" s="36">
        <f>IFERROR(cadangan3[[#This Row],[Profit C]]-(cadangan3[[#This Row],[Profit C]]*cadangan3[[#This Row],[Diskon]]),cadangan3[[#This Row],[Profit C]])</f>
        <v>0</v>
      </c>
      <c r="AG917" s="21">
        <f>cadangan3[[#This Row],[Qty A]]+cadangan3[[#This Row],[Qty B]]+cadangan3[[#This Row],[Qty C]]</f>
        <v>7</v>
      </c>
      <c r="AH917" s="35">
        <f>cadangan3[[#This Row],[Harga A + Diskon]]+cadangan3[[#This Row],[Harga + Diskon B]]+cadangan3[[#This Row],[Harga + Diskon C]]</f>
        <v>2200000</v>
      </c>
      <c r="AI917" s="35">
        <f>(cadangan3[[#This Row],[Profit A]]+cadangan3[[#This Row],[Profit B]]+cadangan3[[#This Row],[Profit C]])</f>
        <v>760000</v>
      </c>
      <c r="AJ917" s="35">
        <f>cadangan3[[#This Row],[Provit A + Diskon]]+cadangan3[[#This Row],[Provit B + Diskon]]+cadangan3[[#This Row],[Provit C + Diskon]]</f>
        <v>760000</v>
      </c>
      <c r="AK917" s="23" t="s">
        <v>11</v>
      </c>
      <c r="AL917" s="37" t="str">
        <f>IFERROR(INDEX('Kode Diskon'!$D$3:$D$9,MATCH(cadangan3[[#This Row],[Kode diskon]],'Kode Diskon'!$C$3:$C$9,0)),"-")</f>
        <v>-</v>
      </c>
      <c r="AM917" s="23" t="s">
        <v>11</v>
      </c>
      <c r="AN917" s="23" t="s">
        <v>10</v>
      </c>
      <c r="AO917" s="23" t="s">
        <v>80</v>
      </c>
      <c r="AP917" s="24">
        <v>45031</v>
      </c>
      <c r="AQ917" s="23" t="str">
        <f>TEXT(cadangan3[[#This Row],[Tanggal terjual]],"dddd")</f>
        <v>Saturday</v>
      </c>
    </row>
    <row r="918" spans="1:43" x14ac:dyDescent="0.2">
      <c r="A918" s="20">
        <v>917</v>
      </c>
      <c r="B918" s="21" t="str">
        <f>_xlfn.CONCAT("ORD-",INDEX(Helper!$B$2:$B$5,MATCH(cadangan3[[#This Row],[Marketplace]],Helper!$A$2:$A$5,0)),TEXT(cadangan3[[#This Row],[No]],"0000"),"-",TEXT(cadangan3[[#This Row],[Tanggal terjual]],"dd/mm/yy"))</f>
        <v>ORD-BB0917-03/04/23</v>
      </c>
      <c r="C918" t="s">
        <v>65</v>
      </c>
      <c r="D918" t="str">
        <f>IFERROR(INDEX(Katalog!$A$3:$A$12,MATCH(cadangan3[[#This Row],[ItemID A]],Katalog!$C$3:$C$12,0)),"-")</f>
        <v>Sepatu Pria</v>
      </c>
      <c r="E918" t="str">
        <f>IFERROR(INDEX(Katalog!$B$3:$B$12,MATCH(cadangan3[[#This Row],[ItemID A]],Katalog!$C$3:$C$12,0)),"-")</f>
        <v>Sneakers</v>
      </c>
      <c r="F918">
        <v>5</v>
      </c>
      <c r="G918">
        <v>3</v>
      </c>
      <c r="H918" s="36">
        <f>IFERROR(INDEX(Katalog!$D$3:$D$12,MATCH(cadangan3[[#This Row],[ItemID A]],Katalog!$C$3:$C$12,0))*cadangan3[[#This Row],[Qty A]],0)</f>
        <v>2500000</v>
      </c>
      <c r="I918" s="36">
        <f>IFERROR(INDEX(Katalog!$D$3:$D$12,MATCH(cadangan3[[#This Row],[Item A]],Katalog!$B$3:$B$12,0))*cadangan3[[#This Row],[Qty A]],0)</f>
        <v>2500000</v>
      </c>
      <c r="J918" s="36">
        <f>IFERROR(cadangan3[[#This Row],[Harga Asli A]]-(cadangan3[[#This Row],[Harga Asli A]]*cadangan3[[#This Row],[Diskon]]),cadangan3[[#This Row],[Harga Asli A]])</f>
        <v>2125000</v>
      </c>
      <c r="K918" s="36">
        <f>INDEX(Katalog!$F$3:$F$12,MATCH(cadangan3[[#This Row],[ItemID A]],Katalog!$C$3:$C$12,0))*cadangan3[[#This Row],[Qty A]]</f>
        <v>1000000</v>
      </c>
      <c r="L918" s="36">
        <f>IFERROR(cadangan3[[#This Row],[Profit A]]-(cadangan3[[#This Row],[Profit A]]*cadangan3[[#This Row],[Diskon]]),K918)</f>
        <v>850000</v>
      </c>
      <c r="M918" t="s">
        <v>63</v>
      </c>
      <c r="N918" t="str">
        <f>IFERROR(INDEX(Katalog!$A$3:$A$12,MATCH(cadangan3[[#This Row],[ItemID B]],Katalog!$C$3:$C$12,0)),"-")</f>
        <v>Pakaian Pria</v>
      </c>
      <c r="O918" t="str">
        <f>IFERROR(INDEX(Katalog!$B$3:$B$12,MATCH(cadangan3[[#This Row],[ItemID B]],Katalog!$C$3:$C$12,0)),"-")</f>
        <v>Jaket Jeans</v>
      </c>
      <c r="P918">
        <v>1</v>
      </c>
      <c r="Q918">
        <v>1</v>
      </c>
      <c r="R918" s="36">
        <f>IFERROR(INDEX(Katalog!$D$3:$D$12,MATCH(cadangan3[[#This Row],[ItemID B]],Katalog!$C$3:$C$12,0))*cadangan3[[#This Row],[Qty B]],0)</f>
        <v>400000</v>
      </c>
      <c r="S918" s="36">
        <f>IFERROR(INDEX(Katalog!$D$3:$D$12,MATCH(cadangan3[[#This Row],[Item B]],Katalog!$B$3:$B$12,0))*cadangan3[[#This Row],[Qty B]],0)</f>
        <v>400000</v>
      </c>
      <c r="T918" s="36">
        <f>IFERROR(cadangan3[[#This Row],[Harga Asli B]]-(cadangan3[[#This Row],[Harga Asli B]]*cadangan3[[#This Row],[Diskon]]),cadangan3[[#This Row],[Harga Asli B]])</f>
        <v>340000</v>
      </c>
      <c r="U918" s="36">
        <f>IFERROR(INDEX(Katalog!$F$3:$F$12,MATCH(cadangan3[[#This Row],[ItemID B]],Katalog!$C$3:$C$12,0))*cadangan3[[#This Row],[Qty B]],0)</f>
        <v>150000</v>
      </c>
      <c r="V918" s="36">
        <f>IFERROR(cadangan3[[#This Row],[Profit B]]-(cadangan3[[#This Row],[Profit B]]*cadangan3[[#This Row],[Diskon]]),U918)</f>
        <v>127500</v>
      </c>
      <c r="W918" t="s">
        <v>67</v>
      </c>
      <c r="X918" t="str">
        <f>IFERROR(INDEX(Katalog!$A$3:$A$12,MATCH(cadangan3[[#This Row],[ItemID C]],Katalog!$C$3:$C$12,0)),"-")</f>
        <v>Sepatu Wanita</v>
      </c>
      <c r="Y918" t="str">
        <f>IFERROR(INDEX(Katalog!$B$3:$B$12,MATCH(cadangan3[[#This Row],[ItemID C]],Katalog!$C$3:$C$12,0)),"-")</f>
        <v>Flat Shoes</v>
      </c>
      <c r="Z918">
        <v>1</v>
      </c>
      <c r="AA918">
        <v>3</v>
      </c>
      <c r="AB918" s="36">
        <f>IFERROR(INDEX(Katalog!$D$3:$D$12,MATCH(cadangan3[[#This Row],[ItemID C]],Katalog!$C$3:$C$12,0))*cadangan3[[#This Row],[Qty C]],0)</f>
        <v>250000</v>
      </c>
      <c r="AC918" s="36">
        <f>IFERROR(INDEX(Katalog!$D$3:$D$12,MATCH(cadangan3[[#This Row],[Item C]],Katalog!$B$3:$B$12,0))*cadangan3[[#This Row],[Qty C]],0)</f>
        <v>250000</v>
      </c>
      <c r="AD918" s="36">
        <f>IFERROR(cadangan3[[#This Row],[Harga Asli C]]-(cadangan3[[#This Row],[Harga Asli C]]*cadangan3[[#This Row],[Diskon]]),cadangan3[[#This Row],[Harga Asli C]])</f>
        <v>212500</v>
      </c>
      <c r="AE918" s="36">
        <f>IFERROR(INDEX(Katalog!$F$3:$F$12,MATCH(cadangan3[[#This Row],[ItemID C]],Katalog!$C$3:$C$12,0))*cadangan3[[#This Row],[Qty C]],0)</f>
        <v>100000</v>
      </c>
      <c r="AF918" s="36">
        <f>IFERROR(cadangan3[[#This Row],[Profit C]]-(cadangan3[[#This Row],[Profit C]]*cadangan3[[#This Row],[Diskon]]),cadangan3[[#This Row],[Profit C]])</f>
        <v>85000</v>
      </c>
      <c r="AG918" s="21">
        <f>cadangan3[[#This Row],[Qty A]]+cadangan3[[#This Row],[Qty B]]+cadangan3[[#This Row],[Qty C]]</f>
        <v>7</v>
      </c>
      <c r="AH918" s="35">
        <f>cadangan3[[#This Row],[Harga A + Diskon]]+cadangan3[[#This Row],[Harga + Diskon B]]+cadangan3[[#This Row],[Harga + Diskon C]]</f>
        <v>2677500</v>
      </c>
      <c r="AI918" s="35">
        <f>(cadangan3[[#This Row],[Profit A]]+cadangan3[[#This Row],[Profit B]]+cadangan3[[#This Row],[Profit C]])</f>
        <v>1250000</v>
      </c>
      <c r="AJ918" s="35">
        <f>cadangan3[[#This Row],[Provit A + Diskon]]+cadangan3[[#This Row],[Provit B + Diskon]]+cadangan3[[#This Row],[Provit C + Diskon]]</f>
        <v>1062500</v>
      </c>
      <c r="AK918" s="23" t="s">
        <v>28</v>
      </c>
      <c r="AL918" s="37">
        <f>IFERROR(INDEX('Kode Diskon'!$D$3:$D$9,MATCH(cadangan3[[#This Row],[Kode diskon]],'Kode Diskon'!$C$3:$C$9,0)),"-")</f>
        <v>0.15</v>
      </c>
      <c r="AM918" s="23" t="s">
        <v>29</v>
      </c>
      <c r="AN918" s="23" t="s">
        <v>14</v>
      </c>
      <c r="AO918" s="23" t="s">
        <v>80</v>
      </c>
      <c r="AP918" s="24">
        <v>45019</v>
      </c>
      <c r="AQ918" s="23" t="str">
        <f>TEXT(cadangan3[[#This Row],[Tanggal terjual]],"dddd")</f>
        <v>Monday</v>
      </c>
    </row>
    <row r="919" spans="1:43" x14ac:dyDescent="0.2">
      <c r="A919" s="20">
        <v>918</v>
      </c>
      <c r="B919" s="21" t="str">
        <f>_xlfn.CONCAT("ORD-",INDEX(Helper!$B$2:$B$5,MATCH(cadangan3[[#This Row],[Marketplace]],Helper!$A$2:$A$5,0)),TEXT(cadangan3[[#This Row],[No]],"0000"),"-",TEXT(cadangan3[[#This Row],[Tanggal terjual]],"dd/mm/yy"))</f>
        <v>ORD-SP0918-02/04/23</v>
      </c>
      <c r="C919" t="s">
        <v>62</v>
      </c>
      <c r="D919" t="str">
        <f>IFERROR(INDEX(Katalog!$A$3:$A$12,MATCH(cadangan3[[#This Row],[ItemID A]],Katalog!$C$3:$C$12,0)),"-")</f>
        <v>Pakaian Pria</v>
      </c>
      <c r="E919" t="str">
        <f>IFERROR(INDEX(Katalog!$B$3:$B$12,MATCH(cadangan3[[#This Row],[ItemID A]],Katalog!$C$3:$C$12,0)),"-")</f>
        <v>Celana Pendek</v>
      </c>
      <c r="F919">
        <v>1</v>
      </c>
      <c r="G919">
        <v>4</v>
      </c>
      <c r="H919" s="36">
        <f>IFERROR(INDEX(Katalog!$D$3:$D$12,MATCH(cadangan3[[#This Row],[ItemID A]],Katalog!$C$3:$C$12,0))*cadangan3[[#This Row],[Qty A]],0)</f>
        <v>180000</v>
      </c>
      <c r="I919" s="36">
        <f>IFERROR(INDEX(Katalog!$D$3:$D$12,MATCH(cadangan3[[#This Row],[Item A]],Katalog!$B$3:$B$12,0))*cadangan3[[#This Row],[Qty A]],0)</f>
        <v>180000</v>
      </c>
      <c r="J919" s="36">
        <f>IFERROR(cadangan3[[#This Row],[Harga Asli A]]-(cadangan3[[#This Row],[Harga Asli A]]*cadangan3[[#This Row],[Diskon]]),cadangan3[[#This Row],[Harga Asli A]])</f>
        <v>153000</v>
      </c>
      <c r="K919" s="36">
        <f>INDEX(Katalog!$F$3:$F$12,MATCH(cadangan3[[#This Row],[ItemID A]],Katalog!$C$3:$C$12,0))*cadangan3[[#This Row],[Qty A]]</f>
        <v>70000</v>
      </c>
      <c r="L919" s="36">
        <f>IFERROR(cadangan3[[#This Row],[Profit A]]-(cadangan3[[#This Row],[Profit A]]*cadangan3[[#This Row],[Diskon]]),K919)</f>
        <v>59500</v>
      </c>
      <c r="M919" t="s">
        <v>59</v>
      </c>
      <c r="N919" t="str">
        <f>IFERROR(INDEX(Katalog!$A$3:$A$12,MATCH(cadangan3[[#This Row],[ItemID B]],Katalog!$C$3:$C$12,0)),"-")</f>
        <v>Pakaian Wanita</v>
      </c>
      <c r="O919" t="str">
        <f>IFERROR(INDEX(Katalog!$B$3:$B$12,MATCH(cadangan3[[#This Row],[ItemID B]],Katalog!$C$3:$C$12,0)),"-")</f>
        <v>Blouse</v>
      </c>
      <c r="P919">
        <v>3</v>
      </c>
      <c r="Q919">
        <v>2</v>
      </c>
      <c r="R919" s="36">
        <f>IFERROR(INDEX(Katalog!$D$3:$D$12,MATCH(cadangan3[[#This Row],[ItemID B]],Katalog!$C$3:$C$12,0))*cadangan3[[#This Row],[Qty B]],0)</f>
        <v>450000</v>
      </c>
      <c r="S919" s="36">
        <f>IFERROR(INDEX(Katalog!$D$3:$D$12,MATCH(cadangan3[[#This Row],[Item B]],Katalog!$B$3:$B$12,0))*cadangan3[[#This Row],[Qty B]],0)</f>
        <v>450000</v>
      </c>
      <c r="T919" s="36">
        <f>IFERROR(cadangan3[[#This Row],[Harga Asli B]]-(cadangan3[[#This Row],[Harga Asli B]]*cadangan3[[#This Row],[Diskon]]),cadangan3[[#This Row],[Harga Asli B]])</f>
        <v>382500</v>
      </c>
      <c r="U919" s="36">
        <f>IFERROR(INDEX(Katalog!$F$3:$F$12,MATCH(cadangan3[[#This Row],[ItemID B]],Katalog!$C$3:$C$12,0))*cadangan3[[#This Row],[Qty B]],0)</f>
        <v>150000</v>
      </c>
      <c r="V919" s="36">
        <f>IFERROR(cadangan3[[#This Row],[Profit B]]-(cadangan3[[#This Row],[Profit B]]*cadangan3[[#This Row],[Diskon]]),U919)</f>
        <v>127500</v>
      </c>
      <c r="W919" t="s">
        <v>67</v>
      </c>
      <c r="X919" t="str">
        <f>IFERROR(INDEX(Katalog!$A$3:$A$12,MATCH(cadangan3[[#This Row],[ItemID C]],Katalog!$C$3:$C$12,0)),"-")</f>
        <v>Sepatu Wanita</v>
      </c>
      <c r="Y919" t="str">
        <f>IFERROR(INDEX(Katalog!$B$3:$B$12,MATCH(cadangan3[[#This Row],[ItemID C]],Katalog!$C$3:$C$12,0)),"-")</f>
        <v>Flat Shoes</v>
      </c>
      <c r="Z919">
        <v>2</v>
      </c>
      <c r="AA919">
        <v>5</v>
      </c>
      <c r="AB919" s="36">
        <f>IFERROR(INDEX(Katalog!$D$3:$D$12,MATCH(cadangan3[[#This Row],[ItemID C]],Katalog!$C$3:$C$12,0))*cadangan3[[#This Row],[Qty C]],0)</f>
        <v>500000</v>
      </c>
      <c r="AC919" s="36">
        <f>IFERROR(INDEX(Katalog!$D$3:$D$12,MATCH(cadangan3[[#This Row],[Item C]],Katalog!$B$3:$B$12,0))*cadangan3[[#This Row],[Qty C]],0)</f>
        <v>500000</v>
      </c>
      <c r="AD919" s="36">
        <f>IFERROR(cadangan3[[#This Row],[Harga Asli C]]-(cadangan3[[#This Row],[Harga Asli C]]*cadangan3[[#This Row],[Diskon]]),cadangan3[[#This Row],[Harga Asli C]])</f>
        <v>425000</v>
      </c>
      <c r="AE919" s="36">
        <f>IFERROR(INDEX(Katalog!$F$3:$F$12,MATCH(cadangan3[[#This Row],[ItemID C]],Katalog!$C$3:$C$12,0))*cadangan3[[#This Row],[Qty C]],0)</f>
        <v>200000</v>
      </c>
      <c r="AF919" s="36">
        <f>IFERROR(cadangan3[[#This Row],[Profit C]]-(cadangan3[[#This Row],[Profit C]]*cadangan3[[#This Row],[Diskon]]),cadangan3[[#This Row],[Profit C]])</f>
        <v>170000</v>
      </c>
      <c r="AG919" s="21">
        <f>cadangan3[[#This Row],[Qty A]]+cadangan3[[#This Row],[Qty B]]+cadangan3[[#This Row],[Qty C]]</f>
        <v>6</v>
      </c>
      <c r="AH919" s="35">
        <f>cadangan3[[#This Row],[Harga A + Diskon]]+cadangan3[[#This Row],[Harga + Diskon B]]+cadangan3[[#This Row],[Harga + Diskon C]]</f>
        <v>960500</v>
      </c>
      <c r="AI919" s="35">
        <f>(cadangan3[[#This Row],[Profit A]]+cadangan3[[#This Row],[Profit B]]+cadangan3[[#This Row],[Profit C]])</f>
        <v>420000</v>
      </c>
      <c r="AJ919" s="35">
        <f>cadangan3[[#This Row],[Provit A + Diskon]]+cadangan3[[#This Row],[Provit B + Diskon]]+cadangan3[[#This Row],[Provit C + Diskon]]</f>
        <v>357000</v>
      </c>
      <c r="AK919" s="23" t="s">
        <v>13</v>
      </c>
      <c r="AL919" s="37">
        <f>IFERROR(INDEX('Kode Diskon'!$D$3:$D$9,MATCH(cadangan3[[#This Row],[Kode diskon]],'Kode Diskon'!$C$3:$C$9,0)),"-")</f>
        <v>0.15</v>
      </c>
      <c r="AM919" s="23" t="s">
        <v>29</v>
      </c>
      <c r="AN919" s="23" t="s">
        <v>7</v>
      </c>
      <c r="AO919" s="23" t="s">
        <v>77</v>
      </c>
      <c r="AP919" s="24">
        <v>45018</v>
      </c>
      <c r="AQ919" s="23" t="str">
        <f>TEXT(cadangan3[[#This Row],[Tanggal terjual]],"dddd")</f>
        <v>Sunday</v>
      </c>
    </row>
    <row r="920" spans="1:43" x14ac:dyDescent="0.2">
      <c r="A920" s="20">
        <v>919</v>
      </c>
      <c r="B920" s="21" t="str">
        <f>_xlfn.CONCAT("ORD-",INDEX(Helper!$B$2:$B$5,MATCH(cadangan3[[#This Row],[Marketplace]],Helper!$A$2:$A$5,0)),TEXT(cadangan3[[#This Row],[No]],"0000"),"-",TEXT(cadangan3[[#This Row],[Tanggal terjual]],"dd/mm/yy"))</f>
        <v>ORD-SP0919-13/04/23</v>
      </c>
      <c r="C920" t="s">
        <v>63</v>
      </c>
      <c r="D920" t="str">
        <f>IFERROR(INDEX(Katalog!$A$3:$A$12,MATCH(cadangan3[[#This Row],[ItemID A]],Katalog!$C$3:$C$12,0)),"-")</f>
        <v>Pakaian Pria</v>
      </c>
      <c r="E920" t="str">
        <f>IFERROR(INDEX(Katalog!$B$3:$B$12,MATCH(cadangan3[[#This Row],[ItemID A]],Katalog!$C$3:$C$12,0)),"-")</f>
        <v>Jaket Jeans</v>
      </c>
      <c r="F920">
        <v>5</v>
      </c>
      <c r="G920">
        <v>5</v>
      </c>
      <c r="H920" s="36">
        <f>IFERROR(INDEX(Katalog!$D$3:$D$12,MATCH(cadangan3[[#This Row],[ItemID A]],Katalog!$C$3:$C$12,0))*cadangan3[[#This Row],[Qty A]],0)</f>
        <v>2000000</v>
      </c>
      <c r="I920" s="36">
        <f>IFERROR(INDEX(Katalog!$D$3:$D$12,MATCH(cadangan3[[#This Row],[Item A]],Katalog!$B$3:$B$12,0))*cadangan3[[#This Row],[Qty A]],0)</f>
        <v>2000000</v>
      </c>
      <c r="J920" s="36">
        <f>IFERROR(cadangan3[[#This Row],[Harga Asli A]]-(cadangan3[[#This Row],[Harga Asli A]]*cadangan3[[#This Row],[Diskon]]),cadangan3[[#This Row],[Harga Asli A]])</f>
        <v>2000000</v>
      </c>
      <c r="K920" s="36">
        <f>INDEX(Katalog!$F$3:$F$12,MATCH(cadangan3[[#This Row],[ItemID A]],Katalog!$C$3:$C$12,0))*cadangan3[[#This Row],[Qty A]]</f>
        <v>750000</v>
      </c>
      <c r="L920" s="36">
        <f>IFERROR(cadangan3[[#This Row],[Profit A]]-(cadangan3[[#This Row],[Profit A]]*cadangan3[[#This Row],[Diskon]]),K920)</f>
        <v>750000</v>
      </c>
      <c r="N920" t="str">
        <f>IFERROR(INDEX(Katalog!$A$3:$A$12,MATCH(cadangan3[[#This Row],[ItemID B]],Katalog!$C$3:$C$12,0)),"-")</f>
        <v>-</v>
      </c>
      <c r="O920" t="str">
        <f>IFERROR(INDEX(Katalog!$B$3:$B$12,MATCH(cadangan3[[#This Row],[ItemID B]],Katalog!$C$3:$C$12,0)),"-")</f>
        <v>-</v>
      </c>
      <c r="R920" s="36">
        <f>IFERROR(INDEX(Katalog!$D$3:$D$12,MATCH(cadangan3[[#This Row],[ItemID B]],Katalog!$C$3:$C$12,0))*cadangan3[[#This Row],[Qty B]],0)</f>
        <v>0</v>
      </c>
      <c r="S920" s="36">
        <f>IFERROR(INDEX(Katalog!$D$3:$D$12,MATCH(cadangan3[[#This Row],[Item B]],Katalog!$B$3:$B$12,0))*cadangan3[[#This Row],[Qty B]],0)</f>
        <v>0</v>
      </c>
      <c r="T920" s="36">
        <f>IFERROR(cadangan3[[#This Row],[Harga Asli B]]-(cadangan3[[#This Row],[Harga Asli B]]*cadangan3[[#This Row],[Diskon]]),cadangan3[[#This Row],[Harga Asli B]])</f>
        <v>0</v>
      </c>
      <c r="U920" s="36">
        <f>IFERROR(INDEX(Katalog!$F$3:$F$12,MATCH(cadangan3[[#This Row],[ItemID B]],Katalog!$C$3:$C$12,0))*cadangan3[[#This Row],[Qty B]],0)</f>
        <v>0</v>
      </c>
      <c r="V920" s="36">
        <f>IFERROR(cadangan3[[#This Row],[Profit B]]-(cadangan3[[#This Row],[Profit B]]*cadangan3[[#This Row],[Diskon]]),U920)</f>
        <v>0</v>
      </c>
      <c r="X920" t="str">
        <f>IFERROR(INDEX(Katalog!$A$3:$A$12,MATCH(cadangan3[[#This Row],[ItemID C]],Katalog!$C$3:$C$12,0)),"-")</f>
        <v>-</v>
      </c>
      <c r="Y920" t="str">
        <f>IFERROR(INDEX(Katalog!$B$3:$B$12,MATCH(cadangan3[[#This Row],[ItemID C]],Katalog!$C$3:$C$12,0)),"-")</f>
        <v>-</v>
      </c>
      <c r="AB920" s="36">
        <f>IFERROR(INDEX(Katalog!$D$3:$D$12,MATCH(cadangan3[[#This Row],[ItemID C]],Katalog!$C$3:$C$12,0))*cadangan3[[#This Row],[Qty C]],0)</f>
        <v>0</v>
      </c>
      <c r="AC920" s="36">
        <f>IFERROR(INDEX(Katalog!$D$3:$D$12,MATCH(cadangan3[[#This Row],[Item C]],Katalog!$B$3:$B$12,0))*cadangan3[[#This Row],[Qty C]],0)</f>
        <v>0</v>
      </c>
      <c r="AD920" s="36">
        <f>IFERROR(cadangan3[[#This Row],[Harga Asli C]]-(cadangan3[[#This Row],[Harga Asli C]]*cadangan3[[#This Row],[Diskon]]),cadangan3[[#This Row],[Harga Asli C]])</f>
        <v>0</v>
      </c>
      <c r="AE920" s="36">
        <f>IFERROR(INDEX(Katalog!$F$3:$F$12,MATCH(cadangan3[[#This Row],[ItemID C]],Katalog!$C$3:$C$12,0))*cadangan3[[#This Row],[Qty C]],0)</f>
        <v>0</v>
      </c>
      <c r="AF920" s="36">
        <f>IFERROR(cadangan3[[#This Row],[Profit C]]-(cadangan3[[#This Row],[Profit C]]*cadangan3[[#This Row],[Diskon]]),cadangan3[[#This Row],[Profit C]])</f>
        <v>0</v>
      </c>
      <c r="AG920" s="21">
        <f>cadangan3[[#This Row],[Qty A]]+cadangan3[[#This Row],[Qty B]]+cadangan3[[#This Row],[Qty C]]</f>
        <v>5</v>
      </c>
      <c r="AH920" s="35">
        <f>cadangan3[[#This Row],[Harga A + Diskon]]+cadangan3[[#This Row],[Harga + Diskon B]]+cadangan3[[#This Row],[Harga + Diskon C]]</f>
        <v>2000000</v>
      </c>
      <c r="AI920" s="35">
        <f>(cadangan3[[#This Row],[Profit A]]+cadangan3[[#This Row],[Profit B]]+cadangan3[[#This Row],[Profit C]])</f>
        <v>750000</v>
      </c>
      <c r="AJ920" s="35">
        <f>cadangan3[[#This Row],[Provit A + Diskon]]+cadangan3[[#This Row],[Provit B + Diskon]]+cadangan3[[#This Row],[Provit C + Diskon]]</f>
        <v>750000</v>
      </c>
      <c r="AK920" s="23" t="s">
        <v>11</v>
      </c>
      <c r="AL920" s="37" t="str">
        <f>IFERROR(INDEX('Kode Diskon'!$D$3:$D$9,MATCH(cadangan3[[#This Row],[Kode diskon]],'Kode Diskon'!$C$3:$C$9,0)),"-")</f>
        <v>-</v>
      </c>
      <c r="AM920" s="23" t="s">
        <v>11</v>
      </c>
      <c r="AN920" s="23" t="s">
        <v>7</v>
      </c>
      <c r="AO920" s="23" t="s">
        <v>75</v>
      </c>
      <c r="AP920" s="24">
        <v>45029</v>
      </c>
      <c r="AQ920" s="23" t="str">
        <f>TEXT(cadangan3[[#This Row],[Tanggal terjual]],"dddd")</f>
        <v>Thursday</v>
      </c>
    </row>
    <row r="921" spans="1:43" x14ac:dyDescent="0.2">
      <c r="A921" s="20">
        <v>920</v>
      </c>
      <c r="B921" s="21" t="str">
        <f>_xlfn.CONCAT("ORD-",INDEX(Helper!$B$2:$B$5,MATCH(cadangan3[[#This Row],[Marketplace]],Helper!$A$2:$A$5,0)),TEXT(cadangan3[[#This Row],[No]],"0000"),"-",TEXT(cadangan3[[#This Row],[Tanggal terjual]],"dd/mm/yy"))</f>
        <v>ORD-SP0920-01/04/23</v>
      </c>
      <c r="C921" t="s">
        <v>61</v>
      </c>
      <c r="D921" t="str">
        <f>IFERROR(INDEX(Katalog!$A$3:$A$12,MATCH(cadangan3[[#This Row],[ItemID A]],Katalog!$C$3:$C$12,0)),"-")</f>
        <v>Pakaian Pria</v>
      </c>
      <c r="E921" t="str">
        <f>IFERROR(INDEX(Katalog!$B$3:$B$12,MATCH(cadangan3[[#This Row],[ItemID A]],Katalog!$C$3:$C$12,0)),"-")</f>
        <v>Kaos Polo</v>
      </c>
      <c r="F921">
        <v>1</v>
      </c>
      <c r="G921">
        <v>5</v>
      </c>
      <c r="H921" s="36">
        <f>IFERROR(INDEX(Katalog!$D$3:$D$12,MATCH(cadangan3[[#This Row],[ItemID A]],Katalog!$C$3:$C$12,0))*cadangan3[[#This Row],[Qty A]],0)</f>
        <v>200000</v>
      </c>
      <c r="I921" s="36">
        <f>IFERROR(INDEX(Katalog!$D$3:$D$12,MATCH(cadangan3[[#This Row],[Item A]],Katalog!$B$3:$B$12,0))*cadangan3[[#This Row],[Qty A]],0)</f>
        <v>200000</v>
      </c>
      <c r="J921" s="36">
        <f>IFERROR(cadangan3[[#This Row],[Harga Asli A]]-(cadangan3[[#This Row],[Harga Asli A]]*cadangan3[[#This Row],[Diskon]]),cadangan3[[#This Row],[Harga Asli A]])</f>
        <v>170000</v>
      </c>
      <c r="K921" s="36">
        <f>INDEX(Katalog!$F$3:$F$12,MATCH(cadangan3[[#This Row],[ItemID A]],Katalog!$C$3:$C$12,0))*cadangan3[[#This Row],[Qty A]]</f>
        <v>80000</v>
      </c>
      <c r="L921" s="36">
        <f>IFERROR(cadangan3[[#This Row],[Profit A]]-(cadangan3[[#This Row],[Profit A]]*cadangan3[[#This Row],[Diskon]]),K921)</f>
        <v>68000</v>
      </c>
      <c r="N921" t="str">
        <f>IFERROR(INDEX(Katalog!$A$3:$A$12,MATCH(cadangan3[[#This Row],[ItemID B]],Katalog!$C$3:$C$12,0)),"-")</f>
        <v>-</v>
      </c>
      <c r="O921" t="str">
        <f>IFERROR(INDEX(Katalog!$B$3:$B$12,MATCH(cadangan3[[#This Row],[ItemID B]],Katalog!$C$3:$C$12,0)),"-")</f>
        <v>-</v>
      </c>
      <c r="R921" s="36">
        <f>IFERROR(INDEX(Katalog!$D$3:$D$12,MATCH(cadangan3[[#This Row],[ItemID B]],Katalog!$C$3:$C$12,0))*cadangan3[[#This Row],[Qty B]],0)</f>
        <v>0</v>
      </c>
      <c r="S921" s="36">
        <f>IFERROR(INDEX(Katalog!$D$3:$D$12,MATCH(cadangan3[[#This Row],[Item B]],Katalog!$B$3:$B$12,0))*cadangan3[[#This Row],[Qty B]],0)</f>
        <v>0</v>
      </c>
      <c r="T921" s="36">
        <f>IFERROR(cadangan3[[#This Row],[Harga Asli B]]-(cadangan3[[#This Row],[Harga Asli B]]*cadangan3[[#This Row],[Diskon]]),cadangan3[[#This Row],[Harga Asli B]])</f>
        <v>0</v>
      </c>
      <c r="U921" s="36">
        <f>IFERROR(INDEX(Katalog!$F$3:$F$12,MATCH(cadangan3[[#This Row],[ItemID B]],Katalog!$C$3:$C$12,0))*cadangan3[[#This Row],[Qty B]],0)</f>
        <v>0</v>
      </c>
      <c r="V921" s="36">
        <f>IFERROR(cadangan3[[#This Row],[Profit B]]-(cadangan3[[#This Row],[Profit B]]*cadangan3[[#This Row],[Diskon]]),U921)</f>
        <v>0</v>
      </c>
      <c r="X921" t="str">
        <f>IFERROR(INDEX(Katalog!$A$3:$A$12,MATCH(cadangan3[[#This Row],[ItemID C]],Katalog!$C$3:$C$12,0)),"-")</f>
        <v>-</v>
      </c>
      <c r="Y921" t="str">
        <f>IFERROR(INDEX(Katalog!$B$3:$B$12,MATCH(cadangan3[[#This Row],[ItemID C]],Katalog!$C$3:$C$12,0)),"-")</f>
        <v>-</v>
      </c>
      <c r="AB921" s="36">
        <f>IFERROR(INDEX(Katalog!$D$3:$D$12,MATCH(cadangan3[[#This Row],[ItemID C]],Katalog!$C$3:$C$12,0))*cadangan3[[#This Row],[Qty C]],0)</f>
        <v>0</v>
      </c>
      <c r="AC921" s="36">
        <f>IFERROR(INDEX(Katalog!$D$3:$D$12,MATCH(cadangan3[[#This Row],[Item C]],Katalog!$B$3:$B$12,0))*cadangan3[[#This Row],[Qty C]],0)</f>
        <v>0</v>
      </c>
      <c r="AD921" s="36">
        <f>IFERROR(cadangan3[[#This Row],[Harga Asli C]]-(cadangan3[[#This Row],[Harga Asli C]]*cadangan3[[#This Row],[Diskon]]),cadangan3[[#This Row],[Harga Asli C]])</f>
        <v>0</v>
      </c>
      <c r="AE921" s="36">
        <f>IFERROR(INDEX(Katalog!$F$3:$F$12,MATCH(cadangan3[[#This Row],[ItemID C]],Katalog!$C$3:$C$12,0))*cadangan3[[#This Row],[Qty C]],0)</f>
        <v>0</v>
      </c>
      <c r="AF921" s="36">
        <f>IFERROR(cadangan3[[#This Row],[Profit C]]-(cadangan3[[#This Row],[Profit C]]*cadangan3[[#This Row],[Diskon]]),cadangan3[[#This Row],[Profit C]])</f>
        <v>0</v>
      </c>
      <c r="AG921" s="21">
        <f>cadangan3[[#This Row],[Qty A]]+cadangan3[[#This Row],[Qty B]]+cadangan3[[#This Row],[Qty C]]</f>
        <v>1</v>
      </c>
      <c r="AH921" s="35">
        <f>cadangan3[[#This Row],[Harga A + Diskon]]+cadangan3[[#This Row],[Harga + Diskon B]]+cadangan3[[#This Row],[Harga + Diskon C]]</f>
        <v>170000</v>
      </c>
      <c r="AI921" s="35">
        <f>(cadangan3[[#This Row],[Profit A]]+cadangan3[[#This Row],[Profit B]]+cadangan3[[#This Row],[Profit C]])</f>
        <v>80000</v>
      </c>
      <c r="AJ921" s="35">
        <f>cadangan3[[#This Row],[Provit A + Diskon]]+cadangan3[[#This Row],[Provit B + Diskon]]+cadangan3[[#This Row],[Provit C + Diskon]]</f>
        <v>68000</v>
      </c>
      <c r="AK921" s="23" t="s">
        <v>13</v>
      </c>
      <c r="AL921" s="37">
        <f>IFERROR(INDEX('Kode Diskon'!$D$3:$D$9,MATCH(cadangan3[[#This Row],[Kode diskon]],'Kode Diskon'!$C$3:$C$9,0)),"-")</f>
        <v>0.15</v>
      </c>
      <c r="AM921" s="23" t="s">
        <v>29</v>
      </c>
      <c r="AN921" s="23" t="s">
        <v>7</v>
      </c>
      <c r="AO921" s="23" t="s">
        <v>79</v>
      </c>
      <c r="AP921" s="24">
        <v>45017</v>
      </c>
      <c r="AQ921" s="23" t="str">
        <f>TEXT(cadangan3[[#This Row],[Tanggal terjual]],"dddd")</f>
        <v>Saturday</v>
      </c>
    </row>
    <row r="922" spans="1:43" x14ac:dyDescent="0.2">
      <c r="A922" s="20">
        <v>921</v>
      </c>
      <c r="B922" s="21" t="str">
        <f>_xlfn.CONCAT("ORD-",INDEX(Helper!$B$2:$B$5,MATCH(cadangan3[[#This Row],[Marketplace]],Helper!$A$2:$A$5,0)),TEXT(cadangan3[[#This Row],[No]],"0000"),"-",TEXT(cadangan3[[#This Row],[Tanggal terjual]],"dd/mm/yy"))</f>
        <v>ORD-SP0921-05/04/23</v>
      </c>
      <c r="C922" t="s">
        <v>62</v>
      </c>
      <c r="D922" t="str">
        <f>IFERROR(INDEX(Katalog!$A$3:$A$12,MATCH(cadangan3[[#This Row],[ItemID A]],Katalog!$C$3:$C$12,0)),"-")</f>
        <v>Pakaian Pria</v>
      </c>
      <c r="E922" t="str">
        <f>IFERROR(INDEX(Katalog!$B$3:$B$12,MATCH(cadangan3[[#This Row],[ItemID A]],Katalog!$C$3:$C$12,0)),"-")</f>
        <v>Celana Pendek</v>
      </c>
      <c r="F922">
        <v>1</v>
      </c>
      <c r="G922">
        <v>1</v>
      </c>
      <c r="H922" s="36">
        <f>IFERROR(INDEX(Katalog!$D$3:$D$12,MATCH(cadangan3[[#This Row],[ItemID A]],Katalog!$C$3:$C$12,0))*cadangan3[[#This Row],[Qty A]],0)</f>
        <v>180000</v>
      </c>
      <c r="I922" s="36">
        <f>IFERROR(INDEX(Katalog!$D$3:$D$12,MATCH(cadangan3[[#This Row],[Item A]],Katalog!$B$3:$B$12,0))*cadangan3[[#This Row],[Qty A]],0)</f>
        <v>180000</v>
      </c>
      <c r="J922" s="36">
        <f>IFERROR(cadangan3[[#This Row],[Harga Asli A]]-(cadangan3[[#This Row],[Harga Asli A]]*cadangan3[[#This Row],[Diskon]]),cadangan3[[#This Row],[Harga Asli A]])</f>
        <v>162000</v>
      </c>
      <c r="K922" s="36">
        <f>INDEX(Katalog!$F$3:$F$12,MATCH(cadangan3[[#This Row],[ItemID A]],Katalog!$C$3:$C$12,0))*cadangan3[[#This Row],[Qty A]]</f>
        <v>70000</v>
      </c>
      <c r="L922" s="36">
        <f>IFERROR(cadangan3[[#This Row],[Profit A]]-(cadangan3[[#This Row],[Profit A]]*cadangan3[[#This Row],[Diskon]]),K922)</f>
        <v>63000</v>
      </c>
      <c r="M922" t="s">
        <v>66</v>
      </c>
      <c r="N922" t="str">
        <f>IFERROR(INDEX(Katalog!$A$3:$A$12,MATCH(cadangan3[[#This Row],[ItemID B]],Katalog!$C$3:$C$12,0)),"-")</f>
        <v>Sepatu Pria</v>
      </c>
      <c r="O922" t="str">
        <f>IFERROR(INDEX(Katalog!$B$3:$B$12,MATCH(cadangan3[[#This Row],[ItemID B]],Katalog!$C$3:$C$12,0)),"-")</f>
        <v>Sandal Slip On</v>
      </c>
      <c r="P922">
        <v>1</v>
      </c>
      <c r="Q922">
        <v>3</v>
      </c>
      <c r="R922" s="36">
        <f>IFERROR(INDEX(Katalog!$D$3:$D$12,MATCH(cadangan3[[#This Row],[ItemID B]],Katalog!$C$3:$C$12,0))*cadangan3[[#This Row],[Qty B]],0)</f>
        <v>150000</v>
      </c>
      <c r="S922" s="36">
        <f>IFERROR(INDEX(Katalog!$D$3:$D$12,MATCH(cadangan3[[#This Row],[Item B]],Katalog!$B$3:$B$12,0))*cadangan3[[#This Row],[Qty B]],0)</f>
        <v>150000</v>
      </c>
      <c r="T922" s="36">
        <f>IFERROR(cadangan3[[#This Row],[Harga Asli B]]-(cadangan3[[#This Row],[Harga Asli B]]*cadangan3[[#This Row],[Diskon]]),cadangan3[[#This Row],[Harga Asli B]])</f>
        <v>135000</v>
      </c>
      <c r="U922" s="36">
        <f>IFERROR(INDEX(Katalog!$F$3:$F$12,MATCH(cadangan3[[#This Row],[ItemID B]],Katalog!$C$3:$C$12,0))*cadangan3[[#This Row],[Qty B]],0)</f>
        <v>60000</v>
      </c>
      <c r="V922" s="36">
        <f>IFERROR(cadangan3[[#This Row],[Profit B]]-(cadangan3[[#This Row],[Profit B]]*cadangan3[[#This Row],[Diskon]]),U922)</f>
        <v>54000</v>
      </c>
      <c r="X922" t="str">
        <f>IFERROR(INDEX(Katalog!$A$3:$A$12,MATCH(cadangan3[[#This Row],[ItemID C]],Katalog!$C$3:$C$12,0)),"-")</f>
        <v>-</v>
      </c>
      <c r="Y922" t="str">
        <f>IFERROR(INDEX(Katalog!$B$3:$B$12,MATCH(cadangan3[[#This Row],[ItemID C]],Katalog!$C$3:$C$12,0)),"-")</f>
        <v>-</v>
      </c>
      <c r="AB922" s="36">
        <f>IFERROR(INDEX(Katalog!$D$3:$D$12,MATCH(cadangan3[[#This Row],[ItemID C]],Katalog!$C$3:$C$12,0))*cadangan3[[#This Row],[Qty C]],0)</f>
        <v>0</v>
      </c>
      <c r="AC922" s="36">
        <f>IFERROR(INDEX(Katalog!$D$3:$D$12,MATCH(cadangan3[[#This Row],[Item C]],Katalog!$B$3:$B$12,0))*cadangan3[[#This Row],[Qty C]],0)</f>
        <v>0</v>
      </c>
      <c r="AD922" s="36">
        <f>IFERROR(cadangan3[[#This Row],[Harga Asli C]]-(cadangan3[[#This Row],[Harga Asli C]]*cadangan3[[#This Row],[Diskon]]),cadangan3[[#This Row],[Harga Asli C]])</f>
        <v>0</v>
      </c>
      <c r="AE922" s="36">
        <f>IFERROR(INDEX(Katalog!$F$3:$F$12,MATCH(cadangan3[[#This Row],[ItemID C]],Katalog!$C$3:$C$12,0))*cadangan3[[#This Row],[Qty C]],0)</f>
        <v>0</v>
      </c>
      <c r="AF922" s="36">
        <f>IFERROR(cadangan3[[#This Row],[Profit C]]-(cadangan3[[#This Row],[Profit C]]*cadangan3[[#This Row],[Diskon]]),cadangan3[[#This Row],[Profit C]])</f>
        <v>0</v>
      </c>
      <c r="AG922" s="21">
        <f>cadangan3[[#This Row],[Qty A]]+cadangan3[[#This Row],[Qty B]]+cadangan3[[#This Row],[Qty C]]</f>
        <v>2</v>
      </c>
      <c r="AH922" s="35">
        <f>cadangan3[[#This Row],[Harga A + Diskon]]+cadangan3[[#This Row],[Harga + Diskon B]]+cadangan3[[#This Row],[Harga + Diskon C]]</f>
        <v>297000</v>
      </c>
      <c r="AI922" s="35">
        <f>(cadangan3[[#This Row],[Profit A]]+cadangan3[[#This Row],[Profit B]]+cadangan3[[#This Row],[Profit C]])</f>
        <v>130000</v>
      </c>
      <c r="AJ922" s="35">
        <f>cadangan3[[#This Row],[Provit A + Diskon]]+cadangan3[[#This Row],[Provit B + Diskon]]+cadangan3[[#This Row],[Provit C + Diskon]]</f>
        <v>117000</v>
      </c>
      <c r="AK922" s="23" t="s">
        <v>6</v>
      </c>
      <c r="AL922" s="37">
        <f>IFERROR(INDEX('Kode Diskon'!$D$3:$D$9,MATCH(cadangan3[[#This Row],[Kode diskon]],'Kode Diskon'!$C$3:$C$9,0)),"-")</f>
        <v>0.1</v>
      </c>
      <c r="AM922" s="23" t="s">
        <v>29</v>
      </c>
      <c r="AN922" s="23" t="s">
        <v>7</v>
      </c>
      <c r="AO922" s="23" t="s">
        <v>75</v>
      </c>
      <c r="AP922" s="24">
        <v>45021</v>
      </c>
      <c r="AQ922" s="23" t="str">
        <f>TEXT(cadangan3[[#This Row],[Tanggal terjual]],"dddd")</f>
        <v>Wednesday</v>
      </c>
    </row>
    <row r="923" spans="1:43" x14ac:dyDescent="0.2">
      <c r="A923" s="20">
        <v>922</v>
      </c>
      <c r="B923" s="21" t="str">
        <f>_xlfn.CONCAT("ORD-",INDEX(Helper!$B$2:$B$5,MATCH(cadangan3[[#This Row],[Marketplace]],Helper!$A$2:$A$5,0)),TEXT(cadangan3[[#This Row],[No]],"0000"),"-",TEXT(cadangan3[[#This Row],[Tanggal terjual]],"dd/mm/yy"))</f>
        <v>ORD-SP0922-02/04/23</v>
      </c>
      <c r="C923" t="s">
        <v>60</v>
      </c>
      <c r="D923" t="str">
        <f>IFERROR(INDEX(Katalog!$A$3:$A$12,MATCH(cadangan3[[#This Row],[ItemID A]],Katalog!$C$3:$C$12,0)),"-")</f>
        <v>Pakaian Wanita</v>
      </c>
      <c r="E923" t="str">
        <f>IFERROR(INDEX(Katalog!$B$3:$B$12,MATCH(cadangan3[[#This Row],[ItemID A]],Katalog!$C$3:$C$12,0)),"-")</f>
        <v>Kaftan</v>
      </c>
      <c r="F923">
        <v>1</v>
      </c>
      <c r="G923">
        <v>1</v>
      </c>
      <c r="H923" s="36">
        <f>IFERROR(INDEX(Katalog!$D$3:$D$12,MATCH(cadangan3[[#This Row],[ItemID A]],Katalog!$C$3:$C$12,0))*cadangan3[[#This Row],[Qty A]],0)</f>
        <v>250000</v>
      </c>
      <c r="I923" s="36">
        <f>IFERROR(INDEX(Katalog!$D$3:$D$12,MATCH(cadangan3[[#This Row],[Item A]],Katalog!$B$3:$B$12,0))*cadangan3[[#This Row],[Qty A]],0)</f>
        <v>250000</v>
      </c>
      <c r="J923" s="36">
        <f>IFERROR(cadangan3[[#This Row],[Harga Asli A]]-(cadangan3[[#This Row],[Harga Asli A]]*cadangan3[[#This Row],[Diskon]]),cadangan3[[#This Row],[Harga Asli A]])</f>
        <v>225000</v>
      </c>
      <c r="K923" s="36">
        <f>INDEX(Katalog!$F$3:$F$12,MATCH(cadangan3[[#This Row],[ItemID A]],Katalog!$C$3:$C$12,0))*cadangan3[[#This Row],[Qty A]]</f>
        <v>100000</v>
      </c>
      <c r="L923" s="36">
        <f>IFERROR(cadangan3[[#This Row],[Profit A]]-(cadangan3[[#This Row],[Profit A]]*cadangan3[[#This Row],[Diskon]]),K923)</f>
        <v>90000</v>
      </c>
      <c r="M923" t="s">
        <v>63</v>
      </c>
      <c r="N923" t="str">
        <f>IFERROR(INDEX(Katalog!$A$3:$A$12,MATCH(cadangan3[[#This Row],[ItemID B]],Katalog!$C$3:$C$12,0)),"-")</f>
        <v>Pakaian Pria</v>
      </c>
      <c r="O923" t="str">
        <f>IFERROR(INDEX(Katalog!$B$3:$B$12,MATCH(cadangan3[[#This Row],[ItemID B]],Katalog!$C$3:$C$12,0)),"-")</f>
        <v>Jaket Jeans</v>
      </c>
      <c r="P923">
        <v>4</v>
      </c>
      <c r="Q923">
        <v>3</v>
      </c>
      <c r="R923" s="36">
        <f>IFERROR(INDEX(Katalog!$D$3:$D$12,MATCH(cadangan3[[#This Row],[ItemID B]],Katalog!$C$3:$C$12,0))*cadangan3[[#This Row],[Qty B]],0)</f>
        <v>1600000</v>
      </c>
      <c r="S923" s="36">
        <f>IFERROR(INDEX(Katalog!$D$3:$D$12,MATCH(cadangan3[[#This Row],[Item B]],Katalog!$B$3:$B$12,0))*cadangan3[[#This Row],[Qty B]],0)</f>
        <v>1600000</v>
      </c>
      <c r="T923" s="36">
        <f>IFERROR(cadangan3[[#This Row],[Harga Asli B]]-(cadangan3[[#This Row],[Harga Asli B]]*cadangan3[[#This Row],[Diskon]]),cadangan3[[#This Row],[Harga Asli B]])</f>
        <v>1440000</v>
      </c>
      <c r="U923" s="36">
        <f>IFERROR(INDEX(Katalog!$F$3:$F$12,MATCH(cadangan3[[#This Row],[ItemID B]],Katalog!$C$3:$C$12,0))*cadangan3[[#This Row],[Qty B]],0)</f>
        <v>600000</v>
      </c>
      <c r="V923" s="36">
        <f>IFERROR(cadangan3[[#This Row],[Profit B]]-(cadangan3[[#This Row],[Profit B]]*cadangan3[[#This Row],[Diskon]]),U923)</f>
        <v>540000</v>
      </c>
      <c r="W923" t="s">
        <v>64</v>
      </c>
      <c r="X923" t="str">
        <f>IFERROR(INDEX(Katalog!$A$3:$A$12,MATCH(cadangan3[[#This Row],[ItemID C]],Katalog!$C$3:$C$12,0)),"-")</f>
        <v>Pakaian Unisex</v>
      </c>
      <c r="Y923" t="str">
        <f>IFERROR(INDEX(Katalog!$B$3:$B$12,MATCH(cadangan3[[#This Row],[ItemID C]],Katalog!$C$3:$C$12,0)),"-")</f>
        <v>Jaket Hoodie</v>
      </c>
      <c r="Z923">
        <v>1</v>
      </c>
      <c r="AA923">
        <v>5</v>
      </c>
      <c r="AB923" s="36">
        <f>IFERROR(INDEX(Katalog!$D$3:$D$12,MATCH(cadangan3[[#This Row],[ItemID C]],Katalog!$C$3:$C$12,0))*cadangan3[[#This Row],[Qty C]],0)</f>
        <v>350000</v>
      </c>
      <c r="AC923" s="36">
        <f>IFERROR(INDEX(Katalog!$D$3:$D$12,MATCH(cadangan3[[#This Row],[Item C]],Katalog!$B$3:$B$12,0))*cadangan3[[#This Row],[Qty C]],0)</f>
        <v>350000</v>
      </c>
      <c r="AD923" s="36">
        <f>IFERROR(cadangan3[[#This Row],[Harga Asli C]]-(cadangan3[[#This Row],[Harga Asli C]]*cadangan3[[#This Row],[Diskon]]),cadangan3[[#This Row],[Harga Asli C]])</f>
        <v>315000</v>
      </c>
      <c r="AE923" s="36">
        <f>IFERROR(INDEX(Katalog!$F$3:$F$12,MATCH(cadangan3[[#This Row],[ItemID C]],Katalog!$C$3:$C$12,0))*cadangan3[[#This Row],[Qty C]],0)</f>
        <v>130000</v>
      </c>
      <c r="AF923" s="36">
        <f>IFERROR(cadangan3[[#This Row],[Profit C]]-(cadangan3[[#This Row],[Profit C]]*cadangan3[[#This Row],[Diskon]]),cadangan3[[#This Row],[Profit C]])</f>
        <v>117000</v>
      </c>
      <c r="AG923" s="21">
        <f>cadangan3[[#This Row],[Qty A]]+cadangan3[[#This Row],[Qty B]]+cadangan3[[#This Row],[Qty C]]</f>
        <v>6</v>
      </c>
      <c r="AH923" s="35">
        <f>cadangan3[[#This Row],[Harga A + Diskon]]+cadangan3[[#This Row],[Harga + Diskon B]]+cadangan3[[#This Row],[Harga + Diskon C]]</f>
        <v>1980000</v>
      </c>
      <c r="AI923" s="35">
        <f>(cadangan3[[#This Row],[Profit A]]+cadangan3[[#This Row],[Profit B]]+cadangan3[[#This Row],[Profit C]])</f>
        <v>830000</v>
      </c>
      <c r="AJ923" s="35">
        <f>cadangan3[[#This Row],[Provit A + Diskon]]+cadangan3[[#This Row],[Provit B + Diskon]]+cadangan3[[#This Row],[Provit C + Diskon]]</f>
        <v>747000</v>
      </c>
      <c r="AK923" s="23" t="s">
        <v>6</v>
      </c>
      <c r="AL923" s="37">
        <f>IFERROR(INDEX('Kode Diskon'!$D$3:$D$9,MATCH(cadangan3[[#This Row],[Kode diskon]],'Kode Diskon'!$C$3:$C$9,0)),"-")</f>
        <v>0.1</v>
      </c>
      <c r="AM923" s="23" t="s">
        <v>29</v>
      </c>
      <c r="AN923" s="23" t="s">
        <v>7</v>
      </c>
      <c r="AO923" s="23" t="s">
        <v>79</v>
      </c>
      <c r="AP923" s="24">
        <v>45018</v>
      </c>
      <c r="AQ923" s="23" t="str">
        <f>TEXT(cadangan3[[#This Row],[Tanggal terjual]],"dddd")</f>
        <v>Sunday</v>
      </c>
    </row>
    <row r="924" spans="1:43" x14ac:dyDescent="0.2">
      <c r="A924" s="20">
        <v>923</v>
      </c>
      <c r="B924" s="21" t="str">
        <f>_xlfn.CONCAT("ORD-",INDEX(Helper!$B$2:$B$5,MATCH(cadangan3[[#This Row],[Marketplace]],Helper!$A$2:$A$5,0)),TEXT(cadangan3[[#This Row],[No]],"0000"),"-",TEXT(cadangan3[[#This Row],[Tanggal terjual]],"dd/mm/yy"))</f>
        <v>ORD-TK0923-02/04/23</v>
      </c>
      <c r="C924" t="s">
        <v>59</v>
      </c>
      <c r="D924" t="str">
        <f>IFERROR(INDEX(Katalog!$A$3:$A$12,MATCH(cadangan3[[#This Row],[ItemID A]],Katalog!$C$3:$C$12,0)),"-")</f>
        <v>Pakaian Wanita</v>
      </c>
      <c r="E924" t="str">
        <f>IFERROR(INDEX(Katalog!$B$3:$B$12,MATCH(cadangan3[[#This Row],[ItemID A]],Katalog!$C$3:$C$12,0)),"-")</f>
        <v>Blouse</v>
      </c>
      <c r="F924">
        <v>2</v>
      </c>
      <c r="G924">
        <v>2</v>
      </c>
      <c r="H924" s="36">
        <f>IFERROR(INDEX(Katalog!$D$3:$D$12,MATCH(cadangan3[[#This Row],[ItemID A]],Katalog!$C$3:$C$12,0))*cadangan3[[#This Row],[Qty A]],0)</f>
        <v>300000</v>
      </c>
      <c r="I924" s="36">
        <f>IFERROR(INDEX(Katalog!$D$3:$D$12,MATCH(cadangan3[[#This Row],[Item A]],Katalog!$B$3:$B$12,0))*cadangan3[[#This Row],[Qty A]],0)</f>
        <v>300000</v>
      </c>
      <c r="J924" s="36">
        <f>IFERROR(cadangan3[[#This Row],[Harga Asli A]]-(cadangan3[[#This Row],[Harga Asli A]]*cadangan3[[#This Row],[Diskon]]),cadangan3[[#This Row],[Harga Asli A]])</f>
        <v>270000</v>
      </c>
      <c r="K924" s="36">
        <f>INDEX(Katalog!$F$3:$F$12,MATCH(cadangan3[[#This Row],[ItemID A]],Katalog!$C$3:$C$12,0))*cadangan3[[#This Row],[Qty A]]</f>
        <v>100000</v>
      </c>
      <c r="L924" s="36">
        <f>IFERROR(cadangan3[[#This Row],[Profit A]]-(cadangan3[[#This Row],[Profit A]]*cadangan3[[#This Row],[Diskon]]),K924)</f>
        <v>90000</v>
      </c>
      <c r="M924" t="s">
        <v>66</v>
      </c>
      <c r="N924" t="str">
        <f>IFERROR(INDEX(Katalog!$A$3:$A$12,MATCH(cadangan3[[#This Row],[ItemID B]],Katalog!$C$3:$C$12,0)),"-")</f>
        <v>Sepatu Pria</v>
      </c>
      <c r="O924" t="str">
        <f>IFERROR(INDEX(Katalog!$B$3:$B$12,MATCH(cadangan3[[#This Row],[ItemID B]],Katalog!$C$3:$C$12,0)),"-")</f>
        <v>Sandal Slip On</v>
      </c>
      <c r="P924">
        <v>2</v>
      </c>
      <c r="Q924">
        <v>3</v>
      </c>
      <c r="R924" s="36">
        <f>IFERROR(INDEX(Katalog!$D$3:$D$12,MATCH(cadangan3[[#This Row],[ItemID B]],Katalog!$C$3:$C$12,0))*cadangan3[[#This Row],[Qty B]],0)</f>
        <v>300000</v>
      </c>
      <c r="S924" s="36">
        <f>IFERROR(INDEX(Katalog!$D$3:$D$12,MATCH(cadangan3[[#This Row],[Item B]],Katalog!$B$3:$B$12,0))*cadangan3[[#This Row],[Qty B]],0)</f>
        <v>300000</v>
      </c>
      <c r="T924" s="36">
        <f>IFERROR(cadangan3[[#This Row],[Harga Asli B]]-(cadangan3[[#This Row],[Harga Asli B]]*cadangan3[[#This Row],[Diskon]]),cadangan3[[#This Row],[Harga Asli B]])</f>
        <v>270000</v>
      </c>
      <c r="U924" s="36">
        <f>IFERROR(INDEX(Katalog!$F$3:$F$12,MATCH(cadangan3[[#This Row],[ItemID B]],Katalog!$C$3:$C$12,0))*cadangan3[[#This Row],[Qty B]],0)</f>
        <v>120000</v>
      </c>
      <c r="V924" s="36">
        <f>IFERROR(cadangan3[[#This Row],[Profit B]]-(cadangan3[[#This Row],[Profit B]]*cadangan3[[#This Row],[Diskon]]),U924)</f>
        <v>108000</v>
      </c>
      <c r="W924" t="s">
        <v>61</v>
      </c>
      <c r="X924" t="str">
        <f>IFERROR(INDEX(Katalog!$A$3:$A$12,MATCH(cadangan3[[#This Row],[ItemID C]],Katalog!$C$3:$C$12,0)),"-")</f>
        <v>Pakaian Pria</v>
      </c>
      <c r="Y924" t="str">
        <f>IFERROR(INDEX(Katalog!$B$3:$B$12,MATCH(cadangan3[[#This Row],[ItemID C]],Katalog!$C$3:$C$12,0)),"-")</f>
        <v>Kaos Polo</v>
      </c>
      <c r="Z924">
        <v>1</v>
      </c>
      <c r="AA924">
        <v>3</v>
      </c>
      <c r="AB924" s="36">
        <f>IFERROR(INDEX(Katalog!$D$3:$D$12,MATCH(cadangan3[[#This Row],[ItemID C]],Katalog!$C$3:$C$12,0))*cadangan3[[#This Row],[Qty C]],0)</f>
        <v>200000</v>
      </c>
      <c r="AC924" s="36">
        <f>IFERROR(INDEX(Katalog!$D$3:$D$12,MATCH(cadangan3[[#This Row],[Item C]],Katalog!$B$3:$B$12,0))*cadangan3[[#This Row],[Qty C]],0)</f>
        <v>200000</v>
      </c>
      <c r="AD924" s="36">
        <f>IFERROR(cadangan3[[#This Row],[Harga Asli C]]-(cadangan3[[#This Row],[Harga Asli C]]*cadangan3[[#This Row],[Diskon]]),cadangan3[[#This Row],[Harga Asli C]])</f>
        <v>180000</v>
      </c>
      <c r="AE924" s="36">
        <f>IFERROR(INDEX(Katalog!$F$3:$F$12,MATCH(cadangan3[[#This Row],[ItemID C]],Katalog!$C$3:$C$12,0))*cadangan3[[#This Row],[Qty C]],0)</f>
        <v>80000</v>
      </c>
      <c r="AF924" s="36">
        <f>IFERROR(cadangan3[[#This Row],[Profit C]]-(cadangan3[[#This Row],[Profit C]]*cadangan3[[#This Row],[Diskon]]),cadangan3[[#This Row],[Profit C]])</f>
        <v>72000</v>
      </c>
      <c r="AG924" s="21">
        <f>cadangan3[[#This Row],[Qty A]]+cadangan3[[#This Row],[Qty B]]+cadangan3[[#This Row],[Qty C]]</f>
        <v>5</v>
      </c>
      <c r="AH924" s="35">
        <f>cadangan3[[#This Row],[Harga A + Diskon]]+cadangan3[[#This Row],[Harga + Diskon B]]+cadangan3[[#This Row],[Harga + Diskon C]]</f>
        <v>720000</v>
      </c>
      <c r="AI924" s="35">
        <f>(cadangan3[[#This Row],[Profit A]]+cadangan3[[#This Row],[Profit B]]+cadangan3[[#This Row],[Profit C]])</f>
        <v>300000</v>
      </c>
      <c r="AJ924" s="35">
        <f>cadangan3[[#This Row],[Provit A + Diskon]]+cadangan3[[#This Row],[Provit B + Diskon]]+cadangan3[[#This Row],[Provit C + Diskon]]</f>
        <v>270000</v>
      </c>
      <c r="AK924" s="23" t="s">
        <v>30</v>
      </c>
      <c r="AL924" s="37">
        <f>IFERROR(INDEX('Kode Diskon'!$D$3:$D$9,MATCH(cadangan3[[#This Row],[Kode diskon]],'Kode Diskon'!$C$3:$C$9,0)),"-")</f>
        <v>0.1</v>
      </c>
      <c r="AM924" s="23" t="s">
        <v>29</v>
      </c>
      <c r="AN924" s="23" t="s">
        <v>10</v>
      </c>
      <c r="AO924" s="23" t="s">
        <v>78</v>
      </c>
      <c r="AP924" s="24">
        <v>45018</v>
      </c>
      <c r="AQ924" s="23" t="str">
        <f>TEXT(cadangan3[[#This Row],[Tanggal terjual]],"dddd")</f>
        <v>Sunday</v>
      </c>
    </row>
    <row r="925" spans="1:43" x14ac:dyDescent="0.2">
      <c r="A925" s="20">
        <v>924</v>
      </c>
      <c r="B925" s="21" t="str">
        <f>_xlfn.CONCAT("ORD-",INDEX(Helper!$B$2:$B$5,MATCH(cadangan3[[#This Row],[Marketplace]],Helper!$A$2:$A$5,0)),TEXT(cadangan3[[#This Row],[No]],"0000"),"-",TEXT(cadangan3[[#This Row],[Tanggal terjual]],"dd/mm/yy"))</f>
        <v>ORD-SP0924-02/04/23</v>
      </c>
      <c r="C925" t="s">
        <v>64</v>
      </c>
      <c r="D925" t="str">
        <f>IFERROR(INDEX(Katalog!$A$3:$A$12,MATCH(cadangan3[[#This Row],[ItemID A]],Katalog!$C$3:$C$12,0)),"-")</f>
        <v>Pakaian Unisex</v>
      </c>
      <c r="E925" t="str">
        <f>IFERROR(INDEX(Katalog!$B$3:$B$12,MATCH(cadangan3[[#This Row],[ItemID A]],Katalog!$C$3:$C$12,0)),"-")</f>
        <v>Jaket Hoodie</v>
      </c>
      <c r="F925">
        <v>1</v>
      </c>
      <c r="G925">
        <v>4</v>
      </c>
      <c r="H925" s="36">
        <f>IFERROR(INDEX(Katalog!$D$3:$D$12,MATCH(cadangan3[[#This Row],[ItemID A]],Katalog!$C$3:$C$12,0))*cadangan3[[#This Row],[Qty A]],0)</f>
        <v>350000</v>
      </c>
      <c r="I925" s="36">
        <f>IFERROR(INDEX(Katalog!$D$3:$D$12,MATCH(cadangan3[[#This Row],[Item A]],Katalog!$B$3:$B$12,0))*cadangan3[[#This Row],[Qty A]],0)</f>
        <v>350000</v>
      </c>
      <c r="J925" s="36">
        <f>IFERROR(cadangan3[[#This Row],[Harga Asli A]]-(cadangan3[[#This Row],[Harga Asli A]]*cadangan3[[#This Row],[Diskon]]),cadangan3[[#This Row],[Harga Asli A]])</f>
        <v>297500</v>
      </c>
      <c r="K925" s="36">
        <f>INDEX(Katalog!$F$3:$F$12,MATCH(cadangan3[[#This Row],[ItemID A]],Katalog!$C$3:$C$12,0))*cadangan3[[#This Row],[Qty A]]</f>
        <v>130000</v>
      </c>
      <c r="L925" s="36">
        <f>IFERROR(cadangan3[[#This Row],[Profit A]]-(cadangan3[[#This Row],[Profit A]]*cadangan3[[#This Row],[Diskon]]),K925)</f>
        <v>110500</v>
      </c>
      <c r="M925" t="s">
        <v>65</v>
      </c>
      <c r="N925" t="str">
        <f>IFERROR(INDEX(Katalog!$A$3:$A$12,MATCH(cadangan3[[#This Row],[ItemID B]],Katalog!$C$3:$C$12,0)),"-")</f>
        <v>Sepatu Pria</v>
      </c>
      <c r="O925" t="str">
        <f>IFERROR(INDEX(Katalog!$B$3:$B$12,MATCH(cadangan3[[#This Row],[ItemID B]],Katalog!$C$3:$C$12,0)),"-")</f>
        <v>Sneakers</v>
      </c>
      <c r="P925">
        <v>2</v>
      </c>
      <c r="Q925">
        <v>1</v>
      </c>
      <c r="R925" s="36">
        <f>IFERROR(INDEX(Katalog!$D$3:$D$12,MATCH(cadangan3[[#This Row],[ItemID B]],Katalog!$C$3:$C$12,0))*cadangan3[[#This Row],[Qty B]],0)</f>
        <v>1000000</v>
      </c>
      <c r="S925" s="36">
        <f>IFERROR(INDEX(Katalog!$D$3:$D$12,MATCH(cadangan3[[#This Row],[Item B]],Katalog!$B$3:$B$12,0))*cadangan3[[#This Row],[Qty B]],0)</f>
        <v>1000000</v>
      </c>
      <c r="T925" s="36">
        <f>IFERROR(cadangan3[[#This Row],[Harga Asli B]]-(cadangan3[[#This Row],[Harga Asli B]]*cadangan3[[#This Row],[Diskon]]),cadangan3[[#This Row],[Harga Asli B]])</f>
        <v>850000</v>
      </c>
      <c r="U925" s="36">
        <f>IFERROR(INDEX(Katalog!$F$3:$F$12,MATCH(cadangan3[[#This Row],[ItemID B]],Katalog!$C$3:$C$12,0))*cadangan3[[#This Row],[Qty B]],0)</f>
        <v>400000</v>
      </c>
      <c r="V925" s="36">
        <f>IFERROR(cadangan3[[#This Row],[Profit B]]-(cadangan3[[#This Row],[Profit B]]*cadangan3[[#This Row],[Diskon]]),U925)</f>
        <v>340000</v>
      </c>
      <c r="X925" t="str">
        <f>IFERROR(INDEX(Katalog!$A$3:$A$12,MATCH(cadangan3[[#This Row],[ItemID C]],Katalog!$C$3:$C$12,0)),"-")</f>
        <v>-</v>
      </c>
      <c r="Y925" t="str">
        <f>IFERROR(INDEX(Katalog!$B$3:$B$12,MATCH(cadangan3[[#This Row],[ItemID C]],Katalog!$C$3:$C$12,0)),"-")</f>
        <v>-</v>
      </c>
      <c r="AB925" s="36">
        <f>IFERROR(INDEX(Katalog!$D$3:$D$12,MATCH(cadangan3[[#This Row],[ItemID C]],Katalog!$C$3:$C$12,0))*cadangan3[[#This Row],[Qty C]],0)</f>
        <v>0</v>
      </c>
      <c r="AC925" s="36">
        <f>IFERROR(INDEX(Katalog!$D$3:$D$12,MATCH(cadangan3[[#This Row],[Item C]],Katalog!$B$3:$B$12,0))*cadangan3[[#This Row],[Qty C]],0)</f>
        <v>0</v>
      </c>
      <c r="AD925" s="36">
        <f>IFERROR(cadangan3[[#This Row],[Harga Asli C]]-(cadangan3[[#This Row],[Harga Asli C]]*cadangan3[[#This Row],[Diskon]]),cadangan3[[#This Row],[Harga Asli C]])</f>
        <v>0</v>
      </c>
      <c r="AE925" s="36">
        <f>IFERROR(INDEX(Katalog!$F$3:$F$12,MATCH(cadangan3[[#This Row],[ItemID C]],Katalog!$C$3:$C$12,0))*cadangan3[[#This Row],[Qty C]],0)</f>
        <v>0</v>
      </c>
      <c r="AF925" s="36">
        <f>IFERROR(cadangan3[[#This Row],[Profit C]]-(cadangan3[[#This Row],[Profit C]]*cadangan3[[#This Row],[Diskon]]),cadangan3[[#This Row],[Profit C]])</f>
        <v>0</v>
      </c>
      <c r="AG925" s="21">
        <f>cadangan3[[#This Row],[Qty A]]+cadangan3[[#This Row],[Qty B]]+cadangan3[[#This Row],[Qty C]]</f>
        <v>3</v>
      </c>
      <c r="AH925" s="35">
        <f>cadangan3[[#This Row],[Harga A + Diskon]]+cadangan3[[#This Row],[Harga + Diskon B]]+cadangan3[[#This Row],[Harga + Diskon C]]</f>
        <v>1147500</v>
      </c>
      <c r="AI925" s="35">
        <f>(cadangan3[[#This Row],[Profit A]]+cadangan3[[#This Row],[Profit B]]+cadangan3[[#This Row],[Profit C]])</f>
        <v>530000</v>
      </c>
      <c r="AJ925" s="35">
        <f>cadangan3[[#This Row],[Provit A + Diskon]]+cadangan3[[#This Row],[Provit B + Diskon]]+cadangan3[[#This Row],[Provit C + Diskon]]</f>
        <v>450500</v>
      </c>
      <c r="AK925" s="23" t="s">
        <v>13</v>
      </c>
      <c r="AL925" s="37">
        <f>IFERROR(INDEX('Kode Diskon'!$D$3:$D$9,MATCH(cadangan3[[#This Row],[Kode diskon]],'Kode Diskon'!$C$3:$C$9,0)),"-")</f>
        <v>0.15</v>
      </c>
      <c r="AM925" s="23" t="s">
        <v>29</v>
      </c>
      <c r="AN925" s="23" t="s">
        <v>7</v>
      </c>
      <c r="AO925" s="23" t="s">
        <v>76</v>
      </c>
      <c r="AP925" s="24">
        <v>45018</v>
      </c>
      <c r="AQ925" s="23" t="str">
        <f>TEXT(cadangan3[[#This Row],[Tanggal terjual]],"dddd")</f>
        <v>Sunday</v>
      </c>
    </row>
    <row r="926" spans="1:43" x14ac:dyDescent="0.2">
      <c r="A926" s="20">
        <v>925</v>
      </c>
      <c r="B926" s="21" t="str">
        <f>_xlfn.CONCAT("ORD-",INDEX(Helper!$B$2:$B$5,MATCH(cadangan3[[#This Row],[Marketplace]],Helper!$A$2:$A$5,0)),TEXT(cadangan3[[#This Row],[No]],"0000"),"-",TEXT(cadangan3[[#This Row],[Tanggal terjual]],"dd/mm/yy"))</f>
        <v>ORD-SP0925-02/04/23</v>
      </c>
      <c r="C926" t="s">
        <v>58</v>
      </c>
      <c r="D926" t="str">
        <f>IFERROR(INDEX(Katalog!$A$3:$A$12,MATCH(cadangan3[[#This Row],[ItemID A]],Katalog!$C$3:$C$12,0)),"-")</f>
        <v>Pakaian Wanita</v>
      </c>
      <c r="E926" t="str">
        <f>IFERROR(INDEX(Katalog!$B$3:$B$12,MATCH(cadangan3[[#This Row],[ItemID A]],Katalog!$C$3:$C$12,0)),"-")</f>
        <v>Dress</v>
      </c>
      <c r="F926">
        <v>4</v>
      </c>
      <c r="G926">
        <v>4</v>
      </c>
      <c r="H926" s="36">
        <f>IFERROR(INDEX(Katalog!$D$3:$D$12,MATCH(cadangan3[[#This Row],[ItemID A]],Katalog!$C$3:$C$12,0))*cadangan3[[#This Row],[Qty A]],0)</f>
        <v>1200000</v>
      </c>
      <c r="I926" s="36">
        <f>IFERROR(INDEX(Katalog!$D$3:$D$12,MATCH(cadangan3[[#This Row],[Item A]],Katalog!$B$3:$B$12,0))*cadangan3[[#This Row],[Qty A]],0)</f>
        <v>1200000</v>
      </c>
      <c r="J926" s="36">
        <f>IFERROR(cadangan3[[#This Row],[Harga Asli A]]-(cadangan3[[#This Row],[Harga Asli A]]*cadangan3[[#This Row],[Diskon]]),cadangan3[[#This Row],[Harga Asli A]])</f>
        <v>1080000</v>
      </c>
      <c r="K926" s="36">
        <f>INDEX(Katalog!$F$3:$F$12,MATCH(cadangan3[[#This Row],[ItemID A]],Katalog!$C$3:$C$12,0))*cadangan3[[#This Row],[Qty A]]</f>
        <v>400000</v>
      </c>
      <c r="L926" s="36">
        <f>IFERROR(cadangan3[[#This Row],[Profit A]]-(cadangan3[[#This Row],[Profit A]]*cadangan3[[#This Row],[Diskon]]),K926)</f>
        <v>360000</v>
      </c>
      <c r="M926" t="s">
        <v>59</v>
      </c>
      <c r="N926" t="str">
        <f>IFERROR(INDEX(Katalog!$A$3:$A$12,MATCH(cadangan3[[#This Row],[ItemID B]],Katalog!$C$3:$C$12,0)),"-")</f>
        <v>Pakaian Wanita</v>
      </c>
      <c r="O926" t="str">
        <f>IFERROR(INDEX(Katalog!$B$3:$B$12,MATCH(cadangan3[[#This Row],[ItemID B]],Katalog!$C$3:$C$12,0)),"-")</f>
        <v>Blouse</v>
      </c>
      <c r="P926">
        <v>3</v>
      </c>
      <c r="Q926">
        <v>4</v>
      </c>
      <c r="R926" s="36">
        <f>IFERROR(INDEX(Katalog!$D$3:$D$12,MATCH(cadangan3[[#This Row],[ItemID B]],Katalog!$C$3:$C$12,0))*cadangan3[[#This Row],[Qty B]],0)</f>
        <v>450000</v>
      </c>
      <c r="S926" s="36">
        <f>IFERROR(INDEX(Katalog!$D$3:$D$12,MATCH(cadangan3[[#This Row],[Item B]],Katalog!$B$3:$B$12,0))*cadangan3[[#This Row],[Qty B]],0)</f>
        <v>450000</v>
      </c>
      <c r="T926" s="36">
        <f>IFERROR(cadangan3[[#This Row],[Harga Asli B]]-(cadangan3[[#This Row],[Harga Asli B]]*cadangan3[[#This Row],[Diskon]]),cadangan3[[#This Row],[Harga Asli B]])</f>
        <v>405000</v>
      </c>
      <c r="U926" s="36">
        <f>IFERROR(INDEX(Katalog!$F$3:$F$12,MATCH(cadangan3[[#This Row],[ItemID B]],Katalog!$C$3:$C$12,0))*cadangan3[[#This Row],[Qty B]],0)</f>
        <v>150000</v>
      </c>
      <c r="V926" s="36">
        <f>IFERROR(cadangan3[[#This Row],[Profit B]]-(cadangan3[[#This Row],[Profit B]]*cadangan3[[#This Row],[Diskon]]),U926)</f>
        <v>135000</v>
      </c>
      <c r="X926" t="str">
        <f>IFERROR(INDEX(Katalog!$A$3:$A$12,MATCH(cadangan3[[#This Row],[ItemID C]],Katalog!$C$3:$C$12,0)),"-")</f>
        <v>-</v>
      </c>
      <c r="Y926" t="str">
        <f>IFERROR(INDEX(Katalog!$B$3:$B$12,MATCH(cadangan3[[#This Row],[ItemID C]],Katalog!$C$3:$C$12,0)),"-")</f>
        <v>-</v>
      </c>
      <c r="AB926" s="36">
        <f>IFERROR(INDEX(Katalog!$D$3:$D$12,MATCH(cadangan3[[#This Row],[ItemID C]],Katalog!$C$3:$C$12,0))*cadangan3[[#This Row],[Qty C]],0)</f>
        <v>0</v>
      </c>
      <c r="AC926" s="36">
        <f>IFERROR(INDEX(Katalog!$D$3:$D$12,MATCH(cadangan3[[#This Row],[Item C]],Katalog!$B$3:$B$12,0))*cadangan3[[#This Row],[Qty C]],0)</f>
        <v>0</v>
      </c>
      <c r="AD926" s="36">
        <f>IFERROR(cadangan3[[#This Row],[Harga Asli C]]-(cadangan3[[#This Row],[Harga Asli C]]*cadangan3[[#This Row],[Diskon]]),cadangan3[[#This Row],[Harga Asli C]])</f>
        <v>0</v>
      </c>
      <c r="AE926" s="36">
        <f>IFERROR(INDEX(Katalog!$F$3:$F$12,MATCH(cadangan3[[#This Row],[ItemID C]],Katalog!$C$3:$C$12,0))*cadangan3[[#This Row],[Qty C]],0)</f>
        <v>0</v>
      </c>
      <c r="AF926" s="36">
        <f>IFERROR(cadangan3[[#This Row],[Profit C]]-(cadangan3[[#This Row],[Profit C]]*cadangan3[[#This Row],[Diskon]]),cadangan3[[#This Row],[Profit C]])</f>
        <v>0</v>
      </c>
      <c r="AG926" s="21">
        <f>cadangan3[[#This Row],[Qty A]]+cadangan3[[#This Row],[Qty B]]+cadangan3[[#This Row],[Qty C]]</f>
        <v>7</v>
      </c>
      <c r="AH926" s="35">
        <f>cadangan3[[#This Row],[Harga A + Diskon]]+cadangan3[[#This Row],[Harga + Diskon B]]+cadangan3[[#This Row],[Harga + Diskon C]]</f>
        <v>1485000</v>
      </c>
      <c r="AI926" s="35">
        <f>(cadangan3[[#This Row],[Profit A]]+cadangan3[[#This Row],[Profit B]]+cadangan3[[#This Row],[Profit C]])</f>
        <v>550000</v>
      </c>
      <c r="AJ926" s="35">
        <f>cadangan3[[#This Row],[Provit A + Diskon]]+cadangan3[[#This Row],[Provit B + Diskon]]+cadangan3[[#This Row],[Provit C + Diskon]]</f>
        <v>495000</v>
      </c>
      <c r="AK926" s="23" t="s">
        <v>6</v>
      </c>
      <c r="AL926" s="37">
        <f>IFERROR(INDEX('Kode Diskon'!$D$3:$D$9,MATCH(cadangan3[[#This Row],[Kode diskon]],'Kode Diskon'!$C$3:$C$9,0)),"-")</f>
        <v>0.1</v>
      </c>
      <c r="AM926" s="23" t="s">
        <v>29</v>
      </c>
      <c r="AN926" s="23" t="s">
        <v>7</v>
      </c>
      <c r="AO926" s="23" t="s">
        <v>76</v>
      </c>
      <c r="AP926" s="24">
        <v>45018</v>
      </c>
      <c r="AQ926" s="23" t="str">
        <f>TEXT(cadangan3[[#This Row],[Tanggal terjual]],"dddd")</f>
        <v>Sunday</v>
      </c>
    </row>
    <row r="927" spans="1:43" x14ac:dyDescent="0.2">
      <c r="A927" s="20">
        <v>926</v>
      </c>
      <c r="B927" s="21" t="str">
        <f>_xlfn.CONCAT("ORD-",INDEX(Helper!$B$2:$B$5,MATCH(cadangan3[[#This Row],[Marketplace]],Helper!$A$2:$A$5,0)),TEXT(cadangan3[[#This Row],[No]],"0000"),"-",TEXT(cadangan3[[#This Row],[Tanggal terjual]],"dd/mm/yy"))</f>
        <v>ORD-TK0926-03/04/23</v>
      </c>
      <c r="C927" t="s">
        <v>63</v>
      </c>
      <c r="D927" t="str">
        <f>IFERROR(INDEX(Katalog!$A$3:$A$12,MATCH(cadangan3[[#This Row],[ItemID A]],Katalog!$C$3:$C$12,0)),"-")</f>
        <v>Pakaian Pria</v>
      </c>
      <c r="E927" t="str">
        <f>IFERROR(INDEX(Katalog!$B$3:$B$12,MATCH(cadangan3[[#This Row],[ItemID A]],Katalog!$C$3:$C$12,0)),"-")</f>
        <v>Jaket Jeans</v>
      </c>
      <c r="F927">
        <v>2</v>
      </c>
      <c r="G927">
        <v>2</v>
      </c>
      <c r="H927" s="36">
        <f>IFERROR(INDEX(Katalog!$D$3:$D$12,MATCH(cadangan3[[#This Row],[ItemID A]],Katalog!$C$3:$C$12,0))*cadangan3[[#This Row],[Qty A]],0)</f>
        <v>800000</v>
      </c>
      <c r="I927" s="36">
        <f>IFERROR(INDEX(Katalog!$D$3:$D$12,MATCH(cadangan3[[#This Row],[Item A]],Katalog!$B$3:$B$12,0))*cadangan3[[#This Row],[Qty A]],0)</f>
        <v>800000</v>
      </c>
      <c r="J927" s="36">
        <f>IFERROR(cadangan3[[#This Row],[Harga Asli A]]-(cadangan3[[#This Row],[Harga Asli A]]*cadangan3[[#This Row],[Diskon]]),cadangan3[[#This Row],[Harga Asli A]])</f>
        <v>720000</v>
      </c>
      <c r="K927" s="36">
        <f>INDEX(Katalog!$F$3:$F$12,MATCH(cadangan3[[#This Row],[ItemID A]],Katalog!$C$3:$C$12,0))*cadangan3[[#This Row],[Qty A]]</f>
        <v>300000</v>
      </c>
      <c r="L927" s="36">
        <f>IFERROR(cadangan3[[#This Row],[Profit A]]-(cadangan3[[#This Row],[Profit A]]*cadangan3[[#This Row],[Diskon]]),K927)</f>
        <v>270000</v>
      </c>
      <c r="M927" t="s">
        <v>67</v>
      </c>
      <c r="N927" t="str">
        <f>IFERROR(INDEX(Katalog!$A$3:$A$12,MATCH(cadangan3[[#This Row],[ItemID B]],Katalog!$C$3:$C$12,0)),"-")</f>
        <v>Sepatu Wanita</v>
      </c>
      <c r="O927" t="str">
        <f>IFERROR(INDEX(Katalog!$B$3:$B$12,MATCH(cadangan3[[#This Row],[ItemID B]],Katalog!$C$3:$C$12,0)),"-")</f>
        <v>Flat Shoes</v>
      </c>
      <c r="P927">
        <v>3</v>
      </c>
      <c r="Q927">
        <v>3</v>
      </c>
      <c r="R927" s="36">
        <f>IFERROR(INDEX(Katalog!$D$3:$D$12,MATCH(cadangan3[[#This Row],[ItemID B]],Katalog!$C$3:$C$12,0))*cadangan3[[#This Row],[Qty B]],0)</f>
        <v>750000</v>
      </c>
      <c r="S927" s="36">
        <f>IFERROR(INDEX(Katalog!$D$3:$D$12,MATCH(cadangan3[[#This Row],[Item B]],Katalog!$B$3:$B$12,0))*cadangan3[[#This Row],[Qty B]],0)</f>
        <v>750000</v>
      </c>
      <c r="T927" s="36">
        <f>IFERROR(cadangan3[[#This Row],[Harga Asli B]]-(cadangan3[[#This Row],[Harga Asli B]]*cadangan3[[#This Row],[Diskon]]),cadangan3[[#This Row],[Harga Asli B]])</f>
        <v>675000</v>
      </c>
      <c r="U927" s="36">
        <f>IFERROR(INDEX(Katalog!$F$3:$F$12,MATCH(cadangan3[[#This Row],[ItemID B]],Katalog!$C$3:$C$12,0))*cadangan3[[#This Row],[Qty B]],0)</f>
        <v>300000</v>
      </c>
      <c r="V927" s="36">
        <f>IFERROR(cadangan3[[#This Row],[Profit B]]-(cadangan3[[#This Row],[Profit B]]*cadangan3[[#This Row],[Diskon]]),U927)</f>
        <v>270000</v>
      </c>
      <c r="W927" t="s">
        <v>64</v>
      </c>
      <c r="X927" t="str">
        <f>IFERROR(INDEX(Katalog!$A$3:$A$12,MATCH(cadangan3[[#This Row],[ItemID C]],Katalog!$C$3:$C$12,0)),"-")</f>
        <v>Pakaian Unisex</v>
      </c>
      <c r="Y927" t="str">
        <f>IFERROR(INDEX(Katalog!$B$3:$B$12,MATCH(cadangan3[[#This Row],[ItemID C]],Katalog!$C$3:$C$12,0)),"-")</f>
        <v>Jaket Hoodie</v>
      </c>
      <c r="Z927">
        <v>2</v>
      </c>
      <c r="AA927">
        <v>5</v>
      </c>
      <c r="AB927" s="36">
        <f>IFERROR(INDEX(Katalog!$D$3:$D$12,MATCH(cadangan3[[#This Row],[ItemID C]],Katalog!$C$3:$C$12,0))*cadangan3[[#This Row],[Qty C]],0)</f>
        <v>700000</v>
      </c>
      <c r="AC927" s="36">
        <f>IFERROR(INDEX(Katalog!$D$3:$D$12,MATCH(cadangan3[[#This Row],[Item C]],Katalog!$B$3:$B$12,0))*cadangan3[[#This Row],[Qty C]],0)</f>
        <v>700000</v>
      </c>
      <c r="AD927" s="36">
        <f>IFERROR(cadangan3[[#This Row],[Harga Asli C]]-(cadangan3[[#This Row],[Harga Asli C]]*cadangan3[[#This Row],[Diskon]]),cadangan3[[#This Row],[Harga Asli C]])</f>
        <v>630000</v>
      </c>
      <c r="AE927" s="36">
        <f>IFERROR(INDEX(Katalog!$F$3:$F$12,MATCH(cadangan3[[#This Row],[ItemID C]],Katalog!$C$3:$C$12,0))*cadangan3[[#This Row],[Qty C]],0)</f>
        <v>260000</v>
      </c>
      <c r="AF927" s="36">
        <f>IFERROR(cadangan3[[#This Row],[Profit C]]-(cadangan3[[#This Row],[Profit C]]*cadangan3[[#This Row],[Diskon]]),cadangan3[[#This Row],[Profit C]])</f>
        <v>234000</v>
      </c>
      <c r="AG927" s="21">
        <f>cadangan3[[#This Row],[Qty A]]+cadangan3[[#This Row],[Qty B]]+cadangan3[[#This Row],[Qty C]]</f>
        <v>7</v>
      </c>
      <c r="AH927" s="35">
        <f>cadangan3[[#This Row],[Harga A + Diskon]]+cadangan3[[#This Row],[Harga + Diskon B]]+cadangan3[[#This Row],[Harga + Diskon C]]</f>
        <v>2025000</v>
      </c>
      <c r="AI927" s="35">
        <f>(cadangan3[[#This Row],[Profit A]]+cadangan3[[#This Row],[Profit B]]+cadangan3[[#This Row],[Profit C]])</f>
        <v>860000</v>
      </c>
      <c r="AJ927" s="35">
        <f>cadangan3[[#This Row],[Provit A + Diskon]]+cadangan3[[#This Row],[Provit B + Diskon]]+cadangan3[[#This Row],[Provit C + Diskon]]</f>
        <v>774000</v>
      </c>
      <c r="AK927" s="23" t="s">
        <v>30</v>
      </c>
      <c r="AL927" s="37">
        <f>IFERROR(INDEX('Kode Diskon'!$D$3:$D$9,MATCH(cadangan3[[#This Row],[Kode diskon]],'Kode Diskon'!$C$3:$C$9,0)),"-")</f>
        <v>0.1</v>
      </c>
      <c r="AM927" s="23" t="s">
        <v>29</v>
      </c>
      <c r="AN927" s="23" t="s">
        <v>10</v>
      </c>
      <c r="AO927" s="23" t="s">
        <v>79</v>
      </c>
      <c r="AP927" s="24">
        <v>45019</v>
      </c>
      <c r="AQ927" s="23" t="str">
        <f>TEXT(cadangan3[[#This Row],[Tanggal terjual]],"dddd")</f>
        <v>Monday</v>
      </c>
    </row>
    <row r="928" spans="1:43" x14ac:dyDescent="0.2">
      <c r="A928" s="20">
        <v>927</v>
      </c>
      <c r="B928" s="21" t="str">
        <f>_xlfn.CONCAT("ORD-",INDEX(Helper!$B$2:$B$5,MATCH(cadangan3[[#This Row],[Marketplace]],Helper!$A$2:$A$5,0)),TEXT(cadangan3[[#This Row],[No]],"0000"),"-",TEXT(cadangan3[[#This Row],[Tanggal terjual]],"dd/mm/yy"))</f>
        <v>ORD-BB0927-06/04/23</v>
      </c>
      <c r="C928" t="s">
        <v>67</v>
      </c>
      <c r="D928" t="str">
        <f>IFERROR(INDEX(Katalog!$A$3:$A$12,MATCH(cadangan3[[#This Row],[ItemID A]],Katalog!$C$3:$C$12,0)),"-")</f>
        <v>Sepatu Wanita</v>
      </c>
      <c r="E928" t="str">
        <f>IFERROR(INDEX(Katalog!$B$3:$B$12,MATCH(cadangan3[[#This Row],[ItemID A]],Katalog!$C$3:$C$12,0)),"-")</f>
        <v>Flat Shoes</v>
      </c>
      <c r="F928">
        <v>6</v>
      </c>
      <c r="G928">
        <v>1</v>
      </c>
      <c r="H928" s="36">
        <f>IFERROR(INDEX(Katalog!$D$3:$D$12,MATCH(cadangan3[[#This Row],[ItemID A]],Katalog!$C$3:$C$12,0))*cadangan3[[#This Row],[Qty A]],0)</f>
        <v>1500000</v>
      </c>
      <c r="I928" s="36">
        <f>IFERROR(INDEX(Katalog!$D$3:$D$12,MATCH(cadangan3[[#This Row],[Item A]],Katalog!$B$3:$B$12,0))*cadangan3[[#This Row],[Qty A]],0)</f>
        <v>1500000</v>
      </c>
      <c r="J928" s="36">
        <f>IFERROR(cadangan3[[#This Row],[Harga Asli A]]-(cadangan3[[#This Row],[Harga Asli A]]*cadangan3[[#This Row],[Diskon]]),cadangan3[[#This Row],[Harga Asli A]])</f>
        <v>1275000</v>
      </c>
      <c r="K928" s="36">
        <f>INDEX(Katalog!$F$3:$F$12,MATCH(cadangan3[[#This Row],[ItemID A]],Katalog!$C$3:$C$12,0))*cadangan3[[#This Row],[Qty A]]</f>
        <v>600000</v>
      </c>
      <c r="L928" s="36">
        <f>IFERROR(cadangan3[[#This Row],[Profit A]]-(cadangan3[[#This Row],[Profit A]]*cadangan3[[#This Row],[Diskon]]),K928)</f>
        <v>510000</v>
      </c>
      <c r="M928" t="s">
        <v>59</v>
      </c>
      <c r="N928" t="str">
        <f>IFERROR(INDEX(Katalog!$A$3:$A$12,MATCH(cadangan3[[#This Row],[ItemID B]],Katalog!$C$3:$C$12,0)),"-")</f>
        <v>Pakaian Wanita</v>
      </c>
      <c r="O928" t="str">
        <f>IFERROR(INDEX(Katalog!$B$3:$B$12,MATCH(cadangan3[[#This Row],[ItemID B]],Katalog!$C$3:$C$12,0)),"-")</f>
        <v>Blouse</v>
      </c>
      <c r="P928">
        <v>1</v>
      </c>
      <c r="Q928">
        <v>2</v>
      </c>
      <c r="R928" s="36">
        <f>IFERROR(INDEX(Katalog!$D$3:$D$12,MATCH(cadangan3[[#This Row],[ItemID B]],Katalog!$C$3:$C$12,0))*cadangan3[[#This Row],[Qty B]],0)</f>
        <v>150000</v>
      </c>
      <c r="S928" s="36">
        <f>IFERROR(INDEX(Katalog!$D$3:$D$12,MATCH(cadangan3[[#This Row],[Item B]],Katalog!$B$3:$B$12,0))*cadangan3[[#This Row],[Qty B]],0)</f>
        <v>150000</v>
      </c>
      <c r="T928" s="36">
        <f>IFERROR(cadangan3[[#This Row],[Harga Asli B]]-(cadangan3[[#This Row],[Harga Asli B]]*cadangan3[[#This Row],[Diskon]]),cadangan3[[#This Row],[Harga Asli B]])</f>
        <v>127500</v>
      </c>
      <c r="U928" s="36">
        <f>IFERROR(INDEX(Katalog!$F$3:$F$12,MATCH(cadangan3[[#This Row],[ItemID B]],Katalog!$C$3:$C$12,0))*cadangan3[[#This Row],[Qty B]],0)</f>
        <v>50000</v>
      </c>
      <c r="V928" s="36">
        <f>IFERROR(cadangan3[[#This Row],[Profit B]]-(cadangan3[[#This Row],[Profit B]]*cadangan3[[#This Row],[Diskon]]),U928)</f>
        <v>42500</v>
      </c>
      <c r="X928" t="str">
        <f>IFERROR(INDEX(Katalog!$A$3:$A$12,MATCH(cadangan3[[#This Row],[ItemID C]],Katalog!$C$3:$C$12,0)),"-")</f>
        <v>-</v>
      </c>
      <c r="Y928" t="str">
        <f>IFERROR(INDEX(Katalog!$B$3:$B$12,MATCH(cadangan3[[#This Row],[ItemID C]],Katalog!$C$3:$C$12,0)),"-")</f>
        <v>-</v>
      </c>
      <c r="AB928" s="36">
        <f>IFERROR(INDEX(Katalog!$D$3:$D$12,MATCH(cadangan3[[#This Row],[ItemID C]],Katalog!$C$3:$C$12,0))*cadangan3[[#This Row],[Qty C]],0)</f>
        <v>0</v>
      </c>
      <c r="AC928" s="36">
        <f>IFERROR(INDEX(Katalog!$D$3:$D$12,MATCH(cadangan3[[#This Row],[Item C]],Katalog!$B$3:$B$12,0))*cadangan3[[#This Row],[Qty C]],0)</f>
        <v>0</v>
      </c>
      <c r="AD928" s="36">
        <f>IFERROR(cadangan3[[#This Row],[Harga Asli C]]-(cadangan3[[#This Row],[Harga Asli C]]*cadangan3[[#This Row],[Diskon]]),cadangan3[[#This Row],[Harga Asli C]])</f>
        <v>0</v>
      </c>
      <c r="AE928" s="36">
        <f>IFERROR(INDEX(Katalog!$F$3:$F$12,MATCH(cadangan3[[#This Row],[ItemID C]],Katalog!$C$3:$C$12,0))*cadangan3[[#This Row],[Qty C]],0)</f>
        <v>0</v>
      </c>
      <c r="AF928" s="36">
        <f>IFERROR(cadangan3[[#This Row],[Profit C]]-(cadangan3[[#This Row],[Profit C]]*cadangan3[[#This Row],[Diskon]]),cadangan3[[#This Row],[Profit C]])</f>
        <v>0</v>
      </c>
      <c r="AG928" s="21">
        <f>cadangan3[[#This Row],[Qty A]]+cadangan3[[#This Row],[Qty B]]+cadangan3[[#This Row],[Qty C]]</f>
        <v>7</v>
      </c>
      <c r="AH928" s="35">
        <f>cadangan3[[#This Row],[Harga A + Diskon]]+cadangan3[[#This Row],[Harga + Diskon B]]+cadangan3[[#This Row],[Harga + Diskon C]]</f>
        <v>1402500</v>
      </c>
      <c r="AI928" s="35">
        <f>(cadangan3[[#This Row],[Profit A]]+cadangan3[[#This Row],[Profit B]]+cadangan3[[#This Row],[Profit C]])</f>
        <v>650000</v>
      </c>
      <c r="AJ928" s="35">
        <f>cadangan3[[#This Row],[Provit A + Diskon]]+cadangan3[[#This Row],[Provit B + Diskon]]+cadangan3[[#This Row],[Provit C + Diskon]]</f>
        <v>552500</v>
      </c>
      <c r="AK928" s="23" t="s">
        <v>28</v>
      </c>
      <c r="AL928" s="37">
        <f>IFERROR(INDEX('Kode Diskon'!$D$3:$D$9,MATCH(cadangan3[[#This Row],[Kode diskon]],'Kode Diskon'!$C$3:$C$9,0)),"-")</f>
        <v>0.15</v>
      </c>
      <c r="AM928" s="23" t="s">
        <v>29</v>
      </c>
      <c r="AN928" s="23" t="s">
        <v>14</v>
      </c>
      <c r="AO928" s="23" t="s">
        <v>77</v>
      </c>
      <c r="AP928" s="24">
        <v>45022</v>
      </c>
      <c r="AQ928" s="23" t="str">
        <f>TEXT(cadangan3[[#This Row],[Tanggal terjual]],"dddd")</f>
        <v>Thursday</v>
      </c>
    </row>
    <row r="929" spans="1:43" x14ac:dyDescent="0.2">
      <c r="A929" s="20">
        <v>928</v>
      </c>
      <c r="B929" s="21" t="str">
        <f>_xlfn.CONCAT("ORD-",INDEX(Helper!$B$2:$B$5,MATCH(cadangan3[[#This Row],[Marketplace]],Helper!$A$2:$A$5,0)),TEXT(cadangan3[[#This Row],[No]],"0000"),"-",TEXT(cadangan3[[#This Row],[Tanggal terjual]],"dd/mm/yy"))</f>
        <v>ORD-TK0928-26/04/23</v>
      </c>
      <c r="C929" t="s">
        <v>66</v>
      </c>
      <c r="D929" t="str">
        <f>IFERROR(INDEX(Katalog!$A$3:$A$12,MATCH(cadangan3[[#This Row],[ItemID A]],Katalog!$C$3:$C$12,0)),"-")</f>
        <v>Sepatu Pria</v>
      </c>
      <c r="E929" t="str">
        <f>IFERROR(INDEX(Katalog!$B$3:$B$12,MATCH(cadangan3[[#This Row],[ItemID A]],Katalog!$C$3:$C$12,0)),"-")</f>
        <v>Sandal Slip On</v>
      </c>
      <c r="F929">
        <v>2</v>
      </c>
      <c r="G929">
        <v>2</v>
      </c>
      <c r="H929" s="36">
        <f>IFERROR(INDEX(Katalog!$D$3:$D$12,MATCH(cadangan3[[#This Row],[ItemID A]],Katalog!$C$3:$C$12,0))*cadangan3[[#This Row],[Qty A]],0)</f>
        <v>300000</v>
      </c>
      <c r="I929" s="36">
        <f>IFERROR(INDEX(Katalog!$D$3:$D$12,MATCH(cadangan3[[#This Row],[Item A]],Katalog!$B$3:$B$12,0))*cadangan3[[#This Row],[Qty A]],0)</f>
        <v>300000</v>
      </c>
      <c r="J929" s="36">
        <f>IFERROR(cadangan3[[#This Row],[Harga Asli A]]-(cadangan3[[#This Row],[Harga Asli A]]*cadangan3[[#This Row],[Diskon]]),cadangan3[[#This Row],[Harga Asli A]])</f>
        <v>270000</v>
      </c>
      <c r="K929" s="36">
        <f>INDEX(Katalog!$F$3:$F$12,MATCH(cadangan3[[#This Row],[ItemID A]],Katalog!$C$3:$C$12,0))*cadangan3[[#This Row],[Qty A]]</f>
        <v>120000</v>
      </c>
      <c r="L929" s="36">
        <f>IFERROR(cadangan3[[#This Row],[Profit A]]-(cadangan3[[#This Row],[Profit A]]*cadangan3[[#This Row],[Diskon]]),K929)</f>
        <v>108000</v>
      </c>
      <c r="N929" t="str">
        <f>IFERROR(INDEX(Katalog!$A$3:$A$12,MATCH(cadangan3[[#This Row],[ItemID B]],Katalog!$C$3:$C$12,0)),"-")</f>
        <v>-</v>
      </c>
      <c r="O929" t="str">
        <f>IFERROR(INDEX(Katalog!$B$3:$B$12,MATCH(cadangan3[[#This Row],[ItemID B]],Katalog!$C$3:$C$12,0)),"-")</f>
        <v>-</v>
      </c>
      <c r="R929" s="36">
        <f>IFERROR(INDEX(Katalog!$D$3:$D$12,MATCH(cadangan3[[#This Row],[ItemID B]],Katalog!$C$3:$C$12,0))*cadangan3[[#This Row],[Qty B]],0)</f>
        <v>0</v>
      </c>
      <c r="S929" s="36">
        <f>IFERROR(INDEX(Katalog!$D$3:$D$12,MATCH(cadangan3[[#This Row],[Item B]],Katalog!$B$3:$B$12,0))*cadangan3[[#This Row],[Qty B]],0)</f>
        <v>0</v>
      </c>
      <c r="T929" s="36">
        <f>IFERROR(cadangan3[[#This Row],[Harga Asli B]]-(cadangan3[[#This Row],[Harga Asli B]]*cadangan3[[#This Row],[Diskon]]),cadangan3[[#This Row],[Harga Asli B]])</f>
        <v>0</v>
      </c>
      <c r="U929" s="36">
        <f>IFERROR(INDEX(Katalog!$F$3:$F$12,MATCH(cadangan3[[#This Row],[ItemID B]],Katalog!$C$3:$C$12,0))*cadangan3[[#This Row],[Qty B]],0)</f>
        <v>0</v>
      </c>
      <c r="V929" s="36">
        <f>IFERROR(cadangan3[[#This Row],[Profit B]]-(cadangan3[[#This Row],[Profit B]]*cadangan3[[#This Row],[Diskon]]),U929)</f>
        <v>0</v>
      </c>
      <c r="X929" t="str">
        <f>IFERROR(INDEX(Katalog!$A$3:$A$12,MATCH(cadangan3[[#This Row],[ItemID C]],Katalog!$C$3:$C$12,0)),"-")</f>
        <v>-</v>
      </c>
      <c r="Y929" t="str">
        <f>IFERROR(INDEX(Katalog!$B$3:$B$12,MATCH(cadangan3[[#This Row],[ItemID C]],Katalog!$C$3:$C$12,0)),"-")</f>
        <v>-</v>
      </c>
      <c r="AB929" s="36">
        <f>IFERROR(INDEX(Katalog!$D$3:$D$12,MATCH(cadangan3[[#This Row],[ItemID C]],Katalog!$C$3:$C$12,0))*cadangan3[[#This Row],[Qty C]],0)</f>
        <v>0</v>
      </c>
      <c r="AC929" s="36">
        <f>IFERROR(INDEX(Katalog!$D$3:$D$12,MATCH(cadangan3[[#This Row],[Item C]],Katalog!$B$3:$B$12,0))*cadangan3[[#This Row],[Qty C]],0)</f>
        <v>0</v>
      </c>
      <c r="AD929" s="36">
        <f>IFERROR(cadangan3[[#This Row],[Harga Asli C]]-(cadangan3[[#This Row],[Harga Asli C]]*cadangan3[[#This Row],[Diskon]]),cadangan3[[#This Row],[Harga Asli C]])</f>
        <v>0</v>
      </c>
      <c r="AE929" s="36">
        <f>IFERROR(INDEX(Katalog!$F$3:$F$12,MATCH(cadangan3[[#This Row],[ItemID C]],Katalog!$C$3:$C$12,0))*cadangan3[[#This Row],[Qty C]],0)</f>
        <v>0</v>
      </c>
      <c r="AF929" s="36">
        <f>IFERROR(cadangan3[[#This Row],[Profit C]]-(cadangan3[[#This Row],[Profit C]]*cadangan3[[#This Row],[Diskon]]),cadangan3[[#This Row],[Profit C]])</f>
        <v>0</v>
      </c>
      <c r="AG929" s="21">
        <f>cadangan3[[#This Row],[Qty A]]+cadangan3[[#This Row],[Qty B]]+cadangan3[[#This Row],[Qty C]]</f>
        <v>2</v>
      </c>
      <c r="AH929" s="35">
        <f>cadangan3[[#This Row],[Harga A + Diskon]]+cadangan3[[#This Row],[Harga + Diskon B]]+cadangan3[[#This Row],[Harga + Diskon C]]</f>
        <v>270000</v>
      </c>
      <c r="AI929" s="35">
        <f>(cadangan3[[#This Row],[Profit A]]+cadangan3[[#This Row],[Profit B]]+cadangan3[[#This Row],[Profit C]])</f>
        <v>120000</v>
      </c>
      <c r="AJ929" s="35">
        <f>cadangan3[[#This Row],[Provit A + Diskon]]+cadangan3[[#This Row],[Provit B + Diskon]]+cadangan3[[#This Row],[Provit C + Diskon]]</f>
        <v>108000</v>
      </c>
      <c r="AK929" s="23" t="s">
        <v>31</v>
      </c>
      <c r="AL929" s="37">
        <f>IFERROR(INDEX('Kode Diskon'!$D$3:$D$9,MATCH(cadangan3[[#This Row],[Kode diskon]],'Kode Diskon'!$C$3:$C$9,0)),"-")</f>
        <v>0.1</v>
      </c>
      <c r="AM929" s="23" t="s">
        <v>9</v>
      </c>
      <c r="AN929" s="23" t="s">
        <v>10</v>
      </c>
      <c r="AO929" s="23" t="s">
        <v>76</v>
      </c>
      <c r="AP929" s="24">
        <v>45042</v>
      </c>
      <c r="AQ929" s="23" t="str">
        <f>TEXT(cadangan3[[#This Row],[Tanggal terjual]],"dddd")</f>
        <v>Wednesday</v>
      </c>
    </row>
    <row r="930" spans="1:43" x14ac:dyDescent="0.2">
      <c r="A930" s="20">
        <v>929</v>
      </c>
      <c r="B930" s="21" t="str">
        <f>_xlfn.CONCAT("ORD-",INDEX(Helper!$B$2:$B$5,MATCH(cadangan3[[#This Row],[Marketplace]],Helper!$A$2:$A$5,0)),TEXT(cadangan3[[#This Row],[No]],"0000"),"-",TEXT(cadangan3[[#This Row],[Tanggal terjual]],"dd/mm/yy"))</f>
        <v>ORD-TK0929-03/04/23</v>
      </c>
      <c r="C930" t="s">
        <v>63</v>
      </c>
      <c r="D930" t="str">
        <f>IFERROR(INDEX(Katalog!$A$3:$A$12,MATCH(cadangan3[[#This Row],[ItemID A]],Katalog!$C$3:$C$12,0)),"-")</f>
        <v>Pakaian Pria</v>
      </c>
      <c r="E930" t="str">
        <f>IFERROR(INDEX(Katalog!$B$3:$B$12,MATCH(cadangan3[[#This Row],[ItemID A]],Katalog!$C$3:$C$12,0)),"-")</f>
        <v>Jaket Jeans</v>
      </c>
      <c r="F930">
        <v>1</v>
      </c>
      <c r="G930">
        <v>5</v>
      </c>
      <c r="H930" s="36">
        <f>IFERROR(INDEX(Katalog!$D$3:$D$12,MATCH(cadangan3[[#This Row],[ItemID A]],Katalog!$C$3:$C$12,0))*cadangan3[[#This Row],[Qty A]],0)</f>
        <v>400000</v>
      </c>
      <c r="I930" s="36">
        <f>IFERROR(INDEX(Katalog!$D$3:$D$12,MATCH(cadangan3[[#This Row],[Item A]],Katalog!$B$3:$B$12,0))*cadangan3[[#This Row],[Qty A]],0)</f>
        <v>400000</v>
      </c>
      <c r="J930" s="36">
        <f>IFERROR(cadangan3[[#This Row],[Harga Asli A]]-(cadangan3[[#This Row],[Harga Asli A]]*cadangan3[[#This Row],[Diskon]]),cadangan3[[#This Row],[Harga Asli A]])</f>
        <v>360000</v>
      </c>
      <c r="K930" s="36">
        <f>INDEX(Katalog!$F$3:$F$12,MATCH(cadangan3[[#This Row],[ItemID A]],Katalog!$C$3:$C$12,0))*cadangan3[[#This Row],[Qty A]]</f>
        <v>150000</v>
      </c>
      <c r="L930" s="36">
        <f>IFERROR(cadangan3[[#This Row],[Profit A]]-(cadangan3[[#This Row],[Profit A]]*cadangan3[[#This Row],[Diskon]]),K930)</f>
        <v>135000</v>
      </c>
      <c r="M930" t="s">
        <v>58</v>
      </c>
      <c r="N930" t="str">
        <f>IFERROR(INDEX(Katalog!$A$3:$A$12,MATCH(cadangan3[[#This Row],[ItemID B]],Katalog!$C$3:$C$12,0)),"-")</f>
        <v>Pakaian Wanita</v>
      </c>
      <c r="O930" t="str">
        <f>IFERROR(INDEX(Katalog!$B$3:$B$12,MATCH(cadangan3[[#This Row],[ItemID B]],Katalog!$C$3:$C$12,0)),"-")</f>
        <v>Dress</v>
      </c>
      <c r="P930">
        <v>1</v>
      </c>
      <c r="Q930">
        <v>1</v>
      </c>
      <c r="R930" s="36">
        <f>IFERROR(INDEX(Katalog!$D$3:$D$12,MATCH(cadangan3[[#This Row],[ItemID B]],Katalog!$C$3:$C$12,0))*cadangan3[[#This Row],[Qty B]],0)</f>
        <v>300000</v>
      </c>
      <c r="S930" s="36">
        <f>IFERROR(INDEX(Katalog!$D$3:$D$12,MATCH(cadangan3[[#This Row],[Item B]],Katalog!$B$3:$B$12,0))*cadangan3[[#This Row],[Qty B]],0)</f>
        <v>300000</v>
      </c>
      <c r="T930" s="36">
        <f>IFERROR(cadangan3[[#This Row],[Harga Asli B]]-(cadangan3[[#This Row],[Harga Asli B]]*cadangan3[[#This Row],[Diskon]]),cadangan3[[#This Row],[Harga Asli B]])</f>
        <v>270000</v>
      </c>
      <c r="U930" s="36">
        <f>IFERROR(INDEX(Katalog!$F$3:$F$12,MATCH(cadangan3[[#This Row],[ItemID B]],Katalog!$C$3:$C$12,0))*cadangan3[[#This Row],[Qty B]],0)</f>
        <v>100000</v>
      </c>
      <c r="V930" s="36">
        <f>IFERROR(cadangan3[[#This Row],[Profit B]]-(cadangan3[[#This Row],[Profit B]]*cadangan3[[#This Row],[Diskon]]),U930)</f>
        <v>90000</v>
      </c>
      <c r="X930" t="str">
        <f>IFERROR(INDEX(Katalog!$A$3:$A$12,MATCH(cadangan3[[#This Row],[ItemID C]],Katalog!$C$3:$C$12,0)),"-")</f>
        <v>-</v>
      </c>
      <c r="Y930" t="str">
        <f>IFERROR(INDEX(Katalog!$B$3:$B$12,MATCH(cadangan3[[#This Row],[ItemID C]],Katalog!$C$3:$C$12,0)),"-")</f>
        <v>-</v>
      </c>
      <c r="AB930" s="36">
        <f>IFERROR(INDEX(Katalog!$D$3:$D$12,MATCH(cadangan3[[#This Row],[ItemID C]],Katalog!$C$3:$C$12,0))*cadangan3[[#This Row],[Qty C]],0)</f>
        <v>0</v>
      </c>
      <c r="AC930" s="36">
        <f>IFERROR(INDEX(Katalog!$D$3:$D$12,MATCH(cadangan3[[#This Row],[Item C]],Katalog!$B$3:$B$12,0))*cadangan3[[#This Row],[Qty C]],0)</f>
        <v>0</v>
      </c>
      <c r="AD930" s="36">
        <f>IFERROR(cadangan3[[#This Row],[Harga Asli C]]-(cadangan3[[#This Row],[Harga Asli C]]*cadangan3[[#This Row],[Diskon]]),cadangan3[[#This Row],[Harga Asli C]])</f>
        <v>0</v>
      </c>
      <c r="AE930" s="36">
        <f>IFERROR(INDEX(Katalog!$F$3:$F$12,MATCH(cadangan3[[#This Row],[ItemID C]],Katalog!$C$3:$C$12,0))*cadangan3[[#This Row],[Qty C]],0)</f>
        <v>0</v>
      </c>
      <c r="AF930" s="36">
        <f>IFERROR(cadangan3[[#This Row],[Profit C]]-(cadangan3[[#This Row],[Profit C]]*cadangan3[[#This Row],[Diskon]]),cadangan3[[#This Row],[Profit C]])</f>
        <v>0</v>
      </c>
      <c r="AG930" s="21">
        <f>cadangan3[[#This Row],[Qty A]]+cadangan3[[#This Row],[Qty B]]+cadangan3[[#This Row],[Qty C]]</f>
        <v>2</v>
      </c>
      <c r="AH930" s="35">
        <f>cadangan3[[#This Row],[Harga A + Diskon]]+cadangan3[[#This Row],[Harga + Diskon B]]+cadangan3[[#This Row],[Harga + Diskon C]]</f>
        <v>630000</v>
      </c>
      <c r="AI930" s="35">
        <f>(cadangan3[[#This Row],[Profit A]]+cadangan3[[#This Row],[Profit B]]+cadangan3[[#This Row],[Profit C]])</f>
        <v>250000</v>
      </c>
      <c r="AJ930" s="35">
        <f>cadangan3[[#This Row],[Provit A + Diskon]]+cadangan3[[#This Row],[Provit B + Diskon]]+cadangan3[[#This Row],[Provit C + Diskon]]</f>
        <v>225000</v>
      </c>
      <c r="AK930" s="23" t="s">
        <v>30</v>
      </c>
      <c r="AL930" s="37">
        <f>IFERROR(INDEX('Kode Diskon'!$D$3:$D$9,MATCH(cadangan3[[#This Row],[Kode diskon]],'Kode Diskon'!$C$3:$C$9,0)),"-")</f>
        <v>0.1</v>
      </c>
      <c r="AM930" s="23" t="s">
        <v>29</v>
      </c>
      <c r="AN930" s="23" t="s">
        <v>10</v>
      </c>
      <c r="AO930" s="23" t="s">
        <v>80</v>
      </c>
      <c r="AP930" s="24">
        <v>45019</v>
      </c>
      <c r="AQ930" s="23" t="str">
        <f>TEXT(cadangan3[[#This Row],[Tanggal terjual]],"dddd")</f>
        <v>Monday</v>
      </c>
    </row>
    <row r="931" spans="1:43" x14ac:dyDescent="0.2">
      <c r="A931" s="20">
        <v>930</v>
      </c>
      <c r="B931" s="21" t="str">
        <f>_xlfn.CONCAT("ORD-",INDEX(Helper!$B$2:$B$5,MATCH(cadangan3[[#This Row],[Marketplace]],Helper!$A$2:$A$5,0)),TEXT(cadangan3[[#This Row],[No]],"0000"),"-",TEXT(cadangan3[[#This Row],[Tanggal terjual]],"dd/mm/yy"))</f>
        <v>ORD-TK0930-03/04/23</v>
      </c>
      <c r="C931" t="s">
        <v>67</v>
      </c>
      <c r="D931" t="str">
        <f>IFERROR(INDEX(Katalog!$A$3:$A$12,MATCH(cadangan3[[#This Row],[ItemID A]],Katalog!$C$3:$C$12,0)),"-")</f>
        <v>Sepatu Wanita</v>
      </c>
      <c r="E931" t="str">
        <f>IFERROR(INDEX(Katalog!$B$3:$B$12,MATCH(cadangan3[[#This Row],[ItemID A]],Katalog!$C$3:$C$12,0)),"-")</f>
        <v>Flat Shoes</v>
      </c>
      <c r="F931">
        <v>5</v>
      </c>
      <c r="G931">
        <v>1</v>
      </c>
      <c r="H931" s="36">
        <f>IFERROR(INDEX(Katalog!$D$3:$D$12,MATCH(cadangan3[[#This Row],[ItemID A]],Katalog!$C$3:$C$12,0))*cadangan3[[#This Row],[Qty A]],0)</f>
        <v>1250000</v>
      </c>
      <c r="I931" s="36">
        <f>IFERROR(INDEX(Katalog!$D$3:$D$12,MATCH(cadangan3[[#This Row],[Item A]],Katalog!$B$3:$B$12,0))*cadangan3[[#This Row],[Qty A]],0)</f>
        <v>1250000</v>
      </c>
      <c r="J931" s="36">
        <f>IFERROR(cadangan3[[#This Row],[Harga Asli A]]-(cadangan3[[#This Row],[Harga Asli A]]*cadangan3[[#This Row],[Diskon]]),cadangan3[[#This Row],[Harga Asli A]])</f>
        <v>1125000</v>
      </c>
      <c r="K931" s="36">
        <f>INDEX(Katalog!$F$3:$F$12,MATCH(cadangan3[[#This Row],[ItemID A]],Katalog!$C$3:$C$12,0))*cadangan3[[#This Row],[Qty A]]</f>
        <v>500000</v>
      </c>
      <c r="L931" s="36">
        <f>IFERROR(cadangan3[[#This Row],[Profit A]]-(cadangan3[[#This Row],[Profit A]]*cadangan3[[#This Row],[Diskon]]),K931)</f>
        <v>450000</v>
      </c>
      <c r="N931" t="str">
        <f>IFERROR(INDEX(Katalog!$A$3:$A$12,MATCH(cadangan3[[#This Row],[ItemID B]],Katalog!$C$3:$C$12,0)),"-")</f>
        <v>-</v>
      </c>
      <c r="O931" t="str">
        <f>IFERROR(INDEX(Katalog!$B$3:$B$12,MATCH(cadangan3[[#This Row],[ItemID B]],Katalog!$C$3:$C$12,0)),"-")</f>
        <v>-</v>
      </c>
      <c r="R931" s="36">
        <f>IFERROR(INDEX(Katalog!$D$3:$D$12,MATCH(cadangan3[[#This Row],[ItemID B]],Katalog!$C$3:$C$12,0))*cadangan3[[#This Row],[Qty B]],0)</f>
        <v>0</v>
      </c>
      <c r="S931" s="36">
        <f>IFERROR(INDEX(Katalog!$D$3:$D$12,MATCH(cadangan3[[#This Row],[Item B]],Katalog!$B$3:$B$12,0))*cadangan3[[#This Row],[Qty B]],0)</f>
        <v>0</v>
      </c>
      <c r="T931" s="36">
        <f>IFERROR(cadangan3[[#This Row],[Harga Asli B]]-(cadangan3[[#This Row],[Harga Asli B]]*cadangan3[[#This Row],[Diskon]]),cadangan3[[#This Row],[Harga Asli B]])</f>
        <v>0</v>
      </c>
      <c r="U931" s="36">
        <f>IFERROR(INDEX(Katalog!$F$3:$F$12,MATCH(cadangan3[[#This Row],[ItemID B]],Katalog!$C$3:$C$12,0))*cadangan3[[#This Row],[Qty B]],0)</f>
        <v>0</v>
      </c>
      <c r="V931" s="36">
        <f>IFERROR(cadangan3[[#This Row],[Profit B]]-(cadangan3[[#This Row],[Profit B]]*cadangan3[[#This Row],[Diskon]]),U931)</f>
        <v>0</v>
      </c>
      <c r="X931" t="str">
        <f>IFERROR(INDEX(Katalog!$A$3:$A$12,MATCH(cadangan3[[#This Row],[ItemID C]],Katalog!$C$3:$C$12,0)),"-")</f>
        <v>-</v>
      </c>
      <c r="Y931" t="str">
        <f>IFERROR(INDEX(Katalog!$B$3:$B$12,MATCH(cadangan3[[#This Row],[ItemID C]],Katalog!$C$3:$C$12,0)),"-")</f>
        <v>-</v>
      </c>
      <c r="AB931" s="36">
        <f>IFERROR(INDEX(Katalog!$D$3:$D$12,MATCH(cadangan3[[#This Row],[ItemID C]],Katalog!$C$3:$C$12,0))*cadangan3[[#This Row],[Qty C]],0)</f>
        <v>0</v>
      </c>
      <c r="AC931" s="36">
        <f>IFERROR(INDEX(Katalog!$D$3:$D$12,MATCH(cadangan3[[#This Row],[Item C]],Katalog!$B$3:$B$12,0))*cadangan3[[#This Row],[Qty C]],0)</f>
        <v>0</v>
      </c>
      <c r="AD931" s="36">
        <f>IFERROR(cadangan3[[#This Row],[Harga Asli C]]-(cadangan3[[#This Row],[Harga Asli C]]*cadangan3[[#This Row],[Diskon]]),cadangan3[[#This Row],[Harga Asli C]])</f>
        <v>0</v>
      </c>
      <c r="AE931" s="36">
        <f>IFERROR(INDEX(Katalog!$F$3:$F$12,MATCH(cadangan3[[#This Row],[ItemID C]],Katalog!$C$3:$C$12,0))*cadangan3[[#This Row],[Qty C]],0)</f>
        <v>0</v>
      </c>
      <c r="AF931" s="36">
        <f>IFERROR(cadangan3[[#This Row],[Profit C]]-(cadangan3[[#This Row],[Profit C]]*cadangan3[[#This Row],[Diskon]]),cadangan3[[#This Row],[Profit C]])</f>
        <v>0</v>
      </c>
      <c r="AG931" s="21">
        <f>cadangan3[[#This Row],[Qty A]]+cadangan3[[#This Row],[Qty B]]+cadangan3[[#This Row],[Qty C]]</f>
        <v>5</v>
      </c>
      <c r="AH931" s="35">
        <f>cadangan3[[#This Row],[Harga A + Diskon]]+cadangan3[[#This Row],[Harga + Diskon B]]+cadangan3[[#This Row],[Harga + Diskon C]]</f>
        <v>1125000</v>
      </c>
      <c r="AI931" s="35">
        <f>(cadangan3[[#This Row],[Profit A]]+cadangan3[[#This Row],[Profit B]]+cadangan3[[#This Row],[Profit C]])</f>
        <v>500000</v>
      </c>
      <c r="AJ931" s="35">
        <f>cadangan3[[#This Row],[Provit A + Diskon]]+cadangan3[[#This Row],[Provit B + Diskon]]+cadangan3[[#This Row],[Provit C + Diskon]]</f>
        <v>450000</v>
      </c>
      <c r="AK931" s="23" t="s">
        <v>30</v>
      </c>
      <c r="AL931" s="37">
        <f>IFERROR(INDEX('Kode Diskon'!$D$3:$D$9,MATCH(cadangan3[[#This Row],[Kode diskon]],'Kode Diskon'!$C$3:$C$9,0)),"-")</f>
        <v>0.1</v>
      </c>
      <c r="AM931" s="23" t="s">
        <v>29</v>
      </c>
      <c r="AN931" s="23" t="s">
        <v>10</v>
      </c>
      <c r="AO931" s="23" t="s">
        <v>76</v>
      </c>
      <c r="AP931" s="24">
        <v>45019</v>
      </c>
      <c r="AQ931" s="23" t="str">
        <f>TEXT(cadangan3[[#This Row],[Tanggal terjual]],"dddd")</f>
        <v>Monday</v>
      </c>
    </row>
    <row r="932" spans="1:43" x14ac:dyDescent="0.2">
      <c r="A932" s="20">
        <v>931</v>
      </c>
      <c r="B932" s="21" t="str">
        <f>_xlfn.CONCAT("ORD-",INDEX(Helper!$B$2:$B$5,MATCH(cadangan3[[#This Row],[Marketplace]],Helper!$A$2:$A$5,0)),TEXT(cadangan3[[#This Row],[No]],"0000"),"-",TEXT(cadangan3[[#This Row],[Tanggal terjual]],"dd/mm/yy"))</f>
        <v>ORD-BB0931-06/04/23</v>
      </c>
      <c r="C932" t="s">
        <v>66</v>
      </c>
      <c r="D932" t="str">
        <f>IFERROR(INDEX(Katalog!$A$3:$A$12,MATCH(cadangan3[[#This Row],[ItemID A]],Katalog!$C$3:$C$12,0)),"-")</f>
        <v>Sepatu Pria</v>
      </c>
      <c r="E932" t="str">
        <f>IFERROR(INDEX(Katalog!$B$3:$B$12,MATCH(cadangan3[[#This Row],[ItemID A]],Katalog!$C$3:$C$12,0)),"-")</f>
        <v>Sandal Slip On</v>
      </c>
      <c r="F932">
        <v>2</v>
      </c>
      <c r="G932">
        <v>2</v>
      </c>
      <c r="H932" s="36">
        <f>IFERROR(INDEX(Katalog!$D$3:$D$12,MATCH(cadangan3[[#This Row],[ItemID A]],Katalog!$C$3:$C$12,0))*cadangan3[[#This Row],[Qty A]],0)</f>
        <v>300000</v>
      </c>
      <c r="I932" s="36">
        <f>IFERROR(INDEX(Katalog!$D$3:$D$12,MATCH(cadangan3[[#This Row],[Item A]],Katalog!$B$3:$B$12,0))*cadangan3[[#This Row],[Qty A]],0)</f>
        <v>300000</v>
      </c>
      <c r="J932" s="36">
        <f>IFERROR(cadangan3[[#This Row],[Harga Asli A]]-(cadangan3[[#This Row],[Harga Asli A]]*cadangan3[[#This Row],[Diskon]]),cadangan3[[#This Row],[Harga Asli A]])</f>
        <v>255000</v>
      </c>
      <c r="K932" s="36">
        <f>INDEX(Katalog!$F$3:$F$12,MATCH(cadangan3[[#This Row],[ItemID A]],Katalog!$C$3:$C$12,0))*cadangan3[[#This Row],[Qty A]]</f>
        <v>120000</v>
      </c>
      <c r="L932" s="36">
        <f>IFERROR(cadangan3[[#This Row],[Profit A]]-(cadangan3[[#This Row],[Profit A]]*cadangan3[[#This Row],[Diskon]]),K932)</f>
        <v>102000</v>
      </c>
      <c r="M932" t="s">
        <v>65</v>
      </c>
      <c r="N932" t="str">
        <f>IFERROR(INDEX(Katalog!$A$3:$A$12,MATCH(cadangan3[[#This Row],[ItemID B]],Katalog!$C$3:$C$12,0)),"-")</f>
        <v>Sepatu Pria</v>
      </c>
      <c r="O932" t="str">
        <f>IFERROR(INDEX(Katalog!$B$3:$B$12,MATCH(cadangan3[[#This Row],[ItemID B]],Katalog!$C$3:$C$12,0)),"-")</f>
        <v>Sneakers</v>
      </c>
      <c r="P932">
        <v>1</v>
      </c>
      <c r="Q932">
        <v>5</v>
      </c>
      <c r="R932" s="36">
        <f>IFERROR(INDEX(Katalog!$D$3:$D$12,MATCH(cadangan3[[#This Row],[ItemID B]],Katalog!$C$3:$C$12,0))*cadangan3[[#This Row],[Qty B]],0)</f>
        <v>500000</v>
      </c>
      <c r="S932" s="36">
        <f>IFERROR(INDEX(Katalog!$D$3:$D$12,MATCH(cadangan3[[#This Row],[Item B]],Katalog!$B$3:$B$12,0))*cadangan3[[#This Row],[Qty B]],0)</f>
        <v>500000</v>
      </c>
      <c r="T932" s="36">
        <f>IFERROR(cadangan3[[#This Row],[Harga Asli B]]-(cadangan3[[#This Row],[Harga Asli B]]*cadangan3[[#This Row],[Diskon]]),cadangan3[[#This Row],[Harga Asli B]])</f>
        <v>425000</v>
      </c>
      <c r="U932" s="36">
        <f>IFERROR(INDEX(Katalog!$F$3:$F$12,MATCH(cadangan3[[#This Row],[ItemID B]],Katalog!$C$3:$C$12,0))*cadangan3[[#This Row],[Qty B]],0)</f>
        <v>200000</v>
      </c>
      <c r="V932" s="36">
        <f>IFERROR(cadangan3[[#This Row],[Profit B]]-(cadangan3[[#This Row],[Profit B]]*cadangan3[[#This Row],[Diskon]]),U932)</f>
        <v>170000</v>
      </c>
      <c r="W932" t="s">
        <v>67</v>
      </c>
      <c r="X932" t="str">
        <f>IFERROR(INDEX(Katalog!$A$3:$A$12,MATCH(cadangan3[[#This Row],[ItemID C]],Katalog!$C$3:$C$12,0)),"-")</f>
        <v>Sepatu Wanita</v>
      </c>
      <c r="Y932" t="str">
        <f>IFERROR(INDEX(Katalog!$B$3:$B$12,MATCH(cadangan3[[#This Row],[ItemID C]],Katalog!$C$3:$C$12,0)),"-")</f>
        <v>Flat Shoes</v>
      </c>
      <c r="Z932">
        <v>2</v>
      </c>
      <c r="AA932">
        <v>5</v>
      </c>
      <c r="AB932" s="36">
        <f>IFERROR(INDEX(Katalog!$D$3:$D$12,MATCH(cadangan3[[#This Row],[ItemID C]],Katalog!$C$3:$C$12,0))*cadangan3[[#This Row],[Qty C]],0)</f>
        <v>500000</v>
      </c>
      <c r="AC932" s="36">
        <f>IFERROR(INDEX(Katalog!$D$3:$D$12,MATCH(cadangan3[[#This Row],[Item C]],Katalog!$B$3:$B$12,0))*cadangan3[[#This Row],[Qty C]],0)</f>
        <v>500000</v>
      </c>
      <c r="AD932" s="36">
        <f>IFERROR(cadangan3[[#This Row],[Harga Asli C]]-(cadangan3[[#This Row],[Harga Asli C]]*cadangan3[[#This Row],[Diskon]]),cadangan3[[#This Row],[Harga Asli C]])</f>
        <v>425000</v>
      </c>
      <c r="AE932" s="36">
        <f>IFERROR(INDEX(Katalog!$F$3:$F$12,MATCH(cadangan3[[#This Row],[ItemID C]],Katalog!$C$3:$C$12,0))*cadangan3[[#This Row],[Qty C]],0)</f>
        <v>200000</v>
      </c>
      <c r="AF932" s="36">
        <f>IFERROR(cadangan3[[#This Row],[Profit C]]-(cadangan3[[#This Row],[Profit C]]*cadangan3[[#This Row],[Diskon]]),cadangan3[[#This Row],[Profit C]])</f>
        <v>170000</v>
      </c>
      <c r="AG932" s="21">
        <f>cadangan3[[#This Row],[Qty A]]+cadangan3[[#This Row],[Qty B]]+cadangan3[[#This Row],[Qty C]]</f>
        <v>5</v>
      </c>
      <c r="AH932" s="35">
        <f>cadangan3[[#This Row],[Harga A + Diskon]]+cadangan3[[#This Row],[Harga + Diskon B]]+cadangan3[[#This Row],[Harga + Diskon C]]</f>
        <v>1105000</v>
      </c>
      <c r="AI932" s="35">
        <f>(cadangan3[[#This Row],[Profit A]]+cadangan3[[#This Row],[Profit B]]+cadangan3[[#This Row],[Profit C]])</f>
        <v>520000</v>
      </c>
      <c r="AJ932" s="35">
        <f>cadangan3[[#This Row],[Provit A + Diskon]]+cadangan3[[#This Row],[Provit B + Diskon]]+cadangan3[[#This Row],[Provit C + Diskon]]</f>
        <v>442000</v>
      </c>
      <c r="AK932" s="23" t="s">
        <v>28</v>
      </c>
      <c r="AL932" s="37">
        <f>IFERROR(INDEX('Kode Diskon'!$D$3:$D$9,MATCH(cadangan3[[#This Row],[Kode diskon]],'Kode Diskon'!$C$3:$C$9,0)),"-")</f>
        <v>0.15</v>
      </c>
      <c r="AM932" s="23" t="s">
        <v>29</v>
      </c>
      <c r="AN932" s="23" t="s">
        <v>14</v>
      </c>
      <c r="AO932" s="23" t="s">
        <v>78</v>
      </c>
      <c r="AP932" s="24">
        <v>45022</v>
      </c>
      <c r="AQ932" s="23" t="str">
        <f>TEXT(cadangan3[[#This Row],[Tanggal terjual]],"dddd")</f>
        <v>Thursday</v>
      </c>
    </row>
    <row r="933" spans="1:43" x14ac:dyDescent="0.2">
      <c r="A933" s="20">
        <v>932</v>
      </c>
      <c r="B933" s="21" t="str">
        <f>_xlfn.CONCAT("ORD-",INDEX(Helper!$B$2:$B$5,MATCH(cadangan3[[#This Row],[Marketplace]],Helper!$A$2:$A$5,0)),TEXT(cadangan3[[#This Row],[No]],"0000"),"-",TEXT(cadangan3[[#This Row],[Tanggal terjual]],"dd/mm/yy"))</f>
        <v>ORD-SP0932-16/04/23</v>
      </c>
      <c r="C933" t="s">
        <v>62</v>
      </c>
      <c r="D933" t="str">
        <f>IFERROR(INDEX(Katalog!$A$3:$A$12,MATCH(cadangan3[[#This Row],[ItemID A]],Katalog!$C$3:$C$12,0)),"-")</f>
        <v>Pakaian Pria</v>
      </c>
      <c r="E933" t="str">
        <f>IFERROR(INDEX(Katalog!$B$3:$B$12,MATCH(cadangan3[[#This Row],[ItemID A]],Katalog!$C$3:$C$12,0)),"-")</f>
        <v>Celana Pendek</v>
      </c>
      <c r="F933">
        <v>3</v>
      </c>
      <c r="G933">
        <v>2</v>
      </c>
      <c r="H933" s="36">
        <f>IFERROR(INDEX(Katalog!$D$3:$D$12,MATCH(cadangan3[[#This Row],[ItemID A]],Katalog!$C$3:$C$12,0))*cadangan3[[#This Row],[Qty A]],0)</f>
        <v>540000</v>
      </c>
      <c r="I933" s="36">
        <f>IFERROR(INDEX(Katalog!$D$3:$D$12,MATCH(cadangan3[[#This Row],[Item A]],Katalog!$B$3:$B$12,0))*cadangan3[[#This Row],[Qty A]],0)</f>
        <v>540000</v>
      </c>
      <c r="J933" s="36">
        <f>IFERROR(cadangan3[[#This Row],[Harga Asli A]]-(cadangan3[[#This Row],[Harga Asli A]]*cadangan3[[#This Row],[Diskon]]),cadangan3[[#This Row],[Harga Asli A]])</f>
        <v>432000</v>
      </c>
      <c r="K933" s="36">
        <f>INDEX(Katalog!$F$3:$F$12,MATCH(cadangan3[[#This Row],[ItemID A]],Katalog!$C$3:$C$12,0))*cadangan3[[#This Row],[Qty A]]</f>
        <v>210000</v>
      </c>
      <c r="L933" s="36">
        <f>IFERROR(cadangan3[[#This Row],[Profit A]]-(cadangan3[[#This Row],[Profit A]]*cadangan3[[#This Row],[Diskon]]),K933)</f>
        <v>168000</v>
      </c>
      <c r="N933" t="str">
        <f>IFERROR(INDEX(Katalog!$A$3:$A$12,MATCH(cadangan3[[#This Row],[ItemID B]],Katalog!$C$3:$C$12,0)),"-")</f>
        <v>-</v>
      </c>
      <c r="O933" t="str">
        <f>IFERROR(INDEX(Katalog!$B$3:$B$12,MATCH(cadangan3[[#This Row],[ItemID B]],Katalog!$C$3:$C$12,0)),"-")</f>
        <v>-</v>
      </c>
      <c r="R933" s="36">
        <f>IFERROR(INDEX(Katalog!$D$3:$D$12,MATCH(cadangan3[[#This Row],[ItemID B]],Katalog!$C$3:$C$12,0))*cadangan3[[#This Row],[Qty B]],0)</f>
        <v>0</v>
      </c>
      <c r="S933" s="36">
        <f>IFERROR(INDEX(Katalog!$D$3:$D$12,MATCH(cadangan3[[#This Row],[Item B]],Katalog!$B$3:$B$12,0))*cadangan3[[#This Row],[Qty B]],0)</f>
        <v>0</v>
      </c>
      <c r="T933" s="36">
        <f>IFERROR(cadangan3[[#This Row],[Harga Asli B]]-(cadangan3[[#This Row],[Harga Asli B]]*cadangan3[[#This Row],[Diskon]]),cadangan3[[#This Row],[Harga Asli B]])</f>
        <v>0</v>
      </c>
      <c r="U933" s="36">
        <f>IFERROR(INDEX(Katalog!$F$3:$F$12,MATCH(cadangan3[[#This Row],[ItemID B]],Katalog!$C$3:$C$12,0))*cadangan3[[#This Row],[Qty B]],0)</f>
        <v>0</v>
      </c>
      <c r="V933" s="36">
        <f>IFERROR(cadangan3[[#This Row],[Profit B]]-(cadangan3[[#This Row],[Profit B]]*cadangan3[[#This Row],[Diskon]]),U933)</f>
        <v>0</v>
      </c>
      <c r="X933" t="str">
        <f>IFERROR(INDEX(Katalog!$A$3:$A$12,MATCH(cadangan3[[#This Row],[ItemID C]],Katalog!$C$3:$C$12,0)),"-")</f>
        <v>-</v>
      </c>
      <c r="Y933" t="str">
        <f>IFERROR(INDEX(Katalog!$B$3:$B$12,MATCH(cadangan3[[#This Row],[ItemID C]],Katalog!$C$3:$C$12,0)),"-")</f>
        <v>-</v>
      </c>
      <c r="AB933" s="36">
        <f>IFERROR(INDEX(Katalog!$D$3:$D$12,MATCH(cadangan3[[#This Row],[ItemID C]],Katalog!$C$3:$C$12,0))*cadangan3[[#This Row],[Qty C]],0)</f>
        <v>0</v>
      </c>
      <c r="AC933" s="36">
        <f>IFERROR(INDEX(Katalog!$D$3:$D$12,MATCH(cadangan3[[#This Row],[Item C]],Katalog!$B$3:$B$12,0))*cadangan3[[#This Row],[Qty C]],0)</f>
        <v>0</v>
      </c>
      <c r="AD933" s="36">
        <f>IFERROR(cadangan3[[#This Row],[Harga Asli C]]-(cadangan3[[#This Row],[Harga Asli C]]*cadangan3[[#This Row],[Diskon]]),cadangan3[[#This Row],[Harga Asli C]])</f>
        <v>0</v>
      </c>
      <c r="AE933" s="36">
        <f>IFERROR(INDEX(Katalog!$F$3:$F$12,MATCH(cadangan3[[#This Row],[ItemID C]],Katalog!$C$3:$C$12,0))*cadangan3[[#This Row],[Qty C]],0)</f>
        <v>0</v>
      </c>
      <c r="AF933" s="36">
        <f>IFERROR(cadangan3[[#This Row],[Profit C]]-(cadangan3[[#This Row],[Profit C]]*cadangan3[[#This Row],[Diskon]]),cadangan3[[#This Row],[Profit C]])</f>
        <v>0</v>
      </c>
      <c r="AG933" s="21">
        <f>cadangan3[[#This Row],[Qty A]]+cadangan3[[#This Row],[Qty B]]+cadangan3[[#This Row],[Qty C]]</f>
        <v>3</v>
      </c>
      <c r="AH933" s="35">
        <f>cadangan3[[#This Row],[Harga A + Diskon]]+cadangan3[[#This Row],[Harga + Diskon B]]+cadangan3[[#This Row],[Harga + Diskon C]]</f>
        <v>432000</v>
      </c>
      <c r="AI933" s="35">
        <f>(cadangan3[[#This Row],[Profit A]]+cadangan3[[#This Row],[Profit B]]+cadangan3[[#This Row],[Profit C]])</f>
        <v>210000</v>
      </c>
      <c r="AJ933" s="35">
        <f>cadangan3[[#This Row],[Provit A + Diskon]]+cadangan3[[#This Row],[Provit B + Diskon]]+cadangan3[[#This Row],[Provit C + Diskon]]</f>
        <v>168000</v>
      </c>
      <c r="AK933" s="23" t="s">
        <v>8</v>
      </c>
      <c r="AL933" s="37">
        <f>IFERROR(INDEX('Kode Diskon'!$D$3:$D$9,MATCH(cadangan3[[#This Row],[Kode diskon]],'Kode Diskon'!$C$3:$C$9,0)),"-")</f>
        <v>0.2</v>
      </c>
      <c r="AM933" s="23" t="s">
        <v>9</v>
      </c>
      <c r="AN933" s="23" t="s">
        <v>7</v>
      </c>
      <c r="AO933" s="23" t="s">
        <v>80</v>
      </c>
      <c r="AP933" s="24">
        <v>45032</v>
      </c>
      <c r="AQ933" s="23" t="str">
        <f>TEXT(cadangan3[[#This Row],[Tanggal terjual]],"dddd")</f>
        <v>Sunday</v>
      </c>
    </row>
    <row r="934" spans="1:43" x14ac:dyDescent="0.2">
      <c r="A934" s="20">
        <v>933</v>
      </c>
      <c r="B934" s="21" t="str">
        <f>_xlfn.CONCAT("ORD-",INDEX(Helper!$B$2:$B$5,MATCH(cadangan3[[#This Row],[Marketplace]],Helper!$A$2:$A$5,0)),TEXT(cadangan3[[#This Row],[No]],"0000"),"-",TEXT(cadangan3[[#This Row],[Tanggal terjual]],"dd/mm/yy"))</f>
        <v>ORD-SP0933-26/04/23</v>
      </c>
      <c r="C934" t="s">
        <v>59</v>
      </c>
      <c r="D934" t="str">
        <f>IFERROR(INDEX(Katalog!$A$3:$A$12,MATCH(cadangan3[[#This Row],[ItemID A]],Katalog!$C$3:$C$12,0)),"-")</f>
        <v>Pakaian Wanita</v>
      </c>
      <c r="E934" t="str">
        <f>IFERROR(INDEX(Katalog!$B$3:$B$12,MATCH(cadangan3[[#This Row],[ItemID A]],Katalog!$C$3:$C$12,0)),"-")</f>
        <v>Blouse</v>
      </c>
      <c r="F934">
        <v>5</v>
      </c>
      <c r="G934">
        <v>1</v>
      </c>
      <c r="H934" s="36">
        <f>IFERROR(INDEX(Katalog!$D$3:$D$12,MATCH(cadangan3[[#This Row],[ItemID A]],Katalog!$C$3:$C$12,0))*cadangan3[[#This Row],[Qty A]],0)</f>
        <v>750000</v>
      </c>
      <c r="I934" s="36">
        <f>IFERROR(INDEX(Katalog!$D$3:$D$12,MATCH(cadangan3[[#This Row],[Item A]],Katalog!$B$3:$B$12,0))*cadangan3[[#This Row],[Qty A]],0)</f>
        <v>750000</v>
      </c>
      <c r="J934" s="36">
        <f>IFERROR(cadangan3[[#This Row],[Harga Asli A]]-(cadangan3[[#This Row],[Harga Asli A]]*cadangan3[[#This Row],[Diskon]]),cadangan3[[#This Row],[Harga Asli A]])</f>
        <v>600000</v>
      </c>
      <c r="K934" s="36">
        <f>INDEX(Katalog!$F$3:$F$12,MATCH(cadangan3[[#This Row],[ItemID A]],Katalog!$C$3:$C$12,0))*cadangan3[[#This Row],[Qty A]]</f>
        <v>250000</v>
      </c>
      <c r="L934" s="36">
        <f>IFERROR(cadangan3[[#This Row],[Profit A]]-(cadangan3[[#This Row],[Profit A]]*cadangan3[[#This Row],[Diskon]]),K934)</f>
        <v>200000</v>
      </c>
      <c r="M934" t="s">
        <v>61</v>
      </c>
      <c r="N934" t="str">
        <f>IFERROR(INDEX(Katalog!$A$3:$A$12,MATCH(cadangan3[[#This Row],[ItemID B]],Katalog!$C$3:$C$12,0)),"-")</f>
        <v>Pakaian Pria</v>
      </c>
      <c r="O934" t="str">
        <f>IFERROR(INDEX(Katalog!$B$3:$B$12,MATCH(cadangan3[[#This Row],[ItemID B]],Katalog!$C$3:$C$12,0)),"-")</f>
        <v>Kaos Polo</v>
      </c>
      <c r="P934">
        <v>1</v>
      </c>
      <c r="Q934">
        <v>1</v>
      </c>
      <c r="R934" s="36">
        <f>IFERROR(INDEX(Katalog!$D$3:$D$12,MATCH(cadangan3[[#This Row],[ItemID B]],Katalog!$C$3:$C$12,0))*cadangan3[[#This Row],[Qty B]],0)</f>
        <v>200000</v>
      </c>
      <c r="S934" s="36">
        <f>IFERROR(INDEX(Katalog!$D$3:$D$12,MATCH(cadangan3[[#This Row],[Item B]],Katalog!$B$3:$B$12,0))*cadangan3[[#This Row],[Qty B]],0)</f>
        <v>200000</v>
      </c>
      <c r="T934" s="36">
        <f>IFERROR(cadangan3[[#This Row],[Harga Asli B]]-(cadangan3[[#This Row],[Harga Asli B]]*cadangan3[[#This Row],[Diskon]]),cadangan3[[#This Row],[Harga Asli B]])</f>
        <v>160000</v>
      </c>
      <c r="U934" s="36">
        <f>IFERROR(INDEX(Katalog!$F$3:$F$12,MATCH(cadangan3[[#This Row],[ItemID B]],Katalog!$C$3:$C$12,0))*cadangan3[[#This Row],[Qty B]],0)</f>
        <v>80000</v>
      </c>
      <c r="V934" s="36">
        <f>IFERROR(cadangan3[[#This Row],[Profit B]]-(cadangan3[[#This Row],[Profit B]]*cadangan3[[#This Row],[Diskon]]),U934)</f>
        <v>64000</v>
      </c>
      <c r="X934" t="str">
        <f>IFERROR(INDEX(Katalog!$A$3:$A$12,MATCH(cadangan3[[#This Row],[ItemID C]],Katalog!$C$3:$C$12,0)),"-")</f>
        <v>-</v>
      </c>
      <c r="Y934" t="str">
        <f>IFERROR(INDEX(Katalog!$B$3:$B$12,MATCH(cadangan3[[#This Row],[ItemID C]],Katalog!$C$3:$C$12,0)),"-")</f>
        <v>-</v>
      </c>
      <c r="AB934" s="36">
        <f>IFERROR(INDEX(Katalog!$D$3:$D$12,MATCH(cadangan3[[#This Row],[ItemID C]],Katalog!$C$3:$C$12,0))*cadangan3[[#This Row],[Qty C]],0)</f>
        <v>0</v>
      </c>
      <c r="AC934" s="36">
        <f>IFERROR(INDEX(Katalog!$D$3:$D$12,MATCH(cadangan3[[#This Row],[Item C]],Katalog!$B$3:$B$12,0))*cadangan3[[#This Row],[Qty C]],0)</f>
        <v>0</v>
      </c>
      <c r="AD934" s="36">
        <f>IFERROR(cadangan3[[#This Row],[Harga Asli C]]-(cadangan3[[#This Row],[Harga Asli C]]*cadangan3[[#This Row],[Diskon]]),cadangan3[[#This Row],[Harga Asli C]])</f>
        <v>0</v>
      </c>
      <c r="AE934" s="36">
        <f>IFERROR(INDEX(Katalog!$F$3:$F$12,MATCH(cadangan3[[#This Row],[ItemID C]],Katalog!$C$3:$C$12,0))*cadangan3[[#This Row],[Qty C]],0)</f>
        <v>0</v>
      </c>
      <c r="AF934" s="36">
        <f>IFERROR(cadangan3[[#This Row],[Profit C]]-(cadangan3[[#This Row],[Profit C]]*cadangan3[[#This Row],[Diskon]]),cadangan3[[#This Row],[Profit C]])</f>
        <v>0</v>
      </c>
      <c r="AG934" s="21">
        <f>cadangan3[[#This Row],[Qty A]]+cadangan3[[#This Row],[Qty B]]+cadangan3[[#This Row],[Qty C]]</f>
        <v>6</v>
      </c>
      <c r="AH934" s="35">
        <f>cadangan3[[#This Row],[Harga A + Diskon]]+cadangan3[[#This Row],[Harga + Diskon B]]+cadangan3[[#This Row],[Harga + Diskon C]]</f>
        <v>760000</v>
      </c>
      <c r="AI934" s="35">
        <f>(cadangan3[[#This Row],[Profit A]]+cadangan3[[#This Row],[Profit B]]+cadangan3[[#This Row],[Profit C]])</f>
        <v>330000</v>
      </c>
      <c r="AJ934" s="35">
        <f>cadangan3[[#This Row],[Provit A + Diskon]]+cadangan3[[#This Row],[Provit B + Diskon]]+cadangan3[[#This Row],[Provit C + Diskon]]</f>
        <v>264000</v>
      </c>
      <c r="AK934" s="23" t="s">
        <v>8</v>
      </c>
      <c r="AL934" s="37">
        <f>IFERROR(INDEX('Kode Diskon'!$D$3:$D$9,MATCH(cadangan3[[#This Row],[Kode diskon]],'Kode Diskon'!$C$3:$C$9,0)),"-")</f>
        <v>0.2</v>
      </c>
      <c r="AM934" s="23" t="s">
        <v>9</v>
      </c>
      <c r="AN934" s="23" t="s">
        <v>7</v>
      </c>
      <c r="AO934" s="23" t="s">
        <v>78</v>
      </c>
      <c r="AP934" s="24">
        <v>45042</v>
      </c>
      <c r="AQ934" s="23" t="str">
        <f>TEXT(cadangan3[[#This Row],[Tanggal terjual]],"dddd")</f>
        <v>Wednesday</v>
      </c>
    </row>
    <row r="935" spans="1:43" x14ac:dyDescent="0.2">
      <c r="A935" s="20">
        <v>934</v>
      </c>
      <c r="B935" s="21" t="str">
        <f>_xlfn.CONCAT("ORD-",INDEX(Helper!$B$2:$B$5,MATCH(cadangan3[[#This Row],[Marketplace]],Helper!$A$2:$A$5,0)),TEXT(cadangan3[[#This Row],[No]],"0000"),"-",TEXT(cadangan3[[#This Row],[Tanggal terjual]],"dd/mm/yy"))</f>
        <v>ORD-SP0934-02/04/23</v>
      </c>
      <c r="C935" t="s">
        <v>67</v>
      </c>
      <c r="D935" t="str">
        <f>IFERROR(INDEX(Katalog!$A$3:$A$12,MATCH(cadangan3[[#This Row],[ItemID A]],Katalog!$C$3:$C$12,0)),"-")</f>
        <v>Sepatu Wanita</v>
      </c>
      <c r="E935" t="str">
        <f>IFERROR(INDEX(Katalog!$B$3:$B$12,MATCH(cadangan3[[#This Row],[ItemID A]],Katalog!$C$3:$C$12,0)),"-")</f>
        <v>Flat Shoes</v>
      </c>
      <c r="F935">
        <v>4</v>
      </c>
      <c r="G935">
        <v>5</v>
      </c>
      <c r="H935" s="36">
        <f>IFERROR(INDEX(Katalog!$D$3:$D$12,MATCH(cadangan3[[#This Row],[ItemID A]],Katalog!$C$3:$C$12,0))*cadangan3[[#This Row],[Qty A]],0)</f>
        <v>1000000</v>
      </c>
      <c r="I935" s="36">
        <f>IFERROR(INDEX(Katalog!$D$3:$D$12,MATCH(cadangan3[[#This Row],[Item A]],Katalog!$B$3:$B$12,0))*cadangan3[[#This Row],[Qty A]],0)</f>
        <v>1000000</v>
      </c>
      <c r="J935" s="36">
        <f>IFERROR(cadangan3[[#This Row],[Harga Asli A]]-(cadangan3[[#This Row],[Harga Asli A]]*cadangan3[[#This Row],[Diskon]]),cadangan3[[#This Row],[Harga Asli A]])</f>
        <v>850000</v>
      </c>
      <c r="K935" s="36">
        <f>INDEX(Katalog!$F$3:$F$12,MATCH(cadangan3[[#This Row],[ItemID A]],Katalog!$C$3:$C$12,0))*cadangan3[[#This Row],[Qty A]]</f>
        <v>400000</v>
      </c>
      <c r="L935" s="36">
        <f>IFERROR(cadangan3[[#This Row],[Profit A]]-(cadangan3[[#This Row],[Profit A]]*cadangan3[[#This Row],[Diskon]]),K935)</f>
        <v>340000</v>
      </c>
      <c r="M935" t="s">
        <v>63</v>
      </c>
      <c r="N935" t="str">
        <f>IFERROR(INDEX(Katalog!$A$3:$A$12,MATCH(cadangan3[[#This Row],[ItemID B]],Katalog!$C$3:$C$12,0)),"-")</f>
        <v>Pakaian Pria</v>
      </c>
      <c r="O935" t="str">
        <f>IFERROR(INDEX(Katalog!$B$3:$B$12,MATCH(cadangan3[[#This Row],[ItemID B]],Katalog!$C$3:$C$12,0)),"-")</f>
        <v>Jaket Jeans</v>
      </c>
      <c r="P935">
        <v>2</v>
      </c>
      <c r="Q935">
        <v>2</v>
      </c>
      <c r="R935" s="36">
        <f>IFERROR(INDEX(Katalog!$D$3:$D$12,MATCH(cadangan3[[#This Row],[ItemID B]],Katalog!$C$3:$C$12,0))*cadangan3[[#This Row],[Qty B]],0)</f>
        <v>800000</v>
      </c>
      <c r="S935" s="36">
        <f>IFERROR(INDEX(Katalog!$D$3:$D$12,MATCH(cadangan3[[#This Row],[Item B]],Katalog!$B$3:$B$12,0))*cadangan3[[#This Row],[Qty B]],0)</f>
        <v>800000</v>
      </c>
      <c r="T935" s="36">
        <f>IFERROR(cadangan3[[#This Row],[Harga Asli B]]-(cadangan3[[#This Row],[Harga Asli B]]*cadangan3[[#This Row],[Diskon]]),cadangan3[[#This Row],[Harga Asli B]])</f>
        <v>680000</v>
      </c>
      <c r="U935" s="36">
        <f>IFERROR(INDEX(Katalog!$F$3:$F$12,MATCH(cadangan3[[#This Row],[ItemID B]],Katalog!$C$3:$C$12,0))*cadangan3[[#This Row],[Qty B]],0)</f>
        <v>300000</v>
      </c>
      <c r="V935" s="36">
        <f>IFERROR(cadangan3[[#This Row],[Profit B]]-(cadangan3[[#This Row],[Profit B]]*cadangan3[[#This Row],[Diskon]]),U935)</f>
        <v>255000</v>
      </c>
      <c r="X935" t="str">
        <f>IFERROR(INDEX(Katalog!$A$3:$A$12,MATCH(cadangan3[[#This Row],[ItemID C]],Katalog!$C$3:$C$12,0)),"-")</f>
        <v>-</v>
      </c>
      <c r="Y935" t="str">
        <f>IFERROR(INDEX(Katalog!$B$3:$B$12,MATCH(cadangan3[[#This Row],[ItemID C]],Katalog!$C$3:$C$12,0)),"-")</f>
        <v>-</v>
      </c>
      <c r="AB935" s="36">
        <f>IFERROR(INDEX(Katalog!$D$3:$D$12,MATCH(cadangan3[[#This Row],[ItemID C]],Katalog!$C$3:$C$12,0))*cadangan3[[#This Row],[Qty C]],0)</f>
        <v>0</v>
      </c>
      <c r="AC935" s="36">
        <f>IFERROR(INDEX(Katalog!$D$3:$D$12,MATCH(cadangan3[[#This Row],[Item C]],Katalog!$B$3:$B$12,0))*cadangan3[[#This Row],[Qty C]],0)</f>
        <v>0</v>
      </c>
      <c r="AD935" s="36">
        <f>IFERROR(cadangan3[[#This Row],[Harga Asli C]]-(cadangan3[[#This Row],[Harga Asli C]]*cadangan3[[#This Row],[Diskon]]),cadangan3[[#This Row],[Harga Asli C]])</f>
        <v>0</v>
      </c>
      <c r="AE935" s="36">
        <f>IFERROR(INDEX(Katalog!$F$3:$F$12,MATCH(cadangan3[[#This Row],[ItemID C]],Katalog!$C$3:$C$12,0))*cadangan3[[#This Row],[Qty C]],0)</f>
        <v>0</v>
      </c>
      <c r="AF935" s="36">
        <f>IFERROR(cadangan3[[#This Row],[Profit C]]-(cadangan3[[#This Row],[Profit C]]*cadangan3[[#This Row],[Diskon]]),cadangan3[[#This Row],[Profit C]])</f>
        <v>0</v>
      </c>
      <c r="AG935" s="21">
        <f>cadangan3[[#This Row],[Qty A]]+cadangan3[[#This Row],[Qty B]]+cadangan3[[#This Row],[Qty C]]</f>
        <v>6</v>
      </c>
      <c r="AH935" s="35">
        <f>cadangan3[[#This Row],[Harga A + Diskon]]+cadangan3[[#This Row],[Harga + Diskon B]]+cadangan3[[#This Row],[Harga + Diskon C]]</f>
        <v>1530000</v>
      </c>
      <c r="AI935" s="35">
        <f>(cadangan3[[#This Row],[Profit A]]+cadangan3[[#This Row],[Profit B]]+cadangan3[[#This Row],[Profit C]])</f>
        <v>700000</v>
      </c>
      <c r="AJ935" s="35">
        <f>cadangan3[[#This Row],[Provit A + Diskon]]+cadangan3[[#This Row],[Provit B + Diskon]]+cadangan3[[#This Row],[Provit C + Diskon]]</f>
        <v>595000</v>
      </c>
      <c r="AK935" s="23" t="s">
        <v>13</v>
      </c>
      <c r="AL935" s="37">
        <f>IFERROR(INDEX('Kode Diskon'!$D$3:$D$9,MATCH(cadangan3[[#This Row],[Kode diskon]],'Kode Diskon'!$C$3:$C$9,0)),"-")</f>
        <v>0.15</v>
      </c>
      <c r="AM935" s="23" t="s">
        <v>29</v>
      </c>
      <c r="AN935" s="23" t="s">
        <v>7</v>
      </c>
      <c r="AO935" s="23" t="s">
        <v>76</v>
      </c>
      <c r="AP935" s="24">
        <v>45018</v>
      </c>
      <c r="AQ935" s="23" t="str">
        <f>TEXT(cadangan3[[#This Row],[Tanggal terjual]],"dddd")</f>
        <v>Sunday</v>
      </c>
    </row>
    <row r="936" spans="1:43" x14ac:dyDescent="0.2">
      <c r="A936" s="20">
        <v>935</v>
      </c>
      <c r="B936" s="21" t="str">
        <f>_xlfn.CONCAT("ORD-",INDEX(Helper!$B$2:$B$5,MATCH(cadangan3[[#This Row],[Marketplace]],Helper!$A$2:$A$5,0)),TEXT(cadangan3[[#This Row],[No]],"0000"),"-",TEXT(cadangan3[[#This Row],[Tanggal terjual]],"dd/mm/yy"))</f>
        <v>ORD-BL0935-24/04/23</v>
      </c>
      <c r="C936" t="s">
        <v>64</v>
      </c>
      <c r="D936" t="str">
        <f>IFERROR(INDEX(Katalog!$A$3:$A$12,MATCH(cadangan3[[#This Row],[ItemID A]],Katalog!$C$3:$C$12,0)),"-")</f>
        <v>Pakaian Unisex</v>
      </c>
      <c r="E936" t="str">
        <f>IFERROR(INDEX(Katalog!$B$3:$B$12,MATCH(cadangan3[[#This Row],[ItemID A]],Katalog!$C$3:$C$12,0)),"-")</f>
        <v>Jaket Hoodie</v>
      </c>
      <c r="F936">
        <v>5</v>
      </c>
      <c r="G936">
        <v>2</v>
      </c>
      <c r="H936" s="36">
        <f>IFERROR(INDEX(Katalog!$D$3:$D$12,MATCH(cadangan3[[#This Row],[ItemID A]],Katalog!$C$3:$C$12,0))*cadangan3[[#This Row],[Qty A]],0)</f>
        <v>1750000</v>
      </c>
      <c r="I936" s="36">
        <f>IFERROR(INDEX(Katalog!$D$3:$D$12,MATCH(cadangan3[[#This Row],[Item A]],Katalog!$B$3:$B$12,0))*cadangan3[[#This Row],[Qty A]],0)</f>
        <v>1750000</v>
      </c>
      <c r="J936" s="36">
        <f>IFERROR(cadangan3[[#This Row],[Harga Asli A]]-(cadangan3[[#This Row],[Harga Asli A]]*cadangan3[[#This Row],[Diskon]]),cadangan3[[#This Row],[Harga Asli A]])</f>
        <v>1487500</v>
      </c>
      <c r="K936" s="36">
        <f>INDEX(Katalog!$F$3:$F$12,MATCH(cadangan3[[#This Row],[ItemID A]],Katalog!$C$3:$C$12,0))*cadangan3[[#This Row],[Qty A]]</f>
        <v>650000</v>
      </c>
      <c r="L936" s="36">
        <f>IFERROR(cadangan3[[#This Row],[Profit A]]-(cadangan3[[#This Row],[Profit A]]*cadangan3[[#This Row],[Diskon]]),K936)</f>
        <v>552500</v>
      </c>
      <c r="M936" t="s">
        <v>60</v>
      </c>
      <c r="N936" t="str">
        <f>IFERROR(INDEX(Katalog!$A$3:$A$12,MATCH(cadangan3[[#This Row],[ItemID B]],Katalog!$C$3:$C$12,0)),"-")</f>
        <v>Pakaian Wanita</v>
      </c>
      <c r="O936" t="str">
        <f>IFERROR(INDEX(Katalog!$B$3:$B$12,MATCH(cadangan3[[#This Row],[ItemID B]],Katalog!$C$3:$C$12,0)),"-")</f>
        <v>Kaftan</v>
      </c>
      <c r="P936">
        <v>2</v>
      </c>
      <c r="Q936">
        <v>5</v>
      </c>
      <c r="R936" s="36">
        <f>IFERROR(INDEX(Katalog!$D$3:$D$12,MATCH(cadangan3[[#This Row],[ItemID B]],Katalog!$C$3:$C$12,0))*cadangan3[[#This Row],[Qty B]],0)</f>
        <v>500000</v>
      </c>
      <c r="S936" s="36">
        <f>IFERROR(INDEX(Katalog!$D$3:$D$12,MATCH(cadangan3[[#This Row],[Item B]],Katalog!$B$3:$B$12,0))*cadangan3[[#This Row],[Qty B]],0)</f>
        <v>500000</v>
      </c>
      <c r="T936" s="36">
        <f>IFERROR(cadangan3[[#This Row],[Harga Asli B]]-(cadangan3[[#This Row],[Harga Asli B]]*cadangan3[[#This Row],[Diskon]]),cadangan3[[#This Row],[Harga Asli B]])</f>
        <v>425000</v>
      </c>
      <c r="U936" s="36">
        <f>IFERROR(INDEX(Katalog!$F$3:$F$12,MATCH(cadangan3[[#This Row],[ItemID B]],Katalog!$C$3:$C$12,0))*cadangan3[[#This Row],[Qty B]],0)</f>
        <v>200000</v>
      </c>
      <c r="V936" s="36">
        <f>IFERROR(cadangan3[[#This Row],[Profit B]]-(cadangan3[[#This Row],[Profit B]]*cadangan3[[#This Row],[Diskon]]),U936)</f>
        <v>170000</v>
      </c>
      <c r="X936" t="str">
        <f>IFERROR(INDEX(Katalog!$A$3:$A$12,MATCH(cadangan3[[#This Row],[ItemID C]],Katalog!$C$3:$C$12,0)),"-")</f>
        <v>-</v>
      </c>
      <c r="Y936" t="str">
        <f>IFERROR(INDEX(Katalog!$B$3:$B$12,MATCH(cadangan3[[#This Row],[ItemID C]],Katalog!$C$3:$C$12,0)),"-")</f>
        <v>-</v>
      </c>
      <c r="AB936" s="36">
        <f>IFERROR(INDEX(Katalog!$D$3:$D$12,MATCH(cadangan3[[#This Row],[ItemID C]],Katalog!$C$3:$C$12,0))*cadangan3[[#This Row],[Qty C]],0)</f>
        <v>0</v>
      </c>
      <c r="AC936" s="36">
        <f>IFERROR(INDEX(Katalog!$D$3:$D$12,MATCH(cadangan3[[#This Row],[Item C]],Katalog!$B$3:$B$12,0))*cadangan3[[#This Row],[Qty C]],0)</f>
        <v>0</v>
      </c>
      <c r="AD936" s="36">
        <f>IFERROR(cadangan3[[#This Row],[Harga Asli C]]-(cadangan3[[#This Row],[Harga Asli C]]*cadangan3[[#This Row],[Diskon]]),cadangan3[[#This Row],[Harga Asli C]])</f>
        <v>0</v>
      </c>
      <c r="AE936" s="36">
        <f>IFERROR(INDEX(Katalog!$F$3:$F$12,MATCH(cadangan3[[#This Row],[ItemID C]],Katalog!$C$3:$C$12,0))*cadangan3[[#This Row],[Qty C]],0)</f>
        <v>0</v>
      </c>
      <c r="AF936" s="36">
        <f>IFERROR(cadangan3[[#This Row],[Profit C]]-(cadangan3[[#This Row],[Profit C]]*cadangan3[[#This Row],[Diskon]]),cadangan3[[#This Row],[Profit C]])</f>
        <v>0</v>
      </c>
      <c r="AG936" s="21">
        <f>cadangan3[[#This Row],[Qty A]]+cadangan3[[#This Row],[Qty B]]+cadangan3[[#This Row],[Qty C]]</f>
        <v>7</v>
      </c>
      <c r="AH936" s="35">
        <f>cadangan3[[#This Row],[Harga A + Diskon]]+cadangan3[[#This Row],[Harga + Diskon B]]+cadangan3[[#This Row],[Harga + Diskon C]]</f>
        <v>1912500</v>
      </c>
      <c r="AI936" s="35">
        <f>(cadangan3[[#This Row],[Profit A]]+cadangan3[[#This Row],[Profit B]]+cadangan3[[#This Row],[Profit C]])</f>
        <v>850000</v>
      </c>
      <c r="AJ936" s="35">
        <f>cadangan3[[#This Row],[Provit A + Diskon]]+cadangan3[[#This Row],[Provit B + Diskon]]+cadangan3[[#This Row],[Provit C + Diskon]]</f>
        <v>722500</v>
      </c>
      <c r="AK936" s="23" t="s">
        <v>32</v>
      </c>
      <c r="AL936" s="37">
        <f>IFERROR(INDEX('Kode Diskon'!$D$3:$D$9,MATCH(cadangan3[[#This Row],[Kode diskon]],'Kode Diskon'!$C$3:$C$9,0)),"-")</f>
        <v>0.15</v>
      </c>
      <c r="AM936" s="23" t="s">
        <v>9</v>
      </c>
      <c r="AN936" s="23" t="s">
        <v>12</v>
      </c>
      <c r="AO936" s="23" t="s">
        <v>75</v>
      </c>
      <c r="AP936" s="24">
        <v>45040</v>
      </c>
      <c r="AQ936" s="23" t="str">
        <f>TEXT(cadangan3[[#This Row],[Tanggal terjual]],"dddd")</f>
        <v>Monday</v>
      </c>
    </row>
    <row r="937" spans="1:43" x14ac:dyDescent="0.2">
      <c r="A937" s="20">
        <v>936</v>
      </c>
      <c r="B937" s="21" t="str">
        <f>_xlfn.CONCAT("ORD-",INDEX(Helper!$B$2:$B$5,MATCH(cadangan3[[#This Row],[Marketplace]],Helper!$A$2:$A$5,0)),TEXT(cadangan3[[#This Row],[No]],"0000"),"-",TEXT(cadangan3[[#This Row],[Tanggal terjual]],"dd/mm/yy"))</f>
        <v>ORD-BL0936-18/04/23</v>
      </c>
      <c r="C937" t="s">
        <v>67</v>
      </c>
      <c r="D937" t="str">
        <f>IFERROR(INDEX(Katalog!$A$3:$A$12,MATCH(cadangan3[[#This Row],[ItemID A]],Katalog!$C$3:$C$12,0)),"-")</f>
        <v>Sepatu Wanita</v>
      </c>
      <c r="E937" t="str">
        <f>IFERROR(INDEX(Katalog!$B$3:$B$12,MATCH(cadangan3[[#This Row],[ItemID A]],Katalog!$C$3:$C$12,0)),"-")</f>
        <v>Flat Shoes</v>
      </c>
      <c r="F937">
        <v>4</v>
      </c>
      <c r="G937">
        <v>4</v>
      </c>
      <c r="H937" s="36">
        <f>IFERROR(INDEX(Katalog!$D$3:$D$12,MATCH(cadangan3[[#This Row],[ItemID A]],Katalog!$C$3:$C$12,0))*cadangan3[[#This Row],[Qty A]],0)</f>
        <v>1000000</v>
      </c>
      <c r="I937" s="36">
        <f>IFERROR(INDEX(Katalog!$D$3:$D$12,MATCH(cadangan3[[#This Row],[Item A]],Katalog!$B$3:$B$12,0))*cadangan3[[#This Row],[Qty A]],0)</f>
        <v>1000000</v>
      </c>
      <c r="J937" s="36">
        <f>IFERROR(cadangan3[[#This Row],[Harga Asli A]]-(cadangan3[[#This Row],[Harga Asli A]]*cadangan3[[#This Row],[Diskon]]),cadangan3[[#This Row],[Harga Asli A]])</f>
        <v>850000</v>
      </c>
      <c r="K937" s="36">
        <f>INDEX(Katalog!$F$3:$F$12,MATCH(cadangan3[[#This Row],[ItemID A]],Katalog!$C$3:$C$12,0))*cadangan3[[#This Row],[Qty A]]</f>
        <v>400000</v>
      </c>
      <c r="L937" s="36">
        <f>IFERROR(cadangan3[[#This Row],[Profit A]]-(cadangan3[[#This Row],[Profit A]]*cadangan3[[#This Row],[Diskon]]),K937)</f>
        <v>340000</v>
      </c>
      <c r="M937" t="s">
        <v>63</v>
      </c>
      <c r="N937" t="str">
        <f>IFERROR(INDEX(Katalog!$A$3:$A$12,MATCH(cadangan3[[#This Row],[ItemID B]],Katalog!$C$3:$C$12,0)),"-")</f>
        <v>Pakaian Pria</v>
      </c>
      <c r="O937" t="str">
        <f>IFERROR(INDEX(Katalog!$B$3:$B$12,MATCH(cadangan3[[#This Row],[ItemID B]],Katalog!$C$3:$C$12,0)),"-")</f>
        <v>Jaket Jeans</v>
      </c>
      <c r="P937">
        <v>1</v>
      </c>
      <c r="Q937">
        <v>2</v>
      </c>
      <c r="R937" s="36">
        <f>IFERROR(INDEX(Katalog!$D$3:$D$12,MATCH(cadangan3[[#This Row],[ItemID B]],Katalog!$C$3:$C$12,0))*cadangan3[[#This Row],[Qty B]],0)</f>
        <v>400000</v>
      </c>
      <c r="S937" s="36">
        <f>IFERROR(INDEX(Katalog!$D$3:$D$12,MATCH(cadangan3[[#This Row],[Item B]],Katalog!$B$3:$B$12,0))*cadangan3[[#This Row],[Qty B]],0)</f>
        <v>400000</v>
      </c>
      <c r="T937" s="36">
        <f>IFERROR(cadangan3[[#This Row],[Harga Asli B]]-(cadangan3[[#This Row],[Harga Asli B]]*cadangan3[[#This Row],[Diskon]]),cadangan3[[#This Row],[Harga Asli B]])</f>
        <v>340000</v>
      </c>
      <c r="U937" s="36">
        <f>IFERROR(INDEX(Katalog!$F$3:$F$12,MATCH(cadangan3[[#This Row],[ItemID B]],Katalog!$C$3:$C$12,0))*cadangan3[[#This Row],[Qty B]],0)</f>
        <v>150000</v>
      </c>
      <c r="V937" s="36">
        <f>IFERROR(cadangan3[[#This Row],[Profit B]]-(cadangan3[[#This Row],[Profit B]]*cadangan3[[#This Row],[Diskon]]),U937)</f>
        <v>127500</v>
      </c>
      <c r="X937" t="str">
        <f>IFERROR(INDEX(Katalog!$A$3:$A$12,MATCH(cadangan3[[#This Row],[ItemID C]],Katalog!$C$3:$C$12,0)),"-")</f>
        <v>-</v>
      </c>
      <c r="Y937" t="str">
        <f>IFERROR(INDEX(Katalog!$B$3:$B$12,MATCH(cadangan3[[#This Row],[ItemID C]],Katalog!$C$3:$C$12,0)),"-")</f>
        <v>-</v>
      </c>
      <c r="AB937" s="36">
        <f>IFERROR(INDEX(Katalog!$D$3:$D$12,MATCH(cadangan3[[#This Row],[ItemID C]],Katalog!$C$3:$C$12,0))*cadangan3[[#This Row],[Qty C]],0)</f>
        <v>0</v>
      </c>
      <c r="AC937" s="36">
        <f>IFERROR(INDEX(Katalog!$D$3:$D$12,MATCH(cadangan3[[#This Row],[Item C]],Katalog!$B$3:$B$12,0))*cadangan3[[#This Row],[Qty C]],0)</f>
        <v>0</v>
      </c>
      <c r="AD937" s="36">
        <f>IFERROR(cadangan3[[#This Row],[Harga Asli C]]-(cadangan3[[#This Row],[Harga Asli C]]*cadangan3[[#This Row],[Diskon]]),cadangan3[[#This Row],[Harga Asli C]])</f>
        <v>0</v>
      </c>
      <c r="AE937" s="36">
        <f>IFERROR(INDEX(Katalog!$F$3:$F$12,MATCH(cadangan3[[#This Row],[ItemID C]],Katalog!$C$3:$C$12,0))*cadangan3[[#This Row],[Qty C]],0)</f>
        <v>0</v>
      </c>
      <c r="AF937" s="36">
        <f>IFERROR(cadangan3[[#This Row],[Profit C]]-(cadangan3[[#This Row],[Profit C]]*cadangan3[[#This Row],[Diskon]]),cadangan3[[#This Row],[Profit C]])</f>
        <v>0</v>
      </c>
      <c r="AG937" s="21">
        <f>cadangan3[[#This Row],[Qty A]]+cadangan3[[#This Row],[Qty B]]+cadangan3[[#This Row],[Qty C]]</f>
        <v>5</v>
      </c>
      <c r="AH937" s="35">
        <f>cadangan3[[#This Row],[Harga A + Diskon]]+cadangan3[[#This Row],[Harga + Diskon B]]+cadangan3[[#This Row],[Harga + Diskon C]]</f>
        <v>1190000</v>
      </c>
      <c r="AI937" s="35">
        <f>(cadangan3[[#This Row],[Profit A]]+cadangan3[[#This Row],[Profit B]]+cadangan3[[#This Row],[Profit C]])</f>
        <v>550000</v>
      </c>
      <c r="AJ937" s="35">
        <f>cadangan3[[#This Row],[Provit A + Diskon]]+cadangan3[[#This Row],[Provit B + Diskon]]+cadangan3[[#This Row],[Provit C + Diskon]]</f>
        <v>467500</v>
      </c>
      <c r="AK937" s="23" t="s">
        <v>32</v>
      </c>
      <c r="AL937" s="37">
        <f>IFERROR(INDEX('Kode Diskon'!$D$3:$D$9,MATCH(cadangan3[[#This Row],[Kode diskon]],'Kode Diskon'!$C$3:$C$9,0)),"-")</f>
        <v>0.15</v>
      </c>
      <c r="AM937" s="23" t="s">
        <v>9</v>
      </c>
      <c r="AN937" s="23" t="s">
        <v>12</v>
      </c>
      <c r="AO937" s="23" t="s">
        <v>75</v>
      </c>
      <c r="AP937" s="24">
        <v>45034</v>
      </c>
      <c r="AQ937" s="23" t="str">
        <f>TEXT(cadangan3[[#This Row],[Tanggal terjual]],"dddd")</f>
        <v>Tuesday</v>
      </c>
    </row>
    <row r="938" spans="1:43" x14ac:dyDescent="0.2">
      <c r="A938" s="20">
        <v>937</v>
      </c>
      <c r="B938" s="21" t="str">
        <f>_xlfn.CONCAT("ORD-",INDEX(Helper!$B$2:$B$5,MATCH(cadangan3[[#This Row],[Marketplace]],Helper!$A$2:$A$5,0)),TEXT(cadangan3[[#This Row],[No]],"0000"),"-",TEXT(cadangan3[[#This Row],[Tanggal terjual]],"dd/mm/yy"))</f>
        <v>ORD-SP0937-02/04/23</v>
      </c>
      <c r="C938" t="s">
        <v>62</v>
      </c>
      <c r="D938" t="str">
        <f>IFERROR(INDEX(Katalog!$A$3:$A$12,MATCH(cadangan3[[#This Row],[ItemID A]],Katalog!$C$3:$C$12,0)),"-")</f>
        <v>Pakaian Pria</v>
      </c>
      <c r="E938" t="str">
        <f>IFERROR(INDEX(Katalog!$B$3:$B$12,MATCH(cadangan3[[#This Row],[ItemID A]],Katalog!$C$3:$C$12,0)),"-")</f>
        <v>Celana Pendek</v>
      </c>
      <c r="F938">
        <v>2</v>
      </c>
      <c r="G938">
        <v>4</v>
      </c>
      <c r="H938" s="36">
        <f>IFERROR(INDEX(Katalog!$D$3:$D$12,MATCH(cadangan3[[#This Row],[ItemID A]],Katalog!$C$3:$C$12,0))*cadangan3[[#This Row],[Qty A]],0)</f>
        <v>360000</v>
      </c>
      <c r="I938" s="36">
        <f>IFERROR(INDEX(Katalog!$D$3:$D$12,MATCH(cadangan3[[#This Row],[Item A]],Katalog!$B$3:$B$12,0))*cadangan3[[#This Row],[Qty A]],0)</f>
        <v>360000</v>
      </c>
      <c r="J938" s="36">
        <f>IFERROR(cadangan3[[#This Row],[Harga Asli A]]-(cadangan3[[#This Row],[Harga Asli A]]*cadangan3[[#This Row],[Diskon]]),cadangan3[[#This Row],[Harga Asli A]])</f>
        <v>324000</v>
      </c>
      <c r="K938" s="36">
        <f>INDEX(Katalog!$F$3:$F$12,MATCH(cadangan3[[#This Row],[ItemID A]],Katalog!$C$3:$C$12,0))*cadangan3[[#This Row],[Qty A]]</f>
        <v>140000</v>
      </c>
      <c r="L938" s="36">
        <f>IFERROR(cadangan3[[#This Row],[Profit A]]-(cadangan3[[#This Row],[Profit A]]*cadangan3[[#This Row],[Diskon]]),K938)</f>
        <v>126000</v>
      </c>
      <c r="M938" t="s">
        <v>66</v>
      </c>
      <c r="N938" t="str">
        <f>IFERROR(INDEX(Katalog!$A$3:$A$12,MATCH(cadangan3[[#This Row],[ItemID B]],Katalog!$C$3:$C$12,0)),"-")</f>
        <v>Sepatu Pria</v>
      </c>
      <c r="O938" t="str">
        <f>IFERROR(INDEX(Katalog!$B$3:$B$12,MATCH(cadangan3[[#This Row],[ItemID B]],Katalog!$C$3:$C$12,0)),"-")</f>
        <v>Sandal Slip On</v>
      </c>
      <c r="P938">
        <v>2</v>
      </c>
      <c r="Q938">
        <v>2</v>
      </c>
      <c r="R938" s="36">
        <f>IFERROR(INDEX(Katalog!$D$3:$D$12,MATCH(cadangan3[[#This Row],[ItemID B]],Katalog!$C$3:$C$12,0))*cadangan3[[#This Row],[Qty B]],0)</f>
        <v>300000</v>
      </c>
      <c r="S938" s="36">
        <f>IFERROR(INDEX(Katalog!$D$3:$D$12,MATCH(cadangan3[[#This Row],[Item B]],Katalog!$B$3:$B$12,0))*cadangan3[[#This Row],[Qty B]],0)</f>
        <v>300000</v>
      </c>
      <c r="T938" s="36">
        <f>IFERROR(cadangan3[[#This Row],[Harga Asli B]]-(cadangan3[[#This Row],[Harga Asli B]]*cadangan3[[#This Row],[Diskon]]),cadangan3[[#This Row],[Harga Asli B]])</f>
        <v>270000</v>
      </c>
      <c r="U938" s="36">
        <f>IFERROR(INDEX(Katalog!$F$3:$F$12,MATCH(cadangan3[[#This Row],[ItemID B]],Katalog!$C$3:$C$12,0))*cadangan3[[#This Row],[Qty B]],0)</f>
        <v>120000</v>
      </c>
      <c r="V938" s="36">
        <f>IFERROR(cadangan3[[#This Row],[Profit B]]-(cadangan3[[#This Row],[Profit B]]*cadangan3[[#This Row],[Diskon]]),U938)</f>
        <v>108000</v>
      </c>
      <c r="W938" t="s">
        <v>65</v>
      </c>
      <c r="X938" t="str">
        <f>IFERROR(INDEX(Katalog!$A$3:$A$12,MATCH(cadangan3[[#This Row],[ItemID C]],Katalog!$C$3:$C$12,0)),"-")</f>
        <v>Sepatu Pria</v>
      </c>
      <c r="Y938" t="str">
        <f>IFERROR(INDEX(Katalog!$B$3:$B$12,MATCH(cadangan3[[#This Row],[ItemID C]],Katalog!$C$3:$C$12,0)),"-")</f>
        <v>Sneakers</v>
      </c>
      <c r="Z938">
        <v>1</v>
      </c>
      <c r="AA938">
        <v>4</v>
      </c>
      <c r="AB938" s="36">
        <f>IFERROR(INDEX(Katalog!$D$3:$D$12,MATCH(cadangan3[[#This Row],[ItemID C]],Katalog!$C$3:$C$12,0))*cadangan3[[#This Row],[Qty C]],0)</f>
        <v>500000</v>
      </c>
      <c r="AC938" s="36">
        <f>IFERROR(INDEX(Katalog!$D$3:$D$12,MATCH(cadangan3[[#This Row],[Item C]],Katalog!$B$3:$B$12,0))*cadangan3[[#This Row],[Qty C]],0)</f>
        <v>500000</v>
      </c>
      <c r="AD938" s="36">
        <f>IFERROR(cadangan3[[#This Row],[Harga Asli C]]-(cadangan3[[#This Row],[Harga Asli C]]*cadangan3[[#This Row],[Diskon]]),cadangan3[[#This Row],[Harga Asli C]])</f>
        <v>450000</v>
      </c>
      <c r="AE938" s="36">
        <f>IFERROR(INDEX(Katalog!$F$3:$F$12,MATCH(cadangan3[[#This Row],[ItemID C]],Katalog!$C$3:$C$12,0))*cadangan3[[#This Row],[Qty C]],0)</f>
        <v>200000</v>
      </c>
      <c r="AF938" s="36">
        <f>IFERROR(cadangan3[[#This Row],[Profit C]]-(cadangan3[[#This Row],[Profit C]]*cadangan3[[#This Row],[Diskon]]),cadangan3[[#This Row],[Profit C]])</f>
        <v>180000</v>
      </c>
      <c r="AG938" s="21">
        <f>cadangan3[[#This Row],[Qty A]]+cadangan3[[#This Row],[Qty B]]+cadangan3[[#This Row],[Qty C]]</f>
        <v>5</v>
      </c>
      <c r="AH938" s="35">
        <f>cadangan3[[#This Row],[Harga A + Diskon]]+cadangan3[[#This Row],[Harga + Diskon B]]+cadangan3[[#This Row],[Harga + Diskon C]]</f>
        <v>1044000</v>
      </c>
      <c r="AI938" s="35">
        <f>(cadangan3[[#This Row],[Profit A]]+cadangan3[[#This Row],[Profit B]]+cadangan3[[#This Row],[Profit C]])</f>
        <v>460000</v>
      </c>
      <c r="AJ938" s="35">
        <f>cadangan3[[#This Row],[Provit A + Diskon]]+cadangan3[[#This Row],[Provit B + Diskon]]+cadangan3[[#This Row],[Provit C + Diskon]]</f>
        <v>414000</v>
      </c>
      <c r="AK938" s="23" t="s">
        <v>6</v>
      </c>
      <c r="AL938" s="37">
        <f>IFERROR(INDEX('Kode Diskon'!$D$3:$D$9,MATCH(cadangan3[[#This Row],[Kode diskon]],'Kode Diskon'!$C$3:$C$9,0)),"-")</f>
        <v>0.1</v>
      </c>
      <c r="AM938" s="23" t="s">
        <v>29</v>
      </c>
      <c r="AN938" s="23" t="s">
        <v>7</v>
      </c>
      <c r="AO938" s="23" t="s">
        <v>79</v>
      </c>
      <c r="AP938" s="24">
        <v>45018</v>
      </c>
      <c r="AQ938" s="23" t="str">
        <f>TEXT(cadangan3[[#This Row],[Tanggal terjual]],"dddd")</f>
        <v>Sunday</v>
      </c>
    </row>
    <row r="939" spans="1:43" x14ac:dyDescent="0.2">
      <c r="A939" s="20">
        <v>938</v>
      </c>
      <c r="B939" s="21" t="str">
        <f>_xlfn.CONCAT("ORD-",INDEX(Helper!$B$2:$B$5,MATCH(cadangan3[[#This Row],[Marketplace]],Helper!$A$2:$A$5,0)),TEXT(cadangan3[[#This Row],[No]],"0000"),"-",TEXT(cadangan3[[#This Row],[Tanggal terjual]],"dd/mm/yy"))</f>
        <v>ORD-TK0938-02/04/23</v>
      </c>
      <c r="C939" t="s">
        <v>65</v>
      </c>
      <c r="D939" t="str">
        <f>IFERROR(INDEX(Katalog!$A$3:$A$12,MATCH(cadangan3[[#This Row],[ItemID A]],Katalog!$C$3:$C$12,0)),"-")</f>
        <v>Sepatu Pria</v>
      </c>
      <c r="E939" t="str">
        <f>IFERROR(INDEX(Katalog!$B$3:$B$12,MATCH(cadangan3[[#This Row],[ItemID A]],Katalog!$C$3:$C$12,0)),"-")</f>
        <v>Sneakers</v>
      </c>
      <c r="F939">
        <v>1</v>
      </c>
      <c r="G939">
        <v>2</v>
      </c>
      <c r="H939" s="36">
        <f>IFERROR(INDEX(Katalog!$D$3:$D$12,MATCH(cadangan3[[#This Row],[ItemID A]],Katalog!$C$3:$C$12,0))*cadangan3[[#This Row],[Qty A]],0)</f>
        <v>500000</v>
      </c>
      <c r="I939" s="36">
        <f>IFERROR(INDEX(Katalog!$D$3:$D$12,MATCH(cadangan3[[#This Row],[Item A]],Katalog!$B$3:$B$12,0))*cadangan3[[#This Row],[Qty A]],0)</f>
        <v>500000</v>
      </c>
      <c r="J939" s="36">
        <f>IFERROR(cadangan3[[#This Row],[Harga Asli A]]-(cadangan3[[#This Row],[Harga Asli A]]*cadangan3[[#This Row],[Diskon]]),cadangan3[[#This Row],[Harga Asli A]])</f>
        <v>450000</v>
      </c>
      <c r="K939" s="36">
        <f>INDEX(Katalog!$F$3:$F$12,MATCH(cadangan3[[#This Row],[ItemID A]],Katalog!$C$3:$C$12,0))*cadangan3[[#This Row],[Qty A]]</f>
        <v>200000</v>
      </c>
      <c r="L939" s="36">
        <f>IFERROR(cadangan3[[#This Row],[Profit A]]-(cadangan3[[#This Row],[Profit A]]*cadangan3[[#This Row],[Diskon]]),K939)</f>
        <v>180000</v>
      </c>
      <c r="M939" t="s">
        <v>59</v>
      </c>
      <c r="N939" t="str">
        <f>IFERROR(INDEX(Katalog!$A$3:$A$12,MATCH(cadangan3[[#This Row],[ItemID B]],Katalog!$C$3:$C$12,0)),"-")</f>
        <v>Pakaian Wanita</v>
      </c>
      <c r="O939" t="str">
        <f>IFERROR(INDEX(Katalog!$B$3:$B$12,MATCH(cadangan3[[#This Row],[ItemID B]],Katalog!$C$3:$C$12,0)),"-")</f>
        <v>Blouse</v>
      </c>
      <c r="P939">
        <v>1</v>
      </c>
      <c r="Q939">
        <v>5</v>
      </c>
      <c r="R939" s="36">
        <f>IFERROR(INDEX(Katalog!$D$3:$D$12,MATCH(cadangan3[[#This Row],[ItemID B]],Katalog!$C$3:$C$12,0))*cadangan3[[#This Row],[Qty B]],0)</f>
        <v>150000</v>
      </c>
      <c r="S939" s="36">
        <f>IFERROR(INDEX(Katalog!$D$3:$D$12,MATCH(cadangan3[[#This Row],[Item B]],Katalog!$B$3:$B$12,0))*cadangan3[[#This Row],[Qty B]],0)</f>
        <v>150000</v>
      </c>
      <c r="T939" s="36">
        <f>IFERROR(cadangan3[[#This Row],[Harga Asli B]]-(cadangan3[[#This Row],[Harga Asli B]]*cadangan3[[#This Row],[Diskon]]),cadangan3[[#This Row],[Harga Asli B]])</f>
        <v>135000</v>
      </c>
      <c r="U939" s="36">
        <f>IFERROR(INDEX(Katalog!$F$3:$F$12,MATCH(cadangan3[[#This Row],[ItemID B]],Katalog!$C$3:$C$12,0))*cadangan3[[#This Row],[Qty B]],0)</f>
        <v>50000</v>
      </c>
      <c r="V939" s="36">
        <f>IFERROR(cadangan3[[#This Row],[Profit B]]-(cadangan3[[#This Row],[Profit B]]*cadangan3[[#This Row],[Diskon]]),U939)</f>
        <v>45000</v>
      </c>
      <c r="W939" t="s">
        <v>67</v>
      </c>
      <c r="X939" t="str">
        <f>IFERROR(INDEX(Katalog!$A$3:$A$12,MATCH(cadangan3[[#This Row],[ItemID C]],Katalog!$C$3:$C$12,0)),"-")</f>
        <v>Sepatu Wanita</v>
      </c>
      <c r="Y939" t="str">
        <f>IFERROR(INDEX(Katalog!$B$3:$B$12,MATCH(cadangan3[[#This Row],[ItemID C]],Katalog!$C$3:$C$12,0)),"-")</f>
        <v>Flat Shoes</v>
      </c>
      <c r="Z939">
        <v>1</v>
      </c>
      <c r="AA939">
        <v>2</v>
      </c>
      <c r="AB939" s="36">
        <f>IFERROR(INDEX(Katalog!$D$3:$D$12,MATCH(cadangan3[[#This Row],[ItemID C]],Katalog!$C$3:$C$12,0))*cadangan3[[#This Row],[Qty C]],0)</f>
        <v>250000</v>
      </c>
      <c r="AC939" s="36">
        <f>IFERROR(INDEX(Katalog!$D$3:$D$12,MATCH(cadangan3[[#This Row],[Item C]],Katalog!$B$3:$B$12,0))*cadangan3[[#This Row],[Qty C]],0)</f>
        <v>250000</v>
      </c>
      <c r="AD939" s="36">
        <f>IFERROR(cadangan3[[#This Row],[Harga Asli C]]-(cadangan3[[#This Row],[Harga Asli C]]*cadangan3[[#This Row],[Diskon]]),cadangan3[[#This Row],[Harga Asli C]])</f>
        <v>225000</v>
      </c>
      <c r="AE939" s="36">
        <f>IFERROR(INDEX(Katalog!$F$3:$F$12,MATCH(cadangan3[[#This Row],[ItemID C]],Katalog!$C$3:$C$12,0))*cadangan3[[#This Row],[Qty C]],0)</f>
        <v>100000</v>
      </c>
      <c r="AF939" s="36">
        <f>IFERROR(cadangan3[[#This Row],[Profit C]]-(cadangan3[[#This Row],[Profit C]]*cadangan3[[#This Row],[Diskon]]),cadangan3[[#This Row],[Profit C]])</f>
        <v>90000</v>
      </c>
      <c r="AG939" s="21">
        <f>cadangan3[[#This Row],[Qty A]]+cadangan3[[#This Row],[Qty B]]+cadangan3[[#This Row],[Qty C]]</f>
        <v>3</v>
      </c>
      <c r="AH939" s="35">
        <f>cadangan3[[#This Row],[Harga A + Diskon]]+cadangan3[[#This Row],[Harga + Diskon B]]+cadangan3[[#This Row],[Harga + Diskon C]]</f>
        <v>810000</v>
      </c>
      <c r="AI939" s="35">
        <f>(cadangan3[[#This Row],[Profit A]]+cadangan3[[#This Row],[Profit B]]+cadangan3[[#This Row],[Profit C]])</f>
        <v>350000</v>
      </c>
      <c r="AJ939" s="35">
        <f>cadangan3[[#This Row],[Provit A + Diskon]]+cadangan3[[#This Row],[Provit B + Diskon]]+cadangan3[[#This Row],[Provit C + Diskon]]</f>
        <v>315000</v>
      </c>
      <c r="AK939" s="23" t="s">
        <v>30</v>
      </c>
      <c r="AL939" s="37">
        <f>IFERROR(INDEX('Kode Diskon'!$D$3:$D$9,MATCH(cadangan3[[#This Row],[Kode diskon]],'Kode Diskon'!$C$3:$C$9,0)),"-")</f>
        <v>0.1</v>
      </c>
      <c r="AM939" s="23" t="s">
        <v>29</v>
      </c>
      <c r="AN939" s="23" t="s">
        <v>10</v>
      </c>
      <c r="AO939" s="23" t="s">
        <v>79</v>
      </c>
      <c r="AP939" s="24">
        <v>45018</v>
      </c>
      <c r="AQ939" s="23" t="str">
        <f>TEXT(cadangan3[[#This Row],[Tanggal terjual]],"dddd")</f>
        <v>Sunday</v>
      </c>
    </row>
    <row r="940" spans="1:43" x14ac:dyDescent="0.2">
      <c r="A940" s="20">
        <v>939</v>
      </c>
      <c r="B940" s="21" t="str">
        <f>_xlfn.CONCAT("ORD-",INDEX(Helper!$B$2:$B$5,MATCH(cadangan3[[#This Row],[Marketplace]],Helper!$A$2:$A$5,0)),TEXT(cadangan3[[#This Row],[No]],"0000"),"-",TEXT(cadangan3[[#This Row],[Tanggal terjual]],"dd/mm/yy"))</f>
        <v>ORD-BL0939-08/04/23</v>
      </c>
      <c r="C940" t="s">
        <v>61</v>
      </c>
      <c r="D940" t="str">
        <f>IFERROR(INDEX(Katalog!$A$3:$A$12,MATCH(cadangan3[[#This Row],[ItemID A]],Katalog!$C$3:$C$12,0)),"-")</f>
        <v>Pakaian Pria</v>
      </c>
      <c r="E940" t="str">
        <f>IFERROR(INDEX(Katalog!$B$3:$B$12,MATCH(cadangan3[[#This Row],[ItemID A]],Katalog!$C$3:$C$12,0)),"-")</f>
        <v>Kaos Polo</v>
      </c>
      <c r="F940">
        <v>2</v>
      </c>
      <c r="G940">
        <v>4</v>
      </c>
      <c r="H940" s="36">
        <f>IFERROR(INDEX(Katalog!$D$3:$D$12,MATCH(cadangan3[[#This Row],[ItemID A]],Katalog!$C$3:$C$12,0))*cadangan3[[#This Row],[Qty A]],0)</f>
        <v>400000</v>
      </c>
      <c r="I940" s="36">
        <f>IFERROR(INDEX(Katalog!$D$3:$D$12,MATCH(cadangan3[[#This Row],[Item A]],Katalog!$B$3:$B$12,0))*cadangan3[[#This Row],[Qty A]],0)</f>
        <v>400000</v>
      </c>
      <c r="J940" s="36">
        <f>IFERROR(cadangan3[[#This Row],[Harga Asli A]]-(cadangan3[[#This Row],[Harga Asli A]]*cadangan3[[#This Row],[Diskon]]),cadangan3[[#This Row],[Harga Asli A]])</f>
        <v>400000</v>
      </c>
      <c r="K940" s="36">
        <f>INDEX(Katalog!$F$3:$F$12,MATCH(cadangan3[[#This Row],[ItemID A]],Katalog!$C$3:$C$12,0))*cadangan3[[#This Row],[Qty A]]</f>
        <v>160000</v>
      </c>
      <c r="L940" s="36">
        <f>IFERROR(cadangan3[[#This Row],[Profit A]]-(cadangan3[[#This Row],[Profit A]]*cadangan3[[#This Row],[Diskon]]),K940)</f>
        <v>160000</v>
      </c>
      <c r="M940" t="s">
        <v>65</v>
      </c>
      <c r="N940" t="str">
        <f>IFERROR(INDEX(Katalog!$A$3:$A$12,MATCH(cadangan3[[#This Row],[ItemID B]],Katalog!$C$3:$C$12,0)),"-")</f>
        <v>Sepatu Pria</v>
      </c>
      <c r="O940" t="str">
        <f>IFERROR(INDEX(Katalog!$B$3:$B$12,MATCH(cadangan3[[#This Row],[ItemID B]],Katalog!$C$3:$C$12,0)),"-")</f>
        <v>Sneakers</v>
      </c>
      <c r="P940">
        <v>1</v>
      </c>
      <c r="Q940">
        <v>2</v>
      </c>
      <c r="R940" s="36">
        <f>IFERROR(INDEX(Katalog!$D$3:$D$12,MATCH(cadangan3[[#This Row],[ItemID B]],Katalog!$C$3:$C$12,0))*cadangan3[[#This Row],[Qty B]],0)</f>
        <v>500000</v>
      </c>
      <c r="S940" s="36">
        <f>IFERROR(INDEX(Katalog!$D$3:$D$12,MATCH(cadangan3[[#This Row],[Item B]],Katalog!$B$3:$B$12,0))*cadangan3[[#This Row],[Qty B]],0)</f>
        <v>500000</v>
      </c>
      <c r="T940" s="36">
        <f>IFERROR(cadangan3[[#This Row],[Harga Asli B]]-(cadangan3[[#This Row],[Harga Asli B]]*cadangan3[[#This Row],[Diskon]]),cadangan3[[#This Row],[Harga Asli B]])</f>
        <v>500000</v>
      </c>
      <c r="U940" s="36">
        <f>IFERROR(INDEX(Katalog!$F$3:$F$12,MATCH(cadangan3[[#This Row],[ItemID B]],Katalog!$C$3:$C$12,0))*cadangan3[[#This Row],[Qty B]],0)</f>
        <v>200000</v>
      </c>
      <c r="V940" s="36">
        <f>IFERROR(cadangan3[[#This Row],[Profit B]]-(cadangan3[[#This Row],[Profit B]]*cadangan3[[#This Row],[Diskon]]),U940)</f>
        <v>200000</v>
      </c>
      <c r="X940" t="str">
        <f>IFERROR(INDEX(Katalog!$A$3:$A$12,MATCH(cadangan3[[#This Row],[ItemID C]],Katalog!$C$3:$C$12,0)),"-")</f>
        <v>-</v>
      </c>
      <c r="Y940" t="str">
        <f>IFERROR(INDEX(Katalog!$B$3:$B$12,MATCH(cadangan3[[#This Row],[ItemID C]],Katalog!$C$3:$C$12,0)),"-")</f>
        <v>-</v>
      </c>
      <c r="AB940" s="36">
        <f>IFERROR(INDEX(Katalog!$D$3:$D$12,MATCH(cadangan3[[#This Row],[ItemID C]],Katalog!$C$3:$C$12,0))*cadangan3[[#This Row],[Qty C]],0)</f>
        <v>0</v>
      </c>
      <c r="AC940" s="36">
        <f>IFERROR(INDEX(Katalog!$D$3:$D$12,MATCH(cadangan3[[#This Row],[Item C]],Katalog!$B$3:$B$12,0))*cadangan3[[#This Row],[Qty C]],0)</f>
        <v>0</v>
      </c>
      <c r="AD940" s="36">
        <f>IFERROR(cadangan3[[#This Row],[Harga Asli C]]-(cadangan3[[#This Row],[Harga Asli C]]*cadangan3[[#This Row],[Diskon]]),cadangan3[[#This Row],[Harga Asli C]])</f>
        <v>0</v>
      </c>
      <c r="AE940" s="36">
        <f>IFERROR(INDEX(Katalog!$F$3:$F$12,MATCH(cadangan3[[#This Row],[ItemID C]],Katalog!$C$3:$C$12,0))*cadangan3[[#This Row],[Qty C]],0)</f>
        <v>0</v>
      </c>
      <c r="AF940" s="36">
        <f>IFERROR(cadangan3[[#This Row],[Profit C]]-(cadangan3[[#This Row],[Profit C]]*cadangan3[[#This Row],[Diskon]]),cadangan3[[#This Row],[Profit C]])</f>
        <v>0</v>
      </c>
      <c r="AG940" s="21">
        <f>cadangan3[[#This Row],[Qty A]]+cadangan3[[#This Row],[Qty B]]+cadangan3[[#This Row],[Qty C]]</f>
        <v>3</v>
      </c>
      <c r="AH940" s="35">
        <f>cadangan3[[#This Row],[Harga A + Diskon]]+cadangan3[[#This Row],[Harga + Diskon B]]+cadangan3[[#This Row],[Harga + Diskon C]]</f>
        <v>900000</v>
      </c>
      <c r="AI940" s="35">
        <f>(cadangan3[[#This Row],[Profit A]]+cadangan3[[#This Row],[Profit B]]+cadangan3[[#This Row],[Profit C]])</f>
        <v>360000</v>
      </c>
      <c r="AJ940" s="35">
        <f>cadangan3[[#This Row],[Provit A + Diskon]]+cadangan3[[#This Row],[Provit B + Diskon]]+cadangan3[[#This Row],[Provit C + Diskon]]</f>
        <v>360000</v>
      </c>
      <c r="AK940" s="23" t="s">
        <v>11</v>
      </c>
      <c r="AL940" s="37" t="str">
        <f>IFERROR(INDEX('Kode Diskon'!$D$3:$D$9,MATCH(cadangan3[[#This Row],[Kode diskon]],'Kode Diskon'!$C$3:$C$9,0)),"-")</f>
        <v>-</v>
      </c>
      <c r="AM940" s="23" t="s">
        <v>11</v>
      </c>
      <c r="AN940" s="23" t="s">
        <v>12</v>
      </c>
      <c r="AO940" s="23" t="s">
        <v>75</v>
      </c>
      <c r="AP940" s="24">
        <v>45024</v>
      </c>
      <c r="AQ940" s="23" t="str">
        <f>TEXT(cadangan3[[#This Row],[Tanggal terjual]],"dddd")</f>
        <v>Saturday</v>
      </c>
    </row>
    <row r="941" spans="1:43" x14ac:dyDescent="0.2">
      <c r="A941" s="20">
        <v>940</v>
      </c>
      <c r="B941" s="21" t="str">
        <f>_xlfn.CONCAT("ORD-",INDEX(Helper!$B$2:$B$5,MATCH(cadangan3[[#This Row],[Marketplace]],Helper!$A$2:$A$5,0)),TEXT(cadangan3[[#This Row],[No]],"0000"),"-",TEXT(cadangan3[[#This Row],[Tanggal terjual]],"dd/mm/yy"))</f>
        <v>ORD-TK0940-06/04/23</v>
      </c>
      <c r="C941" t="s">
        <v>65</v>
      </c>
      <c r="D941" t="str">
        <f>IFERROR(INDEX(Katalog!$A$3:$A$12,MATCH(cadangan3[[#This Row],[ItemID A]],Katalog!$C$3:$C$12,0)),"-")</f>
        <v>Sepatu Pria</v>
      </c>
      <c r="E941" t="str">
        <f>IFERROR(INDEX(Katalog!$B$3:$B$12,MATCH(cadangan3[[#This Row],[ItemID A]],Katalog!$C$3:$C$12,0)),"-")</f>
        <v>Sneakers</v>
      </c>
      <c r="F941">
        <v>2</v>
      </c>
      <c r="G941">
        <v>5</v>
      </c>
      <c r="H941" s="36">
        <f>IFERROR(INDEX(Katalog!$D$3:$D$12,MATCH(cadangan3[[#This Row],[ItemID A]],Katalog!$C$3:$C$12,0))*cadangan3[[#This Row],[Qty A]],0)</f>
        <v>1000000</v>
      </c>
      <c r="I941" s="36">
        <f>IFERROR(INDEX(Katalog!$D$3:$D$12,MATCH(cadangan3[[#This Row],[Item A]],Katalog!$B$3:$B$12,0))*cadangan3[[#This Row],[Qty A]],0)</f>
        <v>1000000</v>
      </c>
      <c r="J941" s="36">
        <f>IFERROR(cadangan3[[#This Row],[Harga Asli A]]-(cadangan3[[#This Row],[Harga Asli A]]*cadangan3[[#This Row],[Diskon]]),cadangan3[[#This Row],[Harga Asli A]])</f>
        <v>900000</v>
      </c>
      <c r="K941" s="36">
        <f>INDEX(Katalog!$F$3:$F$12,MATCH(cadangan3[[#This Row],[ItemID A]],Katalog!$C$3:$C$12,0))*cadangan3[[#This Row],[Qty A]]</f>
        <v>400000</v>
      </c>
      <c r="L941" s="36">
        <f>IFERROR(cadangan3[[#This Row],[Profit A]]-(cadangan3[[#This Row],[Profit A]]*cadangan3[[#This Row],[Diskon]]),K941)</f>
        <v>360000</v>
      </c>
      <c r="N941" t="str">
        <f>IFERROR(INDEX(Katalog!$A$3:$A$12,MATCH(cadangan3[[#This Row],[ItemID B]],Katalog!$C$3:$C$12,0)),"-")</f>
        <v>-</v>
      </c>
      <c r="O941" t="str">
        <f>IFERROR(INDEX(Katalog!$B$3:$B$12,MATCH(cadangan3[[#This Row],[ItemID B]],Katalog!$C$3:$C$12,0)),"-")</f>
        <v>-</v>
      </c>
      <c r="R941" s="36">
        <f>IFERROR(INDEX(Katalog!$D$3:$D$12,MATCH(cadangan3[[#This Row],[ItemID B]],Katalog!$C$3:$C$12,0))*cadangan3[[#This Row],[Qty B]],0)</f>
        <v>0</v>
      </c>
      <c r="S941" s="36">
        <f>IFERROR(INDEX(Katalog!$D$3:$D$12,MATCH(cadangan3[[#This Row],[Item B]],Katalog!$B$3:$B$12,0))*cadangan3[[#This Row],[Qty B]],0)</f>
        <v>0</v>
      </c>
      <c r="T941" s="36">
        <f>IFERROR(cadangan3[[#This Row],[Harga Asli B]]-(cadangan3[[#This Row],[Harga Asli B]]*cadangan3[[#This Row],[Diskon]]),cadangan3[[#This Row],[Harga Asli B]])</f>
        <v>0</v>
      </c>
      <c r="U941" s="36">
        <f>IFERROR(INDEX(Katalog!$F$3:$F$12,MATCH(cadangan3[[#This Row],[ItemID B]],Katalog!$C$3:$C$12,0))*cadangan3[[#This Row],[Qty B]],0)</f>
        <v>0</v>
      </c>
      <c r="V941" s="36">
        <f>IFERROR(cadangan3[[#This Row],[Profit B]]-(cadangan3[[#This Row],[Profit B]]*cadangan3[[#This Row],[Diskon]]),U941)</f>
        <v>0</v>
      </c>
      <c r="X941" t="str">
        <f>IFERROR(INDEX(Katalog!$A$3:$A$12,MATCH(cadangan3[[#This Row],[ItemID C]],Katalog!$C$3:$C$12,0)),"-")</f>
        <v>-</v>
      </c>
      <c r="Y941" t="str">
        <f>IFERROR(INDEX(Katalog!$B$3:$B$12,MATCH(cadangan3[[#This Row],[ItemID C]],Katalog!$C$3:$C$12,0)),"-")</f>
        <v>-</v>
      </c>
      <c r="AB941" s="36">
        <f>IFERROR(INDEX(Katalog!$D$3:$D$12,MATCH(cadangan3[[#This Row],[ItemID C]],Katalog!$C$3:$C$12,0))*cadangan3[[#This Row],[Qty C]],0)</f>
        <v>0</v>
      </c>
      <c r="AC941" s="36">
        <f>IFERROR(INDEX(Katalog!$D$3:$D$12,MATCH(cadangan3[[#This Row],[Item C]],Katalog!$B$3:$B$12,0))*cadangan3[[#This Row],[Qty C]],0)</f>
        <v>0</v>
      </c>
      <c r="AD941" s="36">
        <f>IFERROR(cadangan3[[#This Row],[Harga Asli C]]-(cadangan3[[#This Row],[Harga Asli C]]*cadangan3[[#This Row],[Diskon]]),cadangan3[[#This Row],[Harga Asli C]])</f>
        <v>0</v>
      </c>
      <c r="AE941" s="36">
        <f>IFERROR(INDEX(Katalog!$F$3:$F$12,MATCH(cadangan3[[#This Row],[ItemID C]],Katalog!$C$3:$C$12,0))*cadangan3[[#This Row],[Qty C]],0)</f>
        <v>0</v>
      </c>
      <c r="AF941" s="36">
        <f>IFERROR(cadangan3[[#This Row],[Profit C]]-(cadangan3[[#This Row],[Profit C]]*cadangan3[[#This Row],[Diskon]]),cadangan3[[#This Row],[Profit C]])</f>
        <v>0</v>
      </c>
      <c r="AG941" s="21">
        <f>cadangan3[[#This Row],[Qty A]]+cadangan3[[#This Row],[Qty B]]+cadangan3[[#This Row],[Qty C]]</f>
        <v>2</v>
      </c>
      <c r="AH941" s="35">
        <f>cadangan3[[#This Row],[Harga A + Diskon]]+cadangan3[[#This Row],[Harga + Diskon B]]+cadangan3[[#This Row],[Harga + Diskon C]]</f>
        <v>900000</v>
      </c>
      <c r="AI941" s="35">
        <f>(cadangan3[[#This Row],[Profit A]]+cadangan3[[#This Row],[Profit B]]+cadangan3[[#This Row],[Profit C]])</f>
        <v>400000</v>
      </c>
      <c r="AJ941" s="35">
        <f>cadangan3[[#This Row],[Provit A + Diskon]]+cadangan3[[#This Row],[Provit B + Diskon]]+cadangan3[[#This Row],[Provit C + Diskon]]</f>
        <v>360000</v>
      </c>
      <c r="AK941" s="23" t="s">
        <v>30</v>
      </c>
      <c r="AL941" s="37">
        <f>IFERROR(INDEX('Kode Diskon'!$D$3:$D$9,MATCH(cadangan3[[#This Row],[Kode diskon]],'Kode Diskon'!$C$3:$C$9,0)),"-")</f>
        <v>0.1</v>
      </c>
      <c r="AM941" s="23" t="s">
        <v>29</v>
      </c>
      <c r="AN941" s="23" t="s">
        <v>10</v>
      </c>
      <c r="AO941" s="23" t="s">
        <v>79</v>
      </c>
      <c r="AP941" s="24">
        <v>45022</v>
      </c>
      <c r="AQ941" s="23" t="str">
        <f>TEXT(cadangan3[[#This Row],[Tanggal terjual]],"dddd")</f>
        <v>Thursday</v>
      </c>
    </row>
    <row r="942" spans="1:43" x14ac:dyDescent="0.2">
      <c r="A942" s="20">
        <v>941</v>
      </c>
      <c r="B942" s="21" t="str">
        <f>_xlfn.CONCAT("ORD-",INDEX(Helper!$B$2:$B$5,MATCH(cadangan3[[#This Row],[Marketplace]],Helper!$A$2:$A$5,0)),TEXT(cadangan3[[#This Row],[No]],"0000"),"-",TEXT(cadangan3[[#This Row],[Tanggal terjual]],"dd/mm/yy"))</f>
        <v>ORD-TK0941-15/04/23</v>
      </c>
      <c r="C942" t="s">
        <v>62</v>
      </c>
      <c r="D942" t="str">
        <f>IFERROR(INDEX(Katalog!$A$3:$A$12,MATCH(cadangan3[[#This Row],[ItemID A]],Katalog!$C$3:$C$12,0)),"-")</f>
        <v>Pakaian Pria</v>
      </c>
      <c r="E942" t="str">
        <f>IFERROR(INDEX(Katalog!$B$3:$B$12,MATCH(cadangan3[[#This Row],[ItemID A]],Katalog!$C$3:$C$12,0)),"-")</f>
        <v>Celana Pendek</v>
      </c>
      <c r="F942">
        <v>6</v>
      </c>
      <c r="G942">
        <v>3</v>
      </c>
      <c r="H942" s="36">
        <f>IFERROR(INDEX(Katalog!$D$3:$D$12,MATCH(cadangan3[[#This Row],[ItemID A]],Katalog!$C$3:$C$12,0))*cadangan3[[#This Row],[Qty A]],0)</f>
        <v>1080000</v>
      </c>
      <c r="I942" s="36">
        <f>IFERROR(INDEX(Katalog!$D$3:$D$12,MATCH(cadangan3[[#This Row],[Item A]],Katalog!$B$3:$B$12,0))*cadangan3[[#This Row],[Qty A]],0)</f>
        <v>1080000</v>
      </c>
      <c r="J942" s="36">
        <f>IFERROR(cadangan3[[#This Row],[Harga Asli A]]-(cadangan3[[#This Row],[Harga Asli A]]*cadangan3[[#This Row],[Diskon]]),cadangan3[[#This Row],[Harga Asli A]])</f>
        <v>1080000</v>
      </c>
      <c r="K942" s="36">
        <f>INDEX(Katalog!$F$3:$F$12,MATCH(cadangan3[[#This Row],[ItemID A]],Katalog!$C$3:$C$12,0))*cadangan3[[#This Row],[Qty A]]</f>
        <v>420000</v>
      </c>
      <c r="L942" s="36">
        <f>IFERROR(cadangan3[[#This Row],[Profit A]]-(cadangan3[[#This Row],[Profit A]]*cadangan3[[#This Row],[Diskon]]),K942)</f>
        <v>420000</v>
      </c>
      <c r="M942" t="s">
        <v>60</v>
      </c>
      <c r="N942" t="str">
        <f>IFERROR(INDEX(Katalog!$A$3:$A$12,MATCH(cadangan3[[#This Row],[ItemID B]],Katalog!$C$3:$C$12,0)),"-")</f>
        <v>Pakaian Wanita</v>
      </c>
      <c r="O942" t="str">
        <f>IFERROR(INDEX(Katalog!$B$3:$B$12,MATCH(cadangan3[[#This Row],[ItemID B]],Katalog!$C$3:$C$12,0)),"-")</f>
        <v>Kaftan</v>
      </c>
      <c r="P942">
        <v>1</v>
      </c>
      <c r="Q942">
        <v>3</v>
      </c>
      <c r="R942" s="36">
        <f>IFERROR(INDEX(Katalog!$D$3:$D$12,MATCH(cadangan3[[#This Row],[ItemID B]],Katalog!$C$3:$C$12,0))*cadangan3[[#This Row],[Qty B]],0)</f>
        <v>250000</v>
      </c>
      <c r="S942" s="36">
        <f>IFERROR(INDEX(Katalog!$D$3:$D$12,MATCH(cadangan3[[#This Row],[Item B]],Katalog!$B$3:$B$12,0))*cadangan3[[#This Row],[Qty B]],0)</f>
        <v>250000</v>
      </c>
      <c r="T942" s="36">
        <f>IFERROR(cadangan3[[#This Row],[Harga Asli B]]-(cadangan3[[#This Row],[Harga Asli B]]*cadangan3[[#This Row],[Diskon]]),cadangan3[[#This Row],[Harga Asli B]])</f>
        <v>250000</v>
      </c>
      <c r="U942" s="36">
        <f>IFERROR(INDEX(Katalog!$F$3:$F$12,MATCH(cadangan3[[#This Row],[ItemID B]],Katalog!$C$3:$C$12,0))*cadangan3[[#This Row],[Qty B]],0)</f>
        <v>100000</v>
      </c>
      <c r="V942" s="36">
        <f>IFERROR(cadangan3[[#This Row],[Profit B]]-(cadangan3[[#This Row],[Profit B]]*cadangan3[[#This Row],[Diskon]]),U942)</f>
        <v>100000</v>
      </c>
      <c r="X942" t="str">
        <f>IFERROR(INDEX(Katalog!$A$3:$A$12,MATCH(cadangan3[[#This Row],[ItemID C]],Katalog!$C$3:$C$12,0)),"-")</f>
        <v>-</v>
      </c>
      <c r="Y942" t="str">
        <f>IFERROR(INDEX(Katalog!$B$3:$B$12,MATCH(cadangan3[[#This Row],[ItemID C]],Katalog!$C$3:$C$12,0)),"-")</f>
        <v>-</v>
      </c>
      <c r="AB942" s="36">
        <f>IFERROR(INDEX(Katalog!$D$3:$D$12,MATCH(cadangan3[[#This Row],[ItemID C]],Katalog!$C$3:$C$12,0))*cadangan3[[#This Row],[Qty C]],0)</f>
        <v>0</v>
      </c>
      <c r="AC942" s="36">
        <f>IFERROR(INDEX(Katalog!$D$3:$D$12,MATCH(cadangan3[[#This Row],[Item C]],Katalog!$B$3:$B$12,0))*cadangan3[[#This Row],[Qty C]],0)</f>
        <v>0</v>
      </c>
      <c r="AD942" s="36">
        <f>IFERROR(cadangan3[[#This Row],[Harga Asli C]]-(cadangan3[[#This Row],[Harga Asli C]]*cadangan3[[#This Row],[Diskon]]),cadangan3[[#This Row],[Harga Asli C]])</f>
        <v>0</v>
      </c>
      <c r="AE942" s="36">
        <f>IFERROR(INDEX(Katalog!$F$3:$F$12,MATCH(cadangan3[[#This Row],[ItemID C]],Katalog!$C$3:$C$12,0))*cadangan3[[#This Row],[Qty C]],0)</f>
        <v>0</v>
      </c>
      <c r="AF942" s="36">
        <f>IFERROR(cadangan3[[#This Row],[Profit C]]-(cadangan3[[#This Row],[Profit C]]*cadangan3[[#This Row],[Diskon]]),cadangan3[[#This Row],[Profit C]])</f>
        <v>0</v>
      </c>
      <c r="AG942" s="21">
        <f>cadangan3[[#This Row],[Qty A]]+cadangan3[[#This Row],[Qty B]]+cadangan3[[#This Row],[Qty C]]</f>
        <v>7</v>
      </c>
      <c r="AH942" s="35">
        <f>cadangan3[[#This Row],[Harga A + Diskon]]+cadangan3[[#This Row],[Harga + Diskon B]]+cadangan3[[#This Row],[Harga + Diskon C]]</f>
        <v>1330000</v>
      </c>
      <c r="AI942" s="35">
        <f>(cadangan3[[#This Row],[Profit A]]+cadangan3[[#This Row],[Profit B]]+cadangan3[[#This Row],[Profit C]])</f>
        <v>520000</v>
      </c>
      <c r="AJ942" s="35">
        <f>cadangan3[[#This Row],[Provit A + Diskon]]+cadangan3[[#This Row],[Provit B + Diskon]]+cadangan3[[#This Row],[Provit C + Diskon]]</f>
        <v>520000</v>
      </c>
      <c r="AK942" s="23" t="s">
        <v>11</v>
      </c>
      <c r="AL942" s="37" t="str">
        <f>IFERROR(INDEX('Kode Diskon'!$D$3:$D$9,MATCH(cadangan3[[#This Row],[Kode diskon]],'Kode Diskon'!$C$3:$C$9,0)),"-")</f>
        <v>-</v>
      </c>
      <c r="AM942" s="23" t="s">
        <v>11</v>
      </c>
      <c r="AN942" s="23" t="s">
        <v>10</v>
      </c>
      <c r="AO942" s="23" t="s">
        <v>76</v>
      </c>
      <c r="AP942" s="24">
        <v>45031</v>
      </c>
      <c r="AQ942" s="23" t="str">
        <f>TEXT(cadangan3[[#This Row],[Tanggal terjual]],"dddd")</f>
        <v>Saturday</v>
      </c>
    </row>
    <row r="943" spans="1:43" x14ac:dyDescent="0.2">
      <c r="A943" s="20">
        <v>942</v>
      </c>
      <c r="B943" s="21" t="str">
        <f>_xlfn.CONCAT("ORD-",INDEX(Helper!$B$2:$B$5,MATCH(cadangan3[[#This Row],[Marketplace]],Helper!$A$2:$A$5,0)),TEXT(cadangan3[[#This Row],[No]],"0000"),"-",TEXT(cadangan3[[#This Row],[Tanggal terjual]],"dd/mm/yy"))</f>
        <v>ORD-BB0942-04/04/23</v>
      </c>
      <c r="C943" t="s">
        <v>61</v>
      </c>
      <c r="D943" t="str">
        <f>IFERROR(INDEX(Katalog!$A$3:$A$12,MATCH(cadangan3[[#This Row],[ItemID A]],Katalog!$C$3:$C$12,0)),"-")</f>
        <v>Pakaian Pria</v>
      </c>
      <c r="E943" t="str">
        <f>IFERROR(INDEX(Katalog!$B$3:$B$12,MATCH(cadangan3[[#This Row],[ItemID A]],Katalog!$C$3:$C$12,0)),"-")</f>
        <v>Kaos Polo</v>
      </c>
      <c r="F943">
        <v>5</v>
      </c>
      <c r="G943">
        <v>5</v>
      </c>
      <c r="H943" s="36">
        <f>IFERROR(INDEX(Katalog!$D$3:$D$12,MATCH(cadangan3[[#This Row],[ItemID A]],Katalog!$C$3:$C$12,0))*cadangan3[[#This Row],[Qty A]],0)</f>
        <v>1000000</v>
      </c>
      <c r="I943" s="36">
        <f>IFERROR(INDEX(Katalog!$D$3:$D$12,MATCH(cadangan3[[#This Row],[Item A]],Katalog!$B$3:$B$12,0))*cadangan3[[#This Row],[Qty A]],0)</f>
        <v>1000000</v>
      </c>
      <c r="J943" s="36">
        <f>IFERROR(cadangan3[[#This Row],[Harga Asli A]]-(cadangan3[[#This Row],[Harga Asli A]]*cadangan3[[#This Row],[Diskon]]),cadangan3[[#This Row],[Harga Asli A]])</f>
        <v>850000</v>
      </c>
      <c r="K943" s="36">
        <f>INDEX(Katalog!$F$3:$F$12,MATCH(cadangan3[[#This Row],[ItemID A]],Katalog!$C$3:$C$12,0))*cadangan3[[#This Row],[Qty A]]</f>
        <v>400000</v>
      </c>
      <c r="L943" s="36">
        <f>IFERROR(cadangan3[[#This Row],[Profit A]]-(cadangan3[[#This Row],[Profit A]]*cadangan3[[#This Row],[Diskon]]),K943)</f>
        <v>340000</v>
      </c>
      <c r="M943" t="s">
        <v>60</v>
      </c>
      <c r="N943" t="str">
        <f>IFERROR(INDEX(Katalog!$A$3:$A$12,MATCH(cadangan3[[#This Row],[ItemID B]],Katalog!$C$3:$C$12,0)),"-")</f>
        <v>Pakaian Wanita</v>
      </c>
      <c r="O943" t="str">
        <f>IFERROR(INDEX(Katalog!$B$3:$B$12,MATCH(cadangan3[[#This Row],[ItemID B]],Katalog!$C$3:$C$12,0)),"-")</f>
        <v>Kaftan</v>
      </c>
      <c r="P943">
        <v>1</v>
      </c>
      <c r="Q943">
        <v>2</v>
      </c>
      <c r="R943" s="36">
        <f>IFERROR(INDEX(Katalog!$D$3:$D$12,MATCH(cadangan3[[#This Row],[ItemID B]],Katalog!$C$3:$C$12,0))*cadangan3[[#This Row],[Qty B]],0)</f>
        <v>250000</v>
      </c>
      <c r="S943" s="36">
        <f>IFERROR(INDEX(Katalog!$D$3:$D$12,MATCH(cadangan3[[#This Row],[Item B]],Katalog!$B$3:$B$12,0))*cadangan3[[#This Row],[Qty B]],0)</f>
        <v>250000</v>
      </c>
      <c r="T943" s="36">
        <f>IFERROR(cadangan3[[#This Row],[Harga Asli B]]-(cadangan3[[#This Row],[Harga Asli B]]*cadangan3[[#This Row],[Diskon]]),cadangan3[[#This Row],[Harga Asli B]])</f>
        <v>212500</v>
      </c>
      <c r="U943" s="36">
        <f>IFERROR(INDEX(Katalog!$F$3:$F$12,MATCH(cadangan3[[#This Row],[ItemID B]],Katalog!$C$3:$C$12,0))*cadangan3[[#This Row],[Qty B]],0)</f>
        <v>100000</v>
      </c>
      <c r="V943" s="36">
        <f>IFERROR(cadangan3[[#This Row],[Profit B]]-(cadangan3[[#This Row],[Profit B]]*cadangan3[[#This Row],[Diskon]]),U943)</f>
        <v>85000</v>
      </c>
      <c r="X943" t="str">
        <f>IFERROR(INDEX(Katalog!$A$3:$A$12,MATCH(cadangan3[[#This Row],[ItemID C]],Katalog!$C$3:$C$12,0)),"-")</f>
        <v>-</v>
      </c>
      <c r="Y943" t="str">
        <f>IFERROR(INDEX(Katalog!$B$3:$B$12,MATCH(cadangan3[[#This Row],[ItemID C]],Katalog!$C$3:$C$12,0)),"-")</f>
        <v>-</v>
      </c>
      <c r="AB943" s="36">
        <f>IFERROR(INDEX(Katalog!$D$3:$D$12,MATCH(cadangan3[[#This Row],[ItemID C]],Katalog!$C$3:$C$12,0))*cadangan3[[#This Row],[Qty C]],0)</f>
        <v>0</v>
      </c>
      <c r="AC943" s="36">
        <f>IFERROR(INDEX(Katalog!$D$3:$D$12,MATCH(cadangan3[[#This Row],[Item C]],Katalog!$B$3:$B$12,0))*cadangan3[[#This Row],[Qty C]],0)</f>
        <v>0</v>
      </c>
      <c r="AD943" s="36">
        <f>IFERROR(cadangan3[[#This Row],[Harga Asli C]]-(cadangan3[[#This Row],[Harga Asli C]]*cadangan3[[#This Row],[Diskon]]),cadangan3[[#This Row],[Harga Asli C]])</f>
        <v>0</v>
      </c>
      <c r="AE943" s="36">
        <f>IFERROR(INDEX(Katalog!$F$3:$F$12,MATCH(cadangan3[[#This Row],[ItemID C]],Katalog!$C$3:$C$12,0))*cadangan3[[#This Row],[Qty C]],0)</f>
        <v>0</v>
      </c>
      <c r="AF943" s="36">
        <f>IFERROR(cadangan3[[#This Row],[Profit C]]-(cadangan3[[#This Row],[Profit C]]*cadangan3[[#This Row],[Diskon]]),cadangan3[[#This Row],[Profit C]])</f>
        <v>0</v>
      </c>
      <c r="AG943" s="21">
        <f>cadangan3[[#This Row],[Qty A]]+cadangan3[[#This Row],[Qty B]]+cadangan3[[#This Row],[Qty C]]</f>
        <v>6</v>
      </c>
      <c r="AH943" s="35">
        <f>cadangan3[[#This Row],[Harga A + Diskon]]+cadangan3[[#This Row],[Harga + Diskon B]]+cadangan3[[#This Row],[Harga + Diskon C]]</f>
        <v>1062500</v>
      </c>
      <c r="AI943" s="35">
        <f>(cadangan3[[#This Row],[Profit A]]+cadangan3[[#This Row],[Profit B]]+cadangan3[[#This Row],[Profit C]])</f>
        <v>500000</v>
      </c>
      <c r="AJ943" s="35">
        <f>cadangan3[[#This Row],[Provit A + Diskon]]+cadangan3[[#This Row],[Provit B + Diskon]]+cadangan3[[#This Row],[Provit C + Diskon]]</f>
        <v>425000</v>
      </c>
      <c r="AK943" s="23" t="s">
        <v>28</v>
      </c>
      <c r="AL943" s="37">
        <f>IFERROR(INDEX('Kode Diskon'!$D$3:$D$9,MATCH(cadangan3[[#This Row],[Kode diskon]],'Kode Diskon'!$C$3:$C$9,0)),"-")</f>
        <v>0.15</v>
      </c>
      <c r="AM943" s="23" t="s">
        <v>29</v>
      </c>
      <c r="AN943" s="23" t="s">
        <v>14</v>
      </c>
      <c r="AO943" s="23" t="s">
        <v>80</v>
      </c>
      <c r="AP943" s="24">
        <v>45020</v>
      </c>
      <c r="AQ943" s="23" t="str">
        <f>TEXT(cadangan3[[#This Row],[Tanggal terjual]],"dddd")</f>
        <v>Tuesday</v>
      </c>
    </row>
    <row r="944" spans="1:43" x14ac:dyDescent="0.2">
      <c r="A944" s="20">
        <v>943</v>
      </c>
      <c r="B944" s="21" t="str">
        <f>_xlfn.CONCAT("ORD-",INDEX(Helper!$B$2:$B$5,MATCH(cadangan3[[#This Row],[Marketplace]],Helper!$A$2:$A$5,0)),TEXT(cadangan3[[#This Row],[No]],"0000"),"-",TEXT(cadangan3[[#This Row],[Tanggal terjual]],"dd/mm/yy"))</f>
        <v>ORD-TK0943-03/04/23</v>
      </c>
      <c r="C944" t="s">
        <v>59</v>
      </c>
      <c r="D944" t="str">
        <f>IFERROR(INDEX(Katalog!$A$3:$A$12,MATCH(cadangan3[[#This Row],[ItemID A]],Katalog!$C$3:$C$12,0)),"-")</f>
        <v>Pakaian Wanita</v>
      </c>
      <c r="E944" t="str">
        <f>IFERROR(INDEX(Katalog!$B$3:$B$12,MATCH(cadangan3[[#This Row],[ItemID A]],Katalog!$C$3:$C$12,0)),"-")</f>
        <v>Blouse</v>
      </c>
      <c r="F944">
        <v>1</v>
      </c>
      <c r="G944">
        <v>3</v>
      </c>
      <c r="H944" s="36">
        <f>IFERROR(INDEX(Katalog!$D$3:$D$12,MATCH(cadangan3[[#This Row],[ItemID A]],Katalog!$C$3:$C$12,0))*cadangan3[[#This Row],[Qty A]],0)</f>
        <v>150000</v>
      </c>
      <c r="I944" s="36">
        <f>IFERROR(INDEX(Katalog!$D$3:$D$12,MATCH(cadangan3[[#This Row],[Item A]],Katalog!$B$3:$B$12,0))*cadangan3[[#This Row],[Qty A]],0)</f>
        <v>150000</v>
      </c>
      <c r="J944" s="36">
        <f>IFERROR(cadangan3[[#This Row],[Harga Asli A]]-(cadangan3[[#This Row],[Harga Asli A]]*cadangan3[[#This Row],[Diskon]]),cadangan3[[#This Row],[Harga Asli A]])</f>
        <v>135000</v>
      </c>
      <c r="K944" s="36">
        <f>INDEX(Katalog!$F$3:$F$12,MATCH(cadangan3[[#This Row],[ItemID A]],Katalog!$C$3:$C$12,0))*cadangan3[[#This Row],[Qty A]]</f>
        <v>50000</v>
      </c>
      <c r="L944" s="36">
        <f>IFERROR(cadangan3[[#This Row],[Profit A]]-(cadangan3[[#This Row],[Profit A]]*cadangan3[[#This Row],[Diskon]]),K944)</f>
        <v>45000</v>
      </c>
      <c r="M944" t="s">
        <v>67</v>
      </c>
      <c r="N944" t="str">
        <f>IFERROR(INDEX(Katalog!$A$3:$A$12,MATCH(cadangan3[[#This Row],[ItemID B]],Katalog!$C$3:$C$12,0)),"-")</f>
        <v>Sepatu Wanita</v>
      </c>
      <c r="O944" t="str">
        <f>IFERROR(INDEX(Katalog!$B$3:$B$12,MATCH(cadangan3[[#This Row],[ItemID B]],Katalog!$C$3:$C$12,0)),"-")</f>
        <v>Flat Shoes</v>
      </c>
      <c r="P944">
        <v>1</v>
      </c>
      <c r="Q944">
        <v>5</v>
      </c>
      <c r="R944" s="36">
        <f>IFERROR(INDEX(Katalog!$D$3:$D$12,MATCH(cadangan3[[#This Row],[ItemID B]],Katalog!$C$3:$C$12,0))*cadangan3[[#This Row],[Qty B]],0)</f>
        <v>250000</v>
      </c>
      <c r="S944" s="36">
        <f>IFERROR(INDEX(Katalog!$D$3:$D$12,MATCH(cadangan3[[#This Row],[Item B]],Katalog!$B$3:$B$12,0))*cadangan3[[#This Row],[Qty B]],0)</f>
        <v>250000</v>
      </c>
      <c r="T944" s="36">
        <f>IFERROR(cadangan3[[#This Row],[Harga Asli B]]-(cadangan3[[#This Row],[Harga Asli B]]*cadangan3[[#This Row],[Diskon]]),cadangan3[[#This Row],[Harga Asli B]])</f>
        <v>225000</v>
      </c>
      <c r="U944" s="36">
        <f>IFERROR(INDEX(Katalog!$F$3:$F$12,MATCH(cadangan3[[#This Row],[ItemID B]],Katalog!$C$3:$C$12,0))*cadangan3[[#This Row],[Qty B]],0)</f>
        <v>100000</v>
      </c>
      <c r="V944" s="36">
        <f>IFERROR(cadangan3[[#This Row],[Profit B]]-(cadangan3[[#This Row],[Profit B]]*cadangan3[[#This Row],[Diskon]]),U944)</f>
        <v>90000</v>
      </c>
      <c r="W944" t="s">
        <v>62</v>
      </c>
      <c r="X944" t="str">
        <f>IFERROR(INDEX(Katalog!$A$3:$A$12,MATCH(cadangan3[[#This Row],[ItemID C]],Katalog!$C$3:$C$12,0)),"-")</f>
        <v>Pakaian Pria</v>
      </c>
      <c r="Y944" t="str">
        <f>IFERROR(INDEX(Katalog!$B$3:$B$12,MATCH(cadangan3[[#This Row],[ItemID C]],Katalog!$C$3:$C$12,0)),"-")</f>
        <v>Celana Pendek</v>
      </c>
      <c r="Z944">
        <v>1</v>
      </c>
      <c r="AA944">
        <v>5</v>
      </c>
      <c r="AB944" s="36">
        <f>IFERROR(INDEX(Katalog!$D$3:$D$12,MATCH(cadangan3[[#This Row],[ItemID C]],Katalog!$C$3:$C$12,0))*cadangan3[[#This Row],[Qty C]],0)</f>
        <v>180000</v>
      </c>
      <c r="AC944" s="36">
        <f>IFERROR(INDEX(Katalog!$D$3:$D$12,MATCH(cadangan3[[#This Row],[Item C]],Katalog!$B$3:$B$12,0))*cadangan3[[#This Row],[Qty C]],0)</f>
        <v>180000</v>
      </c>
      <c r="AD944" s="36">
        <f>IFERROR(cadangan3[[#This Row],[Harga Asli C]]-(cadangan3[[#This Row],[Harga Asli C]]*cadangan3[[#This Row],[Diskon]]),cadangan3[[#This Row],[Harga Asli C]])</f>
        <v>162000</v>
      </c>
      <c r="AE944" s="36">
        <f>IFERROR(INDEX(Katalog!$F$3:$F$12,MATCH(cadangan3[[#This Row],[ItemID C]],Katalog!$C$3:$C$12,0))*cadangan3[[#This Row],[Qty C]],0)</f>
        <v>70000</v>
      </c>
      <c r="AF944" s="36">
        <f>IFERROR(cadangan3[[#This Row],[Profit C]]-(cadangan3[[#This Row],[Profit C]]*cadangan3[[#This Row],[Diskon]]),cadangan3[[#This Row],[Profit C]])</f>
        <v>63000</v>
      </c>
      <c r="AG944" s="21">
        <f>cadangan3[[#This Row],[Qty A]]+cadangan3[[#This Row],[Qty B]]+cadangan3[[#This Row],[Qty C]]</f>
        <v>3</v>
      </c>
      <c r="AH944" s="35">
        <f>cadangan3[[#This Row],[Harga A + Diskon]]+cadangan3[[#This Row],[Harga + Diskon B]]+cadangan3[[#This Row],[Harga + Diskon C]]</f>
        <v>522000</v>
      </c>
      <c r="AI944" s="35">
        <f>(cadangan3[[#This Row],[Profit A]]+cadangan3[[#This Row],[Profit B]]+cadangan3[[#This Row],[Profit C]])</f>
        <v>220000</v>
      </c>
      <c r="AJ944" s="35">
        <f>cadangan3[[#This Row],[Provit A + Diskon]]+cadangan3[[#This Row],[Provit B + Diskon]]+cadangan3[[#This Row],[Provit C + Diskon]]</f>
        <v>198000</v>
      </c>
      <c r="AK944" s="23" t="s">
        <v>30</v>
      </c>
      <c r="AL944" s="37">
        <f>IFERROR(INDEX('Kode Diskon'!$D$3:$D$9,MATCH(cadangan3[[#This Row],[Kode diskon]],'Kode Diskon'!$C$3:$C$9,0)),"-")</f>
        <v>0.1</v>
      </c>
      <c r="AM944" s="23" t="s">
        <v>29</v>
      </c>
      <c r="AN944" s="23" t="s">
        <v>10</v>
      </c>
      <c r="AO944" s="23" t="s">
        <v>80</v>
      </c>
      <c r="AP944" s="24">
        <v>45019</v>
      </c>
      <c r="AQ944" s="23" t="str">
        <f>TEXT(cadangan3[[#This Row],[Tanggal terjual]],"dddd")</f>
        <v>Monday</v>
      </c>
    </row>
    <row r="945" spans="1:43" x14ac:dyDescent="0.2">
      <c r="A945" s="20">
        <v>944</v>
      </c>
      <c r="B945" s="21" t="str">
        <f>_xlfn.CONCAT("ORD-",INDEX(Helper!$B$2:$B$5,MATCH(cadangan3[[#This Row],[Marketplace]],Helper!$A$2:$A$5,0)),TEXT(cadangan3[[#This Row],[No]],"0000"),"-",TEXT(cadangan3[[#This Row],[Tanggal terjual]],"dd/mm/yy"))</f>
        <v>ORD-SP0944-05/04/23</v>
      </c>
      <c r="C945" t="s">
        <v>66</v>
      </c>
      <c r="D945" t="str">
        <f>IFERROR(INDEX(Katalog!$A$3:$A$12,MATCH(cadangan3[[#This Row],[ItemID A]],Katalog!$C$3:$C$12,0)),"-")</f>
        <v>Sepatu Pria</v>
      </c>
      <c r="E945" t="str">
        <f>IFERROR(INDEX(Katalog!$B$3:$B$12,MATCH(cadangan3[[#This Row],[ItemID A]],Katalog!$C$3:$C$12,0)),"-")</f>
        <v>Sandal Slip On</v>
      </c>
      <c r="F945">
        <v>5</v>
      </c>
      <c r="G945">
        <v>4</v>
      </c>
      <c r="H945" s="36">
        <f>IFERROR(INDEX(Katalog!$D$3:$D$12,MATCH(cadangan3[[#This Row],[ItemID A]],Katalog!$C$3:$C$12,0))*cadangan3[[#This Row],[Qty A]],0)</f>
        <v>750000</v>
      </c>
      <c r="I945" s="36">
        <f>IFERROR(INDEX(Katalog!$D$3:$D$12,MATCH(cadangan3[[#This Row],[Item A]],Katalog!$B$3:$B$12,0))*cadangan3[[#This Row],[Qty A]],0)</f>
        <v>750000</v>
      </c>
      <c r="J945" s="36">
        <f>IFERROR(cadangan3[[#This Row],[Harga Asli A]]-(cadangan3[[#This Row],[Harga Asli A]]*cadangan3[[#This Row],[Diskon]]),cadangan3[[#This Row],[Harga Asli A]])</f>
        <v>637500</v>
      </c>
      <c r="K945" s="36">
        <f>INDEX(Katalog!$F$3:$F$12,MATCH(cadangan3[[#This Row],[ItemID A]],Katalog!$C$3:$C$12,0))*cadangan3[[#This Row],[Qty A]]</f>
        <v>300000</v>
      </c>
      <c r="L945" s="36">
        <f>IFERROR(cadangan3[[#This Row],[Profit A]]-(cadangan3[[#This Row],[Profit A]]*cadangan3[[#This Row],[Diskon]]),K945)</f>
        <v>255000</v>
      </c>
      <c r="N945" t="str">
        <f>IFERROR(INDEX(Katalog!$A$3:$A$12,MATCH(cadangan3[[#This Row],[ItemID B]],Katalog!$C$3:$C$12,0)),"-")</f>
        <v>-</v>
      </c>
      <c r="O945" t="str">
        <f>IFERROR(INDEX(Katalog!$B$3:$B$12,MATCH(cadangan3[[#This Row],[ItemID B]],Katalog!$C$3:$C$12,0)),"-")</f>
        <v>-</v>
      </c>
      <c r="R945" s="36">
        <f>IFERROR(INDEX(Katalog!$D$3:$D$12,MATCH(cadangan3[[#This Row],[ItemID B]],Katalog!$C$3:$C$12,0))*cadangan3[[#This Row],[Qty B]],0)</f>
        <v>0</v>
      </c>
      <c r="S945" s="36">
        <f>IFERROR(INDEX(Katalog!$D$3:$D$12,MATCH(cadangan3[[#This Row],[Item B]],Katalog!$B$3:$B$12,0))*cadangan3[[#This Row],[Qty B]],0)</f>
        <v>0</v>
      </c>
      <c r="T945" s="36">
        <f>IFERROR(cadangan3[[#This Row],[Harga Asli B]]-(cadangan3[[#This Row],[Harga Asli B]]*cadangan3[[#This Row],[Diskon]]),cadangan3[[#This Row],[Harga Asli B]])</f>
        <v>0</v>
      </c>
      <c r="U945" s="36">
        <f>IFERROR(INDEX(Katalog!$F$3:$F$12,MATCH(cadangan3[[#This Row],[ItemID B]],Katalog!$C$3:$C$12,0))*cadangan3[[#This Row],[Qty B]],0)</f>
        <v>0</v>
      </c>
      <c r="V945" s="36">
        <f>IFERROR(cadangan3[[#This Row],[Profit B]]-(cadangan3[[#This Row],[Profit B]]*cadangan3[[#This Row],[Diskon]]),U945)</f>
        <v>0</v>
      </c>
      <c r="X945" t="str">
        <f>IFERROR(INDEX(Katalog!$A$3:$A$12,MATCH(cadangan3[[#This Row],[ItemID C]],Katalog!$C$3:$C$12,0)),"-")</f>
        <v>-</v>
      </c>
      <c r="Y945" t="str">
        <f>IFERROR(INDEX(Katalog!$B$3:$B$12,MATCH(cadangan3[[#This Row],[ItemID C]],Katalog!$C$3:$C$12,0)),"-")</f>
        <v>-</v>
      </c>
      <c r="AB945" s="36">
        <f>IFERROR(INDEX(Katalog!$D$3:$D$12,MATCH(cadangan3[[#This Row],[ItemID C]],Katalog!$C$3:$C$12,0))*cadangan3[[#This Row],[Qty C]],0)</f>
        <v>0</v>
      </c>
      <c r="AC945" s="36">
        <f>IFERROR(INDEX(Katalog!$D$3:$D$12,MATCH(cadangan3[[#This Row],[Item C]],Katalog!$B$3:$B$12,0))*cadangan3[[#This Row],[Qty C]],0)</f>
        <v>0</v>
      </c>
      <c r="AD945" s="36">
        <f>IFERROR(cadangan3[[#This Row],[Harga Asli C]]-(cadangan3[[#This Row],[Harga Asli C]]*cadangan3[[#This Row],[Diskon]]),cadangan3[[#This Row],[Harga Asli C]])</f>
        <v>0</v>
      </c>
      <c r="AE945" s="36">
        <f>IFERROR(INDEX(Katalog!$F$3:$F$12,MATCH(cadangan3[[#This Row],[ItemID C]],Katalog!$C$3:$C$12,0))*cadangan3[[#This Row],[Qty C]],0)</f>
        <v>0</v>
      </c>
      <c r="AF945" s="36">
        <f>IFERROR(cadangan3[[#This Row],[Profit C]]-(cadangan3[[#This Row],[Profit C]]*cadangan3[[#This Row],[Diskon]]),cadangan3[[#This Row],[Profit C]])</f>
        <v>0</v>
      </c>
      <c r="AG945" s="21">
        <f>cadangan3[[#This Row],[Qty A]]+cadangan3[[#This Row],[Qty B]]+cadangan3[[#This Row],[Qty C]]</f>
        <v>5</v>
      </c>
      <c r="AH945" s="35">
        <f>cadangan3[[#This Row],[Harga A + Diskon]]+cadangan3[[#This Row],[Harga + Diskon B]]+cadangan3[[#This Row],[Harga + Diskon C]]</f>
        <v>637500</v>
      </c>
      <c r="AI945" s="35">
        <f>(cadangan3[[#This Row],[Profit A]]+cadangan3[[#This Row],[Profit B]]+cadangan3[[#This Row],[Profit C]])</f>
        <v>300000</v>
      </c>
      <c r="AJ945" s="35">
        <f>cadangan3[[#This Row],[Provit A + Diskon]]+cadangan3[[#This Row],[Provit B + Diskon]]+cadangan3[[#This Row],[Provit C + Diskon]]</f>
        <v>255000</v>
      </c>
      <c r="AK945" s="23" t="s">
        <v>13</v>
      </c>
      <c r="AL945" s="37">
        <f>IFERROR(INDEX('Kode Diskon'!$D$3:$D$9,MATCH(cadangan3[[#This Row],[Kode diskon]],'Kode Diskon'!$C$3:$C$9,0)),"-")</f>
        <v>0.15</v>
      </c>
      <c r="AM945" s="23" t="s">
        <v>29</v>
      </c>
      <c r="AN945" s="23" t="s">
        <v>7</v>
      </c>
      <c r="AO945" s="23" t="s">
        <v>80</v>
      </c>
      <c r="AP945" s="24">
        <v>45021</v>
      </c>
      <c r="AQ945" s="23" t="str">
        <f>TEXT(cadangan3[[#This Row],[Tanggal terjual]],"dddd")</f>
        <v>Wednesday</v>
      </c>
    </row>
    <row r="946" spans="1:43" x14ac:dyDescent="0.2">
      <c r="A946" s="20">
        <v>945</v>
      </c>
      <c r="B946" s="21" t="str">
        <f>_xlfn.CONCAT("ORD-",INDEX(Helper!$B$2:$B$5,MATCH(cadangan3[[#This Row],[Marketplace]],Helper!$A$2:$A$5,0)),TEXT(cadangan3[[#This Row],[No]],"0000"),"-",TEXT(cadangan3[[#This Row],[Tanggal terjual]],"dd/mm/yy"))</f>
        <v>ORD-TK0945-05/04/23</v>
      </c>
      <c r="C946" t="s">
        <v>58</v>
      </c>
      <c r="D946" t="str">
        <f>IFERROR(INDEX(Katalog!$A$3:$A$12,MATCH(cadangan3[[#This Row],[ItemID A]],Katalog!$C$3:$C$12,0)),"-")</f>
        <v>Pakaian Wanita</v>
      </c>
      <c r="E946" t="str">
        <f>IFERROR(INDEX(Katalog!$B$3:$B$12,MATCH(cadangan3[[#This Row],[ItemID A]],Katalog!$C$3:$C$12,0)),"-")</f>
        <v>Dress</v>
      </c>
      <c r="F946">
        <v>6</v>
      </c>
      <c r="G946">
        <v>5</v>
      </c>
      <c r="H946" s="36">
        <f>IFERROR(INDEX(Katalog!$D$3:$D$12,MATCH(cadangan3[[#This Row],[ItemID A]],Katalog!$C$3:$C$12,0))*cadangan3[[#This Row],[Qty A]],0)</f>
        <v>1800000</v>
      </c>
      <c r="I946" s="36">
        <f>IFERROR(INDEX(Katalog!$D$3:$D$12,MATCH(cadangan3[[#This Row],[Item A]],Katalog!$B$3:$B$12,0))*cadangan3[[#This Row],[Qty A]],0)</f>
        <v>1800000</v>
      </c>
      <c r="J946" s="36">
        <f>IFERROR(cadangan3[[#This Row],[Harga Asli A]]-(cadangan3[[#This Row],[Harga Asli A]]*cadangan3[[#This Row],[Diskon]]),cadangan3[[#This Row],[Harga Asli A]])</f>
        <v>1620000</v>
      </c>
      <c r="K946" s="36">
        <f>INDEX(Katalog!$F$3:$F$12,MATCH(cadangan3[[#This Row],[ItemID A]],Katalog!$C$3:$C$12,0))*cadangan3[[#This Row],[Qty A]]</f>
        <v>600000</v>
      </c>
      <c r="L946" s="36">
        <f>IFERROR(cadangan3[[#This Row],[Profit A]]-(cadangan3[[#This Row],[Profit A]]*cadangan3[[#This Row],[Diskon]]),K946)</f>
        <v>540000</v>
      </c>
      <c r="M946" t="s">
        <v>62</v>
      </c>
      <c r="N946" t="str">
        <f>IFERROR(INDEX(Katalog!$A$3:$A$12,MATCH(cadangan3[[#This Row],[ItemID B]],Katalog!$C$3:$C$12,0)),"-")</f>
        <v>Pakaian Pria</v>
      </c>
      <c r="O946" t="str">
        <f>IFERROR(INDEX(Katalog!$B$3:$B$12,MATCH(cadangan3[[#This Row],[ItemID B]],Katalog!$C$3:$C$12,0)),"-")</f>
        <v>Celana Pendek</v>
      </c>
      <c r="P946">
        <v>1</v>
      </c>
      <c r="Q946">
        <v>3</v>
      </c>
      <c r="R946" s="36">
        <f>IFERROR(INDEX(Katalog!$D$3:$D$12,MATCH(cadangan3[[#This Row],[ItemID B]],Katalog!$C$3:$C$12,0))*cadangan3[[#This Row],[Qty B]],0)</f>
        <v>180000</v>
      </c>
      <c r="S946" s="36">
        <f>IFERROR(INDEX(Katalog!$D$3:$D$12,MATCH(cadangan3[[#This Row],[Item B]],Katalog!$B$3:$B$12,0))*cadangan3[[#This Row],[Qty B]],0)</f>
        <v>180000</v>
      </c>
      <c r="T946" s="36">
        <f>IFERROR(cadangan3[[#This Row],[Harga Asli B]]-(cadangan3[[#This Row],[Harga Asli B]]*cadangan3[[#This Row],[Diskon]]),cadangan3[[#This Row],[Harga Asli B]])</f>
        <v>162000</v>
      </c>
      <c r="U946" s="36">
        <f>IFERROR(INDEX(Katalog!$F$3:$F$12,MATCH(cadangan3[[#This Row],[ItemID B]],Katalog!$C$3:$C$12,0))*cadangan3[[#This Row],[Qty B]],0)</f>
        <v>70000</v>
      </c>
      <c r="V946" s="36">
        <f>IFERROR(cadangan3[[#This Row],[Profit B]]-(cadangan3[[#This Row],[Profit B]]*cadangan3[[#This Row],[Diskon]]),U946)</f>
        <v>63000</v>
      </c>
      <c r="X946" t="str">
        <f>IFERROR(INDEX(Katalog!$A$3:$A$12,MATCH(cadangan3[[#This Row],[ItemID C]],Katalog!$C$3:$C$12,0)),"-")</f>
        <v>-</v>
      </c>
      <c r="Y946" t="str">
        <f>IFERROR(INDEX(Katalog!$B$3:$B$12,MATCH(cadangan3[[#This Row],[ItemID C]],Katalog!$C$3:$C$12,0)),"-")</f>
        <v>-</v>
      </c>
      <c r="AB946" s="36">
        <f>IFERROR(INDEX(Katalog!$D$3:$D$12,MATCH(cadangan3[[#This Row],[ItemID C]],Katalog!$C$3:$C$12,0))*cadangan3[[#This Row],[Qty C]],0)</f>
        <v>0</v>
      </c>
      <c r="AC946" s="36">
        <f>IFERROR(INDEX(Katalog!$D$3:$D$12,MATCH(cadangan3[[#This Row],[Item C]],Katalog!$B$3:$B$12,0))*cadangan3[[#This Row],[Qty C]],0)</f>
        <v>0</v>
      </c>
      <c r="AD946" s="36">
        <f>IFERROR(cadangan3[[#This Row],[Harga Asli C]]-(cadangan3[[#This Row],[Harga Asli C]]*cadangan3[[#This Row],[Diskon]]),cadangan3[[#This Row],[Harga Asli C]])</f>
        <v>0</v>
      </c>
      <c r="AE946" s="36">
        <f>IFERROR(INDEX(Katalog!$F$3:$F$12,MATCH(cadangan3[[#This Row],[ItemID C]],Katalog!$C$3:$C$12,0))*cadangan3[[#This Row],[Qty C]],0)</f>
        <v>0</v>
      </c>
      <c r="AF946" s="36">
        <f>IFERROR(cadangan3[[#This Row],[Profit C]]-(cadangan3[[#This Row],[Profit C]]*cadangan3[[#This Row],[Diskon]]),cadangan3[[#This Row],[Profit C]])</f>
        <v>0</v>
      </c>
      <c r="AG946" s="21">
        <f>cadangan3[[#This Row],[Qty A]]+cadangan3[[#This Row],[Qty B]]+cadangan3[[#This Row],[Qty C]]</f>
        <v>7</v>
      </c>
      <c r="AH946" s="35">
        <f>cadangan3[[#This Row],[Harga A + Diskon]]+cadangan3[[#This Row],[Harga + Diskon B]]+cadangan3[[#This Row],[Harga + Diskon C]]</f>
        <v>1782000</v>
      </c>
      <c r="AI946" s="35">
        <f>(cadangan3[[#This Row],[Profit A]]+cadangan3[[#This Row],[Profit B]]+cadangan3[[#This Row],[Profit C]])</f>
        <v>670000</v>
      </c>
      <c r="AJ946" s="35">
        <f>cadangan3[[#This Row],[Provit A + Diskon]]+cadangan3[[#This Row],[Provit B + Diskon]]+cadangan3[[#This Row],[Provit C + Diskon]]</f>
        <v>603000</v>
      </c>
      <c r="AK946" s="23" t="s">
        <v>30</v>
      </c>
      <c r="AL946" s="37">
        <f>IFERROR(INDEX('Kode Diskon'!$D$3:$D$9,MATCH(cadangan3[[#This Row],[Kode diskon]],'Kode Diskon'!$C$3:$C$9,0)),"-")</f>
        <v>0.1</v>
      </c>
      <c r="AM946" s="23" t="s">
        <v>29</v>
      </c>
      <c r="AN946" s="23" t="s">
        <v>10</v>
      </c>
      <c r="AO946" s="23" t="s">
        <v>77</v>
      </c>
      <c r="AP946" s="24">
        <v>45021</v>
      </c>
      <c r="AQ946" s="23" t="str">
        <f>TEXT(cadangan3[[#This Row],[Tanggal terjual]],"dddd")</f>
        <v>Wednesday</v>
      </c>
    </row>
    <row r="947" spans="1:43" x14ac:dyDescent="0.2">
      <c r="A947" s="20">
        <v>946</v>
      </c>
      <c r="B947" s="21" t="str">
        <f>_xlfn.CONCAT("ORD-",INDEX(Helper!$B$2:$B$5,MATCH(cadangan3[[#This Row],[Marketplace]],Helper!$A$2:$A$5,0)),TEXT(cadangan3[[#This Row],[No]],"0000"),"-",TEXT(cadangan3[[#This Row],[Tanggal terjual]],"dd/mm/yy"))</f>
        <v>ORD-SP0946-13/04/23</v>
      </c>
      <c r="C947" t="s">
        <v>60</v>
      </c>
      <c r="D947" t="str">
        <f>IFERROR(INDEX(Katalog!$A$3:$A$12,MATCH(cadangan3[[#This Row],[ItemID A]],Katalog!$C$3:$C$12,0)),"-")</f>
        <v>Pakaian Wanita</v>
      </c>
      <c r="E947" t="str">
        <f>IFERROR(INDEX(Katalog!$B$3:$B$12,MATCH(cadangan3[[#This Row],[ItemID A]],Katalog!$C$3:$C$12,0)),"-")</f>
        <v>Kaftan</v>
      </c>
      <c r="F947">
        <v>2</v>
      </c>
      <c r="G947">
        <v>4</v>
      </c>
      <c r="H947" s="36">
        <f>IFERROR(INDEX(Katalog!$D$3:$D$12,MATCH(cadangan3[[#This Row],[ItemID A]],Katalog!$C$3:$C$12,0))*cadangan3[[#This Row],[Qty A]],0)</f>
        <v>500000</v>
      </c>
      <c r="I947" s="36">
        <f>IFERROR(INDEX(Katalog!$D$3:$D$12,MATCH(cadangan3[[#This Row],[Item A]],Katalog!$B$3:$B$12,0))*cadangan3[[#This Row],[Qty A]],0)</f>
        <v>500000</v>
      </c>
      <c r="J947" s="36">
        <f>IFERROR(cadangan3[[#This Row],[Harga Asli A]]-(cadangan3[[#This Row],[Harga Asli A]]*cadangan3[[#This Row],[Diskon]]),cadangan3[[#This Row],[Harga Asli A]])</f>
        <v>500000</v>
      </c>
      <c r="K947" s="36">
        <f>INDEX(Katalog!$F$3:$F$12,MATCH(cadangan3[[#This Row],[ItemID A]],Katalog!$C$3:$C$12,0))*cadangan3[[#This Row],[Qty A]]</f>
        <v>200000</v>
      </c>
      <c r="L947" s="36">
        <f>IFERROR(cadangan3[[#This Row],[Profit A]]-(cadangan3[[#This Row],[Profit A]]*cadangan3[[#This Row],[Diskon]]),K947)</f>
        <v>200000</v>
      </c>
      <c r="N947" t="str">
        <f>IFERROR(INDEX(Katalog!$A$3:$A$12,MATCH(cadangan3[[#This Row],[ItemID B]],Katalog!$C$3:$C$12,0)),"-")</f>
        <v>-</v>
      </c>
      <c r="O947" t="str">
        <f>IFERROR(INDEX(Katalog!$B$3:$B$12,MATCH(cadangan3[[#This Row],[ItemID B]],Katalog!$C$3:$C$12,0)),"-")</f>
        <v>-</v>
      </c>
      <c r="R947" s="36">
        <f>IFERROR(INDEX(Katalog!$D$3:$D$12,MATCH(cadangan3[[#This Row],[ItemID B]],Katalog!$C$3:$C$12,0))*cadangan3[[#This Row],[Qty B]],0)</f>
        <v>0</v>
      </c>
      <c r="S947" s="36">
        <f>IFERROR(INDEX(Katalog!$D$3:$D$12,MATCH(cadangan3[[#This Row],[Item B]],Katalog!$B$3:$B$12,0))*cadangan3[[#This Row],[Qty B]],0)</f>
        <v>0</v>
      </c>
      <c r="T947" s="36">
        <f>IFERROR(cadangan3[[#This Row],[Harga Asli B]]-(cadangan3[[#This Row],[Harga Asli B]]*cadangan3[[#This Row],[Diskon]]),cadangan3[[#This Row],[Harga Asli B]])</f>
        <v>0</v>
      </c>
      <c r="U947" s="36">
        <f>IFERROR(INDEX(Katalog!$F$3:$F$12,MATCH(cadangan3[[#This Row],[ItemID B]],Katalog!$C$3:$C$12,0))*cadangan3[[#This Row],[Qty B]],0)</f>
        <v>0</v>
      </c>
      <c r="V947" s="36">
        <f>IFERROR(cadangan3[[#This Row],[Profit B]]-(cadangan3[[#This Row],[Profit B]]*cadangan3[[#This Row],[Diskon]]),U947)</f>
        <v>0</v>
      </c>
      <c r="X947" t="str">
        <f>IFERROR(INDEX(Katalog!$A$3:$A$12,MATCH(cadangan3[[#This Row],[ItemID C]],Katalog!$C$3:$C$12,0)),"-")</f>
        <v>-</v>
      </c>
      <c r="Y947" t="str">
        <f>IFERROR(INDEX(Katalog!$B$3:$B$12,MATCH(cadangan3[[#This Row],[ItemID C]],Katalog!$C$3:$C$12,0)),"-")</f>
        <v>-</v>
      </c>
      <c r="AB947" s="36">
        <f>IFERROR(INDEX(Katalog!$D$3:$D$12,MATCH(cadangan3[[#This Row],[ItemID C]],Katalog!$C$3:$C$12,0))*cadangan3[[#This Row],[Qty C]],0)</f>
        <v>0</v>
      </c>
      <c r="AC947" s="36">
        <f>IFERROR(INDEX(Katalog!$D$3:$D$12,MATCH(cadangan3[[#This Row],[Item C]],Katalog!$B$3:$B$12,0))*cadangan3[[#This Row],[Qty C]],0)</f>
        <v>0</v>
      </c>
      <c r="AD947" s="36">
        <f>IFERROR(cadangan3[[#This Row],[Harga Asli C]]-(cadangan3[[#This Row],[Harga Asli C]]*cadangan3[[#This Row],[Diskon]]),cadangan3[[#This Row],[Harga Asli C]])</f>
        <v>0</v>
      </c>
      <c r="AE947" s="36">
        <f>IFERROR(INDEX(Katalog!$F$3:$F$12,MATCH(cadangan3[[#This Row],[ItemID C]],Katalog!$C$3:$C$12,0))*cadangan3[[#This Row],[Qty C]],0)</f>
        <v>0</v>
      </c>
      <c r="AF947" s="36">
        <f>IFERROR(cadangan3[[#This Row],[Profit C]]-(cadangan3[[#This Row],[Profit C]]*cadangan3[[#This Row],[Diskon]]),cadangan3[[#This Row],[Profit C]])</f>
        <v>0</v>
      </c>
      <c r="AG947" s="21">
        <f>cadangan3[[#This Row],[Qty A]]+cadangan3[[#This Row],[Qty B]]+cadangan3[[#This Row],[Qty C]]</f>
        <v>2</v>
      </c>
      <c r="AH947" s="35">
        <f>cadangan3[[#This Row],[Harga A + Diskon]]+cadangan3[[#This Row],[Harga + Diskon B]]+cadangan3[[#This Row],[Harga + Diskon C]]</f>
        <v>500000</v>
      </c>
      <c r="AI947" s="35">
        <f>(cadangan3[[#This Row],[Profit A]]+cadangan3[[#This Row],[Profit B]]+cadangan3[[#This Row],[Profit C]])</f>
        <v>200000</v>
      </c>
      <c r="AJ947" s="35">
        <f>cadangan3[[#This Row],[Provit A + Diskon]]+cadangan3[[#This Row],[Provit B + Diskon]]+cadangan3[[#This Row],[Provit C + Diskon]]</f>
        <v>200000</v>
      </c>
      <c r="AK947" s="23" t="s">
        <v>11</v>
      </c>
      <c r="AL947" s="37" t="str">
        <f>IFERROR(INDEX('Kode Diskon'!$D$3:$D$9,MATCH(cadangan3[[#This Row],[Kode diskon]],'Kode Diskon'!$C$3:$C$9,0)),"-")</f>
        <v>-</v>
      </c>
      <c r="AM947" s="23" t="s">
        <v>11</v>
      </c>
      <c r="AN947" s="23" t="s">
        <v>7</v>
      </c>
      <c r="AO947" s="23" t="s">
        <v>80</v>
      </c>
      <c r="AP947" s="24">
        <v>45029</v>
      </c>
      <c r="AQ947" s="23" t="str">
        <f>TEXT(cadangan3[[#This Row],[Tanggal terjual]],"dddd")</f>
        <v>Thursday</v>
      </c>
    </row>
    <row r="948" spans="1:43" x14ac:dyDescent="0.2">
      <c r="A948" s="20">
        <v>947</v>
      </c>
      <c r="B948" s="21" t="str">
        <f>_xlfn.CONCAT("ORD-",INDEX(Helper!$B$2:$B$5,MATCH(cadangan3[[#This Row],[Marketplace]],Helper!$A$2:$A$5,0)),TEXT(cadangan3[[#This Row],[No]],"0000"),"-",TEXT(cadangan3[[#This Row],[Tanggal terjual]],"dd/mm/yy"))</f>
        <v>ORD-TK0947-18/04/23</v>
      </c>
      <c r="C948" t="s">
        <v>63</v>
      </c>
      <c r="D948" t="str">
        <f>IFERROR(INDEX(Katalog!$A$3:$A$12,MATCH(cadangan3[[#This Row],[ItemID A]],Katalog!$C$3:$C$12,0)),"-")</f>
        <v>Pakaian Pria</v>
      </c>
      <c r="E948" t="str">
        <f>IFERROR(INDEX(Katalog!$B$3:$B$12,MATCH(cadangan3[[#This Row],[ItemID A]],Katalog!$C$3:$C$12,0)),"-")</f>
        <v>Jaket Jeans</v>
      </c>
      <c r="F948">
        <v>3</v>
      </c>
      <c r="G948">
        <v>5</v>
      </c>
      <c r="H948" s="36">
        <f>IFERROR(INDEX(Katalog!$D$3:$D$12,MATCH(cadangan3[[#This Row],[ItemID A]],Katalog!$C$3:$C$12,0))*cadangan3[[#This Row],[Qty A]],0)</f>
        <v>1200000</v>
      </c>
      <c r="I948" s="36">
        <f>IFERROR(INDEX(Katalog!$D$3:$D$12,MATCH(cadangan3[[#This Row],[Item A]],Katalog!$B$3:$B$12,0))*cadangan3[[#This Row],[Qty A]],0)</f>
        <v>1200000</v>
      </c>
      <c r="J948" s="36">
        <f>IFERROR(cadangan3[[#This Row],[Harga Asli A]]-(cadangan3[[#This Row],[Harga Asli A]]*cadangan3[[#This Row],[Diskon]]),cadangan3[[#This Row],[Harga Asli A]])</f>
        <v>1080000</v>
      </c>
      <c r="K948" s="36">
        <f>INDEX(Katalog!$F$3:$F$12,MATCH(cadangan3[[#This Row],[ItemID A]],Katalog!$C$3:$C$12,0))*cadangan3[[#This Row],[Qty A]]</f>
        <v>450000</v>
      </c>
      <c r="L948" s="36">
        <f>IFERROR(cadangan3[[#This Row],[Profit A]]-(cadangan3[[#This Row],[Profit A]]*cadangan3[[#This Row],[Diskon]]),K948)</f>
        <v>405000</v>
      </c>
      <c r="M948" t="s">
        <v>62</v>
      </c>
      <c r="N948" t="str">
        <f>IFERROR(INDEX(Katalog!$A$3:$A$12,MATCH(cadangan3[[#This Row],[ItemID B]],Katalog!$C$3:$C$12,0)),"-")</f>
        <v>Pakaian Pria</v>
      </c>
      <c r="O948" t="str">
        <f>IFERROR(INDEX(Katalog!$B$3:$B$12,MATCH(cadangan3[[#This Row],[ItemID B]],Katalog!$C$3:$C$12,0)),"-")</f>
        <v>Celana Pendek</v>
      </c>
      <c r="P948">
        <v>3</v>
      </c>
      <c r="Q948">
        <v>3</v>
      </c>
      <c r="R948" s="36">
        <f>IFERROR(INDEX(Katalog!$D$3:$D$12,MATCH(cadangan3[[#This Row],[ItemID B]],Katalog!$C$3:$C$12,0))*cadangan3[[#This Row],[Qty B]],0)</f>
        <v>540000</v>
      </c>
      <c r="S948" s="36">
        <f>IFERROR(INDEX(Katalog!$D$3:$D$12,MATCH(cadangan3[[#This Row],[Item B]],Katalog!$B$3:$B$12,0))*cadangan3[[#This Row],[Qty B]],0)</f>
        <v>540000</v>
      </c>
      <c r="T948" s="36">
        <f>IFERROR(cadangan3[[#This Row],[Harga Asli B]]-(cadangan3[[#This Row],[Harga Asli B]]*cadangan3[[#This Row],[Diskon]]),cadangan3[[#This Row],[Harga Asli B]])</f>
        <v>486000</v>
      </c>
      <c r="U948" s="36">
        <f>IFERROR(INDEX(Katalog!$F$3:$F$12,MATCH(cadangan3[[#This Row],[ItemID B]],Katalog!$C$3:$C$12,0))*cadangan3[[#This Row],[Qty B]],0)</f>
        <v>210000</v>
      </c>
      <c r="V948" s="36">
        <f>IFERROR(cadangan3[[#This Row],[Profit B]]-(cadangan3[[#This Row],[Profit B]]*cadangan3[[#This Row],[Diskon]]),U948)</f>
        <v>189000</v>
      </c>
      <c r="X948" t="str">
        <f>IFERROR(INDEX(Katalog!$A$3:$A$12,MATCH(cadangan3[[#This Row],[ItemID C]],Katalog!$C$3:$C$12,0)),"-")</f>
        <v>-</v>
      </c>
      <c r="Y948" t="str">
        <f>IFERROR(INDEX(Katalog!$B$3:$B$12,MATCH(cadangan3[[#This Row],[ItemID C]],Katalog!$C$3:$C$12,0)),"-")</f>
        <v>-</v>
      </c>
      <c r="AB948" s="36">
        <f>IFERROR(INDEX(Katalog!$D$3:$D$12,MATCH(cadangan3[[#This Row],[ItemID C]],Katalog!$C$3:$C$12,0))*cadangan3[[#This Row],[Qty C]],0)</f>
        <v>0</v>
      </c>
      <c r="AC948" s="36">
        <f>IFERROR(INDEX(Katalog!$D$3:$D$12,MATCH(cadangan3[[#This Row],[Item C]],Katalog!$B$3:$B$12,0))*cadangan3[[#This Row],[Qty C]],0)</f>
        <v>0</v>
      </c>
      <c r="AD948" s="36">
        <f>IFERROR(cadangan3[[#This Row],[Harga Asli C]]-(cadangan3[[#This Row],[Harga Asli C]]*cadangan3[[#This Row],[Diskon]]),cadangan3[[#This Row],[Harga Asli C]])</f>
        <v>0</v>
      </c>
      <c r="AE948" s="36">
        <f>IFERROR(INDEX(Katalog!$F$3:$F$12,MATCH(cadangan3[[#This Row],[ItemID C]],Katalog!$C$3:$C$12,0))*cadangan3[[#This Row],[Qty C]],0)</f>
        <v>0</v>
      </c>
      <c r="AF948" s="36">
        <f>IFERROR(cadangan3[[#This Row],[Profit C]]-(cadangan3[[#This Row],[Profit C]]*cadangan3[[#This Row],[Diskon]]),cadangan3[[#This Row],[Profit C]])</f>
        <v>0</v>
      </c>
      <c r="AG948" s="21">
        <f>cadangan3[[#This Row],[Qty A]]+cadangan3[[#This Row],[Qty B]]+cadangan3[[#This Row],[Qty C]]</f>
        <v>6</v>
      </c>
      <c r="AH948" s="35">
        <f>cadangan3[[#This Row],[Harga A + Diskon]]+cadangan3[[#This Row],[Harga + Diskon B]]+cadangan3[[#This Row],[Harga + Diskon C]]</f>
        <v>1566000</v>
      </c>
      <c r="AI948" s="35">
        <f>(cadangan3[[#This Row],[Profit A]]+cadangan3[[#This Row],[Profit B]]+cadangan3[[#This Row],[Profit C]])</f>
        <v>660000</v>
      </c>
      <c r="AJ948" s="35">
        <f>cadangan3[[#This Row],[Provit A + Diskon]]+cadangan3[[#This Row],[Provit B + Diskon]]+cadangan3[[#This Row],[Provit C + Diskon]]</f>
        <v>594000</v>
      </c>
      <c r="AK948" s="23" t="s">
        <v>31</v>
      </c>
      <c r="AL948" s="37">
        <f>IFERROR(INDEX('Kode Diskon'!$D$3:$D$9,MATCH(cadangan3[[#This Row],[Kode diskon]],'Kode Diskon'!$C$3:$C$9,0)),"-")</f>
        <v>0.1</v>
      </c>
      <c r="AM948" s="23" t="s">
        <v>9</v>
      </c>
      <c r="AN948" s="23" t="s">
        <v>10</v>
      </c>
      <c r="AO948" s="23" t="s">
        <v>75</v>
      </c>
      <c r="AP948" s="24">
        <v>45034</v>
      </c>
      <c r="AQ948" s="23" t="str">
        <f>TEXT(cadangan3[[#This Row],[Tanggal terjual]],"dddd")</f>
        <v>Tuesday</v>
      </c>
    </row>
    <row r="949" spans="1:43" x14ac:dyDescent="0.2">
      <c r="A949" s="20">
        <v>948</v>
      </c>
      <c r="B949" s="21" t="str">
        <f>_xlfn.CONCAT("ORD-",INDEX(Helper!$B$2:$B$5,MATCH(cadangan3[[#This Row],[Marketplace]],Helper!$A$2:$A$5,0)),TEXT(cadangan3[[#This Row],[No]],"0000"),"-",TEXT(cadangan3[[#This Row],[Tanggal terjual]],"dd/mm/yy"))</f>
        <v>ORD-TK0948-10/04/23</v>
      </c>
      <c r="C949" t="s">
        <v>64</v>
      </c>
      <c r="D949" t="str">
        <f>IFERROR(INDEX(Katalog!$A$3:$A$12,MATCH(cadangan3[[#This Row],[ItemID A]],Katalog!$C$3:$C$12,0)),"-")</f>
        <v>Pakaian Unisex</v>
      </c>
      <c r="E949" t="str">
        <f>IFERROR(INDEX(Katalog!$B$3:$B$12,MATCH(cadangan3[[#This Row],[ItemID A]],Katalog!$C$3:$C$12,0)),"-")</f>
        <v>Jaket Hoodie</v>
      </c>
      <c r="F949">
        <v>2</v>
      </c>
      <c r="G949">
        <v>5</v>
      </c>
      <c r="H949" s="36">
        <f>IFERROR(INDEX(Katalog!$D$3:$D$12,MATCH(cadangan3[[#This Row],[ItemID A]],Katalog!$C$3:$C$12,0))*cadangan3[[#This Row],[Qty A]],0)</f>
        <v>700000</v>
      </c>
      <c r="I949" s="36">
        <f>IFERROR(INDEX(Katalog!$D$3:$D$12,MATCH(cadangan3[[#This Row],[Item A]],Katalog!$B$3:$B$12,0))*cadangan3[[#This Row],[Qty A]],0)</f>
        <v>700000</v>
      </c>
      <c r="J949" s="36">
        <f>IFERROR(cadangan3[[#This Row],[Harga Asli A]]-(cadangan3[[#This Row],[Harga Asli A]]*cadangan3[[#This Row],[Diskon]]),cadangan3[[#This Row],[Harga Asli A]])</f>
        <v>700000</v>
      </c>
      <c r="K949" s="36">
        <f>INDEX(Katalog!$F$3:$F$12,MATCH(cadangan3[[#This Row],[ItemID A]],Katalog!$C$3:$C$12,0))*cadangan3[[#This Row],[Qty A]]</f>
        <v>260000</v>
      </c>
      <c r="L949" s="36">
        <f>IFERROR(cadangan3[[#This Row],[Profit A]]-(cadangan3[[#This Row],[Profit A]]*cadangan3[[#This Row],[Diskon]]),K949)</f>
        <v>260000</v>
      </c>
      <c r="M949" t="s">
        <v>67</v>
      </c>
      <c r="N949" t="str">
        <f>IFERROR(INDEX(Katalog!$A$3:$A$12,MATCH(cadangan3[[#This Row],[ItemID B]],Katalog!$C$3:$C$12,0)),"-")</f>
        <v>Sepatu Wanita</v>
      </c>
      <c r="O949" t="str">
        <f>IFERROR(INDEX(Katalog!$B$3:$B$12,MATCH(cadangan3[[#This Row],[ItemID B]],Katalog!$C$3:$C$12,0)),"-")</f>
        <v>Flat Shoes</v>
      </c>
      <c r="P949">
        <v>1</v>
      </c>
      <c r="Q949">
        <v>3</v>
      </c>
      <c r="R949" s="36">
        <f>IFERROR(INDEX(Katalog!$D$3:$D$12,MATCH(cadangan3[[#This Row],[ItemID B]],Katalog!$C$3:$C$12,0))*cadangan3[[#This Row],[Qty B]],0)</f>
        <v>250000</v>
      </c>
      <c r="S949" s="36">
        <f>IFERROR(INDEX(Katalog!$D$3:$D$12,MATCH(cadangan3[[#This Row],[Item B]],Katalog!$B$3:$B$12,0))*cadangan3[[#This Row],[Qty B]],0)</f>
        <v>250000</v>
      </c>
      <c r="T949" s="36">
        <f>IFERROR(cadangan3[[#This Row],[Harga Asli B]]-(cadangan3[[#This Row],[Harga Asli B]]*cadangan3[[#This Row],[Diskon]]),cadangan3[[#This Row],[Harga Asli B]])</f>
        <v>250000</v>
      </c>
      <c r="U949" s="36">
        <f>IFERROR(INDEX(Katalog!$F$3:$F$12,MATCH(cadangan3[[#This Row],[ItemID B]],Katalog!$C$3:$C$12,0))*cadangan3[[#This Row],[Qty B]],0)</f>
        <v>100000</v>
      </c>
      <c r="V949" s="36">
        <f>IFERROR(cadangan3[[#This Row],[Profit B]]-(cadangan3[[#This Row],[Profit B]]*cadangan3[[#This Row],[Diskon]]),U949)</f>
        <v>100000</v>
      </c>
      <c r="W949" t="s">
        <v>63</v>
      </c>
      <c r="X949" t="str">
        <f>IFERROR(INDEX(Katalog!$A$3:$A$12,MATCH(cadangan3[[#This Row],[ItemID C]],Katalog!$C$3:$C$12,0)),"-")</f>
        <v>Pakaian Pria</v>
      </c>
      <c r="Y949" t="str">
        <f>IFERROR(INDEX(Katalog!$B$3:$B$12,MATCH(cadangan3[[#This Row],[ItemID C]],Katalog!$C$3:$C$12,0)),"-")</f>
        <v>Jaket Jeans</v>
      </c>
      <c r="Z949">
        <v>3</v>
      </c>
      <c r="AA949">
        <v>2</v>
      </c>
      <c r="AB949" s="36">
        <f>IFERROR(INDEX(Katalog!$D$3:$D$12,MATCH(cadangan3[[#This Row],[ItemID C]],Katalog!$C$3:$C$12,0))*cadangan3[[#This Row],[Qty C]],0)</f>
        <v>1200000</v>
      </c>
      <c r="AC949" s="36">
        <f>IFERROR(INDEX(Katalog!$D$3:$D$12,MATCH(cadangan3[[#This Row],[Item C]],Katalog!$B$3:$B$12,0))*cadangan3[[#This Row],[Qty C]],0)</f>
        <v>1200000</v>
      </c>
      <c r="AD949" s="36">
        <f>IFERROR(cadangan3[[#This Row],[Harga Asli C]]-(cadangan3[[#This Row],[Harga Asli C]]*cadangan3[[#This Row],[Diskon]]),cadangan3[[#This Row],[Harga Asli C]])</f>
        <v>1200000</v>
      </c>
      <c r="AE949" s="36">
        <f>IFERROR(INDEX(Katalog!$F$3:$F$12,MATCH(cadangan3[[#This Row],[ItemID C]],Katalog!$C$3:$C$12,0))*cadangan3[[#This Row],[Qty C]],0)</f>
        <v>450000</v>
      </c>
      <c r="AF949" s="36">
        <f>IFERROR(cadangan3[[#This Row],[Profit C]]-(cadangan3[[#This Row],[Profit C]]*cadangan3[[#This Row],[Diskon]]),cadangan3[[#This Row],[Profit C]])</f>
        <v>450000</v>
      </c>
      <c r="AG949" s="21">
        <f>cadangan3[[#This Row],[Qty A]]+cadangan3[[#This Row],[Qty B]]+cadangan3[[#This Row],[Qty C]]</f>
        <v>6</v>
      </c>
      <c r="AH949" s="35">
        <f>cadangan3[[#This Row],[Harga A + Diskon]]+cadangan3[[#This Row],[Harga + Diskon B]]+cadangan3[[#This Row],[Harga + Diskon C]]</f>
        <v>2150000</v>
      </c>
      <c r="AI949" s="35">
        <f>(cadangan3[[#This Row],[Profit A]]+cadangan3[[#This Row],[Profit B]]+cadangan3[[#This Row],[Profit C]])</f>
        <v>810000</v>
      </c>
      <c r="AJ949" s="35">
        <f>cadangan3[[#This Row],[Provit A + Diskon]]+cadangan3[[#This Row],[Provit B + Diskon]]+cadangan3[[#This Row],[Provit C + Diskon]]</f>
        <v>810000</v>
      </c>
      <c r="AK949" s="23" t="s">
        <v>11</v>
      </c>
      <c r="AL949" s="37" t="str">
        <f>IFERROR(INDEX('Kode Diskon'!$D$3:$D$9,MATCH(cadangan3[[#This Row],[Kode diskon]],'Kode Diskon'!$C$3:$C$9,0)),"-")</f>
        <v>-</v>
      </c>
      <c r="AM949" s="23" t="s">
        <v>11</v>
      </c>
      <c r="AN949" s="23" t="s">
        <v>10</v>
      </c>
      <c r="AO949" s="23" t="s">
        <v>75</v>
      </c>
      <c r="AP949" s="24">
        <v>45026</v>
      </c>
      <c r="AQ949" s="23" t="str">
        <f>TEXT(cadangan3[[#This Row],[Tanggal terjual]],"dddd")</f>
        <v>Monday</v>
      </c>
    </row>
    <row r="950" spans="1:43" x14ac:dyDescent="0.2">
      <c r="A950" s="20">
        <v>949</v>
      </c>
      <c r="B950" s="21" t="str">
        <f>_xlfn.CONCAT("ORD-",INDEX(Helper!$B$2:$B$5,MATCH(cadangan3[[#This Row],[Marketplace]],Helper!$A$2:$A$5,0)),TEXT(cadangan3[[#This Row],[No]],"0000"),"-",TEXT(cadangan3[[#This Row],[Tanggal terjual]],"dd/mm/yy"))</f>
        <v>ORD-BL0949-19/04/23</v>
      </c>
      <c r="C950" t="s">
        <v>59</v>
      </c>
      <c r="D950" t="str">
        <f>IFERROR(INDEX(Katalog!$A$3:$A$12,MATCH(cadangan3[[#This Row],[ItemID A]],Katalog!$C$3:$C$12,0)),"-")</f>
        <v>Pakaian Wanita</v>
      </c>
      <c r="E950" t="str">
        <f>IFERROR(INDEX(Katalog!$B$3:$B$12,MATCH(cadangan3[[#This Row],[ItemID A]],Katalog!$C$3:$C$12,0)),"-")</f>
        <v>Blouse</v>
      </c>
      <c r="F950">
        <v>3</v>
      </c>
      <c r="G950">
        <v>3</v>
      </c>
      <c r="H950" s="36">
        <f>IFERROR(INDEX(Katalog!$D$3:$D$12,MATCH(cadangan3[[#This Row],[ItemID A]],Katalog!$C$3:$C$12,0))*cadangan3[[#This Row],[Qty A]],0)</f>
        <v>450000</v>
      </c>
      <c r="I950" s="36">
        <f>IFERROR(INDEX(Katalog!$D$3:$D$12,MATCH(cadangan3[[#This Row],[Item A]],Katalog!$B$3:$B$12,0))*cadangan3[[#This Row],[Qty A]],0)</f>
        <v>450000</v>
      </c>
      <c r="J950" s="36">
        <f>IFERROR(cadangan3[[#This Row],[Harga Asli A]]-(cadangan3[[#This Row],[Harga Asli A]]*cadangan3[[#This Row],[Diskon]]),cadangan3[[#This Row],[Harga Asli A]])</f>
        <v>382500</v>
      </c>
      <c r="K950" s="36">
        <f>INDEX(Katalog!$F$3:$F$12,MATCH(cadangan3[[#This Row],[ItemID A]],Katalog!$C$3:$C$12,0))*cadangan3[[#This Row],[Qty A]]</f>
        <v>150000</v>
      </c>
      <c r="L950" s="36">
        <f>IFERROR(cadangan3[[#This Row],[Profit A]]-(cadangan3[[#This Row],[Profit A]]*cadangan3[[#This Row],[Diskon]]),K950)</f>
        <v>127500</v>
      </c>
      <c r="M950" t="s">
        <v>58</v>
      </c>
      <c r="N950" t="str">
        <f>IFERROR(INDEX(Katalog!$A$3:$A$12,MATCH(cadangan3[[#This Row],[ItemID B]],Katalog!$C$3:$C$12,0)),"-")</f>
        <v>Pakaian Wanita</v>
      </c>
      <c r="O950" t="str">
        <f>IFERROR(INDEX(Katalog!$B$3:$B$12,MATCH(cadangan3[[#This Row],[ItemID B]],Katalog!$C$3:$C$12,0)),"-")</f>
        <v>Dress</v>
      </c>
      <c r="P950">
        <v>2</v>
      </c>
      <c r="Q950">
        <v>3</v>
      </c>
      <c r="R950" s="36">
        <f>IFERROR(INDEX(Katalog!$D$3:$D$12,MATCH(cadangan3[[#This Row],[ItemID B]],Katalog!$C$3:$C$12,0))*cadangan3[[#This Row],[Qty B]],0)</f>
        <v>600000</v>
      </c>
      <c r="S950" s="36">
        <f>IFERROR(INDEX(Katalog!$D$3:$D$12,MATCH(cadangan3[[#This Row],[Item B]],Katalog!$B$3:$B$12,0))*cadangan3[[#This Row],[Qty B]],0)</f>
        <v>600000</v>
      </c>
      <c r="T950" s="36">
        <f>IFERROR(cadangan3[[#This Row],[Harga Asli B]]-(cadangan3[[#This Row],[Harga Asli B]]*cadangan3[[#This Row],[Diskon]]),cadangan3[[#This Row],[Harga Asli B]])</f>
        <v>510000</v>
      </c>
      <c r="U950" s="36">
        <f>IFERROR(INDEX(Katalog!$F$3:$F$12,MATCH(cadangan3[[#This Row],[ItemID B]],Katalog!$C$3:$C$12,0))*cadangan3[[#This Row],[Qty B]],0)</f>
        <v>200000</v>
      </c>
      <c r="V950" s="36">
        <f>IFERROR(cadangan3[[#This Row],[Profit B]]-(cadangan3[[#This Row],[Profit B]]*cadangan3[[#This Row],[Diskon]]),U950)</f>
        <v>170000</v>
      </c>
      <c r="W950" t="s">
        <v>61</v>
      </c>
      <c r="X950" t="str">
        <f>IFERROR(INDEX(Katalog!$A$3:$A$12,MATCH(cadangan3[[#This Row],[ItemID C]],Katalog!$C$3:$C$12,0)),"-")</f>
        <v>Pakaian Pria</v>
      </c>
      <c r="Y950" t="str">
        <f>IFERROR(INDEX(Katalog!$B$3:$B$12,MATCH(cadangan3[[#This Row],[ItemID C]],Katalog!$C$3:$C$12,0)),"-")</f>
        <v>Kaos Polo</v>
      </c>
      <c r="Z950">
        <v>1</v>
      </c>
      <c r="AA950">
        <v>3</v>
      </c>
      <c r="AB950" s="36">
        <f>IFERROR(INDEX(Katalog!$D$3:$D$12,MATCH(cadangan3[[#This Row],[ItemID C]],Katalog!$C$3:$C$12,0))*cadangan3[[#This Row],[Qty C]],0)</f>
        <v>200000</v>
      </c>
      <c r="AC950" s="36">
        <f>IFERROR(INDEX(Katalog!$D$3:$D$12,MATCH(cadangan3[[#This Row],[Item C]],Katalog!$B$3:$B$12,0))*cadangan3[[#This Row],[Qty C]],0)</f>
        <v>200000</v>
      </c>
      <c r="AD950" s="36">
        <f>IFERROR(cadangan3[[#This Row],[Harga Asli C]]-(cadangan3[[#This Row],[Harga Asli C]]*cadangan3[[#This Row],[Diskon]]),cadangan3[[#This Row],[Harga Asli C]])</f>
        <v>170000</v>
      </c>
      <c r="AE950" s="36">
        <f>IFERROR(INDEX(Katalog!$F$3:$F$12,MATCH(cadangan3[[#This Row],[ItemID C]],Katalog!$C$3:$C$12,0))*cadangan3[[#This Row],[Qty C]],0)</f>
        <v>80000</v>
      </c>
      <c r="AF950" s="36">
        <f>IFERROR(cadangan3[[#This Row],[Profit C]]-(cadangan3[[#This Row],[Profit C]]*cadangan3[[#This Row],[Diskon]]),cadangan3[[#This Row],[Profit C]])</f>
        <v>68000</v>
      </c>
      <c r="AG950" s="21">
        <f>cadangan3[[#This Row],[Qty A]]+cadangan3[[#This Row],[Qty B]]+cadangan3[[#This Row],[Qty C]]</f>
        <v>6</v>
      </c>
      <c r="AH950" s="35">
        <f>cadangan3[[#This Row],[Harga A + Diskon]]+cadangan3[[#This Row],[Harga + Diskon B]]+cadangan3[[#This Row],[Harga + Diskon C]]</f>
        <v>1062500</v>
      </c>
      <c r="AI950" s="35">
        <f>(cadangan3[[#This Row],[Profit A]]+cadangan3[[#This Row],[Profit B]]+cadangan3[[#This Row],[Profit C]])</f>
        <v>430000</v>
      </c>
      <c r="AJ950" s="35">
        <f>cadangan3[[#This Row],[Provit A + Diskon]]+cadangan3[[#This Row],[Provit B + Diskon]]+cadangan3[[#This Row],[Provit C + Diskon]]</f>
        <v>365500</v>
      </c>
      <c r="AK950" s="23" t="s">
        <v>32</v>
      </c>
      <c r="AL950" s="37">
        <f>IFERROR(INDEX('Kode Diskon'!$D$3:$D$9,MATCH(cadangan3[[#This Row],[Kode diskon]],'Kode Diskon'!$C$3:$C$9,0)),"-")</f>
        <v>0.15</v>
      </c>
      <c r="AM950" s="23" t="s">
        <v>9</v>
      </c>
      <c r="AN950" s="23" t="s">
        <v>12</v>
      </c>
      <c r="AO950" s="23" t="s">
        <v>80</v>
      </c>
      <c r="AP950" s="24">
        <v>45035</v>
      </c>
      <c r="AQ950" s="23" t="str">
        <f>TEXT(cadangan3[[#This Row],[Tanggal terjual]],"dddd")</f>
        <v>Wednesday</v>
      </c>
    </row>
    <row r="951" spans="1:43" x14ac:dyDescent="0.2">
      <c r="A951" s="20">
        <v>950</v>
      </c>
      <c r="B951" s="21" t="str">
        <f>_xlfn.CONCAT("ORD-",INDEX(Helper!$B$2:$B$5,MATCH(cadangan3[[#This Row],[Marketplace]],Helper!$A$2:$A$5,0)),TEXT(cadangan3[[#This Row],[No]],"0000"),"-",TEXT(cadangan3[[#This Row],[Tanggal terjual]],"dd/mm/yy"))</f>
        <v>ORD-TK0950-21/04/23</v>
      </c>
      <c r="C951" t="s">
        <v>58</v>
      </c>
      <c r="D951" t="str">
        <f>IFERROR(INDEX(Katalog!$A$3:$A$12,MATCH(cadangan3[[#This Row],[ItemID A]],Katalog!$C$3:$C$12,0)),"-")</f>
        <v>Pakaian Wanita</v>
      </c>
      <c r="E951" t="str">
        <f>IFERROR(INDEX(Katalog!$B$3:$B$12,MATCH(cadangan3[[#This Row],[ItemID A]],Katalog!$C$3:$C$12,0)),"-")</f>
        <v>Dress</v>
      </c>
      <c r="F951">
        <v>2</v>
      </c>
      <c r="G951">
        <v>3</v>
      </c>
      <c r="H951" s="36">
        <f>IFERROR(INDEX(Katalog!$D$3:$D$12,MATCH(cadangan3[[#This Row],[ItemID A]],Katalog!$C$3:$C$12,0))*cadangan3[[#This Row],[Qty A]],0)</f>
        <v>600000</v>
      </c>
      <c r="I951" s="36">
        <f>IFERROR(INDEX(Katalog!$D$3:$D$12,MATCH(cadangan3[[#This Row],[Item A]],Katalog!$B$3:$B$12,0))*cadangan3[[#This Row],[Qty A]],0)</f>
        <v>600000</v>
      </c>
      <c r="J951" s="36">
        <f>IFERROR(cadangan3[[#This Row],[Harga Asli A]]-(cadangan3[[#This Row],[Harga Asli A]]*cadangan3[[#This Row],[Diskon]]),cadangan3[[#This Row],[Harga Asli A]])</f>
        <v>540000</v>
      </c>
      <c r="K951" s="36">
        <f>INDEX(Katalog!$F$3:$F$12,MATCH(cadangan3[[#This Row],[ItemID A]],Katalog!$C$3:$C$12,0))*cadangan3[[#This Row],[Qty A]]</f>
        <v>200000</v>
      </c>
      <c r="L951" s="36">
        <f>IFERROR(cadangan3[[#This Row],[Profit A]]-(cadangan3[[#This Row],[Profit A]]*cadangan3[[#This Row],[Diskon]]),K951)</f>
        <v>180000</v>
      </c>
      <c r="N951" t="str">
        <f>IFERROR(INDEX(Katalog!$A$3:$A$12,MATCH(cadangan3[[#This Row],[ItemID B]],Katalog!$C$3:$C$12,0)),"-")</f>
        <v>-</v>
      </c>
      <c r="O951" t="str">
        <f>IFERROR(INDEX(Katalog!$B$3:$B$12,MATCH(cadangan3[[#This Row],[ItemID B]],Katalog!$C$3:$C$12,0)),"-")</f>
        <v>-</v>
      </c>
      <c r="R951" s="36">
        <f>IFERROR(INDEX(Katalog!$D$3:$D$12,MATCH(cadangan3[[#This Row],[ItemID B]],Katalog!$C$3:$C$12,0))*cadangan3[[#This Row],[Qty B]],0)</f>
        <v>0</v>
      </c>
      <c r="S951" s="36">
        <f>IFERROR(INDEX(Katalog!$D$3:$D$12,MATCH(cadangan3[[#This Row],[Item B]],Katalog!$B$3:$B$12,0))*cadangan3[[#This Row],[Qty B]],0)</f>
        <v>0</v>
      </c>
      <c r="T951" s="36">
        <f>IFERROR(cadangan3[[#This Row],[Harga Asli B]]-(cadangan3[[#This Row],[Harga Asli B]]*cadangan3[[#This Row],[Diskon]]),cadangan3[[#This Row],[Harga Asli B]])</f>
        <v>0</v>
      </c>
      <c r="U951" s="36">
        <f>IFERROR(INDEX(Katalog!$F$3:$F$12,MATCH(cadangan3[[#This Row],[ItemID B]],Katalog!$C$3:$C$12,0))*cadangan3[[#This Row],[Qty B]],0)</f>
        <v>0</v>
      </c>
      <c r="V951" s="36">
        <f>IFERROR(cadangan3[[#This Row],[Profit B]]-(cadangan3[[#This Row],[Profit B]]*cadangan3[[#This Row],[Diskon]]),U951)</f>
        <v>0</v>
      </c>
      <c r="X951" t="str">
        <f>IFERROR(INDEX(Katalog!$A$3:$A$12,MATCH(cadangan3[[#This Row],[ItemID C]],Katalog!$C$3:$C$12,0)),"-")</f>
        <v>-</v>
      </c>
      <c r="Y951" t="str">
        <f>IFERROR(INDEX(Katalog!$B$3:$B$12,MATCH(cadangan3[[#This Row],[ItemID C]],Katalog!$C$3:$C$12,0)),"-")</f>
        <v>-</v>
      </c>
      <c r="AB951" s="36">
        <f>IFERROR(INDEX(Katalog!$D$3:$D$12,MATCH(cadangan3[[#This Row],[ItemID C]],Katalog!$C$3:$C$12,0))*cadangan3[[#This Row],[Qty C]],0)</f>
        <v>0</v>
      </c>
      <c r="AC951" s="36">
        <f>IFERROR(INDEX(Katalog!$D$3:$D$12,MATCH(cadangan3[[#This Row],[Item C]],Katalog!$B$3:$B$12,0))*cadangan3[[#This Row],[Qty C]],0)</f>
        <v>0</v>
      </c>
      <c r="AD951" s="36">
        <f>IFERROR(cadangan3[[#This Row],[Harga Asli C]]-(cadangan3[[#This Row],[Harga Asli C]]*cadangan3[[#This Row],[Diskon]]),cadangan3[[#This Row],[Harga Asli C]])</f>
        <v>0</v>
      </c>
      <c r="AE951" s="36">
        <f>IFERROR(INDEX(Katalog!$F$3:$F$12,MATCH(cadangan3[[#This Row],[ItemID C]],Katalog!$C$3:$C$12,0))*cadangan3[[#This Row],[Qty C]],0)</f>
        <v>0</v>
      </c>
      <c r="AF951" s="36">
        <f>IFERROR(cadangan3[[#This Row],[Profit C]]-(cadangan3[[#This Row],[Profit C]]*cadangan3[[#This Row],[Diskon]]),cadangan3[[#This Row],[Profit C]])</f>
        <v>0</v>
      </c>
      <c r="AG951" s="21">
        <f>cadangan3[[#This Row],[Qty A]]+cadangan3[[#This Row],[Qty B]]+cadangan3[[#This Row],[Qty C]]</f>
        <v>2</v>
      </c>
      <c r="AH951" s="35">
        <f>cadangan3[[#This Row],[Harga A + Diskon]]+cadangan3[[#This Row],[Harga + Diskon B]]+cadangan3[[#This Row],[Harga + Diskon C]]</f>
        <v>540000</v>
      </c>
      <c r="AI951" s="35">
        <f>(cadangan3[[#This Row],[Profit A]]+cadangan3[[#This Row],[Profit B]]+cadangan3[[#This Row],[Profit C]])</f>
        <v>200000</v>
      </c>
      <c r="AJ951" s="35">
        <f>cadangan3[[#This Row],[Provit A + Diskon]]+cadangan3[[#This Row],[Provit B + Diskon]]+cadangan3[[#This Row],[Provit C + Diskon]]</f>
        <v>180000</v>
      </c>
      <c r="AK951" s="23" t="s">
        <v>31</v>
      </c>
      <c r="AL951" s="37">
        <f>IFERROR(INDEX('Kode Diskon'!$D$3:$D$9,MATCH(cadangan3[[#This Row],[Kode diskon]],'Kode Diskon'!$C$3:$C$9,0)),"-")</f>
        <v>0.1</v>
      </c>
      <c r="AM951" s="23" t="s">
        <v>9</v>
      </c>
      <c r="AN951" s="23" t="s">
        <v>10</v>
      </c>
      <c r="AO951" s="23" t="s">
        <v>76</v>
      </c>
      <c r="AP951" s="24">
        <v>45037</v>
      </c>
      <c r="AQ951" s="23" t="str">
        <f>TEXT(cadangan3[[#This Row],[Tanggal terjual]],"dddd")</f>
        <v>Friday</v>
      </c>
    </row>
    <row r="952" spans="1:43" x14ac:dyDescent="0.2">
      <c r="A952" s="20">
        <v>951</v>
      </c>
      <c r="B952" s="21" t="str">
        <f>_xlfn.CONCAT("ORD-",INDEX(Helper!$B$2:$B$5,MATCH(cadangan3[[#This Row],[Marketplace]],Helper!$A$2:$A$5,0)),TEXT(cadangan3[[#This Row],[No]],"0000"),"-",TEXT(cadangan3[[#This Row],[Tanggal terjual]],"dd/mm/yy"))</f>
        <v>ORD-TK0951-28/04/23</v>
      </c>
      <c r="C952" t="s">
        <v>63</v>
      </c>
      <c r="D952" t="str">
        <f>IFERROR(INDEX(Katalog!$A$3:$A$12,MATCH(cadangan3[[#This Row],[ItemID A]],Katalog!$C$3:$C$12,0)),"-")</f>
        <v>Pakaian Pria</v>
      </c>
      <c r="E952" t="str">
        <f>IFERROR(INDEX(Katalog!$B$3:$B$12,MATCH(cadangan3[[#This Row],[ItemID A]],Katalog!$C$3:$C$12,0)),"-")</f>
        <v>Jaket Jeans</v>
      </c>
      <c r="F952">
        <v>2</v>
      </c>
      <c r="G952">
        <v>2</v>
      </c>
      <c r="H952" s="36">
        <f>IFERROR(INDEX(Katalog!$D$3:$D$12,MATCH(cadangan3[[#This Row],[ItemID A]],Katalog!$C$3:$C$12,0))*cadangan3[[#This Row],[Qty A]],0)</f>
        <v>800000</v>
      </c>
      <c r="I952" s="36">
        <f>IFERROR(INDEX(Katalog!$D$3:$D$12,MATCH(cadangan3[[#This Row],[Item A]],Katalog!$B$3:$B$12,0))*cadangan3[[#This Row],[Qty A]],0)</f>
        <v>800000</v>
      </c>
      <c r="J952" s="36">
        <f>IFERROR(cadangan3[[#This Row],[Harga Asli A]]-(cadangan3[[#This Row],[Harga Asli A]]*cadangan3[[#This Row],[Diskon]]),cadangan3[[#This Row],[Harga Asli A]])</f>
        <v>720000</v>
      </c>
      <c r="K952" s="36">
        <f>INDEX(Katalog!$F$3:$F$12,MATCH(cadangan3[[#This Row],[ItemID A]],Katalog!$C$3:$C$12,0))*cadangan3[[#This Row],[Qty A]]</f>
        <v>300000</v>
      </c>
      <c r="L952" s="36">
        <f>IFERROR(cadangan3[[#This Row],[Profit A]]-(cadangan3[[#This Row],[Profit A]]*cadangan3[[#This Row],[Diskon]]),K952)</f>
        <v>270000</v>
      </c>
      <c r="M952" t="s">
        <v>60</v>
      </c>
      <c r="N952" t="str">
        <f>IFERROR(INDEX(Katalog!$A$3:$A$12,MATCH(cadangan3[[#This Row],[ItemID B]],Katalog!$C$3:$C$12,0)),"-")</f>
        <v>Pakaian Wanita</v>
      </c>
      <c r="O952" t="str">
        <f>IFERROR(INDEX(Katalog!$B$3:$B$12,MATCH(cadangan3[[#This Row],[ItemID B]],Katalog!$C$3:$C$12,0)),"-")</f>
        <v>Kaftan</v>
      </c>
      <c r="P952">
        <v>1</v>
      </c>
      <c r="Q952">
        <v>4</v>
      </c>
      <c r="R952" s="36">
        <f>IFERROR(INDEX(Katalog!$D$3:$D$12,MATCH(cadangan3[[#This Row],[ItemID B]],Katalog!$C$3:$C$12,0))*cadangan3[[#This Row],[Qty B]],0)</f>
        <v>250000</v>
      </c>
      <c r="S952" s="36">
        <f>IFERROR(INDEX(Katalog!$D$3:$D$12,MATCH(cadangan3[[#This Row],[Item B]],Katalog!$B$3:$B$12,0))*cadangan3[[#This Row],[Qty B]],0)</f>
        <v>250000</v>
      </c>
      <c r="T952" s="36">
        <f>IFERROR(cadangan3[[#This Row],[Harga Asli B]]-(cadangan3[[#This Row],[Harga Asli B]]*cadangan3[[#This Row],[Diskon]]),cadangan3[[#This Row],[Harga Asli B]])</f>
        <v>225000</v>
      </c>
      <c r="U952" s="36">
        <f>IFERROR(INDEX(Katalog!$F$3:$F$12,MATCH(cadangan3[[#This Row],[ItemID B]],Katalog!$C$3:$C$12,0))*cadangan3[[#This Row],[Qty B]],0)</f>
        <v>100000</v>
      </c>
      <c r="V952" s="36">
        <f>IFERROR(cadangan3[[#This Row],[Profit B]]-(cadangan3[[#This Row],[Profit B]]*cadangan3[[#This Row],[Diskon]]),U952)</f>
        <v>90000</v>
      </c>
      <c r="W952" t="s">
        <v>67</v>
      </c>
      <c r="X952" t="str">
        <f>IFERROR(INDEX(Katalog!$A$3:$A$12,MATCH(cadangan3[[#This Row],[ItemID C]],Katalog!$C$3:$C$12,0)),"-")</f>
        <v>Sepatu Wanita</v>
      </c>
      <c r="Y952" t="str">
        <f>IFERROR(INDEX(Katalog!$B$3:$B$12,MATCH(cadangan3[[#This Row],[ItemID C]],Katalog!$C$3:$C$12,0)),"-")</f>
        <v>Flat Shoes</v>
      </c>
      <c r="Z952">
        <v>3</v>
      </c>
      <c r="AA952">
        <v>5</v>
      </c>
      <c r="AB952" s="36">
        <f>IFERROR(INDEX(Katalog!$D$3:$D$12,MATCH(cadangan3[[#This Row],[ItemID C]],Katalog!$C$3:$C$12,0))*cadangan3[[#This Row],[Qty C]],0)</f>
        <v>750000</v>
      </c>
      <c r="AC952" s="36">
        <f>IFERROR(INDEX(Katalog!$D$3:$D$12,MATCH(cadangan3[[#This Row],[Item C]],Katalog!$B$3:$B$12,0))*cadangan3[[#This Row],[Qty C]],0)</f>
        <v>750000</v>
      </c>
      <c r="AD952" s="36">
        <f>IFERROR(cadangan3[[#This Row],[Harga Asli C]]-(cadangan3[[#This Row],[Harga Asli C]]*cadangan3[[#This Row],[Diskon]]),cadangan3[[#This Row],[Harga Asli C]])</f>
        <v>675000</v>
      </c>
      <c r="AE952" s="36">
        <f>IFERROR(INDEX(Katalog!$F$3:$F$12,MATCH(cadangan3[[#This Row],[ItemID C]],Katalog!$C$3:$C$12,0))*cadangan3[[#This Row],[Qty C]],0)</f>
        <v>300000</v>
      </c>
      <c r="AF952" s="36">
        <f>IFERROR(cadangan3[[#This Row],[Profit C]]-(cadangan3[[#This Row],[Profit C]]*cadangan3[[#This Row],[Diskon]]),cadangan3[[#This Row],[Profit C]])</f>
        <v>270000</v>
      </c>
      <c r="AG952" s="21">
        <f>cadangan3[[#This Row],[Qty A]]+cadangan3[[#This Row],[Qty B]]+cadangan3[[#This Row],[Qty C]]</f>
        <v>6</v>
      </c>
      <c r="AH952" s="35">
        <f>cadangan3[[#This Row],[Harga A + Diskon]]+cadangan3[[#This Row],[Harga + Diskon B]]+cadangan3[[#This Row],[Harga + Diskon C]]</f>
        <v>1620000</v>
      </c>
      <c r="AI952" s="35">
        <f>(cadangan3[[#This Row],[Profit A]]+cadangan3[[#This Row],[Profit B]]+cadangan3[[#This Row],[Profit C]])</f>
        <v>700000</v>
      </c>
      <c r="AJ952" s="35">
        <f>cadangan3[[#This Row],[Provit A + Diskon]]+cadangan3[[#This Row],[Provit B + Diskon]]+cadangan3[[#This Row],[Provit C + Diskon]]</f>
        <v>630000</v>
      </c>
      <c r="AK952" s="23" t="s">
        <v>31</v>
      </c>
      <c r="AL952" s="37">
        <f>IFERROR(INDEX('Kode Diskon'!$D$3:$D$9,MATCH(cadangan3[[#This Row],[Kode diskon]],'Kode Diskon'!$C$3:$C$9,0)),"-")</f>
        <v>0.1</v>
      </c>
      <c r="AM952" s="23" t="s">
        <v>9</v>
      </c>
      <c r="AN952" s="23" t="s">
        <v>10</v>
      </c>
      <c r="AO952" s="23" t="s">
        <v>79</v>
      </c>
      <c r="AP952" s="24">
        <v>45044</v>
      </c>
      <c r="AQ952" s="23" t="str">
        <f>TEXT(cadangan3[[#This Row],[Tanggal terjual]],"dddd")</f>
        <v>Friday</v>
      </c>
    </row>
    <row r="953" spans="1:43" x14ac:dyDescent="0.2">
      <c r="A953" s="20">
        <v>952</v>
      </c>
      <c r="B953" s="21" t="str">
        <f>_xlfn.CONCAT("ORD-",INDEX(Helper!$B$2:$B$5,MATCH(cadangan3[[#This Row],[Marketplace]],Helper!$A$2:$A$5,0)),TEXT(cadangan3[[#This Row],[No]],"0000"),"-",TEXT(cadangan3[[#This Row],[Tanggal terjual]],"dd/mm/yy"))</f>
        <v>ORD-SP0952-01/04/23</v>
      </c>
      <c r="C953" t="s">
        <v>67</v>
      </c>
      <c r="D953" t="str">
        <f>IFERROR(INDEX(Katalog!$A$3:$A$12,MATCH(cadangan3[[#This Row],[ItemID A]],Katalog!$C$3:$C$12,0)),"-")</f>
        <v>Sepatu Wanita</v>
      </c>
      <c r="E953" t="str">
        <f>IFERROR(INDEX(Katalog!$B$3:$B$12,MATCH(cadangan3[[#This Row],[ItemID A]],Katalog!$C$3:$C$12,0)),"-")</f>
        <v>Flat Shoes</v>
      </c>
      <c r="F953">
        <v>6</v>
      </c>
      <c r="G953">
        <v>4</v>
      </c>
      <c r="H953" s="36">
        <f>IFERROR(INDEX(Katalog!$D$3:$D$12,MATCH(cadangan3[[#This Row],[ItemID A]],Katalog!$C$3:$C$12,0))*cadangan3[[#This Row],[Qty A]],0)</f>
        <v>1500000</v>
      </c>
      <c r="I953" s="36">
        <f>IFERROR(INDEX(Katalog!$D$3:$D$12,MATCH(cadangan3[[#This Row],[Item A]],Katalog!$B$3:$B$12,0))*cadangan3[[#This Row],[Qty A]],0)</f>
        <v>1500000</v>
      </c>
      <c r="J953" s="36">
        <f>IFERROR(cadangan3[[#This Row],[Harga Asli A]]-(cadangan3[[#This Row],[Harga Asli A]]*cadangan3[[#This Row],[Diskon]]),cadangan3[[#This Row],[Harga Asli A]])</f>
        <v>1350000</v>
      </c>
      <c r="K953" s="36">
        <f>INDEX(Katalog!$F$3:$F$12,MATCH(cadangan3[[#This Row],[ItemID A]],Katalog!$C$3:$C$12,0))*cadangan3[[#This Row],[Qty A]]</f>
        <v>600000</v>
      </c>
      <c r="L953" s="36">
        <f>IFERROR(cadangan3[[#This Row],[Profit A]]-(cadangan3[[#This Row],[Profit A]]*cadangan3[[#This Row],[Diskon]]),K953)</f>
        <v>540000</v>
      </c>
      <c r="N953" t="str">
        <f>IFERROR(INDEX(Katalog!$A$3:$A$12,MATCH(cadangan3[[#This Row],[ItemID B]],Katalog!$C$3:$C$12,0)),"-")</f>
        <v>-</v>
      </c>
      <c r="O953" t="str">
        <f>IFERROR(INDEX(Katalog!$B$3:$B$12,MATCH(cadangan3[[#This Row],[ItemID B]],Katalog!$C$3:$C$12,0)),"-")</f>
        <v>-</v>
      </c>
      <c r="R953" s="36">
        <f>IFERROR(INDEX(Katalog!$D$3:$D$12,MATCH(cadangan3[[#This Row],[ItemID B]],Katalog!$C$3:$C$12,0))*cadangan3[[#This Row],[Qty B]],0)</f>
        <v>0</v>
      </c>
      <c r="S953" s="36">
        <f>IFERROR(INDEX(Katalog!$D$3:$D$12,MATCH(cadangan3[[#This Row],[Item B]],Katalog!$B$3:$B$12,0))*cadangan3[[#This Row],[Qty B]],0)</f>
        <v>0</v>
      </c>
      <c r="T953" s="36">
        <f>IFERROR(cadangan3[[#This Row],[Harga Asli B]]-(cadangan3[[#This Row],[Harga Asli B]]*cadangan3[[#This Row],[Diskon]]),cadangan3[[#This Row],[Harga Asli B]])</f>
        <v>0</v>
      </c>
      <c r="U953" s="36">
        <f>IFERROR(INDEX(Katalog!$F$3:$F$12,MATCH(cadangan3[[#This Row],[ItemID B]],Katalog!$C$3:$C$12,0))*cadangan3[[#This Row],[Qty B]],0)</f>
        <v>0</v>
      </c>
      <c r="V953" s="36">
        <f>IFERROR(cadangan3[[#This Row],[Profit B]]-(cadangan3[[#This Row],[Profit B]]*cadangan3[[#This Row],[Diskon]]),U953)</f>
        <v>0</v>
      </c>
      <c r="X953" t="str">
        <f>IFERROR(INDEX(Katalog!$A$3:$A$12,MATCH(cadangan3[[#This Row],[ItemID C]],Katalog!$C$3:$C$12,0)),"-")</f>
        <v>-</v>
      </c>
      <c r="Y953" t="str">
        <f>IFERROR(INDEX(Katalog!$B$3:$B$12,MATCH(cadangan3[[#This Row],[ItemID C]],Katalog!$C$3:$C$12,0)),"-")</f>
        <v>-</v>
      </c>
      <c r="AB953" s="36">
        <f>IFERROR(INDEX(Katalog!$D$3:$D$12,MATCH(cadangan3[[#This Row],[ItemID C]],Katalog!$C$3:$C$12,0))*cadangan3[[#This Row],[Qty C]],0)</f>
        <v>0</v>
      </c>
      <c r="AC953" s="36">
        <f>IFERROR(INDEX(Katalog!$D$3:$D$12,MATCH(cadangan3[[#This Row],[Item C]],Katalog!$B$3:$B$12,0))*cadangan3[[#This Row],[Qty C]],0)</f>
        <v>0</v>
      </c>
      <c r="AD953" s="36">
        <f>IFERROR(cadangan3[[#This Row],[Harga Asli C]]-(cadangan3[[#This Row],[Harga Asli C]]*cadangan3[[#This Row],[Diskon]]),cadangan3[[#This Row],[Harga Asli C]])</f>
        <v>0</v>
      </c>
      <c r="AE953" s="36">
        <f>IFERROR(INDEX(Katalog!$F$3:$F$12,MATCH(cadangan3[[#This Row],[ItemID C]],Katalog!$C$3:$C$12,0))*cadangan3[[#This Row],[Qty C]],0)</f>
        <v>0</v>
      </c>
      <c r="AF953" s="36">
        <f>IFERROR(cadangan3[[#This Row],[Profit C]]-(cadangan3[[#This Row],[Profit C]]*cadangan3[[#This Row],[Diskon]]),cadangan3[[#This Row],[Profit C]])</f>
        <v>0</v>
      </c>
      <c r="AG953" s="21">
        <f>cadangan3[[#This Row],[Qty A]]+cadangan3[[#This Row],[Qty B]]+cadangan3[[#This Row],[Qty C]]</f>
        <v>6</v>
      </c>
      <c r="AH953" s="35">
        <f>cadangan3[[#This Row],[Harga A + Diskon]]+cadangan3[[#This Row],[Harga + Diskon B]]+cadangan3[[#This Row],[Harga + Diskon C]]</f>
        <v>1350000</v>
      </c>
      <c r="AI953" s="35">
        <f>(cadangan3[[#This Row],[Profit A]]+cadangan3[[#This Row],[Profit B]]+cadangan3[[#This Row],[Profit C]])</f>
        <v>600000</v>
      </c>
      <c r="AJ953" s="35">
        <f>cadangan3[[#This Row],[Provit A + Diskon]]+cadangan3[[#This Row],[Provit B + Diskon]]+cadangan3[[#This Row],[Provit C + Diskon]]</f>
        <v>540000</v>
      </c>
      <c r="AK953" s="23" t="s">
        <v>6</v>
      </c>
      <c r="AL953" s="37">
        <f>IFERROR(INDEX('Kode Diskon'!$D$3:$D$9,MATCH(cadangan3[[#This Row],[Kode diskon]],'Kode Diskon'!$C$3:$C$9,0)),"-")</f>
        <v>0.1</v>
      </c>
      <c r="AM953" s="23" t="s">
        <v>29</v>
      </c>
      <c r="AN953" s="23" t="s">
        <v>7</v>
      </c>
      <c r="AO953" s="23" t="s">
        <v>79</v>
      </c>
      <c r="AP953" s="24">
        <v>45017</v>
      </c>
      <c r="AQ953" s="23" t="str">
        <f>TEXT(cadangan3[[#This Row],[Tanggal terjual]],"dddd")</f>
        <v>Saturday</v>
      </c>
    </row>
    <row r="954" spans="1:43" x14ac:dyDescent="0.2">
      <c r="A954" s="20">
        <v>953</v>
      </c>
      <c r="B954" s="21" t="str">
        <f>_xlfn.CONCAT("ORD-",INDEX(Helper!$B$2:$B$5,MATCH(cadangan3[[#This Row],[Marketplace]],Helper!$A$2:$A$5,0)),TEXT(cadangan3[[#This Row],[No]],"0000"),"-",TEXT(cadangan3[[#This Row],[Tanggal terjual]],"dd/mm/yy"))</f>
        <v>ORD-SP0953-03/04/23</v>
      </c>
      <c r="C954" t="s">
        <v>65</v>
      </c>
      <c r="D954" t="str">
        <f>IFERROR(INDEX(Katalog!$A$3:$A$12,MATCH(cadangan3[[#This Row],[ItemID A]],Katalog!$C$3:$C$12,0)),"-")</f>
        <v>Sepatu Pria</v>
      </c>
      <c r="E954" t="str">
        <f>IFERROR(INDEX(Katalog!$B$3:$B$12,MATCH(cadangan3[[#This Row],[ItemID A]],Katalog!$C$3:$C$12,0)),"-")</f>
        <v>Sneakers</v>
      </c>
      <c r="F954">
        <v>5</v>
      </c>
      <c r="G954">
        <v>5</v>
      </c>
      <c r="H954" s="36">
        <f>IFERROR(INDEX(Katalog!$D$3:$D$12,MATCH(cadangan3[[#This Row],[ItemID A]],Katalog!$C$3:$C$12,0))*cadangan3[[#This Row],[Qty A]],0)</f>
        <v>2500000</v>
      </c>
      <c r="I954" s="36">
        <f>IFERROR(INDEX(Katalog!$D$3:$D$12,MATCH(cadangan3[[#This Row],[Item A]],Katalog!$B$3:$B$12,0))*cadangan3[[#This Row],[Qty A]],0)</f>
        <v>2500000</v>
      </c>
      <c r="J954" s="36">
        <f>IFERROR(cadangan3[[#This Row],[Harga Asli A]]-(cadangan3[[#This Row],[Harga Asli A]]*cadangan3[[#This Row],[Diskon]]),cadangan3[[#This Row],[Harga Asli A]])</f>
        <v>2125000</v>
      </c>
      <c r="K954" s="36">
        <f>INDEX(Katalog!$F$3:$F$12,MATCH(cadangan3[[#This Row],[ItemID A]],Katalog!$C$3:$C$12,0))*cadangan3[[#This Row],[Qty A]]</f>
        <v>1000000</v>
      </c>
      <c r="L954" s="36">
        <f>IFERROR(cadangan3[[#This Row],[Profit A]]-(cadangan3[[#This Row],[Profit A]]*cadangan3[[#This Row],[Diskon]]),K954)</f>
        <v>850000</v>
      </c>
      <c r="M954" t="s">
        <v>63</v>
      </c>
      <c r="N954" t="str">
        <f>IFERROR(INDEX(Katalog!$A$3:$A$12,MATCH(cadangan3[[#This Row],[ItemID B]],Katalog!$C$3:$C$12,0)),"-")</f>
        <v>Pakaian Pria</v>
      </c>
      <c r="O954" t="str">
        <f>IFERROR(INDEX(Katalog!$B$3:$B$12,MATCH(cadangan3[[#This Row],[ItemID B]],Katalog!$C$3:$C$12,0)),"-")</f>
        <v>Jaket Jeans</v>
      </c>
      <c r="P954">
        <v>1</v>
      </c>
      <c r="Q954">
        <v>5</v>
      </c>
      <c r="R954" s="36">
        <f>IFERROR(INDEX(Katalog!$D$3:$D$12,MATCH(cadangan3[[#This Row],[ItemID B]],Katalog!$C$3:$C$12,0))*cadangan3[[#This Row],[Qty B]],0)</f>
        <v>400000</v>
      </c>
      <c r="S954" s="36">
        <f>IFERROR(INDEX(Katalog!$D$3:$D$12,MATCH(cadangan3[[#This Row],[Item B]],Katalog!$B$3:$B$12,0))*cadangan3[[#This Row],[Qty B]],0)</f>
        <v>400000</v>
      </c>
      <c r="T954" s="36">
        <f>IFERROR(cadangan3[[#This Row],[Harga Asli B]]-(cadangan3[[#This Row],[Harga Asli B]]*cadangan3[[#This Row],[Diskon]]),cadangan3[[#This Row],[Harga Asli B]])</f>
        <v>340000</v>
      </c>
      <c r="U954" s="36">
        <f>IFERROR(INDEX(Katalog!$F$3:$F$12,MATCH(cadangan3[[#This Row],[ItemID B]],Katalog!$C$3:$C$12,0))*cadangan3[[#This Row],[Qty B]],0)</f>
        <v>150000</v>
      </c>
      <c r="V954" s="36">
        <f>IFERROR(cadangan3[[#This Row],[Profit B]]-(cadangan3[[#This Row],[Profit B]]*cadangan3[[#This Row],[Diskon]]),U954)</f>
        <v>127500</v>
      </c>
      <c r="X954" t="str">
        <f>IFERROR(INDEX(Katalog!$A$3:$A$12,MATCH(cadangan3[[#This Row],[ItemID C]],Katalog!$C$3:$C$12,0)),"-")</f>
        <v>-</v>
      </c>
      <c r="Y954" t="str">
        <f>IFERROR(INDEX(Katalog!$B$3:$B$12,MATCH(cadangan3[[#This Row],[ItemID C]],Katalog!$C$3:$C$12,0)),"-")</f>
        <v>-</v>
      </c>
      <c r="AB954" s="36">
        <f>IFERROR(INDEX(Katalog!$D$3:$D$12,MATCH(cadangan3[[#This Row],[ItemID C]],Katalog!$C$3:$C$12,0))*cadangan3[[#This Row],[Qty C]],0)</f>
        <v>0</v>
      </c>
      <c r="AC954" s="36">
        <f>IFERROR(INDEX(Katalog!$D$3:$D$12,MATCH(cadangan3[[#This Row],[Item C]],Katalog!$B$3:$B$12,0))*cadangan3[[#This Row],[Qty C]],0)</f>
        <v>0</v>
      </c>
      <c r="AD954" s="36">
        <f>IFERROR(cadangan3[[#This Row],[Harga Asli C]]-(cadangan3[[#This Row],[Harga Asli C]]*cadangan3[[#This Row],[Diskon]]),cadangan3[[#This Row],[Harga Asli C]])</f>
        <v>0</v>
      </c>
      <c r="AE954" s="36">
        <f>IFERROR(INDEX(Katalog!$F$3:$F$12,MATCH(cadangan3[[#This Row],[ItemID C]],Katalog!$C$3:$C$12,0))*cadangan3[[#This Row],[Qty C]],0)</f>
        <v>0</v>
      </c>
      <c r="AF954" s="36">
        <f>IFERROR(cadangan3[[#This Row],[Profit C]]-(cadangan3[[#This Row],[Profit C]]*cadangan3[[#This Row],[Diskon]]),cadangan3[[#This Row],[Profit C]])</f>
        <v>0</v>
      </c>
      <c r="AG954" s="21">
        <f>cadangan3[[#This Row],[Qty A]]+cadangan3[[#This Row],[Qty B]]+cadangan3[[#This Row],[Qty C]]</f>
        <v>6</v>
      </c>
      <c r="AH954" s="35">
        <f>cadangan3[[#This Row],[Harga A + Diskon]]+cadangan3[[#This Row],[Harga + Diskon B]]+cadangan3[[#This Row],[Harga + Diskon C]]</f>
        <v>2465000</v>
      </c>
      <c r="AI954" s="35">
        <f>(cadangan3[[#This Row],[Profit A]]+cadangan3[[#This Row],[Profit B]]+cadangan3[[#This Row],[Profit C]])</f>
        <v>1150000</v>
      </c>
      <c r="AJ954" s="35">
        <f>cadangan3[[#This Row],[Provit A + Diskon]]+cadangan3[[#This Row],[Provit B + Diskon]]+cadangan3[[#This Row],[Provit C + Diskon]]</f>
        <v>977500</v>
      </c>
      <c r="AK954" s="23" t="s">
        <v>13</v>
      </c>
      <c r="AL954" s="37">
        <f>IFERROR(INDEX('Kode Diskon'!$D$3:$D$9,MATCH(cadangan3[[#This Row],[Kode diskon]],'Kode Diskon'!$C$3:$C$9,0)),"-")</f>
        <v>0.15</v>
      </c>
      <c r="AM954" s="23" t="s">
        <v>29</v>
      </c>
      <c r="AN954" s="23" t="s">
        <v>7</v>
      </c>
      <c r="AO954" s="23" t="s">
        <v>80</v>
      </c>
      <c r="AP954" s="24">
        <v>45019</v>
      </c>
      <c r="AQ954" s="23" t="str">
        <f>TEXT(cadangan3[[#This Row],[Tanggal terjual]],"dddd")</f>
        <v>Monday</v>
      </c>
    </row>
    <row r="955" spans="1:43" x14ac:dyDescent="0.2">
      <c r="A955" s="20">
        <v>954</v>
      </c>
      <c r="B955" s="21" t="str">
        <f>_xlfn.CONCAT("ORD-",INDEX(Helper!$B$2:$B$5,MATCH(cadangan3[[#This Row],[Marketplace]],Helper!$A$2:$A$5,0)),TEXT(cadangan3[[#This Row],[No]],"0000"),"-",TEXT(cadangan3[[#This Row],[Tanggal terjual]],"dd/mm/yy"))</f>
        <v>ORD-TK0954-20/04/23</v>
      </c>
      <c r="C955" t="s">
        <v>63</v>
      </c>
      <c r="D955" t="str">
        <f>IFERROR(INDEX(Katalog!$A$3:$A$12,MATCH(cadangan3[[#This Row],[ItemID A]],Katalog!$C$3:$C$12,0)),"-")</f>
        <v>Pakaian Pria</v>
      </c>
      <c r="E955" t="str">
        <f>IFERROR(INDEX(Katalog!$B$3:$B$12,MATCH(cadangan3[[#This Row],[ItemID A]],Katalog!$C$3:$C$12,0)),"-")</f>
        <v>Jaket Jeans</v>
      </c>
      <c r="F955">
        <v>2</v>
      </c>
      <c r="G955">
        <v>3</v>
      </c>
      <c r="H955" s="36">
        <f>IFERROR(INDEX(Katalog!$D$3:$D$12,MATCH(cadangan3[[#This Row],[ItemID A]],Katalog!$C$3:$C$12,0))*cadangan3[[#This Row],[Qty A]],0)</f>
        <v>800000</v>
      </c>
      <c r="I955" s="36">
        <f>IFERROR(INDEX(Katalog!$D$3:$D$12,MATCH(cadangan3[[#This Row],[Item A]],Katalog!$B$3:$B$12,0))*cadangan3[[#This Row],[Qty A]],0)</f>
        <v>800000</v>
      </c>
      <c r="J955" s="36">
        <f>IFERROR(cadangan3[[#This Row],[Harga Asli A]]-(cadangan3[[#This Row],[Harga Asli A]]*cadangan3[[#This Row],[Diskon]]),cadangan3[[#This Row],[Harga Asli A]])</f>
        <v>720000</v>
      </c>
      <c r="K955" s="36">
        <f>INDEX(Katalog!$F$3:$F$12,MATCH(cadangan3[[#This Row],[ItemID A]],Katalog!$C$3:$C$12,0))*cadangan3[[#This Row],[Qty A]]</f>
        <v>300000</v>
      </c>
      <c r="L955" s="36">
        <f>IFERROR(cadangan3[[#This Row],[Profit A]]-(cadangan3[[#This Row],[Profit A]]*cadangan3[[#This Row],[Diskon]]),K955)</f>
        <v>270000</v>
      </c>
      <c r="M955" t="s">
        <v>64</v>
      </c>
      <c r="N955" t="str">
        <f>IFERROR(INDEX(Katalog!$A$3:$A$12,MATCH(cadangan3[[#This Row],[ItemID B]],Katalog!$C$3:$C$12,0)),"-")</f>
        <v>Pakaian Unisex</v>
      </c>
      <c r="O955" t="str">
        <f>IFERROR(INDEX(Katalog!$B$3:$B$12,MATCH(cadangan3[[#This Row],[ItemID B]],Katalog!$C$3:$C$12,0)),"-")</f>
        <v>Jaket Hoodie</v>
      </c>
      <c r="P955">
        <v>1</v>
      </c>
      <c r="Q955">
        <v>1</v>
      </c>
      <c r="R955" s="36">
        <f>IFERROR(INDEX(Katalog!$D$3:$D$12,MATCH(cadangan3[[#This Row],[ItemID B]],Katalog!$C$3:$C$12,0))*cadangan3[[#This Row],[Qty B]],0)</f>
        <v>350000</v>
      </c>
      <c r="S955" s="36">
        <f>IFERROR(INDEX(Katalog!$D$3:$D$12,MATCH(cadangan3[[#This Row],[Item B]],Katalog!$B$3:$B$12,0))*cadangan3[[#This Row],[Qty B]],0)</f>
        <v>350000</v>
      </c>
      <c r="T955" s="36">
        <f>IFERROR(cadangan3[[#This Row],[Harga Asli B]]-(cadangan3[[#This Row],[Harga Asli B]]*cadangan3[[#This Row],[Diskon]]),cadangan3[[#This Row],[Harga Asli B]])</f>
        <v>315000</v>
      </c>
      <c r="U955" s="36">
        <f>IFERROR(INDEX(Katalog!$F$3:$F$12,MATCH(cadangan3[[#This Row],[ItemID B]],Katalog!$C$3:$C$12,0))*cadangan3[[#This Row],[Qty B]],0)</f>
        <v>130000</v>
      </c>
      <c r="V955" s="36">
        <f>IFERROR(cadangan3[[#This Row],[Profit B]]-(cadangan3[[#This Row],[Profit B]]*cadangan3[[#This Row],[Diskon]]),U955)</f>
        <v>117000</v>
      </c>
      <c r="X955" t="str">
        <f>IFERROR(INDEX(Katalog!$A$3:$A$12,MATCH(cadangan3[[#This Row],[ItemID C]],Katalog!$C$3:$C$12,0)),"-")</f>
        <v>-</v>
      </c>
      <c r="Y955" t="str">
        <f>IFERROR(INDEX(Katalog!$B$3:$B$12,MATCH(cadangan3[[#This Row],[ItemID C]],Katalog!$C$3:$C$12,0)),"-")</f>
        <v>-</v>
      </c>
      <c r="AB955" s="36">
        <f>IFERROR(INDEX(Katalog!$D$3:$D$12,MATCH(cadangan3[[#This Row],[ItemID C]],Katalog!$C$3:$C$12,0))*cadangan3[[#This Row],[Qty C]],0)</f>
        <v>0</v>
      </c>
      <c r="AC955" s="36">
        <f>IFERROR(INDEX(Katalog!$D$3:$D$12,MATCH(cadangan3[[#This Row],[Item C]],Katalog!$B$3:$B$12,0))*cadangan3[[#This Row],[Qty C]],0)</f>
        <v>0</v>
      </c>
      <c r="AD955" s="36">
        <f>IFERROR(cadangan3[[#This Row],[Harga Asli C]]-(cadangan3[[#This Row],[Harga Asli C]]*cadangan3[[#This Row],[Diskon]]),cadangan3[[#This Row],[Harga Asli C]])</f>
        <v>0</v>
      </c>
      <c r="AE955" s="36">
        <f>IFERROR(INDEX(Katalog!$F$3:$F$12,MATCH(cadangan3[[#This Row],[ItemID C]],Katalog!$C$3:$C$12,0))*cadangan3[[#This Row],[Qty C]],0)</f>
        <v>0</v>
      </c>
      <c r="AF955" s="36">
        <f>IFERROR(cadangan3[[#This Row],[Profit C]]-(cadangan3[[#This Row],[Profit C]]*cadangan3[[#This Row],[Diskon]]),cadangan3[[#This Row],[Profit C]])</f>
        <v>0</v>
      </c>
      <c r="AG955" s="21">
        <f>cadangan3[[#This Row],[Qty A]]+cadangan3[[#This Row],[Qty B]]+cadangan3[[#This Row],[Qty C]]</f>
        <v>3</v>
      </c>
      <c r="AH955" s="35">
        <f>cadangan3[[#This Row],[Harga A + Diskon]]+cadangan3[[#This Row],[Harga + Diskon B]]+cadangan3[[#This Row],[Harga + Diskon C]]</f>
        <v>1035000</v>
      </c>
      <c r="AI955" s="35">
        <f>(cadangan3[[#This Row],[Profit A]]+cadangan3[[#This Row],[Profit B]]+cadangan3[[#This Row],[Profit C]])</f>
        <v>430000</v>
      </c>
      <c r="AJ955" s="35">
        <f>cadangan3[[#This Row],[Provit A + Diskon]]+cadangan3[[#This Row],[Provit B + Diskon]]+cadangan3[[#This Row],[Provit C + Diskon]]</f>
        <v>387000</v>
      </c>
      <c r="AK955" s="23" t="s">
        <v>31</v>
      </c>
      <c r="AL955" s="37">
        <f>IFERROR(INDEX('Kode Diskon'!$D$3:$D$9,MATCH(cadangan3[[#This Row],[Kode diskon]],'Kode Diskon'!$C$3:$C$9,0)),"-")</f>
        <v>0.1</v>
      </c>
      <c r="AM955" s="23" t="s">
        <v>9</v>
      </c>
      <c r="AN955" s="23" t="s">
        <v>10</v>
      </c>
      <c r="AO955" s="23" t="s">
        <v>75</v>
      </c>
      <c r="AP955" s="24">
        <v>45036</v>
      </c>
      <c r="AQ955" s="23" t="str">
        <f>TEXT(cadangan3[[#This Row],[Tanggal terjual]],"dddd")</f>
        <v>Thursday</v>
      </c>
    </row>
    <row r="956" spans="1:43" x14ac:dyDescent="0.2">
      <c r="A956" s="20">
        <v>955</v>
      </c>
      <c r="B956" s="21" t="str">
        <f>_xlfn.CONCAT("ORD-",INDEX(Helper!$B$2:$B$5,MATCH(cadangan3[[#This Row],[Marketplace]],Helper!$A$2:$A$5,0)),TEXT(cadangan3[[#This Row],[No]],"0000"),"-",TEXT(cadangan3[[#This Row],[Tanggal terjual]],"dd/mm/yy"))</f>
        <v>ORD-TK0955-04/04/23</v>
      </c>
      <c r="C956" t="s">
        <v>66</v>
      </c>
      <c r="D956" t="str">
        <f>IFERROR(INDEX(Katalog!$A$3:$A$12,MATCH(cadangan3[[#This Row],[ItemID A]],Katalog!$C$3:$C$12,0)),"-")</f>
        <v>Sepatu Pria</v>
      </c>
      <c r="E956" t="str">
        <f>IFERROR(INDEX(Katalog!$B$3:$B$12,MATCH(cadangan3[[#This Row],[ItemID A]],Katalog!$C$3:$C$12,0)),"-")</f>
        <v>Sandal Slip On</v>
      </c>
      <c r="F956">
        <v>1</v>
      </c>
      <c r="G956">
        <v>3</v>
      </c>
      <c r="H956" s="36">
        <f>IFERROR(INDEX(Katalog!$D$3:$D$12,MATCH(cadangan3[[#This Row],[ItemID A]],Katalog!$C$3:$C$12,0))*cadangan3[[#This Row],[Qty A]],0)</f>
        <v>150000</v>
      </c>
      <c r="I956" s="36">
        <f>IFERROR(INDEX(Katalog!$D$3:$D$12,MATCH(cadangan3[[#This Row],[Item A]],Katalog!$B$3:$B$12,0))*cadangan3[[#This Row],[Qty A]],0)</f>
        <v>150000</v>
      </c>
      <c r="J956" s="36">
        <f>IFERROR(cadangan3[[#This Row],[Harga Asli A]]-(cadangan3[[#This Row],[Harga Asli A]]*cadangan3[[#This Row],[Diskon]]),cadangan3[[#This Row],[Harga Asli A]])</f>
        <v>135000</v>
      </c>
      <c r="K956" s="36">
        <f>INDEX(Katalog!$F$3:$F$12,MATCH(cadangan3[[#This Row],[ItemID A]],Katalog!$C$3:$C$12,0))*cadangan3[[#This Row],[Qty A]]</f>
        <v>60000</v>
      </c>
      <c r="L956" s="36">
        <f>IFERROR(cadangan3[[#This Row],[Profit A]]-(cadangan3[[#This Row],[Profit A]]*cadangan3[[#This Row],[Diskon]]),K956)</f>
        <v>54000</v>
      </c>
      <c r="M956" t="s">
        <v>62</v>
      </c>
      <c r="N956" t="str">
        <f>IFERROR(INDEX(Katalog!$A$3:$A$12,MATCH(cadangan3[[#This Row],[ItemID B]],Katalog!$C$3:$C$12,0)),"-")</f>
        <v>Pakaian Pria</v>
      </c>
      <c r="O956" t="str">
        <f>IFERROR(INDEX(Katalog!$B$3:$B$12,MATCH(cadangan3[[#This Row],[ItemID B]],Katalog!$C$3:$C$12,0)),"-")</f>
        <v>Celana Pendek</v>
      </c>
      <c r="P956">
        <v>3</v>
      </c>
      <c r="Q956">
        <v>2</v>
      </c>
      <c r="R956" s="36">
        <f>IFERROR(INDEX(Katalog!$D$3:$D$12,MATCH(cadangan3[[#This Row],[ItemID B]],Katalog!$C$3:$C$12,0))*cadangan3[[#This Row],[Qty B]],0)</f>
        <v>540000</v>
      </c>
      <c r="S956" s="36">
        <f>IFERROR(INDEX(Katalog!$D$3:$D$12,MATCH(cadangan3[[#This Row],[Item B]],Katalog!$B$3:$B$12,0))*cadangan3[[#This Row],[Qty B]],0)</f>
        <v>540000</v>
      </c>
      <c r="T956" s="36">
        <f>IFERROR(cadangan3[[#This Row],[Harga Asli B]]-(cadangan3[[#This Row],[Harga Asli B]]*cadangan3[[#This Row],[Diskon]]),cadangan3[[#This Row],[Harga Asli B]])</f>
        <v>486000</v>
      </c>
      <c r="U956" s="36">
        <f>IFERROR(INDEX(Katalog!$F$3:$F$12,MATCH(cadangan3[[#This Row],[ItemID B]],Katalog!$C$3:$C$12,0))*cadangan3[[#This Row],[Qty B]],0)</f>
        <v>210000</v>
      </c>
      <c r="V956" s="36">
        <f>IFERROR(cadangan3[[#This Row],[Profit B]]-(cadangan3[[#This Row],[Profit B]]*cadangan3[[#This Row],[Diskon]]),U956)</f>
        <v>189000</v>
      </c>
      <c r="W956" t="s">
        <v>67</v>
      </c>
      <c r="X956" t="str">
        <f>IFERROR(INDEX(Katalog!$A$3:$A$12,MATCH(cadangan3[[#This Row],[ItemID C]],Katalog!$C$3:$C$12,0)),"-")</f>
        <v>Sepatu Wanita</v>
      </c>
      <c r="Y956" t="str">
        <f>IFERROR(INDEX(Katalog!$B$3:$B$12,MATCH(cadangan3[[#This Row],[ItemID C]],Katalog!$C$3:$C$12,0)),"-")</f>
        <v>Flat Shoes</v>
      </c>
      <c r="Z956">
        <v>1</v>
      </c>
      <c r="AA956">
        <v>1</v>
      </c>
      <c r="AB956" s="36">
        <f>IFERROR(INDEX(Katalog!$D$3:$D$12,MATCH(cadangan3[[#This Row],[ItemID C]],Katalog!$C$3:$C$12,0))*cadangan3[[#This Row],[Qty C]],0)</f>
        <v>250000</v>
      </c>
      <c r="AC956" s="36">
        <f>IFERROR(INDEX(Katalog!$D$3:$D$12,MATCH(cadangan3[[#This Row],[Item C]],Katalog!$B$3:$B$12,0))*cadangan3[[#This Row],[Qty C]],0)</f>
        <v>250000</v>
      </c>
      <c r="AD956" s="36">
        <f>IFERROR(cadangan3[[#This Row],[Harga Asli C]]-(cadangan3[[#This Row],[Harga Asli C]]*cadangan3[[#This Row],[Diskon]]),cadangan3[[#This Row],[Harga Asli C]])</f>
        <v>225000</v>
      </c>
      <c r="AE956" s="36">
        <f>IFERROR(INDEX(Katalog!$F$3:$F$12,MATCH(cadangan3[[#This Row],[ItemID C]],Katalog!$C$3:$C$12,0))*cadangan3[[#This Row],[Qty C]],0)</f>
        <v>100000</v>
      </c>
      <c r="AF956" s="36">
        <f>IFERROR(cadangan3[[#This Row],[Profit C]]-(cadangan3[[#This Row],[Profit C]]*cadangan3[[#This Row],[Diskon]]),cadangan3[[#This Row],[Profit C]])</f>
        <v>90000</v>
      </c>
      <c r="AG956" s="21">
        <f>cadangan3[[#This Row],[Qty A]]+cadangan3[[#This Row],[Qty B]]+cadangan3[[#This Row],[Qty C]]</f>
        <v>5</v>
      </c>
      <c r="AH956" s="35">
        <f>cadangan3[[#This Row],[Harga A + Diskon]]+cadangan3[[#This Row],[Harga + Diskon B]]+cadangan3[[#This Row],[Harga + Diskon C]]</f>
        <v>846000</v>
      </c>
      <c r="AI956" s="35">
        <f>(cadangan3[[#This Row],[Profit A]]+cadangan3[[#This Row],[Profit B]]+cadangan3[[#This Row],[Profit C]])</f>
        <v>370000</v>
      </c>
      <c r="AJ956" s="35">
        <f>cadangan3[[#This Row],[Provit A + Diskon]]+cadangan3[[#This Row],[Provit B + Diskon]]+cadangan3[[#This Row],[Provit C + Diskon]]</f>
        <v>333000</v>
      </c>
      <c r="AK956" s="23" t="s">
        <v>30</v>
      </c>
      <c r="AL956" s="37">
        <f>IFERROR(INDEX('Kode Diskon'!$D$3:$D$9,MATCH(cadangan3[[#This Row],[Kode diskon]],'Kode Diskon'!$C$3:$C$9,0)),"-")</f>
        <v>0.1</v>
      </c>
      <c r="AM956" s="23" t="s">
        <v>29</v>
      </c>
      <c r="AN956" s="23" t="s">
        <v>10</v>
      </c>
      <c r="AO956" s="23" t="s">
        <v>76</v>
      </c>
      <c r="AP956" s="24">
        <v>45020</v>
      </c>
      <c r="AQ956" s="23" t="str">
        <f>TEXT(cadangan3[[#This Row],[Tanggal terjual]],"dddd")</f>
        <v>Tuesday</v>
      </c>
    </row>
    <row r="957" spans="1:43" x14ac:dyDescent="0.2">
      <c r="A957" s="20">
        <v>956</v>
      </c>
      <c r="B957" s="21" t="str">
        <f>_xlfn.CONCAT("ORD-",INDEX(Helper!$B$2:$B$5,MATCH(cadangan3[[#This Row],[Marketplace]],Helper!$A$2:$A$5,0)),TEXT(cadangan3[[#This Row],[No]],"0000"),"-",TEXT(cadangan3[[#This Row],[Tanggal terjual]],"dd/mm/yy"))</f>
        <v>ORD-TK0956-19/04/23</v>
      </c>
      <c r="C957" t="s">
        <v>66</v>
      </c>
      <c r="D957" t="str">
        <f>IFERROR(INDEX(Katalog!$A$3:$A$12,MATCH(cadangan3[[#This Row],[ItemID A]],Katalog!$C$3:$C$12,0)),"-")</f>
        <v>Sepatu Pria</v>
      </c>
      <c r="E957" t="str">
        <f>IFERROR(INDEX(Katalog!$B$3:$B$12,MATCH(cadangan3[[#This Row],[ItemID A]],Katalog!$C$3:$C$12,0)),"-")</f>
        <v>Sandal Slip On</v>
      </c>
      <c r="F957">
        <v>2</v>
      </c>
      <c r="G957">
        <v>5</v>
      </c>
      <c r="H957" s="36">
        <f>IFERROR(INDEX(Katalog!$D$3:$D$12,MATCH(cadangan3[[#This Row],[ItemID A]],Katalog!$C$3:$C$12,0))*cadangan3[[#This Row],[Qty A]],0)</f>
        <v>300000</v>
      </c>
      <c r="I957" s="36">
        <f>IFERROR(INDEX(Katalog!$D$3:$D$12,MATCH(cadangan3[[#This Row],[Item A]],Katalog!$B$3:$B$12,0))*cadangan3[[#This Row],[Qty A]],0)</f>
        <v>300000</v>
      </c>
      <c r="J957" s="36">
        <f>IFERROR(cadangan3[[#This Row],[Harga Asli A]]-(cadangan3[[#This Row],[Harga Asli A]]*cadangan3[[#This Row],[Diskon]]),cadangan3[[#This Row],[Harga Asli A]])</f>
        <v>270000</v>
      </c>
      <c r="K957" s="36">
        <f>INDEX(Katalog!$F$3:$F$12,MATCH(cadangan3[[#This Row],[ItemID A]],Katalog!$C$3:$C$12,0))*cadangan3[[#This Row],[Qty A]]</f>
        <v>120000</v>
      </c>
      <c r="L957" s="36">
        <f>IFERROR(cadangan3[[#This Row],[Profit A]]-(cadangan3[[#This Row],[Profit A]]*cadangan3[[#This Row],[Diskon]]),K957)</f>
        <v>108000</v>
      </c>
      <c r="M957" t="s">
        <v>62</v>
      </c>
      <c r="N957" t="str">
        <f>IFERROR(INDEX(Katalog!$A$3:$A$12,MATCH(cadangan3[[#This Row],[ItemID B]],Katalog!$C$3:$C$12,0)),"-")</f>
        <v>Pakaian Pria</v>
      </c>
      <c r="O957" t="str">
        <f>IFERROR(INDEX(Katalog!$B$3:$B$12,MATCH(cadangan3[[#This Row],[ItemID B]],Katalog!$C$3:$C$12,0)),"-")</f>
        <v>Celana Pendek</v>
      </c>
      <c r="P957">
        <v>1</v>
      </c>
      <c r="Q957">
        <v>4</v>
      </c>
      <c r="R957" s="36">
        <f>IFERROR(INDEX(Katalog!$D$3:$D$12,MATCH(cadangan3[[#This Row],[ItemID B]],Katalog!$C$3:$C$12,0))*cadangan3[[#This Row],[Qty B]],0)</f>
        <v>180000</v>
      </c>
      <c r="S957" s="36">
        <f>IFERROR(INDEX(Katalog!$D$3:$D$12,MATCH(cadangan3[[#This Row],[Item B]],Katalog!$B$3:$B$12,0))*cadangan3[[#This Row],[Qty B]],0)</f>
        <v>180000</v>
      </c>
      <c r="T957" s="36">
        <f>IFERROR(cadangan3[[#This Row],[Harga Asli B]]-(cadangan3[[#This Row],[Harga Asli B]]*cadangan3[[#This Row],[Diskon]]),cadangan3[[#This Row],[Harga Asli B]])</f>
        <v>162000</v>
      </c>
      <c r="U957" s="36">
        <f>IFERROR(INDEX(Katalog!$F$3:$F$12,MATCH(cadangan3[[#This Row],[ItemID B]],Katalog!$C$3:$C$12,0))*cadangan3[[#This Row],[Qty B]],0)</f>
        <v>70000</v>
      </c>
      <c r="V957" s="36">
        <f>IFERROR(cadangan3[[#This Row],[Profit B]]-(cadangan3[[#This Row],[Profit B]]*cadangan3[[#This Row],[Diskon]]),U957)</f>
        <v>63000</v>
      </c>
      <c r="W957" t="s">
        <v>63</v>
      </c>
      <c r="X957" t="str">
        <f>IFERROR(INDEX(Katalog!$A$3:$A$12,MATCH(cadangan3[[#This Row],[ItemID C]],Katalog!$C$3:$C$12,0)),"-")</f>
        <v>Pakaian Pria</v>
      </c>
      <c r="Y957" t="str">
        <f>IFERROR(INDEX(Katalog!$B$3:$B$12,MATCH(cadangan3[[#This Row],[ItemID C]],Katalog!$C$3:$C$12,0)),"-")</f>
        <v>Jaket Jeans</v>
      </c>
      <c r="Z957">
        <v>2</v>
      </c>
      <c r="AA957">
        <v>4</v>
      </c>
      <c r="AB957" s="36">
        <f>IFERROR(INDEX(Katalog!$D$3:$D$12,MATCH(cadangan3[[#This Row],[ItemID C]],Katalog!$C$3:$C$12,0))*cadangan3[[#This Row],[Qty C]],0)</f>
        <v>800000</v>
      </c>
      <c r="AC957" s="36">
        <f>IFERROR(INDEX(Katalog!$D$3:$D$12,MATCH(cadangan3[[#This Row],[Item C]],Katalog!$B$3:$B$12,0))*cadangan3[[#This Row],[Qty C]],0)</f>
        <v>800000</v>
      </c>
      <c r="AD957" s="36">
        <f>IFERROR(cadangan3[[#This Row],[Harga Asli C]]-(cadangan3[[#This Row],[Harga Asli C]]*cadangan3[[#This Row],[Diskon]]),cadangan3[[#This Row],[Harga Asli C]])</f>
        <v>720000</v>
      </c>
      <c r="AE957" s="36">
        <f>IFERROR(INDEX(Katalog!$F$3:$F$12,MATCH(cadangan3[[#This Row],[ItemID C]],Katalog!$C$3:$C$12,0))*cadangan3[[#This Row],[Qty C]],0)</f>
        <v>300000</v>
      </c>
      <c r="AF957" s="36">
        <f>IFERROR(cadangan3[[#This Row],[Profit C]]-(cadangan3[[#This Row],[Profit C]]*cadangan3[[#This Row],[Diskon]]),cadangan3[[#This Row],[Profit C]])</f>
        <v>270000</v>
      </c>
      <c r="AG957" s="21">
        <f>cadangan3[[#This Row],[Qty A]]+cadangan3[[#This Row],[Qty B]]+cadangan3[[#This Row],[Qty C]]</f>
        <v>5</v>
      </c>
      <c r="AH957" s="35">
        <f>cadangan3[[#This Row],[Harga A + Diskon]]+cadangan3[[#This Row],[Harga + Diskon B]]+cadangan3[[#This Row],[Harga + Diskon C]]</f>
        <v>1152000</v>
      </c>
      <c r="AI957" s="35">
        <f>(cadangan3[[#This Row],[Profit A]]+cadangan3[[#This Row],[Profit B]]+cadangan3[[#This Row],[Profit C]])</f>
        <v>490000</v>
      </c>
      <c r="AJ957" s="35">
        <f>cadangan3[[#This Row],[Provit A + Diskon]]+cadangan3[[#This Row],[Provit B + Diskon]]+cadangan3[[#This Row],[Provit C + Diskon]]</f>
        <v>441000</v>
      </c>
      <c r="AK957" s="23" t="s">
        <v>31</v>
      </c>
      <c r="AL957" s="37">
        <f>IFERROR(INDEX('Kode Diskon'!$D$3:$D$9,MATCH(cadangan3[[#This Row],[Kode diskon]],'Kode Diskon'!$C$3:$C$9,0)),"-")</f>
        <v>0.1</v>
      </c>
      <c r="AM957" s="23" t="s">
        <v>9</v>
      </c>
      <c r="AN957" s="23" t="s">
        <v>10</v>
      </c>
      <c r="AO957" s="23" t="s">
        <v>79</v>
      </c>
      <c r="AP957" s="24">
        <v>45035</v>
      </c>
      <c r="AQ957" s="23" t="str">
        <f>TEXT(cadangan3[[#This Row],[Tanggal terjual]],"dddd")</f>
        <v>Wednesday</v>
      </c>
    </row>
    <row r="958" spans="1:43" x14ac:dyDescent="0.2">
      <c r="A958" s="20">
        <v>957</v>
      </c>
      <c r="B958" s="21" t="str">
        <f>_xlfn.CONCAT("ORD-",INDEX(Helper!$B$2:$B$5,MATCH(cadangan3[[#This Row],[Marketplace]],Helper!$A$2:$A$5,0)),TEXT(cadangan3[[#This Row],[No]],"0000"),"-",TEXT(cadangan3[[#This Row],[Tanggal terjual]],"dd/mm/yy"))</f>
        <v>ORD-BL0957-16/04/23</v>
      </c>
      <c r="C958" t="s">
        <v>67</v>
      </c>
      <c r="D958" t="str">
        <f>IFERROR(INDEX(Katalog!$A$3:$A$12,MATCH(cadangan3[[#This Row],[ItemID A]],Katalog!$C$3:$C$12,0)),"-")</f>
        <v>Sepatu Wanita</v>
      </c>
      <c r="E958" t="str">
        <f>IFERROR(INDEX(Katalog!$B$3:$B$12,MATCH(cadangan3[[#This Row],[ItemID A]],Katalog!$C$3:$C$12,0)),"-")</f>
        <v>Flat Shoes</v>
      </c>
      <c r="F958">
        <v>5</v>
      </c>
      <c r="G958">
        <v>4</v>
      </c>
      <c r="H958" s="36">
        <f>IFERROR(INDEX(Katalog!$D$3:$D$12,MATCH(cadangan3[[#This Row],[ItemID A]],Katalog!$C$3:$C$12,0))*cadangan3[[#This Row],[Qty A]],0)</f>
        <v>1250000</v>
      </c>
      <c r="I958" s="36">
        <f>IFERROR(INDEX(Katalog!$D$3:$D$12,MATCH(cadangan3[[#This Row],[Item A]],Katalog!$B$3:$B$12,0))*cadangan3[[#This Row],[Qty A]],0)</f>
        <v>1250000</v>
      </c>
      <c r="J958" s="36">
        <f>IFERROR(cadangan3[[#This Row],[Harga Asli A]]-(cadangan3[[#This Row],[Harga Asli A]]*cadangan3[[#This Row],[Diskon]]),cadangan3[[#This Row],[Harga Asli A]])</f>
        <v>1062500</v>
      </c>
      <c r="K958" s="36">
        <f>INDEX(Katalog!$F$3:$F$12,MATCH(cadangan3[[#This Row],[ItemID A]],Katalog!$C$3:$C$12,0))*cadangan3[[#This Row],[Qty A]]</f>
        <v>500000</v>
      </c>
      <c r="L958" s="36">
        <f>IFERROR(cadangan3[[#This Row],[Profit A]]-(cadangan3[[#This Row],[Profit A]]*cadangan3[[#This Row],[Diskon]]),K958)</f>
        <v>425000</v>
      </c>
      <c r="M958" t="s">
        <v>67</v>
      </c>
      <c r="N958" t="str">
        <f>IFERROR(INDEX(Katalog!$A$3:$A$12,MATCH(cadangan3[[#This Row],[ItemID B]],Katalog!$C$3:$C$12,0)),"-")</f>
        <v>Sepatu Wanita</v>
      </c>
      <c r="O958" t="str">
        <f>IFERROR(INDEX(Katalog!$B$3:$B$12,MATCH(cadangan3[[#This Row],[ItemID B]],Katalog!$C$3:$C$12,0)),"-")</f>
        <v>Flat Shoes</v>
      </c>
      <c r="P958">
        <v>1</v>
      </c>
      <c r="Q958">
        <v>2</v>
      </c>
      <c r="R958" s="36">
        <f>IFERROR(INDEX(Katalog!$D$3:$D$12,MATCH(cadangan3[[#This Row],[ItemID B]],Katalog!$C$3:$C$12,0))*cadangan3[[#This Row],[Qty B]],0)</f>
        <v>250000</v>
      </c>
      <c r="S958" s="36">
        <f>IFERROR(INDEX(Katalog!$D$3:$D$12,MATCH(cadangan3[[#This Row],[Item B]],Katalog!$B$3:$B$12,0))*cadangan3[[#This Row],[Qty B]],0)</f>
        <v>250000</v>
      </c>
      <c r="T958" s="36">
        <f>IFERROR(cadangan3[[#This Row],[Harga Asli B]]-(cadangan3[[#This Row],[Harga Asli B]]*cadangan3[[#This Row],[Diskon]]),cadangan3[[#This Row],[Harga Asli B]])</f>
        <v>212500</v>
      </c>
      <c r="U958" s="36">
        <f>IFERROR(INDEX(Katalog!$F$3:$F$12,MATCH(cadangan3[[#This Row],[ItemID B]],Katalog!$C$3:$C$12,0))*cadangan3[[#This Row],[Qty B]],0)</f>
        <v>100000</v>
      </c>
      <c r="V958" s="36">
        <f>IFERROR(cadangan3[[#This Row],[Profit B]]-(cadangan3[[#This Row],[Profit B]]*cadangan3[[#This Row],[Diskon]]),U958)</f>
        <v>85000</v>
      </c>
      <c r="X958" t="str">
        <f>IFERROR(INDEX(Katalog!$A$3:$A$12,MATCH(cadangan3[[#This Row],[ItemID C]],Katalog!$C$3:$C$12,0)),"-")</f>
        <v>-</v>
      </c>
      <c r="Y958" t="str">
        <f>IFERROR(INDEX(Katalog!$B$3:$B$12,MATCH(cadangan3[[#This Row],[ItemID C]],Katalog!$C$3:$C$12,0)),"-")</f>
        <v>-</v>
      </c>
      <c r="AB958" s="36">
        <f>IFERROR(INDEX(Katalog!$D$3:$D$12,MATCH(cadangan3[[#This Row],[ItemID C]],Katalog!$C$3:$C$12,0))*cadangan3[[#This Row],[Qty C]],0)</f>
        <v>0</v>
      </c>
      <c r="AC958" s="36">
        <f>IFERROR(INDEX(Katalog!$D$3:$D$12,MATCH(cadangan3[[#This Row],[Item C]],Katalog!$B$3:$B$12,0))*cadangan3[[#This Row],[Qty C]],0)</f>
        <v>0</v>
      </c>
      <c r="AD958" s="36">
        <f>IFERROR(cadangan3[[#This Row],[Harga Asli C]]-(cadangan3[[#This Row],[Harga Asli C]]*cadangan3[[#This Row],[Diskon]]),cadangan3[[#This Row],[Harga Asli C]])</f>
        <v>0</v>
      </c>
      <c r="AE958" s="36">
        <f>IFERROR(INDEX(Katalog!$F$3:$F$12,MATCH(cadangan3[[#This Row],[ItemID C]],Katalog!$C$3:$C$12,0))*cadangan3[[#This Row],[Qty C]],0)</f>
        <v>0</v>
      </c>
      <c r="AF958" s="36">
        <f>IFERROR(cadangan3[[#This Row],[Profit C]]-(cadangan3[[#This Row],[Profit C]]*cadangan3[[#This Row],[Diskon]]),cadangan3[[#This Row],[Profit C]])</f>
        <v>0</v>
      </c>
      <c r="AG958" s="21">
        <f>cadangan3[[#This Row],[Qty A]]+cadangan3[[#This Row],[Qty B]]+cadangan3[[#This Row],[Qty C]]</f>
        <v>6</v>
      </c>
      <c r="AH958" s="35">
        <f>cadangan3[[#This Row],[Harga A + Diskon]]+cadangan3[[#This Row],[Harga + Diskon B]]+cadangan3[[#This Row],[Harga + Diskon C]]</f>
        <v>1275000</v>
      </c>
      <c r="AI958" s="35">
        <f>(cadangan3[[#This Row],[Profit A]]+cadangan3[[#This Row],[Profit B]]+cadangan3[[#This Row],[Profit C]])</f>
        <v>600000</v>
      </c>
      <c r="AJ958" s="35">
        <f>cadangan3[[#This Row],[Provit A + Diskon]]+cadangan3[[#This Row],[Provit B + Diskon]]+cadangan3[[#This Row],[Provit C + Diskon]]</f>
        <v>510000</v>
      </c>
      <c r="AK958" s="23" t="s">
        <v>32</v>
      </c>
      <c r="AL958" s="37">
        <f>IFERROR(INDEX('Kode Diskon'!$D$3:$D$9,MATCH(cadangan3[[#This Row],[Kode diskon]],'Kode Diskon'!$C$3:$C$9,0)),"-")</f>
        <v>0.15</v>
      </c>
      <c r="AM958" s="23" t="s">
        <v>9</v>
      </c>
      <c r="AN958" s="23" t="s">
        <v>12</v>
      </c>
      <c r="AO958" s="23" t="s">
        <v>80</v>
      </c>
      <c r="AP958" s="24">
        <v>45032</v>
      </c>
      <c r="AQ958" s="23" t="str">
        <f>TEXT(cadangan3[[#This Row],[Tanggal terjual]],"dddd")</f>
        <v>Sunday</v>
      </c>
    </row>
    <row r="959" spans="1:43" x14ac:dyDescent="0.2">
      <c r="A959" s="20">
        <v>958</v>
      </c>
      <c r="B959" s="21" t="str">
        <f>_xlfn.CONCAT("ORD-",INDEX(Helper!$B$2:$B$5,MATCH(cadangan3[[#This Row],[Marketplace]],Helper!$A$2:$A$5,0)),TEXT(cadangan3[[#This Row],[No]],"0000"),"-",TEXT(cadangan3[[#This Row],[Tanggal terjual]],"dd/mm/yy"))</f>
        <v>ORD-TK0958-26/04/23</v>
      </c>
      <c r="C959" t="s">
        <v>65</v>
      </c>
      <c r="D959" t="str">
        <f>IFERROR(INDEX(Katalog!$A$3:$A$12,MATCH(cadangan3[[#This Row],[ItemID A]],Katalog!$C$3:$C$12,0)),"-")</f>
        <v>Sepatu Pria</v>
      </c>
      <c r="E959" t="str">
        <f>IFERROR(INDEX(Katalog!$B$3:$B$12,MATCH(cadangan3[[#This Row],[ItemID A]],Katalog!$C$3:$C$12,0)),"-")</f>
        <v>Sneakers</v>
      </c>
      <c r="F959">
        <v>6</v>
      </c>
      <c r="G959">
        <v>2</v>
      </c>
      <c r="H959" s="36">
        <f>IFERROR(INDEX(Katalog!$D$3:$D$12,MATCH(cadangan3[[#This Row],[ItemID A]],Katalog!$C$3:$C$12,0))*cadangan3[[#This Row],[Qty A]],0)</f>
        <v>3000000</v>
      </c>
      <c r="I959" s="36">
        <f>IFERROR(INDEX(Katalog!$D$3:$D$12,MATCH(cadangan3[[#This Row],[Item A]],Katalog!$B$3:$B$12,0))*cadangan3[[#This Row],[Qty A]],0)</f>
        <v>3000000</v>
      </c>
      <c r="J959" s="36">
        <f>IFERROR(cadangan3[[#This Row],[Harga Asli A]]-(cadangan3[[#This Row],[Harga Asli A]]*cadangan3[[#This Row],[Diskon]]),cadangan3[[#This Row],[Harga Asli A]])</f>
        <v>2700000</v>
      </c>
      <c r="K959" s="36">
        <f>INDEX(Katalog!$F$3:$F$12,MATCH(cadangan3[[#This Row],[ItemID A]],Katalog!$C$3:$C$12,0))*cadangan3[[#This Row],[Qty A]]</f>
        <v>1200000</v>
      </c>
      <c r="L959" s="36">
        <f>IFERROR(cadangan3[[#This Row],[Profit A]]-(cadangan3[[#This Row],[Profit A]]*cadangan3[[#This Row],[Diskon]]),K959)</f>
        <v>1080000</v>
      </c>
      <c r="M959" t="s">
        <v>63</v>
      </c>
      <c r="N959" t="str">
        <f>IFERROR(INDEX(Katalog!$A$3:$A$12,MATCH(cadangan3[[#This Row],[ItemID B]],Katalog!$C$3:$C$12,0)),"-")</f>
        <v>Pakaian Pria</v>
      </c>
      <c r="O959" t="str">
        <f>IFERROR(INDEX(Katalog!$B$3:$B$12,MATCH(cadangan3[[#This Row],[ItemID B]],Katalog!$C$3:$C$12,0)),"-")</f>
        <v>Jaket Jeans</v>
      </c>
      <c r="P959">
        <v>1</v>
      </c>
      <c r="Q959">
        <v>1</v>
      </c>
      <c r="R959" s="36">
        <f>IFERROR(INDEX(Katalog!$D$3:$D$12,MATCH(cadangan3[[#This Row],[ItemID B]],Katalog!$C$3:$C$12,0))*cadangan3[[#This Row],[Qty B]],0)</f>
        <v>400000</v>
      </c>
      <c r="S959" s="36">
        <f>IFERROR(INDEX(Katalog!$D$3:$D$12,MATCH(cadangan3[[#This Row],[Item B]],Katalog!$B$3:$B$12,0))*cadangan3[[#This Row],[Qty B]],0)</f>
        <v>400000</v>
      </c>
      <c r="T959" s="36">
        <f>IFERROR(cadangan3[[#This Row],[Harga Asli B]]-(cadangan3[[#This Row],[Harga Asli B]]*cadangan3[[#This Row],[Diskon]]),cadangan3[[#This Row],[Harga Asli B]])</f>
        <v>360000</v>
      </c>
      <c r="U959" s="36">
        <f>IFERROR(INDEX(Katalog!$F$3:$F$12,MATCH(cadangan3[[#This Row],[ItemID B]],Katalog!$C$3:$C$12,0))*cadangan3[[#This Row],[Qty B]],0)</f>
        <v>150000</v>
      </c>
      <c r="V959" s="36">
        <f>IFERROR(cadangan3[[#This Row],[Profit B]]-(cadangan3[[#This Row],[Profit B]]*cadangan3[[#This Row],[Diskon]]),U959)</f>
        <v>135000</v>
      </c>
      <c r="X959" t="str">
        <f>IFERROR(INDEX(Katalog!$A$3:$A$12,MATCH(cadangan3[[#This Row],[ItemID C]],Katalog!$C$3:$C$12,0)),"-")</f>
        <v>-</v>
      </c>
      <c r="Y959" t="str">
        <f>IFERROR(INDEX(Katalog!$B$3:$B$12,MATCH(cadangan3[[#This Row],[ItemID C]],Katalog!$C$3:$C$12,0)),"-")</f>
        <v>-</v>
      </c>
      <c r="AB959" s="36">
        <f>IFERROR(INDEX(Katalog!$D$3:$D$12,MATCH(cadangan3[[#This Row],[ItemID C]],Katalog!$C$3:$C$12,0))*cadangan3[[#This Row],[Qty C]],0)</f>
        <v>0</v>
      </c>
      <c r="AC959" s="36">
        <f>IFERROR(INDEX(Katalog!$D$3:$D$12,MATCH(cadangan3[[#This Row],[Item C]],Katalog!$B$3:$B$12,0))*cadangan3[[#This Row],[Qty C]],0)</f>
        <v>0</v>
      </c>
      <c r="AD959" s="36">
        <f>IFERROR(cadangan3[[#This Row],[Harga Asli C]]-(cadangan3[[#This Row],[Harga Asli C]]*cadangan3[[#This Row],[Diskon]]),cadangan3[[#This Row],[Harga Asli C]])</f>
        <v>0</v>
      </c>
      <c r="AE959" s="36">
        <f>IFERROR(INDEX(Katalog!$F$3:$F$12,MATCH(cadangan3[[#This Row],[ItemID C]],Katalog!$C$3:$C$12,0))*cadangan3[[#This Row],[Qty C]],0)</f>
        <v>0</v>
      </c>
      <c r="AF959" s="36">
        <f>IFERROR(cadangan3[[#This Row],[Profit C]]-(cadangan3[[#This Row],[Profit C]]*cadangan3[[#This Row],[Diskon]]),cadangan3[[#This Row],[Profit C]])</f>
        <v>0</v>
      </c>
      <c r="AG959" s="21">
        <f>cadangan3[[#This Row],[Qty A]]+cadangan3[[#This Row],[Qty B]]+cadangan3[[#This Row],[Qty C]]</f>
        <v>7</v>
      </c>
      <c r="AH959" s="35">
        <f>cadangan3[[#This Row],[Harga A + Diskon]]+cadangan3[[#This Row],[Harga + Diskon B]]+cadangan3[[#This Row],[Harga + Diskon C]]</f>
        <v>3060000</v>
      </c>
      <c r="AI959" s="35">
        <f>(cadangan3[[#This Row],[Profit A]]+cadangan3[[#This Row],[Profit B]]+cadangan3[[#This Row],[Profit C]])</f>
        <v>1350000</v>
      </c>
      <c r="AJ959" s="35">
        <f>cadangan3[[#This Row],[Provit A + Diskon]]+cadangan3[[#This Row],[Provit B + Diskon]]+cadangan3[[#This Row],[Provit C + Diskon]]</f>
        <v>1215000</v>
      </c>
      <c r="AK959" s="23" t="s">
        <v>31</v>
      </c>
      <c r="AL959" s="37">
        <f>IFERROR(INDEX('Kode Diskon'!$D$3:$D$9,MATCH(cadangan3[[#This Row],[Kode diskon]],'Kode Diskon'!$C$3:$C$9,0)),"-")</f>
        <v>0.1</v>
      </c>
      <c r="AM959" s="23" t="s">
        <v>9</v>
      </c>
      <c r="AN959" s="23" t="s">
        <v>10</v>
      </c>
      <c r="AO959" s="23" t="s">
        <v>75</v>
      </c>
      <c r="AP959" s="24">
        <v>45042</v>
      </c>
      <c r="AQ959" s="23" t="str">
        <f>TEXT(cadangan3[[#This Row],[Tanggal terjual]],"dddd")</f>
        <v>Wednesday</v>
      </c>
    </row>
    <row r="960" spans="1:43" x14ac:dyDescent="0.2">
      <c r="A960" s="20">
        <v>959</v>
      </c>
      <c r="B960" s="21" t="str">
        <f>_xlfn.CONCAT("ORD-",INDEX(Helper!$B$2:$B$5,MATCH(cadangan3[[#This Row],[Marketplace]],Helper!$A$2:$A$5,0)),TEXT(cadangan3[[#This Row],[No]],"0000"),"-",TEXT(cadangan3[[#This Row],[Tanggal terjual]],"dd/mm/yy"))</f>
        <v>ORD-TK0959-27/04/23</v>
      </c>
      <c r="C960" t="s">
        <v>64</v>
      </c>
      <c r="D960" t="str">
        <f>IFERROR(INDEX(Katalog!$A$3:$A$12,MATCH(cadangan3[[#This Row],[ItemID A]],Katalog!$C$3:$C$12,0)),"-")</f>
        <v>Pakaian Unisex</v>
      </c>
      <c r="E960" t="str">
        <f>IFERROR(INDEX(Katalog!$B$3:$B$12,MATCH(cadangan3[[#This Row],[ItemID A]],Katalog!$C$3:$C$12,0)),"-")</f>
        <v>Jaket Hoodie</v>
      </c>
      <c r="F960">
        <v>4</v>
      </c>
      <c r="G960">
        <v>3</v>
      </c>
      <c r="H960" s="36">
        <f>IFERROR(INDEX(Katalog!$D$3:$D$12,MATCH(cadangan3[[#This Row],[ItemID A]],Katalog!$C$3:$C$12,0))*cadangan3[[#This Row],[Qty A]],0)</f>
        <v>1400000</v>
      </c>
      <c r="I960" s="36">
        <f>IFERROR(INDEX(Katalog!$D$3:$D$12,MATCH(cadangan3[[#This Row],[Item A]],Katalog!$B$3:$B$12,0))*cadangan3[[#This Row],[Qty A]],0)</f>
        <v>1400000</v>
      </c>
      <c r="J960" s="36">
        <f>IFERROR(cadangan3[[#This Row],[Harga Asli A]]-(cadangan3[[#This Row],[Harga Asli A]]*cadangan3[[#This Row],[Diskon]]),cadangan3[[#This Row],[Harga Asli A]])</f>
        <v>1260000</v>
      </c>
      <c r="K960" s="36">
        <f>INDEX(Katalog!$F$3:$F$12,MATCH(cadangan3[[#This Row],[ItemID A]],Katalog!$C$3:$C$12,0))*cadangan3[[#This Row],[Qty A]]</f>
        <v>520000</v>
      </c>
      <c r="L960" s="36">
        <f>IFERROR(cadangan3[[#This Row],[Profit A]]-(cadangan3[[#This Row],[Profit A]]*cadangan3[[#This Row],[Diskon]]),K960)</f>
        <v>468000</v>
      </c>
      <c r="M960" t="s">
        <v>61</v>
      </c>
      <c r="N960" t="str">
        <f>IFERROR(INDEX(Katalog!$A$3:$A$12,MATCH(cadangan3[[#This Row],[ItemID B]],Katalog!$C$3:$C$12,0)),"-")</f>
        <v>Pakaian Pria</v>
      </c>
      <c r="O960" t="str">
        <f>IFERROR(INDEX(Katalog!$B$3:$B$12,MATCH(cadangan3[[#This Row],[ItemID B]],Katalog!$C$3:$C$12,0)),"-")</f>
        <v>Kaos Polo</v>
      </c>
      <c r="P960">
        <v>2</v>
      </c>
      <c r="Q960">
        <v>4</v>
      </c>
      <c r="R960" s="36">
        <f>IFERROR(INDEX(Katalog!$D$3:$D$12,MATCH(cadangan3[[#This Row],[ItemID B]],Katalog!$C$3:$C$12,0))*cadangan3[[#This Row],[Qty B]],0)</f>
        <v>400000</v>
      </c>
      <c r="S960" s="36">
        <f>IFERROR(INDEX(Katalog!$D$3:$D$12,MATCH(cadangan3[[#This Row],[Item B]],Katalog!$B$3:$B$12,0))*cadangan3[[#This Row],[Qty B]],0)</f>
        <v>400000</v>
      </c>
      <c r="T960" s="36">
        <f>IFERROR(cadangan3[[#This Row],[Harga Asli B]]-(cadangan3[[#This Row],[Harga Asli B]]*cadangan3[[#This Row],[Diskon]]),cadangan3[[#This Row],[Harga Asli B]])</f>
        <v>360000</v>
      </c>
      <c r="U960" s="36">
        <f>IFERROR(INDEX(Katalog!$F$3:$F$12,MATCH(cadangan3[[#This Row],[ItemID B]],Katalog!$C$3:$C$12,0))*cadangan3[[#This Row],[Qty B]],0)</f>
        <v>160000</v>
      </c>
      <c r="V960" s="36">
        <f>IFERROR(cadangan3[[#This Row],[Profit B]]-(cadangan3[[#This Row],[Profit B]]*cadangan3[[#This Row],[Diskon]]),U960)</f>
        <v>144000</v>
      </c>
      <c r="W960" t="s">
        <v>59</v>
      </c>
      <c r="X960" t="str">
        <f>IFERROR(INDEX(Katalog!$A$3:$A$12,MATCH(cadangan3[[#This Row],[ItemID C]],Katalog!$C$3:$C$12,0)),"-")</f>
        <v>Pakaian Wanita</v>
      </c>
      <c r="Y960" t="str">
        <f>IFERROR(INDEX(Katalog!$B$3:$B$12,MATCH(cadangan3[[#This Row],[ItemID C]],Katalog!$C$3:$C$12,0)),"-")</f>
        <v>Blouse</v>
      </c>
      <c r="Z960">
        <v>1</v>
      </c>
      <c r="AA960">
        <v>2</v>
      </c>
      <c r="AB960" s="36">
        <f>IFERROR(INDEX(Katalog!$D$3:$D$12,MATCH(cadangan3[[#This Row],[ItemID C]],Katalog!$C$3:$C$12,0))*cadangan3[[#This Row],[Qty C]],0)</f>
        <v>150000</v>
      </c>
      <c r="AC960" s="36">
        <f>IFERROR(INDEX(Katalog!$D$3:$D$12,MATCH(cadangan3[[#This Row],[Item C]],Katalog!$B$3:$B$12,0))*cadangan3[[#This Row],[Qty C]],0)</f>
        <v>150000</v>
      </c>
      <c r="AD960" s="36">
        <f>IFERROR(cadangan3[[#This Row],[Harga Asli C]]-(cadangan3[[#This Row],[Harga Asli C]]*cadangan3[[#This Row],[Diskon]]),cadangan3[[#This Row],[Harga Asli C]])</f>
        <v>135000</v>
      </c>
      <c r="AE960" s="36">
        <f>IFERROR(INDEX(Katalog!$F$3:$F$12,MATCH(cadangan3[[#This Row],[ItemID C]],Katalog!$C$3:$C$12,0))*cadangan3[[#This Row],[Qty C]],0)</f>
        <v>50000</v>
      </c>
      <c r="AF960" s="36">
        <f>IFERROR(cadangan3[[#This Row],[Profit C]]-(cadangan3[[#This Row],[Profit C]]*cadangan3[[#This Row],[Diskon]]),cadangan3[[#This Row],[Profit C]])</f>
        <v>45000</v>
      </c>
      <c r="AG960" s="21">
        <f>cadangan3[[#This Row],[Qty A]]+cadangan3[[#This Row],[Qty B]]+cadangan3[[#This Row],[Qty C]]</f>
        <v>7</v>
      </c>
      <c r="AH960" s="35">
        <f>cadangan3[[#This Row],[Harga A + Diskon]]+cadangan3[[#This Row],[Harga + Diskon B]]+cadangan3[[#This Row],[Harga + Diskon C]]</f>
        <v>1755000</v>
      </c>
      <c r="AI960" s="35">
        <f>(cadangan3[[#This Row],[Profit A]]+cadangan3[[#This Row],[Profit B]]+cadangan3[[#This Row],[Profit C]])</f>
        <v>730000</v>
      </c>
      <c r="AJ960" s="35">
        <f>cadangan3[[#This Row],[Provit A + Diskon]]+cadangan3[[#This Row],[Provit B + Diskon]]+cadangan3[[#This Row],[Provit C + Diskon]]</f>
        <v>657000</v>
      </c>
      <c r="AK960" s="23" t="s">
        <v>31</v>
      </c>
      <c r="AL960" s="37">
        <f>IFERROR(INDEX('Kode Diskon'!$D$3:$D$9,MATCH(cadangan3[[#This Row],[Kode diskon]],'Kode Diskon'!$C$3:$C$9,0)),"-")</f>
        <v>0.1</v>
      </c>
      <c r="AM960" s="23" t="s">
        <v>9</v>
      </c>
      <c r="AN960" s="23" t="s">
        <v>10</v>
      </c>
      <c r="AO960" s="23" t="s">
        <v>79</v>
      </c>
      <c r="AP960" s="24">
        <v>45043</v>
      </c>
      <c r="AQ960" s="23" t="str">
        <f>TEXT(cadangan3[[#This Row],[Tanggal terjual]],"dddd")</f>
        <v>Thursday</v>
      </c>
    </row>
    <row r="961" spans="1:43" x14ac:dyDescent="0.2">
      <c r="A961" s="20">
        <v>960</v>
      </c>
      <c r="B961" s="21" t="str">
        <f>_xlfn.CONCAT("ORD-",INDEX(Helper!$B$2:$B$5,MATCH(cadangan3[[#This Row],[Marketplace]],Helper!$A$2:$A$5,0)),TEXT(cadangan3[[#This Row],[No]],"0000"),"-",TEXT(cadangan3[[#This Row],[Tanggal terjual]],"dd/mm/yy"))</f>
        <v>ORD-SP0960-08/04/23</v>
      </c>
      <c r="C961" t="s">
        <v>62</v>
      </c>
      <c r="D961" t="str">
        <f>IFERROR(INDEX(Katalog!$A$3:$A$12,MATCH(cadangan3[[#This Row],[ItemID A]],Katalog!$C$3:$C$12,0)),"-")</f>
        <v>Pakaian Pria</v>
      </c>
      <c r="E961" t="str">
        <f>IFERROR(INDEX(Katalog!$B$3:$B$12,MATCH(cadangan3[[#This Row],[ItemID A]],Katalog!$C$3:$C$12,0)),"-")</f>
        <v>Celana Pendek</v>
      </c>
      <c r="F961">
        <v>4</v>
      </c>
      <c r="G961">
        <v>5</v>
      </c>
      <c r="H961" s="36">
        <f>IFERROR(INDEX(Katalog!$D$3:$D$12,MATCH(cadangan3[[#This Row],[ItemID A]],Katalog!$C$3:$C$12,0))*cadangan3[[#This Row],[Qty A]],0)</f>
        <v>720000</v>
      </c>
      <c r="I961" s="36">
        <f>IFERROR(INDEX(Katalog!$D$3:$D$12,MATCH(cadangan3[[#This Row],[Item A]],Katalog!$B$3:$B$12,0))*cadangan3[[#This Row],[Qty A]],0)</f>
        <v>720000</v>
      </c>
      <c r="J961" s="36">
        <f>IFERROR(cadangan3[[#This Row],[Harga Asli A]]-(cadangan3[[#This Row],[Harga Asli A]]*cadangan3[[#This Row],[Diskon]]),cadangan3[[#This Row],[Harga Asli A]])</f>
        <v>720000</v>
      </c>
      <c r="K961" s="36">
        <f>INDEX(Katalog!$F$3:$F$12,MATCH(cadangan3[[#This Row],[ItemID A]],Katalog!$C$3:$C$12,0))*cadangan3[[#This Row],[Qty A]]</f>
        <v>280000</v>
      </c>
      <c r="L961" s="36">
        <f>IFERROR(cadangan3[[#This Row],[Profit A]]-(cadangan3[[#This Row],[Profit A]]*cadangan3[[#This Row],[Diskon]]),K961)</f>
        <v>280000</v>
      </c>
      <c r="M961" t="s">
        <v>58</v>
      </c>
      <c r="N961" t="str">
        <f>IFERROR(INDEX(Katalog!$A$3:$A$12,MATCH(cadangan3[[#This Row],[ItemID B]],Katalog!$C$3:$C$12,0)),"-")</f>
        <v>Pakaian Wanita</v>
      </c>
      <c r="O961" t="str">
        <f>IFERROR(INDEX(Katalog!$B$3:$B$12,MATCH(cadangan3[[#This Row],[ItemID B]],Katalog!$C$3:$C$12,0)),"-")</f>
        <v>Dress</v>
      </c>
      <c r="P961">
        <v>1</v>
      </c>
      <c r="Q961">
        <v>2</v>
      </c>
      <c r="R961" s="36">
        <f>IFERROR(INDEX(Katalog!$D$3:$D$12,MATCH(cadangan3[[#This Row],[ItemID B]],Katalog!$C$3:$C$12,0))*cadangan3[[#This Row],[Qty B]],0)</f>
        <v>300000</v>
      </c>
      <c r="S961" s="36">
        <f>IFERROR(INDEX(Katalog!$D$3:$D$12,MATCH(cadangan3[[#This Row],[Item B]],Katalog!$B$3:$B$12,0))*cadangan3[[#This Row],[Qty B]],0)</f>
        <v>300000</v>
      </c>
      <c r="T961" s="36">
        <f>IFERROR(cadangan3[[#This Row],[Harga Asli B]]-(cadangan3[[#This Row],[Harga Asli B]]*cadangan3[[#This Row],[Diskon]]),cadangan3[[#This Row],[Harga Asli B]])</f>
        <v>300000</v>
      </c>
      <c r="U961" s="36">
        <f>IFERROR(INDEX(Katalog!$F$3:$F$12,MATCH(cadangan3[[#This Row],[ItemID B]],Katalog!$C$3:$C$12,0))*cadangan3[[#This Row],[Qty B]],0)</f>
        <v>100000</v>
      </c>
      <c r="V961" s="36">
        <f>IFERROR(cadangan3[[#This Row],[Profit B]]-(cadangan3[[#This Row],[Profit B]]*cadangan3[[#This Row],[Diskon]]),U961)</f>
        <v>100000</v>
      </c>
      <c r="W961" t="s">
        <v>62</v>
      </c>
      <c r="X961" t="str">
        <f>IFERROR(INDEX(Katalog!$A$3:$A$12,MATCH(cadangan3[[#This Row],[ItemID C]],Katalog!$C$3:$C$12,0)),"-")</f>
        <v>Pakaian Pria</v>
      </c>
      <c r="Y961" t="str">
        <f>IFERROR(INDEX(Katalog!$B$3:$B$12,MATCH(cadangan3[[#This Row],[ItemID C]],Katalog!$C$3:$C$12,0)),"-")</f>
        <v>Celana Pendek</v>
      </c>
      <c r="Z961">
        <v>1</v>
      </c>
      <c r="AA961">
        <v>3</v>
      </c>
      <c r="AB961" s="36">
        <f>IFERROR(INDEX(Katalog!$D$3:$D$12,MATCH(cadangan3[[#This Row],[ItemID C]],Katalog!$C$3:$C$12,0))*cadangan3[[#This Row],[Qty C]],0)</f>
        <v>180000</v>
      </c>
      <c r="AC961" s="36">
        <f>IFERROR(INDEX(Katalog!$D$3:$D$12,MATCH(cadangan3[[#This Row],[Item C]],Katalog!$B$3:$B$12,0))*cadangan3[[#This Row],[Qty C]],0)</f>
        <v>180000</v>
      </c>
      <c r="AD961" s="36">
        <f>IFERROR(cadangan3[[#This Row],[Harga Asli C]]-(cadangan3[[#This Row],[Harga Asli C]]*cadangan3[[#This Row],[Diskon]]),cadangan3[[#This Row],[Harga Asli C]])</f>
        <v>180000</v>
      </c>
      <c r="AE961" s="36">
        <f>IFERROR(INDEX(Katalog!$F$3:$F$12,MATCH(cadangan3[[#This Row],[ItemID C]],Katalog!$C$3:$C$12,0))*cadangan3[[#This Row],[Qty C]],0)</f>
        <v>70000</v>
      </c>
      <c r="AF961" s="36">
        <f>IFERROR(cadangan3[[#This Row],[Profit C]]-(cadangan3[[#This Row],[Profit C]]*cadangan3[[#This Row],[Diskon]]),cadangan3[[#This Row],[Profit C]])</f>
        <v>70000</v>
      </c>
      <c r="AG961" s="21">
        <f>cadangan3[[#This Row],[Qty A]]+cadangan3[[#This Row],[Qty B]]+cadangan3[[#This Row],[Qty C]]</f>
        <v>6</v>
      </c>
      <c r="AH961" s="35">
        <f>cadangan3[[#This Row],[Harga A + Diskon]]+cadangan3[[#This Row],[Harga + Diskon B]]+cadangan3[[#This Row],[Harga + Diskon C]]</f>
        <v>1200000</v>
      </c>
      <c r="AI961" s="35">
        <f>(cadangan3[[#This Row],[Profit A]]+cadangan3[[#This Row],[Profit B]]+cadangan3[[#This Row],[Profit C]])</f>
        <v>450000</v>
      </c>
      <c r="AJ961" s="35">
        <f>cadangan3[[#This Row],[Provit A + Diskon]]+cadangan3[[#This Row],[Provit B + Diskon]]+cadangan3[[#This Row],[Provit C + Diskon]]</f>
        <v>450000</v>
      </c>
      <c r="AK961" s="23" t="s">
        <v>11</v>
      </c>
      <c r="AL961" s="37" t="str">
        <f>IFERROR(INDEX('Kode Diskon'!$D$3:$D$9,MATCH(cadangan3[[#This Row],[Kode diskon]],'Kode Diskon'!$C$3:$C$9,0)),"-")</f>
        <v>-</v>
      </c>
      <c r="AM961" s="23" t="s">
        <v>11</v>
      </c>
      <c r="AN961" s="23" t="s">
        <v>7</v>
      </c>
      <c r="AO961" s="23" t="s">
        <v>78</v>
      </c>
      <c r="AP961" s="24">
        <v>45024</v>
      </c>
      <c r="AQ961" s="23" t="str">
        <f>TEXT(cadangan3[[#This Row],[Tanggal terjual]],"dddd")</f>
        <v>Saturday</v>
      </c>
    </row>
    <row r="962" spans="1:43" x14ac:dyDescent="0.2">
      <c r="A962" s="20">
        <v>961</v>
      </c>
      <c r="B962" s="21" t="str">
        <f>_xlfn.CONCAT("ORD-",INDEX(Helper!$B$2:$B$5,MATCH(cadangan3[[#This Row],[Marketplace]],Helper!$A$2:$A$5,0)),TEXT(cadangan3[[#This Row],[No]],"0000"),"-",TEXT(cadangan3[[#This Row],[Tanggal terjual]],"dd/mm/yy"))</f>
        <v>ORD-TK0961-29/04/23</v>
      </c>
      <c r="C962" t="s">
        <v>66</v>
      </c>
      <c r="D962" t="str">
        <f>IFERROR(INDEX(Katalog!$A$3:$A$12,MATCH(cadangan3[[#This Row],[ItemID A]],Katalog!$C$3:$C$12,0)),"-")</f>
        <v>Sepatu Pria</v>
      </c>
      <c r="E962" t="str">
        <f>IFERROR(INDEX(Katalog!$B$3:$B$12,MATCH(cadangan3[[#This Row],[ItemID A]],Katalog!$C$3:$C$12,0)),"-")</f>
        <v>Sandal Slip On</v>
      </c>
      <c r="F962">
        <v>2</v>
      </c>
      <c r="G962">
        <v>3</v>
      </c>
      <c r="H962" s="36">
        <f>IFERROR(INDEX(Katalog!$D$3:$D$12,MATCH(cadangan3[[#This Row],[ItemID A]],Katalog!$C$3:$C$12,0))*cadangan3[[#This Row],[Qty A]],0)</f>
        <v>300000</v>
      </c>
      <c r="I962" s="36">
        <f>IFERROR(INDEX(Katalog!$D$3:$D$12,MATCH(cadangan3[[#This Row],[Item A]],Katalog!$B$3:$B$12,0))*cadangan3[[#This Row],[Qty A]],0)</f>
        <v>300000</v>
      </c>
      <c r="J962" s="36">
        <f>IFERROR(cadangan3[[#This Row],[Harga Asli A]]-(cadangan3[[#This Row],[Harga Asli A]]*cadangan3[[#This Row],[Diskon]]),cadangan3[[#This Row],[Harga Asli A]])</f>
        <v>270000</v>
      </c>
      <c r="K962" s="36">
        <f>INDEX(Katalog!$F$3:$F$12,MATCH(cadangan3[[#This Row],[ItemID A]],Katalog!$C$3:$C$12,0))*cadangan3[[#This Row],[Qty A]]</f>
        <v>120000</v>
      </c>
      <c r="L962" s="36">
        <f>IFERROR(cadangan3[[#This Row],[Profit A]]-(cadangan3[[#This Row],[Profit A]]*cadangan3[[#This Row],[Diskon]]),K962)</f>
        <v>108000</v>
      </c>
      <c r="N962" t="str">
        <f>IFERROR(INDEX(Katalog!$A$3:$A$12,MATCH(cadangan3[[#This Row],[ItemID B]],Katalog!$C$3:$C$12,0)),"-")</f>
        <v>-</v>
      </c>
      <c r="O962" t="str">
        <f>IFERROR(INDEX(Katalog!$B$3:$B$12,MATCH(cadangan3[[#This Row],[ItemID B]],Katalog!$C$3:$C$12,0)),"-")</f>
        <v>-</v>
      </c>
      <c r="R962" s="36">
        <f>IFERROR(INDEX(Katalog!$D$3:$D$12,MATCH(cadangan3[[#This Row],[ItemID B]],Katalog!$C$3:$C$12,0))*cadangan3[[#This Row],[Qty B]],0)</f>
        <v>0</v>
      </c>
      <c r="S962" s="36">
        <f>IFERROR(INDEX(Katalog!$D$3:$D$12,MATCH(cadangan3[[#This Row],[Item B]],Katalog!$B$3:$B$12,0))*cadangan3[[#This Row],[Qty B]],0)</f>
        <v>0</v>
      </c>
      <c r="T962" s="36">
        <f>IFERROR(cadangan3[[#This Row],[Harga Asli B]]-(cadangan3[[#This Row],[Harga Asli B]]*cadangan3[[#This Row],[Diskon]]),cadangan3[[#This Row],[Harga Asli B]])</f>
        <v>0</v>
      </c>
      <c r="U962" s="36">
        <f>IFERROR(INDEX(Katalog!$F$3:$F$12,MATCH(cadangan3[[#This Row],[ItemID B]],Katalog!$C$3:$C$12,0))*cadangan3[[#This Row],[Qty B]],0)</f>
        <v>0</v>
      </c>
      <c r="V962" s="36">
        <f>IFERROR(cadangan3[[#This Row],[Profit B]]-(cadangan3[[#This Row],[Profit B]]*cadangan3[[#This Row],[Diskon]]),U962)</f>
        <v>0</v>
      </c>
      <c r="X962" t="str">
        <f>IFERROR(INDEX(Katalog!$A$3:$A$12,MATCH(cadangan3[[#This Row],[ItemID C]],Katalog!$C$3:$C$12,0)),"-")</f>
        <v>-</v>
      </c>
      <c r="Y962" t="str">
        <f>IFERROR(INDEX(Katalog!$B$3:$B$12,MATCH(cadangan3[[#This Row],[ItemID C]],Katalog!$C$3:$C$12,0)),"-")</f>
        <v>-</v>
      </c>
      <c r="AB962" s="36">
        <f>IFERROR(INDEX(Katalog!$D$3:$D$12,MATCH(cadangan3[[#This Row],[ItemID C]],Katalog!$C$3:$C$12,0))*cadangan3[[#This Row],[Qty C]],0)</f>
        <v>0</v>
      </c>
      <c r="AC962" s="36">
        <f>IFERROR(INDEX(Katalog!$D$3:$D$12,MATCH(cadangan3[[#This Row],[Item C]],Katalog!$B$3:$B$12,0))*cadangan3[[#This Row],[Qty C]],0)</f>
        <v>0</v>
      </c>
      <c r="AD962" s="36">
        <f>IFERROR(cadangan3[[#This Row],[Harga Asli C]]-(cadangan3[[#This Row],[Harga Asli C]]*cadangan3[[#This Row],[Diskon]]),cadangan3[[#This Row],[Harga Asli C]])</f>
        <v>0</v>
      </c>
      <c r="AE962" s="36">
        <f>IFERROR(INDEX(Katalog!$F$3:$F$12,MATCH(cadangan3[[#This Row],[ItemID C]],Katalog!$C$3:$C$12,0))*cadangan3[[#This Row],[Qty C]],0)</f>
        <v>0</v>
      </c>
      <c r="AF962" s="36">
        <f>IFERROR(cadangan3[[#This Row],[Profit C]]-(cadangan3[[#This Row],[Profit C]]*cadangan3[[#This Row],[Diskon]]),cadangan3[[#This Row],[Profit C]])</f>
        <v>0</v>
      </c>
      <c r="AG962" s="21">
        <f>cadangan3[[#This Row],[Qty A]]+cadangan3[[#This Row],[Qty B]]+cadangan3[[#This Row],[Qty C]]</f>
        <v>2</v>
      </c>
      <c r="AH962" s="35">
        <f>cadangan3[[#This Row],[Harga A + Diskon]]+cadangan3[[#This Row],[Harga + Diskon B]]+cadangan3[[#This Row],[Harga + Diskon C]]</f>
        <v>270000</v>
      </c>
      <c r="AI962" s="35">
        <f>(cadangan3[[#This Row],[Profit A]]+cadangan3[[#This Row],[Profit B]]+cadangan3[[#This Row],[Profit C]])</f>
        <v>120000</v>
      </c>
      <c r="AJ962" s="35">
        <f>cadangan3[[#This Row],[Provit A + Diskon]]+cadangan3[[#This Row],[Provit B + Diskon]]+cadangan3[[#This Row],[Provit C + Diskon]]</f>
        <v>108000</v>
      </c>
      <c r="AK962" s="23" t="s">
        <v>31</v>
      </c>
      <c r="AL962" s="37">
        <f>IFERROR(INDEX('Kode Diskon'!$D$3:$D$9,MATCH(cadangan3[[#This Row],[Kode diskon]],'Kode Diskon'!$C$3:$C$9,0)),"-")</f>
        <v>0.1</v>
      </c>
      <c r="AM962" s="23" t="s">
        <v>9</v>
      </c>
      <c r="AN962" s="23" t="s">
        <v>10</v>
      </c>
      <c r="AO962" s="23" t="s">
        <v>76</v>
      </c>
      <c r="AP962" s="24">
        <v>45045</v>
      </c>
      <c r="AQ962" s="23" t="str">
        <f>TEXT(cadangan3[[#This Row],[Tanggal terjual]],"dddd")</f>
        <v>Saturday</v>
      </c>
    </row>
    <row r="963" spans="1:43" x14ac:dyDescent="0.2">
      <c r="A963" s="20">
        <v>962</v>
      </c>
      <c r="B963" s="21" t="str">
        <f>_xlfn.CONCAT("ORD-",INDEX(Helper!$B$2:$B$5,MATCH(cadangan3[[#This Row],[Marketplace]],Helper!$A$2:$A$5,0)),TEXT(cadangan3[[#This Row],[No]],"0000"),"-",TEXT(cadangan3[[#This Row],[Tanggal terjual]],"dd/mm/yy"))</f>
        <v>ORD-TK0962-06/04/23</v>
      </c>
      <c r="C963" t="s">
        <v>62</v>
      </c>
      <c r="D963" t="str">
        <f>IFERROR(INDEX(Katalog!$A$3:$A$12,MATCH(cadangan3[[#This Row],[ItemID A]],Katalog!$C$3:$C$12,0)),"-")</f>
        <v>Pakaian Pria</v>
      </c>
      <c r="E963" t="str">
        <f>IFERROR(INDEX(Katalog!$B$3:$B$12,MATCH(cadangan3[[#This Row],[ItemID A]],Katalog!$C$3:$C$12,0)),"-")</f>
        <v>Celana Pendek</v>
      </c>
      <c r="F963">
        <v>1</v>
      </c>
      <c r="G963">
        <v>4</v>
      </c>
      <c r="H963" s="36">
        <f>IFERROR(INDEX(Katalog!$D$3:$D$12,MATCH(cadangan3[[#This Row],[ItemID A]],Katalog!$C$3:$C$12,0))*cadangan3[[#This Row],[Qty A]],0)</f>
        <v>180000</v>
      </c>
      <c r="I963" s="36">
        <f>IFERROR(INDEX(Katalog!$D$3:$D$12,MATCH(cadangan3[[#This Row],[Item A]],Katalog!$B$3:$B$12,0))*cadangan3[[#This Row],[Qty A]],0)</f>
        <v>180000</v>
      </c>
      <c r="J963" s="36">
        <f>IFERROR(cadangan3[[#This Row],[Harga Asli A]]-(cadangan3[[#This Row],[Harga Asli A]]*cadangan3[[#This Row],[Diskon]]),cadangan3[[#This Row],[Harga Asli A]])</f>
        <v>162000</v>
      </c>
      <c r="K963" s="36">
        <f>INDEX(Katalog!$F$3:$F$12,MATCH(cadangan3[[#This Row],[ItemID A]],Katalog!$C$3:$C$12,0))*cadangan3[[#This Row],[Qty A]]</f>
        <v>70000</v>
      </c>
      <c r="L963" s="36">
        <f>IFERROR(cadangan3[[#This Row],[Profit A]]-(cadangan3[[#This Row],[Profit A]]*cadangan3[[#This Row],[Diskon]]),K963)</f>
        <v>63000</v>
      </c>
      <c r="M963" t="s">
        <v>65</v>
      </c>
      <c r="N963" t="str">
        <f>IFERROR(INDEX(Katalog!$A$3:$A$12,MATCH(cadangan3[[#This Row],[ItemID B]],Katalog!$C$3:$C$12,0)),"-")</f>
        <v>Sepatu Pria</v>
      </c>
      <c r="O963" t="str">
        <f>IFERROR(INDEX(Katalog!$B$3:$B$12,MATCH(cadangan3[[#This Row],[ItemID B]],Katalog!$C$3:$C$12,0)),"-")</f>
        <v>Sneakers</v>
      </c>
      <c r="P963">
        <v>3</v>
      </c>
      <c r="Q963">
        <v>1</v>
      </c>
      <c r="R963" s="36">
        <f>IFERROR(INDEX(Katalog!$D$3:$D$12,MATCH(cadangan3[[#This Row],[ItemID B]],Katalog!$C$3:$C$12,0))*cadangan3[[#This Row],[Qty B]],0)</f>
        <v>1500000</v>
      </c>
      <c r="S963" s="36">
        <f>IFERROR(INDEX(Katalog!$D$3:$D$12,MATCH(cadangan3[[#This Row],[Item B]],Katalog!$B$3:$B$12,0))*cadangan3[[#This Row],[Qty B]],0)</f>
        <v>1500000</v>
      </c>
      <c r="T963" s="36">
        <f>IFERROR(cadangan3[[#This Row],[Harga Asli B]]-(cadangan3[[#This Row],[Harga Asli B]]*cadangan3[[#This Row],[Diskon]]),cadangan3[[#This Row],[Harga Asli B]])</f>
        <v>1350000</v>
      </c>
      <c r="U963" s="36">
        <f>IFERROR(INDEX(Katalog!$F$3:$F$12,MATCH(cadangan3[[#This Row],[ItemID B]],Katalog!$C$3:$C$12,0))*cadangan3[[#This Row],[Qty B]],0)</f>
        <v>600000</v>
      </c>
      <c r="V963" s="36">
        <f>IFERROR(cadangan3[[#This Row],[Profit B]]-(cadangan3[[#This Row],[Profit B]]*cadangan3[[#This Row],[Diskon]]),U963)</f>
        <v>540000</v>
      </c>
      <c r="W963" t="s">
        <v>66</v>
      </c>
      <c r="X963" t="str">
        <f>IFERROR(INDEX(Katalog!$A$3:$A$12,MATCH(cadangan3[[#This Row],[ItemID C]],Katalog!$C$3:$C$12,0)),"-")</f>
        <v>Sepatu Pria</v>
      </c>
      <c r="Y963" t="str">
        <f>IFERROR(INDEX(Katalog!$B$3:$B$12,MATCH(cadangan3[[#This Row],[ItemID C]],Katalog!$C$3:$C$12,0)),"-")</f>
        <v>Sandal Slip On</v>
      </c>
      <c r="Z963">
        <v>2</v>
      </c>
      <c r="AA963">
        <v>4</v>
      </c>
      <c r="AB963" s="36">
        <f>IFERROR(INDEX(Katalog!$D$3:$D$12,MATCH(cadangan3[[#This Row],[ItemID C]],Katalog!$C$3:$C$12,0))*cadangan3[[#This Row],[Qty C]],0)</f>
        <v>300000</v>
      </c>
      <c r="AC963" s="36">
        <f>IFERROR(INDEX(Katalog!$D$3:$D$12,MATCH(cadangan3[[#This Row],[Item C]],Katalog!$B$3:$B$12,0))*cadangan3[[#This Row],[Qty C]],0)</f>
        <v>300000</v>
      </c>
      <c r="AD963" s="36">
        <f>IFERROR(cadangan3[[#This Row],[Harga Asli C]]-(cadangan3[[#This Row],[Harga Asli C]]*cadangan3[[#This Row],[Diskon]]),cadangan3[[#This Row],[Harga Asli C]])</f>
        <v>270000</v>
      </c>
      <c r="AE963" s="36">
        <f>IFERROR(INDEX(Katalog!$F$3:$F$12,MATCH(cadangan3[[#This Row],[ItemID C]],Katalog!$C$3:$C$12,0))*cadangan3[[#This Row],[Qty C]],0)</f>
        <v>120000</v>
      </c>
      <c r="AF963" s="36">
        <f>IFERROR(cadangan3[[#This Row],[Profit C]]-(cadangan3[[#This Row],[Profit C]]*cadangan3[[#This Row],[Diskon]]),cadangan3[[#This Row],[Profit C]])</f>
        <v>108000</v>
      </c>
      <c r="AG963" s="21">
        <f>cadangan3[[#This Row],[Qty A]]+cadangan3[[#This Row],[Qty B]]+cadangan3[[#This Row],[Qty C]]</f>
        <v>6</v>
      </c>
      <c r="AH963" s="35">
        <f>cadangan3[[#This Row],[Harga A + Diskon]]+cadangan3[[#This Row],[Harga + Diskon B]]+cadangan3[[#This Row],[Harga + Diskon C]]</f>
        <v>1782000</v>
      </c>
      <c r="AI963" s="35">
        <f>(cadangan3[[#This Row],[Profit A]]+cadangan3[[#This Row],[Profit B]]+cadangan3[[#This Row],[Profit C]])</f>
        <v>790000</v>
      </c>
      <c r="AJ963" s="35">
        <f>cadangan3[[#This Row],[Provit A + Diskon]]+cadangan3[[#This Row],[Provit B + Diskon]]+cadangan3[[#This Row],[Provit C + Diskon]]</f>
        <v>711000</v>
      </c>
      <c r="AK963" s="23" t="s">
        <v>30</v>
      </c>
      <c r="AL963" s="37">
        <f>IFERROR(INDEX('Kode Diskon'!$D$3:$D$9,MATCH(cadangan3[[#This Row],[Kode diskon]],'Kode Diskon'!$C$3:$C$9,0)),"-")</f>
        <v>0.1</v>
      </c>
      <c r="AM963" s="23" t="s">
        <v>29</v>
      </c>
      <c r="AN963" s="23" t="s">
        <v>10</v>
      </c>
      <c r="AO963" s="23" t="s">
        <v>80</v>
      </c>
      <c r="AP963" s="24">
        <v>45022</v>
      </c>
      <c r="AQ963" s="23" t="str">
        <f>TEXT(cadangan3[[#This Row],[Tanggal terjual]],"dddd")</f>
        <v>Thursday</v>
      </c>
    </row>
    <row r="964" spans="1:43" x14ac:dyDescent="0.2">
      <c r="A964" s="20">
        <v>963</v>
      </c>
      <c r="B964" s="21" t="str">
        <f>_xlfn.CONCAT("ORD-",INDEX(Helper!$B$2:$B$5,MATCH(cadangan3[[#This Row],[Marketplace]],Helper!$A$2:$A$5,0)),TEXT(cadangan3[[#This Row],[No]],"0000"),"-",TEXT(cadangan3[[#This Row],[Tanggal terjual]],"dd/mm/yy"))</f>
        <v>ORD-SP0963-05/04/23</v>
      </c>
      <c r="C964" t="s">
        <v>63</v>
      </c>
      <c r="D964" t="str">
        <f>IFERROR(INDEX(Katalog!$A$3:$A$12,MATCH(cadangan3[[#This Row],[ItemID A]],Katalog!$C$3:$C$12,0)),"-")</f>
        <v>Pakaian Pria</v>
      </c>
      <c r="E964" t="str">
        <f>IFERROR(INDEX(Katalog!$B$3:$B$12,MATCH(cadangan3[[#This Row],[ItemID A]],Katalog!$C$3:$C$12,0)),"-")</f>
        <v>Jaket Jeans</v>
      </c>
      <c r="F964">
        <v>4</v>
      </c>
      <c r="G964">
        <v>3</v>
      </c>
      <c r="H964" s="36">
        <f>IFERROR(INDEX(Katalog!$D$3:$D$12,MATCH(cadangan3[[#This Row],[ItemID A]],Katalog!$C$3:$C$12,0))*cadangan3[[#This Row],[Qty A]],0)</f>
        <v>1600000</v>
      </c>
      <c r="I964" s="36">
        <f>IFERROR(INDEX(Katalog!$D$3:$D$12,MATCH(cadangan3[[#This Row],[Item A]],Katalog!$B$3:$B$12,0))*cadangan3[[#This Row],[Qty A]],0)</f>
        <v>1600000</v>
      </c>
      <c r="J964" s="36">
        <f>IFERROR(cadangan3[[#This Row],[Harga Asli A]]-(cadangan3[[#This Row],[Harga Asli A]]*cadangan3[[#This Row],[Diskon]]),cadangan3[[#This Row],[Harga Asli A]])</f>
        <v>1440000</v>
      </c>
      <c r="K964" s="36">
        <f>INDEX(Katalog!$F$3:$F$12,MATCH(cadangan3[[#This Row],[ItemID A]],Katalog!$C$3:$C$12,0))*cadangan3[[#This Row],[Qty A]]</f>
        <v>600000</v>
      </c>
      <c r="L964" s="36">
        <f>IFERROR(cadangan3[[#This Row],[Profit A]]-(cadangan3[[#This Row],[Profit A]]*cadangan3[[#This Row],[Diskon]]),K964)</f>
        <v>540000</v>
      </c>
      <c r="N964" t="str">
        <f>IFERROR(INDEX(Katalog!$A$3:$A$12,MATCH(cadangan3[[#This Row],[ItemID B]],Katalog!$C$3:$C$12,0)),"-")</f>
        <v>-</v>
      </c>
      <c r="O964" t="str">
        <f>IFERROR(INDEX(Katalog!$B$3:$B$12,MATCH(cadangan3[[#This Row],[ItemID B]],Katalog!$C$3:$C$12,0)),"-")</f>
        <v>-</v>
      </c>
      <c r="R964" s="36">
        <f>IFERROR(INDEX(Katalog!$D$3:$D$12,MATCH(cadangan3[[#This Row],[ItemID B]],Katalog!$C$3:$C$12,0))*cadangan3[[#This Row],[Qty B]],0)</f>
        <v>0</v>
      </c>
      <c r="S964" s="36">
        <f>IFERROR(INDEX(Katalog!$D$3:$D$12,MATCH(cadangan3[[#This Row],[Item B]],Katalog!$B$3:$B$12,0))*cadangan3[[#This Row],[Qty B]],0)</f>
        <v>0</v>
      </c>
      <c r="T964" s="36">
        <f>IFERROR(cadangan3[[#This Row],[Harga Asli B]]-(cadangan3[[#This Row],[Harga Asli B]]*cadangan3[[#This Row],[Diskon]]),cadangan3[[#This Row],[Harga Asli B]])</f>
        <v>0</v>
      </c>
      <c r="U964" s="36">
        <f>IFERROR(INDEX(Katalog!$F$3:$F$12,MATCH(cadangan3[[#This Row],[ItemID B]],Katalog!$C$3:$C$12,0))*cadangan3[[#This Row],[Qty B]],0)</f>
        <v>0</v>
      </c>
      <c r="V964" s="36">
        <f>IFERROR(cadangan3[[#This Row],[Profit B]]-(cadangan3[[#This Row],[Profit B]]*cadangan3[[#This Row],[Diskon]]),U964)</f>
        <v>0</v>
      </c>
      <c r="X964" t="str">
        <f>IFERROR(INDEX(Katalog!$A$3:$A$12,MATCH(cadangan3[[#This Row],[ItemID C]],Katalog!$C$3:$C$12,0)),"-")</f>
        <v>-</v>
      </c>
      <c r="Y964" t="str">
        <f>IFERROR(INDEX(Katalog!$B$3:$B$12,MATCH(cadangan3[[#This Row],[ItemID C]],Katalog!$C$3:$C$12,0)),"-")</f>
        <v>-</v>
      </c>
      <c r="AB964" s="36">
        <f>IFERROR(INDEX(Katalog!$D$3:$D$12,MATCH(cadangan3[[#This Row],[ItemID C]],Katalog!$C$3:$C$12,0))*cadangan3[[#This Row],[Qty C]],0)</f>
        <v>0</v>
      </c>
      <c r="AC964" s="36">
        <f>IFERROR(INDEX(Katalog!$D$3:$D$12,MATCH(cadangan3[[#This Row],[Item C]],Katalog!$B$3:$B$12,0))*cadangan3[[#This Row],[Qty C]],0)</f>
        <v>0</v>
      </c>
      <c r="AD964" s="36">
        <f>IFERROR(cadangan3[[#This Row],[Harga Asli C]]-(cadangan3[[#This Row],[Harga Asli C]]*cadangan3[[#This Row],[Diskon]]),cadangan3[[#This Row],[Harga Asli C]])</f>
        <v>0</v>
      </c>
      <c r="AE964" s="36">
        <f>IFERROR(INDEX(Katalog!$F$3:$F$12,MATCH(cadangan3[[#This Row],[ItemID C]],Katalog!$C$3:$C$12,0))*cadangan3[[#This Row],[Qty C]],0)</f>
        <v>0</v>
      </c>
      <c r="AF964" s="36">
        <f>IFERROR(cadangan3[[#This Row],[Profit C]]-(cadangan3[[#This Row],[Profit C]]*cadangan3[[#This Row],[Diskon]]),cadangan3[[#This Row],[Profit C]])</f>
        <v>0</v>
      </c>
      <c r="AG964" s="21">
        <f>cadangan3[[#This Row],[Qty A]]+cadangan3[[#This Row],[Qty B]]+cadangan3[[#This Row],[Qty C]]</f>
        <v>4</v>
      </c>
      <c r="AH964" s="35">
        <f>cadangan3[[#This Row],[Harga A + Diskon]]+cadangan3[[#This Row],[Harga + Diskon B]]+cadangan3[[#This Row],[Harga + Diskon C]]</f>
        <v>1440000</v>
      </c>
      <c r="AI964" s="35">
        <f>(cadangan3[[#This Row],[Profit A]]+cadangan3[[#This Row],[Profit B]]+cadangan3[[#This Row],[Profit C]])</f>
        <v>600000</v>
      </c>
      <c r="AJ964" s="35">
        <f>cadangan3[[#This Row],[Provit A + Diskon]]+cadangan3[[#This Row],[Provit B + Diskon]]+cadangan3[[#This Row],[Provit C + Diskon]]</f>
        <v>540000</v>
      </c>
      <c r="AK964" s="23" t="s">
        <v>6</v>
      </c>
      <c r="AL964" s="37">
        <f>IFERROR(INDEX('Kode Diskon'!$D$3:$D$9,MATCH(cadangan3[[#This Row],[Kode diskon]],'Kode Diskon'!$C$3:$C$9,0)),"-")</f>
        <v>0.1</v>
      </c>
      <c r="AM964" s="23" t="s">
        <v>29</v>
      </c>
      <c r="AN964" s="23" t="s">
        <v>7</v>
      </c>
      <c r="AO964" s="23" t="s">
        <v>80</v>
      </c>
      <c r="AP964" s="24">
        <v>45021</v>
      </c>
      <c r="AQ964" s="23" t="str">
        <f>TEXT(cadangan3[[#This Row],[Tanggal terjual]],"dddd")</f>
        <v>Wednesday</v>
      </c>
    </row>
    <row r="965" spans="1:43" x14ac:dyDescent="0.2">
      <c r="A965" s="20">
        <v>964</v>
      </c>
      <c r="B965" s="21" t="str">
        <f>_xlfn.CONCAT("ORD-",INDEX(Helper!$B$2:$B$5,MATCH(cadangan3[[#This Row],[Marketplace]],Helper!$A$2:$A$5,0)),TEXT(cadangan3[[#This Row],[No]],"0000"),"-",TEXT(cadangan3[[#This Row],[Tanggal terjual]],"dd/mm/yy"))</f>
        <v>ORD-BB0964-06/04/23</v>
      </c>
      <c r="C965" t="s">
        <v>63</v>
      </c>
      <c r="D965" t="str">
        <f>IFERROR(INDEX(Katalog!$A$3:$A$12,MATCH(cadangan3[[#This Row],[ItemID A]],Katalog!$C$3:$C$12,0)),"-")</f>
        <v>Pakaian Pria</v>
      </c>
      <c r="E965" t="str">
        <f>IFERROR(INDEX(Katalog!$B$3:$B$12,MATCH(cadangan3[[#This Row],[ItemID A]],Katalog!$C$3:$C$12,0)),"-")</f>
        <v>Jaket Jeans</v>
      </c>
      <c r="F965">
        <v>3</v>
      </c>
      <c r="G965">
        <v>3</v>
      </c>
      <c r="H965" s="36">
        <f>IFERROR(INDEX(Katalog!$D$3:$D$12,MATCH(cadangan3[[#This Row],[ItemID A]],Katalog!$C$3:$C$12,0))*cadangan3[[#This Row],[Qty A]],0)</f>
        <v>1200000</v>
      </c>
      <c r="I965" s="36">
        <f>IFERROR(INDEX(Katalog!$D$3:$D$12,MATCH(cadangan3[[#This Row],[Item A]],Katalog!$B$3:$B$12,0))*cadangan3[[#This Row],[Qty A]],0)</f>
        <v>1200000</v>
      </c>
      <c r="J965" s="36">
        <f>IFERROR(cadangan3[[#This Row],[Harga Asli A]]-(cadangan3[[#This Row],[Harga Asli A]]*cadangan3[[#This Row],[Diskon]]),cadangan3[[#This Row],[Harga Asli A]])</f>
        <v>1020000</v>
      </c>
      <c r="K965" s="36">
        <f>INDEX(Katalog!$F$3:$F$12,MATCH(cadangan3[[#This Row],[ItemID A]],Katalog!$C$3:$C$12,0))*cadangan3[[#This Row],[Qty A]]</f>
        <v>450000</v>
      </c>
      <c r="L965" s="36">
        <f>IFERROR(cadangan3[[#This Row],[Profit A]]-(cadangan3[[#This Row],[Profit A]]*cadangan3[[#This Row],[Diskon]]),K965)</f>
        <v>382500</v>
      </c>
      <c r="M965" t="s">
        <v>59</v>
      </c>
      <c r="N965" t="str">
        <f>IFERROR(INDEX(Katalog!$A$3:$A$12,MATCH(cadangan3[[#This Row],[ItemID B]],Katalog!$C$3:$C$12,0)),"-")</f>
        <v>Pakaian Wanita</v>
      </c>
      <c r="O965" t="str">
        <f>IFERROR(INDEX(Katalog!$B$3:$B$12,MATCH(cadangan3[[#This Row],[ItemID B]],Katalog!$C$3:$C$12,0)),"-")</f>
        <v>Blouse</v>
      </c>
      <c r="P965">
        <v>3</v>
      </c>
      <c r="Q965">
        <v>2</v>
      </c>
      <c r="R965" s="36">
        <f>IFERROR(INDEX(Katalog!$D$3:$D$12,MATCH(cadangan3[[#This Row],[ItemID B]],Katalog!$C$3:$C$12,0))*cadangan3[[#This Row],[Qty B]],0)</f>
        <v>450000</v>
      </c>
      <c r="S965" s="36">
        <f>IFERROR(INDEX(Katalog!$D$3:$D$12,MATCH(cadangan3[[#This Row],[Item B]],Katalog!$B$3:$B$12,0))*cadangan3[[#This Row],[Qty B]],0)</f>
        <v>450000</v>
      </c>
      <c r="T965" s="36">
        <f>IFERROR(cadangan3[[#This Row],[Harga Asli B]]-(cadangan3[[#This Row],[Harga Asli B]]*cadangan3[[#This Row],[Diskon]]),cadangan3[[#This Row],[Harga Asli B]])</f>
        <v>382500</v>
      </c>
      <c r="U965" s="36">
        <f>IFERROR(INDEX(Katalog!$F$3:$F$12,MATCH(cadangan3[[#This Row],[ItemID B]],Katalog!$C$3:$C$12,0))*cadangan3[[#This Row],[Qty B]],0)</f>
        <v>150000</v>
      </c>
      <c r="V965" s="36">
        <f>IFERROR(cadangan3[[#This Row],[Profit B]]-(cadangan3[[#This Row],[Profit B]]*cadangan3[[#This Row],[Diskon]]),U965)</f>
        <v>127500</v>
      </c>
      <c r="X965" t="str">
        <f>IFERROR(INDEX(Katalog!$A$3:$A$12,MATCH(cadangan3[[#This Row],[ItemID C]],Katalog!$C$3:$C$12,0)),"-")</f>
        <v>-</v>
      </c>
      <c r="Y965" t="str">
        <f>IFERROR(INDEX(Katalog!$B$3:$B$12,MATCH(cadangan3[[#This Row],[ItemID C]],Katalog!$C$3:$C$12,0)),"-")</f>
        <v>-</v>
      </c>
      <c r="AB965" s="36">
        <f>IFERROR(INDEX(Katalog!$D$3:$D$12,MATCH(cadangan3[[#This Row],[ItemID C]],Katalog!$C$3:$C$12,0))*cadangan3[[#This Row],[Qty C]],0)</f>
        <v>0</v>
      </c>
      <c r="AC965" s="36">
        <f>IFERROR(INDEX(Katalog!$D$3:$D$12,MATCH(cadangan3[[#This Row],[Item C]],Katalog!$B$3:$B$12,0))*cadangan3[[#This Row],[Qty C]],0)</f>
        <v>0</v>
      </c>
      <c r="AD965" s="36">
        <f>IFERROR(cadangan3[[#This Row],[Harga Asli C]]-(cadangan3[[#This Row],[Harga Asli C]]*cadangan3[[#This Row],[Diskon]]),cadangan3[[#This Row],[Harga Asli C]])</f>
        <v>0</v>
      </c>
      <c r="AE965" s="36">
        <f>IFERROR(INDEX(Katalog!$F$3:$F$12,MATCH(cadangan3[[#This Row],[ItemID C]],Katalog!$C$3:$C$12,0))*cadangan3[[#This Row],[Qty C]],0)</f>
        <v>0</v>
      </c>
      <c r="AF965" s="36">
        <f>IFERROR(cadangan3[[#This Row],[Profit C]]-(cadangan3[[#This Row],[Profit C]]*cadangan3[[#This Row],[Diskon]]),cadangan3[[#This Row],[Profit C]])</f>
        <v>0</v>
      </c>
      <c r="AG965" s="21">
        <f>cadangan3[[#This Row],[Qty A]]+cadangan3[[#This Row],[Qty B]]+cadangan3[[#This Row],[Qty C]]</f>
        <v>6</v>
      </c>
      <c r="AH965" s="35">
        <f>cadangan3[[#This Row],[Harga A + Diskon]]+cadangan3[[#This Row],[Harga + Diskon B]]+cadangan3[[#This Row],[Harga + Diskon C]]</f>
        <v>1402500</v>
      </c>
      <c r="AI965" s="35">
        <f>(cadangan3[[#This Row],[Profit A]]+cadangan3[[#This Row],[Profit B]]+cadangan3[[#This Row],[Profit C]])</f>
        <v>600000</v>
      </c>
      <c r="AJ965" s="35">
        <f>cadangan3[[#This Row],[Provit A + Diskon]]+cadangan3[[#This Row],[Provit B + Diskon]]+cadangan3[[#This Row],[Provit C + Diskon]]</f>
        <v>510000</v>
      </c>
      <c r="AK965" s="23" t="s">
        <v>28</v>
      </c>
      <c r="AL965" s="37">
        <f>IFERROR(INDEX('Kode Diskon'!$D$3:$D$9,MATCH(cadangan3[[#This Row],[Kode diskon]],'Kode Diskon'!$C$3:$C$9,0)),"-")</f>
        <v>0.15</v>
      </c>
      <c r="AM965" s="23" t="s">
        <v>29</v>
      </c>
      <c r="AN965" s="23" t="s">
        <v>14</v>
      </c>
      <c r="AO965" s="23" t="s">
        <v>75</v>
      </c>
      <c r="AP965" s="24">
        <v>45022</v>
      </c>
      <c r="AQ965" s="23" t="str">
        <f>TEXT(cadangan3[[#This Row],[Tanggal terjual]],"dddd")</f>
        <v>Thursday</v>
      </c>
    </row>
    <row r="966" spans="1:43" x14ac:dyDescent="0.2">
      <c r="A966" s="20">
        <v>965</v>
      </c>
      <c r="B966" s="21" t="str">
        <f>_xlfn.CONCAT("ORD-",INDEX(Helper!$B$2:$B$5,MATCH(cadangan3[[#This Row],[Marketplace]],Helper!$A$2:$A$5,0)),TEXT(cadangan3[[#This Row],[No]],"0000"),"-",TEXT(cadangan3[[#This Row],[Tanggal terjual]],"dd/mm/yy"))</f>
        <v>ORD-BL0965-29/04/23</v>
      </c>
      <c r="C966" t="s">
        <v>65</v>
      </c>
      <c r="D966" t="str">
        <f>IFERROR(INDEX(Katalog!$A$3:$A$12,MATCH(cadangan3[[#This Row],[ItemID A]],Katalog!$C$3:$C$12,0)),"-")</f>
        <v>Sepatu Pria</v>
      </c>
      <c r="E966" t="str">
        <f>IFERROR(INDEX(Katalog!$B$3:$B$12,MATCH(cadangan3[[#This Row],[ItemID A]],Katalog!$C$3:$C$12,0)),"-")</f>
        <v>Sneakers</v>
      </c>
      <c r="F966">
        <v>4</v>
      </c>
      <c r="G966">
        <v>5</v>
      </c>
      <c r="H966" s="36">
        <f>IFERROR(INDEX(Katalog!$D$3:$D$12,MATCH(cadangan3[[#This Row],[ItemID A]],Katalog!$C$3:$C$12,0))*cadangan3[[#This Row],[Qty A]],0)</f>
        <v>2000000</v>
      </c>
      <c r="I966" s="36">
        <f>IFERROR(INDEX(Katalog!$D$3:$D$12,MATCH(cadangan3[[#This Row],[Item A]],Katalog!$B$3:$B$12,0))*cadangan3[[#This Row],[Qty A]],0)</f>
        <v>2000000</v>
      </c>
      <c r="J966" s="36">
        <f>IFERROR(cadangan3[[#This Row],[Harga Asli A]]-(cadangan3[[#This Row],[Harga Asli A]]*cadangan3[[#This Row],[Diskon]]),cadangan3[[#This Row],[Harga Asli A]])</f>
        <v>1700000</v>
      </c>
      <c r="K966" s="36">
        <f>INDEX(Katalog!$F$3:$F$12,MATCH(cadangan3[[#This Row],[ItemID A]],Katalog!$C$3:$C$12,0))*cadangan3[[#This Row],[Qty A]]</f>
        <v>800000</v>
      </c>
      <c r="L966" s="36">
        <f>IFERROR(cadangan3[[#This Row],[Profit A]]-(cadangan3[[#This Row],[Profit A]]*cadangan3[[#This Row],[Diskon]]),K966)</f>
        <v>680000</v>
      </c>
      <c r="N966" t="str">
        <f>IFERROR(INDEX(Katalog!$A$3:$A$12,MATCH(cadangan3[[#This Row],[ItemID B]],Katalog!$C$3:$C$12,0)),"-")</f>
        <v>-</v>
      </c>
      <c r="O966" t="str">
        <f>IFERROR(INDEX(Katalog!$B$3:$B$12,MATCH(cadangan3[[#This Row],[ItemID B]],Katalog!$C$3:$C$12,0)),"-")</f>
        <v>-</v>
      </c>
      <c r="R966" s="36">
        <f>IFERROR(INDEX(Katalog!$D$3:$D$12,MATCH(cadangan3[[#This Row],[ItemID B]],Katalog!$C$3:$C$12,0))*cadangan3[[#This Row],[Qty B]],0)</f>
        <v>0</v>
      </c>
      <c r="S966" s="36">
        <f>IFERROR(INDEX(Katalog!$D$3:$D$12,MATCH(cadangan3[[#This Row],[Item B]],Katalog!$B$3:$B$12,0))*cadangan3[[#This Row],[Qty B]],0)</f>
        <v>0</v>
      </c>
      <c r="T966" s="36">
        <f>IFERROR(cadangan3[[#This Row],[Harga Asli B]]-(cadangan3[[#This Row],[Harga Asli B]]*cadangan3[[#This Row],[Diskon]]),cadangan3[[#This Row],[Harga Asli B]])</f>
        <v>0</v>
      </c>
      <c r="U966" s="36">
        <f>IFERROR(INDEX(Katalog!$F$3:$F$12,MATCH(cadangan3[[#This Row],[ItemID B]],Katalog!$C$3:$C$12,0))*cadangan3[[#This Row],[Qty B]],0)</f>
        <v>0</v>
      </c>
      <c r="V966" s="36">
        <f>IFERROR(cadangan3[[#This Row],[Profit B]]-(cadangan3[[#This Row],[Profit B]]*cadangan3[[#This Row],[Diskon]]),U966)</f>
        <v>0</v>
      </c>
      <c r="X966" t="str">
        <f>IFERROR(INDEX(Katalog!$A$3:$A$12,MATCH(cadangan3[[#This Row],[ItemID C]],Katalog!$C$3:$C$12,0)),"-")</f>
        <v>-</v>
      </c>
      <c r="Y966" t="str">
        <f>IFERROR(INDEX(Katalog!$B$3:$B$12,MATCH(cadangan3[[#This Row],[ItemID C]],Katalog!$C$3:$C$12,0)),"-")</f>
        <v>-</v>
      </c>
      <c r="AB966" s="36">
        <f>IFERROR(INDEX(Katalog!$D$3:$D$12,MATCH(cadangan3[[#This Row],[ItemID C]],Katalog!$C$3:$C$12,0))*cadangan3[[#This Row],[Qty C]],0)</f>
        <v>0</v>
      </c>
      <c r="AC966" s="36">
        <f>IFERROR(INDEX(Katalog!$D$3:$D$12,MATCH(cadangan3[[#This Row],[Item C]],Katalog!$B$3:$B$12,0))*cadangan3[[#This Row],[Qty C]],0)</f>
        <v>0</v>
      </c>
      <c r="AD966" s="36">
        <f>IFERROR(cadangan3[[#This Row],[Harga Asli C]]-(cadangan3[[#This Row],[Harga Asli C]]*cadangan3[[#This Row],[Diskon]]),cadangan3[[#This Row],[Harga Asli C]])</f>
        <v>0</v>
      </c>
      <c r="AE966" s="36">
        <f>IFERROR(INDEX(Katalog!$F$3:$F$12,MATCH(cadangan3[[#This Row],[ItemID C]],Katalog!$C$3:$C$12,0))*cadangan3[[#This Row],[Qty C]],0)</f>
        <v>0</v>
      </c>
      <c r="AF966" s="36">
        <f>IFERROR(cadangan3[[#This Row],[Profit C]]-(cadangan3[[#This Row],[Profit C]]*cadangan3[[#This Row],[Diskon]]),cadangan3[[#This Row],[Profit C]])</f>
        <v>0</v>
      </c>
      <c r="AG966" s="21">
        <f>cadangan3[[#This Row],[Qty A]]+cadangan3[[#This Row],[Qty B]]+cadangan3[[#This Row],[Qty C]]</f>
        <v>4</v>
      </c>
      <c r="AH966" s="35">
        <f>cadangan3[[#This Row],[Harga A + Diskon]]+cadangan3[[#This Row],[Harga + Diskon B]]+cadangan3[[#This Row],[Harga + Diskon C]]</f>
        <v>1700000</v>
      </c>
      <c r="AI966" s="35">
        <f>(cadangan3[[#This Row],[Profit A]]+cadangan3[[#This Row],[Profit B]]+cadangan3[[#This Row],[Profit C]])</f>
        <v>800000</v>
      </c>
      <c r="AJ966" s="35">
        <f>cadangan3[[#This Row],[Provit A + Diskon]]+cadangan3[[#This Row],[Provit B + Diskon]]+cadangan3[[#This Row],[Provit C + Diskon]]</f>
        <v>680000</v>
      </c>
      <c r="AK966" s="23" t="s">
        <v>32</v>
      </c>
      <c r="AL966" s="37">
        <f>IFERROR(INDEX('Kode Diskon'!$D$3:$D$9,MATCH(cadangan3[[#This Row],[Kode diskon]],'Kode Diskon'!$C$3:$C$9,0)),"-")</f>
        <v>0.15</v>
      </c>
      <c r="AM966" s="23" t="s">
        <v>9</v>
      </c>
      <c r="AN966" s="23" t="s">
        <v>12</v>
      </c>
      <c r="AO966" s="23" t="s">
        <v>75</v>
      </c>
      <c r="AP966" s="24">
        <v>45045</v>
      </c>
      <c r="AQ966" s="23" t="str">
        <f>TEXT(cadangan3[[#This Row],[Tanggal terjual]],"dddd")</f>
        <v>Saturday</v>
      </c>
    </row>
    <row r="967" spans="1:43" x14ac:dyDescent="0.2">
      <c r="A967" s="20">
        <v>966</v>
      </c>
      <c r="B967" s="21" t="str">
        <f>_xlfn.CONCAT("ORD-",INDEX(Helper!$B$2:$B$5,MATCH(cadangan3[[#This Row],[Marketplace]],Helper!$A$2:$A$5,0)),TEXT(cadangan3[[#This Row],[No]],"0000"),"-",TEXT(cadangan3[[#This Row],[Tanggal terjual]],"dd/mm/yy"))</f>
        <v>ORD-SP0966-09/04/23</v>
      </c>
      <c r="C967" t="s">
        <v>61</v>
      </c>
      <c r="D967" t="str">
        <f>IFERROR(INDEX(Katalog!$A$3:$A$12,MATCH(cadangan3[[#This Row],[ItemID A]],Katalog!$C$3:$C$12,0)),"-")</f>
        <v>Pakaian Pria</v>
      </c>
      <c r="E967" t="str">
        <f>IFERROR(INDEX(Katalog!$B$3:$B$12,MATCH(cadangan3[[#This Row],[ItemID A]],Katalog!$C$3:$C$12,0)),"-")</f>
        <v>Kaos Polo</v>
      </c>
      <c r="F967">
        <v>2</v>
      </c>
      <c r="G967">
        <v>1</v>
      </c>
      <c r="H967" s="36">
        <f>IFERROR(INDEX(Katalog!$D$3:$D$12,MATCH(cadangan3[[#This Row],[ItemID A]],Katalog!$C$3:$C$12,0))*cadangan3[[#This Row],[Qty A]],0)</f>
        <v>400000</v>
      </c>
      <c r="I967" s="36">
        <f>IFERROR(INDEX(Katalog!$D$3:$D$12,MATCH(cadangan3[[#This Row],[Item A]],Katalog!$B$3:$B$12,0))*cadangan3[[#This Row],[Qty A]],0)</f>
        <v>400000</v>
      </c>
      <c r="J967" s="36">
        <f>IFERROR(cadangan3[[#This Row],[Harga Asli A]]-(cadangan3[[#This Row],[Harga Asli A]]*cadangan3[[#This Row],[Diskon]]),cadangan3[[#This Row],[Harga Asli A]])</f>
        <v>400000</v>
      </c>
      <c r="K967" s="36">
        <f>INDEX(Katalog!$F$3:$F$12,MATCH(cadangan3[[#This Row],[ItemID A]],Katalog!$C$3:$C$12,0))*cadangan3[[#This Row],[Qty A]]</f>
        <v>160000</v>
      </c>
      <c r="L967" s="36">
        <f>IFERROR(cadangan3[[#This Row],[Profit A]]-(cadangan3[[#This Row],[Profit A]]*cadangan3[[#This Row],[Diskon]]),K967)</f>
        <v>160000</v>
      </c>
      <c r="M967" t="s">
        <v>60</v>
      </c>
      <c r="N967" t="str">
        <f>IFERROR(INDEX(Katalog!$A$3:$A$12,MATCH(cadangan3[[#This Row],[ItemID B]],Katalog!$C$3:$C$12,0)),"-")</f>
        <v>Pakaian Wanita</v>
      </c>
      <c r="O967" t="str">
        <f>IFERROR(INDEX(Katalog!$B$3:$B$12,MATCH(cadangan3[[#This Row],[ItemID B]],Katalog!$C$3:$C$12,0)),"-")</f>
        <v>Kaftan</v>
      </c>
      <c r="P967">
        <v>1</v>
      </c>
      <c r="Q967">
        <v>4</v>
      </c>
      <c r="R967" s="36">
        <f>IFERROR(INDEX(Katalog!$D$3:$D$12,MATCH(cadangan3[[#This Row],[ItemID B]],Katalog!$C$3:$C$12,0))*cadangan3[[#This Row],[Qty B]],0)</f>
        <v>250000</v>
      </c>
      <c r="S967" s="36">
        <f>IFERROR(INDEX(Katalog!$D$3:$D$12,MATCH(cadangan3[[#This Row],[Item B]],Katalog!$B$3:$B$12,0))*cadangan3[[#This Row],[Qty B]],0)</f>
        <v>250000</v>
      </c>
      <c r="T967" s="36">
        <f>IFERROR(cadangan3[[#This Row],[Harga Asli B]]-(cadangan3[[#This Row],[Harga Asli B]]*cadangan3[[#This Row],[Diskon]]),cadangan3[[#This Row],[Harga Asli B]])</f>
        <v>250000</v>
      </c>
      <c r="U967" s="36">
        <f>IFERROR(INDEX(Katalog!$F$3:$F$12,MATCH(cadangan3[[#This Row],[ItemID B]],Katalog!$C$3:$C$12,0))*cadangan3[[#This Row],[Qty B]],0)</f>
        <v>100000</v>
      </c>
      <c r="V967" s="36">
        <f>IFERROR(cadangan3[[#This Row],[Profit B]]-(cadangan3[[#This Row],[Profit B]]*cadangan3[[#This Row],[Diskon]]),U967)</f>
        <v>100000</v>
      </c>
      <c r="W967" t="s">
        <v>67</v>
      </c>
      <c r="X967" t="str">
        <f>IFERROR(INDEX(Katalog!$A$3:$A$12,MATCH(cadangan3[[#This Row],[ItemID C]],Katalog!$C$3:$C$12,0)),"-")</f>
        <v>Sepatu Wanita</v>
      </c>
      <c r="Y967" t="str">
        <f>IFERROR(INDEX(Katalog!$B$3:$B$12,MATCH(cadangan3[[#This Row],[ItemID C]],Katalog!$C$3:$C$12,0)),"-")</f>
        <v>Flat Shoes</v>
      </c>
      <c r="Z967">
        <v>1</v>
      </c>
      <c r="AA967">
        <v>3</v>
      </c>
      <c r="AB967" s="36">
        <f>IFERROR(INDEX(Katalog!$D$3:$D$12,MATCH(cadangan3[[#This Row],[ItemID C]],Katalog!$C$3:$C$12,0))*cadangan3[[#This Row],[Qty C]],0)</f>
        <v>250000</v>
      </c>
      <c r="AC967" s="36">
        <f>IFERROR(INDEX(Katalog!$D$3:$D$12,MATCH(cadangan3[[#This Row],[Item C]],Katalog!$B$3:$B$12,0))*cadangan3[[#This Row],[Qty C]],0)</f>
        <v>250000</v>
      </c>
      <c r="AD967" s="36">
        <f>IFERROR(cadangan3[[#This Row],[Harga Asli C]]-(cadangan3[[#This Row],[Harga Asli C]]*cadangan3[[#This Row],[Diskon]]),cadangan3[[#This Row],[Harga Asli C]])</f>
        <v>250000</v>
      </c>
      <c r="AE967" s="36">
        <f>IFERROR(INDEX(Katalog!$F$3:$F$12,MATCH(cadangan3[[#This Row],[ItemID C]],Katalog!$C$3:$C$12,0))*cadangan3[[#This Row],[Qty C]],0)</f>
        <v>100000</v>
      </c>
      <c r="AF967" s="36">
        <f>IFERROR(cadangan3[[#This Row],[Profit C]]-(cadangan3[[#This Row],[Profit C]]*cadangan3[[#This Row],[Diskon]]),cadangan3[[#This Row],[Profit C]])</f>
        <v>100000</v>
      </c>
      <c r="AG967" s="21">
        <f>cadangan3[[#This Row],[Qty A]]+cadangan3[[#This Row],[Qty B]]+cadangan3[[#This Row],[Qty C]]</f>
        <v>4</v>
      </c>
      <c r="AH967" s="35">
        <f>cadangan3[[#This Row],[Harga A + Diskon]]+cadangan3[[#This Row],[Harga + Diskon B]]+cadangan3[[#This Row],[Harga + Diskon C]]</f>
        <v>900000</v>
      </c>
      <c r="AI967" s="35">
        <f>(cadangan3[[#This Row],[Profit A]]+cadangan3[[#This Row],[Profit B]]+cadangan3[[#This Row],[Profit C]])</f>
        <v>360000</v>
      </c>
      <c r="AJ967" s="35">
        <f>cadangan3[[#This Row],[Provit A + Diskon]]+cadangan3[[#This Row],[Provit B + Diskon]]+cadangan3[[#This Row],[Provit C + Diskon]]</f>
        <v>360000</v>
      </c>
      <c r="AK967" s="23" t="s">
        <v>11</v>
      </c>
      <c r="AL967" s="37" t="str">
        <f>IFERROR(INDEX('Kode Diskon'!$D$3:$D$9,MATCH(cadangan3[[#This Row],[Kode diskon]],'Kode Diskon'!$C$3:$C$9,0)),"-")</f>
        <v>-</v>
      </c>
      <c r="AM967" s="23" t="s">
        <v>11</v>
      </c>
      <c r="AN967" s="23" t="s">
        <v>7</v>
      </c>
      <c r="AO967" s="23" t="s">
        <v>76</v>
      </c>
      <c r="AP967" s="24">
        <v>45025</v>
      </c>
      <c r="AQ967" s="23" t="str">
        <f>TEXT(cadangan3[[#This Row],[Tanggal terjual]],"dddd")</f>
        <v>Sunday</v>
      </c>
    </row>
    <row r="968" spans="1:43" x14ac:dyDescent="0.2">
      <c r="A968" s="20">
        <v>967</v>
      </c>
      <c r="B968" s="21" t="str">
        <f>_xlfn.CONCAT("ORD-",INDEX(Helper!$B$2:$B$5,MATCH(cadangan3[[#This Row],[Marketplace]],Helper!$A$2:$A$5,0)),TEXT(cadangan3[[#This Row],[No]],"0000"),"-",TEXT(cadangan3[[#This Row],[Tanggal terjual]],"dd/mm/yy"))</f>
        <v>ORD-TK0967-30/04/23</v>
      </c>
      <c r="C968" t="s">
        <v>64</v>
      </c>
      <c r="D968" t="str">
        <f>IFERROR(INDEX(Katalog!$A$3:$A$12,MATCH(cadangan3[[#This Row],[ItemID A]],Katalog!$C$3:$C$12,0)),"-")</f>
        <v>Pakaian Unisex</v>
      </c>
      <c r="E968" t="str">
        <f>IFERROR(INDEX(Katalog!$B$3:$B$12,MATCH(cadangan3[[#This Row],[ItemID A]],Katalog!$C$3:$C$12,0)),"-")</f>
        <v>Jaket Hoodie</v>
      </c>
      <c r="F968">
        <v>2</v>
      </c>
      <c r="G968">
        <v>4</v>
      </c>
      <c r="H968" s="36">
        <f>IFERROR(INDEX(Katalog!$D$3:$D$12,MATCH(cadangan3[[#This Row],[ItemID A]],Katalog!$C$3:$C$12,0))*cadangan3[[#This Row],[Qty A]],0)</f>
        <v>700000</v>
      </c>
      <c r="I968" s="36">
        <f>IFERROR(INDEX(Katalog!$D$3:$D$12,MATCH(cadangan3[[#This Row],[Item A]],Katalog!$B$3:$B$12,0))*cadangan3[[#This Row],[Qty A]],0)</f>
        <v>700000</v>
      </c>
      <c r="J968" s="36">
        <f>IFERROR(cadangan3[[#This Row],[Harga Asli A]]-(cadangan3[[#This Row],[Harga Asli A]]*cadangan3[[#This Row],[Diskon]]),cadangan3[[#This Row],[Harga Asli A]])</f>
        <v>630000</v>
      </c>
      <c r="K968" s="36">
        <f>INDEX(Katalog!$F$3:$F$12,MATCH(cadangan3[[#This Row],[ItemID A]],Katalog!$C$3:$C$12,0))*cadangan3[[#This Row],[Qty A]]</f>
        <v>260000</v>
      </c>
      <c r="L968" s="36">
        <f>IFERROR(cadangan3[[#This Row],[Profit A]]-(cadangan3[[#This Row],[Profit A]]*cadangan3[[#This Row],[Diskon]]),K968)</f>
        <v>234000</v>
      </c>
      <c r="M968" t="s">
        <v>67</v>
      </c>
      <c r="N968" t="str">
        <f>IFERROR(INDEX(Katalog!$A$3:$A$12,MATCH(cadangan3[[#This Row],[ItemID B]],Katalog!$C$3:$C$12,0)),"-")</f>
        <v>Sepatu Wanita</v>
      </c>
      <c r="O968" t="str">
        <f>IFERROR(INDEX(Katalog!$B$3:$B$12,MATCH(cadangan3[[#This Row],[ItemID B]],Katalog!$C$3:$C$12,0)),"-")</f>
        <v>Flat Shoes</v>
      </c>
      <c r="P968">
        <v>2</v>
      </c>
      <c r="Q968">
        <v>1</v>
      </c>
      <c r="R968" s="36">
        <f>IFERROR(INDEX(Katalog!$D$3:$D$12,MATCH(cadangan3[[#This Row],[ItemID B]],Katalog!$C$3:$C$12,0))*cadangan3[[#This Row],[Qty B]],0)</f>
        <v>500000</v>
      </c>
      <c r="S968" s="36">
        <f>IFERROR(INDEX(Katalog!$D$3:$D$12,MATCH(cadangan3[[#This Row],[Item B]],Katalog!$B$3:$B$12,0))*cadangan3[[#This Row],[Qty B]],0)</f>
        <v>500000</v>
      </c>
      <c r="T968" s="36">
        <f>IFERROR(cadangan3[[#This Row],[Harga Asli B]]-(cadangan3[[#This Row],[Harga Asli B]]*cadangan3[[#This Row],[Diskon]]),cadangan3[[#This Row],[Harga Asli B]])</f>
        <v>450000</v>
      </c>
      <c r="U968" s="36">
        <f>IFERROR(INDEX(Katalog!$F$3:$F$12,MATCH(cadangan3[[#This Row],[ItemID B]],Katalog!$C$3:$C$12,0))*cadangan3[[#This Row],[Qty B]],0)</f>
        <v>200000</v>
      </c>
      <c r="V968" s="36">
        <f>IFERROR(cadangan3[[#This Row],[Profit B]]-(cadangan3[[#This Row],[Profit B]]*cadangan3[[#This Row],[Diskon]]),U968)</f>
        <v>180000</v>
      </c>
      <c r="W968" t="s">
        <v>58</v>
      </c>
      <c r="X968" t="str">
        <f>IFERROR(INDEX(Katalog!$A$3:$A$12,MATCH(cadangan3[[#This Row],[ItemID C]],Katalog!$C$3:$C$12,0)),"-")</f>
        <v>Pakaian Wanita</v>
      </c>
      <c r="Y968" t="str">
        <f>IFERROR(INDEX(Katalog!$B$3:$B$12,MATCH(cadangan3[[#This Row],[ItemID C]],Katalog!$C$3:$C$12,0)),"-")</f>
        <v>Dress</v>
      </c>
      <c r="Z968">
        <v>1</v>
      </c>
      <c r="AA968">
        <v>4</v>
      </c>
      <c r="AB968" s="36">
        <f>IFERROR(INDEX(Katalog!$D$3:$D$12,MATCH(cadangan3[[#This Row],[ItemID C]],Katalog!$C$3:$C$12,0))*cadangan3[[#This Row],[Qty C]],0)</f>
        <v>300000</v>
      </c>
      <c r="AC968" s="36">
        <f>IFERROR(INDEX(Katalog!$D$3:$D$12,MATCH(cadangan3[[#This Row],[Item C]],Katalog!$B$3:$B$12,0))*cadangan3[[#This Row],[Qty C]],0)</f>
        <v>300000</v>
      </c>
      <c r="AD968" s="36">
        <f>IFERROR(cadangan3[[#This Row],[Harga Asli C]]-(cadangan3[[#This Row],[Harga Asli C]]*cadangan3[[#This Row],[Diskon]]),cadangan3[[#This Row],[Harga Asli C]])</f>
        <v>270000</v>
      </c>
      <c r="AE968" s="36">
        <f>IFERROR(INDEX(Katalog!$F$3:$F$12,MATCH(cadangan3[[#This Row],[ItemID C]],Katalog!$C$3:$C$12,0))*cadangan3[[#This Row],[Qty C]],0)</f>
        <v>100000</v>
      </c>
      <c r="AF968" s="36">
        <f>IFERROR(cadangan3[[#This Row],[Profit C]]-(cadangan3[[#This Row],[Profit C]]*cadangan3[[#This Row],[Diskon]]),cadangan3[[#This Row],[Profit C]])</f>
        <v>90000</v>
      </c>
      <c r="AG968" s="21">
        <f>cadangan3[[#This Row],[Qty A]]+cadangan3[[#This Row],[Qty B]]+cadangan3[[#This Row],[Qty C]]</f>
        <v>5</v>
      </c>
      <c r="AH968" s="35">
        <f>cadangan3[[#This Row],[Harga A + Diskon]]+cadangan3[[#This Row],[Harga + Diskon B]]+cadangan3[[#This Row],[Harga + Diskon C]]</f>
        <v>1350000</v>
      </c>
      <c r="AI968" s="35">
        <f>(cadangan3[[#This Row],[Profit A]]+cadangan3[[#This Row],[Profit B]]+cadangan3[[#This Row],[Profit C]])</f>
        <v>560000</v>
      </c>
      <c r="AJ968" s="35">
        <f>cadangan3[[#This Row],[Provit A + Diskon]]+cadangan3[[#This Row],[Provit B + Diskon]]+cadangan3[[#This Row],[Provit C + Diskon]]</f>
        <v>504000</v>
      </c>
      <c r="AK968" s="23" t="s">
        <v>31</v>
      </c>
      <c r="AL968" s="37">
        <f>IFERROR(INDEX('Kode Diskon'!$D$3:$D$9,MATCH(cadangan3[[#This Row],[Kode diskon]],'Kode Diskon'!$C$3:$C$9,0)),"-")</f>
        <v>0.1</v>
      </c>
      <c r="AM968" s="23" t="s">
        <v>9</v>
      </c>
      <c r="AN968" s="23" t="s">
        <v>10</v>
      </c>
      <c r="AO968" s="23" t="s">
        <v>80</v>
      </c>
      <c r="AP968" s="24">
        <v>45046</v>
      </c>
      <c r="AQ968" s="23" t="str">
        <f>TEXT(cadangan3[[#This Row],[Tanggal terjual]],"dddd")</f>
        <v>Sunday</v>
      </c>
    </row>
    <row r="969" spans="1:43" x14ac:dyDescent="0.2">
      <c r="A969" s="20">
        <v>968</v>
      </c>
      <c r="B969" s="21" t="str">
        <f>_xlfn.CONCAT("ORD-",INDEX(Helper!$B$2:$B$5,MATCH(cadangan3[[#This Row],[Marketplace]],Helper!$A$2:$A$5,0)),TEXT(cadangan3[[#This Row],[No]],"0000"),"-",TEXT(cadangan3[[#This Row],[Tanggal terjual]],"dd/mm/yy"))</f>
        <v>ORD-BB0968-09/04/23</v>
      </c>
      <c r="C969" t="s">
        <v>67</v>
      </c>
      <c r="D969" t="str">
        <f>IFERROR(INDEX(Katalog!$A$3:$A$12,MATCH(cadangan3[[#This Row],[ItemID A]],Katalog!$C$3:$C$12,0)),"-")</f>
        <v>Sepatu Wanita</v>
      </c>
      <c r="E969" t="str">
        <f>IFERROR(INDEX(Katalog!$B$3:$B$12,MATCH(cadangan3[[#This Row],[ItemID A]],Katalog!$C$3:$C$12,0)),"-")</f>
        <v>Flat Shoes</v>
      </c>
      <c r="F969">
        <v>2</v>
      </c>
      <c r="G969">
        <v>4</v>
      </c>
      <c r="H969" s="36">
        <f>IFERROR(INDEX(Katalog!$D$3:$D$12,MATCH(cadangan3[[#This Row],[ItemID A]],Katalog!$C$3:$C$12,0))*cadangan3[[#This Row],[Qty A]],0)</f>
        <v>500000</v>
      </c>
      <c r="I969" s="36">
        <f>IFERROR(INDEX(Katalog!$D$3:$D$12,MATCH(cadangan3[[#This Row],[Item A]],Katalog!$B$3:$B$12,0))*cadangan3[[#This Row],[Qty A]],0)</f>
        <v>500000</v>
      </c>
      <c r="J969" s="36">
        <f>IFERROR(cadangan3[[#This Row],[Harga Asli A]]-(cadangan3[[#This Row],[Harga Asli A]]*cadangan3[[#This Row],[Diskon]]),cadangan3[[#This Row],[Harga Asli A]])</f>
        <v>500000</v>
      </c>
      <c r="K969" s="36">
        <f>INDEX(Katalog!$F$3:$F$12,MATCH(cadangan3[[#This Row],[ItemID A]],Katalog!$C$3:$C$12,0))*cadangan3[[#This Row],[Qty A]]</f>
        <v>200000</v>
      </c>
      <c r="L969" s="36">
        <f>IFERROR(cadangan3[[#This Row],[Profit A]]-(cadangan3[[#This Row],[Profit A]]*cadangan3[[#This Row],[Diskon]]),K969)</f>
        <v>200000</v>
      </c>
      <c r="M969" t="s">
        <v>65</v>
      </c>
      <c r="N969" t="str">
        <f>IFERROR(INDEX(Katalog!$A$3:$A$12,MATCH(cadangan3[[#This Row],[ItemID B]],Katalog!$C$3:$C$12,0)),"-")</f>
        <v>Sepatu Pria</v>
      </c>
      <c r="O969" t="str">
        <f>IFERROR(INDEX(Katalog!$B$3:$B$12,MATCH(cadangan3[[#This Row],[ItemID B]],Katalog!$C$3:$C$12,0)),"-")</f>
        <v>Sneakers</v>
      </c>
      <c r="P969">
        <v>3</v>
      </c>
      <c r="Q969">
        <v>4</v>
      </c>
      <c r="R969" s="36">
        <f>IFERROR(INDEX(Katalog!$D$3:$D$12,MATCH(cadangan3[[#This Row],[ItemID B]],Katalog!$C$3:$C$12,0))*cadangan3[[#This Row],[Qty B]],0)</f>
        <v>1500000</v>
      </c>
      <c r="S969" s="36">
        <f>IFERROR(INDEX(Katalog!$D$3:$D$12,MATCH(cadangan3[[#This Row],[Item B]],Katalog!$B$3:$B$12,0))*cadangan3[[#This Row],[Qty B]],0)</f>
        <v>1500000</v>
      </c>
      <c r="T969" s="36">
        <f>IFERROR(cadangan3[[#This Row],[Harga Asli B]]-(cadangan3[[#This Row],[Harga Asli B]]*cadangan3[[#This Row],[Diskon]]),cadangan3[[#This Row],[Harga Asli B]])</f>
        <v>1500000</v>
      </c>
      <c r="U969" s="36">
        <f>IFERROR(INDEX(Katalog!$F$3:$F$12,MATCH(cadangan3[[#This Row],[ItemID B]],Katalog!$C$3:$C$12,0))*cadangan3[[#This Row],[Qty B]],0)</f>
        <v>600000</v>
      </c>
      <c r="V969" s="36">
        <f>IFERROR(cadangan3[[#This Row],[Profit B]]-(cadangan3[[#This Row],[Profit B]]*cadangan3[[#This Row],[Diskon]]),U969)</f>
        <v>600000</v>
      </c>
      <c r="W969" t="s">
        <v>62</v>
      </c>
      <c r="X969" t="str">
        <f>IFERROR(INDEX(Katalog!$A$3:$A$12,MATCH(cadangan3[[#This Row],[ItemID C]],Katalog!$C$3:$C$12,0)),"-")</f>
        <v>Pakaian Pria</v>
      </c>
      <c r="Y969" t="str">
        <f>IFERROR(INDEX(Katalog!$B$3:$B$12,MATCH(cadangan3[[#This Row],[ItemID C]],Katalog!$C$3:$C$12,0)),"-")</f>
        <v>Celana Pendek</v>
      </c>
      <c r="Z969">
        <v>1</v>
      </c>
      <c r="AA969">
        <v>5</v>
      </c>
      <c r="AB969" s="36">
        <f>IFERROR(INDEX(Katalog!$D$3:$D$12,MATCH(cadangan3[[#This Row],[ItemID C]],Katalog!$C$3:$C$12,0))*cadangan3[[#This Row],[Qty C]],0)</f>
        <v>180000</v>
      </c>
      <c r="AC969" s="36">
        <f>IFERROR(INDEX(Katalog!$D$3:$D$12,MATCH(cadangan3[[#This Row],[Item C]],Katalog!$B$3:$B$12,0))*cadangan3[[#This Row],[Qty C]],0)</f>
        <v>180000</v>
      </c>
      <c r="AD969" s="36">
        <f>IFERROR(cadangan3[[#This Row],[Harga Asli C]]-(cadangan3[[#This Row],[Harga Asli C]]*cadangan3[[#This Row],[Diskon]]),cadangan3[[#This Row],[Harga Asli C]])</f>
        <v>180000</v>
      </c>
      <c r="AE969" s="36">
        <f>IFERROR(INDEX(Katalog!$F$3:$F$12,MATCH(cadangan3[[#This Row],[ItemID C]],Katalog!$C$3:$C$12,0))*cadangan3[[#This Row],[Qty C]],0)</f>
        <v>70000</v>
      </c>
      <c r="AF969" s="36">
        <f>IFERROR(cadangan3[[#This Row],[Profit C]]-(cadangan3[[#This Row],[Profit C]]*cadangan3[[#This Row],[Diskon]]),cadangan3[[#This Row],[Profit C]])</f>
        <v>70000</v>
      </c>
      <c r="AG969" s="21">
        <f>cadangan3[[#This Row],[Qty A]]+cadangan3[[#This Row],[Qty B]]+cadangan3[[#This Row],[Qty C]]</f>
        <v>6</v>
      </c>
      <c r="AH969" s="35">
        <f>cadangan3[[#This Row],[Harga A + Diskon]]+cadangan3[[#This Row],[Harga + Diskon B]]+cadangan3[[#This Row],[Harga + Diskon C]]</f>
        <v>2180000</v>
      </c>
      <c r="AI969" s="35">
        <f>(cadangan3[[#This Row],[Profit A]]+cadangan3[[#This Row],[Profit B]]+cadangan3[[#This Row],[Profit C]])</f>
        <v>870000</v>
      </c>
      <c r="AJ969" s="35">
        <f>cadangan3[[#This Row],[Provit A + Diskon]]+cadangan3[[#This Row],[Provit B + Diskon]]+cadangan3[[#This Row],[Provit C + Diskon]]</f>
        <v>870000</v>
      </c>
      <c r="AK969" s="23" t="s">
        <v>11</v>
      </c>
      <c r="AL969" s="37" t="str">
        <f>IFERROR(INDEX('Kode Diskon'!$D$3:$D$9,MATCH(cadangan3[[#This Row],[Kode diskon]],'Kode Diskon'!$C$3:$C$9,0)),"-")</f>
        <v>-</v>
      </c>
      <c r="AM969" s="23" t="s">
        <v>11</v>
      </c>
      <c r="AN969" s="23" t="s">
        <v>14</v>
      </c>
      <c r="AO969" s="23" t="s">
        <v>75</v>
      </c>
      <c r="AP969" s="24">
        <v>45025</v>
      </c>
      <c r="AQ969" s="23" t="str">
        <f>TEXT(cadangan3[[#This Row],[Tanggal terjual]],"dddd")</f>
        <v>Sunday</v>
      </c>
    </row>
    <row r="970" spans="1:43" x14ac:dyDescent="0.2">
      <c r="A970" s="20">
        <v>969</v>
      </c>
      <c r="B970" s="21" t="str">
        <f>_xlfn.CONCAT("ORD-",INDEX(Helper!$B$2:$B$5,MATCH(cadangan3[[#This Row],[Marketplace]],Helper!$A$2:$A$5,0)),TEXT(cadangan3[[#This Row],[No]],"0000"),"-",TEXT(cadangan3[[#This Row],[Tanggal terjual]],"dd/mm/yy"))</f>
        <v>ORD-TK0969-28/04/23</v>
      </c>
      <c r="C970" t="s">
        <v>63</v>
      </c>
      <c r="D970" t="str">
        <f>IFERROR(INDEX(Katalog!$A$3:$A$12,MATCH(cadangan3[[#This Row],[ItemID A]],Katalog!$C$3:$C$12,0)),"-")</f>
        <v>Pakaian Pria</v>
      </c>
      <c r="E970" t="str">
        <f>IFERROR(INDEX(Katalog!$B$3:$B$12,MATCH(cadangan3[[#This Row],[ItemID A]],Katalog!$C$3:$C$12,0)),"-")</f>
        <v>Jaket Jeans</v>
      </c>
      <c r="F970">
        <v>3</v>
      </c>
      <c r="G970">
        <v>5</v>
      </c>
      <c r="H970" s="36">
        <f>IFERROR(INDEX(Katalog!$D$3:$D$12,MATCH(cadangan3[[#This Row],[ItemID A]],Katalog!$C$3:$C$12,0))*cadangan3[[#This Row],[Qty A]],0)</f>
        <v>1200000</v>
      </c>
      <c r="I970" s="36">
        <f>IFERROR(INDEX(Katalog!$D$3:$D$12,MATCH(cadangan3[[#This Row],[Item A]],Katalog!$B$3:$B$12,0))*cadangan3[[#This Row],[Qty A]],0)</f>
        <v>1200000</v>
      </c>
      <c r="J970" s="36">
        <f>IFERROR(cadangan3[[#This Row],[Harga Asli A]]-(cadangan3[[#This Row],[Harga Asli A]]*cadangan3[[#This Row],[Diskon]]),cadangan3[[#This Row],[Harga Asli A]])</f>
        <v>1080000</v>
      </c>
      <c r="K970" s="36">
        <f>INDEX(Katalog!$F$3:$F$12,MATCH(cadangan3[[#This Row],[ItemID A]],Katalog!$C$3:$C$12,0))*cadangan3[[#This Row],[Qty A]]</f>
        <v>450000</v>
      </c>
      <c r="L970" s="36">
        <f>IFERROR(cadangan3[[#This Row],[Profit A]]-(cadangan3[[#This Row],[Profit A]]*cadangan3[[#This Row],[Diskon]]),K970)</f>
        <v>405000</v>
      </c>
      <c r="M970" t="s">
        <v>58</v>
      </c>
      <c r="N970" t="str">
        <f>IFERROR(INDEX(Katalog!$A$3:$A$12,MATCH(cadangan3[[#This Row],[ItemID B]],Katalog!$C$3:$C$12,0)),"-")</f>
        <v>Pakaian Wanita</v>
      </c>
      <c r="O970" t="str">
        <f>IFERROR(INDEX(Katalog!$B$3:$B$12,MATCH(cadangan3[[#This Row],[ItemID B]],Katalog!$C$3:$C$12,0)),"-")</f>
        <v>Dress</v>
      </c>
      <c r="P970">
        <v>1</v>
      </c>
      <c r="Q970">
        <v>4</v>
      </c>
      <c r="R970" s="36">
        <f>IFERROR(INDEX(Katalog!$D$3:$D$12,MATCH(cadangan3[[#This Row],[ItemID B]],Katalog!$C$3:$C$12,0))*cadangan3[[#This Row],[Qty B]],0)</f>
        <v>300000</v>
      </c>
      <c r="S970" s="36">
        <f>IFERROR(INDEX(Katalog!$D$3:$D$12,MATCH(cadangan3[[#This Row],[Item B]],Katalog!$B$3:$B$12,0))*cadangan3[[#This Row],[Qty B]],0)</f>
        <v>300000</v>
      </c>
      <c r="T970" s="36">
        <f>IFERROR(cadangan3[[#This Row],[Harga Asli B]]-(cadangan3[[#This Row],[Harga Asli B]]*cadangan3[[#This Row],[Diskon]]),cadangan3[[#This Row],[Harga Asli B]])</f>
        <v>270000</v>
      </c>
      <c r="U970" s="36">
        <f>IFERROR(INDEX(Katalog!$F$3:$F$12,MATCH(cadangan3[[#This Row],[ItemID B]],Katalog!$C$3:$C$12,0))*cadangan3[[#This Row],[Qty B]],0)</f>
        <v>100000</v>
      </c>
      <c r="V970" s="36">
        <f>IFERROR(cadangan3[[#This Row],[Profit B]]-(cadangan3[[#This Row],[Profit B]]*cadangan3[[#This Row],[Diskon]]),U970)</f>
        <v>90000</v>
      </c>
      <c r="W970" t="s">
        <v>59</v>
      </c>
      <c r="X970" t="str">
        <f>IFERROR(INDEX(Katalog!$A$3:$A$12,MATCH(cadangan3[[#This Row],[ItemID C]],Katalog!$C$3:$C$12,0)),"-")</f>
        <v>Pakaian Wanita</v>
      </c>
      <c r="Y970" t="str">
        <f>IFERROR(INDEX(Katalog!$B$3:$B$12,MATCH(cadangan3[[#This Row],[ItemID C]],Katalog!$C$3:$C$12,0)),"-")</f>
        <v>Blouse</v>
      </c>
      <c r="Z970">
        <v>2</v>
      </c>
      <c r="AA970">
        <v>5</v>
      </c>
      <c r="AB970" s="36">
        <f>IFERROR(INDEX(Katalog!$D$3:$D$12,MATCH(cadangan3[[#This Row],[ItemID C]],Katalog!$C$3:$C$12,0))*cadangan3[[#This Row],[Qty C]],0)</f>
        <v>300000</v>
      </c>
      <c r="AC970" s="36">
        <f>IFERROR(INDEX(Katalog!$D$3:$D$12,MATCH(cadangan3[[#This Row],[Item C]],Katalog!$B$3:$B$12,0))*cadangan3[[#This Row],[Qty C]],0)</f>
        <v>300000</v>
      </c>
      <c r="AD970" s="36">
        <f>IFERROR(cadangan3[[#This Row],[Harga Asli C]]-(cadangan3[[#This Row],[Harga Asli C]]*cadangan3[[#This Row],[Diskon]]),cadangan3[[#This Row],[Harga Asli C]])</f>
        <v>270000</v>
      </c>
      <c r="AE970" s="36">
        <f>IFERROR(INDEX(Katalog!$F$3:$F$12,MATCH(cadangan3[[#This Row],[ItemID C]],Katalog!$C$3:$C$12,0))*cadangan3[[#This Row],[Qty C]],0)</f>
        <v>100000</v>
      </c>
      <c r="AF970" s="36">
        <f>IFERROR(cadangan3[[#This Row],[Profit C]]-(cadangan3[[#This Row],[Profit C]]*cadangan3[[#This Row],[Diskon]]),cadangan3[[#This Row],[Profit C]])</f>
        <v>90000</v>
      </c>
      <c r="AG970" s="21">
        <f>cadangan3[[#This Row],[Qty A]]+cadangan3[[#This Row],[Qty B]]+cadangan3[[#This Row],[Qty C]]</f>
        <v>6</v>
      </c>
      <c r="AH970" s="35">
        <f>cadangan3[[#This Row],[Harga A + Diskon]]+cadangan3[[#This Row],[Harga + Diskon B]]+cadangan3[[#This Row],[Harga + Diskon C]]</f>
        <v>1620000</v>
      </c>
      <c r="AI970" s="35">
        <f>(cadangan3[[#This Row],[Profit A]]+cadangan3[[#This Row],[Profit B]]+cadangan3[[#This Row],[Profit C]])</f>
        <v>650000</v>
      </c>
      <c r="AJ970" s="35">
        <f>cadangan3[[#This Row],[Provit A + Diskon]]+cadangan3[[#This Row],[Provit B + Diskon]]+cadangan3[[#This Row],[Provit C + Diskon]]</f>
        <v>585000</v>
      </c>
      <c r="AK970" s="23" t="s">
        <v>31</v>
      </c>
      <c r="AL970" s="37">
        <f>IFERROR(INDEX('Kode Diskon'!$D$3:$D$9,MATCH(cadangan3[[#This Row],[Kode diskon]],'Kode Diskon'!$C$3:$C$9,0)),"-")</f>
        <v>0.1</v>
      </c>
      <c r="AM970" s="23" t="s">
        <v>9</v>
      </c>
      <c r="AN970" s="23" t="s">
        <v>10</v>
      </c>
      <c r="AO970" s="23" t="s">
        <v>75</v>
      </c>
      <c r="AP970" s="24">
        <v>45044</v>
      </c>
      <c r="AQ970" s="23" t="str">
        <f>TEXT(cadangan3[[#This Row],[Tanggal terjual]],"dddd")</f>
        <v>Friday</v>
      </c>
    </row>
    <row r="971" spans="1:43" x14ac:dyDescent="0.2">
      <c r="A971" s="20">
        <v>970</v>
      </c>
      <c r="B971" s="21" t="str">
        <f>_xlfn.CONCAT("ORD-",INDEX(Helper!$B$2:$B$5,MATCH(cadangan3[[#This Row],[Marketplace]],Helper!$A$2:$A$5,0)),TEXT(cadangan3[[#This Row],[No]],"0000"),"-",TEXT(cadangan3[[#This Row],[Tanggal terjual]],"dd/mm/yy"))</f>
        <v>ORD-SP0970-04/04/23</v>
      </c>
      <c r="C971" t="s">
        <v>66</v>
      </c>
      <c r="D971" t="str">
        <f>IFERROR(INDEX(Katalog!$A$3:$A$12,MATCH(cadangan3[[#This Row],[ItemID A]],Katalog!$C$3:$C$12,0)),"-")</f>
        <v>Sepatu Pria</v>
      </c>
      <c r="E971" t="str">
        <f>IFERROR(INDEX(Katalog!$B$3:$B$12,MATCH(cadangan3[[#This Row],[ItemID A]],Katalog!$C$3:$C$12,0)),"-")</f>
        <v>Sandal Slip On</v>
      </c>
      <c r="F971">
        <v>1</v>
      </c>
      <c r="G971">
        <v>4</v>
      </c>
      <c r="H971" s="36">
        <f>IFERROR(INDEX(Katalog!$D$3:$D$12,MATCH(cadangan3[[#This Row],[ItemID A]],Katalog!$C$3:$C$12,0))*cadangan3[[#This Row],[Qty A]],0)</f>
        <v>150000</v>
      </c>
      <c r="I971" s="36">
        <f>IFERROR(INDEX(Katalog!$D$3:$D$12,MATCH(cadangan3[[#This Row],[Item A]],Katalog!$B$3:$B$12,0))*cadangan3[[#This Row],[Qty A]],0)</f>
        <v>150000</v>
      </c>
      <c r="J971" s="36">
        <f>IFERROR(cadangan3[[#This Row],[Harga Asli A]]-(cadangan3[[#This Row],[Harga Asli A]]*cadangan3[[#This Row],[Diskon]]),cadangan3[[#This Row],[Harga Asli A]])</f>
        <v>135000</v>
      </c>
      <c r="K971" s="36">
        <f>INDEX(Katalog!$F$3:$F$12,MATCH(cadangan3[[#This Row],[ItemID A]],Katalog!$C$3:$C$12,0))*cadangan3[[#This Row],[Qty A]]</f>
        <v>60000</v>
      </c>
      <c r="L971" s="36">
        <f>IFERROR(cadangan3[[#This Row],[Profit A]]-(cadangan3[[#This Row],[Profit A]]*cadangan3[[#This Row],[Diskon]]),K971)</f>
        <v>54000</v>
      </c>
      <c r="M971" t="s">
        <v>60</v>
      </c>
      <c r="N971" t="str">
        <f>IFERROR(INDEX(Katalog!$A$3:$A$12,MATCH(cadangan3[[#This Row],[ItemID B]],Katalog!$C$3:$C$12,0)),"-")</f>
        <v>Pakaian Wanita</v>
      </c>
      <c r="O971" t="str">
        <f>IFERROR(INDEX(Katalog!$B$3:$B$12,MATCH(cadangan3[[#This Row],[ItemID B]],Katalog!$C$3:$C$12,0)),"-")</f>
        <v>Kaftan</v>
      </c>
      <c r="P971">
        <v>3</v>
      </c>
      <c r="Q971">
        <v>5</v>
      </c>
      <c r="R971" s="36">
        <f>IFERROR(INDEX(Katalog!$D$3:$D$12,MATCH(cadangan3[[#This Row],[ItemID B]],Katalog!$C$3:$C$12,0))*cadangan3[[#This Row],[Qty B]],0)</f>
        <v>750000</v>
      </c>
      <c r="S971" s="36">
        <f>IFERROR(INDEX(Katalog!$D$3:$D$12,MATCH(cadangan3[[#This Row],[Item B]],Katalog!$B$3:$B$12,0))*cadangan3[[#This Row],[Qty B]],0)</f>
        <v>750000</v>
      </c>
      <c r="T971" s="36">
        <f>IFERROR(cadangan3[[#This Row],[Harga Asli B]]-(cadangan3[[#This Row],[Harga Asli B]]*cadangan3[[#This Row],[Diskon]]),cadangan3[[#This Row],[Harga Asli B]])</f>
        <v>675000</v>
      </c>
      <c r="U971" s="36">
        <f>IFERROR(INDEX(Katalog!$F$3:$F$12,MATCH(cadangan3[[#This Row],[ItemID B]],Katalog!$C$3:$C$12,0))*cadangan3[[#This Row],[Qty B]],0)</f>
        <v>300000</v>
      </c>
      <c r="V971" s="36">
        <f>IFERROR(cadangan3[[#This Row],[Profit B]]-(cadangan3[[#This Row],[Profit B]]*cadangan3[[#This Row],[Diskon]]),U971)</f>
        <v>270000</v>
      </c>
      <c r="X971" t="str">
        <f>IFERROR(INDEX(Katalog!$A$3:$A$12,MATCH(cadangan3[[#This Row],[ItemID C]],Katalog!$C$3:$C$12,0)),"-")</f>
        <v>-</v>
      </c>
      <c r="Y971" t="str">
        <f>IFERROR(INDEX(Katalog!$B$3:$B$12,MATCH(cadangan3[[#This Row],[ItemID C]],Katalog!$C$3:$C$12,0)),"-")</f>
        <v>-</v>
      </c>
      <c r="AB971" s="36">
        <f>IFERROR(INDEX(Katalog!$D$3:$D$12,MATCH(cadangan3[[#This Row],[ItemID C]],Katalog!$C$3:$C$12,0))*cadangan3[[#This Row],[Qty C]],0)</f>
        <v>0</v>
      </c>
      <c r="AC971" s="36">
        <f>IFERROR(INDEX(Katalog!$D$3:$D$12,MATCH(cadangan3[[#This Row],[Item C]],Katalog!$B$3:$B$12,0))*cadangan3[[#This Row],[Qty C]],0)</f>
        <v>0</v>
      </c>
      <c r="AD971" s="36">
        <f>IFERROR(cadangan3[[#This Row],[Harga Asli C]]-(cadangan3[[#This Row],[Harga Asli C]]*cadangan3[[#This Row],[Diskon]]),cadangan3[[#This Row],[Harga Asli C]])</f>
        <v>0</v>
      </c>
      <c r="AE971" s="36">
        <f>IFERROR(INDEX(Katalog!$F$3:$F$12,MATCH(cadangan3[[#This Row],[ItemID C]],Katalog!$C$3:$C$12,0))*cadangan3[[#This Row],[Qty C]],0)</f>
        <v>0</v>
      </c>
      <c r="AF971" s="36">
        <f>IFERROR(cadangan3[[#This Row],[Profit C]]-(cadangan3[[#This Row],[Profit C]]*cadangan3[[#This Row],[Diskon]]),cadangan3[[#This Row],[Profit C]])</f>
        <v>0</v>
      </c>
      <c r="AG971" s="21">
        <f>cadangan3[[#This Row],[Qty A]]+cadangan3[[#This Row],[Qty B]]+cadangan3[[#This Row],[Qty C]]</f>
        <v>4</v>
      </c>
      <c r="AH971" s="35">
        <f>cadangan3[[#This Row],[Harga A + Diskon]]+cadangan3[[#This Row],[Harga + Diskon B]]+cadangan3[[#This Row],[Harga + Diskon C]]</f>
        <v>810000</v>
      </c>
      <c r="AI971" s="35">
        <f>(cadangan3[[#This Row],[Profit A]]+cadangan3[[#This Row],[Profit B]]+cadangan3[[#This Row],[Profit C]])</f>
        <v>360000</v>
      </c>
      <c r="AJ971" s="35">
        <f>cadangan3[[#This Row],[Provit A + Diskon]]+cadangan3[[#This Row],[Provit B + Diskon]]+cadangan3[[#This Row],[Provit C + Diskon]]</f>
        <v>324000</v>
      </c>
      <c r="AK971" s="23" t="s">
        <v>6</v>
      </c>
      <c r="AL971" s="37">
        <f>IFERROR(INDEX('Kode Diskon'!$D$3:$D$9,MATCH(cadangan3[[#This Row],[Kode diskon]],'Kode Diskon'!$C$3:$C$9,0)),"-")</f>
        <v>0.1</v>
      </c>
      <c r="AM971" s="23" t="s">
        <v>29</v>
      </c>
      <c r="AN971" s="23" t="s">
        <v>7</v>
      </c>
      <c r="AO971" s="23" t="s">
        <v>79</v>
      </c>
      <c r="AP971" s="24">
        <v>45020</v>
      </c>
      <c r="AQ971" s="23" t="str">
        <f>TEXT(cadangan3[[#This Row],[Tanggal terjual]],"dddd")</f>
        <v>Tuesday</v>
      </c>
    </row>
    <row r="972" spans="1:43" x14ac:dyDescent="0.2">
      <c r="A972" s="20">
        <v>971</v>
      </c>
      <c r="B972" s="21" t="str">
        <f>_xlfn.CONCAT("ORD-",INDEX(Helper!$B$2:$B$5,MATCH(cadangan3[[#This Row],[Marketplace]],Helper!$A$2:$A$5,0)),TEXT(cadangan3[[#This Row],[No]],"0000"),"-",TEXT(cadangan3[[#This Row],[Tanggal terjual]],"dd/mm/yy"))</f>
        <v>ORD-BB0971-01/04/23</v>
      </c>
      <c r="C972" t="s">
        <v>63</v>
      </c>
      <c r="D972" t="str">
        <f>IFERROR(INDEX(Katalog!$A$3:$A$12,MATCH(cadangan3[[#This Row],[ItemID A]],Katalog!$C$3:$C$12,0)),"-")</f>
        <v>Pakaian Pria</v>
      </c>
      <c r="E972" t="str">
        <f>IFERROR(INDEX(Katalog!$B$3:$B$12,MATCH(cadangan3[[#This Row],[ItemID A]],Katalog!$C$3:$C$12,0)),"-")</f>
        <v>Jaket Jeans</v>
      </c>
      <c r="F972">
        <v>5</v>
      </c>
      <c r="G972">
        <v>3</v>
      </c>
      <c r="H972" s="36">
        <f>IFERROR(INDEX(Katalog!$D$3:$D$12,MATCH(cadangan3[[#This Row],[ItemID A]],Katalog!$C$3:$C$12,0))*cadangan3[[#This Row],[Qty A]],0)</f>
        <v>2000000</v>
      </c>
      <c r="I972" s="36">
        <f>IFERROR(INDEX(Katalog!$D$3:$D$12,MATCH(cadangan3[[#This Row],[Item A]],Katalog!$B$3:$B$12,0))*cadangan3[[#This Row],[Qty A]],0)</f>
        <v>2000000</v>
      </c>
      <c r="J972" s="36">
        <f>IFERROR(cadangan3[[#This Row],[Harga Asli A]]-(cadangan3[[#This Row],[Harga Asli A]]*cadangan3[[#This Row],[Diskon]]),cadangan3[[#This Row],[Harga Asli A]])</f>
        <v>1700000</v>
      </c>
      <c r="K972" s="36">
        <f>INDEX(Katalog!$F$3:$F$12,MATCH(cadangan3[[#This Row],[ItemID A]],Katalog!$C$3:$C$12,0))*cadangan3[[#This Row],[Qty A]]</f>
        <v>750000</v>
      </c>
      <c r="L972" s="36">
        <f>IFERROR(cadangan3[[#This Row],[Profit A]]-(cadangan3[[#This Row],[Profit A]]*cadangan3[[#This Row],[Diskon]]),K972)</f>
        <v>637500</v>
      </c>
      <c r="N972" t="str">
        <f>IFERROR(INDEX(Katalog!$A$3:$A$12,MATCH(cadangan3[[#This Row],[ItemID B]],Katalog!$C$3:$C$12,0)),"-")</f>
        <v>-</v>
      </c>
      <c r="O972" t="str">
        <f>IFERROR(INDEX(Katalog!$B$3:$B$12,MATCH(cadangan3[[#This Row],[ItemID B]],Katalog!$C$3:$C$12,0)),"-")</f>
        <v>-</v>
      </c>
      <c r="R972" s="36">
        <f>IFERROR(INDEX(Katalog!$D$3:$D$12,MATCH(cadangan3[[#This Row],[ItemID B]],Katalog!$C$3:$C$12,0))*cadangan3[[#This Row],[Qty B]],0)</f>
        <v>0</v>
      </c>
      <c r="S972" s="36">
        <f>IFERROR(INDEX(Katalog!$D$3:$D$12,MATCH(cadangan3[[#This Row],[Item B]],Katalog!$B$3:$B$12,0))*cadangan3[[#This Row],[Qty B]],0)</f>
        <v>0</v>
      </c>
      <c r="T972" s="36">
        <f>IFERROR(cadangan3[[#This Row],[Harga Asli B]]-(cadangan3[[#This Row],[Harga Asli B]]*cadangan3[[#This Row],[Diskon]]),cadangan3[[#This Row],[Harga Asli B]])</f>
        <v>0</v>
      </c>
      <c r="U972" s="36">
        <f>IFERROR(INDEX(Katalog!$F$3:$F$12,MATCH(cadangan3[[#This Row],[ItemID B]],Katalog!$C$3:$C$12,0))*cadangan3[[#This Row],[Qty B]],0)</f>
        <v>0</v>
      </c>
      <c r="V972" s="36">
        <f>IFERROR(cadangan3[[#This Row],[Profit B]]-(cadangan3[[#This Row],[Profit B]]*cadangan3[[#This Row],[Diskon]]),U972)</f>
        <v>0</v>
      </c>
      <c r="X972" t="str">
        <f>IFERROR(INDEX(Katalog!$A$3:$A$12,MATCH(cadangan3[[#This Row],[ItemID C]],Katalog!$C$3:$C$12,0)),"-")</f>
        <v>-</v>
      </c>
      <c r="Y972" t="str">
        <f>IFERROR(INDEX(Katalog!$B$3:$B$12,MATCH(cadangan3[[#This Row],[ItemID C]],Katalog!$C$3:$C$12,0)),"-")</f>
        <v>-</v>
      </c>
      <c r="AB972" s="36">
        <f>IFERROR(INDEX(Katalog!$D$3:$D$12,MATCH(cadangan3[[#This Row],[ItemID C]],Katalog!$C$3:$C$12,0))*cadangan3[[#This Row],[Qty C]],0)</f>
        <v>0</v>
      </c>
      <c r="AC972" s="36">
        <f>IFERROR(INDEX(Katalog!$D$3:$D$12,MATCH(cadangan3[[#This Row],[Item C]],Katalog!$B$3:$B$12,0))*cadangan3[[#This Row],[Qty C]],0)</f>
        <v>0</v>
      </c>
      <c r="AD972" s="36">
        <f>IFERROR(cadangan3[[#This Row],[Harga Asli C]]-(cadangan3[[#This Row],[Harga Asli C]]*cadangan3[[#This Row],[Diskon]]),cadangan3[[#This Row],[Harga Asli C]])</f>
        <v>0</v>
      </c>
      <c r="AE972" s="36">
        <f>IFERROR(INDEX(Katalog!$F$3:$F$12,MATCH(cadangan3[[#This Row],[ItemID C]],Katalog!$C$3:$C$12,0))*cadangan3[[#This Row],[Qty C]],0)</f>
        <v>0</v>
      </c>
      <c r="AF972" s="36">
        <f>IFERROR(cadangan3[[#This Row],[Profit C]]-(cadangan3[[#This Row],[Profit C]]*cadangan3[[#This Row],[Diskon]]),cadangan3[[#This Row],[Profit C]])</f>
        <v>0</v>
      </c>
      <c r="AG972" s="21">
        <f>cadangan3[[#This Row],[Qty A]]+cadangan3[[#This Row],[Qty B]]+cadangan3[[#This Row],[Qty C]]</f>
        <v>5</v>
      </c>
      <c r="AH972" s="35">
        <f>cadangan3[[#This Row],[Harga A + Diskon]]+cadangan3[[#This Row],[Harga + Diskon B]]+cadangan3[[#This Row],[Harga + Diskon C]]</f>
        <v>1700000</v>
      </c>
      <c r="AI972" s="35">
        <f>(cadangan3[[#This Row],[Profit A]]+cadangan3[[#This Row],[Profit B]]+cadangan3[[#This Row],[Profit C]])</f>
        <v>750000</v>
      </c>
      <c r="AJ972" s="35">
        <f>cadangan3[[#This Row],[Provit A + Diskon]]+cadangan3[[#This Row],[Provit B + Diskon]]+cadangan3[[#This Row],[Provit C + Diskon]]</f>
        <v>637500</v>
      </c>
      <c r="AK972" s="23" t="s">
        <v>28</v>
      </c>
      <c r="AL972" s="37">
        <f>IFERROR(INDEX('Kode Diskon'!$D$3:$D$9,MATCH(cadangan3[[#This Row],[Kode diskon]],'Kode Diskon'!$C$3:$C$9,0)),"-")</f>
        <v>0.15</v>
      </c>
      <c r="AM972" s="23" t="s">
        <v>29</v>
      </c>
      <c r="AN972" s="23" t="s">
        <v>14</v>
      </c>
      <c r="AO972" s="23" t="s">
        <v>75</v>
      </c>
      <c r="AP972" s="24">
        <v>45017</v>
      </c>
      <c r="AQ972" s="23" t="str">
        <f>TEXT(cadangan3[[#This Row],[Tanggal terjual]],"dddd")</f>
        <v>Saturday</v>
      </c>
    </row>
    <row r="973" spans="1:43" x14ac:dyDescent="0.2">
      <c r="A973" s="20">
        <v>972</v>
      </c>
      <c r="B973" s="21" t="str">
        <f>_xlfn.CONCAT("ORD-",INDEX(Helper!$B$2:$B$5,MATCH(cadangan3[[#This Row],[Marketplace]],Helper!$A$2:$A$5,0)),TEXT(cadangan3[[#This Row],[No]],"0000"),"-",TEXT(cadangan3[[#This Row],[Tanggal terjual]],"dd/mm/yy"))</f>
        <v>ORD-BL0972-22/04/23</v>
      </c>
      <c r="C973" t="s">
        <v>64</v>
      </c>
      <c r="D973" t="str">
        <f>IFERROR(INDEX(Katalog!$A$3:$A$12,MATCH(cadangan3[[#This Row],[ItemID A]],Katalog!$C$3:$C$12,0)),"-")</f>
        <v>Pakaian Unisex</v>
      </c>
      <c r="E973" t="str">
        <f>IFERROR(INDEX(Katalog!$B$3:$B$12,MATCH(cadangan3[[#This Row],[ItemID A]],Katalog!$C$3:$C$12,0)),"-")</f>
        <v>Jaket Hoodie</v>
      </c>
      <c r="F973">
        <v>4</v>
      </c>
      <c r="G973">
        <v>3</v>
      </c>
      <c r="H973" s="36">
        <f>IFERROR(INDEX(Katalog!$D$3:$D$12,MATCH(cadangan3[[#This Row],[ItemID A]],Katalog!$C$3:$C$12,0))*cadangan3[[#This Row],[Qty A]],0)</f>
        <v>1400000</v>
      </c>
      <c r="I973" s="36">
        <f>IFERROR(INDEX(Katalog!$D$3:$D$12,MATCH(cadangan3[[#This Row],[Item A]],Katalog!$B$3:$B$12,0))*cadangan3[[#This Row],[Qty A]],0)</f>
        <v>1400000</v>
      </c>
      <c r="J973" s="36">
        <f>IFERROR(cadangan3[[#This Row],[Harga Asli A]]-(cadangan3[[#This Row],[Harga Asli A]]*cadangan3[[#This Row],[Diskon]]),cadangan3[[#This Row],[Harga Asli A]])</f>
        <v>1190000</v>
      </c>
      <c r="K973" s="36">
        <f>INDEX(Katalog!$F$3:$F$12,MATCH(cadangan3[[#This Row],[ItemID A]],Katalog!$C$3:$C$12,0))*cadangan3[[#This Row],[Qty A]]</f>
        <v>520000</v>
      </c>
      <c r="L973" s="36">
        <f>IFERROR(cadangan3[[#This Row],[Profit A]]-(cadangan3[[#This Row],[Profit A]]*cadangan3[[#This Row],[Diskon]]),K973)</f>
        <v>442000</v>
      </c>
      <c r="M973" t="s">
        <v>59</v>
      </c>
      <c r="N973" t="str">
        <f>IFERROR(INDEX(Katalog!$A$3:$A$12,MATCH(cadangan3[[#This Row],[ItemID B]],Katalog!$C$3:$C$12,0)),"-")</f>
        <v>Pakaian Wanita</v>
      </c>
      <c r="O973" t="str">
        <f>IFERROR(INDEX(Katalog!$B$3:$B$12,MATCH(cadangan3[[#This Row],[ItemID B]],Katalog!$C$3:$C$12,0)),"-")</f>
        <v>Blouse</v>
      </c>
      <c r="P973">
        <v>1</v>
      </c>
      <c r="Q973">
        <v>5</v>
      </c>
      <c r="R973" s="36">
        <f>IFERROR(INDEX(Katalog!$D$3:$D$12,MATCH(cadangan3[[#This Row],[ItemID B]],Katalog!$C$3:$C$12,0))*cadangan3[[#This Row],[Qty B]],0)</f>
        <v>150000</v>
      </c>
      <c r="S973" s="36">
        <f>IFERROR(INDEX(Katalog!$D$3:$D$12,MATCH(cadangan3[[#This Row],[Item B]],Katalog!$B$3:$B$12,0))*cadangan3[[#This Row],[Qty B]],0)</f>
        <v>150000</v>
      </c>
      <c r="T973" s="36">
        <f>IFERROR(cadangan3[[#This Row],[Harga Asli B]]-(cadangan3[[#This Row],[Harga Asli B]]*cadangan3[[#This Row],[Diskon]]),cadangan3[[#This Row],[Harga Asli B]])</f>
        <v>127500</v>
      </c>
      <c r="U973" s="36">
        <f>IFERROR(INDEX(Katalog!$F$3:$F$12,MATCH(cadangan3[[#This Row],[ItemID B]],Katalog!$C$3:$C$12,0))*cadangan3[[#This Row],[Qty B]],0)</f>
        <v>50000</v>
      </c>
      <c r="V973" s="36">
        <f>IFERROR(cadangan3[[#This Row],[Profit B]]-(cadangan3[[#This Row],[Profit B]]*cadangan3[[#This Row],[Diskon]]),U973)</f>
        <v>42500</v>
      </c>
      <c r="W973" t="s">
        <v>67</v>
      </c>
      <c r="X973" t="str">
        <f>IFERROR(INDEX(Katalog!$A$3:$A$12,MATCH(cadangan3[[#This Row],[ItemID C]],Katalog!$C$3:$C$12,0)),"-")</f>
        <v>Sepatu Wanita</v>
      </c>
      <c r="Y973" t="str">
        <f>IFERROR(INDEX(Katalog!$B$3:$B$12,MATCH(cadangan3[[#This Row],[ItemID C]],Katalog!$C$3:$C$12,0)),"-")</f>
        <v>Flat Shoes</v>
      </c>
      <c r="Z973">
        <v>1</v>
      </c>
      <c r="AA973">
        <v>4</v>
      </c>
      <c r="AB973" s="36">
        <f>IFERROR(INDEX(Katalog!$D$3:$D$12,MATCH(cadangan3[[#This Row],[ItemID C]],Katalog!$C$3:$C$12,0))*cadangan3[[#This Row],[Qty C]],0)</f>
        <v>250000</v>
      </c>
      <c r="AC973" s="36">
        <f>IFERROR(INDEX(Katalog!$D$3:$D$12,MATCH(cadangan3[[#This Row],[Item C]],Katalog!$B$3:$B$12,0))*cadangan3[[#This Row],[Qty C]],0)</f>
        <v>250000</v>
      </c>
      <c r="AD973" s="36">
        <f>IFERROR(cadangan3[[#This Row],[Harga Asli C]]-(cadangan3[[#This Row],[Harga Asli C]]*cadangan3[[#This Row],[Diskon]]),cadangan3[[#This Row],[Harga Asli C]])</f>
        <v>212500</v>
      </c>
      <c r="AE973" s="36">
        <f>IFERROR(INDEX(Katalog!$F$3:$F$12,MATCH(cadangan3[[#This Row],[ItemID C]],Katalog!$C$3:$C$12,0))*cadangan3[[#This Row],[Qty C]],0)</f>
        <v>100000</v>
      </c>
      <c r="AF973" s="36">
        <f>IFERROR(cadangan3[[#This Row],[Profit C]]-(cadangan3[[#This Row],[Profit C]]*cadangan3[[#This Row],[Diskon]]),cadangan3[[#This Row],[Profit C]])</f>
        <v>85000</v>
      </c>
      <c r="AG973" s="21">
        <f>cadangan3[[#This Row],[Qty A]]+cadangan3[[#This Row],[Qty B]]+cadangan3[[#This Row],[Qty C]]</f>
        <v>6</v>
      </c>
      <c r="AH973" s="35">
        <f>cadangan3[[#This Row],[Harga A + Diskon]]+cadangan3[[#This Row],[Harga + Diskon B]]+cadangan3[[#This Row],[Harga + Diskon C]]</f>
        <v>1530000</v>
      </c>
      <c r="AI973" s="35">
        <f>(cadangan3[[#This Row],[Profit A]]+cadangan3[[#This Row],[Profit B]]+cadangan3[[#This Row],[Profit C]])</f>
        <v>670000</v>
      </c>
      <c r="AJ973" s="35">
        <f>cadangan3[[#This Row],[Provit A + Diskon]]+cadangan3[[#This Row],[Provit B + Diskon]]+cadangan3[[#This Row],[Provit C + Diskon]]</f>
        <v>569500</v>
      </c>
      <c r="AK973" s="23" t="s">
        <v>32</v>
      </c>
      <c r="AL973" s="37">
        <f>IFERROR(INDEX('Kode Diskon'!$D$3:$D$9,MATCH(cadangan3[[#This Row],[Kode diskon]],'Kode Diskon'!$C$3:$C$9,0)),"-")</f>
        <v>0.15</v>
      </c>
      <c r="AM973" s="23" t="s">
        <v>9</v>
      </c>
      <c r="AN973" s="23" t="s">
        <v>12</v>
      </c>
      <c r="AO973" s="23" t="s">
        <v>75</v>
      </c>
      <c r="AP973" s="24">
        <v>45038</v>
      </c>
      <c r="AQ973" s="23" t="str">
        <f>TEXT(cadangan3[[#This Row],[Tanggal terjual]],"dddd")</f>
        <v>Saturday</v>
      </c>
    </row>
    <row r="974" spans="1:43" x14ac:dyDescent="0.2">
      <c r="A974" s="20">
        <v>973</v>
      </c>
      <c r="B974" s="21" t="str">
        <f>_xlfn.CONCAT("ORD-",INDEX(Helper!$B$2:$B$5,MATCH(cadangan3[[#This Row],[Marketplace]],Helper!$A$2:$A$5,0)),TEXT(cadangan3[[#This Row],[No]],"0000"),"-",TEXT(cadangan3[[#This Row],[Tanggal terjual]],"dd/mm/yy"))</f>
        <v>ORD-BL0973-20/04/23</v>
      </c>
      <c r="C974" t="s">
        <v>64</v>
      </c>
      <c r="D974" t="str">
        <f>IFERROR(INDEX(Katalog!$A$3:$A$12,MATCH(cadangan3[[#This Row],[ItemID A]],Katalog!$C$3:$C$12,0)),"-")</f>
        <v>Pakaian Unisex</v>
      </c>
      <c r="E974" t="str">
        <f>IFERROR(INDEX(Katalog!$B$3:$B$12,MATCH(cadangan3[[#This Row],[ItemID A]],Katalog!$C$3:$C$12,0)),"-")</f>
        <v>Jaket Hoodie</v>
      </c>
      <c r="F974">
        <v>2</v>
      </c>
      <c r="G974">
        <v>3</v>
      </c>
      <c r="H974" s="36">
        <f>IFERROR(INDEX(Katalog!$D$3:$D$12,MATCH(cadangan3[[#This Row],[ItemID A]],Katalog!$C$3:$C$12,0))*cadangan3[[#This Row],[Qty A]],0)</f>
        <v>700000</v>
      </c>
      <c r="I974" s="36">
        <f>IFERROR(INDEX(Katalog!$D$3:$D$12,MATCH(cadangan3[[#This Row],[Item A]],Katalog!$B$3:$B$12,0))*cadangan3[[#This Row],[Qty A]],0)</f>
        <v>700000</v>
      </c>
      <c r="J974" s="36">
        <f>IFERROR(cadangan3[[#This Row],[Harga Asli A]]-(cadangan3[[#This Row],[Harga Asli A]]*cadangan3[[#This Row],[Diskon]]),cadangan3[[#This Row],[Harga Asli A]])</f>
        <v>595000</v>
      </c>
      <c r="K974" s="36">
        <f>INDEX(Katalog!$F$3:$F$12,MATCH(cadangan3[[#This Row],[ItemID A]],Katalog!$C$3:$C$12,0))*cadangan3[[#This Row],[Qty A]]</f>
        <v>260000</v>
      </c>
      <c r="L974" s="36">
        <f>IFERROR(cadangan3[[#This Row],[Profit A]]-(cadangan3[[#This Row],[Profit A]]*cadangan3[[#This Row],[Diskon]]),K974)</f>
        <v>221000</v>
      </c>
      <c r="N974" t="str">
        <f>IFERROR(INDEX(Katalog!$A$3:$A$12,MATCH(cadangan3[[#This Row],[ItemID B]],Katalog!$C$3:$C$12,0)),"-")</f>
        <v>-</v>
      </c>
      <c r="O974" t="str">
        <f>IFERROR(INDEX(Katalog!$B$3:$B$12,MATCH(cadangan3[[#This Row],[ItemID B]],Katalog!$C$3:$C$12,0)),"-")</f>
        <v>-</v>
      </c>
      <c r="R974" s="36">
        <f>IFERROR(INDEX(Katalog!$D$3:$D$12,MATCH(cadangan3[[#This Row],[ItemID B]],Katalog!$C$3:$C$12,0))*cadangan3[[#This Row],[Qty B]],0)</f>
        <v>0</v>
      </c>
      <c r="S974" s="36">
        <f>IFERROR(INDEX(Katalog!$D$3:$D$12,MATCH(cadangan3[[#This Row],[Item B]],Katalog!$B$3:$B$12,0))*cadangan3[[#This Row],[Qty B]],0)</f>
        <v>0</v>
      </c>
      <c r="T974" s="36">
        <f>IFERROR(cadangan3[[#This Row],[Harga Asli B]]-(cadangan3[[#This Row],[Harga Asli B]]*cadangan3[[#This Row],[Diskon]]),cadangan3[[#This Row],[Harga Asli B]])</f>
        <v>0</v>
      </c>
      <c r="U974" s="36">
        <f>IFERROR(INDEX(Katalog!$F$3:$F$12,MATCH(cadangan3[[#This Row],[ItemID B]],Katalog!$C$3:$C$12,0))*cadangan3[[#This Row],[Qty B]],0)</f>
        <v>0</v>
      </c>
      <c r="V974" s="36">
        <f>IFERROR(cadangan3[[#This Row],[Profit B]]-(cadangan3[[#This Row],[Profit B]]*cadangan3[[#This Row],[Diskon]]),U974)</f>
        <v>0</v>
      </c>
      <c r="X974" t="str">
        <f>IFERROR(INDEX(Katalog!$A$3:$A$12,MATCH(cadangan3[[#This Row],[ItemID C]],Katalog!$C$3:$C$12,0)),"-")</f>
        <v>-</v>
      </c>
      <c r="Y974" t="str">
        <f>IFERROR(INDEX(Katalog!$B$3:$B$12,MATCH(cadangan3[[#This Row],[ItemID C]],Katalog!$C$3:$C$12,0)),"-")</f>
        <v>-</v>
      </c>
      <c r="AB974" s="36">
        <f>IFERROR(INDEX(Katalog!$D$3:$D$12,MATCH(cadangan3[[#This Row],[ItemID C]],Katalog!$C$3:$C$12,0))*cadangan3[[#This Row],[Qty C]],0)</f>
        <v>0</v>
      </c>
      <c r="AC974" s="36">
        <f>IFERROR(INDEX(Katalog!$D$3:$D$12,MATCH(cadangan3[[#This Row],[Item C]],Katalog!$B$3:$B$12,0))*cadangan3[[#This Row],[Qty C]],0)</f>
        <v>0</v>
      </c>
      <c r="AD974" s="36">
        <f>IFERROR(cadangan3[[#This Row],[Harga Asli C]]-(cadangan3[[#This Row],[Harga Asli C]]*cadangan3[[#This Row],[Diskon]]),cadangan3[[#This Row],[Harga Asli C]])</f>
        <v>0</v>
      </c>
      <c r="AE974" s="36">
        <f>IFERROR(INDEX(Katalog!$F$3:$F$12,MATCH(cadangan3[[#This Row],[ItemID C]],Katalog!$C$3:$C$12,0))*cadangan3[[#This Row],[Qty C]],0)</f>
        <v>0</v>
      </c>
      <c r="AF974" s="36">
        <f>IFERROR(cadangan3[[#This Row],[Profit C]]-(cadangan3[[#This Row],[Profit C]]*cadangan3[[#This Row],[Diskon]]),cadangan3[[#This Row],[Profit C]])</f>
        <v>0</v>
      </c>
      <c r="AG974" s="21">
        <f>cadangan3[[#This Row],[Qty A]]+cadangan3[[#This Row],[Qty B]]+cadangan3[[#This Row],[Qty C]]</f>
        <v>2</v>
      </c>
      <c r="AH974" s="35">
        <f>cadangan3[[#This Row],[Harga A + Diskon]]+cadangan3[[#This Row],[Harga + Diskon B]]+cadangan3[[#This Row],[Harga + Diskon C]]</f>
        <v>595000</v>
      </c>
      <c r="AI974" s="35">
        <f>(cadangan3[[#This Row],[Profit A]]+cadangan3[[#This Row],[Profit B]]+cadangan3[[#This Row],[Profit C]])</f>
        <v>260000</v>
      </c>
      <c r="AJ974" s="35">
        <f>cadangan3[[#This Row],[Provit A + Diskon]]+cadangan3[[#This Row],[Provit B + Diskon]]+cadangan3[[#This Row],[Provit C + Diskon]]</f>
        <v>221000</v>
      </c>
      <c r="AK974" s="23" t="s">
        <v>32</v>
      </c>
      <c r="AL974" s="37">
        <f>IFERROR(INDEX('Kode Diskon'!$D$3:$D$9,MATCH(cadangan3[[#This Row],[Kode diskon]],'Kode Diskon'!$C$3:$C$9,0)),"-")</f>
        <v>0.15</v>
      </c>
      <c r="AM974" s="23" t="s">
        <v>9</v>
      </c>
      <c r="AN974" s="23" t="s">
        <v>12</v>
      </c>
      <c r="AO974" s="23" t="s">
        <v>79</v>
      </c>
      <c r="AP974" s="24">
        <v>45036</v>
      </c>
      <c r="AQ974" s="23" t="str">
        <f>TEXT(cadangan3[[#This Row],[Tanggal terjual]],"dddd")</f>
        <v>Thursday</v>
      </c>
    </row>
    <row r="975" spans="1:43" x14ac:dyDescent="0.2">
      <c r="A975" s="20">
        <v>974</v>
      </c>
      <c r="B975" s="21" t="str">
        <f>_xlfn.CONCAT("ORD-",INDEX(Helper!$B$2:$B$5,MATCH(cadangan3[[#This Row],[Marketplace]],Helper!$A$2:$A$5,0)),TEXT(cadangan3[[#This Row],[No]],"0000"),"-",TEXT(cadangan3[[#This Row],[Tanggal terjual]],"dd/mm/yy"))</f>
        <v>ORD-SP0974-03/04/23</v>
      </c>
      <c r="C975" t="s">
        <v>66</v>
      </c>
      <c r="D975" t="str">
        <f>IFERROR(INDEX(Katalog!$A$3:$A$12,MATCH(cadangan3[[#This Row],[ItemID A]],Katalog!$C$3:$C$12,0)),"-")</f>
        <v>Sepatu Pria</v>
      </c>
      <c r="E975" t="str">
        <f>IFERROR(INDEX(Katalog!$B$3:$B$12,MATCH(cadangan3[[#This Row],[ItemID A]],Katalog!$C$3:$C$12,0)),"-")</f>
        <v>Sandal Slip On</v>
      </c>
      <c r="F975">
        <v>5</v>
      </c>
      <c r="G975">
        <v>2</v>
      </c>
      <c r="H975" s="36">
        <f>IFERROR(INDEX(Katalog!$D$3:$D$12,MATCH(cadangan3[[#This Row],[ItemID A]],Katalog!$C$3:$C$12,0))*cadangan3[[#This Row],[Qty A]],0)</f>
        <v>750000</v>
      </c>
      <c r="I975" s="36">
        <f>IFERROR(INDEX(Katalog!$D$3:$D$12,MATCH(cadangan3[[#This Row],[Item A]],Katalog!$B$3:$B$12,0))*cadangan3[[#This Row],[Qty A]],0)</f>
        <v>750000</v>
      </c>
      <c r="J975" s="36">
        <f>IFERROR(cadangan3[[#This Row],[Harga Asli A]]-(cadangan3[[#This Row],[Harga Asli A]]*cadangan3[[#This Row],[Diskon]]),cadangan3[[#This Row],[Harga Asli A]])</f>
        <v>675000</v>
      </c>
      <c r="K975" s="36">
        <f>INDEX(Katalog!$F$3:$F$12,MATCH(cadangan3[[#This Row],[ItemID A]],Katalog!$C$3:$C$12,0))*cadangan3[[#This Row],[Qty A]]</f>
        <v>300000</v>
      </c>
      <c r="L975" s="36">
        <f>IFERROR(cadangan3[[#This Row],[Profit A]]-(cadangan3[[#This Row],[Profit A]]*cadangan3[[#This Row],[Diskon]]),K975)</f>
        <v>270000</v>
      </c>
      <c r="M975" t="s">
        <v>64</v>
      </c>
      <c r="N975" t="str">
        <f>IFERROR(INDEX(Katalog!$A$3:$A$12,MATCH(cadangan3[[#This Row],[ItemID B]],Katalog!$C$3:$C$12,0)),"-")</f>
        <v>Pakaian Unisex</v>
      </c>
      <c r="O975" t="str">
        <f>IFERROR(INDEX(Katalog!$B$3:$B$12,MATCH(cadangan3[[#This Row],[ItemID B]],Katalog!$C$3:$C$12,0)),"-")</f>
        <v>Jaket Hoodie</v>
      </c>
      <c r="P975">
        <v>1</v>
      </c>
      <c r="Q975">
        <v>1</v>
      </c>
      <c r="R975" s="36">
        <f>IFERROR(INDEX(Katalog!$D$3:$D$12,MATCH(cadangan3[[#This Row],[ItemID B]],Katalog!$C$3:$C$12,0))*cadangan3[[#This Row],[Qty B]],0)</f>
        <v>350000</v>
      </c>
      <c r="S975" s="36">
        <f>IFERROR(INDEX(Katalog!$D$3:$D$12,MATCH(cadangan3[[#This Row],[Item B]],Katalog!$B$3:$B$12,0))*cadangan3[[#This Row],[Qty B]],0)</f>
        <v>350000</v>
      </c>
      <c r="T975" s="36">
        <f>IFERROR(cadangan3[[#This Row],[Harga Asli B]]-(cadangan3[[#This Row],[Harga Asli B]]*cadangan3[[#This Row],[Diskon]]),cadangan3[[#This Row],[Harga Asli B]])</f>
        <v>315000</v>
      </c>
      <c r="U975" s="36">
        <f>IFERROR(INDEX(Katalog!$F$3:$F$12,MATCH(cadangan3[[#This Row],[ItemID B]],Katalog!$C$3:$C$12,0))*cadangan3[[#This Row],[Qty B]],0)</f>
        <v>130000</v>
      </c>
      <c r="V975" s="36">
        <f>IFERROR(cadangan3[[#This Row],[Profit B]]-(cadangan3[[#This Row],[Profit B]]*cadangan3[[#This Row],[Diskon]]),U975)</f>
        <v>117000</v>
      </c>
      <c r="W975" t="s">
        <v>67</v>
      </c>
      <c r="X975" t="str">
        <f>IFERROR(INDEX(Katalog!$A$3:$A$12,MATCH(cadangan3[[#This Row],[ItemID C]],Katalog!$C$3:$C$12,0)),"-")</f>
        <v>Sepatu Wanita</v>
      </c>
      <c r="Y975" t="str">
        <f>IFERROR(INDEX(Katalog!$B$3:$B$12,MATCH(cadangan3[[#This Row],[ItemID C]],Katalog!$C$3:$C$12,0)),"-")</f>
        <v>Flat Shoes</v>
      </c>
      <c r="Z975">
        <v>1</v>
      </c>
      <c r="AA975">
        <v>3</v>
      </c>
      <c r="AB975" s="36">
        <f>IFERROR(INDEX(Katalog!$D$3:$D$12,MATCH(cadangan3[[#This Row],[ItemID C]],Katalog!$C$3:$C$12,0))*cadangan3[[#This Row],[Qty C]],0)</f>
        <v>250000</v>
      </c>
      <c r="AC975" s="36">
        <f>IFERROR(INDEX(Katalog!$D$3:$D$12,MATCH(cadangan3[[#This Row],[Item C]],Katalog!$B$3:$B$12,0))*cadangan3[[#This Row],[Qty C]],0)</f>
        <v>250000</v>
      </c>
      <c r="AD975" s="36">
        <f>IFERROR(cadangan3[[#This Row],[Harga Asli C]]-(cadangan3[[#This Row],[Harga Asli C]]*cadangan3[[#This Row],[Diskon]]),cadangan3[[#This Row],[Harga Asli C]])</f>
        <v>225000</v>
      </c>
      <c r="AE975" s="36">
        <f>IFERROR(INDEX(Katalog!$F$3:$F$12,MATCH(cadangan3[[#This Row],[ItemID C]],Katalog!$C$3:$C$12,0))*cadangan3[[#This Row],[Qty C]],0)</f>
        <v>100000</v>
      </c>
      <c r="AF975" s="36">
        <f>IFERROR(cadangan3[[#This Row],[Profit C]]-(cadangan3[[#This Row],[Profit C]]*cadangan3[[#This Row],[Diskon]]),cadangan3[[#This Row],[Profit C]])</f>
        <v>90000</v>
      </c>
      <c r="AG975" s="21">
        <f>cadangan3[[#This Row],[Qty A]]+cadangan3[[#This Row],[Qty B]]+cadangan3[[#This Row],[Qty C]]</f>
        <v>7</v>
      </c>
      <c r="AH975" s="35">
        <f>cadangan3[[#This Row],[Harga A + Diskon]]+cadangan3[[#This Row],[Harga + Diskon B]]+cadangan3[[#This Row],[Harga + Diskon C]]</f>
        <v>1215000</v>
      </c>
      <c r="AI975" s="35">
        <f>(cadangan3[[#This Row],[Profit A]]+cadangan3[[#This Row],[Profit B]]+cadangan3[[#This Row],[Profit C]])</f>
        <v>530000</v>
      </c>
      <c r="AJ975" s="35">
        <f>cadangan3[[#This Row],[Provit A + Diskon]]+cadangan3[[#This Row],[Provit B + Diskon]]+cadangan3[[#This Row],[Provit C + Diskon]]</f>
        <v>477000</v>
      </c>
      <c r="AK975" s="23" t="s">
        <v>6</v>
      </c>
      <c r="AL975" s="37">
        <f>IFERROR(INDEX('Kode Diskon'!$D$3:$D$9,MATCH(cadangan3[[#This Row],[Kode diskon]],'Kode Diskon'!$C$3:$C$9,0)),"-")</f>
        <v>0.1</v>
      </c>
      <c r="AM975" s="23" t="s">
        <v>29</v>
      </c>
      <c r="AN975" s="23" t="s">
        <v>7</v>
      </c>
      <c r="AO975" s="23" t="s">
        <v>76</v>
      </c>
      <c r="AP975" s="24">
        <v>45019</v>
      </c>
      <c r="AQ975" s="23" t="str">
        <f>TEXT(cadangan3[[#This Row],[Tanggal terjual]],"dddd")</f>
        <v>Monday</v>
      </c>
    </row>
    <row r="976" spans="1:43" x14ac:dyDescent="0.2">
      <c r="A976" s="20">
        <v>975</v>
      </c>
      <c r="B976" s="21" t="str">
        <f>_xlfn.CONCAT("ORD-",INDEX(Helper!$B$2:$B$5,MATCH(cadangan3[[#This Row],[Marketplace]],Helper!$A$2:$A$5,0)),TEXT(cadangan3[[#This Row],[No]],"0000"),"-",TEXT(cadangan3[[#This Row],[Tanggal terjual]],"dd/mm/yy"))</f>
        <v>ORD-TK0975-28/04/23</v>
      </c>
      <c r="C976" t="s">
        <v>65</v>
      </c>
      <c r="D976" t="str">
        <f>IFERROR(INDEX(Katalog!$A$3:$A$12,MATCH(cadangan3[[#This Row],[ItemID A]],Katalog!$C$3:$C$12,0)),"-")</f>
        <v>Sepatu Pria</v>
      </c>
      <c r="E976" t="str">
        <f>IFERROR(INDEX(Katalog!$B$3:$B$12,MATCH(cadangan3[[#This Row],[ItemID A]],Katalog!$C$3:$C$12,0)),"-")</f>
        <v>Sneakers</v>
      </c>
      <c r="F976">
        <v>3</v>
      </c>
      <c r="G976">
        <v>1</v>
      </c>
      <c r="H976" s="36">
        <f>IFERROR(INDEX(Katalog!$D$3:$D$12,MATCH(cadangan3[[#This Row],[ItemID A]],Katalog!$C$3:$C$12,0))*cadangan3[[#This Row],[Qty A]],0)</f>
        <v>1500000</v>
      </c>
      <c r="I976" s="36">
        <f>IFERROR(INDEX(Katalog!$D$3:$D$12,MATCH(cadangan3[[#This Row],[Item A]],Katalog!$B$3:$B$12,0))*cadangan3[[#This Row],[Qty A]],0)</f>
        <v>1500000</v>
      </c>
      <c r="J976" s="36">
        <f>IFERROR(cadangan3[[#This Row],[Harga Asli A]]-(cadangan3[[#This Row],[Harga Asli A]]*cadangan3[[#This Row],[Diskon]]),cadangan3[[#This Row],[Harga Asli A]])</f>
        <v>1350000</v>
      </c>
      <c r="K976" s="36">
        <f>INDEX(Katalog!$F$3:$F$12,MATCH(cadangan3[[#This Row],[ItemID A]],Katalog!$C$3:$C$12,0))*cadangan3[[#This Row],[Qty A]]</f>
        <v>600000</v>
      </c>
      <c r="L976" s="36">
        <f>IFERROR(cadangan3[[#This Row],[Profit A]]-(cadangan3[[#This Row],[Profit A]]*cadangan3[[#This Row],[Diskon]]),K976)</f>
        <v>540000</v>
      </c>
      <c r="N976" t="str">
        <f>IFERROR(INDEX(Katalog!$A$3:$A$12,MATCH(cadangan3[[#This Row],[ItemID B]],Katalog!$C$3:$C$12,0)),"-")</f>
        <v>-</v>
      </c>
      <c r="O976" t="str">
        <f>IFERROR(INDEX(Katalog!$B$3:$B$12,MATCH(cadangan3[[#This Row],[ItemID B]],Katalog!$C$3:$C$12,0)),"-")</f>
        <v>-</v>
      </c>
      <c r="R976" s="36">
        <f>IFERROR(INDEX(Katalog!$D$3:$D$12,MATCH(cadangan3[[#This Row],[ItemID B]],Katalog!$C$3:$C$12,0))*cadangan3[[#This Row],[Qty B]],0)</f>
        <v>0</v>
      </c>
      <c r="S976" s="36">
        <f>IFERROR(INDEX(Katalog!$D$3:$D$12,MATCH(cadangan3[[#This Row],[Item B]],Katalog!$B$3:$B$12,0))*cadangan3[[#This Row],[Qty B]],0)</f>
        <v>0</v>
      </c>
      <c r="T976" s="36">
        <f>IFERROR(cadangan3[[#This Row],[Harga Asli B]]-(cadangan3[[#This Row],[Harga Asli B]]*cadangan3[[#This Row],[Diskon]]),cadangan3[[#This Row],[Harga Asli B]])</f>
        <v>0</v>
      </c>
      <c r="U976" s="36">
        <f>IFERROR(INDEX(Katalog!$F$3:$F$12,MATCH(cadangan3[[#This Row],[ItemID B]],Katalog!$C$3:$C$12,0))*cadangan3[[#This Row],[Qty B]],0)</f>
        <v>0</v>
      </c>
      <c r="V976" s="36">
        <f>IFERROR(cadangan3[[#This Row],[Profit B]]-(cadangan3[[#This Row],[Profit B]]*cadangan3[[#This Row],[Diskon]]),U976)</f>
        <v>0</v>
      </c>
      <c r="X976" t="str">
        <f>IFERROR(INDEX(Katalog!$A$3:$A$12,MATCH(cadangan3[[#This Row],[ItemID C]],Katalog!$C$3:$C$12,0)),"-")</f>
        <v>-</v>
      </c>
      <c r="Y976" t="str">
        <f>IFERROR(INDEX(Katalog!$B$3:$B$12,MATCH(cadangan3[[#This Row],[ItemID C]],Katalog!$C$3:$C$12,0)),"-")</f>
        <v>-</v>
      </c>
      <c r="AB976" s="36">
        <f>IFERROR(INDEX(Katalog!$D$3:$D$12,MATCH(cadangan3[[#This Row],[ItemID C]],Katalog!$C$3:$C$12,0))*cadangan3[[#This Row],[Qty C]],0)</f>
        <v>0</v>
      </c>
      <c r="AC976" s="36">
        <f>IFERROR(INDEX(Katalog!$D$3:$D$12,MATCH(cadangan3[[#This Row],[Item C]],Katalog!$B$3:$B$12,0))*cadangan3[[#This Row],[Qty C]],0)</f>
        <v>0</v>
      </c>
      <c r="AD976" s="36">
        <f>IFERROR(cadangan3[[#This Row],[Harga Asli C]]-(cadangan3[[#This Row],[Harga Asli C]]*cadangan3[[#This Row],[Diskon]]),cadangan3[[#This Row],[Harga Asli C]])</f>
        <v>0</v>
      </c>
      <c r="AE976" s="36">
        <f>IFERROR(INDEX(Katalog!$F$3:$F$12,MATCH(cadangan3[[#This Row],[ItemID C]],Katalog!$C$3:$C$12,0))*cadangan3[[#This Row],[Qty C]],0)</f>
        <v>0</v>
      </c>
      <c r="AF976" s="36">
        <f>IFERROR(cadangan3[[#This Row],[Profit C]]-(cadangan3[[#This Row],[Profit C]]*cadangan3[[#This Row],[Diskon]]),cadangan3[[#This Row],[Profit C]])</f>
        <v>0</v>
      </c>
      <c r="AG976" s="21">
        <f>cadangan3[[#This Row],[Qty A]]+cadangan3[[#This Row],[Qty B]]+cadangan3[[#This Row],[Qty C]]</f>
        <v>3</v>
      </c>
      <c r="AH976" s="35">
        <f>cadangan3[[#This Row],[Harga A + Diskon]]+cadangan3[[#This Row],[Harga + Diskon B]]+cadangan3[[#This Row],[Harga + Diskon C]]</f>
        <v>1350000</v>
      </c>
      <c r="AI976" s="35">
        <f>(cadangan3[[#This Row],[Profit A]]+cadangan3[[#This Row],[Profit B]]+cadangan3[[#This Row],[Profit C]])</f>
        <v>600000</v>
      </c>
      <c r="AJ976" s="35">
        <f>cadangan3[[#This Row],[Provit A + Diskon]]+cadangan3[[#This Row],[Provit B + Diskon]]+cadangan3[[#This Row],[Provit C + Diskon]]</f>
        <v>540000</v>
      </c>
      <c r="AK976" s="23" t="s">
        <v>31</v>
      </c>
      <c r="AL976" s="37">
        <f>IFERROR(INDEX('Kode Diskon'!$D$3:$D$9,MATCH(cadangan3[[#This Row],[Kode diskon]],'Kode Diskon'!$C$3:$C$9,0)),"-")</f>
        <v>0.1</v>
      </c>
      <c r="AM976" s="23" t="s">
        <v>9</v>
      </c>
      <c r="AN976" s="23" t="s">
        <v>10</v>
      </c>
      <c r="AO976" s="23" t="s">
        <v>80</v>
      </c>
      <c r="AP976" s="24">
        <v>45044</v>
      </c>
      <c r="AQ976" s="23" t="str">
        <f>TEXT(cadangan3[[#This Row],[Tanggal terjual]],"dddd")</f>
        <v>Friday</v>
      </c>
    </row>
    <row r="977" spans="1:43" x14ac:dyDescent="0.2">
      <c r="A977" s="20">
        <v>976</v>
      </c>
      <c r="B977" s="21" t="str">
        <f>_xlfn.CONCAT("ORD-",INDEX(Helper!$B$2:$B$5,MATCH(cadangan3[[#This Row],[Marketplace]],Helper!$A$2:$A$5,0)),TEXT(cadangan3[[#This Row],[No]],"0000"),"-",TEXT(cadangan3[[#This Row],[Tanggal terjual]],"dd/mm/yy"))</f>
        <v>ORD-SP0976-22/04/23</v>
      </c>
      <c r="C977" t="s">
        <v>67</v>
      </c>
      <c r="D977" t="str">
        <f>IFERROR(INDEX(Katalog!$A$3:$A$12,MATCH(cadangan3[[#This Row],[ItemID A]],Katalog!$C$3:$C$12,0)),"-")</f>
        <v>Sepatu Wanita</v>
      </c>
      <c r="E977" t="str">
        <f>IFERROR(INDEX(Katalog!$B$3:$B$12,MATCH(cadangan3[[#This Row],[ItemID A]],Katalog!$C$3:$C$12,0)),"-")</f>
        <v>Flat Shoes</v>
      </c>
      <c r="F977">
        <v>2</v>
      </c>
      <c r="G977">
        <v>3</v>
      </c>
      <c r="H977" s="36">
        <f>IFERROR(INDEX(Katalog!$D$3:$D$12,MATCH(cadangan3[[#This Row],[ItemID A]],Katalog!$C$3:$C$12,0))*cadangan3[[#This Row],[Qty A]],0)</f>
        <v>500000</v>
      </c>
      <c r="I977" s="36">
        <f>IFERROR(INDEX(Katalog!$D$3:$D$12,MATCH(cadangan3[[#This Row],[Item A]],Katalog!$B$3:$B$12,0))*cadangan3[[#This Row],[Qty A]],0)</f>
        <v>500000</v>
      </c>
      <c r="J977" s="36">
        <f>IFERROR(cadangan3[[#This Row],[Harga Asli A]]-(cadangan3[[#This Row],[Harga Asli A]]*cadangan3[[#This Row],[Diskon]]),cadangan3[[#This Row],[Harga Asli A]])</f>
        <v>400000</v>
      </c>
      <c r="K977" s="36">
        <f>INDEX(Katalog!$F$3:$F$12,MATCH(cadangan3[[#This Row],[ItemID A]],Katalog!$C$3:$C$12,0))*cadangan3[[#This Row],[Qty A]]</f>
        <v>200000</v>
      </c>
      <c r="L977" s="36">
        <f>IFERROR(cadangan3[[#This Row],[Profit A]]-(cadangan3[[#This Row],[Profit A]]*cadangan3[[#This Row],[Diskon]]),K977)</f>
        <v>160000</v>
      </c>
      <c r="M977" t="s">
        <v>65</v>
      </c>
      <c r="N977" t="str">
        <f>IFERROR(INDEX(Katalog!$A$3:$A$12,MATCH(cadangan3[[#This Row],[ItemID B]],Katalog!$C$3:$C$12,0)),"-")</f>
        <v>Sepatu Pria</v>
      </c>
      <c r="O977" t="str">
        <f>IFERROR(INDEX(Katalog!$B$3:$B$12,MATCH(cadangan3[[#This Row],[ItemID B]],Katalog!$C$3:$C$12,0)),"-")</f>
        <v>Sneakers</v>
      </c>
      <c r="P977">
        <v>1</v>
      </c>
      <c r="Q977">
        <v>1</v>
      </c>
      <c r="R977" s="36">
        <f>IFERROR(INDEX(Katalog!$D$3:$D$12,MATCH(cadangan3[[#This Row],[ItemID B]],Katalog!$C$3:$C$12,0))*cadangan3[[#This Row],[Qty B]],0)</f>
        <v>500000</v>
      </c>
      <c r="S977" s="36">
        <f>IFERROR(INDEX(Katalog!$D$3:$D$12,MATCH(cadangan3[[#This Row],[Item B]],Katalog!$B$3:$B$12,0))*cadangan3[[#This Row],[Qty B]],0)</f>
        <v>500000</v>
      </c>
      <c r="T977" s="36">
        <f>IFERROR(cadangan3[[#This Row],[Harga Asli B]]-(cadangan3[[#This Row],[Harga Asli B]]*cadangan3[[#This Row],[Diskon]]),cadangan3[[#This Row],[Harga Asli B]])</f>
        <v>400000</v>
      </c>
      <c r="U977" s="36">
        <f>IFERROR(INDEX(Katalog!$F$3:$F$12,MATCH(cadangan3[[#This Row],[ItemID B]],Katalog!$C$3:$C$12,0))*cadangan3[[#This Row],[Qty B]],0)</f>
        <v>200000</v>
      </c>
      <c r="V977" s="36">
        <f>IFERROR(cadangan3[[#This Row],[Profit B]]-(cadangan3[[#This Row],[Profit B]]*cadangan3[[#This Row],[Diskon]]),U977)</f>
        <v>160000</v>
      </c>
      <c r="W977" t="s">
        <v>64</v>
      </c>
      <c r="X977" t="str">
        <f>IFERROR(INDEX(Katalog!$A$3:$A$12,MATCH(cadangan3[[#This Row],[ItemID C]],Katalog!$C$3:$C$12,0)),"-")</f>
        <v>Pakaian Unisex</v>
      </c>
      <c r="Y977" t="str">
        <f>IFERROR(INDEX(Katalog!$B$3:$B$12,MATCH(cadangan3[[#This Row],[ItemID C]],Katalog!$C$3:$C$12,0)),"-")</f>
        <v>Jaket Hoodie</v>
      </c>
      <c r="Z977">
        <v>2</v>
      </c>
      <c r="AA977">
        <v>5</v>
      </c>
      <c r="AB977" s="36">
        <f>IFERROR(INDEX(Katalog!$D$3:$D$12,MATCH(cadangan3[[#This Row],[ItemID C]],Katalog!$C$3:$C$12,0))*cadangan3[[#This Row],[Qty C]],0)</f>
        <v>700000</v>
      </c>
      <c r="AC977" s="36">
        <f>IFERROR(INDEX(Katalog!$D$3:$D$12,MATCH(cadangan3[[#This Row],[Item C]],Katalog!$B$3:$B$12,0))*cadangan3[[#This Row],[Qty C]],0)</f>
        <v>700000</v>
      </c>
      <c r="AD977" s="36">
        <f>IFERROR(cadangan3[[#This Row],[Harga Asli C]]-(cadangan3[[#This Row],[Harga Asli C]]*cadangan3[[#This Row],[Diskon]]),cadangan3[[#This Row],[Harga Asli C]])</f>
        <v>560000</v>
      </c>
      <c r="AE977" s="36">
        <f>IFERROR(INDEX(Katalog!$F$3:$F$12,MATCH(cadangan3[[#This Row],[ItemID C]],Katalog!$C$3:$C$12,0))*cadangan3[[#This Row],[Qty C]],0)</f>
        <v>260000</v>
      </c>
      <c r="AF977" s="36">
        <f>IFERROR(cadangan3[[#This Row],[Profit C]]-(cadangan3[[#This Row],[Profit C]]*cadangan3[[#This Row],[Diskon]]),cadangan3[[#This Row],[Profit C]])</f>
        <v>208000</v>
      </c>
      <c r="AG977" s="21">
        <f>cadangan3[[#This Row],[Qty A]]+cadangan3[[#This Row],[Qty B]]+cadangan3[[#This Row],[Qty C]]</f>
        <v>5</v>
      </c>
      <c r="AH977" s="35">
        <f>cadangan3[[#This Row],[Harga A + Diskon]]+cadangan3[[#This Row],[Harga + Diskon B]]+cadangan3[[#This Row],[Harga + Diskon C]]</f>
        <v>1360000</v>
      </c>
      <c r="AI977" s="35">
        <f>(cadangan3[[#This Row],[Profit A]]+cadangan3[[#This Row],[Profit B]]+cadangan3[[#This Row],[Profit C]])</f>
        <v>660000</v>
      </c>
      <c r="AJ977" s="35">
        <f>cadangan3[[#This Row],[Provit A + Diskon]]+cadangan3[[#This Row],[Provit B + Diskon]]+cadangan3[[#This Row],[Provit C + Diskon]]</f>
        <v>528000</v>
      </c>
      <c r="AK977" s="23" t="s">
        <v>8</v>
      </c>
      <c r="AL977" s="37">
        <f>IFERROR(INDEX('Kode Diskon'!$D$3:$D$9,MATCH(cadangan3[[#This Row],[Kode diskon]],'Kode Diskon'!$C$3:$C$9,0)),"-")</f>
        <v>0.2</v>
      </c>
      <c r="AM977" s="23" t="s">
        <v>9</v>
      </c>
      <c r="AN977" s="23" t="s">
        <v>7</v>
      </c>
      <c r="AO977" s="23" t="s">
        <v>80</v>
      </c>
      <c r="AP977" s="24">
        <v>45038</v>
      </c>
      <c r="AQ977" s="23" t="str">
        <f>TEXT(cadangan3[[#This Row],[Tanggal terjual]],"dddd")</f>
        <v>Saturday</v>
      </c>
    </row>
    <row r="978" spans="1:43" x14ac:dyDescent="0.2">
      <c r="A978" s="20">
        <v>977</v>
      </c>
      <c r="B978" s="21" t="str">
        <f>_xlfn.CONCAT("ORD-",INDEX(Helper!$B$2:$B$5,MATCH(cadangan3[[#This Row],[Marketplace]],Helper!$A$2:$A$5,0)),TEXT(cadangan3[[#This Row],[No]],"0000"),"-",TEXT(cadangan3[[#This Row],[Tanggal terjual]],"dd/mm/yy"))</f>
        <v>ORD-TK0977-16/04/23</v>
      </c>
      <c r="C978" t="s">
        <v>63</v>
      </c>
      <c r="D978" t="str">
        <f>IFERROR(INDEX(Katalog!$A$3:$A$12,MATCH(cadangan3[[#This Row],[ItemID A]],Katalog!$C$3:$C$12,0)),"-")</f>
        <v>Pakaian Pria</v>
      </c>
      <c r="E978" t="str">
        <f>IFERROR(INDEX(Katalog!$B$3:$B$12,MATCH(cadangan3[[#This Row],[ItemID A]],Katalog!$C$3:$C$12,0)),"-")</f>
        <v>Jaket Jeans</v>
      </c>
      <c r="F978">
        <v>6</v>
      </c>
      <c r="G978">
        <v>1</v>
      </c>
      <c r="H978" s="36">
        <f>IFERROR(INDEX(Katalog!$D$3:$D$12,MATCH(cadangan3[[#This Row],[ItemID A]],Katalog!$C$3:$C$12,0))*cadangan3[[#This Row],[Qty A]],0)</f>
        <v>2400000</v>
      </c>
      <c r="I978" s="36">
        <f>IFERROR(INDEX(Katalog!$D$3:$D$12,MATCH(cadangan3[[#This Row],[Item A]],Katalog!$B$3:$B$12,0))*cadangan3[[#This Row],[Qty A]],0)</f>
        <v>2400000</v>
      </c>
      <c r="J978" s="36">
        <f>IFERROR(cadangan3[[#This Row],[Harga Asli A]]-(cadangan3[[#This Row],[Harga Asli A]]*cadangan3[[#This Row],[Diskon]]),cadangan3[[#This Row],[Harga Asli A]])</f>
        <v>2160000</v>
      </c>
      <c r="K978" s="36">
        <f>INDEX(Katalog!$F$3:$F$12,MATCH(cadangan3[[#This Row],[ItemID A]],Katalog!$C$3:$C$12,0))*cadangan3[[#This Row],[Qty A]]</f>
        <v>900000</v>
      </c>
      <c r="L978" s="36">
        <f>IFERROR(cadangan3[[#This Row],[Profit A]]-(cadangan3[[#This Row],[Profit A]]*cadangan3[[#This Row],[Diskon]]),K978)</f>
        <v>810000</v>
      </c>
      <c r="M978" t="s">
        <v>61</v>
      </c>
      <c r="N978" t="str">
        <f>IFERROR(INDEX(Katalog!$A$3:$A$12,MATCH(cadangan3[[#This Row],[ItemID B]],Katalog!$C$3:$C$12,0)),"-")</f>
        <v>Pakaian Pria</v>
      </c>
      <c r="O978" t="str">
        <f>IFERROR(INDEX(Katalog!$B$3:$B$12,MATCH(cadangan3[[#This Row],[ItemID B]],Katalog!$C$3:$C$12,0)),"-")</f>
        <v>Kaos Polo</v>
      </c>
      <c r="P978">
        <v>1</v>
      </c>
      <c r="Q978">
        <v>4</v>
      </c>
      <c r="R978" s="36">
        <f>IFERROR(INDEX(Katalog!$D$3:$D$12,MATCH(cadangan3[[#This Row],[ItemID B]],Katalog!$C$3:$C$12,0))*cadangan3[[#This Row],[Qty B]],0)</f>
        <v>200000</v>
      </c>
      <c r="S978" s="36">
        <f>IFERROR(INDEX(Katalog!$D$3:$D$12,MATCH(cadangan3[[#This Row],[Item B]],Katalog!$B$3:$B$12,0))*cadangan3[[#This Row],[Qty B]],0)</f>
        <v>200000</v>
      </c>
      <c r="T978" s="36">
        <f>IFERROR(cadangan3[[#This Row],[Harga Asli B]]-(cadangan3[[#This Row],[Harga Asli B]]*cadangan3[[#This Row],[Diskon]]),cadangan3[[#This Row],[Harga Asli B]])</f>
        <v>180000</v>
      </c>
      <c r="U978" s="36">
        <f>IFERROR(INDEX(Katalog!$F$3:$F$12,MATCH(cadangan3[[#This Row],[ItemID B]],Katalog!$C$3:$C$12,0))*cadangan3[[#This Row],[Qty B]],0)</f>
        <v>80000</v>
      </c>
      <c r="V978" s="36">
        <f>IFERROR(cadangan3[[#This Row],[Profit B]]-(cadangan3[[#This Row],[Profit B]]*cadangan3[[#This Row],[Diskon]]),U978)</f>
        <v>72000</v>
      </c>
      <c r="X978" t="str">
        <f>IFERROR(INDEX(Katalog!$A$3:$A$12,MATCH(cadangan3[[#This Row],[ItemID C]],Katalog!$C$3:$C$12,0)),"-")</f>
        <v>-</v>
      </c>
      <c r="Y978" t="str">
        <f>IFERROR(INDEX(Katalog!$B$3:$B$12,MATCH(cadangan3[[#This Row],[ItemID C]],Katalog!$C$3:$C$12,0)),"-")</f>
        <v>-</v>
      </c>
      <c r="AB978" s="36">
        <f>IFERROR(INDEX(Katalog!$D$3:$D$12,MATCH(cadangan3[[#This Row],[ItemID C]],Katalog!$C$3:$C$12,0))*cadangan3[[#This Row],[Qty C]],0)</f>
        <v>0</v>
      </c>
      <c r="AC978" s="36">
        <f>IFERROR(INDEX(Katalog!$D$3:$D$12,MATCH(cadangan3[[#This Row],[Item C]],Katalog!$B$3:$B$12,0))*cadangan3[[#This Row],[Qty C]],0)</f>
        <v>0</v>
      </c>
      <c r="AD978" s="36">
        <f>IFERROR(cadangan3[[#This Row],[Harga Asli C]]-(cadangan3[[#This Row],[Harga Asli C]]*cadangan3[[#This Row],[Diskon]]),cadangan3[[#This Row],[Harga Asli C]])</f>
        <v>0</v>
      </c>
      <c r="AE978" s="36">
        <f>IFERROR(INDEX(Katalog!$F$3:$F$12,MATCH(cadangan3[[#This Row],[ItemID C]],Katalog!$C$3:$C$12,0))*cadangan3[[#This Row],[Qty C]],0)</f>
        <v>0</v>
      </c>
      <c r="AF978" s="36">
        <f>IFERROR(cadangan3[[#This Row],[Profit C]]-(cadangan3[[#This Row],[Profit C]]*cadangan3[[#This Row],[Diskon]]),cadangan3[[#This Row],[Profit C]])</f>
        <v>0</v>
      </c>
      <c r="AG978" s="21">
        <f>cadangan3[[#This Row],[Qty A]]+cadangan3[[#This Row],[Qty B]]+cadangan3[[#This Row],[Qty C]]</f>
        <v>7</v>
      </c>
      <c r="AH978" s="35">
        <f>cadangan3[[#This Row],[Harga A + Diskon]]+cadangan3[[#This Row],[Harga + Diskon B]]+cadangan3[[#This Row],[Harga + Diskon C]]</f>
        <v>2340000</v>
      </c>
      <c r="AI978" s="35">
        <f>(cadangan3[[#This Row],[Profit A]]+cadangan3[[#This Row],[Profit B]]+cadangan3[[#This Row],[Profit C]])</f>
        <v>980000</v>
      </c>
      <c r="AJ978" s="35">
        <f>cadangan3[[#This Row],[Provit A + Diskon]]+cadangan3[[#This Row],[Provit B + Diskon]]+cadangan3[[#This Row],[Provit C + Diskon]]</f>
        <v>882000</v>
      </c>
      <c r="AK978" s="23" t="s">
        <v>31</v>
      </c>
      <c r="AL978" s="37">
        <f>IFERROR(INDEX('Kode Diskon'!$D$3:$D$9,MATCH(cadangan3[[#This Row],[Kode diskon]],'Kode Diskon'!$C$3:$C$9,0)),"-")</f>
        <v>0.1</v>
      </c>
      <c r="AM978" s="23" t="s">
        <v>9</v>
      </c>
      <c r="AN978" s="23" t="s">
        <v>10</v>
      </c>
      <c r="AO978" s="23" t="s">
        <v>76</v>
      </c>
      <c r="AP978" s="24">
        <v>45032</v>
      </c>
      <c r="AQ978" s="23" t="str">
        <f>TEXT(cadangan3[[#This Row],[Tanggal terjual]],"dddd")</f>
        <v>Sunday</v>
      </c>
    </row>
    <row r="979" spans="1:43" x14ac:dyDescent="0.2">
      <c r="A979" s="20">
        <v>978</v>
      </c>
      <c r="B979" s="21" t="str">
        <f>_xlfn.CONCAT("ORD-",INDEX(Helper!$B$2:$B$5,MATCH(cadangan3[[#This Row],[Marketplace]],Helper!$A$2:$A$5,0)),TEXT(cadangan3[[#This Row],[No]],"0000"),"-",TEXT(cadangan3[[#This Row],[Tanggal terjual]],"dd/mm/yy"))</f>
        <v>ORD-SP0978-20/04/23</v>
      </c>
      <c r="C979" t="s">
        <v>66</v>
      </c>
      <c r="D979" t="str">
        <f>IFERROR(INDEX(Katalog!$A$3:$A$12,MATCH(cadangan3[[#This Row],[ItemID A]],Katalog!$C$3:$C$12,0)),"-")</f>
        <v>Sepatu Pria</v>
      </c>
      <c r="E979" t="str">
        <f>IFERROR(INDEX(Katalog!$B$3:$B$12,MATCH(cadangan3[[#This Row],[ItemID A]],Katalog!$C$3:$C$12,0)),"-")</f>
        <v>Sandal Slip On</v>
      </c>
      <c r="F979">
        <v>4</v>
      </c>
      <c r="G979">
        <v>1</v>
      </c>
      <c r="H979" s="36">
        <f>IFERROR(INDEX(Katalog!$D$3:$D$12,MATCH(cadangan3[[#This Row],[ItemID A]],Katalog!$C$3:$C$12,0))*cadangan3[[#This Row],[Qty A]],0)</f>
        <v>600000</v>
      </c>
      <c r="I979" s="36">
        <f>IFERROR(INDEX(Katalog!$D$3:$D$12,MATCH(cadangan3[[#This Row],[Item A]],Katalog!$B$3:$B$12,0))*cadangan3[[#This Row],[Qty A]],0)</f>
        <v>600000</v>
      </c>
      <c r="J979" s="36">
        <f>IFERROR(cadangan3[[#This Row],[Harga Asli A]]-(cadangan3[[#This Row],[Harga Asli A]]*cadangan3[[#This Row],[Diskon]]),cadangan3[[#This Row],[Harga Asli A]])</f>
        <v>480000</v>
      </c>
      <c r="K979" s="36">
        <f>INDEX(Katalog!$F$3:$F$12,MATCH(cadangan3[[#This Row],[ItemID A]],Katalog!$C$3:$C$12,0))*cadangan3[[#This Row],[Qty A]]</f>
        <v>240000</v>
      </c>
      <c r="L979" s="36">
        <f>IFERROR(cadangan3[[#This Row],[Profit A]]-(cadangan3[[#This Row],[Profit A]]*cadangan3[[#This Row],[Diskon]]),K979)</f>
        <v>192000</v>
      </c>
      <c r="M979" t="s">
        <v>58</v>
      </c>
      <c r="N979" t="str">
        <f>IFERROR(INDEX(Katalog!$A$3:$A$12,MATCH(cadangan3[[#This Row],[ItemID B]],Katalog!$C$3:$C$12,0)),"-")</f>
        <v>Pakaian Wanita</v>
      </c>
      <c r="O979" t="str">
        <f>IFERROR(INDEX(Katalog!$B$3:$B$12,MATCH(cadangan3[[#This Row],[ItemID B]],Katalog!$C$3:$C$12,0)),"-")</f>
        <v>Dress</v>
      </c>
      <c r="P979">
        <v>1</v>
      </c>
      <c r="Q979">
        <v>5</v>
      </c>
      <c r="R979" s="36">
        <f>IFERROR(INDEX(Katalog!$D$3:$D$12,MATCH(cadangan3[[#This Row],[ItemID B]],Katalog!$C$3:$C$12,0))*cadangan3[[#This Row],[Qty B]],0)</f>
        <v>300000</v>
      </c>
      <c r="S979" s="36">
        <f>IFERROR(INDEX(Katalog!$D$3:$D$12,MATCH(cadangan3[[#This Row],[Item B]],Katalog!$B$3:$B$12,0))*cadangan3[[#This Row],[Qty B]],0)</f>
        <v>300000</v>
      </c>
      <c r="T979" s="36">
        <f>IFERROR(cadangan3[[#This Row],[Harga Asli B]]-(cadangan3[[#This Row],[Harga Asli B]]*cadangan3[[#This Row],[Diskon]]),cadangan3[[#This Row],[Harga Asli B]])</f>
        <v>240000</v>
      </c>
      <c r="U979" s="36">
        <f>IFERROR(INDEX(Katalog!$F$3:$F$12,MATCH(cadangan3[[#This Row],[ItemID B]],Katalog!$C$3:$C$12,0))*cadangan3[[#This Row],[Qty B]],0)</f>
        <v>100000</v>
      </c>
      <c r="V979" s="36">
        <f>IFERROR(cadangan3[[#This Row],[Profit B]]-(cadangan3[[#This Row],[Profit B]]*cadangan3[[#This Row],[Diskon]]),U979)</f>
        <v>80000</v>
      </c>
      <c r="X979" t="str">
        <f>IFERROR(INDEX(Katalog!$A$3:$A$12,MATCH(cadangan3[[#This Row],[ItemID C]],Katalog!$C$3:$C$12,0)),"-")</f>
        <v>-</v>
      </c>
      <c r="Y979" t="str">
        <f>IFERROR(INDEX(Katalog!$B$3:$B$12,MATCH(cadangan3[[#This Row],[ItemID C]],Katalog!$C$3:$C$12,0)),"-")</f>
        <v>-</v>
      </c>
      <c r="AB979" s="36">
        <f>IFERROR(INDEX(Katalog!$D$3:$D$12,MATCH(cadangan3[[#This Row],[ItemID C]],Katalog!$C$3:$C$12,0))*cadangan3[[#This Row],[Qty C]],0)</f>
        <v>0</v>
      </c>
      <c r="AC979" s="36">
        <f>IFERROR(INDEX(Katalog!$D$3:$D$12,MATCH(cadangan3[[#This Row],[Item C]],Katalog!$B$3:$B$12,0))*cadangan3[[#This Row],[Qty C]],0)</f>
        <v>0</v>
      </c>
      <c r="AD979" s="36">
        <f>IFERROR(cadangan3[[#This Row],[Harga Asli C]]-(cadangan3[[#This Row],[Harga Asli C]]*cadangan3[[#This Row],[Diskon]]),cadangan3[[#This Row],[Harga Asli C]])</f>
        <v>0</v>
      </c>
      <c r="AE979" s="36">
        <f>IFERROR(INDEX(Katalog!$F$3:$F$12,MATCH(cadangan3[[#This Row],[ItemID C]],Katalog!$C$3:$C$12,0))*cadangan3[[#This Row],[Qty C]],0)</f>
        <v>0</v>
      </c>
      <c r="AF979" s="36">
        <f>IFERROR(cadangan3[[#This Row],[Profit C]]-(cadangan3[[#This Row],[Profit C]]*cadangan3[[#This Row],[Diskon]]),cadangan3[[#This Row],[Profit C]])</f>
        <v>0</v>
      </c>
      <c r="AG979" s="21">
        <f>cadangan3[[#This Row],[Qty A]]+cadangan3[[#This Row],[Qty B]]+cadangan3[[#This Row],[Qty C]]</f>
        <v>5</v>
      </c>
      <c r="AH979" s="35">
        <f>cadangan3[[#This Row],[Harga A + Diskon]]+cadangan3[[#This Row],[Harga + Diskon B]]+cadangan3[[#This Row],[Harga + Diskon C]]</f>
        <v>720000</v>
      </c>
      <c r="AI979" s="35">
        <f>(cadangan3[[#This Row],[Profit A]]+cadangan3[[#This Row],[Profit B]]+cadangan3[[#This Row],[Profit C]])</f>
        <v>340000</v>
      </c>
      <c r="AJ979" s="35">
        <f>cadangan3[[#This Row],[Provit A + Diskon]]+cadangan3[[#This Row],[Provit B + Diskon]]+cadangan3[[#This Row],[Provit C + Diskon]]</f>
        <v>272000</v>
      </c>
      <c r="AK979" s="23" t="s">
        <v>8</v>
      </c>
      <c r="AL979" s="37">
        <f>IFERROR(INDEX('Kode Diskon'!$D$3:$D$9,MATCH(cadangan3[[#This Row],[Kode diskon]],'Kode Diskon'!$C$3:$C$9,0)),"-")</f>
        <v>0.2</v>
      </c>
      <c r="AM979" s="23" t="s">
        <v>9</v>
      </c>
      <c r="AN979" s="23" t="s">
        <v>7</v>
      </c>
      <c r="AO979" s="23" t="s">
        <v>75</v>
      </c>
      <c r="AP979" s="24">
        <v>45036</v>
      </c>
      <c r="AQ979" s="23" t="str">
        <f>TEXT(cadangan3[[#This Row],[Tanggal terjual]],"dddd")</f>
        <v>Thursday</v>
      </c>
    </row>
    <row r="980" spans="1:43" x14ac:dyDescent="0.2">
      <c r="A980" s="20">
        <v>979</v>
      </c>
      <c r="B980" s="21" t="str">
        <f>_xlfn.CONCAT("ORD-",INDEX(Helper!$B$2:$B$5,MATCH(cadangan3[[#This Row],[Marketplace]],Helper!$A$2:$A$5,0)),TEXT(cadangan3[[#This Row],[No]],"0000"),"-",TEXT(cadangan3[[#This Row],[Tanggal terjual]],"dd/mm/yy"))</f>
        <v>ORD-SP0979-01/04/23</v>
      </c>
      <c r="C980" t="s">
        <v>59</v>
      </c>
      <c r="D980" t="str">
        <f>IFERROR(INDEX(Katalog!$A$3:$A$12,MATCH(cadangan3[[#This Row],[ItemID A]],Katalog!$C$3:$C$12,0)),"-")</f>
        <v>Pakaian Wanita</v>
      </c>
      <c r="E980" t="str">
        <f>IFERROR(INDEX(Katalog!$B$3:$B$12,MATCH(cadangan3[[#This Row],[ItemID A]],Katalog!$C$3:$C$12,0)),"-")</f>
        <v>Blouse</v>
      </c>
      <c r="F980">
        <v>3</v>
      </c>
      <c r="G980">
        <v>2</v>
      </c>
      <c r="H980" s="36">
        <f>IFERROR(INDEX(Katalog!$D$3:$D$12,MATCH(cadangan3[[#This Row],[ItemID A]],Katalog!$C$3:$C$12,0))*cadangan3[[#This Row],[Qty A]],0)</f>
        <v>450000</v>
      </c>
      <c r="I980" s="36">
        <f>IFERROR(INDEX(Katalog!$D$3:$D$12,MATCH(cadangan3[[#This Row],[Item A]],Katalog!$B$3:$B$12,0))*cadangan3[[#This Row],[Qty A]],0)</f>
        <v>450000</v>
      </c>
      <c r="J980" s="36">
        <f>IFERROR(cadangan3[[#This Row],[Harga Asli A]]-(cadangan3[[#This Row],[Harga Asli A]]*cadangan3[[#This Row],[Diskon]]),cadangan3[[#This Row],[Harga Asli A]])</f>
        <v>405000</v>
      </c>
      <c r="K980" s="36">
        <f>INDEX(Katalog!$F$3:$F$12,MATCH(cadangan3[[#This Row],[ItemID A]],Katalog!$C$3:$C$12,0))*cadangan3[[#This Row],[Qty A]]</f>
        <v>150000</v>
      </c>
      <c r="L980" s="36">
        <f>IFERROR(cadangan3[[#This Row],[Profit A]]-(cadangan3[[#This Row],[Profit A]]*cadangan3[[#This Row],[Diskon]]),K980)</f>
        <v>135000</v>
      </c>
      <c r="N980" t="str">
        <f>IFERROR(INDEX(Katalog!$A$3:$A$12,MATCH(cadangan3[[#This Row],[ItemID B]],Katalog!$C$3:$C$12,0)),"-")</f>
        <v>-</v>
      </c>
      <c r="O980" t="str">
        <f>IFERROR(INDEX(Katalog!$B$3:$B$12,MATCH(cadangan3[[#This Row],[ItemID B]],Katalog!$C$3:$C$12,0)),"-")</f>
        <v>-</v>
      </c>
      <c r="R980" s="36">
        <f>IFERROR(INDEX(Katalog!$D$3:$D$12,MATCH(cadangan3[[#This Row],[ItemID B]],Katalog!$C$3:$C$12,0))*cadangan3[[#This Row],[Qty B]],0)</f>
        <v>0</v>
      </c>
      <c r="S980" s="36">
        <f>IFERROR(INDEX(Katalog!$D$3:$D$12,MATCH(cadangan3[[#This Row],[Item B]],Katalog!$B$3:$B$12,0))*cadangan3[[#This Row],[Qty B]],0)</f>
        <v>0</v>
      </c>
      <c r="T980" s="36">
        <f>IFERROR(cadangan3[[#This Row],[Harga Asli B]]-(cadangan3[[#This Row],[Harga Asli B]]*cadangan3[[#This Row],[Diskon]]),cadangan3[[#This Row],[Harga Asli B]])</f>
        <v>0</v>
      </c>
      <c r="U980" s="36">
        <f>IFERROR(INDEX(Katalog!$F$3:$F$12,MATCH(cadangan3[[#This Row],[ItemID B]],Katalog!$C$3:$C$12,0))*cadangan3[[#This Row],[Qty B]],0)</f>
        <v>0</v>
      </c>
      <c r="V980" s="36">
        <f>IFERROR(cadangan3[[#This Row],[Profit B]]-(cadangan3[[#This Row],[Profit B]]*cadangan3[[#This Row],[Diskon]]),U980)</f>
        <v>0</v>
      </c>
      <c r="X980" t="str">
        <f>IFERROR(INDEX(Katalog!$A$3:$A$12,MATCH(cadangan3[[#This Row],[ItemID C]],Katalog!$C$3:$C$12,0)),"-")</f>
        <v>-</v>
      </c>
      <c r="Y980" t="str">
        <f>IFERROR(INDEX(Katalog!$B$3:$B$12,MATCH(cadangan3[[#This Row],[ItemID C]],Katalog!$C$3:$C$12,0)),"-")</f>
        <v>-</v>
      </c>
      <c r="AB980" s="36">
        <f>IFERROR(INDEX(Katalog!$D$3:$D$12,MATCH(cadangan3[[#This Row],[ItemID C]],Katalog!$C$3:$C$12,0))*cadangan3[[#This Row],[Qty C]],0)</f>
        <v>0</v>
      </c>
      <c r="AC980" s="36">
        <f>IFERROR(INDEX(Katalog!$D$3:$D$12,MATCH(cadangan3[[#This Row],[Item C]],Katalog!$B$3:$B$12,0))*cadangan3[[#This Row],[Qty C]],0)</f>
        <v>0</v>
      </c>
      <c r="AD980" s="36">
        <f>IFERROR(cadangan3[[#This Row],[Harga Asli C]]-(cadangan3[[#This Row],[Harga Asli C]]*cadangan3[[#This Row],[Diskon]]),cadangan3[[#This Row],[Harga Asli C]])</f>
        <v>0</v>
      </c>
      <c r="AE980" s="36">
        <f>IFERROR(INDEX(Katalog!$F$3:$F$12,MATCH(cadangan3[[#This Row],[ItemID C]],Katalog!$C$3:$C$12,0))*cadangan3[[#This Row],[Qty C]],0)</f>
        <v>0</v>
      </c>
      <c r="AF980" s="36">
        <f>IFERROR(cadangan3[[#This Row],[Profit C]]-(cadangan3[[#This Row],[Profit C]]*cadangan3[[#This Row],[Diskon]]),cadangan3[[#This Row],[Profit C]])</f>
        <v>0</v>
      </c>
      <c r="AG980" s="21">
        <f>cadangan3[[#This Row],[Qty A]]+cadangan3[[#This Row],[Qty B]]+cadangan3[[#This Row],[Qty C]]</f>
        <v>3</v>
      </c>
      <c r="AH980" s="35">
        <f>cadangan3[[#This Row],[Harga A + Diskon]]+cadangan3[[#This Row],[Harga + Diskon B]]+cadangan3[[#This Row],[Harga + Diskon C]]</f>
        <v>405000</v>
      </c>
      <c r="AI980" s="35">
        <f>(cadangan3[[#This Row],[Profit A]]+cadangan3[[#This Row],[Profit B]]+cadangan3[[#This Row],[Profit C]])</f>
        <v>150000</v>
      </c>
      <c r="AJ980" s="35">
        <f>cadangan3[[#This Row],[Provit A + Diskon]]+cadangan3[[#This Row],[Provit B + Diskon]]+cadangan3[[#This Row],[Provit C + Diskon]]</f>
        <v>135000</v>
      </c>
      <c r="AK980" s="23" t="s">
        <v>6</v>
      </c>
      <c r="AL980" s="37">
        <f>IFERROR(INDEX('Kode Diskon'!$D$3:$D$9,MATCH(cadangan3[[#This Row],[Kode diskon]],'Kode Diskon'!$C$3:$C$9,0)),"-")</f>
        <v>0.1</v>
      </c>
      <c r="AM980" s="23" t="s">
        <v>29</v>
      </c>
      <c r="AN980" s="23" t="s">
        <v>7</v>
      </c>
      <c r="AO980" s="23" t="s">
        <v>79</v>
      </c>
      <c r="AP980" s="24">
        <v>45017</v>
      </c>
      <c r="AQ980" s="23" t="str">
        <f>TEXT(cadangan3[[#This Row],[Tanggal terjual]],"dddd")</f>
        <v>Saturday</v>
      </c>
    </row>
    <row r="981" spans="1:43" x14ac:dyDescent="0.2">
      <c r="A981" s="20">
        <v>980</v>
      </c>
      <c r="B981" s="21" t="str">
        <f>_xlfn.CONCAT("ORD-",INDEX(Helper!$B$2:$B$5,MATCH(cadangan3[[#This Row],[Marketplace]],Helper!$A$2:$A$5,0)),TEXT(cadangan3[[#This Row],[No]],"0000"),"-",TEXT(cadangan3[[#This Row],[Tanggal terjual]],"dd/mm/yy"))</f>
        <v>ORD-SP0980-07/04/23</v>
      </c>
      <c r="C981" t="s">
        <v>67</v>
      </c>
      <c r="D981" t="str">
        <f>IFERROR(INDEX(Katalog!$A$3:$A$12,MATCH(cadangan3[[#This Row],[ItemID A]],Katalog!$C$3:$C$12,0)),"-")</f>
        <v>Sepatu Wanita</v>
      </c>
      <c r="E981" t="str">
        <f>IFERROR(INDEX(Katalog!$B$3:$B$12,MATCH(cadangan3[[#This Row],[ItemID A]],Katalog!$C$3:$C$12,0)),"-")</f>
        <v>Flat Shoes</v>
      </c>
      <c r="F981">
        <v>2</v>
      </c>
      <c r="G981">
        <v>4</v>
      </c>
      <c r="H981" s="36">
        <f>IFERROR(INDEX(Katalog!$D$3:$D$12,MATCH(cadangan3[[#This Row],[ItemID A]],Katalog!$C$3:$C$12,0))*cadangan3[[#This Row],[Qty A]],0)</f>
        <v>500000</v>
      </c>
      <c r="I981" s="36">
        <f>IFERROR(INDEX(Katalog!$D$3:$D$12,MATCH(cadangan3[[#This Row],[Item A]],Katalog!$B$3:$B$12,0))*cadangan3[[#This Row],[Qty A]],0)</f>
        <v>500000</v>
      </c>
      <c r="J981" s="36">
        <f>IFERROR(cadangan3[[#This Row],[Harga Asli A]]-(cadangan3[[#This Row],[Harga Asli A]]*cadangan3[[#This Row],[Diskon]]),cadangan3[[#This Row],[Harga Asli A]])</f>
        <v>500000</v>
      </c>
      <c r="K981" s="36">
        <f>INDEX(Katalog!$F$3:$F$12,MATCH(cadangan3[[#This Row],[ItemID A]],Katalog!$C$3:$C$12,0))*cadangan3[[#This Row],[Qty A]]</f>
        <v>200000</v>
      </c>
      <c r="L981" s="36">
        <f>IFERROR(cadangan3[[#This Row],[Profit A]]-(cadangan3[[#This Row],[Profit A]]*cadangan3[[#This Row],[Diskon]]),K981)</f>
        <v>200000</v>
      </c>
      <c r="M981" t="s">
        <v>66</v>
      </c>
      <c r="N981" t="str">
        <f>IFERROR(INDEX(Katalog!$A$3:$A$12,MATCH(cadangan3[[#This Row],[ItemID B]],Katalog!$C$3:$C$12,0)),"-")</f>
        <v>Sepatu Pria</v>
      </c>
      <c r="O981" t="str">
        <f>IFERROR(INDEX(Katalog!$B$3:$B$12,MATCH(cadangan3[[#This Row],[ItemID B]],Katalog!$C$3:$C$12,0)),"-")</f>
        <v>Sandal Slip On</v>
      </c>
      <c r="P981">
        <v>4</v>
      </c>
      <c r="Q981">
        <v>5</v>
      </c>
      <c r="R981" s="36">
        <f>IFERROR(INDEX(Katalog!$D$3:$D$12,MATCH(cadangan3[[#This Row],[ItemID B]],Katalog!$C$3:$C$12,0))*cadangan3[[#This Row],[Qty B]],0)</f>
        <v>600000</v>
      </c>
      <c r="S981" s="36">
        <f>IFERROR(INDEX(Katalog!$D$3:$D$12,MATCH(cadangan3[[#This Row],[Item B]],Katalog!$B$3:$B$12,0))*cadangan3[[#This Row],[Qty B]],0)</f>
        <v>600000</v>
      </c>
      <c r="T981" s="36">
        <f>IFERROR(cadangan3[[#This Row],[Harga Asli B]]-(cadangan3[[#This Row],[Harga Asli B]]*cadangan3[[#This Row],[Diskon]]),cadangan3[[#This Row],[Harga Asli B]])</f>
        <v>600000</v>
      </c>
      <c r="U981" s="36">
        <f>IFERROR(INDEX(Katalog!$F$3:$F$12,MATCH(cadangan3[[#This Row],[ItemID B]],Katalog!$C$3:$C$12,0))*cadangan3[[#This Row],[Qty B]],0)</f>
        <v>240000</v>
      </c>
      <c r="V981" s="36">
        <f>IFERROR(cadangan3[[#This Row],[Profit B]]-(cadangan3[[#This Row],[Profit B]]*cadangan3[[#This Row],[Diskon]]),U981)</f>
        <v>240000</v>
      </c>
      <c r="X981" t="str">
        <f>IFERROR(INDEX(Katalog!$A$3:$A$12,MATCH(cadangan3[[#This Row],[ItemID C]],Katalog!$C$3:$C$12,0)),"-")</f>
        <v>-</v>
      </c>
      <c r="Y981" t="str">
        <f>IFERROR(INDEX(Katalog!$B$3:$B$12,MATCH(cadangan3[[#This Row],[ItemID C]],Katalog!$C$3:$C$12,0)),"-")</f>
        <v>-</v>
      </c>
      <c r="AB981" s="36">
        <f>IFERROR(INDEX(Katalog!$D$3:$D$12,MATCH(cadangan3[[#This Row],[ItemID C]],Katalog!$C$3:$C$12,0))*cadangan3[[#This Row],[Qty C]],0)</f>
        <v>0</v>
      </c>
      <c r="AC981" s="36">
        <f>IFERROR(INDEX(Katalog!$D$3:$D$12,MATCH(cadangan3[[#This Row],[Item C]],Katalog!$B$3:$B$12,0))*cadangan3[[#This Row],[Qty C]],0)</f>
        <v>0</v>
      </c>
      <c r="AD981" s="36">
        <f>IFERROR(cadangan3[[#This Row],[Harga Asli C]]-(cadangan3[[#This Row],[Harga Asli C]]*cadangan3[[#This Row],[Diskon]]),cadangan3[[#This Row],[Harga Asli C]])</f>
        <v>0</v>
      </c>
      <c r="AE981" s="36">
        <f>IFERROR(INDEX(Katalog!$F$3:$F$12,MATCH(cadangan3[[#This Row],[ItemID C]],Katalog!$C$3:$C$12,0))*cadangan3[[#This Row],[Qty C]],0)</f>
        <v>0</v>
      </c>
      <c r="AF981" s="36">
        <f>IFERROR(cadangan3[[#This Row],[Profit C]]-(cadangan3[[#This Row],[Profit C]]*cadangan3[[#This Row],[Diskon]]),cadangan3[[#This Row],[Profit C]])</f>
        <v>0</v>
      </c>
      <c r="AG981" s="21">
        <f>cadangan3[[#This Row],[Qty A]]+cadangan3[[#This Row],[Qty B]]+cadangan3[[#This Row],[Qty C]]</f>
        <v>6</v>
      </c>
      <c r="AH981" s="35">
        <f>cadangan3[[#This Row],[Harga A + Diskon]]+cadangan3[[#This Row],[Harga + Diskon B]]+cadangan3[[#This Row],[Harga + Diskon C]]</f>
        <v>1100000</v>
      </c>
      <c r="AI981" s="35">
        <f>(cadangan3[[#This Row],[Profit A]]+cadangan3[[#This Row],[Profit B]]+cadangan3[[#This Row],[Profit C]])</f>
        <v>440000</v>
      </c>
      <c r="AJ981" s="35">
        <f>cadangan3[[#This Row],[Provit A + Diskon]]+cadangan3[[#This Row],[Provit B + Diskon]]+cadangan3[[#This Row],[Provit C + Diskon]]</f>
        <v>440000</v>
      </c>
      <c r="AK981" s="23" t="s">
        <v>11</v>
      </c>
      <c r="AL981" s="37" t="str">
        <f>IFERROR(INDEX('Kode Diskon'!$D$3:$D$9,MATCH(cadangan3[[#This Row],[Kode diskon]],'Kode Diskon'!$C$3:$C$9,0)),"-")</f>
        <v>-</v>
      </c>
      <c r="AM981" s="23" t="s">
        <v>11</v>
      </c>
      <c r="AN981" s="23" t="s">
        <v>7</v>
      </c>
      <c r="AO981" s="23" t="s">
        <v>79</v>
      </c>
      <c r="AP981" s="24">
        <v>45023</v>
      </c>
      <c r="AQ981" s="23" t="str">
        <f>TEXT(cadangan3[[#This Row],[Tanggal terjual]],"dddd")</f>
        <v>Friday</v>
      </c>
    </row>
    <row r="982" spans="1:43" x14ac:dyDescent="0.2">
      <c r="A982" s="20">
        <v>981</v>
      </c>
      <c r="B982" s="21" t="str">
        <f>_xlfn.CONCAT("ORD-",INDEX(Helper!$B$2:$B$5,MATCH(cadangan3[[#This Row],[Marketplace]],Helper!$A$2:$A$5,0)),TEXT(cadangan3[[#This Row],[No]],"0000"),"-",TEXT(cadangan3[[#This Row],[Tanggal terjual]],"dd/mm/yy"))</f>
        <v>ORD-SP0981-01/04/23</v>
      </c>
      <c r="C982" t="s">
        <v>58</v>
      </c>
      <c r="D982" t="str">
        <f>IFERROR(INDEX(Katalog!$A$3:$A$12,MATCH(cadangan3[[#This Row],[ItemID A]],Katalog!$C$3:$C$12,0)),"-")</f>
        <v>Pakaian Wanita</v>
      </c>
      <c r="E982" t="str">
        <f>IFERROR(INDEX(Katalog!$B$3:$B$12,MATCH(cadangan3[[#This Row],[ItemID A]],Katalog!$C$3:$C$12,0)),"-")</f>
        <v>Dress</v>
      </c>
      <c r="F982">
        <v>1</v>
      </c>
      <c r="G982">
        <v>4</v>
      </c>
      <c r="H982" s="36">
        <f>IFERROR(INDEX(Katalog!$D$3:$D$12,MATCH(cadangan3[[#This Row],[ItemID A]],Katalog!$C$3:$C$12,0))*cadangan3[[#This Row],[Qty A]],0)</f>
        <v>300000</v>
      </c>
      <c r="I982" s="36">
        <f>IFERROR(INDEX(Katalog!$D$3:$D$12,MATCH(cadangan3[[#This Row],[Item A]],Katalog!$B$3:$B$12,0))*cadangan3[[#This Row],[Qty A]],0)</f>
        <v>300000</v>
      </c>
      <c r="J982" s="36">
        <f>IFERROR(cadangan3[[#This Row],[Harga Asli A]]-(cadangan3[[#This Row],[Harga Asli A]]*cadangan3[[#This Row],[Diskon]]),cadangan3[[#This Row],[Harga Asli A]])</f>
        <v>270000</v>
      </c>
      <c r="K982" s="36">
        <f>INDEX(Katalog!$F$3:$F$12,MATCH(cadangan3[[#This Row],[ItemID A]],Katalog!$C$3:$C$12,0))*cadangan3[[#This Row],[Qty A]]</f>
        <v>100000</v>
      </c>
      <c r="L982" s="36">
        <f>IFERROR(cadangan3[[#This Row],[Profit A]]-(cadangan3[[#This Row],[Profit A]]*cadangan3[[#This Row],[Diskon]]),K982)</f>
        <v>90000</v>
      </c>
      <c r="N982" t="str">
        <f>IFERROR(INDEX(Katalog!$A$3:$A$12,MATCH(cadangan3[[#This Row],[ItemID B]],Katalog!$C$3:$C$12,0)),"-")</f>
        <v>-</v>
      </c>
      <c r="O982" t="str">
        <f>IFERROR(INDEX(Katalog!$B$3:$B$12,MATCH(cadangan3[[#This Row],[ItemID B]],Katalog!$C$3:$C$12,0)),"-")</f>
        <v>-</v>
      </c>
      <c r="R982" s="36">
        <f>IFERROR(INDEX(Katalog!$D$3:$D$12,MATCH(cadangan3[[#This Row],[ItemID B]],Katalog!$C$3:$C$12,0))*cadangan3[[#This Row],[Qty B]],0)</f>
        <v>0</v>
      </c>
      <c r="S982" s="36">
        <f>IFERROR(INDEX(Katalog!$D$3:$D$12,MATCH(cadangan3[[#This Row],[Item B]],Katalog!$B$3:$B$12,0))*cadangan3[[#This Row],[Qty B]],0)</f>
        <v>0</v>
      </c>
      <c r="T982" s="36">
        <f>IFERROR(cadangan3[[#This Row],[Harga Asli B]]-(cadangan3[[#This Row],[Harga Asli B]]*cadangan3[[#This Row],[Diskon]]),cadangan3[[#This Row],[Harga Asli B]])</f>
        <v>0</v>
      </c>
      <c r="U982" s="36">
        <f>IFERROR(INDEX(Katalog!$F$3:$F$12,MATCH(cadangan3[[#This Row],[ItemID B]],Katalog!$C$3:$C$12,0))*cadangan3[[#This Row],[Qty B]],0)</f>
        <v>0</v>
      </c>
      <c r="V982" s="36">
        <f>IFERROR(cadangan3[[#This Row],[Profit B]]-(cadangan3[[#This Row],[Profit B]]*cadangan3[[#This Row],[Diskon]]),U982)</f>
        <v>0</v>
      </c>
      <c r="X982" t="str">
        <f>IFERROR(INDEX(Katalog!$A$3:$A$12,MATCH(cadangan3[[#This Row],[ItemID C]],Katalog!$C$3:$C$12,0)),"-")</f>
        <v>-</v>
      </c>
      <c r="Y982" t="str">
        <f>IFERROR(INDEX(Katalog!$B$3:$B$12,MATCH(cadangan3[[#This Row],[ItemID C]],Katalog!$C$3:$C$12,0)),"-")</f>
        <v>-</v>
      </c>
      <c r="AB982" s="36">
        <f>IFERROR(INDEX(Katalog!$D$3:$D$12,MATCH(cadangan3[[#This Row],[ItemID C]],Katalog!$C$3:$C$12,0))*cadangan3[[#This Row],[Qty C]],0)</f>
        <v>0</v>
      </c>
      <c r="AC982" s="36">
        <f>IFERROR(INDEX(Katalog!$D$3:$D$12,MATCH(cadangan3[[#This Row],[Item C]],Katalog!$B$3:$B$12,0))*cadangan3[[#This Row],[Qty C]],0)</f>
        <v>0</v>
      </c>
      <c r="AD982" s="36">
        <f>IFERROR(cadangan3[[#This Row],[Harga Asli C]]-(cadangan3[[#This Row],[Harga Asli C]]*cadangan3[[#This Row],[Diskon]]),cadangan3[[#This Row],[Harga Asli C]])</f>
        <v>0</v>
      </c>
      <c r="AE982" s="36">
        <f>IFERROR(INDEX(Katalog!$F$3:$F$12,MATCH(cadangan3[[#This Row],[ItemID C]],Katalog!$C$3:$C$12,0))*cadangan3[[#This Row],[Qty C]],0)</f>
        <v>0</v>
      </c>
      <c r="AF982" s="36">
        <f>IFERROR(cadangan3[[#This Row],[Profit C]]-(cadangan3[[#This Row],[Profit C]]*cadangan3[[#This Row],[Diskon]]),cadangan3[[#This Row],[Profit C]])</f>
        <v>0</v>
      </c>
      <c r="AG982" s="21">
        <f>cadangan3[[#This Row],[Qty A]]+cadangan3[[#This Row],[Qty B]]+cadangan3[[#This Row],[Qty C]]</f>
        <v>1</v>
      </c>
      <c r="AH982" s="35">
        <f>cadangan3[[#This Row],[Harga A + Diskon]]+cadangan3[[#This Row],[Harga + Diskon B]]+cadangan3[[#This Row],[Harga + Diskon C]]</f>
        <v>270000</v>
      </c>
      <c r="AI982" s="35">
        <f>(cadangan3[[#This Row],[Profit A]]+cadangan3[[#This Row],[Profit B]]+cadangan3[[#This Row],[Profit C]])</f>
        <v>100000</v>
      </c>
      <c r="AJ982" s="35">
        <f>cadangan3[[#This Row],[Provit A + Diskon]]+cadangan3[[#This Row],[Provit B + Diskon]]+cadangan3[[#This Row],[Provit C + Diskon]]</f>
        <v>90000</v>
      </c>
      <c r="AK982" s="23" t="s">
        <v>6</v>
      </c>
      <c r="AL982" s="37">
        <f>IFERROR(INDEX('Kode Diskon'!$D$3:$D$9,MATCH(cadangan3[[#This Row],[Kode diskon]],'Kode Diskon'!$C$3:$C$9,0)),"-")</f>
        <v>0.1</v>
      </c>
      <c r="AM982" s="23" t="s">
        <v>29</v>
      </c>
      <c r="AN982" s="23" t="s">
        <v>7</v>
      </c>
      <c r="AO982" s="23" t="s">
        <v>79</v>
      </c>
      <c r="AP982" s="24">
        <v>45017</v>
      </c>
      <c r="AQ982" s="23" t="str">
        <f>TEXT(cadangan3[[#This Row],[Tanggal terjual]],"dddd")</f>
        <v>Saturday</v>
      </c>
    </row>
    <row r="983" spans="1:43" x14ac:dyDescent="0.2">
      <c r="A983" s="20">
        <v>982</v>
      </c>
      <c r="B983" s="21" t="str">
        <f>_xlfn.CONCAT("ORD-",INDEX(Helper!$B$2:$B$5,MATCH(cadangan3[[#This Row],[Marketplace]],Helper!$A$2:$A$5,0)),TEXT(cadangan3[[#This Row],[No]],"0000"),"-",TEXT(cadangan3[[#This Row],[Tanggal terjual]],"dd/mm/yy"))</f>
        <v>ORD-BB0982-03/04/23</v>
      </c>
      <c r="C983" t="s">
        <v>63</v>
      </c>
      <c r="D983" t="str">
        <f>IFERROR(INDEX(Katalog!$A$3:$A$12,MATCH(cadangan3[[#This Row],[ItemID A]],Katalog!$C$3:$C$12,0)),"-")</f>
        <v>Pakaian Pria</v>
      </c>
      <c r="E983" t="str">
        <f>IFERROR(INDEX(Katalog!$B$3:$B$12,MATCH(cadangan3[[#This Row],[ItemID A]],Katalog!$C$3:$C$12,0)),"-")</f>
        <v>Jaket Jeans</v>
      </c>
      <c r="F983">
        <v>3</v>
      </c>
      <c r="G983">
        <v>5</v>
      </c>
      <c r="H983" s="36">
        <f>IFERROR(INDEX(Katalog!$D$3:$D$12,MATCH(cadangan3[[#This Row],[ItemID A]],Katalog!$C$3:$C$12,0))*cadangan3[[#This Row],[Qty A]],0)</f>
        <v>1200000</v>
      </c>
      <c r="I983" s="36">
        <f>IFERROR(INDEX(Katalog!$D$3:$D$12,MATCH(cadangan3[[#This Row],[Item A]],Katalog!$B$3:$B$12,0))*cadangan3[[#This Row],[Qty A]],0)</f>
        <v>1200000</v>
      </c>
      <c r="J983" s="36">
        <f>IFERROR(cadangan3[[#This Row],[Harga Asli A]]-(cadangan3[[#This Row],[Harga Asli A]]*cadangan3[[#This Row],[Diskon]]),cadangan3[[#This Row],[Harga Asli A]])</f>
        <v>1020000</v>
      </c>
      <c r="K983" s="36">
        <f>INDEX(Katalog!$F$3:$F$12,MATCH(cadangan3[[#This Row],[ItemID A]],Katalog!$C$3:$C$12,0))*cadangan3[[#This Row],[Qty A]]</f>
        <v>450000</v>
      </c>
      <c r="L983" s="36">
        <f>IFERROR(cadangan3[[#This Row],[Profit A]]-(cadangan3[[#This Row],[Profit A]]*cadangan3[[#This Row],[Diskon]]),K983)</f>
        <v>382500</v>
      </c>
      <c r="N983" t="str">
        <f>IFERROR(INDEX(Katalog!$A$3:$A$12,MATCH(cadangan3[[#This Row],[ItemID B]],Katalog!$C$3:$C$12,0)),"-")</f>
        <v>-</v>
      </c>
      <c r="O983" t="str">
        <f>IFERROR(INDEX(Katalog!$B$3:$B$12,MATCH(cadangan3[[#This Row],[ItemID B]],Katalog!$C$3:$C$12,0)),"-")</f>
        <v>-</v>
      </c>
      <c r="R983" s="36">
        <f>IFERROR(INDEX(Katalog!$D$3:$D$12,MATCH(cadangan3[[#This Row],[ItemID B]],Katalog!$C$3:$C$12,0))*cadangan3[[#This Row],[Qty B]],0)</f>
        <v>0</v>
      </c>
      <c r="S983" s="36">
        <f>IFERROR(INDEX(Katalog!$D$3:$D$12,MATCH(cadangan3[[#This Row],[Item B]],Katalog!$B$3:$B$12,0))*cadangan3[[#This Row],[Qty B]],0)</f>
        <v>0</v>
      </c>
      <c r="T983" s="36">
        <f>IFERROR(cadangan3[[#This Row],[Harga Asli B]]-(cadangan3[[#This Row],[Harga Asli B]]*cadangan3[[#This Row],[Diskon]]),cadangan3[[#This Row],[Harga Asli B]])</f>
        <v>0</v>
      </c>
      <c r="U983" s="36">
        <f>IFERROR(INDEX(Katalog!$F$3:$F$12,MATCH(cadangan3[[#This Row],[ItemID B]],Katalog!$C$3:$C$12,0))*cadangan3[[#This Row],[Qty B]],0)</f>
        <v>0</v>
      </c>
      <c r="V983" s="36">
        <f>IFERROR(cadangan3[[#This Row],[Profit B]]-(cadangan3[[#This Row],[Profit B]]*cadangan3[[#This Row],[Diskon]]),U983)</f>
        <v>0</v>
      </c>
      <c r="X983" t="str">
        <f>IFERROR(INDEX(Katalog!$A$3:$A$12,MATCH(cadangan3[[#This Row],[ItemID C]],Katalog!$C$3:$C$12,0)),"-")</f>
        <v>-</v>
      </c>
      <c r="Y983" t="str">
        <f>IFERROR(INDEX(Katalog!$B$3:$B$12,MATCH(cadangan3[[#This Row],[ItemID C]],Katalog!$C$3:$C$12,0)),"-")</f>
        <v>-</v>
      </c>
      <c r="AB983" s="36">
        <f>IFERROR(INDEX(Katalog!$D$3:$D$12,MATCH(cadangan3[[#This Row],[ItemID C]],Katalog!$C$3:$C$12,0))*cadangan3[[#This Row],[Qty C]],0)</f>
        <v>0</v>
      </c>
      <c r="AC983" s="36">
        <f>IFERROR(INDEX(Katalog!$D$3:$D$12,MATCH(cadangan3[[#This Row],[Item C]],Katalog!$B$3:$B$12,0))*cadangan3[[#This Row],[Qty C]],0)</f>
        <v>0</v>
      </c>
      <c r="AD983" s="36">
        <f>IFERROR(cadangan3[[#This Row],[Harga Asli C]]-(cadangan3[[#This Row],[Harga Asli C]]*cadangan3[[#This Row],[Diskon]]),cadangan3[[#This Row],[Harga Asli C]])</f>
        <v>0</v>
      </c>
      <c r="AE983" s="36">
        <f>IFERROR(INDEX(Katalog!$F$3:$F$12,MATCH(cadangan3[[#This Row],[ItemID C]],Katalog!$C$3:$C$12,0))*cadangan3[[#This Row],[Qty C]],0)</f>
        <v>0</v>
      </c>
      <c r="AF983" s="36">
        <f>IFERROR(cadangan3[[#This Row],[Profit C]]-(cadangan3[[#This Row],[Profit C]]*cadangan3[[#This Row],[Diskon]]),cadangan3[[#This Row],[Profit C]])</f>
        <v>0</v>
      </c>
      <c r="AG983" s="21">
        <f>cadangan3[[#This Row],[Qty A]]+cadangan3[[#This Row],[Qty B]]+cadangan3[[#This Row],[Qty C]]</f>
        <v>3</v>
      </c>
      <c r="AH983" s="35">
        <f>cadangan3[[#This Row],[Harga A + Diskon]]+cadangan3[[#This Row],[Harga + Diskon B]]+cadangan3[[#This Row],[Harga + Diskon C]]</f>
        <v>1020000</v>
      </c>
      <c r="AI983" s="35">
        <f>(cadangan3[[#This Row],[Profit A]]+cadangan3[[#This Row],[Profit B]]+cadangan3[[#This Row],[Profit C]])</f>
        <v>450000</v>
      </c>
      <c r="AJ983" s="35">
        <f>cadangan3[[#This Row],[Provit A + Diskon]]+cadangan3[[#This Row],[Provit B + Diskon]]+cadangan3[[#This Row],[Provit C + Diskon]]</f>
        <v>382500</v>
      </c>
      <c r="AK983" s="23" t="s">
        <v>28</v>
      </c>
      <c r="AL983" s="37">
        <f>IFERROR(INDEX('Kode Diskon'!$D$3:$D$9,MATCH(cadangan3[[#This Row],[Kode diskon]],'Kode Diskon'!$C$3:$C$9,0)),"-")</f>
        <v>0.15</v>
      </c>
      <c r="AM983" s="23" t="s">
        <v>29</v>
      </c>
      <c r="AN983" s="23" t="s">
        <v>14</v>
      </c>
      <c r="AO983" s="23" t="s">
        <v>76</v>
      </c>
      <c r="AP983" s="24">
        <v>45019</v>
      </c>
      <c r="AQ983" s="23" t="str">
        <f>TEXT(cadangan3[[#This Row],[Tanggal terjual]],"dddd")</f>
        <v>Monday</v>
      </c>
    </row>
    <row r="984" spans="1:43" x14ac:dyDescent="0.2">
      <c r="A984" s="20">
        <v>983</v>
      </c>
      <c r="B984" s="21" t="str">
        <f>_xlfn.CONCAT("ORD-",INDEX(Helper!$B$2:$B$5,MATCH(cadangan3[[#This Row],[Marketplace]],Helper!$A$2:$A$5,0)),TEXT(cadangan3[[#This Row],[No]],"0000"),"-",TEXT(cadangan3[[#This Row],[Tanggal terjual]],"dd/mm/yy"))</f>
        <v>ORD-SP0983-06/04/23</v>
      </c>
      <c r="C984" t="s">
        <v>62</v>
      </c>
      <c r="D984" t="str">
        <f>IFERROR(INDEX(Katalog!$A$3:$A$12,MATCH(cadangan3[[#This Row],[ItemID A]],Katalog!$C$3:$C$12,0)),"-")</f>
        <v>Pakaian Pria</v>
      </c>
      <c r="E984" t="str">
        <f>IFERROR(INDEX(Katalog!$B$3:$B$12,MATCH(cadangan3[[#This Row],[ItemID A]],Katalog!$C$3:$C$12,0)),"-")</f>
        <v>Celana Pendek</v>
      </c>
      <c r="F984">
        <v>5</v>
      </c>
      <c r="G984">
        <v>1</v>
      </c>
      <c r="H984" s="36">
        <f>IFERROR(INDEX(Katalog!$D$3:$D$12,MATCH(cadangan3[[#This Row],[ItemID A]],Katalog!$C$3:$C$12,0))*cadangan3[[#This Row],[Qty A]],0)</f>
        <v>900000</v>
      </c>
      <c r="I984" s="36">
        <f>IFERROR(INDEX(Katalog!$D$3:$D$12,MATCH(cadangan3[[#This Row],[Item A]],Katalog!$B$3:$B$12,0))*cadangan3[[#This Row],[Qty A]],0)</f>
        <v>900000</v>
      </c>
      <c r="J984" s="36">
        <f>IFERROR(cadangan3[[#This Row],[Harga Asli A]]-(cadangan3[[#This Row],[Harga Asli A]]*cadangan3[[#This Row],[Diskon]]),cadangan3[[#This Row],[Harga Asli A]])</f>
        <v>765000</v>
      </c>
      <c r="K984" s="36">
        <f>INDEX(Katalog!$F$3:$F$12,MATCH(cadangan3[[#This Row],[ItemID A]],Katalog!$C$3:$C$12,0))*cadangan3[[#This Row],[Qty A]]</f>
        <v>350000</v>
      </c>
      <c r="L984" s="36">
        <f>IFERROR(cadangan3[[#This Row],[Profit A]]-(cadangan3[[#This Row],[Profit A]]*cadangan3[[#This Row],[Diskon]]),K984)</f>
        <v>297500</v>
      </c>
      <c r="M984" t="s">
        <v>59</v>
      </c>
      <c r="N984" t="str">
        <f>IFERROR(INDEX(Katalog!$A$3:$A$12,MATCH(cadangan3[[#This Row],[ItemID B]],Katalog!$C$3:$C$12,0)),"-")</f>
        <v>Pakaian Wanita</v>
      </c>
      <c r="O984" t="str">
        <f>IFERROR(INDEX(Katalog!$B$3:$B$12,MATCH(cadangan3[[#This Row],[ItemID B]],Katalog!$C$3:$C$12,0)),"-")</f>
        <v>Blouse</v>
      </c>
      <c r="P984">
        <v>1</v>
      </c>
      <c r="Q984">
        <v>5</v>
      </c>
      <c r="R984" s="36">
        <f>IFERROR(INDEX(Katalog!$D$3:$D$12,MATCH(cadangan3[[#This Row],[ItemID B]],Katalog!$C$3:$C$12,0))*cadangan3[[#This Row],[Qty B]],0)</f>
        <v>150000</v>
      </c>
      <c r="S984" s="36">
        <f>IFERROR(INDEX(Katalog!$D$3:$D$12,MATCH(cadangan3[[#This Row],[Item B]],Katalog!$B$3:$B$12,0))*cadangan3[[#This Row],[Qty B]],0)</f>
        <v>150000</v>
      </c>
      <c r="T984" s="36">
        <f>IFERROR(cadangan3[[#This Row],[Harga Asli B]]-(cadangan3[[#This Row],[Harga Asli B]]*cadangan3[[#This Row],[Diskon]]),cadangan3[[#This Row],[Harga Asli B]])</f>
        <v>127500</v>
      </c>
      <c r="U984" s="36">
        <f>IFERROR(INDEX(Katalog!$F$3:$F$12,MATCH(cadangan3[[#This Row],[ItemID B]],Katalog!$C$3:$C$12,0))*cadangan3[[#This Row],[Qty B]],0)</f>
        <v>50000</v>
      </c>
      <c r="V984" s="36">
        <f>IFERROR(cadangan3[[#This Row],[Profit B]]-(cadangan3[[#This Row],[Profit B]]*cadangan3[[#This Row],[Diskon]]),U984)</f>
        <v>42500</v>
      </c>
      <c r="X984" t="str">
        <f>IFERROR(INDEX(Katalog!$A$3:$A$12,MATCH(cadangan3[[#This Row],[ItemID C]],Katalog!$C$3:$C$12,0)),"-")</f>
        <v>-</v>
      </c>
      <c r="Y984" t="str">
        <f>IFERROR(INDEX(Katalog!$B$3:$B$12,MATCH(cadangan3[[#This Row],[ItemID C]],Katalog!$C$3:$C$12,0)),"-")</f>
        <v>-</v>
      </c>
      <c r="AB984" s="36">
        <f>IFERROR(INDEX(Katalog!$D$3:$D$12,MATCH(cadangan3[[#This Row],[ItemID C]],Katalog!$C$3:$C$12,0))*cadangan3[[#This Row],[Qty C]],0)</f>
        <v>0</v>
      </c>
      <c r="AC984" s="36">
        <f>IFERROR(INDEX(Katalog!$D$3:$D$12,MATCH(cadangan3[[#This Row],[Item C]],Katalog!$B$3:$B$12,0))*cadangan3[[#This Row],[Qty C]],0)</f>
        <v>0</v>
      </c>
      <c r="AD984" s="36">
        <f>IFERROR(cadangan3[[#This Row],[Harga Asli C]]-(cadangan3[[#This Row],[Harga Asli C]]*cadangan3[[#This Row],[Diskon]]),cadangan3[[#This Row],[Harga Asli C]])</f>
        <v>0</v>
      </c>
      <c r="AE984" s="36">
        <f>IFERROR(INDEX(Katalog!$F$3:$F$12,MATCH(cadangan3[[#This Row],[ItemID C]],Katalog!$C$3:$C$12,0))*cadangan3[[#This Row],[Qty C]],0)</f>
        <v>0</v>
      </c>
      <c r="AF984" s="36">
        <f>IFERROR(cadangan3[[#This Row],[Profit C]]-(cadangan3[[#This Row],[Profit C]]*cadangan3[[#This Row],[Diskon]]),cadangan3[[#This Row],[Profit C]])</f>
        <v>0</v>
      </c>
      <c r="AG984" s="21">
        <f>cadangan3[[#This Row],[Qty A]]+cadangan3[[#This Row],[Qty B]]+cadangan3[[#This Row],[Qty C]]</f>
        <v>6</v>
      </c>
      <c r="AH984" s="35">
        <f>cadangan3[[#This Row],[Harga A + Diskon]]+cadangan3[[#This Row],[Harga + Diskon B]]+cadangan3[[#This Row],[Harga + Diskon C]]</f>
        <v>892500</v>
      </c>
      <c r="AI984" s="35">
        <f>(cadangan3[[#This Row],[Profit A]]+cadangan3[[#This Row],[Profit B]]+cadangan3[[#This Row],[Profit C]])</f>
        <v>400000</v>
      </c>
      <c r="AJ984" s="35">
        <f>cadangan3[[#This Row],[Provit A + Diskon]]+cadangan3[[#This Row],[Provit B + Diskon]]+cadangan3[[#This Row],[Provit C + Diskon]]</f>
        <v>340000</v>
      </c>
      <c r="AK984" s="23" t="s">
        <v>13</v>
      </c>
      <c r="AL984" s="37">
        <f>IFERROR(INDEX('Kode Diskon'!$D$3:$D$9,MATCH(cadangan3[[#This Row],[Kode diskon]],'Kode Diskon'!$C$3:$C$9,0)),"-")</f>
        <v>0.15</v>
      </c>
      <c r="AM984" s="23" t="s">
        <v>29</v>
      </c>
      <c r="AN984" s="23" t="s">
        <v>7</v>
      </c>
      <c r="AO984" s="23" t="s">
        <v>76</v>
      </c>
      <c r="AP984" s="24">
        <v>45022</v>
      </c>
      <c r="AQ984" s="23" t="str">
        <f>TEXT(cadangan3[[#This Row],[Tanggal terjual]],"dddd")</f>
        <v>Thursday</v>
      </c>
    </row>
    <row r="985" spans="1:43" x14ac:dyDescent="0.2">
      <c r="A985" s="20">
        <v>984</v>
      </c>
      <c r="B985" s="21" t="str">
        <f>_xlfn.CONCAT("ORD-",INDEX(Helper!$B$2:$B$5,MATCH(cadangan3[[#This Row],[Marketplace]],Helper!$A$2:$A$5,0)),TEXT(cadangan3[[#This Row],[No]],"0000"),"-",TEXT(cadangan3[[#This Row],[Tanggal terjual]],"dd/mm/yy"))</f>
        <v>ORD-SP0984-05/04/23</v>
      </c>
      <c r="C985" t="s">
        <v>62</v>
      </c>
      <c r="D985" t="str">
        <f>IFERROR(INDEX(Katalog!$A$3:$A$12,MATCH(cadangan3[[#This Row],[ItemID A]],Katalog!$C$3:$C$12,0)),"-")</f>
        <v>Pakaian Pria</v>
      </c>
      <c r="E985" t="str">
        <f>IFERROR(INDEX(Katalog!$B$3:$B$12,MATCH(cadangan3[[#This Row],[ItemID A]],Katalog!$C$3:$C$12,0)),"-")</f>
        <v>Celana Pendek</v>
      </c>
      <c r="F985">
        <v>1</v>
      </c>
      <c r="G985">
        <v>1</v>
      </c>
      <c r="H985" s="36">
        <f>IFERROR(INDEX(Katalog!$D$3:$D$12,MATCH(cadangan3[[#This Row],[ItemID A]],Katalog!$C$3:$C$12,0))*cadangan3[[#This Row],[Qty A]],0)</f>
        <v>180000</v>
      </c>
      <c r="I985" s="36">
        <f>IFERROR(INDEX(Katalog!$D$3:$D$12,MATCH(cadangan3[[#This Row],[Item A]],Katalog!$B$3:$B$12,0))*cadangan3[[#This Row],[Qty A]],0)</f>
        <v>180000</v>
      </c>
      <c r="J985" s="36">
        <f>IFERROR(cadangan3[[#This Row],[Harga Asli A]]-(cadangan3[[#This Row],[Harga Asli A]]*cadangan3[[#This Row],[Diskon]]),cadangan3[[#This Row],[Harga Asli A]])</f>
        <v>153000</v>
      </c>
      <c r="K985" s="36">
        <f>INDEX(Katalog!$F$3:$F$12,MATCH(cadangan3[[#This Row],[ItemID A]],Katalog!$C$3:$C$12,0))*cadangan3[[#This Row],[Qty A]]</f>
        <v>70000</v>
      </c>
      <c r="L985" s="36">
        <f>IFERROR(cadangan3[[#This Row],[Profit A]]-(cadangan3[[#This Row],[Profit A]]*cadangan3[[#This Row],[Diskon]]),K985)</f>
        <v>59500</v>
      </c>
      <c r="M985" t="s">
        <v>64</v>
      </c>
      <c r="N985" t="str">
        <f>IFERROR(INDEX(Katalog!$A$3:$A$12,MATCH(cadangan3[[#This Row],[ItemID B]],Katalog!$C$3:$C$12,0)),"-")</f>
        <v>Pakaian Unisex</v>
      </c>
      <c r="O985" t="str">
        <f>IFERROR(INDEX(Katalog!$B$3:$B$12,MATCH(cadangan3[[#This Row],[ItemID B]],Katalog!$C$3:$C$12,0)),"-")</f>
        <v>Jaket Hoodie</v>
      </c>
      <c r="P985">
        <v>2</v>
      </c>
      <c r="Q985">
        <v>2</v>
      </c>
      <c r="R985" s="36">
        <f>IFERROR(INDEX(Katalog!$D$3:$D$12,MATCH(cadangan3[[#This Row],[ItemID B]],Katalog!$C$3:$C$12,0))*cadangan3[[#This Row],[Qty B]],0)</f>
        <v>700000</v>
      </c>
      <c r="S985" s="36">
        <f>IFERROR(INDEX(Katalog!$D$3:$D$12,MATCH(cadangan3[[#This Row],[Item B]],Katalog!$B$3:$B$12,0))*cadangan3[[#This Row],[Qty B]],0)</f>
        <v>700000</v>
      </c>
      <c r="T985" s="36">
        <f>IFERROR(cadangan3[[#This Row],[Harga Asli B]]-(cadangan3[[#This Row],[Harga Asli B]]*cadangan3[[#This Row],[Diskon]]),cadangan3[[#This Row],[Harga Asli B]])</f>
        <v>595000</v>
      </c>
      <c r="U985" s="36">
        <f>IFERROR(INDEX(Katalog!$F$3:$F$12,MATCH(cadangan3[[#This Row],[ItemID B]],Katalog!$C$3:$C$12,0))*cadangan3[[#This Row],[Qty B]],0)</f>
        <v>260000</v>
      </c>
      <c r="V985" s="36">
        <f>IFERROR(cadangan3[[#This Row],[Profit B]]-(cadangan3[[#This Row],[Profit B]]*cadangan3[[#This Row],[Diskon]]),U985)</f>
        <v>221000</v>
      </c>
      <c r="W985" t="s">
        <v>59</v>
      </c>
      <c r="X985" t="str">
        <f>IFERROR(INDEX(Katalog!$A$3:$A$12,MATCH(cadangan3[[#This Row],[ItemID C]],Katalog!$C$3:$C$12,0)),"-")</f>
        <v>Pakaian Wanita</v>
      </c>
      <c r="Y985" t="str">
        <f>IFERROR(INDEX(Katalog!$B$3:$B$12,MATCH(cadangan3[[#This Row],[ItemID C]],Katalog!$C$3:$C$12,0)),"-")</f>
        <v>Blouse</v>
      </c>
      <c r="Z985">
        <v>2</v>
      </c>
      <c r="AA985">
        <v>4</v>
      </c>
      <c r="AB985" s="36">
        <f>IFERROR(INDEX(Katalog!$D$3:$D$12,MATCH(cadangan3[[#This Row],[ItemID C]],Katalog!$C$3:$C$12,0))*cadangan3[[#This Row],[Qty C]],0)</f>
        <v>300000</v>
      </c>
      <c r="AC985" s="36">
        <f>IFERROR(INDEX(Katalog!$D$3:$D$12,MATCH(cadangan3[[#This Row],[Item C]],Katalog!$B$3:$B$12,0))*cadangan3[[#This Row],[Qty C]],0)</f>
        <v>300000</v>
      </c>
      <c r="AD985" s="36">
        <f>IFERROR(cadangan3[[#This Row],[Harga Asli C]]-(cadangan3[[#This Row],[Harga Asli C]]*cadangan3[[#This Row],[Diskon]]),cadangan3[[#This Row],[Harga Asli C]])</f>
        <v>255000</v>
      </c>
      <c r="AE985" s="36">
        <f>IFERROR(INDEX(Katalog!$F$3:$F$12,MATCH(cadangan3[[#This Row],[ItemID C]],Katalog!$C$3:$C$12,0))*cadangan3[[#This Row],[Qty C]],0)</f>
        <v>100000</v>
      </c>
      <c r="AF985" s="36">
        <f>IFERROR(cadangan3[[#This Row],[Profit C]]-(cadangan3[[#This Row],[Profit C]]*cadangan3[[#This Row],[Diskon]]),cadangan3[[#This Row],[Profit C]])</f>
        <v>85000</v>
      </c>
      <c r="AG985" s="21">
        <f>cadangan3[[#This Row],[Qty A]]+cadangan3[[#This Row],[Qty B]]+cadangan3[[#This Row],[Qty C]]</f>
        <v>5</v>
      </c>
      <c r="AH985" s="35">
        <f>cadangan3[[#This Row],[Harga A + Diskon]]+cadangan3[[#This Row],[Harga + Diskon B]]+cadangan3[[#This Row],[Harga + Diskon C]]</f>
        <v>1003000</v>
      </c>
      <c r="AI985" s="35">
        <f>(cadangan3[[#This Row],[Profit A]]+cadangan3[[#This Row],[Profit B]]+cadangan3[[#This Row],[Profit C]])</f>
        <v>430000</v>
      </c>
      <c r="AJ985" s="35">
        <f>cadangan3[[#This Row],[Provit A + Diskon]]+cadangan3[[#This Row],[Provit B + Diskon]]+cadangan3[[#This Row],[Provit C + Diskon]]</f>
        <v>365500</v>
      </c>
      <c r="AK985" s="23" t="s">
        <v>13</v>
      </c>
      <c r="AL985" s="37">
        <f>IFERROR(INDEX('Kode Diskon'!$D$3:$D$9,MATCH(cadangan3[[#This Row],[Kode diskon]],'Kode Diskon'!$C$3:$C$9,0)),"-")</f>
        <v>0.15</v>
      </c>
      <c r="AM985" s="23" t="s">
        <v>29</v>
      </c>
      <c r="AN985" s="23" t="s">
        <v>7</v>
      </c>
      <c r="AO985" s="23" t="s">
        <v>75</v>
      </c>
      <c r="AP985" s="24">
        <v>45021</v>
      </c>
      <c r="AQ985" s="23" t="str">
        <f>TEXT(cadangan3[[#This Row],[Tanggal terjual]],"dddd")</f>
        <v>Wednesday</v>
      </c>
    </row>
    <row r="986" spans="1:43" x14ac:dyDescent="0.2">
      <c r="A986" s="20">
        <v>985</v>
      </c>
      <c r="B986" s="21" t="str">
        <f>_xlfn.CONCAT("ORD-",INDEX(Helper!$B$2:$B$5,MATCH(cadangan3[[#This Row],[Marketplace]],Helper!$A$2:$A$5,0)),TEXT(cadangan3[[#This Row],[No]],"0000"),"-",TEXT(cadangan3[[#This Row],[Tanggal terjual]],"dd/mm/yy"))</f>
        <v>ORD-SP0985-01/04/23</v>
      </c>
      <c r="C986" t="s">
        <v>66</v>
      </c>
      <c r="D986" t="str">
        <f>IFERROR(INDEX(Katalog!$A$3:$A$12,MATCH(cadangan3[[#This Row],[ItemID A]],Katalog!$C$3:$C$12,0)),"-")</f>
        <v>Sepatu Pria</v>
      </c>
      <c r="E986" t="str">
        <f>IFERROR(INDEX(Katalog!$B$3:$B$12,MATCH(cadangan3[[#This Row],[ItemID A]],Katalog!$C$3:$C$12,0)),"-")</f>
        <v>Sandal Slip On</v>
      </c>
      <c r="F986">
        <v>1</v>
      </c>
      <c r="G986">
        <v>2</v>
      </c>
      <c r="H986" s="36">
        <f>IFERROR(INDEX(Katalog!$D$3:$D$12,MATCH(cadangan3[[#This Row],[ItemID A]],Katalog!$C$3:$C$12,0))*cadangan3[[#This Row],[Qty A]],0)</f>
        <v>150000</v>
      </c>
      <c r="I986" s="36">
        <f>IFERROR(INDEX(Katalog!$D$3:$D$12,MATCH(cadangan3[[#This Row],[Item A]],Katalog!$B$3:$B$12,0))*cadangan3[[#This Row],[Qty A]],0)</f>
        <v>150000</v>
      </c>
      <c r="J986" s="36">
        <f>IFERROR(cadangan3[[#This Row],[Harga Asli A]]-(cadangan3[[#This Row],[Harga Asli A]]*cadangan3[[#This Row],[Diskon]]),cadangan3[[#This Row],[Harga Asli A]])</f>
        <v>135000</v>
      </c>
      <c r="K986" s="36">
        <f>INDEX(Katalog!$F$3:$F$12,MATCH(cadangan3[[#This Row],[ItemID A]],Katalog!$C$3:$C$12,0))*cadangan3[[#This Row],[Qty A]]</f>
        <v>60000</v>
      </c>
      <c r="L986" s="36">
        <f>IFERROR(cadangan3[[#This Row],[Profit A]]-(cadangan3[[#This Row],[Profit A]]*cadangan3[[#This Row],[Diskon]]),K986)</f>
        <v>54000</v>
      </c>
      <c r="N986" t="str">
        <f>IFERROR(INDEX(Katalog!$A$3:$A$12,MATCH(cadangan3[[#This Row],[ItemID B]],Katalog!$C$3:$C$12,0)),"-")</f>
        <v>-</v>
      </c>
      <c r="O986" t="str">
        <f>IFERROR(INDEX(Katalog!$B$3:$B$12,MATCH(cadangan3[[#This Row],[ItemID B]],Katalog!$C$3:$C$12,0)),"-")</f>
        <v>-</v>
      </c>
      <c r="R986" s="36">
        <f>IFERROR(INDEX(Katalog!$D$3:$D$12,MATCH(cadangan3[[#This Row],[ItemID B]],Katalog!$C$3:$C$12,0))*cadangan3[[#This Row],[Qty B]],0)</f>
        <v>0</v>
      </c>
      <c r="S986" s="36">
        <f>IFERROR(INDEX(Katalog!$D$3:$D$12,MATCH(cadangan3[[#This Row],[Item B]],Katalog!$B$3:$B$12,0))*cadangan3[[#This Row],[Qty B]],0)</f>
        <v>0</v>
      </c>
      <c r="T986" s="36">
        <f>IFERROR(cadangan3[[#This Row],[Harga Asli B]]-(cadangan3[[#This Row],[Harga Asli B]]*cadangan3[[#This Row],[Diskon]]),cadangan3[[#This Row],[Harga Asli B]])</f>
        <v>0</v>
      </c>
      <c r="U986" s="36">
        <f>IFERROR(INDEX(Katalog!$F$3:$F$12,MATCH(cadangan3[[#This Row],[ItemID B]],Katalog!$C$3:$C$12,0))*cadangan3[[#This Row],[Qty B]],0)</f>
        <v>0</v>
      </c>
      <c r="V986" s="36">
        <f>IFERROR(cadangan3[[#This Row],[Profit B]]-(cadangan3[[#This Row],[Profit B]]*cadangan3[[#This Row],[Diskon]]),U986)</f>
        <v>0</v>
      </c>
      <c r="X986" t="str">
        <f>IFERROR(INDEX(Katalog!$A$3:$A$12,MATCH(cadangan3[[#This Row],[ItemID C]],Katalog!$C$3:$C$12,0)),"-")</f>
        <v>-</v>
      </c>
      <c r="Y986" t="str">
        <f>IFERROR(INDEX(Katalog!$B$3:$B$12,MATCH(cadangan3[[#This Row],[ItemID C]],Katalog!$C$3:$C$12,0)),"-")</f>
        <v>-</v>
      </c>
      <c r="AB986" s="36">
        <f>IFERROR(INDEX(Katalog!$D$3:$D$12,MATCH(cadangan3[[#This Row],[ItemID C]],Katalog!$C$3:$C$12,0))*cadangan3[[#This Row],[Qty C]],0)</f>
        <v>0</v>
      </c>
      <c r="AC986" s="36">
        <f>IFERROR(INDEX(Katalog!$D$3:$D$12,MATCH(cadangan3[[#This Row],[Item C]],Katalog!$B$3:$B$12,0))*cadangan3[[#This Row],[Qty C]],0)</f>
        <v>0</v>
      </c>
      <c r="AD986" s="36">
        <f>IFERROR(cadangan3[[#This Row],[Harga Asli C]]-(cadangan3[[#This Row],[Harga Asli C]]*cadangan3[[#This Row],[Diskon]]),cadangan3[[#This Row],[Harga Asli C]])</f>
        <v>0</v>
      </c>
      <c r="AE986" s="36">
        <f>IFERROR(INDEX(Katalog!$F$3:$F$12,MATCH(cadangan3[[#This Row],[ItemID C]],Katalog!$C$3:$C$12,0))*cadangan3[[#This Row],[Qty C]],0)</f>
        <v>0</v>
      </c>
      <c r="AF986" s="36">
        <f>IFERROR(cadangan3[[#This Row],[Profit C]]-(cadangan3[[#This Row],[Profit C]]*cadangan3[[#This Row],[Diskon]]),cadangan3[[#This Row],[Profit C]])</f>
        <v>0</v>
      </c>
      <c r="AG986" s="21">
        <f>cadangan3[[#This Row],[Qty A]]+cadangan3[[#This Row],[Qty B]]+cadangan3[[#This Row],[Qty C]]</f>
        <v>1</v>
      </c>
      <c r="AH986" s="35">
        <f>cadangan3[[#This Row],[Harga A + Diskon]]+cadangan3[[#This Row],[Harga + Diskon B]]+cadangan3[[#This Row],[Harga + Diskon C]]</f>
        <v>135000</v>
      </c>
      <c r="AI986" s="35">
        <f>(cadangan3[[#This Row],[Profit A]]+cadangan3[[#This Row],[Profit B]]+cadangan3[[#This Row],[Profit C]])</f>
        <v>60000</v>
      </c>
      <c r="AJ986" s="35">
        <f>cadangan3[[#This Row],[Provit A + Diskon]]+cadangan3[[#This Row],[Provit B + Diskon]]+cadangan3[[#This Row],[Provit C + Diskon]]</f>
        <v>54000</v>
      </c>
      <c r="AK986" s="23" t="s">
        <v>6</v>
      </c>
      <c r="AL986" s="37">
        <f>IFERROR(INDEX('Kode Diskon'!$D$3:$D$9,MATCH(cadangan3[[#This Row],[Kode diskon]],'Kode Diskon'!$C$3:$C$9,0)),"-")</f>
        <v>0.1</v>
      </c>
      <c r="AM986" s="23" t="s">
        <v>29</v>
      </c>
      <c r="AN986" s="23" t="s">
        <v>7</v>
      </c>
      <c r="AO986" s="23" t="s">
        <v>79</v>
      </c>
      <c r="AP986" s="24">
        <v>45017</v>
      </c>
      <c r="AQ986" s="23" t="str">
        <f>TEXT(cadangan3[[#This Row],[Tanggal terjual]],"dddd")</f>
        <v>Saturday</v>
      </c>
    </row>
    <row r="987" spans="1:43" x14ac:dyDescent="0.2">
      <c r="A987" s="20">
        <v>986</v>
      </c>
      <c r="B987" s="21" t="str">
        <f>_xlfn.CONCAT("ORD-",INDEX(Helper!$B$2:$B$5,MATCH(cadangan3[[#This Row],[Marketplace]],Helper!$A$2:$A$5,0)),TEXT(cadangan3[[#This Row],[No]],"0000"),"-",TEXT(cadangan3[[#This Row],[Tanggal terjual]],"dd/mm/yy"))</f>
        <v>ORD-BL0986-18/04/23</v>
      </c>
      <c r="C987" t="s">
        <v>63</v>
      </c>
      <c r="D987" t="str">
        <f>IFERROR(INDEX(Katalog!$A$3:$A$12,MATCH(cadangan3[[#This Row],[ItemID A]],Katalog!$C$3:$C$12,0)),"-")</f>
        <v>Pakaian Pria</v>
      </c>
      <c r="E987" t="str">
        <f>IFERROR(INDEX(Katalog!$B$3:$B$12,MATCH(cadangan3[[#This Row],[ItemID A]],Katalog!$C$3:$C$12,0)),"-")</f>
        <v>Jaket Jeans</v>
      </c>
      <c r="F987">
        <v>2</v>
      </c>
      <c r="G987">
        <v>2</v>
      </c>
      <c r="H987" s="36">
        <f>IFERROR(INDEX(Katalog!$D$3:$D$12,MATCH(cadangan3[[#This Row],[ItemID A]],Katalog!$C$3:$C$12,0))*cadangan3[[#This Row],[Qty A]],0)</f>
        <v>800000</v>
      </c>
      <c r="I987" s="36">
        <f>IFERROR(INDEX(Katalog!$D$3:$D$12,MATCH(cadangan3[[#This Row],[Item A]],Katalog!$B$3:$B$12,0))*cadangan3[[#This Row],[Qty A]],0)</f>
        <v>800000</v>
      </c>
      <c r="J987" s="36">
        <f>IFERROR(cadangan3[[#This Row],[Harga Asli A]]-(cadangan3[[#This Row],[Harga Asli A]]*cadangan3[[#This Row],[Diskon]]),cadangan3[[#This Row],[Harga Asli A]])</f>
        <v>680000</v>
      </c>
      <c r="K987" s="36">
        <f>INDEX(Katalog!$F$3:$F$12,MATCH(cadangan3[[#This Row],[ItemID A]],Katalog!$C$3:$C$12,0))*cadangan3[[#This Row],[Qty A]]</f>
        <v>300000</v>
      </c>
      <c r="L987" s="36">
        <f>IFERROR(cadangan3[[#This Row],[Profit A]]-(cadangan3[[#This Row],[Profit A]]*cadangan3[[#This Row],[Diskon]]),K987)</f>
        <v>255000</v>
      </c>
      <c r="M987" t="s">
        <v>62</v>
      </c>
      <c r="N987" t="str">
        <f>IFERROR(INDEX(Katalog!$A$3:$A$12,MATCH(cadangan3[[#This Row],[ItemID B]],Katalog!$C$3:$C$12,0)),"-")</f>
        <v>Pakaian Pria</v>
      </c>
      <c r="O987" t="str">
        <f>IFERROR(INDEX(Katalog!$B$3:$B$12,MATCH(cadangan3[[#This Row],[ItemID B]],Katalog!$C$3:$C$12,0)),"-")</f>
        <v>Celana Pendek</v>
      </c>
      <c r="P987">
        <v>1</v>
      </c>
      <c r="Q987">
        <v>5</v>
      </c>
      <c r="R987" s="36">
        <f>IFERROR(INDEX(Katalog!$D$3:$D$12,MATCH(cadangan3[[#This Row],[ItemID B]],Katalog!$C$3:$C$12,0))*cadangan3[[#This Row],[Qty B]],0)</f>
        <v>180000</v>
      </c>
      <c r="S987" s="36">
        <f>IFERROR(INDEX(Katalog!$D$3:$D$12,MATCH(cadangan3[[#This Row],[Item B]],Katalog!$B$3:$B$12,0))*cadangan3[[#This Row],[Qty B]],0)</f>
        <v>180000</v>
      </c>
      <c r="T987" s="36">
        <f>IFERROR(cadangan3[[#This Row],[Harga Asli B]]-(cadangan3[[#This Row],[Harga Asli B]]*cadangan3[[#This Row],[Diskon]]),cadangan3[[#This Row],[Harga Asli B]])</f>
        <v>153000</v>
      </c>
      <c r="U987" s="36">
        <f>IFERROR(INDEX(Katalog!$F$3:$F$12,MATCH(cadangan3[[#This Row],[ItemID B]],Katalog!$C$3:$C$12,0))*cadangan3[[#This Row],[Qty B]],0)</f>
        <v>70000</v>
      </c>
      <c r="V987" s="36">
        <f>IFERROR(cadangan3[[#This Row],[Profit B]]-(cadangan3[[#This Row],[Profit B]]*cadangan3[[#This Row],[Diskon]]),U987)</f>
        <v>59500</v>
      </c>
      <c r="X987" t="str">
        <f>IFERROR(INDEX(Katalog!$A$3:$A$12,MATCH(cadangan3[[#This Row],[ItemID C]],Katalog!$C$3:$C$12,0)),"-")</f>
        <v>-</v>
      </c>
      <c r="Y987" t="str">
        <f>IFERROR(INDEX(Katalog!$B$3:$B$12,MATCH(cadangan3[[#This Row],[ItemID C]],Katalog!$C$3:$C$12,0)),"-")</f>
        <v>-</v>
      </c>
      <c r="AB987" s="36">
        <f>IFERROR(INDEX(Katalog!$D$3:$D$12,MATCH(cadangan3[[#This Row],[ItemID C]],Katalog!$C$3:$C$12,0))*cadangan3[[#This Row],[Qty C]],0)</f>
        <v>0</v>
      </c>
      <c r="AC987" s="36">
        <f>IFERROR(INDEX(Katalog!$D$3:$D$12,MATCH(cadangan3[[#This Row],[Item C]],Katalog!$B$3:$B$12,0))*cadangan3[[#This Row],[Qty C]],0)</f>
        <v>0</v>
      </c>
      <c r="AD987" s="36">
        <f>IFERROR(cadangan3[[#This Row],[Harga Asli C]]-(cadangan3[[#This Row],[Harga Asli C]]*cadangan3[[#This Row],[Diskon]]),cadangan3[[#This Row],[Harga Asli C]])</f>
        <v>0</v>
      </c>
      <c r="AE987" s="36">
        <f>IFERROR(INDEX(Katalog!$F$3:$F$12,MATCH(cadangan3[[#This Row],[ItemID C]],Katalog!$C$3:$C$12,0))*cadangan3[[#This Row],[Qty C]],0)</f>
        <v>0</v>
      </c>
      <c r="AF987" s="36">
        <f>IFERROR(cadangan3[[#This Row],[Profit C]]-(cadangan3[[#This Row],[Profit C]]*cadangan3[[#This Row],[Diskon]]),cadangan3[[#This Row],[Profit C]])</f>
        <v>0</v>
      </c>
      <c r="AG987" s="21">
        <f>cadangan3[[#This Row],[Qty A]]+cadangan3[[#This Row],[Qty B]]+cadangan3[[#This Row],[Qty C]]</f>
        <v>3</v>
      </c>
      <c r="AH987" s="35">
        <f>cadangan3[[#This Row],[Harga A + Diskon]]+cadangan3[[#This Row],[Harga + Diskon B]]+cadangan3[[#This Row],[Harga + Diskon C]]</f>
        <v>833000</v>
      </c>
      <c r="AI987" s="35">
        <f>(cadangan3[[#This Row],[Profit A]]+cadangan3[[#This Row],[Profit B]]+cadangan3[[#This Row],[Profit C]])</f>
        <v>370000</v>
      </c>
      <c r="AJ987" s="35">
        <f>cadangan3[[#This Row],[Provit A + Diskon]]+cadangan3[[#This Row],[Provit B + Diskon]]+cadangan3[[#This Row],[Provit C + Diskon]]</f>
        <v>314500</v>
      </c>
      <c r="AK987" s="23" t="s">
        <v>32</v>
      </c>
      <c r="AL987" s="37">
        <f>IFERROR(INDEX('Kode Diskon'!$D$3:$D$9,MATCH(cadangan3[[#This Row],[Kode diskon]],'Kode Diskon'!$C$3:$C$9,0)),"-")</f>
        <v>0.15</v>
      </c>
      <c r="AM987" s="23" t="s">
        <v>9</v>
      </c>
      <c r="AN987" s="23" t="s">
        <v>12</v>
      </c>
      <c r="AO987" s="23" t="s">
        <v>80</v>
      </c>
      <c r="AP987" s="24">
        <v>45034</v>
      </c>
      <c r="AQ987" s="23" t="str">
        <f>TEXT(cadangan3[[#This Row],[Tanggal terjual]],"dddd")</f>
        <v>Tuesday</v>
      </c>
    </row>
    <row r="988" spans="1:43" x14ac:dyDescent="0.2">
      <c r="A988" s="20">
        <v>987</v>
      </c>
      <c r="B988" s="21" t="str">
        <f>_xlfn.CONCAT("ORD-",INDEX(Helper!$B$2:$B$5,MATCH(cadangan3[[#This Row],[Marketplace]],Helper!$A$2:$A$5,0)),TEXT(cadangan3[[#This Row],[No]],"0000"),"-",TEXT(cadangan3[[#This Row],[Tanggal terjual]],"dd/mm/yy"))</f>
        <v>ORD-SP0987-04/04/23</v>
      </c>
      <c r="C988" t="s">
        <v>66</v>
      </c>
      <c r="D988" t="str">
        <f>IFERROR(INDEX(Katalog!$A$3:$A$12,MATCH(cadangan3[[#This Row],[ItemID A]],Katalog!$C$3:$C$12,0)),"-")</f>
        <v>Sepatu Pria</v>
      </c>
      <c r="E988" t="str">
        <f>IFERROR(INDEX(Katalog!$B$3:$B$12,MATCH(cadangan3[[#This Row],[ItemID A]],Katalog!$C$3:$C$12,0)),"-")</f>
        <v>Sandal Slip On</v>
      </c>
      <c r="F988">
        <v>5</v>
      </c>
      <c r="G988">
        <v>3</v>
      </c>
      <c r="H988" s="36">
        <f>IFERROR(INDEX(Katalog!$D$3:$D$12,MATCH(cadangan3[[#This Row],[ItemID A]],Katalog!$C$3:$C$12,0))*cadangan3[[#This Row],[Qty A]],0)</f>
        <v>750000</v>
      </c>
      <c r="I988" s="36">
        <f>IFERROR(INDEX(Katalog!$D$3:$D$12,MATCH(cadangan3[[#This Row],[Item A]],Katalog!$B$3:$B$12,0))*cadangan3[[#This Row],[Qty A]],0)</f>
        <v>750000</v>
      </c>
      <c r="J988" s="36">
        <f>IFERROR(cadangan3[[#This Row],[Harga Asli A]]-(cadangan3[[#This Row],[Harga Asli A]]*cadangan3[[#This Row],[Diskon]]),cadangan3[[#This Row],[Harga Asli A]])</f>
        <v>675000</v>
      </c>
      <c r="K988" s="36">
        <f>INDEX(Katalog!$F$3:$F$12,MATCH(cadangan3[[#This Row],[ItemID A]],Katalog!$C$3:$C$12,0))*cadangan3[[#This Row],[Qty A]]</f>
        <v>300000</v>
      </c>
      <c r="L988" s="36">
        <f>IFERROR(cadangan3[[#This Row],[Profit A]]-(cadangan3[[#This Row],[Profit A]]*cadangan3[[#This Row],[Diskon]]),K988)</f>
        <v>270000</v>
      </c>
      <c r="M988" t="s">
        <v>67</v>
      </c>
      <c r="N988" t="str">
        <f>IFERROR(INDEX(Katalog!$A$3:$A$12,MATCH(cadangan3[[#This Row],[ItemID B]],Katalog!$C$3:$C$12,0)),"-")</f>
        <v>Sepatu Wanita</v>
      </c>
      <c r="O988" t="str">
        <f>IFERROR(INDEX(Katalog!$B$3:$B$12,MATCH(cadangan3[[#This Row],[ItemID B]],Katalog!$C$3:$C$12,0)),"-")</f>
        <v>Flat Shoes</v>
      </c>
      <c r="P988">
        <v>1</v>
      </c>
      <c r="Q988">
        <v>1</v>
      </c>
      <c r="R988" s="36">
        <f>IFERROR(INDEX(Katalog!$D$3:$D$12,MATCH(cadangan3[[#This Row],[ItemID B]],Katalog!$C$3:$C$12,0))*cadangan3[[#This Row],[Qty B]],0)</f>
        <v>250000</v>
      </c>
      <c r="S988" s="36">
        <f>IFERROR(INDEX(Katalog!$D$3:$D$12,MATCH(cadangan3[[#This Row],[Item B]],Katalog!$B$3:$B$12,0))*cadangan3[[#This Row],[Qty B]],0)</f>
        <v>250000</v>
      </c>
      <c r="T988" s="36">
        <f>IFERROR(cadangan3[[#This Row],[Harga Asli B]]-(cadangan3[[#This Row],[Harga Asli B]]*cadangan3[[#This Row],[Diskon]]),cadangan3[[#This Row],[Harga Asli B]])</f>
        <v>225000</v>
      </c>
      <c r="U988" s="36">
        <f>IFERROR(INDEX(Katalog!$F$3:$F$12,MATCH(cadangan3[[#This Row],[ItemID B]],Katalog!$C$3:$C$12,0))*cadangan3[[#This Row],[Qty B]],0)</f>
        <v>100000</v>
      </c>
      <c r="V988" s="36">
        <f>IFERROR(cadangan3[[#This Row],[Profit B]]-(cadangan3[[#This Row],[Profit B]]*cadangan3[[#This Row],[Diskon]]),U988)</f>
        <v>90000</v>
      </c>
      <c r="X988" t="str">
        <f>IFERROR(INDEX(Katalog!$A$3:$A$12,MATCH(cadangan3[[#This Row],[ItemID C]],Katalog!$C$3:$C$12,0)),"-")</f>
        <v>-</v>
      </c>
      <c r="Y988" t="str">
        <f>IFERROR(INDEX(Katalog!$B$3:$B$12,MATCH(cadangan3[[#This Row],[ItemID C]],Katalog!$C$3:$C$12,0)),"-")</f>
        <v>-</v>
      </c>
      <c r="AB988" s="36">
        <f>IFERROR(INDEX(Katalog!$D$3:$D$12,MATCH(cadangan3[[#This Row],[ItemID C]],Katalog!$C$3:$C$12,0))*cadangan3[[#This Row],[Qty C]],0)</f>
        <v>0</v>
      </c>
      <c r="AC988" s="36">
        <f>IFERROR(INDEX(Katalog!$D$3:$D$12,MATCH(cadangan3[[#This Row],[Item C]],Katalog!$B$3:$B$12,0))*cadangan3[[#This Row],[Qty C]],0)</f>
        <v>0</v>
      </c>
      <c r="AD988" s="36">
        <f>IFERROR(cadangan3[[#This Row],[Harga Asli C]]-(cadangan3[[#This Row],[Harga Asli C]]*cadangan3[[#This Row],[Diskon]]),cadangan3[[#This Row],[Harga Asli C]])</f>
        <v>0</v>
      </c>
      <c r="AE988" s="36">
        <f>IFERROR(INDEX(Katalog!$F$3:$F$12,MATCH(cadangan3[[#This Row],[ItemID C]],Katalog!$C$3:$C$12,0))*cadangan3[[#This Row],[Qty C]],0)</f>
        <v>0</v>
      </c>
      <c r="AF988" s="36">
        <f>IFERROR(cadangan3[[#This Row],[Profit C]]-(cadangan3[[#This Row],[Profit C]]*cadangan3[[#This Row],[Diskon]]),cadangan3[[#This Row],[Profit C]])</f>
        <v>0</v>
      </c>
      <c r="AG988" s="21">
        <f>cadangan3[[#This Row],[Qty A]]+cadangan3[[#This Row],[Qty B]]+cadangan3[[#This Row],[Qty C]]</f>
        <v>6</v>
      </c>
      <c r="AH988" s="35">
        <f>cadangan3[[#This Row],[Harga A + Diskon]]+cadangan3[[#This Row],[Harga + Diskon B]]+cadangan3[[#This Row],[Harga + Diskon C]]</f>
        <v>900000</v>
      </c>
      <c r="AI988" s="35">
        <f>(cadangan3[[#This Row],[Profit A]]+cadangan3[[#This Row],[Profit B]]+cadangan3[[#This Row],[Profit C]])</f>
        <v>400000</v>
      </c>
      <c r="AJ988" s="35">
        <f>cadangan3[[#This Row],[Provit A + Diskon]]+cadangan3[[#This Row],[Provit B + Diskon]]+cadangan3[[#This Row],[Provit C + Diskon]]</f>
        <v>360000</v>
      </c>
      <c r="AK988" s="23" t="s">
        <v>6</v>
      </c>
      <c r="AL988" s="37">
        <f>IFERROR(INDEX('Kode Diskon'!$D$3:$D$9,MATCH(cadangan3[[#This Row],[Kode diskon]],'Kode Diskon'!$C$3:$C$9,0)),"-")</f>
        <v>0.1</v>
      </c>
      <c r="AM988" s="23" t="s">
        <v>29</v>
      </c>
      <c r="AN988" s="23" t="s">
        <v>7</v>
      </c>
      <c r="AO988" s="23" t="s">
        <v>75</v>
      </c>
      <c r="AP988" s="24">
        <v>45020</v>
      </c>
      <c r="AQ988" s="23" t="str">
        <f>TEXT(cadangan3[[#This Row],[Tanggal terjual]],"dddd")</f>
        <v>Tuesday</v>
      </c>
    </row>
    <row r="989" spans="1:43" x14ac:dyDescent="0.2">
      <c r="A989" s="20">
        <v>988</v>
      </c>
      <c r="B989" s="21" t="str">
        <f>_xlfn.CONCAT("ORD-",INDEX(Helper!$B$2:$B$5,MATCH(cadangan3[[#This Row],[Marketplace]],Helper!$A$2:$A$5,0)),TEXT(cadangan3[[#This Row],[No]],"0000"),"-",TEXT(cadangan3[[#This Row],[Tanggal terjual]],"dd/mm/yy"))</f>
        <v>ORD-BL0988-20/04/23</v>
      </c>
      <c r="C989" t="s">
        <v>62</v>
      </c>
      <c r="D989" t="str">
        <f>IFERROR(INDEX(Katalog!$A$3:$A$12,MATCH(cadangan3[[#This Row],[ItemID A]],Katalog!$C$3:$C$12,0)),"-")</f>
        <v>Pakaian Pria</v>
      </c>
      <c r="E989" t="str">
        <f>IFERROR(INDEX(Katalog!$B$3:$B$12,MATCH(cadangan3[[#This Row],[ItemID A]],Katalog!$C$3:$C$12,0)),"-")</f>
        <v>Celana Pendek</v>
      </c>
      <c r="F989">
        <v>1</v>
      </c>
      <c r="G989">
        <v>4</v>
      </c>
      <c r="H989" s="36">
        <f>IFERROR(INDEX(Katalog!$D$3:$D$12,MATCH(cadangan3[[#This Row],[ItemID A]],Katalog!$C$3:$C$12,0))*cadangan3[[#This Row],[Qty A]],0)</f>
        <v>180000</v>
      </c>
      <c r="I989" s="36">
        <f>IFERROR(INDEX(Katalog!$D$3:$D$12,MATCH(cadangan3[[#This Row],[Item A]],Katalog!$B$3:$B$12,0))*cadangan3[[#This Row],[Qty A]],0)</f>
        <v>180000</v>
      </c>
      <c r="J989" s="36">
        <f>IFERROR(cadangan3[[#This Row],[Harga Asli A]]-(cadangan3[[#This Row],[Harga Asli A]]*cadangan3[[#This Row],[Diskon]]),cadangan3[[#This Row],[Harga Asli A]])</f>
        <v>153000</v>
      </c>
      <c r="K989" s="36">
        <f>INDEX(Katalog!$F$3:$F$12,MATCH(cadangan3[[#This Row],[ItemID A]],Katalog!$C$3:$C$12,0))*cadangan3[[#This Row],[Qty A]]</f>
        <v>70000</v>
      </c>
      <c r="L989" s="36">
        <f>IFERROR(cadangan3[[#This Row],[Profit A]]-(cadangan3[[#This Row],[Profit A]]*cadangan3[[#This Row],[Diskon]]),K989)</f>
        <v>59500</v>
      </c>
      <c r="M989" t="s">
        <v>63</v>
      </c>
      <c r="N989" t="str">
        <f>IFERROR(INDEX(Katalog!$A$3:$A$12,MATCH(cadangan3[[#This Row],[ItemID B]],Katalog!$C$3:$C$12,0)),"-")</f>
        <v>Pakaian Pria</v>
      </c>
      <c r="O989" t="str">
        <f>IFERROR(INDEX(Katalog!$B$3:$B$12,MATCH(cadangan3[[#This Row],[ItemID B]],Katalog!$C$3:$C$12,0)),"-")</f>
        <v>Jaket Jeans</v>
      </c>
      <c r="P989">
        <v>2</v>
      </c>
      <c r="Q989">
        <v>2</v>
      </c>
      <c r="R989" s="36">
        <f>IFERROR(INDEX(Katalog!$D$3:$D$12,MATCH(cadangan3[[#This Row],[ItemID B]],Katalog!$C$3:$C$12,0))*cadangan3[[#This Row],[Qty B]],0)</f>
        <v>800000</v>
      </c>
      <c r="S989" s="36">
        <f>IFERROR(INDEX(Katalog!$D$3:$D$12,MATCH(cadangan3[[#This Row],[Item B]],Katalog!$B$3:$B$12,0))*cadangan3[[#This Row],[Qty B]],0)</f>
        <v>800000</v>
      </c>
      <c r="T989" s="36">
        <f>IFERROR(cadangan3[[#This Row],[Harga Asli B]]-(cadangan3[[#This Row],[Harga Asli B]]*cadangan3[[#This Row],[Diskon]]),cadangan3[[#This Row],[Harga Asli B]])</f>
        <v>680000</v>
      </c>
      <c r="U989" s="36">
        <f>IFERROR(INDEX(Katalog!$F$3:$F$12,MATCH(cadangan3[[#This Row],[ItemID B]],Katalog!$C$3:$C$12,0))*cadangan3[[#This Row],[Qty B]],0)</f>
        <v>300000</v>
      </c>
      <c r="V989" s="36">
        <f>IFERROR(cadangan3[[#This Row],[Profit B]]-(cadangan3[[#This Row],[Profit B]]*cadangan3[[#This Row],[Diskon]]),U989)</f>
        <v>255000</v>
      </c>
      <c r="W989" t="s">
        <v>66</v>
      </c>
      <c r="X989" t="str">
        <f>IFERROR(INDEX(Katalog!$A$3:$A$12,MATCH(cadangan3[[#This Row],[ItemID C]],Katalog!$C$3:$C$12,0)),"-")</f>
        <v>Sepatu Pria</v>
      </c>
      <c r="Y989" t="str">
        <f>IFERROR(INDEX(Katalog!$B$3:$B$12,MATCH(cadangan3[[#This Row],[ItemID C]],Katalog!$C$3:$C$12,0)),"-")</f>
        <v>Sandal Slip On</v>
      </c>
      <c r="Z989">
        <v>2</v>
      </c>
      <c r="AA989">
        <v>1</v>
      </c>
      <c r="AB989" s="36">
        <f>IFERROR(INDEX(Katalog!$D$3:$D$12,MATCH(cadangan3[[#This Row],[ItemID C]],Katalog!$C$3:$C$12,0))*cadangan3[[#This Row],[Qty C]],0)</f>
        <v>300000</v>
      </c>
      <c r="AC989" s="36">
        <f>IFERROR(INDEX(Katalog!$D$3:$D$12,MATCH(cadangan3[[#This Row],[Item C]],Katalog!$B$3:$B$12,0))*cadangan3[[#This Row],[Qty C]],0)</f>
        <v>300000</v>
      </c>
      <c r="AD989" s="36">
        <f>IFERROR(cadangan3[[#This Row],[Harga Asli C]]-(cadangan3[[#This Row],[Harga Asli C]]*cadangan3[[#This Row],[Diskon]]),cadangan3[[#This Row],[Harga Asli C]])</f>
        <v>255000</v>
      </c>
      <c r="AE989" s="36">
        <f>IFERROR(INDEX(Katalog!$F$3:$F$12,MATCH(cadangan3[[#This Row],[ItemID C]],Katalog!$C$3:$C$12,0))*cadangan3[[#This Row],[Qty C]],0)</f>
        <v>120000</v>
      </c>
      <c r="AF989" s="36">
        <f>IFERROR(cadangan3[[#This Row],[Profit C]]-(cadangan3[[#This Row],[Profit C]]*cadangan3[[#This Row],[Diskon]]),cadangan3[[#This Row],[Profit C]])</f>
        <v>102000</v>
      </c>
      <c r="AG989" s="21">
        <f>cadangan3[[#This Row],[Qty A]]+cadangan3[[#This Row],[Qty B]]+cadangan3[[#This Row],[Qty C]]</f>
        <v>5</v>
      </c>
      <c r="AH989" s="35">
        <f>cadangan3[[#This Row],[Harga A + Diskon]]+cadangan3[[#This Row],[Harga + Diskon B]]+cadangan3[[#This Row],[Harga + Diskon C]]</f>
        <v>1088000</v>
      </c>
      <c r="AI989" s="35">
        <f>(cadangan3[[#This Row],[Profit A]]+cadangan3[[#This Row],[Profit B]]+cadangan3[[#This Row],[Profit C]])</f>
        <v>490000</v>
      </c>
      <c r="AJ989" s="35">
        <f>cadangan3[[#This Row],[Provit A + Diskon]]+cadangan3[[#This Row],[Provit B + Diskon]]+cadangan3[[#This Row],[Provit C + Diskon]]</f>
        <v>416500</v>
      </c>
      <c r="AK989" s="23" t="s">
        <v>32</v>
      </c>
      <c r="AL989" s="37">
        <f>IFERROR(INDEX('Kode Diskon'!$D$3:$D$9,MATCH(cadangan3[[#This Row],[Kode diskon]],'Kode Diskon'!$C$3:$C$9,0)),"-")</f>
        <v>0.15</v>
      </c>
      <c r="AM989" s="23" t="s">
        <v>9</v>
      </c>
      <c r="AN989" s="23" t="s">
        <v>12</v>
      </c>
      <c r="AO989" s="23" t="s">
        <v>77</v>
      </c>
      <c r="AP989" s="24">
        <v>45036</v>
      </c>
      <c r="AQ989" s="23" t="str">
        <f>TEXT(cadangan3[[#This Row],[Tanggal terjual]],"dddd")</f>
        <v>Thursday</v>
      </c>
    </row>
    <row r="990" spans="1:43" x14ac:dyDescent="0.2">
      <c r="A990" s="20">
        <v>989</v>
      </c>
      <c r="B990" s="21" t="str">
        <f>_xlfn.CONCAT("ORD-",INDEX(Helper!$B$2:$B$5,MATCH(cadangan3[[#This Row],[Marketplace]],Helper!$A$2:$A$5,0)),TEXT(cadangan3[[#This Row],[No]],"0000"),"-",TEXT(cadangan3[[#This Row],[Tanggal terjual]],"dd/mm/yy"))</f>
        <v>ORD-SP0989-12/04/23</v>
      </c>
      <c r="C990" t="s">
        <v>63</v>
      </c>
      <c r="D990" t="str">
        <f>IFERROR(INDEX(Katalog!$A$3:$A$12,MATCH(cadangan3[[#This Row],[ItemID A]],Katalog!$C$3:$C$12,0)),"-")</f>
        <v>Pakaian Pria</v>
      </c>
      <c r="E990" t="str">
        <f>IFERROR(INDEX(Katalog!$B$3:$B$12,MATCH(cadangan3[[#This Row],[ItemID A]],Katalog!$C$3:$C$12,0)),"-")</f>
        <v>Jaket Jeans</v>
      </c>
      <c r="F990">
        <v>1</v>
      </c>
      <c r="G990">
        <v>1</v>
      </c>
      <c r="H990" s="36">
        <f>IFERROR(INDEX(Katalog!$D$3:$D$12,MATCH(cadangan3[[#This Row],[ItemID A]],Katalog!$C$3:$C$12,0))*cadangan3[[#This Row],[Qty A]],0)</f>
        <v>400000</v>
      </c>
      <c r="I990" s="36">
        <f>IFERROR(INDEX(Katalog!$D$3:$D$12,MATCH(cadangan3[[#This Row],[Item A]],Katalog!$B$3:$B$12,0))*cadangan3[[#This Row],[Qty A]],0)</f>
        <v>400000</v>
      </c>
      <c r="J990" s="36">
        <f>IFERROR(cadangan3[[#This Row],[Harga Asli A]]-(cadangan3[[#This Row],[Harga Asli A]]*cadangan3[[#This Row],[Diskon]]),cadangan3[[#This Row],[Harga Asli A]])</f>
        <v>400000</v>
      </c>
      <c r="K990" s="36">
        <f>INDEX(Katalog!$F$3:$F$12,MATCH(cadangan3[[#This Row],[ItemID A]],Katalog!$C$3:$C$12,0))*cadangan3[[#This Row],[Qty A]]</f>
        <v>150000</v>
      </c>
      <c r="L990" s="36">
        <f>IFERROR(cadangan3[[#This Row],[Profit A]]-(cadangan3[[#This Row],[Profit A]]*cadangan3[[#This Row],[Diskon]]),K990)</f>
        <v>150000</v>
      </c>
      <c r="M990" t="s">
        <v>67</v>
      </c>
      <c r="N990" t="str">
        <f>IFERROR(INDEX(Katalog!$A$3:$A$12,MATCH(cadangan3[[#This Row],[ItemID B]],Katalog!$C$3:$C$12,0)),"-")</f>
        <v>Sepatu Wanita</v>
      </c>
      <c r="O990" t="str">
        <f>IFERROR(INDEX(Katalog!$B$3:$B$12,MATCH(cadangan3[[#This Row],[ItemID B]],Katalog!$C$3:$C$12,0)),"-")</f>
        <v>Flat Shoes</v>
      </c>
      <c r="P990">
        <v>2</v>
      </c>
      <c r="Q990">
        <v>5</v>
      </c>
      <c r="R990" s="36">
        <f>IFERROR(INDEX(Katalog!$D$3:$D$12,MATCH(cadangan3[[#This Row],[ItemID B]],Katalog!$C$3:$C$12,0))*cadangan3[[#This Row],[Qty B]],0)</f>
        <v>500000</v>
      </c>
      <c r="S990" s="36">
        <f>IFERROR(INDEX(Katalog!$D$3:$D$12,MATCH(cadangan3[[#This Row],[Item B]],Katalog!$B$3:$B$12,0))*cadangan3[[#This Row],[Qty B]],0)</f>
        <v>500000</v>
      </c>
      <c r="T990" s="36">
        <f>IFERROR(cadangan3[[#This Row],[Harga Asli B]]-(cadangan3[[#This Row],[Harga Asli B]]*cadangan3[[#This Row],[Diskon]]),cadangan3[[#This Row],[Harga Asli B]])</f>
        <v>500000</v>
      </c>
      <c r="U990" s="36">
        <f>IFERROR(INDEX(Katalog!$F$3:$F$12,MATCH(cadangan3[[#This Row],[ItemID B]],Katalog!$C$3:$C$12,0))*cadangan3[[#This Row],[Qty B]],0)</f>
        <v>200000</v>
      </c>
      <c r="V990" s="36">
        <f>IFERROR(cadangan3[[#This Row],[Profit B]]-(cadangan3[[#This Row],[Profit B]]*cadangan3[[#This Row],[Diskon]]),U990)</f>
        <v>200000</v>
      </c>
      <c r="W990" t="s">
        <v>64</v>
      </c>
      <c r="X990" t="str">
        <f>IFERROR(INDEX(Katalog!$A$3:$A$12,MATCH(cadangan3[[#This Row],[ItemID C]],Katalog!$C$3:$C$12,0)),"-")</f>
        <v>Pakaian Unisex</v>
      </c>
      <c r="Y990" t="str">
        <f>IFERROR(INDEX(Katalog!$B$3:$B$12,MATCH(cadangan3[[#This Row],[ItemID C]],Katalog!$C$3:$C$12,0)),"-")</f>
        <v>Jaket Hoodie</v>
      </c>
      <c r="Z990">
        <v>1</v>
      </c>
      <c r="AA990">
        <v>1</v>
      </c>
      <c r="AB990" s="36">
        <f>IFERROR(INDEX(Katalog!$D$3:$D$12,MATCH(cadangan3[[#This Row],[ItemID C]],Katalog!$C$3:$C$12,0))*cadangan3[[#This Row],[Qty C]],0)</f>
        <v>350000</v>
      </c>
      <c r="AC990" s="36">
        <f>IFERROR(INDEX(Katalog!$D$3:$D$12,MATCH(cadangan3[[#This Row],[Item C]],Katalog!$B$3:$B$12,0))*cadangan3[[#This Row],[Qty C]],0)</f>
        <v>350000</v>
      </c>
      <c r="AD990" s="36">
        <f>IFERROR(cadangan3[[#This Row],[Harga Asli C]]-(cadangan3[[#This Row],[Harga Asli C]]*cadangan3[[#This Row],[Diskon]]),cadangan3[[#This Row],[Harga Asli C]])</f>
        <v>350000</v>
      </c>
      <c r="AE990" s="36">
        <f>IFERROR(INDEX(Katalog!$F$3:$F$12,MATCH(cadangan3[[#This Row],[ItemID C]],Katalog!$C$3:$C$12,0))*cadangan3[[#This Row],[Qty C]],0)</f>
        <v>130000</v>
      </c>
      <c r="AF990" s="36">
        <f>IFERROR(cadangan3[[#This Row],[Profit C]]-(cadangan3[[#This Row],[Profit C]]*cadangan3[[#This Row],[Diskon]]),cadangan3[[#This Row],[Profit C]])</f>
        <v>130000</v>
      </c>
      <c r="AG990" s="21">
        <f>cadangan3[[#This Row],[Qty A]]+cadangan3[[#This Row],[Qty B]]+cadangan3[[#This Row],[Qty C]]</f>
        <v>4</v>
      </c>
      <c r="AH990" s="35">
        <f>cadangan3[[#This Row],[Harga A + Diskon]]+cadangan3[[#This Row],[Harga + Diskon B]]+cadangan3[[#This Row],[Harga + Diskon C]]</f>
        <v>1250000</v>
      </c>
      <c r="AI990" s="35">
        <f>(cadangan3[[#This Row],[Profit A]]+cadangan3[[#This Row],[Profit B]]+cadangan3[[#This Row],[Profit C]])</f>
        <v>480000</v>
      </c>
      <c r="AJ990" s="35">
        <f>cadangan3[[#This Row],[Provit A + Diskon]]+cadangan3[[#This Row],[Provit B + Diskon]]+cadangan3[[#This Row],[Provit C + Diskon]]</f>
        <v>480000</v>
      </c>
      <c r="AK990" s="23" t="s">
        <v>11</v>
      </c>
      <c r="AL990" s="37" t="str">
        <f>IFERROR(INDEX('Kode Diskon'!$D$3:$D$9,MATCH(cadangan3[[#This Row],[Kode diskon]],'Kode Diskon'!$C$3:$C$9,0)),"-")</f>
        <v>-</v>
      </c>
      <c r="AM990" s="23" t="s">
        <v>11</v>
      </c>
      <c r="AN990" s="23" t="s">
        <v>7</v>
      </c>
      <c r="AO990" s="23" t="s">
        <v>77</v>
      </c>
      <c r="AP990" s="24">
        <v>45028</v>
      </c>
      <c r="AQ990" s="23" t="str">
        <f>TEXT(cadangan3[[#This Row],[Tanggal terjual]],"dddd")</f>
        <v>Wednesday</v>
      </c>
    </row>
    <row r="991" spans="1:43" x14ac:dyDescent="0.2">
      <c r="A991" s="20">
        <v>990</v>
      </c>
      <c r="B991" s="21" t="str">
        <f>_xlfn.CONCAT("ORD-",INDEX(Helper!$B$2:$B$5,MATCH(cadangan3[[#This Row],[Marketplace]],Helper!$A$2:$A$5,0)),TEXT(cadangan3[[#This Row],[No]],"0000"),"-",TEXT(cadangan3[[#This Row],[Tanggal terjual]],"dd/mm/yy"))</f>
        <v>ORD-TK0990-06/04/23</v>
      </c>
      <c r="C991" t="s">
        <v>59</v>
      </c>
      <c r="D991" t="str">
        <f>IFERROR(INDEX(Katalog!$A$3:$A$12,MATCH(cadangan3[[#This Row],[ItemID A]],Katalog!$C$3:$C$12,0)),"-")</f>
        <v>Pakaian Wanita</v>
      </c>
      <c r="E991" t="str">
        <f>IFERROR(INDEX(Katalog!$B$3:$B$12,MATCH(cadangan3[[#This Row],[ItemID A]],Katalog!$C$3:$C$12,0)),"-")</f>
        <v>Blouse</v>
      </c>
      <c r="F991">
        <v>1</v>
      </c>
      <c r="G991">
        <v>2</v>
      </c>
      <c r="H991" s="36">
        <f>IFERROR(INDEX(Katalog!$D$3:$D$12,MATCH(cadangan3[[#This Row],[ItemID A]],Katalog!$C$3:$C$12,0))*cadangan3[[#This Row],[Qty A]],0)</f>
        <v>150000</v>
      </c>
      <c r="I991" s="36">
        <f>IFERROR(INDEX(Katalog!$D$3:$D$12,MATCH(cadangan3[[#This Row],[Item A]],Katalog!$B$3:$B$12,0))*cadangan3[[#This Row],[Qty A]],0)</f>
        <v>150000</v>
      </c>
      <c r="J991" s="36">
        <f>IFERROR(cadangan3[[#This Row],[Harga Asli A]]-(cadangan3[[#This Row],[Harga Asli A]]*cadangan3[[#This Row],[Diskon]]),cadangan3[[#This Row],[Harga Asli A]])</f>
        <v>135000</v>
      </c>
      <c r="K991" s="36">
        <f>INDEX(Katalog!$F$3:$F$12,MATCH(cadangan3[[#This Row],[ItemID A]],Katalog!$C$3:$C$12,0))*cadangan3[[#This Row],[Qty A]]</f>
        <v>50000</v>
      </c>
      <c r="L991" s="36">
        <f>IFERROR(cadangan3[[#This Row],[Profit A]]-(cadangan3[[#This Row],[Profit A]]*cadangan3[[#This Row],[Diskon]]),K991)</f>
        <v>45000</v>
      </c>
      <c r="M991" t="s">
        <v>64</v>
      </c>
      <c r="N991" t="str">
        <f>IFERROR(INDEX(Katalog!$A$3:$A$12,MATCH(cadangan3[[#This Row],[ItemID B]],Katalog!$C$3:$C$12,0)),"-")</f>
        <v>Pakaian Unisex</v>
      </c>
      <c r="O991" t="str">
        <f>IFERROR(INDEX(Katalog!$B$3:$B$12,MATCH(cadangan3[[#This Row],[ItemID B]],Katalog!$C$3:$C$12,0)),"-")</f>
        <v>Jaket Hoodie</v>
      </c>
      <c r="P991">
        <v>5</v>
      </c>
      <c r="Q991">
        <v>1</v>
      </c>
      <c r="R991" s="36">
        <f>IFERROR(INDEX(Katalog!$D$3:$D$12,MATCH(cadangan3[[#This Row],[ItemID B]],Katalog!$C$3:$C$12,0))*cadangan3[[#This Row],[Qty B]],0)</f>
        <v>1750000</v>
      </c>
      <c r="S991" s="36">
        <f>IFERROR(INDEX(Katalog!$D$3:$D$12,MATCH(cadangan3[[#This Row],[Item B]],Katalog!$B$3:$B$12,0))*cadangan3[[#This Row],[Qty B]],0)</f>
        <v>1750000</v>
      </c>
      <c r="T991" s="36">
        <f>IFERROR(cadangan3[[#This Row],[Harga Asli B]]-(cadangan3[[#This Row],[Harga Asli B]]*cadangan3[[#This Row],[Diskon]]),cadangan3[[#This Row],[Harga Asli B]])</f>
        <v>1575000</v>
      </c>
      <c r="U991" s="36">
        <f>IFERROR(INDEX(Katalog!$F$3:$F$12,MATCH(cadangan3[[#This Row],[ItemID B]],Katalog!$C$3:$C$12,0))*cadangan3[[#This Row],[Qty B]],0)</f>
        <v>650000</v>
      </c>
      <c r="V991" s="36">
        <f>IFERROR(cadangan3[[#This Row],[Profit B]]-(cadangan3[[#This Row],[Profit B]]*cadangan3[[#This Row],[Diskon]]),U991)</f>
        <v>585000</v>
      </c>
      <c r="W991" t="s">
        <v>61</v>
      </c>
      <c r="X991" t="str">
        <f>IFERROR(INDEX(Katalog!$A$3:$A$12,MATCH(cadangan3[[#This Row],[ItemID C]],Katalog!$C$3:$C$12,0)),"-")</f>
        <v>Pakaian Pria</v>
      </c>
      <c r="Y991" t="str">
        <f>IFERROR(INDEX(Katalog!$B$3:$B$12,MATCH(cadangan3[[#This Row],[ItemID C]],Katalog!$C$3:$C$12,0)),"-")</f>
        <v>Kaos Polo</v>
      </c>
      <c r="Z991">
        <v>1</v>
      </c>
      <c r="AA991">
        <v>2</v>
      </c>
      <c r="AB991" s="36">
        <f>IFERROR(INDEX(Katalog!$D$3:$D$12,MATCH(cadangan3[[#This Row],[ItemID C]],Katalog!$C$3:$C$12,0))*cadangan3[[#This Row],[Qty C]],0)</f>
        <v>200000</v>
      </c>
      <c r="AC991" s="36">
        <f>IFERROR(INDEX(Katalog!$D$3:$D$12,MATCH(cadangan3[[#This Row],[Item C]],Katalog!$B$3:$B$12,0))*cadangan3[[#This Row],[Qty C]],0)</f>
        <v>200000</v>
      </c>
      <c r="AD991" s="36">
        <f>IFERROR(cadangan3[[#This Row],[Harga Asli C]]-(cadangan3[[#This Row],[Harga Asli C]]*cadangan3[[#This Row],[Diskon]]),cadangan3[[#This Row],[Harga Asli C]])</f>
        <v>180000</v>
      </c>
      <c r="AE991" s="36">
        <f>IFERROR(INDEX(Katalog!$F$3:$F$12,MATCH(cadangan3[[#This Row],[ItemID C]],Katalog!$C$3:$C$12,0))*cadangan3[[#This Row],[Qty C]],0)</f>
        <v>80000</v>
      </c>
      <c r="AF991" s="36">
        <f>IFERROR(cadangan3[[#This Row],[Profit C]]-(cadangan3[[#This Row],[Profit C]]*cadangan3[[#This Row],[Diskon]]),cadangan3[[#This Row],[Profit C]])</f>
        <v>72000</v>
      </c>
      <c r="AG991" s="21">
        <f>cadangan3[[#This Row],[Qty A]]+cadangan3[[#This Row],[Qty B]]+cadangan3[[#This Row],[Qty C]]</f>
        <v>7</v>
      </c>
      <c r="AH991" s="35">
        <f>cadangan3[[#This Row],[Harga A + Diskon]]+cadangan3[[#This Row],[Harga + Diskon B]]+cadangan3[[#This Row],[Harga + Diskon C]]</f>
        <v>1890000</v>
      </c>
      <c r="AI991" s="35">
        <f>(cadangan3[[#This Row],[Profit A]]+cadangan3[[#This Row],[Profit B]]+cadangan3[[#This Row],[Profit C]])</f>
        <v>780000</v>
      </c>
      <c r="AJ991" s="35">
        <f>cadangan3[[#This Row],[Provit A + Diskon]]+cadangan3[[#This Row],[Provit B + Diskon]]+cadangan3[[#This Row],[Provit C + Diskon]]</f>
        <v>702000</v>
      </c>
      <c r="AK991" s="23" t="s">
        <v>30</v>
      </c>
      <c r="AL991" s="37">
        <f>IFERROR(INDEX('Kode Diskon'!$D$3:$D$9,MATCH(cadangan3[[#This Row],[Kode diskon]],'Kode Diskon'!$C$3:$C$9,0)),"-")</f>
        <v>0.1</v>
      </c>
      <c r="AM991" s="23" t="s">
        <v>29</v>
      </c>
      <c r="AN991" s="23" t="s">
        <v>10</v>
      </c>
      <c r="AO991" s="23" t="s">
        <v>76</v>
      </c>
      <c r="AP991" s="24">
        <v>45022</v>
      </c>
      <c r="AQ991" s="23" t="str">
        <f>TEXT(cadangan3[[#This Row],[Tanggal terjual]],"dddd")</f>
        <v>Thursday</v>
      </c>
    </row>
    <row r="992" spans="1:43" x14ac:dyDescent="0.2">
      <c r="A992" s="20">
        <v>991</v>
      </c>
      <c r="B992" s="21" t="str">
        <f>_xlfn.CONCAT("ORD-",INDEX(Helper!$B$2:$B$5,MATCH(cadangan3[[#This Row],[Marketplace]],Helper!$A$2:$A$5,0)),TEXT(cadangan3[[#This Row],[No]],"0000"),"-",TEXT(cadangan3[[#This Row],[Tanggal terjual]],"dd/mm/yy"))</f>
        <v>ORD-SP0991-01/04/23</v>
      </c>
      <c r="C992" t="s">
        <v>64</v>
      </c>
      <c r="D992" t="str">
        <f>IFERROR(INDEX(Katalog!$A$3:$A$12,MATCH(cadangan3[[#This Row],[ItemID A]],Katalog!$C$3:$C$12,0)),"-")</f>
        <v>Pakaian Unisex</v>
      </c>
      <c r="E992" t="str">
        <f>IFERROR(INDEX(Katalog!$B$3:$B$12,MATCH(cadangan3[[#This Row],[ItemID A]],Katalog!$C$3:$C$12,0)),"-")</f>
        <v>Jaket Hoodie</v>
      </c>
      <c r="F992">
        <v>2</v>
      </c>
      <c r="G992">
        <v>4</v>
      </c>
      <c r="H992" s="36">
        <f>IFERROR(INDEX(Katalog!$D$3:$D$12,MATCH(cadangan3[[#This Row],[ItemID A]],Katalog!$C$3:$C$12,0))*cadangan3[[#This Row],[Qty A]],0)</f>
        <v>700000</v>
      </c>
      <c r="I992" s="36">
        <f>IFERROR(INDEX(Katalog!$D$3:$D$12,MATCH(cadangan3[[#This Row],[Item A]],Katalog!$B$3:$B$12,0))*cadangan3[[#This Row],[Qty A]],0)</f>
        <v>700000</v>
      </c>
      <c r="J992" s="36">
        <f>IFERROR(cadangan3[[#This Row],[Harga Asli A]]-(cadangan3[[#This Row],[Harga Asli A]]*cadangan3[[#This Row],[Diskon]]),cadangan3[[#This Row],[Harga Asli A]])</f>
        <v>630000</v>
      </c>
      <c r="K992" s="36">
        <f>INDEX(Katalog!$F$3:$F$12,MATCH(cadangan3[[#This Row],[ItemID A]],Katalog!$C$3:$C$12,0))*cadangan3[[#This Row],[Qty A]]</f>
        <v>260000</v>
      </c>
      <c r="L992" s="36">
        <f>IFERROR(cadangan3[[#This Row],[Profit A]]-(cadangan3[[#This Row],[Profit A]]*cadangan3[[#This Row],[Diskon]]),K992)</f>
        <v>234000</v>
      </c>
      <c r="M992" t="s">
        <v>61</v>
      </c>
      <c r="N992" t="str">
        <f>IFERROR(INDEX(Katalog!$A$3:$A$12,MATCH(cadangan3[[#This Row],[ItemID B]],Katalog!$C$3:$C$12,0)),"-")</f>
        <v>Pakaian Pria</v>
      </c>
      <c r="O992" t="str">
        <f>IFERROR(INDEX(Katalog!$B$3:$B$12,MATCH(cadangan3[[#This Row],[ItemID B]],Katalog!$C$3:$C$12,0)),"-")</f>
        <v>Kaos Polo</v>
      </c>
      <c r="P992">
        <v>4</v>
      </c>
      <c r="Q992">
        <v>3</v>
      </c>
      <c r="R992" s="36">
        <f>IFERROR(INDEX(Katalog!$D$3:$D$12,MATCH(cadangan3[[#This Row],[ItemID B]],Katalog!$C$3:$C$12,0))*cadangan3[[#This Row],[Qty B]],0)</f>
        <v>800000</v>
      </c>
      <c r="S992" s="36">
        <f>IFERROR(INDEX(Katalog!$D$3:$D$12,MATCH(cadangan3[[#This Row],[Item B]],Katalog!$B$3:$B$12,0))*cadangan3[[#This Row],[Qty B]],0)</f>
        <v>800000</v>
      </c>
      <c r="T992" s="36">
        <f>IFERROR(cadangan3[[#This Row],[Harga Asli B]]-(cadangan3[[#This Row],[Harga Asli B]]*cadangan3[[#This Row],[Diskon]]),cadangan3[[#This Row],[Harga Asli B]])</f>
        <v>720000</v>
      </c>
      <c r="U992" s="36">
        <f>IFERROR(INDEX(Katalog!$F$3:$F$12,MATCH(cadangan3[[#This Row],[ItemID B]],Katalog!$C$3:$C$12,0))*cadangan3[[#This Row],[Qty B]],0)</f>
        <v>320000</v>
      </c>
      <c r="V992" s="36">
        <f>IFERROR(cadangan3[[#This Row],[Profit B]]-(cadangan3[[#This Row],[Profit B]]*cadangan3[[#This Row],[Diskon]]),U992)</f>
        <v>288000</v>
      </c>
      <c r="X992" t="str">
        <f>IFERROR(INDEX(Katalog!$A$3:$A$12,MATCH(cadangan3[[#This Row],[ItemID C]],Katalog!$C$3:$C$12,0)),"-")</f>
        <v>-</v>
      </c>
      <c r="Y992" t="str">
        <f>IFERROR(INDEX(Katalog!$B$3:$B$12,MATCH(cadangan3[[#This Row],[ItemID C]],Katalog!$C$3:$C$12,0)),"-")</f>
        <v>-</v>
      </c>
      <c r="AB992" s="36">
        <f>IFERROR(INDEX(Katalog!$D$3:$D$12,MATCH(cadangan3[[#This Row],[ItemID C]],Katalog!$C$3:$C$12,0))*cadangan3[[#This Row],[Qty C]],0)</f>
        <v>0</v>
      </c>
      <c r="AC992" s="36">
        <f>IFERROR(INDEX(Katalog!$D$3:$D$12,MATCH(cadangan3[[#This Row],[Item C]],Katalog!$B$3:$B$12,0))*cadangan3[[#This Row],[Qty C]],0)</f>
        <v>0</v>
      </c>
      <c r="AD992" s="36">
        <f>IFERROR(cadangan3[[#This Row],[Harga Asli C]]-(cadangan3[[#This Row],[Harga Asli C]]*cadangan3[[#This Row],[Diskon]]),cadangan3[[#This Row],[Harga Asli C]])</f>
        <v>0</v>
      </c>
      <c r="AE992" s="36">
        <f>IFERROR(INDEX(Katalog!$F$3:$F$12,MATCH(cadangan3[[#This Row],[ItemID C]],Katalog!$C$3:$C$12,0))*cadangan3[[#This Row],[Qty C]],0)</f>
        <v>0</v>
      </c>
      <c r="AF992" s="36">
        <f>IFERROR(cadangan3[[#This Row],[Profit C]]-(cadangan3[[#This Row],[Profit C]]*cadangan3[[#This Row],[Diskon]]),cadangan3[[#This Row],[Profit C]])</f>
        <v>0</v>
      </c>
      <c r="AG992" s="21">
        <f>cadangan3[[#This Row],[Qty A]]+cadangan3[[#This Row],[Qty B]]+cadangan3[[#This Row],[Qty C]]</f>
        <v>6</v>
      </c>
      <c r="AH992" s="35">
        <f>cadangan3[[#This Row],[Harga A + Diskon]]+cadangan3[[#This Row],[Harga + Diskon B]]+cadangan3[[#This Row],[Harga + Diskon C]]</f>
        <v>1350000</v>
      </c>
      <c r="AI992" s="35">
        <f>(cadangan3[[#This Row],[Profit A]]+cadangan3[[#This Row],[Profit B]]+cadangan3[[#This Row],[Profit C]])</f>
        <v>580000</v>
      </c>
      <c r="AJ992" s="35">
        <f>cadangan3[[#This Row],[Provit A + Diskon]]+cadangan3[[#This Row],[Provit B + Diskon]]+cadangan3[[#This Row],[Provit C + Diskon]]</f>
        <v>522000</v>
      </c>
      <c r="AK992" s="23" t="s">
        <v>6</v>
      </c>
      <c r="AL992" s="37">
        <f>IFERROR(INDEX('Kode Diskon'!$D$3:$D$9,MATCH(cadangan3[[#This Row],[Kode diskon]],'Kode Diskon'!$C$3:$C$9,0)),"-")</f>
        <v>0.1</v>
      </c>
      <c r="AM992" s="23" t="s">
        <v>29</v>
      </c>
      <c r="AN992" s="23" t="s">
        <v>7</v>
      </c>
      <c r="AO992" s="23" t="s">
        <v>79</v>
      </c>
      <c r="AP992" s="24">
        <v>45017</v>
      </c>
      <c r="AQ992" s="23" t="str">
        <f>TEXT(cadangan3[[#This Row],[Tanggal terjual]],"dddd")</f>
        <v>Saturday</v>
      </c>
    </row>
    <row r="993" spans="1:43" x14ac:dyDescent="0.2">
      <c r="A993" s="20">
        <v>992</v>
      </c>
      <c r="B993" s="21" t="str">
        <f>_xlfn.CONCAT("ORD-",INDEX(Helper!$B$2:$B$5,MATCH(cadangan3[[#This Row],[Marketplace]],Helper!$A$2:$A$5,0)),TEXT(cadangan3[[#This Row],[No]],"0000"),"-",TEXT(cadangan3[[#This Row],[Tanggal terjual]],"dd/mm/yy"))</f>
        <v>ORD-TK0992-04/04/23</v>
      </c>
      <c r="C993" t="s">
        <v>59</v>
      </c>
      <c r="D993" t="str">
        <f>IFERROR(INDEX(Katalog!$A$3:$A$12,MATCH(cadangan3[[#This Row],[ItemID A]],Katalog!$C$3:$C$12,0)),"-")</f>
        <v>Pakaian Wanita</v>
      </c>
      <c r="E993" t="str">
        <f>IFERROR(INDEX(Katalog!$B$3:$B$12,MATCH(cadangan3[[#This Row],[ItemID A]],Katalog!$C$3:$C$12,0)),"-")</f>
        <v>Blouse</v>
      </c>
      <c r="F993">
        <v>1</v>
      </c>
      <c r="G993">
        <v>5</v>
      </c>
      <c r="H993" s="36">
        <f>IFERROR(INDEX(Katalog!$D$3:$D$12,MATCH(cadangan3[[#This Row],[ItemID A]],Katalog!$C$3:$C$12,0))*cadangan3[[#This Row],[Qty A]],0)</f>
        <v>150000</v>
      </c>
      <c r="I993" s="36">
        <f>IFERROR(INDEX(Katalog!$D$3:$D$12,MATCH(cadangan3[[#This Row],[Item A]],Katalog!$B$3:$B$12,0))*cadangan3[[#This Row],[Qty A]],0)</f>
        <v>150000</v>
      </c>
      <c r="J993" s="36">
        <f>IFERROR(cadangan3[[#This Row],[Harga Asli A]]-(cadangan3[[#This Row],[Harga Asli A]]*cadangan3[[#This Row],[Diskon]]),cadangan3[[#This Row],[Harga Asli A]])</f>
        <v>135000</v>
      </c>
      <c r="K993" s="36">
        <f>INDEX(Katalog!$F$3:$F$12,MATCH(cadangan3[[#This Row],[ItemID A]],Katalog!$C$3:$C$12,0))*cadangan3[[#This Row],[Qty A]]</f>
        <v>50000</v>
      </c>
      <c r="L993" s="36">
        <f>IFERROR(cadangan3[[#This Row],[Profit A]]-(cadangan3[[#This Row],[Profit A]]*cadangan3[[#This Row],[Diskon]]),K993)</f>
        <v>45000</v>
      </c>
      <c r="N993" t="str">
        <f>IFERROR(INDEX(Katalog!$A$3:$A$12,MATCH(cadangan3[[#This Row],[ItemID B]],Katalog!$C$3:$C$12,0)),"-")</f>
        <v>-</v>
      </c>
      <c r="O993" t="str">
        <f>IFERROR(INDEX(Katalog!$B$3:$B$12,MATCH(cadangan3[[#This Row],[ItemID B]],Katalog!$C$3:$C$12,0)),"-")</f>
        <v>-</v>
      </c>
      <c r="R993" s="36">
        <f>IFERROR(INDEX(Katalog!$D$3:$D$12,MATCH(cadangan3[[#This Row],[ItemID B]],Katalog!$C$3:$C$12,0))*cadangan3[[#This Row],[Qty B]],0)</f>
        <v>0</v>
      </c>
      <c r="S993" s="36">
        <f>IFERROR(INDEX(Katalog!$D$3:$D$12,MATCH(cadangan3[[#This Row],[Item B]],Katalog!$B$3:$B$12,0))*cadangan3[[#This Row],[Qty B]],0)</f>
        <v>0</v>
      </c>
      <c r="T993" s="36">
        <f>IFERROR(cadangan3[[#This Row],[Harga Asli B]]-(cadangan3[[#This Row],[Harga Asli B]]*cadangan3[[#This Row],[Diskon]]),cadangan3[[#This Row],[Harga Asli B]])</f>
        <v>0</v>
      </c>
      <c r="U993" s="36">
        <f>IFERROR(INDEX(Katalog!$F$3:$F$12,MATCH(cadangan3[[#This Row],[ItemID B]],Katalog!$C$3:$C$12,0))*cadangan3[[#This Row],[Qty B]],0)</f>
        <v>0</v>
      </c>
      <c r="V993" s="36">
        <f>IFERROR(cadangan3[[#This Row],[Profit B]]-(cadangan3[[#This Row],[Profit B]]*cadangan3[[#This Row],[Diskon]]),U993)</f>
        <v>0</v>
      </c>
      <c r="X993" t="str">
        <f>IFERROR(INDEX(Katalog!$A$3:$A$12,MATCH(cadangan3[[#This Row],[ItemID C]],Katalog!$C$3:$C$12,0)),"-")</f>
        <v>-</v>
      </c>
      <c r="Y993" t="str">
        <f>IFERROR(INDEX(Katalog!$B$3:$B$12,MATCH(cadangan3[[#This Row],[ItemID C]],Katalog!$C$3:$C$12,0)),"-")</f>
        <v>-</v>
      </c>
      <c r="AB993" s="36">
        <f>IFERROR(INDEX(Katalog!$D$3:$D$12,MATCH(cadangan3[[#This Row],[ItemID C]],Katalog!$C$3:$C$12,0))*cadangan3[[#This Row],[Qty C]],0)</f>
        <v>0</v>
      </c>
      <c r="AC993" s="36">
        <f>IFERROR(INDEX(Katalog!$D$3:$D$12,MATCH(cadangan3[[#This Row],[Item C]],Katalog!$B$3:$B$12,0))*cadangan3[[#This Row],[Qty C]],0)</f>
        <v>0</v>
      </c>
      <c r="AD993" s="36">
        <f>IFERROR(cadangan3[[#This Row],[Harga Asli C]]-(cadangan3[[#This Row],[Harga Asli C]]*cadangan3[[#This Row],[Diskon]]),cadangan3[[#This Row],[Harga Asli C]])</f>
        <v>0</v>
      </c>
      <c r="AE993" s="36">
        <f>IFERROR(INDEX(Katalog!$F$3:$F$12,MATCH(cadangan3[[#This Row],[ItemID C]],Katalog!$C$3:$C$12,0))*cadangan3[[#This Row],[Qty C]],0)</f>
        <v>0</v>
      </c>
      <c r="AF993" s="36">
        <f>IFERROR(cadangan3[[#This Row],[Profit C]]-(cadangan3[[#This Row],[Profit C]]*cadangan3[[#This Row],[Diskon]]),cadangan3[[#This Row],[Profit C]])</f>
        <v>0</v>
      </c>
      <c r="AG993" s="21">
        <f>cadangan3[[#This Row],[Qty A]]+cadangan3[[#This Row],[Qty B]]+cadangan3[[#This Row],[Qty C]]</f>
        <v>1</v>
      </c>
      <c r="AH993" s="35">
        <f>cadangan3[[#This Row],[Harga A + Diskon]]+cadangan3[[#This Row],[Harga + Diskon B]]+cadangan3[[#This Row],[Harga + Diskon C]]</f>
        <v>135000</v>
      </c>
      <c r="AI993" s="35">
        <f>(cadangan3[[#This Row],[Profit A]]+cadangan3[[#This Row],[Profit B]]+cadangan3[[#This Row],[Profit C]])</f>
        <v>50000</v>
      </c>
      <c r="AJ993" s="35">
        <f>cadangan3[[#This Row],[Provit A + Diskon]]+cadangan3[[#This Row],[Provit B + Diskon]]+cadangan3[[#This Row],[Provit C + Diskon]]</f>
        <v>45000</v>
      </c>
      <c r="AK993" s="23" t="s">
        <v>30</v>
      </c>
      <c r="AL993" s="37">
        <f>IFERROR(INDEX('Kode Diskon'!$D$3:$D$9,MATCH(cadangan3[[#This Row],[Kode diskon]],'Kode Diskon'!$C$3:$C$9,0)),"-")</f>
        <v>0.1</v>
      </c>
      <c r="AM993" s="23" t="s">
        <v>29</v>
      </c>
      <c r="AN993" s="23" t="s">
        <v>10</v>
      </c>
      <c r="AO993" s="23" t="s">
        <v>80</v>
      </c>
      <c r="AP993" s="24">
        <v>45020</v>
      </c>
      <c r="AQ993" s="23" t="str">
        <f>TEXT(cadangan3[[#This Row],[Tanggal terjual]],"dddd")</f>
        <v>Tuesday</v>
      </c>
    </row>
    <row r="994" spans="1:43" x14ac:dyDescent="0.2">
      <c r="A994" s="20">
        <v>993</v>
      </c>
      <c r="B994" s="21" t="str">
        <f>_xlfn.CONCAT("ORD-",INDEX(Helper!$B$2:$B$5,MATCH(cadangan3[[#This Row],[Marketplace]],Helper!$A$2:$A$5,0)),TEXT(cadangan3[[#This Row],[No]],"0000"),"-",TEXT(cadangan3[[#This Row],[Tanggal terjual]],"dd/mm/yy"))</f>
        <v>ORD-SP0993-10/04/23</v>
      </c>
      <c r="C994" t="s">
        <v>67</v>
      </c>
      <c r="D994" t="str">
        <f>IFERROR(INDEX(Katalog!$A$3:$A$12,MATCH(cadangan3[[#This Row],[ItemID A]],Katalog!$C$3:$C$12,0)),"-")</f>
        <v>Sepatu Wanita</v>
      </c>
      <c r="E994" t="str">
        <f>IFERROR(INDEX(Katalog!$B$3:$B$12,MATCH(cadangan3[[#This Row],[ItemID A]],Katalog!$C$3:$C$12,0)),"-")</f>
        <v>Flat Shoes</v>
      </c>
      <c r="F994">
        <v>2</v>
      </c>
      <c r="G994">
        <v>4</v>
      </c>
      <c r="H994" s="36">
        <f>IFERROR(INDEX(Katalog!$D$3:$D$12,MATCH(cadangan3[[#This Row],[ItemID A]],Katalog!$C$3:$C$12,0))*cadangan3[[#This Row],[Qty A]],0)</f>
        <v>500000</v>
      </c>
      <c r="I994" s="36">
        <f>IFERROR(INDEX(Katalog!$D$3:$D$12,MATCH(cadangan3[[#This Row],[Item A]],Katalog!$B$3:$B$12,0))*cadangan3[[#This Row],[Qty A]],0)</f>
        <v>500000</v>
      </c>
      <c r="J994" s="36">
        <f>IFERROR(cadangan3[[#This Row],[Harga Asli A]]-(cadangan3[[#This Row],[Harga Asli A]]*cadangan3[[#This Row],[Diskon]]),cadangan3[[#This Row],[Harga Asli A]])</f>
        <v>500000</v>
      </c>
      <c r="K994" s="36">
        <f>INDEX(Katalog!$F$3:$F$12,MATCH(cadangan3[[#This Row],[ItemID A]],Katalog!$C$3:$C$12,0))*cadangan3[[#This Row],[Qty A]]</f>
        <v>200000</v>
      </c>
      <c r="L994" s="36">
        <f>IFERROR(cadangan3[[#This Row],[Profit A]]-(cadangan3[[#This Row],[Profit A]]*cadangan3[[#This Row],[Diskon]]),K994)</f>
        <v>200000</v>
      </c>
      <c r="M994" t="s">
        <v>59</v>
      </c>
      <c r="N994" t="str">
        <f>IFERROR(INDEX(Katalog!$A$3:$A$12,MATCH(cadangan3[[#This Row],[ItemID B]],Katalog!$C$3:$C$12,0)),"-")</f>
        <v>Pakaian Wanita</v>
      </c>
      <c r="O994" t="str">
        <f>IFERROR(INDEX(Katalog!$B$3:$B$12,MATCH(cadangan3[[#This Row],[ItemID B]],Katalog!$C$3:$C$12,0)),"-")</f>
        <v>Blouse</v>
      </c>
      <c r="P994">
        <v>1</v>
      </c>
      <c r="Q994">
        <v>4</v>
      </c>
      <c r="R994" s="36">
        <f>IFERROR(INDEX(Katalog!$D$3:$D$12,MATCH(cadangan3[[#This Row],[ItemID B]],Katalog!$C$3:$C$12,0))*cadangan3[[#This Row],[Qty B]],0)</f>
        <v>150000</v>
      </c>
      <c r="S994" s="36">
        <f>IFERROR(INDEX(Katalog!$D$3:$D$12,MATCH(cadangan3[[#This Row],[Item B]],Katalog!$B$3:$B$12,0))*cadangan3[[#This Row],[Qty B]],0)</f>
        <v>150000</v>
      </c>
      <c r="T994" s="36">
        <f>IFERROR(cadangan3[[#This Row],[Harga Asli B]]-(cadangan3[[#This Row],[Harga Asli B]]*cadangan3[[#This Row],[Diskon]]),cadangan3[[#This Row],[Harga Asli B]])</f>
        <v>150000</v>
      </c>
      <c r="U994" s="36">
        <f>IFERROR(INDEX(Katalog!$F$3:$F$12,MATCH(cadangan3[[#This Row],[ItemID B]],Katalog!$C$3:$C$12,0))*cadangan3[[#This Row],[Qty B]],0)</f>
        <v>50000</v>
      </c>
      <c r="V994" s="36">
        <f>IFERROR(cadangan3[[#This Row],[Profit B]]-(cadangan3[[#This Row],[Profit B]]*cadangan3[[#This Row],[Diskon]]),U994)</f>
        <v>50000</v>
      </c>
      <c r="X994" t="str">
        <f>IFERROR(INDEX(Katalog!$A$3:$A$12,MATCH(cadangan3[[#This Row],[ItemID C]],Katalog!$C$3:$C$12,0)),"-")</f>
        <v>-</v>
      </c>
      <c r="Y994" t="str">
        <f>IFERROR(INDEX(Katalog!$B$3:$B$12,MATCH(cadangan3[[#This Row],[ItemID C]],Katalog!$C$3:$C$12,0)),"-")</f>
        <v>-</v>
      </c>
      <c r="AB994" s="36">
        <f>IFERROR(INDEX(Katalog!$D$3:$D$12,MATCH(cadangan3[[#This Row],[ItemID C]],Katalog!$C$3:$C$12,0))*cadangan3[[#This Row],[Qty C]],0)</f>
        <v>0</v>
      </c>
      <c r="AC994" s="36">
        <f>IFERROR(INDEX(Katalog!$D$3:$D$12,MATCH(cadangan3[[#This Row],[Item C]],Katalog!$B$3:$B$12,0))*cadangan3[[#This Row],[Qty C]],0)</f>
        <v>0</v>
      </c>
      <c r="AD994" s="36">
        <f>IFERROR(cadangan3[[#This Row],[Harga Asli C]]-(cadangan3[[#This Row],[Harga Asli C]]*cadangan3[[#This Row],[Diskon]]),cadangan3[[#This Row],[Harga Asli C]])</f>
        <v>0</v>
      </c>
      <c r="AE994" s="36">
        <f>IFERROR(INDEX(Katalog!$F$3:$F$12,MATCH(cadangan3[[#This Row],[ItemID C]],Katalog!$C$3:$C$12,0))*cadangan3[[#This Row],[Qty C]],0)</f>
        <v>0</v>
      </c>
      <c r="AF994" s="36">
        <f>IFERROR(cadangan3[[#This Row],[Profit C]]-(cadangan3[[#This Row],[Profit C]]*cadangan3[[#This Row],[Diskon]]),cadangan3[[#This Row],[Profit C]])</f>
        <v>0</v>
      </c>
      <c r="AG994" s="21">
        <f>cadangan3[[#This Row],[Qty A]]+cadangan3[[#This Row],[Qty B]]+cadangan3[[#This Row],[Qty C]]</f>
        <v>3</v>
      </c>
      <c r="AH994" s="35">
        <f>cadangan3[[#This Row],[Harga A + Diskon]]+cadangan3[[#This Row],[Harga + Diskon B]]+cadangan3[[#This Row],[Harga + Diskon C]]</f>
        <v>650000</v>
      </c>
      <c r="AI994" s="35">
        <f>(cadangan3[[#This Row],[Profit A]]+cadangan3[[#This Row],[Profit B]]+cadangan3[[#This Row],[Profit C]])</f>
        <v>250000</v>
      </c>
      <c r="AJ994" s="35">
        <f>cadangan3[[#This Row],[Provit A + Diskon]]+cadangan3[[#This Row],[Provit B + Diskon]]+cadangan3[[#This Row],[Provit C + Diskon]]</f>
        <v>250000</v>
      </c>
      <c r="AK994" s="23" t="s">
        <v>11</v>
      </c>
      <c r="AL994" s="37" t="str">
        <f>IFERROR(INDEX('Kode Diskon'!$D$3:$D$9,MATCH(cadangan3[[#This Row],[Kode diskon]],'Kode Diskon'!$C$3:$C$9,0)),"-")</f>
        <v>-</v>
      </c>
      <c r="AM994" s="23" t="s">
        <v>11</v>
      </c>
      <c r="AN994" s="23" t="s">
        <v>7</v>
      </c>
      <c r="AO994" s="23" t="s">
        <v>76</v>
      </c>
      <c r="AP994" s="24">
        <v>45026</v>
      </c>
      <c r="AQ994" s="23" t="str">
        <f>TEXT(cadangan3[[#This Row],[Tanggal terjual]],"dddd")</f>
        <v>Monday</v>
      </c>
    </row>
    <row r="995" spans="1:43" x14ac:dyDescent="0.2">
      <c r="A995" s="20">
        <v>994</v>
      </c>
      <c r="B995" s="21" t="str">
        <f>_xlfn.CONCAT("ORD-",INDEX(Helper!$B$2:$B$5,MATCH(cadangan3[[#This Row],[Marketplace]],Helper!$A$2:$A$5,0)),TEXT(cadangan3[[#This Row],[No]],"0000"),"-",TEXT(cadangan3[[#This Row],[Tanggal terjual]],"dd/mm/yy"))</f>
        <v>ORD-BB0994-06/04/23</v>
      </c>
      <c r="C995" t="s">
        <v>60</v>
      </c>
      <c r="D995" t="str">
        <f>IFERROR(INDEX(Katalog!$A$3:$A$12,MATCH(cadangan3[[#This Row],[ItemID A]],Katalog!$C$3:$C$12,0)),"-")</f>
        <v>Pakaian Wanita</v>
      </c>
      <c r="E995" t="str">
        <f>IFERROR(INDEX(Katalog!$B$3:$B$12,MATCH(cadangan3[[#This Row],[ItemID A]],Katalog!$C$3:$C$12,0)),"-")</f>
        <v>Kaftan</v>
      </c>
      <c r="F995">
        <v>1</v>
      </c>
      <c r="G995">
        <v>4</v>
      </c>
      <c r="H995" s="36">
        <f>IFERROR(INDEX(Katalog!$D$3:$D$12,MATCH(cadangan3[[#This Row],[ItemID A]],Katalog!$C$3:$C$12,0))*cadangan3[[#This Row],[Qty A]],0)</f>
        <v>250000</v>
      </c>
      <c r="I995" s="36">
        <f>IFERROR(INDEX(Katalog!$D$3:$D$12,MATCH(cadangan3[[#This Row],[Item A]],Katalog!$B$3:$B$12,0))*cadangan3[[#This Row],[Qty A]],0)</f>
        <v>250000</v>
      </c>
      <c r="J995" s="36">
        <f>IFERROR(cadangan3[[#This Row],[Harga Asli A]]-(cadangan3[[#This Row],[Harga Asli A]]*cadangan3[[#This Row],[Diskon]]),cadangan3[[#This Row],[Harga Asli A]])</f>
        <v>212500</v>
      </c>
      <c r="K995" s="36">
        <f>INDEX(Katalog!$F$3:$F$12,MATCH(cadangan3[[#This Row],[ItemID A]],Katalog!$C$3:$C$12,0))*cadangan3[[#This Row],[Qty A]]</f>
        <v>100000</v>
      </c>
      <c r="L995" s="36">
        <f>IFERROR(cadangan3[[#This Row],[Profit A]]-(cadangan3[[#This Row],[Profit A]]*cadangan3[[#This Row],[Diskon]]),K995)</f>
        <v>85000</v>
      </c>
      <c r="M995" t="s">
        <v>59</v>
      </c>
      <c r="N995" t="str">
        <f>IFERROR(INDEX(Katalog!$A$3:$A$12,MATCH(cadangan3[[#This Row],[ItemID B]],Katalog!$C$3:$C$12,0)),"-")</f>
        <v>Pakaian Wanita</v>
      </c>
      <c r="O995" t="str">
        <f>IFERROR(INDEX(Katalog!$B$3:$B$12,MATCH(cadangan3[[#This Row],[ItemID B]],Katalog!$C$3:$C$12,0)),"-")</f>
        <v>Blouse</v>
      </c>
      <c r="P995">
        <v>1</v>
      </c>
      <c r="Q995">
        <v>5</v>
      </c>
      <c r="R995" s="36">
        <f>IFERROR(INDEX(Katalog!$D$3:$D$12,MATCH(cadangan3[[#This Row],[ItemID B]],Katalog!$C$3:$C$12,0))*cadangan3[[#This Row],[Qty B]],0)</f>
        <v>150000</v>
      </c>
      <c r="S995" s="36">
        <f>IFERROR(INDEX(Katalog!$D$3:$D$12,MATCH(cadangan3[[#This Row],[Item B]],Katalog!$B$3:$B$12,0))*cadangan3[[#This Row],[Qty B]],0)</f>
        <v>150000</v>
      </c>
      <c r="T995" s="36">
        <f>IFERROR(cadangan3[[#This Row],[Harga Asli B]]-(cadangan3[[#This Row],[Harga Asli B]]*cadangan3[[#This Row],[Diskon]]),cadangan3[[#This Row],[Harga Asli B]])</f>
        <v>127500</v>
      </c>
      <c r="U995" s="36">
        <f>IFERROR(INDEX(Katalog!$F$3:$F$12,MATCH(cadangan3[[#This Row],[ItemID B]],Katalog!$C$3:$C$12,0))*cadangan3[[#This Row],[Qty B]],0)</f>
        <v>50000</v>
      </c>
      <c r="V995" s="36">
        <f>IFERROR(cadangan3[[#This Row],[Profit B]]-(cadangan3[[#This Row],[Profit B]]*cadangan3[[#This Row],[Diskon]]),U995)</f>
        <v>42500</v>
      </c>
      <c r="X995" t="str">
        <f>IFERROR(INDEX(Katalog!$A$3:$A$12,MATCH(cadangan3[[#This Row],[ItemID C]],Katalog!$C$3:$C$12,0)),"-")</f>
        <v>-</v>
      </c>
      <c r="Y995" t="str">
        <f>IFERROR(INDEX(Katalog!$B$3:$B$12,MATCH(cadangan3[[#This Row],[ItemID C]],Katalog!$C$3:$C$12,0)),"-")</f>
        <v>-</v>
      </c>
      <c r="AB995" s="36">
        <f>IFERROR(INDEX(Katalog!$D$3:$D$12,MATCH(cadangan3[[#This Row],[ItemID C]],Katalog!$C$3:$C$12,0))*cadangan3[[#This Row],[Qty C]],0)</f>
        <v>0</v>
      </c>
      <c r="AC995" s="36">
        <f>IFERROR(INDEX(Katalog!$D$3:$D$12,MATCH(cadangan3[[#This Row],[Item C]],Katalog!$B$3:$B$12,0))*cadangan3[[#This Row],[Qty C]],0)</f>
        <v>0</v>
      </c>
      <c r="AD995" s="36">
        <f>IFERROR(cadangan3[[#This Row],[Harga Asli C]]-(cadangan3[[#This Row],[Harga Asli C]]*cadangan3[[#This Row],[Diskon]]),cadangan3[[#This Row],[Harga Asli C]])</f>
        <v>0</v>
      </c>
      <c r="AE995" s="36">
        <f>IFERROR(INDEX(Katalog!$F$3:$F$12,MATCH(cadangan3[[#This Row],[ItemID C]],Katalog!$C$3:$C$12,0))*cadangan3[[#This Row],[Qty C]],0)</f>
        <v>0</v>
      </c>
      <c r="AF995" s="36">
        <f>IFERROR(cadangan3[[#This Row],[Profit C]]-(cadangan3[[#This Row],[Profit C]]*cadangan3[[#This Row],[Diskon]]),cadangan3[[#This Row],[Profit C]])</f>
        <v>0</v>
      </c>
      <c r="AG995" s="21">
        <f>cadangan3[[#This Row],[Qty A]]+cadangan3[[#This Row],[Qty B]]+cadangan3[[#This Row],[Qty C]]</f>
        <v>2</v>
      </c>
      <c r="AH995" s="35">
        <f>cadangan3[[#This Row],[Harga A + Diskon]]+cadangan3[[#This Row],[Harga + Diskon B]]+cadangan3[[#This Row],[Harga + Diskon C]]</f>
        <v>340000</v>
      </c>
      <c r="AI995" s="35">
        <f>(cadangan3[[#This Row],[Profit A]]+cadangan3[[#This Row],[Profit B]]+cadangan3[[#This Row],[Profit C]])</f>
        <v>150000</v>
      </c>
      <c r="AJ995" s="35">
        <f>cadangan3[[#This Row],[Provit A + Diskon]]+cadangan3[[#This Row],[Provit B + Diskon]]+cadangan3[[#This Row],[Provit C + Diskon]]</f>
        <v>127500</v>
      </c>
      <c r="AK995" s="23" t="s">
        <v>28</v>
      </c>
      <c r="AL995" s="37">
        <f>IFERROR(INDEX('Kode Diskon'!$D$3:$D$9,MATCH(cadangan3[[#This Row],[Kode diskon]],'Kode Diskon'!$C$3:$C$9,0)),"-")</f>
        <v>0.15</v>
      </c>
      <c r="AM995" s="23" t="s">
        <v>29</v>
      </c>
      <c r="AN995" s="23" t="s">
        <v>14</v>
      </c>
      <c r="AO995" s="23" t="s">
        <v>75</v>
      </c>
      <c r="AP995" s="24">
        <v>45022</v>
      </c>
      <c r="AQ995" s="23" t="str">
        <f>TEXT(cadangan3[[#This Row],[Tanggal terjual]],"dddd")</f>
        <v>Thursday</v>
      </c>
    </row>
    <row r="996" spans="1:43" x14ac:dyDescent="0.2">
      <c r="A996" s="20">
        <v>995</v>
      </c>
      <c r="B996" s="21" t="str">
        <f>_xlfn.CONCAT("ORD-",INDEX(Helper!$B$2:$B$5,MATCH(cadangan3[[#This Row],[Marketplace]],Helper!$A$2:$A$5,0)),TEXT(cadangan3[[#This Row],[No]],"0000"),"-",TEXT(cadangan3[[#This Row],[Tanggal terjual]],"dd/mm/yy"))</f>
        <v>ORD-SP0995-02/04/23</v>
      </c>
      <c r="C996" t="s">
        <v>67</v>
      </c>
      <c r="D996" t="str">
        <f>IFERROR(INDEX(Katalog!$A$3:$A$12,MATCH(cadangan3[[#This Row],[ItemID A]],Katalog!$C$3:$C$12,0)),"-")</f>
        <v>Sepatu Wanita</v>
      </c>
      <c r="E996" t="str">
        <f>IFERROR(INDEX(Katalog!$B$3:$B$12,MATCH(cadangan3[[#This Row],[ItemID A]],Katalog!$C$3:$C$12,0)),"-")</f>
        <v>Flat Shoes</v>
      </c>
      <c r="F996">
        <v>5</v>
      </c>
      <c r="G996">
        <v>5</v>
      </c>
      <c r="H996" s="36">
        <f>IFERROR(INDEX(Katalog!$D$3:$D$12,MATCH(cadangan3[[#This Row],[ItemID A]],Katalog!$C$3:$C$12,0))*cadangan3[[#This Row],[Qty A]],0)</f>
        <v>1250000</v>
      </c>
      <c r="I996" s="36">
        <f>IFERROR(INDEX(Katalog!$D$3:$D$12,MATCH(cadangan3[[#This Row],[Item A]],Katalog!$B$3:$B$12,0))*cadangan3[[#This Row],[Qty A]],0)</f>
        <v>1250000</v>
      </c>
      <c r="J996" s="36">
        <f>IFERROR(cadangan3[[#This Row],[Harga Asli A]]-(cadangan3[[#This Row],[Harga Asli A]]*cadangan3[[#This Row],[Diskon]]),cadangan3[[#This Row],[Harga Asli A]])</f>
        <v>1125000</v>
      </c>
      <c r="K996" s="36">
        <f>INDEX(Katalog!$F$3:$F$12,MATCH(cadangan3[[#This Row],[ItemID A]],Katalog!$C$3:$C$12,0))*cadangan3[[#This Row],[Qty A]]</f>
        <v>500000</v>
      </c>
      <c r="L996" s="36">
        <f>IFERROR(cadangan3[[#This Row],[Profit A]]-(cadangan3[[#This Row],[Profit A]]*cadangan3[[#This Row],[Diskon]]),K996)</f>
        <v>450000</v>
      </c>
      <c r="M996" t="s">
        <v>62</v>
      </c>
      <c r="N996" t="str">
        <f>IFERROR(INDEX(Katalog!$A$3:$A$12,MATCH(cadangan3[[#This Row],[ItemID B]],Katalog!$C$3:$C$12,0)),"-")</f>
        <v>Pakaian Pria</v>
      </c>
      <c r="O996" t="str">
        <f>IFERROR(INDEX(Katalog!$B$3:$B$12,MATCH(cadangan3[[#This Row],[ItemID B]],Katalog!$C$3:$C$12,0)),"-")</f>
        <v>Celana Pendek</v>
      </c>
      <c r="P996">
        <v>1</v>
      </c>
      <c r="Q996">
        <v>3</v>
      </c>
      <c r="R996" s="36">
        <f>IFERROR(INDEX(Katalog!$D$3:$D$12,MATCH(cadangan3[[#This Row],[ItemID B]],Katalog!$C$3:$C$12,0))*cadangan3[[#This Row],[Qty B]],0)</f>
        <v>180000</v>
      </c>
      <c r="S996" s="36">
        <f>IFERROR(INDEX(Katalog!$D$3:$D$12,MATCH(cadangan3[[#This Row],[Item B]],Katalog!$B$3:$B$12,0))*cadangan3[[#This Row],[Qty B]],0)</f>
        <v>180000</v>
      </c>
      <c r="T996" s="36">
        <f>IFERROR(cadangan3[[#This Row],[Harga Asli B]]-(cadangan3[[#This Row],[Harga Asli B]]*cadangan3[[#This Row],[Diskon]]),cadangan3[[#This Row],[Harga Asli B]])</f>
        <v>162000</v>
      </c>
      <c r="U996" s="36">
        <f>IFERROR(INDEX(Katalog!$F$3:$F$12,MATCH(cadangan3[[#This Row],[ItemID B]],Katalog!$C$3:$C$12,0))*cadangan3[[#This Row],[Qty B]],0)</f>
        <v>70000</v>
      </c>
      <c r="V996" s="36">
        <f>IFERROR(cadangan3[[#This Row],[Profit B]]-(cadangan3[[#This Row],[Profit B]]*cadangan3[[#This Row],[Diskon]]),U996)</f>
        <v>63000</v>
      </c>
      <c r="X996" t="str">
        <f>IFERROR(INDEX(Katalog!$A$3:$A$12,MATCH(cadangan3[[#This Row],[ItemID C]],Katalog!$C$3:$C$12,0)),"-")</f>
        <v>-</v>
      </c>
      <c r="Y996" t="str">
        <f>IFERROR(INDEX(Katalog!$B$3:$B$12,MATCH(cadangan3[[#This Row],[ItemID C]],Katalog!$C$3:$C$12,0)),"-")</f>
        <v>-</v>
      </c>
      <c r="AB996" s="36">
        <f>IFERROR(INDEX(Katalog!$D$3:$D$12,MATCH(cadangan3[[#This Row],[ItemID C]],Katalog!$C$3:$C$12,0))*cadangan3[[#This Row],[Qty C]],0)</f>
        <v>0</v>
      </c>
      <c r="AC996" s="36">
        <f>IFERROR(INDEX(Katalog!$D$3:$D$12,MATCH(cadangan3[[#This Row],[Item C]],Katalog!$B$3:$B$12,0))*cadangan3[[#This Row],[Qty C]],0)</f>
        <v>0</v>
      </c>
      <c r="AD996" s="36">
        <f>IFERROR(cadangan3[[#This Row],[Harga Asli C]]-(cadangan3[[#This Row],[Harga Asli C]]*cadangan3[[#This Row],[Diskon]]),cadangan3[[#This Row],[Harga Asli C]])</f>
        <v>0</v>
      </c>
      <c r="AE996" s="36">
        <f>IFERROR(INDEX(Katalog!$F$3:$F$12,MATCH(cadangan3[[#This Row],[ItemID C]],Katalog!$C$3:$C$12,0))*cadangan3[[#This Row],[Qty C]],0)</f>
        <v>0</v>
      </c>
      <c r="AF996" s="36">
        <f>IFERROR(cadangan3[[#This Row],[Profit C]]-(cadangan3[[#This Row],[Profit C]]*cadangan3[[#This Row],[Diskon]]),cadangan3[[#This Row],[Profit C]])</f>
        <v>0</v>
      </c>
      <c r="AG996" s="21">
        <f>cadangan3[[#This Row],[Qty A]]+cadangan3[[#This Row],[Qty B]]+cadangan3[[#This Row],[Qty C]]</f>
        <v>6</v>
      </c>
      <c r="AH996" s="35">
        <f>cadangan3[[#This Row],[Harga A + Diskon]]+cadangan3[[#This Row],[Harga + Diskon B]]+cadangan3[[#This Row],[Harga + Diskon C]]</f>
        <v>1287000</v>
      </c>
      <c r="AI996" s="35">
        <f>(cadangan3[[#This Row],[Profit A]]+cadangan3[[#This Row],[Profit B]]+cadangan3[[#This Row],[Profit C]])</f>
        <v>570000</v>
      </c>
      <c r="AJ996" s="35">
        <f>cadangan3[[#This Row],[Provit A + Diskon]]+cadangan3[[#This Row],[Provit B + Diskon]]+cadangan3[[#This Row],[Provit C + Diskon]]</f>
        <v>513000</v>
      </c>
      <c r="AK996" s="23" t="s">
        <v>6</v>
      </c>
      <c r="AL996" s="37">
        <f>IFERROR(INDEX('Kode Diskon'!$D$3:$D$9,MATCH(cadangan3[[#This Row],[Kode diskon]],'Kode Diskon'!$C$3:$C$9,0)),"-")</f>
        <v>0.1</v>
      </c>
      <c r="AM996" s="23" t="s">
        <v>29</v>
      </c>
      <c r="AN996" s="23" t="s">
        <v>7</v>
      </c>
      <c r="AO996" s="23" t="s">
        <v>80</v>
      </c>
      <c r="AP996" s="24">
        <v>45018</v>
      </c>
      <c r="AQ996" s="23" t="str">
        <f>TEXT(cadangan3[[#This Row],[Tanggal terjual]],"dddd")</f>
        <v>Sunday</v>
      </c>
    </row>
    <row r="997" spans="1:43" x14ac:dyDescent="0.2">
      <c r="A997" s="20">
        <v>996</v>
      </c>
      <c r="B997" s="21" t="str">
        <f>_xlfn.CONCAT("ORD-",INDEX(Helper!$B$2:$B$5,MATCH(cadangan3[[#This Row],[Marketplace]],Helper!$A$2:$A$5,0)),TEXT(cadangan3[[#This Row],[No]],"0000"),"-",TEXT(cadangan3[[#This Row],[Tanggal terjual]],"dd/mm/yy"))</f>
        <v>ORD-SP0996-19/04/23</v>
      </c>
      <c r="C997" t="s">
        <v>64</v>
      </c>
      <c r="D997" t="str">
        <f>IFERROR(INDEX(Katalog!$A$3:$A$12,MATCH(cadangan3[[#This Row],[ItemID A]],Katalog!$C$3:$C$12,0)),"-")</f>
        <v>Pakaian Unisex</v>
      </c>
      <c r="E997" t="str">
        <f>IFERROR(INDEX(Katalog!$B$3:$B$12,MATCH(cadangan3[[#This Row],[ItemID A]],Katalog!$C$3:$C$12,0)),"-")</f>
        <v>Jaket Hoodie</v>
      </c>
      <c r="F997">
        <v>1</v>
      </c>
      <c r="G997">
        <v>5</v>
      </c>
      <c r="H997" s="36">
        <f>IFERROR(INDEX(Katalog!$D$3:$D$12,MATCH(cadangan3[[#This Row],[ItemID A]],Katalog!$C$3:$C$12,0))*cadangan3[[#This Row],[Qty A]],0)</f>
        <v>350000</v>
      </c>
      <c r="I997" s="36">
        <f>IFERROR(INDEX(Katalog!$D$3:$D$12,MATCH(cadangan3[[#This Row],[Item A]],Katalog!$B$3:$B$12,0))*cadangan3[[#This Row],[Qty A]],0)</f>
        <v>350000</v>
      </c>
      <c r="J997" s="36">
        <f>IFERROR(cadangan3[[#This Row],[Harga Asli A]]-(cadangan3[[#This Row],[Harga Asli A]]*cadangan3[[#This Row],[Diskon]]),cadangan3[[#This Row],[Harga Asli A]])</f>
        <v>280000</v>
      </c>
      <c r="K997" s="36">
        <f>INDEX(Katalog!$F$3:$F$12,MATCH(cadangan3[[#This Row],[ItemID A]],Katalog!$C$3:$C$12,0))*cadangan3[[#This Row],[Qty A]]</f>
        <v>130000</v>
      </c>
      <c r="L997" s="36">
        <f>IFERROR(cadangan3[[#This Row],[Profit A]]-(cadangan3[[#This Row],[Profit A]]*cadangan3[[#This Row],[Diskon]]),K997)</f>
        <v>104000</v>
      </c>
      <c r="N997" t="str">
        <f>IFERROR(INDEX(Katalog!$A$3:$A$12,MATCH(cadangan3[[#This Row],[ItemID B]],Katalog!$C$3:$C$12,0)),"-")</f>
        <v>-</v>
      </c>
      <c r="O997" t="str">
        <f>IFERROR(INDEX(Katalog!$B$3:$B$12,MATCH(cadangan3[[#This Row],[ItemID B]],Katalog!$C$3:$C$12,0)),"-")</f>
        <v>-</v>
      </c>
      <c r="R997" s="36">
        <f>IFERROR(INDEX(Katalog!$D$3:$D$12,MATCH(cadangan3[[#This Row],[ItemID B]],Katalog!$C$3:$C$12,0))*cadangan3[[#This Row],[Qty B]],0)</f>
        <v>0</v>
      </c>
      <c r="S997" s="36">
        <f>IFERROR(INDEX(Katalog!$D$3:$D$12,MATCH(cadangan3[[#This Row],[Item B]],Katalog!$B$3:$B$12,0))*cadangan3[[#This Row],[Qty B]],0)</f>
        <v>0</v>
      </c>
      <c r="T997" s="36">
        <f>IFERROR(cadangan3[[#This Row],[Harga Asli B]]-(cadangan3[[#This Row],[Harga Asli B]]*cadangan3[[#This Row],[Diskon]]),cadangan3[[#This Row],[Harga Asli B]])</f>
        <v>0</v>
      </c>
      <c r="U997" s="36">
        <f>IFERROR(INDEX(Katalog!$F$3:$F$12,MATCH(cadangan3[[#This Row],[ItemID B]],Katalog!$C$3:$C$12,0))*cadangan3[[#This Row],[Qty B]],0)</f>
        <v>0</v>
      </c>
      <c r="V997" s="36">
        <f>IFERROR(cadangan3[[#This Row],[Profit B]]-(cadangan3[[#This Row],[Profit B]]*cadangan3[[#This Row],[Diskon]]),U997)</f>
        <v>0</v>
      </c>
      <c r="X997" t="str">
        <f>IFERROR(INDEX(Katalog!$A$3:$A$12,MATCH(cadangan3[[#This Row],[ItemID C]],Katalog!$C$3:$C$12,0)),"-")</f>
        <v>-</v>
      </c>
      <c r="Y997" t="str">
        <f>IFERROR(INDEX(Katalog!$B$3:$B$12,MATCH(cadangan3[[#This Row],[ItemID C]],Katalog!$C$3:$C$12,0)),"-")</f>
        <v>-</v>
      </c>
      <c r="AB997" s="36">
        <f>IFERROR(INDEX(Katalog!$D$3:$D$12,MATCH(cadangan3[[#This Row],[ItemID C]],Katalog!$C$3:$C$12,0))*cadangan3[[#This Row],[Qty C]],0)</f>
        <v>0</v>
      </c>
      <c r="AC997" s="36">
        <f>IFERROR(INDEX(Katalog!$D$3:$D$12,MATCH(cadangan3[[#This Row],[Item C]],Katalog!$B$3:$B$12,0))*cadangan3[[#This Row],[Qty C]],0)</f>
        <v>0</v>
      </c>
      <c r="AD997" s="36">
        <f>IFERROR(cadangan3[[#This Row],[Harga Asli C]]-(cadangan3[[#This Row],[Harga Asli C]]*cadangan3[[#This Row],[Diskon]]),cadangan3[[#This Row],[Harga Asli C]])</f>
        <v>0</v>
      </c>
      <c r="AE997" s="36">
        <f>IFERROR(INDEX(Katalog!$F$3:$F$12,MATCH(cadangan3[[#This Row],[ItemID C]],Katalog!$C$3:$C$12,0))*cadangan3[[#This Row],[Qty C]],0)</f>
        <v>0</v>
      </c>
      <c r="AF997" s="36">
        <f>IFERROR(cadangan3[[#This Row],[Profit C]]-(cadangan3[[#This Row],[Profit C]]*cadangan3[[#This Row],[Diskon]]),cadangan3[[#This Row],[Profit C]])</f>
        <v>0</v>
      </c>
      <c r="AG997" s="21">
        <f>cadangan3[[#This Row],[Qty A]]+cadangan3[[#This Row],[Qty B]]+cadangan3[[#This Row],[Qty C]]</f>
        <v>1</v>
      </c>
      <c r="AH997" s="35">
        <f>cadangan3[[#This Row],[Harga A + Diskon]]+cadangan3[[#This Row],[Harga + Diskon B]]+cadangan3[[#This Row],[Harga + Diskon C]]</f>
        <v>280000</v>
      </c>
      <c r="AI997" s="35">
        <f>(cadangan3[[#This Row],[Profit A]]+cadangan3[[#This Row],[Profit B]]+cadangan3[[#This Row],[Profit C]])</f>
        <v>130000</v>
      </c>
      <c r="AJ997" s="35">
        <f>cadangan3[[#This Row],[Provit A + Diskon]]+cadangan3[[#This Row],[Provit B + Diskon]]+cadangan3[[#This Row],[Provit C + Diskon]]</f>
        <v>104000</v>
      </c>
      <c r="AK997" s="23" t="s">
        <v>8</v>
      </c>
      <c r="AL997" s="37">
        <f>IFERROR(INDEX('Kode Diskon'!$D$3:$D$9,MATCH(cadangan3[[#This Row],[Kode diskon]],'Kode Diskon'!$C$3:$C$9,0)),"-")</f>
        <v>0.2</v>
      </c>
      <c r="AM997" s="23" t="s">
        <v>9</v>
      </c>
      <c r="AN997" s="23" t="s">
        <v>7</v>
      </c>
      <c r="AO997" s="23" t="s">
        <v>78</v>
      </c>
      <c r="AP997" s="24">
        <v>45035</v>
      </c>
      <c r="AQ997" s="23" t="str">
        <f>TEXT(cadangan3[[#This Row],[Tanggal terjual]],"dddd")</f>
        <v>Wednesday</v>
      </c>
    </row>
    <row r="998" spans="1:43" x14ac:dyDescent="0.2">
      <c r="A998" s="20">
        <v>997</v>
      </c>
      <c r="B998" s="21" t="str">
        <f>_xlfn.CONCAT("ORD-",INDEX(Helper!$B$2:$B$5,MATCH(cadangan3[[#This Row],[Marketplace]],Helper!$A$2:$A$5,0)),TEXT(cadangan3[[#This Row],[No]],"0000"),"-",TEXT(cadangan3[[#This Row],[Tanggal terjual]],"dd/mm/yy"))</f>
        <v>ORD-TK0997-26/04/23</v>
      </c>
      <c r="C998" t="s">
        <v>62</v>
      </c>
      <c r="D998" t="str">
        <f>IFERROR(INDEX(Katalog!$A$3:$A$12,MATCH(cadangan3[[#This Row],[ItemID A]],Katalog!$C$3:$C$12,0)),"-")</f>
        <v>Pakaian Pria</v>
      </c>
      <c r="E998" t="str">
        <f>IFERROR(INDEX(Katalog!$B$3:$B$12,MATCH(cadangan3[[#This Row],[ItemID A]],Katalog!$C$3:$C$12,0)),"-")</f>
        <v>Celana Pendek</v>
      </c>
      <c r="F998">
        <v>5</v>
      </c>
      <c r="G998">
        <v>4</v>
      </c>
      <c r="H998" s="36">
        <f>IFERROR(INDEX(Katalog!$D$3:$D$12,MATCH(cadangan3[[#This Row],[ItemID A]],Katalog!$C$3:$C$12,0))*cadangan3[[#This Row],[Qty A]],0)</f>
        <v>900000</v>
      </c>
      <c r="I998" s="36">
        <f>IFERROR(INDEX(Katalog!$D$3:$D$12,MATCH(cadangan3[[#This Row],[Item A]],Katalog!$B$3:$B$12,0))*cadangan3[[#This Row],[Qty A]],0)</f>
        <v>900000</v>
      </c>
      <c r="J998" s="36">
        <f>IFERROR(cadangan3[[#This Row],[Harga Asli A]]-(cadangan3[[#This Row],[Harga Asli A]]*cadangan3[[#This Row],[Diskon]]),cadangan3[[#This Row],[Harga Asli A]])</f>
        <v>810000</v>
      </c>
      <c r="K998" s="36">
        <f>INDEX(Katalog!$F$3:$F$12,MATCH(cadangan3[[#This Row],[ItemID A]],Katalog!$C$3:$C$12,0))*cadangan3[[#This Row],[Qty A]]</f>
        <v>350000</v>
      </c>
      <c r="L998" s="36">
        <f>IFERROR(cadangan3[[#This Row],[Profit A]]-(cadangan3[[#This Row],[Profit A]]*cadangan3[[#This Row],[Diskon]]),K998)</f>
        <v>315000</v>
      </c>
      <c r="N998" t="str">
        <f>IFERROR(INDEX(Katalog!$A$3:$A$12,MATCH(cadangan3[[#This Row],[ItemID B]],Katalog!$C$3:$C$12,0)),"-")</f>
        <v>-</v>
      </c>
      <c r="O998" t="str">
        <f>IFERROR(INDEX(Katalog!$B$3:$B$12,MATCH(cadangan3[[#This Row],[ItemID B]],Katalog!$C$3:$C$12,0)),"-")</f>
        <v>-</v>
      </c>
      <c r="R998" s="36">
        <f>IFERROR(INDEX(Katalog!$D$3:$D$12,MATCH(cadangan3[[#This Row],[ItemID B]],Katalog!$C$3:$C$12,0))*cadangan3[[#This Row],[Qty B]],0)</f>
        <v>0</v>
      </c>
      <c r="S998" s="36">
        <f>IFERROR(INDEX(Katalog!$D$3:$D$12,MATCH(cadangan3[[#This Row],[Item B]],Katalog!$B$3:$B$12,0))*cadangan3[[#This Row],[Qty B]],0)</f>
        <v>0</v>
      </c>
      <c r="T998" s="36">
        <f>IFERROR(cadangan3[[#This Row],[Harga Asli B]]-(cadangan3[[#This Row],[Harga Asli B]]*cadangan3[[#This Row],[Diskon]]),cadangan3[[#This Row],[Harga Asli B]])</f>
        <v>0</v>
      </c>
      <c r="U998" s="36">
        <f>IFERROR(INDEX(Katalog!$F$3:$F$12,MATCH(cadangan3[[#This Row],[ItemID B]],Katalog!$C$3:$C$12,0))*cadangan3[[#This Row],[Qty B]],0)</f>
        <v>0</v>
      </c>
      <c r="V998" s="36">
        <f>IFERROR(cadangan3[[#This Row],[Profit B]]-(cadangan3[[#This Row],[Profit B]]*cadangan3[[#This Row],[Diskon]]),U998)</f>
        <v>0</v>
      </c>
      <c r="X998" t="str">
        <f>IFERROR(INDEX(Katalog!$A$3:$A$12,MATCH(cadangan3[[#This Row],[ItemID C]],Katalog!$C$3:$C$12,0)),"-")</f>
        <v>-</v>
      </c>
      <c r="Y998" t="str">
        <f>IFERROR(INDEX(Katalog!$B$3:$B$12,MATCH(cadangan3[[#This Row],[ItemID C]],Katalog!$C$3:$C$12,0)),"-")</f>
        <v>-</v>
      </c>
      <c r="AB998" s="36">
        <f>IFERROR(INDEX(Katalog!$D$3:$D$12,MATCH(cadangan3[[#This Row],[ItemID C]],Katalog!$C$3:$C$12,0))*cadangan3[[#This Row],[Qty C]],0)</f>
        <v>0</v>
      </c>
      <c r="AC998" s="36">
        <f>IFERROR(INDEX(Katalog!$D$3:$D$12,MATCH(cadangan3[[#This Row],[Item C]],Katalog!$B$3:$B$12,0))*cadangan3[[#This Row],[Qty C]],0)</f>
        <v>0</v>
      </c>
      <c r="AD998" s="36">
        <f>IFERROR(cadangan3[[#This Row],[Harga Asli C]]-(cadangan3[[#This Row],[Harga Asli C]]*cadangan3[[#This Row],[Diskon]]),cadangan3[[#This Row],[Harga Asli C]])</f>
        <v>0</v>
      </c>
      <c r="AE998" s="36">
        <f>IFERROR(INDEX(Katalog!$F$3:$F$12,MATCH(cadangan3[[#This Row],[ItemID C]],Katalog!$C$3:$C$12,0))*cadangan3[[#This Row],[Qty C]],0)</f>
        <v>0</v>
      </c>
      <c r="AF998" s="36">
        <f>IFERROR(cadangan3[[#This Row],[Profit C]]-(cadangan3[[#This Row],[Profit C]]*cadangan3[[#This Row],[Diskon]]),cadangan3[[#This Row],[Profit C]])</f>
        <v>0</v>
      </c>
      <c r="AG998" s="21">
        <f>cadangan3[[#This Row],[Qty A]]+cadangan3[[#This Row],[Qty B]]+cadangan3[[#This Row],[Qty C]]</f>
        <v>5</v>
      </c>
      <c r="AH998" s="35">
        <f>cadangan3[[#This Row],[Harga A + Diskon]]+cadangan3[[#This Row],[Harga + Diskon B]]+cadangan3[[#This Row],[Harga + Diskon C]]</f>
        <v>810000</v>
      </c>
      <c r="AI998" s="35">
        <f>(cadangan3[[#This Row],[Profit A]]+cadangan3[[#This Row],[Profit B]]+cadangan3[[#This Row],[Profit C]])</f>
        <v>350000</v>
      </c>
      <c r="AJ998" s="35">
        <f>cadangan3[[#This Row],[Provit A + Diskon]]+cadangan3[[#This Row],[Provit B + Diskon]]+cadangan3[[#This Row],[Provit C + Diskon]]</f>
        <v>315000</v>
      </c>
      <c r="AK998" s="23" t="s">
        <v>31</v>
      </c>
      <c r="AL998" s="37">
        <f>IFERROR(INDEX('Kode Diskon'!$D$3:$D$9,MATCH(cadangan3[[#This Row],[Kode diskon]],'Kode Diskon'!$C$3:$C$9,0)),"-")</f>
        <v>0.1</v>
      </c>
      <c r="AM998" s="23" t="s">
        <v>9</v>
      </c>
      <c r="AN998" s="23" t="s">
        <v>10</v>
      </c>
      <c r="AO998" s="23" t="s">
        <v>76</v>
      </c>
      <c r="AP998" s="24">
        <v>45042</v>
      </c>
      <c r="AQ998" s="23" t="str">
        <f>TEXT(cadangan3[[#This Row],[Tanggal terjual]],"dddd")</f>
        <v>Wednesday</v>
      </c>
    </row>
    <row r="999" spans="1:43" x14ac:dyDescent="0.2">
      <c r="A999" s="20">
        <v>998</v>
      </c>
      <c r="B999" s="21" t="str">
        <f>_xlfn.CONCAT("ORD-",INDEX(Helper!$B$2:$B$5,MATCH(cadangan3[[#This Row],[Marketplace]],Helper!$A$2:$A$5,0)),TEXT(cadangan3[[#This Row],[No]],"0000"),"-",TEXT(cadangan3[[#This Row],[Tanggal terjual]],"dd/mm/yy"))</f>
        <v>ORD-SP0998-01/04/23</v>
      </c>
      <c r="C999" t="s">
        <v>58</v>
      </c>
      <c r="D999" t="str">
        <f>IFERROR(INDEX(Katalog!$A$3:$A$12,MATCH(cadangan3[[#This Row],[ItemID A]],Katalog!$C$3:$C$12,0)),"-")</f>
        <v>Pakaian Wanita</v>
      </c>
      <c r="E999" t="str">
        <f>IFERROR(INDEX(Katalog!$B$3:$B$12,MATCH(cadangan3[[#This Row],[ItemID A]],Katalog!$C$3:$C$12,0)),"-")</f>
        <v>Dress</v>
      </c>
      <c r="F999">
        <v>1</v>
      </c>
      <c r="G999">
        <v>4</v>
      </c>
      <c r="H999" s="36">
        <f>IFERROR(INDEX(Katalog!$D$3:$D$12,MATCH(cadangan3[[#This Row],[ItemID A]],Katalog!$C$3:$C$12,0))*cadangan3[[#This Row],[Qty A]],0)</f>
        <v>300000</v>
      </c>
      <c r="I999" s="36">
        <f>IFERROR(INDEX(Katalog!$D$3:$D$12,MATCH(cadangan3[[#This Row],[Item A]],Katalog!$B$3:$B$12,0))*cadangan3[[#This Row],[Qty A]],0)</f>
        <v>300000</v>
      </c>
      <c r="J999" s="36">
        <f>IFERROR(cadangan3[[#This Row],[Harga Asli A]]-(cadangan3[[#This Row],[Harga Asli A]]*cadangan3[[#This Row],[Diskon]]),cadangan3[[#This Row],[Harga Asli A]])</f>
        <v>270000</v>
      </c>
      <c r="K999" s="36">
        <f>INDEX(Katalog!$F$3:$F$12,MATCH(cadangan3[[#This Row],[ItemID A]],Katalog!$C$3:$C$12,0))*cadangan3[[#This Row],[Qty A]]</f>
        <v>100000</v>
      </c>
      <c r="L999" s="36">
        <f>IFERROR(cadangan3[[#This Row],[Profit A]]-(cadangan3[[#This Row],[Profit A]]*cadangan3[[#This Row],[Diskon]]),K999)</f>
        <v>90000</v>
      </c>
      <c r="N999" t="str">
        <f>IFERROR(INDEX(Katalog!$A$3:$A$12,MATCH(cadangan3[[#This Row],[ItemID B]],Katalog!$C$3:$C$12,0)),"-")</f>
        <v>-</v>
      </c>
      <c r="O999" t="str">
        <f>IFERROR(INDEX(Katalog!$B$3:$B$12,MATCH(cadangan3[[#This Row],[ItemID B]],Katalog!$C$3:$C$12,0)),"-")</f>
        <v>-</v>
      </c>
      <c r="R999" s="36">
        <f>IFERROR(INDEX(Katalog!$D$3:$D$12,MATCH(cadangan3[[#This Row],[ItemID B]],Katalog!$C$3:$C$12,0))*cadangan3[[#This Row],[Qty B]],0)</f>
        <v>0</v>
      </c>
      <c r="S999" s="36">
        <f>IFERROR(INDEX(Katalog!$D$3:$D$12,MATCH(cadangan3[[#This Row],[Item B]],Katalog!$B$3:$B$12,0))*cadangan3[[#This Row],[Qty B]],0)</f>
        <v>0</v>
      </c>
      <c r="T999" s="36">
        <f>IFERROR(cadangan3[[#This Row],[Harga Asli B]]-(cadangan3[[#This Row],[Harga Asli B]]*cadangan3[[#This Row],[Diskon]]),cadangan3[[#This Row],[Harga Asli B]])</f>
        <v>0</v>
      </c>
      <c r="U999" s="36">
        <f>IFERROR(INDEX(Katalog!$F$3:$F$12,MATCH(cadangan3[[#This Row],[ItemID B]],Katalog!$C$3:$C$12,0))*cadangan3[[#This Row],[Qty B]],0)</f>
        <v>0</v>
      </c>
      <c r="V999" s="36">
        <f>IFERROR(cadangan3[[#This Row],[Profit B]]-(cadangan3[[#This Row],[Profit B]]*cadangan3[[#This Row],[Diskon]]),U999)</f>
        <v>0</v>
      </c>
      <c r="X999" t="str">
        <f>IFERROR(INDEX(Katalog!$A$3:$A$12,MATCH(cadangan3[[#This Row],[ItemID C]],Katalog!$C$3:$C$12,0)),"-")</f>
        <v>-</v>
      </c>
      <c r="Y999" t="str">
        <f>IFERROR(INDEX(Katalog!$B$3:$B$12,MATCH(cadangan3[[#This Row],[ItemID C]],Katalog!$C$3:$C$12,0)),"-")</f>
        <v>-</v>
      </c>
      <c r="AB999" s="36">
        <f>IFERROR(INDEX(Katalog!$D$3:$D$12,MATCH(cadangan3[[#This Row],[ItemID C]],Katalog!$C$3:$C$12,0))*cadangan3[[#This Row],[Qty C]],0)</f>
        <v>0</v>
      </c>
      <c r="AC999" s="36">
        <f>IFERROR(INDEX(Katalog!$D$3:$D$12,MATCH(cadangan3[[#This Row],[Item C]],Katalog!$B$3:$B$12,0))*cadangan3[[#This Row],[Qty C]],0)</f>
        <v>0</v>
      </c>
      <c r="AD999" s="36">
        <f>IFERROR(cadangan3[[#This Row],[Harga Asli C]]-(cadangan3[[#This Row],[Harga Asli C]]*cadangan3[[#This Row],[Diskon]]),cadangan3[[#This Row],[Harga Asli C]])</f>
        <v>0</v>
      </c>
      <c r="AE999" s="36">
        <f>IFERROR(INDEX(Katalog!$F$3:$F$12,MATCH(cadangan3[[#This Row],[ItemID C]],Katalog!$C$3:$C$12,0))*cadangan3[[#This Row],[Qty C]],0)</f>
        <v>0</v>
      </c>
      <c r="AF999" s="36">
        <f>IFERROR(cadangan3[[#This Row],[Profit C]]-(cadangan3[[#This Row],[Profit C]]*cadangan3[[#This Row],[Diskon]]),cadangan3[[#This Row],[Profit C]])</f>
        <v>0</v>
      </c>
      <c r="AG999" s="21">
        <f>cadangan3[[#This Row],[Qty A]]+cadangan3[[#This Row],[Qty B]]+cadangan3[[#This Row],[Qty C]]</f>
        <v>1</v>
      </c>
      <c r="AH999" s="35">
        <f>cadangan3[[#This Row],[Harga A + Diskon]]+cadangan3[[#This Row],[Harga + Diskon B]]+cadangan3[[#This Row],[Harga + Diskon C]]</f>
        <v>270000</v>
      </c>
      <c r="AI999" s="35">
        <f>(cadangan3[[#This Row],[Profit A]]+cadangan3[[#This Row],[Profit B]]+cadangan3[[#This Row],[Profit C]])</f>
        <v>100000</v>
      </c>
      <c r="AJ999" s="35">
        <f>cadangan3[[#This Row],[Provit A + Diskon]]+cadangan3[[#This Row],[Provit B + Diskon]]+cadangan3[[#This Row],[Provit C + Diskon]]</f>
        <v>90000</v>
      </c>
      <c r="AK999" s="23" t="s">
        <v>6</v>
      </c>
      <c r="AL999" s="37">
        <f>IFERROR(INDEX('Kode Diskon'!$D$3:$D$9,MATCH(cadangan3[[#This Row],[Kode diskon]],'Kode Diskon'!$C$3:$C$9,0)),"-")</f>
        <v>0.1</v>
      </c>
      <c r="AM999" s="23" t="s">
        <v>29</v>
      </c>
      <c r="AN999" s="23" t="s">
        <v>7</v>
      </c>
      <c r="AO999" s="23" t="s">
        <v>76</v>
      </c>
      <c r="AP999" s="24">
        <v>45017</v>
      </c>
      <c r="AQ999" s="23" t="str">
        <f>TEXT(cadangan3[[#This Row],[Tanggal terjual]],"dddd")</f>
        <v>Saturday</v>
      </c>
    </row>
    <row r="1000" spans="1:43" x14ac:dyDescent="0.2">
      <c r="A1000" s="20">
        <v>999</v>
      </c>
      <c r="B1000" s="21" t="str">
        <f>_xlfn.CONCAT("ORD-",INDEX(Helper!$B$2:$B$5,MATCH(cadangan3[[#This Row],[Marketplace]],Helper!$A$2:$A$5,0)),TEXT(cadangan3[[#This Row],[No]],"0000"),"-",TEXT(cadangan3[[#This Row],[Tanggal terjual]],"dd/mm/yy"))</f>
        <v>ORD-BL0999-18/04/23</v>
      </c>
      <c r="C1000" t="s">
        <v>59</v>
      </c>
      <c r="D1000" t="str">
        <f>IFERROR(INDEX(Katalog!$A$3:$A$12,MATCH(cadangan3[[#This Row],[ItemID A]],Katalog!$C$3:$C$12,0)),"-")</f>
        <v>Pakaian Wanita</v>
      </c>
      <c r="E1000" t="str">
        <f>IFERROR(INDEX(Katalog!$B$3:$B$12,MATCH(cadangan3[[#This Row],[ItemID A]],Katalog!$C$3:$C$12,0)),"-")</f>
        <v>Blouse</v>
      </c>
      <c r="F1000">
        <v>2</v>
      </c>
      <c r="G1000">
        <v>3</v>
      </c>
      <c r="H1000" s="36">
        <f>IFERROR(INDEX(Katalog!$D$3:$D$12,MATCH(cadangan3[[#This Row],[ItemID A]],Katalog!$C$3:$C$12,0))*cadangan3[[#This Row],[Qty A]],0)</f>
        <v>300000</v>
      </c>
      <c r="I1000" s="36">
        <f>IFERROR(INDEX(Katalog!$D$3:$D$12,MATCH(cadangan3[[#This Row],[Item A]],Katalog!$B$3:$B$12,0))*cadangan3[[#This Row],[Qty A]],0)</f>
        <v>300000</v>
      </c>
      <c r="J1000" s="36">
        <f>IFERROR(cadangan3[[#This Row],[Harga Asli A]]-(cadangan3[[#This Row],[Harga Asli A]]*cadangan3[[#This Row],[Diskon]]),cadangan3[[#This Row],[Harga Asli A]])</f>
        <v>255000</v>
      </c>
      <c r="K1000" s="36">
        <f>INDEX(Katalog!$F$3:$F$12,MATCH(cadangan3[[#This Row],[ItemID A]],Katalog!$C$3:$C$12,0))*cadangan3[[#This Row],[Qty A]]</f>
        <v>100000</v>
      </c>
      <c r="L1000" s="36">
        <f>IFERROR(cadangan3[[#This Row],[Profit A]]-(cadangan3[[#This Row],[Profit A]]*cadangan3[[#This Row],[Diskon]]),K1000)</f>
        <v>85000</v>
      </c>
      <c r="M1000" t="s">
        <v>64</v>
      </c>
      <c r="N1000" t="str">
        <f>IFERROR(INDEX(Katalog!$A$3:$A$12,MATCH(cadangan3[[#This Row],[ItemID B]],Katalog!$C$3:$C$12,0)),"-")</f>
        <v>Pakaian Unisex</v>
      </c>
      <c r="O1000" t="str">
        <f>IFERROR(INDEX(Katalog!$B$3:$B$12,MATCH(cadangan3[[#This Row],[ItemID B]],Katalog!$C$3:$C$12,0)),"-")</f>
        <v>Jaket Hoodie</v>
      </c>
      <c r="P1000">
        <v>1</v>
      </c>
      <c r="Q1000">
        <v>3</v>
      </c>
      <c r="R1000" s="36">
        <f>IFERROR(INDEX(Katalog!$D$3:$D$12,MATCH(cadangan3[[#This Row],[ItemID B]],Katalog!$C$3:$C$12,0))*cadangan3[[#This Row],[Qty B]],0)</f>
        <v>350000</v>
      </c>
      <c r="S1000" s="36">
        <f>IFERROR(INDEX(Katalog!$D$3:$D$12,MATCH(cadangan3[[#This Row],[Item B]],Katalog!$B$3:$B$12,0))*cadangan3[[#This Row],[Qty B]],0)</f>
        <v>350000</v>
      </c>
      <c r="T1000" s="36">
        <f>IFERROR(cadangan3[[#This Row],[Harga Asli B]]-(cadangan3[[#This Row],[Harga Asli B]]*cadangan3[[#This Row],[Diskon]]),cadangan3[[#This Row],[Harga Asli B]])</f>
        <v>297500</v>
      </c>
      <c r="U1000" s="36">
        <f>IFERROR(INDEX(Katalog!$F$3:$F$12,MATCH(cadangan3[[#This Row],[ItemID B]],Katalog!$C$3:$C$12,0))*cadangan3[[#This Row],[Qty B]],0)</f>
        <v>130000</v>
      </c>
      <c r="V1000" s="36">
        <f>IFERROR(cadangan3[[#This Row],[Profit B]]-(cadangan3[[#This Row],[Profit B]]*cadangan3[[#This Row],[Diskon]]),U1000)</f>
        <v>110500</v>
      </c>
      <c r="X1000" t="str">
        <f>IFERROR(INDEX(Katalog!$A$3:$A$12,MATCH(cadangan3[[#This Row],[ItemID C]],Katalog!$C$3:$C$12,0)),"-")</f>
        <v>-</v>
      </c>
      <c r="Y1000" t="str">
        <f>IFERROR(INDEX(Katalog!$B$3:$B$12,MATCH(cadangan3[[#This Row],[ItemID C]],Katalog!$C$3:$C$12,0)),"-")</f>
        <v>-</v>
      </c>
      <c r="AB1000" s="36">
        <f>IFERROR(INDEX(Katalog!$D$3:$D$12,MATCH(cadangan3[[#This Row],[ItemID C]],Katalog!$C$3:$C$12,0))*cadangan3[[#This Row],[Qty C]],0)</f>
        <v>0</v>
      </c>
      <c r="AC1000" s="36">
        <f>IFERROR(INDEX(Katalog!$D$3:$D$12,MATCH(cadangan3[[#This Row],[Item C]],Katalog!$B$3:$B$12,0))*cadangan3[[#This Row],[Qty C]],0)</f>
        <v>0</v>
      </c>
      <c r="AD1000" s="36">
        <f>IFERROR(cadangan3[[#This Row],[Harga Asli C]]-(cadangan3[[#This Row],[Harga Asli C]]*cadangan3[[#This Row],[Diskon]]),cadangan3[[#This Row],[Harga Asli C]])</f>
        <v>0</v>
      </c>
      <c r="AE1000" s="36">
        <f>IFERROR(INDEX(Katalog!$F$3:$F$12,MATCH(cadangan3[[#This Row],[ItemID C]],Katalog!$C$3:$C$12,0))*cadangan3[[#This Row],[Qty C]],0)</f>
        <v>0</v>
      </c>
      <c r="AF1000" s="36">
        <f>IFERROR(cadangan3[[#This Row],[Profit C]]-(cadangan3[[#This Row],[Profit C]]*cadangan3[[#This Row],[Diskon]]),cadangan3[[#This Row],[Profit C]])</f>
        <v>0</v>
      </c>
      <c r="AG1000" s="21">
        <f>cadangan3[[#This Row],[Qty A]]+cadangan3[[#This Row],[Qty B]]+cadangan3[[#This Row],[Qty C]]</f>
        <v>3</v>
      </c>
      <c r="AH1000" s="35">
        <f>cadangan3[[#This Row],[Harga A + Diskon]]+cadangan3[[#This Row],[Harga + Diskon B]]+cadangan3[[#This Row],[Harga + Diskon C]]</f>
        <v>552500</v>
      </c>
      <c r="AI1000" s="35">
        <f>(cadangan3[[#This Row],[Profit A]]+cadangan3[[#This Row],[Profit B]]+cadangan3[[#This Row],[Profit C]])</f>
        <v>230000</v>
      </c>
      <c r="AJ1000" s="35">
        <f>cadangan3[[#This Row],[Provit A + Diskon]]+cadangan3[[#This Row],[Provit B + Diskon]]+cadangan3[[#This Row],[Provit C + Diskon]]</f>
        <v>195500</v>
      </c>
      <c r="AK1000" s="23" t="s">
        <v>32</v>
      </c>
      <c r="AL1000" s="37">
        <f>IFERROR(INDEX('Kode Diskon'!$D$3:$D$9,MATCH(cadangan3[[#This Row],[Kode diskon]],'Kode Diskon'!$C$3:$C$9,0)),"-")</f>
        <v>0.15</v>
      </c>
      <c r="AM1000" s="23" t="s">
        <v>9</v>
      </c>
      <c r="AN1000" s="23" t="s">
        <v>12</v>
      </c>
      <c r="AO1000" s="23" t="s">
        <v>79</v>
      </c>
      <c r="AP1000" s="24">
        <v>45034</v>
      </c>
      <c r="AQ1000" s="23" t="str">
        <f>TEXT(cadangan3[[#This Row],[Tanggal terjual]],"dddd")</f>
        <v>Tuesday</v>
      </c>
    </row>
    <row r="1001" spans="1:43" x14ac:dyDescent="0.2">
      <c r="A1001" s="20">
        <v>1000</v>
      </c>
      <c r="B1001" s="21" t="str">
        <f>_xlfn.CONCAT("ORD-",INDEX(Helper!$B$2:$B$5,MATCH(cadangan3[[#This Row],[Marketplace]],Helper!$A$2:$A$5,0)),TEXT(cadangan3[[#This Row],[No]],"0000"),"-",TEXT(cadangan3[[#This Row],[Tanggal terjual]],"dd/mm/yy"))</f>
        <v>ORD-SP1000-03/04/23</v>
      </c>
      <c r="C1001" t="s">
        <v>65</v>
      </c>
      <c r="D1001" t="str">
        <f>IFERROR(INDEX(Katalog!$A$3:$A$12,MATCH(cadangan3[[#This Row],[ItemID A]],Katalog!$C$3:$C$12,0)),"-")</f>
        <v>Sepatu Pria</v>
      </c>
      <c r="E1001" t="str">
        <f>IFERROR(INDEX(Katalog!$B$3:$B$12,MATCH(cadangan3[[#This Row],[ItemID A]],Katalog!$C$3:$C$12,0)),"-")</f>
        <v>Sneakers</v>
      </c>
      <c r="F1001">
        <v>3</v>
      </c>
      <c r="G1001">
        <v>3</v>
      </c>
      <c r="H1001" s="36">
        <f>IFERROR(INDEX(Katalog!$D$3:$D$12,MATCH(cadangan3[[#This Row],[ItemID A]],Katalog!$C$3:$C$12,0))*cadangan3[[#This Row],[Qty A]],0)</f>
        <v>1500000</v>
      </c>
      <c r="I1001" s="36">
        <f>IFERROR(INDEX(Katalog!$D$3:$D$12,MATCH(cadangan3[[#This Row],[Item A]],Katalog!$B$3:$B$12,0))*cadangan3[[#This Row],[Qty A]],0)</f>
        <v>1500000</v>
      </c>
      <c r="J1001" s="36">
        <f>IFERROR(cadangan3[[#This Row],[Harga Asli A]]-(cadangan3[[#This Row],[Harga Asli A]]*cadangan3[[#This Row],[Diskon]]),cadangan3[[#This Row],[Harga Asli A]])</f>
        <v>1275000</v>
      </c>
      <c r="K1001" s="36">
        <f>INDEX(Katalog!$F$3:$F$12,MATCH(cadangan3[[#This Row],[ItemID A]],Katalog!$C$3:$C$12,0))*cadangan3[[#This Row],[Qty A]]</f>
        <v>600000</v>
      </c>
      <c r="L1001" s="36">
        <f>IFERROR(cadangan3[[#This Row],[Profit A]]-(cadangan3[[#This Row],[Profit A]]*cadangan3[[#This Row],[Diskon]]),K1001)</f>
        <v>510000</v>
      </c>
      <c r="M1001" t="s">
        <v>58</v>
      </c>
      <c r="N1001" t="str">
        <f>IFERROR(INDEX(Katalog!$A$3:$A$12,MATCH(cadangan3[[#This Row],[ItemID B]],Katalog!$C$3:$C$12,0)),"-")</f>
        <v>Pakaian Wanita</v>
      </c>
      <c r="O1001" t="str">
        <f>IFERROR(INDEX(Katalog!$B$3:$B$12,MATCH(cadangan3[[#This Row],[ItemID B]],Katalog!$C$3:$C$12,0)),"-")</f>
        <v>Dress</v>
      </c>
      <c r="P1001">
        <v>2</v>
      </c>
      <c r="Q1001">
        <v>5</v>
      </c>
      <c r="R1001" s="36">
        <f>IFERROR(INDEX(Katalog!$D$3:$D$12,MATCH(cadangan3[[#This Row],[ItemID B]],Katalog!$C$3:$C$12,0))*cadangan3[[#This Row],[Qty B]],0)</f>
        <v>600000</v>
      </c>
      <c r="S1001" s="36">
        <f>IFERROR(INDEX(Katalog!$D$3:$D$12,MATCH(cadangan3[[#This Row],[Item B]],Katalog!$B$3:$B$12,0))*cadangan3[[#This Row],[Qty B]],0)</f>
        <v>600000</v>
      </c>
      <c r="T1001" s="36">
        <f>IFERROR(cadangan3[[#This Row],[Harga Asli B]]-(cadangan3[[#This Row],[Harga Asli B]]*cadangan3[[#This Row],[Diskon]]),cadangan3[[#This Row],[Harga Asli B]])</f>
        <v>510000</v>
      </c>
      <c r="U1001" s="36">
        <f>IFERROR(INDEX(Katalog!$F$3:$F$12,MATCH(cadangan3[[#This Row],[ItemID B]],Katalog!$C$3:$C$12,0))*cadangan3[[#This Row],[Qty B]],0)</f>
        <v>200000</v>
      </c>
      <c r="V1001" s="36">
        <f>IFERROR(cadangan3[[#This Row],[Profit B]]-(cadangan3[[#This Row],[Profit B]]*cadangan3[[#This Row],[Diskon]]),U1001)</f>
        <v>170000</v>
      </c>
      <c r="W1001" t="s">
        <v>61</v>
      </c>
      <c r="X1001" t="str">
        <f>IFERROR(INDEX(Katalog!$A$3:$A$12,MATCH(cadangan3[[#This Row],[ItemID C]],Katalog!$C$3:$C$12,0)),"-")</f>
        <v>Pakaian Pria</v>
      </c>
      <c r="Y1001" t="str">
        <f>IFERROR(INDEX(Katalog!$B$3:$B$12,MATCH(cadangan3[[#This Row],[ItemID C]],Katalog!$C$3:$C$12,0)),"-")</f>
        <v>Kaos Polo</v>
      </c>
      <c r="Z1001">
        <v>1</v>
      </c>
      <c r="AA1001">
        <v>2</v>
      </c>
      <c r="AB1001" s="36">
        <f>IFERROR(INDEX(Katalog!$D$3:$D$12,MATCH(cadangan3[[#This Row],[ItemID C]],Katalog!$C$3:$C$12,0))*cadangan3[[#This Row],[Qty C]],0)</f>
        <v>200000</v>
      </c>
      <c r="AC1001" s="36">
        <f>IFERROR(INDEX(Katalog!$D$3:$D$12,MATCH(cadangan3[[#This Row],[Item C]],Katalog!$B$3:$B$12,0))*cadangan3[[#This Row],[Qty C]],0)</f>
        <v>200000</v>
      </c>
      <c r="AD1001" s="36">
        <f>IFERROR(cadangan3[[#This Row],[Harga Asli C]]-(cadangan3[[#This Row],[Harga Asli C]]*cadangan3[[#This Row],[Diskon]]),cadangan3[[#This Row],[Harga Asli C]])</f>
        <v>170000</v>
      </c>
      <c r="AE1001" s="36">
        <f>IFERROR(INDEX(Katalog!$F$3:$F$12,MATCH(cadangan3[[#This Row],[ItemID C]],Katalog!$C$3:$C$12,0))*cadangan3[[#This Row],[Qty C]],0)</f>
        <v>80000</v>
      </c>
      <c r="AF1001" s="36">
        <f>IFERROR(cadangan3[[#This Row],[Profit C]]-(cadangan3[[#This Row],[Profit C]]*cadangan3[[#This Row],[Diskon]]),cadangan3[[#This Row],[Profit C]])</f>
        <v>68000</v>
      </c>
      <c r="AG1001" s="21">
        <f>cadangan3[[#This Row],[Qty A]]+cadangan3[[#This Row],[Qty B]]+cadangan3[[#This Row],[Qty C]]</f>
        <v>6</v>
      </c>
      <c r="AH1001" s="35">
        <f>cadangan3[[#This Row],[Harga A + Diskon]]+cadangan3[[#This Row],[Harga + Diskon B]]+cadangan3[[#This Row],[Harga + Diskon C]]</f>
        <v>1955000</v>
      </c>
      <c r="AI1001" s="35">
        <f>(cadangan3[[#This Row],[Profit A]]+cadangan3[[#This Row],[Profit B]]+cadangan3[[#This Row],[Profit C]])</f>
        <v>880000</v>
      </c>
      <c r="AJ1001" s="35">
        <f>cadangan3[[#This Row],[Provit A + Diskon]]+cadangan3[[#This Row],[Provit B + Diskon]]+cadangan3[[#This Row],[Provit C + Diskon]]</f>
        <v>748000</v>
      </c>
      <c r="AK1001" s="23" t="s">
        <v>13</v>
      </c>
      <c r="AL1001" s="37">
        <f>IFERROR(INDEX('Kode Diskon'!$D$3:$D$9,MATCH(cadangan3[[#This Row],[Kode diskon]],'Kode Diskon'!$C$3:$C$9,0)),"-")</f>
        <v>0.15</v>
      </c>
      <c r="AM1001" s="23" t="s">
        <v>29</v>
      </c>
      <c r="AN1001" s="23" t="s">
        <v>7</v>
      </c>
      <c r="AO1001" s="23" t="s">
        <v>77</v>
      </c>
      <c r="AP1001" s="24">
        <v>45019</v>
      </c>
      <c r="AQ1001" s="23" t="str">
        <f>TEXT(cadangan3[[#This Row],[Tanggal terjual]],"dddd")</f>
        <v>Monday</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outlinePr summaryBelow="0" summaryRight="0"/>
  </sheetPr>
  <dimension ref="A1:G12"/>
  <sheetViews>
    <sheetView topLeftCell="B2" zoomScale="188" zoomScaleNormal="188" workbookViewId="0">
      <selection activeCell="G74" sqref="G74"/>
    </sheetView>
  </sheetViews>
  <sheetFormatPr defaultColWidth="12.7109375" defaultRowHeight="12.75" x14ac:dyDescent="0.2"/>
  <cols>
    <col min="1" max="1" width="14.28515625" bestFit="1" customWidth="1"/>
    <col min="2" max="2" width="13.7109375" bestFit="1" customWidth="1"/>
    <col min="3" max="3" width="11.85546875" bestFit="1" customWidth="1"/>
    <col min="4" max="4" width="14.28515625" bestFit="1" customWidth="1"/>
    <col min="5" max="5" width="15.140625" bestFit="1" customWidth="1"/>
    <col min="6" max="6" width="14.28515625" bestFit="1" customWidth="1"/>
  </cols>
  <sheetData>
    <row r="1" spans="1:7" x14ac:dyDescent="0.2">
      <c r="A1" s="70" t="s">
        <v>106</v>
      </c>
      <c r="B1" s="70"/>
      <c r="C1" s="70"/>
      <c r="D1" s="70"/>
      <c r="E1" s="70"/>
      <c r="F1" s="70"/>
    </row>
    <row r="2" spans="1:7" x14ac:dyDescent="0.2">
      <c r="A2" s="2" t="s">
        <v>33</v>
      </c>
      <c r="B2" s="2" t="s">
        <v>34</v>
      </c>
      <c r="C2" s="2" t="s">
        <v>54</v>
      </c>
      <c r="D2" s="3" t="s">
        <v>53</v>
      </c>
      <c r="E2" s="3" t="s">
        <v>35</v>
      </c>
      <c r="F2" s="2" t="s">
        <v>120</v>
      </c>
    </row>
    <row r="3" spans="1:7" x14ac:dyDescent="0.2">
      <c r="A3" s="1" t="s">
        <v>36</v>
      </c>
      <c r="B3" s="1" t="s">
        <v>55</v>
      </c>
      <c r="C3" s="1" t="s">
        <v>58</v>
      </c>
      <c r="D3" s="4">
        <v>300000</v>
      </c>
      <c r="E3" s="4">
        <v>200000</v>
      </c>
      <c r="F3" s="34">
        <f>D3-E3</f>
        <v>100000</v>
      </c>
      <c r="G3" s="1"/>
    </row>
    <row r="4" spans="1:7" x14ac:dyDescent="0.2">
      <c r="A4" s="1" t="s">
        <v>36</v>
      </c>
      <c r="B4" s="1" t="s">
        <v>56</v>
      </c>
      <c r="C4" s="1" t="s">
        <v>59</v>
      </c>
      <c r="D4" s="4">
        <v>150000</v>
      </c>
      <c r="E4" s="4">
        <v>100000</v>
      </c>
      <c r="F4" s="34">
        <f t="shared" ref="F4:F12" si="0">D4-E4</f>
        <v>50000</v>
      </c>
      <c r="G4" s="1"/>
    </row>
    <row r="5" spans="1:7" x14ac:dyDescent="0.2">
      <c r="A5" s="1" t="s">
        <v>36</v>
      </c>
      <c r="B5" s="1" t="s">
        <v>19</v>
      </c>
      <c r="C5" s="1" t="s">
        <v>60</v>
      </c>
      <c r="D5" s="4">
        <v>250000</v>
      </c>
      <c r="E5" s="4">
        <v>150000</v>
      </c>
      <c r="F5" s="34">
        <f t="shared" si="0"/>
        <v>100000</v>
      </c>
    </row>
    <row r="6" spans="1:7" x14ac:dyDescent="0.2">
      <c r="A6" s="1" t="s">
        <v>37</v>
      </c>
      <c r="B6" s="1" t="s">
        <v>20</v>
      </c>
      <c r="C6" s="1" t="s">
        <v>61</v>
      </c>
      <c r="D6" s="4">
        <v>200000</v>
      </c>
      <c r="E6" s="4">
        <v>120000</v>
      </c>
      <c r="F6" s="34">
        <f t="shared" si="0"/>
        <v>80000</v>
      </c>
    </row>
    <row r="7" spans="1:7" x14ac:dyDescent="0.2">
      <c r="A7" s="1" t="s">
        <v>37</v>
      </c>
      <c r="B7" s="1" t="s">
        <v>15</v>
      </c>
      <c r="C7" s="1" t="s">
        <v>62</v>
      </c>
      <c r="D7" s="4">
        <v>180000</v>
      </c>
      <c r="E7" s="4">
        <v>110000</v>
      </c>
      <c r="F7" s="34">
        <f t="shared" si="0"/>
        <v>70000</v>
      </c>
    </row>
    <row r="8" spans="1:7" x14ac:dyDescent="0.2">
      <c r="A8" s="1" t="s">
        <v>37</v>
      </c>
      <c r="B8" s="1" t="s">
        <v>18</v>
      </c>
      <c r="C8" s="1" t="s">
        <v>63</v>
      </c>
      <c r="D8" s="4">
        <v>400000</v>
      </c>
      <c r="E8" s="4">
        <v>250000</v>
      </c>
      <c r="F8" s="34">
        <f t="shared" si="0"/>
        <v>150000</v>
      </c>
    </row>
    <row r="9" spans="1:7" x14ac:dyDescent="0.2">
      <c r="A9" s="1" t="s">
        <v>38</v>
      </c>
      <c r="B9" s="1" t="s">
        <v>17</v>
      </c>
      <c r="C9" s="1" t="s">
        <v>64</v>
      </c>
      <c r="D9" s="4">
        <v>350000</v>
      </c>
      <c r="E9" s="4">
        <v>220000</v>
      </c>
      <c r="F9" s="34">
        <f t="shared" si="0"/>
        <v>130000</v>
      </c>
    </row>
    <row r="10" spans="1:7" x14ac:dyDescent="0.2">
      <c r="A10" s="1" t="s">
        <v>39</v>
      </c>
      <c r="B10" s="1" t="s">
        <v>57</v>
      </c>
      <c r="C10" s="1" t="s">
        <v>65</v>
      </c>
      <c r="D10" s="4">
        <v>500000</v>
      </c>
      <c r="E10" s="4">
        <v>300000</v>
      </c>
      <c r="F10" s="34">
        <f t="shared" si="0"/>
        <v>200000</v>
      </c>
    </row>
    <row r="11" spans="1:7" x14ac:dyDescent="0.2">
      <c r="A11" s="1" t="s">
        <v>39</v>
      </c>
      <c r="B11" s="1" t="s">
        <v>21</v>
      </c>
      <c r="C11" s="1" t="s">
        <v>66</v>
      </c>
      <c r="D11" s="4">
        <v>150000</v>
      </c>
      <c r="E11" s="4">
        <v>90000</v>
      </c>
      <c r="F11" s="34">
        <f t="shared" si="0"/>
        <v>60000</v>
      </c>
    </row>
    <row r="12" spans="1:7" x14ac:dyDescent="0.2">
      <c r="A12" s="1" t="s">
        <v>40</v>
      </c>
      <c r="B12" s="1" t="s">
        <v>16</v>
      </c>
      <c r="C12" s="1" t="s">
        <v>67</v>
      </c>
      <c r="D12" s="4">
        <v>250000</v>
      </c>
      <c r="E12" s="4">
        <v>150000</v>
      </c>
      <c r="F12" s="34">
        <f t="shared" si="0"/>
        <v>100000</v>
      </c>
    </row>
  </sheetData>
  <mergeCells count="1">
    <mergeCell ref="A1:F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outlinePr summaryBelow="0" summaryRight="0"/>
  </sheetPr>
  <dimension ref="A1:D9"/>
  <sheetViews>
    <sheetView workbookViewId="0">
      <selection activeCell="G74" sqref="G74"/>
    </sheetView>
  </sheetViews>
  <sheetFormatPr defaultColWidth="12.7109375" defaultRowHeight="12.75" x14ac:dyDescent="0.2"/>
  <cols>
    <col min="1" max="1" width="9.7109375" bestFit="1" customWidth="1"/>
    <col min="2" max="2" width="13.7109375" bestFit="1" customWidth="1"/>
    <col min="3" max="3" width="12.28515625" bestFit="1" customWidth="1"/>
    <col min="4" max="4" width="12.140625" bestFit="1" customWidth="1"/>
  </cols>
  <sheetData>
    <row r="1" spans="1:4" x14ac:dyDescent="0.2">
      <c r="A1" s="70" t="s">
        <v>107</v>
      </c>
      <c r="B1" s="71"/>
      <c r="C1" s="71"/>
      <c r="D1" s="71"/>
    </row>
    <row r="2" spans="1:4" x14ac:dyDescent="0.2">
      <c r="A2" s="5" t="s">
        <v>43</v>
      </c>
      <c r="B2" s="5" t="s">
        <v>44</v>
      </c>
      <c r="C2" s="5" t="s">
        <v>45</v>
      </c>
      <c r="D2" s="6" t="s">
        <v>46</v>
      </c>
    </row>
    <row r="3" spans="1:4" x14ac:dyDescent="0.2">
      <c r="A3" s="7" t="s">
        <v>7</v>
      </c>
      <c r="B3" s="7" t="s">
        <v>29</v>
      </c>
      <c r="C3" s="7" t="s">
        <v>6</v>
      </c>
      <c r="D3" s="8">
        <v>0.1</v>
      </c>
    </row>
    <row r="4" spans="1:4" x14ac:dyDescent="0.2">
      <c r="A4" s="7" t="s">
        <v>7</v>
      </c>
      <c r="B4" s="7" t="s">
        <v>29</v>
      </c>
      <c r="C4" s="7" t="s">
        <v>13</v>
      </c>
      <c r="D4" s="8">
        <v>0.15</v>
      </c>
    </row>
    <row r="5" spans="1:4" x14ac:dyDescent="0.2">
      <c r="A5" s="7" t="s">
        <v>7</v>
      </c>
      <c r="B5" s="7" t="s">
        <v>9</v>
      </c>
      <c r="C5" s="7" t="s">
        <v>8</v>
      </c>
      <c r="D5" s="8">
        <v>0.2</v>
      </c>
    </row>
    <row r="6" spans="1:4" x14ac:dyDescent="0.2">
      <c r="A6" s="7" t="s">
        <v>10</v>
      </c>
      <c r="B6" s="7" t="s">
        <v>29</v>
      </c>
      <c r="C6" s="7" t="s">
        <v>30</v>
      </c>
      <c r="D6" s="8">
        <v>0.1</v>
      </c>
    </row>
    <row r="7" spans="1:4" x14ac:dyDescent="0.2">
      <c r="A7" s="7" t="s">
        <v>10</v>
      </c>
      <c r="B7" s="7" t="s">
        <v>9</v>
      </c>
      <c r="C7" s="7" t="s">
        <v>31</v>
      </c>
      <c r="D7" s="8">
        <v>0.1</v>
      </c>
    </row>
    <row r="8" spans="1:4" x14ac:dyDescent="0.2">
      <c r="A8" s="7" t="s">
        <v>12</v>
      </c>
      <c r="B8" s="7" t="s">
        <v>9</v>
      </c>
      <c r="C8" s="7" t="s">
        <v>32</v>
      </c>
      <c r="D8" s="8">
        <v>0.15</v>
      </c>
    </row>
    <row r="9" spans="1:4" x14ac:dyDescent="0.2">
      <c r="A9" s="7" t="s">
        <v>14</v>
      </c>
      <c r="B9" s="7" t="s">
        <v>29</v>
      </c>
      <c r="C9" s="7" t="s">
        <v>28</v>
      </c>
      <c r="D9" s="8">
        <v>0.15</v>
      </c>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CBA64-23A0-4A21-9776-7DE39CCC30F0}">
  <sheetPr codeName="Sheet5"/>
  <dimension ref="A1:B6"/>
  <sheetViews>
    <sheetView workbookViewId="0">
      <selection activeCell="I20" sqref="I20"/>
    </sheetView>
  </sheetViews>
  <sheetFormatPr defaultRowHeight="12.75" x14ac:dyDescent="0.2"/>
  <cols>
    <col min="1" max="1" width="11.140625" bestFit="1" customWidth="1"/>
  </cols>
  <sheetData>
    <row r="1" spans="1:2" ht="14.25" thickTop="1" thickBot="1" x14ac:dyDescent="0.25">
      <c r="A1" s="31" t="s">
        <v>108</v>
      </c>
      <c r="B1" s="32" t="s">
        <v>109</v>
      </c>
    </row>
    <row r="2" spans="1:2" x14ac:dyDescent="0.2">
      <c r="A2" s="29" t="s">
        <v>10</v>
      </c>
      <c r="B2" s="30" t="s">
        <v>110</v>
      </c>
    </row>
    <row r="3" spans="1:2" x14ac:dyDescent="0.2">
      <c r="A3" s="25" t="s">
        <v>7</v>
      </c>
      <c r="B3" s="26" t="s">
        <v>111</v>
      </c>
    </row>
    <row r="4" spans="1:2" x14ac:dyDescent="0.2">
      <c r="A4" s="25" t="s">
        <v>14</v>
      </c>
      <c r="B4" s="26" t="s">
        <v>112</v>
      </c>
    </row>
    <row r="5" spans="1:2" ht="13.5" thickBot="1" x14ac:dyDescent="0.25">
      <c r="A5" s="27" t="s">
        <v>12</v>
      </c>
      <c r="B5" s="28" t="s">
        <v>113</v>
      </c>
    </row>
    <row r="6" spans="1:2" ht="13.5" thickTop="1"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A2FE-5B69-492D-8157-68F8C497B80B}">
  <dimension ref="A1:S19"/>
  <sheetViews>
    <sheetView topLeftCell="J1" zoomScaleNormal="100" workbookViewId="0">
      <selection activeCell="S2" sqref="S2"/>
    </sheetView>
  </sheetViews>
  <sheetFormatPr defaultRowHeight="12.75" x14ac:dyDescent="0.2"/>
  <cols>
    <col min="1" max="1" width="14.28515625" bestFit="1" customWidth="1"/>
    <col min="2" max="2" width="13.7109375" bestFit="1" customWidth="1"/>
    <col min="3" max="3" width="10.42578125" bestFit="1" customWidth="1"/>
    <col min="4" max="4" width="24" bestFit="1" customWidth="1"/>
    <col min="5" max="5" width="20.140625" bestFit="1" customWidth="1"/>
    <col min="6" max="6" width="13.28515625" bestFit="1" customWidth="1"/>
    <col min="7" max="7" width="10.42578125" bestFit="1" customWidth="1"/>
    <col min="8" max="8" width="24" bestFit="1" customWidth="1"/>
    <col min="9" max="9" width="20.140625" bestFit="1" customWidth="1"/>
    <col min="10" max="10" width="13.28515625" bestFit="1" customWidth="1"/>
    <col min="11" max="11" width="10.42578125" bestFit="1" customWidth="1"/>
    <col min="12" max="12" width="24" bestFit="1" customWidth="1"/>
    <col min="13" max="13" width="20.140625" bestFit="1" customWidth="1"/>
    <col min="14" max="14" width="13.28515625" bestFit="1" customWidth="1"/>
    <col min="15" max="15" width="13.7109375" bestFit="1" customWidth="1"/>
    <col min="16" max="16" width="19.42578125" bestFit="1" customWidth="1"/>
    <col min="17" max="17" width="15.5703125" bestFit="1" customWidth="1"/>
    <col min="18" max="18" width="11.42578125" bestFit="1" customWidth="1"/>
    <col min="19" max="19" width="24.5703125" bestFit="1" customWidth="1"/>
  </cols>
  <sheetData>
    <row r="1" spans="1:19" x14ac:dyDescent="0.2">
      <c r="A1" s="60" t="s">
        <v>173</v>
      </c>
      <c r="B1" s="60" t="s">
        <v>174</v>
      </c>
      <c r="C1" s="60" t="s">
        <v>24</v>
      </c>
      <c r="D1" s="60" t="s">
        <v>269</v>
      </c>
      <c r="E1" s="60" t="s">
        <v>270</v>
      </c>
      <c r="F1" s="60" t="s">
        <v>89</v>
      </c>
      <c r="G1" s="60" t="s">
        <v>25</v>
      </c>
      <c r="H1" s="60" t="s">
        <v>271</v>
      </c>
      <c r="I1" s="60" t="s">
        <v>272</v>
      </c>
      <c r="J1" s="60" t="s">
        <v>90</v>
      </c>
      <c r="K1" s="60" t="s">
        <v>26</v>
      </c>
      <c r="L1" s="60" t="s">
        <v>273</v>
      </c>
      <c r="M1" s="60" t="s">
        <v>274</v>
      </c>
      <c r="N1" s="60" t="s">
        <v>91</v>
      </c>
      <c r="O1" s="60" t="s">
        <v>27</v>
      </c>
      <c r="P1" s="60" t="s">
        <v>74</v>
      </c>
      <c r="Q1" s="60" t="s">
        <v>128</v>
      </c>
      <c r="R1" s="60" t="s">
        <v>175</v>
      </c>
      <c r="S1" s="60" t="s">
        <v>218</v>
      </c>
    </row>
    <row r="2" spans="1:19" x14ac:dyDescent="0.2">
      <c r="A2" t="str">
        <f>TEXT(Katalog!A3,"")</f>
        <v>Pakaian Wanita</v>
      </c>
      <c r="B2" t="str">
        <f>TEXT(Katalog!B3,"")</f>
        <v>Dress</v>
      </c>
      <c r="C2">
        <f>SUMIF(Data[Item A],$B2,Data[Qty A])</f>
        <v>213</v>
      </c>
      <c r="D2" s="45">
        <f>SUMIFS(cadangan[Harga Diskon A],cadangan[Item A],TableBaru[[#This Row],[Item]])</f>
        <v>56760000</v>
      </c>
      <c r="E2" s="45">
        <f>SUMIFS(cadangan[Profit Diskon A],cadangan[Item A],TableBaru[[#This Row],[Item]])</f>
        <v>14160000</v>
      </c>
      <c r="F2" s="46">
        <f>AVERAGEIFS(cadangan[Rating A],cadangan[Item A],TableBaru[[#This Row],[Item]])</f>
        <v>3.1458333333333335</v>
      </c>
      <c r="G2">
        <f>SUMIF(Data[Item B],$B2,Data[Qty B])</f>
        <v>120</v>
      </c>
      <c r="H2" s="45">
        <f>SUMIFS(cadangan[Harga Diskon B],cadangan[Item B],TableBaru[[#This Row],[Item]])</f>
        <v>31530000</v>
      </c>
      <c r="I2" s="45">
        <f>SUMIFS(cadangan[Profit Diskon B],cadangan[Item B],TableBaru[[#This Row],[Item]])</f>
        <v>7530000</v>
      </c>
      <c r="J2" s="46">
        <f>AVERAGEIFS(cadangan[Rating B],cadangan[Item B],TableBaru[[#This Row],[Item]])</f>
        <v>2.8676470588235294</v>
      </c>
      <c r="K2">
        <f>SUMIF(Data[Item C],$B2,Data[Qty C])</f>
        <v>39</v>
      </c>
      <c r="L2" s="45">
        <f>SUMIFS(cadangan[Harga Diskon C],cadangan[Item C],TableBaru[[#This Row],[Item]])</f>
        <v>10485000</v>
      </c>
      <c r="M2" s="45">
        <f>SUMIFS(cadangan[Profit Diskon C],cadangan[Item C],TableBaru[[#This Row],[Item]])</f>
        <v>2685000</v>
      </c>
      <c r="N2" s="44">
        <f>AVERAGEIFS(cadangan[Rating C],cadangan[Item C],TableBaru[[#This Row],[Item]])</f>
        <v>2.9615384615384617</v>
      </c>
      <c r="O2" s="48">
        <f>TableBaru[[#This Row],[Qty A]]+TableBaru[[#This Row],[Qty B]]+TableBaru[[#This Row],[Qty C]]</f>
        <v>372</v>
      </c>
      <c r="P2" s="47">
        <f>TableBaru[[#This Row],[Transaksi A (Diskon)]]+TableBaru[[#This Row],[Transaksi B (Diskon)]]+TableBaru[[#This Row],[Transaksi C (Diskon)]]</f>
        <v>98775000</v>
      </c>
      <c r="Q2" s="47">
        <f>TableBaru[[#This Row],[Profit A (Diskon)]]+TableBaru[[#This Row],[Profit B (Diskon)]]+TableBaru[[#This Row],[Profit C (Diskon)]]</f>
        <v>24375000</v>
      </c>
      <c r="R2" s="44">
        <f>AVERAGE(TableBaru[[#This Row],[Rating A]],TableBaru[[#This Row],[Rating B]],TableBaru[[#This Row],[Rating C]])</f>
        <v>2.991672951231775</v>
      </c>
      <c r="S2" s="47">
        <f>TableBaru[[#This Row],[Total Transaksi]]-TableBaru[[#This Row],[Total Profit]]</f>
        <v>74400000</v>
      </c>
    </row>
    <row r="3" spans="1:19" x14ac:dyDescent="0.2">
      <c r="A3" t="str">
        <f>TEXT(Katalog!A4,"")</f>
        <v>Pakaian Wanita</v>
      </c>
      <c r="B3" t="str">
        <f>TEXT(Katalog!B4,"")</f>
        <v>Blouse</v>
      </c>
      <c r="C3">
        <f>SUMIF(Data[Item A],$B3,Data[Qty A])</f>
        <v>267</v>
      </c>
      <c r="D3" s="45">
        <f>SUMIFS(cadangan[Harga Diskon A],cadangan[Item A],TableBaru[[#This Row],[Item]])</f>
        <v>35115000</v>
      </c>
      <c r="E3" s="45">
        <f>SUMIFS(cadangan[Profit Diskon A],cadangan[Item A],TableBaru[[#This Row],[Item]])</f>
        <v>8415000</v>
      </c>
      <c r="F3" s="46">
        <f>AVERAGEIFS(cadangan[Rating A],cadangan[Item A],TableBaru[[#This Row],[Item]])</f>
        <v>2.9813084112149535</v>
      </c>
      <c r="G3">
        <f>SUMIF(Data[Item B],$B3,Data[Qty B])</f>
        <v>98</v>
      </c>
      <c r="H3" s="45">
        <f>SUMIFS(cadangan[Harga Diskon B],cadangan[Item B],TableBaru[[#This Row],[Item]])</f>
        <v>12892500</v>
      </c>
      <c r="I3" s="45">
        <f>SUMIFS(cadangan[Profit Diskon B],cadangan[Item B],TableBaru[[#This Row],[Item]])</f>
        <v>3092500</v>
      </c>
      <c r="J3" s="46">
        <f>AVERAGEIFS(cadangan[Rating B],cadangan[Item B],TableBaru[[#This Row],[Item]])</f>
        <v>3.0535714285714284</v>
      </c>
      <c r="K3">
        <f>SUMIF(Data[Item C],$B3,Data[Qty C])</f>
        <v>65</v>
      </c>
      <c r="L3" s="45">
        <f>SUMIFS(cadangan[Harga Diskon C],cadangan[Item C],TableBaru[[#This Row],[Item]])</f>
        <v>8475000</v>
      </c>
      <c r="M3" s="45">
        <f>SUMIFS(cadangan[Profit Diskon C],cadangan[Item C],TableBaru[[#This Row],[Item]])</f>
        <v>1975000</v>
      </c>
      <c r="N3" s="44">
        <f>AVERAGEIFS(cadangan[Rating C],cadangan[Item C],TableBaru[[#This Row],[Item]])</f>
        <v>3.0882352941176472</v>
      </c>
      <c r="O3" s="48">
        <f>TableBaru[[#This Row],[Qty A]]+TableBaru[[#This Row],[Qty B]]+TableBaru[[#This Row],[Qty C]]</f>
        <v>430</v>
      </c>
      <c r="P3" s="47">
        <f>TableBaru[[#This Row],[Transaksi A (Diskon)]]+TableBaru[[#This Row],[Transaksi B (Diskon)]]+TableBaru[[#This Row],[Transaksi C (Diskon)]]</f>
        <v>56482500</v>
      </c>
      <c r="Q3" s="47">
        <f>TableBaru[[#This Row],[Profit A (Diskon)]]+TableBaru[[#This Row],[Profit B (Diskon)]]+TableBaru[[#This Row],[Profit C (Diskon)]]</f>
        <v>13482500</v>
      </c>
      <c r="R3" s="44">
        <f>AVERAGE(TableBaru[[#This Row],[Rating A]],TableBaru[[#This Row],[Rating B]],TableBaru[[#This Row],[Rating C]])</f>
        <v>3.0410383779680097</v>
      </c>
      <c r="S3" s="47">
        <f>TableBaru[[#This Row],[Total Transaksi]]-TableBaru[[#This Row],[Total Profit]]</f>
        <v>43000000</v>
      </c>
    </row>
    <row r="4" spans="1:19" x14ac:dyDescent="0.2">
      <c r="A4" t="str">
        <f>TEXT(Katalog!A5,"")</f>
        <v>Pakaian Wanita</v>
      </c>
      <c r="B4" t="str">
        <f>TEXT(Katalog!B5,"")</f>
        <v>Kaftan</v>
      </c>
      <c r="C4">
        <f>SUMIF(Data[Item A],$B4,Data[Qty A])</f>
        <v>202</v>
      </c>
      <c r="D4" s="45">
        <f>SUMIFS(cadangan[Harga Diskon A],cadangan[Item A],TableBaru[[#This Row],[Item]])</f>
        <v>44537500</v>
      </c>
      <c r="E4" s="45">
        <f>SUMIFS(cadangan[Profit Diskon A],cadangan[Item A],TableBaru[[#This Row],[Item]])</f>
        <v>14237500</v>
      </c>
      <c r="F4" s="46">
        <f>AVERAGEIFS(cadangan[Rating A],cadangan[Item A],TableBaru[[#This Row],[Item]])</f>
        <v>3.1012658227848102</v>
      </c>
      <c r="G4">
        <f>SUMIF(Data[Item B],$B4,Data[Qty B])</f>
        <v>91</v>
      </c>
      <c r="H4" s="45">
        <f>SUMIFS(cadangan[Harga Diskon B],cadangan[Item B],TableBaru[[#This Row],[Item]])</f>
        <v>20262500</v>
      </c>
      <c r="I4" s="45">
        <f>SUMIFS(cadangan[Profit Diskon B],cadangan[Item B],TableBaru[[#This Row],[Item]])</f>
        <v>6612500</v>
      </c>
      <c r="J4" s="46">
        <f>AVERAGEIFS(cadangan[Rating B],cadangan[Item B],TableBaru[[#This Row],[Item]])</f>
        <v>3.0793650793650795</v>
      </c>
      <c r="K4">
        <f>SUMIF(Data[Item C],$B4,Data[Qty C])</f>
        <v>29</v>
      </c>
      <c r="L4" s="45">
        <f>SUMIFS(cadangan[Harga Diskon C],cadangan[Item C],TableBaru[[#This Row],[Item]])</f>
        <v>6537500</v>
      </c>
      <c r="M4" s="45">
        <f>SUMIFS(cadangan[Profit Diskon C],cadangan[Item C],TableBaru[[#This Row],[Item]])</f>
        <v>2187500</v>
      </c>
      <c r="N4" s="44">
        <f>AVERAGEIFS(cadangan[Rating C],cadangan[Item C],TableBaru[[#This Row],[Item]])</f>
        <v>2.6111111111111112</v>
      </c>
      <c r="O4" s="48">
        <f>TableBaru[[#This Row],[Qty A]]+TableBaru[[#This Row],[Qty B]]+TableBaru[[#This Row],[Qty C]]</f>
        <v>322</v>
      </c>
      <c r="P4" s="47">
        <f>TableBaru[[#This Row],[Transaksi A (Diskon)]]+TableBaru[[#This Row],[Transaksi B (Diskon)]]+TableBaru[[#This Row],[Transaksi C (Diskon)]]</f>
        <v>71337500</v>
      </c>
      <c r="Q4" s="47">
        <f>TableBaru[[#This Row],[Profit A (Diskon)]]+TableBaru[[#This Row],[Profit B (Diskon)]]+TableBaru[[#This Row],[Profit C (Diskon)]]</f>
        <v>23037500</v>
      </c>
      <c r="R4" s="44">
        <f>AVERAGE(TableBaru[[#This Row],[Rating A]],TableBaru[[#This Row],[Rating B]],TableBaru[[#This Row],[Rating C]])</f>
        <v>2.9305806710870002</v>
      </c>
      <c r="S4" s="47">
        <f>TableBaru[[#This Row],[Total Transaksi]]-TableBaru[[#This Row],[Total Profit]]</f>
        <v>48300000</v>
      </c>
    </row>
    <row r="5" spans="1:19" x14ac:dyDescent="0.2">
      <c r="A5" t="str">
        <f>TEXT(Katalog!A6,"")</f>
        <v>Pakaian Pria</v>
      </c>
      <c r="B5" t="str">
        <f>TEXT(Katalog!B6,"")</f>
        <v>Kaos Polo</v>
      </c>
      <c r="C5">
        <f>SUMIF(Data[Item A],$B5,Data[Qty A])</f>
        <v>257</v>
      </c>
      <c r="D5" s="45">
        <f>SUMIFS(cadangan[Harga Diskon A],cadangan[Item A],TableBaru[[#This Row],[Item]])</f>
        <v>45360000</v>
      </c>
      <c r="E5" s="45">
        <f>SUMIFS(cadangan[Profit Diskon A],cadangan[Item A],TableBaru[[#This Row],[Item]])</f>
        <v>14520000</v>
      </c>
      <c r="F5" s="46">
        <f>AVERAGEIFS(cadangan[Rating A],cadangan[Item A],TableBaru[[#This Row],[Item]])</f>
        <v>2.9791666666666665</v>
      </c>
      <c r="G5">
        <f>SUMIF(Data[Item B],$B5,Data[Qty B])</f>
        <v>101</v>
      </c>
      <c r="H5" s="45">
        <f>SUMIFS(cadangan[Harga Diskon B],cadangan[Item B],TableBaru[[#This Row],[Item]])</f>
        <v>17960000</v>
      </c>
      <c r="I5" s="45">
        <f>SUMIFS(cadangan[Profit Diskon B],cadangan[Item B],TableBaru[[#This Row],[Item]])</f>
        <v>5840000</v>
      </c>
      <c r="J5" s="46">
        <f>AVERAGEIFS(cadangan[Rating B],cadangan[Item B],TableBaru[[#This Row],[Item]])</f>
        <v>3.2380952380952381</v>
      </c>
      <c r="K5">
        <f>SUMIF(Data[Item C],$B5,Data[Qty C])</f>
        <v>41</v>
      </c>
      <c r="L5" s="45">
        <f>SUMIFS(cadangan[Harga Diskon C],cadangan[Item C],TableBaru[[#This Row],[Item]])</f>
        <v>7170000</v>
      </c>
      <c r="M5" s="45">
        <f>SUMIFS(cadangan[Profit Diskon C],cadangan[Item C],TableBaru[[#This Row],[Item]])</f>
        <v>2250000</v>
      </c>
      <c r="N5" s="44">
        <f>AVERAGEIFS(cadangan[Rating C],cadangan[Item C],TableBaru[[#This Row],[Item]])</f>
        <v>3.5555555555555554</v>
      </c>
      <c r="O5" s="48">
        <f>TableBaru[[#This Row],[Qty A]]+TableBaru[[#This Row],[Qty B]]+TableBaru[[#This Row],[Qty C]]</f>
        <v>399</v>
      </c>
      <c r="P5" s="47">
        <f>TableBaru[[#This Row],[Transaksi A (Diskon)]]+TableBaru[[#This Row],[Transaksi B (Diskon)]]+TableBaru[[#This Row],[Transaksi C (Diskon)]]</f>
        <v>70490000</v>
      </c>
      <c r="Q5" s="47">
        <f>TableBaru[[#This Row],[Profit A (Diskon)]]+TableBaru[[#This Row],[Profit B (Diskon)]]+TableBaru[[#This Row],[Profit C (Diskon)]]</f>
        <v>22610000</v>
      </c>
      <c r="R5" s="44">
        <f>AVERAGE(TableBaru[[#This Row],[Rating A]],TableBaru[[#This Row],[Rating B]],TableBaru[[#This Row],[Rating C]])</f>
        <v>3.25760582010582</v>
      </c>
      <c r="S5" s="47">
        <f>TableBaru[[#This Row],[Total Transaksi]]-TableBaru[[#This Row],[Total Profit]]</f>
        <v>47880000</v>
      </c>
    </row>
    <row r="6" spans="1:19" x14ac:dyDescent="0.2">
      <c r="A6" t="str">
        <f>TEXT(Katalog!A7,"")</f>
        <v>Pakaian Pria</v>
      </c>
      <c r="B6" t="str">
        <f>TEXT(Katalog!B7,"")</f>
        <v>Celana Pendek</v>
      </c>
      <c r="C6">
        <f>SUMIF(Data[Item A],$B6,Data[Qty A])</f>
        <v>227</v>
      </c>
      <c r="D6" s="45">
        <f>SUMIFS(cadangan[Harga Diskon A],cadangan[Item A],TableBaru[[#This Row],[Item]])</f>
        <v>36207000</v>
      </c>
      <c r="E6" s="45">
        <f>SUMIFS(cadangan[Profit Diskon A],cadangan[Item A],TableBaru[[#This Row],[Item]])</f>
        <v>11237000</v>
      </c>
      <c r="F6" s="46">
        <f>AVERAGEIFS(cadangan[Rating A],cadangan[Item A],TableBaru[[#This Row],[Item]])</f>
        <v>3.16</v>
      </c>
      <c r="G6">
        <f>SUMIF(Data[Item B],$B6,Data[Qty B])</f>
        <v>111</v>
      </c>
      <c r="H6" s="45">
        <f>SUMIFS(cadangan[Harga Diskon B],cadangan[Item B],TableBaru[[#This Row],[Item]])</f>
        <v>17739000</v>
      </c>
      <c r="I6" s="45">
        <f>SUMIFS(cadangan[Profit Diskon B],cadangan[Item B],TableBaru[[#This Row],[Item]])</f>
        <v>5529000</v>
      </c>
      <c r="J6" s="46">
        <f>AVERAGEIFS(cadangan[Rating B],cadangan[Item B],TableBaru[[#This Row],[Item]])</f>
        <v>2.955223880597015</v>
      </c>
      <c r="K6">
        <f>SUMIF(Data[Item C],$B6,Data[Qty C])</f>
        <v>46</v>
      </c>
      <c r="L6" s="45">
        <f>SUMIFS(cadangan[Harga Diskon C],cadangan[Item C],TableBaru[[#This Row],[Item]])</f>
        <v>7200000</v>
      </c>
      <c r="M6" s="45">
        <f>SUMIFS(cadangan[Profit Diskon C],cadangan[Item C],TableBaru[[#This Row],[Item]])</f>
        <v>2140000</v>
      </c>
      <c r="N6" s="44">
        <f>AVERAGEIFS(cadangan[Rating C],cadangan[Item C],TableBaru[[#This Row],[Item]])</f>
        <v>3.2592592592592591</v>
      </c>
      <c r="O6" s="48">
        <f>TableBaru[[#This Row],[Qty A]]+TableBaru[[#This Row],[Qty B]]+TableBaru[[#This Row],[Qty C]]</f>
        <v>384</v>
      </c>
      <c r="P6" s="47">
        <f>TableBaru[[#This Row],[Transaksi A (Diskon)]]+TableBaru[[#This Row],[Transaksi B (Diskon)]]+TableBaru[[#This Row],[Transaksi C (Diskon)]]</f>
        <v>61146000</v>
      </c>
      <c r="Q6" s="47">
        <f>TableBaru[[#This Row],[Profit A (Diskon)]]+TableBaru[[#This Row],[Profit B (Diskon)]]+TableBaru[[#This Row],[Profit C (Diskon)]]</f>
        <v>18906000</v>
      </c>
      <c r="R6" s="44">
        <f>AVERAGE(TableBaru[[#This Row],[Rating A]],TableBaru[[#This Row],[Rating B]],TableBaru[[#This Row],[Rating C]])</f>
        <v>3.1248277132854247</v>
      </c>
      <c r="S6" s="47">
        <f>TableBaru[[#This Row],[Total Transaksi]]-TableBaru[[#This Row],[Total Profit]]</f>
        <v>42240000</v>
      </c>
    </row>
    <row r="7" spans="1:19" x14ac:dyDescent="0.2">
      <c r="A7" t="str">
        <f>TEXT(Katalog!A8,"")</f>
        <v>Pakaian Pria</v>
      </c>
      <c r="B7" t="str">
        <f>TEXT(Katalog!B8,"")</f>
        <v>Jaket Jeans</v>
      </c>
      <c r="C7">
        <f>SUMIF(Data[Item A],$B7,Data[Qty A])</f>
        <v>306</v>
      </c>
      <c r="D7" s="45">
        <f>SUMIFS(cadangan[Harga Diskon A],cadangan[Item A],TableBaru[[#This Row],[Item]])</f>
        <v>109120000</v>
      </c>
      <c r="E7" s="45">
        <f>SUMIFS(cadangan[Profit Diskon A],cadangan[Item A],TableBaru[[#This Row],[Item]])</f>
        <v>32620000</v>
      </c>
      <c r="F7" s="46">
        <f>AVERAGEIFS(cadangan[Rating A],cadangan[Item A],TableBaru[[#This Row],[Item]])</f>
        <v>3.1967213114754101</v>
      </c>
      <c r="G7">
        <f>SUMIF(Data[Item B],$B7,Data[Qty B])</f>
        <v>107</v>
      </c>
      <c r="H7" s="45">
        <f>SUMIFS(cadangan[Harga Diskon B],cadangan[Item B],TableBaru[[#This Row],[Item]])</f>
        <v>37900000</v>
      </c>
      <c r="I7" s="45">
        <f>SUMIFS(cadangan[Profit Diskon B],cadangan[Item B],TableBaru[[#This Row],[Item]])</f>
        <v>11150000</v>
      </c>
      <c r="J7" s="46">
        <f>AVERAGEIFS(cadangan[Rating B],cadangan[Item B],TableBaru[[#This Row],[Item]])</f>
        <v>2.8970588235294117</v>
      </c>
      <c r="K7">
        <f>SUMIF(Data[Item C],$B7,Data[Qty C])</f>
        <v>38</v>
      </c>
      <c r="L7" s="45">
        <f>SUMIFS(cadangan[Harga Diskon C],cadangan[Item C],TableBaru[[#This Row],[Item]])</f>
        <v>13820000</v>
      </c>
      <c r="M7" s="45">
        <f>SUMIFS(cadangan[Profit Diskon C],cadangan[Item C],TableBaru[[#This Row],[Item]])</f>
        <v>4320000</v>
      </c>
      <c r="N7" s="44">
        <f>AVERAGEIFS(cadangan[Rating C],cadangan[Item C],TableBaru[[#This Row],[Item]])</f>
        <v>2.8636363636363638</v>
      </c>
      <c r="O7" s="48">
        <f>TableBaru[[#This Row],[Qty A]]+TableBaru[[#This Row],[Qty B]]+TableBaru[[#This Row],[Qty C]]</f>
        <v>451</v>
      </c>
      <c r="P7" s="47">
        <f>TableBaru[[#This Row],[Transaksi A (Diskon)]]+TableBaru[[#This Row],[Transaksi B (Diskon)]]+TableBaru[[#This Row],[Transaksi C (Diskon)]]</f>
        <v>160840000</v>
      </c>
      <c r="Q7" s="47">
        <f>TableBaru[[#This Row],[Profit A (Diskon)]]+TableBaru[[#This Row],[Profit B (Diskon)]]+TableBaru[[#This Row],[Profit C (Diskon)]]</f>
        <v>48090000</v>
      </c>
      <c r="R7" s="44">
        <f>AVERAGE(TableBaru[[#This Row],[Rating A]],TableBaru[[#This Row],[Rating B]],TableBaru[[#This Row],[Rating C]])</f>
        <v>2.985805499547062</v>
      </c>
      <c r="S7" s="47">
        <f>TableBaru[[#This Row],[Total Transaksi]]-TableBaru[[#This Row],[Total Profit]]</f>
        <v>112750000</v>
      </c>
    </row>
    <row r="8" spans="1:19" x14ac:dyDescent="0.2">
      <c r="A8" t="str">
        <f>TEXT(Katalog!A9,"")</f>
        <v>Pakaian Unisex</v>
      </c>
      <c r="B8" t="str">
        <f>TEXT(Katalog!B9,"")</f>
        <v>Jaket Hoodie</v>
      </c>
      <c r="C8">
        <f>SUMIF(Data[Item A],$B8,Data[Qty A])</f>
        <v>252</v>
      </c>
      <c r="D8" s="45">
        <f>SUMIFS(cadangan[Harga Diskon A],cadangan[Item A],TableBaru[[#This Row],[Item]])</f>
        <v>76685000</v>
      </c>
      <c r="E8" s="45">
        <f>SUMIFS(cadangan[Profit Diskon A],cadangan[Item A],TableBaru[[#This Row],[Item]])</f>
        <v>21245000</v>
      </c>
      <c r="F8" s="46">
        <f>AVERAGEIFS(cadangan[Rating A],cadangan[Item A],TableBaru[[#This Row],[Item]])</f>
        <v>3.0693069306930694</v>
      </c>
      <c r="G8">
        <f>SUMIF(Data[Item B],$B8,Data[Qty B])</f>
        <v>118</v>
      </c>
      <c r="H8" s="45">
        <f>SUMIFS(cadangan[Harga Diskon B],cadangan[Item B],TableBaru[[#This Row],[Item]])</f>
        <v>36662500</v>
      </c>
      <c r="I8" s="45">
        <f>SUMIFS(cadangan[Profit Diskon B],cadangan[Item B],TableBaru[[#This Row],[Item]])</f>
        <v>10702500</v>
      </c>
      <c r="J8" s="46">
        <f>AVERAGEIFS(cadangan[Rating B],cadangan[Item B],TableBaru[[#This Row],[Item]])</f>
        <v>3.1147540983606556</v>
      </c>
      <c r="K8">
        <f>SUMIF(Data[Item C],$B8,Data[Qty C])</f>
        <v>35</v>
      </c>
      <c r="L8" s="45">
        <f>SUMIFS(cadangan[Harga Diskon C],cadangan[Item C],TableBaru[[#This Row],[Item]])</f>
        <v>10692500</v>
      </c>
      <c r="M8" s="45">
        <f>SUMIFS(cadangan[Profit Diskon C],cadangan[Item C],TableBaru[[#This Row],[Item]])</f>
        <v>2992500</v>
      </c>
      <c r="N8" s="44">
        <f>AVERAGEIFS(cadangan[Rating C],cadangan[Item C],TableBaru[[#This Row],[Item]])</f>
        <v>3.0434782608695654</v>
      </c>
      <c r="O8" s="48">
        <f>TableBaru[[#This Row],[Qty A]]+TableBaru[[#This Row],[Qty B]]+TableBaru[[#This Row],[Qty C]]</f>
        <v>405</v>
      </c>
      <c r="P8" s="47">
        <f>TableBaru[[#This Row],[Transaksi A (Diskon)]]+TableBaru[[#This Row],[Transaksi B (Diskon)]]+TableBaru[[#This Row],[Transaksi C (Diskon)]]</f>
        <v>124040000</v>
      </c>
      <c r="Q8" s="47">
        <f>TableBaru[[#This Row],[Profit A (Diskon)]]+TableBaru[[#This Row],[Profit B (Diskon)]]+TableBaru[[#This Row],[Profit C (Diskon)]]</f>
        <v>34940000</v>
      </c>
      <c r="R8" s="44">
        <f>AVERAGE(TableBaru[[#This Row],[Rating A]],TableBaru[[#This Row],[Rating B]],TableBaru[[#This Row],[Rating C]])</f>
        <v>3.0758464299744297</v>
      </c>
      <c r="S8" s="47">
        <f>TableBaru[[#This Row],[Total Transaksi]]-TableBaru[[#This Row],[Total Profit]]</f>
        <v>89100000</v>
      </c>
    </row>
    <row r="9" spans="1:19" x14ac:dyDescent="0.2">
      <c r="A9" t="str">
        <f>TEXT(Katalog!A10,"")</f>
        <v>Sepatu Pria</v>
      </c>
      <c r="B9" t="str">
        <f>TEXT(Katalog!B10,"")</f>
        <v>Sneakers</v>
      </c>
      <c r="C9">
        <f>SUMIF(Data[Item A],$B9,Data[Qty A])</f>
        <v>270</v>
      </c>
      <c r="D9" s="45">
        <f>SUMIFS(cadangan[Harga Diskon A],cadangan[Item A],TableBaru[[#This Row],[Item]])</f>
        <v>119150000</v>
      </c>
      <c r="E9" s="45">
        <f>SUMIFS(cadangan[Profit Diskon A],cadangan[Item A],TableBaru[[#This Row],[Item]])</f>
        <v>38150000</v>
      </c>
      <c r="F9" s="46">
        <f>AVERAGEIFS(cadangan[Rating A],cadangan[Item A],TableBaru[[#This Row],[Item]])</f>
        <v>2.831578947368421</v>
      </c>
      <c r="G9">
        <f>SUMIF(Data[Item B],$B9,Data[Qty B])</f>
        <v>95</v>
      </c>
      <c r="H9" s="45">
        <f>SUMIFS(cadangan[Harga Diskon B],cadangan[Item B],TableBaru[[#This Row],[Item]])</f>
        <v>41500000</v>
      </c>
      <c r="I9" s="45">
        <f>SUMIFS(cadangan[Profit Diskon B],cadangan[Item B],TableBaru[[#This Row],[Item]])</f>
        <v>13000000</v>
      </c>
      <c r="J9" s="46">
        <f>AVERAGEIFS(cadangan[Rating B],cadangan[Item B],TableBaru[[#This Row],[Item]])</f>
        <v>2.8548387096774195</v>
      </c>
      <c r="K9">
        <f>SUMIF(Data[Item C],$B9,Data[Qty C])</f>
        <v>57</v>
      </c>
      <c r="L9" s="45">
        <f>SUMIFS(cadangan[Harga Diskon C],cadangan[Item C],TableBaru[[#This Row],[Item]])</f>
        <v>25000000</v>
      </c>
      <c r="M9" s="45">
        <f>SUMIFS(cadangan[Profit Diskon C],cadangan[Item C],TableBaru[[#This Row],[Item]])</f>
        <v>7900000</v>
      </c>
      <c r="N9" s="44">
        <f>AVERAGEIFS(cadangan[Rating C],cadangan[Item C],TableBaru[[#This Row],[Item]])</f>
        <v>3.1515151515151514</v>
      </c>
      <c r="O9" s="48">
        <f>TableBaru[[#This Row],[Qty A]]+TableBaru[[#This Row],[Qty B]]+TableBaru[[#This Row],[Qty C]]</f>
        <v>422</v>
      </c>
      <c r="P9" s="47">
        <f>TableBaru[[#This Row],[Transaksi A (Diskon)]]+TableBaru[[#This Row],[Transaksi B (Diskon)]]+TableBaru[[#This Row],[Transaksi C (Diskon)]]</f>
        <v>185650000</v>
      </c>
      <c r="Q9" s="47">
        <f>TableBaru[[#This Row],[Profit A (Diskon)]]+TableBaru[[#This Row],[Profit B (Diskon)]]+TableBaru[[#This Row],[Profit C (Diskon)]]</f>
        <v>59050000</v>
      </c>
      <c r="R9" s="44">
        <f>AVERAGE(TableBaru[[#This Row],[Rating A]],TableBaru[[#This Row],[Rating B]],TableBaru[[#This Row],[Rating C]])</f>
        <v>2.9459776028536644</v>
      </c>
      <c r="S9" s="47">
        <f>TableBaru[[#This Row],[Total Transaksi]]-TableBaru[[#This Row],[Total Profit]]</f>
        <v>126600000</v>
      </c>
    </row>
    <row r="10" spans="1:19" x14ac:dyDescent="0.2">
      <c r="A10" t="str">
        <f>TEXT(Katalog!A11,"")</f>
        <v>Sepatu Pria</v>
      </c>
      <c r="B10" t="str">
        <f>TEXT(Katalog!B11,"")</f>
        <v>Sandal Slip On</v>
      </c>
      <c r="C10">
        <f>SUMIF(Data[Item A],$B10,Data[Qty A])</f>
        <v>293</v>
      </c>
      <c r="D10" s="45">
        <f>SUMIFS(cadangan[Harga Diskon A],cadangan[Item A],TableBaru[[#This Row],[Item]])</f>
        <v>38842500</v>
      </c>
      <c r="E10" s="45">
        <f>SUMIFS(cadangan[Profit Diskon A],cadangan[Item A],TableBaru[[#This Row],[Item]])</f>
        <v>12472500</v>
      </c>
      <c r="F10" s="46">
        <f>AVERAGEIFS(cadangan[Rating A],cadangan[Item A],TableBaru[[#This Row],[Item]])</f>
        <v>3.1636363636363636</v>
      </c>
      <c r="G10">
        <f>SUMIF(Data[Item B],$B10,Data[Qty B])</f>
        <v>147</v>
      </c>
      <c r="H10" s="45">
        <f>SUMIFS(cadangan[Harga Diskon B],cadangan[Item B],TableBaru[[#This Row],[Item]])</f>
        <v>19710000</v>
      </c>
      <c r="I10" s="45">
        <f>SUMIFS(cadangan[Profit Diskon B],cadangan[Item B],TableBaru[[#This Row],[Item]])</f>
        <v>6480000</v>
      </c>
      <c r="J10" s="46">
        <f>AVERAGEIFS(cadangan[Rating B],cadangan[Item B],TableBaru[[#This Row],[Item]])</f>
        <v>3.125</v>
      </c>
      <c r="K10">
        <f>SUMIF(Data[Item C],$B10,Data[Qty C])</f>
        <v>52</v>
      </c>
      <c r="L10" s="45">
        <f>SUMIFS(cadangan[Harga Diskon C],cadangan[Item C],TableBaru[[#This Row],[Item]])</f>
        <v>6825000</v>
      </c>
      <c r="M10" s="45">
        <f>SUMIFS(cadangan[Profit Diskon C],cadangan[Item C],TableBaru[[#This Row],[Item]])</f>
        <v>2145000</v>
      </c>
      <c r="N10" s="44">
        <f>AVERAGEIFS(cadangan[Rating C],cadangan[Item C],TableBaru[[#This Row],[Item]])</f>
        <v>2.9666666666666668</v>
      </c>
      <c r="O10" s="48">
        <f>TableBaru[[#This Row],[Qty A]]+TableBaru[[#This Row],[Qty B]]+TableBaru[[#This Row],[Qty C]]</f>
        <v>492</v>
      </c>
      <c r="P10" s="47">
        <f>TableBaru[[#This Row],[Transaksi A (Diskon)]]+TableBaru[[#This Row],[Transaksi B (Diskon)]]+TableBaru[[#This Row],[Transaksi C (Diskon)]]</f>
        <v>65377500</v>
      </c>
      <c r="Q10" s="47">
        <f>TableBaru[[#This Row],[Profit A (Diskon)]]+TableBaru[[#This Row],[Profit B (Diskon)]]+TableBaru[[#This Row],[Profit C (Diskon)]]</f>
        <v>21097500</v>
      </c>
      <c r="R10" s="44">
        <f>AVERAGE(TableBaru[[#This Row],[Rating A]],TableBaru[[#This Row],[Rating B]],TableBaru[[#This Row],[Rating C]])</f>
        <v>3.0851010101010101</v>
      </c>
      <c r="S10" s="47">
        <f>TableBaru[[#This Row],[Total Transaksi]]-TableBaru[[#This Row],[Total Profit]]</f>
        <v>44280000</v>
      </c>
    </row>
    <row r="11" spans="1:19" x14ac:dyDescent="0.2">
      <c r="A11" t="str">
        <f>TEXT(Katalog!A12,"")</f>
        <v>Sepatu Wanita</v>
      </c>
      <c r="B11" t="str">
        <f>TEXT(Katalog!B12,"")</f>
        <v>Flat Shoes</v>
      </c>
      <c r="C11">
        <f>SUMIF(Data[Item A],$B11,Data[Qty A])</f>
        <v>222</v>
      </c>
      <c r="D11" s="45">
        <f>SUMIFS(cadangan[Harga Diskon A],cadangan[Item A],TableBaru[[#This Row],[Item]])</f>
        <v>48437500</v>
      </c>
      <c r="E11" s="45">
        <f>SUMIFS(cadangan[Profit Diskon A],cadangan[Item A],TableBaru[[#This Row],[Item]])</f>
        <v>15137500</v>
      </c>
      <c r="F11" s="46">
        <f>AVERAGEIFS(cadangan[Rating A],cadangan[Item A],TableBaru[[#This Row],[Item]])</f>
        <v>2.9148936170212765</v>
      </c>
      <c r="G11">
        <f>SUMIF(Data[Item B],$B11,Data[Qty B])</f>
        <v>109</v>
      </c>
      <c r="H11" s="45">
        <f>SUMIFS(cadangan[Harga Diskon B],cadangan[Item B],TableBaru[[#This Row],[Item]])</f>
        <v>24025000</v>
      </c>
      <c r="I11" s="45">
        <f>SUMIFS(cadangan[Profit Diskon B],cadangan[Item B],TableBaru[[#This Row],[Item]])</f>
        <v>7675000</v>
      </c>
      <c r="J11" s="46">
        <f>AVERAGEIFS(cadangan[Rating B],cadangan[Item B],TableBaru[[#This Row],[Item]])</f>
        <v>2.9682539682539684</v>
      </c>
      <c r="K11">
        <f>SUMIF(Data[Item C],$B11,Data[Qty C])</f>
        <v>72</v>
      </c>
      <c r="L11" s="45">
        <f>SUMIFS(cadangan[Harga Diskon C],cadangan[Item C],TableBaru[[#This Row],[Item]])</f>
        <v>15687500</v>
      </c>
      <c r="M11" s="45">
        <f>SUMIFS(cadangan[Profit Diskon C],cadangan[Item C],TableBaru[[#This Row],[Item]])</f>
        <v>4887500</v>
      </c>
      <c r="N11" s="44">
        <f>AVERAGEIFS(cadangan[Rating C],cadangan[Item C],TableBaru[[#This Row],[Item]])</f>
        <v>2.9722222222222223</v>
      </c>
      <c r="O11" s="48">
        <f>TableBaru[[#This Row],[Qty A]]+TableBaru[[#This Row],[Qty B]]+TableBaru[[#This Row],[Qty C]]</f>
        <v>403</v>
      </c>
      <c r="P11" s="47">
        <f>TableBaru[[#This Row],[Transaksi A (Diskon)]]+TableBaru[[#This Row],[Transaksi B (Diskon)]]+TableBaru[[#This Row],[Transaksi C (Diskon)]]</f>
        <v>88150000</v>
      </c>
      <c r="Q11" s="47">
        <f>TableBaru[[#This Row],[Profit A (Diskon)]]+TableBaru[[#This Row],[Profit B (Diskon)]]+TableBaru[[#This Row],[Profit C (Diskon)]]</f>
        <v>27700000</v>
      </c>
      <c r="R11" s="44">
        <f>AVERAGE(TableBaru[[#This Row],[Rating A]],TableBaru[[#This Row],[Rating B]],TableBaru[[#This Row],[Rating C]])</f>
        <v>2.9517899358324891</v>
      </c>
      <c r="S11" s="47">
        <f>TableBaru[[#This Row],[Total Transaksi]]-TableBaru[[#This Row],[Total Profit]]</f>
        <v>60450000</v>
      </c>
    </row>
    <row r="12" spans="1:19" x14ac:dyDescent="0.2">
      <c r="A12" t="str">
        <f>TEXT(Katalog!A13,"")</f>
        <v/>
      </c>
      <c r="B12" t="str">
        <f>TEXT(Katalog!B13,"")</f>
        <v/>
      </c>
    </row>
    <row r="13" spans="1:19" x14ac:dyDescent="0.2">
      <c r="A13" t="str">
        <f>TEXT(Katalog!A14,"")</f>
        <v/>
      </c>
      <c r="B13" t="str">
        <f>TEXT(Katalog!B14,"")</f>
        <v/>
      </c>
    </row>
    <row r="14" spans="1:19" x14ac:dyDescent="0.2">
      <c r="B14" t="str">
        <f>TEXT(Katalog!B15,"")</f>
        <v/>
      </c>
    </row>
    <row r="15" spans="1:19" x14ac:dyDescent="0.2">
      <c r="B15" t="str">
        <f>TEXT(Katalog!B16,"")</f>
        <v/>
      </c>
    </row>
    <row r="16" spans="1:19" x14ac:dyDescent="0.2">
      <c r="A16" t="str">
        <f>TEXT(Katalog!A17,"")</f>
        <v/>
      </c>
      <c r="B16" t="str">
        <f>TEXT(Katalog!B17,"")</f>
        <v/>
      </c>
    </row>
    <row r="17" spans="1:2" x14ac:dyDescent="0.2">
      <c r="A17" t="str">
        <f>TEXT(Katalog!A18,"")</f>
        <v/>
      </c>
      <c r="B17" t="str">
        <f>TEXT(Katalog!B18,"")</f>
        <v/>
      </c>
    </row>
    <row r="18" spans="1:2" x14ac:dyDescent="0.2">
      <c r="A18" t="str">
        <f>TEXT(Katalog!A19,"")</f>
        <v/>
      </c>
      <c r="B18" t="str">
        <f>TEXT(Katalog!B19,"")</f>
        <v/>
      </c>
    </row>
    <row r="19" spans="1:2" x14ac:dyDescent="0.2">
      <c r="A19" t="str">
        <f>TEXT(Katalog!A20,"")</f>
        <v/>
      </c>
      <c r="B19" t="str">
        <f>TEXT(Katalog!B20,"")</f>
        <v/>
      </c>
    </row>
  </sheetData>
  <phoneticPr fontId="1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26001-D57E-4E53-BE48-F365ACEDB7B9}">
  <dimension ref="A1:E65"/>
  <sheetViews>
    <sheetView topLeftCell="A46" workbookViewId="0">
      <selection activeCell="G74" sqref="G74"/>
    </sheetView>
  </sheetViews>
  <sheetFormatPr defaultRowHeight="12.75" x14ac:dyDescent="0.2"/>
  <cols>
    <col min="3" max="3" width="56.85546875" bestFit="1" customWidth="1"/>
    <col min="4" max="4" width="16.42578125" bestFit="1" customWidth="1"/>
    <col min="5" max="5" width="5.5703125" bestFit="1" customWidth="1"/>
  </cols>
  <sheetData>
    <row r="1" spans="1:5" x14ac:dyDescent="0.2">
      <c r="A1" s="9" t="s">
        <v>211</v>
      </c>
      <c r="B1" s="9" t="s">
        <v>236</v>
      </c>
      <c r="C1" t="s">
        <v>205</v>
      </c>
      <c r="D1" t="s">
        <v>206</v>
      </c>
      <c r="E1" s="9" t="s">
        <v>210</v>
      </c>
    </row>
    <row r="2" spans="1:5" x14ac:dyDescent="0.2">
      <c r="A2">
        <v>1</v>
      </c>
      <c r="B2" s="9" t="s">
        <v>281</v>
      </c>
      <c r="C2" t="s">
        <v>204</v>
      </c>
      <c r="D2" s="9" t="s">
        <v>208</v>
      </c>
      <c r="E2" s="9" t="s">
        <v>214</v>
      </c>
    </row>
    <row r="3" spans="1:5" x14ac:dyDescent="0.2">
      <c r="A3">
        <v>2</v>
      </c>
      <c r="C3" s="9" t="s">
        <v>209</v>
      </c>
      <c r="D3" s="9" t="s">
        <v>235</v>
      </c>
    </row>
    <row r="4" spans="1:5" x14ac:dyDescent="0.2">
      <c r="A4">
        <v>3</v>
      </c>
      <c r="C4" s="9" t="s">
        <v>212</v>
      </c>
      <c r="D4" s="9" t="s">
        <v>275</v>
      </c>
    </row>
    <row r="20" spans="3:3" x14ac:dyDescent="0.2">
      <c r="C20" s="9" t="s">
        <v>213</v>
      </c>
    </row>
    <row r="35" spans="3:3" x14ac:dyDescent="0.2">
      <c r="C35" s="9" t="s">
        <v>215</v>
      </c>
    </row>
    <row r="49" spans="3:3" x14ac:dyDescent="0.2">
      <c r="C49" s="9" t="s">
        <v>216</v>
      </c>
    </row>
    <row r="64" spans="3:3" x14ac:dyDescent="0.2">
      <c r="C64" s="9" t="s">
        <v>217</v>
      </c>
    </row>
    <row r="65" spans="1:3" x14ac:dyDescent="0.2">
      <c r="A65">
        <v>4</v>
      </c>
      <c r="C65" s="9" t="s">
        <v>219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504C2-DED8-456B-B7CC-A42B463095E9}">
  <dimension ref="A1:S19"/>
  <sheetViews>
    <sheetView topLeftCell="D1" workbookViewId="0">
      <selection activeCell="Q3" sqref="Q3"/>
    </sheetView>
  </sheetViews>
  <sheetFormatPr defaultRowHeight="12.75" x14ac:dyDescent="0.2"/>
  <cols>
    <col min="1" max="1" width="14.28515625" bestFit="1" customWidth="1"/>
    <col min="2" max="2" width="13.7109375" bestFit="1" customWidth="1"/>
    <col min="3" max="5" width="8.140625" bestFit="1" customWidth="1"/>
    <col min="6" max="6" width="6.28515625" bestFit="1" customWidth="1"/>
    <col min="7" max="9" width="11" bestFit="1" customWidth="1"/>
    <col min="11" max="13" width="10.5703125" bestFit="1" customWidth="1"/>
    <col min="14" max="17" width="10" bestFit="1" customWidth="1"/>
    <col min="18" max="18" width="9" bestFit="1" customWidth="1"/>
    <col min="19" max="19" width="17.140625" bestFit="1" customWidth="1"/>
  </cols>
  <sheetData>
    <row r="1" spans="1:19" x14ac:dyDescent="0.2">
      <c r="A1" s="9" t="s">
        <v>173</v>
      </c>
      <c r="B1" s="9" t="s">
        <v>174</v>
      </c>
      <c r="C1" s="9" t="s">
        <v>24</v>
      </c>
      <c r="D1" s="9" t="s">
        <v>25</v>
      </c>
      <c r="E1" s="9" t="s">
        <v>26</v>
      </c>
      <c r="F1" s="9" t="s">
        <v>176</v>
      </c>
      <c r="G1" s="9" t="s">
        <v>89</v>
      </c>
      <c r="H1" s="9" t="s">
        <v>90</v>
      </c>
      <c r="I1" s="9" t="s">
        <v>91</v>
      </c>
      <c r="J1" s="9" t="s">
        <v>175</v>
      </c>
      <c r="K1" s="9" t="s">
        <v>177</v>
      </c>
      <c r="L1" s="9" t="s">
        <v>178</v>
      </c>
      <c r="M1" s="9" t="s">
        <v>180</v>
      </c>
      <c r="N1" s="9" t="s">
        <v>179</v>
      </c>
      <c r="O1" s="9" t="s">
        <v>121</v>
      </c>
      <c r="P1" s="9" t="s">
        <v>181</v>
      </c>
      <c r="Q1" s="9" t="s">
        <v>123</v>
      </c>
      <c r="R1" s="9" t="s">
        <v>120</v>
      </c>
      <c r="S1" s="9" t="s">
        <v>74</v>
      </c>
    </row>
    <row r="2" spans="1:19" x14ac:dyDescent="0.2">
      <c r="A2" t="str">
        <f>TEXT(Katalog!A3,"")</f>
        <v>Pakaian Wanita</v>
      </c>
      <c r="B2" t="str">
        <f>TEXT(Katalog!B3,"")</f>
        <v>Dress</v>
      </c>
      <c r="C2">
        <f>SUMIF(Data[Item A],$B2,Data[Qty A])</f>
        <v>213</v>
      </c>
      <c r="D2">
        <f>SUMIF(Data[Item B],$B2,Data[Qty B])</f>
        <v>120</v>
      </c>
      <c r="E2">
        <f>SUMIF(Data[Item C],$B2,Data[Qty C])</f>
        <v>39</v>
      </c>
      <c r="F2">
        <f>SUM(itemsell[[#This Row],[Qty A]:[Qty C]])</f>
        <v>372</v>
      </c>
      <c r="G2" s="44">
        <f>AVERAGEIF(Data[Item A],$B2,Data[Rating A])</f>
        <v>3.1458333333333335</v>
      </c>
      <c r="H2" s="44">
        <f>AVERAGEIF(Data[Item B],$B2,Data[Rating B])</f>
        <v>2.8676470588235294</v>
      </c>
      <c r="I2" s="44">
        <f>AVERAGEIF(Data[Item C],$B2,Data[Rating C])</f>
        <v>2.9615384615384617</v>
      </c>
      <c r="J2" s="44">
        <f>AVERAGE(itemsell[[#This Row],[Rating A]:[Rating C]])</f>
        <v>2.991672951231775</v>
      </c>
      <c r="K2">
        <f>SUMIF(Data[Item A],$B2,Data[Harga Barang A])</f>
        <v>63900000</v>
      </c>
      <c r="L2">
        <f>SUMIF(Data[Item B],$B2,Data[Harga Barang B])</f>
        <v>36000000</v>
      </c>
      <c r="M2">
        <f>SUMIF(Data[Item C],$B2,Data[Harga Barang C])</f>
        <v>11700000</v>
      </c>
      <c r="N2">
        <f>SUM(itemsell[[#This Row],[Harga A]:[Harga C]])</f>
        <v>111600000</v>
      </c>
      <c r="O2">
        <f>SUMIF(Data[Item A],$B2,Data[Profit A])</f>
        <v>21300000</v>
      </c>
      <c r="P2">
        <f>SUMIF(Data[Item B],$B2,Data[Profit B])</f>
        <v>12000000</v>
      </c>
      <c r="Q2">
        <f>SUMIF(Data[Item C],$B2,Data[Profit C])</f>
        <v>3900000</v>
      </c>
      <c r="R2">
        <f>SUM(itemsell[[#This Row],[Profit A]:[Profit C]])</f>
        <v>37200000</v>
      </c>
    </row>
    <row r="3" spans="1:19" x14ac:dyDescent="0.2">
      <c r="A3" t="str">
        <f>TEXT(Katalog!A4,"")</f>
        <v>Pakaian Wanita</v>
      </c>
      <c r="B3" t="str">
        <f>TEXT(Katalog!B4,"")</f>
        <v>Blouse</v>
      </c>
      <c r="C3">
        <f>SUMIF(Data[Item A],$B3,Data[Qty A])</f>
        <v>267</v>
      </c>
      <c r="D3">
        <f>SUMIF(Data[Item B],$B3,Data[Qty B])</f>
        <v>98</v>
      </c>
      <c r="E3">
        <f>SUMIF(Data[Item C],$B3,Data[Qty C])</f>
        <v>65</v>
      </c>
      <c r="F3">
        <f>SUM(itemsell[[#This Row],[Qty A]:[Qty C]])</f>
        <v>430</v>
      </c>
      <c r="G3" s="44">
        <f>AVERAGEIF(Data[Item A],$B3,Data[Rating A])</f>
        <v>2.9813084112149535</v>
      </c>
      <c r="H3" s="44">
        <f>AVERAGEIF(Data[Item B],$B3,Data[Rating B])</f>
        <v>3.0535714285714284</v>
      </c>
      <c r="I3" s="44">
        <f>AVERAGEIF(Data[Item C],$B3,Data[Rating C])</f>
        <v>3.0882352941176472</v>
      </c>
      <c r="J3" s="44">
        <f>AVERAGE(itemsell[[#This Row],[Rating A]:[Rating C]])</f>
        <v>3.0410383779680097</v>
      </c>
      <c r="K3">
        <f>SUMIF(Data[Item A],$B3,Data[Harga Barang A])</f>
        <v>40050000</v>
      </c>
      <c r="L3">
        <f>SUMIF(Data[Item B],$B3,Data[Harga Barang B])</f>
        <v>14700000</v>
      </c>
      <c r="M3">
        <f>SUMIF(Data[Item C],$B3,Data[Harga Barang C])</f>
        <v>9750000</v>
      </c>
      <c r="N3">
        <f>SUM(itemsell[[#This Row],[Harga A]:[Harga C]])</f>
        <v>64500000</v>
      </c>
      <c r="O3">
        <f>SUMIF(Data[Item A],$B3,Data[Profit A])</f>
        <v>13350000</v>
      </c>
      <c r="P3">
        <f>SUMIF(Data[Item B],$B3,Data[Profit B])</f>
        <v>4900000</v>
      </c>
      <c r="Q3">
        <f>SUMIF(Data[Item C],$B3,Data[Profit C])</f>
        <v>3250000</v>
      </c>
      <c r="R3">
        <f>SUM(itemsell[[#This Row],[Profit A]:[Profit C]])</f>
        <v>21500000</v>
      </c>
    </row>
    <row r="4" spans="1:19" x14ac:dyDescent="0.2">
      <c r="A4" t="str">
        <f>TEXT(Katalog!A5,"")</f>
        <v>Pakaian Wanita</v>
      </c>
      <c r="B4" t="str">
        <f>TEXT(Katalog!B5,"")</f>
        <v>Kaftan</v>
      </c>
      <c r="C4">
        <f>SUMIF(Data[Item A],$B4,Data[Qty A])</f>
        <v>202</v>
      </c>
      <c r="D4">
        <f>SUMIF(Data[Item B],$B4,Data[Qty B])</f>
        <v>91</v>
      </c>
      <c r="E4">
        <f>SUMIF(Data[Item C],$B4,Data[Qty C])</f>
        <v>29</v>
      </c>
      <c r="F4">
        <f>SUM(itemsell[[#This Row],[Qty A]:[Qty C]])</f>
        <v>322</v>
      </c>
      <c r="G4" s="44">
        <f>AVERAGEIF(Data[Item A],$B4,Data[Rating A])</f>
        <v>3.1012658227848102</v>
      </c>
      <c r="H4" s="44">
        <f>AVERAGEIF(Data[Item B],$B4,Data[Rating B])</f>
        <v>3.0793650793650795</v>
      </c>
      <c r="I4" s="44">
        <f>AVERAGEIF(Data[Item C],$B4,Data[Rating C])</f>
        <v>2.6111111111111112</v>
      </c>
      <c r="J4" s="44">
        <f>AVERAGE(itemsell[[#This Row],[Rating A]:[Rating C]])</f>
        <v>2.9305806710870002</v>
      </c>
      <c r="K4">
        <f>SUMIF(Data[Item A],$B4,Data[Harga Barang A])</f>
        <v>50500000</v>
      </c>
      <c r="L4">
        <f>SUMIF(Data[Item B],$B4,Data[Harga Barang B])</f>
        <v>22750000</v>
      </c>
      <c r="M4">
        <f>SUMIF(Data[Item C],$B4,Data[Harga Barang C])</f>
        <v>7250000</v>
      </c>
      <c r="N4">
        <f>SUM(itemsell[[#This Row],[Harga A]:[Harga C]])</f>
        <v>80500000</v>
      </c>
      <c r="O4">
        <f>SUMIF(Data[Item A],$B4,Data[Profit A])</f>
        <v>20200000</v>
      </c>
      <c r="P4">
        <f>SUMIF(Data[Item B],$B4,Data[Profit B])</f>
        <v>9100000</v>
      </c>
      <c r="Q4">
        <f>SUMIF(Data[Item C],$B4,Data[Profit C])</f>
        <v>2900000</v>
      </c>
      <c r="R4">
        <f>SUM(itemsell[[#This Row],[Profit A]:[Profit C]])</f>
        <v>32200000</v>
      </c>
    </row>
    <row r="5" spans="1:19" x14ac:dyDescent="0.2">
      <c r="A5" t="str">
        <f>TEXT(Katalog!A6,"")</f>
        <v>Pakaian Pria</v>
      </c>
      <c r="B5" t="str">
        <f>TEXT(Katalog!B6,"")</f>
        <v>Kaos Polo</v>
      </c>
      <c r="C5">
        <f>SUMIF(Data[Item A],$B5,Data[Qty A])</f>
        <v>257</v>
      </c>
      <c r="D5">
        <f>SUMIF(Data[Item B],$B5,Data[Qty B])</f>
        <v>101</v>
      </c>
      <c r="E5">
        <f>SUMIF(Data[Item C],$B5,Data[Qty C])</f>
        <v>41</v>
      </c>
      <c r="F5">
        <f>SUM(itemsell[[#This Row],[Qty A]:[Qty C]])</f>
        <v>399</v>
      </c>
      <c r="G5" s="44">
        <f>AVERAGEIF(Data[Item A],$B5,Data[Rating A])</f>
        <v>2.9791666666666665</v>
      </c>
      <c r="H5" s="44">
        <f>AVERAGEIF(Data[Item B],$B5,Data[Rating B])</f>
        <v>3.2380952380952381</v>
      </c>
      <c r="I5" s="44">
        <f>AVERAGEIF(Data[Item C],$B5,Data[Rating C])</f>
        <v>3.5555555555555554</v>
      </c>
      <c r="J5" s="44">
        <f>AVERAGE(itemsell[[#This Row],[Rating A]:[Rating C]])</f>
        <v>3.25760582010582</v>
      </c>
      <c r="K5">
        <f>SUMIF(Data[Item A],$B5,Data[Harga Barang A])</f>
        <v>51400000</v>
      </c>
      <c r="L5">
        <f>SUMIF(Data[Item B],$B5,Data[Harga Barang B])</f>
        <v>20200000</v>
      </c>
      <c r="M5">
        <f>SUMIF(Data[Item C],$B5,Data[Harga Barang C])</f>
        <v>8200000</v>
      </c>
      <c r="N5">
        <f>SUM(itemsell[[#This Row],[Harga A]:[Harga C]])</f>
        <v>79800000</v>
      </c>
      <c r="O5">
        <f>SUMIF(Data[Item A],$B5,Data[Profit A])</f>
        <v>20560000</v>
      </c>
      <c r="P5">
        <f>SUMIF(Data[Item B],$B5,Data[Profit B])</f>
        <v>8080000</v>
      </c>
      <c r="Q5">
        <f>SUMIF(Data[Item C],$B5,Data[Profit C])</f>
        <v>3280000</v>
      </c>
      <c r="R5">
        <f>SUM(itemsell[[#This Row],[Profit A]:[Profit C]])</f>
        <v>31920000</v>
      </c>
    </row>
    <row r="6" spans="1:19" x14ac:dyDescent="0.2">
      <c r="A6" t="str">
        <f>TEXT(Katalog!A7,"")</f>
        <v>Pakaian Pria</v>
      </c>
      <c r="B6" t="str">
        <f>TEXT(Katalog!B7,"")</f>
        <v>Celana Pendek</v>
      </c>
      <c r="C6">
        <f>SUMIF(Data[Item A],$B6,Data[Qty A])</f>
        <v>227</v>
      </c>
      <c r="D6">
        <f>SUMIF(Data[Item B],$B6,Data[Qty B])</f>
        <v>111</v>
      </c>
      <c r="E6">
        <f>SUMIF(Data[Item C],$B6,Data[Qty C])</f>
        <v>46</v>
      </c>
      <c r="F6">
        <f>SUM(itemsell[[#This Row],[Qty A]:[Qty C]])</f>
        <v>384</v>
      </c>
      <c r="G6" s="44">
        <f>AVERAGEIF(Data[Item A],$B6,Data[Rating A])</f>
        <v>3.16</v>
      </c>
      <c r="H6" s="44">
        <f>AVERAGEIF(Data[Item B],$B6,Data[Rating B])</f>
        <v>2.955223880597015</v>
      </c>
      <c r="I6" s="44">
        <f>AVERAGEIF(Data[Item C],$B6,Data[Rating C])</f>
        <v>3.2592592592592591</v>
      </c>
      <c r="J6" s="44">
        <f>AVERAGE(itemsell[[#This Row],[Rating A]:[Rating C]])</f>
        <v>3.1248277132854247</v>
      </c>
      <c r="K6">
        <f>SUMIF(Data[Item A],$B6,Data[Harga Barang A])</f>
        <v>40860000</v>
      </c>
      <c r="L6">
        <f>SUMIF(Data[Item B],$B6,Data[Harga Barang B])</f>
        <v>19980000</v>
      </c>
      <c r="M6">
        <f>SUMIF(Data[Item C],$B6,Data[Harga Barang C])</f>
        <v>8280000</v>
      </c>
      <c r="N6">
        <f>SUM(itemsell[[#This Row],[Harga A]:[Harga C]])</f>
        <v>69120000</v>
      </c>
      <c r="O6">
        <f>SUMIF(Data[Item A],$B6,Data[Profit A])</f>
        <v>15890000</v>
      </c>
      <c r="P6">
        <f>SUMIF(Data[Item B],$B6,Data[Profit B])</f>
        <v>7770000</v>
      </c>
      <c r="Q6">
        <f>SUMIF(Data[Item C],$B6,Data[Profit C])</f>
        <v>3220000</v>
      </c>
      <c r="R6">
        <f>SUM(itemsell[[#This Row],[Profit A]:[Profit C]])</f>
        <v>26880000</v>
      </c>
    </row>
    <row r="7" spans="1:19" x14ac:dyDescent="0.2">
      <c r="A7" t="str">
        <f>TEXT(Katalog!A8,"")</f>
        <v>Pakaian Pria</v>
      </c>
      <c r="B7" t="str">
        <f>TEXT(Katalog!B8,"")</f>
        <v>Jaket Jeans</v>
      </c>
      <c r="C7">
        <f>SUMIF(Data[Item A],$B7,Data[Qty A])</f>
        <v>306</v>
      </c>
      <c r="D7">
        <f>SUMIF(Data[Item B],$B7,Data[Qty B])</f>
        <v>107</v>
      </c>
      <c r="E7">
        <f>SUMIF(Data[Item C],$B7,Data[Qty C])</f>
        <v>38</v>
      </c>
      <c r="F7">
        <f>SUM(itemsell[[#This Row],[Qty A]:[Qty C]])</f>
        <v>451</v>
      </c>
      <c r="G7" s="44">
        <f>AVERAGEIF(Data[Item A],$B7,Data[Rating A])</f>
        <v>3.1967213114754101</v>
      </c>
      <c r="H7" s="44">
        <f>AVERAGEIF(Data[Item B],$B7,Data[Rating B])</f>
        <v>2.8970588235294117</v>
      </c>
      <c r="I7" s="44">
        <f>AVERAGEIF(Data[Item C],$B7,Data[Rating C])</f>
        <v>2.8636363636363638</v>
      </c>
      <c r="J7" s="44">
        <f>AVERAGE(itemsell[[#This Row],[Rating A]:[Rating C]])</f>
        <v>2.985805499547062</v>
      </c>
      <c r="K7">
        <f>SUMIF(Data[Item A],$B7,Data[Harga Barang A])</f>
        <v>122400000</v>
      </c>
      <c r="L7">
        <f>SUMIF(Data[Item B],$B7,Data[Harga Barang B])</f>
        <v>42800000</v>
      </c>
      <c r="M7">
        <f>SUMIF(Data[Item C],$B7,Data[Harga Barang C])</f>
        <v>15200000</v>
      </c>
      <c r="N7">
        <f>SUM(itemsell[[#This Row],[Harga A]:[Harga C]])</f>
        <v>180400000</v>
      </c>
      <c r="O7">
        <f>SUMIF(Data[Item A],$B7,Data[Profit A])</f>
        <v>45900000</v>
      </c>
      <c r="P7">
        <f>SUMIF(Data[Item B],$B7,Data[Profit B])</f>
        <v>16050000</v>
      </c>
      <c r="Q7">
        <f>SUMIF(Data[Item C],$B7,Data[Profit C])</f>
        <v>5700000</v>
      </c>
      <c r="R7">
        <f>SUM(itemsell[[#This Row],[Profit A]:[Profit C]])</f>
        <v>67650000</v>
      </c>
    </row>
    <row r="8" spans="1:19" x14ac:dyDescent="0.2">
      <c r="A8" t="str">
        <f>TEXT(Katalog!A9,"")</f>
        <v>Pakaian Unisex</v>
      </c>
      <c r="B8" t="str">
        <f>TEXT(Katalog!B9,"")</f>
        <v>Jaket Hoodie</v>
      </c>
      <c r="C8">
        <f>SUMIF(Data[Item A],$B8,Data[Qty A])</f>
        <v>252</v>
      </c>
      <c r="D8">
        <f>SUMIF(Data[Item B],$B8,Data[Qty B])</f>
        <v>118</v>
      </c>
      <c r="E8">
        <f>SUMIF(Data[Item C],$B8,Data[Qty C])</f>
        <v>35</v>
      </c>
      <c r="F8">
        <f>SUM(itemsell[[#This Row],[Qty A]:[Qty C]])</f>
        <v>405</v>
      </c>
      <c r="G8" s="44">
        <f>AVERAGEIF(Data[Item A],$B8,Data[Rating A])</f>
        <v>3.0693069306930694</v>
      </c>
      <c r="H8" s="44">
        <f>AVERAGEIF(Data[Item B],$B8,Data[Rating B])</f>
        <v>3.1147540983606556</v>
      </c>
      <c r="I8" s="44">
        <f>AVERAGEIF(Data[Item C],$B8,Data[Rating C])</f>
        <v>3.0434782608695654</v>
      </c>
      <c r="J8" s="44">
        <f>AVERAGE(itemsell[[#This Row],[Rating A]:[Rating C]])</f>
        <v>3.0758464299744297</v>
      </c>
      <c r="K8">
        <f>SUMIF(Data[Item A],$B8,Data[Harga Barang A])</f>
        <v>88200000</v>
      </c>
      <c r="L8">
        <f>SUMIF(Data[Item B],$B8,Data[Harga Barang B])</f>
        <v>41300000</v>
      </c>
      <c r="M8">
        <f>SUMIF(Data[Item C],$B8,Data[Harga Barang C])</f>
        <v>12250000</v>
      </c>
      <c r="N8">
        <f>SUM(itemsell[[#This Row],[Harga A]:[Harga C]])</f>
        <v>141750000</v>
      </c>
      <c r="O8">
        <f>SUMIF(Data[Item A],$B8,Data[Profit A])</f>
        <v>32760000</v>
      </c>
      <c r="P8">
        <f>SUMIF(Data[Item B],$B8,Data[Profit B])</f>
        <v>15340000</v>
      </c>
      <c r="Q8">
        <f>SUMIF(Data[Item C],$B8,Data[Profit C])</f>
        <v>4550000</v>
      </c>
      <c r="R8">
        <f>SUM(itemsell[[#This Row],[Profit A]:[Profit C]])</f>
        <v>52650000</v>
      </c>
    </row>
    <row r="9" spans="1:19" x14ac:dyDescent="0.2">
      <c r="A9" t="str">
        <f>TEXT(Katalog!A10,"")</f>
        <v>Sepatu Pria</v>
      </c>
      <c r="B9" t="str">
        <f>TEXT(Katalog!B10,"")</f>
        <v>Sneakers</v>
      </c>
      <c r="C9">
        <f>SUMIF(Data[Item A],$B9,Data[Qty A])</f>
        <v>270</v>
      </c>
      <c r="D9">
        <f>SUMIF(Data[Item B],$B9,Data[Qty B])</f>
        <v>95</v>
      </c>
      <c r="E9">
        <f>SUMIF(Data[Item C],$B9,Data[Qty C])</f>
        <v>57</v>
      </c>
      <c r="F9">
        <f>SUM(itemsell[[#This Row],[Qty A]:[Qty C]])</f>
        <v>422</v>
      </c>
      <c r="G9" s="44">
        <f>AVERAGEIF(Data[Item A],$B9,Data[Rating A])</f>
        <v>2.831578947368421</v>
      </c>
      <c r="H9" s="44">
        <f>AVERAGEIF(Data[Item B],$B9,Data[Rating B])</f>
        <v>2.8548387096774195</v>
      </c>
      <c r="I9" s="44">
        <f>AVERAGEIF(Data[Item C],$B9,Data[Rating C])</f>
        <v>3.1515151515151514</v>
      </c>
      <c r="J9" s="44">
        <f>AVERAGE(itemsell[[#This Row],[Rating A]:[Rating C]])</f>
        <v>2.9459776028536644</v>
      </c>
      <c r="K9">
        <f>SUMIF(Data[Item A],$B9,Data[Harga Barang A])</f>
        <v>135000000</v>
      </c>
      <c r="L9">
        <f>SUMIF(Data[Item B],$B9,Data[Harga Barang B])</f>
        <v>47500000</v>
      </c>
      <c r="M9">
        <f>SUMIF(Data[Item C],$B9,Data[Harga Barang C])</f>
        <v>28500000</v>
      </c>
      <c r="N9">
        <f>SUM(itemsell[[#This Row],[Harga A]:[Harga C]])</f>
        <v>211000000</v>
      </c>
      <c r="O9">
        <f>SUMIF(Data[Item A],$B9,Data[Profit A])</f>
        <v>54000000</v>
      </c>
      <c r="P9">
        <f>SUMIF(Data[Item B],$B9,Data[Profit B])</f>
        <v>19000000</v>
      </c>
      <c r="Q9">
        <f>SUMIF(Data[Item C],$B9,Data[Profit C])</f>
        <v>11400000</v>
      </c>
      <c r="R9">
        <f>SUM(itemsell[[#This Row],[Profit A]:[Profit C]])</f>
        <v>84400000</v>
      </c>
    </row>
    <row r="10" spans="1:19" x14ac:dyDescent="0.2">
      <c r="A10" t="str">
        <f>TEXT(Katalog!A11,"")</f>
        <v>Sepatu Pria</v>
      </c>
      <c r="B10" t="str">
        <f>TEXT(Katalog!B11,"")</f>
        <v>Sandal Slip On</v>
      </c>
      <c r="C10">
        <f>SUMIF(Data[Item A],$B10,Data[Qty A])</f>
        <v>293</v>
      </c>
      <c r="D10">
        <f>SUMIF(Data[Item B],$B10,Data[Qty B])</f>
        <v>147</v>
      </c>
      <c r="E10">
        <f>SUMIF(Data[Item C],$B10,Data[Qty C])</f>
        <v>52</v>
      </c>
      <c r="F10">
        <f>SUM(itemsell[[#This Row],[Qty A]:[Qty C]])</f>
        <v>492</v>
      </c>
      <c r="G10" s="44">
        <f>AVERAGEIF(Data[Item A],$B10,Data[Rating A])</f>
        <v>3.1636363636363636</v>
      </c>
      <c r="H10" s="44">
        <f>AVERAGEIF(Data[Item B],$B10,Data[Rating B])</f>
        <v>3.125</v>
      </c>
      <c r="I10" s="44">
        <f>AVERAGEIF(Data[Item C],$B10,Data[Rating C])</f>
        <v>2.9666666666666668</v>
      </c>
      <c r="J10" s="44">
        <f>AVERAGE(itemsell[[#This Row],[Rating A]:[Rating C]])</f>
        <v>3.0851010101010101</v>
      </c>
      <c r="K10">
        <f>SUMIF(Data[Item A],$B10,Data[Harga Barang A])</f>
        <v>43950000</v>
      </c>
      <c r="L10">
        <f>SUMIF(Data[Item B],$B10,Data[Harga Barang B])</f>
        <v>22050000</v>
      </c>
      <c r="M10">
        <f>SUMIF(Data[Item C],$B10,Data[Harga Barang C])</f>
        <v>7800000</v>
      </c>
      <c r="N10">
        <f>SUM(itemsell[[#This Row],[Harga A]:[Harga C]])</f>
        <v>73800000</v>
      </c>
      <c r="O10">
        <f>SUMIF(Data[Item A],$B10,Data[Profit A])</f>
        <v>17580000</v>
      </c>
      <c r="P10">
        <f>SUMIF(Data[Item B],$B10,Data[Profit B])</f>
        <v>8820000</v>
      </c>
      <c r="Q10">
        <f>SUMIF(Data[Item C],$B10,Data[Profit C])</f>
        <v>3120000</v>
      </c>
      <c r="R10">
        <f>SUM(itemsell[[#This Row],[Profit A]:[Profit C]])</f>
        <v>29520000</v>
      </c>
    </row>
    <row r="11" spans="1:19" x14ac:dyDescent="0.2">
      <c r="A11" t="str">
        <f>TEXT(Katalog!A12,"")</f>
        <v>Sepatu Wanita</v>
      </c>
      <c r="B11" t="str">
        <f>TEXT(Katalog!B12,"")</f>
        <v>Flat Shoes</v>
      </c>
      <c r="C11">
        <f>SUMIF(Data[Item A],$B11,Data[Qty A])</f>
        <v>222</v>
      </c>
      <c r="D11">
        <f>SUMIF(Data[Item B],$B11,Data[Qty B])</f>
        <v>109</v>
      </c>
      <c r="E11">
        <f>SUMIF(Data[Item C],$B11,Data[Qty C])</f>
        <v>72</v>
      </c>
      <c r="F11">
        <f>SUM(itemsell[[#This Row],[Qty A]:[Qty C]])</f>
        <v>403</v>
      </c>
      <c r="G11" s="44">
        <f>AVERAGEIF(Data[Item A],$B11,Data[Rating A])</f>
        <v>2.9148936170212765</v>
      </c>
      <c r="H11" s="44">
        <f>AVERAGEIF(Data[Item B],$B11,Data[Rating B])</f>
        <v>2.9682539682539684</v>
      </c>
      <c r="I11" s="44">
        <f>AVERAGEIF(Data[Item C],$B11,Data[Rating C])</f>
        <v>2.9722222222222223</v>
      </c>
      <c r="J11" s="44">
        <f>AVERAGE(itemsell[[#This Row],[Rating A]:[Rating C]])</f>
        <v>2.9517899358324891</v>
      </c>
      <c r="K11">
        <f>SUMIF(Data[Item A],$B11,Data[Harga Barang A])</f>
        <v>55500000</v>
      </c>
      <c r="L11">
        <f>SUMIF(Data[Item B],$B11,Data[Harga Barang B])</f>
        <v>27250000</v>
      </c>
      <c r="M11">
        <f>SUMIF(Data[Item C],$B11,Data[Harga Barang C])</f>
        <v>18000000</v>
      </c>
      <c r="N11">
        <f>SUM(itemsell[[#This Row],[Harga A]:[Harga C]])</f>
        <v>100750000</v>
      </c>
      <c r="O11">
        <f>SUMIF(Data[Item A],$B11,Data[Profit A])</f>
        <v>22200000</v>
      </c>
      <c r="P11">
        <f>SUMIF(Data[Item B],$B11,Data[Profit B])</f>
        <v>10900000</v>
      </c>
      <c r="Q11">
        <f>SUMIF(Data[Item C],$B11,Data[Profit C])</f>
        <v>7200000</v>
      </c>
      <c r="R11">
        <f>SUM(itemsell[[#This Row],[Profit A]:[Profit C]])</f>
        <v>40300000</v>
      </c>
    </row>
    <row r="12" spans="1:19" x14ac:dyDescent="0.2">
      <c r="A12" t="str">
        <f>TEXT(Katalog!A13,"")</f>
        <v/>
      </c>
      <c r="B12" t="str">
        <f>TEXT(Katalog!B13,"")</f>
        <v/>
      </c>
    </row>
    <row r="13" spans="1:19" x14ac:dyDescent="0.2">
      <c r="A13" t="str">
        <f>TEXT(Katalog!A14,"")</f>
        <v/>
      </c>
      <c r="B13" t="str">
        <f>TEXT(Katalog!B14,"")</f>
        <v/>
      </c>
    </row>
    <row r="14" spans="1:19" x14ac:dyDescent="0.2">
      <c r="A14" t="str">
        <f>TEXT(Katalog!A15,"")</f>
        <v/>
      </c>
      <c r="B14" t="str">
        <f>TEXT(Katalog!B15,"")</f>
        <v/>
      </c>
    </row>
    <row r="15" spans="1:19" x14ac:dyDescent="0.2">
      <c r="A15" t="str">
        <f>TEXT(Katalog!A16,"")</f>
        <v/>
      </c>
      <c r="B15" t="str">
        <f>TEXT(Katalog!B16,"")</f>
        <v/>
      </c>
    </row>
    <row r="16" spans="1:19" x14ac:dyDescent="0.2">
      <c r="A16" t="str">
        <f>TEXT(Katalog!A17,"")</f>
        <v/>
      </c>
      <c r="B16" t="str">
        <f>TEXT(Katalog!B17,"")</f>
        <v/>
      </c>
    </row>
    <row r="17" spans="1:2" x14ac:dyDescent="0.2">
      <c r="A17" t="str">
        <f>TEXT(Katalog!A18,"")</f>
        <v/>
      </c>
      <c r="B17" t="str">
        <f>TEXT(Katalog!B18,"")</f>
        <v/>
      </c>
    </row>
    <row r="18" spans="1:2" x14ac:dyDescent="0.2">
      <c r="A18" t="str">
        <f>TEXT(Katalog!A19,"")</f>
        <v/>
      </c>
      <c r="B18" t="str">
        <f>TEXT(Katalog!B19,"")</f>
        <v/>
      </c>
    </row>
    <row r="19" spans="1:2" x14ac:dyDescent="0.2">
      <c r="A19" t="str">
        <f>TEXT(Katalog!A20,"")</f>
        <v/>
      </c>
      <c r="B19" t="str">
        <f>TEXT(Katalog!B20,"")</f>
        <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4E99C-BB5E-4B2E-B410-0A01EF4B43FE}">
  <dimension ref="A3:B87"/>
  <sheetViews>
    <sheetView workbookViewId="0">
      <selection activeCell="M2" sqref="M2"/>
    </sheetView>
  </sheetViews>
  <sheetFormatPr defaultRowHeight="12.75" x14ac:dyDescent="0.2"/>
  <cols>
    <col min="1" max="1" width="17.28515625" bestFit="1" customWidth="1"/>
    <col min="2" max="2" width="22.140625" bestFit="1" customWidth="1"/>
    <col min="3" max="3" width="17.5703125" bestFit="1" customWidth="1"/>
    <col min="4" max="4" width="13.5703125" bestFit="1" customWidth="1"/>
    <col min="5" max="5" width="12.85546875" bestFit="1" customWidth="1"/>
  </cols>
  <sheetData>
    <row r="3" spans="1:2" x14ac:dyDescent="0.2">
      <c r="A3" s="38" t="s">
        <v>126</v>
      </c>
      <c r="B3" t="s">
        <v>183</v>
      </c>
    </row>
    <row r="4" spans="1:2" x14ac:dyDescent="0.2">
      <c r="A4" s="39" t="s">
        <v>56</v>
      </c>
      <c r="B4" s="68">
        <v>430</v>
      </c>
    </row>
    <row r="5" spans="1:2" x14ac:dyDescent="0.2">
      <c r="A5" s="39" t="s">
        <v>15</v>
      </c>
      <c r="B5" s="68">
        <v>384</v>
      </c>
    </row>
    <row r="6" spans="1:2" x14ac:dyDescent="0.2">
      <c r="A6" s="39" t="s">
        <v>55</v>
      </c>
      <c r="B6" s="68">
        <v>372</v>
      </c>
    </row>
    <row r="7" spans="1:2" x14ac:dyDescent="0.2">
      <c r="A7" s="39" t="s">
        <v>16</v>
      </c>
      <c r="B7" s="68">
        <v>403</v>
      </c>
    </row>
    <row r="8" spans="1:2" x14ac:dyDescent="0.2">
      <c r="A8" s="39" t="s">
        <v>17</v>
      </c>
      <c r="B8" s="68">
        <v>405</v>
      </c>
    </row>
    <row r="9" spans="1:2" x14ac:dyDescent="0.2">
      <c r="A9" s="39" t="s">
        <v>18</v>
      </c>
      <c r="B9" s="68">
        <v>451</v>
      </c>
    </row>
    <row r="10" spans="1:2" x14ac:dyDescent="0.2">
      <c r="A10" s="39" t="s">
        <v>19</v>
      </c>
      <c r="B10" s="68">
        <v>322</v>
      </c>
    </row>
    <row r="11" spans="1:2" x14ac:dyDescent="0.2">
      <c r="A11" s="39" t="s">
        <v>20</v>
      </c>
      <c r="B11" s="68">
        <v>399</v>
      </c>
    </row>
    <row r="12" spans="1:2" x14ac:dyDescent="0.2">
      <c r="A12" s="39" t="s">
        <v>21</v>
      </c>
      <c r="B12" s="68">
        <v>492</v>
      </c>
    </row>
    <row r="13" spans="1:2" x14ac:dyDescent="0.2">
      <c r="A13" s="39" t="s">
        <v>57</v>
      </c>
      <c r="B13" s="68">
        <v>422</v>
      </c>
    </row>
    <row r="14" spans="1:2" x14ac:dyDescent="0.2">
      <c r="A14" s="39" t="s">
        <v>127</v>
      </c>
      <c r="B14" s="68">
        <v>4080</v>
      </c>
    </row>
    <row r="16" spans="1:2" x14ac:dyDescent="0.2">
      <c r="A16" s="38" t="s">
        <v>126</v>
      </c>
      <c r="B16" t="s">
        <v>129</v>
      </c>
    </row>
    <row r="17" spans="1:2" x14ac:dyDescent="0.2">
      <c r="A17" s="39" t="s">
        <v>56</v>
      </c>
      <c r="B17" s="68">
        <v>72870000</v>
      </c>
    </row>
    <row r="18" spans="1:2" x14ac:dyDescent="0.2">
      <c r="A18" s="40" t="s">
        <v>77</v>
      </c>
      <c r="B18" s="68">
        <v>10135000</v>
      </c>
    </row>
    <row r="19" spans="1:2" x14ac:dyDescent="0.2">
      <c r="A19" s="40" t="s">
        <v>75</v>
      </c>
      <c r="B19" s="68">
        <v>8815000</v>
      </c>
    </row>
    <row r="20" spans="1:2" x14ac:dyDescent="0.2">
      <c r="A20" s="40" t="s">
        <v>80</v>
      </c>
      <c r="B20" s="68">
        <v>24974500</v>
      </c>
    </row>
    <row r="21" spans="1:2" x14ac:dyDescent="0.2">
      <c r="A21" s="40" t="s">
        <v>78</v>
      </c>
      <c r="B21" s="68">
        <v>4307500</v>
      </c>
    </row>
    <row r="22" spans="1:2" x14ac:dyDescent="0.2">
      <c r="A22" s="40" t="s">
        <v>76</v>
      </c>
      <c r="B22" s="68">
        <v>11148000</v>
      </c>
    </row>
    <row r="23" spans="1:2" x14ac:dyDescent="0.2">
      <c r="A23" s="40" t="s">
        <v>79</v>
      </c>
      <c r="B23" s="68">
        <v>13490000</v>
      </c>
    </row>
    <row r="24" spans="1:2" x14ac:dyDescent="0.2">
      <c r="A24" s="39" t="s">
        <v>15</v>
      </c>
      <c r="B24" s="68">
        <v>80286500</v>
      </c>
    </row>
    <row r="25" spans="1:2" x14ac:dyDescent="0.2">
      <c r="A25" s="40" t="s">
        <v>77</v>
      </c>
      <c r="B25" s="68">
        <v>8362500</v>
      </c>
    </row>
    <row r="26" spans="1:2" x14ac:dyDescent="0.2">
      <c r="A26" s="40" t="s">
        <v>75</v>
      </c>
      <c r="B26" s="68">
        <v>12850500</v>
      </c>
    </row>
    <row r="27" spans="1:2" x14ac:dyDescent="0.2">
      <c r="A27" s="40" t="s">
        <v>80</v>
      </c>
      <c r="B27" s="68">
        <v>25231500</v>
      </c>
    </row>
    <row r="28" spans="1:2" x14ac:dyDescent="0.2">
      <c r="A28" s="40" t="s">
        <v>78</v>
      </c>
      <c r="B28" s="68">
        <v>5067000</v>
      </c>
    </row>
    <row r="29" spans="1:2" x14ac:dyDescent="0.2">
      <c r="A29" s="40" t="s">
        <v>76</v>
      </c>
      <c r="B29" s="68">
        <v>13556500</v>
      </c>
    </row>
    <row r="30" spans="1:2" x14ac:dyDescent="0.2">
      <c r="A30" s="40" t="s">
        <v>79</v>
      </c>
      <c r="B30" s="68">
        <v>15218500</v>
      </c>
    </row>
    <row r="31" spans="1:2" x14ac:dyDescent="0.2">
      <c r="A31" s="39" t="s">
        <v>55</v>
      </c>
      <c r="B31" s="68">
        <v>95909000</v>
      </c>
    </row>
    <row r="32" spans="1:2" x14ac:dyDescent="0.2">
      <c r="A32" s="40" t="s">
        <v>77</v>
      </c>
      <c r="B32" s="68">
        <v>8582000</v>
      </c>
    </row>
    <row r="33" spans="1:2" x14ac:dyDescent="0.2">
      <c r="A33" s="40" t="s">
        <v>75</v>
      </c>
      <c r="B33" s="68">
        <v>16630000</v>
      </c>
    </row>
    <row r="34" spans="1:2" x14ac:dyDescent="0.2">
      <c r="A34" s="40" t="s">
        <v>80</v>
      </c>
      <c r="B34" s="68">
        <v>36057000</v>
      </c>
    </row>
    <row r="35" spans="1:2" x14ac:dyDescent="0.2">
      <c r="A35" s="40" t="s">
        <v>78</v>
      </c>
      <c r="B35" s="68">
        <v>2502500</v>
      </c>
    </row>
    <row r="36" spans="1:2" x14ac:dyDescent="0.2">
      <c r="A36" s="40" t="s">
        <v>76</v>
      </c>
      <c r="B36" s="68">
        <v>17170000</v>
      </c>
    </row>
    <row r="37" spans="1:2" x14ac:dyDescent="0.2">
      <c r="A37" s="40" t="s">
        <v>79</v>
      </c>
      <c r="B37" s="68">
        <v>14967500</v>
      </c>
    </row>
    <row r="38" spans="1:2" x14ac:dyDescent="0.2">
      <c r="A38" s="39" t="s">
        <v>16</v>
      </c>
      <c r="B38" s="68">
        <v>81792000</v>
      </c>
    </row>
    <row r="39" spans="1:2" x14ac:dyDescent="0.2">
      <c r="A39" s="40" t="s">
        <v>77</v>
      </c>
      <c r="B39" s="68">
        <v>6715000</v>
      </c>
    </row>
    <row r="40" spans="1:2" x14ac:dyDescent="0.2">
      <c r="A40" s="40" t="s">
        <v>75</v>
      </c>
      <c r="B40" s="68">
        <v>18014000</v>
      </c>
    </row>
    <row r="41" spans="1:2" x14ac:dyDescent="0.2">
      <c r="A41" s="40" t="s">
        <v>80</v>
      </c>
      <c r="B41" s="68">
        <v>22091500</v>
      </c>
    </row>
    <row r="42" spans="1:2" x14ac:dyDescent="0.2">
      <c r="A42" s="40" t="s">
        <v>78</v>
      </c>
      <c r="B42" s="68">
        <v>5532500</v>
      </c>
    </row>
    <row r="43" spans="1:2" x14ac:dyDescent="0.2">
      <c r="A43" s="40" t="s">
        <v>76</v>
      </c>
      <c r="B43" s="68">
        <v>14618000</v>
      </c>
    </row>
    <row r="44" spans="1:2" x14ac:dyDescent="0.2">
      <c r="A44" s="40" t="s">
        <v>79</v>
      </c>
      <c r="B44" s="68">
        <v>14821000</v>
      </c>
    </row>
    <row r="45" spans="1:2" x14ac:dyDescent="0.2">
      <c r="A45" s="39" t="s">
        <v>17</v>
      </c>
      <c r="B45" s="68">
        <v>114408500</v>
      </c>
    </row>
    <row r="46" spans="1:2" x14ac:dyDescent="0.2">
      <c r="A46" s="40" t="s">
        <v>77</v>
      </c>
      <c r="B46" s="68">
        <v>9665000</v>
      </c>
    </row>
    <row r="47" spans="1:2" x14ac:dyDescent="0.2">
      <c r="A47" s="40" t="s">
        <v>75</v>
      </c>
      <c r="B47" s="68">
        <v>26852000</v>
      </c>
    </row>
    <row r="48" spans="1:2" x14ac:dyDescent="0.2">
      <c r="A48" s="40" t="s">
        <v>80</v>
      </c>
      <c r="B48" s="68">
        <v>28470500</v>
      </c>
    </row>
    <row r="49" spans="1:2" x14ac:dyDescent="0.2">
      <c r="A49" s="40" t="s">
        <v>78</v>
      </c>
      <c r="B49" s="68">
        <v>8902500</v>
      </c>
    </row>
    <row r="50" spans="1:2" x14ac:dyDescent="0.2">
      <c r="A50" s="40" t="s">
        <v>76</v>
      </c>
      <c r="B50" s="68">
        <v>23914500</v>
      </c>
    </row>
    <row r="51" spans="1:2" x14ac:dyDescent="0.2">
      <c r="A51" s="40" t="s">
        <v>79</v>
      </c>
      <c r="B51" s="68">
        <v>16604000</v>
      </c>
    </row>
    <row r="52" spans="1:2" x14ac:dyDescent="0.2">
      <c r="A52" s="39" t="s">
        <v>18</v>
      </c>
      <c r="B52" s="68">
        <v>155680000</v>
      </c>
    </row>
    <row r="53" spans="1:2" x14ac:dyDescent="0.2">
      <c r="A53" s="40" t="s">
        <v>77</v>
      </c>
      <c r="B53" s="68">
        <v>14810000</v>
      </c>
    </row>
    <row r="54" spans="1:2" x14ac:dyDescent="0.2">
      <c r="A54" s="40" t="s">
        <v>75</v>
      </c>
      <c r="B54" s="68">
        <v>27982000</v>
      </c>
    </row>
    <row r="55" spans="1:2" x14ac:dyDescent="0.2">
      <c r="A55" s="40" t="s">
        <v>80</v>
      </c>
      <c r="B55" s="68">
        <v>48459000</v>
      </c>
    </row>
    <row r="56" spans="1:2" x14ac:dyDescent="0.2">
      <c r="A56" s="40" t="s">
        <v>78</v>
      </c>
      <c r="B56" s="68">
        <v>12979500</v>
      </c>
    </row>
    <row r="57" spans="1:2" x14ac:dyDescent="0.2">
      <c r="A57" s="40" t="s">
        <v>76</v>
      </c>
      <c r="B57" s="68">
        <v>29029500</v>
      </c>
    </row>
    <row r="58" spans="1:2" x14ac:dyDescent="0.2">
      <c r="A58" s="40" t="s">
        <v>79</v>
      </c>
      <c r="B58" s="68">
        <v>22420000</v>
      </c>
    </row>
    <row r="59" spans="1:2" x14ac:dyDescent="0.2">
      <c r="A59" s="39" t="s">
        <v>19</v>
      </c>
      <c r="B59" s="68">
        <v>74629500</v>
      </c>
    </row>
    <row r="60" spans="1:2" x14ac:dyDescent="0.2">
      <c r="A60" s="40" t="s">
        <v>77</v>
      </c>
      <c r="B60" s="68">
        <v>3165000</v>
      </c>
    </row>
    <row r="61" spans="1:2" x14ac:dyDescent="0.2">
      <c r="A61" s="40" t="s">
        <v>75</v>
      </c>
      <c r="B61" s="68">
        <v>13931000</v>
      </c>
    </row>
    <row r="62" spans="1:2" x14ac:dyDescent="0.2">
      <c r="A62" s="40" t="s">
        <v>80</v>
      </c>
      <c r="B62" s="68">
        <v>27437500</v>
      </c>
    </row>
    <row r="63" spans="1:2" x14ac:dyDescent="0.2">
      <c r="A63" s="40" t="s">
        <v>78</v>
      </c>
      <c r="B63" s="68">
        <v>4172500</v>
      </c>
    </row>
    <row r="64" spans="1:2" x14ac:dyDescent="0.2">
      <c r="A64" s="40" t="s">
        <v>76</v>
      </c>
      <c r="B64" s="68">
        <v>9441000</v>
      </c>
    </row>
    <row r="65" spans="1:2" x14ac:dyDescent="0.2">
      <c r="A65" s="40" t="s">
        <v>79</v>
      </c>
      <c r="B65" s="68">
        <v>16482500</v>
      </c>
    </row>
    <row r="66" spans="1:2" x14ac:dyDescent="0.2">
      <c r="A66" s="39" t="s">
        <v>20</v>
      </c>
      <c r="B66" s="68">
        <v>76853500</v>
      </c>
    </row>
    <row r="67" spans="1:2" x14ac:dyDescent="0.2">
      <c r="A67" s="40" t="s">
        <v>77</v>
      </c>
      <c r="B67" s="68">
        <v>10935000</v>
      </c>
    </row>
    <row r="68" spans="1:2" x14ac:dyDescent="0.2">
      <c r="A68" s="40" t="s">
        <v>75</v>
      </c>
      <c r="B68" s="68">
        <v>7640000</v>
      </c>
    </row>
    <row r="69" spans="1:2" x14ac:dyDescent="0.2">
      <c r="A69" s="40" t="s">
        <v>80</v>
      </c>
      <c r="B69" s="68">
        <v>25325500</v>
      </c>
    </row>
    <row r="70" spans="1:2" x14ac:dyDescent="0.2">
      <c r="A70" s="40" t="s">
        <v>78</v>
      </c>
      <c r="B70" s="68">
        <v>7605000</v>
      </c>
    </row>
    <row r="71" spans="1:2" x14ac:dyDescent="0.2">
      <c r="A71" s="40" t="s">
        <v>76</v>
      </c>
      <c r="B71" s="68">
        <v>11198500</v>
      </c>
    </row>
    <row r="72" spans="1:2" x14ac:dyDescent="0.2">
      <c r="A72" s="40" t="s">
        <v>79</v>
      </c>
      <c r="B72" s="68">
        <v>14149500</v>
      </c>
    </row>
    <row r="73" spans="1:2" x14ac:dyDescent="0.2">
      <c r="A73" s="39" t="s">
        <v>21</v>
      </c>
      <c r="B73" s="68">
        <v>77911500</v>
      </c>
    </row>
    <row r="74" spans="1:2" x14ac:dyDescent="0.2">
      <c r="A74" s="40" t="s">
        <v>77</v>
      </c>
      <c r="B74" s="68">
        <v>4960000</v>
      </c>
    </row>
    <row r="75" spans="1:2" x14ac:dyDescent="0.2">
      <c r="A75" s="40" t="s">
        <v>75</v>
      </c>
      <c r="B75" s="68">
        <v>13634500</v>
      </c>
    </row>
    <row r="76" spans="1:2" x14ac:dyDescent="0.2">
      <c r="A76" s="40" t="s">
        <v>80</v>
      </c>
      <c r="B76" s="68">
        <v>33020500</v>
      </c>
    </row>
    <row r="77" spans="1:2" x14ac:dyDescent="0.2">
      <c r="A77" s="40" t="s">
        <v>78</v>
      </c>
      <c r="B77" s="68">
        <v>9892500</v>
      </c>
    </row>
    <row r="78" spans="1:2" x14ac:dyDescent="0.2">
      <c r="A78" s="40" t="s">
        <v>76</v>
      </c>
      <c r="B78" s="68">
        <v>8603500</v>
      </c>
    </row>
    <row r="79" spans="1:2" x14ac:dyDescent="0.2">
      <c r="A79" s="40" t="s">
        <v>79</v>
      </c>
      <c r="B79" s="68">
        <v>7800500</v>
      </c>
    </row>
    <row r="80" spans="1:2" x14ac:dyDescent="0.2">
      <c r="A80" s="39" t="s">
        <v>57</v>
      </c>
      <c r="B80" s="68">
        <v>151948000</v>
      </c>
    </row>
    <row r="81" spans="1:2" x14ac:dyDescent="0.2">
      <c r="A81" s="40" t="s">
        <v>77</v>
      </c>
      <c r="B81" s="68">
        <v>22405000</v>
      </c>
    </row>
    <row r="82" spans="1:2" x14ac:dyDescent="0.2">
      <c r="A82" s="40" t="s">
        <v>75</v>
      </c>
      <c r="B82" s="68">
        <v>28168000</v>
      </c>
    </row>
    <row r="83" spans="1:2" x14ac:dyDescent="0.2">
      <c r="A83" s="40" t="s">
        <v>80</v>
      </c>
      <c r="B83" s="68">
        <v>72103000</v>
      </c>
    </row>
    <row r="84" spans="1:2" x14ac:dyDescent="0.2">
      <c r="A84" s="40" t="s">
        <v>78</v>
      </c>
      <c r="B84" s="68">
        <v>450000</v>
      </c>
    </row>
    <row r="85" spans="1:2" x14ac:dyDescent="0.2">
      <c r="A85" s="40" t="s">
        <v>76</v>
      </c>
      <c r="B85" s="68">
        <v>16100000</v>
      </c>
    </row>
    <row r="86" spans="1:2" x14ac:dyDescent="0.2">
      <c r="A86" s="40" t="s">
        <v>79</v>
      </c>
      <c r="B86" s="68">
        <v>12722000</v>
      </c>
    </row>
    <row r="87" spans="1:2" x14ac:dyDescent="0.2">
      <c r="A87" s="39" t="s">
        <v>127</v>
      </c>
      <c r="B87" s="68">
        <v>982288500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E1919-B533-4EB6-9171-1CB5DA38413B}">
  <dimension ref="A1:C50"/>
  <sheetViews>
    <sheetView workbookViewId="0">
      <selection activeCell="G16" sqref="G16"/>
    </sheetView>
  </sheetViews>
  <sheetFormatPr defaultRowHeight="12.75" x14ac:dyDescent="0.2"/>
  <cols>
    <col min="1" max="1" width="17" bestFit="1" customWidth="1"/>
    <col min="2" max="2" width="17" customWidth="1"/>
    <col min="3" max="3" width="66.5703125" bestFit="1" customWidth="1"/>
  </cols>
  <sheetData>
    <row r="1" spans="1:3" ht="17.25" x14ac:dyDescent="0.2">
      <c r="A1" s="41" t="s">
        <v>130</v>
      </c>
      <c r="B1" s="9"/>
      <c r="C1" s="9"/>
    </row>
    <row r="2" spans="1:3" x14ac:dyDescent="0.2">
      <c r="A2" s="42"/>
      <c r="B2" s="9"/>
      <c r="C2" s="9"/>
    </row>
    <row r="3" spans="1:3" x14ac:dyDescent="0.2">
      <c r="A3" s="43" t="s">
        <v>131</v>
      </c>
      <c r="B3" s="9"/>
      <c r="C3" s="9"/>
    </row>
    <row r="4" spans="1:3" x14ac:dyDescent="0.2">
      <c r="A4" s="43" t="s">
        <v>132</v>
      </c>
      <c r="B4" s="9"/>
      <c r="C4" s="9"/>
    </row>
    <row r="5" spans="1:3" x14ac:dyDescent="0.2">
      <c r="A5" s="43" t="s">
        <v>133</v>
      </c>
      <c r="B5" s="9"/>
      <c r="C5" s="9"/>
    </row>
    <row r="6" spans="1:3" x14ac:dyDescent="0.2">
      <c r="A6" s="43" t="s">
        <v>134</v>
      </c>
      <c r="B6" s="9"/>
      <c r="C6" s="9"/>
    </row>
    <row r="7" spans="1:3" x14ac:dyDescent="0.2">
      <c r="A7" s="43" t="s">
        <v>135</v>
      </c>
      <c r="B7" s="9"/>
      <c r="C7" s="9"/>
    </row>
    <row r="8" spans="1:3" x14ac:dyDescent="0.2">
      <c r="A8" s="43" t="s">
        <v>136</v>
      </c>
      <c r="B8" s="9"/>
      <c r="C8" s="9"/>
    </row>
    <row r="9" spans="1:3" x14ac:dyDescent="0.2">
      <c r="A9" s="43" t="s">
        <v>137</v>
      </c>
      <c r="B9" s="9"/>
      <c r="C9" s="9"/>
    </row>
    <row r="10" spans="1:3" x14ac:dyDescent="0.2">
      <c r="A10" s="43" t="s">
        <v>138</v>
      </c>
      <c r="B10" s="9"/>
      <c r="C10" s="9"/>
    </row>
    <row r="11" spans="1:3" x14ac:dyDescent="0.2">
      <c r="A11" s="43" t="s">
        <v>139</v>
      </c>
      <c r="B11" s="9"/>
      <c r="C11" s="9"/>
    </row>
    <row r="12" spans="1:3" x14ac:dyDescent="0.2">
      <c r="A12" s="43" t="s">
        <v>140</v>
      </c>
      <c r="B12" s="9"/>
      <c r="C12" s="9"/>
    </row>
    <row r="13" spans="1:3" x14ac:dyDescent="0.2">
      <c r="B13" s="9"/>
      <c r="C13" s="9"/>
    </row>
    <row r="14" spans="1:3" ht="17.25" x14ac:dyDescent="0.2">
      <c r="A14" s="41" t="s">
        <v>141</v>
      </c>
      <c r="B14" s="9"/>
      <c r="C14" s="9"/>
    </row>
    <row r="15" spans="1:3" x14ac:dyDescent="0.2">
      <c r="A15" s="42"/>
      <c r="B15" s="9"/>
      <c r="C15" s="9"/>
    </row>
    <row r="16" spans="1:3" x14ac:dyDescent="0.2">
      <c r="A16" s="43" t="s">
        <v>142</v>
      </c>
      <c r="B16" s="9"/>
      <c r="C16" s="9"/>
    </row>
    <row r="17" spans="1:3" x14ac:dyDescent="0.2">
      <c r="A17" s="43" t="s">
        <v>143</v>
      </c>
      <c r="B17" s="9"/>
      <c r="C17" s="9"/>
    </row>
    <row r="18" spans="1:3" x14ac:dyDescent="0.2">
      <c r="A18" s="43" t="s">
        <v>144</v>
      </c>
      <c r="B18" s="9"/>
      <c r="C18" s="9"/>
    </row>
    <row r="19" spans="1:3" x14ac:dyDescent="0.2">
      <c r="A19" s="43" t="s">
        <v>145</v>
      </c>
      <c r="B19" s="9"/>
      <c r="C19" s="9"/>
    </row>
    <row r="20" spans="1:3" x14ac:dyDescent="0.2">
      <c r="A20" s="43" t="s">
        <v>146</v>
      </c>
      <c r="B20" s="9"/>
      <c r="C20" s="9"/>
    </row>
    <row r="21" spans="1:3" x14ac:dyDescent="0.2">
      <c r="A21" s="43" t="s">
        <v>147</v>
      </c>
      <c r="B21" s="9"/>
      <c r="C21" s="9"/>
    </row>
    <row r="22" spans="1:3" x14ac:dyDescent="0.2">
      <c r="A22" s="43" t="s">
        <v>148</v>
      </c>
      <c r="B22" s="9"/>
      <c r="C22" s="9"/>
    </row>
    <row r="23" spans="1:3" x14ac:dyDescent="0.2">
      <c r="A23" s="43" t="s">
        <v>149</v>
      </c>
      <c r="B23" s="9"/>
      <c r="C23" s="9"/>
    </row>
    <row r="24" spans="1:3" x14ac:dyDescent="0.2">
      <c r="A24" s="43" t="s">
        <v>150</v>
      </c>
      <c r="B24" s="9"/>
      <c r="C24" s="9"/>
    </row>
    <row r="25" spans="1:3" x14ac:dyDescent="0.2">
      <c r="A25" s="43" t="s">
        <v>151</v>
      </c>
      <c r="B25" s="9"/>
      <c r="C25" s="9"/>
    </row>
    <row r="26" spans="1:3" x14ac:dyDescent="0.2">
      <c r="B26" s="9"/>
    </row>
    <row r="27" spans="1:3" ht="17.25" x14ac:dyDescent="0.2">
      <c r="A27" s="41" t="s">
        <v>152</v>
      </c>
    </row>
    <row r="28" spans="1:3" x14ac:dyDescent="0.2">
      <c r="A28" s="42"/>
    </row>
    <row r="29" spans="1:3" x14ac:dyDescent="0.2">
      <c r="A29" s="43" t="s">
        <v>153</v>
      </c>
    </row>
    <row r="30" spans="1:3" x14ac:dyDescent="0.2">
      <c r="A30" s="43" t="s">
        <v>154</v>
      </c>
    </row>
    <row r="31" spans="1:3" x14ac:dyDescent="0.2">
      <c r="A31" s="43" t="s">
        <v>155</v>
      </c>
    </row>
    <row r="32" spans="1:3" x14ac:dyDescent="0.2">
      <c r="A32" s="43" t="s">
        <v>156</v>
      </c>
    </row>
    <row r="33" spans="1:1" x14ac:dyDescent="0.2">
      <c r="A33" s="43" t="s">
        <v>157</v>
      </c>
    </row>
    <row r="34" spans="1:1" x14ac:dyDescent="0.2">
      <c r="A34" s="43" t="s">
        <v>158</v>
      </c>
    </row>
    <row r="36" spans="1:1" ht="17.25" x14ac:dyDescent="0.2">
      <c r="A36" s="41" t="s">
        <v>172</v>
      </c>
    </row>
    <row r="37" spans="1:1" x14ac:dyDescent="0.2">
      <c r="A37" s="42"/>
    </row>
    <row r="38" spans="1:1" x14ac:dyDescent="0.2">
      <c r="A38" s="43" t="s">
        <v>159</v>
      </c>
    </row>
    <row r="39" spans="1:1" x14ac:dyDescent="0.2">
      <c r="A39" s="43" t="s">
        <v>160</v>
      </c>
    </row>
    <row r="40" spans="1:1" x14ac:dyDescent="0.2">
      <c r="A40" s="43" t="s">
        <v>161</v>
      </c>
    </row>
    <row r="41" spans="1:1" x14ac:dyDescent="0.2">
      <c r="A41" s="43" t="s">
        <v>162</v>
      </c>
    </row>
    <row r="42" spans="1:1" x14ac:dyDescent="0.2">
      <c r="A42" s="43" t="s">
        <v>163</v>
      </c>
    </row>
    <row r="43" spans="1:1" x14ac:dyDescent="0.2">
      <c r="A43" s="43" t="s">
        <v>164</v>
      </c>
    </row>
    <row r="44" spans="1:1" x14ac:dyDescent="0.2">
      <c r="A44" s="43" t="s">
        <v>165</v>
      </c>
    </row>
    <row r="45" spans="1:1" x14ac:dyDescent="0.2">
      <c r="A45" s="43" t="s">
        <v>166</v>
      </c>
    </row>
    <row r="46" spans="1:1" x14ac:dyDescent="0.2">
      <c r="A46" s="43" t="s">
        <v>167</v>
      </c>
    </row>
    <row r="47" spans="1:1" x14ac:dyDescent="0.2">
      <c r="A47" s="43" t="s">
        <v>168</v>
      </c>
    </row>
    <row r="48" spans="1:1" x14ac:dyDescent="0.2">
      <c r="A48" s="43" t="s">
        <v>169</v>
      </c>
    </row>
    <row r="49" spans="1:1" x14ac:dyDescent="0.2">
      <c r="A49" s="43" t="s">
        <v>170</v>
      </c>
    </row>
    <row r="50" spans="1:1" x14ac:dyDescent="0.2">
      <c r="A50" s="43" t="s">
        <v>171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EEFBED-F786-49D8-89B2-93FF7AC90B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Guide </vt:lpstr>
      <vt:lpstr>Pivot</vt:lpstr>
      <vt:lpstr>Data 2</vt:lpstr>
      <vt:lpstr>Dashboard</vt:lpstr>
      <vt:lpstr>Main Data</vt:lpstr>
      <vt:lpstr>Data 3</vt:lpstr>
      <vt:lpstr>Katalog</vt:lpstr>
      <vt:lpstr>Kode Diskon</vt:lpstr>
      <vt:lpstr>Helper</vt:lpstr>
      <vt:lpstr>Item (2)</vt:lpstr>
      <vt:lpstr>changes record</vt:lpstr>
      <vt:lpstr>Item</vt:lpstr>
      <vt:lpstr>Sheet5</vt:lpstr>
      <vt:lpstr>Question</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Fadhiil Dzaki</dc:creator>
  <cp:lastModifiedBy>Fadhiil Dzaki</cp:lastModifiedBy>
  <dcterms:created xsi:type="dcterms:W3CDTF">2023-05-26T09:37:18Z</dcterms:created>
  <dcterms:modified xsi:type="dcterms:W3CDTF">2024-07-22T12:10:05Z</dcterms:modified>
</cp:coreProperties>
</file>